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drawings/drawing2.xml" ContentType="application/vnd.openxmlformats-officedocument.drawingml.chartshapes+xml"/>
  <Override PartName="/xl/charts/chart3.xml" ContentType="application/vnd.openxmlformats-officedocument.drawingml.chart+xml"/>
  <Override PartName="/xl/theme/themeOverride3.xml" ContentType="application/vnd.openxmlformats-officedocument.themeOverride+xml"/>
  <Override PartName="/xl/drawings/drawing3.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4.xml" ContentType="application/vnd.openxmlformats-officedocument.drawingml.chartshapes+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drawings/drawing5.xml" ContentType="application/vnd.openxmlformats-officedocument.drawingml.chartshapes+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drawings/drawing6.xml" ContentType="application/vnd.openxmlformats-officedocument.drawing+xml"/>
  <Override PartName="/xl/charts/chart12.xml" ContentType="application/vnd.openxmlformats-officedocument.drawingml.chart+xml"/>
  <Override PartName="/xl/theme/themeOverride12.xml" ContentType="application/vnd.openxmlformats-officedocument.themeOverride+xml"/>
  <Override PartName="/xl/drawings/drawing7.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tables/table1.xml" ContentType="application/vnd.openxmlformats-officedocument.spreadsheetml.table+xml"/>
  <Override PartName="/xl/drawings/drawing8.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namedSheetViews/namedSheetView1.xml" ContentType="application/vnd.ms-excel.namedsheetviews+xml"/>
  <Override PartName="/xl/charts/chart15.xml" ContentType="application/vnd.openxmlformats-officedocument.drawingml.chart+xml"/>
  <Override PartName="/xl/theme/themeOverride15.xml" ContentType="application/vnd.openxmlformats-officedocument.themeOverrid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omments1.xml" ContentType="application/vnd.openxmlformats-officedocument.spreadsheetml.comments+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omments2.xml" ContentType="application/vnd.openxmlformats-officedocument.spreadsheetml.comments+xml"/>
  <Override PartName="/xl/tables/table16.xml" ContentType="application/vnd.openxmlformats-officedocument.spreadsheetml.table+xml"/>
  <Override PartName="/xl/comments3.xml" ContentType="application/vnd.openxmlformats-officedocument.spreadsheetml.comments+xml"/>
  <Override PartName="/xl/tables/table17.xml" ContentType="application/vnd.openxmlformats-officedocument.spreadsheetml.table+xml"/>
  <Override PartName="/xl/comments4.xml" ContentType="application/vnd.openxmlformats-officedocument.spreadsheetml.comments+xml"/>
  <Override PartName="/xl/tables/table18.xml" ContentType="application/vnd.openxmlformats-officedocument.spreadsheetml.table+xml"/>
  <Override PartName="/xl/comments5.xml" ContentType="application/vnd.openxmlformats-officedocument.spreadsheetml.comments+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hidePivotFieldList="1"/>
  <mc:AlternateContent xmlns:mc="http://schemas.openxmlformats.org/markup-compatibility/2006">
    <mc:Choice Requires="x15">
      <x15ac:absPath xmlns:x15ac="http://schemas.microsoft.com/office/spreadsheetml/2010/11/ac" url="https://sirm-my.sharepoint.com/personal/saskia_vandererf_sirm_nl/Documents/Bureaublad/"/>
    </mc:Choice>
  </mc:AlternateContent>
  <xr:revisionPtr revIDLastSave="0" documentId="8_{86556659-16A3-4B5D-A2CA-8056D7301D3B}" xr6:coauthVersionLast="47" xr6:coauthVersionMax="47" xr10:uidLastSave="{00000000-0000-0000-0000-000000000000}"/>
  <bookViews>
    <workbookView xWindow="33720" yWindow="-120" windowWidth="29040" windowHeight="15720" tabRatio="609" activeTab="2" xr2:uid="{00000000-000D-0000-FFFF-FFFF00000000}"/>
  </bookViews>
  <sheets>
    <sheet name="Opbouw model" sheetId="15" r:id="rId1"/>
    <sheet name="A1 Algemene resultaten" sheetId="31" r:id="rId2"/>
    <sheet name="A2 - Resultaten per veld" sheetId="44" r:id="rId3"/>
    <sheet name="A3 - Tabellen bij grafieken" sheetId="52" r:id="rId4"/>
    <sheet name="Filters" sheetId="45" state="hidden" r:id="rId5"/>
    <sheet name="B1 Aannames - implementatie" sheetId="38" r:id="rId6"/>
    <sheet name="Voorbeeld S-curve" sheetId="49" state="hidden" r:id="rId7"/>
    <sheet name="B2 - Aannames - beleid" sheetId="47" r:id="rId8"/>
    <sheet name="B3 - Aannames - acceptatie" sheetId="50" r:id="rId9"/>
    <sheet name="B4 - Aannames - gegev.uitw." sheetId="29" r:id="rId10"/>
    <sheet name="C1 Gegevens - dig. zorgtoep." sheetId="3" r:id="rId11"/>
    <sheet name="C2 Gegevens - patiëntaantallen" sheetId="4" r:id="rId12"/>
    <sheet name="C3 Gegevens - overig" sheetId="19" r:id="rId13"/>
    <sheet name="D1 Berekening - uniforme input" sheetId="43" r:id="rId14"/>
    <sheet name="D2 Berekening - impact p. dlgr." sheetId="8" r:id="rId15"/>
    <sheet name="D3 Berekening - impact p. toep." sheetId="33" r:id="rId16"/>
    <sheet name="D4 Berekening - kosten schatten" sheetId="34" r:id="rId17"/>
    <sheet name="D5 Berekening - implementatie" sheetId="37" r:id="rId18"/>
    <sheet name="D6 Berekening - jaarlijks 1" sheetId="40" r:id="rId19"/>
    <sheet name="D7 Berekening - jaarlijks 2" sheetId="42" r:id="rId20"/>
    <sheet name="D8 Berekening - jaarlijks 3" sheetId="41" r:id="rId21"/>
    <sheet name="D9 Berekening -  tov 2023" sheetId="26" r:id="rId22"/>
    <sheet name="D10 Berekening - gegev. uitw." sheetId="46" r:id="rId23"/>
  </sheets>
  <externalReferences>
    <externalReference r:id="rId24"/>
  </externalReferences>
  <definedNames>
    <definedName name="_xlnm._FilterDatabase" localSheetId="5" hidden="1">'B1 Aannames - implementatie'!$A$20:$A$84</definedName>
    <definedName name="_xlnm._FilterDatabase" localSheetId="10" hidden="1">'C1 Gegevens - dig. zorgtoep.'!$A$5:$Y$5</definedName>
    <definedName name="_xlnm._FilterDatabase" localSheetId="14" hidden="1">'D2 Berekening - impact p. dlgr.'!$A$5:$A$63</definedName>
    <definedName name="Factoren_gegevensuitwisseling" localSheetId="22">[1]!Extra_gegevensuitwisseling[#Data]</definedName>
    <definedName name="Factoren_gegevensuitwisseling" localSheetId="15">Extra_gegevensuitwisseling[]</definedName>
    <definedName name="Factoren_gegevensuitwisseling">Extra_gegevensuitwisseling[]</definedName>
    <definedName name="Gegevensuitwisseling" localSheetId="22">[1]!Extra_gegevensuitwisseling[#All]</definedName>
    <definedName name="Gegevensuitwisseling" localSheetId="15">Extra_gegevensuitwisseling[#All]</definedName>
    <definedName name="Gegevensuitwisseling">Extra_gegevensuitwisseling[#All]</definedName>
    <definedName name="Impact_gegevensuitwisseling" localSheetId="22">'[1]B6 - Aannames gegevensuitwissel'!$A$3:$B$6</definedName>
    <definedName name="Impact_gegevensuitwisseling">'B4 - Aannames - gegev.uitw.'!$A$5:$B$8</definedName>
    <definedName name="Schaalfactor_gegevensuitwisseling">'B4 - Aannames - gegev.uitw.'!$B$5:$B$8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 i="45" l="1"/>
  <c r="A69" i="52"/>
  <c r="A62" i="52"/>
  <c r="A49" i="52"/>
  <c r="C20" i="45"/>
  <c r="L48" i="3"/>
  <c r="E6" i="33"/>
  <c r="E7" i="33"/>
  <c r="E8" i="33"/>
  <c r="E9" i="33"/>
  <c r="E10" i="33"/>
  <c r="E11" i="33"/>
  <c r="E12" i="33"/>
  <c r="E13" i="33"/>
  <c r="E14" i="33"/>
  <c r="E15" i="33"/>
  <c r="E16" i="33"/>
  <c r="E17" i="33"/>
  <c r="E18" i="33"/>
  <c r="E19" i="33"/>
  <c r="E20" i="33"/>
  <c r="E21" i="33"/>
  <c r="E22" i="33"/>
  <c r="E23" i="33"/>
  <c r="E24" i="33"/>
  <c r="E25" i="33"/>
  <c r="E26" i="33"/>
  <c r="E27" i="33"/>
  <c r="E28" i="33"/>
  <c r="E29" i="33"/>
  <c r="E30" i="33"/>
  <c r="E31" i="33"/>
  <c r="E32" i="33"/>
  <c r="E33" i="33"/>
  <c r="E34" i="33"/>
  <c r="E35" i="33"/>
  <c r="E36" i="33"/>
  <c r="E37" i="33"/>
  <c r="B60" i="19"/>
  <c r="B59" i="19"/>
  <c r="G5" i="4" l="1"/>
  <c r="G6" i="4"/>
  <c r="G7" i="4"/>
  <c r="D452" i="40" s="1" a="1"/>
  <c r="D452" i="40" s="1"/>
  <c r="G8" i="4"/>
  <c r="G9" i="4"/>
  <c r="G10" i="4"/>
  <c r="G11" i="4"/>
  <c r="G12" i="4"/>
  <c r="G13" i="4"/>
  <c r="G14" i="4"/>
  <c r="G15" i="4"/>
  <c r="D53" i="8" s="1" a="1"/>
  <c r="D53" i="8" s="1"/>
  <c r="G16" i="4"/>
  <c r="G17" i="4"/>
  <c r="G18" i="4"/>
  <c r="D374" i="40" s="1" a="1"/>
  <c r="D374" i="40" s="1"/>
  <c r="G19" i="4"/>
  <c r="G20" i="4"/>
  <c r="G21" i="4"/>
  <c r="G22" i="4"/>
  <c r="G23" i="4"/>
  <c r="D7" i="8" s="1" a="1"/>
  <c r="D7" i="8" s="1"/>
  <c r="G24" i="4"/>
  <c r="G25" i="4"/>
  <c r="G26" i="4"/>
  <c r="D458" i="40" s="1" a="1"/>
  <c r="D458" i="40" s="1"/>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D28" i="40" a="1"/>
  <c r="D28" i="40" s="1"/>
  <c r="D507" i="40" a="1"/>
  <c r="D507" i="40" s="1"/>
  <c r="D17" i="8" a="1"/>
  <c r="D17" i="8" s="1"/>
  <c r="D52" i="40" a="1"/>
  <c r="D52" i="40" s="1"/>
  <c r="D52" i="8" a="1"/>
  <c r="D52" i="8" s="1"/>
  <c r="D54" i="8" a="1"/>
  <c r="D54" i="8" s="1"/>
  <c r="D332" i="40" a="1"/>
  <c r="D332" i="40" s="1"/>
  <c r="D18" i="8" a="1"/>
  <c r="D18" i="8" s="1"/>
  <c r="D12" i="8" a="1"/>
  <c r="D12" i="8" s="1"/>
  <c r="D22" i="8" a="1"/>
  <c r="D22" i="8" s="1"/>
  <c r="D435" i="40" a="1"/>
  <c r="D435" i="40" s="1"/>
  <c r="D502" i="40" a="1"/>
  <c r="D502" i="40" s="1"/>
  <c r="D64" i="8" a="1"/>
  <c r="D64" i="8" s="1"/>
  <c r="D44" i="8" a="1"/>
  <c r="D44" i="8" s="1"/>
  <c r="D286" i="40" a="1"/>
  <c r="D286" i="40" s="1"/>
  <c r="D528" i="40" a="1"/>
  <c r="D528" i="40" s="1"/>
  <c r="D51" i="8" a="1"/>
  <c r="D51" i="8" s="1"/>
  <c r="D257" i="40" a="1"/>
  <c r="D257" i="40" s="1"/>
  <c r="D76" i="40" a="1"/>
  <c r="D76" i="40" s="1"/>
  <c r="D37" i="8" a="1"/>
  <c r="D37" i="8" s="1"/>
  <c r="D36" i="8" a="1"/>
  <c r="D36" i="8" s="1"/>
  <c r="D24" i="8" a="1"/>
  <c r="D24" i="8" s="1"/>
  <c r="D670" i="40" a="1"/>
  <c r="D670" i="40" s="1"/>
  <c r="D19" i="8" a="1"/>
  <c r="D19" i="8" s="1"/>
  <c r="D196" i="40" a="1"/>
  <c r="D196" i="40" s="1"/>
  <c r="D33" i="8" a="1"/>
  <c r="D33" i="8" s="1"/>
  <c r="D144" i="40" a="1"/>
  <c r="D144" i="40" s="1"/>
  <c r="D65" i="8" a="1"/>
  <c r="D65" i="8" s="1"/>
  <c r="D46" i="8" a="1"/>
  <c r="D46" i="8" s="1"/>
  <c r="D211" i="40" a="1"/>
  <c r="D211" i="40" s="1"/>
  <c r="D244" i="40" a="1"/>
  <c r="D244" i="40" s="1"/>
  <c r="D424" i="40" a="1"/>
  <c r="D424" i="40" s="1"/>
  <c r="D697" i="40" a="1"/>
  <c r="D697" i="40" s="1"/>
  <c r="D215" i="40" a="1"/>
  <c r="D215" i="40" s="1"/>
  <c r="D10" i="8" a="1"/>
  <c r="D10" i="8" s="1"/>
  <c r="D28" i="8" a="1"/>
  <c r="D28" i="8" s="1"/>
  <c r="D1404" i="40" a="1"/>
  <c r="D1404" i="40" s="1"/>
  <c r="D678" i="40" a="1"/>
  <c r="D678" i="40" s="1"/>
  <c r="D232" i="40" a="1"/>
  <c r="D232" i="40" s="1"/>
  <c r="D162" i="40" a="1"/>
  <c r="D162" i="40" s="1"/>
  <c r="D58" i="8" a="1"/>
  <c r="D58" i="8" s="1"/>
  <c r="D278" i="40" a="1"/>
  <c r="D278" i="40" s="1"/>
  <c r="D1187" i="40" a="1"/>
  <c r="D1187" i="40" s="1"/>
  <c r="D47" i="8" a="1"/>
  <c r="D47" i="8" s="1"/>
  <c r="D55" i="8" a="1"/>
  <c r="D55" i="8" s="1"/>
  <c r="D562" i="40" a="1"/>
  <c r="D562" i="40" s="1"/>
  <c r="D26" i="8" a="1"/>
  <c r="D26" i="8" s="1"/>
  <c r="D655" i="40" a="1"/>
  <c r="D655" i="40" s="1"/>
  <c r="D315" i="40" a="1"/>
  <c r="D315" i="40" s="1"/>
  <c r="B56" i="19"/>
  <c r="E14" i="47"/>
  <c r="E13" i="47"/>
  <c r="E10" i="47"/>
  <c r="E9" i="47"/>
  <c r="E8" i="47"/>
  <c r="E7" i="47"/>
  <c r="E6" i="47"/>
  <c r="E5" i="47"/>
  <c r="A75" i="52"/>
  <c r="A76" i="52"/>
  <c r="A77" i="52"/>
  <c r="A78" i="52"/>
  <c r="A79" i="52"/>
  <c r="A80" i="52"/>
  <c r="A81" i="52"/>
  <c r="A82" i="52"/>
  <c r="A83" i="52"/>
  <c r="A84" i="52"/>
  <c r="A85" i="52"/>
  <c r="A86" i="52"/>
  <c r="A87" i="52"/>
  <c r="A88" i="52"/>
  <c r="A89" i="52"/>
  <c r="A90" i="52"/>
  <c r="A91" i="52"/>
  <c r="A92" i="52"/>
  <c r="A93" i="52"/>
  <c r="A94" i="52"/>
  <c r="A95" i="52"/>
  <c r="A96" i="52"/>
  <c r="A97" i="52"/>
  <c r="A98" i="52"/>
  <c r="A99" i="52"/>
  <c r="A100" i="52"/>
  <c r="A101" i="52"/>
  <c r="A102" i="52"/>
  <c r="A103" i="52"/>
  <c r="A104" i="52"/>
  <c r="A105" i="52"/>
  <c r="A106" i="52"/>
  <c r="F159" i="42"/>
  <c r="F160" i="42"/>
  <c r="F161" i="42"/>
  <c r="F162" i="42"/>
  <c r="F163" i="42"/>
  <c r="F164" i="42"/>
  <c r="F165" i="42"/>
  <c r="F166" i="42"/>
  <c r="F167" i="42"/>
  <c r="F168" i="42"/>
  <c r="F301" i="42"/>
  <c r="F302" i="42"/>
  <c r="F303" i="42"/>
  <c r="F304" i="42"/>
  <c r="F305" i="42"/>
  <c r="F306" i="42"/>
  <c r="F307" i="42"/>
  <c r="F308" i="42"/>
  <c r="F309" i="42"/>
  <c r="F310" i="42"/>
  <c r="F531" i="42"/>
  <c r="F532" i="42"/>
  <c r="F533" i="42"/>
  <c r="F534" i="42"/>
  <c r="F535" i="42"/>
  <c r="F536" i="42"/>
  <c r="F537" i="42"/>
  <c r="F538" i="42"/>
  <c r="F539" i="42"/>
  <c r="F540" i="42"/>
  <c r="F673" i="42"/>
  <c r="F674" i="42"/>
  <c r="F675" i="42"/>
  <c r="F676" i="42"/>
  <c r="F677" i="42"/>
  <c r="F678" i="42"/>
  <c r="F679" i="42"/>
  <c r="F680" i="42"/>
  <c r="F681" i="42"/>
  <c r="F682" i="42"/>
  <c r="D108" i="40" a="1"/>
  <c r="D108" i="40" s="1"/>
  <c r="E5" i="40" a="1"/>
  <c r="E5" i="40" s="1"/>
  <c r="E6" i="8" a="1"/>
  <c r="E6" i="8" s="1"/>
  <c r="F7" i="43" a="1"/>
  <c r="F7" i="43" s="1"/>
  <c r="F8" i="43" a="1"/>
  <c r="F8" i="43" s="1"/>
  <c r="F9" i="43" a="1"/>
  <c r="F9" i="43" s="1"/>
  <c r="F10" i="43" a="1"/>
  <c r="F10" i="43" s="1"/>
  <c r="F11" i="43" a="1"/>
  <c r="F11" i="43" s="1"/>
  <c r="F12" i="43" a="1"/>
  <c r="F12" i="43" s="1"/>
  <c r="F13" i="43" a="1"/>
  <c r="F13" i="43" s="1"/>
  <c r="F14" i="43" a="1"/>
  <c r="F14" i="43" s="1"/>
  <c r="F15" i="43" a="1"/>
  <c r="F15" i="43" s="1"/>
  <c r="F16" i="43" a="1"/>
  <c r="F16" i="43" s="1"/>
  <c r="F17" i="43" a="1"/>
  <c r="F17" i="43" s="1"/>
  <c r="F18" i="43" a="1"/>
  <c r="F18" i="43" s="1"/>
  <c r="F19" i="43" a="1"/>
  <c r="F19" i="43" s="1"/>
  <c r="F20" i="43" a="1"/>
  <c r="F20" i="43" s="1"/>
  <c r="F21" i="43" a="1"/>
  <c r="F21" i="43" s="1"/>
  <c r="F22" i="43" a="1"/>
  <c r="F22" i="43" s="1"/>
  <c r="F23" i="43" a="1"/>
  <c r="F23" i="43" s="1"/>
  <c r="F24" i="43" a="1"/>
  <c r="F24" i="43" s="1"/>
  <c r="F25" i="43" a="1"/>
  <c r="F25" i="43" s="1"/>
  <c r="F26" i="43" a="1"/>
  <c r="F26" i="43" s="1"/>
  <c r="F27" i="43" a="1"/>
  <c r="F27" i="43" s="1"/>
  <c r="F28" i="43" a="1"/>
  <c r="F28" i="43" s="1"/>
  <c r="F29" i="43" a="1"/>
  <c r="F29" i="43" s="1"/>
  <c r="F30" i="43" a="1"/>
  <c r="F30" i="43" s="1"/>
  <c r="F31" i="43" a="1"/>
  <c r="F31" i="43" s="1"/>
  <c r="F32" i="43" a="1"/>
  <c r="F32" i="43" s="1"/>
  <c r="F33" i="43" a="1"/>
  <c r="F33" i="43" s="1"/>
  <c r="F34" i="43" a="1"/>
  <c r="F34" i="43" s="1"/>
  <c r="F35" i="43" a="1"/>
  <c r="F35" i="43" s="1"/>
  <c r="F36" i="43" a="1"/>
  <c r="F36" i="43" s="1"/>
  <c r="F37" i="43" a="1"/>
  <c r="F37" i="43" s="1"/>
  <c r="F38" i="43" a="1"/>
  <c r="F38" i="43" s="1"/>
  <c r="F39" i="43" a="1"/>
  <c r="F39" i="43" s="1"/>
  <c r="F40" i="43" a="1"/>
  <c r="F40" i="43" s="1"/>
  <c r="F41" i="43" a="1"/>
  <c r="F41" i="43" s="1"/>
  <c r="F42" i="43" a="1"/>
  <c r="F42" i="43" s="1"/>
  <c r="F43" i="43" a="1"/>
  <c r="F43" i="43" s="1"/>
  <c r="F44" i="43" a="1"/>
  <c r="F44" i="43" s="1"/>
  <c r="F45" i="43" a="1"/>
  <c r="F45" i="43" s="1"/>
  <c r="F46" i="43" a="1"/>
  <c r="F46" i="43" s="1"/>
  <c r="F47" i="43" a="1"/>
  <c r="F47" i="43" s="1"/>
  <c r="F48" i="43" a="1"/>
  <c r="F48" i="43" s="1"/>
  <c r="F49" i="43" a="1"/>
  <c r="F49" i="43" s="1"/>
  <c r="F50" i="43" a="1"/>
  <c r="F50" i="43" s="1"/>
  <c r="F51" i="43" a="1"/>
  <c r="F51" i="43" s="1"/>
  <c r="F52" i="43" a="1"/>
  <c r="F52" i="43" s="1"/>
  <c r="F53" i="43" a="1"/>
  <c r="F53" i="43" s="1"/>
  <c r="F54" i="43" a="1"/>
  <c r="F54" i="43" s="1"/>
  <c r="F55" i="43" a="1"/>
  <c r="F55" i="43" s="1"/>
  <c r="F56" i="43" a="1"/>
  <c r="F56" i="43" s="1"/>
  <c r="F57" i="43" a="1"/>
  <c r="F57" i="43" s="1"/>
  <c r="F58" i="43" a="1"/>
  <c r="F58" i="43" s="1"/>
  <c r="F59" i="43" a="1"/>
  <c r="F59" i="43" s="1"/>
  <c r="F60" i="43" a="1"/>
  <c r="F60" i="43" s="1"/>
  <c r="F61" i="43" a="1"/>
  <c r="F61" i="43" s="1"/>
  <c r="F62" i="43" a="1"/>
  <c r="F62" i="43" s="1"/>
  <c r="F63" i="43" a="1"/>
  <c r="F63" i="43" s="1"/>
  <c r="F64" i="43" a="1"/>
  <c r="F64" i="43" s="1"/>
  <c r="F65" i="43" a="1"/>
  <c r="F65" i="43" s="1"/>
  <c r="F66" i="43" a="1"/>
  <c r="F66" i="43" s="1"/>
  <c r="F67" i="43" a="1"/>
  <c r="F67" i="43" s="1"/>
  <c r="F68" i="43" a="1"/>
  <c r="F68" i="43" s="1"/>
  <c r="F69" i="43" a="1"/>
  <c r="F69" i="43" s="1"/>
  <c r="F70" i="43" a="1"/>
  <c r="F70" i="43" s="1"/>
  <c r="F71" i="43" a="1"/>
  <c r="F71" i="43" s="1"/>
  <c r="F72" i="43" a="1"/>
  <c r="F72" i="43" s="1"/>
  <c r="F73" i="43" a="1"/>
  <c r="F73" i="43" s="1"/>
  <c r="F74" i="43" a="1"/>
  <c r="F74" i="43" s="1"/>
  <c r="F75" i="43" a="1"/>
  <c r="F75" i="43" s="1"/>
  <c r="F76" i="43" a="1"/>
  <c r="F76" i="43" s="1"/>
  <c r="F77" i="43" a="1"/>
  <c r="F77" i="43" s="1"/>
  <c r="F78" i="43" a="1"/>
  <c r="F78" i="43" s="1"/>
  <c r="F79" i="43" a="1"/>
  <c r="F79" i="43" s="1"/>
  <c r="F80" i="43" a="1"/>
  <c r="F80" i="43" s="1"/>
  <c r="F81" i="43" a="1"/>
  <c r="F81" i="43" s="1"/>
  <c r="F82" i="43" a="1"/>
  <c r="F82" i="43" s="1"/>
  <c r="F83" i="43" a="1"/>
  <c r="F83" i="43" s="1"/>
  <c r="F84" i="43" a="1"/>
  <c r="F84" i="43" s="1"/>
  <c r="F85" i="43" a="1"/>
  <c r="F85" i="43" s="1"/>
  <c r="F86" i="43" a="1"/>
  <c r="F86" i="43" s="1"/>
  <c r="F87" i="43" a="1"/>
  <c r="F87" i="43" s="1"/>
  <c r="F88" i="43" a="1"/>
  <c r="F88" i="43" s="1"/>
  <c r="F89" i="43" a="1"/>
  <c r="F89" i="43" s="1"/>
  <c r="F90" i="43" a="1"/>
  <c r="F90" i="43" s="1"/>
  <c r="F91" i="43" a="1"/>
  <c r="F91" i="43" s="1"/>
  <c r="F92" i="43" a="1"/>
  <c r="F92" i="43" s="1"/>
  <c r="F93" i="43" a="1"/>
  <c r="F93" i="43" s="1"/>
  <c r="F94" i="43" a="1"/>
  <c r="F94" i="43" s="1"/>
  <c r="F95" i="43" a="1"/>
  <c r="F95" i="43" s="1"/>
  <c r="F96" i="43" a="1"/>
  <c r="F96" i="43" s="1"/>
  <c r="F97" i="43" a="1"/>
  <c r="F97" i="43" s="1"/>
  <c r="F98" i="43" a="1"/>
  <c r="F98" i="43" s="1"/>
  <c r="F99" i="43" a="1"/>
  <c r="F99" i="43" s="1"/>
  <c r="F100" i="43" a="1"/>
  <c r="F100" i="43" s="1"/>
  <c r="F101" i="43" a="1"/>
  <c r="F101" i="43" s="1"/>
  <c r="F102" i="43" a="1"/>
  <c r="F102" i="43" s="1"/>
  <c r="F103" i="43" a="1"/>
  <c r="F103" i="43" s="1"/>
  <c r="F104" i="43" a="1"/>
  <c r="F104" i="43" s="1"/>
  <c r="F105" i="43" a="1"/>
  <c r="F105" i="43" s="1"/>
  <c r="F106" i="43" a="1"/>
  <c r="F106" i="43" s="1"/>
  <c r="F107" i="43" a="1"/>
  <c r="F107" i="43" s="1"/>
  <c r="F108" i="43" a="1"/>
  <c r="F108" i="43" s="1"/>
  <c r="F109" i="43" a="1"/>
  <c r="F109" i="43" s="1"/>
  <c r="F110" i="43" a="1"/>
  <c r="F110" i="43" s="1"/>
  <c r="F111" i="43" a="1"/>
  <c r="F111" i="43" s="1"/>
  <c r="F112" i="43" a="1"/>
  <c r="F112" i="43" s="1"/>
  <c r="F113" i="43" a="1"/>
  <c r="F113" i="43" s="1"/>
  <c r="F114" i="43" a="1"/>
  <c r="F114" i="43" s="1"/>
  <c r="F115" i="43" a="1"/>
  <c r="F115" i="43" s="1"/>
  <c r="F116" i="43" a="1"/>
  <c r="F116" i="43" s="1"/>
  <c r="F117" i="43" a="1"/>
  <c r="F117" i="43" s="1"/>
  <c r="F118" i="43" a="1"/>
  <c r="F118" i="43" s="1"/>
  <c r="F119" i="43" a="1"/>
  <c r="F119" i="43" s="1"/>
  <c r="F120" i="43" a="1"/>
  <c r="F120" i="43" s="1"/>
  <c r="F121" i="43" a="1"/>
  <c r="F121" i="43" s="1"/>
  <c r="F122" i="43" a="1"/>
  <c r="F122" i="43" s="1"/>
  <c r="F123" i="43" a="1"/>
  <c r="F123" i="43" s="1"/>
  <c r="F124" i="43" a="1"/>
  <c r="F124" i="43" s="1"/>
  <c r="F125" i="43" a="1"/>
  <c r="F125" i="43" s="1"/>
  <c r="F126" i="43" a="1"/>
  <c r="F126" i="43" s="1"/>
  <c r="F127" i="43" a="1"/>
  <c r="F127" i="43" s="1"/>
  <c r="F128" i="43" a="1"/>
  <c r="F128" i="43" s="1"/>
  <c r="F129" i="43" a="1"/>
  <c r="F129" i="43" s="1"/>
  <c r="F130" i="43" a="1"/>
  <c r="F130" i="43" s="1"/>
  <c r="F131" i="43" a="1"/>
  <c r="F131" i="43" s="1"/>
  <c r="F132" i="43" a="1"/>
  <c r="F132" i="43" s="1"/>
  <c r="F133" i="43" a="1"/>
  <c r="F133" i="43" s="1"/>
  <c r="F134" i="43" a="1"/>
  <c r="F134" i="43" s="1"/>
  <c r="F135" i="43" a="1"/>
  <c r="F135" i="43" s="1"/>
  <c r="F136" i="43" a="1"/>
  <c r="F136" i="43" s="1"/>
  <c r="F137" i="43" a="1"/>
  <c r="F137" i="43" s="1"/>
  <c r="F138" i="43" a="1"/>
  <c r="F138" i="43" s="1"/>
  <c r="F139" i="43" a="1"/>
  <c r="F139" i="43" s="1"/>
  <c r="F140" i="43" a="1"/>
  <c r="F140" i="43" s="1"/>
  <c r="F141" i="43" a="1"/>
  <c r="F141" i="43" s="1"/>
  <c r="F142" i="43" a="1"/>
  <c r="F142" i="43" s="1"/>
  <c r="F143" i="43" a="1"/>
  <c r="F143" i="43" s="1"/>
  <c r="F144" i="43" a="1"/>
  <c r="F144" i="43" s="1"/>
  <c r="F145" i="43" a="1"/>
  <c r="F145" i="43" s="1"/>
  <c r="F146" i="43" a="1"/>
  <c r="F146" i="43" s="1"/>
  <c r="F147" i="43" a="1"/>
  <c r="F147" i="43" s="1"/>
  <c r="F148" i="43" a="1"/>
  <c r="F148" i="43" s="1"/>
  <c r="F149" i="43" a="1"/>
  <c r="F149" i="43" s="1"/>
  <c r="F150" i="43" a="1"/>
  <c r="F150" i="43" s="1"/>
  <c r="F151" i="43" a="1"/>
  <c r="F151" i="43" s="1"/>
  <c r="M54" i="31"/>
  <c r="B54" i="31"/>
  <c r="D37" i="29"/>
  <c r="I60" i="4"/>
  <c r="I23" i="4"/>
  <c r="N40" i="3"/>
  <c r="C24" i="45"/>
  <c r="B47" i="31"/>
  <c r="D815" i="40" l="1" a="1"/>
  <c r="D815" i="40" s="1"/>
  <c r="D131" i="40" a="1"/>
  <c r="D131" i="40" s="1"/>
  <c r="D1120" i="40" a="1"/>
  <c r="D1120" i="40" s="1"/>
  <c r="D1258" i="40" a="1"/>
  <c r="D1258" i="40" s="1"/>
  <c r="D830" i="40" a="1"/>
  <c r="D830" i="40" s="1"/>
  <c r="D104" i="40" a="1"/>
  <c r="D104" i="40" s="1"/>
  <c r="D1017" i="40" a="1"/>
  <c r="D1017" i="40" s="1"/>
  <c r="D114" i="40" a="1"/>
  <c r="D114" i="40" s="1"/>
  <c r="D1377" i="40" a="1"/>
  <c r="D1377" i="40" s="1"/>
  <c r="D1376" i="40" a="1"/>
  <c r="D1376" i="40" s="1"/>
  <c r="D11" i="40" a="1"/>
  <c r="D11" i="40" s="1"/>
  <c r="D1371" i="40" a="1"/>
  <c r="D1371" i="40" s="1"/>
  <c r="D674" i="40" a="1"/>
  <c r="D674" i="40" s="1"/>
  <c r="D10" i="40" a="1"/>
  <c r="D10" i="40" s="1"/>
  <c r="D713" i="40" a="1"/>
  <c r="D713" i="40" s="1"/>
  <c r="D1369" i="40" a="1"/>
  <c r="D1369" i="40" s="1"/>
  <c r="D672" i="40" a="1"/>
  <c r="D672" i="40" s="1"/>
  <c r="D715" i="40" a="1"/>
  <c r="D715" i="40" s="1"/>
  <c r="D132" i="40" a="1"/>
  <c r="D132" i="40" s="1"/>
  <c r="D664" i="40" a="1"/>
  <c r="D664" i="40" s="1"/>
  <c r="D542" i="40" a="1"/>
  <c r="D542" i="40" s="1"/>
  <c r="D1025" i="40" a="1"/>
  <c r="D1025" i="40" s="1"/>
  <c r="D1160" i="40" a="1"/>
  <c r="D1160" i="40" s="1"/>
  <c r="D456" i="40" a="1"/>
  <c r="D456" i="40" s="1"/>
  <c r="D433" i="40" a="1"/>
  <c r="D433" i="40" s="1"/>
  <c r="D689" i="40" a="1"/>
  <c r="D689" i="40" s="1"/>
  <c r="D1121" i="40" a="1"/>
  <c r="D1121" i="40" s="1"/>
  <c r="D936" i="40" a="1"/>
  <c r="D936" i="40" s="1"/>
  <c r="D468" i="40" a="1"/>
  <c r="D468" i="40" s="1"/>
  <c r="D935" i="40" a="1"/>
  <c r="D935" i="40" s="1"/>
  <c r="D829" i="40" a="1"/>
  <c r="D829" i="40" s="1"/>
  <c r="D397" i="40" a="1"/>
  <c r="D397" i="40" s="1"/>
  <c r="D1255" i="40" a="1"/>
  <c r="D1255" i="40" s="1"/>
  <c r="D533" i="40" a="1"/>
  <c r="D533" i="40" s="1"/>
  <c r="D1137" i="40" a="1"/>
  <c r="D1137" i="40" s="1"/>
  <c r="D431" i="40" a="1"/>
  <c r="D431" i="40" s="1"/>
  <c r="D1249" i="40" a="1"/>
  <c r="D1249" i="40" s="1"/>
  <c r="D880" i="40" a="1"/>
  <c r="D880" i="40" s="1"/>
  <c r="D712" i="40" a="1"/>
  <c r="D712" i="40" s="1"/>
  <c r="D530" i="40" a="1"/>
  <c r="D530" i="40" s="1"/>
  <c r="D130" i="40" a="1"/>
  <c r="D130" i="40" s="1"/>
  <c r="D1097" i="40" a="1"/>
  <c r="D1097" i="40" s="1"/>
  <c r="D810" i="40" a="1"/>
  <c r="D810" i="40" s="1"/>
  <c r="D656" i="40" a="1"/>
  <c r="D656" i="40" s="1"/>
  <c r="D308" i="40" a="1"/>
  <c r="D308" i="40" s="1"/>
  <c r="D7" i="40" a="1"/>
  <c r="D7" i="40" s="1"/>
  <c r="D1373" i="40" a="1"/>
  <c r="D1373" i="40" s="1"/>
  <c r="D1085" i="40" a="1"/>
  <c r="D1085" i="40" s="1"/>
  <c r="D809" i="40" a="1"/>
  <c r="D809" i="40" s="1"/>
  <c r="D554" i="40" a="1"/>
  <c r="D554" i="40" s="1"/>
  <c r="D126" i="40" a="1"/>
  <c r="D126" i="40" s="1"/>
  <c r="D1366" i="40" a="1"/>
  <c r="D1366" i="40" s="1"/>
  <c r="D1117" i="40" a="1"/>
  <c r="D1117" i="40" s="1"/>
  <c r="D813" i="40" a="1"/>
  <c r="D813" i="40" s="1"/>
  <c r="D662" i="40" a="1"/>
  <c r="D662" i="40" s="1"/>
  <c r="D389" i="40" a="1"/>
  <c r="D389" i="40" s="1"/>
  <c r="D1375" i="40" a="1"/>
  <c r="D1375" i="40" s="1"/>
  <c r="D1365" i="40" a="1"/>
  <c r="D1365" i="40" s="1"/>
  <c r="D1134" i="40" a="1"/>
  <c r="D1134" i="40" s="1"/>
  <c r="D1101" i="40" a="1"/>
  <c r="D1101" i="40" s="1"/>
  <c r="D827" i="40" a="1"/>
  <c r="D827" i="40" s="1"/>
  <c r="D812" i="40" a="1"/>
  <c r="D812" i="40" s="1"/>
  <c r="D671" i="40" a="1"/>
  <c r="D671" i="40" s="1"/>
  <c r="D657" i="40" a="1"/>
  <c r="D657" i="40" s="1"/>
  <c r="D426" i="40" a="1"/>
  <c r="D426" i="40" s="1"/>
  <c r="D385" i="40" a="1"/>
  <c r="D385" i="40" s="1"/>
  <c r="D106" i="40" a="1"/>
  <c r="D106" i="40" s="1"/>
  <c r="D8" i="40" a="1"/>
  <c r="D8" i="40" s="1"/>
  <c r="D1374" i="40" a="1"/>
  <c r="D1374" i="40" s="1"/>
  <c r="D1363" i="40" a="1"/>
  <c r="D1363" i="40" s="1"/>
  <c r="D1243" i="40" a="1"/>
  <c r="D1243" i="40" s="1"/>
  <c r="D1132" i="40" a="1"/>
  <c r="D1132" i="40" s="1"/>
  <c r="D839" i="40" a="1"/>
  <c r="D839" i="40" s="1"/>
  <c r="D825" i="40" a="1"/>
  <c r="D825" i="40" s="1"/>
  <c r="D711" i="40" a="1"/>
  <c r="D711" i="40" s="1"/>
  <c r="D669" i="40" a="1"/>
  <c r="D669" i="40" s="1"/>
  <c r="D525" i="40" a="1"/>
  <c r="D525" i="40" s="1"/>
  <c r="D425" i="40" a="1"/>
  <c r="D425" i="40" s="1"/>
  <c r="D129" i="40" a="1"/>
  <c r="D129" i="40" s="1"/>
  <c r="D105" i="40" a="1"/>
  <c r="D105" i="40" s="1"/>
  <c r="D1362" i="40" a="1"/>
  <c r="D1362" i="40" s="1"/>
  <c r="D1240" i="40" a="1"/>
  <c r="D1240" i="40" s="1"/>
  <c r="D1131" i="40" a="1"/>
  <c r="D1131" i="40" s="1"/>
  <c r="D836" i="40" a="1"/>
  <c r="D836" i="40" s="1"/>
  <c r="D824" i="40" a="1"/>
  <c r="D824" i="40" s="1"/>
  <c r="D710" i="40" a="1"/>
  <c r="D710" i="40" s="1"/>
  <c r="D668" i="40" a="1"/>
  <c r="D668" i="40" s="1"/>
  <c r="D524" i="40" a="1"/>
  <c r="D524" i="40" s="1"/>
  <c r="D421" i="40" a="1"/>
  <c r="D421" i="40" s="1"/>
  <c r="D281" i="40" a="1"/>
  <c r="D281" i="40" s="1"/>
  <c r="D6" i="40" a="1"/>
  <c r="D6" i="40" s="1"/>
  <c r="D1372" i="40" a="1"/>
  <c r="D1372" i="40" s="1"/>
  <c r="D1361" i="40" a="1"/>
  <c r="D1361" i="40" s="1"/>
  <c r="D1237" i="40" a="1"/>
  <c r="D1237" i="40" s="1"/>
  <c r="D1129" i="40" a="1"/>
  <c r="D1129" i="40" s="1"/>
  <c r="D834" i="40" a="1"/>
  <c r="D834" i="40" s="1"/>
  <c r="D822" i="40" a="1"/>
  <c r="D822" i="40" s="1"/>
  <c r="D719" i="40" a="1"/>
  <c r="D719" i="40" s="1"/>
  <c r="D709" i="40" a="1"/>
  <c r="D709" i="40" s="1"/>
  <c r="D667" i="40" a="1"/>
  <c r="D667" i="40" s="1"/>
  <c r="D551" i="40" a="1"/>
  <c r="D551" i="40" s="1"/>
  <c r="D522" i="40" a="1"/>
  <c r="D522" i="40" s="1"/>
  <c r="D417" i="40" a="1"/>
  <c r="D417" i="40" s="1"/>
  <c r="D243" i="40" a="1"/>
  <c r="D243" i="40" s="1"/>
  <c r="D123" i="40" a="1"/>
  <c r="D123" i="40" s="1"/>
  <c r="D15" i="40" a="1"/>
  <c r="D15" i="40" s="1"/>
  <c r="D67" i="8" a="1"/>
  <c r="D67" i="8" s="1"/>
  <c r="D1360" i="40" a="1"/>
  <c r="D1360" i="40" s="1"/>
  <c r="D1234" i="40" a="1"/>
  <c r="D1234" i="40" s="1"/>
  <c r="D1128" i="40" a="1"/>
  <c r="D1128" i="40" s="1"/>
  <c r="D833" i="40" a="1"/>
  <c r="D833" i="40" s="1"/>
  <c r="D821" i="40" a="1"/>
  <c r="D821" i="40" s="1"/>
  <c r="D718" i="40" a="1"/>
  <c r="D718" i="40" s="1"/>
  <c r="D666" i="40" a="1"/>
  <c r="D666" i="40" s="1"/>
  <c r="D548" i="40" a="1"/>
  <c r="D548" i="40" s="1"/>
  <c r="D409" i="40" a="1"/>
  <c r="D409" i="40" s="1"/>
  <c r="D231" i="40" a="1"/>
  <c r="D231" i="40" s="1"/>
  <c r="D120" i="40" a="1"/>
  <c r="D120" i="40" s="1"/>
  <c r="D14" i="40" a="1"/>
  <c r="D14" i="40" s="1"/>
  <c r="D1378" i="40" a="1"/>
  <c r="D1378" i="40" s="1"/>
  <c r="D1370" i="40" a="1"/>
  <c r="D1370" i="40" s="1"/>
  <c r="D1359" i="40" a="1"/>
  <c r="D1359" i="40" s="1"/>
  <c r="D1231" i="40" a="1"/>
  <c r="D1231" i="40" s="1"/>
  <c r="D1125" i="40" a="1"/>
  <c r="D1125" i="40" s="1"/>
  <c r="D1015" i="40" a="1"/>
  <c r="D1015" i="40" s="1"/>
  <c r="D831" i="40" a="1"/>
  <c r="D831" i="40" s="1"/>
  <c r="D818" i="40" a="1"/>
  <c r="D818" i="40" s="1"/>
  <c r="D716" i="40" a="1"/>
  <c r="D716" i="40" s="1"/>
  <c r="D675" i="40" a="1"/>
  <c r="D675" i="40" s="1"/>
  <c r="D665" i="40" a="1"/>
  <c r="D665" i="40" s="1"/>
  <c r="D545" i="40" a="1"/>
  <c r="D545" i="40" s="1"/>
  <c r="D401" i="40" a="1"/>
  <c r="D401" i="40" s="1"/>
  <c r="D230" i="40" a="1"/>
  <c r="D230" i="40" s="1"/>
  <c r="D117" i="40" a="1"/>
  <c r="D117" i="40" s="1"/>
  <c r="D13" i="40" a="1"/>
  <c r="D13" i="40" s="1"/>
  <c r="D878" i="40" a="1"/>
  <c r="D878" i="40" s="1"/>
  <c r="D543" i="40" a="1"/>
  <c r="D543" i="40" s="1"/>
  <c r="D229" i="40" a="1"/>
  <c r="D229" i="40" s="1"/>
  <c r="D103" i="40" a="1"/>
  <c r="D103" i="40" s="1"/>
  <c r="D1232" i="40" a="1"/>
  <c r="D1232" i="40" s="1"/>
  <c r="D991" i="40" a="1"/>
  <c r="D991" i="40" s="1"/>
  <c r="D868" i="40" a="1"/>
  <c r="D868" i="40" s="1"/>
  <c r="D797" i="40" a="1"/>
  <c r="D797" i="40" s="1"/>
  <c r="D228" i="40" a="1"/>
  <c r="D228" i="40" s="1"/>
  <c r="D990" i="40" a="1"/>
  <c r="D990" i="40" s="1"/>
  <c r="D866" i="40" a="1"/>
  <c r="D866" i="40" s="1"/>
  <c r="D540" i="40" a="1"/>
  <c r="D540" i="40" s="1"/>
  <c r="D227" i="40" a="1"/>
  <c r="D227" i="40" s="1"/>
  <c r="D1393" i="40" a="1"/>
  <c r="D1393" i="40" s="1"/>
  <c r="D1368" i="40" a="1"/>
  <c r="D1368" i="40" s="1"/>
  <c r="D1253" i="40" a="1"/>
  <c r="D1253" i="40" s="1"/>
  <c r="D1228" i="40" a="1"/>
  <c r="D1228" i="40" s="1"/>
  <c r="D989" i="40" a="1"/>
  <c r="D989" i="40" s="1"/>
  <c r="D660" i="40" a="1"/>
  <c r="D660" i="40" s="1"/>
  <c r="D539" i="40" a="1"/>
  <c r="D539" i="40" s="1"/>
  <c r="D429" i="40" a="1"/>
  <c r="D429" i="40" s="1"/>
  <c r="D172" i="40" a="1"/>
  <c r="D172" i="40" s="1"/>
  <c r="D119" i="40" a="1"/>
  <c r="D119" i="40" s="1"/>
  <c r="D1379" i="40" a="1"/>
  <c r="D1379" i="40" s="1"/>
  <c r="D1367" i="40" a="1"/>
  <c r="D1367" i="40" s="1"/>
  <c r="D1252" i="40" a="1"/>
  <c r="D1252" i="40" s="1"/>
  <c r="D1172" i="40" a="1"/>
  <c r="D1172" i="40" s="1"/>
  <c r="D1109" i="40" a="1"/>
  <c r="D1109" i="40" s="1"/>
  <c r="D988" i="40" a="1"/>
  <c r="D988" i="40" s="1"/>
  <c r="D837" i="40" a="1"/>
  <c r="D837" i="40" s="1"/>
  <c r="D819" i="40" a="1"/>
  <c r="D819" i="40" s="1"/>
  <c r="D717" i="40" a="1"/>
  <c r="D717" i="40" s="1"/>
  <c r="D673" i="40" a="1"/>
  <c r="D673" i="40" s="1"/>
  <c r="D659" i="40" a="1"/>
  <c r="D659" i="40" s="1"/>
  <c r="D536" i="40" a="1"/>
  <c r="D536" i="40" s="1"/>
  <c r="D428" i="40" a="1"/>
  <c r="D428" i="40" s="1"/>
  <c r="D285" i="40" a="1"/>
  <c r="D285" i="40" s="1"/>
  <c r="D170" i="40" a="1"/>
  <c r="D170" i="40" s="1"/>
  <c r="D118" i="40" a="1"/>
  <c r="D118" i="40" s="1"/>
  <c r="D12" i="40" a="1"/>
  <c r="D12" i="40" s="1"/>
  <c r="D1235" i="40" a="1"/>
  <c r="D1235" i="40" s="1"/>
  <c r="D879" i="40" a="1"/>
  <c r="D879" i="40" s="1"/>
  <c r="D992" i="40" a="1"/>
  <c r="D992" i="40" s="1"/>
  <c r="D807" i="40" a="1"/>
  <c r="D807" i="40" s="1"/>
  <c r="D1250" i="40" a="1"/>
  <c r="D1250" i="40" s="1"/>
  <c r="D939" i="40" a="1"/>
  <c r="D939" i="40" s="1"/>
  <c r="D284" i="40" a="1"/>
  <c r="D284" i="40" s="1"/>
  <c r="D160" i="40" a="1"/>
  <c r="D160" i="40" s="1"/>
  <c r="D938" i="40" a="1"/>
  <c r="D938" i="40" s="1"/>
  <c r="D817" i="40" a="1"/>
  <c r="D817" i="40" s="1"/>
  <c r="D283" i="40" a="1"/>
  <c r="D283" i="40" s="1"/>
  <c r="D159" i="40" a="1"/>
  <c r="D159" i="40" s="1"/>
  <c r="D1364" i="40" a="1"/>
  <c r="D1364" i="40" s="1"/>
  <c r="D1246" i="40" a="1"/>
  <c r="D1246" i="40" s="1"/>
  <c r="D1136" i="40" a="1"/>
  <c r="D1136" i="40" s="1"/>
  <c r="D1089" i="40" a="1"/>
  <c r="D1089" i="40" s="1"/>
  <c r="D937" i="40" a="1"/>
  <c r="D937" i="40" s="1"/>
  <c r="D714" i="40" a="1"/>
  <c r="D714" i="40" s="1"/>
  <c r="D654" i="40" a="1"/>
  <c r="D654" i="40" s="1"/>
  <c r="D527" i="40" a="1"/>
  <c r="D527" i="40" s="1"/>
  <c r="D423" i="40" a="1"/>
  <c r="D423" i="40" s="1"/>
  <c r="D282" i="40" a="1"/>
  <c r="D282" i="40" s="1"/>
  <c r="D135" i="40" a="1"/>
  <c r="D135" i="40" s="1"/>
  <c r="D111" i="40" a="1"/>
  <c r="D111" i="40" s="1"/>
  <c r="D9" i="40" a="1"/>
  <c r="D9" i="40" s="1"/>
  <c r="D14" i="8" a="1"/>
  <c r="D14" i="8" s="1"/>
  <c r="D331" i="40" a="1"/>
  <c r="D331" i="40" s="1"/>
  <c r="D354" i="40" a="1"/>
  <c r="D354" i="40" s="1"/>
  <c r="D890" i="40" a="1"/>
  <c r="D890" i="40" s="1"/>
  <c r="D962" i="40" a="1"/>
  <c r="D962" i="40" s="1"/>
  <c r="D90" i="40" a="1"/>
  <c r="D90" i="40" s="1"/>
  <c r="D1035" i="40" a="1"/>
  <c r="D1035" i="40" s="1"/>
  <c r="D1034" i="40" a="1"/>
  <c r="D1034" i="40" s="1"/>
  <c r="D457" i="40" a="1"/>
  <c r="D457" i="40" s="1"/>
  <c r="D1038" i="40" a="1"/>
  <c r="D1038" i="40" s="1"/>
  <c r="D1036" i="40" a="1"/>
  <c r="D1036" i="40" s="1"/>
  <c r="D630" i="40" a="1"/>
  <c r="D630" i="40" s="1"/>
  <c r="D505" i="40" a="1"/>
  <c r="D505" i="40" s="1"/>
  <c r="D158" i="40" a="1"/>
  <c r="D158" i="40" s="1"/>
  <c r="D1155" i="40" a="1"/>
  <c r="D1155" i="40" s="1"/>
  <c r="D1062" i="40" a="1"/>
  <c r="D1062" i="40" s="1"/>
  <c r="D961" i="40" a="1"/>
  <c r="D961" i="40" s="1"/>
  <c r="D469" i="40" a="1"/>
  <c r="D469" i="40" s="1"/>
  <c r="D139" i="40" a="1"/>
  <c r="D139" i="40" s="1"/>
  <c r="D5" i="40" a="1"/>
  <c r="D5" i="40" s="1"/>
  <c r="D1356" i="40" a="1"/>
  <c r="D1356" i="40" s="1"/>
  <c r="D846" i="40" a="1"/>
  <c r="D846" i="40" s="1"/>
  <c r="D774" i="40" a="1"/>
  <c r="D774" i="40" s="1"/>
  <c r="D330" i="40" a="1"/>
  <c r="D330" i="40" s="1"/>
  <c r="D47" i="40" a="1"/>
  <c r="D47" i="40" s="1"/>
  <c r="D1347" i="40" a="1"/>
  <c r="D1347" i="40" s="1"/>
  <c r="D979" i="40" a="1"/>
  <c r="D979" i="40" s="1"/>
  <c r="D748" i="40" a="1"/>
  <c r="D748" i="40" s="1"/>
  <c r="D647" i="40" a="1"/>
  <c r="D647" i="40" s="1"/>
  <c r="D329" i="40" a="1"/>
  <c r="D329" i="40" s="1"/>
  <c r="D46" i="40" a="1"/>
  <c r="D46" i="40" s="1"/>
  <c r="D1327" i="40" a="1"/>
  <c r="D1327" i="40" s="1"/>
  <c r="D978" i="40" a="1"/>
  <c r="D978" i="40" s="1"/>
  <c r="D746" i="40" a="1"/>
  <c r="D746" i="40" s="1"/>
  <c r="D646" i="40" a="1"/>
  <c r="D646" i="40" s="1"/>
  <c r="D328" i="40" a="1"/>
  <c r="D328" i="40" s="1"/>
  <c r="D1279" i="40" a="1"/>
  <c r="D1279" i="40" s="1"/>
  <c r="D745" i="40" a="1"/>
  <c r="D745" i="40" s="1"/>
  <c r="D1402" i="40" a="1"/>
  <c r="D1402" i="40" s="1"/>
  <c r="D1355" i="40" a="1"/>
  <c r="D1355" i="40" s="1"/>
  <c r="D1218" i="40" a="1"/>
  <c r="D1218" i="40" s="1"/>
  <c r="D726" i="40" a="1"/>
  <c r="D726" i="40" s="1"/>
  <c r="D567" i="40" a="1"/>
  <c r="D567" i="40" s="1"/>
  <c r="D138" i="40" a="1"/>
  <c r="D138" i="40" s="1"/>
  <c r="D25" i="40" a="1"/>
  <c r="D25" i="40" s="1"/>
  <c r="D44" i="40" a="1"/>
  <c r="D44" i="40" s="1"/>
  <c r="D1354" i="40" a="1"/>
  <c r="D1354" i="40" s="1"/>
  <c r="D1215" i="40" a="1"/>
  <c r="D1215" i="40" s="1"/>
  <c r="D724" i="40" a="1"/>
  <c r="D724" i="40" s="1"/>
  <c r="D563" i="40" a="1"/>
  <c r="D563" i="40" s="1"/>
  <c r="D23" i="40" a="1"/>
  <c r="D23" i="40" s="1"/>
  <c r="D1297" i="40" a="1"/>
  <c r="D1297" i="40" s="1"/>
  <c r="D1219" i="40" a="1"/>
  <c r="D1219" i="40" s="1"/>
  <c r="D1353" i="40" a="1"/>
  <c r="D1353" i="40" s="1"/>
  <c r="D1184" i="40" a="1"/>
  <c r="D1184" i="40" s="1"/>
  <c r="D850" i="40" a="1"/>
  <c r="D850" i="40" s="1"/>
  <c r="D723" i="40" a="1"/>
  <c r="D723" i="40" s="1"/>
  <c r="D649" i="40" a="1"/>
  <c r="D649" i="40" s="1"/>
  <c r="D561" i="40" a="1"/>
  <c r="D561" i="40" s="1"/>
  <c r="D511" i="40" a="1"/>
  <c r="D511" i="40" s="1"/>
  <c r="D264" i="40" a="1"/>
  <c r="D264" i="40" s="1"/>
  <c r="D20" i="40" a="1"/>
  <c r="D20" i="40" s="1"/>
  <c r="D705" i="40" a="1"/>
  <c r="D705" i="40" s="1"/>
  <c r="D621" i="40" a="1"/>
  <c r="D621" i="40" s="1"/>
  <c r="D1348" i="40" a="1"/>
  <c r="D1348" i="40" s="1"/>
  <c r="D909" i="40" a="1"/>
  <c r="D909" i="40" s="1"/>
  <c r="D848" i="40" a="1"/>
  <c r="D848" i="40" s="1"/>
  <c r="D648" i="40" a="1"/>
  <c r="D648" i="40" s="1"/>
  <c r="D509" i="40" a="1"/>
  <c r="D509" i="40" s="1"/>
  <c r="D263" i="40" a="1"/>
  <c r="D263" i="40" s="1"/>
  <c r="D91" i="40" a="1"/>
  <c r="D91" i="40" s="1"/>
  <c r="D971" i="40" a="1"/>
  <c r="D971" i="40" s="1"/>
  <c r="D773" i="40" a="1"/>
  <c r="D773" i="40" s="1"/>
  <c r="D889" i="40" a="1"/>
  <c r="D889" i="40" s="1"/>
  <c r="D70" i="40" a="1"/>
  <c r="D70" i="40" s="1"/>
  <c r="D66" i="8" a="1"/>
  <c r="D66" i="8" s="1"/>
  <c r="D1275" i="40" a="1"/>
  <c r="D1275" i="40" s="1"/>
  <c r="D1213" i="40" a="1"/>
  <c r="D1213" i="40" s="1"/>
  <c r="D970" i="40" a="1"/>
  <c r="D970" i="40" s="1"/>
  <c r="D743" i="40" a="1"/>
  <c r="D743" i="40" s="1"/>
  <c r="D559" i="40" a="1"/>
  <c r="D559" i="40" s="1"/>
  <c r="D503" i="40" a="1"/>
  <c r="D503" i="40" s="1"/>
  <c r="D259" i="40" a="1"/>
  <c r="D259" i="40" s="1"/>
  <c r="D69" i="40" a="1"/>
  <c r="D69" i="40" s="1"/>
  <c r="D19" i="40" a="1"/>
  <c r="D19" i="40" s="1"/>
  <c r="D1325" i="40" a="1"/>
  <c r="D1325" i="40" s="1"/>
  <c r="D1210" i="40" a="1"/>
  <c r="D1210" i="40" s="1"/>
  <c r="D968" i="40" a="1"/>
  <c r="D968" i="40" s="1"/>
  <c r="D742" i="40" a="1"/>
  <c r="D742" i="40" s="1"/>
  <c r="D645" i="40" a="1"/>
  <c r="D645" i="40" s="1"/>
  <c r="D557" i="40" a="1"/>
  <c r="D557" i="40" s="1"/>
  <c r="D451" i="40" a="1"/>
  <c r="D451" i="40" s="1"/>
  <c r="D370" i="40" a="1"/>
  <c r="D370" i="40" s="1"/>
  <c r="D188" i="40" a="1"/>
  <c r="D188" i="40" s="1"/>
  <c r="D41" i="40" a="1"/>
  <c r="D41" i="40" s="1"/>
  <c r="D1320" i="40" a="1"/>
  <c r="D1320" i="40" s="1"/>
  <c r="D1209" i="40" a="1"/>
  <c r="D1209" i="40" s="1"/>
  <c r="D967" i="40" a="1"/>
  <c r="D967" i="40" s="1"/>
  <c r="D796" i="40" a="1"/>
  <c r="D796" i="40" s="1"/>
  <c r="D652" i="40" a="1"/>
  <c r="D652" i="40" s="1"/>
  <c r="D573" i="40" a="1"/>
  <c r="D573" i="40" s="1"/>
  <c r="D521" i="40" a="1"/>
  <c r="D521" i="40" s="1"/>
  <c r="D441" i="40" a="1"/>
  <c r="D441" i="40" s="1"/>
  <c r="D366" i="40" a="1"/>
  <c r="D366" i="40" s="1"/>
  <c r="D270" i="40" a="1"/>
  <c r="D270" i="40" s="1"/>
  <c r="D187" i="40" a="1"/>
  <c r="D187" i="40" s="1"/>
  <c r="D40" i="40" a="1"/>
  <c r="D40" i="40" s="1"/>
  <c r="D1409" i="40" a="1"/>
  <c r="D1409" i="40" s="1"/>
  <c r="D1350" i="40" a="1"/>
  <c r="D1350" i="40" s="1"/>
  <c r="D1302" i="40" a="1"/>
  <c r="D1302" i="40" s="1"/>
  <c r="D1264" i="40" a="1"/>
  <c r="D1264" i="40" s="1"/>
  <c r="D1207" i="40" a="1"/>
  <c r="D1207" i="40" s="1"/>
  <c r="D1070" i="40" a="1"/>
  <c r="D1070" i="40" s="1"/>
  <c r="D1032" i="40" a="1"/>
  <c r="D1032" i="40" s="1"/>
  <c r="D966" i="40" a="1"/>
  <c r="D966" i="40" s="1"/>
  <c r="D795" i="40" a="1"/>
  <c r="D795" i="40" s="1"/>
  <c r="D751" i="40" a="1"/>
  <c r="D751" i="40" s="1"/>
  <c r="D729" i="40" a="1"/>
  <c r="D729" i="40" s="1"/>
  <c r="D651" i="40" a="1"/>
  <c r="D651" i="40" s="1"/>
  <c r="D643" i="40" a="1"/>
  <c r="D643" i="40" s="1"/>
  <c r="D571" i="40" a="1"/>
  <c r="D571" i="40" s="1"/>
  <c r="D517" i="40" a="1"/>
  <c r="D517" i="40" s="1"/>
  <c r="D484" i="40" a="1"/>
  <c r="D484" i="40" s="1"/>
  <c r="D362" i="40" a="1"/>
  <c r="D362" i="40" s="1"/>
  <c r="D326" i="40" a="1"/>
  <c r="D326" i="40" s="1"/>
  <c r="D268" i="40" a="1"/>
  <c r="D268" i="40" s="1"/>
  <c r="D142" i="40" a="1"/>
  <c r="D142" i="40" s="1"/>
  <c r="D116" i="40" a="1"/>
  <c r="D116" i="40" s="1"/>
  <c r="D102" i="40" a="1"/>
  <c r="D102" i="40" s="1"/>
  <c r="D66" i="40" a="1"/>
  <c r="D66" i="40" s="1"/>
  <c r="D39" i="40" a="1"/>
  <c r="D39" i="40" s="1"/>
  <c r="D1276" i="40" a="1"/>
  <c r="D1276" i="40" s="1"/>
  <c r="D772" i="40" a="1"/>
  <c r="D772" i="40" s="1"/>
  <c r="D619" i="40" a="1"/>
  <c r="D619" i="40" s="1"/>
  <c r="D261" i="40" a="1"/>
  <c r="D261" i="40" s="1"/>
  <c r="D197" i="40" a="1"/>
  <c r="D197" i="40" s="1"/>
  <c r="D1326" i="40" a="1"/>
  <c r="D1326" i="40" s="1"/>
  <c r="D771" i="40" a="1"/>
  <c r="D771" i="40" s="1"/>
  <c r="D721" i="40" a="1"/>
  <c r="D721" i="40" s="1"/>
  <c r="D601" i="40" a="1"/>
  <c r="D601" i="40" s="1"/>
  <c r="D195" i="40" a="1"/>
  <c r="D195" i="40" s="1"/>
  <c r="D43" i="40" a="1"/>
  <c r="D43" i="40" s="1"/>
  <c r="D1412" i="40" a="1"/>
  <c r="D1412" i="40" s="1"/>
  <c r="D1352" i="40" a="1"/>
  <c r="D1352" i="40" s="1"/>
  <c r="D1269" i="40" a="1"/>
  <c r="D1269" i="40" s="1"/>
  <c r="D1145" i="40" a="1"/>
  <c r="D1145" i="40" s="1"/>
  <c r="D1078" i="40" a="1"/>
  <c r="D1078" i="40" s="1"/>
  <c r="D844" i="40" a="1"/>
  <c r="D844" i="40" s="1"/>
  <c r="D764" i="40" a="1"/>
  <c r="D764" i="40" s="1"/>
  <c r="D720" i="40" a="1"/>
  <c r="D720" i="40" s="1"/>
  <c r="D653" i="40" a="1"/>
  <c r="D653" i="40" s="1"/>
  <c r="D575" i="40" a="1"/>
  <c r="D575" i="40" s="1"/>
  <c r="D501" i="40" a="1"/>
  <c r="D501" i="40" s="1"/>
  <c r="D156" i="40" a="1"/>
  <c r="D156" i="40" s="1"/>
  <c r="D68" i="40" a="1"/>
  <c r="D68" i="40" s="1"/>
  <c r="D18" i="40" a="1"/>
  <c r="D18" i="40" s="1"/>
  <c r="D1411" i="40" a="1"/>
  <c r="D1411" i="40" s="1"/>
  <c r="D1351" i="40" a="1"/>
  <c r="D1351" i="40" s="1"/>
  <c r="D1267" i="40" a="1"/>
  <c r="D1267" i="40" s="1"/>
  <c r="D1074" i="40" a="1"/>
  <c r="D1074" i="40" s="1"/>
  <c r="D1033" i="40" a="1"/>
  <c r="D1033" i="40" s="1"/>
  <c r="D842" i="40" a="1"/>
  <c r="D842" i="40" s="1"/>
  <c r="D752" i="40" a="1"/>
  <c r="D752" i="40" s="1"/>
  <c r="D730" i="40" a="1"/>
  <c r="D730" i="40" s="1"/>
  <c r="D644" i="40" a="1"/>
  <c r="D644" i="40" s="1"/>
  <c r="D555" i="40" a="1"/>
  <c r="D555" i="40" s="1"/>
  <c r="D493" i="40" a="1"/>
  <c r="D493" i="40" s="1"/>
  <c r="D327" i="40" a="1"/>
  <c r="D327" i="40" s="1"/>
  <c r="D155" i="40" a="1"/>
  <c r="D155" i="40" s="1"/>
  <c r="D67" i="40" a="1"/>
  <c r="D67" i="40" s="1"/>
  <c r="D16" i="40" a="1"/>
  <c r="D16" i="40" s="1"/>
  <c r="D1403" i="40" a="1"/>
  <c r="D1403" i="40" s="1"/>
  <c r="D1357" i="40" a="1"/>
  <c r="D1357" i="40" s="1"/>
  <c r="D1349" i="40" a="1"/>
  <c r="D1349" i="40" s="1"/>
  <c r="D1300" i="40" a="1"/>
  <c r="D1300" i="40" s="1"/>
  <c r="D1263" i="40" a="1"/>
  <c r="D1263" i="40" s="1"/>
  <c r="D1223" i="40" a="1"/>
  <c r="D1223" i="40" s="1"/>
  <c r="D1186" i="40" a="1"/>
  <c r="D1186" i="40" s="1"/>
  <c r="D1066" i="40" a="1"/>
  <c r="D1066" i="40" s="1"/>
  <c r="D1031" i="40" a="1"/>
  <c r="D1031" i="40" s="1"/>
  <c r="D964" i="40" a="1"/>
  <c r="D964" i="40" s="1"/>
  <c r="D913" i="40" a="1"/>
  <c r="D913" i="40" s="1"/>
  <c r="D867" i="40" a="1"/>
  <c r="D867" i="40" s="1"/>
  <c r="D784" i="40" a="1"/>
  <c r="D784" i="40" s="1"/>
  <c r="D750" i="40" a="1"/>
  <c r="D750" i="40" s="1"/>
  <c r="D728" i="40" a="1"/>
  <c r="D728" i="40" s="1"/>
  <c r="D650" i="40" a="1"/>
  <c r="D650" i="40" s="1"/>
  <c r="D631" i="40" a="1"/>
  <c r="D631" i="40" s="1"/>
  <c r="D569" i="40" a="1"/>
  <c r="D569" i="40" s="1"/>
  <c r="D515" i="40" a="1"/>
  <c r="D515" i="40" s="1"/>
  <c r="D482" i="40" a="1"/>
  <c r="D482" i="40" s="1"/>
  <c r="D358" i="40" a="1"/>
  <c r="D358" i="40" s="1"/>
  <c r="D265" i="40" a="1"/>
  <c r="D265" i="40" s="1"/>
  <c r="D171" i="40" a="1"/>
  <c r="D171" i="40" s="1"/>
  <c r="D140" i="40" a="1"/>
  <c r="D140" i="40" s="1"/>
  <c r="D128" i="40" a="1"/>
  <c r="D128" i="40" s="1"/>
  <c r="D92" i="40" a="1"/>
  <c r="D92" i="40" s="1"/>
  <c r="D65" i="40" a="1"/>
  <c r="D65" i="40" s="1"/>
  <c r="D26" i="40" a="1"/>
  <c r="D26" i="40" s="1"/>
  <c r="D29" i="8" a="1"/>
  <c r="D29" i="8" s="1"/>
  <c r="D27" i="8" a="1"/>
  <c r="D27" i="8" s="1"/>
  <c r="D1014" i="40" a="1"/>
  <c r="D1014" i="40" s="1"/>
  <c r="D485" i="40" a="1"/>
  <c r="D485" i="40" s="1"/>
  <c r="D242" i="40" a="1"/>
  <c r="D242" i="40" s="1"/>
  <c r="D976" i="40" a="1"/>
  <c r="D976" i="40" s="1"/>
  <c r="D617" i="40" a="1"/>
  <c r="D617" i="40" s="1"/>
  <c r="D241" i="40" a="1"/>
  <c r="D241" i="40" s="1"/>
  <c r="D1324" i="40" a="1"/>
  <c r="D1324" i="40" s="1"/>
  <c r="D1152" i="40" a="1"/>
  <c r="D1152" i="40" s="1"/>
  <c r="D1012" i="40" a="1"/>
  <c r="D1012" i="40" s="1"/>
  <c r="D948" i="40" a="1"/>
  <c r="D948" i="40" s="1"/>
  <c r="D448" i="40" a="1"/>
  <c r="D448" i="40" s="1"/>
  <c r="D240" i="40" a="1"/>
  <c r="D240" i="40" s="1"/>
  <c r="D89" i="40" a="1"/>
  <c r="D89" i="40" s="1"/>
  <c r="D1321" i="40" a="1"/>
  <c r="D1321" i="40" s="1"/>
  <c r="D1151" i="40" a="1"/>
  <c r="D1151" i="40" s="1"/>
  <c r="D180" i="40" a="1"/>
  <c r="D180" i="40" s="1"/>
  <c r="D100" i="40" a="1"/>
  <c r="D100" i="40" s="1"/>
  <c r="D62" i="8" a="1"/>
  <c r="D62" i="8" s="1"/>
  <c r="D1010" i="40" a="1"/>
  <c r="D1010" i="40" s="1"/>
  <c r="D934" i="40" a="1"/>
  <c r="D934" i="40" s="1"/>
  <c r="D804" i="40" a="1"/>
  <c r="D804" i="40" s="1"/>
  <c r="D628" i="40" a="1"/>
  <c r="D628" i="40" s="1"/>
  <c r="D537" i="40" a="1"/>
  <c r="D537" i="40" s="1"/>
  <c r="D446" i="40" a="1"/>
  <c r="D446" i="40" s="1"/>
  <c r="D303" i="40" a="1"/>
  <c r="D303" i="40" s="1"/>
  <c r="D179" i="40" a="1"/>
  <c r="D179" i="40" s="1"/>
  <c r="D99" i="40" a="1"/>
  <c r="D99" i="40" s="1"/>
  <c r="D23" i="8" a="1"/>
  <c r="D23" i="8" s="1"/>
  <c r="D1149" i="40" a="1"/>
  <c r="D1149" i="40" s="1"/>
  <c r="D1054" i="40" a="1"/>
  <c r="D1054" i="40" s="1"/>
  <c r="D1009" i="40" a="1"/>
  <c r="D1009" i="40" s="1"/>
  <c r="D945" i="40" a="1"/>
  <c r="D945" i="40" s="1"/>
  <c r="D933" i="40" a="1"/>
  <c r="D933" i="40" s="1"/>
  <c r="D874" i="40" a="1"/>
  <c r="D874" i="40" s="1"/>
  <c r="D862" i="40" a="1"/>
  <c r="D862" i="40" s="1"/>
  <c r="D803" i="40" a="1"/>
  <c r="D803" i="40" s="1"/>
  <c r="D791" i="40" a="1"/>
  <c r="D791" i="40" s="1"/>
  <c r="D770" i="40" a="1"/>
  <c r="D770" i="40" s="1"/>
  <c r="D627" i="40" a="1"/>
  <c r="D627" i="40" s="1"/>
  <c r="D599" i="40" a="1"/>
  <c r="D599" i="40" s="1"/>
  <c r="D445" i="40" a="1"/>
  <c r="D445" i="40" s="1"/>
  <c r="D346" i="40" a="1"/>
  <c r="D346" i="40" s="1"/>
  <c r="D325" i="40" a="1"/>
  <c r="D325" i="40" s="1"/>
  <c r="D302" i="40" a="1"/>
  <c r="D302" i="40" s="1"/>
  <c r="D279" i="40" a="1"/>
  <c r="D279" i="40" s="1"/>
  <c r="D237" i="40" a="1"/>
  <c r="D237" i="40" s="1"/>
  <c r="D225" i="40" a="1"/>
  <c r="D225" i="40" s="1"/>
  <c r="D178" i="40" a="1"/>
  <c r="D178" i="40" s="1"/>
  <c r="D166" i="40" a="1"/>
  <c r="D166" i="40" s="1"/>
  <c r="D152" i="40" a="1"/>
  <c r="D152" i="40" s="1"/>
  <c r="D98" i="40" a="1"/>
  <c r="D98" i="40" s="1"/>
  <c r="D86" i="40" a="1"/>
  <c r="D86" i="40" s="1"/>
  <c r="D64" i="40" a="1"/>
  <c r="D64" i="40" s="1"/>
  <c r="D35" i="40" a="1"/>
  <c r="D35" i="40" s="1"/>
  <c r="D56" i="8" a="1"/>
  <c r="D56" i="8" s="1"/>
  <c r="D950" i="40" a="1"/>
  <c r="D950" i="40" s="1"/>
  <c r="D1153" i="40" a="1"/>
  <c r="D1153" i="40" s="1"/>
  <c r="D949" i="40" a="1"/>
  <c r="D949" i="40" s="1"/>
  <c r="D974" i="40" a="1"/>
  <c r="D974" i="40" s="1"/>
  <c r="D865" i="40" a="1"/>
  <c r="D865" i="40" s="1"/>
  <c r="D806" i="40" a="1"/>
  <c r="D806" i="40" s="1"/>
  <c r="D608" i="40" a="1"/>
  <c r="D608" i="40" s="1"/>
  <c r="D169" i="40" a="1"/>
  <c r="D169" i="40" s="1"/>
  <c r="D101" i="40" a="1"/>
  <c r="D101" i="40" s="1"/>
  <c r="D1335" i="40" a="1"/>
  <c r="D1335" i="40" s="1"/>
  <c r="D973" i="40" a="1"/>
  <c r="D973" i="40" s="1"/>
  <c r="D947" i="40" a="1"/>
  <c r="D947" i="40" s="1"/>
  <c r="D88" i="40" a="1"/>
  <c r="D88" i="40" s="1"/>
  <c r="D1334" i="40" a="1"/>
  <c r="D1334" i="40" s="1"/>
  <c r="D1247" i="40" a="1"/>
  <c r="D1247" i="40" s="1"/>
  <c r="D1150" i="40" a="1"/>
  <c r="D1150" i="40" s="1"/>
  <c r="D946" i="40" a="1"/>
  <c r="D946" i="40" s="1"/>
  <c r="D897" i="40" a="1"/>
  <c r="D897" i="40" s="1"/>
  <c r="D280" i="40" a="1"/>
  <c r="D280" i="40" s="1"/>
  <c r="D226" i="40" a="1"/>
  <c r="D226" i="40" s="1"/>
  <c r="D167" i="40" a="1"/>
  <c r="D167" i="40" s="1"/>
  <c r="D87" i="40" a="1"/>
  <c r="D87" i="40" s="1"/>
  <c r="D57" i="8" a="1"/>
  <c r="D57" i="8" s="1"/>
  <c r="D1333" i="40" a="1"/>
  <c r="D1333" i="40" s="1"/>
  <c r="D1318" i="40" a="1"/>
  <c r="D1318" i="40" s="1"/>
  <c r="D1030" i="40" a="1"/>
  <c r="D1030" i="40" s="1"/>
  <c r="D986" i="40" a="1"/>
  <c r="D986" i="40" s="1"/>
  <c r="D1386" i="40" a="1"/>
  <c r="D1386" i="40" s="1"/>
  <c r="D1332" i="40" a="1"/>
  <c r="D1332" i="40" s="1"/>
  <c r="D1315" i="40" a="1"/>
  <c r="D1315" i="40" s="1"/>
  <c r="D1244" i="40" a="1"/>
  <c r="D1244" i="40" s="1"/>
  <c r="D1226" i="40" a="1"/>
  <c r="D1226" i="40" s="1"/>
  <c r="D1050" i="40" a="1"/>
  <c r="D1050" i="40" s="1"/>
  <c r="D1029" i="40" a="1"/>
  <c r="D1029" i="40" s="1"/>
  <c r="D1008" i="40" a="1"/>
  <c r="D1008" i="40" s="1"/>
  <c r="D985" i="40" a="1"/>
  <c r="D985" i="40" s="1"/>
  <c r="D944" i="40" a="1"/>
  <c r="D944" i="40" s="1"/>
  <c r="D932" i="40" a="1"/>
  <c r="D932" i="40" s="1"/>
  <c r="D873" i="40" a="1"/>
  <c r="D873" i="40" s="1"/>
  <c r="D860" i="40" a="1"/>
  <c r="D860" i="40" s="1"/>
  <c r="D802" i="40" a="1"/>
  <c r="D802" i="40" s="1"/>
  <c r="D790" i="40" a="1"/>
  <c r="D790" i="40" s="1"/>
  <c r="D769" i="40" a="1"/>
  <c r="D769" i="40" s="1"/>
  <c r="D685" i="40" a="1"/>
  <c r="D685" i="40" s="1"/>
  <c r="D626" i="40" a="1"/>
  <c r="D626" i="40" s="1"/>
  <c r="D590" i="40" a="1"/>
  <c r="D590" i="40" s="1"/>
  <c r="D552" i="40" a="1"/>
  <c r="D552" i="40" s="1"/>
  <c r="D534" i="40" a="1"/>
  <c r="D534" i="40" s="1"/>
  <c r="D342" i="40" a="1"/>
  <c r="D342" i="40" s="1"/>
  <c r="D324" i="40" a="1"/>
  <c r="D324" i="40" s="1"/>
  <c r="D290" i="40" a="1"/>
  <c r="D290" i="40" s="1"/>
  <c r="D277" i="40" a="1"/>
  <c r="D277" i="40" s="1"/>
  <c r="D258" i="40" a="1"/>
  <c r="D258" i="40" s="1"/>
  <c r="D236" i="40" a="1"/>
  <c r="D236" i="40" s="1"/>
  <c r="D213" i="40" a="1"/>
  <c r="D213" i="40" s="1"/>
  <c r="D177" i="40" a="1"/>
  <c r="D177" i="40" s="1"/>
  <c r="D165" i="40" a="1"/>
  <c r="D165" i="40" s="1"/>
  <c r="D150" i="40" a="1"/>
  <c r="D150" i="40" s="1"/>
  <c r="D97" i="40" a="1"/>
  <c r="D97" i="40" s="1"/>
  <c r="D85" i="40" a="1"/>
  <c r="D85" i="40" s="1"/>
  <c r="D63" i="40" a="1"/>
  <c r="D63" i="40" s="1"/>
  <c r="D27" i="40" a="1"/>
  <c r="D27" i="40" s="1"/>
  <c r="D49" i="8" a="1"/>
  <c r="D49" i="8" s="1"/>
  <c r="D1013" i="40" a="1"/>
  <c r="D1013" i="40" s="1"/>
  <c r="D305" i="40" a="1"/>
  <c r="D305" i="40" s="1"/>
  <c r="D1011" i="40" a="1"/>
  <c r="D1011" i="40" s="1"/>
  <c r="D864" i="40" a="1"/>
  <c r="D864" i="40" s="1"/>
  <c r="D793" i="40" a="1"/>
  <c r="D793" i="40" s="1"/>
  <c r="D629" i="40" a="1"/>
  <c r="D629" i="40" s="1"/>
  <c r="D1229" i="40" a="1"/>
  <c r="D1229" i="40" s="1"/>
  <c r="D1058" i="40" a="1"/>
  <c r="D1058" i="40" s="1"/>
  <c r="D987" i="40" a="1"/>
  <c r="D987" i="40" s="1"/>
  <c r="D875" i="40" a="1"/>
  <c r="D875" i="40" s="1"/>
  <c r="D792" i="40" a="1"/>
  <c r="D792" i="40" s="1"/>
  <c r="D154" i="40" a="1"/>
  <c r="D154" i="40" s="1"/>
  <c r="D1331" i="40" a="1"/>
  <c r="D1331" i="40" s="1"/>
  <c r="D1312" i="40" a="1"/>
  <c r="D1312" i="40" s="1"/>
  <c r="D1159" i="40" a="1"/>
  <c r="D1159" i="40" s="1"/>
  <c r="D1046" i="40" a="1"/>
  <c r="D1046" i="40" s="1"/>
  <c r="D1028" i="40" a="1"/>
  <c r="D1028" i="40" s="1"/>
  <c r="D1007" i="40" a="1"/>
  <c r="D1007" i="40" s="1"/>
  <c r="D984" i="40" a="1"/>
  <c r="D984" i="40" s="1"/>
  <c r="D943" i="40" a="1"/>
  <c r="D943" i="40" s="1"/>
  <c r="D931" i="40" a="1"/>
  <c r="D931" i="40" s="1"/>
  <c r="D884" i="40" a="1"/>
  <c r="D884" i="40" s="1"/>
  <c r="D872" i="40" a="1"/>
  <c r="D872" i="40" s="1"/>
  <c r="D858" i="40" a="1"/>
  <c r="D858" i="40" s="1"/>
  <c r="D801" i="40" a="1"/>
  <c r="D801" i="40" s="1"/>
  <c r="D789" i="40" a="1"/>
  <c r="D789" i="40" s="1"/>
  <c r="D768" i="40" a="1"/>
  <c r="D768" i="40" s="1"/>
  <c r="D677" i="40" a="1"/>
  <c r="D677" i="40" s="1"/>
  <c r="D625" i="40" a="1"/>
  <c r="D625" i="40" s="1"/>
  <c r="D455" i="40" a="1"/>
  <c r="D455" i="40" s="1"/>
  <c r="D338" i="40" a="1"/>
  <c r="D338" i="40" s="1"/>
  <c r="D312" i="40" a="1"/>
  <c r="D312" i="40" s="1"/>
  <c r="D289" i="40" a="1"/>
  <c r="D289" i="40" s="1"/>
  <c r="D276" i="40" a="1"/>
  <c r="D276" i="40" s="1"/>
  <c r="D249" i="40" a="1"/>
  <c r="D249" i="40" s="1"/>
  <c r="D235" i="40" a="1"/>
  <c r="D235" i="40" s="1"/>
  <c r="D209" i="40" a="1"/>
  <c r="D209" i="40" s="1"/>
  <c r="D176" i="40" a="1"/>
  <c r="D176" i="40" s="1"/>
  <c r="D164" i="40" a="1"/>
  <c r="D164" i="40" s="1"/>
  <c r="D148" i="40" a="1"/>
  <c r="D148" i="40" s="1"/>
  <c r="D96" i="40" a="1"/>
  <c r="D96" i="40" s="1"/>
  <c r="D84" i="40" a="1"/>
  <c r="D84" i="40" s="1"/>
  <c r="D62" i="40" a="1"/>
  <c r="D62" i="40" s="1"/>
  <c r="D42" i="8" a="1"/>
  <c r="D42" i="8" s="1"/>
  <c r="D863" i="40" a="1"/>
  <c r="D863" i="40" s="1"/>
  <c r="D350" i="40" a="1"/>
  <c r="D350" i="40" s="1"/>
  <c r="D238" i="40" a="1"/>
  <c r="D238" i="40" s="1"/>
  <c r="D1330" i="40" a="1"/>
  <c r="D1330" i="40" s="1"/>
  <c r="D1306" i="40" a="1"/>
  <c r="D1306" i="40" s="1"/>
  <c r="D1241" i="40" a="1"/>
  <c r="D1241" i="40" s="1"/>
  <c r="D1158" i="40" a="1"/>
  <c r="D1158" i="40" s="1"/>
  <c r="D1042" i="40" a="1"/>
  <c r="D1042" i="40" s="1"/>
  <c r="D1006" i="40" a="1"/>
  <c r="D1006" i="40" s="1"/>
  <c r="D983" i="40" a="1"/>
  <c r="D983" i="40" s="1"/>
  <c r="D942" i="40" a="1"/>
  <c r="D942" i="40" s="1"/>
  <c r="D930" i="40" a="1"/>
  <c r="D930" i="40" s="1"/>
  <c r="D883" i="40" a="1"/>
  <c r="D883" i="40" s="1"/>
  <c r="D871" i="40" a="1"/>
  <c r="D871" i="40" s="1"/>
  <c r="D856" i="40" a="1"/>
  <c r="D856" i="40" s="1"/>
  <c r="D800" i="40" a="1"/>
  <c r="D800" i="40" s="1"/>
  <c r="D788" i="40" a="1"/>
  <c r="D788" i="40" s="1"/>
  <c r="D767" i="40" a="1"/>
  <c r="D767" i="40" s="1"/>
  <c r="D736" i="40" a="1"/>
  <c r="D736" i="40" s="1"/>
  <c r="D624" i="40" a="1"/>
  <c r="D624" i="40" s="1"/>
  <c r="D549" i="40" a="1"/>
  <c r="D549" i="40" s="1"/>
  <c r="D531" i="40" a="1"/>
  <c r="D531" i="40" s="1"/>
  <c r="D454" i="40" a="1"/>
  <c r="D454" i="40" s="1"/>
  <c r="D334" i="40" a="1"/>
  <c r="D334" i="40" s="1"/>
  <c r="D311" i="40" a="1"/>
  <c r="D311" i="40" s="1"/>
  <c r="D288" i="40" a="1"/>
  <c r="D288" i="40" s="1"/>
  <c r="D275" i="40" a="1"/>
  <c r="D275" i="40" s="1"/>
  <c r="D246" i="40" a="1"/>
  <c r="D246" i="40" s="1"/>
  <c r="D234" i="40" a="1"/>
  <c r="D234" i="40" s="1"/>
  <c r="D207" i="40" a="1"/>
  <c r="D207" i="40" s="1"/>
  <c r="D175" i="40" a="1"/>
  <c r="D175" i="40" s="1"/>
  <c r="D163" i="40" a="1"/>
  <c r="D163" i="40" s="1"/>
  <c r="D147" i="40" a="1"/>
  <c r="D147" i="40" s="1"/>
  <c r="D107" i="40" a="1"/>
  <c r="D107" i="40" s="1"/>
  <c r="D95" i="40" a="1"/>
  <c r="D95" i="40" s="1"/>
  <c r="D83" i="40" a="1"/>
  <c r="D83" i="40" s="1"/>
  <c r="D61" i="40" a="1"/>
  <c r="D61" i="40" s="1"/>
  <c r="D41" i="8" a="1"/>
  <c r="D41" i="8" s="1"/>
  <c r="D776" i="40" a="1"/>
  <c r="D776" i="40" s="1"/>
  <c r="D450" i="40" a="1"/>
  <c r="D450" i="40" s="1"/>
  <c r="D1294" i="40" a="1"/>
  <c r="D1294" i="40" s="1"/>
  <c r="D306" i="40" a="1"/>
  <c r="D306" i="40" s="1"/>
  <c r="D905" i="40" a="1"/>
  <c r="D905" i="40" s="1"/>
  <c r="D794" i="40" a="1"/>
  <c r="D794" i="40" s="1"/>
  <c r="D876" i="40" a="1"/>
  <c r="D876" i="40" s="1"/>
  <c r="D805" i="40" a="1"/>
  <c r="D805" i="40" s="1"/>
  <c r="D304" i="40" a="1"/>
  <c r="D304" i="40" s="1"/>
  <c r="D168" i="40" a="1"/>
  <c r="D168" i="40" s="1"/>
  <c r="D1329" i="40" a="1"/>
  <c r="D1329" i="40" s="1"/>
  <c r="D994" i="40" a="1"/>
  <c r="D994" i="40" s="1"/>
  <c r="D982" i="40" a="1"/>
  <c r="D982" i="40" s="1"/>
  <c r="D941" i="40" a="1"/>
  <c r="D941" i="40" s="1"/>
  <c r="D929" i="40" a="1"/>
  <c r="D929" i="40" s="1"/>
  <c r="D882" i="40" a="1"/>
  <c r="D882" i="40" s="1"/>
  <c r="D870" i="40" a="1"/>
  <c r="D870" i="40" s="1"/>
  <c r="D854" i="40" a="1"/>
  <c r="D854" i="40" s="1"/>
  <c r="D799" i="40" a="1"/>
  <c r="D799" i="40" s="1"/>
  <c r="D787" i="40" a="1"/>
  <c r="D787" i="40" s="1"/>
  <c r="D766" i="40" a="1"/>
  <c r="D766" i="40" s="1"/>
  <c r="D623" i="40" a="1"/>
  <c r="D623" i="40" s="1"/>
  <c r="D453" i="40" a="1"/>
  <c r="D453" i="40" s="1"/>
  <c r="D378" i="40" a="1"/>
  <c r="D378" i="40" s="1"/>
  <c r="D333" i="40" a="1"/>
  <c r="D333" i="40" s="1"/>
  <c r="D310" i="40" a="1"/>
  <c r="D310" i="40" s="1"/>
  <c r="D287" i="40" a="1"/>
  <c r="D287" i="40" s="1"/>
  <c r="D273" i="40" a="1"/>
  <c r="D273" i="40" s="1"/>
  <c r="D245" i="40" a="1"/>
  <c r="D245" i="40" s="1"/>
  <c r="D233" i="40" a="1"/>
  <c r="D233" i="40" s="1"/>
  <c r="D205" i="40" a="1"/>
  <c r="D205" i="40" s="1"/>
  <c r="D174" i="40" a="1"/>
  <c r="D174" i="40" s="1"/>
  <c r="D146" i="40" a="1"/>
  <c r="D146" i="40" s="1"/>
  <c r="D94" i="40" a="1"/>
  <c r="D94" i="40" s="1"/>
  <c r="D82" i="40" a="1"/>
  <c r="D82" i="40" s="1"/>
  <c r="D60" i="40" a="1"/>
  <c r="D60" i="40" s="1"/>
  <c r="D40" i="8" a="1"/>
  <c r="D40" i="8" s="1"/>
  <c r="D1154" i="40" a="1"/>
  <c r="D1154" i="40" s="1"/>
  <c r="D307" i="40" a="1"/>
  <c r="D307" i="40" s="1"/>
  <c r="D907" i="40" a="1"/>
  <c r="D907" i="40" s="1"/>
  <c r="D449" i="40" a="1"/>
  <c r="D449" i="40" s="1"/>
  <c r="D877" i="40" a="1"/>
  <c r="D877" i="40" s="1"/>
  <c r="D901" i="40" a="1"/>
  <c r="D901" i="40" s="1"/>
  <c r="D605" i="40" a="1"/>
  <c r="D605" i="40" s="1"/>
  <c r="D447" i="40" a="1"/>
  <c r="D447" i="40" s="1"/>
  <c r="D239" i="40" a="1"/>
  <c r="D239" i="40" s="1"/>
  <c r="D1303" i="40" a="1"/>
  <c r="D1303" i="40" s="1"/>
  <c r="D1157" i="40" a="1"/>
  <c r="D1157" i="40" s="1"/>
  <c r="D1328" i="40" a="1"/>
  <c r="D1328" i="40" s="1"/>
  <c r="D1256" i="40" a="1"/>
  <c r="D1256" i="40" s="1"/>
  <c r="D1238" i="40" a="1"/>
  <c r="D1238" i="40" s="1"/>
  <c r="D1156" i="40" a="1"/>
  <c r="D1156" i="40" s="1"/>
  <c r="D1082" i="40" a="1"/>
  <c r="D1082" i="40" s="1"/>
  <c r="D1037" i="40" a="1"/>
  <c r="D1037" i="40" s="1"/>
  <c r="D1016" i="40" a="1"/>
  <c r="D1016" i="40" s="1"/>
  <c r="D993" i="40" a="1"/>
  <c r="D993" i="40" s="1"/>
  <c r="D980" i="40" a="1"/>
  <c r="D980" i="40" s="1"/>
  <c r="D940" i="40" a="1"/>
  <c r="D940" i="40" s="1"/>
  <c r="D915" i="40" a="1"/>
  <c r="D915" i="40" s="1"/>
  <c r="D881" i="40" a="1"/>
  <c r="D881" i="40" s="1"/>
  <c r="D869" i="40" a="1"/>
  <c r="D869" i="40" s="1"/>
  <c r="D852" i="40" a="1"/>
  <c r="D852" i="40" s="1"/>
  <c r="D798" i="40" a="1"/>
  <c r="D798" i="40" s="1"/>
  <c r="D786" i="40" a="1"/>
  <c r="D786" i="40" s="1"/>
  <c r="D765" i="40" a="1"/>
  <c r="D765" i="40" s="1"/>
  <c r="D622" i="40" a="1"/>
  <c r="D622" i="40" s="1"/>
  <c r="D546" i="40" a="1"/>
  <c r="D546" i="40" s="1"/>
  <c r="D309" i="40" a="1"/>
  <c r="D309" i="40" s="1"/>
  <c r="D271" i="40" a="1"/>
  <c r="D271" i="40" s="1"/>
  <c r="D201" i="40" a="1"/>
  <c r="D201" i="40" s="1"/>
  <c r="D173" i="40" a="1"/>
  <c r="D173" i="40" s="1"/>
  <c r="D161" i="40" a="1"/>
  <c r="D161" i="40" s="1"/>
  <c r="D125" i="40" a="1"/>
  <c r="D125" i="40" s="1"/>
  <c r="D93" i="40" a="1"/>
  <c r="D93" i="40" s="1"/>
  <c r="D75" i="40" a="1"/>
  <c r="D75" i="40" s="1"/>
  <c r="D32" i="8" a="1"/>
  <c r="D32" i="8" s="1"/>
  <c r="D888" i="40" a="1"/>
  <c r="D888" i="40" s="1"/>
  <c r="D616" i="40" a="1"/>
  <c r="D616" i="40" s="1"/>
  <c r="D598" i="40" a="1"/>
  <c r="D598" i="40" s="1"/>
  <c r="D547" i="40" a="1"/>
  <c r="D547" i="40" s="1"/>
  <c r="D535" i="40" a="1"/>
  <c r="D535" i="40" s="1"/>
  <c r="D523" i="40" a="1"/>
  <c r="D523" i="40" s="1"/>
  <c r="D480" i="40" a="1"/>
  <c r="D480" i="40" s="1"/>
  <c r="D467" i="40" a="1"/>
  <c r="D467" i="40" s="1"/>
  <c r="D186" i="40" a="1"/>
  <c r="D186" i="40" s="1"/>
  <c r="D699" i="40" a="1"/>
  <c r="D699" i="40" s="1"/>
  <c r="D1410" i="40" a="1"/>
  <c r="D1410" i="40" s="1"/>
  <c r="D1317" i="40" a="1"/>
  <c r="D1317" i="40" s="1"/>
  <c r="D1299" i="40" a="1"/>
  <c r="D1299" i="40" s="1"/>
  <c r="D1273" i="40" a="1"/>
  <c r="D1273" i="40" s="1"/>
  <c r="D1261" i="40" a="1"/>
  <c r="D1261" i="40" s="1"/>
  <c r="D1225" i="40" a="1"/>
  <c r="D1225" i="40" s="1"/>
  <c r="D1205" i="40" a="1"/>
  <c r="D1205" i="40" s="1"/>
  <c r="D1181" i="40" a="1"/>
  <c r="D1181" i="40" s="1"/>
  <c r="D1169" i="40" a="1"/>
  <c r="D1169" i="40" s="1"/>
  <c r="D1135" i="40" a="1"/>
  <c r="D1135" i="40" s="1"/>
  <c r="D1113" i="40" a="1"/>
  <c r="D1113" i="40" s="1"/>
  <c r="D977" i="40" a="1"/>
  <c r="D977" i="40" s="1"/>
  <c r="D965" i="40" a="1"/>
  <c r="D965" i="40" s="1"/>
  <c r="D903" i="40" a="1"/>
  <c r="D903" i="40" s="1"/>
  <c r="D887" i="40" a="1"/>
  <c r="D887" i="40" s="1"/>
  <c r="D840" i="40" a="1"/>
  <c r="D840" i="40" s="1"/>
  <c r="D828" i="40" a="1"/>
  <c r="D828" i="40" s="1"/>
  <c r="D816" i="40" a="1"/>
  <c r="D816" i="40" s="1"/>
  <c r="D749" i="40" a="1"/>
  <c r="D749" i="40" s="1"/>
  <c r="D727" i="40" a="1"/>
  <c r="D727" i="40" s="1"/>
  <c r="D663" i="40" a="1"/>
  <c r="D663" i="40" s="1"/>
  <c r="D614" i="40" a="1"/>
  <c r="D614" i="40" s="1"/>
  <c r="D596" i="40" a="1"/>
  <c r="D596" i="40" s="1"/>
  <c r="D570" i="40" a="1"/>
  <c r="D570" i="40" s="1"/>
  <c r="D558" i="40" a="1"/>
  <c r="D558" i="40" s="1"/>
  <c r="D498" i="40" a="1"/>
  <c r="D498" i="40" s="1"/>
  <c r="D478" i="40" a="1"/>
  <c r="D478" i="40" s="1"/>
  <c r="D466" i="40" a="1"/>
  <c r="D466" i="40" s="1"/>
  <c r="D432" i="40" a="1"/>
  <c r="D432" i="40" s="1"/>
  <c r="D413" i="40" a="1"/>
  <c r="D413" i="40" s="1"/>
  <c r="D274" i="40" a="1"/>
  <c r="D274" i="40" s="1"/>
  <c r="D262" i="40" a="1"/>
  <c r="D262" i="40" s="1"/>
  <c r="D203" i="40" a="1"/>
  <c r="D203" i="40" s="1"/>
  <c r="D185" i="40" a="1"/>
  <c r="D185" i="40" s="1"/>
  <c r="D59" i="40" a="1"/>
  <c r="D59" i="40" s="1"/>
  <c r="D38" i="40" a="1"/>
  <c r="D38" i="40" s="1"/>
  <c r="D17" i="40" a="1"/>
  <c r="D17" i="40" s="1"/>
  <c r="D68" i="8" a="1"/>
  <c r="D68" i="8" s="1"/>
  <c r="D1239" i="40" a="1"/>
  <c r="D1239" i="40" s="1"/>
  <c r="D48" i="8" a="1"/>
  <c r="D48" i="8" s="1"/>
  <c r="D1272" i="40" a="1"/>
  <c r="D1272" i="40" s="1"/>
  <c r="D1260" i="40" a="1"/>
  <c r="D1260" i="40" s="1"/>
  <c r="D1248" i="40" a="1"/>
  <c r="D1248" i="40" s="1"/>
  <c r="D1236" i="40" a="1"/>
  <c r="D1236" i="40" s="1"/>
  <c r="D1202" i="40" a="1"/>
  <c r="D1202" i="40" s="1"/>
  <c r="D1180" i="40" a="1"/>
  <c r="D1180" i="40" s="1"/>
  <c r="D1168" i="40" a="1"/>
  <c r="D1168" i="40" s="1"/>
  <c r="D886" i="40" a="1"/>
  <c r="D886" i="40" s="1"/>
  <c r="D613" i="40" a="1"/>
  <c r="D613" i="40" s="1"/>
  <c r="D595" i="40" a="1"/>
  <c r="D595" i="40" s="1"/>
  <c r="D496" i="40" a="1"/>
  <c r="D496" i="40" s="1"/>
  <c r="D477" i="40" a="1"/>
  <c r="D477" i="40" s="1"/>
  <c r="D465" i="40" a="1"/>
  <c r="D465" i="40" s="1"/>
  <c r="D184" i="40" a="1"/>
  <c r="D184" i="40" s="1"/>
  <c r="D51" i="40" a="1"/>
  <c r="D51" i="40" s="1"/>
  <c r="D1314" i="40" a="1"/>
  <c r="D1314" i="40" s="1"/>
  <c r="D1296" i="40" a="1"/>
  <c r="D1296" i="40" s="1"/>
  <c r="D1271" i="40" a="1"/>
  <c r="D1271" i="40" s="1"/>
  <c r="D1259" i="40" a="1"/>
  <c r="D1259" i="40" s="1"/>
  <c r="D1221" i="40" a="1"/>
  <c r="D1221" i="40" s="1"/>
  <c r="D1200" i="40" a="1"/>
  <c r="D1200" i="40" s="1"/>
  <c r="D1179" i="40" a="1"/>
  <c r="D1179" i="40" s="1"/>
  <c r="D1167" i="40" a="1"/>
  <c r="D1167" i="40" s="1"/>
  <c r="D1133" i="40" a="1"/>
  <c r="D1133" i="40" s="1"/>
  <c r="D1105" i="40" a="1"/>
  <c r="D1105" i="40" s="1"/>
  <c r="D975" i="40" a="1"/>
  <c r="D975" i="40" s="1"/>
  <c r="D963" i="40" a="1"/>
  <c r="D963" i="40" s="1"/>
  <c r="D899" i="40" a="1"/>
  <c r="D899" i="40" s="1"/>
  <c r="D885" i="40" a="1"/>
  <c r="D885" i="40" s="1"/>
  <c r="D838" i="40" a="1"/>
  <c r="D838" i="40" s="1"/>
  <c r="D826" i="40" a="1"/>
  <c r="D826" i="40" s="1"/>
  <c r="D814" i="40" a="1"/>
  <c r="D814" i="40" s="1"/>
  <c r="D747" i="40" a="1"/>
  <c r="D747" i="40" s="1"/>
  <c r="D725" i="40" a="1"/>
  <c r="D725" i="40" s="1"/>
  <c r="D661" i="40" a="1"/>
  <c r="D661" i="40" s="1"/>
  <c r="D611" i="40" a="1"/>
  <c r="D611" i="40" s="1"/>
  <c r="D593" i="40" a="1"/>
  <c r="D593" i="40" s="1"/>
  <c r="D568" i="40" a="1"/>
  <c r="D568" i="40" s="1"/>
  <c r="D556" i="40" a="1"/>
  <c r="D556" i="40" s="1"/>
  <c r="D544" i="40" a="1"/>
  <c r="D544" i="40" s="1"/>
  <c r="D532" i="40" a="1"/>
  <c r="D532" i="40" s="1"/>
  <c r="D519" i="40" a="1"/>
  <c r="D519" i="40" s="1"/>
  <c r="D494" i="40" a="1"/>
  <c r="D494" i="40" s="1"/>
  <c r="D476" i="40" a="1"/>
  <c r="D476" i="40" s="1"/>
  <c r="D464" i="40" a="1"/>
  <c r="D464" i="40" s="1"/>
  <c r="D430" i="40" a="1"/>
  <c r="D430" i="40" s="1"/>
  <c r="D405" i="40" a="1"/>
  <c r="D405" i="40" s="1"/>
  <c r="D272" i="40" a="1"/>
  <c r="D272" i="40" s="1"/>
  <c r="D260" i="40" a="1"/>
  <c r="D260" i="40" s="1"/>
  <c r="D199" i="40" a="1"/>
  <c r="D199" i="40" s="1"/>
  <c r="D183" i="40" a="1"/>
  <c r="D183" i="40" s="1"/>
  <c r="D127" i="40" a="1"/>
  <c r="D127" i="40" s="1"/>
  <c r="D115" i="40" a="1"/>
  <c r="D115" i="40" s="1"/>
  <c r="D48" i="40" a="1"/>
  <c r="D48" i="40" s="1"/>
  <c r="D34" i="8" a="1"/>
  <c r="D34" i="8" s="1"/>
  <c r="D251" i="40" a="1"/>
  <c r="D251" i="40" s="1"/>
  <c r="D9" i="8" a="1"/>
  <c r="D9" i="8" s="1"/>
  <c r="D1262" i="40" a="1"/>
  <c r="D1262" i="40" s="1"/>
  <c r="D1182" i="40" a="1"/>
  <c r="D1182" i="40" s="1"/>
  <c r="D1270" i="40" a="1"/>
  <c r="D1270" i="40" s="1"/>
  <c r="D1198" i="40" a="1"/>
  <c r="D1198" i="40" s="1"/>
  <c r="D610" i="40" a="1"/>
  <c r="D610" i="40" s="1"/>
  <c r="D475" i="40" a="1"/>
  <c r="D475" i="40" s="1"/>
  <c r="D1311" i="40" a="1"/>
  <c r="D1311" i="40" s="1"/>
  <c r="D1245" i="40" a="1"/>
  <c r="D1245" i="40" s="1"/>
  <c r="D1177" i="40" a="1"/>
  <c r="D1177" i="40" s="1"/>
  <c r="D923" i="40" a="1"/>
  <c r="D923" i="40" s="1"/>
  <c r="D895" i="40" a="1"/>
  <c r="D895" i="40" s="1"/>
  <c r="D566" i="40" a="1"/>
  <c r="D566" i="40" s="1"/>
  <c r="D492" i="40" a="1"/>
  <c r="D492" i="40" s="1"/>
  <c r="D474" i="40" a="1"/>
  <c r="D474" i="40" s="1"/>
  <c r="D462" i="40" a="1"/>
  <c r="D462" i="40" s="1"/>
  <c r="D181" i="40" a="1"/>
  <c r="D181" i="40" s="1"/>
  <c r="D113" i="40" a="1"/>
  <c r="D113" i="40" s="1"/>
  <c r="D60" i="8" a="1"/>
  <c r="D60" i="8" s="1"/>
  <c r="D1401" i="40" a="1"/>
  <c r="D1401" i="40" s="1"/>
  <c r="D1309" i="40" a="1"/>
  <c r="D1309" i="40" s="1"/>
  <c r="D1280" i="40" a="1"/>
  <c r="D1280" i="40" s="1"/>
  <c r="D1268" i="40" a="1"/>
  <c r="D1268" i="40" s="1"/>
  <c r="D1217" i="40" a="1"/>
  <c r="D1217" i="40" s="1"/>
  <c r="D1194" i="40" a="1"/>
  <c r="D1194" i="40" s="1"/>
  <c r="D1176" i="40" a="1"/>
  <c r="D1176" i="40" s="1"/>
  <c r="D1164" i="40" a="1"/>
  <c r="D1164" i="40" s="1"/>
  <c r="D1130" i="40" a="1"/>
  <c r="D1130" i="40" s="1"/>
  <c r="D1093" i="40" a="1"/>
  <c r="D1093" i="40" s="1"/>
  <c r="D972" i="40" a="1"/>
  <c r="D972" i="40" s="1"/>
  <c r="D953" i="40" a="1"/>
  <c r="D953" i="40" s="1"/>
  <c r="D917" i="40" a="1"/>
  <c r="D917" i="40" s="1"/>
  <c r="D894" i="40" a="1"/>
  <c r="D894" i="40" s="1"/>
  <c r="D835" i="40" a="1"/>
  <c r="D835" i="40" s="1"/>
  <c r="D823" i="40" a="1"/>
  <c r="D823" i="40" s="1"/>
  <c r="D811" i="40" a="1"/>
  <c r="D811" i="40" s="1"/>
  <c r="D744" i="40" a="1"/>
  <c r="D744" i="40" s="1"/>
  <c r="D722" i="40" a="1"/>
  <c r="D722" i="40" s="1"/>
  <c r="D658" i="40" a="1"/>
  <c r="D658" i="40" s="1"/>
  <c r="D607" i="40" a="1"/>
  <c r="D607" i="40" s="1"/>
  <c r="D589" i="40" a="1"/>
  <c r="D589" i="40" s="1"/>
  <c r="D565" i="40" a="1"/>
  <c r="D565" i="40" s="1"/>
  <c r="D553" i="40" a="1"/>
  <c r="D553" i="40" s="1"/>
  <c r="D541" i="40" a="1"/>
  <c r="D541" i="40" s="1"/>
  <c r="D529" i="40" a="1"/>
  <c r="D529" i="40" s="1"/>
  <c r="D513" i="40" a="1"/>
  <c r="D513" i="40" s="1"/>
  <c r="D490" i="40" a="1"/>
  <c r="D490" i="40" s="1"/>
  <c r="D473" i="40" a="1"/>
  <c r="D473" i="40" s="1"/>
  <c r="D461" i="40" a="1"/>
  <c r="D461" i="40" s="1"/>
  <c r="D427" i="40" a="1"/>
  <c r="D427" i="40" s="1"/>
  <c r="D393" i="40" a="1"/>
  <c r="D393" i="40" s="1"/>
  <c r="D269" i="40" a="1"/>
  <c r="D269" i="40" s="1"/>
  <c r="D222" i="40" a="1"/>
  <c r="D222" i="40" s="1"/>
  <c r="D193" i="40" a="1"/>
  <c r="D193" i="40" s="1"/>
  <c r="D136" i="40" a="1"/>
  <c r="D136" i="40" s="1"/>
  <c r="D124" i="40" a="1"/>
  <c r="D124" i="40" s="1"/>
  <c r="D112" i="40" a="1"/>
  <c r="D112" i="40" s="1"/>
  <c r="D45" i="40" a="1"/>
  <c r="D45" i="40" s="1"/>
  <c r="D24" i="40" a="1"/>
  <c r="D24" i="40" s="1"/>
  <c r="D1251" i="40" a="1"/>
  <c r="D1251" i="40" s="1"/>
  <c r="D572" i="40" a="1"/>
  <c r="D572" i="40" s="1"/>
  <c r="D1274" i="40" a="1"/>
  <c r="D1274" i="40" s="1"/>
  <c r="D1170" i="40" a="1"/>
  <c r="D1170" i="40" s="1"/>
  <c r="D1178" i="40" a="1"/>
  <c r="D1178" i="40" s="1"/>
  <c r="D182" i="40" a="1"/>
  <c r="D182" i="40" s="1"/>
  <c r="D1233" i="40" a="1"/>
  <c r="D1233" i="40" s="1"/>
  <c r="D1196" i="40" a="1"/>
  <c r="D1196" i="40" s="1"/>
  <c r="D1175" i="40" a="1"/>
  <c r="D1175" i="40" s="1"/>
  <c r="D576" i="40" a="1"/>
  <c r="D576" i="40" s="1"/>
  <c r="D564" i="40" a="1"/>
  <c r="D564" i="40" s="1"/>
  <c r="D488" i="40" a="1"/>
  <c r="D488" i="40" s="1"/>
  <c r="D472" i="40" a="1"/>
  <c r="D472" i="40" s="1"/>
  <c r="D460" i="40" a="1"/>
  <c r="D460" i="40" s="1"/>
  <c r="D214" i="40" a="1"/>
  <c r="D214" i="40" s="1"/>
  <c r="D191" i="40" a="1"/>
  <c r="D191" i="40" s="1"/>
  <c r="D1227" i="40" a="1"/>
  <c r="D1227" i="40" s="1"/>
  <c r="D1171" i="40" a="1"/>
  <c r="D1171" i="40" s="1"/>
  <c r="D560" i="40" a="1"/>
  <c r="D560" i="40" s="1"/>
  <c r="D1166" i="40" a="1"/>
  <c r="D1166" i="40" s="1"/>
  <c r="D592" i="40" a="1"/>
  <c r="D592" i="40" s="1"/>
  <c r="D463" i="40" a="1"/>
  <c r="D463" i="40" s="1"/>
  <c r="D1293" i="40" a="1"/>
  <c r="D1293" i="40" s="1"/>
  <c r="D1257" i="40" a="1"/>
  <c r="D1257" i="40" s="1"/>
  <c r="D1165" i="40" a="1"/>
  <c r="D1165" i="40" s="1"/>
  <c r="D1396" i="40" a="1"/>
  <c r="D1396" i="40" s="1"/>
  <c r="D1308" i="40" a="1"/>
  <c r="D1308" i="40" s="1"/>
  <c r="D1192" i="40" a="1"/>
  <c r="D1192" i="40" s="1"/>
  <c r="D1163" i="40" a="1"/>
  <c r="D1163" i="40" s="1"/>
  <c r="D893" i="40" a="1"/>
  <c r="D893" i="40" s="1"/>
  <c r="D1395" i="40" a="1"/>
  <c r="D1395" i="40" s="1"/>
  <c r="D1278" i="40" a="1"/>
  <c r="D1278" i="40" s="1"/>
  <c r="D1266" i="40" a="1"/>
  <c r="D1266" i="40" s="1"/>
  <c r="D1254" i="40" a="1"/>
  <c r="D1254" i="40" s="1"/>
  <c r="D1242" i="40" a="1"/>
  <c r="D1242" i="40" s="1"/>
  <c r="D1230" i="40" a="1"/>
  <c r="D1230" i="40" s="1"/>
  <c r="D1190" i="40" a="1"/>
  <c r="D1190" i="40" s="1"/>
  <c r="D1174" i="40" a="1"/>
  <c r="D1174" i="40" s="1"/>
  <c r="D1162" i="40" a="1"/>
  <c r="D1162" i="40" s="1"/>
  <c r="D892" i="40" a="1"/>
  <c r="D892" i="40" s="1"/>
  <c r="D604" i="40" a="1"/>
  <c r="D604" i="40" s="1"/>
  <c r="D486" i="40" a="1"/>
  <c r="D486" i="40" s="1"/>
  <c r="D471" i="40" a="1"/>
  <c r="D471" i="40" s="1"/>
  <c r="D459" i="40" a="1"/>
  <c r="D459" i="40" s="1"/>
  <c r="D321" i="40" a="1"/>
  <c r="D321" i="40" s="1"/>
  <c r="D267" i="40" a="1"/>
  <c r="D267" i="40" s="1"/>
  <c r="D190" i="40" a="1"/>
  <c r="D190" i="40" s="1"/>
  <c r="D134" i="40" a="1"/>
  <c r="D134" i="40" s="1"/>
  <c r="D122" i="40" a="1"/>
  <c r="D122" i="40" s="1"/>
  <c r="D110" i="40" a="1"/>
  <c r="D110" i="40" s="1"/>
  <c r="D22" i="40" a="1"/>
  <c r="D22" i="40" s="1"/>
  <c r="D21" i="8" a="1"/>
  <c r="D21" i="8" s="1"/>
  <c r="D1394" i="40" a="1"/>
  <c r="D1394" i="40" s="1"/>
  <c r="D1358" i="40" a="1"/>
  <c r="D1358" i="40" s="1"/>
  <c r="D1323" i="40" a="1"/>
  <c r="D1323" i="40" s="1"/>
  <c r="D1305" i="40" a="1"/>
  <c r="D1305" i="40" s="1"/>
  <c r="D1277" i="40" a="1"/>
  <c r="D1277" i="40" s="1"/>
  <c r="D1265" i="40" a="1"/>
  <c r="D1265" i="40" s="1"/>
  <c r="D1211" i="40" a="1"/>
  <c r="D1211" i="40" s="1"/>
  <c r="D1188" i="40" a="1"/>
  <c r="D1188" i="40" s="1"/>
  <c r="D1173" i="40" a="1"/>
  <c r="D1173" i="40" s="1"/>
  <c r="D1161" i="40" a="1"/>
  <c r="D1161" i="40" s="1"/>
  <c r="D1127" i="40" a="1"/>
  <c r="D1127" i="40" s="1"/>
  <c r="D981" i="40" a="1"/>
  <c r="D981" i="40" s="1"/>
  <c r="D969" i="40" a="1"/>
  <c r="D969" i="40" s="1"/>
  <c r="D911" i="40" a="1"/>
  <c r="D911" i="40" s="1"/>
  <c r="D891" i="40" a="1"/>
  <c r="D891" i="40" s="1"/>
  <c r="D832" i="40" a="1"/>
  <c r="D832" i="40" s="1"/>
  <c r="D820" i="40" a="1"/>
  <c r="D820" i="40" s="1"/>
  <c r="D808" i="40" a="1"/>
  <c r="D808" i="40" s="1"/>
  <c r="D760" i="40" a="1"/>
  <c r="D760" i="40" s="1"/>
  <c r="D620" i="40" a="1"/>
  <c r="D620" i="40" s="1"/>
  <c r="D602" i="40" a="1"/>
  <c r="D602" i="40" s="1"/>
  <c r="D574" i="40" a="1"/>
  <c r="D574" i="40" s="1"/>
  <c r="D550" i="40" a="1"/>
  <c r="D550" i="40" s="1"/>
  <c r="D538" i="40" a="1"/>
  <c r="D538" i="40" s="1"/>
  <c r="D526" i="40" a="1"/>
  <c r="D526" i="40" s="1"/>
  <c r="D470" i="40" a="1"/>
  <c r="D470" i="40" s="1"/>
  <c r="D381" i="40" a="1"/>
  <c r="D381" i="40" s="1"/>
  <c r="D313" i="40" a="1"/>
  <c r="D313" i="40" s="1"/>
  <c r="D266" i="40" a="1"/>
  <c r="D266" i="40" s="1"/>
  <c r="D189" i="40" a="1"/>
  <c r="D189" i="40" s="1"/>
  <c r="D133" i="40" a="1"/>
  <c r="D133" i="40" s="1"/>
  <c r="D121" i="40" a="1"/>
  <c r="D121" i="40" s="1"/>
  <c r="D109" i="40" a="1"/>
  <c r="D109" i="40" s="1"/>
  <c r="D42" i="40" a="1"/>
  <c r="D42" i="40" s="1"/>
  <c r="D21" i="40" a="1"/>
  <c r="D21" i="40" s="1"/>
  <c r="D337" i="40" a="1"/>
  <c r="D337" i="40" s="1"/>
  <c r="D345" i="40" a="1"/>
  <c r="D345" i="40" s="1"/>
  <c r="D353" i="40" a="1"/>
  <c r="D353" i="40" s="1"/>
  <c r="D361" i="40" a="1"/>
  <c r="D361" i="40" s="1"/>
  <c r="D369" i="40" a="1"/>
  <c r="D369" i="40" s="1"/>
  <c r="D377" i="40" a="1"/>
  <c r="D377" i="40" s="1"/>
  <c r="D1045" i="40" a="1"/>
  <c r="D1045" i="40" s="1"/>
  <c r="D1061" i="40" a="1"/>
  <c r="D1061" i="40" s="1"/>
  <c r="D1077" i="40" a="1"/>
  <c r="D1077" i="40" s="1"/>
  <c r="D1041" i="40" a="1"/>
  <c r="D1041" i="40" s="1"/>
  <c r="D1049" i="40" a="1"/>
  <c r="D1049" i="40" s="1"/>
  <c r="D1057" i="40" a="1"/>
  <c r="D1057" i="40" s="1"/>
  <c r="D1065" i="40" a="1"/>
  <c r="D1065" i="40" s="1"/>
  <c r="D1073" i="40" a="1"/>
  <c r="D1073" i="40" s="1"/>
  <c r="D1081" i="40" a="1"/>
  <c r="D1081" i="40" s="1"/>
  <c r="D1053" i="40" a="1"/>
  <c r="D1053" i="40" s="1"/>
  <c r="D341" i="40" a="1"/>
  <c r="D341" i="40" s="1"/>
  <c r="D349" i="40" a="1"/>
  <c r="D349" i="40" s="1"/>
  <c r="D357" i="40" a="1"/>
  <c r="D357" i="40" s="1"/>
  <c r="D365" i="40" a="1"/>
  <c r="D365" i="40" s="1"/>
  <c r="D373" i="40" a="1"/>
  <c r="D373" i="40" s="1"/>
  <c r="D31" i="8" a="1"/>
  <c r="D31" i="8" s="1"/>
  <c r="D1069" i="40" a="1"/>
  <c r="D1069" i="40" s="1"/>
  <c r="D1193" i="40" a="1"/>
  <c r="D1193" i="40" s="1"/>
  <c r="D855" i="40" a="1"/>
  <c r="D855" i="40" s="1"/>
  <c r="D783" i="40" a="1"/>
  <c r="D783" i="40" s="1"/>
  <c r="D775" i="40" a="1"/>
  <c r="D775" i="40" s="1"/>
  <c r="D759" i="40" a="1"/>
  <c r="D759" i="40" s="1"/>
  <c r="D735" i="40" a="1"/>
  <c r="D735" i="40" s="1"/>
  <c r="D684" i="40" a="1"/>
  <c r="D684" i="40" s="1"/>
  <c r="D676" i="40" a="1"/>
  <c r="D676" i="40" s="1"/>
  <c r="D516" i="40" a="1"/>
  <c r="D516" i="40" s="1"/>
  <c r="D508" i="40" a="1"/>
  <c r="D508" i="40" s="1"/>
  <c r="D500" i="40" a="1"/>
  <c r="D500" i="40" s="1"/>
  <c r="D221" i="40" a="1"/>
  <c r="D221" i="40" s="1"/>
  <c r="D74" i="40" a="1"/>
  <c r="D74" i="40" s="1"/>
  <c r="D58" i="40" a="1"/>
  <c r="D58" i="40" s="1"/>
  <c r="D50" i="40" a="1"/>
  <c r="D50" i="40" s="1"/>
  <c r="D34" i="40" a="1"/>
  <c r="D34" i="40" s="1"/>
  <c r="D1201" i="40" a="1"/>
  <c r="D1201" i="40" s="1"/>
  <c r="D922" i="40" a="1"/>
  <c r="D922" i="40" s="1"/>
  <c r="D847" i="40" a="1"/>
  <c r="D847" i="40" s="1"/>
  <c r="D1384" i="40" a="1"/>
  <c r="D1384" i="40" s="1"/>
  <c r="D1224" i="40" a="1"/>
  <c r="D1224" i="40" s="1"/>
  <c r="D1216" i="40" a="1"/>
  <c r="D1216" i="40" s="1"/>
  <c r="D1208" i="40" a="1"/>
  <c r="D1208" i="40" s="1"/>
  <c r="D921" i="40" a="1"/>
  <c r="D921" i="40" s="1"/>
  <c r="D782" i="40" a="1"/>
  <c r="D782" i="40" s="1"/>
  <c r="D758" i="40" a="1"/>
  <c r="D758" i="40" s="1"/>
  <c r="D734" i="40" a="1"/>
  <c r="D734" i="40" s="1"/>
  <c r="D683" i="40" a="1"/>
  <c r="D683" i="40" s="1"/>
  <c r="D499" i="40" a="1"/>
  <c r="D499" i="40" s="1"/>
  <c r="D491" i="40" a="1"/>
  <c r="D491" i="40" s="1"/>
  <c r="D483" i="40" a="1"/>
  <c r="D483" i="40" s="1"/>
  <c r="D220" i="40" a="1"/>
  <c r="D220" i="40" s="1"/>
  <c r="D153" i="40" a="1"/>
  <c r="D153" i="40" s="1"/>
  <c r="D145" i="40" a="1"/>
  <c r="D145" i="40" s="1"/>
  <c r="D137" i="40" a="1"/>
  <c r="D137" i="40" s="1"/>
  <c r="D81" i="40" a="1"/>
  <c r="D81" i="40" s="1"/>
  <c r="D73" i="40" a="1"/>
  <c r="D73" i="40" s="1"/>
  <c r="D57" i="40" a="1"/>
  <c r="D57" i="40" s="1"/>
  <c r="D49" i="40" a="1"/>
  <c r="D49" i="40" s="1"/>
  <c r="D33" i="40" a="1"/>
  <c r="D33" i="40" s="1"/>
  <c r="D38" i="8" a="1"/>
  <c r="D38" i="8" s="1"/>
  <c r="D1185" i="40" a="1"/>
  <c r="D1185" i="40" s="1"/>
  <c r="D1383" i="40" a="1"/>
  <c r="D1383" i="40" s="1"/>
  <c r="D1199" i="40" a="1"/>
  <c r="D1199" i="40" s="1"/>
  <c r="D1191" i="40" a="1"/>
  <c r="D1191" i="40" s="1"/>
  <c r="D1183" i="40" a="1"/>
  <c r="D1183" i="40" s="1"/>
  <c r="D928" i="40" a="1"/>
  <c r="D928" i="40" s="1"/>
  <c r="D920" i="40" a="1"/>
  <c r="D920" i="40" s="1"/>
  <c r="D861" i="40" a="1"/>
  <c r="D861" i="40" s="1"/>
  <c r="D853" i="40" a="1"/>
  <c r="D853" i="40" s="1"/>
  <c r="D845" i="40" a="1"/>
  <c r="D845" i="40" s="1"/>
  <c r="D781" i="40" a="1"/>
  <c r="D781" i="40" s="1"/>
  <c r="D757" i="40" a="1"/>
  <c r="D757" i="40" s="1"/>
  <c r="D741" i="40" a="1"/>
  <c r="D741" i="40" s="1"/>
  <c r="D733" i="40" a="1"/>
  <c r="D733" i="40" s="1"/>
  <c r="D682" i="40" a="1"/>
  <c r="D682" i="40" s="1"/>
  <c r="D514" i="40" a="1"/>
  <c r="D514" i="40" s="1"/>
  <c r="D506" i="40" a="1"/>
  <c r="D506" i="40" s="1"/>
  <c r="D219" i="40" a="1"/>
  <c r="D219" i="40" s="1"/>
  <c r="D80" i="40" a="1"/>
  <c r="D80" i="40" s="1"/>
  <c r="D72" i="40" a="1"/>
  <c r="D72" i="40" s="1"/>
  <c r="D56" i="40" a="1"/>
  <c r="D56" i="40" s="1"/>
  <c r="D32" i="40" a="1"/>
  <c r="D32" i="40" s="1"/>
  <c r="D45" i="8" a="1"/>
  <c r="D45" i="8" s="1"/>
  <c r="D1390" i="40" a="1"/>
  <c r="D1390" i="40" s="1"/>
  <c r="D1382" i="40" a="1"/>
  <c r="D1382" i="40" s="1"/>
  <c r="D1222" i="40" a="1"/>
  <c r="D1222" i="40" s="1"/>
  <c r="D1214" i="40" a="1"/>
  <c r="D1214" i="40" s="1"/>
  <c r="D1206" i="40" a="1"/>
  <c r="D1206" i="40" s="1"/>
  <c r="D927" i="40" a="1"/>
  <c r="D927" i="40" s="1"/>
  <c r="D919" i="40" a="1"/>
  <c r="D919" i="40" s="1"/>
  <c r="D780" i="40" a="1"/>
  <c r="D780" i="40" s="1"/>
  <c r="D756" i="40" a="1"/>
  <c r="D756" i="40" s="1"/>
  <c r="D740" i="40" a="1"/>
  <c r="D740" i="40" s="1"/>
  <c r="D732" i="40" a="1"/>
  <c r="D732" i="40" s="1"/>
  <c r="D681" i="40" a="1"/>
  <c r="D681" i="40" s="1"/>
  <c r="D497" i="40" a="1"/>
  <c r="D497" i="40" s="1"/>
  <c r="D489" i="40" a="1"/>
  <c r="D489" i="40" s="1"/>
  <c r="D481" i="40" a="1"/>
  <c r="D481" i="40" s="1"/>
  <c r="D218" i="40" a="1"/>
  <c r="D218" i="40" s="1"/>
  <c r="D151" i="40" a="1"/>
  <c r="D151" i="40" s="1"/>
  <c r="D143" i="40" a="1"/>
  <c r="D143" i="40" s="1"/>
  <c r="D79" i="40" a="1"/>
  <c r="D79" i="40" s="1"/>
  <c r="D71" i="40" a="1"/>
  <c r="D71" i="40" s="1"/>
  <c r="D55" i="40" a="1"/>
  <c r="D55" i="40" s="1"/>
  <c r="D31" i="40" a="1"/>
  <c r="D31" i="40" s="1"/>
  <c r="D61" i="8" a="1"/>
  <c r="D61" i="8" s="1"/>
  <c r="D1197" i="40" a="1"/>
  <c r="D1197" i="40" s="1"/>
  <c r="D1189" i="40" a="1"/>
  <c r="D1189" i="40" s="1"/>
  <c r="D926" i="40" a="1"/>
  <c r="D926" i="40" s="1"/>
  <c r="D918" i="40" a="1"/>
  <c r="D918" i="40" s="1"/>
  <c r="D859" i="40" a="1"/>
  <c r="D859" i="40" s="1"/>
  <c r="D851" i="40" a="1"/>
  <c r="D851" i="40" s="1"/>
  <c r="D843" i="40" a="1"/>
  <c r="D843" i="40" s="1"/>
  <c r="D779" i="40" a="1"/>
  <c r="D779" i="40" s="1"/>
  <c r="D763" i="40" a="1"/>
  <c r="D763" i="40" s="1"/>
  <c r="D755" i="40" a="1"/>
  <c r="D755" i="40" s="1"/>
  <c r="D739" i="40" a="1"/>
  <c r="D739" i="40" s="1"/>
  <c r="D731" i="40" a="1"/>
  <c r="D731" i="40" s="1"/>
  <c r="D680" i="40" a="1"/>
  <c r="D680" i="40" s="1"/>
  <c r="D520" i="40" a="1"/>
  <c r="D520" i="40" s="1"/>
  <c r="D512" i="40" a="1"/>
  <c r="D512" i="40" s="1"/>
  <c r="D504" i="40" a="1"/>
  <c r="D504" i="40" s="1"/>
  <c r="D217" i="40" a="1"/>
  <c r="D217" i="40" s="1"/>
  <c r="D78" i="40" a="1"/>
  <c r="D78" i="40" s="1"/>
  <c r="D54" i="40" a="1"/>
  <c r="D54" i="40" s="1"/>
  <c r="D30" i="40" a="1"/>
  <c r="D30" i="40" s="1"/>
  <c r="D43" i="8" a="1"/>
  <c r="D43" i="8" s="1"/>
  <c r="D1385" i="40" a="1"/>
  <c r="D1385" i="40" s="1"/>
  <c r="D1381" i="40" a="1"/>
  <c r="D1381" i="40" s="1"/>
  <c r="D1380" i="40" a="1"/>
  <c r="D1380" i="40" s="1"/>
  <c r="D1220" i="40" a="1"/>
  <c r="D1220" i="40" s="1"/>
  <c r="D1212" i="40" a="1"/>
  <c r="D1212" i="40" s="1"/>
  <c r="D1204" i="40" a="1"/>
  <c r="D1204" i="40" s="1"/>
  <c r="D925" i="40" a="1"/>
  <c r="D925" i="40" s="1"/>
  <c r="D778" i="40" a="1"/>
  <c r="D778" i="40" s="1"/>
  <c r="D762" i="40" a="1"/>
  <c r="D762" i="40" s="1"/>
  <c r="D754" i="40" a="1"/>
  <c r="D754" i="40" s="1"/>
  <c r="D738" i="40" a="1"/>
  <c r="D738" i="40" s="1"/>
  <c r="D679" i="40" a="1"/>
  <c r="D679" i="40" s="1"/>
  <c r="D495" i="40" a="1"/>
  <c r="D495" i="40" s="1"/>
  <c r="D487" i="40" a="1"/>
  <c r="D487" i="40" s="1"/>
  <c r="D479" i="40" a="1"/>
  <c r="D479" i="40" s="1"/>
  <c r="D224" i="40" a="1"/>
  <c r="D224" i="40" s="1"/>
  <c r="D216" i="40" a="1"/>
  <c r="D216" i="40" s="1"/>
  <c r="D157" i="40" a="1"/>
  <c r="D157" i="40" s="1"/>
  <c r="D149" i="40" a="1"/>
  <c r="D149" i="40" s="1"/>
  <c r="D141" i="40" a="1"/>
  <c r="D141" i="40" s="1"/>
  <c r="D77" i="40" a="1"/>
  <c r="D77" i="40" s="1"/>
  <c r="D53" i="40" a="1"/>
  <c r="D53" i="40" s="1"/>
  <c r="D37" i="40" a="1"/>
  <c r="D37" i="40" s="1"/>
  <c r="D29" i="40" a="1"/>
  <c r="D29" i="40" s="1"/>
  <c r="D50" i="8" a="1"/>
  <c r="D50" i="8" s="1"/>
  <c r="D1389" i="40" a="1"/>
  <c r="D1389" i="40" s="1"/>
  <c r="D1388" i="40" a="1"/>
  <c r="D1388" i="40" s="1"/>
  <c r="D1387" i="40" a="1"/>
  <c r="D1387" i="40" s="1"/>
  <c r="D1203" i="40" a="1"/>
  <c r="D1203" i="40" s="1"/>
  <c r="D1195" i="40" a="1"/>
  <c r="D1195" i="40" s="1"/>
  <c r="D924" i="40" a="1"/>
  <c r="D924" i="40" s="1"/>
  <c r="D857" i="40" a="1"/>
  <c r="D857" i="40" s="1"/>
  <c r="D849" i="40" a="1"/>
  <c r="D849" i="40" s="1"/>
  <c r="D841" i="40" a="1"/>
  <c r="D841" i="40" s="1"/>
  <c r="D785" i="40" a="1"/>
  <c r="D785" i="40" s="1"/>
  <c r="D777" i="40" a="1"/>
  <c r="D777" i="40" s="1"/>
  <c r="D761" i="40" a="1"/>
  <c r="D761" i="40" s="1"/>
  <c r="D753" i="40" a="1"/>
  <c r="D753" i="40" s="1"/>
  <c r="D737" i="40" a="1"/>
  <c r="D737" i="40" s="1"/>
  <c r="D686" i="40" a="1"/>
  <c r="D686" i="40" s="1"/>
  <c r="D518" i="40" a="1"/>
  <c r="D518" i="40" s="1"/>
  <c r="D510" i="40" a="1"/>
  <c r="D510" i="40" s="1"/>
  <c r="D223" i="40" a="1"/>
  <c r="D223" i="40" s="1"/>
  <c r="D36" i="40" a="1"/>
  <c r="D36" i="40" s="1"/>
  <c r="D1146" i="40" a="1"/>
  <c r="D1146" i="40" s="1"/>
  <c r="D1138" i="40" a="1"/>
  <c r="D1138" i="40" s="1"/>
  <c r="D1026" i="40" a="1"/>
  <c r="D1026" i="40" s="1"/>
  <c r="D1018" i="40" a="1"/>
  <c r="D1018" i="40" s="1"/>
  <c r="D954" i="40" a="1"/>
  <c r="D954" i="40" s="1"/>
  <c r="D914" i="40" a="1"/>
  <c r="D914" i="40" s="1"/>
  <c r="D906" i="40" a="1"/>
  <c r="D906" i="40" s="1"/>
  <c r="D898" i="40" a="1"/>
  <c r="D898" i="40" s="1"/>
  <c r="D706" i="40" a="1"/>
  <c r="D706" i="40" s="1"/>
  <c r="D698" i="40" a="1"/>
  <c r="D698" i="40" s="1"/>
  <c r="D690" i="40" a="1"/>
  <c r="D690" i="40" s="1"/>
  <c r="D442" i="40" a="1"/>
  <c r="D442" i="40" s="1"/>
  <c r="D434" i="40" a="1"/>
  <c r="D434" i="40" s="1"/>
  <c r="D322" i="40" a="1"/>
  <c r="D322" i="40" s="1"/>
  <c r="D314" i="40" a="1"/>
  <c r="D314" i="40" s="1"/>
  <c r="D250" i="40" a="1"/>
  <c r="D250" i="40" s="1"/>
  <c r="D210" i="40" a="1"/>
  <c r="D210" i="40" s="1"/>
  <c r="D202" i="40" a="1"/>
  <c r="D202" i="40" s="1"/>
  <c r="D194" i="40" a="1"/>
  <c r="D194" i="40" s="1"/>
  <c r="D59" i="8" a="1"/>
  <c r="D59" i="8" s="1"/>
  <c r="D1408" i="40" a="1"/>
  <c r="D1408" i="40" s="1"/>
  <c r="D1144" i="40" a="1"/>
  <c r="D1144" i="40" s="1"/>
  <c r="D1024" i="40" a="1"/>
  <c r="D1024" i="40" s="1"/>
  <c r="D960" i="40" a="1"/>
  <c r="D960" i="40" s="1"/>
  <c r="D952" i="40" a="1"/>
  <c r="D952" i="40" s="1"/>
  <c r="D912" i="40" a="1"/>
  <c r="D912" i="40" s="1"/>
  <c r="D904" i="40" a="1"/>
  <c r="D904" i="40" s="1"/>
  <c r="D896" i="40" a="1"/>
  <c r="D896" i="40" s="1"/>
  <c r="D704" i="40" a="1"/>
  <c r="D704" i="40" s="1"/>
  <c r="D696" i="40" a="1"/>
  <c r="D696" i="40" s="1"/>
  <c r="D688" i="40" a="1"/>
  <c r="D688" i="40" s="1"/>
  <c r="D440" i="40" a="1"/>
  <c r="D440" i="40" s="1"/>
  <c r="D320" i="40" a="1"/>
  <c r="D320" i="40" s="1"/>
  <c r="D256" i="40" a="1"/>
  <c r="D256" i="40" s="1"/>
  <c r="D248" i="40" a="1"/>
  <c r="D248" i="40" s="1"/>
  <c r="D208" i="40" a="1"/>
  <c r="D208" i="40" s="1"/>
  <c r="D200" i="40" a="1"/>
  <c r="D200" i="40" s="1"/>
  <c r="D192" i="40" a="1"/>
  <c r="D192" i="40" s="1"/>
  <c r="D1392" i="40" a="1"/>
  <c r="D1392" i="40" s="1"/>
  <c r="D1391" i="40" a="1"/>
  <c r="D1391" i="40" s="1"/>
  <c r="D1143" i="40" a="1"/>
  <c r="D1143" i="40" s="1"/>
  <c r="D1023" i="40" a="1"/>
  <c r="D1023" i="40" s="1"/>
  <c r="D959" i="40" a="1"/>
  <c r="D959" i="40" s="1"/>
  <c r="D951" i="40" a="1"/>
  <c r="D951" i="40" s="1"/>
  <c r="D703" i="40" a="1"/>
  <c r="D703" i="40" s="1"/>
  <c r="D695" i="40" a="1"/>
  <c r="D695" i="40" s="1"/>
  <c r="D687" i="40" a="1"/>
  <c r="D687" i="40" s="1"/>
  <c r="D439" i="40" a="1"/>
  <c r="D439" i="40" s="1"/>
  <c r="D319" i="40" a="1"/>
  <c r="D319" i="40" s="1"/>
  <c r="D255" i="40" a="1"/>
  <c r="D255" i="40" s="1"/>
  <c r="D247" i="40" a="1"/>
  <c r="D247" i="40" s="1"/>
  <c r="D8" i="8" a="1"/>
  <c r="D8" i="8" s="1"/>
  <c r="D1399" i="40" a="1"/>
  <c r="D1399" i="40" s="1"/>
  <c r="D1406" i="40" a="1"/>
  <c r="D1406" i="40" s="1"/>
  <c r="D1142" i="40" a="1"/>
  <c r="D1142" i="40" s="1"/>
  <c r="D1022" i="40" a="1"/>
  <c r="D1022" i="40" s="1"/>
  <c r="D958" i="40" a="1"/>
  <c r="D958" i="40" s="1"/>
  <c r="D910" i="40" a="1"/>
  <c r="D910" i="40" s="1"/>
  <c r="D902" i="40" a="1"/>
  <c r="D902" i="40" s="1"/>
  <c r="D702" i="40" a="1"/>
  <c r="D702" i="40" s="1"/>
  <c r="D694" i="40" a="1"/>
  <c r="D694" i="40" s="1"/>
  <c r="D438" i="40" a="1"/>
  <c r="D438" i="40" s="1"/>
  <c r="D318" i="40" a="1"/>
  <c r="D318" i="40" s="1"/>
  <c r="D254" i="40" a="1"/>
  <c r="D254" i="40" s="1"/>
  <c r="D206" i="40" a="1"/>
  <c r="D206" i="40" s="1"/>
  <c r="D198" i="40" a="1"/>
  <c r="D198" i="40" s="1"/>
  <c r="D63" i="8" a="1"/>
  <c r="D63" i="8" s="1"/>
  <c r="D15" i="8" a="1"/>
  <c r="D15" i="8" s="1"/>
  <c r="D1400" i="40" a="1"/>
  <c r="D1400" i="40" s="1"/>
  <c r="D1407" i="40" a="1"/>
  <c r="D1407" i="40" s="1"/>
  <c r="D1398" i="40" a="1"/>
  <c r="D1398" i="40" s="1"/>
  <c r="D1405" i="40" a="1"/>
  <c r="D1405" i="40" s="1"/>
  <c r="D1397" i="40" a="1"/>
  <c r="D1397" i="40" s="1"/>
  <c r="D1141" i="40" a="1"/>
  <c r="D1141" i="40" s="1"/>
  <c r="D1021" i="40" a="1"/>
  <c r="D1021" i="40" s="1"/>
  <c r="D957" i="40" a="1"/>
  <c r="D957" i="40" s="1"/>
  <c r="D701" i="40" a="1"/>
  <c r="D701" i="40" s="1"/>
  <c r="D693" i="40" a="1"/>
  <c r="D693" i="40" s="1"/>
  <c r="D437" i="40" a="1"/>
  <c r="D437" i="40" s="1"/>
  <c r="D317" i="40" a="1"/>
  <c r="D317" i="40" s="1"/>
  <c r="D253" i="40" a="1"/>
  <c r="D253" i="40" s="1"/>
  <c r="D1148" i="40" a="1"/>
  <c r="D1148" i="40" s="1"/>
  <c r="D1140" i="40" a="1"/>
  <c r="D1140" i="40" s="1"/>
  <c r="D1020" i="40" a="1"/>
  <c r="D1020" i="40" s="1"/>
  <c r="D956" i="40" a="1"/>
  <c r="D956" i="40" s="1"/>
  <c r="D916" i="40" a="1"/>
  <c r="D916" i="40" s="1"/>
  <c r="D908" i="40" a="1"/>
  <c r="D908" i="40" s="1"/>
  <c r="D900" i="40" a="1"/>
  <c r="D900" i="40" s="1"/>
  <c r="D708" i="40" a="1"/>
  <c r="D708" i="40" s="1"/>
  <c r="D700" i="40" a="1"/>
  <c r="D700" i="40" s="1"/>
  <c r="D692" i="40" a="1"/>
  <c r="D692" i="40" s="1"/>
  <c r="D444" i="40" a="1"/>
  <c r="D444" i="40" s="1"/>
  <c r="D436" i="40" a="1"/>
  <c r="D436" i="40" s="1"/>
  <c r="D316" i="40" a="1"/>
  <c r="D316" i="40" s="1"/>
  <c r="D252" i="40" a="1"/>
  <c r="D252" i="40" s="1"/>
  <c r="D212" i="40" a="1"/>
  <c r="D212" i="40" s="1"/>
  <c r="D204" i="40" a="1"/>
  <c r="D204" i="40" s="1"/>
  <c r="D69" i="8" a="1"/>
  <c r="D69" i="8" s="1"/>
  <c r="D1147" i="40" a="1"/>
  <c r="D1147" i="40" s="1"/>
  <c r="D1139" i="40" a="1"/>
  <c r="D1139" i="40" s="1"/>
  <c r="D1027" i="40" a="1"/>
  <c r="D1027" i="40" s="1"/>
  <c r="D1019" i="40" a="1"/>
  <c r="D1019" i="40" s="1"/>
  <c r="D955" i="40" a="1"/>
  <c r="D955" i="40" s="1"/>
  <c r="D707" i="40" a="1"/>
  <c r="D707" i="40" s="1"/>
  <c r="D691" i="40" a="1"/>
  <c r="D691" i="40" s="1"/>
  <c r="D443" i="40" a="1"/>
  <c r="D443" i="40" s="1"/>
  <c r="D323" i="40" a="1"/>
  <c r="D323" i="40" s="1"/>
  <c r="B102" i="31"/>
  <c r="B80" i="31"/>
  <c r="T54" i="3"/>
  <c r="W82" i="3"/>
  <c r="T85" i="3"/>
  <c r="G5" i="47"/>
  <c r="G6" i="47"/>
  <c r="G7" i="47"/>
  <c r="G8" i="47"/>
  <c r="G9" i="47"/>
  <c r="G10" i="47"/>
  <c r="G11" i="47"/>
  <c r="G12" i="47"/>
  <c r="G13" i="47"/>
  <c r="G14" i="47"/>
  <c r="G15" i="47"/>
  <c r="G16" i="47"/>
  <c r="G17" i="47"/>
  <c r="G18" i="47"/>
  <c r="F5" i="47"/>
  <c r="F6" i="47"/>
  <c r="F7" i="47"/>
  <c r="F8" i="47"/>
  <c r="F9" i="47"/>
  <c r="F10" i="47"/>
  <c r="F11" i="47"/>
  <c r="F12" i="47"/>
  <c r="F13" i="47"/>
  <c r="F14" i="47"/>
  <c r="F15" i="47"/>
  <c r="F16" i="47"/>
  <c r="F17" i="47"/>
  <c r="F18" i="47"/>
  <c r="W52" i="3"/>
  <c r="T42" i="3"/>
  <c r="L45" i="3"/>
  <c r="D380" i="40" l="1" a="1"/>
  <c r="D380" i="40" s="1"/>
  <c r="D1112" i="40" a="1"/>
  <c r="D1112" i="40" s="1"/>
  <c r="D416" i="40" a="1"/>
  <c r="D416" i="40" s="1"/>
  <c r="D1096" i="40" a="1"/>
  <c r="D1096" i="40" s="1"/>
  <c r="D1104" i="40" a="1"/>
  <c r="D1104" i="40" s="1"/>
  <c r="D420" i="40" a="1"/>
  <c r="D420" i="40" s="1"/>
  <c r="D1100" i="40" a="1"/>
  <c r="D1100" i="40" s="1"/>
  <c r="D1108" i="40" a="1"/>
  <c r="D1108" i="40" s="1"/>
  <c r="D1116" i="40" a="1"/>
  <c r="D1116" i="40" s="1"/>
  <c r="D1124" i="40" a="1"/>
  <c r="D1124" i="40" s="1"/>
  <c r="D1092" i="40" a="1"/>
  <c r="D1092" i="40" s="1"/>
  <c r="D11" i="8" a="1"/>
  <c r="D11" i="8" s="1"/>
  <c r="D384" i="40" a="1"/>
  <c r="D384" i="40" s="1"/>
  <c r="D388" i="40" a="1"/>
  <c r="D388" i="40" s="1"/>
  <c r="D396" i="40" a="1"/>
  <c r="D396" i="40" s="1"/>
  <c r="D392" i="40" a="1"/>
  <c r="D392" i="40" s="1"/>
  <c r="D404" i="40" a="1"/>
  <c r="D404" i="40" s="1"/>
  <c r="D400" i="40" a="1"/>
  <c r="D400" i="40" s="1"/>
  <c r="D412" i="40" a="1"/>
  <c r="D412" i="40" s="1"/>
  <c r="D1084" i="40" a="1"/>
  <c r="D1084" i="40" s="1"/>
  <c r="D408" i="40" a="1"/>
  <c r="D408" i="40" s="1"/>
  <c r="D1088" i="40" a="1"/>
  <c r="D1088" i="40" s="1"/>
  <c r="D6" i="8" a="1"/>
  <c r="D6" i="8" s="1"/>
  <c r="D296" i="40" a="1"/>
  <c r="D296" i="40" s="1"/>
  <c r="D1000" i="40" a="1"/>
  <c r="D1000" i="40" s="1"/>
  <c r="D1002" i="40" a="1"/>
  <c r="D1002" i="40" s="1"/>
  <c r="D297" i="40" a="1"/>
  <c r="D297" i="40" s="1"/>
  <c r="D298" i="40" a="1"/>
  <c r="D298" i="40" s="1"/>
  <c r="D300" i="40" a="1"/>
  <c r="D300" i="40" s="1"/>
  <c r="D1004" i="40" a="1"/>
  <c r="D1004" i="40" s="1"/>
  <c r="D301" i="40" a="1"/>
  <c r="D301" i="40" s="1"/>
  <c r="D1005" i="40" a="1"/>
  <c r="D1005" i="40" s="1"/>
  <c r="D292" i="40" a="1"/>
  <c r="D292" i="40" s="1"/>
  <c r="D996" i="40" a="1"/>
  <c r="D996" i="40" s="1"/>
  <c r="D293" i="40" a="1"/>
  <c r="D293" i="40" s="1"/>
  <c r="D294" i="40" a="1"/>
  <c r="D294" i="40" s="1"/>
  <c r="D998" i="40" a="1"/>
  <c r="D998" i="40" s="1"/>
  <c r="D295" i="40" a="1"/>
  <c r="D295" i="40" s="1"/>
  <c r="D1001" i="40" a="1"/>
  <c r="D1001" i="40" s="1"/>
  <c r="D291" i="40" a="1"/>
  <c r="D291" i="40" s="1"/>
  <c r="D995" i="40" a="1"/>
  <c r="D995" i="40" s="1"/>
  <c r="D997" i="40" a="1"/>
  <c r="D997" i="40" s="1"/>
  <c r="D999" i="40" a="1"/>
  <c r="D999" i="40" s="1"/>
  <c r="D299" i="40" a="1"/>
  <c r="D299" i="40" s="1"/>
  <c r="D1003" i="40" a="1"/>
  <c r="D1003" i="40" s="1"/>
  <c r="D606" i="40" a="1"/>
  <c r="D606" i="40" s="1"/>
  <c r="D1307" i="40" a="1"/>
  <c r="D1307" i="40" s="1"/>
  <c r="D597" i="40" a="1"/>
  <c r="D597" i="40" s="1"/>
  <c r="D591" i="40" a="1"/>
  <c r="D591" i="40" s="1"/>
  <c r="D615" i="40" a="1"/>
  <c r="D615" i="40" s="1"/>
  <c r="D1292" i="40" a="1"/>
  <c r="D1292" i="40" s="1"/>
  <c r="D1316" i="40" a="1"/>
  <c r="D1316" i="40" s="1"/>
  <c r="D1298" i="40" a="1"/>
  <c r="D1298" i="40" s="1"/>
  <c r="D600" i="40" a="1"/>
  <c r="D600" i="40" s="1"/>
  <c r="D1301" i="40" a="1"/>
  <c r="D1301" i="40" s="1"/>
  <c r="D1322" i="40" a="1"/>
  <c r="D1322" i="40" s="1"/>
  <c r="D609" i="40" a="1"/>
  <c r="D609" i="40" s="1"/>
  <c r="D1310" i="40" a="1"/>
  <c r="D1310" i="40" s="1"/>
  <c r="D594" i="40" a="1"/>
  <c r="D594" i="40" s="1"/>
  <c r="D618" i="40" a="1"/>
  <c r="D618" i="40" s="1"/>
  <c r="D1295" i="40" a="1"/>
  <c r="D1295" i="40" s="1"/>
  <c r="D1319" i="40" a="1"/>
  <c r="D1319" i="40" s="1"/>
  <c r="D603" i="40" a="1"/>
  <c r="D603" i="40" s="1"/>
  <c r="D1304" i="40" a="1"/>
  <c r="D1304" i="40" s="1"/>
  <c r="D1313" i="40" a="1"/>
  <c r="D1313" i="40" s="1"/>
  <c r="D39" i="8" a="1"/>
  <c r="D39" i="8" s="1"/>
  <c r="D588" i="40" a="1"/>
  <c r="D588" i="40" s="1"/>
  <c r="D612" i="40" a="1"/>
  <c r="D612" i="40" s="1"/>
  <c r="D25" i="8" a="1"/>
  <c r="D25" i="8" s="1"/>
  <c r="D352" i="40" a="1"/>
  <c r="D352" i="40" s="1"/>
  <c r="D1040" i="40" a="1"/>
  <c r="D1040" i="40" s="1"/>
  <c r="D1048" i="40" a="1"/>
  <c r="D1048" i="40" s="1"/>
  <c r="D1056" i="40" a="1"/>
  <c r="D1056" i="40" s="1"/>
  <c r="D1064" i="40" a="1"/>
  <c r="D1064" i="40" s="1"/>
  <c r="D1072" i="40" a="1"/>
  <c r="D1072" i="40" s="1"/>
  <c r="D1080" i="40" a="1"/>
  <c r="D1080" i="40" s="1"/>
  <c r="D368" i="40" a="1"/>
  <c r="D368" i="40" s="1"/>
  <c r="D340" i="40" a="1"/>
  <c r="D340" i="40" s="1"/>
  <c r="D348" i="40" a="1"/>
  <c r="D348" i="40" s="1"/>
  <c r="D356" i="40" a="1"/>
  <c r="D356" i="40" s="1"/>
  <c r="D364" i="40" a="1"/>
  <c r="D364" i="40" s="1"/>
  <c r="D372" i="40" a="1"/>
  <c r="D372" i="40" s="1"/>
  <c r="D1060" i="40" a="1"/>
  <c r="D1060" i="40" s="1"/>
  <c r="D344" i="40" a="1"/>
  <c r="D344" i="40" s="1"/>
  <c r="D1044" i="40" a="1"/>
  <c r="D1044" i="40" s="1"/>
  <c r="D1068" i="40" a="1"/>
  <c r="D1068" i="40" s="1"/>
  <c r="D336" i="40" a="1"/>
  <c r="D336" i="40" s="1"/>
  <c r="D1052" i="40" a="1"/>
  <c r="D1052" i="40" s="1"/>
  <c r="D360" i="40" a="1"/>
  <c r="D360" i="40" s="1"/>
  <c r="D1076" i="40" a="1"/>
  <c r="D1076" i="40" s="1"/>
  <c r="D376" i="40" a="1"/>
  <c r="D376" i="40" s="1"/>
  <c r="D387" i="40" a="1"/>
  <c r="D387" i="40" s="1"/>
  <c r="D419" i="40" a="1"/>
  <c r="D419" i="40" s="1"/>
  <c r="D1087" i="40" a="1"/>
  <c r="D1087" i="40" s="1"/>
  <c r="D1119" i="40" a="1"/>
  <c r="D1119" i="40" s="1"/>
  <c r="D399" i="40" a="1"/>
  <c r="D399" i="40" s="1"/>
  <c r="D1099" i="40" a="1"/>
  <c r="D1099" i="40" s="1"/>
  <c r="D379" i="40" a="1"/>
  <c r="D379" i="40" s="1"/>
  <c r="D411" i="40" a="1"/>
  <c r="D411" i="40" s="1"/>
  <c r="D1111" i="40" a="1"/>
  <c r="D1111" i="40" s="1"/>
  <c r="D407" i="40" a="1"/>
  <c r="D407" i="40" s="1"/>
  <c r="D391" i="40" a="1"/>
  <c r="D391" i="40" s="1"/>
  <c r="D1091" i="40" a="1"/>
  <c r="D1091" i="40" s="1"/>
  <c r="D1123" i="40" a="1"/>
  <c r="D1123" i="40" s="1"/>
  <c r="D1095" i="40" a="1"/>
  <c r="D1095" i="40" s="1"/>
  <c r="D1107" i="40" a="1"/>
  <c r="D1107" i="40" s="1"/>
  <c r="D403" i="40" a="1"/>
  <c r="D403" i="40" s="1"/>
  <c r="D1103" i="40" a="1"/>
  <c r="D1103" i="40" s="1"/>
  <c r="D30" i="8" a="1"/>
  <c r="D30" i="8" s="1"/>
  <c r="D383" i="40" a="1"/>
  <c r="D383" i="40" s="1"/>
  <c r="D415" i="40" a="1"/>
  <c r="D415" i="40" s="1"/>
  <c r="D1083" i="40" a="1"/>
  <c r="D1083" i="40" s="1"/>
  <c r="D1115" i="40" a="1"/>
  <c r="D1115" i="40" s="1"/>
  <c r="D395" i="40" a="1"/>
  <c r="D395" i="40" s="1"/>
  <c r="D638" i="40" a="1"/>
  <c r="D638" i="40" s="1"/>
  <c r="D1339" i="40" a="1"/>
  <c r="D1339" i="40" s="1"/>
  <c r="D1337" i="40" a="1"/>
  <c r="D1337" i="40" s="1"/>
  <c r="D637" i="40" a="1"/>
  <c r="D637" i="40" s="1"/>
  <c r="D1338" i="40" a="1"/>
  <c r="D1338" i="40" s="1"/>
  <c r="D639" i="40" a="1"/>
  <c r="D639" i="40" s="1"/>
  <c r="D1340" i="40" a="1"/>
  <c r="D1340" i="40" s="1"/>
  <c r="D1341" i="40" a="1"/>
  <c r="D1341" i="40" s="1"/>
  <c r="D632" i="40" a="1"/>
  <c r="D632" i="40" s="1"/>
  <c r="D640" i="40" a="1"/>
  <c r="D640" i="40" s="1"/>
  <c r="D633" i="40" a="1"/>
  <c r="D633" i="40" s="1"/>
  <c r="D641" i="40" a="1"/>
  <c r="D641" i="40" s="1"/>
  <c r="D1342" i="40" a="1"/>
  <c r="D1342" i="40" s="1"/>
  <c r="D20" i="8" a="1"/>
  <c r="D20" i="8" s="1"/>
  <c r="D634" i="40" a="1"/>
  <c r="D634" i="40" s="1"/>
  <c r="D642" i="40" a="1"/>
  <c r="D642" i="40" s="1"/>
  <c r="D1343" i="40" a="1"/>
  <c r="D1343" i="40" s="1"/>
  <c r="D1345" i="40" a="1"/>
  <c r="D1345" i="40" s="1"/>
  <c r="D635" i="40" a="1"/>
  <c r="D635" i="40" s="1"/>
  <c r="D1336" i="40" a="1"/>
  <c r="D1336" i="40" s="1"/>
  <c r="D1344" i="40" a="1"/>
  <c r="D1344" i="40" s="1"/>
  <c r="D636" i="40" a="1"/>
  <c r="D636" i="40" s="1"/>
  <c r="D1346" i="40" a="1"/>
  <c r="D1346" i="40" s="1"/>
  <c r="D398" i="40" a="1"/>
  <c r="D398" i="40" s="1"/>
  <c r="D1098" i="40" a="1"/>
  <c r="D1098" i="40" s="1"/>
  <c r="D386" i="40" a="1"/>
  <c r="D386" i="40" s="1"/>
  <c r="D410" i="40" a="1"/>
  <c r="D410" i="40" s="1"/>
  <c r="D1110" i="40" a="1"/>
  <c r="D1110" i="40" s="1"/>
  <c r="D390" i="40" a="1"/>
  <c r="D390" i="40" s="1"/>
  <c r="D422" i="40" a="1"/>
  <c r="D422" i="40" s="1"/>
  <c r="D1090" i="40" a="1"/>
  <c r="D1090" i="40" s="1"/>
  <c r="D1122" i="40" a="1"/>
  <c r="D1122" i="40" s="1"/>
  <c r="D402" i="40" a="1"/>
  <c r="D402" i="40" s="1"/>
  <c r="D1102" i="40" a="1"/>
  <c r="D1102" i="40" s="1"/>
  <c r="D382" i="40" a="1"/>
  <c r="D382" i="40" s="1"/>
  <c r="D414" i="40" a="1"/>
  <c r="D414" i="40" s="1"/>
  <c r="D1114" i="40" a="1"/>
  <c r="D1114" i="40" s="1"/>
  <c r="D1106" i="40" a="1"/>
  <c r="D1106" i="40" s="1"/>
  <c r="D394" i="40" a="1"/>
  <c r="D394" i="40" s="1"/>
  <c r="D1094" i="40" a="1"/>
  <c r="D1094" i="40" s="1"/>
  <c r="D1126" i="40" a="1"/>
  <c r="D1126" i="40" s="1"/>
  <c r="D13" i="8" a="1"/>
  <c r="D13" i="8" s="1"/>
  <c r="D418" i="40" a="1"/>
  <c r="D418" i="40" s="1"/>
  <c r="D1086" i="40" a="1"/>
  <c r="D1086" i="40" s="1"/>
  <c r="D406" i="40" a="1"/>
  <c r="D406" i="40" s="1"/>
  <c r="D1118" i="40" a="1"/>
  <c r="D1118" i="40" s="1"/>
  <c r="D16" i="8" a="1"/>
  <c r="D16" i="8" s="1"/>
  <c r="D582" i="40" a="1"/>
  <c r="D582" i="40" s="1"/>
  <c r="D1283" i="40" a="1"/>
  <c r="D1283" i="40" s="1"/>
  <c r="D1291" i="40" a="1"/>
  <c r="D1291" i="40" s="1"/>
  <c r="D1285" i="40" a="1"/>
  <c r="D1285" i="40" s="1"/>
  <c r="D1281" i="40" a="1"/>
  <c r="D1281" i="40" s="1"/>
  <c r="D583" i="40" a="1"/>
  <c r="D583" i="40" s="1"/>
  <c r="D1284" i="40" a="1"/>
  <c r="D1284" i="40" s="1"/>
  <c r="D584" i="40" a="1"/>
  <c r="D584" i="40" s="1"/>
  <c r="D577" i="40" a="1"/>
  <c r="D577" i="40" s="1"/>
  <c r="D585" i="40" a="1"/>
  <c r="D585" i="40" s="1"/>
  <c r="D1286" i="40" a="1"/>
  <c r="D1286" i="40" s="1"/>
  <c r="D1282" i="40" a="1"/>
  <c r="D1282" i="40" s="1"/>
  <c r="D578" i="40" a="1"/>
  <c r="D578" i="40" s="1"/>
  <c r="D586" i="40" a="1"/>
  <c r="D586" i="40" s="1"/>
  <c r="D1287" i="40" a="1"/>
  <c r="D1287" i="40" s="1"/>
  <c r="D1289" i="40" a="1"/>
  <c r="D1289" i="40" s="1"/>
  <c r="D579" i="40" a="1"/>
  <c r="D579" i="40" s="1"/>
  <c r="D587" i="40" a="1"/>
  <c r="D587" i="40" s="1"/>
  <c r="D1288" i="40" a="1"/>
  <c r="D1288" i="40" s="1"/>
  <c r="D581" i="40" a="1"/>
  <c r="D581" i="40" s="1"/>
  <c r="D580" i="40" a="1"/>
  <c r="D580" i="40" s="1"/>
  <c r="D1290" i="40" a="1"/>
  <c r="D1290" i="40" s="1"/>
  <c r="D1039" i="40" a="1"/>
  <c r="D1039" i="40" s="1"/>
  <c r="D1047" i="40" a="1"/>
  <c r="D1047" i="40" s="1"/>
  <c r="D1055" i="40" a="1"/>
  <c r="D1055" i="40" s="1"/>
  <c r="D1063" i="40" a="1"/>
  <c r="D1063" i="40" s="1"/>
  <c r="D1071" i="40" a="1"/>
  <c r="D1071" i="40" s="1"/>
  <c r="D1079" i="40" a="1"/>
  <c r="D1079" i="40" s="1"/>
  <c r="D35" i="8" a="1"/>
  <c r="D35" i="8" s="1"/>
  <c r="D339" i="40" a="1"/>
  <c r="D339" i="40" s="1"/>
  <c r="D347" i="40" a="1"/>
  <c r="D347" i="40" s="1"/>
  <c r="D355" i="40" a="1"/>
  <c r="D355" i="40" s="1"/>
  <c r="D363" i="40" a="1"/>
  <c r="D363" i="40" s="1"/>
  <c r="D371" i="40" a="1"/>
  <c r="D371" i="40" s="1"/>
  <c r="D1043" i="40" a="1"/>
  <c r="D1043" i="40" s="1"/>
  <c r="D1051" i="40" a="1"/>
  <c r="D1051" i="40" s="1"/>
  <c r="D1059" i="40" a="1"/>
  <c r="D1059" i="40" s="1"/>
  <c r="D1067" i="40" a="1"/>
  <c r="D1067" i="40" s="1"/>
  <c r="D1075" i="40" a="1"/>
  <c r="D1075" i="40" s="1"/>
  <c r="D335" i="40" a="1"/>
  <c r="D335" i="40" s="1"/>
  <c r="D343" i="40" a="1"/>
  <c r="D343" i="40" s="1"/>
  <c r="D351" i="40" a="1"/>
  <c r="D351" i="40" s="1"/>
  <c r="D359" i="40" a="1"/>
  <c r="D359" i="40" s="1"/>
  <c r="D367" i="40" a="1"/>
  <c r="D367" i="40" s="1"/>
  <c r="D375" i="40" a="1"/>
  <c r="D375" i="40" s="1"/>
  <c r="L70" i="3"/>
  <c r="W70" i="3"/>
  <c r="A55" i="52"/>
  <c r="A42" i="52"/>
  <c r="A26" i="52"/>
  <c r="A53" i="52"/>
  <c r="A40" i="52"/>
  <c r="A24" i="52"/>
  <c r="A51" i="52" l="1"/>
  <c r="A50" i="52"/>
  <c r="E48" i="52"/>
  <c r="A47" i="52"/>
  <c r="A38" i="52"/>
  <c r="D43" i="19"/>
  <c r="G49" i="19"/>
  <c r="P70" i="3" s="1"/>
  <c r="C50" i="19"/>
  <c r="D50" i="19" s="1"/>
  <c r="K7" i="43"/>
  <c r="K8" i="43"/>
  <c r="K9" i="43"/>
  <c r="K10" i="43"/>
  <c r="K11" i="43"/>
  <c r="K12" i="43"/>
  <c r="K13" i="43"/>
  <c r="K14" i="43"/>
  <c r="K15" i="43"/>
  <c r="K16" i="43"/>
  <c r="K17" i="43"/>
  <c r="K18" i="43"/>
  <c r="K19" i="43"/>
  <c r="K20" i="43"/>
  <c r="K21" i="43"/>
  <c r="K22" i="43"/>
  <c r="K24" i="43"/>
  <c r="K25" i="43"/>
  <c r="K26" i="43"/>
  <c r="K27" i="43"/>
  <c r="K28" i="43"/>
  <c r="K29" i="43"/>
  <c r="K30" i="43"/>
  <c r="K31" i="43"/>
  <c r="K33" i="43"/>
  <c r="K34" i="43"/>
  <c r="K35" i="43"/>
  <c r="K36" i="43"/>
  <c r="K37" i="43"/>
  <c r="K38" i="43"/>
  <c r="K39" i="43"/>
  <c r="K40" i="43"/>
  <c r="K41" i="43"/>
  <c r="K42" i="43"/>
  <c r="K43" i="43"/>
  <c r="K44" i="43"/>
  <c r="K45" i="43"/>
  <c r="K46" i="43"/>
  <c r="K47" i="43"/>
  <c r="K48" i="43"/>
  <c r="K49" i="43"/>
  <c r="K50" i="43"/>
  <c r="K51" i="43"/>
  <c r="K52" i="43"/>
  <c r="K53" i="43"/>
  <c r="K54" i="43"/>
  <c r="K55" i="43"/>
  <c r="K56" i="43"/>
  <c r="K57" i="43"/>
  <c r="K58" i="43"/>
  <c r="K59" i="43"/>
  <c r="K60" i="43"/>
  <c r="K61" i="43"/>
  <c r="K62" i="43"/>
  <c r="K63" i="43"/>
  <c r="K64" i="43"/>
  <c r="K65" i="43"/>
  <c r="K66" i="43"/>
  <c r="K67" i="43"/>
  <c r="K68" i="43"/>
  <c r="K69" i="43"/>
  <c r="K70" i="43"/>
  <c r="K71" i="43"/>
  <c r="K72" i="43"/>
  <c r="K73" i="43"/>
  <c r="K74" i="43"/>
  <c r="K75" i="43"/>
  <c r="K76" i="43"/>
  <c r="K77" i="43"/>
  <c r="K78" i="43"/>
  <c r="K79" i="43"/>
  <c r="K80" i="43"/>
  <c r="K81" i="43"/>
  <c r="K82" i="43"/>
  <c r="K83" i="43"/>
  <c r="K84" i="43"/>
  <c r="K85" i="43"/>
  <c r="K86" i="43"/>
  <c r="K87" i="43"/>
  <c r="K88" i="43"/>
  <c r="K89" i="43"/>
  <c r="K90" i="43"/>
  <c r="K91" i="43"/>
  <c r="K92" i="43"/>
  <c r="K93" i="43"/>
  <c r="K94" i="43"/>
  <c r="K95" i="43"/>
  <c r="K96" i="43"/>
  <c r="K97" i="43"/>
  <c r="K98" i="43"/>
  <c r="K100" i="43"/>
  <c r="K101" i="43"/>
  <c r="K102" i="43"/>
  <c r="K103" i="43"/>
  <c r="K104" i="43"/>
  <c r="K105" i="43"/>
  <c r="K106" i="43"/>
  <c r="K107" i="43"/>
  <c r="K108" i="43"/>
  <c r="K109" i="43"/>
  <c r="K110" i="43"/>
  <c r="K111" i="43"/>
  <c r="K112" i="43"/>
  <c r="K113" i="43"/>
  <c r="K114" i="43"/>
  <c r="K115" i="43"/>
  <c r="K116" i="43"/>
  <c r="K117" i="43"/>
  <c r="K118" i="43"/>
  <c r="K119" i="43"/>
  <c r="K120" i="43"/>
  <c r="K121" i="43"/>
  <c r="K122" i="43"/>
  <c r="K123" i="43"/>
  <c r="K124" i="43"/>
  <c r="K125" i="43"/>
  <c r="K126" i="43"/>
  <c r="K127" i="43"/>
  <c r="K128" i="43"/>
  <c r="K129" i="43"/>
  <c r="K130" i="43"/>
  <c r="K131" i="43"/>
  <c r="K132" i="43"/>
  <c r="K133" i="43"/>
  <c r="K134" i="43"/>
  <c r="K135" i="43"/>
  <c r="K136" i="43"/>
  <c r="K137" i="43"/>
  <c r="K138" i="43"/>
  <c r="K139" i="43"/>
  <c r="K140" i="43"/>
  <c r="K141" i="43"/>
  <c r="K142" i="43"/>
  <c r="K143" i="43"/>
  <c r="K144" i="43"/>
  <c r="K145" i="43"/>
  <c r="K146" i="43"/>
  <c r="K147" i="43"/>
  <c r="K148" i="43"/>
  <c r="K150" i="43"/>
  <c r="K151" i="43"/>
  <c r="B38" i="19"/>
  <c r="K23" i="43" s="1"/>
  <c r="L33" i="43"/>
  <c r="K149" i="43" l="1"/>
  <c r="K99" i="43"/>
  <c r="K32" i="43"/>
  <c r="N6" i="4" l="1"/>
  <c r="N7" i="4"/>
  <c r="N8" i="4"/>
  <c r="N9" i="4"/>
  <c r="N10" i="4"/>
  <c r="N11" i="4"/>
  <c r="N68" i="4"/>
  <c r="N13" i="4"/>
  <c r="N14" i="4"/>
  <c r="N15" i="4"/>
  <c r="N16" i="4"/>
  <c r="N17" i="4"/>
  <c r="N18" i="4"/>
  <c r="N19" i="4"/>
  <c r="N12" i="4"/>
  <c r="N20" i="4"/>
  <c r="N21" i="4"/>
  <c r="N34" i="4"/>
  <c r="N63" i="4"/>
  <c r="N22" i="4"/>
  <c r="N26" i="4"/>
  <c r="N27" i="4"/>
  <c r="N51" i="4"/>
  <c r="N29" i="4"/>
  <c r="N30" i="4"/>
  <c r="N31" i="4"/>
  <c r="N32" i="4"/>
  <c r="N33" i="4"/>
  <c r="N75" i="4"/>
  <c r="N35" i="4"/>
  <c r="N36" i="4"/>
  <c r="N37" i="4"/>
  <c r="N38" i="4"/>
  <c r="N39" i="4"/>
  <c r="N40" i="4"/>
  <c r="N41" i="4"/>
  <c r="N42" i="4"/>
  <c r="N43" i="4"/>
  <c r="N44" i="4"/>
  <c r="N45" i="4"/>
  <c r="N46" i="4"/>
  <c r="N47" i="4"/>
  <c r="N48" i="4"/>
  <c r="N49" i="4"/>
  <c r="N50" i="4"/>
  <c r="N23" i="4"/>
  <c r="N76" i="4"/>
  <c r="N53" i="4"/>
  <c r="N54" i="4"/>
  <c r="N55" i="4"/>
  <c r="N56" i="4"/>
  <c r="N57" i="4"/>
  <c r="N24" i="4"/>
  <c r="N25" i="4"/>
  <c r="N72" i="4"/>
  <c r="N61" i="4"/>
  <c r="N62" i="4"/>
  <c r="N58" i="4"/>
  <c r="N64" i="4"/>
  <c r="N65" i="4"/>
  <c r="N66" i="4"/>
  <c r="N67" i="4"/>
  <c r="N59" i="4"/>
  <c r="N69" i="4"/>
  <c r="N70" i="4"/>
  <c r="N71" i="4"/>
  <c r="N60" i="4"/>
  <c r="N73" i="4"/>
  <c r="N74" i="4"/>
  <c r="N52" i="4"/>
  <c r="N28" i="4"/>
  <c r="B28" i="19" l="1"/>
  <c r="B27" i="19"/>
  <c r="B26" i="19"/>
  <c r="B25" i="19"/>
  <c r="B24" i="19"/>
  <c r="B23" i="19"/>
  <c r="B22" i="19"/>
  <c r="B21" i="19"/>
  <c r="B19" i="19"/>
  <c r="B18" i="19"/>
  <c r="B17" i="19"/>
  <c r="B16" i="19"/>
  <c r="B15" i="19"/>
  <c r="B14" i="19"/>
  <c r="B13" i="19"/>
  <c r="I33" i="43" s="1"/>
  <c r="B12" i="19"/>
  <c r="B11" i="19"/>
  <c r="B10" i="19"/>
  <c r="E40" i="3" l="1"/>
  <c r="E70" i="3"/>
  <c r="E41" i="3"/>
  <c r="E17" i="3"/>
  <c r="C19" i="45"/>
  <c r="C18" i="45"/>
  <c r="C21" i="45"/>
  <c r="C22" i="45"/>
  <c r="B103" i="31"/>
  <c r="B82" i="31"/>
  <c r="A40" i="46"/>
  <c r="A41" i="46"/>
  <c r="A42" i="46"/>
  <c r="A43" i="46"/>
  <c r="A44" i="46"/>
  <c r="A45" i="46"/>
  <c r="A46" i="46"/>
  <c r="A47" i="46"/>
  <c r="A48" i="46"/>
  <c r="A49" i="46"/>
  <c r="A50" i="46"/>
  <c r="A51" i="46"/>
  <c r="A52" i="46"/>
  <c r="A53" i="46"/>
  <c r="A54" i="46"/>
  <c r="A55" i="46"/>
  <c r="A56" i="46"/>
  <c r="A57" i="46"/>
  <c r="A58" i="46"/>
  <c r="A59" i="46"/>
  <c r="A60" i="46"/>
  <c r="A61" i="46"/>
  <c r="A62" i="46"/>
  <c r="A63" i="46"/>
  <c r="A64" i="46"/>
  <c r="A65" i="46"/>
  <c r="A66" i="46"/>
  <c r="A67" i="46"/>
  <c r="A68" i="46"/>
  <c r="A69" i="46"/>
  <c r="A70" i="46"/>
  <c r="A71" i="46"/>
  <c r="L159" i="42" l="1"/>
  <c r="L160" i="42"/>
  <c r="L161" i="42"/>
  <c r="L162" i="42"/>
  <c r="L163" i="42"/>
  <c r="L164" i="42"/>
  <c r="L165" i="42"/>
  <c r="L166" i="42"/>
  <c r="L167" i="42"/>
  <c r="L168" i="42"/>
  <c r="L301" i="42"/>
  <c r="L302" i="42"/>
  <c r="L303" i="42"/>
  <c r="L304" i="42"/>
  <c r="L305" i="42"/>
  <c r="L306" i="42"/>
  <c r="L307" i="42"/>
  <c r="L308" i="42"/>
  <c r="L309" i="42"/>
  <c r="L310" i="42"/>
  <c r="L531" i="42"/>
  <c r="L532" i="42"/>
  <c r="L533" i="42"/>
  <c r="L534" i="42"/>
  <c r="L535" i="42"/>
  <c r="L536" i="42"/>
  <c r="L537" i="42"/>
  <c r="L538" i="42"/>
  <c r="L539" i="42"/>
  <c r="L540" i="42"/>
  <c r="L673" i="42"/>
  <c r="L674" i="42"/>
  <c r="L675" i="42"/>
  <c r="L676" i="42"/>
  <c r="L677" i="42"/>
  <c r="L678" i="42"/>
  <c r="L679" i="42"/>
  <c r="L680" i="42"/>
  <c r="L681" i="42"/>
  <c r="L682" i="42"/>
  <c r="K159" i="42"/>
  <c r="K160" i="42"/>
  <c r="K161" i="42"/>
  <c r="K162" i="42"/>
  <c r="K163" i="42"/>
  <c r="K164" i="42"/>
  <c r="K165" i="42"/>
  <c r="K166" i="42"/>
  <c r="K167" i="42"/>
  <c r="K168" i="42"/>
  <c r="K301" i="42"/>
  <c r="K302" i="42"/>
  <c r="K303" i="42"/>
  <c r="K304" i="42"/>
  <c r="K305" i="42"/>
  <c r="K306" i="42"/>
  <c r="K307" i="42"/>
  <c r="K308" i="42"/>
  <c r="K309" i="42"/>
  <c r="K310" i="42"/>
  <c r="K531" i="42"/>
  <c r="K532" i="42"/>
  <c r="K533" i="42"/>
  <c r="K534" i="42"/>
  <c r="K535" i="42"/>
  <c r="K536" i="42"/>
  <c r="K537" i="42"/>
  <c r="K538" i="42"/>
  <c r="K539" i="42"/>
  <c r="K540" i="42"/>
  <c r="K673" i="42"/>
  <c r="K674" i="42"/>
  <c r="K675" i="42"/>
  <c r="K676" i="42"/>
  <c r="K677" i="42"/>
  <c r="K678" i="42"/>
  <c r="K679" i="42"/>
  <c r="K680" i="42"/>
  <c r="K681" i="42"/>
  <c r="K682" i="42"/>
  <c r="J159" i="42"/>
  <c r="J160" i="42"/>
  <c r="J161" i="42"/>
  <c r="J162" i="42"/>
  <c r="J163" i="42"/>
  <c r="J164" i="42"/>
  <c r="J165" i="42"/>
  <c r="J166" i="42"/>
  <c r="J167" i="42"/>
  <c r="J168" i="42"/>
  <c r="J301" i="42"/>
  <c r="J302" i="42"/>
  <c r="J303" i="42"/>
  <c r="J304" i="42"/>
  <c r="J305" i="42"/>
  <c r="J306" i="42"/>
  <c r="J307" i="42"/>
  <c r="J308" i="42"/>
  <c r="J309" i="42"/>
  <c r="J310" i="42"/>
  <c r="J531" i="42"/>
  <c r="J532" i="42"/>
  <c r="J533" i="42"/>
  <c r="J534" i="42"/>
  <c r="J535" i="42"/>
  <c r="J536" i="42"/>
  <c r="J537" i="42"/>
  <c r="J538" i="42"/>
  <c r="J539" i="42"/>
  <c r="J540" i="42"/>
  <c r="J673" i="42"/>
  <c r="J674" i="42"/>
  <c r="J675" i="42"/>
  <c r="J676" i="42"/>
  <c r="J677" i="42"/>
  <c r="J678" i="42"/>
  <c r="J679" i="42"/>
  <c r="J680" i="42"/>
  <c r="J681" i="42"/>
  <c r="J682" i="42"/>
  <c r="I682" i="42"/>
  <c r="I681" i="42"/>
  <c r="I680" i="42"/>
  <c r="I679" i="42"/>
  <c r="I678" i="42"/>
  <c r="I677" i="42"/>
  <c r="I676" i="42"/>
  <c r="I675" i="42"/>
  <c r="I674" i="42"/>
  <c r="I673" i="42"/>
  <c r="I540" i="42"/>
  <c r="I539" i="42"/>
  <c r="I538" i="42"/>
  <c r="I537" i="42"/>
  <c r="I536" i="42"/>
  <c r="I535" i="42"/>
  <c r="I534" i="42"/>
  <c r="I533" i="42"/>
  <c r="I532" i="42"/>
  <c r="I531" i="42"/>
  <c r="I310" i="42"/>
  <c r="I309" i="42"/>
  <c r="I308" i="42"/>
  <c r="I307" i="42"/>
  <c r="I306" i="42"/>
  <c r="I305" i="42"/>
  <c r="I304" i="42"/>
  <c r="I303" i="42"/>
  <c r="I302" i="42"/>
  <c r="I301" i="42"/>
  <c r="I168" i="42"/>
  <c r="I167" i="42"/>
  <c r="I166" i="42"/>
  <c r="I165" i="42"/>
  <c r="I164" i="42"/>
  <c r="I163" i="42"/>
  <c r="I162" i="42"/>
  <c r="I161" i="42"/>
  <c r="I160" i="42"/>
  <c r="I159" i="42"/>
  <c r="H159" i="42"/>
  <c r="H160" i="42"/>
  <c r="H161" i="42"/>
  <c r="H162" i="42"/>
  <c r="H163" i="42"/>
  <c r="H164" i="42"/>
  <c r="H165" i="42"/>
  <c r="H166" i="42"/>
  <c r="H167" i="42"/>
  <c r="H168" i="42"/>
  <c r="H301" i="42"/>
  <c r="H302" i="42"/>
  <c r="H303" i="42"/>
  <c r="H304" i="42"/>
  <c r="H305" i="42"/>
  <c r="H306" i="42"/>
  <c r="H307" i="42"/>
  <c r="H308" i="42"/>
  <c r="H309" i="42"/>
  <c r="H310" i="42"/>
  <c r="H531" i="42"/>
  <c r="H532" i="42"/>
  <c r="H533" i="42"/>
  <c r="H534" i="42"/>
  <c r="H535" i="42"/>
  <c r="H536" i="42"/>
  <c r="H537" i="42"/>
  <c r="H538" i="42"/>
  <c r="H539" i="42"/>
  <c r="H540" i="42"/>
  <c r="H673" i="42"/>
  <c r="H674" i="42"/>
  <c r="H675" i="42"/>
  <c r="H676" i="42"/>
  <c r="H677" i="42"/>
  <c r="H678" i="42"/>
  <c r="H679" i="42"/>
  <c r="H680" i="42"/>
  <c r="H681" i="42"/>
  <c r="H682" i="42"/>
  <c r="G159" i="42"/>
  <c r="G160" i="42"/>
  <c r="G161" i="42"/>
  <c r="G162" i="42"/>
  <c r="G163" i="42"/>
  <c r="G164" i="42"/>
  <c r="G165" i="42"/>
  <c r="G166" i="42"/>
  <c r="G167" i="42"/>
  <c r="G168" i="42"/>
  <c r="G301" i="42"/>
  <c r="G302" i="42"/>
  <c r="G303" i="42"/>
  <c r="G304" i="42"/>
  <c r="G305" i="42"/>
  <c r="G306" i="42"/>
  <c r="G307" i="42"/>
  <c r="G308" i="42"/>
  <c r="G309" i="42"/>
  <c r="G310" i="42"/>
  <c r="G531" i="42"/>
  <c r="G532" i="42"/>
  <c r="G533" i="42"/>
  <c r="G534" i="42"/>
  <c r="G535" i="42"/>
  <c r="G536" i="42"/>
  <c r="G537" i="42"/>
  <c r="G538" i="42"/>
  <c r="G539" i="42"/>
  <c r="G540" i="42"/>
  <c r="G673" i="42"/>
  <c r="G674" i="42"/>
  <c r="G675" i="42"/>
  <c r="G676" i="42"/>
  <c r="G677" i="42"/>
  <c r="G678" i="42"/>
  <c r="G679" i="42"/>
  <c r="G680" i="42"/>
  <c r="G681" i="42"/>
  <c r="G682" i="42"/>
  <c r="A377" i="42"/>
  <c r="A378" i="42"/>
  <c r="A379" i="42"/>
  <c r="A380" i="42"/>
  <c r="A381" i="42"/>
  <c r="A382" i="42"/>
  <c r="A383" i="42"/>
  <c r="A384" i="42"/>
  <c r="A385" i="42"/>
  <c r="A386" i="42"/>
  <c r="A387" i="42"/>
  <c r="A388" i="42"/>
  <c r="A389" i="42"/>
  <c r="A390" i="42"/>
  <c r="A391" i="42"/>
  <c r="A392" i="42"/>
  <c r="A393" i="42"/>
  <c r="A394" i="42"/>
  <c r="A395" i="42"/>
  <c r="A396" i="42"/>
  <c r="A397" i="42"/>
  <c r="A398" i="42"/>
  <c r="A399" i="42"/>
  <c r="A400" i="42"/>
  <c r="A401" i="42"/>
  <c r="A402" i="42"/>
  <c r="A403" i="42"/>
  <c r="A404" i="42"/>
  <c r="A405" i="42"/>
  <c r="A406" i="42"/>
  <c r="A407" i="42"/>
  <c r="A408" i="42"/>
  <c r="A409" i="42"/>
  <c r="A410" i="42"/>
  <c r="A411" i="42"/>
  <c r="A412" i="42"/>
  <c r="A413" i="42"/>
  <c r="A414" i="42"/>
  <c r="A415" i="42"/>
  <c r="A416" i="42"/>
  <c r="A417" i="42"/>
  <c r="A418" i="42"/>
  <c r="A419" i="42"/>
  <c r="A420" i="42"/>
  <c r="A421" i="42"/>
  <c r="A422" i="42"/>
  <c r="A423" i="42"/>
  <c r="A424" i="42"/>
  <c r="A425" i="42"/>
  <c r="A426" i="42"/>
  <c r="A427" i="42"/>
  <c r="A428" i="42"/>
  <c r="A429" i="42"/>
  <c r="A430" i="42"/>
  <c r="A431" i="42"/>
  <c r="A432" i="42"/>
  <c r="A433" i="42"/>
  <c r="A434" i="42"/>
  <c r="A435" i="42"/>
  <c r="A436" i="42"/>
  <c r="A437" i="42"/>
  <c r="A438" i="42"/>
  <c r="A439" i="42"/>
  <c r="A440" i="42"/>
  <c r="A441" i="42"/>
  <c r="A442" i="42"/>
  <c r="A443" i="42"/>
  <c r="A444" i="42"/>
  <c r="A445" i="42"/>
  <c r="A446" i="42"/>
  <c r="A447" i="42"/>
  <c r="A448" i="42"/>
  <c r="A449" i="42"/>
  <c r="A450" i="42"/>
  <c r="A451" i="42"/>
  <c r="A452" i="42"/>
  <c r="A453" i="42"/>
  <c r="A454" i="42"/>
  <c r="A455" i="42"/>
  <c r="A456" i="42"/>
  <c r="A457" i="42"/>
  <c r="A458" i="42"/>
  <c r="A459" i="42"/>
  <c r="A460" i="42"/>
  <c r="A461" i="42"/>
  <c r="A462" i="42"/>
  <c r="A463" i="42"/>
  <c r="A464" i="42"/>
  <c r="A465" i="42"/>
  <c r="A466" i="42"/>
  <c r="A467" i="42"/>
  <c r="A468" i="42"/>
  <c r="A469" i="42"/>
  <c r="A470" i="42"/>
  <c r="A471" i="42"/>
  <c r="A472" i="42"/>
  <c r="A473" i="42"/>
  <c r="A474" i="42"/>
  <c r="A475" i="42"/>
  <c r="A476" i="42"/>
  <c r="A477" i="42"/>
  <c r="A478" i="42"/>
  <c r="A479" i="42"/>
  <c r="A480" i="42"/>
  <c r="A481" i="42"/>
  <c r="A482" i="42"/>
  <c r="A483" i="42"/>
  <c r="A484" i="42"/>
  <c r="A485" i="42"/>
  <c r="A486" i="42"/>
  <c r="A487" i="42"/>
  <c r="A488" i="42"/>
  <c r="A489" i="42"/>
  <c r="A490" i="42"/>
  <c r="A491" i="42"/>
  <c r="A492" i="42"/>
  <c r="A493" i="42"/>
  <c r="A494" i="42"/>
  <c r="A495" i="42"/>
  <c r="A496" i="42"/>
  <c r="A497" i="42"/>
  <c r="A498" i="42"/>
  <c r="A499" i="42"/>
  <c r="A500" i="42"/>
  <c r="A501" i="42"/>
  <c r="A502" i="42"/>
  <c r="A503" i="42"/>
  <c r="A504" i="42"/>
  <c r="A505" i="42"/>
  <c r="A506" i="42"/>
  <c r="A507" i="42"/>
  <c r="A508" i="42"/>
  <c r="A509" i="42"/>
  <c r="A510" i="42"/>
  <c r="A511" i="42"/>
  <c r="A512" i="42"/>
  <c r="A513" i="42"/>
  <c r="A514" i="42"/>
  <c r="A515" i="42"/>
  <c r="A516" i="42"/>
  <c r="A517" i="42"/>
  <c r="A518" i="42"/>
  <c r="A519" i="42"/>
  <c r="A520" i="42"/>
  <c r="A521" i="42"/>
  <c r="A522" i="42"/>
  <c r="A523" i="42"/>
  <c r="A524" i="42"/>
  <c r="A525" i="42"/>
  <c r="A526" i="42"/>
  <c r="A527" i="42"/>
  <c r="A528" i="42"/>
  <c r="A529" i="42"/>
  <c r="A530" i="42"/>
  <c r="A531" i="42"/>
  <c r="A532" i="42"/>
  <c r="A533" i="42"/>
  <c r="A534" i="42"/>
  <c r="A535" i="42"/>
  <c r="A536" i="42"/>
  <c r="A537" i="42"/>
  <c r="A538" i="42"/>
  <c r="A539" i="42"/>
  <c r="A540" i="42"/>
  <c r="A541" i="42"/>
  <c r="A542" i="42"/>
  <c r="A543" i="42"/>
  <c r="A544" i="42"/>
  <c r="A545" i="42"/>
  <c r="A546" i="42"/>
  <c r="A547" i="42"/>
  <c r="A548" i="42"/>
  <c r="A549" i="42"/>
  <c r="A550" i="42"/>
  <c r="A551" i="42"/>
  <c r="A552" i="42"/>
  <c r="A553" i="42"/>
  <c r="A554" i="42"/>
  <c r="A555" i="42"/>
  <c r="A556" i="42"/>
  <c r="A557" i="42"/>
  <c r="A558" i="42"/>
  <c r="A559" i="42"/>
  <c r="A560" i="42"/>
  <c r="A561" i="42"/>
  <c r="A562" i="42"/>
  <c r="A563" i="42"/>
  <c r="A564" i="42"/>
  <c r="A565" i="42"/>
  <c r="A566" i="42"/>
  <c r="A567" i="42"/>
  <c r="A568" i="42"/>
  <c r="A569" i="42"/>
  <c r="A570" i="42"/>
  <c r="A571" i="42"/>
  <c r="A572" i="42"/>
  <c r="A573" i="42"/>
  <c r="A574" i="42"/>
  <c r="A575" i="42"/>
  <c r="A576" i="42"/>
  <c r="A577" i="42"/>
  <c r="A578" i="42"/>
  <c r="A579" i="42"/>
  <c r="A580" i="42"/>
  <c r="A581" i="42"/>
  <c r="A582" i="42"/>
  <c r="A583" i="42"/>
  <c r="A584" i="42"/>
  <c r="A585" i="42"/>
  <c r="A586" i="42"/>
  <c r="A587" i="42"/>
  <c r="A588" i="42"/>
  <c r="A589" i="42"/>
  <c r="A590" i="42"/>
  <c r="A591" i="42"/>
  <c r="A592" i="42"/>
  <c r="A593" i="42"/>
  <c r="A594" i="42"/>
  <c r="A595" i="42"/>
  <c r="A596" i="42"/>
  <c r="A597" i="42"/>
  <c r="A598" i="42"/>
  <c r="A599" i="42"/>
  <c r="A600" i="42"/>
  <c r="A601" i="42"/>
  <c r="A602" i="42"/>
  <c r="A603" i="42"/>
  <c r="A604" i="42"/>
  <c r="A605" i="42"/>
  <c r="A606" i="42"/>
  <c r="A607" i="42"/>
  <c r="A608" i="42"/>
  <c r="A609" i="42"/>
  <c r="A610" i="42"/>
  <c r="A611" i="42"/>
  <c r="A612" i="42"/>
  <c r="A613" i="42"/>
  <c r="A614" i="42"/>
  <c r="A615" i="42"/>
  <c r="A616" i="42"/>
  <c r="A617" i="42"/>
  <c r="A618" i="42"/>
  <c r="A619" i="42"/>
  <c r="A620" i="42"/>
  <c r="A621" i="42"/>
  <c r="A622" i="42"/>
  <c r="A623" i="42"/>
  <c r="A624" i="42"/>
  <c r="A625" i="42"/>
  <c r="A626" i="42"/>
  <c r="A627" i="42"/>
  <c r="A628" i="42"/>
  <c r="A629" i="42"/>
  <c r="A630" i="42"/>
  <c r="A631" i="42"/>
  <c r="A632" i="42"/>
  <c r="A633" i="42"/>
  <c r="A634" i="42"/>
  <c r="A635" i="42"/>
  <c r="A636" i="42"/>
  <c r="A637" i="42"/>
  <c r="A638" i="42"/>
  <c r="A639" i="42"/>
  <c r="A640" i="42"/>
  <c r="A641" i="42"/>
  <c r="A642" i="42"/>
  <c r="A643" i="42"/>
  <c r="A644" i="42"/>
  <c r="A645" i="42"/>
  <c r="A646" i="42"/>
  <c r="A647" i="42"/>
  <c r="A648" i="42"/>
  <c r="A649" i="42"/>
  <c r="A650" i="42"/>
  <c r="A651" i="42"/>
  <c r="A652" i="42"/>
  <c r="A653" i="42"/>
  <c r="A654" i="42"/>
  <c r="A655" i="42"/>
  <c r="A656" i="42"/>
  <c r="A657" i="42"/>
  <c r="A658" i="42"/>
  <c r="A659" i="42"/>
  <c r="A660" i="42"/>
  <c r="A661" i="42"/>
  <c r="A662" i="42"/>
  <c r="A663" i="42"/>
  <c r="A664" i="42"/>
  <c r="A665" i="42"/>
  <c r="A666" i="42"/>
  <c r="A667" i="42"/>
  <c r="A668" i="42"/>
  <c r="A669" i="42"/>
  <c r="A670" i="42"/>
  <c r="A671" i="42"/>
  <c r="A672" i="42"/>
  <c r="A673" i="42"/>
  <c r="A674" i="42"/>
  <c r="A675" i="42"/>
  <c r="A676" i="42"/>
  <c r="A677" i="42"/>
  <c r="A678" i="42"/>
  <c r="A679" i="42"/>
  <c r="A680" i="42"/>
  <c r="A681" i="42"/>
  <c r="A682" i="42"/>
  <c r="A683" i="42"/>
  <c r="A684" i="42"/>
  <c r="A685" i="42"/>
  <c r="A686" i="42"/>
  <c r="A687" i="42"/>
  <c r="A688" i="42"/>
  <c r="A689" i="42"/>
  <c r="A690" i="42"/>
  <c r="A691" i="42"/>
  <c r="A692" i="42"/>
  <c r="A693" i="42"/>
  <c r="A694" i="42"/>
  <c r="A695" i="42"/>
  <c r="A696" i="42"/>
  <c r="A697" i="42"/>
  <c r="A698" i="42"/>
  <c r="A699" i="42"/>
  <c r="A700" i="42"/>
  <c r="A701" i="42"/>
  <c r="A702" i="42"/>
  <c r="A703" i="42"/>
  <c r="A704" i="42"/>
  <c r="A705" i="42"/>
  <c r="A706" i="42"/>
  <c r="A707" i="42"/>
  <c r="A708" i="42"/>
  <c r="A709" i="42"/>
  <c r="A710" i="42"/>
  <c r="A711" i="42"/>
  <c r="A712" i="42"/>
  <c r="A713" i="42"/>
  <c r="A714" i="42"/>
  <c r="A715" i="42"/>
  <c r="A716" i="42"/>
  <c r="A717" i="42"/>
  <c r="A718" i="42"/>
  <c r="A719" i="42"/>
  <c r="A720" i="42"/>
  <c r="A721" i="42"/>
  <c r="A722" i="42"/>
  <c r="A723" i="42"/>
  <c r="A724" i="42"/>
  <c r="A725" i="42"/>
  <c r="A726" i="42"/>
  <c r="A727" i="42"/>
  <c r="A728" i="42"/>
  <c r="A729" i="42"/>
  <c r="A730" i="42"/>
  <c r="A731" i="42"/>
  <c r="A732" i="42"/>
  <c r="A733" i="42"/>
  <c r="A734" i="42"/>
  <c r="A735" i="42"/>
  <c r="A736" i="42"/>
  <c r="A737" i="42"/>
  <c r="A738" i="42"/>
  <c r="A739" i="42"/>
  <c r="A740" i="42"/>
  <c r="A741" i="42"/>
  <c r="A742" i="42"/>
  <c r="A743" i="42"/>
  <c r="A744" i="42"/>
  <c r="A745" i="42"/>
  <c r="A746" i="42"/>
  <c r="A747" i="42"/>
  <c r="A748" i="42"/>
  <c r="G5" i="40"/>
  <c r="G6" i="40"/>
  <c r="G7" i="40"/>
  <c r="G8" i="40"/>
  <c r="G9" i="40"/>
  <c r="G10" i="40"/>
  <c r="G11" i="40"/>
  <c r="G12" i="40"/>
  <c r="G13" i="40"/>
  <c r="G14" i="40"/>
  <c r="G15" i="40"/>
  <c r="G16" i="40"/>
  <c r="G17" i="40"/>
  <c r="G18" i="40"/>
  <c r="G19" i="40"/>
  <c r="G20" i="40"/>
  <c r="G21" i="40"/>
  <c r="G22" i="40"/>
  <c r="G23" i="40"/>
  <c r="G24" i="40"/>
  <c r="G25" i="40"/>
  <c r="G26" i="40"/>
  <c r="G27" i="40"/>
  <c r="G28" i="40"/>
  <c r="G29" i="40"/>
  <c r="G30" i="40"/>
  <c r="G31" i="40"/>
  <c r="G32" i="40"/>
  <c r="G33" i="40"/>
  <c r="G34" i="40"/>
  <c r="G35" i="40"/>
  <c r="G36" i="40"/>
  <c r="G37" i="40"/>
  <c r="G38" i="40"/>
  <c r="G39" i="40"/>
  <c r="G40" i="40"/>
  <c r="G41" i="40"/>
  <c r="G42" i="40"/>
  <c r="G43" i="40"/>
  <c r="G44" i="40"/>
  <c r="G45" i="40"/>
  <c r="G46" i="40"/>
  <c r="G47" i="40"/>
  <c r="G48" i="40"/>
  <c r="G49" i="40"/>
  <c r="G50" i="40"/>
  <c r="G51" i="40"/>
  <c r="G52" i="40"/>
  <c r="G53" i="40"/>
  <c r="G54" i="40"/>
  <c r="G55" i="40"/>
  <c r="G56" i="40"/>
  <c r="G57" i="40"/>
  <c r="G58" i="40"/>
  <c r="G59" i="40"/>
  <c r="G60" i="40"/>
  <c r="G61" i="40"/>
  <c r="G62" i="40"/>
  <c r="G63" i="40"/>
  <c r="G64" i="40"/>
  <c r="G65" i="40"/>
  <c r="G66" i="40"/>
  <c r="G67" i="40"/>
  <c r="G68" i="40"/>
  <c r="G69" i="40"/>
  <c r="G70" i="40"/>
  <c r="G71" i="40"/>
  <c r="G72" i="40"/>
  <c r="G73" i="40"/>
  <c r="G74" i="40"/>
  <c r="G75" i="40"/>
  <c r="G76" i="40"/>
  <c r="G77" i="40"/>
  <c r="G78" i="40"/>
  <c r="G79" i="40"/>
  <c r="G80" i="40"/>
  <c r="G81" i="40"/>
  <c r="G82" i="40"/>
  <c r="G83" i="40"/>
  <c r="G84" i="40"/>
  <c r="G85" i="40"/>
  <c r="G86" i="40"/>
  <c r="G87" i="40"/>
  <c r="G88" i="40"/>
  <c r="G89" i="40"/>
  <c r="G90" i="40"/>
  <c r="G91" i="40"/>
  <c r="G92" i="40"/>
  <c r="G93" i="40"/>
  <c r="G94" i="40"/>
  <c r="G95" i="40"/>
  <c r="G96" i="40"/>
  <c r="G97" i="40"/>
  <c r="G98" i="40"/>
  <c r="G99" i="40"/>
  <c r="G100" i="40"/>
  <c r="G101" i="40"/>
  <c r="G102" i="40"/>
  <c r="G103" i="40"/>
  <c r="G104" i="40"/>
  <c r="G105" i="40"/>
  <c r="G106" i="40"/>
  <c r="G107" i="40"/>
  <c r="G108" i="40"/>
  <c r="G109" i="40"/>
  <c r="G110" i="40"/>
  <c r="G111" i="40"/>
  <c r="G112" i="40"/>
  <c r="G113" i="40"/>
  <c r="G114" i="40"/>
  <c r="G115" i="40"/>
  <c r="G116" i="40"/>
  <c r="G117" i="40"/>
  <c r="G118" i="40"/>
  <c r="G119" i="40"/>
  <c r="G120" i="40"/>
  <c r="G121" i="40"/>
  <c r="G122" i="40"/>
  <c r="G123" i="40"/>
  <c r="G124" i="40"/>
  <c r="G125" i="40"/>
  <c r="G126" i="40"/>
  <c r="G127" i="40"/>
  <c r="G128" i="40"/>
  <c r="G129" i="40"/>
  <c r="G130" i="40"/>
  <c r="G131" i="40"/>
  <c r="G132" i="40"/>
  <c r="G133" i="40"/>
  <c r="G134" i="40"/>
  <c r="G135" i="40"/>
  <c r="G136" i="40"/>
  <c r="G137" i="40"/>
  <c r="G138" i="40"/>
  <c r="G139" i="40"/>
  <c r="G140" i="40"/>
  <c r="G141" i="40"/>
  <c r="G142" i="40"/>
  <c r="G143" i="40"/>
  <c r="G144" i="40"/>
  <c r="G145" i="40"/>
  <c r="G146" i="40"/>
  <c r="G147" i="40"/>
  <c r="G148" i="40"/>
  <c r="G149" i="40"/>
  <c r="G150" i="40"/>
  <c r="G151" i="40"/>
  <c r="G152" i="40"/>
  <c r="G153" i="40"/>
  <c r="G154" i="40"/>
  <c r="G155" i="40"/>
  <c r="G156" i="40"/>
  <c r="G157" i="40"/>
  <c r="G158" i="40"/>
  <c r="G159" i="40"/>
  <c r="G160" i="40"/>
  <c r="G161" i="40"/>
  <c r="G162" i="40"/>
  <c r="G163" i="40"/>
  <c r="G164" i="40"/>
  <c r="G165" i="40"/>
  <c r="G166" i="40"/>
  <c r="G167" i="40"/>
  <c r="G168" i="40"/>
  <c r="G169" i="40"/>
  <c r="G170" i="40"/>
  <c r="G171" i="40"/>
  <c r="G172" i="40"/>
  <c r="G173" i="40"/>
  <c r="G174" i="40"/>
  <c r="G175" i="40"/>
  <c r="G176" i="40"/>
  <c r="G177" i="40"/>
  <c r="G178" i="40"/>
  <c r="G179" i="40"/>
  <c r="G180" i="40"/>
  <c r="G181" i="40"/>
  <c r="G182" i="40"/>
  <c r="G183" i="40"/>
  <c r="G184" i="40"/>
  <c r="G185" i="40"/>
  <c r="G186" i="40"/>
  <c r="G187" i="40"/>
  <c r="G188" i="40"/>
  <c r="G189" i="40"/>
  <c r="G190" i="40"/>
  <c r="G191" i="40"/>
  <c r="G192" i="40"/>
  <c r="G193" i="40"/>
  <c r="G194" i="40"/>
  <c r="G195" i="40"/>
  <c r="G196" i="40"/>
  <c r="G197" i="40"/>
  <c r="G198" i="40"/>
  <c r="G199" i="40"/>
  <c r="G200" i="40"/>
  <c r="G201" i="40"/>
  <c r="G202" i="40"/>
  <c r="G203" i="40"/>
  <c r="G204" i="40"/>
  <c r="G205" i="40"/>
  <c r="G206" i="40"/>
  <c r="G207" i="40"/>
  <c r="G208" i="40"/>
  <c r="G209" i="40"/>
  <c r="G210" i="40"/>
  <c r="G211" i="40"/>
  <c r="G212" i="40"/>
  <c r="G213" i="40"/>
  <c r="G214" i="40"/>
  <c r="G215" i="40"/>
  <c r="G216" i="40"/>
  <c r="G217" i="40"/>
  <c r="G218" i="40"/>
  <c r="G219" i="40"/>
  <c r="G220" i="40"/>
  <c r="G221" i="40"/>
  <c r="G222" i="40"/>
  <c r="G223" i="40"/>
  <c r="G224" i="40"/>
  <c r="G225" i="40"/>
  <c r="G226" i="40"/>
  <c r="G227" i="40"/>
  <c r="G228" i="40"/>
  <c r="G229" i="40"/>
  <c r="G230" i="40"/>
  <c r="G231" i="40"/>
  <c r="G232" i="40"/>
  <c r="G233" i="40"/>
  <c r="G234" i="40"/>
  <c r="G235" i="40"/>
  <c r="G236" i="40"/>
  <c r="G237" i="40"/>
  <c r="G238" i="40"/>
  <c r="G239" i="40"/>
  <c r="G240" i="40"/>
  <c r="G241" i="40"/>
  <c r="G242" i="40"/>
  <c r="G243" i="40"/>
  <c r="G244" i="40"/>
  <c r="G245" i="40"/>
  <c r="G246" i="40"/>
  <c r="G247" i="40"/>
  <c r="G248" i="40"/>
  <c r="G249" i="40"/>
  <c r="G250" i="40"/>
  <c r="G251" i="40"/>
  <c r="G252" i="40"/>
  <c r="G253" i="40"/>
  <c r="G254" i="40"/>
  <c r="G255" i="40"/>
  <c r="G256" i="40"/>
  <c r="G257" i="40"/>
  <c r="G258" i="40"/>
  <c r="G259" i="40"/>
  <c r="G260" i="40"/>
  <c r="G261" i="40"/>
  <c r="G262" i="40"/>
  <c r="G263" i="40"/>
  <c r="G264" i="40"/>
  <c r="G265" i="40"/>
  <c r="G266" i="40"/>
  <c r="G267" i="40"/>
  <c r="G268" i="40"/>
  <c r="G269" i="40"/>
  <c r="G270" i="40"/>
  <c r="G271" i="40"/>
  <c r="G272" i="40"/>
  <c r="G273" i="40"/>
  <c r="G274" i="40"/>
  <c r="G275" i="40"/>
  <c r="G276" i="40"/>
  <c r="G277" i="40"/>
  <c r="G278" i="40"/>
  <c r="G279" i="40"/>
  <c r="G280" i="40"/>
  <c r="G281" i="40"/>
  <c r="G282" i="40"/>
  <c r="G283" i="40"/>
  <c r="G284" i="40"/>
  <c r="G285" i="40"/>
  <c r="G286" i="40"/>
  <c r="G287" i="40"/>
  <c r="G288" i="40"/>
  <c r="G289" i="40"/>
  <c r="G290" i="40"/>
  <c r="G291" i="40"/>
  <c r="G292" i="40"/>
  <c r="G293" i="40"/>
  <c r="G294" i="40"/>
  <c r="G295" i="40"/>
  <c r="G296" i="40"/>
  <c r="G297" i="40"/>
  <c r="G298" i="40"/>
  <c r="G299" i="40"/>
  <c r="G300" i="40"/>
  <c r="G301" i="40"/>
  <c r="G302" i="40"/>
  <c r="G303" i="40"/>
  <c r="G304" i="40"/>
  <c r="G305" i="40"/>
  <c r="G306" i="40"/>
  <c r="G307" i="40"/>
  <c r="G308" i="40"/>
  <c r="G309" i="40"/>
  <c r="G310" i="40"/>
  <c r="G311" i="40"/>
  <c r="G312" i="40"/>
  <c r="G313" i="40"/>
  <c r="G314" i="40"/>
  <c r="G315" i="40"/>
  <c r="G316" i="40"/>
  <c r="G317" i="40"/>
  <c r="G318" i="40"/>
  <c r="G319" i="40"/>
  <c r="G320" i="40"/>
  <c r="G321" i="40"/>
  <c r="G322" i="40"/>
  <c r="G323" i="40"/>
  <c r="G324" i="40"/>
  <c r="G325" i="40"/>
  <c r="G326" i="40"/>
  <c r="G327" i="40"/>
  <c r="G328" i="40"/>
  <c r="G329" i="40"/>
  <c r="G330" i="40"/>
  <c r="G331" i="40"/>
  <c r="G332" i="40"/>
  <c r="G333" i="40"/>
  <c r="G334" i="40"/>
  <c r="G335" i="40"/>
  <c r="G336" i="40"/>
  <c r="G337" i="40"/>
  <c r="G338" i="40"/>
  <c r="G339" i="40"/>
  <c r="G340" i="40"/>
  <c r="G341" i="40"/>
  <c r="G342" i="40"/>
  <c r="G343" i="40"/>
  <c r="G344" i="40"/>
  <c r="G345" i="40"/>
  <c r="G346" i="40"/>
  <c r="G347" i="40"/>
  <c r="G348" i="40"/>
  <c r="G349" i="40"/>
  <c r="G350" i="40"/>
  <c r="G351" i="40"/>
  <c r="G352" i="40"/>
  <c r="G353" i="40"/>
  <c r="G354" i="40"/>
  <c r="G355" i="40"/>
  <c r="G356" i="40"/>
  <c r="G357" i="40"/>
  <c r="G358" i="40"/>
  <c r="G359" i="40"/>
  <c r="G360" i="40"/>
  <c r="G361" i="40"/>
  <c r="G362" i="40"/>
  <c r="G363" i="40"/>
  <c r="G364" i="40"/>
  <c r="G365" i="40"/>
  <c r="G366" i="40"/>
  <c r="G367" i="40"/>
  <c r="G368" i="40"/>
  <c r="G369" i="40"/>
  <c r="G370" i="40"/>
  <c r="G371" i="40"/>
  <c r="G372" i="40"/>
  <c r="G373" i="40"/>
  <c r="G374" i="40"/>
  <c r="G375" i="40"/>
  <c r="G376" i="40"/>
  <c r="G377" i="40"/>
  <c r="G378" i="40"/>
  <c r="G379" i="40"/>
  <c r="G380" i="40"/>
  <c r="G381" i="40"/>
  <c r="G382" i="40"/>
  <c r="G383" i="40"/>
  <c r="G384" i="40"/>
  <c r="G385" i="40"/>
  <c r="G386" i="40"/>
  <c r="G387" i="40"/>
  <c r="G388" i="40"/>
  <c r="G389" i="40"/>
  <c r="G390" i="40"/>
  <c r="G391" i="40"/>
  <c r="G392" i="40"/>
  <c r="G393" i="40"/>
  <c r="G394" i="40"/>
  <c r="G395" i="40"/>
  <c r="G396" i="40"/>
  <c r="G397" i="40"/>
  <c r="G398" i="40"/>
  <c r="G399" i="40"/>
  <c r="G400" i="40"/>
  <c r="G401" i="40"/>
  <c r="G402" i="40"/>
  <c r="G403" i="40"/>
  <c r="G404" i="40"/>
  <c r="G405" i="40"/>
  <c r="G406" i="40"/>
  <c r="G407" i="40"/>
  <c r="G408" i="40"/>
  <c r="G409" i="40"/>
  <c r="G410" i="40"/>
  <c r="G411" i="40"/>
  <c r="G412" i="40"/>
  <c r="G413" i="40"/>
  <c r="G414" i="40"/>
  <c r="G415" i="40"/>
  <c r="G416" i="40"/>
  <c r="G417" i="40"/>
  <c r="G418" i="40"/>
  <c r="G419" i="40"/>
  <c r="G420" i="40"/>
  <c r="G421" i="40"/>
  <c r="G422" i="40"/>
  <c r="G423" i="40"/>
  <c r="G424" i="40"/>
  <c r="G425" i="40"/>
  <c r="G426" i="40"/>
  <c r="G427" i="40"/>
  <c r="G428" i="40"/>
  <c r="G429" i="40"/>
  <c r="G430" i="40"/>
  <c r="G431" i="40"/>
  <c r="G432" i="40"/>
  <c r="G433" i="40"/>
  <c r="G434" i="40"/>
  <c r="G435" i="40"/>
  <c r="G436" i="40"/>
  <c r="G437" i="40"/>
  <c r="G438" i="40"/>
  <c r="G439" i="40"/>
  <c r="G440" i="40"/>
  <c r="G441" i="40"/>
  <c r="G442" i="40"/>
  <c r="G443" i="40"/>
  <c r="G444" i="40"/>
  <c r="G445" i="40"/>
  <c r="G446" i="40"/>
  <c r="G447" i="40"/>
  <c r="G448" i="40"/>
  <c r="G449" i="40"/>
  <c r="G450" i="40"/>
  <c r="G451" i="40"/>
  <c r="G452" i="40"/>
  <c r="G453" i="40"/>
  <c r="G454" i="40"/>
  <c r="G455" i="40"/>
  <c r="G456" i="40"/>
  <c r="G457" i="40"/>
  <c r="G458" i="40"/>
  <c r="G459" i="40"/>
  <c r="G460" i="40"/>
  <c r="G461" i="40"/>
  <c r="G462" i="40"/>
  <c r="G463" i="40"/>
  <c r="G464" i="40"/>
  <c r="G465" i="40"/>
  <c r="G466" i="40"/>
  <c r="G467" i="40"/>
  <c r="G468" i="40"/>
  <c r="G469" i="40"/>
  <c r="G470" i="40"/>
  <c r="G471" i="40"/>
  <c r="G472" i="40"/>
  <c r="G473" i="40"/>
  <c r="G474" i="40"/>
  <c r="G475" i="40"/>
  <c r="G476" i="40"/>
  <c r="G477" i="40"/>
  <c r="G478" i="40"/>
  <c r="G479" i="40"/>
  <c r="G480" i="40"/>
  <c r="G481" i="40"/>
  <c r="G482" i="40"/>
  <c r="G483" i="40"/>
  <c r="G484" i="40"/>
  <c r="G485" i="40"/>
  <c r="G486" i="40"/>
  <c r="G487" i="40"/>
  <c r="G488" i="40"/>
  <c r="G489" i="40"/>
  <c r="G490" i="40"/>
  <c r="G491" i="40"/>
  <c r="G492" i="40"/>
  <c r="G493" i="40"/>
  <c r="G494" i="40"/>
  <c r="G495" i="40"/>
  <c r="G496" i="40"/>
  <c r="G497" i="40"/>
  <c r="G498" i="40"/>
  <c r="G499" i="40"/>
  <c r="G500" i="40"/>
  <c r="G501" i="40"/>
  <c r="G502" i="40"/>
  <c r="G503" i="40"/>
  <c r="G504" i="40"/>
  <c r="G505" i="40"/>
  <c r="G506" i="40"/>
  <c r="G507" i="40"/>
  <c r="G508" i="40"/>
  <c r="G509" i="40"/>
  <c r="G510" i="40"/>
  <c r="G511" i="40"/>
  <c r="G512" i="40"/>
  <c r="G513" i="40"/>
  <c r="G514" i="40"/>
  <c r="G515" i="40"/>
  <c r="G516" i="40"/>
  <c r="G517" i="40"/>
  <c r="G518" i="40"/>
  <c r="G519" i="40"/>
  <c r="G520" i="40"/>
  <c r="G521" i="40"/>
  <c r="G522" i="40"/>
  <c r="G523" i="40"/>
  <c r="G524" i="40"/>
  <c r="G525" i="40"/>
  <c r="G526" i="40"/>
  <c r="G527" i="40"/>
  <c r="G528" i="40"/>
  <c r="G529" i="40"/>
  <c r="G530" i="40"/>
  <c r="G531" i="40"/>
  <c r="G532" i="40"/>
  <c r="G533" i="40"/>
  <c r="G534" i="40"/>
  <c r="G535" i="40"/>
  <c r="G536" i="40"/>
  <c r="G537" i="40"/>
  <c r="G538" i="40"/>
  <c r="G539" i="40"/>
  <c r="G540" i="40"/>
  <c r="G541" i="40"/>
  <c r="G542" i="40"/>
  <c r="G543" i="40"/>
  <c r="G544" i="40"/>
  <c r="G545" i="40"/>
  <c r="G546" i="40"/>
  <c r="G547" i="40"/>
  <c r="G548" i="40"/>
  <c r="G549" i="40"/>
  <c r="G550" i="40"/>
  <c r="G551" i="40"/>
  <c r="G552" i="40"/>
  <c r="G553" i="40"/>
  <c r="G554" i="40"/>
  <c r="G555" i="40"/>
  <c r="G556" i="40"/>
  <c r="G557" i="40"/>
  <c r="G558" i="40"/>
  <c r="G559" i="40"/>
  <c r="G560" i="40"/>
  <c r="G561" i="40"/>
  <c r="G562" i="40"/>
  <c r="G563" i="40"/>
  <c r="G564" i="40"/>
  <c r="G565" i="40"/>
  <c r="G566" i="40"/>
  <c r="G567" i="40"/>
  <c r="G568" i="40"/>
  <c r="G569" i="40"/>
  <c r="G570" i="40"/>
  <c r="G571" i="40"/>
  <c r="G572" i="40"/>
  <c r="G573" i="40"/>
  <c r="G574" i="40"/>
  <c r="G575" i="40"/>
  <c r="G576" i="40"/>
  <c r="G577" i="40"/>
  <c r="G578" i="40"/>
  <c r="G579" i="40"/>
  <c r="G580" i="40"/>
  <c r="G581" i="40"/>
  <c r="G582" i="40"/>
  <c r="G583" i="40"/>
  <c r="G584" i="40"/>
  <c r="G585" i="40"/>
  <c r="G586" i="40"/>
  <c r="G587" i="40"/>
  <c r="G588" i="40"/>
  <c r="G589" i="40"/>
  <c r="G590" i="40"/>
  <c r="G591" i="40"/>
  <c r="G592" i="40"/>
  <c r="G593" i="40"/>
  <c r="G594" i="40"/>
  <c r="G595" i="40"/>
  <c r="G596" i="40"/>
  <c r="G597" i="40"/>
  <c r="G598" i="40"/>
  <c r="G599" i="40"/>
  <c r="G600" i="40"/>
  <c r="G601" i="40"/>
  <c r="G602" i="40"/>
  <c r="G603" i="40"/>
  <c r="G604" i="40"/>
  <c r="G605" i="40"/>
  <c r="G606" i="40"/>
  <c r="G607" i="40"/>
  <c r="G608" i="40"/>
  <c r="G609" i="40"/>
  <c r="G610" i="40"/>
  <c r="G611" i="40"/>
  <c r="G612" i="40"/>
  <c r="G613" i="40"/>
  <c r="G614" i="40"/>
  <c r="G615" i="40"/>
  <c r="G616" i="40"/>
  <c r="G617" i="40"/>
  <c r="G618" i="40"/>
  <c r="G619" i="40"/>
  <c r="G620" i="40"/>
  <c r="G621" i="40"/>
  <c r="G622" i="40"/>
  <c r="G623" i="40"/>
  <c r="G624" i="40"/>
  <c r="G625" i="40"/>
  <c r="G626" i="40"/>
  <c r="G627" i="40"/>
  <c r="G628" i="40"/>
  <c r="G629" i="40"/>
  <c r="G630" i="40"/>
  <c r="G631" i="40"/>
  <c r="G632" i="40"/>
  <c r="G633" i="40"/>
  <c r="G634" i="40"/>
  <c r="G635" i="40"/>
  <c r="G636" i="40"/>
  <c r="G637" i="40"/>
  <c r="G638" i="40"/>
  <c r="G639" i="40"/>
  <c r="G640" i="40"/>
  <c r="G641" i="40"/>
  <c r="G642" i="40"/>
  <c r="G643" i="40"/>
  <c r="G644" i="40"/>
  <c r="G645" i="40"/>
  <c r="G646" i="40"/>
  <c r="G647" i="40"/>
  <c r="G648" i="40"/>
  <c r="G649" i="40"/>
  <c r="G650" i="40"/>
  <c r="G651" i="40"/>
  <c r="G652" i="40"/>
  <c r="G653" i="40"/>
  <c r="G654" i="40"/>
  <c r="G655" i="40"/>
  <c r="G656" i="40"/>
  <c r="G657" i="40"/>
  <c r="G658" i="40"/>
  <c r="G659" i="40"/>
  <c r="G660" i="40"/>
  <c r="G661" i="40"/>
  <c r="G662" i="40"/>
  <c r="G663" i="40"/>
  <c r="G664" i="40"/>
  <c r="G665" i="40"/>
  <c r="G666" i="40"/>
  <c r="G667" i="40"/>
  <c r="G668" i="40"/>
  <c r="G669" i="40"/>
  <c r="G670" i="40"/>
  <c r="G671" i="40"/>
  <c r="G672" i="40"/>
  <c r="G673" i="40"/>
  <c r="G674" i="40"/>
  <c r="G675" i="40"/>
  <c r="G676" i="40"/>
  <c r="G677" i="40"/>
  <c r="G678" i="40"/>
  <c r="G679" i="40"/>
  <c r="G680" i="40"/>
  <c r="G681" i="40"/>
  <c r="G682" i="40"/>
  <c r="G683" i="40"/>
  <c r="G684" i="40"/>
  <c r="G685" i="40"/>
  <c r="G686" i="40"/>
  <c r="G687" i="40"/>
  <c r="G688" i="40"/>
  <c r="G689" i="40"/>
  <c r="G690" i="40"/>
  <c r="G691" i="40"/>
  <c r="G692" i="40"/>
  <c r="G693" i="40"/>
  <c r="G694" i="40"/>
  <c r="G695" i="40"/>
  <c r="G696" i="40"/>
  <c r="G697" i="40"/>
  <c r="G698" i="40"/>
  <c r="G699" i="40"/>
  <c r="G700" i="40"/>
  <c r="G701" i="40"/>
  <c r="G702" i="40"/>
  <c r="G703" i="40"/>
  <c r="G704" i="40"/>
  <c r="G705" i="40"/>
  <c r="G706" i="40"/>
  <c r="G707" i="40"/>
  <c r="G708" i="40"/>
  <c r="G709" i="40"/>
  <c r="G710" i="40"/>
  <c r="G711" i="40"/>
  <c r="G712" i="40"/>
  <c r="G713" i="40"/>
  <c r="G714" i="40"/>
  <c r="G715" i="40"/>
  <c r="G716" i="40"/>
  <c r="G717" i="40"/>
  <c r="G718" i="40"/>
  <c r="G719" i="40"/>
  <c r="G720" i="40"/>
  <c r="G721" i="40"/>
  <c r="G722" i="40"/>
  <c r="G723" i="40"/>
  <c r="G724" i="40"/>
  <c r="G725" i="40"/>
  <c r="G726" i="40"/>
  <c r="G727" i="40"/>
  <c r="G728" i="40"/>
  <c r="G729" i="40"/>
  <c r="G730" i="40"/>
  <c r="G731" i="40"/>
  <c r="G732" i="40"/>
  <c r="G733" i="40"/>
  <c r="G734" i="40"/>
  <c r="G735" i="40"/>
  <c r="G736" i="40"/>
  <c r="G737" i="40"/>
  <c r="G738" i="40"/>
  <c r="G739" i="40"/>
  <c r="G740" i="40"/>
  <c r="G741" i="40"/>
  <c r="G742" i="40"/>
  <c r="G743" i="40"/>
  <c r="G744" i="40"/>
  <c r="G745" i="40"/>
  <c r="G746" i="40"/>
  <c r="G747" i="40"/>
  <c r="G748" i="40"/>
  <c r="G749" i="40"/>
  <c r="G750" i="40"/>
  <c r="G751" i="40"/>
  <c r="G752" i="40"/>
  <c r="G753" i="40"/>
  <c r="G754" i="40"/>
  <c r="G755" i="40"/>
  <c r="G756" i="40"/>
  <c r="G757" i="40"/>
  <c r="G758" i="40"/>
  <c r="G759" i="40"/>
  <c r="G760" i="40"/>
  <c r="G761" i="40"/>
  <c r="G762" i="40"/>
  <c r="G763" i="40"/>
  <c r="G764" i="40"/>
  <c r="G765" i="40"/>
  <c r="G766" i="40"/>
  <c r="G767" i="40"/>
  <c r="G768" i="40"/>
  <c r="G769" i="40"/>
  <c r="G770" i="40"/>
  <c r="G771" i="40"/>
  <c r="G772" i="40"/>
  <c r="G773" i="40"/>
  <c r="G774" i="40"/>
  <c r="G775" i="40"/>
  <c r="G776" i="40"/>
  <c r="G777" i="40"/>
  <c r="G778" i="40"/>
  <c r="G779" i="40"/>
  <c r="G780" i="40"/>
  <c r="G781" i="40"/>
  <c r="G782" i="40"/>
  <c r="G783" i="40"/>
  <c r="G784" i="40"/>
  <c r="G785" i="40"/>
  <c r="G786" i="40"/>
  <c r="G787" i="40"/>
  <c r="G788" i="40"/>
  <c r="G789" i="40"/>
  <c r="G790" i="40"/>
  <c r="G791" i="40"/>
  <c r="G792" i="40"/>
  <c r="G793" i="40"/>
  <c r="G794" i="40"/>
  <c r="G795" i="40"/>
  <c r="G796" i="40"/>
  <c r="G797" i="40"/>
  <c r="G798" i="40"/>
  <c r="G799" i="40"/>
  <c r="G800" i="40"/>
  <c r="G801" i="40"/>
  <c r="G802" i="40"/>
  <c r="G803" i="40"/>
  <c r="G804" i="40"/>
  <c r="G805" i="40"/>
  <c r="G806" i="40"/>
  <c r="G807" i="40"/>
  <c r="G808" i="40"/>
  <c r="G809" i="40"/>
  <c r="G810" i="40"/>
  <c r="G811" i="40"/>
  <c r="G812" i="40"/>
  <c r="G813" i="40"/>
  <c r="G814" i="40"/>
  <c r="G815" i="40"/>
  <c r="G816" i="40"/>
  <c r="G817" i="40"/>
  <c r="G818" i="40"/>
  <c r="G819" i="40"/>
  <c r="G820" i="40"/>
  <c r="G821" i="40"/>
  <c r="G822" i="40"/>
  <c r="G823" i="40"/>
  <c r="G824" i="40"/>
  <c r="G825" i="40"/>
  <c r="G826" i="40"/>
  <c r="G827" i="40"/>
  <c r="G828" i="40"/>
  <c r="G829" i="40"/>
  <c r="G830" i="40"/>
  <c r="G831" i="40"/>
  <c r="G832" i="40"/>
  <c r="G833" i="40"/>
  <c r="G834" i="40"/>
  <c r="G835" i="40"/>
  <c r="G836" i="40"/>
  <c r="G837" i="40"/>
  <c r="G838" i="40"/>
  <c r="G839" i="40"/>
  <c r="G840" i="40"/>
  <c r="G841" i="40"/>
  <c r="G842" i="40"/>
  <c r="G843" i="40"/>
  <c r="G844" i="40"/>
  <c r="G845" i="40"/>
  <c r="G846" i="40"/>
  <c r="G847" i="40"/>
  <c r="G848" i="40"/>
  <c r="G849" i="40"/>
  <c r="G850" i="40"/>
  <c r="G851" i="40"/>
  <c r="G852" i="40"/>
  <c r="G853" i="40"/>
  <c r="G854" i="40"/>
  <c r="G855" i="40"/>
  <c r="G856" i="40"/>
  <c r="G857" i="40"/>
  <c r="G858" i="40"/>
  <c r="G859" i="40"/>
  <c r="G860" i="40"/>
  <c r="G861" i="40"/>
  <c r="G862" i="40"/>
  <c r="G863" i="40"/>
  <c r="G864" i="40"/>
  <c r="G865" i="40"/>
  <c r="G866" i="40"/>
  <c r="G867" i="40"/>
  <c r="G868" i="40"/>
  <c r="G869" i="40"/>
  <c r="G870" i="40"/>
  <c r="G871" i="40"/>
  <c r="G872" i="40"/>
  <c r="G873" i="40"/>
  <c r="G874" i="40"/>
  <c r="G875" i="40"/>
  <c r="G876" i="40"/>
  <c r="G877" i="40"/>
  <c r="G878" i="40"/>
  <c r="G879" i="40"/>
  <c r="G880" i="40"/>
  <c r="G881" i="40"/>
  <c r="G882" i="40"/>
  <c r="G883" i="40"/>
  <c r="G884" i="40"/>
  <c r="G885" i="40"/>
  <c r="G886" i="40"/>
  <c r="G887" i="40"/>
  <c r="G888" i="40"/>
  <c r="G889" i="40"/>
  <c r="G890" i="40"/>
  <c r="G891" i="40"/>
  <c r="G892" i="40"/>
  <c r="G893" i="40"/>
  <c r="G894" i="40"/>
  <c r="G895" i="40"/>
  <c r="G896" i="40"/>
  <c r="G897" i="40"/>
  <c r="G898" i="40"/>
  <c r="G899" i="40"/>
  <c r="G900" i="40"/>
  <c r="G901" i="40"/>
  <c r="G902" i="40"/>
  <c r="G903" i="40"/>
  <c r="G904" i="40"/>
  <c r="G905" i="40"/>
  <c r="G906" i="40"/>
  <c r="G907" i="40"/>
  <c r="G908" i="40"/>
  <c r="G909" i="40"/>
  <c r="G910" i="40"/>
  <c r="G911" i="40"/>
  <c r="G912" i="40"/>
  <c r="G913" i="40"/>
  <c r="G914" i="40"/>
  <c r="G915" i="40"/>
  <c r="G916" i="40"/>
  <c r="G917" i="40"/>
  <c r="G918" i="40"/>
  <c r="G919" i="40"/>
  <c r="G920" i="40"/>
  <c r="G921" i="40"/>
  <c r="G922" i="40"/>
  <c r="G923" i="40"/>
  <c r="G924" i="40"/>
  <c r="G925" i="40"/>
  <c r="G926" i="40"/>
  <c r="G927" i="40"/>
  <c r="G928" i="40"/>
  <c r="G929" i="40"/>
  <c r="G930" i="40"/>
  <c r="G931" i="40"/>
  <c r="G932" i="40"/>
  <c r="G933" i="40"/>
  <c r="G934" i="40"/>
  <c r="G935" i="40"/>
  <c r="G936" i="40"/>
  <c r="G937" i="40"/>
  <c r="G938" i="40"/>
  <c r="G939" i="40"/>
  <c r="G940" i="40"/>
  <c r="G941" i="40"/>
  <c r="G942" i="40"/>
  <c r="G943" i="40"/>
  <c r="G944" i="40"/>
  <c r="G945" i="40"/>
  <c r="G946" i="40"/>
  <c r="G947" i="40"/>
  <c r="G948" i="40"/>
  <c r="G949" i="40"/>
  <c r="G950" i="40"/>
  <c r="G951" i="40"/>
  <c r="G952" i="40"/>
  <c r="G953" i="40"/>
  <c r="G954" i="40"/>
  <c r="G955" i="40"/>
  <c r="G956" i="40"/>
  <c r="G957" i="40"/>
  <c r="G958" i="40"/>
  <c r="G959" i="40"/>
  <c r="G960" i="40"/>
  <c r="G961" i="40"/>
  <c r="G962" i="40"/>
  <c r="G963" i="40"/>
  <c r="G964" i="40"/>
  <c r="G965" i="40"/>
  <c r="G966" i="40"/>
  <c r="G967" i="40"/>
  <c r="G968" i="40"/>
  <c r="G969" i="40"/>
  <c r="G970" i="40"/>
  <c r="G971" i="40"/>
  <c r="G972" i="40"/>
  <c r="G973" i="40"/>
  <c r="G974" i="40"/>
  <c r="G975" i="40"/>
  <c r="G976" i="40"/>
  <c r="G977" i="40"/>
  <c r="G978" i="40"/>
  <c r="G979" i="40"/>
  <c r="G980" i="40"/>
  <c r="G981" i="40"/>
  <c r="G982" i="40"/>
  <c r="G983" i="40"/>
  <c r="G984" i="40"/>
  <c r="G985" i="40"/>
  <c r="G986" i="40"/>
  <c r="G987" i="40"/>
  <c r="G988" i="40"/>
  <c r="G989" i="40"/>
  <c r="G990" i="40"/>
  <c r="G991" i="40"/>
  <c r="G992" i="40"/>
  <c r="G993" i="40"/>
  <c r="G994" i="40"/>
  <c r="G995" i="40"/>
  <c r="G996" i="40"/>
  <c r="G997" i="40"/>
  <c r="G998" i="40"/>
  <c r="G999" i="40"/>
  <c r="G1000" i="40"/>
  <c r="G1001" i="40"/>
  <c r="G1002" i="40"/>
  <c r="G1003" i="40"/>
  <c r="G1004" i="40"/>
  <c r="G1005" i="40"/>
  <c r="G1006" i="40"/>
  <c r="G1007" i="40"/>
  <c r="G1008" i="40"/>
  <c r="G1009" i="40"/>
  <c r="G1010" i="40"/>
  <c r="G1011" i="40"/>
  <c r="G1012" i="40"/>
  <c r="G1013" i="40"/>
  <c r="G1014" i="40"/>
  <c r="G1015" i="40"/>
  <c r="G1016" i="40"/>
  <c r="G1017" i="40"/>
  <c r="G1018" i="40"/>
  <c r="G1019" i="40"/>
  <c r="G1020" i="40"/>
  <c r="G1021" i="40"/>
  <c r="G1022" i="40"/>
  <c r="G1023" i="40"/>
  <c r="G1024" i="40"/>
  <c r="G1025" i="40"/>
  <c r="G1026" i="40"/>
  <c r="G1027" i="40"/>
  <c r="G1028" i="40"/>
  <c r="G1029" i="40"/>
  <c r="G1030" i="40"/>
  <c r="G1031" i="40"/>
  <c r="G1032" i="40"/>
  <c r="G1033" i="40"/>
  <c r="G1034" i="40"/>
  <c r="G1035" i="40"/>
  <c r="G1036" i="40"/>
  <c r="G1037" i="40"/>
  <c r="G1038" i="40"/>
  <c r="G1039" i="40"/>
  <c r="G1040" i="40"/>
  <c r="G1041" i="40"/>
  <c r="G1042" i="40"/>
  <c r="G1043" i="40"/>
  <c r="G1044" i="40"/>
  <c r="G1045" i="40"/>
  <c r="G1046" i="40"/>
  <c r="G1047" i="40"/>
  <c r="G1048" i="40"/>
  <c r="G1049" i="40"/>
  <c r="G1050" i="40"/>
  <c r="G1051" i="40"/>
  <c r="G1052" i="40"/>
  <c r="G1053" i="40"/>
  <c r="G1054" i="40"/>
  <c r="G1055" i="40"/>
  <c r="G1056" i="40"/>
  <c r="G1057" i="40"/>
  <c r="G1058" i="40"/>
  <c r="G1059" i="40"/>
  <c r="G1060" i="40"/>
  <c r="G1061" i="40"/>
  <c r="G1062" i="40"/>
  <c r="G1063" i="40"/>
  <c r="G1064" i="40"/>
  <c r="G1065" i="40"/>
  <c r="G1066" i="40"/>
  <c r="G1067" i="40"/>
  <c r="G1068" i="40"/>
  <c r="G1069" i="40"/>
  <c r="G1070" i="40"/>
  <c r="G1071" i="40"/>
  <c r="G1072" i="40"/>
  <c r="G1073" i="40"/>
  <c r="G1074" i="40"/>
  <c r="G1075" i="40"/>
  <c r="G1076" i="40"/>
  <c r="G1077" i="40"/>
  <c r="G1078" i="40"/>
  <c r="G1079" i="40"/>
  <c r="G1080" i="40"/>
  <c r="G1081" i="40"/>
  <c r="G1082" i="40"/>
  <c r="G1083" i="40"/>
  <c r="G1084" i="40"/>
  <c r="G1085" i="40"/>
  <c r="G1086" i="40"/>
  <c r="G1087" i="40"/>
  <c r="G1088" i="40"/>
  <c r="G1089" i="40"/>
  <c r="G1090" i="40"/>
  <c r="G1091" i="40"/>
  <c r="G1092" i="40"/>
  <c r="G1093" i="40"/>
  <c r="G1094" i="40"/>
  <c r="G1095" i="40"/>
  <c r="G1096" i="40"/>
  <c r="G1097" i="40"/>
  <c r="G1098" i="40"/>
  <c r="G1099" i="40"/>
  <c r="G1100" i="40"/>
  <c r="G1101" i="40"/>
  <c r="G1102" i="40"/>
  <c r="G1103" i="40"/>
  <c r="G1104" i="40"/>
  <c r="G1105" i="40"/>
  <c r="G1106" i="40"/>
  <c r="G1107" i="40"/>
  <c r="G1108" i="40"/>
  <c r="G1109" i="40"/>
  <c r="G1110" i="40"/>
  <c r="G1111" i="40"/>
  <c r="G1112" i="40"/>
  <c r="G1113" i="40"/>
  <c r="G1114" i="40"/>
  <c r="G1115" i="40"/>
  <c r="G1116" i="40"/>
  <c r="G1117" i="40"/>
  <c r="G1118" i="40"/>
  <c r="G1119" i="40"/>
  <c r="G1120" i="40"/>
  <c r="G1121" i="40"/>
  <c r="G1122" i="40"/>
  <c r="G1123" i="40"/>
  <c r="G1124" i="40"/>
  <c r="G1125" i="40"/>
  <c r="G1126" i="40"/>
  <c r="G1127" i="40"/>
  <c r="G1128" i="40"/>
  <c r="G1129" i="40"/>
  <c r="G1130" i="40"/>
  <c r="G1131" i="40"/>
  <c r="G1132" i="40"/>
  <c r="G1133" i="40"/>
  <c r="G1134" i="40"/>
  <c r="G1135" i="40"/>
  <c r="G1136" i="40"/>
  <c r="G1137" i="40"/>
  <c r="G1138" i="40"/>
  <c r="G1139" i="40"/>
  <c r="G1140" i="40"/>
  <c r="G1141" i="40"/>
  <c r="G1142" i="40"/>
  <c r="G1143" i="40"/>
  <c r="G1144" i="40"/>
  <c r="G1145" i="40"/>
  <c r="G1146" i="40"/>
  <c r="G1147" i="40"/>
  <c r="G1148" i="40"/>
  <c r="G1149" i="40"/>
  <c r="G1150" i="40"/>
  <c r="G1151" i="40"/>
  <c r="G1152" i="40"/>
  <c r="G1153" i="40"/>
  <c r="G1154" i="40"/>
  <c r="G1155" i="40"/>
  <c r="G1156" i="40"/>
  <c r="G1157" i="40"/>
  <c r="G1158" i="40"/>
  <c r="G1159" i="40"/>
  <c r="G1160" i="40"/>
  <c r="G1161" i="40"/>
  <c r="G1162" i="40"/>
  <c r="G1163" i="40"/>
  <c r="G1164" i="40"/>
  <c r="G1165" i="40"/>
  <c r="G1166" i="40"/>
  <c r="G1167" i="40"/>
  <c r="G1168" i="40"/>
  <c r="G1169" i="40"/>
  <c r="G1170" i="40"/>
  <c r="G1171" i="40"/>
  <c r="G1172" i="40"/>
  <c r="G1173" i="40"/>
  <c r="G1174" i="40"/>
  <c r="G1175" i="40"/>
  <c r="G1176" i="40"/>
  <c r="G1177" i="40"/>
  <c r="G1178" i="40"/>
  <c r="G1179" i="40"/>
  <c r="G1180" i="40"/>
  <c r="G1181" i="40"/>
  <c r="G1182" i="40"/>
  <c r="G1183" i="40"/>
  <c r="G1184" i="40"/>
  <c r="G1185" i="40"/>
  <c r="G1186" i="40"/>
  <c r="G1187" i="40"/>
  <c r="G1188" i="40"/>
  <c r="G1189" i="40"/>
  <c r="G1190" i="40"/>
  <c r="G1191" i="40"/>
  <c r="G1192" i="40"/>
  <c r="G1193" i="40"/>
  <c r="G1194" i="40"/>
  <c r="G1195" i="40"/>
  <c r="G1196" i="40"/>
  <c r="G1197" i="40"/>
  <c r="G1198" i="40"/>
  <c r="G1199" i="40"/>
  <c r="G1200" i="40"/>
  <c r="G1201" i="40"/>
  <c r="G1202" i="40"/>
  <c r="G1203" i="40"/>
  <c r="G1204" i="40"/>
  <c r="G1205" i="40"/>
  <c r="G1206" i="40"/>
  <c r="G1207" i="40"/>
  <c r="G1208" i="40"/>
  <c r="G1209" i="40"/>
  <c r="G1210" i="40"/>
  <c r="G1211" i="40"/>
  <c r="G1212" i="40"/>
  <c r="G1213" i="40"/>
  <c r="G1214" i="40"/>
  <c r="G1215" i="40"/>
  <c r="G1216" i="40"/>
  <c r="G1217" i="40"/>
  <c r="G1218" i="40"/>
  <c r="G1219" i="40"/>
  <c r="G1220" i="40"/>
  <c r="G1221" i="40"/>
  <c r="G1222" i="40"/>
  <c r="G1223" i="40"/>
  <c r="G1224" i="40"/>
  <c r="G1225" i="40"/>
  <c r="G1226" i="40"/>
  <c r="G1227" i="40"/>
  <c r="G1228" i="40"/>
  <c r="G1229" i="40"/>
  <c r="G1230" i="40"/>
  <c r="G1231" i="40"/>
  <c r="G1232" i="40"/>
  <c r="G1233" i="40"/>
  <c r="G1234" i="40"/>
  <c r="G1235" i="40"/>
  <c r="G1236" i="40"/>
  <c r="G1237" i="40"/>
  <c r="G1238" i="40"/>
  <c r="G1239" i="40"/>
  <c r="G1240" i="40"/>
  <c r="G1241" i="40"/>
  <c r="G1242" i="40"/>
  <c r="G1243" i="40"/>
  <c r="G1244" i="40"/>
  <c r="G1245" i="40"/>
  <c r="G1246" i="40"/>
  <c r="G1247" i="40"/>
  <c r="G1248" i="40"/>
  <c r="G1249" i="40"/>
  <c r="G1250" i="40"/>
  <c r="G1251" i="40"/>
  <c r="G1252" i="40"/>
  <c r="G1253" i="40"/>
  <c r="G1254" i="40"/>
  <c r="G1255" i="40"/>
  <c r="G1256" i="40"/>
  <c r="G1257" i="40"/>
  <c r="G1258" i="40"/>
  <c r="G1259" i="40"/>
  <c r="G1260" i="40"/>
  <c r="G1261" i="40"/>
  <c r="G1262" i="40"/>
  <c r="G1263" i="40"/>
  <c r="G1264" i="40"/>
  <c r="G1265" i="40"/>
  <c r="G1266" i="40"/>
  <c r="G1267" i="40"/>
  <c r="G1268" i="40"/>
  <c r="G1269" i="40"/>
  <c r="G1270" i="40"/>
  <c r="G1271" i="40"/>
  <c r="G1272" i="40"/>
  <c r="G1273" i="40"/>
  <c r="G1274" i="40"/>
  <c r="G1275" i="40"/>
  <c r="G1276" i="40"/>
  <c r="G1277" i="40"/>
  <c r="G1278" i="40"/>
  <c r="G1279" i="40"/>
  <c r="G1280" i="40"/>
  <c r="G1281" i="40"/>
  <c r="G1282" i="40"/>
  <c r="G1283" i="40"/>
  <c r="G1284" i="40"/>
  <c r="G1285" i="40"/>
  <c r="G1286" i="40"/>
  <c r="G1287" i="40"/>
  <c r="G1288" i="40"/>
  <c r="G1289" i="40"/>
  <c r="G1290" i="40"/>
  <c r="G1291" i="40"/>
  <c r="G1292" i="40"/>
  <c r="G1293" i="40"/>
  <c r="G1294" i="40"/>
  <c r="G1295" i="40"/>
  <c r="G1296" i="40"/>
  <c r="G1297" i="40"/>
  <c r="G1298" i="40"/>
  <c r="G1299" i="40"/>
  <c r="G1300" i="40"/>
  <c r="G1301" i="40"/>
  <c r="G1302" i="40"/>
  <c r="G1303" i="40"/>
  <c r="G1304" i="40"/>
  <c r="G1305" i="40"/>
  <c r="G1306" i="40"/>
  <c r="G1307" i="40"/>
  <c r="G1308" i="40"/>
  <c r="G1309" i="40"/>
  <c r="G1310" i="40"/>
  <c r="G1311" i="40"/>
  <c r="G1312" i="40"/>
  <c r="G1313" i="40"/>
  <c r="G1314" i="40"/>
  <c r="G1315" i="40"/>
  <c r="G1316" i="40"/>
  <c r="G1317" i="40"/>
  <c r="G1318" i="40"/>
  <c r="G1319" i="40"/>
  <c r="G1320" i="40"/>
  <c r="G1321" i="40"/>
  <c r="G1322" i="40"/>
  <c r="G1323" i="40"/>
  <c r="G1324" i="40"/>
  <c r="G1325" i="40"/>
  <c r="G1326" i="40"/>
  <c r="G1327" i="40"/>
  <c r="G1328" i="40"/>
  <c r="G1329" i="40"/>
  <c r="G1330" i="40"/>
  <c r="G1331" i="40"/>
  <c r="G1332" i="40"/>
  <c r="G1333" i="40"/>
  <c r="G1334" i="40"/>
  <c r="G1335" i="40"/>
  <c r="G1336" i="40"/>
  <c r="G1337" i="40"/>
  <c r="G1338" i="40"/>
  <c r="G1339" i="40"/>
  <c r="G1340" i="40"/>
  <c r="G1341" i="40"/>
  <c r="G1342" i="40"/>
  <c r="G1343" i="40"/>
  <c r="G1344" i="40"/>
  <c r="G1345" i="40"/>
  <c r="G1346" i="40"/>
  <c r="G1347" i="40"/>
  <c r="G1348" i="40"/>
  <c r="G1349" i="40"/>
  <c r="G1350" i="40"/>
  <c r="G1351" i="40"/>
  <c r="G1352" i="40"/>
  <c r="G1353" i="40"/>
  <c r="G1354" i="40"/>
  <c r="G1355" i="40"/>
  <c r="G1356" i="40"/>
  <c r="G1357" i="40"/>
  <c r="G1358" i="40"/>
  <c r="G1359" i="40"/>
  <c r="G1360" i="40"/>
  <c r="G1361" i="40"/>
  <c r="G1362" i="40"/>
  <c r="G1363" i="40"/>
  <c r="G1364" i="40"/>
  <c r="G1365" i="40"/>
  <c r="G1366" i="40"/>
  <c r="G1367" i="40"/>
  <c r="G1368" i="40"/>
  <c r="G1369" i="40"/>
  <c r="G1370" i="40"/>
  <c r="G1371" i="40"/>
  <c r="G1372" i="40"/>
  <c r="G1373" i="40"/>
  <c r="G1374" i="40"/>
  <c r="G1375" i="40"/>
  <c r="G1376" i="40"/>
  <c r="G1377" i="40"/>
  <c r="G1378" i="40"/>
  <c r="G1379" i="40"/>
  <c r="G1380" i="40"/>
  <c r="G1381" i="40"/>
  <c r="G1382" i="40"/>
  <c r="G1383" i="40"/>
  <c r="G1384" i="40"/>
  <c r="G1385" i="40"/>
  <c r="G1386" i="40"/>
  <c r="G1387" i="40"/>
  <c r="G1388" i="40"/>
  <c r="G1389" i="40"/>
  <c r="G1390" i="40"/>
  <c r="G1391" i="40"/>
  <c r="G1392" i="40"/>
  <c r="G1393" i="40"/>
  <c r="G1394" i="40"/>
  <c r="G1395" i="40"/>
  <c r="G1396" i="40"/>
  <c r="G1397" i="40"/>
  <c r="G1398" i="40"/>
  <c r="G1399" i="40"/>
  <c r="G1400" i="40"/>
  <c r="G1401" i="40"/>
  <c r="G1402" i="40"/>
  <c r="G1403" i="40"/>
  <c r="G1404" i="40"/>
  <c r="G1405" i="40"/>
  <c r="G1406" i="40"/>
  <c r="G1407" i="40"/>
  <c r="G1408" i="40"/>
  <c r="G1409" i="40"/>
  <c r="G1410" i="40"/>
  <c r="G1411" i="40"/>
  <c r="G1412" i="40"/>
  <c r="A709" i="40"/>
  <c r="A710" i="40"/>
  <c r="A711" i="40"/>
  <c r="A712" i="40"/>
  <c r="A713" i="40"/>
  <c r="A714" i="40"/>
  <c r="A715" i="40"/>
  <c r="A716" i="40"/>
  <c r="A717" i="40"/>
  <c r="A718" i="40"/>
  <c r="A719" i="40"/>
  <c r="A720" i="40"/>
  <c r="A721" i="40"/>
  <c r="A722" i="40"/>
  <c r="A723" i="40"/>
  <c r="A724" i="40"/>
  <c r="A725" i="40"/>
  <c r="A726" i="40"/>
  <c r="A727" i="40"/>
  <c r="A728" i="40"/>
  <c r="A729" i="40"/>
  <c r="A730" i="40"/>
  <c r="A731" i="40"/>
  <c r="A732" i="40"/>
  <c r="A733" i="40"/>
  <c r="A734" i="40"/>
  <c r="A735" i="40"/>
  <c r="A736" i="40"/>
  <c r="A737" i="40"/>
  <c r="A738" i="40"/>
  <c r="A739" i="40"/>
  <c r="A740" i="40"/>
  <c r="A741" i="40"/>
  <c r="A742" i="40"/>
  <c r="A743" i="40"/>
  <c r="A744" i="40"/>
  <c r="A745" i="40"/>
  <c r="A746" i="40"/>
  <c r="A747" i="40"/>
  <c r="A748" i="40"/>
  <c r="A749" i="40"/>
  <c r="A750" i="40"/>
  <c r="A751" i="40"/>
  <c r="A752" i="40"/>
  <c r="A753" i="40"/>
  <c r="A754" i="40"/>
  <c r="A755" i="40"/>
  <c r="A756" i="40"/>
  <c r="A757" i="40"/>
  <c r="A758" i="40"/>
  <c r="A759" i="40"/>
  <c r="A760" i="40"/>
  <c r="A761" i="40"/>
  <c r="A762" i="40"/>
  <c r="A763" i="40"/>
  <c r="A764" i="40"/>
  <c r="A765" i="40"/>
  <c r="A766" i="40"/>
  <c r="A767" i="40"/>
  <c r="A768" i="40"/>
  <c r="A769" i="40"/>
  <c r="A770" i="40"/>
  <c r="A771" i="40"/>
  <c r="A772" i="40"/>
  <c r="A773" i="40"/>
  <c r="A774" i="40"/>
  <c r="A775" i="40"/>
  <c r="A776" i="40"/>
  <c r="A777" i="40"/>
  <c r="A778" i="40"/>
  <c r="A779" i="40"/>
  <c r="A780" i="40"/>
  <c r="A781" i="40"/>
  <c r="A782" i="40"/>
  <c r="A783" i="40"/>
  <c r="A784" i="40"/>
  <c r="A785" i="40"/>
  <c r="A786" i="40"/>
  <c r="A787" i="40"/>
  <c r="A788" i="40"/>
  <c r="A789" i="40"/>
  <c r="A790" i="40"/>
  <c r="A791" i="40"/>
  <c r="A792" i="40"/>
  <c r="A793" i="40"/>
  <c r="A794" i="40"/>
  <c r="A795" i="40"/>
  <c r="A796" i="40"/>
  <c r="A797" i="40"/>
  <c r="A798" i="40"/>
  <c r="A799" i="40"/>
  <c r="A800" i="40"/>
  <c r="A801" i="40"/>
  <c r="A802" i="40"/>
  <c r="A803" i="40"/>
  <c r="A804" i="40"/>
  <c r="A805" i="40"/>
  <c r="A806" i="40"/>
  <c r="A807" i="40"/>
  <c r="A808" i="40"/>
  <c r="A809" i="40"/>
  <c r="A810" i="40"/>
  <c r="A811" i="40"/>
  <c r="A812" i="40"/>
  <c r="A813" i="40"/>
  <c r="A814" i="40"/>
  <c r="A815" i="40"/>
  <c r="A816" i="40"/>
  <c r="A817" i="40"/>
  <c r="A818" i="40"/>
  <c r="A819" i="40"/>
  <c r="A820" i="40"/>
  <c r="A821" i="40"/>
  <c r="A822" i="40"/>
  <c r="A823" i="40"/>
  <c r="A824" i="40"/>
  <c r="A825" i="40"/>
  <c r="A826" i="40"/>
  <c r="A827" i="40"/>
  <c r="A828" i="40"/>
  <c r="A829" i="40"/>
  <c r="A830" i="40"/>
  <c r="A831" i="40"/>
  <c r="A832" i="40"/>
  <c r="A833" i="40"/>
  <c r="A834" i="40"/>
  <c r="A835" i="40"/>
  <c r="A836" i="40"/>
  <c r="A837" i="40"/>
  <c r="A838" i="40"/>
  <c r="A839" i="40"/>
  <c r="A840" i="40"/>
  <c r="A841" i="40"/>
  <c r="A842" i="40"/>
  <c r="A843" i="40"/>
  <c r="A844" i="40"/>
  <c r="A845" i="40"/>
  <c r="A846" i="40"/>
  <c r="A847" i="40"/>
  <c r="A848" i="40"/>
  <c r="A849" i="40"/>
  <c r="A850" i="40"/>
  <c r="A851" i="40"/>
  <c r="A852" i="40"/>
  <c r="A853" i="40"/>
  <c r="A854" i="40"/>
  <c r="A855" i="40"/>
  <c r="A856" i="40"/>
  <c r="A857" i="40"/>
  <c r="A858" i="40"/>
  <c r="A859" i="40"/>
  <c r="A860" i="40"/>
  <c r="A861" i="40"/>
  <c r="A862" i="40"/>
  <c r="A863" i="40"/>
  <c r="A864" i="40"/>
  <c r="A865" i="40"/>
  <c r="A866" i="40"/>
  <c r="A867" i="40"/>
  <c r="A868" i="40"/>
  <c r="A869" i="40"/>
  <c r="A870" i="40"/>
  <c r="A871" i="40"/>
  <c r="A872" i="40"/>
  <c r="A873" i="40"/>
  <c r="A874" i="40"/>
  <c r="A875" i="40"/>
  <c r="A876" i="40"/>
  <c r="A877" i="40"/>
  <c r="A878" i="40"/>
  <c r="A879" i="40"/>
  <c r="A880" i="40"/>
  <c r="A881" i="40"/>
  <c r="A882" i="40"/>
  <c r="A883" i="40"/>
  <c r="A884" i="40"/>
  <c r="A885" i="40"/>
  <c r="A886" i="40"/>
  <c r="A887" i="40"/>
  <c r="A888" i="40"/>
  <c r="A889" i="40"/>
  <c r="A890" i="40"/>
  <c r="A891" i="40"/>
  <c r="A892" i="40"/>
  <c r="A893" i="40"/>
  <c r="A894" i="40"/>
  <c r="A895" i="40"/>
  <c r="A896" i="40"/>
  <c r="A897" i="40"/>
  <c r="A898" i="40"/>
  <c r="A899" i="40"/>
  <c r="A900" i="40"/>
  <c r="A901" i="40"/>
  <c r="A902" i="40"/>
  <c r="A903" i="40"/>
  <c r="A904" i="40"/>
  <c r="A905" i="40"/>
  <c r="A906" i="40"/>
  <c r="A907" i="40"/>
  <c r="A908" i="40"/>
  <c r="A909" i="40"/>
  <c r="A910" i="40"/>
  <c r="A911" i="40"/>
  <c r="A912" i="40"/>
  <c r="A913" i="40"/>
  <c r="A914" i="40"/>
  <c r="A915" i="40"/>
  <c r="A916" i="40"/>
  <c r="A917" i="40"/>
  <c r="A918" i="40"/>
  <c r="A919" i="40"/>
  <c r="A920" i="40"/>
  <c r="A921" i="40"/>
  <c r="A922" i="40"/>
  <c r="A923" i="40"/>
  <c r="A924" i="40"/>
  <c r="A925" i="40"/>
  <c r="A926" i="40"/>
  <c r="A927" i="40"/>
  <c r="A928" i="40"/>
  <c r="A929" i="40"/>
  <c r="A930" i="40"/>
  <c r="A931" i="40"/>
  <c r="A932" i="40"/>
  <c r="A933" i="40"/>
  <c r="A934" i="40"/>
  <c r="A935" i="40"/>
  <c r="A936" i="40"/>
  <c r="A937" i="40"/>
  <c r="A938" i="40"/>
  <c r="A939" i="40"/>
  <c r="A940" i="40"/>
  <c r="A941" i="40"/>
  <c r="A942" i="40"/>
  <c r="A943" i="40"/>
  <c r="A944" i="40"/>
  <c r="A945" i="40"/>
  <c r="A946" i="40"/>
  <c r="A947" i="40"/>
  <c r="A948" i="40"/>
  <c r="A949" i="40"/>
  <c r="A950" i="40"/>
  <c r="A951" i="40"/>
  <c r="A952" i="40"/>
  <c r="A953" i="40"/>
  <c r="A954" i="40"/>
  <c r="A955" i="40"/>
  <c r="A956" i="40"/>
  <c r="A957" i="40"/>
  <c r="A958" i="40"/>
  <c r="A959" i="40"/>
  <c r="A960" i="40"/>
  <c r="A961" i="40"/>
  <c r="A962" i="40"/>
  <c r="A963" i="40"/>
  <c r="A964" i="40"/>
  <c r="A965" i="40"/>
  <c r="A966" i="40"/>
  <c r="A967" i="40"/>
  <c r="A968" i="40"/>
  <c r="A969" i="40"/>
  <c r="A970" i="40"/>
  <c r="A971" i="40"/>
  <c r="A972" i="40"/>
  <c r="A973" i="40"/>
  <c r="A974" i="40"/>
  <c r="A975" i="40"/>
  <c r="A976" i="40"/>
  <c r="A977" i="40"/>
  <c r="A978" i="40"/>
  <c r="A979" i="40"/>
  <c r="A980" i="40"/>
  <c r="A981" i="40"/>
  <c r="A982" i="40"/>
  <c r="A983" i="40"/>
  <c r="A984" i="40"/>
  <c r="A985" i="40"/>
  <c r="A986" i="40"/>
  <c r="A987" i="40"/>
  <c r="A988" i="40"/>
  <c r="A989" i="40"/>
  <c r="A990" i="40"/>
  <c r="A991" i="40"/>
  <c r="A992" i="40"/>
  <c r="A993" i="40"/>
  <c r="A994" i="40"/>
  <c r="A995" i="40"/>
  <c r="A996" i="40"/>
  <c r="A997" i="40"/>
  <c r="A998" i="40"/>
  <c r="A999" i="40"/>
  <c r="A1000" i="40"/>
  <c r="A1001" i="40"/>
  <c r="A1002" i="40"/>
  <c r="A1003" i="40"/>
  <c r="A1004" i="40"/>
  <c r="A1005" i="40"/>
  <c r="A1006" i="40"/>
  <c r="A1007" i="40"/>
  <c r="A1008" i="40"/>
  <c r="A1009" i="40"/>
  <c r="A1010" i="40"/>
  <c r="A1011" i="40"/>
  <c r="A1012" i="40"/>
  <c r="A1013" i="40"/>
  <c r="A1014" i="40"/>
  <c r="A1015" i="40"/>
  <c r="A1016" i="40"/>
  <c r="A1017" i="40"/>
  <c r="A1018" i="40"/>
  <c r="A1019" i="40"/>
  <c r="A1020" i="40"/>
  <c r="A1021" i="40"/>
  <c r="A1022" i="40"/>
  <c r="A1023" i="40"/>
  <c r="A1024" i="40"/>
  <c r="A1025" i="40"/>
  <c r="A1026" i="40"/>
  <c r="A1027" i="40"/>
  <c r="A1028" i="40"/>
  <c r="A1029" i="40"/>
  <c r="A1030" i="40"/>
  <c r="A1031" i="40"/>
  <c r="A1032" i="40"/>
  <c r="A1033" i="40"/>
  <c r="A1034" i="40"/>
  <c r="A1035" i="40"/>
  <c r="A1036" i="40"/>
  <c r="A1037" i="40"/>
  <c r="A1038" i="40"/>
  <c r="A1039" i="40"/>
  <c r="A1040" i="40"/>
  <c r="A1041" i="40"/>
  <c r="A1042" i="40"/>
  <c r="A1043" i="40"/>
  <c r="A1044" i="40"/>
  <c r="A1045" i="40"/>
  <c r="A1046" i="40"/>
  <c r="A1047" i="40"/>
  <c r="A1048" i="40"/>
  <c r="A1049" i="40"/>
  <c r="A1050" i="40"/>
  <c r="A1051" i="40"/>
  <c r="A1052" i="40"/>
  <c r="A1053" i="40"/>
  <c r="A1054" i="40"/>
  <c r="A1055" i="40"/>
  <c r="A1056" i="40"/>
  <c r="A1057" i="40"/>
  <c r="A1058" i="40"/>
  <c r="A1059" i="40"/>
  <c r="A1060" i="40"/>
  <c r="A1061" i="40"/>
  <c r="A1062" i="40"/>
  <c r="A1063" i="40"/>
  <c r="A1064" i="40"/>
  <c r="A1065" i="40"/>
  <c r="A1066" i="40"/>
  <c r="A1067" i="40"/>
  <c r="A1068" i="40"/>
  <c r="A1069" i="40"/>
  <c r="A1070" i="40"/>
  <c r="A1071" i="40"/>
  <c r="A1072" i="40"/>
  <c r="A1073" i="40"/>
  <c r="A1074" i="40"/>
  <c r="A1075" i="40"/>
  <c r="A1076" i="40"/>
  <c r="A1077" i="40"/>
  <c r="A1078" i="40"/>
  <c r="A1079" i="40"/>
  <c r="A1080" i="40"/>
  <c r="A1081" i="40"/>
  <c r="A1082" i="40"/>
  <c r="A1083" i="40"/>
  <c r="A1084" i="40"/>
  <c r="A1085" i="40"/>
  <c r="A1086" i="40"/>
  <c r="A1087" i="40"/>
  <c r="A1088" i="40"/>
  <c r="A1089" i="40"/>
  <c r="A1090" i="40"/>
  <c r="A1091" i="40"/>
  <c r="A1092" i="40"/>
  <c r="A1093" i="40"/>
  <c r="A1094" i="40"/>
  <c r="A1095" i="40"/>
  <c r="A1096" i="40"/>
  <c r="A1097" i="40"/>
  <c r="A1098" i="40"/>
  <c r="A1099" i="40"/>
  <c r="A1100" i="40"/>
  <c r="A1101" i="40"/>
  <c r="A1102" i="40"/>
  <c r="A1103" i="40"/>
  <c r="A1104" i="40"/>
  <c r="A1105" i="40"/>
  <c r="A1106" i="40"/>
  <c r="A1107" i="40"/>
  <c r="A1108" i="40"/>
  <c r="A1109" i="40"/>
  <c r="A1110" i="40"/>
  <c r="A1111" i="40"/>
  <c r="A1112" i="40"/>
  <c r="A1113" i="40"/>
  <c r="A1114" i="40"/>
  <c r="A1115" i="40"/>
  <c r="A1116" i="40"/>
  <c r="A1117" i="40"/>
  <c r="A1118" i="40"/>
  <c r="A1119" i="40"/>
  <c r="A1120" i="40"/>
  <c r="A1121" i="40"/>
  <c r="A1122" i="40"/>
  <c r="A1123" i="40"/>
  <c r="A1124" i="40"/>
  <c r="A1125" i="40"/>
  <c r="A1126" i="40"/>
  <c r="A1127" i="40"/>
  <c r="A1128" i="40"/>
  <c r="A1129" i="40"/>
  <c r="A1130" i="40"/>
  <c r="A1131" i="40"/>
  <c r="A1132" i="40"/>
  <c r="A1133" i="40"/>
  <c r="A1134" i="40"/>
  <c r="A1135" i="40"/>
  <c r="A1136" i="40"/>
  <c r="A1137" i="40"/>
  <c r="A1138" i="40"/>
  <c r="A1139" i="40"/>
  <c r="A1140" i="40"/>
  <c r="A1141" i="40"/>
  <c r="A1142" i="40"/>
  <c r="A1143" i="40"/>
  <c r="A1144" i="40"/>
  <c r="A1145" i="40"/>
  <c r="A1146" i="40"/>
  <c r="A1147" i="40"/>
  <c r="A1148" i="40"/>
  <c r="A1149" i="40"/>
  <c r="A1150" i="40"/>
  <c r="A1151" i="40"/>
  <c r="A1152" i="40"/>
  <c r="A1153" i="40"/>
  <c r="A1154" i="40"/>
  <c r="A1155" i="40"/>
  <c r="A1156" i="40"/>
  <c r="A1157" i="40"/>
  <c r="A1158" i="40"/>
  <c r="A1159" i="40"/>
  <c r="A1160" i="40"/>
  <c r="A1161" i="40"/>
  <c r="A1162" i="40"/>
  <c r="A1163" i="40"/>
  <c r="A1164" i="40"/>
  <c r="A1165" i="40"/>
  <c r="A1166" i="40"/>
  <c r="A1167" i="40"/>
  <c r="A1168" i="40"/>
  <c r="A1169" i="40"/>
  <c r="A1170" i="40"/>
  <c r="A1171" i="40"/>
  <c r="A1172" i="40"/>
  <c r="A1173" i="40"/>
  <c r="A1174" i="40"/>
  <c r="A1175" i="40"/>
  <c r="A1176" i="40"/>
  <c r="A1177" i="40"/>
  <c r="A1178" i="40"/>
  <c r="A1179" i="40"/>
  <c r="A1180" i="40"/>
  <c r="A1181" i="40"/>
  <c r="A1182" i="40"/>
  <c r="A1183" i="40"/>
  <c r="A1184" i="40"/>
  <c r="A1185" i="40"/>
  <c r="A1186" i="40"/>
  <c r="A1187" i="40"/>
  <c r="A1188" i="40"/>
  <c r="A1189" i="40"/>
  <c r="A1190" i="40"/>
  <c r="A1191" i="40"/>
  <c r="A1192" i="40"/>
  <c r="A1193" i="40"/>
  <c r="A1194" i="40"/>
  <c r="A1195" i="40"/>
  <c r="A1196" i="40"/>
  <c r="A1197" i="40"/>
  <c r="A1198" i="40"/>
  <c r="A1199" i="40"/>
  <c r="A1200" i="40"/>
  <c r="A1201" i="40"/>
  <c r="A1202" i="40"/>
  <c r="A1203" i="40"/>
  <c r="A1204" i="40"/>
  <c r="A1205" i="40"/>
  <c r="A1206" i="40"/>
  <c r="A1207" i="40"/>
  <c r="A1208" i="40"/>
  <c r="A1209" i="40"/>
  <c r="A1210" i="40"/>
  <c r="A1211" i="40"/>
  <c r="A1212" i="40"/>
  <c r="A1213" i="40"/>
  <c r="A1214" i="40"/>
  <c r="A1215" i="40"/>
  <c r="A1216" i="40"/>
  <c r="A1217" i="40"/>
  <c r="A1218" i="40"/>
  <c r="A1219" i="40"/>
  <c r="A1220" i="40"/>
  <c r="A1221" i="40"/>
  <c r="A1222" i="40"/>
  <c r="A1223" i="40"/>
  <c r="A1224" i="40"/>
  <c r="A1225" i="40"/>
  <c r="A1226" i="40"/>
  <c r="A1227" i="40"/>
  <c r="A1228" i="40"/>
  <c r="A1229" i="40"/>
  <c r="A1230" i="40"/>
  <c r="A1231" i="40"/>
  <c r="A1232" i="40"/>
  <c r="A1233" i="40"/>
  <c r="A1234" i="40"/>
  <c r="A1235" i="40"/>
  <c r="A1236" i="40"/>
  <c r="A1237" i="40"/>
  <c r="A1238" i="40"/>
  <c r="A1239" i="40"/>
  <c r="A1240" i="40"/>
  <c r="A1241" i="40"/>
  <c r="A1242" i="40"/>
  <c r="A1243" i="40"/>
  <c r="A1244" i="40"/>
  <c r="A1245" i="40"/>
  <c r="A1246" i="40"/>
  <c r="A1247" i="40"/>
  <c r="A1248" i="40"/>
  <c r="A1249" i="40"/>
  <c r="A1250" i="40"/>
  <c r="A1251" i="40"/>
  <c r="A1252" i="40"/>
  <c r="A1253" i="40"/>
  <c r="A1254" i="40"/>
  <c r="A1255" i="40"/>
  <c r="A1256" i="40"/>
  <c r="A1257" i="40"/>
  <c r="A1258" i="40"/>
  <c r="A1259" i="40"/>
  <c r="A1260" i="40"/>
  <c r="A1261" i="40"/>
  <c r="A1262" i="40"/>
  <c r="A1263" i="40"/>
  <c r="A1264" i="40"/>
  <c r="A1265" i="40"/>
  <c r="A1266" i="40"/>
  <c r="A1267" i="40"/>
  <c r="A1268" i="40"/>
  <c r="A1269" i="40"/>
  <c r="A1270" i="40"/>
  <c r="A1271" i="40"/>
  <c r="A1272" i="40"/>
  <c r="A1273" i="40"/>
  <c r="A1274" i="40"/>
  <c r="A1275" i="40"/>
  <c r="A1276" i="40"/>
  <c r="A1277" i="40"/>
  <c r="A1278" i="40"/>
  <c r="A1279" i="40"/>
  <c r="A1280" i="40"/>
  <c r="A1281" i="40"/>
  <c r="A1282" i="40"/>
  <c r="A1283" i="40"/>
  <c r="A1284" i="40"/>
  <c r="A1285" i="40"/>
  <c r="A1286" i="40"/>
  <c r="A1287" i="40"/>
  <c r="A1288" i="40"/>
  <c r="A1289" i="40"/>
  <c r="A1290" i="40"/>
  <c r="A1291" i="40"/>
  <c r="A1292" i="40"/>
  <c r="A1293" i="40"/>
  <c r="A1294" i="40"/>
  <c r="A1295" i="40"/>
  <c r="A1296" i="40"/>
  <c r="A1297" i="40"/>
  <c r="A1298" i="40"/>
  <c r="A1299" i="40"/>
  <c r="A1300" i="40"/>
  <c r="A1301" i="40"/>
  <c r="A1302" i="40"/>
  <c r="A1303" i="40"/>
  <c r="A1304" i="40"/>
  <c r="A1305" i="40"/>
  <c r="A1306" i="40"/>
  <c r="A1307" i="40"/>
  <c r="A1308" i="40"/>
  <c r="A1309" i="40"/>
  <c r="A1310" i="40"/>
  <c r="A1311" i="40"/>
  <c r="A1312" i="40"/>
  <c r="A1313" i="40"/>
  <c r="A1314" i="40"/>
  <c r="A1315" i="40"/>
  <c r="A1316" i="40"/>
  <c r="A1317" i="40"/>
  <c r="A1318" i="40"/>
  <c r="A1319" i="40"/>
  <c r="A1320" i="40"/>
  <c r="A1321" i="40"/>
  <c r="A1322" i="40"/>
  <c r="A1323" i="40"/>
  <c r="A1324" i="40"/>
  <c r="A1325" i="40"/>
  <c r="A1326" i="40"/>
  <c r="A1327" i="40"/>
  <c r="A1328" i="40"/>
  <c r="A1329" i="40"/>
  <c r="A1330" i="40"/>
  <c r="A1331" i="40"/>
  <c r="A1332" i="40"/>
  <c r="A1333" i="40"/>
  <c r="A1334" i="40"/>
  <c r="A1335" i="40"/>
  <c r="A1336" i="40"/>
  <c r="A1337" i="40"/>
  <c r="A1338" i="40"/>
  <c r="A1339" i="40"/>
  <c r="A1340" i="40"/>
  <c r="A1341" i="40"/>
  <c r="A1342" i="40"/>
  <c r="A1343" i="40"/>
  <c r="A1344" i="40"/>
  <c r="A1345" i="40"/>
  <c r="A1346" i="40"/>
  <c r="A1347" i="40"/>
  <c r="A1348" i="40"/>
  <c r="A1349" i="40"/>
  <c r="A1350" i="40"/>
  <c r="A1351" i="40"/>
  <c r="A1352" i="40"/>
  <c r="A1353" i="40"/>
  <c r="A1354" i="40"/>
  <c r="A1355" i="40"/>
  <c r="A1356" i="40"/>
  <c r="A1357" i="40"/>
  <c r="A1358" i="40"/>
  <c r="A1359" i="40"/>
  <c r="A1360" i="40"/>
  <c r="A1361" i="40"/>
  <c r="A1362" i="40"/>
  <c r="A1363" i="40"/>
  <c r="A1364" i="40"/>
  <c r="A1365" i="40"/>
  <c r="A1366" i="40"/>
  <c r="A1367" i="40"/>
  <c r="A1368" i="40"/>
  <c r="A1369" i="40"/>
  <c r="A1370" i="40"/>
  <c r="A1371" i="40"/>
  <c r="A1372" i="40"/>
  <c r="A1373" i="40"/>
  <c r="A1374" i="40"/>
  <c r="A1375" i="40"/>
  <c r="A1376" i="40"/>
  <c r="A1377" i="40"/>
  <c r="A1378" i="40"/>
  <c r="A1379" i="40"/>
  <c r="A1380" i="40"/>
  <c r="A1381" i="40"/>
  <c r="A1382" i="40"/>
  <c r="A1383" i="40"/>
  <c r="A1384" i="40"/>
  <c r="A1385" i="40"/>
  <c r="A1386" i="40"/>
  <c r="A1387" i="40"/>
  <c r="A1388" i="40"/>
  <c r="A1389" i="40"/>
  <c r="A1390" i="40"/>
  <c r="A1391" i="40"/>
  <c r="A1392" i="40"/>
  <c r="A1393" i="40"/>
  <c r="A1394" i="40"/>
  <c r="A1395" i="40"/>
  <c r="A1396" i="40"/>
  <c r="A1397" i="40"/>
  <c r="A1398" i="40"/>
  <c r="A1399" i="40"/>
  <c r="A1400" i="40"/>
  <c r="A1401" i="40"/>
  <c r="A1402" i="40"/>
  <c r="A1403" i="40"/>
  <c r="A1404" i="40"/>
  <c r="A1405" i="40"/>
  <c r="A1406" i="40"/>
  <c r="A1407" i="40"/>
  <c r="A1408" i="40"/>
  <c r="A1409" i="40"/>
  <c r="A1410" i="40"/>
  <c r="A1411" i="40"/>
  <c r="A1412" i="40"/>
  <c r="E709" i="40" a="1"/>
  <c r="E709" i="40" s="1"/>
  <c r="E710" i="40" a="1"/>
  <c r="E710" i="40" s="1"/>
  <c r="E711" i="40" a="1"/>
  <c r="E711" i="40" s="1"/>
  <c r="E712" i="40" a="1"/>
  <c r="E712" i="40" s="1"/>
  <c r="E713" i="40" a="1"/>
  <c r="E713" i="40" s="1"/>
  <c r="E714" i="40" a="1"/>
  <c r="E714" i="40" s="1"/>
  <c r="E715" i="40" a="1"/>
  <c r="E715" i="40" s="1"/>
  <c r="E716" i="40" a="1"/>
  <c r="E716" i="40" s="1"/>
  <c r="E717" i="40" a="1"/>
  <c r="E717" i="40" s="1"/>
  <c r="E718" i="40" a="1"/>
  <c r="E718" i="40" s="1"/>
  <c r="E719" i="40" a="1"/>
  <c r="E719" i="40" s="1"/>
  <c r="E720" i="40" a="1"/>
  <c r="E720" i="40" s="1"/>
  <c r="E721" i="40" a="1"/>
  <c r="E721" i="40" s="1"/>
  <c r="E722" i="40" a="1"/>
  <c r="E722" i="40" s="1"/>
  <c r="E723" i="40" a="1"/>
  <c r="E723" i="40" s="1"/>
  <c r="E724" i="40" a="1"/>
  <c r="E724" i="40" s="1"/>
  <c r="E725" i="40" a="1"/>
  <c r="E725" i="40" s="1"/>
  <c r="E726" i="40" a="1"/>
  <c r="E726" i="40" s="1"/>
  <c r="E727" i="40" a="1"/>
  <c r="E727" i="40" s="1"/>
  <c r="E728" i="40" a="1"/>
  <c r="E728" i="40" s="1"/>
  <c r="E729" i="40" a="1"/>
  <c r="E729" i="40" s="1"/>
  <c r="E730" i="40" a="1"/>
  <c r="E730" i="40" s="1"/>
  <c r="E731" i="40" a="1"/>
  <c r="E731" i="40" s="1"/>
  <c r="E732" i="40" a="1"/>
  <c r="E732" i="40" s="1"/>
  <c r="E733" i="40" a="1"/>
  <c r="E733" i="40" s="1"/>
  <c r="E734" i="40" a="1"/>
  <c r="E734" i="40" s="1"/>
  <c r="E735" i="40" a="1"/>
  <c r="E735" i="40" s="1"/>
  <c r="E736" i="40" a="1"/>
  <c r="E736" i="40" s="1"/>
  <c r="E737" i="40" a="1"/>
  <c r="E737" i="40" s="1"/>
  <c r="E738" i="40" a="1"/>
  <c r="E738" i="40" s="1"/>
  <c r="E739" i="40" a="1"/>
  <c r="E739" i="40" s="1"/>
  <c r="E740" i="40" a="1"/>
  <c r="E740" i="40" s="1"/>
  <c r="E741" i="40" a="1"/>
  <c r="E741" i="40" s="1"/>
  <c r="E742" i="40" a="1"/>
  <c r="E742" i="40" s="1"/>
  <c r="E743" i="40" a="1"/>
  <c r="E743" i="40" s="1"/>
  <c r="E744" i="40" a="1"/>
  <c r="E744" i="40" s="1"/>
  <c r="E745" i="40" a="1"/>
  <c r="E745" i="40" s="1"/>
  <c r="E746" i="40" a="1"/>
  <c r="E746" i="40" s="1"/>
  <c r="E747" i="40" a="1"/>
  <c r="E747" i="40" s="1"/>
  <c r="E748" i="40" a="1"/>
  <c r="E748" i="40" s="1"/>
  <c r="E749" i="40" a="1"/>
  <c r="E749" i="40" s="1"/>
  <c r="E750" i="40" a="1"/>
  <c r="E750" i="40" s="1"/>
  <c r="E751" i="40" a="1"/>
  <c r="E751" i="40" s="1"/>
  <c r="E752" i="40" a="1"/>
  <c r="E752" i="40" s="1"/>
  <c r="E753" i="40" a="1"/>
  <c r="E753" i="40" s="1"/>
  <c r="E754" i="40" a="1"/>
  <c r="E754" i="40" s="1"/>
  <c r="E755" i="40" a="1"/>
  <c r="E755" i="40" s="1"/>
  <c r="E756" i="40" a="1"/>
  <c r="E756" i="40" s="1"/>
  <c r="E757" i="40" a="1"/>
  <c r="E757" i="40" s="1"/>
  <c r="E758" i="40" a="1"/>
  <c r="E758" i="40" s="1"/>
  <c r="E759" i="40" a="1"/>
  <c r="E759" i="40" s="1"/>
  <c r="E760" i="40" a="1"/>
  <c r="E760" i="40" s="1"/>
  <c r="E761" i="40" a="1"/>
  <c r="E761" i="40" s="1"/>
  <c r="E762" i="40" a="1"/>
  <c r="E762" i="40" s="1"/>
  <c r="E763" i="40" a="1"/>
  <c r="E763" i="40" s="1"/>
  <c r="E764" i="40" a="1"/>
  <c r="E764" i="40" s="1"/>
  <c r="E765" i="40" a="1"/>
  <c r="E765" i="40" s="1"/>
  <c r="E766" i="40" a="1"/>
  <c r="E766" i="40" s="1"/>
  <c r="E767" i="40" a="1"/>
  <c r="E767" i="40" s="1"/>
  <c r="E768" i="40" a="1"/>
  <c r="E768" i="40" s="1"/>
  <c r="E769" i="40" a="1"/>
  <c r="E769" i="40" s="1"/>
  <c r="E770" i="40" a="1"/>
  <c r="E770" i="40" s="1"/>
  <c r="E771" i="40" a="1"/>
  <c r="E771" i="40" s="1"/>
  <c r="E772" i="40" a="1"/>
  <c r="E772" i="40" s="1"/>
  <c r="E773" i="40" a="1"/>
  <c r="E773" i="40" s="1"/>
  <c r="E774" i="40" a="1"/>
  <c r="E774" i="40" s="1"/>
  <c r="E775" i="40" a="1"/>
  <c r="E775" i="40" s="1"/>
  <c r="E776" i="40" a="1"/>
  <c r="E776" i="40" s="1"/>
  <c r="E777" i="40" a="1"/>
  <c r="E777" i="40" s="1"/>
  <c r="E778" i="40" a="1"/>
  <c r="E778" i="40" s="1"/>
  <c r="E779" i="40" a="1"/>
  <c r="E779" i="40" s="1"/>
  <c r="E780" i="40" a="1"/>
  <c r="E780" i="40" s="1"/>
  <c r="E781" i="40" a="1"/>
  <c r="E781" i="40" s="1"/>
  <c r="E782" i="40" a="1"/>
  <c r="E782" i="40" s="1"/>
  <c r="E783" i="40" a="1"/>
  <c r="E783" i="40" s="1"/>
  <c r="E784" i="40" a="1"/>
  <c r="E784" i="40" s="1"/>
  <c r="E785" i="40" a="1"/>
  <c r="E785" i="40" s="1"/>
  <c r="E786" i="40" a="1"/>
  <c r="E786" i="40" s="1"/>
  <c r="E787" i="40" a="1"/>
  <c r="E787" i="40" s="1"/>
  <c r="E788" i="40" a="1"/>
  <c r="E788" i="40" s="1"/>
  <c r="E789" i="40" a="1"/>
  <c r="E789" i="40" s="1"/>
  <c r="E790" i="40" a="1"/>
  <c r="E790" i="40" s="1"/>
  <c r="E791" i="40" a="1"/>
  <c r="E791" i="40" s="1"/>
  <c r="E792" i="40" a="1"/>
  <c r="E792" i="40" s="1"/>
  <c r="E793" i="40" a="1"/>
  <c r="E793" i="40" s="1"/>
  <c r="E794" i="40" a="1"/>
  <c r="E794" i="40" s="1"/>
  <c r="E795" i="40" a="1"/>
  <c r="E795" i="40" s="1"/>
  <c r="E796" i="40" a="1"/>
  <c r="E796" i="40" s="1"/>
  <c r="E797" i="40" a="1"/>
  <c r="E797" i="40" s="1"/>
  <c r="E798" i="40" a="1"/>
  <c r="E798" i="40" s="1"/>
  <c r="E799" i="40" a="1"/>
  <c r="E799" i="40" s="1"/>
  <c r="E800" i="40" a="1"/>
  <c r="E800" i="40" s="1"/>
  <c r="E801" i="40" a="1"/>
  <c r="E801" i="40" s="1"/>
  <c r="E802" i="40" a="1"/>
  <c r="E802" i="40" s="1"/>
  <c r="E803" i="40" a="1"/>
  <c r="E803" i="40" s="1"/>
  <c r="E804" i="40" a="1"/>
  <c r="E804" i="40" s="1"/>
  <c r="E805" i="40" a="1"/>
  <c r="E805" i="40" s="1"/>
  <c r="E806" i="40" a="1"/>
  <c r="E806" i="40" s="1"/>
  <c r="E807" i="40" a="1"/>
  <c r="E807" i="40" s="1"/>
  <c r="E808" i="40" a="1"/>
  <c r="E808" i="40" s="1"/>
  <c r="E809" i="40" a="1"/>
  <c r="E809" i="40" s="1"/>
  <c r="E810" i="40" a="1"/>
  <c r="E810" i="40" s="1"/>
  <c r="E811" i="40" a="1"/>
  <c r="E811" i="40" s="1"/>
  <c r="E812" i="40" a="1"/>
  <c r="E812" i="40" s="1"/>
  <c r="E813" i="40" a="1"/>
  <c r="E813" i="40" s="1"/>
  <c r="E814" i="40" a="1"/>
  <c r="E814" i="40" s="1"/>
  <c r="E815" i="40" a="1"/>
  <c r="E815" i="40" s="1"/>
  <c r="E816" i="40" a="1"/>
  <c r="E816" i="40" s="1"/>
  <c r="E817" i="40" a="1"/>
  <c r="E817" i="40" s="1"/>
  <c r="E818" i="40" a="1"/>
  <c r="E818" i="40" s="1"/>
  <c r="E819" i="40" a="1"/>
  <c r="E819" i="40" s="1"/>
  <c r="E820" i="40" a="1"/>
  <c r="E820" i="40" s="1"/>
  <c r="E821" i="40" a="1"/>
  <c r="E821" i="40" s="1"/>
  <c r="E822" i="40" a="1"/>
  <c r="E822" i="40" s="1"/>
  <c r="E823" i="40" a="1"/>
  <c r="E823" i="40" s="1"/>
  <c r="E824" i="40" a="1"/>
  <c r="E824" i="40" s="1"/>
  <c r="E825" i="40" a="1"/>
  <c r="E825" i="40" s="1"/>
  <c r="E826" i="40" a="1"/>
  <c r="E826" i="40" s="1"/>
  <c r="E827" i="40" a="1"/>
  <c r="E827" i="40" s="1"/>
  <c r="E828" i="40" a="1"/>
  <c r="E828" i="40" s="1"/>
  <c r="E829" i="40" a="1"/>
  <c r="E829" i="40" s="1"/>
  <c r="E830" i="40" a="1"/>
  <c r="E830" i="40" s="1"/>
  <c r="E831" i="40" a="1"/>
  <c r="E831" i="40" s="1"/>
  <c r="E832" i="40" a="1"/>
  <c r="E832" i="40" s="1"/>
  <c r="E833" i="40" a="1"/>
  <c r="E833" i="40" s="1"/>
  <c r="E834" i="40" a="1"/>
  <c r="E834" i="40" s="1"/>
  <c r="E835" i="40" a="1"/>
  <c r="E835" i="40" s="1"/>
  <c r="E836" i="40" a="1"/>
  <c r="E836" i="40" s="1"/>
  <c r="E837" i="40" a="1"/>
  <c r="E837" i="40" s="1"/>
  <c r="E838" i="40" a="1"/>
  <c r="E838" i="40" s="1"/>
  <c r="E839" i="40" a="1"/>
  <c r="E839" i="40" s="1"/>
  <c r="E840" i="40" a="1"/>
  <c r="E840" i="40" s="1"/>
  <c r="E841" i="40" a="1"/>
  <c r="E841" i="40" s="1"/>
  <c r="E842" i="40" a="1"/>
  <c r="E842" i="40" s="1"/>
  <c r="E843" i="40" a="1"/>
  <c r="E843" i="40" s="1"/>
  <c r="E844" i="40" a="1"/>
  <c r="E844" i="40" s="1"/>
  <c r="E845" i="40" a="1"/>
  <c r="E845" i="40" s="1"/>
  <c r="E846" i="40" a="1"/>
  <c r="E846" i="40" s="1"/>
  <c r="E847" i="40" a="1"/>
  <c r="E847" i="40" s="1"/>
  <c r="E848" i="40" a="1"/>
  <c r="E848" i="40" s="1"/>
  <c r="E849" i="40" a="1"/>
  <c r="E849" i="40" s="1"/>
  <c r="E850" i="40" a="1"/>
  <c r="E850" i="40" s="1"/>
  <c r="E851" i="40" a="1"/>
  <c r="E851" i="40" s="1"/>
  <c r="E852" i="40" a="1"/>
  <c r="E852" i="40" s="1"/>
  <c r="E853" i="40" a="1"/>
  <c r="E853" i="40" s="1"/>
  <c r="E854" i="40" a="1"/>
  <c r="E854" i="40" s="1"/>
  <c r="E855" i="40" a="1"/>
  <c r="E855" i="40" s="1"/>
  <c r="E856" i="40" a="1"/>
  <c r="E856" i="40" s="1"/>
  <c r="E857" i="40" a="1"/>
  <c r="E857" i="40" s="1"/>
  <c r="E858" i="40" a="1"/>
  <c r="E858" i="40" s="1"/>
  <c r="E859" i="40" a="1"/>
  <c r="E859" i="40" s="1"/>
  <c r="E860" i="40" a="1"/>
  <c r="E860" i="40" s="1"/>
  <c r="E861" i="40" a="1"/>
  <c r="E861" i="40" s="1"/>
  <c r="E862" i="40" a="1"/>
  <c r="E862" i="40" s="1"/>
  <c r="E863" i="40" a="1"/>
  <c r="E863" i="40" s="1"/>
  <c r="E864" i="40" a="1"/>
  <c r="E864" i="40" s="1"/>
  <c r="E865" i="40" a="1"/>
  <c r="E865" i="40" s="1"/>
  <c r="E866" i="40" a="1"/>
  <c r="E866" i="40" s="1"/>
  <c r="E867" i="40" a="1"/>
  <c r="E867" i="40" s="1"/>
  <c r="E868" i="40" a="1"/>
  <c r="E868" i="40" s="1"/>
  <c r="E869" i="40" a="1"/>
  <c r="E869" i="40" s="1"/>
  <c r="E870" i="40" a="1"/>
  <c r="E870" i="40" s="1"/>
  <c r="E871" i="40" a="1"/>
  <c r="E871" i="40" s="1"/>
  <c r="E872" i="40" a="1"/>
  <c r="E872" i="40" s="1"/>
  <c r="E873" i="40" a="1"/>
  <c r="E873" i="40" s="1"/>
  <c r="E874" i="40" a="1"/>
  <c r="E874" i="40" s="1"/>
  <c r="E875" i="40" a="1"/>
  <c r="E875" i="40" s="1"/>
  <c r="E876" i="40" a="1"/>
  <c r="E876" i="40" s="1"/>
  <c r="E877" i="40" a="1"/>
  <c r="E877" i="40" s="1"/>
  <c r="E878" i="40" a="1"/>
  <c r="E878" i="40" s="1"/>
  <c r="E879" i="40" a="1"/>
  <c r="E879" i="40" s="1"/>
  <c r="E880" i="40" a="1"/>
  <c r="E880" i="40" s="1"/>
  <c r="E881" i="40" a="1"/>
  <c r="E881" i="40" s="1"/>
  <c r="E882" i="40" a="1"/>
  <c r="E882" i="40" s="1"/>
  <c r="E883" i="40" a="1"/>
  <c r="E883" i="40" s="1"/>
  <c r="E884" i="40" a="1"/>
  <c r="E884" i="40" s="1"/>
  <c r="E885" i="40" a="1"/>
  <c r="E885" i="40" s="1"/>
  <c r="E886" i="40" a="1"/>
  <c r="E886" i="40" s="1"/>
  <c r="E887" i="40" a="1"/>
  <c r="E887" i="40" s="1"/>
  <c r="E888" i="40" a="1"/>
  <c r="E888" i="40" s="1"/>
  <c r="E889" i="40" a="1"/>
  <c r="E889" i="40" s="1"/>
  <c r="E890" i="40" a="1"/>
  <c r="E890" i="40" s="1"/>
  <c r="E891" i="40" a="1"/>
  <c r="E891" i="40" s="1"/>
  <c r="E892" i="40" a="1"/>
  <c r="E892" i="40" s="1"/>
  <c r="E893" i="40" a="1"/>
  <c r="E893" i="40" s="1"/>
  <c r="E894" i="40" a="1"/>
  <c r="E894" i="40" s="1"/>
  <c r="E895" i="40" a="1"/>
  <c r="E895" i="40" s="1"/>
  <c r="E896" i="40" a="1"/>
  <c r="E896" i="40" s="1"/>
  <c r="E897" i="40" a="1"/>
  <c r="E897" i="40" s="1"/>
  <c r="E898" i="40" a="1"/>
  <c r="E898" i="40" s="1"/>
  <c r="E899" i="40" a="1"/>
  <c r="E899" i="40" s="1"/>
  <c r="E900" i="40" a="1"/>
  <c r="E900" i="40" s="1"/>
  <c r="E901" i="40" a="1"/>
  <c r="E901" i="40" s="1"/>
  <c r="E902" i="40" a="1"/>
  <c r="E902" i="40" s="1"/>
  <c r="E903" i="40" a="1"/>
  <c r="E903" i="40" s="1"/>
  <c r="E904" i="40" a="1"/>
  <c r="E904" i="40" s="1"/>
  <c r="E905" i="40" a="1"/>
  <c r="E905" i="40" s="1"/>
  <c r="E906" i="40" a="1"/>
  <c r="E906" i="40" s="1"/>
  <c r="E907" i="40" a="1"/>
  <c r="E907" i="40" s="1"/>
  <c r="E908" i="40" a="1"/>
  <c r="E908" i="40" s="1"/>
  <c r="E909" i="40" a="1"/>
  <c r="E909" i="40" s="1"/>
  <c r="E910" i="40" a="1"/>
  <c r="E910" i="40" s="1"/>
  <c r="E911" i="40" a="1"/>
  <c r="E911" i="40" s="1"/>
  <c r="E912" i="40" a="1"/>
  <c r="E912" i="40" s="1"/>
  <c r="E913" i="40" a="1"/>
  <c r="E913" i="40" s="1"/>
  <c r="E914" i="40" a="1"/>
  <c r="E914" i="40" s="1"/>
  <c r="E915" i="40" a="1"/>
  <c r="E915" i="40" s="1"/>
  <c r="E916" i="40" a="1"/>
  <c r="E916" i="40" s="1"/>
  <c r="E917" i="40" a="1"/>
  <c r="E917" i="40" s="1"/>
  <c r="E918" i="40" a="1"/>
  <c r="E918" i="40" s="1"/>
  <c r="E919" i="40" a="1"/>
  <c r="E919" i="40" s="1"/>
  <c r="E920" i="40" a="1"/>
  <c r="E920" i="40" s="1"/>
  <c r="E921" i="40" a="1"/>
  <c r="E921" i="40" s="1"/>
  <c r="E922" i="40" a="1"/>
  <c r="E922" i="40" s="1"/>
  <c r="E923" i="40" a="1"/>
  <c r="E923" i="40" s="1"/>
  <c r="E924" i="40" a="1"/>
  <c r="E924" i="40" s="1"/>
  <c r="E925" i="40" a="1"/>
  <c r="E925" i="40" s="1"/>
  <c r="E926" i="40" a="1"/>
  <c r="E926" i="40" s="1"/>
  <c r="E927" i="40" a="1"/>
  <c r="E927" i="40" s="1"/>
  <c r="E928" i="40" a="1"/>
  <c r="E928" i="40" s="1"/>
  <c r="E929" i="40" a="1"/>
  <c r="E929" i="40" s="1"/>
  <c r="E930" i="40" a="1"/>
  <c r="E930" i="40" s="1"/>
  <c r="E931" i="40" a="1"/>
  <c r="E931" i="40" s="1"/>
  <c r="E932" i="40" a="1"/>
  <c r="E932" i="40" s="1"/>
  <c r="E933" i="40" a="1"/>
  <c r="E933" i="40" s="1"/>
  <c r="E934" i="40" a="1"/>
  <c r="E934" i="40" s="1"/>
  <c r="E935" i="40" a="1"/>
  <c r="E935" i="40" s="1"/>
  <c r="E936" i="40" a="1"/>
  <c r="E936" i="40" s="1"/>
  <c r="E937" i="40" a="1"/>
  <c r="E937" i="40" s="1"/>
  <c r="E938" i="40" a="1"/>
  <c r="E938" i="40" s="1"/>
  <c r="E939" i="40" a="1"/>
  <c r="E939" i="40" s="1"/>
  <c r="E940" i="40" a="1"/>
  <c r="E940" i="40" s="1"/>
  <c r="E941" i="40" a="1"/>
  <c r="E941" i="40" s="1"/>
  <c r="E942" i="40" a="1"/>
  <c r="E942" i="40" s="1"/>
  <c r="E943" i="40" a="1"/>
  <c r="E943" i="40" s="1"/>
  <c r="E944" i="40" a="1"/>
  <c r="E944" i="40" s="1"/>
  <c r="E945" i="40" a="1"/>
  <c r="E945" i="40" s="1"/>
  <c r="E946" i="40" a="1"/>
  <c r="E946" i="40" s="1"/>
  <c r="E947" i="40" a="1"/>
  <c r="E947" i="40" s="1"/>
  <c r="E948" i="40" a="1"/>
  <c r="E948" i="40" s="1"/>
  <c r="E949" i="40" a="1"/>
  <c r="E949" i="40" s="1"/>
  <c r="E950" i="40" a="1"/>
  <c r="E950" i="40" s="1"/>
  <c r="E951" i="40" a="1"/>
  <c r="E951" i="40" s="1"/>
  <c r="E952" i="40" a="1"/>
  <c r="E952" i="40" s="1"/>
  <c r="E953" i="40" a="1"/>
  <c r="E953" i="40" s="1"/>
  <c r="E954" i="40" a="1"/>
  <c r="E954" i="40" s="1"/>
  <c r="E955" i="40" a="1"/>
  <c r="E955" i="40" s="1"/>
  <c r="E956" i="40" a="1"/>
  <c r="E956" i="40" s="1"/>
  <c r="E957" i="40" a="1"/>
  <c r="E957" i="40" s="1"/>
  <c r="E958" i="40" a="1"/>
  <c r="E958" i="40" s="1"/>
  <c r="E959" i="40" a="1"/>
  <c r="E959" i="40" s="1"/>
  <c r="E960" i="40" a="1"/>
  <c r="E960" i="40" s="1"/>
  <c r="E961" i="40" a="1"/>
  <c r="E961" i="40" s="1"/>
  <c r="E962" i="40" a="1"/>
  <c r="E962" i="40" s="1"/>
  <c r="E963" i="40" a="1"/>
  <c r="E963" i="40" s="1"/>
  <c r="E964" i="40" a="1"/>
  <c r="E964" i="40" s="1"/>
  <c r="E965" i="40" a="1"/>
  <c r="E965" i="40" s="1"/>
  <c r="E966" i="40" a="1"/>
  <c r="E966" i="40" s="1"/>
  <c r="E967" i="40" a="1"/>
  <c r="E967" i="40" s="1"/>
  <c r="E968" i="40" a="1"/>
  <c r="E968" i="40" s="1"/>
  <c r="E969" i="40" a="1"/>
  <c r="E969" i="40" s="1"/>
  <c r="E970" i="40" a="1"/>
  <c r="E970" i="40" s="1"/>
  <c r="E971" i="40" a="1"/>
  <c r="E971" i="40" s="1"/>
  <c r="E972" i="40" a="1"/>
  <c r="E972" i="40" s="1"/>
  <c r="E973" i="40" a="1"/>
  <c r="E973" i="40" s="1"/>
  <c r="E974" i="40" a="1"/>
  <c r="E974" i="40" s="1"/>
  <c r="E975" i="40" a="1"/>
  <c r="E975" i="40" s="1"/>
  <c r="E976" i="40" a="1"/>
  <c r="E976" i="40" s="1"/>
  <c r="E977" i="40" a="1"/>
  <c r="E977" i="40" s="1"/>
  <c r="E978" i="40" a="1"/>
  <c r="E978" i="40" s="1"/>
  <c r="E979" i="40" a="1"/>
  <c r="E979" i="40" s="1"/>
  <c r="E980" i="40" a="1"/>
  <c r="E980" i="40" s="1"/>
  <c r="E981" i="40" a="1"/>
  <c r="E981" i="40" s="1"/>
  <c r="E982" i="40" a="1"/>
  <c r="E982" i="40" s="1"/>
  <c r="E983" i="40" a="1"/>
  <c r="E983" i="40" s="1"/>
  <c r="E984" i="40" a="1"/>
  <c r="E984" i="40" s="1"/>
  <c r="E985" i="40" a="1"/>
  <c r="E985" i="40" s="1"/>
  <c r="E986" i="40" a="1"/>
  <c r="E986" i="40" s="1"/>
  <c r="E987" i="40" a="1"/>
  <c r="E987" i="40" s="1"/>
  <c r="E988" i="40" a="1"/>
  <c r="E988" i="40" s="1"/>
  <c r="E989" i="40" a="1"/>
  <c r="E989" i="40" s="1"/>
  <c r="E990" i="40" a="1"/>
  <c r="E990" i="40" s="1"/>
  <c r="E991" i="40" a="1"/>
  <c r="E991" i="40" s="1"/>
  <c r="E992" i="40" a="1"/>
  <c r="E992" i="40" s="1"/>
  <c r="E993" i="40" a="1"/>
  <c r="E993" i="40" s="1"/>
  <c r="E994" i="40" a="1"/>
  <c r="E994" i="40" s="1"/>
  <c r="E995" i="40" a="1"/>
  <c r="E995" i="40" s="1"/>
  <c r="E996" i="40" a="1"/>
  <c r="E996" i="40" s="1"/>
  <c r="E997" i="40" a="1"/>
  <c r="E997" i="40" s="1"/>
  <c r="E998" i="40" a="1"/>
  <c r="E998" i="40" s="1"/>
  <c r="E999" i="40" a="1"/>
  <c r="E999" i="40" s="1"/>
  <c r="E1000" i="40" a="1"/>
  <c r="E1000" i="40" s="1"/>
  <c r="E1001" i="40" a="1"/>
  <c r="E1001" i="40" s="1"/>
  <c r="E1002" i="40" a="1"/>
  <c r="E1002" i="40" s="1"/>
  <c r="E1003" i="40" a="1"/>
  <c r="E1003" i="40" s="1"/>
  <c r="E1004" i="40" a="1"/>
  <c r="E1004" i="40" s="1"/>
  <c r="E1005" i="40" a="1"/>
  <c r="E1005" i="40" s="1"/>
  <c r="E1006" i="40" a="1"/>
  <c r="E1006" i="40" s="1"/>
  <c r="E1007" i="40" a="1"/>
  <c r="E1007" i="40" s="1"/>
  <c r="E1008" i="40" a="1"/>
  <c r="E1008" i="40" s="1"/>
  <c r="E1009" i="40" a="1"/>
  <c r="E1009" i="40" s="1"/>
  <c r="E1010" i="40" a="1"/>
  <c r="E1010" i="40" s="1"/>
  <c r="E1011" i="40" a="1"/>
  <c r="E1011" i="40" s="1"/>
  <c r="E1012" i="40" a="1"/>
  <c r="E1012" i="40" s="1"/>
  <c r="E1013" i="40" a="1"/>
  <c r="E1013" i="40" s="1"/>
  <c r="E1014" i="40" a="1"/>
  <c r="E1014" i="40" s="1"/>
  <c r="E1015" i="40" a="1"/>
  <c r="E1015" i="40" s="1"/>
  <c r="E1016" i="40" a="1"/>
  <c r="E1016" i="40" s="1"/>
  <c r="E1017" i="40" a="1"/>
  <c r="E1017" i="40" s="1"/>
  <c r="E1018" i="40" a="1"/>
  <c r="E1018" i="40" s="1"/>
  <c r="E1019" i="40" a="1"/>
  <c r="E1019" i="40" s="1"/>
  <c r="E1020" i="40" a="1"/>
  <c r="E1020" i="40" s="1"/>
  <c r="E1021" i="40" a="1"/>
  <c r="E1021" i="40" s="1"/>
  <c r="E1022" i="40" a="1"/>
  <c r="E1022" i="40" s="1"/>
  <c r="E1023" i="40" a="1"/>
  <c r="E1023" i="40" s="1"/>
  <c r="E1024" i="40" a="1"/>
  <c r="E1024" i="40" s="1"/>
  <c r="E1025" i="40" a="1"/>
  <c r="E1025" i="40" s="1"/>
  <c r="E1026" i="40" a="1"/>
  <c r="E1026" i="40" s="1"/>
  <c r="E1027" i="40" a="1"/>
  <c r="E1027" i="40" s="1"/>
  <c r="E1028" i="40" a="1"/>
  <c r="E1028" i="40" s="1"/>
  <c r="E1029" i="40" a="1"/>
  <c r="E1029" i="40" s="1"/>
  <c r="E1030" i="40" a="1"/>
  <c r="E1030" i="40" s="1"/>
  <c r="E1031" i="40" a="1"/>
  <c r="E1031" i="40" s="1"/>
  <c r="E1032" i="40" a="1"/>
  <c r="E1032" i="40" s="1"/>
  <c r="E1033" i="40" a="1"/>
  <c r="E1033" i="40" s="1"/>
  <c r="E1034" i="40" a="1"/>
  <c r="E1034" i="40" s="1"/>
  <c r="E1035" i="40" a="1"/>
  <c r="E1035" i="40" s="1"/>
  <c r="E1036" i="40" a="1"/>
  <c r="E1036" i="40" s="1"/>
  <c r="E1037" i="40" a="1"/>
  <c r="E1037" i="40" s="1"/>
  <c r="E1038" i="40" a="1"/>
  <c r="E1038" i="40" s="1"/>
  <c r="E1039" i="40" a="1"/>
  <c r="E1039" i="40" s="1"/>
  <c r="E1040" i="40" a="1"/>
  <c r="E1040" i="40" s="1"/>
  <c r="E1041" i="40" a="1"/>
  <c r="E1041" i="40" s="1"/>
  <c r="E1042" i="40" a="1"/>
  <c r="E1042" i="40" s="1"/>
  <c r="E1043" i="40" a="1"/>
  <c r="E1043" i="40" s="1"/>
  <c r="E1044" i="40" a="1"/>
  <c r="E1044" i="40" s="1"/>
  <c r="E1045" i="40" a="1"/>
  <c r="E1045" i="40" s="1"/>
  <c r="E1046" i="40" a="1"/>
  <c r="E1046" i="40" s="1"/>
  <c r="E1047" i="40" a="1"/>
  <c r="E1047" i="40" s="1"/>
  <c r="E1048" i="40" a="1"/>
  <c r="E1048" i="40" s="1"/>
  <c r="E1049" i="40" a="1"/>
  <c r="E1049" i="40" s="1"/>
  <c r="E1050" i="40" a="1"/>
  <c r="E1050" i="40" s="1"/>
  <c r="E1051" i="40" a="1"/>
  <c r="E1051" i="40" s="1"/>
  <c r="E1052" i="40" a="1"/>
  <c r="E1052" i="40" s="1"/>
  <c r="E1053" i="40" a="1"/>
  <c r="E1053" i="40" s="1"/>
  <c r="E1054" i="40" a="1"/>
  <c r="E1054" i="40" s="1"/>
  <c r="E1055" i="40" a="1"/>
  <c r="E1055" i="40" s="1"/>
  <c r="E1056" i="40" a="1"/>
  <c r="E1056" i="40" s="1"/>
  <c r="E1057" i="40" a="1"/>
  <c r="E1057" i="40" s="1"/>
  <c r="E1058" i="40" a="1"/>
  <c r="E1058" i="40" s="1"/>
  <c r="E1059" i="40" a="1"/>
  <c r="E1059" i="40" s="1"/>
  <c r="E1060" i="40" a="1"/>
  <c r="E1060" i="40" s="1"/>
  <c r="E1061" i="40" a="1"/>
  <c r="E1061" i="40" s="1"/>
  <c r="E1062" i="40" a="1"/>
  <c r="E1062" i="40" s="1"/>
  <c r="E1063" i="40" a="1"/>
  <c r="E1063" i="40" s="1"/>
  <c r="E1064" i="40" a="1"/>
  <c r="E1064" i="40" s="1"/>
  <c r="E1065" i="40" a="1"/>
  <c r="E1065" i="40" s="1"/>
  <c r="E1066" i="40" a="1"/>
  <c r="E1066" i="40" s="1"/>
  <c r="E1067" i="40" a="1"/>
  <c r="E1067" i="40" s="1"/>
  <c r="E1068" i="40" a="1"/>
  <c r="E1068" i="40" s="1"/>
  <c r="E1069" i="40" a="1"/>
  <c r="E1069" i="40" s="1"/>
  <c r="E1070" i="40" a="1"/>
  <c r="E1070" i="40" s="1"/>
  <c r="E1071" i="40" a="1"/>
  <c r="E1071" i="40" s="1"/>
  <c r="E1072" i="40" a="1"/>
  <c r="E1072" i="40" s="1"/>
  <c r="E1073" i="40" a="1"/>
  <c r="E1073" i="40" s="1"/>
  <c r="E1074" i="40" a="1"/>
  <c r="E1074" i="40" s="1"/>
  <c r="E1075" i="40" a="1"/>
  <c r="E1075" i="40" s="1"/>
  <c r="E1076" i="40" a="1"/>
  <c r="E1076" i="40" s="1"/>
  <c r="E1077" i="40" a="1"/>
  <c r="E1077" i="40" s="1"/>
  <c r="E1078" i="40" a="1"/>
  <c r="E1078" i="40" s="1"/>
  <c r="E1079" i="40" a="1"/>
  <c r="E1079" i="40" s="1"/>
  <c r="E1080" i="40" a="1"/>
  <c r="E1080" i="40" s="1"/>
  <c r="E1081" i="40" a="1"/>
  <c r="E1081" i="40" s="1"/>
  <c r="E1082" i="40" a="1"/>
  <c r="E1082" i="40" s="1"/>
  <c r="E1083" i="40" a="1"/>
  <c r="E1083" i="40" s="1"/>
  <c r="E1084" i="40" a="1"/>
  <c r="E1084" i="40" s="1"/>
  <c r="E1085" i="40" a="1"/>
  <c r="E1085" i="40" s="1"/>
  <c r="E1086" i="40" a="1"/>
  <c r="E1086" i="40" s="1"/>
  <c r="E1087" i="40" a="1"/>
  <c r="E1087" i="40" s="1"/>
  <c r="E1088" i="40" a="1"/>
  <c r="E1088" i="40" s="1"/>
  <c r="E1089" i="40" a="1"/>
  <c r="E1089" i="40" s="1"/>
  <c r="E1090" i="40" a="1"/>
  <c r="E1090" i="40" s="1"/>
  <c r="E1091" i="40" a="1"/>
  <c r="E1091" i="40" s="1"/>
  <c r="E1092" i="40" a="1"/>
  <c r="E1092" i="40" s="1"/>
  <c r="E1093" i="40" a="1"/>
  <c r="E1093" i="40" s="1"/>
  <c r="E1094" i="40" a="1"/>
  <c r="E1094" i="40" s="1"/>
  <c r="E1095" i="40" a="1"/>
  <c r="E1095" i="40" s="1"/>
  <c r="E1096" i="40" a="1"/>
  <c r="E1096" i="40" s="1"/>
  <c r="E1097" i="40" a="1"/>
  <c r="E1097" i="40" s="1"/>
  <c r="E1098" i="40" a="1"/>
  <c r="E1098" i="40" s="1"/>
  <c r="E1099" i="40" a="1"/>
  <c r="E1099" i="40" s="1"/>
  <c r="E1100" i="40" a="1"/>
  <c r="E1100" i="40" s="1"/>
  <c r="E1101" i="40" a="1"/>
  <c r="E1101" i="40" s="1"/>
  <c r="E1102" i="40" a="1"/>
  <c r="E1102" i="40" s="1"/>
  <c r="E1103" i="40" a="1"/>
  <c r="E1103" i="40" s="1"/>
  <c r="E1104" i="40" a="1"/>
  <c r="E1104" i="40" s="1"/>
  <c r="E1105" i="40" a="1"/>
  <c r="E1105" i="40" s="1"/>
  <c r="E1106" i="40" a="1"/>
  <c r="E1106" i="40" s="1"/>
  <c r="E1107" i="40" a="1"/>
  <c r="E1107" i="40" s="1"/>
  <c r="E1108" i="40" a="1"/>
  <c r="E1108" i="40" s="1"/>
  <c r="E1109" i="40" a="1"/>
  <c r="E1109" i="40" s="1"/>
  <c r="E1110" i="40" a="1"/>
  <c r="E1110" i="40" s="1"/>
  <c r="E1111" i="40" a="1"/>
  <c r="E1111" i="40" s="1"/>
  <c r="E1112" i="40" a="1"/>
  <c r="E1112" i="40" s="1"/>
  <c r="E1113" i="40" a="1"/>
  <c r="E1113" i="40" s="1"/>
  <c r="E1114" i="40" a="1"/>
  <c r="E1114" i="40" s="1"/>
  <c r="E1115" i="40" a="1"/>
  <c r="E1115" i="40" s="1"/>
  <c r="E1116" i="40" a="1"/>
  <c r="E1116" i="40" s="1"/>
  <c r="E1117" i="40" a="1"/>
  <c r="E1117" i="40" s="1"/>
  <c r="E1118" i="40" a="1"/>
  <c r="E1118" i="40" s="1"/>
  <c r="E1119" i="40" a="1"/>
  <c r="E1119" i="40" s="1"/>
  <c r="E1120" i="40" a="1"/>
  <c r="E1120" i="40" s="1"/>
  <c r="E1121" i="40" a="1"/>
  <c r="E1121" i="40" s="1"/>
  <c r="E1122" i="40" a="1"/>
  <c r="E1122" i="40" s="1"/>
  <c r="E1123" i="40" a="1"/>
  <c r="E1123" i="40" s="1"/>
  <c r="E1124" i="40" a="1"/>
  <c r="E1124" i="40" s="1"/>
  <c r="E1125" i="40" a="1"/>
  <c r="E1125" i="40" s="1"/>
  <c r="E1126" i="40" a="1"/>
  <c r="E1126" i="40" s="1"/>
  <c r="E1127" i="40" a="1"/>
  <c r="E1127" i="40" s="1"/>
  <c r="E1128" i="40" a="1"/>
  <c r="E1128" i="40" s="1"/>
  <c r="E1129" i="40" a="1"/>
  <c r="E1129" i="40" s="1"/>
  <c r="E1130" i="40" a="1"/>
  <c r="E1130" i="40" s="1"/>
  <c r="E1131" i="40" a="1"/>
  <c r="E1131" i="40" s="1"/>
  <c r="E1132" i="40" a="1"/>
  <c r="E1132" i="40" s="1"/>
  <c r="E1133" i="40" a="1"/>
  <c r="E1133" i="40" s="1"/>
  <c r="E1134" i="40" a="1"/>
  <c r="E1134" i="40" s="1"/>
  <c r="E1135" i="40" a="1"/>
  <c r="E1135" i="40" s="1"/>
  <c r="E1136" i="40" a="1"/>
  <c r="E1136" i="40" s="1"/>
  <c r="E1137" i="40" a="1"/>
  <c r="E1137" i="40" s="1"/>
  <c r="E1138" i="40" a="1"/>
  <c r="E1138" i="40" s="1"/>
  <c r="E1139" i="40" a="1"/>
  <c r="E1139" i="40" s="1"/>
  <c r="E1140" i="40" a="1"/>
  <c r="E1140" i="40" s="1"/>
  <c r="E1141" i="40" a="1"/>
  <c r="E1141" i="40" s="1"/>
  <c r="E1142" i="40" a="1"/>
  <c r="E1142" i="40" s="1"/>
  <c r="E1143" i="40" a="1"/>
  <c r="E1143" i="40" s="1"/>
  <c r="E1144" i="40" a="1"/>
  <c r="E1144" i="40" s="1"/>
  <c r="E1145" i="40" a="1"/>
  <c r="E1145" i="40" s="1"/>
  <c r="E1146" i="40" a="1"/>
  <c r="E1146" i="40" s="1"/>
  <c r="E1147" i="40" a="1"/>
  <c r="E1147" i="40" s="1"/>
  <c r="E1148" i="40" a="1"/>
  <c r="E1148" i="40" s="1"/>
  <c r="E1149" i="40" a="1"/>
  <c r="E1149" i="40" s="1"/>
  <c r="E1150" i="40" a="1"/>
  <c r="E1150" i="40" s="1"/>
  <c r="E1151" i="40" a="1"/>
  <c r="E1151" i="40" s="1"/>
  <c r="E1152" i="40" a="1"/>
  <c r="E1152" i="40" s="1"/>
  <c r="E1153" i="40" a="1"/>
  <c r="E1153" i="40" s="1"/>
  <c r="E1154" i="40" a="1"/>
  <c r="E1154" i="40" s="1"/>
  <c r="E1155" i="40" a="1"/>
  <c r="E1155" i="40" s="1"/>
  <c r="E1156" i="40" a="1"/>
  <c r="E1156" i="40" s="1"/>
  <c r="E1157" i="40" a="1"/>
  <c r="E1157" i="40" s="1"/>
  <c r="E1158" i="40" a="1"/>
  <c r="E1158" i="40" s="1"/>
  <c r="E1159" i="40" a="1"/>
  <c r="E1159" i="40" s="1"/>
  <c r="E1160" i="40" a="1"/>
  <c r="E1160" i="40" s="1"/>
  <c r="E1161" i="40" a="1"/>
  <c r="E1161" i="40" s="1"/>
  <c r="E1162" i="40" a="1"/>
  <c r="E1162" i="40" s="1"/>
  <c r="E1163" i="40" a="1"/>
  <c r="E1163" i="40" s="1"/>
  <c r="E1164" i="40" a="1"/>
  <c r="E1164" i="40" s="1"/>
  <c r="E1165" i="40" a="1"/>
  <c r="E1165" i="40" s="1"/>
  <c r="E1166" i="40" a="1"/>
  <c r="E1166" i="40" s="1"/>
  <c r="E1167" i="40" a="1"/>
  <c r="E1167" i="40" s="1"/>
  <c r="E1168" i="40" a="1"/>
  <c r="E1168" i="40" s="1"/>
  <c r="E1169" i="40" a="1"/>
  <c r="E1169" i="40" s="1"/>
  <c r="E1170" i="40" a="1"/>
  <c r="E1170" i="40" s="1"/>
  <c r="E1171" i="40" a="1"/>
  <c r="E1171" i="40" s="1"/>
  <c r="E1172" i="40" a="1"/>
  <c r="E1172" i="40" s="1"/>
  <c r="E1173" i="40" a="1"/>
  <c r="E1173" i="40" s="1"/>
  <c r="E1174" i="40" a="1"/>
  <c r="E1174" i="40" s="1"/>
  <c r="E1175" i="40" a="1"/>
  <c r="E1175" i="40" s="1"/>
  <c r="E1176" i="40" a="1"/>
  <c r="E1176" i="40" s="1"/>
  <c r="E1177" i="40" a="1"/>
  <c r="E1177" i="40" s="1"/>
  <c r="E1178" i="40" a="1"/>
  <c r="E1178" i="40" s="1"/>
  <c r="E1179" i="40" a="1"/>
  <c r="E1179" i="40" s="1"/>
  <c r="E1180" i="40" a="1"/>
  <c r="E1180" i="40" s="1"/>
  <c r="E1181" i="40" a="1"/>
  <c r="E1181" i="40" s="1"/>
  <c r="E1182" i="40" a="1"/>
  <c r="E1182" i="40" s="1"/>
  <c r="E1183" i="40" a="1"/>
  <c r="E1183" i="40" s="1"/>
  <c r="E1184" i="40" a="1"/>
  <c r="E1184" i="40" s="1"/>
  <c r="E1185" i="40" a="1"/>
  <c r="E1185" i="40" s="1"/>
  <c r="E1186" i="40" a="1"/>
  <c r="E1186" i="40" s="1"/>
  <c r="E1187" i="40" a="1"/>
  <c r="E1187" i="40" s="1"/>
  <c r="E1188" i="40" a="1"/>
  <c r="E1188" i="40" s="1"/>
  <c r="E1189" i="40" a="1"/>
  <c r="E1189" i="40" s="1"/>
  <c r="E1190" i="40" a="1"/>
  <c r="E1190" i="40" s="1"/>
  <c r="E1191" i="40" a="1"/>
  <c r="E1191" i="40" s="1"/>
  <c r="E1192" i="40" a="1"/>
  <c r="E1192" i="40" s="1"/>
  <c r="E1193" i="40" a="1"/>
  <c r="E1193" i="40" s="1"/>
  <c r="E1194" i="40" a="1"/>
  <c r="E1194" i="40" s="1"/>
  <c r="E1195" i="40" a="1"/>
  <c r="E1195" i="40" s="1"/>
  <c r="E1196" i="40" a="1"/>
  <c r="E1196" i="40" s="1"/>
  <c r="E1197" i="40" a="1"/>
  <c r="E1197" i="40" s="1"/>
  <c r="E1198" i="40" a="1"/>
  <c r="E1198" i="40" s="1"/>
  <c r="E1199" i="40" a="1"/>
  <c r="E1199" i="40" s="1"/>
  <c r="E1200" i="40" a="1"/>
  <c r="E1200" i="40" s="1"/>
  <c r="E1201" i="40" a="1"/>
  <c r="E1201" i="40" s="1"/>
  <c r="E1202" i="40" a="1"/>
  <c r="E1202" i="40" s="1"/>
  <c r="E1203" i="40" a="1"/>
  <c r="E1203" i="40" s="1"/>
  <c r="E1204" i="40" a="1"/>
  <c r="E1204" i="40" s="1"/>
  <c r="E1205" i="40" a="1"/>
  <c r="E1205" i="40" s="1"/>
  <c r="E1206" i="40" a="1"/>
  <c r="E1206" i="40" s="1"/>
  <c r="E1207" i="40" a="1"/>
  <c r="E1207" i="40" s="1"/>
  <c r="E1208" i="40" a="1"/>
  <c r="E1208" i="40" s="1"/>
  <c r="E1209" i="40" a="1"/>
  <c r="E1209" i="40" s="1"/>
  <c r="E1210" i="40" a="1"/>
  <c r="E1210" i="40" s="1"/>
  <c r="E1211" i="40" a="1"/>
  <c r="E1211" i="40" s="1"/>
  <c r="E1212" i="40" a="1"/>
  <c r="E1212" i="40" s="1"/>
  <c r="E1213" i="40" a="1"/>
  <c r="E1213" i="40" s="1"/>
  <c r="E1214" i="40" a="1"/>
  <c r="E1214" i="40" s="1"/>
  <c r="E1215" i="40" a="1"/>
  <c r="E1215" i="40" s="1"/>
  <c r="E1216" i="40" a="1"/>
  <c r="E1216" i="40" s="1"/>
  <c r="E1217" i="40" a="1"/>
  <c r="E1217" i="40" s="1"/>
  <c r="E1218" i="40" a="1"/>
  <c r="E1218" i="40" s="1"/>
  <c r="E1219" i="40" a="1"/>
  <c r="E1219" i="40" s="1"/>
  <c r="E1220" i="40" a="1"/>
  <c r="E1220" i="40" s="1"/>
  <c r="E1221" i="40" a="1"/>
  <c r="E1221" i="40" s="1"/>
  <c r="E1222" i="40" a="1"/>
  <c r="E1222" i="40" s="1"/>
  <c r="E1223" i="40" a="1"/>
  <c r="E1223" i="40" s="1"/>
  <c r="E1224" i="40" a="1"/>
  <c r="E1224" i="40" s="1"/>
  <c r="E1225" i="40" a="1"/>
  <c r="E1225" i="40" s="1"/>
  <c r="E1226" i="40" a="1"/>
  <c r="E1226" i="40" s="1"/>
  <c r="E1227" i="40" a="1"/>
  <c r="E1227" i="40" s="1"/>
  <c r="E1228" i="40" a="1"/>
  <c r="E1228" i="40" s="1"/>
  <c r="E1229" i="40" a="1"/>
  <c r="E1229" i="40" s="1"/>
  <c r="E1230" i="40" a="1"/>
  <c r="E1230" i="40" s="1"/>
  <c r="E1231" i="40" a="1"/>
  <c r="E1231" i="40" s="1"/>
  <c r="E1232" i="40" a="1"/>
  <c r="E1232" i="40" s="1"/>
  <c r="E1233" i="40" a="1"/>
  <c r="E1233" i="40" s="1"/>
  <c r="E1234" i="40" a="1"/>
  <c r="E1234" i="40" s="1"/>
  <c r="E1235" i="40" a="1"/>
  <c r="E1235" i="40" s="1"/>
  <c r="E1236" i="40" a="1"/>
  <c r="E1236" i="40" s="1"/>
  <c r="E1237" i="40" a="1"/>
  <c r="E1237" i="40" s="1"/>
  <c r="E1238" i="40" a="1"/>
  <c r="E1238" i="40" s="1"/>
  <c r="E1239" i="40" a="1"/>
  <c r="E1239" i="40" s="1"/>
  <c r="E1240" i="40" a="1"/>
  <c r="E1240" i="40" s="1"/>
  <c r="E1241" i="40" a="1"/>
  <c r="E1241" i="40" s="1"/>
  <c r="E1242" i="40" a="1"/>
  <c r="E1242" i="40" s="1"/>
  <c r="E1243" i="40" a="1"/>
  <c r="E1243" i="40" s="1"/>
  <c r="E1244" i="40" a="1"/>
  <c r="E1244" i="40" s="1"/>
  <c r="E1245" i="40" a="1"/>
  <c r="E1245" i="40" s="1"/>
  <c r="E1246" i="40" a="1"/>
  <c r="E1246" i="40" s="1"/>
  <c r="E1247" i="40" a="1"/>
  <c r="E1247" i="40" s="1"/>
  <c r="E1248" i="40" a="1"/>
  <c r="E1248" i="40" s="1"/>
  <c r="E1249" i="40" a="1"/>
  <c r="E1249" i="40" s="1"/>
  <c r="E1250" i="40" a="1"/>
  <c r="E1250" i="40" s="1"/>
  <c r="E1251" i="40" a="1"/>
  <c r="E1251" i="40" s="1"/>
  <c r="E1252" i="40" a="1"/>
  <c r="E1252" i="40" s="1"/>
  <c r="E1253" i="40" a="1"/>
  <c r="E1253" i="40" s="1"/>
  <c r="E1254" i="40" a="1"/>
  <c r="E1254" i="40" s="1"/>
  <c r="E1255" i="40" a="1"/>
  <c r="E1255" i="40" s="1"/>
  <c r="E1256" i="40" a="1"/>
  <c r="E1256" i="40" s="1"/>
  <c r="E1257" i="40" a="1"/>
  <c r="E1257" i="40" s="1"/>
  <c r="E1258" i="40" a="1"/>
  <c r="E1258" i="40" s="1"/>
  <c r="E1259" i="40" a="1"/>
  <c r="E1259" i="40" s="1"/>
  <c r="E1260" i="40" a="1"/>
  <c r="E1260" i="40" s="1"/>
  <c r="E1261" i="40" a="1"/>
  <c r="E1261" i="40" s="1"/>
  <c r="E1262" i="40" a="1"/>
  <c r="E1262" i="40" s="1"/>
  <c r="E1263" i="40" a="1"/>
  <c r="E1263" i="40" s="1"/>
  <c r="E1264" i="40" a="1"/>
  <c r="E1264" i="40" s="1"/>
  <c r="E1265" i="40" a="1"/>
  <c r="E1265" i="40" s="1"/>
  <c r="E1266" i="40" a="1"/>
  <c r="E1266" i="40" s="1"/>
  <c r="E1267" i="40" a="1"/>
  <c r="E1267" i="40" s="1"/>
  <c r="E1268" i="40" a="1"/>
  <c r="E1268" i="40" s="1"/>
  <c r="E1269" i="40" a="1"/>
  <c r="E1269" i="40" s="1"/>
  <c r="E1270" i="40" a="1"/>
  <c r="E1270" i="40" s="1"/>
  <c r="E1271" i="40" a="1"/>
  <c r="E1271" i="40" s="1"/>
  <c r="E1272" i="40" a="1"/>
  <c r="E1272" i="40" s="1"/>
  <c r="E1273" i="40" a="1"/>
  <c r="E1273" i="40" s="1"/>
  <c r="E1274" i="40" a="1"/>
  <c r="E1274" i="40" s="1"/>
  <c r="E1275" i="40" a="1"/>
  <c r="E1275" i="40" s="1"/>
  <c r="E1276" i="40" a="1"/>
  <c r="E1276" i="40" s="1"/>
  <c r="E1277" i="40" a="1"/>
  <c r="E1277" i="40" s="1"/>
  <c r="E1278" i="40" a="1"/>
  <c r="E1278" i="40" s="1"/>
  <c r="E1279" i="40" a="1"/>
  <c r="E1279" i="40" s="1"/>
  <c r="E1280" i="40" a="1"/>
  <c r="E1280" i="40" s="1"/>
  <c r="E1281" i="40" a="1"/>
  <c r="E1281" i="40" s="1"/>
  <c r="E1282" i="40" a="1"/>
  <c r="E1282" i="40" s="1"/>
  <c r="E1283" i="40" a="1"/>
  <c r="E1283" i="40" s="1"/>
  <c r="E1284" i="40" a="1"/>
  <c r="E1284" i="40" s="1"/>
  <c r="E1285" i="40" a="1"/>
  <c r="E1285" i="40" s="1"/>
  <c r="E1286" i="40" a="1"/>
  <c r="E1286" i="40" s="1"/>
  <c r="E1287" i="40" a="1"/>
  <c r="E1287" i="40" s="1"/>
  <c r="E1288" i="40" a="1"/>
  <c r="E1288" i="40" s="1"/>
  <c r="E1289" i="40" a="1"/>
  <c r="E1289" i="40" s="1"/>
  <c r="E1290" i="40" a="1"/>
  <c r="E1290" i="40" s="1"/>
  <c r="E1291" i="40" a="1"/>
  <c r="E1291" i="40" s="1"/>
  <c r="E1292" i="40" a="1"/>
  <c r="E1292" i="40" s="1"/>
  <c r="E1293" i="40" a="1"/>
  <c r="E1293" i="40" s="1"/>
  <c r="E1294" i="40" a="1"/>
  <c r="E1294" i="40" s="1"/>
  <c r="E1295" i="40" a="1"/>
  <c r="E1295" i="40" s="1"/>
  <c r="E1296" i="40" a="1"/>
  <c r="E1296" i="40" s="1"/>
  <c r="E1297" i="40" a="1"/>
  <c r="E1297" i="40" s="1"/>
  <c r="E1298" i="40" a="1"/>
  <c r="E1298" i="40" s="1"/>
  <c r="E1299" i="40" a="1"/>
  <c r="E1299" i="40" s="1"/>
  <c r="E1300" i="40" a="1"/>
  <c r="E1300" i="40" s="1"/>
  <c r="E1301" i="40" a="1"/>
  <c r="E1301" i="40" s="1"/>
  <c r="E1302" i="40" a="1"/>
  <c r="E1302" i="40" s="1"/>
  <c r="E1303" i="40" a="1"/>
  <c r="E1303" i="40" s="1"/>
  <c r="E1304" i="40" a="1"/>
  <c r="E1304" i="40" s="1"/>
  <c r="E1305" i="40" a="1"/>
  <c r="E1305" i="40" s="1"/>
  <c r="E1306" i="40" a="1"/>
  <c r="E1306" i="40" s="1"/>
  <c r="E1307" i="40" a="1"/>
  <c r="E1307" i="40" s="1"/>
  <c r="E1308" i="40" a="1"/>
  <c r="E1308" i="40" s="1"/>
  <c r="E1309" i="40" a="1"/>
  <c r="E1309" i="40" s="1"/>
  <c r="E1310" i="40" a="1"/>
  <c r="E1310" i="40" s="1"/>
  <c r="E1311" i="40" a="1"/>
  <c r="E1311" i="40" s="1"/>
  <c r="E1312" i="40" a="1"/>
  <c r="E1312" i="40" s="1"/>
  <c r="E1313" i="40" a="1"/>
  <c r="E1313" i="40" s="1"/>
  <c r="E1314" i="40" a="1"/>
  <c r="E1314" i="40" s="1"/>
  <c r="E1315" i="40" a="1"/>
  <c r="E1315" i="40" s="1"/>
  <c r="E1316" i="40" a="1"/>
  <c r="E1316" i="40" s="1"/>
  <c r="E1317" i="40" a="1"/>
  <c r="E1317" i="40" s="1"/>
  <c r="E1318" i="40" a="1"/>
  <c r="E1318" i="40" s="1"/>
  <c r="E1319" i="40" a="1"/>
  <c r="E1319" i="40" s="1"/>
  <c r="E1320" i="40" a="1"/>
  <c r="E1320" i="40" s="1"/>
  <c r="E1321" i="40" a="1"/>
  <c r="E1321" i="40" s="1"/>
  <c r="E1322" i="40" a="1"/>
  <c r="E1322" i="40" s="1"/>
  <c r="E1323" i="40" a="1"/>
  <c r="E1323" i="40" s="1"/>
  <c r="E1324" i="40" a="1"/>
  <c r="E1324" i="40" s="1"/>
  <c r="E1325" i="40" a="1"/>
  <c r="E1325" i="40" s="1"/>
  <c r="E1326" i="40" a="1"/>
  <c r="E1326" i="40" s="1"/>
  <c r="E1327" i="40" a="1"/>
  <c r="E1327" i="40" s="1"/>
  <c r="E1328" i="40" a="1"/>
  <c r="E1328" i="40" s="1"/>
  <c r="E1329" i="40" a="1"/>
  <c r="E1329" i="40" s="1"/>
  <c r="E1330" i="40" a="1"/>
  <c r="E1330" i="40" s="1"/>
  <c r="E1331" i="40" a="1"/>
  <c r="E1331" i="40" s="1"/>
  <c r="E1332" i="40" a="1"/>
  <c r="E1332" i="40" s="1"/>
  <c r="E1333" i="40" a="1"/>
  <c r="E1333" i="40" s="1"/>
  <c r="E1334" i="40" a="1"/>
  <c r="E1334" i="40" s="1"/>
  <c r="E1335" i="40" a="1"/>
  <c r="E1335" i="40" s="1"/>
  <c r="E1336" i="40" a="1"/>
  <c r="E1336" i="40" s="1"/>
  <c r="E1337" i="40" a="1"/>
  <c r="E1337" i="40" s="1"/>
  <c r="E1338" i="40" a="1"/>
  <c r="E1338" i="40" s="1"/>
  <c r="E1339" i="40" a="1"/>
  <c r="E1339" i="40" s="1"/>
  <c r="E1340" i="40" a="1"/>
  <c r="E1340" i="40" s="1"/>
  <c r="E1341" i="40" a="1"/>
  <c r="E1341" i="40" s="1"/>
  <c r="E1342" i="40" a="1"/>
  <c r="E1342" i="40" s="1"/>
  <c r="E1343" i="40" a="1"/>
  <c r="E1343" i="40" s="1"/>
  <c r="E1344" i="40" a="1"/>
  <c r="E1344" i="40" s="1"/>
  <c r="E1345" i="40" a="1"/>
  <c r="E1345" i="40" s="1"/>
  <c r="E1346" i="40" a="1"/>
  <c r="E1346" i="40" s="1"/>
  <c r="E1347" i="40" a="1"/>
  <c r="E1347" i="40" s="1"/>
  <c r="E1348" i="40" a="1"/>
  <c r="E1348" i="40" s="1"/>
  <c r="E1349" i="40" a="1"/>
  <c r="E1349" i="40" s="1"/>
  <c r="E1350" i="40" a="1"/>
  <c r="E1350" i="40" s="1"/>
  <c r="E1351" i="40" a="1"/>
  <c r="E1351" i="40" s="1"/>
  <c r="E1352" i="40" a="1"/>
  <c r="E1352" i="40" s="1"/>
  <c r="E1353" i="40" a="1"/>
  <c r="E1353" i="40" s="1"/>
  <c r="E1354" i="40" a="1"/>
  <c r="E1354" i="40" s="1"/>
  <c r="E1355" i="40" a="1"/>
  <c r="E1355" i="40" s="1"/>
  <c r="E1356" i="40" a="1"/>
  <c r="E1356" i="40" s="1"/>
  <c r="E1357" i="40" a="1"/>
  <c r="E1357" i="40" s="1"/>
  <c r="E1358" i="40" a="1"/>
  <c r="E1358" i="40" s="1"/>
  <c r="E1359" i="40" a="1"/>
  <c r="E1359" i="40" s="1"/>
  <c r="E1360" i="40" a="1"/>
  <c r="E1360" i="40" s="1"/>
  <c r="E1361" i="40" a="1"/>
  <c r="E1361" i="40" s="1"/>
  <c r="E1362" i="40" a="1"/>
  <c r="E1362" i="40" s="1"/>
  <c r="E1363" i="40" a="1"/>
  <c r="E1363" i="40" s="1"/>
  <c r="E1364" i="40" a="1"/>
  <c r="E1364" i="40" s="1"/>
  <c r="E1365" i="40" a="1"/>
  <c r="E1365" i="40" s="1"/>
  <c r="E1366" i="40" a="1"/>
  <c r="E1366" i="40" s="1"/>
  <c r="E1367" i="40" a="1"/>
  <c r="E1367" i="40" s="1"/>
  <c r="E1368" i="40" a="1"/>
  <c r="E1368" i="40" s="1"/>
  <c r="E1369" i="40" a="1"/>
  <c r="E1369" i="40" s="1"/>
  <c r="E1370" i="40" a="1"/>
  <c r="E1370" i="40" s="1"/>
  <c r="E1371" i="40" a="1"/>
  <c r="E1371" i="40" s="1"/>
  <c r="E1372" i="40" a="1"/>
  <c r="E1372" i="40" s="1"/>
  <c r="E1373" i="40" a="1"/>
  <c r="E1373" i="40" s="1"/>
  <c r="E1374" i="40" a="1"/>
  <c r="E1374" i="40" s="1"/>
  <c r="E1375" i="40" a="1"/>
  <c r="E1375" i="40" s="1"/>
  <c r="E1376" i="40" a="1"/>
  <c r="E1376" i="40" s="1"/>
  <c r="E1377" i="40" a="1"/>
  <c r="E1377" i="40" s="1"/>
  <c r="E1378" i="40" a="1"/>
  <c r="E1378" i="40" s="1"/>
  <c r="E1379" i="40" a="1"/>
  <c r="E1379" i="40" s="1"/>
  <c r="E1380" i="40" a="1"/>
  <c r="E1380" i="40" s="1"/>
  <c r="E1381" i="40" a="1"/>
  <c r="E1381" i="40" s="1"/>
  <c r="E1382" i="40" a="1"/>
  <c r="E1382" i="40" s="1"/>
  <c r="E1383" i="40" a="1"/>
  <c r="E1383" i="40" s="1"/>
  <c r="E1384" i="40" a="1"/>
  <c r="E1384" i="40" s="1"/>
  <c r="E1385" i="40" a="1"/>
  <c r="E1385" i="40" s="1"/>
  <c r="E1386" i="40" a="1"/>
  <c r="E1386" i="40" s="1"/>
  <c r="E1387" i="40" a="1"/>
  <c r="E1387" i="40" s="1"/>
  <c r="E1388" i="40" a="1"/>
  <c r="E1388" i="40" s="1"/>
  <c r="E1389" i="40" a="1"/>
  <c r="E1389" i="40" s="1"/>
  <c r="E1390" i="40" a="1"/>
  <c r="E1390" i="40" s="1"/>
  <c r="E1391" i="40" a="1"/>
  <c r="E1391" i="40" s="1"/>
  <c r="E1392" i="40" a="1"/>
  <c r="E1392" i="40" s="1"/>
  <c r="E1393" i="40" a="1"/>
  <c r="E1393" i="40" s="1"/>
  <c r="E1394" i="40" a="1"/>
  <c r="E1394" i="40" s="1"/>
  <c r="E1395" i="40" a="1"/>
  <c r="E1395" i="40" s="1"/>
  <c r="E1396" i="40" a="1"/>
  <c r="E1396" i="40" s="1"/>
  <c r="E1397" i="40" a="1"/>
  <c r="E1397" i="40" s="1"/>
  <c r="E1398" i="40" a="1"/>
  <c r="E1398" i="40" s="1"/>
  <c r="E1399" i="40" a="1"/>
  <c r="E1399" i="40" s="1"/>
  <c r="E1400" i="40" a="1"/>
  <c r="E1400" i="40" s="1"/>
  <c r="E1401" i="40" a="1"/>
  <c r="E1401" i="40" s="1"/>
  <c r="E1402" i="40" a="1"/>
  <c r="E1402" i="40" s="1"/>
  <c r="E1403" i="40" a="1"/>
  <c r="E1403" i="40" s="1"/>
  <c r="E1404" i="40" a="1"/>
  <c r="E1404" i="40" s="1"/>
  <c r="E1405" i="40" a="1"/>
  <c r="E1405" i="40" s="1"/>
  <c r="E1406" i="40" a="1"/>
  <c r="E1406" i="40" s="1"/>
  <c r="E1407" i="40" a="1"/>
  <c r="E1407" i="40" s="1"/>
  <c r="E1408" i="40" a="1"/>
  <c r="E1408" i="40" s="1"/>
  <c r="E1409" i="40" a="1"/>
  <c r="E1409" i="40" s="1"/>
  <c r="E1410" i="40" a="1"/>
  <c r="E1410" i="40" s="1"/>
  <c r="E1411" i="40" a="1"/>
  <c r="E1411" i="40" s="1"/>
  <c r="E1412" i="40" a="1"/>
  <c r="E1412" i="40" s="1"/>
  <c r="F136" i="37"/>
  <c r="F137" i="37"/>
  <c r="F138" i="37"/>
  <c r="F139" i="37"/>
  <c r="F140" i="37"/>
  <c r="F141" i="37"/>
  <c r="F142" i="37"/>
  <c r="F143" i="37"/>
  <c r="F144" i="37"/>
  <c r="F145" i="37"/>
  <c r="F146" i="37"/>
  <c r="F147" i="37"/>
  <c r="F148" i="37"/>
  <c r="F149" i="37"/>
  <c r="F150" i="37"/>
  <c r="F151" i="37"/>
  <c r="F152" i="37"/>
  <c r="F153" i="37"/>
  <c r="F154" i="37"/>
  <c r="F155" i="37"/>
  <c r="F156" i="37"/>
  <c r="F157" i="37"/>
  <c r="F158" i="37"/>
  <c r="F159" i="37"/>
  <c r="F160" i="37"/>
  <c r="F161" i="37"/>
  <c r="F162" i="37"/>
  <c r="F163" i="37"/>
  <c r="F164" i="37"/>
  <c r="F165" i="37"/>
  <c r="F166" i="37"/>
  <c r="F167" i="37"/>
  <c r="F168" i="37"/>
  <c r="F169" i="37"/>
  <c r="F170" i="37"/>
  <c r="F171" i="37"/>
  <c r="F172" i="37"/>
  <c r="F173" i="37"/>
  <c r="F174" i="37"/>
  <c r="F175" i="37"/>
  <c r="F176" i="37"/>
  <c r="F177" i="37"/>
  <c r="F178" i="37"/>
  <c r="F179" i="37"/>
  <c r="F180" i="37"/>
  <c r="F181" i="37"/>
  <c r="F182" i="37"/>
  <c r="F183" i="37"/>
  <c r="F184" i="37"/>
  <c r="F185" i="37"/>
  <c r="F186" i="37"/>
  <c r="F187" i="37"/>
  <c r="F188" i="37"/>
  <c r="F189" i="37"/>
  <c r="F190" i="37"/>
  <c r="F191" i="37"/>
  <c r="F192" i="37"/>
  <c r="F193" i="37"/>
  <c r="F194" i="37"/>
  <c r="F195" i="37"/>
  <c r="F196" i="37"/>
  <c r="F197" i="37"/>
  <c r="F198" i="37"/>
  <c r="F199" i="37"/>
  <c r="F200" i="37"/>
  <c r="F201" i="37"/>
  <c r="F202" i="37"/>
  <c r="F203" i="37"/>
  <c r="F204" i="37"/>
  <c r="F205" i="37"/>
  <c r="F206" i="37"/>
  <c r="F207" i="37"/>
  <c r="F208" i="37"/>
  <c r="F209" i="37"/>
  <c r="F210" i="37"/>
  <c r="F211" i="37"/>
  <c r="F212" i="37"/>
  <c r="F213" i="37"/>
  <c r="F214" i="37"/>
  <c r="F215" i="37"/>
  <c r="F216" i="37"/>
  <c r="F217" i="37"/>
  <c r="F218" i="37"/>
  <c r="F219" i="37"/>
  <c r="F220" i="37"/>
  <c r="F221" i="37"/>
  <c r="F222" i="37"/>
  <c r="F223"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54" i="37"/>
  <c r="F255" i="37"/>
  <c r="F256" i="37"/>
  <c r="F257" i="37"/>
  <c r="F258" i="37"/>
  <c r="F259" i="37"/>
  <c r="F260" i="37"/>
  <c r="F261" i="37"/>
  <c r="F262" i="37"/>
  <c r="F263" i="37"/>
  <c r="F5" i="37"/>
  <c r="F6" i="37"/>
  <c r="F7" i="37"/>
  <c r="F8" i="37"/>
  <c r="F9" i="37"/>
  <c r="F10" i="37"/>
  <c r="F11" i="37"/>
  <c r="F12" i="37"/>
  <c r="F13" i="37"/>
  <c r="F14" i="37"/>
  <c r="F15" i="37"/>
  <c r="F16" i="37"/>
  <c r="F17" i="37"/>
  <c r="F18" i="37"/>
  <c r="F19" i="37"/>
  <c r="F20" i="37"/>
  <c r="F21" i="37"/>
  <c r="F22" i="37"/>
  <c r="F23" i="37"/>
  <c r="F24" i="37"/>
  <c r="F25" i="37"/>
  <c r="F26" i="37"/>
  <c r="F27" i="37"/>
  <c r="F28" i="37"/>
  <c r="F29" i="37"/>
  <c r="F30" i="37"/>
  <c r="F31" i="37"/>
  <c r="F32" i="37"/>
  <c r="F33" i="37"/>
  <c r="F34" i="37"/>
  <c r="F35" i="37"/>
  <c r="F36" i="37"/>
  <c r="F37" i="37"/>
  <c r="F38" i="37"/>
  <c r="F39" i="37"/>
  <c r="F40" i="37"/>
  <c r="F41" i="37"/>
  <c r="F42" i="37"/>
  <c r="F43" i="37"/>
  <c r="F44" i="37"/>
  <c r="F45" i="37"/>
  <c r="F46" i="37"/>
  <c r="F47" i="37"/>
  <c r="F48" i="37"/>
  <c r="F49" i="37"/>
  <c r="F50" i="37"/>
  <c r="F51" i="37"/>
  <c r="F52" i="37"/>
  <c r="F53" i="37"/>
  <c r="F54" i="37"/>
  <c r="F55" i="37"/>
  <c r="F56" i="37"/>
  <c r="F57" i="37"/>
  <c r="F58" i="37"/>
  <c r="F59" i="37"/>
  <c r="F60" i="37"/>
  <c r="F61" i="37"/>
  <c r="F62" i="37"/>
  <c r="F63" i="37"/>
  <c r="F64" i="37"/>
  <c r="F65" i="37"/>
  <c r="F66" i="37"/>
  <c r="F67" i="37"/>
  <c r="F68" i="37"/>
  <c r="F69" i="37"/>
  <c r="F70" i="37"/>
  <c r="F71" i="37"/>
  <c r="F72" i="37"/>
  <c r="F73" i="37"/>
  <c r="F74" i="37"/>
  <c r="F75" i="37"/>
  <c r="F76" i="37"/>
  <c r="F77" i="37"/>
  <c r="F78" i="37"/>
  <c r="F79" i="37"/>
  <c r="F80" i="37"/>
  <c r="F81" i="37"/>
  <c r="F82" i="37"/>
  <c r="F83" i="37"/>
  <c r="F84" i="37"/>
  <c r="F85" i="37"/>
  <c r="F86" i="37"/>
  <c r="F87" i="37"/>
  <c r="F88" i="37"/>
  <c r="F89" i="37"/>
  <c r="F90" i="37"/>
  <c r="F91" i="37"/>
  <c r="F92" i="37"/>
  <c r="F93" i="37"/>
  <c r="F94" i="37"/>
  <c r="F95" i="37"/>
  <c r="F96" i="37"/>
  <c r="F97" i="37"/>
  <c r="F98" i="37"/>
  <c r="F99" i="37"/>
  <c r="F100" i="37"/>
  <c r="F101" i="37"/>
  <c r="F102" i="37"/>
  <c r="F103" i="37"/>
  <c r="F104" i="37"/>
  <c r="F105" i="37"/>
  <c r="F106" i="37"/>
  <c r="F107" i="37"/>
  <c r="F108" i="37"/>
  <c r="F109" i="37"/>
  <c r="F110" i="37"/>
  <c r="F111" i="37"/>
  <c r="F112" i="37"/>
  <c r="F113" i="37"/>
  <c r="F114" i="37"/>
  <c r="F115" i="37"/>
  <c r="F116" i="37"/>
  <c r="F117" i="37"/>
  <c r="F118" i="37"/>
  <c r="F119" i="37"/>
  <c r="F120" i="37"/>
  <c r="F121" i="37"/>
  <c r="F122" i="37"/>
  <c r="F123" i="37"/>
  <c r="F124" i="37"/>
  <c r="F125" i="37"/>
  <c r="F126" i="37"/>
  <c r="F127" i="37"/>
  <c r="F128" i="37"/>
  <c r="F129" i="37"/>
  <c r="F130" i="37"/>
  <c r="F131" i="37"/>
  <c r="F132" i="37"/>
  <c r="A200" i="37"/>
  <c r="A201" i="37"/>
  <c r="A202" i="37"/>
  <c r="A203" i="37"/>
  <c r="A204" i="37"/>
  <c r="A205" i="37"/>
  <c r="A206" i="37"/>
  <c r="A207" i="37"/>
  <c r="A208" i="37"/>
  <c r="A209" i="37"/>
  <c r="A210" i="37"/>
  <c r="A211" i="37"/>
  <c r="A212" i="37"/>
  <c r="A213" i="37"/>
  <c r="A214" i="37"/>
  <c r="A215" i="37"/>
  <c r="A216" i="37"/>
  <c r="A217" i="37"/>
  <c r="A218" i="37"/>
  <c r="A219" i="37"/>
  <c r="A220" i="37"/>
  <c r="A221" i="37"/>
  <c r="A222" i="37"/>
  <c r="A223" i="37"/>
  <c r="A224" i="37"/>
  <c r="A225" i="37"/>
  <c r="A226" i="37"/>
  <c r="A227" i="37"/>
  <c r="A228" i="37"/>
  <c r="A229" i="37"/>
  <c r="A230" i="37"/>
  <c r="A231" i="37"/>
  <c r="A232" i="37"/>
  <c r="A233" i="37"/>
  <c r="A234" i="37"/>
  <c r="A235" i="37"/>
  <c r="A236" i="37"/>
  <c r="A237" i="37"/>
  <c r="A238" i="37"/>
  <c r="A239" i="37"/>
  <c r="A240" i="37"/>
  <c r="A241" i="37"/>
  <c r="A242" i="37"/>
  <c r="A243" i="37"/>
  <c r="A244" i="37"/>
  <c r="A245" i="37"/>
  <c r="A246" i="37"/>
  <c r="A247" i="37"/>
  <c r="A248" i="37"/>
  <c r="A249" i="37"/>
  <c r="A250" i="37"/>
  <c r="A251" i="37"/>
  <c r="A252" i="37"/>
  <c r="A253" i="37"/>
  <c r="A254" i="37"/>
  <c r="A255" i="37"/>
  <c r="A256" i="37"/>
  <c r="A257" i="37"/>
  <c r="A258" i="37"/>
  <c r="A259" i="37"/>
  <c r="A260" i="37"/>
  <c r="A261" i="37"/>
  <c r="A262" i="37"/>
  <c r="A263" i="37"/>
  <c r="D200" i="37" a="1"/>
  <c r="D200" i="37" s="1"/>
  <c r="D201" i="37" a="1"/>
  <c r="D201" i="37" s="1"/>
  <c r="D202" i="37" a="1"/>
  <c r="D202" i="37" s="1"/>
  <c r="D203" i="37" a="1"/>
  <c r="D203" i="37" s="1"/>
  <c r="D204" i="37" a="1"/>
  <c r="D204" i="37" s="1"/>
  <c r="D205" i="37" a="1"/>
  <c r="D205" i="37" s="1"/>
  <c r="D206" i="37" a="1"/>
  <c r="D206" i="37" s="1"/>
  <c r="D207" i="37" a="1"/>
  <c r="D207" i="37" s="1"/>
  <c r="D208" i="37" a="1"/>
  <c r="D208" i="37" s="1"/>
  <c r="D209" i="37" a="1"/>
  <c r="D209" i="37" s="1"/>
  <c r="D210" i="37" a="1"/>
  <c r="D210" i="37" s="1"/>
  <c r="D211" i="37" a="1"/>
  <c r="D211" i="37" s="1"/>
  <c r="D212" i="37" a="1"/>
  <c r="D212" i="37" s="1"/>
  <c r="D213" i="37" a="1"/>
  <c r="D213" i="37" s="1"/>
  <c r="D214" i="37" a="1"/>
  <c r="D214" i="37" s="1"/>
  <c r="D215" i="37" a="1"/>
  <c r="D215" i="37" s="1"/>
  <c r="D216" i="37" a="1"/>
  <c r="D216" i="37" s="1"/>
  <c r="D217" i="37" a="1"/>
  <c r="D217" i="37" s="1"/>
  <c r="D218" i="37" a="1"/>
  <c r="D218" i="37" s="1"/>
  <c r="D219" i="37" a="1"/>
  <c r="D219" i="37" s="1"/>
  <c r="D220" i="37" a="1"/>
  <c r="D220" i="37" s="1"/>
  <c r="D221" i="37" a="1"/>
  <c r="D221" i="37" s="1"/>
  <c r="D222" i="37" a="1"/>
  <c r="D222" i="37" s="1"/>
  <c r="D223" i="37" a="1"/>
  <c r="D223" i="37" s="1"/>
  <c r="D224" i="37" a="1"/>
  <c r="D224" i="37" s="1"/>
  <c r="D225" i="37" a="1"/>
  <c r="D225" i="37" s="1"/>
  <c r="D226" i="37" a="1"/>
  <c r="D226" i="37" s="1"/>
  <c r="D227" i="37" a="1"/>
  <c r="D227" i="37" s="1"/>
  <c r="D228" i="37" a="1"/>
  <c r="D228" i="37" s="1"/>
  <c r="D229" i="37" a="1"/>
  <c r="D229" i="37" s="1"/>
  <c r="D230" i="37" a="1"/>
  <c r="D230" i="37" s="1"/>
  <c r="D231" i="37" a="1"/>
  <c r="D231" i="37" s="1"/>
  <c r="D232" i="37" a="1"/>
  <c r="D232" i="37" s="1"/>
  <c r="D233" i="37" a="1"/>
  <c r="D233" i="37" s="1"/>
  <c r="D234" i="37" a="1"/>
  <c r="D234" i="37" s="1"/>
  <c r="D235" i="37" a="1"/>
  <c r="D235" i="37" s="1"/>
  <c r="D236" i="37" a="1"/>
  <c r="D236" i="37" s="1"/>
  <c r="D237" i="37" a="1"/>
  <c r="D237" i="37" s="1"/>
  <c r="D238" i="37" a="1"/>
  <c r="D238" i="37" s="1"/>
  <c r="D239" i="37" a="1"/>
  <c r="D239" i="37" s="1"/>
  <c r="D240" i="37" a="1"/>
  <c r="D240" i="37" s="1"/>
  <c r="D241" i="37" a="1"/>
  <c r="D241" i="37" s="1"/>
  <c r="D242" i="37" a="1"/>
  <c r="D242" i="37" s="1"/>
  <c r="D243" i="37" a="1"/>
  <c r="D243" i="37" s="1"/>
  <c r="D244" i="37" a="1"/>
  <c r="D244" i="37" s="1"/>
  <c r="D245" i="37" a="1"/>
  <c r="D245" i="37" s="1"/>
  <c r="D246" i="37" a="1"/>
  <c r="D246" i="37" s="1"/>
  <c r="D247" i="37" a="1"/>
  <c r="D247" i="37" s="1"/>
  <c r="D248" i="37" a="1"/>
  <c r="D248" i="37" s="1"/>
  <c r="D249" i="37" a="1"/>
  <c r="D249" i="37" s="1"/>
  <c r="D250" i="37" a="1"/>
  <c r="D250" i="37" s="1"/>
  <c r="D251" i="37" a="1"/>
  <c r="D251" i="37" s="1"/>
  <c r="D252" i="37" a="1"/>
  <c r="D252" i="37" s="1"/>
  <c r="D253" i="37" a="1"/>
  <c r="D253" i="37" s="1"/>
  <c r="D254" i="37" a="1"/>
  <c r="D254" i="37" s="1"/>
  <c r="D255" i="37" a="1"/>
  <c r="D255" i="37" s="1"/>
  <c r="D256" i="37" a="1"/>
  <c r="D256" i="37" s="1"/>
  <c r="D257" i="37" a="1"/>
  <c r="D257" i="37" s="1"/>
  <c r="D258" i="37" a="1"/>
  <c r="D258" i="37" s="1"/>
  <c r="D259" i="37" a="1"/>
  <c r="D259" i="37" s="1"/>
  <c r="D260" i="37" a="1"/>
  <c r="D260" i="37" s="1"/>
  <c r="D261" i="37" a="1"/>
  <c r="D261" i="37" s="1"/>
  <c r="D262" i="37" a="1"/>
  <c r="D262" i="37" s="1"/>
  <c r="D263" i="37" a="1"/>
  <c r="D263" i="37" s="1"/>
  <c r="A69" i="37"/>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A105" i="37"/>
  <c r="A106" i="37"/>
  <c r="A107" i="37"/>
  <c r="A108" i="37"/>
  <c r="A109" i="37"/>
  <c r="A110" i="37"/>
  <c r="A111" i="37"/>
  <c r="A112" i="37"/>
  <c r="A113" i="37"/>
  <c r="A114" i="37"/>
  <c r="A115" i="37"/>
  <c r="A116" i="37"/>
  <c r="A117" i="37"/>
  <c r="A118" i="37"/>
  <c r="A119" i="37"/>
  <c r="A120" i="37"/>
  <c r="A121" i="37"/>
  <c r="A122" i="37"/>
  <c r="A123" i="37"/>
  <c r="A124" i="37"/>
  <c r="A125" i="37"/>
  <c r="A126" i="37"/>
  <c r="A127" i="37"/>
  <c r="A128" i="37"/>
  <c r="A129" i="37"/>
  <c r="A130" i="37"/>
  <c r="A131" i="37"/>
  <c r="A132" i="37"/>
  <c r="D69" i="37" a="1"/>
  <c r="D69" i="37" s="1"/>
  <c r="D70" i="37" a="1"/>
  <c r="D70" i="37" s="1"/>
  <c r="D71" i="37" a="1"/>
  <c r="D71" i="37" s="1"/>
  <c r="D72" i="37" a="1"/>
  <c r="D72" i="37" s="1"/>
  <c r="D73" i="37" a="1"/>
  <c r="D73" i="37" s="1"/>
  <c r="D74" i="37" a="1"/>
  <c r="D74" i="37" s="1"/>
  <c r="D75" i="37" a="1"/>
  <c r="D75" i="37" s="1"/>
  <c r="D76" i="37" a="1"/>
  <c r="D76" i="37" s="1"/>
  <c r="D77" i="37" a="1"/>
  <c r="D77" i="37" s="1"/>
  <c r="D78" i="37" a="1"/>
  <c r="D78" i="37" s="1"/>
  <c r="D79" i="37" a="1"/>
  <c r="D79" i="37" s="1"/>
  <c r="D80" i="37" a="1"/>
  <c r="D80" i="37" s="1"/>
  <c r="D81" i="37" a="1"/>
  <c r="D81" i="37" s="1"/>
  <c r="D82" i="37" a="1"/>
  <c r="D82" i="37" s="1"/>
  <c r="D83" i="37" a="1"/>
  <c r="D83" i="37" s="1"/>
  <c r="D84" i="37" a="1"/>
  <c r="D84" i="37" s="1"/>
  <c r="D85" i="37" a="1"/>
  <c r="D85" i="37" s="1"/>
  <c r="D86" i="37" a="1"/>
  <c r="D86" i="37" s="1"/>
  <c r="D87" i="37" a="1"/>
  <c r="D87" i="37" s="1"/>
  <c r="D88" i="37" a="1"/>
  <c r="D88" i="37" s="1"/>
  <c r="D89" i="37" a="1"/>
  <c r="D89" i="37" s="1"/>
  <c r="D90" i="37" a="1"/>
  <c r="D90" i="37" s="1"/>
  <c r="D91" i="37" a="1"/>
  <c r="D91" i="37" s="1"/>
  <c r="D92" i="37" a="1"/>
  <c r="D92" i="37" s="1"/>
  <c r="D93" i="37" a="1"/>
  <c r="D93" i="37" s="1"/>
  <c r="D94" i="37" a="1"/>
  <c r="D94" i="37" s="1"/>
  <c r="D95" i="37" a="1"/>
  <c r="D95" i="37" s="1"/>
  <c r="D96" i="37" a="1"/>
  <c r="D96" i="37" s="1"/>
  <c r="D97" i="37" a="1"/>
  <c r="D97" i="37" s="1"/>
  <c r="D98" i="37" a="1"/>
  <c r="D98" i="37" s="1"/>
  <c r="D99" i="37" a="1"/>
  <c r="D99" i="37" s="1"/>
  <c r="D100" i="37" a="1"/>
  <c r="D100" i="37" s="1"/>
  <c r="D101" i="37" a="1"/>
  <c r="D101" i="37" s="1"/>
  <c r="D102" i="37" a="1"/>
  <c r="D102" i="37" s="1"/>
  <c r="D103" i="37" a="1"/>
  <c r="D103" i="37" s="1"/>
  <c r="D104" i="37" a="1"/>
  <c r="D104" i="37" s="1"/>
  <c r="D105" i="37" a="1"/>
  <c r="D105" i="37" s="1"/>
  <c r="D106" i="37" a="1"/>
  <c r="D106" i="37" s="1"/>
  <c r="D107" i="37" a="1"/>
  <c r="D107" i="37" s="1"/>
  <c r="D108" i="37" a="1"/>
  <c r="D108" i="37" s="1"/>
  <c r="D109" i="37" a="1"/>
  <c r="D109" i="37" s="1"/>
  <c r="D110" i="37" a="1"/>
  <c r="D110" i="37" s="1"/>
  <c r="D111" i="37" a="1"/>
  <c r="D111" i="37" s="1"/>
  <c r="D112" i="37" a="1"/>
  <c r="D112" i="37" s="1"/>
  <c r="D113" i="37" a="1"/>
  <c r="D113" i="37" s="1"/>
  <c r="D114" i="37" a="1"/>
  <c r="D114" i="37" s="1"/>
  <c r="D115" i="37" a="1"/>
  <c r="D115" i="37" s="1"/>
  <c r="D116" i="37" a="1"/>
  <c r="D116" i="37" s="1"/>
  <c r="D117" i="37" a="1"/>
  <c r="D117" i="37" s="1"/>
  <c r="D118" i="37" a="1"/>
  <c r="D118" i="37" s="1"/>
  <c r="D119" i="37" a="1"/>
  <c r="D119" i="37" s="1"/>
  <c r="D120" i="37" a="1"/>
  <c r="D120" i="37" s="1"/>
  <c r="D121" i="37" a="1"/>
  <c r="D121" i="37" s="1"/>
  <c r="D122" i="37" a="1"/>
  <c r="D122" i="37" s="1"/>
  <c r="D123" i="37" a="1"/>
  <c r="D123" i="37" s="1"/>
  <c r="D124" i="37" a="1"/>
  <c r="D124" i="37" s="1"/>
  <c r="D125" i="37" a="1"/>
  <c r="D125" i="37" s="1"/>
  <c r="D126" i="37" a="1"/>
  <c r="D126" i="37" s="1"/>
  <c r="D127" i="37" a="1"/>
  <c r="D127" i="37" s="1"/>
  <c r="D128" i="37" a="1"/>
  <c r="D128" i="37" s="1"/>
  <c r="D129" i="37" a="1"/>
  <c r="D129" i="37" s="1"/>
  <c r="D130" i="37" a="1"/>
  <c r="D130" i="37" s="1"/>
  <c r="D131" i="37" a="1"/>
  <c r="D131" i="37" s="1"/>
  <c r="D132" i="37" a="1"/>
  <c r="D132" i="37" s="1"/>
  <c r="G69" i="37"/>
  <c r="G70" i="37"/>
  <c r="G71" i="37"/>
  <c r="G72" i="37"/>
  <c r="G73" i="37"/>
  <c r="G74" i="37"/>
  <c r="G75" i="37"/>
  <c r="G76" i="37"/>
  <c r="G77" i="37"/>
  <c r="G78" i="37"/>
  <c r="G79" i="37"/>
  <c r="G80" i="37"/>
  <c r="G81" i="37"/>
  <c r="G82" i="37"/>
  <c r="G83" i="37"/>
  <c r="G84" i="37"/>
  <c r="G85" i="37"/>
  <c r="G86" i="37"/>
  <c r="G87" i="37"/>
  <c r="G88" i="37"/>
  <c r="G89" i="37"/>
  <c r="G90" i="37"/>
  <c r="G91" i="37"/>
  <c r="G92" i="37"/>
  <c r="G93" i="37"/>
  <c r="G94" i="37"/>
  <c r="G95" i="37"/>
  <c r="G96" i="37"/>
  <c r="G97" i="37"/>
  <c r="G98" i="37"/>
  <c r="G99" i="37"/>
  <c r="G100" i="37"/>
  <c r="G101" i="37"/>
  <c r="G102" i="37"/>
  <c r="G103" i="37"/>
  <c r="G104" i="37"/>
  <c r="G105" i="37"/>
  <c r="G106" i="37"/>
  <c r="G107" i="37"/>
  <c r="G108" i="37"/>
  <c r="G109" i="37"/>
  <c r="G110" i="37"/>
  <c r="G111" i="37"/>
  <c r="G112" i="37"/>
  <c r="G113" i="37"/>
  <c r="G114" i="37"/>
  <c r="G115" i="37"/>
  <c r="G116" i="37"/>
  <c r="G117" i="37"/>
  <c r="G118" i="37"/>
  <c r="G119" i="37"/>
  <c r="G120" i="37"/>
  <c r="G121" i="37"/>
  <c r="G122" i="37"/>
  <c r="G123" i="37"/>
  <c r="G124" i="37"/>
  <c r="G125" i="37"/>
  <c r="G126" i="37"/>
  <c r="G127" i="37"/>
  <c r="G128" i="37"/>
  <c r="G129" i="37"/>
  <c r="G130" i="37"/>
  <c r="G131" i="37"/>
  <c r="G132" i="37"/>
  <c r="J69" i="37"/>
  <c r="J70" i="37"/>
  <c r="J71" i="37"/>
  <c r="J72" i="37"/>
  <c r="J73" i="37"/>
  <c r="J74" i="37"/>
  <c r="J75" i="37"/>
  <c r="J76" i="37"/>
  <c r="J77" i="37"/>
  <c r="J78" i="37"/>
  <c r="J79" i="37"/>
  <c r="J80" i="37"/>
  <c r="J81" i="37"/>
  <c r="J82" i="37"/>
  <c r="J83" i="37"/>
  <c r="J84" i="37"/>
  <c r="J85" i="37"/>
  <c r="J86" i="37"/>
  <c r="J87" i="37"/>
  <c r="J88" i="37"/>
  <c r="J89" i="37"/>
  <c r="J90" i="37"/>
  <c r="J91" i="37"/>
  <c r="J92" i="37"/>
  <c r="J93" i="37"/>
  <c r="J94" i="37"/>
  <c r="J95" i="37"/>
  <c r="J96" i="37"/>
  <c r="J97" i="37"/>
  <c r="J98" i="37"/>
  <c r="J99" i="37"/>
  <c r="J100" i="37"/>
  <c r="J101" i="37"/>
  <c r="J102" i="37"/>
  <c r="J103" i="37"/>
  <c r="J104" i="37"/>
  <c r="J105" i="37"/>
  <c r="J106" i="37"/>
  <c r="J107" i="37"/>
  <c r="J108" i="37"/>
  <c r="J109" i="37"/>
  <c r="J110" i="37"/>
  <c r="J111" i="37"/>
  <c r="J112" i="37"/>
  <c r="J113" i="37"/>
  <c r="J114" i="37"/>
  <c r="J115" i="37"/>
  <c r="J116" i="37"/>
  <c r="J117" i="37"/>
  <c r="J118" i="37"/>
  <c r="J119" i="37"/>
  <c r="J120" i="37"/>
  <c r="J121" i="37"/>
  <c r="J122" i="37"/>
  <c r="J123" i="37"/>
  <c r="J124" i="37"/>
  <c r="J125" i="37"/>
  <c r="J126" i="37"/>
  <c r="J127" i="37"/>
  <c r="J128" i="37"/>
  <c r="J129" i="37"/>
  <c r="J130" i="37"/>
  <c r="J131" i="37"/>
  <c r="J132" i="37"/>
  <c r="A136" i="37"/>
  <c r="D136" i="37" a="1"/>
  <c r="D136" i="37" s="1"/>
  <c r="A137" i="37"/>
  <c r="D137" i="37" a="1"/>
  <c r="D137" i="37" s="1"/>
  <c r="A138" i="37"/>
  <c r="D138" i="37" a="1"/>
  <c r="D138" i="37" s="1"/>
  <c r="A139" i="37"/>
  <c r="D139" i="37" a="1"/>
  <c r="D139" i="37" s="1"/>
  <c r="K21" i="38"/>
  <c r="C7" i="49"/>
  <c r="C6" i="49"/>
  <c r="C5" i="49"/>
  <c r="C4" i="49"/>
  <c r="C3" i="49"/>
  <c r="B3" i="49"/>
  <c r="B4" i="49"/>
  <c r="B5" i="49"/>
  <c r="B6" i="49"/>
  <c r="B7" i="49"/>
  <c r="N5" i="4"/>
  <c r="O11" i="3"/>
  <c r="T48" i="3"/>
  <c r="O62" i="3"/>
  <c r="J34" i="3"/>
  <c r="N33" i="3"/>
  <c r="K88" i="3"/>
  <c r="J64" i="3"/>
  <c r="K20" i="3"/>
  <c r="K17" i="3"/>
  <c r="D19" i="44"/>
  <c r="L32" i="26"/>
  <c r="K32" i="26"/>
  <c r="J32" i="26"/>
  <c r="I32" i="26"/>
  <c r="H32" i="26"/>
  <c r="G32" i="26"/>
  <c r="F32" i="26"/>
  <c r="E32" i="26"/>
  <c r="D32" i="26"/>
  <c r="A5" i="47"/>
  <c r="H5" i="47" s="1" a="1"/>
  <c r="H5" i="47" s="1"/>
  <c r="A7" i="47"/>
  <c r="H7" i="47" s="1" a="1"/>
  <c r="H7" i="47" s="1"/>
  <c r="A9" i="47"/>
  <c r="H9" i="47" s="1" a="1"/>
  <c r="H9" i="47" s="1"/>
  <c r="A11" i="47"/>
  <c r="H11" i="47" s="1" a="1"/>
  <c r="H11" i="47" s="1"/>
  <c r="A13" i="47"/>
  <c r="H13" i="47" s="1" a="1"/>
  <c r="H13" i="47" s="1"/>
  <c r="A15" i="47"/>
  <c r="H15" i="47" s="1" a="1"/>
  <c r="H15" i="47" s="1"/>
  <c r="A17" i="47"/>
  <c r="H17" i="47" s="1" a="1"/>
  <c r="H17" i="47" s="1"/>
  <c r="A6" i="47"/>
  <c r="H6" i="47" s="1" a="1"/>
  <c r="H6" i="47" s="1"/>
  <c r="A8" i="47"/>
  <c r="H8" i="47" s="1" a="1"/>
  <c r="H8" i="47" s="1"/>
  <c r="A10" i="47"/>
  <c r="H10" i="47" s="1" a="1"/>
  <c r="H10" i="47" s="1"/>
  <c r="A12" i="47"/>
  <c r="H12" i="47" s="1" a="1"/>
  <c r="H12" i="47" s="1"/>
  <c r="A14" i="47"/>
  <c r="H14" i="47" s="1" a="1"/>
  <c r="H14" i="47" s="1"/>
  <c r="A16" i="47"/>
  <c r="H16" i="47" s="1" a="1"/>
  <c r="H16" i="47" s="1"/>
  <c r="A18" i="47"/>
  <c r="H18" i="47" s="1" a="1"/>
  <c r="H18" i="47" s="1"/>
  <c r="G5" i="37"/>
  <c r="G6" i="37"/>
  <c r="G7" i="37"/>
  <c r="G8" i="37"/>
  <c r="G9" i="37"/>
  <c r="G10" i="37"/>
  <c r="G11" i="37"/>
  <c r="G12" i="37"/>
  <c r="G13" i="37"/>
  <c r="G14" i="37"/>
  <c r="G15" i="37"/>
  <c r="G16" i="37"/>
  <c r="G17" i="37"/>
  <c r="G18" i="37"/>
  <c r="G19" i="37"/>
  <c r="G20" i="37"/>
  <c r="G21" i="37"/>
  <c r="G22" i="37"/>
  <c r="G23" i="37"/>
  <c r="G24" i="37"/>
  <c r="G25" i="37"/>
  <c r="G26" i="37"/>
  <c r="G27" i="37"/>
  <c r="G28" i="37"/>
  <c r="G29" i="37"/>
  <c r="G30" i="37"/>
  <c r="G31" i="37"/>
  <c r="G32" i="37"/>
  <c r="G33" i="37"/>
  <c r="G34" i="37"/>
  <c r="G35" i="37"/>
  <c r="G36" i="37"/>
  <c r="G37" i="37"/>
  <c r="G38" i="37"/>
  <c r="G39" i="37"/>
  <c r="G40" i="37"/>
  <c r="G41" i="37"/>
  <c r="G42" i="37"/>
  <c r="G43" i="37"/>
  <c r="G44" i="37"/>
  <c r="G45" i="37"/>
  <c r="G46" i="37"/>
  <c r="G47" i="37"/>
  <c r="G48" i="37"/>
  <c r="G49" i="37"/>
  <c r="G50" i="37"/>
  <c r="G51" i="37"/>
  <c r="G52" i="37"/>
  <c r="G53" i="37"/>
  <c r="G54" i="37"/>
  <c r="G55" i="37"/>
  <c r="G56" i="37"/>
  <c r="G57" i="37"/>
  <c r="G58" i="37"/>
  <c r="G59" i="37"/>
  <c r="G60" i="37"/>
  <c r="G61" i="37"/>
  <c r="G62" i="37"/>
  <c r="G63" i="37"/>
  <c r="G64" i="37"/>
  <c r="G65" i="37"/>
  <c r="G66" i="37"/>
  <c r="G67" i="37"/>
  <c r="G68" i="37"/>
  <c r="J12" i="47" l="1" a="1"/>
  <c r="J12" i="47" s="1"/>
  <c r="I12" i="47" a="1"/>
  <c r="I12" i="47" s="1"/>
  <c r="J10" i="47" a="1"/>
  <c r="J10" i="47" s="1"/>
  <c r="I10" i="47" a="1"/>
  <c r="I10" i="47" s="1"/>
  <c r="I8" i="47" a="1"/>
  <c r="I8" i="47" s="1"/>
  <c r="J8" i="47" a="1"/>
  <c r="J8" i="47" s="1"/>
  <c r="I18" i="47" a="1"/>
  <c r="I18" i="47" s="1"/>
  <c r="J18" i="47" a="1"/>
  <c r="J18" i="47" s="1"/>
  <c r="J9" i="47" a="1"/>
  <c r="J9" i="47" s="1"/>
  <c r="I9" i="47" a="1"/>
  <c r="I9" i="47" s="1"/>
  <c r="I7" i="47" a="1"/>
  <c r="I7" i="47" s="1"/>
  <c r="J7" i="47" a="1"/>
  <c r="J7" i="47" s="1"/>
  <c r="J5" i="47" a="1"/>
  <c r="J5" i="47" s="1"/>
  <c r="I5" i="47" a="1"/>
  <c r="I5" i="47" s="1"/>
  <c r="J6" i="47" a="1"/>
  <c r="J6" i="47" s="1"/>
  <c r="I6" i="47" a="1"/>
  <c r="I6" i="47" s="1"/>
  <c r="I17" i="47" a="1"/>
  <c r="I17" i="47" s="1"/>
  <c r="J17" i="47" a="1"/>
  <c r="J17" i="47" s="1"/>
  <c r="I15" i="47" a="1"/>
  <c r="I15" i="47" s="1"/>
  <c r="J15" i="47" a="1"/>
  <c r="J15" i="47" s="1"/>
  <c r="J16" i="47" a="1"/>
  <c r="J16" i="47" s="1"/>
  <c r="I16" i="47" a="1"/>
  <c r="I16" i="47" s="1"/>
  <c r="I13" i="47" a="1"/>
  <c r="I13" i="47" s="1"/>
  <c r="J13" i="47" a="1"/>
  <c r="J13" i="47" s="1"/>
  <c r="J14" i="47" a="1"/>
  <c r="J14" i="47" s="1"/>
  <c r="I14" i="47" a="1"/>
  <c r="I14" i="47" s="1"/>
  <c r="J11" i="47" a="1"/>
  <c r="J11" i="47" s="1"/>
  <c r="I11" i="47" a="1"/>
  <c r="I11" i="47" s="1"/>
  <c r="G255" i="37" a="1"/>
  <c r="G255" i="37" s="1"/>
  <c r="J1228" i="40" s="1" a="1"/>
  <c r="J1228" i="40" s="1"/>
  <c r="H255" i="37" a="1"/>
  <c r="H255" i="37" s="1"/>
  <c r="K1228" i="40" s="1" a="1"/>
  <c r="K1228" i="40" s="1"/>
  <c r="G191" i="37" a="1"/>
  <c r="G191" i="37" s="1"/>
  <c r="J1231" i="40" l="1" a="1"/>
  <c r="J1231" i="40" s="1"/>
  <c r="H191" i="37" a="1"/>
  <c r="H191" i="37" s="1"/>
  <c r="A5" i="46"/>
  <c r="A22" i="38"/>
  <c r="A23" i="38"/>
  <c r="A24" i="38"/>
  <c r="A25" i="38"/>
  <c r="A26" i="38"/>
  <c r="A27" i="38"/>
  <c r="A28" i="38"/>
  <c r="A29" i="38"/>
  <c r="A30" i="38"/>
  <c r="A31" i="38"/>
  <c r="A32" i="38"/>
  <c r="A33" i="38"/>
  <c r="A34" i="38"/>
  <c r="A35" i="38"/>
  <c r="A36" i="38"/>
  <c r="A37" i="38"/>
  <c r="A38" i="38"/>
  <c r="A39" i="38"/>
  <c r="A40" i="38"/>
  <c r="A41" i="38"/>
  <c r="A42" i="38"/>
  <c r="A43" i="38"/>
  <c r="A44" i="38"/>
  <c r="A45" i="38"/>
  <c r="A46" i="38"/>
  <c r="A47" i="38"/>
  <c r="A48" i="38"/>
  <c r="A49" i="38"/>
  <c r="A50" i="38"/>
  <c r="A51" i="38"/>
  <c r="A52" i="38"/>
  <c r="A53" i="38"/>
  <c r="A54" i="38"/>
  <c r="A55" i="38"/>
  <c r="A56" i="38"/>
  <c r="A57" i="38"/>
  <c r="A58" i="38"/>
  <c r="A59" i="38"/>
  <c r="A60" i="38"/>
  <c r="A61" i="38"/>
  <c r="A62" i="38"/>
  <c r="A63" i="38"/>
  <c r="A64" i="38"/>
  <c r="A65" i="38"/>
  <c r="A66" i="38"/>
  <c r="A67" i="38"/>
  <c r="A68" i="38"/>
  <c r="A69" i="38"/>
  <c r="A70" i="38"/>
  <c r="A71" i="38"/>
  <c r="A72" i="38"/>
  <c r="A73" i="38"/>
  <c r="A74" i="38"/>
  <c r="A75" i="38"/>
  <c r="A76" i="38"/>
  <c r="A77" i="38"/>
  <c r="A78" i="38"/>
  <c r="A79" i="38"/>
  <c r="A80" i="38"/>
  <c r="A81" i="38"/>
  <c r="A82" i="38"/>
  <c r="A83" i="38"/>
  <c r="A84" i="38"/>
  <c r="A21" i="38"/>
  <c r="A142" i="37"/>
  <c r="D142" i="37" a="1"/>
  <c r="D142" i="37" s="1"/>
  <c r="E63" i="8" a="1"/>
  <c r="E63" i="8" s="1"/>
  <c r="I43" i="4"/>
  <c r="M43" i="4" s="1"/>
  <c r="K58" i="3"/>
  <c r="W60" i="3"/>
  <c r="J51" i="4"/>
  <c r="H69" i="8"/>
  <c r="A698" i="40"/>
  <c r="A699" i="40"/>
  <c r="A700" i="40"/>
  <c r="A701" i="40"/>
  <c r="A702" i="40"/>
  <c r="A703" i="40"/>
  <c r="A704" i="40"/>
  <c r="A705" i="40"/>
  <c r="A706" i="40"/>
  <c r="A707" i="40"/>
  <c r="A708" i="40"/>
  <c r="E698" i="40" a="1"/>
  <c r="E698" i="40" s="1"/>
  <c r="E699" i="40" a="1"/>
  <c r="E699" i="40" s="1"/>
  <c r="E700" i="40" a="1"/>
  <c r="E700" i="40" s="1"/>
  <c r="E701" i="40" a="1"/>
  <c r="E701" i="40" s="1"/>
  <c r="E702" i="40" a="1"/>
  <c r="E702" i="40" s="1"/>
  <c r="E703" i="40" a="1"/>
  <c r="E703" i="40" s="1"/>
  <c r="E704" i="40" a="1"/>
  <c r="E704" i="40" s="1"/>
  <c r="E705" i="40" a="1"/>
  <c r="E705" i="40" s="1"/>
  <c r="E706" i="40" a="1"/>
  <c r="E706" i="40" s="1"/>
  <c r="E707" i="40" a="1"/>
  <c r="E707" i="40" s="1"/>
  <c r="E708" i="40" a="1"/>
  <c r="E708" i="40" s="1"/>
  <c r="A182" i="37"/>
  <c r="D182" i="37" a="1"/>
  <c r="D182" i="37" s="1"/>
  <c r="D67" i="38" a="1"/>
  <c r="D67" i="38" s="1"/>
  <c r="F67" i="38"/>
  <c r="H67" i="38"/>
  <c r="H115" i="37" s="1" a="1"/>
  <c r="H115" i="37" s="1"/>
  <c r="I67" i="38"/>
  <c r="I115" i="37" s="1" a="1"/>
  <c r="I115" i="37" s="1"/>
  <c r="K67" i="38"/>
  <c r="D66" i="38" a="1"/>
  <c r="D66" i="38" s="1"/>
  <c r="F66" i="38"/>
  <c r="V114" i="37" s="1" a="1"/>
  <c r="V114" i="37" s="1"/>
  <c r="H66" i="38"/>
  <c r="H114" i="37" s="1" a="1"/>
  <c r="H114" i="37" s="1"/>
  <c r="I66" i="38"/>
  <c r="I114" i="37" s="1" a="1"/>
  <c r="I114" i="37" s="1"/>
  <c r="K66" i="38"/>
  <c r="A51" i="37"/>
  <c r="D51" i="37" a="1"/>
  <c r="D51" i="37" s="1"/>
  <c r="J51" i="37"/>
  <c r="A69" i="8"/>
  <c r="E69" i="8" a="1"/>
  <c r="E69" i="8" s="1"/>
  <c r="V69" i="8"/>
  <c r="W69" i="8"/>
  <c r="I150" i="43"/>
  <c r="I151" i="43"/>
  <c r="L150" i="43"/>
  <c r="L151" i="43"/>
  <c r="X151" i="43"/>
  <c r="Y151" i="43"/>
  <c r="Z151" i="43"/>
  <c r="AH150" i="43"/>
  <c r="AI150" i="43"/>
  <c r="M60" i="4"/>
  <c r="P59" i="3"/>
  <c r="M59" i="3"/>
  <c r="I28" i="4"/>
  <c r="M28" i="4" s="1"/>
  <c r="A28" i="4"/>
  <c r="A68" i="8"/>
  <c r="E68" i="8" a="1"/>
  <c r="E68" i="8" s="1"/>
  <c r="V68" i="8"/>
  <c r="W68" i="8"/>
  <c r="A687" i="40"/>
  <c r="A688" i="40"/>
  <c r="A689" i="40"/>
  <c r="A690" i="40"/>
  <c r="A691" i="40"/>
  <c r="A692" i="40"/>
  <c r="A693" i="40"/>
  <c r="A694" i="40"/>
  <c r="A695" i="40"/>
  <c r="A696" i="40"/>
  <c r="A697" i="40"/>
  <c r="E687" i="40" a="1"/>
  <c r="E687" i="40" s="1"/>
  <c r="E688" i="40" a="1"/>
  <c r="E688" i="40" s="1"/>
  <c r="E689" i="40" a="1"/>
  <c r="E689" i="40" s="1"/>
  <c r="E690" i="40" a="1"/>
  <c r="E690" i="40" s="1"/>
  <c r="E691" i="40" a="1"/>
  <c r="E691" i="40" s="1"/>
  <c r="E692" i="40" a="1"/>
  <c r="E692" i="40" s="1"/>
  <c r="E693" i="40" a="1"/>
  <c r="E693" i="40" s="1"/>
  <c r="E694" i="40" a="1"/>
  <c r="E694" i="40" s="1"/>
  <c r="E695" i="40" a="1"/>
  <c r="E695" i="40" s="1"/>
  <c r="E696" i="40" a="1"/>
  <c r="E696" i="40" s="1"/>
  <c r="E697" i="40" a="1"/>
  <c r="E697" i="40" s="1"/>
  <c r="D179" i="37" a="1"/>
  <c r="D179" i="37" s="1"/>
  <c r="A179" i="37"/>
  <c r="A181" i="37"/>
  <c r="A140" i="37"/>
  <c r="A141" i="37"/>
  <c r="A143" i="37"/>
  <c r="A144" i="37"/>
  <c r="A145" i="37"/>
  <c r="A146" i="37"/>
  <c r="A147" i="37"/>
  <c r="A148" i="37"/>
  <c r="A149" i="37"/>
  <c r="A150" i="37"/>
  <c r="A152" i="37"/>
  <c r="A153" i="37"/>
  <c r="A154" i="37"/>
  <c r="A155" i="37"/>
  <c r="A156" i="37"/>
  <c r="A157" i="37"/>
  <c r="A158" i="37"/>
  <c r="A159" i="37"/>
  <c r="A168" i="37"/>
  <c r="A169" i="37"/>
  <c r="A160" i="37"/>
  <c r="A161" i="37"/>
  <c r="A162" i="37"/>
  <c r="A163" i="37"/>
  <c r="A164" i="37"/>
  <c r="A165" i="37"/>
  <c r="A167" i="37"/>
  <c r="A166" i="37"/>
  <c r="A170" i="37"/>
  <c r="A171" i="37"/>
  <c r="A172" i="37"/>
  <c r="A173" i="37"/>
  <c r="A174" i="37"/>
  <c r="A175" i="37"/>
  <c r="A176" i="37"/>
  <c r="A177" i="37"/>
  <c r="A178" i="37"/>
  <c r="A180" i="37"/>
  <c r="A183" i="37"/>
  <c r="A184" i="37"/>
  <c r="A185" i="37"/>
  <c r="A186" i="37"/>
  <c r="A187" i="37"/>
  <c r="A188" i="37"/>
  <c r="A189" i="37"/>
  <c r="A190" i="37"/>
  <c r="A191" i="37"/>
  <c r="A192" i="37"/>
  <c r="A193" i="37"/>
  <c r="A194" i="37"/>
  <c r="A195" i="37"/>
  <c r="A196" i="37"/>
  <c r="A197" i="37"/>
  <c r="A198" i="37"/>
  <c r="A199" i="37"/>
  <c r="A151" i="37"/>
  <c r="J10" i="37"/>
  <c r="J6" i="37"/>
  <c r="J7" i="37"/>
  <c r="J8" i="37"/>
  <c r="J9" i="37"/>
  <c r="J11" i="37"/>
  <c r="J12" i="37"/>
  <c r="J13" i="37"/>
  <c r="J14" i="37"/>
  <c r="J15" i="37"/>
  <c r="J16" i="37"/>
  <c r="J17" i="37"/>
  <c r="J18" i="37"/>
  <c r="J19" i="37"/>
  <c r="J20" i="37"/>
  <c r="J21" i="37"/>
  <c r="J22" i="37"/>
  <c r="J23" i="37"/>
  <c r="J24" i="37"/>
  <c r="J25" i="37"/>
  <c r="J26" i="37"/>
  <c r="J27" i="37"/>
  <c r="J28" i="37"/>
  <c r="J37" i="37"/>
  <c r="J38" i="37"/>
  <c r="J29" i="37"/>
  <c r="J30" i="37"/>
  <c r="J32" i="37"/>
  <c r="J31" i="37"/>
  <c r="J33" i="37"/>
  <c r="J34" i="37"/>
  <c r="J36" i="37"/>
  <c r="J35" i="37"/>
  <c r="J39" i="37"/>
  <c r="J40" i="37"/>
  <c r="J41" i="37"/>
  <c r="J42" i="37"/>
  <c r="J43" i="37"/>
  <c r="J44" i="37"/>
  <c r="J45" i="37"/>
  <c r="J46" i="37"/>
  <c r="J47" i="37"/>
  <c r="J49" i="37"/>
  <c r="J48" i="37"/>
  <c r="J50" i="37"/>
  <c r="J52" i="37"/>
  <c r="J53" i="37"/>
  <c r="J54" i="37"/>
  <c r="J55" i="37"/>
  <c r="J56" i="37"/>
  <c r="J57" i="37"/>
  <c r="J58" i="37"/>
  <c r="J59" i="37"/>
  <c r="J60" i="37"/>
  <c r="J61" i="37"/>
  <c r="J62" i="37"/>
  <c r="J63" i="37"/>
  <c r="J64" i="37"/>
  <c r="J65" i="37"/>
  <c r="J66" i="37"/>
  <c r="J67" i="37"/>
  <c r="J68" i="37"/>
  <c r="J5" i="37"/>
  <c r="D48" i="37" a="1"/>
  <c r="D48" i="37" s="1"/>
  <c r="A48" i="37"/>
  <c r="D65" i="38" a="1"/>
  <c r="D65" i="38" s="1"/>
  <c r="F65" i="38"/>
  <c r="V112" i="37" s="1" a="1"/>
  <c r="V112" i="37" s="1"/>
  <c r="H65" i="38"/>
  <c r="H112" i="37" s="1" a="1"/>
  <c r="H112" i="37" s="1"/>
  <c r="I65" i="38"/>
  <c r="I112" i="37" s="1" a="1"/>
  <c r="I112" i="37" s="1"/>
  <c r="K65" i="38"/>
  <c r="H68" i="8"/>
  <c r="L32" i="43"/>
  <c r="L149" i="43"/>
  <c r="X32" i="43"/>
  <c r="Y32" i="43"/>
  <c r="Z32" i="43"/>
  <c r="AH149" i="43"/>
  <c r="AI149" i="43"/>
  <c r="A51" i="4"/>
  <c r="I51" i="4"/>
  <c r="M52" i="4"/>
  <c r="A52" i="4"/>
  <c r="M5" i="4"/>
  <c r="M6" i="4"/>
  <c r="M7" i="4"/>
  <c r="M8" i="4"/>
  <c r="M9" i="4"/>
  <c r="M10" i="4"/>
  <c r="M11" i="4"/>
  <c r="M68" i="4"/>
  <c r="M13" i="4"/>
  <c r="M14" i="4"/>
  <c r="M15" i="4"/>
  <c r="M17" i="4"/>
  <c r="M18" i="4"/>
  <c r="M19" i="4"/>
  <c r="M12" i="4"/>
  <c r="M20" i="4"/>
  <c r="M21" i="4"/>
  <c r="M34" i="4"/>
  <c r="M63" i="4"/>
  <c r="M22" i="4"/>
  <c r="M26" i="4"/>
  <c r="M27" i="4"/>
  <c r="M29" i="4"/>
  <c r="M30" i="4"/>
  <c r="M31" i="4"/>
  <c r="M32" i="4"/>
  <c r="M33" i="4"/>
  <c r="M75" i="4"/>
  <c r="M35" i="4"/>
  <c r="M36" i="4"/>
  <c r="M37" i="4"/>
  <c r="M38" i="4"/>
  <c r="M39" i="4"/>
  <c r="M40" i="4"/>
  <c r="M41" i="4"/>
  <c r="M42" i="4"/>
  <c r="M44" i="4"/>
  <c r="M46" i="4"/>
  <c r="M47" i="4"/>
  <c r="M48" i="4"/>
  <c r="M49" i="4"/>
  <c r="M50" i="4"/>
  <c r="M76" i="4"/>
  <c r="M53" i="4"/>
  <c r="M56" i="4"/>
  <c r="M57" i="4"/>
  <c r="M24" i="4"/>
  <c r="M25" i="4"/>
  <c r="M72" i="4"/>
  <c r="M61" i="4"/>
  <c r="M62" i="4"/>
  <c r="M58" i="4"/>
  <c r="M64" i="4"/>
  <c r="M65" i="4"/>
  <c r="M67" i="4"/>
  <c r="M59" i="4"/>
  <c r="M69" i="4"/>
  <c r="M70" i="4"/>
  <c r="M71" i="4"/>
  <c r="M73" i="4"/>
  <c r="M74" i="4"/>
  <c r="W114" i="37" l="1"/>
  <c r="X114" i="37" s="1"/>
  <c r="Y114" i="37" s="1"/>
  <c r="Z114" i="37" s="1"/>
  <c r="AA114" i="37" s="1"/>
  <c r="AB114" i="37" s="1"/>
  <c r="AC114" i="37" s="1"/>
  <c r="AD114" i="37" s="1"/>
  <c r="AE114" i="37" s="1"/>
  <c r="AF114" i="37" s="1"/>
  <c r="AG114" i="37" s="1"/>
  <c r="W112" i="37"/>
  <c r="X112" i="37" s="1"/>
  <c r="Y112" i="37" s="1"/>
  <c r="Z112" i="37" s="1"/>
  <c r="AA112" i="37" s="1"/>
  <c r="AB112" i="37" s="1"/>
  <c r="AC112" i="37" s="1"/>
  <c r="AD112" i="37" s="1"/>
  <c r="AE112" i="37" s="1"/>
  <c r="AF112" i="37" s="1"/>
  <c r="AG112" i="37" s="1"/>
  <c r="V51" i="37" a="1"/>
  <c r="V51" i="37" s="1"/>
  <c r="G182" i="37" s="1" a="1"/>
  <c r="G182" i="37" s="1"/>
  <c r="V115" i="37" a="1"/>
  <c r="V115" i="37" s="1"/>
  <c r="W115" i="37" s="1"/>
  <c r="X115" i="37" s="1"/>
  <c r="Y115" i="37" s="1"/>
  <c r="Z115" i="37" s="1"/>
  <c r="AA115" i="37" s="1"/>
  <c r="AB115" i="37" s="1"/>
  <c r="AC115" i="37" s="1"/>
  <c r="AD115" i="37" s="1"/>
  <c r="AE115" i="37" s="1"/>
  <c r="AF115" i="37" s="1"/>
  <c r="AG115" i="37" s="1"/>
  <c r="M51" i="4"/>
  <c r="O51" i="4" s="1"/>
  <c r="P51" i="4" s="1"/>
  <c r="O61" i="4"/>
  <c r="P61" i="4" s="1"/>
  <c r="O28" i="4"/>
  <c r="P28" i="4" s="1"/>
  <c r="J151" i="43" a="1"/>
  <c r="J151" i="43" s="1"/>
  <c r="V48" i="37" a="1"/>
  <c r="V48" i="37" s="1"/>
  <c r="O52" i="4"/>
  <c r="P52" i="4" s="1"/>
  <c r="G246" i="37" l="1" a="1"/>
  <c r="G246" i="37" s="1"/>
  <c r="J1138" i="40" s="1" a="1"/>
  <c r="J1138" i="40" s="1"/>
  <c r="L1138" i="40" s="1"/>
  <c r="G179" i="37" a="1"/>
  <c r="G179" i="37" s="1"/>
  <c r="G243" i="37" a="1"/>
  <c r="G243" i="37" s="1"/>
  <c r="J1391" i="40" s="1" a="1"/>
  <c r="J1391" i="40" s="1"/>
  <c r="L1391" i="40" s="1"/>
  <c r="I69" i="8"/>
  <c r="J150" i="43" a="1"/>
  <c r="J150" i="43" s="1"/>
  <c r="J32" i="43" a="1"/>
  <c r="J32" i="43" s="1"/>
  <c r="I68" i="8"/>
  <c r="J149" i="43" a="1"/>
  <c r="J149" i="43" s="1"/>
  <c r="A54" i="4" l="1"/>
  <c r="A16" i="4"/>
  <c r="A45" i="4"/>
  <c r="A66" i="4"/>
  <c r="A55" i="4"/>
  <c r="A9" i="4"/>
  <c r="A41" i="4"/>
  <c r="A56" i="4"/>
  <c r="A10" i="4"/>
  <c r="A71" i="4"/>
  <c r="A29" i="4"/>
  <c r="A25" i="4"/>
  <c r="A74" i="4"/>
  <c r="A7" i="4"/>
  <c r="A13" i="4"/>
  <c r="A31" i="4"/>
  <c r="A37" i="4"/>
  <c r="A38" i="4"/>
  <c r="A48" i="4"/>
  <c r="A35" i="4"/>
  <c r="A14" i="4"/>
  <c r="A15" i="4"/>
  <c r="A46" i="4"/>
  <c r="A65" i="4"/>
  <c r="A39" i="4"/>
  <c r="A44" i="4"/>
  <c r="A49" i="4"/>
  <c r="A53" i="4"/>
  <c r="A62" i="4"/>
  <c r="A50" i="4"/>
  <c r="A36" i="4"/>
  <c r="A30" i="4"/>
  <c r="A5" i="4"/>
  <c r="A32" i="4"/>
  <c r="A67" i="4"/>
  <c r="A6" i="4"/>
  <c r="A23" i="4"/>
  <c r="A76" i="4"/>
  <c r="A17" i="4"/>
  <c r="A18" i="4"/>
  <c r="A19" i="4"/>
  <c r="A12" i="4"/>
  <c r="A20" i="4"/>
  <c r="A21" i="4"/>
  <c r="A57" i="4"/>
  <c r="A24" i="4"/>
  <c r="A58" i="4"/>
  <c r="A64" i="4"/>
  <c r="A60" i="4"/>
  <c r="A26" i="4"/>
  <c r="A27" i="4"/>
  <c r="A69" i="4"/>
  <c r="A8" i="4"/>
  <c r="A33" i="4"/>
  <c r="A40" i="4"/>
  <c r="A43" i="4"/>
  <c r="A70" i="4"/>
  <c r="A73" i="4"/>
  <c r="A59" i="4"/>
  <c r="A11" i="4"/>
  <c r="A68" i="4"/>
  <c r="A34" i="4"/>
  <c r="A63" i="4"/>
  <c r="A22" i="4"/>
  <c r="A47" i="4"/>
  <c r="A72" i="4"/>
  <c r="A42" i="4"/>
  <c r="A61" i="4"/>
  <c r="A75" i="4"/>
  <c r="A39" i="46"/>
  <c r="A38" i="46"/>
  <c r="A37" i="46"/>
  <c r="A36" i="46"/>
  <c r="A35" i="46"/>
  <c r="A34" i="46"/>
  <c r="A33" i="46"/>
  <c r="A32" i="46"/>
  <c r="A31" i="46"/>
  <c r="A30" i="46"/>
  <c r="A29" i="46"/>
  <c r="A28" i="46"/>
  <c r="A27" i="46"/>
  <c r="A26" i="46"/>
  <c r="A25" i="46"/>
  <c r="A24" i="46"/>
  <c r="A23" i="46"/>
  <c r="A22" i="46"/>
  <c r="A21" i="46"/>
  <c r="A20" i="46"/>
  <c r="A19" i="46"/>
  <c r="A18" i="46"/>
  <c r="A17" i="46"/>
  <c r="A16" i="46"/>
  <c r="A15" i="46"/>
  <c r="A14" i="46"/>
  <c r="A13" i="46"/>
  <c r="A12" i="46"/>
  <c r="A11" i="46"/>
  <c r="A10" i="46"/>
  <c r="A9" i="46"/>
  <c r="A8" i="46"/>
  <c r="A10" i="26"/>
  <c r="A9" i="26"/>
  <c r="A8" i="26"/>
  <c r="A7" i="26"/>
  <c r="A6" i="26"/>
  <c r="A5" i="26"/>
  <c r="A136" i="42"/>
  <c r="A135" i="42"/>
  <c r="A134" i="42"/>
  <c r="A133" i="42"/>
  <c r="A132" i="42"/>
  <c r="A131" i="42"/>
  <c r="A130" i="42"/>
  <c r="A129" i="42"/>
  <c r="A128" i="42"/>
  <c r="A127" i="42"/>
  <c r="A126" i="42"/>
  <c r="A114" i="42"/>
  <c r="A113" i="42"/>
  <c r="A112" i="42"/>
  <c r="A111" i="42"/>
  <c r="A110" i="42"/>
  <c r="A109" i="42"/>
  <c r="A108" i="42"/>
  <c r="A107" i="42"/>
  <c r="A106" i="42"/>
  <c r="A105" i="42"/>
  <c r="A104" i="42"/>
  <c r="A365" i="42"/>
  <c r="A212" i="42"/>
  <c r="A201" i="42"/>
  <c r="A103" i="42"/>
  <c r="A92" i="42"/>
  <c r="A70" i="42"/>
  <c r="A59" i="42"/>
  <c r="A48" i="42"/>
  <c r="A37" i="42"/>
  <c r="A15" i="42"/>
  <c r="A332" i="42"/>
  <c r="A147" i="42"/>
  <c r="A81" i="42"/>
  <c r="A300" i="42"/>
  <c r="A289" i="42"/>
  <c r="A234" i="42"/>
  <c r="A223" i="42"/>
  <c r="A321" i="42"/>
  <c r="A26" i="42"/>
  <c r="A278" i="42"/>
  <c r="A168" i="42"/>
  <c r="A376" i="42"/>
  <c r="A354" i="42"/>
  <c r="A343" i="42"/>
  <c r="A310" i="42"/>
  <c r="A245" i="42"/>
  <c r="A190" i="42"/>
  <c r="A179" i="42"/>
  <c r="A158" i="42"/>
  <c r="A267" i="42"/>
  <c r="A256" i="42"/>
  <c r="A125" i="42"/>
  <c r="A364" i="42"/>
  <c r="A211" i="42"/>
  <c r="A200" i="42"/>
  <c r="A102" i="42"/>
  <c r="A91" i="42"/>
  <c r="A69" i="42"/>
  <c r="A58" i="42"/>
  <c r="A47" i="42"/>
  <c r="A36" i="42"/>
  <c r="A14" i="42"/>
  <c r="A331" i="42"/>
  <c r="A146" i="42"/>
  <c r="A80" i="42"/>
  <c r="A299" i="42"/>
  <c r="A288" i="42"/>
  <c r="A233" i="42"/>
  <c r="A222" i="42"/>
  <c r="A320" i="42"/>
  <c r="A25" i="42"/>
  <c r="A277" i="42"/>
  <c r="A167" i="42"/>
  <c r="A375" i="42"/>
  <c r="A353" i="42"/>
  <c r="A342" i="42"/>
  <c r="A309" i="42"/>
  <c r="A244" i="42"/>
  <c r="A189" i="42"/>
  <c r="A178" i="42"/>
  <c r="A157" i="42"/>
  <c r="A266" i="42"/>
  <c r="A255" i="42"/>
  <c r="A124" i="42"/>
  <c r="A363" i="42"/>
  <c r="A210" i="42"/>
  <c r="A199" i="42"/>
  <c r="A101" i="42"/>
  <c r="A90" i="42"/>
  <c r="A68" i="42"/>
  <c r="A57" i="42"/>
  <c r="A46" i="42"/>
  <c r="A35" i="42"/>
  <c r="A13" i="42"/>
  <c r="A330" i="42"/>
  <c r="A145" i="42"/>
  <c r="A79" i="42"/>
  <c r="A298" i="42"/>
  <c r="A287" i="42"/>
  <c r="A232" i="42"/>
  <c r="A221" i="42"/>
  <c r="A319" i="42"/>
  <c r="A24" i="42"/>
  <c r="A276" i="42"/>
  <c r="A166" i="42"/>
  <c r="A374" i="42"/>
  <c r="A352" i="42"/>
  <c r="A341" i="42"/>
  <c r="A308" i="42"/>
  <c r="A243" i="42"/>
  <c r="A188" i="42"/>
  <c r="A177" i="42"/>
  <c r="A156" i="42"/>
  <c r="A265" i="42"/>
  <c r="A254" i="42"/>
  <c r="A123" i="42"/>
  <c r="A362" i="42"/>
  <c r="A209" i="42"/>
  <c r="A198" i="42"/>
  <c r="A100" i="42"/>
  <c r="A89" i="42"/>
  <c r="A67" i="42"/>
  <c r="A56" i="42"/>
  <c r="A45" i="42"/>
  <c r="A34" i="42"/>
  <c r="A12" i="42"/>
  <c r="A329" i="42"/>
  <c r="A144" i="42"/>
  <c r="A78" i="42"/>
  <c r="A297" i="42"/>
  <c r="A286" i="42"/>
  <c r="A231" i="42"/>
  <c r="A220" i="42"/>
  <c r="A318" i="42"/>
  <c r="A23" i="42"/>
  <c r="A275" i="42"/>
  <c r="A165" i="42"/>
  <c r="A373" i="42"/>
  <c r="A351" i="42"/>
  <c r="A340" i="42"/>
  <c r="A307" i="42"/>
  <c r="A242" i="42"/>
  <c r="A187" i="42"/>
  <c r="A176" i="42"/>
  <c r="A155" i="42"/>
  <c r="A264" i="42"/>
  <c r="A253" i="42"/>
  <c r="A122" i="42"/>
  <c r="A361" i="42"/>
  <c r="A208" i="42"/>
  <c r="A197" i="42"/>
  <c r="A99" i="42"/>
  <c r="A88" i="42"/>
  <c r="A66" i="42"/>
  <c r="A55" i="42"/>
  <c r="A44" i="42"/>
  <c r="A33" i="42"/>
  <c r="A11" i="42"/>
  <c r="A328" i="42"/>
  <c r="A143" i="42"/>
  <c r="A77" i="42"/>
  <c r="A296" i="42"/>
  <c r="A285" i="42"/>
  <c r="A230" i="42"/>
  <c r="A219" i="42"/>
  <c r="A317" i="42"/>
  <c r="A22" i="42"/>
  <c r="A274" i="42"/>
  <c r="A164" i="42"/>
  <c r="A372" i="42"/>
  <c r="A350" i="42"/>
  <c r="A339" i="42"/>
  <c r="A306" i="42"/>
  <c r="A241" i="42"/>
  <c r="A186" i="42"/>
  <c r="A175" i="42"/>
  <c r="A154" i="42"/>
  <c r="A263" i="42"/>
  <c r="A252" i="42"/>
  <c r="A121" i="42"/>
  <c r="A360" i="42"/>
  <c r="A207" i="42"/>
  <c r="A196" i="42"/>
  <c r="A98" i="42"/>
  <c r="A87" i="42"/>
  <c r="A65" i="42"/>
  <c r="A54" i="42"/>
  <c r="A43" i="42"/>
  <c r="A32" i="42"/>
  <c r="A10" i="42"/>
  <c r="A327" i="42"/>
  <c r="A142" i="42"/>
  <c r="A76" i="42"/>
  <c r="A295" i="42"/>
  <c r="A284" i="42"/>
  <c r="A229" i="42"/>
  <c r="A218" i="42"/>
  <c r="A316" i="42"/>
  <c r="A21" i="42"/>
  <c r="A273" i="42"/>
  <c r="A371" i="42"/>
  <c r="A349" i="42"/>
  <c r="A338" i="42"/>
  <c r="A240" i="42"/>
  <c r="A185" i="42"/>
  <c r="A174" i="42"/>
  <c r="A153" i="42"/>
  <c r="A262" i="42"/>
  <c r="A251" i="42"/>
  <c r="A120" i="42"/>
  <c r="A359" i="42"/>
  <c r="A206" i="42"/>
  <c r="A195" i="42"/>
  <c r="A97" i="42"/>
  <c r="A86" i="42"/>
  <c r="A64" i="42"/>
  <c r="A53" i="42"/>
  <c r="A42" i="42"/>
  <c r="A31" i="42"/>
  <c r="A9" i="42"/>
  <c r="A326" i="42"/>
  <c r="A141" i="42"/>
  <c r="A75" i="42"/>
  <c r="A294" i="42"/>
  <c r="A283" i="42"/>
  <c r="A228" i="42"/>
  <c r="A217" i="42"/>
  <c r="A315" i="42"/>
  <c r="A20" i="42"/>
  <c r="A272" i="42"/>
  <c r="A163" i="42"/>
  <c r="A370" i="42"/>
  <c r="A348" i="42"/>
  <c r="A337" i="42"/>
  <c r="A305" i="42"/>
  <c r="A239" i="42"/>
  <c r="A184" i="42"/>
  <c r="A173" i="42"/>
  <c r="A152" i="42"/>
  <c r="A261" i="42"/>
  <c r="A250" i="42"/>
  <c r="A119" i="42"/>
  <c r="A358" i="42"/>
  <c r="A205" i="42"/>
  <c r="A194" i="42"/>
  <c r="A96" i="42"/>
  <c r="A85" i="42"/>
  <c r="A63" i="42"/>
  <c r="A52" i="42"/>
  <c r="A41" i="42"/>
  <c r="A30" i="42"/>
  <c r="A8" i="42"/>
  <c r="A325" i="42"/>
  <c r="A140" i="42"/>
  <c r="A74" i="42"/>
  <c r="A293" i="42"/>
  <c r="A282" i="42"/>
  <c r="A227" i="42"/>
  <c r="A216" i="42"/>
  <c r="A314" i="42"/>
  <c r="A19" i="42"/>
  <c r="A271" i="42"/>
  <c r="A162" i="42"/>
  <c r="A369" i="42"/>
  <c r="A347" i="42"/>
  <c r="A336" i="42"/>
  <c r="A304" i="42"/>
  <c r="A238" i="42"/>
  <c r="A183" i="42"/>
  <c r="A172" i="42"/>
  <c r="A151" i="42"/>
  <c r="A260" i="42"/>
  <c r="A249" i="42"/>
  <c r="A118" i="42"/>
  <c r="A357" i="42"/>
  <c r="A204" i="42"/>
  <c r="A193" i="42"/>
  <c r="A95" i="42"/>
  <c r="A84" i="42"/>
  <c r="A62" i="42"/>
  <c r="A51" i="42"/>
  <c r="A40" i="42"/>
  <c r="A29" i="42"/>
  <c r="A7" i="42"/>
  <c r="A324" i="42"/>
  <c r="A139" i="42"/>
  <c r="A73" i="42"/>
  <c r="A292" i="42"/>
  <c r="A281" i="42"/>
  <c r="A226" i="42"/>
  <c r="A215" i="42"/>
  <c r="A313" i="42"/>
  <c r="A18" i="42"/>
  <c r="A270" i="42"/>
  <c r="A161" i="42"/>
  <c r="A368" i="42"/>
  <c r="A346" i="42"/>
  <c r="A335" i="42"/>
  <c r="A303" i="42"/>
  <c r="A237" i="42"/>
  <c r="A182" i="42"/>
  <c r="A171" i="42"/>
  <c r="A150" i="42"/>
  <c r="A259" i="42"/>
  <c r="A248" i="42"/>
  <c r="A117" i="42"/>
  <c r="A356" i="42"/>
  <c r="A203" i="42"/>
  <c r="A192" i="42"/>
  <c r="A94" i="42"/>
  <c r="A83" i="42"/>
  <c r="A61" i="42"/>
  <c r="A50" i="42"/>
  <c r="A39" i="42"/>
  <c r="A28" i="42"/>
  <c r="A6" i="42"/>
  <c r="A323" i="42"/>
  <c r="A138" i="42"/>
  <c r="A72" i="42"/>
  <c r="A291" i="42"/>
  <c r="A280" i="42"/>
  <c r="A225" i="42"/>
  <c r="A214" i="42"/>
  <c r="A312" i="42"/>
  <c r="A17" i="42"/>
  <c r="A269" i="42"/>
  <c r="A160" i="42"/>
  <c r="A367" i="42"/>
  <c r="A345" i="42"/>
  <c r="A334" i="42"/>
  <c r="A302" i="42"/>
  <c r="A236" i="42"/>
  <c r="A181" i="42"/>
  <c r="A170" i="42"/>
  <c r="A149" i="42"/>
  <c r="A258" i="42"/>
  <c r="A247" i="42"/>
  <c r="A116" i="42"/>
  <c r="A355" i="42"/>
  <c r="A202" i="42"/>
  <c r="A191" i="42"/>
  <c r="A93" i="42"/>
  <c r="A82" i="42"/>
  <c r="A60" i="42"/>
  <c r="A49" i="42"/>
  <c r="A38" i="42"/>
  <c r="A27" i="42"/>
  <c r="A5" i="42"/>
  <c r="A322" i="42"/>
  <c r="A137" i="42"/>
  <c r="A71" i="42"/>
  <c r="A290" i="42"/>
  <c r="A279" i="42"/>
  <c r="A224" i="42"/>
  <c r="A213" i="42"/>
  <c r="A311" i="42"/>
  <c r="A16" i="42"/>
  <c r="A268" i="42"/>
  <c r="A159" i="42"/>
  <c r="A366" i="42"/>
  <c r="A344" i="42"/>
  <c r="A333" i="42"/>
  <c r="A301" i="42"/>
  <c r="A235" i="42"/>
  <c r="A180" i="42"/>
  <c r="A169" i="42"/>
  <c r="A148" i="42"/>
  <c r="A257" i="42"/>
  <c r="A246" i="42"/>
  <c r="A115" i="42"/>
  <c r="E686" i="40" a="1"/>
  <c r="E686" i="40" s="1"/>
  <c r="A686" i="40"/>
  <c r="E685" i="40" a="1"/>
  <c r="E685" i="40" s="1"/>
  <c r="A685" i="40"/>
  <c r="E684" i="40" a="1"/>
  <c r="E684" i="40" s="1"/>
  <c r="A684" i="40"/>
  <c r="E683" i="40" a="1"/>
  <c r="E683" i="40" s="1"/>
  <c r="A683" i="40"/>
  <c r="E682" i="40" a="1"/>
  <c r="E682" i="40" s="1"/>
  <c r="A682" i="40"/>
  <c r="E681" i="40" a="1"/>
  <c r="E681" i="40" s="1"/>
  <c r="A681" i="40"/>
  <c r="E680" i="40" a="1"/>
  <c r="E680" i="40" s="1"/>
  <c r="A680" i="40"/>
  <c r="E679" i="40" a="1"/>
  <c r="E679" i="40" s="1"/>
  <c r="A679" i="40"/>
  <c r="E678" i="40" a="1"/>
  <c r="E678" i="40" s="1"/>
  <c r="A678" i="40"/>
  <c r="E677" i="40" a="1"/>
  <c r="E677" i="40" s="1"/>
  <c r="A677" i="40"/>
  <c r="E676" i="40" a="1"/>
  <c r="E676" i="40" s="1"/>
  <c r="A676" i="40"/>
  <c r="E675" i="40" a="1"/>
  <c r="E675" i="40" s="1"/>
  <c r="A675" i="40"/>
  <c r="E674" i="40" a="1"/>
  <c r="E674" i="40" s="1"/>
  <c r="A674" i="40"/>
  <c r="E673" i="40" a="1"/>
  <c r="E673" i="40" s="1"/>
  <c r="A673" i="40"/>
  <c r="E672" i="40" a="1"/>
  <c r="E672" i="40" s="1"/>
  <c r="A672" i="40"/>
  <c r="E671" i="40" a="1"/>
  <c r="E671" i="40" s="1"/>
  <c r="A671" i="40"/>
  <c r="E670" i="40" a="1"/>
  <c r="E670" i="40" s="1"/>
  <c r="A670" i="40"/>
  <c r="E669" i="40" a="1"/>
  <c r="E669" i="40" s="1"/>
  <c r="A669" i="40"/>
  <c r="E668" i="40" a="1"/>
  <c r="E668" i="40" s="1"/>
  <c r="A668" i="40"/>
  <c r="E667" i="40" a="1"/>
  <c r="E667" i="40" s="1"/>
  <c r="A667" i="40"/>
  <c r="E666" i="40" a="1"/>
  <c r="E666" i="40" s="1"/>
  <c r="A666" i="40"/>
  <c r="E665" i="40" a="1"/>
  <c r="E665" i="40" s="1"/>
  <c r="A665" i="40"/>
  <c r="E664" i="40" a="1"/>
  <c r="E664" i="40" s="1"/>
  <c r="A664" i="40"/>
  <c r="E663" i="40" a="1"/>
  <c r="E663" i="40" s="1"/>
  <c r="A663" i="40"/>
  <c r="E662" i="40" a="1"/>
  <c r="E662" i="40" s="1"/>
  <c r="A662" i="40"/>
  <c r="E661" i="40" a="1"/>
  <c r="E661" i="40" s="1"/>
  <c r="A661" i="40"/>
  <c r="E660" i="40" a="1"/>
  <c r="E660" i="40" s="1"/>
  <c r="A660" i="40"/>
  <c r="E659" i="40" a="1"/>
  <c r="E659" i="40" s="1"/>
  <c r="A659" i="40"/>
  <c r="E658" i="40" a="1"/>
  <c r="E658" i="40" s="1"/>
  <c r="A658" i="40"/>
  <c r="E657" i="40" a="1"/>
  <c r="E657" i="40" s="1"/>
  <c r="A657" i="40"/>
  <c r="E656" i="40" a="1"/>
  <c r="E656" i="40" s="1"/>
  <c r="A656" i="40"/>
  <c r="E655" i="40" a="1"/>
  <c r="E655" i="40" s="1"/>
  <c r="A655" i="40"/>
  <c r="E654" i="40" a="1"/>
  <c r="E654" i="40" s="1"/>
  <c r="A654" i="40"/>
  <c r="E653" i="40" a="1"/>
  <c r="E653" i="40" s="1"/>
  <c r="A653" i="40"/>
  <c r="E652" i="40" a="1"/>
  <c r="E652" i="40" s="1"/>
  <c r="A652" i="40"/>
  <c r="E651" i="40" a="1"/>
  <c r="E651" i="40" s="1"/>
  <c r="A651" i="40"/>
  <c r="E650" i="40" a="1"/>
  <c r="E650" i="40" s="1"/>
  <c r="A650" i="40"/>
  <c r="E649" i="40" a="1"/>
  <c r="E649" i="40" s="1"/>
  <c r="A649" i="40"/>
  <c r="E648" i="40" a="1"/>
  <c r="E648" i="40" s="1"/>
  <c r="A648" i="40"/>
  <c r="E647" i="40" a="1"/>
  <c r="E647" i="40" s="1"/>
  <c r="A647" i="40"/>
  <c r="E646" i="40" a="1"/>
  <c r="E646" i="40" s="1"/>
  <c r="A646" i="40"/>
  <c r="E645" i="40" a="1"/>
  <c r="E645" i="40" s="1"/>
  <c r="A645" i="40"/>
  <c r="E644" i="40" a="1"/>
  <c r="E644" i="40" s="1"/>
  <c r="A644" i="40"/>
  <c r="E643" i="40" a="1"/>
  <c r="E643" i="40" s="1"/>
  <c r="A643" i="40"/>
  <c r="E642" i="40" a="1"/>
  <c r="E642" i="40" s="1"/>
  <c r="A642" i="40"/>
  <c r="E641" i="40" a="1"/>
  <c r="E641" i="40" s="1"/>
  <c r="A641" i="40"/>
  <c r="E640" i="40" a="1"/>
  <c r="E640" i="40" s="1"/>
  <c r="A640" i="40"/>
  <c r="E639" i="40" a="1"/>
  <c r="E639" i="40" s="1"/>
  <c r="A639" i="40"/>
  <c r="E638" i="40" a="1"/>
  <c r="E638" i="40" s="1"/>
  <c r="A638" i="40"/>
  <c r="E637" i="40" a="1"/>
  <c r="E637" i="40" s="1"/>
  <c r="A637" i="40"/>
  <c r="E636" i="40" a="1"/>
  <c r="E636" i="40" s="1"/>
  <c r="A636" i="40"/>
  <c r="E635" i="40" a="1"/>
  <c r="E635" i="40" s="1"/>
  <c r="A635" i="40"/>
  <c r="E634" i="40" a="1"/>
  <c r="E634" i="40" s="1"/>
  <c r="A634" i="40"/>
  <c r="E633" i="40" a="1"/>
  <c r="E633" i="40" s="1"/>
  <c r="A633" i="40"/>
  <c r="E632" i="40" a="1"/>
  <c r="E632" i="40" s="1"/>
  <c r="A632" i="40"/>
  <c r="E631" i="40" a="1"/>
  <c r="E631" i="40" s="1"/>
  <c r="A631" i="40"/>
  <c r="E630" i="40" a="1"/>
  <c r="E630" i="40" s="1"/>
  <c r="A630" i="40"/>
  <c r="E629" i="40" a="1"/>
  <c r="E629" i="40" s="1"/>
  <c r="A629" i="40"/>
  <c r="E628" i="40" a="1"/>
  <c r="E628" i="40" s="1"/>
  <c r="A628" i="40"/>
  <c r="E627" i="40" a="1"/>
  <c r="E627" i="40" s="1"/>
  <c r="A627" i="40"/>
  <c r="E626" i="40" a="1"/>
  <c r="E626" i="40" s="1"/>
  <c r="A626" i="40"/>
  <c r="E625" i="40" a="1"/>
  <c r="E625" i="40" s="1"/>
  <c r="A625" i="40"/>
  <c r="E624" i="40" a="1"/>
  <c r="E624" i="40" s="1"/>
  <c r="A624" i="40"/>
  <c r="E623" i="40" a="1"/>
  <c r="E623" i="40" s="1"/>
  <c r="A623" i="40"/>
  <c r="E622" i="40" a="1"/>
  <c r="E622" i="40" s="1"/>
  <c r="A622" i="40"/>
  <c r="E621" i="40" a="1"/>
  <c r="E621" i="40" s="1"/>
  <c r="A621" i="40"/>
  <c r="E620" i="40" a="1"/>
  <c r="E620" i="40" s="1"/>
  <c r="A620" i="40"/>
  <c r="E619" i="40" a="1"/>
  <c r="E619" i="40" s="1"/>
  <c r="A619" i="40"/>
  <c r="E618" i="40" a="1"/>
  <c r="E618" i="40" s="1"/>
  <c r="A618" i="40"/>
  <c r="E617" i="40" a="1"/>
  <c r="E617" i="40" s="1"/>
  <c r="A617" i="40"/>
  <c r="E616" i="40" a="1"/>
  <c r="E616" i="40" s="1"/>
  <c r="A616" i="40"/>
  <c r="E615" i="40" a="1"/>
  <c r="E615" i="40" s="1"/>
  <c r="A615" i="40"/>
  <c r="E614" i="40" a="1"/>
  <c r="E614" i="40" s="1"/>
  <c r="A614" i="40"/>
  <c r="E613" i="40" a="1"/>
  <c r="E613" i="40" s="1"/>
  <c r="A613" i="40"/>
  <c r="E612" i="40" a="1"/>
  <c r="E612" i="40" s="1"/>
  <c r="A612" i="40"/>
  <c r="E611" i="40" a="1"/>
  <c r="E611" i="40" s="1"/>
  <c r="A611" i="40"/>
  <c r="E610" i="40" a="1"/>
  <c r="E610" i="40" s="1"/>
  <c r="A610" i="40"/>
  <c r="E609" i="40" a="1"/>
  <c r="E609" i="40" s="1"/>
  <c r="A609" i="40"/>
  <c r="E608" i="40" a="1"/>
  <c r="E608" i="40" s="1"/>
  <c r="A608" i="40"/>
  <c r="E607" i="40" a="1"/>
  <c r="E607" i="40" s="1"/>
  <c r="A607" i="40"/>
  <c r="E606" i="40" a="1"/>
  <c r="E606" i="40" s="1"/>
  <c r="A606" i="40"/>
  <c r="E605" i="40" a="1"/>
  <c r="E605" i="40" s="1"/>
  <c r="A605" i="40"/>
  <c r="E604" i="40" a="1"/>
  <c r="E604" i="40" s="1"/>
  <c r="A604" i="40"/>
  <c r="E603" i="40" a="1"/>
  <c r="E603" i="40" s="1"/>
  <c r="A603" i="40"/>
  <c r="E602" i="40" a="1"/>
  <c r="E602" i="40" s="1"/>
  <c r="A602" i="40"/>
  <c r="E601" i="40" a="1"/>
  <c r="E601" i="40" s="1"/>
  <c r="A601" i="40"/>
  <c r="E600" i="40" a="1"/>
  <c r="E600" i="40" s="1"/>
  <c r="A600" i="40"/>
  <c r="E599" i="40" a="1"/>
  <c r="E599" i="40" s="1"/>
  <c r="A599" i="40"/>
  <c r="E598" i="40" a="1"/>
  <c r="E598" i="40" s="1"/>
  <c r="A598" i="40"/>
  <c r="E597" i="40" a="1"/>
  <c r="E597" i="40" s="1"/>
  <c r="A597" i="40"/>
  <c r="E596" i="40" a="1"/>
  <c r="E596" i="40" s="1"/>
  <c r="A596" i="40"/>
  <c r="E595" i="40" a="1"/>
  <c r="E595" i="40" s="1"/>
  <c r="A595" i="40"/>
  <c r="E594" i="40" a="1"/>
  <c r="E594" i="40" s="1"/>
  <c r="A594" i="40"/>
  <c r="E593" i="40" a="1"/>
  <c r="E593" i="40" s="1"/>
  <c r="A593" i="40"/>
  <c r="E592" i="40" a="1"/>
  <c r="E592" i="40" s="1"/>
  <c r="A592" i="40"/>
  <c r="E591" i="40" a="1"/>
  <c r="E591" i="40" s="1"/>
  <c r="A591" i="40"/>
  <c r="E590" i="40" a="1"/>
  <c r="E590" i="40" s="1"/>
  <c r="A590" i="40"/>
  <c r="E589" i="40" a="1"/>
  <c r="E589" i="40" s="1"/>
  <c r="A589" i="40"/>
  <c r="E588" i="40" a="1"/>
  <c r="E588" i="40" s="1"/>
  <c r="A588" i="40"/>
  <c r="E587" i="40" a="1"/>
  <c r="E587" i="40" s="1"/>
  <c r="A587" i="40"/>
  <c r="E586" i="40" a="1"/>
  <c r="E586" i="40" s="1"/>
  <c r="A586" i="40"/>
  <c r="E585" i="40" a="1"/>
  <c r="E585" i="40" s="1"/>
  <c r="A585" i="40"/>
  <c r="E584" i="40" a="1"/>
  <c r="E584" i="40" s="1"/>
  <c r="A584" i="40"/>
  <c r="E583" i="40" a="1"/>
  <c r="E583" i="40" s="1"/>
  <c r="A583" i="40"/>
  <c r="E582" i="40" a="1"/>
  <c r="E582" i="40" s="1"/>
  <c r="A582" i="40"/>
  <c r="E581" i="40" a="1"/>
  <c r="E581" i="40" s="1"/>
  <c r="A581" i="40"/>
  <c r="E580" i="40" a="1"/>
  <c r="E580" i="40" s="1"/>
  <c r="A580" i="40"/>
  <c r="E579" i="40" a="1"/>
  <c r="E579" i="40" s="1"/>
  <c r="A579" i="40"/>
  <c r="E578" i="40" a="1"/>
  <c r="E578" i="40" s="1"/>
  <c r="A578" i="40"/>
  <c r="E577" i="40" a="1"/>
  <c r="E577" i="40" s="1"/>
  <c r="A577" i="40"/>
  <c r="E576" i="40" a="1"/>
  <c r="E576" i="40" s="1"/>
  <c r="A576" i="40"/>
  <c r="E575" i="40" a="1"/>
  <c r="E575" i="40" s="1"/>
  <c r="A575" i="40"/>
  <c r="E574" i="40" a="1"/>
  <c r="E574" i="40" s="1"/>
  <c r="A574" i="40"/>
  <c r="E573" i="40" a="1"/>
  <c r="E573" i="40" s="1"/>
  <c r="A573" i="40"/>
  <c r="E572" i="40" a="1"/>
  <c r="E572" i="40" s="1"/>
  <c r="A572" i="40"/>
  <c r="E571" i="40" a="1"/>
  <c r="E571" i="40" s="1"/>
  <c r="A571" i="40"/>
  <c r="E570" i="40" a="1"/>
  <c r="E570" i="40" s="1"/>
  <c r="A570" i="40"/>
  <c r="E569" i="40" a="1"/>
  <c r="E569" i="40" s="1"/>
  <c r="A569" i="40"/>
  <c r="E568" i="40" a="1"/>
  <c r="E568" i="40" s="1"/>
  <c r="A568" i="40"/>
  <c r="E567" i="40" a="1"/>
  <c r="E567" i="40" s="1"/>
  <c r="A567" i="40"/>
  <c r="E566" i="40" a="1"/>
  <c r="E566" i="40" s="1"/>
  <c r="A566" i="40"/>
  <c r="E565" i="40" a="1"/>
  <c r="E565" i="40" s="1"/>
  <c r="A565" i="40"/>
  <c r="E564" i="40" a="1"/>
  <c r="E564" i="40" s="1"/>
  <c r="A564" i="40"/>
  <c r="E563" i="40" a="1"/>
  <c r="E563" i="40" s="1"/>
  <c r="A563" i="40"/>
  <c r="E562" i="40" a="1"/>
  <c r="E562" i="40" s="1"/>
  <c r="A562" i="40"/>
  <c r="E561" i="40" a="1"/>
  <c r="E561" i="40" s="1"/>
  <c r="A561" i="40"/>
  <c r="E560" i="40" a="1"/>
  <c r="E560" i="40" s="1"/>
  <c r="A560" i="40"/>
  <c r="E559" i="40" a="1"/>
  <c r="E559" i="40" s="1"/>
  <c r="A559" i="40"/>
  <c r="E558" i="40" a="1"/>
  <c r="E558" i="40" s="1"/>
  <c r="A558" i="40"/>
  <c r="E557" i="40" a="1"/>
  <c r="E557" i="40" s="1"/>
  <c r="A557" i="40"/>
  <c r="E556" i="40" a="1"/>
  <c r="E556" i="40" s="1"/>
  <c r="A556" i="40"/>
  <c r="E555" i="40" a="1"/>
  <c r="E555" i="40" s="1"/>
  <c r="A555" i="40"/>
  <c r="E554" i="40" a="1"/>
  <c r="E554" i="40" s="1"/>
  <c r="A554" i="40"/>
  <c r="E553" i="40" a="1"/>
  <c r="E553" i="40" s="1"/>
  <c r="A553" i="40"/>
  <c r="E552" i="40" a="1"/>
  <c r="E552" i="40" s="1"/>
  <c r="A552" i="40"/>
  <c r="E551" i="40" a="1"/>
  <c r="E551" i="40" s="1"/>
  <c r="A551" i="40"/>
  <c r="E550" i="40" a="1"/>
  <c r="E550" i="40" s="1"/>
  <c r="A550" i="40"/>
  <c r="E549" i="40" a="1"/>
  <c r="E549" i="40" s="1"/>
  <c r="A549" i="40"/>
  <c r="E548" i="40" a="1"/>
  <c r="E548" i="40" s="1"/>
  <c r="A548" i="40"/>
  <c r="E547" i="40" a="1"/>
  <c r="E547" i="40" s="1"/>
  <c r="A547" i="40"/>
  <c r="E546" i="40" a="1"/>
  <c r="E546" i="40" s="1"/>
  <c r="A546" i="40"/>
  <c r="E545" i="40" a="1"/>
  <c r="E545" i="40" s="1"/>
  <c r="A545" i="40"/>
  <c r="E544" i="40" a="1"/>
  <c r="E544" i="40" s="1"/>
  <c r="A544" i="40"/>
  <c r="E543" i="40" a="1"/>
  <c r="E543" i="40" s="1"/>
  <c r="A543" i="40"/>
  <c r="E542" i="40" a="1"/>
  <c r="E542" i="40" s="1"/>
  <c r="A542" i="40"/>
  <c r="E541" i="40" a="1"/>
  <c r="E541" i="40" s="1"/>
  <c r="A541" i="40"/>
  <c r="E540" i="40" a="1"/>
  <c r="E540" i="40" s="1"/>
  <c r="A540" i="40"/>
  <c r="E539" i="40" a="1"/>
  <c r="E539" i="40" s="1"/>
  <c r="A539" i="40"/>
  <c r="E538" i="40" a="1"/>
  <c r="E538" i="40" s="1"/>
  <c r="A538" i="40"/>
  <c r="E537" i="40" a="1"/>
  <c r="E537" i="40" s="1"/>
  <c r="A537" i="40"/>
  <c r="E536" i="40" a="1"/>
  <c r="E536" i="40" s="1"/>
  <c r="A536" i="40"/>
  <c r="E535" i="40" a="1"/>
  <c r="E535" i="40" s="1"/>
  <c r="A535" i="40"/>
  <c r="E534" i="40" a="1"/>
  <c r="E534" i="40" s="1"/>
  <c r="A534" i="40"/>
  <c r="E533" i="40" a="1"/>
  <c r="E533" i="40" s="1"/>
  <c r="A533" i="40"/>
  <c r="E532" i="40" a="1"/>
  <c r="E532" i="40" s="1"/>
  <c r="A532" i="40"/>
  <c r="E531" i="40" a="1"/>
  <c r="E531" i="40" s="1"/>
  <c r="A531" i="40"/>
  <c r="E530" i="40" a="1"/>
  <c r="E530" i="40" s="1"/>
  <c r="A530" i="40"/>
  <c r="E529" i="40" a="1"/>
  <c r="E529" i="40" s="1"/>
  <c r="A529" i="40"/>
  <c r="E528" i="40" a="1"/>
  <c r="E528" i="40" s="1"/>
  <c r="A528" i="40"/>
  <c r="E527" i="40" a="1"/>
  <c r="E527" i="40" s="1"/>
  <c r="A527" i="40"/>
  <c r="E526" i="40" a="1"/>
  <c r="E526" i="40" s="1"/>
  <c r="A526" i="40"/>
  <c r="E525" i="40" a="1"/>
  <c r="E525" i="40" s="1"/>
  <c r="A525" i="40"/>
  <c r="E524" i="40" a="1"/>
  <c r="E524" i="40" s="1"/>
  <c r="A524" i="40"/>
  <c r="E523" i="40" a="1"/>
  <c r="E523" i="40" s="1"/>
  <c r="A523" i="40"/>
  <c r="E522" i="40" a="1"/>
  <c r="E522" i="40" s="1"/>
  <c r="A522" i="40"/>
  <c r="E521" i="40" a="1"/>
  <c r="E521" i="40" s="1"/>
  <c r="A521" i="40"/>
  <c r="E520" i="40" a="1"/>
  <c r="E520" i="40" s="1"/>
  <c r="A520" i="40"/>
  <c r="E519" i="40" a="1"/>
  <c r="E519" i="40" s="1"/>
  <c r="A519" i="40"/>
  <c r="E518" i="40" a="1"/>
  <c r="E518" i="40" s="1"/>
  <c r="A518" i="40"/>
  <c r="E517" i="40" a="1"/>
  <c r="E517" i="40" s="1"/>
  <c r="A517" i="40"/>
  <c r="E516" i="40" a="1"/>
  <c r="E516" i="40" s="1"/>
  <c r="A516" i="40"/>
  <c r="E515" i="40" a="1"/>
  <c r="E515" i="40" s="1"/>
  <c r="A515" i="40"/>
  <c r="E514" i="40" a="1"/>
  <c r="E514" i="40" s="1"/>
  <c r="A514" i="40"/>
  <c r="E513" i="40" a="1"/>
  <c r="E513" i="40" s="1"/>
  <c r="A513" i="40"/>
  <c r="E512" i="40" a="1"/>
  <c r="E512" i="40" s="1"/>
  <c r="A512" i="40"/>
  <c r="E511" i="40" a="1"/>
  <c r="E511" i="40" s="1"/>
  <c r="A511" i="40"/>
  <c r="E510" i="40" a="1"/>
  <c r="E510" i="40" s="1"/>
  <c r="A510" i="40"/>
  <c r="E509" i="40" a="1"/>
  <c r="E509" i="40" s="1"/>
  <c r="A509" i="40"/>
  <c r="E508" i="40" a="1"/>
  <c r="E508" i="40" s="1"/>
  <c r="A508" i="40"/>
  <c r="E507" i="40" a="1"/>
  <c r="E507" i="40" s="1"/>
  <c r="A507" i="40"/>
  <c r="E506" i="40" a="1"/>
  <c r="E506" i="40" s="1"/>
  <c r="A506" i="40"/>
  <c r="E505" i="40" a="1"/>
  <c r="E505" i="40" s="1"/>
  <c r="A505" i="40"/>
  <c r="E504" i="40" a="1"/>
  <c r="E504" i="40" s="1"/>
  <c r="A504" i="40"/>
  <c r="E503" i="40" a="1"/>
  <c r="E503" i="40" s="1"/>
  <c r="A503" i="40"/>
  <c r="E502" i="40" a="1"/>
  <c r="E502" i="40" s="1"/>
  <c r="A502" i="40"/>
  <c r="E501" i="40" a="1"/>
  <c r="E501" i="40" s="1"/>
  <c r="A501" i="40"/>
  <c r="E500" i="40" a="1"/>
  <c r="E500" i="40" s="1"/>
  <c r="A500" i="40"/>
  <c r="E499" i="40" a="1"/>
  <c r="E499" i="40" s="1"/>
  <c r="A499" i="40"/>
  <c r="E498" i="40" a="1"/>
  <c r="E498" i="40" s="1"/>
  <c r="A498" i="40"/>
  <c r="E497" i="40" a="1"/>
  <c r="E497" i="40" s="1"/>
  <c r="A497" i="40"/>
  <c r="E496" i="40" a="1"/>
  <c r="E496" i="40" s="1"/>
  <c r="A496" i="40"/>
  <c r="E495" i="40" a="1"/>
  <c r="E495" i="40" s="1"/>
  <c r="A495" i="40"/>
  <c r="E494" i="40" a="1"/>
  <c r="E494" i="40" s="1"/>
  <c r="A494" i="40"/>
  <c r="E493" i="40" a="1"/>
  <c r="E493" i="40" s="1"/>
  <c r="A493" i="40"/>
  <c r="E492" i="40" a="1"/>
  <c r="E492" i="40" s="1"/>
  <c r="A492" i="40"/>
  <c r="E491" i="40" a="1"/>
  <c r="E491" i="40" s="1"/>
  <c r="A491" i="40"/>
  <c r="E490" i="40" a="1"/>
  <c r="E490" i="40" s="1"/>
  <c r="A490" i="40"/>
  <c r="E489" i="40" a="1"/>
  <c r="E489" i="40" s="1"/>
  <c r="A489" i="40"/>
  <c r="E488" i="40" a="1"/>
  <c r="E488" i="40" s="1"/>
  <c r="A488" i="40"/>
  <c r="E487" i="40" a="1"/>
  <c r="E487" i="40" s="1"/>
  <c r="A487" i="40"/>
  <c r="E486" i="40" a="1"/>
  <c r="E486" i="40" s="1"/>
  <c r="A486" i="40"/>
  <c r="E485" i="40" a="1"/>
  <c r="E485" i="40" s="1"/>
  <c r="A485" i="40"/>
  <c r="E484" i="40" a="1"/>
  <c r="E484" i="40" s="1"/>
  <c r="A484" i="40"/>
  <c r="E483" i="40" a="1"/>
  <c r="E483" i="40" s="1"/>
  <c r="A483" i="40"/>
  <c r="E482" i="40" a="1"/>
  <c r="E482" i="40" s="1"/>
  <c r="A482" i="40"/>
  <c r="E481" i="40" a="1"/>
  <c r="E481" i="40" s="1"/>
  <c r="A481" i="40"/>
  <c r="E480" i="40" a="1"/>
  <c r="E480" i="40" s="1"/>
  <c r="A480" i="40"/>
  <c r="E479" i="40" a="1"/>
  <c r="E479" i="40" s="1"/>
  <c r="A479" i="40"/>
  <c r="E478" i="40" a="1"/>
  <c r="E478" i="40" s="1"/>
  <c r="A478" i="40"/>
  <c r="E477" i="40" a="1"/>
  <c r="E477" i="40" s="1"/>
  <c r="A477" i="40"/>
  <c r="E476" i="40" a="1"/>
  <c r="E476" i="40" s="1"/>
  <c r="A476" i="40"/>
  <c r="E475" i="40" a="1"/>
  <c r="E475" i="40" s="1"/>
  <c r="A475" i="40"/>
  <c r="E474" i="40" a="1"/>
  <c r="E474" i="40" s="1"/>
  <c r="A474" i="40"/>
  <c r="E473" i="40" a="1"/>
  <c r="E473" i="40" s="1"/>
  <c r="A473" i="40"/>
  <c r="E472" i="40" a="1"/>
  <c r="E472" i="40" s="1"/>
  <c r="A472" i="40"/>
  <c r="E471" i="40" a="1"/>
  <c r="E471" i="40" s="1"/>
  <c r="A471" i="40"/>
  <c r="E470" i="40" a="1"/>
  <c r="E470" i="40" s="1"/>
  <c r="A470" i="40"/>
  <c r="E469" i="40" a="1"/>
  <c r="E469" i="40" s="1"/>
  <c r="A469" i="40"/>
  <c r="E468" i="40" a="1"/>
  <c r="E468" i="40" s="1"/>
  <c r="A468" i="40"/>
  <c r="E467" i="40" a="1"/>
  <c r="E467" i="40" s="1"/>
  <c r="A467" i="40"/>
  <c r="E466" i="40" a="1"/>
  <c r="E466" i="40" s="1"/>
  <c r="A466" i="40"/>
  <c r="E465" i="40" a="1"/>
  <c r="E465" i="40" s="1"/>
  <c r="A465" i="40"/>
  <c r="E464" i="40" a="1"/>
  <c r="E464" i="40" s="1"/>
  <c r="A464" i="40"/>
  <c r="E463" i="40" a="1"/>
  <c r="E463" i="40" s="1"/>
  <c r="A463" i="40"/>
  <c r="E462" i="40" a="1"/>
  <c r="E462" i="40" s="1"/>
  <c r="A462" i="40"/>
  <c r="E461" i="40" a="1"/>
  <c r="E461" i="40" s="1"/>
  <c r="A461" i="40"/>
  <c r="E460" i="40" a="1"/>
  <c r="E460" i="40" s="1"/>
  <c r="A460" i="40"/>
  <c r="E459" i="40" a="1"/>
  <c r="E459" i="40" s="1"/>
  <c r="A459" i="40"/>
  <c r="E458" i="40" a="1"/>
  <c r="E458" i="40" s="1"/>
  <c r="A458" i="40"/>
  <c r="E457" i="40" a="1"/>
  <c r="E457" i="40" s="1"/>
  <c r="A457" i="40"/>
  <c r="E456" i="40" a="1"/>
  <c r="E456" i="40" s="1"/>
  <c r="A456" i="40"/>
  <c r="E455" i="40" a="1"/>
  <c r="E455" i="40" s="1"/>
  <c r="A455" i="40"/>
  <c r="E454" i="40" a="1"/>
  <c r="E454" i="40" s="1"/>
  <c r="A454" i="40"/>
  <c r="E453" i="40" a="1"/>
  <c r="E453" i="40" s="1"/>
  <c r="A453" i="40"/>
  <c r="E452" i="40" a="1"/>
  <c r="E452" i="40" s="1"/>
  <c r="A452" i="40"/>
  <c r="E451" i="40" a="1"/>
  <c r="E451" i="40" s="1"/>
  <c r="A451" i="40"/>
  <c r="E450" i="40" a="1"/>
  <c r="E450" i="40" s="1"/>
  <c r="A450" i="40"/>
  <c r="E449" i="40" a="1"/>
  <c r="E449" i="40" s="1"/>
  <c r="A449" i="40"/>
  <c r="E448" i="40" a="1"/>
  <c r="E448" i="40" s="1"/>
  <c r="A448" i="40"/>
  <c r="E447" i="40" a="1"/>
  <c r="E447" i="40" s="1"/>
  <c r="A447" i="40"/>
  <c r="E446" i="40" a="1"/>
  <c r="E446" i="40" s="1"/>
  <c r="A446" i="40"/>
  <c r="E445" i="40" a="1"/>
  <c r="E445" i="40" s="1"/>
  <c r="A445" i="40"/>
  <c r="E444" i="40" a="1"/>
  <c r="E444" i="40" s="1"/>
  <c r="A444" i="40"/>
  <c r="E443" i="40" a="1"/>
  <c r="E443" i="40" s="1"/>
  <c r="A443" i="40"/>
  <c r="E442" i="40" a="1"/>
  <c r="E442" i="40" s="1"/>
  <c r="A442" i="40"/>
  <c r="E441" i="40" a="1"/>
  <c r="E441" i="40" s="1"/>
  <c r="A441" i="40"/>
  <c r="E440" i="40" a="1"/>
  <c r="E440" i="40" s="1"/>
  <c r="A440" i="40"/>
  <c r="E439" i="40" a="1"/>
  <c r="E439" i="40" s="1"/>
  <c r="A439" i="40"/>
  <c r="E438" i="40" a="1"/>
  <c r="E438" i="40" s="1"/>
  <c r="A438" i="40"/>
  <c r="E437" i="40" a="1"/>
  <c r="E437" i="40" s="1"/>
  <c r="A437" i="40"/>
  <c r="E436" i="40" a="1"/>
  <c r="E436" i="40" s="1"/>
  <c r="A436" i="40"/>
  <c r="E435" i="40" a="1"/>
  <c r="E435" i="40" s="1"/>
  <c r="A435" i="40"/>
  <c r="E434" i="40" a="1"/>
  <c r="E434" i="40" s="1"/>
  <c r="A434" i="40"/>
  <c r="E433" i="40" a="1"/>
  <c r="E433" i="40" s="1"/>
  <c r="A433" i="40"/>
  <c r="E432" i="40" a="1"/>
  <c r="E432" i="40" s="1"/>
  <c r="A432" i="40"/>
  <c r="E431" i="40" a="1"/>
  <c r="E431" i="40" s="1"/>
  <c r="A431" i="40"/>
  <c r="E430" i="40" a="1"/>
  <c r="E430" i="40" s="1"/>
  <c r="A430" i="40"/>
  <c r="E429" i="40" a="1"/>
  <c r="E429" i="40" s="1"/>
  <c r="A429" i="40"/>
  <c r="E428" i="40" a="1"/>
  <c r="E428" i="40" s="1"/>
  <c r="A428" i="40"/>
  <c r="E427" i="40" a="1"/>
  <c r="E427" i="40" s="1"/>
  <c r="A427" i="40"/>
  <c r="E426" i="40" a="1"/>
  <c r="E426" i="40" s="1"/>
  <c r="A426" i="40"/>
  <c r="E425" i="40" a="1"/>
  <c r="E425" i="40" s="1"/>
  <c r="A425" i="40"/>
  <c r="E424" i="40" a="1"/>
  <c r="E424" i="40" s="1"/>
  <c r="A424" i="40"/>
  <c r="E423" i="40" a="1"/>
  <c r="E423" i="40" s="1"/>
  <c r="A423" i="40"/>
  <c r="E422" i="40" a="1"/>
  <c r="E422" i="40" s="1"/>
  <c r="A422" i="40"/>
  <c r="E421" i="40" a="1"/>
  <c r="E421" i="40" s="1"/>
  <c r="A421" i="40"/>
  <c r="E420" i="40" a="1"/>
  <c r="E420" i="40" s="1"/>
  <c r="A420" i="40"/>
  <c r="E419" i="40" a="1"/>
  <c r="E419" i="40" s="1"/>
  <c r="A419" i="40"/>
  <c r="E418" i="40" a="1"/>
  <c r="E418" i="40" s="1"/>
  <c r="A418" i="40"/>
  <c r="E417" i="40" a="1"/>
  <c r="E417" i="40" s="1"/>
  <c r="A417" i="40"/>
  <c r="E416" i="40" a="1"/>
  <c r="E416" i="40" s="1"/>
  <c r="A416" i="40"/>
  <c r="E415" i="40" a="1"/>
  <c r="E415" i="40" s="1"/>
  <c r="A415" i="40"/>
  <c r="E414" i="40" a="1"/>
  <c r="E414" i="40" s="1"/>
  <c r="A414" i="40"/>
  <c r="E413" i="40" a="1"/>
  <c r="E413" i="40" s="1"/>
  <c r="A413" i="40"/>
  <c r="E412" i="40" a="1"/>
  <c r="E412" i="40" s="1"/>
  <c r="A412" i="40"/>
  <c r="E411" i="40" a="1"/>
  <c r="E411" i="40" s="1"/>
  <c r="A411" i="40"/>
  <c r="E410" i="40" a="1"/>
  <c r="E410" i="40" s="1"/>
  <c r="A410" i="40"/>
  <c r="E409" i="40" a="1"/>
  <c r="E409" i="40" s="1"/>
  <c r="A409" i="40"/>
  <c r="E408" i="40" a="1"/>
  <c r="E408" i="40" s="1"/>
  <c r="A408" i="40"/>
  <c r="E407" i="40" a="1"/>
  <c r="E407" i="40" s="1"/>
  <c r="A407" i="40"/>
  <c r="E406" i="40" a="1"/>
  <c r="E406" i="40" s="1"/>
  <c r="A406" i="40"/>
  <c r="E405" i="40" a="1"/>
  <c r="E405" i="40" s="1"/>
  <c r="A405" i="40"/>
  <c r="E404" i="40" a="1"/>
  <c r="E404" i="40" s="1"/>
  <c r="A404" i="40"/>
  <c r="E403" i="40" a="1"/>
  <c r="E403" i="40" s="1"/>
  <c r="A403" i="40"/>
  <c r="E402" i="40" a="1"/>
  <c r="E402" i="40" s="1"/>
  <c r="A402" i="40"/>
  <c r="E401" i="40" a="1"/>
  <c r="E401" i="40" s="1"/>
  <c r="A401" i="40"/>
  <c r="E400" i="40" a="1"/>
  <c r="E400" i="40" s="1"/>
  <c r="A400" i="40"/>
  <c r="E399" i="40" a="1"/>
  <c r="E399" i="40" s="1"/>
  <c r="A399" i="40"/>
  <c r="E398" i="40" a="1"/>
  <c r="E398" i="40" s="1"/>
  <c r="A398" i="40"/>
  <c r="E397" i="40" a="1"/>
  <c r="E397" i="40" s="1"/>
  <c r="A397" i="40"/>
  <c r="E396" i="40" a="1"/>
  <c r="E396" i="40" s="1"/>
  <c r="A396" i="40"/>
  <c r="E395" i="40" a="1"/>
  <c r="E395" i="40" s="1"/>
  <c r="A395" i="40"/>
  <c r="E394" i="40" a="1"/>
  <c r="E394" i="40" s="1"/>
  <c r="A394" i="40"/>
  <c r="E393" i="40" a="1"/>
  <c r="E393" i="40" s="1"/>
  <c r="A393" i="40"/>
  <c r="E392" i="40" a="1"/>
  <c r="E392" i="40" s="1"/>
  <c r="A392" i="40"/>
  <c r="E391" i="40" a="1"/>
  <c r="E391" i="40" s="1"/>
  <c r="A391" i="40"/>
  <c r="E390" i="40" a="1"/>
  <c r="E390" i="40" s="1"/>
  <c r="A390" i="40"/>
  <c r="E389" i="40" a="1"/>
  <c r="E389" i="40" s="1"/>
  <c r="A389" i="40"/>
  <c r="E388" i="40" a="1"/>
  <c r="E388" i="40" s="1"/>
  <c r="A388" i="40"/>
  <c r="E387" i="40" a="1"/>
  <c r="E387" i="40" s="1"/>
  <c r="A387" i="40"/>
  <c r="E386" i="40" a="1"/>
  <c r="E386" i="40" s="1"/>
  <c r="A386" i="40"/>
  <c r="E385" i="40" a="1"/>
  <c r="E385" i="40" s="1"/>
  <c r="A385" i="40"/>
  <c r="E384" i="40" a="1"/>
  <c r="E384" i="40" s="1"/>
  <c r="A384" i="40"/>
  <c r="E383" i="40" a="1"/>
  <c r="E383" i="40" s="1"/>
  <c r="A383" i="40"/>
  <c r="E382" i="40" a="1"/>
  <c r="E382" i="40" s="1"/>
  <c r="A382" i="40"/>
  <c r="E381" i="40" a="1"/>
  <c r="E381" i="40" s="1"/>
  <c r="A381" i="40"/>
  <c r="E380" i="40" a="1"/>
  <c r="E380" i="40" s="1"/>
  <c r="A380" i="40"/>
  <c r="E379" i="40" a="1"/>
  <c r="E379" i="40" s="1"/>
  <c r="A379" i="40"/>
  <c r="E378" i="40" a="1"/>
  <c r="E378" i="40" s="1"/>
  <c r="A378" i="40"/>
  <c r="E377" i="40" a="1"/>
  <c r="E377" i="40" s="1"/>
  <c r="A377" i="40"/>
  <c r="E376" i="40" a="1"/>
  <c r="E376" i="40" s="1"/>
  <c r="A376" i="40"/>
  <c r="E375" i="40" a="1"/>
  <c r="E375" i="40" s="1"/>
  <c r="A375" i="40"/>
  <c r="E374" i="40" a="1"/>
  <c r="E374" i="40" s="1"/>
  <c r="A374" i="40"/>
  <c r="E373" i="40" a="1"/>
  <c r="E373" i="40" s="1"/>
  <c r="A373" i="40"/>
  <c r="E372" i="40" a="1"/>
  <c r="E372" i="40" s="1"/>
  <c r="A372" i="40"/>
  <c r="E371" i="40" a="1"/>
  <c r="E371" i="40" s="1"/>
  <c r="A371" i="40"/>
  <c r="E370" i="40" a="1"/>
  <c r="E370" i="40" s="1"/>
  <c r="A370" i="40"/>
  <c r="E369" i="40" a="1"/>
  <c r="E369" i="40" s="1"/>
  <c r="A369" i="40"/>
  <c r="E368" i="40" a="1"/>
  <c r="E368" i="40" s="1"/>
  <c r="A368" i="40"/>
  <c r="E367" i="40" a="1"/>
  <c r="E367" i="40" s="1"/>
  <c r="A367" i="40"/>
  <c r="E366" i="40" a="1"/>
  <c r="E366" i="40" s="1"/>
  <c r="A366" i="40"/>
  <c r="E365" i="40" a="1"/>
  <c r="E365" i="40" s="1"/>
  <c r="A365" i="40"/>
  <c r="E364" i="40" a="1"/>
  <c r="E364" i="40" s="1"/>
  <c r="A364" i="40"/>
  <c r="E363" i="40" a="1"/>
  <c r="E363" i="40" s="1"/>
  <c r="A363" i="40"/>
  <c r="E362" i="40" a="1"/>
  <c r="E362" i="40" s="1"/>
  <c r="A362" i="40"/>
  <c r="E361" i="40" a="1"/>
  <c r="E361" i="40" s="1"/>
  <c r="A361" i="40"/>
  <c r="E360" i="40" a="1"/>
  <c r="E360" i="40" s="1"/>
  <c r="A360" i="40"/>
  <c r="E359" i="40" a="1"/>
  <c r="E359" i="40" s="1"/>
  <c r="A359" i="40"/>
  <c r="E358" i="40" a="1"/>
  <c r="E358" i="40" s="1"/>
  <c r="A358" i="40"/>
  <c r="E357" i="40" a="1"/>
  <c r="E357" i="40" s="1"/>
  <c r="A357" i="40"/>
  <c r="E356" i="40" a="1"/>
  <c r="E356" i="40" s="1"/>
  <c r="A356" i="40"/>
  <c r="E355" i="40" a="1"/>
  <c r="E355" i="40" s="1"/>
  <c r="A355" i="40"/>
  <c r="E354" i="40" a="1"/>
  <c r="E354" i="40" s="1"/>
  <c r="A354" i="40"/>
  <c r="E353" i="40" a="1"/>
  <c r="E353" i="40" s="1"/>
  <c r="A353" i="40"/>
  <c r="E352" i="40" a="1"/>
  <c r="E352" i="40" s="1"/>
  <c r="A352" i="40"/>
  <c r="E351" i="40" a="1"/>
  <c r="E351" i="40" s="1"/>
  <c r="A351" i="40"/>
  <c r="E350" i="40" a="1"/>
  <c r="E350" i="40" s="1"/>
  <c r="A350" i="40"/>
  <c r="E349" i="40" a="1"/>
  <c r="E349" i="40" s="1"/>
  <c r="A349" i="40"/>
  <c r="E348" i="40" a="1"/>
  <c r="E348" i="40" s="1"/>
  <c r="A348" i="40"/>
  <c r="E347" i="40" a="1"/>
  <c r="E347" i="40" s="1"/>
  <c r="A347" i="40"/>
  <c r="E346" i="40" a="1"/>
  <c r="E346" i="40" s="1"/>
  <c r="A346" i="40"/>
  <c r="E345" i="40" a="1"/>
  <c r="E345" i="40" s="1"/>
  <c r="A345" i="40"/>
  <c r="E344" i="40" a="1"/>
  <c r="E344" i="40" s="1"/>
  <c r="A344" i="40"/>
  <c r="E343" i="40" a="1"/>
  <c r="E343" i="40" s="1"/>
  <c r="A343" i="40"/>
  <c r="E342" i="40" a="1"/>
  <c r="E342" i="40" s="1"/>
  <c r="A342" i="40"/>
  <c r="E341" i="40" a="1"/>
  <c r="E341" i="40" s="1"/>
  <c r="A341" i="40"/>
  <c r="E340" i="40" a="1"/>
  <c r="E340" i="40" s="1"/>
  <c r="A340" i="40"/>
  <c r="E339" i="40" a="1"/>
  <c r="E339" i="40" s="1"/>
  <c r="A339" i="40"/>
  <c r="E338" i="40" a="1"/>
  <c r="E338" i="40" s="1"/>
  <c r="A338" i="40"/>
  <c r="E337" i="40" a="1"/>
  <c r="E337" i="40" s="1"/>
  <c r="A337" i="40"/>
  <c r="E336" i="40" a="1"/>
  <c r="E336" i="40" s="1"/>
  <c r="A336" i="40"/>
  <c r="E335" i="40" a="1"/>
  <c r="E335" i="40" s="1"/>
  <c r="A335" i="40"/>
  <c r="E334" i="40" a="1"/>
  <c r="E334" i="40" s="1"/>
  <c r="A334" i="40"/>
  <c r="E333" i="40" a="1"/>
  <c r="E333" i="40" s="1"/>
  <c r="A333" i="40"/>
  <c r="E332" i="40" a="1"/>
  <c r="E332" i="40" s="1"/>
  <c r="A332" i="40"/>
  <c r="E331" i="40" a="1"/>
  <c r="E331" i="40" s="1"/>
  <c r="A331" i="40"/>
  <c r="E330" i="40" a="1"/>
  <c r="E330" i="40" s="1"/>
  <c r="A330" i="40"/>
  <c r="E329" i="40" a="1"/>
  <c r="E329" i="40" s="1"/>
  <c r="A329" i="40"/>
  <c r="E328" i="40" a="1"/>
  <c r="E328" i="40" s="1"/>
  <c r="A328" i="40"/>
  <c r="E327" i="40" a="1"/>
  <c r="E327" i="40" s="1"/>
  <c r="A327" i="40"/>
  <c r="E326" i="40" a="1"/>
  <c r="E326" i="40" s="1"/>
  <c r="A326" i="40"/>
  <c r="E325" i="40" a="1"/>
  <c r="E325" i="40" s="1"/>
  <c r="A325" i="40"/>
  <c r="E324" i="40" a="1"/>
  <c r="E324" i="40" s="1"/>
  <c r="A324" i="40"/>
  <c r="E323" i="40" a="1"/>
  <c r="E323" i="40" s="1"/>
  <c r="A323" i="40"/>
  <c r="E322" i="40" a="1"/>
  <c r="E322" i="40" s="1"/>
  <c r="A322" i="40"/>
  <c r="E321" i="40" a="1"/>
  <c r="E321" i="40" s="1"/>
  <c r="A321" i="40"/>
  <c r="E320" i="40" a="1"/>
  <c r="E320" i="40" s="1"/>
  <c r="A320" i="40"/>
  <c r="E319" i="40" a="1"/>
  <c r="E319" i="40" s="1"/>
  <c r="A319" i="40"/>
  <c r="E318" i="40" a="1"/>
  <c r="E318" i="40" s="1"/>
  <c r="A318" i="40"/>
  <c r="E317" i="40" a="1"/>
  <c r="E317" i="40" s="1"/>
  <c r="A317" i="40"/>
  <c r="E316" i="40" a="1"/>
  <c r="E316" i="40" s="1"/>
  <c r="A316" i="40"/>
  <c r="E315" i="40" a="1"/>
  <c r="E315" i="40" s="1"/>
  <c r="A315" i="40"/>
  <c r="E314" i="40" a="1"/>
  <c r="E314" i="40" s="1"/>
  <c r="A314" i="40"/>
  <c r="E313" i="40" a="1"/>
  <c r="E313" i="40" s="1"/>
  <c r="A313" i="40"/>
  <c r="E312" i="40" a="1"/>
  <c r="E312" i="40" s="1"/>
  <c r="A312" i="40"/>
  <c r="E311" i="40" a="1"/>
  <c r="E311" i="40" s="1"/>
  <c r="A311" i="40"/>
  <c r="E310" i="40" a="1"/>
  <c r="E310" i="40" s="1"/>
  <c r="A310" i="40"/>
  <c r="E309" i="40" a="1"/>
  <c r="E309" i="40" s="1"/>
  <c r="A309" i="40"/>
  <c r="E308" i="40" a="1"/>
  <c r="E308" i="40" s="1"/>
  <c r="A308" i="40"/>
  <c r="E307" i="40" a="1"/>
  <c r="E307" i="40" s="1"/>
  <c r="A307" i="40"/>
  <c r="E306" i="40" a="1"/>
  <c r="E306" i="40" s="1"/>
  <c r="A306" i="40"/>
  <c r="E305" i="40" a="1"/>
  <c r="E305" i="40" s="1"/>
  <c r="A305" i="40"/>
  <c r="E304" i="40" a="1"/>
  <c r="E304" i="40" s="1"/>
  <c r="A304" i="40"/>
  <c r="E303" i="40" a="1"/>
  <c r="E303" i="40" s="1"/>
  <c r="A303" i="40"/>
  <c r="E302" i="40" a="1"/>
  <c r="E302" i="40" s="1"/>
  <c r="A302" i="40"/>
  <c r="E301" i="40" a="1"/>
  <c r="E301" i="40" s="1"/>
  <c r="A301" i="40"/>
  <c r="E300" i="40" a="1"/>
  <c r="E300" i="40" s="1"/>
  <c r="A300" i="40"/>
  <c r="E299" i="40" a="1"/>
  <c r="E299" i="40" s="1"/>
  <c r="A299" i="40"/>
  <c r="E298" i="40" a="1"/>
  <c r="E298" i="40" s="1"/>
  <c r="A298" i="40"/>
  <c r="E297" i="40" a="1"/>
  <c r="E297" i="40" s="1"/>
  <c r="A297" i="40"/>
  <c r="E296" i="40" a="1"/>
  <c r="E296" i="40" s="1"/>
  <c r="A296" i="40"/>
  <c r="E295" i="40" a="1"/>
  <c r="E295" i="40" s="1"/>
  <c r="A295" i="40"/>
  <c r="E294" i="40" a="1"/>
  <c r="E294" i="40" s="1"/>
  <c r="A294" i="40"/>
  <c r="E293" i="40" a="1"/>
  <c r="E293" i="40" s="1"/>
  <c r="A293" i="40"/>
  <c r="E292" i="40" a="1"/>
  <c r="E292" i="40" s="1"/>
  <c r="A292" i="40"/>
  <c r="E291" i="40" a="1"/>
  <c r="E291" i="40" s="1"/>
  <c r="A291" i="40"/>
  <c r="E290" i="40" a="1"/>
  <c r="E290" i="40" s="1"/>
  <c r="A290" i="40"/>
  <c r="E289" i="40" a="1"/>
  <c r="E289" i="40" s="1"/>
  <c r="A289" i="40"/>
  <c r="E288" i="40" a="1"/>
  <c r="E288" i="40" s="1"/>
  <c r="A288" i="40"/>
  <c r="E287" i="40" a="1"/>
  <c r="E287" i="40" s="1"/>
  <c r="A287" i="40"/>
  <c r="E286" i="40" a="1"/>
  <c r="E286" i="40" s="1"/>
  <c r="A286" i="40"/>
  <c r="E285" i="40" a="1"/>
  <c r="E285" i="40" s="1"/>
  <c r="A285" i="40"/>
  <c r="E284" i="40" a="1"/>
  <c r="E284" i="40" s="1"/>
  <c r="A284" i="40"/>
  <c r="E283" i="40" a="1"/>
  <c r="E283" i="40" s="1"/>
  <c r="A283" i="40"/>
  <c r="E282" i="40" a="1"/>
  <c r="E282" i="40" s="1"/>
  <c r="A282" i="40"/>
  <c r="E281" i="40" a="1"/>
  <c r="E281" i="40" s="1"/>
  <c r="A281" i="40"/>
  <c r="E280" i="40" a="1"/>
  <c r="E280" i="40" s="1"/>
  <c r="A280" i="40"/>
  <c r="E279" i="40" a="1"/>
  <c r="E279" i="40" s="1"/>
  <c r="A279" i="40"/>
  <c r="E278" i="40" a="1"/>
  <c r="E278" i="40" s="1"/>
  <c r="A278" i="40"/>
  <c r="E277" i="40" a="1"/>
  <c r="E277" i="40" s="1"/>
  <c r="A277" i="40"/>
  <c r="E276" i="40" a="1"/>
  <c r="E276" i="40" s="1"/>
  <c r="A276" i="40"/>
  <c r="E275" i="40" a="1"/>
  <c r="E275" i="40" s="1"/>
  <c r="A275" i="40"/>
  <c r="E274" i="40" a="1"/>
  <c r="E274" i="40" s="1"/>
  <c r="A274" i="40"/>
  <c r="E273" i="40" a="1"/>
  <c r="E273" i="40" s="1"/>
  <c r="A273" i="40"/>
  <c r="E272" i="40" a="1"/>
  <c r="E272" i="40" s="1"/>
  <c r="A272" i="40"/>
  <c r="E271" i="40" a="1"/>
  <c r="E271" i="40" s="1"/>
  <c r="A271" i="40"/>
  <c r="E270" i="40" a="1"/>
  <c r="E270" i="40" s="1"/>
  <c r="A270" i="40"/>
  <c r="E269" i="40" a="1"/>
  <c r="E269" i="40" s="1"/>
  <c r="A269" i="40"/>
  <c r="E268" i="40" a="1"/>
  <c r="E268" i="40" s="1"/>
  <c r="A268" i="40"/>
  <c r="E267" i="40" a="1"/>
  <c r="E267" i="40" s="1"/>
  <c r="A267" i="40"/>
  <c r="E266" i="40" a="1"/>
  <c r="E266" i="40" s="1"/>
  <c r="A266" i="40"/>
  <c r="E265" i="40" a="1"/>
  <c r="E265" i="40" s="1"/>
  <c r="A265" i="40"/>
  <c r="E264" i="40" a="1"/>
  <c r="E264" i="40" s="1"/>
  <c r="A264" i="40"/>
  <c r="E263" i="40" a="1"/>
  <c r="E263" i="40" s="1"/>
  <c r="A263" i="40"/>
  <c r="E262" i="40" a="1"/>
  <c r="E262" i="40" s="1"/>
  <c r="A262" i="40"/>
  <c r="E261" i="40" a="1"/>
  <c r="E261" i="40" s="1"/>
  <c r="A261" i="40"/>
  <c r="E260" i="40" a="1"/>
  <c r="E260" i="40" s="1"/>
  <c r="A260" i="40"/>
  <c r="E259" i="40" a="1"/>
  <c r="E259" i="40" s="1"/>
  <c r="A259" i="40"/>
  <c r="E258" i="40" a="1"/>
  <c r="E258" i="40" s="1"/>
  <c r="A258" i="40"/>
  <c r="E257" i="40" a="1"/>
  <c r="E257" i="40" s="1"/>
  <c r="A257" i="40"/>
  <c r="E256" i="40" a="1"/>
  <c r="E256" i="40" s="1"/>
  <c r="A256" i="40"/>
  <c r="E255" i="40" a="1"/>
  <c r="E255" i="40" s="1"/>
  <c r="A255" i="40"/>
  <c r="E254" i="40" a="1"/>
  <c r="E254" i="40" s="1"/>
  <c r="A254" i="40"/>
  <c r="E253" i="40" a="1"/>
  <c r="E253" i="40" s="1"/>
  <c r="A253" i="40"/>
  <c r="E252" i="40" a="1"/>
  <c r="E252" i="40" s="1"/>
  <c r="A252" i="40"/>
  <c r="E251" i="40" a="1"/>
  <c r="E251" i="40" s="1"/>
  <c r="A251" i="40"/>
  <c r="E250" i="40" a="1"/>
  <c r="E250" i="40" s="1"/>
  <c r="A250" i="40"/>
  <c r="E249" i="40" a="1"/>
  <c r="E249" i="40" s="1"/>
  <c r="A249" i="40"/>
  <c r="E248" i="40" a="1"/>
  <c r="E248" i="40" s="1"/>
  <c r="A248" i="40"/>
  <c r="E247" i="40" a="1"/>
  <c r="E247" i="40" s="1"/>
  <c r="A247" i="40"/>
  <c r="E246" i="40" a="1"/>
  <c r="E246" i="40" s="1"/>
  <c r="A246" i="40"/>
  <c r="E245" i="40" a="1"/>
  <c r="E245" i="40" s="1"/>
  <c r="A245" i="40"/>
  <c r="E244" i="40" a="1"/>
  <c r="E244" i="40" s="1"/>
  <c r="A244" i="40"/>
  <c r="E243" i="40" a="1"/>
  <c r="E243" i="40" s="1"/>
  <c r="A243" i="40"/>
  <c r="E242" i="40" a="1"/>
  <c r="E242" i="40" s="1"/>
  <c r="A242" i="40"/>
  <c r="E241" i="40" a="1"/>
  <c r="E241" i="40" s="1"/>
  <c r="A241" i="40"/>
  <c r="E240" i="40" a="1"/>
  <c r="E240" i="40" s="1"/>
  <c r="A240" i="40"/>
  <c r="E239" i="40" a="1"/>
  <c r="E239" i="40" s="1"/>
  <c r="A239" i="40"/>
  <c r="E238" i="40" a="1"/>
  <c r="E238" i="40" s="1"/>
  <c r="A238" i="40"/>
  <c r="E237" i="40" a="1"/>
  <c r="E237" i="40" s="1"/>
  <c r="A237" i="40"/>
  <c r="E236" i="40" a="1"/>
  <c r="E236" i="40" s="1"/>
  <c r="A236" i="40"/>
  <c r="E235" i="40" a="1"/>
  <c r="E235" i="40" s="1"/>
  <c r="A235" i="40"/>
  <c r="E234" i="40" a="1"/>
  <c r="E234" i="40" s="1"/>
  <c r="A234" i="40"/>
  <c r="E233" i="40" a="1"/>
  <c r="E233" i="40" s="1"/>
  <c r="A233" i="40"/>
  <c r="E232" i="40" a="1"/>
  <c r="E232" i="40" s="1"/>
  <c r="A232" i="40"/>
  <c r="E231" i="40" a="1"/>
  <c r="E231" i="40" s="1"/>
  <c r="A231" i="40"/>
  <c r="E230" i="40" a="1"/>
  <c r="E230" i="40" s="1"/>
  <c r="A230" i="40"/>
  <c r="E229" i="40" a="1"/>
  <c r="E229" i="40" s="1"/>
  <c r="A229" i="40"/>
  <c r="E228" i="40" a="1"/>
  <c r="E228" i="40" s="1"/>
  <c r="A228" i="40"/>
  <c r="E227" i="40" a="1"/>
  <c r="E227" i="40" s="1"/>
  <c r="A227" i="40"/>
  <c r="E226" i="40" a="1"/>
  <c r="E226" i="40" s="1"/>
  <c r="A226" i="40"/>
  <c r="E225" i="40" a="1"/>
  <c r="E225" i="40" s="1"/>
  <c r="A225" i="40"/>
  <c r="E224" i="40" a="1"/>
  <c r="E224" i="40" s="1"/>
  <c r="A224" i="40"/>
  <c r="E223" i="40" a="1"/>
  <c r="E223" i="40" s="1"/>
  <c r="A223" i="40"/>
  <c r="E222" i="40" a="1"/>
  <c r="E222" i="40" s="1"/>
  <c r="A222" i="40"/>
  <c r="E221" i="40" a="1"/>
  <c r="E221" i="40" s="1"/>
  <c r="A221" i="40"/>
  <c r="E220" i="40" a="1"/>
  <c r="E220" i="40" s="1"/>
  <c r="A220" i="40"/>
  <c r="E219" i="40" a="1"/>
  <c r="E219" i="40" s="1"/>
  <c r="A219" i="40"/>
  <c r="E218" i="40" a="1"/>
  <c r="E218" i="40" s="1"/>
  <c r="A218" i="40"/>
  <c r="E217" i="40" a="1"/>
  <c r="E217" i="40" s="1"/>
  <c r="A217" i="40"/>
  <c r="E216" i="40" a="1"/>
  <c r="E216" i="40" s="1"/>
  <c r="A216" i="40"/>
  <c r="E215" i="40" a="1"/>
  <c r="E215" i="40" s="1"/>
  <c r="A215" i="40"/>
  <c r="E214" i="40" a="1"/>
  <c r="E214" i="40" s="1"/>
  <c r="A214" i="40"/>
  <c r="E213" i="40" a="1"/>
  <c r="E213" i="40" s="1"/>
  <c r="A213" i="40"/>
  <c r="E212" i="40" a="1"/>
  <c r="E212" i="40" s="1"/>
  <c r="A212" i="40"/>
  <c r="E211" i="40" a="1"/>
  <c r="E211" i="40" s="1"/>
  <c r="A211" i="40"/>
  <c r="E210" i="40" a="1"/>
  <c r="E210" i="40" s="1"/>
  <c r="A210" i="40"/>
  <c r="E209" i="40" a="1"/>
  <c r="E209" i="40" s="1"/>
  <c r="A209" i="40"/>
  <c r="E208" i="40" a="1"/>
  <c r="E208" i="40" s="1"/>
  <c r="A208" i="40"/>
  <c r="E207" i="40" a="1"/>
  <c r="E207" i="40" s="1"/>
  <c r="A207" i="40"/>
  <c r="E206" i="40" a="1"/>
  <c r="E206" i="40" s="1"/>
  <c r="A206" i="40"/>
  <c r="E205" i="40" a="1"/>
  <c r="E205" i="40" s="1"/>
  <c r="A205" i="40"/>
  <c r="E204" i="40" a="1"/>
  <c r="E204" i="40" s="1"/>
  <c r="A204" i="40"/>
  <c r="E203" i="40" a="1"/>
  <c r="E203" i="40" s="1"/>
  <c r="A203" i="40"/>
  <c r="E202" i="40" a="1"/>
  <c r="E202" i="40" s="1"/>
  <c r="A202" i="40"/>
  <c r="E201" i="40" a="1"/>
  <c r="E201" i="40" s="1"/>
  <c r="A201" i="40"/>
  <c r="E200" i="40" a="1"/>
  <c r="E200" i="40" s="1"/>
  <c r="A200" i="40"/>
  <c r="E199" i="40" a="1"/>
  <c r="E199" i="40" s="1"/>
  <c r="A199" i="40"/>
  <c r="E198" i="40" a="1"/>
  <c r="E198" i="40" s="1"/>
  <c r="A198" i="40"/>
  <c r="E197" i="40" a="1"/>
  <c r="E197" i="40" s="1"/>
  <c r="A197" i="40"/>
  <c r="E196" i="40" a="1"/>
  <c r="E196" i="40" s="1"/>
  <c r="A196" i="40"/>
  <c r="E195" i="40" a="1"/>
  <c r="E195" i="40" s="1"/>
  <c r="A195" i="40"/>
  <c r="E194" i="40" a="1"/>
  <c r="E194" i="40" s="1"/>
  <c r="A194" i="40"/>
  <c r="E193" i="40" a="1"/>
  <c r="E193" i="40" s="1"/>
  <c r="A193" i="40"/>
  <c r="E192" i="40" a="1"/>
  <c r="E192" i="40" s="1"/>
  <c r="A192" i="40"/>
  <c r="E191" i="40" a="1"/>
  <c r="E191" i="40" s="1"/>
  <c r="A191" i="40"/>
  <c r="E190" i="40" a="1"/>
  <c r="E190" i="40" s="1"/>
  <c r="A190" i="40"/>
  <c r="E189" i="40" a="1"/>
  <c r="E189" i="40" s="1"/>
  <c r="A189" i="40"/>
  <c r="E188" i="40" a="1"/>
  <c r="E188" i="40" s="1"/>
  <c r="A188" i="40"/>
  <c r="E187" i="40" a="1"/>
  <c r="E187" i="40" s="1"/>
  <c r="A187" i="40"/>
  <c r="E186" i="40" a="1"/>
  <c r="E186" i="40" s="1"/>
  <c r="A186" i="40"/>
  <c r="E185" i="40" a="1"/>
  <c r="E185" i="40" s="1"/>
  <c r="A185" i="40"/>
  <c r="E184" i="40" a="1"/>
  <c r="E184" i="40" s="1"/>
  <c r="A184" i="40"/>
  <c r="E183" i="40" a="1"/>
  <c r="E183" i="40" s="1"/>
  <c r="A183" i="40"/>
  <c r="E182" i="40" a="1"/>
  <c r="E182" i="40" s="1"/>
  <c r="A182" i="40"/>
  <c r="E181" i="40" a="1"/>
  <c r="E181" i="40" s="1"/>
  <c r="A181" i="40"/>
  <c r="E180" i="40" a="1"/>
  <c r="E180" i="40" s="1"/>
  <c r="A180" i="40"/>
  <c r="E179" i="40" a="1"/>
  <c r="E179" i="40" s="1"/>
  <c r="A179" i="40"/>
  <c r="E178" i="40" a="1"/>
  <c r="E178" i="40" s="1"/>
  <c r="A178" i="40"/>
  <c r="E177" i="40" a="1"/>
  <c r="E177" i="40" s="1"/>
  <c r="A177" i="40"/>
  <c r="E176" i="40" a="1"/>
  <c r="E176" i="40" s="1"/>
  <c r="A176" i="40"/>
  <c r="E175" i="40" a="1"/>
  <c r="E175" i="40" s="1"/>
  <c r="A175" i="40"/>
  <c r="E174" i="40" a="1"/>
  <c r="E174" i="40" s="1"/>
  <c r="A174" i="40"/>
  <c r="E173" i="40" a="1"/>
  <c r="E173" i="40" s="1"/>
  <c r="A173" i="40"/>
  <c r="E172" i="40" a="1"/>
  <c r="E172" i="40" s="1"/>
  <c r="A172" i="40"/>
  <c r="E171" i="40" a="1"/>
  <c r="E171" i="40" s="1"/>
  <c r="A171" i="40"/>
  <c r="E170" i="40" a="1"/>
  <c r="E170" i="40" s="1"/>
  <c r="A170" i="40"/>
  <c r="E169" i="40" a="1"/>
  <c r="E169" i="40" s="1"/>
  <c r="A169" i="40"/>
  <c r="E168" i="40" a="1"/>
  <c r="E168" i="40" s="1"/>
  <c r="A168" i="40"/>
  <c r="E167" i="40" a="1"/>
  <c r="E167" i="40" s="1"/>
  <c r="A167" i="40"/>
  <c r="E166" i="40" a="1"/>
  <c r="E166" i="40" s="1"/>
  <c r="A166" i="40"/>
  <c r="E165" i="40" a="1"/>
  <c r="E165" i="40" s="1"/>
  <c r="A165" i="40"/>
  <c r="E164" i="40" a="1"/>
  <c r="E164" i="40" s="1"/>
  <c r="A164" i="40"/>
  <c r="E163" i="40" a="1"/>
  <c r="E163" i="40" s="1"/>
  <c r="A163" i="40"/>
  <c r="E162" i="40" a="1"/>
  <c r="E162" i="40" s="1"/>
  <c r="A162" i="40"/>
  <c r="E161" i="40" a="1"/>
  <c r="E161" i="40" s="1"/>
  <c r="A161" i="40"/>
  <c r="E160" i="40" a="1"/>
  <c r="E160" i="40" s="1"/>
  <c r="A160" i="40"/>
  <c r="E159" i="40" a="1"/>
  <c r="E159" i="40" s="1"/>
  <c r="A159" i="40"/>
  <c r="E158" i="40" a="1"/>
  <c r="E158" i="40" s="1"/>
  <c r="A158" i="40"/>
  <c r="E157" i="40" a="1"/>
  <c r="E157" i="40" s="1"/>
  <c r="A157" i="40"/>
  <c r="E156" i="40" a="1"/>
  <c r="E156" i="40" s="1"/>
  <c r="A156" i="40"/>
  <c r="E155" i="40" a="1"/>
  <c r="E155" i="40" s="1"/>
  <c r="A155" i="40"/>
  <c r="E154" i="40" a="1"/>
  <c r="E154" i="40" s="1"/>
  <c r="A154" i="40"/>
  <c r="E153" i="40" a="1"/>
  <c r="E153" i="40" s="1"/>
  <c r="A153" i="40"/>
  <c r="E152" i="40" a="1"/>
  <c r="E152" i="40" s="1"/>
  <c r="A152" i="40"/>
  <c r="E151" i="40" a="1"/>
  <c r="E151" i="40" s="1"/>
  <c r="A151" i="40"/>
  <c r="E150" i="40" a="1"/>
  <c r="E150" i="40" s="1"/>
  <c r="A150" i="40"/>
  <c r="E149" i="40" a="1"/>
  <c r="E149" i="40" s="1"/>
  <c r="A149" i="40"/>
  <c r="E148" i="40" a="1"/>
  <c r="E148" i="40" s="1"/>
  <c r="A148" i="40"/>
  <c r="E147" i="40" a="1"/>
  <c r="E147" i="40" s="1"/>
  <c r="A147" i="40"/>
  <c r="E146" i="40" a="1"/>
  <c r="E146" i="40" s="1"/>
  <c r="A146" i="40"/>
  <c r="E145" i="40" a="1"/>
  <c r="E145" i="40" s="1"/>
  <c r="A145" i="40"/>
  <c r="E144" i="40" a="1"/>
  <c r="E144" i="40" s="1"/>
  <c r="A144" i="40"/>
  <c r="E143" i="40" a="1"/>
  <c r="E143" i="40" s="1"/>
  <c r="A143" i="40"/>
  <c r="E142" i="40" a="1"/>
  <c r="E142" i="40" s="1"/>
  <c r="A142" i="40"/>
  <c r="E141" i="40" a="1"/>
  <c r="E141" i="40" s="1"/>
  <c r="A141" i="40"/>
  <c r="E140" i="40" a="1"/>
  <c r="E140" i="40" s="1"/>
  <c r="A140" i="40"/>
  <c r="E139" i="40" a="1"/>
  <c r="E139" i="40" s="1"/>
  <c r="A139" i="40"/>
  <c r="E138" i="40" a="1"/>
  <c r="E138" i="40" s="1"/>
  <c r="A138" i="40"/>
  <c r="E137" i="40" a="1"/>
  <c r="E137" i="40" s="1"/>
  <c r="A137" i="40"/>
  <c r="E136" i="40" a="1"/>
  <c r="E136" i="40" s="1"/>
  <c r="A136" i="40"/>
  <c r="E135" i="40" a="1"/>
  <c r="E135" i="40" s="1"/>
  <c r="A135" i="40"/>
  <c r="E134" i="40" a="1"/>
  <c r="E134" i="40" s="1"/>
  <c r="A134" i="40"/>
  <c r="E133" i="40" a="1"/>
  <c r="E133" i="40" s="1"/>
  <c r="A133" i="40"/>
  <c r="E132" i="40" a="1"/>
  <c r="E132" i="40" s="1"/>
  <c r="A132" i="40"/>
  <c r="E131" i="40" a="1"/>
  <c r="E131" i="40" s="1"/>
  <c r="A131" i="40"/>
  <c r="E130" i="40" a="1"/>
  <c r="E130" i="40" s="1"/>
  <c r="A130" i="40"/>
  <c r="E129" i="40" a="1"/>
  <c r="E129" i="40" s="1"/>
  <c r="A129" i="40"/>
  <c r="E128" i="40" a="1"/>
  <c r="E128" i="40" s="1"/>
  <c r="A128" i="40"/>
  <c r="E127" i="40" a="1"/>
  <c r="E127" i="40" s="1"/>
  <c r="A127" i="40"/>
  <c r="E126" i="40" a="1"/>
  <c r="E126" i="40" s="1"/>
  <c r="A126" i="40"/>
  <c r="E125" i="40" a="1"/>
  <c r="E125" i="40" s="1"/>
  <c r="A125" i="40"/>
  <c r="E124" i="40" a="1"/>
  <c r="E124" i="40" s="1"/>
  <c r="A124" i="40"/>
  <c r="E123" i="40" a="1"/>
  <c r="E123" i="40" s="1"/>
  <c r="A123" i="40"/>
  <c r="E122" i="40" a="1"/>
  <c r="E122" i="40" s="1"/>
  <c r="A122" i="40"/>
  <c r="E121" i="40" a="1"/>
  <c r="E121" i="40" s="1"/>
  <c r="A121" i="40"/>
  <c r="E120" i="40" a="1"/>
  <c r="E120" i="40" s="1"/>
  <c r="A120" i="40"/>
  <c r="E119" i="40" a="1"/>
  <c r="E119" i="40" s="1"/>
  <c r="A119" i="40"/>
  <c r="E118" i="40" a="1"/>
  <c r="E118" i="40" s="1"/>
  <c r="A118" i="40"/>
  <c r="E117" i="40" a="1"/>
  <c r="E117" i="40" s="1"/>
  <c r="A117" i="40"/>
  <c r="E116" i="40" a="1"/>
  <c r="E116" i="40" s="1"/>
  <c r="A116" i="40"/>
  <c r="E115" i="40" a="1"/>
  <c r="E115" i="40" s="1"/>
  <c r="A115" i="40"/>
  <c r="E114" i="40" a="1"/>
  <c r="E114" i="40" s="1"/>
  <c r="A114" i="40"/>
  <c r="E113" i="40" a="1"/>
  <c r="E113" i="40" s="1"/>
  <c r="A113" i="40"/>
  <c r="E112" i="40" a="1"/>
  <c r="E112" i="40" s="1"/>
  <c r="A112" i="40"/>
  <c r="E111" i="40" a="1"/>
  <c r="E111" i="40" s="1"/>
  <c r="A111" i="40"/>
  <c r="E110" i="40" a="1"/>
  <c r="E110" i="40" s="1"/>
  <c r="A110" i="40"/>
  <c r="E109" i="40" a="1"/>
  <c r="E109" i="40" s="1"/>
  <c r="A109" i="40"/>
  <c r="E108" i="40" a="1"/>
  <c r="E108" i="40" s="1"/>
  <c r="A108" i="40"/>
  <c r="E107" i="40" a="1"/>
  <c r="E107" i="40" s="1"/>
  <c r="A107" i="40"/>
  <c r="E106" i="40" a="1"/>
  <c r="E106" i="40" s="1"/>
  <c r="A106" i="40"/>
  <c r="E105" i="40" a="1"/>
  <c r="E105" i="40" s="1"/>
  <c r="A105" i="40"/>
  <c r="E104" i="40" a="1"/>
  <c r="E104" i="40" s="1"/>
  <c r="A104" i="40"/>
  <c r="E103" i="40" a="1"/>
  <c r="E103" i="40" s="1"/>
  <c r="A103" i="40"/>
  <c r="E102" i="40" a="1"/>
  <c r="E102" i="40" s="1"/>
  <c r="A102" i="40"/>
  <c r="E101" i="40" a="1"/>
  <c r="E101" i="40" s="1"/>
  <c r="A101" i="40"/>
  <c r="E100" i="40" a="1"/>
  <c r="E100" i="40" s="1"/>
  <c r="A100" i="40"/>
  <c r="E99" i="40" a="1"/>
  <c r="E99" i="40" s="1"/>
  <c r="A99" i="40"/>
  <c r="E98" i="40" a="1"/>
  <c r="E98" i="40" s="1"/>
  <c r="A98" i="40"/>
  <c r="E97" i="40" a="1"/>
  <c r="E97" i="40" s="1"/>
  <c r="A97" i="40"/>
  <c r="E96" i="40" a="1"/>
  <c r="E96" i="40" s="1"/>
  <c r="A96" i="40"/>
  <c r="E95" i="40" a="1"/>
  <c r="E95" i="40" s="1"/>
  <c r="A95" i="40"/>
  <c r="E94" i="40" a="1"/>
  <c r="E94" i="40" s="1"/>
  <c r="A94" i="40"/>
  <c r="E93" i="40" a="1"/>
  <c r="E93" i="40" s="1"/>
  <c r="A93" i="40"/>
  <c r="E92" i="40" a="1"/>
  <c r="E92" i="40" s="1"/>
  <c r="A92" i="40"/>
  <c r="E91" i="40" a="1"/>
  <c r="E91" i="40" s="1"/>
  <c r="A91" i="40"/>
  <c r="E90" i="40" a="1"/>
  <c r="E90" i="40" s="1"/>
  <c r="A90" i="40"/>
  <c r="E89" i="40" a="1"/>
  <c r="E89" i="40" s="1"/>
  <c r="A89" i="40"/>
  <c r="E88" i="40" a="1"/>
  <c r="E88" i="40" s="1"/>
  <c r="A88" i="40"/>
  <c r="E87" i="40" a="1"/>
  <c r="E87" i="40" s="1"/>
  <c r="A87" i="40"/>
  <c r="E86" i="40" a="1"/>
  <c r="E86" i="40" s="1"/>
  <c r="A86" i="40"/>
  <c r="E85" i="40" a="1"/>
  <c r="E85" i="40" s="1"/>
  <c r="A85" i="40"/>
  <c r="E84" i="40" a="1"/>
  <c r="E84" i="40" s="1"/>
  <c r="A84" i="40"/>
  <c r="E83" i="40" a="1"/>
  <c r="E83" i="40" s="1"/>
  <c r="A83" i="40"/>
  <c r="E82" i="40" a="1"/>
  <c r="E82" i="40" s="1"/>
  <c r="A82" i="40"/>
  <c r="E81" i="40" a="1"/>
  <c r="E81" i="40" s="1"/>
  <c r="A81" i="40"/>
  <c r="E80" i="40" a="1"/>
  <c r="E80" i="40" s="1"/>
  <c r="A80" i="40"/>
  <c r="E79" i="40" a="1"/>
  <c r="E79" i="40" s="1"/>
  <c r="A79" i="40"/>
  <c r="E78" i="40" a="1"/>
  <c r="E78" i="40" s="1"/>
  <c r="A78" i="40"/>
  <c r="E77" i="40" a="1"/>
  <c r="E77" i="40" s="1"/>
  <c r="A77" i="40"/>
  <c r="E76" i="40" a="1"/>
  <c r="E76" i="40" s="1"/>
  <c r="A76" i="40"/>
  <c r="E75" i="40" a="1"/>
  <c r="E75" i="40" s="1"/>
  <c r="A75" i="40"/>
  <c r="E74" i="40" a="1"/>
  <c r="E74" i="40" s="1"/>
  <c r="A74" i="40"/>
  <c r="E73" i="40" a="1"/>
  <c r="E73" i="40" s="1"/>
  <c r="A73" i="40"/>
  <c r="E72" i="40" a="1"/>
  <c r="E72" i="40" s="1"/>
  <c r="A72" i="40"/>
  <c r="E71" i="40" a="1"/>
  <c r="E71" i="40" s="1"/>
  <c r="A71" i="40"/>
  <c r="E70" i="40" a="1"/>
  <c r="E70" i="40" s="1"/>
  <c r="A70" i="40"/>
  <c r="E69" i="40" a="1"/>
  <c r="E69" i="40" s="1"/>
  <c r="A69" i="40"/>
  <c r="E68" i="40" a="1"/>
  <c r="E68" i="40" s="1"/>
  <c r="A68" i="40"/>
  <c r="E67" i="40" a="1"/>
  <c r="E67" i="40" s="1"/>
  <c r="A67" i="40"/>
  <c r="E66" i="40" a="1"/>
  <c r="E66" i="40" s="1"/>
  <c r="A66" i="40"/>
  <c r="E65" i="40" a="1"/>
  <c r="E65" i="40" s="1"/>
  <c r="A65" i="40"/>
  <c r="E64" i="40" a="1"/>
  <c r="E64" i="40" s="1"/>
  <c r="A64" i="40"/>
  <c r="E63" i="40" a="1"/>
  <c r="E63" i="40" s="1"/>
  <c r="A63" i="40"/>
  <c r="E62" i="40" a="1"/>
  <c r="E62" i="40" s="1"/>
  <c r="A62" i="40"/>
  <c r="E61" i="40" a="1"/>
  <c r="E61" i="40" s="1"/>
  <c r="A61" i="40"/>
  <c r="E60" i="40" a="1"/>
  <c r="E60" i="40" s="1"/>
  <c r="A60" i="40"/>
  <c r="E59" i="40" a="1"/>
  <c r="E59" i="40" s="1"/>
  <c r="A59" i="40"/>
  <c r="E58" i="40" a="1"/>
  <c r="E58" i="40" s="1"/>
  <c r="A58" i="40"/>
  <c r="E57" i="40" a="1"/>
  <c r="E57" i="40" s="1"/>
  <c r="A57" i="40"/>
  <c r="E56" i="40" a="1"/>
  <c r="E56" i="40" s="1"/>
  <c r="A56" i="40"/>
  <c r="E55" i="40" a="1"/>
  <c r="E55" i="40" s="1"/>
  <c r="A55" i="40"/>
  <c r="E54" i="40" a="1"/>
  <c r="E54" i="40" s="1"/>
  <c r="A54" i="40"/>
  <c r="E53" i="40" a="1"/>
  <c r="E53" i="40" s="1"/>
  <c r="A53" i="40"/>
  <c r="E52" i="40" a="1"/>
  <c r="E52" i="40" s="1"/>
  <c r="A52" i="40"/>
  <c r="E51" i="40" a="1"/>
  <c r="E51" i="40" s="1"/>
  <c r="A51" i="40"/>
  <c r="E50" i="40" a="1"/>
  <c r="E50" i="40" s="1"/>
  <c r="A50" i="40"/>
  <c r="E49" i="40" a="1"/>
  <c r="E49" i="40" s="1"/>
  <c r="A49" i="40"/>
  <c r="E48" i="40" a="1"/>
  <c r="E48" i="40" s="1"/>
  <c r="A48" i="40"/>
  <c r="E47" i="40" a="1"/>
  <c r="E47" i="40" s="1"/>
  <c r="A47" i="40"/>
  <c r="E46" i="40" a="1"/>
  <c r="E46" i="40" s="1"/>
  <c r="A46" i="40"/>
  <c r="E45" i="40" a="1"/>
  <c r="E45" i="40" s="1"/>
  <c r="A45" i="40"/>
  <c r="E44" i="40" a="1"/>
  <c r="E44" i="40" s="1"/>
  <c r="A44" i="40"/>
  <c r="E43" i="40" a="1"/>
  <c r="E43" i="40" s="1"/>
  <c r="A43" i="40"/>
  <c r="E42" i="40" a="1"/>
  <c r="E42" i="40" s="1"/>
  <c r="A42" i="40"/>
  <c r="E41" i="40" a="1"/>
  <c r="E41" i="40" s="1"/>
  <c r="A41" i="40"/>
  <c r="E40" i="40" a="1"/>
  <c r="E40" i="40" s="1"/>
  <c r="A40" i="40"/>
  <c r="E39" i="40" a="1"/>
  <c r="E39" i="40" s="1"/>
  <c r="A39" i="40"/>
  <c r="E38" i="40" a="1"/>
  <c r="E38" i="40" s="1"/>
  <c r="A38" i="40"/>
  <c r="E37" i="40" a="1"/>
  <c r="E37" i="40" s="1"/>
  <c r="A37" i="40"/>
  <c r="E36" i="40" a="1"/>
  <c r="E36" i="40" s="1"/>
  <c r="A36" i="40"/>
  <c r="E35" i="40" a="1"/>
  <c r="E35" i="40" s="1"/>
  <c r="A35" i="40"/>
  <c r="E34" i="40" a="1"/>
  <c r="E34" i="40" s="1"/>
  <c r="A34" i="40"/>
  <c r="E33" i="40" a="1"/>
  <c r="E33" i="40" s="1"/>
  <c r="A33" i="40"/>
  <c r="E32" i="40" a="1"/>
  <c r="E32" i="40" s="1"/>
  <c r="A32" i="40"/>
  <c r="E31" i="40" a="1"/>
  <c r="E31" i="40" s="1"/>
  <c r="A31" i="40"/>
  <c r="E30" i="40" a="1"/>
  <c r="E30" i="40" s="1"/>
  <c r="A30" i="40"/>
  <c r="E29" i="40" a="1"/>
  <c r="E29" i="40" s="1"/>
  <c r="A29" i="40"/>
  <c r="E28" i="40" a="1"/>
  <c r="E28" i="40" s="1"/>
  <c r="A28" i="40"/>
  <c r="E27" i="40" a="1"/>
  <c r="E27" i="40" s="1"/>
  <c r="A27" i="40"/>
  <c r="E26" i="40" a="1"/>
  <c r="E26" i="40" s="1"/>
  <c r="A26" i="40"/>
  <c r="E25" i="40" a="1"/>
  <c r="E25" i="40" s="1"/>
  <c r="A25" i="40"/>
  <c r="E24" i="40" a="1"/>
  <c r="E24" i="40" s="1"/>
  <c r="A24" i="40"/>
  <c r="E23" i="40" a="1"/>
  <c r="E23" i="40" s="1"/>
  <c r="A23" i="40"/>
  <c r="E22" i="40" a="1"/>
  <c r="E22" i="40" s="1"/>
  <c r="A22" i="40"/>
  <c r="E21" i="40" a="1"/>
  <c r="E21" i="40" s="1"/>
  <c r="A21" i="40"/>
  <c r="E20" i="40" a="1"/>
  <c r="E20" i="40" s="1"/>
  <c r="A20" i="40"/>
  <c r="E19" i="40" a="1"/>
  <c r="E19" i="40" s="1"/>
  <c r="A19" i="40"/>
  <c r="E18" i="40" a="1"/>
  <c r="E18" i="40" s="1"/>
  <c r="A18" i="40"/>
  <c r="E17" i="40" a="1"/>
  <c r="E17" i="40" s="1"/>
  <c r="A17" i="40"/>
  <c r="E16" i="40" a="1"/>
  <c r="E16" i="40" s="1"/>
  <c r="A16" i="40"/>
  <c r="E15" i="40" a="1"/>
  <c r="E15" i="40" s="1"/>
  <c r="A15" i="40"/>
  <c r="E14" i="40" a="1"/>
  <c r="E14" i="40" s="1"/>
  <c r="A14" i="40"/>
  <c r="E13" i="40" a="1"/>
  <c r="E13" i="40" s="1"/>
  <c r="A13" i="40"/>
  <c r="E12" i="40" a="1"/>
  <c r="E12" i="40" s="1"/>
  <c r="A12" i="40"/>
  <c r="E11" i="40" a="1"/>
  <c r="E11" i="40" s="1"/>
  <c r="A11" i="40"/>
  <c r="E10" i="40" a="1"/>
  <c r="E10" i="40" s="1"/>
  <c r="A10" i="40"/>
  <c r="E9" i="40" a="1"/>
  <c r="E9" i="40" s="1"/>
  <c r="A9" i="40"/>
  <c r="E8" i="40" a="1"/>
  <c r="E8" i="40" s="1"/>
  <c r="A8" i="40"/>
  <c r="E7" i="40" a="1"/>
  <c r="E7" i="40" s="1"/>
  <c r="A7" i="40"/>
  <c r="E6" i="40" a="1"/>
  <c r="E6" i="40" s="1"/>
  <c r="A6" i="40"/>
  <c r="A5" i="40"/>
  <c r="D151" i="37" a="1"/>
  <c r="D151" i="37" s="1"/>
  <c r="D199" i="37" a="1"/>
  <c r="D199" i="37" s="1"/>
  <c r="D198" i="37" a="1"/>
  <c r="D198" i="37" s="1"/>
  <c r="D197" i="37" a="1"/>
  <c r="D197" i="37" s="1"/>
  <c r="D196" i="37" a="1"/>
  <c r="D196" i="37" s="1"/>
  <c r="D195" i="37" a="1"/>
  <c r="D195" i="37" s="1"/>
  <c r="D194" i="37" a="1"/>
  <c r="D194" i="37" s="1"/>
  <c r="D193" i="37" a="1"/>
  <c r="D193" i="37" s="1"/>
  <c r="D192" i="37" a="1"/>
  <c r="D192" i="37" s="1"/>
  <c r="D191" i="37" a="1"/>
  <c r="D191" i="37" s="1"/>
  <c r="D190" i="37" a="1"/>
  <c r="D190" i="37" s="1"/>
  <c r="D189" i="37" a="1"/>
  <c r="D189" i="37" s="1"/>
  <c r="D188" i="37" a="1"/>
  <c r="D188" i="37" s="1"/>
  <c r="D187" i="37" a="1"/>
  <c r="D187" i="37" s="1"/>
  <c r="D186" i="37" a="1"/>
  <c r="D186" i="37" s="1"/>
  <c r="D185" i="37" a="1"/>
  <c r="D185" i="37" s="1"/>
  <c r="D184" i="37" a="1"/>
  <c r="D184" i="37" s="1"/>
  <c r="D183" i="37" a="1"/>
  <c r="D183" i="37" s="1"/>
  <c r="D181" i="37" a="1"/>
  <c r="D181" i="37" s="1"/>
  <c r="D180" i="37" a="1"/>
  <c r="D180" i="37" s="1"/>
  <c r="D178" i="37" a="1"/>
  <c r="D178" i="37" s="1"/>
  <c r="D177" i="37" a="1"/>
  <c r="D177" i="37" s="1"/>
  <c r="D176" i="37" a="1"/>
  <c r="D176" i="37" s="1"/>
  <c r="D175" i="37" a="1"/>
  <c r="D175" i="37" s="1"/>
  <c r="D174" i="37" a="1"/>
  <c r="D174" i="37" s="1"/>
  <c r="D173" i="37" a="1"/>
  <c r="D173" i="37" s="1"/>
  <c r="D172" i="37" a="1"/>
  <c r="D172" i="37" s="1"/>
  <c r="D171" i="37" a="1"/>
  <c r="D171" i="37" s="1"/>
  <c r="D170" i="37" a="1"/>
  <c r="D170" i="37" s="1"/>
  <c r="D166" i="37" a="1"/>
  <c r="D166" i="37" s="1"/>
  <c r="D167" i="37" a="1"/>
  <c r="D167" i="37" s="1"/>
  <c r="D165" i="37" a="1"/>
  <c r="D165" i="37" s="1"/>
  <c r="D164" i="37" a="1"/>
  <c r="D164" i="37" s="1"/>
  <c r="D163" i="37" a="1"/>
  <c r="D163" i="37" s="1"/>
  <c r="D162" i="37" a="1"/>
  <c r="D162" i="37" s="1"/>
  <c r="D161" i="37" a="1"/>
  <c r="D161" i="37" s="1"/>
  <c r="D160" i="37" a="1"/>
  <c r="D160" i="37" s="1"/>
  <c r="D169" i="37" a="1"/>
  <c r="D169" i="37" s="1"/>
  <c r="D168" i="37" a="1"/>
  <c r="D168" i="37" s="1"/>
  <c r="D159" i="37" a="1"/>
  <c r="D159" i="37" s="1"/>
  <c r="D158" i="37" a="1"/>
  <c r="D158" i="37" s="1"/>
  <c r="D157" i="37" a="1"/>
  <c r="D157" i="37" s="1"/>
  <c r="D156" i="37" a="1"/>
  <c r="D156" i="37" s="1"/>
  <c r="D155" i="37" a="1"/>
  <c r="D155" i="37" s="1"/>
  <c r="D154" i="37" a="1"/>
  <c r="D154" i="37" s="1"/>
  <c r="D153" i="37" a="1"/>
  <c r="D153" i="37" s="1"/>
  <c r="D152" i="37" a="1"/>
  <c r="D152" i="37" s="1"/>
  <c r="D150" i="37" a="1"/>
  <c r="D150" i="37" s="1"/>
  <c r="D149" i="37" a="1"/>
  <c r="D149" i="37" s="1"/>
  <c r="D148" i="37" a="1"/>
  <c r="D148" i="37" s="1"/>
  <c r="D147" i="37" a="1"/>
  <c r="D147" i="37" s="1"/>
  <c r="D146" i="37" a="1"/>
  <c r="D146" i="37" s="1"/>
  <c r="D145" i="37" a="1"/>
  <c r="D145" i="37" s="1"/>
  <c r="D144" i="37" a="1"/>
  <c r="D144" i="37" s="1"/>
  <c r="D143" i="37" a="1"/>
  <c r="D143" i="37" s="1"/>
  <c r="D141" i="37" a="1"/>
  <c r="D141" i="37" s="1"/>
  <c r="D140" i="37" a="1"/>
  <c r="D140" i="37" s="1"/>
  <c r="D68" i="37" a="1"/>
  <c r="D68" i="37" s="1"/>
  <c r="A68" i="37"/>
  <c r="D67" i="37" a="1"/>
  <c r="D67" i="37" s="1"/>
  <c r="A67" i="37"/>
  <c r="D66" i="37" a="1"/>
  <c r="D66" i="37" s="1"/>
  <c r="A66" i="37"/>
  <c r="D65" i="37" a="1"/>
  <c r="D65" i="37" s="1"/>
  <c r="A65" i="37"/>
  <c r="D64" i="37" a="1"/>
  <c r="D64" i="37" s="1"/>
  <c r="A64" i="37"/>
  <c r="D63" i="37" a="1"/>
  <c r="D63" i="37" s="1"/>
  <c r="A63" i="37"/>
  <c r="D62" i="37" a="1"/>
  <c r="D62" i="37" s="1"/>
  <c r="A62" i="37"/>
  <c r="D61" i="37" a="1"/>
  <c r="D61" i="37" s="1"/>
  <c r="A61" i="37"/>
  <c r="D60" i="37" a="1"/>
  <c r="D60" i="37" s="1"/>
  <c r="A60" i="37"/>
  <c r="D59" i="37" a="1"/>
  <c r="D59" i="37" s="1"/>
  <c r="A59" i="37"/>
  <c r="D58" i="37" a="1"/>
  <c r="D58" i="37" s="1"/>
  <c r="A58" i="37"/>
  <c r="D57" i="37" a="1"/>
  <c r="D57" i="37" s="1"/>
  <c r="A57" i="37"/>
  <c r="D56" i="37" a="1"/>
  <c r="D56" i="37" s="1"/>
  <c r="A56" i="37"/>
  <c r="D55" i="37" a="1"/>
  <c r="D55" i="37" s="1"/>
  <c r="A55" i="37"/>
  <c r="D54" i="37" a="1"/>
  <c r="D54" i="37" s="1"/>
  <c r="A54" i="37"/>
  <c r="D53" i="37" a="1"/>
  <c r="D53" i="37" s="1"/>
  <c r="A53" i="37"/>
  <c r="D52" i="37" a="1"/>
  <c r="D52" i="37" s="1"/>
  <c r="A52" i="37"/>
  <c r="D50" i="37" a="1"/>
  <c r="D50" i="37" s="1"/>
  <c r="A50" i="37"/>
  <c r="D49" i="37" a="1"/>
  <c r="D49" i="37" s="1"/>
  <c r="A49" i="37"/>
  <c r="D47" i="37" a="1"/>
  <c r="D47" i="37" s="1"/>
  <c r="A47" i="37"/>
  <c r="D46" i="37" a="1"/>
  <c r="D46" i="37" s="1"/>
  <c r="A46" i="37"/>
  <c r="D45" i="37" a="1"/>
  <c r="D45" i="37" s="1"/>
  <c r="A45" i="37"/>
  <c r="D44" i="37" a="1"/>
  <c r="D44" i="37" s="1"/>
  <c r="A44" i="37"/>
  <c r="D43" i="37" a="1"/>
  <c r="D43" i="37" s="1"/>
  <c r="A43" i="37"/>
  <c r="D42" i="37" a="1"/>
  <c r="D42" i="37" s="1"/>
  <c r="A42" i="37"/>
  <c r="D41" i="37" a="1"/>
  <c r="D41" i="37" s="1"/>
  <c r="A41" i="37"/>
  <c r="D40" i="37" a="1"/>
  <c r="D40" i="37" s="1"/>
  <c r="A40" i="37"/>
  <c r="D39" i="37" a="1"/>
  <c r="D39" i="37" s="1"/>
  <c r="A39" i="37"/>
  <c r="D35" i="37" a="1"/>
  <c r="D35" i="37" s="1"/>
  <c r="A35" i="37"/>
  <c r="D36" i="37" a="1"/>
  <c r="D36" i="37" s="1"/>
  <c r="A36" i="37"/>
  <c r="D34" i="37" a="1"/>
  <c r="D34" i="37" s="1"/>
  <c r="A34" i="37"/>
  <c r="D33" i="37" a="1"/>
  <c r="D33" i="37" s="1"/>
  <c r="A33" i="37"/>
  <c r="D31" i="37" a="1"/>
  <c r="D31" i="37" s="1"/>
  <c r="A31" i="37"/>
  <c r="D32" i="37" a="1"/>
  <c r="D32" i="37" s="1"/>
  <c r="A32" i="37"/>
  <c r="D30" i="37" a="1"/>
  <c r="D30" i="37" s="1"/>
  <c r="A30" i="37"/>
  <c r="D29" i="37" a="1"/>
  <c r="D29" i="37" s="1"/>
  <c r="A29" i="37"/>
  <c r="D38" i="37" a="1"/>
  <c r="D38" i="37" s="1"/>
  <c r="A38" i="37"/>
  <c r="D37" i="37" a="1"/>
  <c r="D37" i="37" s="1"/>
  <c r="A37" i="37"/>
  <c r="D28" i="37" a="1"/>
  <c r="D28" i="37" s="1"/>
  <c r="A28" i="37"/>
  <c r="D27" i="37" a="1"/>
  <c r="D27" i="37" s="1"/>
  <c r="A27" i="37"/>
  <c r="D26" i="37" a="1"/>
  <c r="D26" i="37" s="1"/>
  <c r="A26" i="37"/>
  <c r="D25" i="37" a="1"/>
  <c r="D25" i="37" s="1"/>
  <c r="A25" i="37"/>
  <c r="D24" i="37" a="1"/>
  <c r="D24" i="37" s="1"/>
  <c r="A24" i="37"/>
  <c r="D23" i="37" a="1"/>
  <c r="D23" i="37" s="1"/>
  <c r="A23" i="37"/>
  <c r="D22" i="37" a="1"/>
  <c r="D22" i="37" s="1"/>
  <c r="A22" i="37"/>
  <c r="D21" i="37" a="1"/>
  <c r="D21" i="37" s="1"/>
  <c r="A21" i="37"/>
  <c r="D20" i="37" a="1"/>
  <c r="D20" i="37" s="1"/>
  <c r="A20" i="37"/>
  <c r="D19" i="37" a="1"/>
  <c r="D19" i="37" s="1"/>
  <c r="A19" i="37"/>
  <c r="D18" i="37" a="1"/>
  <c r="D18" i="37" s="1"/>
  <c r="A18" i="37"/>
  <c r="D17" i="37" a="1"/>
  <c r="D17" i="37" s="1"/>
  <c r="D16" i="37" a="1"/>
  <c r="D16" i="37" s="1"/>
  <c r="A16" i="37"/>
  <c r="D15" i="37" a="1"/>
  <c r="D15" i="37" s="1"/>
  <c r="A15" i="37"/>
  <c r="D14" i="37" a="1"/>
  <c r="D14" i="37" s="1"/>
  <c r="A14" i="37"/>
  <c r="D13" i="37" a="1"/>
  <c r="D13" i="37" s="1"/>
  <c r="A13" i="37"/>
  <c r="D12" i="37" a="1"/>
  <c r="D12" i="37" s="1"/>
  <c r="A12" i="37"/>
  <c r="D11" i="37" a="1"/>
  <c r="D11" i="37" s="1"/>
  <c r="A11" i="37"/>
  <c r="D9" i="37" a="1"/>
  <c r="D9" i="37" s="1"/>
  <c r="A9" i="37"/>
  <c r="D8" i="37" a="1"/>
  <c r="D8" i="37" s="1"/>
  <c r="A8" i="37"/>
  <c r="D7" i="37" a="1"/>
  <c r="D7" i="37" s="1"/>
  <c r="A7" i="37"/>
  <c r="D6" i="37" a="1"/>
  <c r="D6" i="37" s="1"/>
  <c r="A6" i="37"/>
  <c r="D10" i="37" a="1"/>
  <c r="D10" i="37" s="1"/>
  <c r="A10" i="37"/>
  <c r="D5" i="37" a="1"/>
  <c r="D5" i="37" s="1"/>
  <c r="A5" i="37"/>
  <c r="D37" i="33"/>
  <c r="A37" i="33"/>
  <c r="D36" i="33"/>
  <c r="A36" i="33"/>
  <c r="D35" i="33"/>
  <c r="A35" i="33"/>
  <c r="A34" i="33"/>
  <c r="D33" i="33"/>
  <c r="A33" i="33"/>
  <c r="D32" i="33"/>
  <c r="A32" i="33"/>
  <c r="A31" i="33"/>
  <c r="A30" i="33"/>
  <c r="A29" i="33"/>
  <c r="A28" i="33"/>
  <c r="D27" i="33"/>
  <c r="A27" i="33"/>
  <c r="D26" i="33"/>
  <c r="A26" i="33"/>
  <c r="D25" i="33"/>
  <c r="A25" i="33"/>
  <c r="D24" i="33"/>
  <c r="A24" i="33"/>
  <c r="A23" i="33"/>
  <c r="A22" i="33"/>
  <c r="D21" i="33"/>
  <c r="A21" i="33"/>
  <c r="D20" i="33"/>
  <c r="A20" i="33"/>
  <c r="D19" i="33"/>
  <c r="A19" i="33"/>
  <c r="D18" i="33"/>
  <c r="A18" i="33"/>
  <c r="D17" i="33"/>
  <c r="A17" i="33"/>
  <c r="D16" i="33"/>
  <c r="A16" i="33"/>
  <c r="D15" i="33"/>
  <c r="A15" i="33"/>
  <c r="D14" i="33"/>
  <c r="A14" i="33"/>
  <c r="A13" i="33"/>
  <c r="D12" i="33"/>
  <c r="A12" i="33"/>
  <c r="D11" i="33"/>
  <c r="A11" i="33"/>
  <c r="D10" i="33"/>
  <c r="A10" i="33"/>
  <c r="A9" i="33"/>
  <c r="A8" i="33"/>
  <c r="A7" i="33"/>
  <c r="D6" i="33"/>
  <c r="A6" i="33"/>
  <c r="W67" i="8"/>
  <c r="V67" i="8"/>
  <c r="E67" i="8" a="1"/>
  <c r="E67" i="8" s="1"/>
  <c r="W66" i="8"/>
  <c r="V66" i="8"/>
  <c r="E66" i="8" a="1"/>
  <c r="E66" i="8" s="1"/>
  <c r="W65" i="8"/>
  <c r="E65" i="8" a="1"/>
  <c r="E65" i="8" s="1"/>
  <c r="A65" i="8"/>
  <c r="W64" i="8"/>
  <c r="V64" i="8"/>
  <c r="E64" i="8" a="1"/>
  <c r="E64" i="8" s="1"/>
  <c r="A64" i="8"/>
  <c r="V63" i="8"/>
  <c r="A63" i="8"/>
  <c r="W62" i="8"/>
  <c r="E62" i="8" a="1"/>
  <c r="E62" i="8" s="1"/>
  <c r="A62" i="8"/>
  <c r="W61" i="8"/>
  <c r="E61" i="8" a="1"/>
  <c r="E61" i="8" s="1"/>
  <c r="A61" i="8"/>
  <c r="W60" i="8"/>
  <c r="E60" i="8" a="1"/>
  <c r="E60" i="8" s="1"/>
  <c r="A60" i="8"/>
  <c r="W59" i="8"/>
  <c r="E59" i="8" a="1"/>
  <c r="E59" i="8" s="1"/>
  <c r="A59" i="8"/>
  <c r="W58" i="8"/>
  <c r="E58" i="8" a="1"/>
  <c r="E58" i="8" s="1"/>
  <c r="A58" i="8"/>
  <c r="W57" i="8"/>
  <c r="E57" i="8" a="1"/>
  <c r="E57" i="8" s="1"/>
  <c r="A57" i="8"/>
  <c r="W56" i="8"/>
  <c r="V56" i="8"/>
  <c r="E56" i="8" a="1"/>
  <c r="E56" i="8" s="1"/>
  <c r="A56" i="8"/>
  <c r="W33" i="8"/>
  <c r="V33" i="8"/>
  <c r="E33" i="8" a="1"/>
  <c r="E33" i="8" s="1"/>
  <c r="A33" i="8"/>
  <c r="W54" i="8"/>
  <c r="V54" i="8"/>
  <c r="E54" i="8" a="1"/>
  <c r="E54" i="8" s="1"/>
  <c r="A54" i="8"/>
  <c r="W53" i="8"/>
  <c r="V53" i="8"/>
  <c r="E53" i="8" a="1"/>
  <c r="E53" i="8" s="1"/>
  <c r="A53" i="8"/>
  <c r="W52" i="8"/>
  <c r="V52" i="8"/>
  <c r="E52" i="8" a="1"/>
  <c r="E52" i="8" s="1"/>
  <c r="A52" i="8"/>
  <c r="W51" i="8"/>
  <c r="V51" i="8"/>
  <c r="E51" i="8" a="1"/>
  <c r="E51" i="8" s="1"/>
  <c r="A51" i="8"/>
  <c r="W10" i="8"/>
  <c r="V10" i="8"/>
  <c r="E10" i="8" a="1"/>
  <c r="E10" i="8" s="1"/>
  <c r="A10" i="8"/>
  <c r="W49" i="8"/>
  <c r="E49" i="8" a="1"/>
  <c r="E49" i="8" s="1"/>
  <c r="A49" i="8"/>
  <c r="W48" i="8"/>
  <c r="V48" i="8"/>
  <c r="E48" i="8" a="1"/>
  <c r="E48" i="8" s="1"/>
  <c r="A48" i="8"/>
  <c r="W47" i="8"/>
  <c r="V47" i="8"/>
  <c r="E47" i="8" a="1"/>
  <c r="E47" i="8" s="1"/>
  <c r="A47" i="8"/>
  <c r="W46" i="8"/>
  <c r="V46" i="8"/>
  <c r="E46" i="8" a="1"/>
  <c r="E46" i="8" s="1"/>
  <c r="A46" i="8"/>
  <c r="W45" i="8"/>
  <c r="V45" i="8"/>
  <c r="E45" i="8" a="1"/>
  <c r="E45" i="8" s="1"/>
  <c r="A45" i="8"/>
  <c r="W44" i="8"/>
  <c r="V44" i="8"/>
  <c r="E44" i="8" a="1"/>
  <c r="E44" i="8" s="1"/>
  <c r="A44" i="8"/>
  <c r="W43" i="8"/>
  <c r="V43" i="8"/>
  <c r="E43" i="8" a="1"/>
  <c r="E43" i="8" s="1"/>
  <c r="A43" i="8"/>
  <c r="W42" i="8"/>
  <c r="V42" i="8"/>
  <c r="E42" i="8" a="1"/>
  <c r="E42" i="8" s="1"/>
  <c r="A42" i="8"/>
  <c r="W41" i="8"/>
  <c r="E41" i="8" a="1"/>
  <c r="E41" i="8" s="1"/>
  <c r="A41" i="8"/>
  <c r="W40" i="8"/>
  <c r="V40" i="8"/>
  <c r="E40" i="8" a="1"/>
  <c r="E40" i="8" s="1"/>
  <c r="A40" i="8"/>
  <c r="W28" i="8"/>
  <c r="V28" i="8"/>
  <c r="E28" i="8" a="1"/>
  <c r="E28" i="8" s="1"/>
  <c r="A28" i="8"/>
  <c r="W38" i="8"/>
  <c r="V38" i="8"/>
  <c r="E38" i="8" a="1"/>
  <c r="E38" i="8" s="1"/>
  <c r="A38" i="8"/>
  <c r="W37" i="8"/>
  <c r="V37" i="8"/>
  <c r="E37" i="8" a="1"/>
  <c r="E37" i="8" s="1"/>
  <c r="A37" i="8"/>
  <c r="W36" i="8"/>
  <c r="V36" i="8"/>
  <c r="E36" i="8" a="1"/>
  <c r="E36" i="8" s="1"/>
  <c r="A36" i="8"/>
  <c r="W50" i="8"/>
  <c r="V50" i="8"/>
  <c r="E50" i="8" a="1"/>
  <c r="E50" i="8" s="1"/>
  <c r="A50" i="8"/>
  <c r="W34" i="8"/>
  <c r="V34" i="8"/>
  <c r="E34" i="8" a="1"/>
  <c r="E34" i="8" s="1"/>
  <c r="A34" i="8"/>
  <c r="W55" i="8"/>
  <c r="V55" i="8"/>
  <c r="E55" i="8" a="1"/>
  <c r="E55" i="8" s="1"/>
  <c r="A55" i="8"/>
  <c r="W32" i="8"/>
  <c r="V32" i="8"/>
  <c r="E32" i="8" a="1"/>
  <c r="E32" i="8" s="1"/>
  <c r="A32" i="8"/>
  <c r="W31" i="8"/>
  <c r="V31" i="8"/>
  <c r="E31" i="8" a="1"/>
  <c r="E31" i="8" s="1"/>
  <c r="A31" i="8"/>
  <c r="W25" i="8"/>
  <c r="V25" i="8"/>
  <c r="E25" i="8" a="1"/>
  <c r="E25" i="8" s="1"/>
  <c r="A25" i="8"/>
  <c r="W29" i="8"/>
  <c r="V29" i="8"/>
  <c r="E29" i="8" a="1"/>
  <c r="E29" i="8" s="1"/>
  <c r="A29" i="8"/>
  <c r="W35" i="8"/>
  <c r="V35" i="8"/>
  <c r="E35" i="8" a="1"/>
  <c r="E35" i="8" s="1"/>
  <c r="A35" i="8"/>
  <c r="W27" i="8"/>
  <c r="V27" i="8"/>
  <c r="E27" i="8" a="1"/>
  <c r="E27" i="8" s="1"/>
  <c r="A27" i="8"/>
  <c r="W26" i="8"/>
  <c r="V26" i="8"/>
  <c r="E26" i="8" a="1"/>
  <c r="E26" i="8" s="1"/>
  <c r="A26" i="8"/>
  <c r="W19" i="8"/>
  <c r="V19" i="8"/>
  <c r="E19" i="8" a="1"/>
  <c r="E19" i="8" s="1"/>
  <c r="A19" i="8"/>
  <c r="W24" i="8"/>
  <c r="V24" i="8"/>
  <c r="E24" i="8" a="1"/>
  <c r="E24" i="8" s="1"/>
  <c r="A24" i="8"/>
  <c r="W23" i="8"/>
  <c r="V23" i="8"/>
  <c r="E23" i="8" a="1"/>
  <c r="E23" i="8" s="1"/>
  <c r="A23" i="8"/>
  <c r="W22" i="8"/>
  <c r="V22" i="8"/>
  <c r="E22" i="8" a="1"/>
  <c r="E22" i="8" s="1"/>
  <c r="A22" i="8"/>
  <c r="W21" i="8"/>
  <c r="V21" i="8"/>
  <c r="E21" i="8" a="1"/>
  <c r="E21" i="8" s="1"/>
  <c r="A21" i="8"/>
  <c r="W20" i="8"/>
  <c r="V20" i="8"/>
  <c r="E20" i="8" a="1"/>
  <c r="E20" i="8" s="1"/>
  <c r="A20" i="8"/>
  <c r="W39" i="8"/>
  <c r="V39" i="8"/>
  <c r="E39" i="8" a="1"/>
  <c r="E39" i="8" s="1"/>
  <c r="A39" i="8"/>
  <c r="W18" i="8"/>
  <c r="V18" i="8"/>
  <c r="E18" i="8" a="1"/>
  <c r="E18" i="8" s="1"/>
  <c r="A18" i="8"/>
  <c r="W17" i="8"/>
  <c r="V17" i="8"/>
  <c r="E17" i="8" a="1"/>
  <c r="E17" i="8" s="1"/>
  <c r="A17" i="8"/>
  <c r="W16" i="8"/>
  <c r="V16" i="8"/>
  <c r="E16" i="8" a="1"/>
  <c r="E16" i="8" s="1"/>
  <c r="A16" i="8"/>
  <c r="W15" i="8"/>
  <c r="V15" i="8"/>
  <c r="E15" i="8" a="1"/>
  <c r="E15" i="8" s="1"/>
  <c r="A15" i="8"/>
  <c r="W14" i="8"/>
  <c r="V14" i="8"/>
  <c r="E14" i="8" a="1"/>
  <c r="E14" i="8" s="1"/>
  <c r="A14" i="8"/>
  <c r="W13" i="8"/>
  <c r="V13" i="8"/>
  <c r="E13" i="8" a="1"/>
  <c r="E13" i="8" s="1"/>
  <c r="A13" i="8"/>
  <c r="W12" i="8"/>
  <c r="V12" i="8"/>
  <c r="E12" i="8" a="1"/>
  <c r="E12" i="8" s="1"/>
  <c r="A12" i="8"/>
  <c r="W11" i="8"/>
  <c r="V11" i="8"/>
  <c r="E11" i="8" a="1"/>
  <c r="E11" i="8" s="1"/>
  <c r="A11" i="8"/>
  <c r="W30" i="8"/>
  <c r="V30" i="8"/>
  <c r="E30" i="8" a="1"/>
  <c r="E30" i="8" s="1"/>
  <c r="A30" i="8"/>
  <c r="W9" i="8"/>
  <c r="V9" i="8"/>
  <c r="E9" i="8" a="1"/>
  <c r="E9" i="8" s="1"/>
  <c r="A9" i="8"/>
  <c r="W8" i="8"/>
  <c r="V8" i="8"/>
  <c r="E8" i="8" a="1"/>
  <c r="E8" i="8" s="1"/>
  <c r="A8" i="8"/>
  <c r="W7" i="8"/>
  <c r="V7" i="8"/>
  <c r="E7" i="8" a="1"/>
  <c r="E7" i="8" s="1"/>
  <c r="A7" i="8"/>
  <c r="W6" i="8"/>
  <c r="V6" i="8"/>
  <c r="A6" i="8"/>
  <c r="AI148" i="43"/>
  <c r="AH148" i="43"/>
  <c r="Z148" i="43"/>
  <c r="Y148" i="43"/>
  <c r="X148" i="43"/>
  <c r="L148" i="43"/>
  <c r="L147" i="43"/>
  <c r="Z146" i="43"/>
  <c r="Y146" i="43"/>
  <c r="X146" i="43"/>
  <c r="L146" i="43"/>
  <c r="AI145" i="43"/>
  <c r="AH145" i="43"/>
  <c r="L145" i="43"/>
  <c r="AI144" i="43"/>
  <c r="AH144" i="43"/>
  <c r="L144" i="43"/>
  <c r="Z143" i="43"/>
  <c r="Y143" i="43"/>
  <c r="X143" i="43"/>
  <c r="L143" i="43"/>
  <c r="Z142" i="43"/>
  <c r="Y142" i="43"/>
  <c r="X142" i="43"/>
  <c r="L142" i="43"/>
  <c r="Z141" i="43"/>
  <c r="Y141" i="43"/>
  <c r="X141" i="43"/>
  <c r="L141" i="43"/>
  <c r="Z140" i="43"/>
  <c r="Y140" i="43"/>
  <c r="X140" i="43"/>
  <c r="L140" i="43"/>
  <c r="Z139" i="43"/>
  <c r="Y139" i="43"/>
  <c r="X139" i="43"/>
  <c r="L139" i="43"/>
  <c r="Z138" i="43"/>
  <c r="Y138" i="43"/>
  <c r="X138" i="43"/>
  <c r="L138" i="43"/>
  <c r="Z137" i="43"/>
  <c r="Y137" i="43"/>
  <c r="X137" i="43"/>
  <c r="L137" i="43"/>
  <c r="Z136" i="43"/>
  <c r="Y136" i="43"/>
  <c r="X136" i="43"/>
  <c r="L136" i="43"/>
  <c r="Z135" i="43"/>
  <c r="Y135" i="43"/>
  <c r="X135" i="43"/>
  <c r="L135" i="43"/>
  <c r="AI134" i="43"/>
  <c r="AH134" i="43"/>
  <c r="L134" i="43"/>
  <c r="AI133" i="43"/>
  <c r="AH133" i="43"/>
  <c r="L133" i="43"/>
  <c r="L31" i="43"/>
  <c r="AI132" i="43"/>
  <c r="AH132" i="43"/>
  <c r="L132" i="43"/>
  <c r="AI131" i="43"/>
  <c r="AH131" i="43"/>
  <c r="L131" i="43"/>
  <c r="L30" i="43"/>
  <c r="AI130" i="43"/>
  <c r="AH130" i="43"/>
  <c r="L130" i="43"/>
  <c r="AI129" i="43"/>
  <c r="AH129" i="43"/>
  <c r="L129" i="43"/>
  <c r="L29" i="43"/>
  <c r="AI128" i="43"/>
  <c r="AH128" i="43"/>
  <c r="L128" i="43"/>
  <c r="Z127" i="43"/>
  <c r="Y127" i="43"/>
  <c r="X127" i="43"/>
  <c r="L127" i="43"/>
  <c r="AI126" i="43"/>
  <c r="AH126" i="43"/>
  <c r="L126" i="43"/>
  <c r="Z125" i="43"/>
  <c r="Y125" i="43"/>
  <c r="X125" i="43"/>
  <c r="L125" i="43"/>
  <c r="Z124" i="43"/>
  <c r="Y124" i="43"/>
  <c r="X124" i="43"/>
  <c r="L124" i="43"/>
  <c r="AI123" i="43"/>
  <c r="AH123" i="43"/>
  <c r="L123" i="43"/>
  <c r="AI122" i="43"/>
  <c r="AH122" i="43"/>
  <c r="L122" i="43"/>
  <c r="Z121" i="43"/>
  <c r="Y121" i="43"/>
  <c r="X121" i="43"/>
  <c r="L121" i="43"/>
  <c r="Z120" i="43"/>
  <c r="Y120" i="43"/>
  <c r="X120" i="43"/>
  <c r="L120" i="43"/>
  <c r="Z119" i="43"/>
  <c r="Y119" i="43"/>
  <c r="X119" i="43"/>
  <c r="L119" i="43"/>
  <c r="L28" i="43"/>
  <c r="AI118" i="43"/>
  <c r="AH118" i="43"/>
  <c r="L118" i="43"/>
  <c r="L27" i="43"/>
  <c r="AI117" i="43"/>
  <c r="AH117" i="43"/>
  <c r="L117" i="43"/>
  <c r="L26" i="43"/>
  <c r="AI116" i="43"/>
  <c r="AH116" i="43"/>
  <c r="L116" i="43"/>
  <c r="L25" i="43"/>
  <c r="L115" i="43"/>
  <c r="L24" i="43"/>
  <c r="L114" i="43"/>
  <c r="AI113" i="43"/>
  <c r="AH113" i="43"/>
  <c r="L113" i="43"/>
  <c r="AI112" i="43"/>
  <c r="AH112" i="43"/>
  <c r="L112" i="43"/>
  <c r="L111" i="43"/>
  <c r="L110" i="43"/>
  <c r="AI109" i="43"/>
  <c r="AH109" i="43"/>
  <c r="L109" i="43"/>
  <c r="AI108" i="43"/>
  <c r="AH108" i="43"/>
  <c r="L108" i="43"/>
  <c r="L107" i="43"/>
  <c r="L106" i="43"/>
  <c r="Z105" i="43"/>
  <c r="Y105" i="43"/>
  <c r="X105" i="43"/>
  <c r="L105" i="43"/>
  <c r="Z104" i="43"/>
  <c r="Y104" i="43"/>
  <c r="X104" i="43"/>
  <c r="L104" i="43"/>
  <c r="AI103" i="43"/>
  <c r="AH103" i="43"/>
  <c r="L103" i="43"/>
  <c r="AI102" i="43"/>
  <c r="AH102" i="43"/>
  <c r="L102" i="43"/>
  <c r="Z101" i="43"/>
  <c r="Y101" i="43"/>
  <c r="X101" i="43"/>
  <c r="L101" i="43"/>
  <c r="AI100" i="43"/>
  <c r="AH100" i="43"/>
  <c r="L100" i="43"/>
  <c r="AI99" i="43"/>
  <c r="AH99" i="43"/>
  <c r="L99" i="43"/>
  <c r="Z23" i="43"/>
  <c r="Y23" i="43"/>
  <c r="X23" i="43"/>
  <c r="L23" i="43"/>
  <c r="Z98" i="43"/>
  <c r="Y98" i="43"/>
  <c r="X98" i="43"/>
  <c r="L98" i="43"/>
  <c r="Z22" i="43"/>
  <c r="Y22" i="43"/>
  <c r="X22" i="43"/>
  <c r="L22" i="43"/>
  <c r="I22" i="43"/>
  <c r="Z97" i="43"/>
  <c r="Y97" i="43"/>
  <c r="X97" i="43"/>
  <c r="L97" i="43"/>
  <c r="Z21" i="43"/>
  <c r="Y21" i="43"/>
  <c r="X21" i="43"/>
  <c r="L21" i="43"/>
  <c r="Z96" i="43"/>
  <c r="Y96" i="43"/>
  <c r="X96" i="43"/>
  <c r="L96" i="43"/>
  <c r="I96" i="43"/>
  <c r="Z20" i="43"/>
  <c r="Y20" i="43"/>
  <c r="X20" i="43"/>
  <c r="L20" i="43"/>
  <c r="Z95" i="43"/>
  <c r="Y95" i="43"/>
  <c r="X95" i="43"/>
  <c r="L95" i="43"/>
  <c r="Z19" i="43"/>
  <c r="Y19" i="43"/>
  <c r="X19" i="43"/>
  <c r="L19" i="43"/>
  <c r="AI94" i="43"/>
  <c r="AH94" i="43"/>
  <c r="L94" i="43"/>
  <c r="L18" i="43"/>
  <c r="AI93" i="43"/>
  <c r="AH93" i="43"/>
  <c r="L93" i="43"/>
  <c r="L17" i="43"/>
  <c r="AI92" i="43"/>
  <c r="AH92" i="43"/>
  <c r="L92" i="43"/>
  <c r="L16" i="43"/>
  <c r="AI91" i="43"/>
  <c r="AH91" i="43"/>
  <c r="L91" i="43"/>
  <c r="L15" i="43"/>
  <c r="L90" i="43"/>
  <c r="L89" i="43"/>
  <c r="L88" i="43"/>
  <c r="L87" i="43"/>
  <c r="L86" i="43"/>
  <c r="L85" i="43"/>
  <c r="L84" i="43"/>
  <c r="L83" i="43"/>
  <c r="Z82" i="43"/>
  <c r="Y82" i="43"/>
  <c r="X82" i="43"/>
  <c r="L82" i="43"/>
  <c r="L14" i="43"/>
  <c r="AI81" i="43"/>
  <c r="AH81" i="43"/>
  <c r="Z81" i="43"/>
  <c r="Y81" i="43"/>
  <c r="X81" i="43"/>
  <c r="L81" i="43"/>
  <c r="Z80" i="43"/>
  <c r="Y80" i="43"/>
  <c r="X80" i="43"/>
  <c r="L80" i="43"/>
  <c r="L79" i="43"/>
  <c r="Z78" i="43"/>
  <c r="Y78" i="43"/>
  <c r="X78" i="43"/>
  <c r="L78" i="43"/>
  <c r="AI77" i="43"/>
  <c r="AH77" i="43"/>
  <c r="L77" i="43"/>
  <c r="Z76" i="43"/>
  <c r="Y76" i="43"/>
  <c r="X76" i="43"/>
  <c r="L76" i="43"/>
  <c r="AI75" i="43"/>
  <c r="AH75" i="43"/>
  <c r="L75" i="43"/>
  <c r="AI74" i="43"/>
  <c r="AH74" i="43"/>
  <c r="L74" i="43"/>
  <c r="L73" i="43"/>
  <c r="L72" i="43"/>
  <c r="L71" i="43"/>
  <c r="L13" i="43"/>
  <c r="L70" i="43"/>
  <c r="AI69" i="43"/>
  <c r="AH69" i="43"/>
  <c r="L69" i="43"/>
  <c r="AI68" i="43"/>
  <c r="AH68" i="43"/>
  <c r="L68" i="43"/>
  <c r="AI67" i="43"/>
  <c r="AH67" i="43"/>
  <c r="L67" i="43"/>
  <c r="AI66" i="43"/>
  <c r="AH66" i="43"/>
  <c r="L66" i="43"/>
  <c r="AI65" i="43"/>
  <c r="AH65" i="43"/>
  <c r="L65" i="43"/>
  <c r="L64" i="43"/>
  <c r="AI63" i="43"/>
  <c r="AH63" i="43"/>
  <c r="L63" i="43"/>
  <c r="AI62" i="43"/>
  <c r="AH62" i="43"/>
  <c r="L62" i="43"/>
  <c r="L12" i="43"/>
  <c r="L11" i="43"/>
  <c r="Z61" i="43"/>
  <c r="Y61" i="43"/>
  <c r="X61" i="43"/>
  <c r="L61" i="43"/>
  <c r="Z60" i="43"/>
  <c r="Y60" i="43"/>
  <c r="X60" i="43"/>
  <c r="L60" i="43"/>
  <c r="Z59" i="43"/>
  <c r="Y59" i="43"/>
  <c r="X59" i="43"/>
  <c r="L59" i="43"/>
  <c r="AI58" i="43"/>
  <c r="AH58" i="43"/>
  <c r="L58" i="43"/>
  <c r="Z10" i="43"/>
  <c r="Y10" i="43"/>
  <c r="X10" i="43"/>
  <c r="L10" i="43"/>
  <c r="L9" i="43"/>
  <c r="AI57" i="43"/>
  <c r="AH57" i="43"/>
  <c r="Z57" i="43"/>
  <c r="Y57" i="43"/>
  <c r="X57" i="43"/>
  <c r="L57" i="43"/>
  <c r="L8" i="43"/>
  <c r="AI56" i="43"/>
  <c r="AH56" i="43"/>
  <c r="L56" i="43"/>
  <c r="AI55" i="43"/>
  <c r="AH55" i="43"/>
  <c r="L55" i="43"/>
  <c r="AI54" i="43"/>
  <c r="AH54" i="43"/>
  <c r="L54" i="43"/>
  <c r="AI53" i="43"/>
  <c r="AH53" i="43"/>
  <c r="L53" i="43"/>
  <c r="Z52" i="43"/>
  <c r="Y52" i="43"/>
  <c r="X52" i="43"/>
  <c r="L52" i="43"/>
  <c r="AI51" i="43"/>
  <c r="AH51" i="43"/>
  <c r="L51" i="43"/>
  <c r="AI50" i="43"/>
  <c r="AH50" i="43"/>
  <c r="L50" i="43"/>
  <c r="L49" i="43"/>
  <c r="L48" i="43"/>
  <c r="AI47" i="43"/>
  <c r="AH47" i="43"/>
  <c r="L47" i="43"/>
  <c r="L46" i="43"/>
  <c r="Z45" i="43"/>
  <c r="Y45" i="43"/>
  <c r="X45" i="43"/>
  <c r="L45" i="43"/>
  <c r="AI44" i="43"/>
  <c r="AH44" i="43"/>
  <c r="L44" i="43"/>
  <c r="L43" i="43"/>
  <c r="AI42" i="43"/>
  <c r="AH42" i="43"/>
  <c r="L42" i="43"/>
  <c r="L41" i="43"/>
  <c r="L40" i="43"/>
  <c r="AI39" i="43"/>
  <c r="AH39" i="43"/>
  <c r="L39" i="43"/>
  <c r="L38" i="43"/>
  <c r="Z37" i="43"/>
  <c r="Y37" i="43"/>
  <c r="X37" i="43"/>
  <c r="L37" i="43"/>
  <c r="AI36" i="43"/>
  <c r="AH36" i="43"/>
  <c r="L36" i="43"/>
  <c r="L35" i="43"/>
  <c r="L34" i="43"/>
  <c r="Z7" i="43"/>
  <c r="Y7" i="43"/>
  <c r="X7" i="43"/>
  <c r="L7" i="43"/>
  <c r="M23" i="4"/>
  <c r="I55" i="4"/>
  <c r="M55" i="4" s="1"/>
  <c r="I66" i="4"/>
  <c r="M66" i="4" s="1"/>
  <c r="I45" i="4"/>
  <c r="M45" i="4" s="1"/>
  <c r="I16" i="4"/>
  <c r="M16" i="4" s="1"/>
  <c r="W90" i="3"/>
  <c r="E90" i="3"/>
  <c r="E36" i="3"/>
  <c r="L13" i="3"/>
  <c r="E13" i="3"/>
  <c r="J32" i="3"/>
  <c r="E32" i="3"/>
  <c r="J89" i="3"/>
  <c r="E89" i="3"/>
  <c r="E86" i="3"/>
  <c r="W85" i="3"/>
  <c r="E85" i="3"/>
  <c r="E88" i="3"/>
  <c r="E7" i="3"/>
  <c r="P6" i="3"/>
  <c r="M6" i="3"/>
  <c r="E6" i="3"/>
  <c r="E84" i="3"/>
  <c r="E72" i="3"/>
  <c r="E83" i="3"/>
  <c r="E87" i="3"/>
  <c r="J82" i="3"/>
  <c r="E82" i="3"/>
  <c r="W49" i="3"/>
  <c r="T49" i="3"/>
  <c r="E49" i="3"/>
  <c r="E80" i="3"/>
  <c r="J79" i="3"/>
  <c r="E79" i="3"/>
  <c r="J81" i="3"/>
  <c r="E81" i="3"/>
  <c r="E78" i="3"/>
  <c r="W77" i="3"/>
  <c r="E77" i="3"/>
  <c r="J76" i="3"/>
  <c r="E76" i="3"/>
  <c r="X75" i="3"/>
  <c r="W75" i="3"/>
  <c r="U75" i="3"/>
  <c r="P75" i="3"/>
  <c r="L75" i="3"/>
  <c r="E75" i="3"/>
  <c r="E74" i="3"/>
  <c r="P73" i="3"/>
  <c r="L73" i="3"/>
  <c r="E73" i="3"/>
  <c r="E60" i="3"/>
  <c r="U48" i="3"/>
  <c r="O48" i="3"/>
  <c r="J48" i="3"/>
  <c r="E48" i="3"/>
  <c r="W71" i="3"/>
  <c r="J71" i="3"/>
  <c r="E71" i="3"/>
  <c r="E59" i="3"/>
  <c r="E58" i="3"/>
  <c r="X57" i="3"/>
  <c r="E57" i="3"/>
  <c r="E55" i="3"/>
  <c r="W15" i="3"/>
  <c r="S15" i="3"/>
  <c r="E15" i="3"/>
  <c r="T14" i="3"/>
  <c r="S14" i="3"/>
  <c r="P14" i="3"/>
  <c r="L14" i="3"/>
  <c r="E14" i="3"/>
  <c r="O10" i="3"/>
  <c r="E10" i="3"/>
  <c r="E9" i="3"/>
  <c r="W65" i="3"/>
  <c r="E65" i="3"/>
  <c r="E64" i="3"/>
  <c r="E63" i="3"/>
  <c r="E62" i="3"/>
  <c r="E61" i="3"/>
  <c r="E12" i="3"/>
  <c r="E11" i="3"/>
  <c r="P16" i="3"/>
  <c r="L16" i="3"/>
  <c r="E16" i="3"/>
  <c r="W54" i="3"/>
  <c r="E54" i="3"/>
  <c r="W53" i="3"/>
  <c r="U53" i="3"/>
  <c r="E53" i="3"/>
  <c r="T52" i="3"/>
  <c r="J52" i="3"/>
  <c r="P52" i="3" s="1"/>
  <c r="E52" i="3"/>
  <c r="J56" i="3"/>
  <c r="E56" i="3"/>
  <c r="J68" i="3"/>
  <c r="E68" i="3"/>
  <c r="E44" i="3"/>
  <c r="T43" i="3"/>
  <c r="E43" i="3"/>
  <c r="W66" i="3"/>
  <c r="E66" i="3"/>
  <c r="W42" i="3"/>
  <c r="E42" i="3"/>
  <c r="E45" i="3"/>
  <c r="E69" i="3"/>
  <c r="T41" i="3"/>
  <c r="W51" i="3"/>
  <c r="L51" i="3"/>
  <c r="E51" i="3"/>
  <c r="W39" i="3"/>
  <c r="E39" i="3"/>
  <c r="W67" i="3"/>
  <c r="E67" i="3"/>
  <c r="E38" i="3"/>
  <c r="W50" i="3"/>
  <c r="L50" i="3"/>
  <c r="E50" i="3"/>
  <c r="E37" i="3"/>
  <c r="P35" i="3"/>
  <c r="M35" i="3"/>
  <c r="E35" i="3"/>
  <c r="E34" i="3"/>
  <c r="V47" i="3"/>
  <c r="U47" i="3"/>
  <c r="K47" i="3"/>
  <c r="E47" i="3"/>
  <c r="V46" i="3"/>
  <c r="K46" i="3"/>
  <c r="E46" i="3"/>
  <c r="E33" i="3"/>
  <c r="K31" i="3"/>
  <c r="E31" i="3"/>
  <c r="P8" i="3"/>
  <c r="L8" i="3"/>
  <c r="E8" i="3"/>
  <c r="E30" i="3"/>
  <c r="E29" i="3"/>
  <c r="W28" i="3"/>
  <c r="P28" i="3"/>
  <c r="M28" i="3"/>
  <c r="E28" i="3"/>
  <c r="K27" i="3"/>
  <c r="E27" i="3"/>
  <c r="E26" i="3"/>
  <c r="W25" i="3"/>
  <c r="U25" i="3"/>
  <c r="E25" i="3"/>
  <c r="O24" i="3"/>
  <c r="E24" i="3"/>
  <c r="E23" i="3"/>
  <c r="K22" i="3"/>
  <c r="E22" i="3"/>
  <c r="W21" i="3"/>
  <c r="E21" i="3"/>
  <c r="E20" i="3"/>
  <c r="K19" i="3"/>
  <c r="E19" i="3"/>
  <c r="E18" i="3"/>
  <c r="P50" i="3"/>
  <c r="D44" i="29"/>
  <c r="D43" i="29"/>
  <c r="D42" i="29"/>
  <c r="D41" i="29"/>
  <c r="D40" i="29"/>
  <c r="D39" i="29"/>
  <c r="D38" i="29"/>
  <c r="D36" i="29"/>
  <c r="D35" i="29"/>
  <c r="D34" i="29"/>
  <c r="D33" i="29"/>
  <c r="D32" i="29"/>
  <c r="D31" i="29"/>
  <c r="D30" i="29"/>
  <c r="D29" i="29"/>
  <c r="D28" i="29"/>
  <c r="D27" i="29"/>
  <c r="D26" i="29"/>
  <c r="D25" i="29"/>
  <c r="D24" i="29"/>
  <c r="D23" i="29"/>
  <c r="D22" i="29"/>
  <c r="D21" i="29"/>
  <c r="D20" i="29"/>
  <c r="D19" i="29"/>
  <c r="D18" i="29"/>
  <c r="D17" i="29"/>
  <c r="D16" i="29"/>
  <c r="D15" i="29"/>
  <c r="D14" i="29"/>
  <c r="D13" i="29"/>
  <c r="D12" i="29"/>
  <c r="E7" i="49"/>
  <c r="F7" i="49" s="1"/>
  <c r="G7" i="49" s="1"/>
  <c r="H7" i="49" s="1"/>
  <c r="I7" i="49" s="1"/>
  <c r="J7" i="49" s="1"/>
  <c r="K7" i="49" s="1"/>
  <c r="L7" i="49" s="1"/>
  <c r="M7" i="49" s="1"/>
  <c r="N7" i="49" s="1"/>
  <c r="O7" i="49" s="1"/>
  <c r="P7" i="49" s="1"/>
  <c r="Q7" i="49" s="1"/>
  <c r="R7" i="49" s="1"/>
  <c r="S7" i="49" s="1"/>
  <c r="T7" i="49" s="1"/>
  <c r="U7" i="49" s="1"/>
  <c r="V7" i="49" s="1"/>
  <c r="W7" i="49" s="1"/>
  <c r="X7" i="49" s="1"/>
  <c r="E6" i="49"/>
  <c r="F6" i="49" s="1"/>
  <c r="G6" i="49" s="1"/>
  <c r="H6" i="49" s="1"/>
  <c r="I6" i="49" s="1"/>
  <c r="J6" i="49" s="1"/>
  <c r="K6" i="49" s="1"/>
  <c r="L6" i="49" s="1"/>
  <c r="M6" i="49" s="1"/>
  <c r="N6" i="49" s="1"/>
  <c r="O6" i="49" s="1"/>
  <c r="P6" i="49" s="1"/>
  <c r="Q6" i="49" s="1"/>
  <c r="R6" i="49" s="1"/>
  <c r="S6" i="49" s="1"/>
  <c r="T6" i="49" s="1"/>
  <c r="U6" i="49" s="1"/>
  <c r="V6" i="49" s="1"/>
  <c r="W6" i="49" s="1"/>
  <c r="X6" i="49" s="1"/>
  <c r="E5" i="49"/>
  <c r="F5" i="49" s="1"/>
  <c r="G5" i="49" s="1"/>
  <c r="H5" i="49" s="1"/>
  <c r="I5" i="49" s="1"/>
  <c r="J5" i="49" s="1"/>
  <c r="K5" i="49" s="1"/>
  <c r="L5" i="49" s="1"/>
  <c r="M5" i="49" s="1"/>
  <c r="N5" i="49" s="1"/>
  <c r="O5" i="49" s="1"/>
  <c r="P5" i="49" s="1"/>
  <c r="Q5" i="49" s="1"/>
  <c r="R5" i="49" s="1"/>
  <c r="S5" i="49" s="1"/>
  <c r="T5" i="49" s="1"/>
  <c r="U5" i="49" s="1"/>
  <c r="V5" i="49" s="1"/>
  <c r="W5" i="49" s="1"/>
  <c r="X5" i="49" s="1"/>
  <c r="E4" i="49"/>
  <c r="F4" i="49" s="1"/>
  <c r="G4" i="49" s="1"/>
  <c r="H4" i="49" s="1"/>
  <c r="I4" i="49" s="1"/>
  <c r="J4" i="49" s="1"/>
  <c r="K4" i="49" s="1"/>
  <c r="L4" i="49" s="1"/>
  <c r="M4" i="49" s="1"/>
  <c r="N4" i="49" s="1"/>
  <c r="O4" i="49" s="1"/>
  <c r="P4" i="49" s="1"/>
  <c r="Q4" i="49" s="1"/>
  <c r="R4" i="49" s="1"/>
  <c r="S4" i="49" s="1"/>
  <c r="T4" i="49" s="1"/>
  <c r="U4" i="49" s="1"/>
  <c r="V4" i="49" s="1"/>
  <c r="W4" i="49" s="1"/>
  <c r="X4" i="49" s="1"/>
  <c r="E3" i="49"/>
  <c r="F3" i="49" s="1"/>
  <c r="G3" i="49" s="1"/>
  <c r="H3" i="49" s="1"/>
  <c r="I3" i="49" s="1"/>
  <c r="J3" i="49" s="1"/>
  <c r="K3" i="49" s="1"/>
  <c r="L3" i="49" s="1"/>
  <c r="M3" i="49" s="1"/>
  <c r="N3" i="49" s="1"/>
  <c r="O3" i="49" s="1"/>
  <c r="P3" i="49" s="1"/>
  <c r="Q3" i="49" s="1"/>
  <c r="R3" i="49" s="1"/>
  <c r="S3" i="49" s="1"/>
  <c r="T3" i="49" s="1"/>
  <c r="U3" i="49" s="1"/>
  <c r="V3" i="49" s="1"/>
  <c r="W3" i="49" s="1"/>
  <c r="X3" i="49" s="1"/>
  <c r="K36" i="38"/>
  <c r="I36" i="38"/>
  <c r="I84" i="37" s="1" a="1"/>
  <c r="I84" i="37" s="1"/>
  <c r="H36" i="38"/>
  <c r="H84" i="37" s="1" a="1"/>
  <c r="H84" i="37" s="1"/>
  <c r="F36" i="38"/>
  <c r="V84" i="37" s="1" a="1"/>
  <c r="V84" i="37" s="1"/>
  <c r="D36" i="38" a="1"/>
  <c r="D36" i="38" s="1"/>
  <c r="K84" i="38"/>
  <c r="I84" i="38"/>
  <c r="I132" i="37" s="1" a="1"/>
  <c r="I132" i="37" s="1"/>
  <c r="H84" i="38"/>
  <c r="H132" i="37" s="1" a="1"/>
  <c r="H132" i="37" s="1"/>
  <c r="F84" i="38"/>
  <c r="D84" i="38" a="1"/>
  <c r="D84" i="38" s="1"/>
  <c r="K83" i="38"/>
  <c r="I83" i="38"/>
  <c r="I131" i="37" s="1" a="1"/>
  <c r="I131" i="37" s="1"/>
  <c r="H83" i="38"/>
  <c r="H131" i="37" s="1" a="1"/>
  <c r="H131" i="37" s="1"/>
  <c r="F83" i="38"/>
  <c r="D83" i="38" a="1"/>
  <c r="D83" i="38" s="1"/>
  <c r="K82" i="38"/>
  <c r="I82" i="38"/>
  <c r="I129" i="37" s="1" a="1"/>
  <c r="I129" i="37" s="1"/>
  <c r="H82" i="38"/>
  <c r="H129" i="37" s="1" a="1"/>
  <c r="H129" i="37" s="1"/>
  <c r="F82" i="38"/>
  <c r="V129" i="37" s="1" a="1"/>
  <c r="V129" i="37" s="1"/>
  <c r="D82" i="38" a="1"/>
  <c r="D82" i="38" s="1"/>
  <c r="K81" i="38"/>
  <c r="I81" i="38"/>
  <c r="I128" i="37" s="1" a="1"/>
  <c r="I128" i="37" s="1"/>
  <c r="H81" i="38"/>
  <c r="H128" i="37" s="1" a="1"/>
  <c r="H128" i="37" s="1"/>
  <c r="F81" i="38"/>
  <c r="V128" i="37" s="1" a="1"/>
  <c r="V128" i="37" s="1"/>
  <c r="D81" i="38" a="1"/>
  <c r="D81" i="38" s="1"/>
  <c r="K80" i="38"/>
  <c r="I80" i="38"/>
  <c r="I130" i="37" s="1" a="1"/>
  <c r="I130" i="37" s="1"/>
  <c r="H80" i="38"/>
  <c r="H130" i="37" s="1" a="1"/>
  <c r="H130" i="37" s="1"/>
  <c r="F80" i="38"/>
  <c r="V130" i="37" s="1" a="1"/>
  <c r="V130" i="37" s="1"/>
  <c r="D80" i="38" a="1"/>
  <c r="D80" i="38" s="1"/>
  <c r="K79" i="38"/>
  <c r="I79" i="38"/>
  <c r="I127" i="37" s="1" a="1"/>
  <c r="I127" i="37" s="1"/>
  <c r="H79" i="38"/>
  <c r="H127" i="37" s="1" a="1"/>
  <c r="H127" i="37" s="1"/>
  <c r="F79" i="38"/>
  <c r="V127" i="37" s="1" a="1"/>
  <c r="V127" i="37" s="1"/>
  <c r="D79" i="38" a="1"/>
  <c r="D79" i="38" s="1"/>
  <c r="K78" i="38"/>
  <c r="I78" i="38"/>
  <c r="I126" i="37" s="1" a="1"/>
  <c r="I126" i="37" s="1"/>
  <c r="H78" i="38"/>
  <c r="H126" i="37" s="1" a="1"/>
  <c r="H126" i="37" s="1"/>
  <c r="F78" i="38"/>
  <c r="D78" i="38" a="1"/>
  <c r="D78" i="38" s="1"/>
  <c r="K77" i="38"/>
  <c r="I77" i="38"/>
  <c r="I125" i="37" s="1" a="1"/>
  <c r="I125" i="37" s="1"/>
  <c r="H77" i="38"/>
  <c r="H125" i="37" s="1" a="1"/>
  <c r="H125" i="37" s="1"/>
  <c r="F77" i="38"/>
  <c r="V125" i="37" s="1" a="1"/>
  <c r="V125" i="37" s="1"/>
  <c r="D77" i="38" a="1"/>
  <c r="D77" i="38" s="1"/>
  <c r="I76" i="38"/>
  <c r="I124" i="37" s="1" a="1"/>
  <c r="I124" i="37" s="1"/>
  <c r="H76" i="38"/>
  <c r="H124" i="37" s="1" a="1"/>
  <c r="H124" i="37" s="1"/>
  <c r="F76" i="38"/>
  <c r="D76" i="38" a="1"/>
  <c r="D76" i="38" s="1"/>
  <c r="K75" i="38"/>
  <c r="I75" i="38"/>
  <c r="I123" i="37" s="1" a="1"/>
  <c r="I123" i="37" s="1"/>
  <c r="H75" i="38"/>
  <c r="H123" i="37" s="1" a="1"/>
  <c r="H123" i="37" s="1"/>
  <c r="F75" i="38"/>
  <c r="V123" i="37" s="1" a="1"/>
  <c r="V123" i="37" s="1"/>
  <c r="D75" i="38" a="1"/>
  <c r="D75" i="38" s="1"/>
  <c r="K74" i="38"/>
  <c r="I74" i="38"/>
  <c r="I122" i="37" s="1" a="1"/>
  <c r="I122" i="37" s="1"/>
  <c r="H74" i="38"/>
  <c r="H122" i="37" s="1" a="1"/>
  <c r="H122" i="37" s="1"/>
  <c r="F74" i="38"/>
  <c r="V122" i="37" s="1" a="1"/>
  <c r="V122" i="37" s="1"/>
  <c r="D74" i="38" a="1"/>
  <c r="D74" i="38" s="1"/>
  <c r="K73" i="38"/>
  <c r="I73" i="38"/>
  <c r="I120" i="37" s="1" a="1"/>
  <c r="I120" i="37" s="1"/>
  <c r="H73" i="38"/>
  <c r="H120" i="37" s="1" a="1"/>
  <c r="H120" i="37" s="1"/>
  <c r="F73" i="38"/>
  <c r="V120" i="37" s="1" a="1"/>
  <c r="V120" i="37" s="1"/>
  <c r="D73" i="38" a="1"/>
  <c r="D73" i="38" s="1"/>
  <c r="K72" i="38"/>
  <c r="I72" i="38"/>
  <c r="I121" i="37" s="1" a="1"/>
  <c r="I121" i="37" s="1"/>
  <c r="H72" i="38"/>
  <c r="H121" i="37" s="1" a="1"/>
  <c r="H121" i="37" s="1"/>
  <c r="F72" i="38"/>
  <c r="D72" i="38" a="1"/>
  <c r="D72" i="38" s="1"/>
  <c r="K71" i="38"/>
  <c r="I71" i="38"/>
  <c r="I118" i="37" s="1" a="1"/>
  <c r="I118" i="37" s="1"/>
  <c r="H71" i="38"/>
  <c r="H118" i="37" s="1" a="1"/>
  <c r="H118" i="37" s="1"/>
  <c r="F71" i="38"/>
  <c r="D71" i="38" a="1"/>
  <c r="D71" i="38" s="1"/>
  <c r="K70" i="38"/>
  <c r="I70" i="38"/>
  <c r="I119" i="37" s="1" a="1"/>
  <c r="I119" i="37" s="1"/>
  <c r="H70" i="38"/>
  <c r="H119" i="37" s="1" a="1"/>
  <c r="H119" i="37" s="1"/>
  <c r="F70" i="38"/>
  <c r="D70" i="38" a="1"/>
  <c r="D70" i="38" s="1"/>
  <c r="K69" i="38"/>
  <c r="I69" i="38"/>
  <c r="I117" i="37" s="1" a="1"/>
  <c r="I117" i="37" s="1"/>
  <c r="H69" i="38"/>
  <c r="H117" i="37" s="1" a="1"/>
  <c r="H117" i="37" s="1"/>
  <c r="F69" i="38"/>
  <c r="V117" i="37" s="1" a="1"/>
  <c r="V117" i="37" s="1"/>
  <c r="D69" i="38" a="1"/>
  <c r="D69" i="38" s="1"/>
  <c r="K68" i="38"/>
  <c r="I68" i="38"/>
  <c r="I116" i="37" s="1" a="1"/>
  <c r="I116" i="37" s="1"/>
  <c r="H68" i="38"/>
  <c r="H116" i="37" s="1" a="1"/>
  <c r="H116" i="37" s="1"/>
  <c r="F68" i="38"/>
  <c r="V116" i="37" s="1" a="1"/>
  <c r="V116" i="37" s="1"/>
  <c r="D68" i="38" a="1"/>
  <c r="D68" i="38" s="1"/>
  <c r="K64" i="38"/>
  <c r="I64" i="38"/>
  <c r="I113" i="37" s="1" a="1"/>
  <c r="I113" i="37" s="1"/>
  <c r="H64" i="38"/>
  <c r="H113" i="37" s="1" a="1"/>
  <c r="H113" i="37" s="1"/>
  <c r="F64" i="38"/>
  <c r="D64" i="38" a="1"/>
  <c r="D64" i="38" s="1"/>
  <c r="K63" i="38"/>
  <c r="I63" i="38"/>
  <c r="I111" i="37" s="1" a="1"/>
  <c r="I111" i="37" s="1"/>
  <c r="H63" i="38"/>
  <c r="H111" i="37" s="1" a="1"/>
  <c r="H111" i="37" s="1"/>
  <c r="F63" i="38"/>
  <c r="V111" i="37" s="1" a="1"/>
  <c r="V111" i="37" s="1"/>
  <c r="D63" i="38" a="1"/>
  <c r="D63" i="38" s="1"/>
  <c r="K62" i="38"/>
  <c r="I62" i="38"/>
  <c r="I110" i="37" s="1" a="1"/>
  <c r="I110" i="37" s="1"/>
  <c r="H62" i="38"/>
  <c r="H110" i="37" s="1" a="1"/>
  <c r="H110" i="37" s="1"/>
  <c r="F62" i="38"/>
  <c r="V110" i="37" s="1" a="1"/>
  <c r="V110" i="37" s="1"/>
  <c r="D62" i="38" a="1"/>
  <c r="D62" i="38" s="1"/>
  <c r="K61" i="38"/>
  <c r="I61" i="38"/>
  <c r="I109" i="37" s="1" a="1"/>
  <c r="I109" i="37" s="1"/>
  <c r="H61" i="38"/>
  <c r="H109" i="37" s="1" a="1"/>
  <c r="H109" i="37" s="1"/>
  <c r="F61" i="38"/>
  <c r="D61" i="38" a="1"/>
  <c r="D61" i="38" s="1"/>
  <c r="K60" i="38"/>
  <c r="I60" i="38"/>
  <c r="I108" i="37" s="1" a="1"/>
  <c r="I108" i="37" s="1"/>
  <c r="H60" i="38"/>
  <c r="H108" i="37" s="1" a="1"/>
  <c r="H108" i="37" s="1"/>
  <c r="F60" i="38"/>
  <c r="D60" i="38" a="1"/>
  <c r="D60" i="38" s="1"/>
  <c r="K59" i="38"/>
  <c r="I59" i="38"/>
  <c r="I105" i="37" s="1" a="1"/>
  <c r="I105" i="37" s="1"/>
  <c r="H59" i="38"/>
  <c r="H105" i="37" s="1" a="1"/>
  <c r="H105" i="37" s="1"/>
  <c r="F59" i="38"/>
  <c r="D59" i="38" a="1"/>
  <c r="D59" i="38" s="1"/>
  <c r="K58" i="38"/>
  <c r="I58" i="38"/>
  <c r="I107" i="37" s="1" a="1"/>
  <c r="I107" i="37" s="1"/>
  <c r="H58" i="38"/>
  <c r="H107" i="37" s="1" a="1"/>
  <c r="H107" i="37" s="1"/>
  <c r="F58" i="38"/>
  <c r="D58" i="38" a="1"/>
  <c r="D58" i="38" s="1"/>
  <c r="K57" i="38"/>
  <c r="I57" i="38"/>
  <c r="I106" i="37" s="1" a="1"/>
  <c r="I106" i="37" s="1"/>
  <c r="H57" i="38"/>
  <c r="H106" i="37" s="1" a="1"/>
  <c r="H106" i="37" s="1"/>
  <c r="F57" i="38"/>
  <c r="V106" i="37" s="1" a="1"/>
  <c r="V106" i="37" s="1"/>
  <c r="D57" i="38" a="1"/>
  <c r="D57" i="38" s="1"/>
  <c r="K56" i="38"/>
  <c r="I56" i="38"/>
  <c r="I104" i="37" s="1" a="1"/>
  <c r="I104" i="37" s="1"/>
  <c r="H56" i="38"/>
  <c r="H104" i="37" s="1" a="1"/>
  <c r="H104" i="37" s="1"/>
  <c r="F56" i="38"/>
  <c r="V104" i="37" s="1" a="1"/>
  <c r="V104" i="37" s="1"/>
  <c r="D56" i="38" a="1"/>
  <c r="D56" i="38" s="1"/>
  <c r="K55" i="38"/>
  <c r="I55" i="38"/>
  <c r="I103" i="37" s="1" a="1"/>
  <c r="I103" i="37" s="1"/>
  <c r="H55" i="38"/>
  <c r="H103" i="37" s="1" a="1"/>
  <c r="H103" i="37" s="1"/>
  <c r="F55" i="38"/>
  <c r="V103" i="37" s="1" a="1"/>
  <c r="V103" i="37" s="1"/>
  <c r="D55" i="38" a="1"/>
  <c r="D55" i="38" s="1"/>
  <c r="K52" i="38"/>
  <c r="I52" i="38"/>
  <c r="I99" i="37" s="1" a="1"/>
  <c r="I99" i="37" s="1"/>
  <c r="H52" i="38"/>
  <c r="H99" i="37" s="1" a="1"/>
  <c r="H99" i="37" s="1"/>
  <c r="F52" i="38"/>
  <c r="V99" i="37" s="1" a="1"/>
  <c r="V99" i="37" s="1"/>
  <c r="D52" i="38" a="1"/>
  <c r="D52" i="38" s="1"/>
  <c r="K51" i="38"/>
  <c r="I51" i="38"/>
  <c r="I100" i="37" s="1" a="1"/>
  <c r="I100" i="37" s="1"/>
  <c r="H51" i="38"/>
  <c r="H100" i="37" s="1" a="1"/>
  <c r="H100" i="37" s="1"/>
  <c r="F51" i="38"/>
  <c r="V100" i="37" s="1" a="1"/>
  <c r="V100" i="37" s="1"/>
  <c r="D51" i="38" a="1"/>
  <c r="D51" i="38" s="1"/>
  <c r="K50" i="38"/>
  <c r="I50" i="38"/>
  <c r="I98" i="37" s="1" a="1"/>
  <c r="I98" i="37" s="1"/>
  <c r="H50" i="38"/>
  <c r="H98" i="37" s="1" a="1"/>
  <c r="H98" i="37" s="1"/>
  <c r="F50" i="38"/>
  <c r="V98" i="37" s="1" a="1"/>
  <c r="V98" i="37" s="1"/>
  <c r="K49" i="38"/>
  <c r="I49" i="38"/>
  <c r="I97" i="37" s="1" a="1"/>
  <c r="I97" i="37" s="1"/>
  <c r="H49" i="38"/>
  <c r="H97" i="37" s="1" a="1"/>
  <c r="H97" i="37" s="1"/>
  <c r="F49" i="38"/>
  <c r="D49" i="38" a="1"/>
  <c r="D49" i="38" s="1"/>
  <c r="K48" i="38"/>
  <c r="I48" i="38"/>
  <c r="I95" i="37" s="1" a="1"/>
  <c r="I95" i="37" s="1"/>
  <c r="H48" i="38"/>
  <c r="H95" i="37" s="1" a="1"/>
  <c r="H95" i="37" s="1"/>
  <c r="F48" i="38"/>
  <c r="V95" i="37" s="1" a="1"/>
  <c r="V95" i="37" s="1"/>
  <c r="D48" i="38" a="1"/>
  <c r="D48" i="38" s="1"/>
  <c r="K47" i="38"/>
  <c r="I47" i="38"/>
  <c r="I96" i="37" s="1" a="1"/>
  <c r="I96" i="37" s="1"/>
  <c r="H47" i="38"/>
  <c r="H96" i="37" s="1" a="1"/>
  <c r="H96" i="37" s="1"/>
  <c r="F47" i="38"/>
  <c r="V96" i="37" s="1" a="1"/>
  <c r="V96" i="37" s="1"/>
  <c r="D47" i="38" a="1"/>
  <c r="D47" i="38" s="1"/>
  <c r="K46" i="38"/>
  <c r="I46" i="38"/>
  <c r="I94" i="37" s="1" a="1"/>
  <c r="I94" i="37" s="1"/>
  <c r="H46" i="38"/>
  <c r="H94" i="37" s="1" a="1"/>
  <c r="H94" i="37" s="1"/>
  <c r="F46" i="38"/>
  <c r="V94" i="37" s="1" a="1"/>
  <c r="V94" i="37" s="1"/>
  <c r="D46" i="38" a="1"/>
  <c r="D46" i="38" s="1"/>
  <c r="K45" i="38"/>
  <c r="I45" i="38"/>
  <c r="I93" i="37" s="1" a="1"/>
  <c r="I93" i="37" s="1"/>
  <c r="H45" i="38"/>
  <c r="H93" i="37" s="1" a="1"/>
  <c r="H93" i="37" s="1"/>
  <c r="F45" i="38"/>
  <c r="V93" i="37" s="1" a="1"/>
  <c r="V93" i="37" s="1"/>
  <c r="D45" i="38" a="1"/>
  <c r="D45" i="38" s="1"/>
  <c r="K54" i="38"/>
  <c r="I54" i="38"/>
  <c r="I102" i="37" s="1" a="1"/>
  <c r="I102" i="37" s="1"/>
  <c r="H54" i="38"/>
  <c r="H102" i="37" s="1" a="1"/>
  <c r="H102" i="37" s="1"/>
  <c r="F54" i="38"/>
  <c r="D54" i="38" a="1"/>
  <c r="D54" i="38" s="1"/>
  <c r="K53" i="38"/>
  <c r="I53" i="38"/>
  <c r="I101" i="37" s="1" a="1"/>
  <c r="I101" i="37" s="1"/>
  <c r="H53" i="38"/>
  <c r="H101" i="37" s="1" a="1"/>
  <c r="H101" i="37" s="1"/>
  <c r="F53" i="38"/>
  <c r="V101" i="37" s="1" a="1"/>
  <c r="V101" i="37" s="1"/>
  <c r="D53" i="38" a="1"/>
  <c r="D53" i="38" s="1"/>
  <c r="K44" i="38"/>
  <c r="I44" i="38"/>
  <c r="I92" i="37" s="1" a="1"/>
  <c r="I92" i="37" s="1"/>
  <c r="H44" i="38"/>
  <c r="H92" i="37" s="1" a="1"/>
  <c r="H92" i="37" s="1"/>
  <c r="F44" i="38"/>
  <c r="D44" i="38" a="1"/>
  <c r="D44" i="38" s="1"/>
  <c r="K43" i="38"/>
  <c r="I43" i="38"/>
  <c r="I91" i="37" s="1" a="1"/>
  <c r="I91" i="37" s="1"/>
  <c r="H43" i="38"/>
  <c r="H91" i="37" s="1" a="1"/>
  <c r="H91" i="37" s="1"/>
  <c r="F43" i="38"/>
  <c r="D43" i="38" a="1"/>
  <c r="D43" i="38" s="1"/>
  <c r="K42" i="38"/>
  <c r="I42" i="38"/>
  <c r="I90" i="37" s="1" a="1"/>
  <c r="I90" i="37" s="1"/>
  <c r="H42" i="38"/>
  <c r="H90" i="37" s="1" a="1"/>
  <c r="H90" i="37" s="1"/>
  <c r="F42" i="38"/>
  <c r="V90" i="37" s="1" a="1"/>
  <c r="V90" i="37" s="1"/>
  <c r="D42" i="38" a="1"/>
  <c r="D42" i="38" s="1"/>
  <c r="K41" i="38"/>
  <c r="I41" i="38"/>
  <c r="I89" i="37" s="1" a="1"/>
  <c r="I89" i="37" s="1"/>
  <c r="H41" i="38"/>
  <c r="H89" i="37" s="1" a="1"/>
  <c r="H89" i="37" s="1"/>
  <c r="F41" i="38"/>
  <c r="V89" i="37" s="1" a="1"/>
  <c r="V89" i="37" s="1"/>
  <c r="D41" i="38" a="1"/>
  <c r="D41" i="38" s="1"/>
  <c r="K40" i="38"/>
  <c r="I40" i="38"/>
  <c r="I88" i="37" s="1" a="1"/>
  <c r="I88" i="37" s="1"/>
  <c r="H40" i="38"/>
  <c r="H88" i="37" s="1" a="1"/>
  <c r="H88" i="37" s="1"/>
  <c r="F40" i="38"/>
  <c r="D40" i="38" a="1"/>
  <c r="D40" i="38" s="1"/>
  <c r="K39" i="38"/>
  <c r="I39" i="38"/>
  <c r="I87" i="37" s="1" a="1"/>
  <c r="I87" i="37" s="1"/>
  <c r="H39" i="38"/>
  <c r="H87" i="37" s="1" a="1"/>
  <c r="H87" i="37" s="1"/>
  <c r="F39" i="38"/>
  <c r="V87" i="37" s="1" a="1"/>
  <c r="V87" i="37" s="1"/>
  <c r="D39" i="38" a="1"/>
  <c r="D39" i="38" s="1"/>
  <c r="K38" i="38"/>
  <c r="I38" i="38"/>
  <c r="I85" i="37" s="1" a="1"/>
  <c r="I85" i="37" s="1"/>
  <c r="H38" i="38"/>
  <c r="H85" i="37" s="1" a="1"/>
  <c r="H85" i="37" s="1"/>
  <c r="F38" i="38"/>
  <c r="V85" i="37" s="1" a="1"/>
  <c r="V85" i="37" s="1"/>
  <c r="D38" i="38" a="1"/>
  <c r="D38" i="38" s="1"/>
  <c r="K37" i="38"/>
  <c r="I37" i="38"/>
  <c r="I86" i="37" s="1" a="1"/>
  <c r="I86" i="37" s="1"/>
  <c r="H37" i="38"/>
  <c r="H86" i="37" s="1" a="1"/>
  <c r="H86" i="37" s="1"/>
  <c r="F37" i="38"/>
  <c r="V86" i="37" s="1" a="1"/>
  <c r="V86" i="37" s="1"/>
  <c r="D37" i="38" a="1"/>
  <c r="D37" i="38" s="1"/>
  <c r="K35" i="38"/>
  <c r="I35" i="38"/>
  <c r="I83" i="37" s="1" a="1"/>
  <c r="I83" i="37" s="1"/>
  <c r="H35" i="38"/>
  <c r="H83" i="37" s="1" a="1"/>
  <c r="H83" i="37" s="1"/>
  <c r="F35" i="38"/>
  <c r="D35" i="38" a="1"/>
  <c r="D35" i="38" s="1"/>
  <c r="K34" i="38"/>
  <c r="I34" i="38"/>
  <c r="I82" i="37" s="1" a="1"/>
  <c r="I82" i="37" s="1"/>
  <c r="H34" i="38"/>
  <c r="H82" i="37" s="1" a="1"/>
  <c r="H82" i="37" s="1"/>
  <c r="F34" i="38"/>
  <c r="V82" i="37" s="1" a="1"/>
  <c r="V82" i="37" s="1"/>
  <c r="D34" i="38" a="1"/>
  <c r="D34" i="38" s="1"/>
  <c r="K33" i="38"/>
  <c r="I33" i="38"/>
  <c r="I81" i="37" s="1" a="1"/>
  <c r="I81" i="37" s="1"/>
  <c r="H33" i="38"/>
  <c r="H81" i="37" s="1" a="1"/>
  <c r="H81" i="37" s="1"/>
  <c r="F33" i="38"/>
  <c r="V81" i="37" s="1" a="1"/>
  <c r="V81" i="37" s="1"/>
  <c r="D33" i="38" a="1"/>
  <c r="D33" i="38" s="1"/>
  <c r="K32" i="38"/>
  <c r="I32" i="38"/>
  <c r="I79" i="37" s="1" a="1"/>
  <c r="I79" i="37" s="1"/>
  <c r="H32" i="38"/>
  <c r="H79" i="37" s="1" a="1"/>
  <c r="H79" i="37" s="1"/>
  <c r="F32" i="38"/>
  <c r="V79" i="37" s="1" a="1"/>
  <c r="V79" i="37" s="1"/>
  <c r="D32" i="38" a="1"/>
  <c r="D32" i="38" s="1"/>
  <c r="K31" i="38"/>
  <c r="I31" i="38"/>
  <c r="I78" i="37" s="1" a="1"/>
  <c r="I78" i="37" s="1"/>
  <c r="H31" i="38"/>
  <c r="H78" i="37" s="1" a="1"/>
  <c r="H78" i="37" s="1"/>
  <c r="F31" i="38"/>
  <c r="D31" i="38" a="1"/>
  <c r="D31" i="38" s="1"/>
  <c r="K30" i="38"/>
  <c r="I30" i="38"/>
  <c r="I80" i="37" s="1" a="1"/>
  <c r="I80" i="37" s="1"/>
  <c r="H30" i="38"/>
  <c r="H80" i="37" s="1" a="1"/>
  <c r="H80" i="37" s="1"/>
  <c r="F30" i="38"/>
  <c r="V80" i="37" s="1" a="1"/>
  <c r="V80" i="37" s="1"/>
  <c r="D30" i="38" a="1"/>
  <c r="D30" i="38" s="1"/>
  <c r="K29" i="38"/>
  <c r="I29" i="38"/>
  <c r="I77" i="37" s="1" a="1"/>
  <c r="I77" i="37" s="1"/>
  <c r="H29" i="38"/>
  <c r="H77" i="37" s="1" a="1"/>
  <c r="H77" i="37" s="1"/>
  <c r="F29" i="38"/>
  <c r="V77" i="37" s="1" a="1"/>
  <c r="V77" i="37" s="1"/>
  <c r="D29" i="38" a="1"/>
  <c r="D29" i="38" s="1"/>
  <c r="K28" i="38"/>
  <c r="I28" i="38"/>
  <c r="I76" i="37" s="1" a="1"/>
  <c r="I76" i="37" s="1"/>
  <c r="H28" i="38"/>
  <c r="H76" i="37" s="1" a="1"/>
  <c r="H76" i="37" s="1"/>
  <c r="F28" i="38"/>
  <c r="V76" i="37" s="1" a="1"/>
  <c r="V76" i="37" s="1"/>
  <c r="D28" i="38" a="1"/>
  <c r="D28" i="38" s="1"/>
  <c r="K27" i="38"/>
  <c r="I27" i="38"/>
  <c r="I70" i="37" s="1" a="1"/>
  <c r="I70" i="37" s="1"/>
  <c r="H27" i="38"/>
  <c r="H70" i="37" s="1" a="1"/>
  <c r="H70" i="37" s="1"/>
  <c r="F27" i="38"/>
  <c r="V70" i="37" s="1" a="1"/>
  <c r="V70" i="37" s="1"/>
  <c r="D27" i="38" a="1"/>
  <c r="D27" i="38" s="1"/>
  <c r="K26" i="38"/>
  <c r="I26" i="38"/>
  <c r="I75" i="37" s="1" a="1"/>
  <c r="I75" i="37" s="1"/>
  <c r="H26" i="38"/>
  <c r="H75" i="37" s="1" a="1"/>
  <c r="H75" i="37" s="1"/>
  <c r="F26" i="38"/>
  <c r="V75" i="37" s="1" a="1"/>
  <c r="V75" i="37" s="1"/>
  <c r="D26" i="38" a="1"/>
  <c r="D26" i="38" s="1"/>
  <c r="K25" i="38"/>
  <c r="I25" i="38"/>
  <c r="I73" i="37" s="1" a="1"/>
  <c r="I73" i="37" s="1"/>
  <c r="H25" i="38"/>
  <c r="H73" i="37" s="1" a="1"/>
  <c r="H73" i="37" s="1"/>
  <c r="F25" i="38"/>
  <c r="V73" i="37" s="1" a="1"/>
  <c r="V73" i="37" s="1"/>
  <c r="D25" i="38" a="1"/>
  <c r="D25" i="38" s="1"/>
  <c r="K24" i="38"/>
  <c r="I24" i="38"/>
  <c r="I72" i="37" s="1" a="1"/>
  <c r="I72" i="37" s="1"/>
  <c r="H24" i="38"/>
  <c r="H72" i="37" s="1" a="1"/>
  <c r="H72" i="37" s="1"/>
  <c r="F24" i="38"/>
  <c r="V72" i="37" s="1" a="1"/>
  <c r="V72" i="37" s="1"/>
  <c r="D24" i="38" a="1"/>
  <c r="D24" i="38" s="1"/>
  <c r="K23" i="38"/>
  <c r="I23" i="38"/>
  <c r="I71" i="37" s="1" a="1"/>
  <c r="I71" i="37" s="1"/>
  <c r="H23" i="38"/>
  <c r="H71" i="37" s="1" a="1"/>
  <c r="H71" i="37" s="1"/>
  <c r="F23" i="38"/>
  <c r="V71" i="37" s="1" a="1"/>
  <c r="V71" i="37" s="1"/>
  <c r="D23" i="38" a="1"/>
  <c r="D23" i="38" s="1"/>
  <c r="K22" i="38"/>
  <c r="I22" i="38"/>
  <c r="I74" i="37" s="1" a="1"/>
  <c r="I74" i="37" s="1"/>
  <c r="H22" i="38"/>
  <c r="H74" i="37" s="1" a="1"/>
  <c r="H74" i="37" s="1"/>
  <c r="F22" i="38"/>
  <c r="V74" i="37" s="1" a="1"/>
  <c r="V74" i="37" s="1"/>
  <c r="D22" i="38" a="1"/>
  <c r="D22" i="38" s="1"/>
  <c r="I21" i="38"/>
  <c r="I69" i="37" s="1" a="1"/>
  <c r="I69" i="37" s="1"/>
  <c r="H21" i="38"/>
  <c r="H69" i="37" s="1" a="1"/>
  <c r="H69" i="37" s="1"/>
  <c r="F21" i="38"/>
  <c r="D21" i="38" a="1"/>
  <c r="D21" i="38" s="1"/>
  <c r="H64" i="8"/>
  <c r="H28" i="8"/>
  <c r="H61" i="8"/>
  <c r="H63" i="8"/>
  <c r="P58" i="3"/>
  <c r="H51" i="8"/>
  <c r="I66" i="43"/>
  <c r="I144" i="43"/>
  <c r="H25" i="8"/>
  <c r="I95" i="43"/>
  <c r="O55" i="31" l="1"/>
  <c r="S7" i="31"/>
  <c r="T7" i="31"/>
  <c r="R7" i="31"/>
  <c r="H11" i="52"/>
  <c r="H10" i="52"/>
  <c r="H8" i="52"/>
  <c r="H7" i="52"/>
  <c r="H9" i="52"/>
  <c r="N33" i="43" a="1"/>
  <c r="N33" i="43" s="1"/>
  <c r="T33" i="43" a="1"/>
  <c r="T33" i="43" s="1"/>
  <c r="AE33" i="43" a="1"/>
  <c r="AE33" i="43" s="1"/>
  <c r="R33" i="43" a="1"/>
  <c r="R33" i="43" s="1"/>
  <c r="AD33" i="43" a="1"/>
  <c r="AD33" i="43" s="1"/>
  <c r="A33" i="43"/>
  <c r="O33" i="43" a="1"/>
  <c r="O33" i="43" s="1"/>
  <c r="AC33" i="43" a="1"/>
  <c r="AC33" i="43" s="1"/>
  <c r="P33" i="43" a="1"/>
  <c r="P33" i="43" s="1"/>
  <c r="AA33" i="43" a="1"/>
  <c r="AA33" i="43" s="1"/>
  <c r="AB33" i="43" a="1"/>
  <c r="AB33" i="43" s="1"/>
  <c r="M33" i="43" a="1"/>
  <c r="M33" i="43" s="1"/>
  <c r="Q33" i="43" a="1"/>
  <c r="Q33" i="43" s="1"/>
  <c r="V33" i="43" s="1"/>
  <c r="S33" i="43" a="1"/>
  <c r="S33" i="43" s="1"/>
  <c r="W73" i="37"/>
  <c r="X73" i="37" s="1"/>
  <c r="Y73" i="37" s="1"/>
  <c r="Z73" i="37" s="1"/>
  <c r="AA73" i="37" s="1"/>
  <c r="AB73" i="37" s="1"/>
  <c r="AC73" i="37" s="1"/>
  <c r="AD73" i="37" s="1"/>
  <c r="AE73" i="37" s="1"/>
  <c r="AF73" i="37" s="1"/>
  <c r="AG73" i="37" s="1"/>
  <c r="W81" i="37"/>
  <c r="X81" i="37" s="1"/>
  <c r="Y81" i="37" s="1"/>
  <c r="Z81" i="37" s="1"/>
  <c r="AA81" i="37" s="1"/>
  <c r="AB81" i="37" s="1"/>
  <c r="AC81" i="37" s="1"/>
  <c r="AD81" i="37" s="1"/>
  <c r="AE81" i="37" s="1"/>
  <c r="AF81" i="37" s="1"/>
  <c r="AG81" i="37" s="1"/>
  <c r="W90" i="37"/>
  <c r="X90" i="37" s="1"/>
  <c r="Y90" i="37" s="1"/>
  <c r="Z90" i="37" s="1"/>
  <c r="AA90" i="37" s="1"/>
  <c r="AB90" i="37" s="1"/>
  <c r="AC90" i="37" s="1"/>
  <c r="AD90" i="37" s="1"/>
  <c r="AE90" i="37" s="1"/>
  <c r="AF90" i="37" s="1"/>
  <c r="AG90" i="37" s="1"/>
  <c r="W95" i="37"/>
  <c r="X95" i="37" s="1"/>
  <c r="Y95" i="37" s="1"/>
  <c r="Z95" i="37" s="1"/>
  <c r="AA95" i="37" s="1"/>
  <c r="AB95" i="37" s="1"/>
  <c r="AC95" i="37" s="1"/>
  <c r="AD95" i="37" s="1"/>
  <c r="AE95" i="37" s="1"/>
  <c r="AF95" i="37" s="1"/>
  <c r="AG95" i="37" s="1"/>
  <c r="W103" i="37"/>
  <c r="X103" i="37" s="1"/>
  <c r="Y103" i="37" s="1"/>
  <c r="Z103" i="37" s="1"/>
  <c r="AA103" i="37" s="1"/>
  <c r="AB103" i="37" s="1"/>
  <c r="AC103" i="37" s="1"/>
  <c r="AD103" i="37" s="1"/>
  <c r="AE103" i="37" s="1"/>
  <c r="AF103" i="37" s="1"/>
  <c r="AG103" i="37" s="1"/>
  <c r="W111" i="37"/>
  <c r="X111" i="37" s="1"/>
  <c r="Y111" i="37" s="1"/>
  <c r="Z111" i="37" s="1"/>
  <c r="AA111" i="37" s="1"/>
  <c r="AB111" i="37" s="1"/>
  <c r="AC111" i="37" s="1"/>
  <c r="AD111" i="37" s="1"/>
  <c r="AE111" i="37" s="1"/>
  <c r="AF111" i="37" s="1"/>
  <c r="AG111" i="37" s="1"/>
  <c r="W122" i="37"/>
  <c r="X122" i="37" s="1"/>
  <c r="Y122" i="37" s="1"/>
  <c r="Z122" i="37" s="1"/>
  <c r="AA122" i="37" s="1"/>
  <c r="AB122" i="37" s="1"/>
  <c r="AC122" i="37" s="1"/>
  <c r="AD122" i="37" s="1"/>
  <c r="AE122" i="37" s="1"/>
  <c r="AF122" i="37" s="1"/>
  <c r="AG122" i="37" s="1"/>
  <c r="W127" i="37"/>
  <c r="X127" i="37" s="1"/>
  <c r="Y127" i="37" s="1"/>
  <c r="Z127" i="37" s="1"/>
  <c r="AA127" i="37" s="1"/>
  <c r="AB127" i="37" s="1"/>
  <c r="AC127" i="37" s="1"/>
  <c r="AD127" i="37" s="1"/>
  <c r="AE127" i="37" s="1"/>
  <c r="AF127" i="37" s="1"/>
  <c r="AG127" i="37" s="1"/>
  <c r="W76" i="37"/>
  <c r="X76" i="37" s="1"/>
  <c r="Y76" i="37" s="1"/>
  <c r="Z76" i="37" s="1"/>
  <c r="AA76" i="37" s="1"/>
  <c r="AB76" i="37" s="1"/>
  <c r="AC76" i="37" s="1"/>
  <c r="AD76" i="37" s="1"/>
  <c r="AE76" i="37" s="1"/>
  <c r="AF76" i="37" s="1"/>
  <c r="AG76" i="37" s="1"/>
  <c r="W101" i="37"/>
  <c r="X101" i="37" s="1"/>
  <c r="Y101" i="37" s="1"/>
  <c r="Z101" i="37" s="1"/>
  <c r="AA101" i="37" s="1"/>
  <c r="AB101" i="37" s="1"/>
  <c r="AC101" i="37" s="1"/>
  <c r="AD101" i="37" s="1"/>
  <c r="AE101" i="37" s="1"/>
  <c r="AF101" i="37" s="1"/>
  <c r="AG101" i="37" s="1"/>
  <c r="W74" i="37"/>
  <c r="X74" i="37" s="1"/>
  <c r="Y74" i="37" s="1"/>
  <c r="Z74" i="37" s="1"/>
  <c r="AA74" i="37" s="1"/>
  <c r="AB74" i="37" s="1"/>
  <c r="AC74" i="37" s="1"/>
  <c r="AD74" i="37" s="1"/>
  <c r="AE74" i="37" s="1"/>
  <c r="AF74" i="37" s="1"/>
  <c r="AG74" i="37" s="1"/>
  <c r="W80" i="37"/>
  <c r="X80" i="37" s="1"/>
  <c r="Y80" i="37" s="1"/>
  <c r="Z80" i="37" s="1"/>
  <c r="AA80" i="37" s="1"/>
  <c r="AB80" i="37" s="1"/>
  <c r="AC80" i="37" s="1"/>
  <c r="AD80" i="37" s="1"/>
  <c r="AE80" i="37" s="1"/>
  <c r="AF80" i="37" s="1"/>
  <c r="AG80" i="37" s="1"/>
  <c r="W87" i="37"/>
  <c r="X87" i="37" s="1"/>
  <c r="Y87" i="37" s="1"/>
  <c r="Z87" i="37" s="1"/>
  <c r="AA87" i="37" s="1"/>
  <c r="AB87" i="37" s="1"/>
  <c r="AC87" i="37" s="1"/>
  <c r="AD87" i="37" s="1"/>
  <c r="AE87" i="37" s="1"/>
  <c r="AF87" i="37" s="1"/>
  <c r="AG87" i="37" s="1"/>
  <c r="W93" i="37"/>
  <c r="X93" i="37" s="1"/>
  <c r="Y93" i="37" s="1"/>
  <c r="Z93" i="37" s="1"/>
  <c r="AA93" i="37" s="1"/>
  <c r="AB93" i="37" s="1"/>
  <c r="AC93" i="37" s="1"/>
  <c r="AD93" i="37" s="1"/>
  <c r="AE93" i="37" s="1"/>
  <c r="AF93" i="37" s="1"/>
  <c r="AG93" i="37" s="1"/>
  <c r="W98" i="37"/>
  <c r="X98" i="37" s="1"/>
  <c r="Y98" i="37" s="1"/>
  <c r="Z98" i="37" s="1"/>
  <c r="AA98" i="37" s="1"/>
  <c r="AB98" i="37" s="1"/>
  <c r="AC98" i="37" s="1"/>
  <c r="AD98" i="37" s="1"/>
  <c r="AE98" i="37" s="1"/>
  <c r="AF98" i="37" s="1"/>
  <c r="AG98" i="37" s="1"/>
  <c r="W117" i="37"/>
  <c r="X117" i="37" s="1"/>
  <c r="Y117" i="37" s="1"/>
  <c r="Z117" i="37" s="1"/>
  <c r="AA117" i="37" s="1"/>
  <c r="AB117" i="37" s="1"/>
  <c r="AC117" i="37" s="1"/>
  <c r="AD117" i="37" s="1"/>
  <c r="AE117" i="37" s="1"/>
  <c r="AF117" i="37" s="1"/>
  <c r="AG117" i="37" s="1"/>
  <c r="W129" i="37"/>
  <c r="X129" i="37" s="1"/>
  <c r="Y129" i="37" s="1"/>
  <c r="Z129" i="37" s="1"/>
  <c r="AA129" i="37" s="1"/>
  <c r="AB129" i="37" s="1"/>
  <c r="AC129" i="37" s="1"/>
  <c r="AD129" i="37" s="1"/>
  <c r="AE129" i="37" s="1"/>
  <c r="AF129" i="37" s="1"/>
  <c r="AG129" i="37" s="1"/>
  <c r="W70" i="37"/>
  <c r="X70" i="37" s="1"/>
  <c r="Y70" i="37" s="1"/>
  <c r="Z70" i="37" s="1"/>
  <c r="AA70" i="37" s="1"/>
  <c r="AB70" i="37" s="1"/>
  <c r="AC70" i="37" s="1"/>
  <c r="AD70" i="37" s="1"/>
  <c r="AE70" i="37" s="1"/>
  <c r="AF70" i="37" s="1"/>
  <c r="AG70" i="37" s="1"/>
  <c r="W106" i="37"/>
  <c r="X106" i="37" s="1"/>
  <c r="Y106" i="37" s="1"/>
  <c r="Z106" i="37" s="1"/>
  <c r="AA106" i="37" s="1"/>
  <c r="AB106" i="37" s="1"/>
  <c r="AC106" i="37" s="1"/>
  <c r="AD106" i="37" s="1"/>
  <c r="AE106" i="37" s="1"/>
  <c r="AF106" i="37" s="1"/>
  <c r="AG106" i="37" s="1"/>
  <c r="W116" i="37"/>
  <c r="X116" i="37" s="1"/>
  <c r="Y116" i="37" s="1"/>
  <c r="Z116" i="37" s="1"/>
  <c r="AA116" i="37" s="1"/>
  <c r="AB116" i="37" s="1"/>
  <c r="AC116" i="37" s="1"/>
  <c r="AD116" i="37" s="1"/>
  <c r="AE116" i="37" s="1"/>
  <c r="AF116" i="37" s="1"/>
  <c r="AG116" i="37" s="1"/>
  <c r="W128" i="37"/>
  <c r="X128" i="37" s="1"/>
  <c r="Y128" i="37" s="1"/>
  <c r="Z128" i="37" s="1"/>
  <c r="AA128" i="37" s="1"/>
  <c r="AB128" i="37" s="1"/>
  <c r="AC128" i="37" s="1"/>
  <c r="AD128" i="37" s="1"/>
  <c r="AE128" i="37" s="1"/>
  <c r="AF128" i="37" s="1"/>
  <c r="AG128" i="37" s="1"/>
  <c r="W79" i="37"/>
  <c r="X79" i="37" s="1"/>
  <c r="Y79" i="37" s="1"/>
  <c r="Z79" i="37" s="1"/>
  <c r="AA79" i="37" s="1"/>
  <c r="AB79" i="37" s="1"/>
  <c r="AC79" i="37" s="1"/>
  <c r="AD79" i="37" s="1"/>
  <c r="AE79" i="37" s="1"/>
  <c r="AF79" i="37" s="1"/>
  <c r="AG79" i="37" s="1"/>
  <c r="W89" i="37"/>
  <c r="X89" i="37" s="1"/>
  <c r="Y89" i="37" s="1"/>
  <c r="Z89" i="37" s="1"/>
  <c r="AA89" i="37" s="1"/>
  <c r="AB89" i="37" s="1"/>
  <c r="AC89" i="37" s="1"/>
  <c r="AD89" i="37" s="1"/>
  <c r="AE89" i="37" s="1"/>
  <c r="AF89" i="37" s="1"/>
  <c r="AG89" i="37" s="1"/>
  <c r="W96" i="37"/>
  <c r="X96" i="37" s="1"/>
  <c r="Y96" i="37" s="1"/>
  <c r="Z96" i="37" s="1"/>
  <c r="AA96" i="37" s="1"/>
  <c r="AB96" i="37" s="1"/>
  <c r="AC96" i="37" s="1"/>
  <c r="AD96" i="37" s="1"/>
  <c r="AE96" i="37" s="1"/>
  <c r="AF96" i="37" s="1"/>
  <c r="AG96" i="37" s="1"/>
  <c r="W99" i="37"/>
  <c r="X99" i="37" s="1"/>
  <c r="Y99" i="37" s="1"/>
  <c r="Z99" i="37" s="1"/>
  <c r="AA99" i="37" s="1"/>
  <c r="AB99" i="37" s="1"/>
  <c r="AC99" i="37" s="1"/>
  <c r="AD99" i="37" s="1"/>
  <c r="AE99" i="37" s="1"/>
  <c r="AF99" i="37" s="1"/>
  <c r="AG99" i="37" s="1"/>
  <c r="W110" i="37"/>
  <c r="X110" i="37" s="1"/>
  <c r="Y110" i="37" s="1"/>
  <c r="Z110" i="37" s="1"/>
  <c r="AA110" i="37" s="1"/>
  <c r="AB110" i="37" s="1"/>
  <c r="AC110" i="37" s="1"/>
  <c r="AD110" i="37" s="1"/>
  <c r="AE110" i="37" s="1"/>
  <c r="AF110" i="37" s="1"/>
  <c r="AG110" i="37" s="1"/>
  <c r="W120" i="37"/>
  <c r="X120" i="37" s="1"/>
  <c r="Y120" i="37" s="1"/>
  <c r="Z120" i="37" s="1"/>
  <c r="AA120" i="37" s="1"/>
  <c r="AB120" i="37" s="1"/>
  <c r="AC120" i="37" s="1"/>
  <c r="AD120" i="37" s="1"/>
  <c r="AE120" i="37" s="1"/>
  <c r="AF120" i="37" s="1"/>
  <c r="AG120" i="37" s="1"/>
  <c r="W72" i="37"/>
  <c r="X72" i="37" s="1"/>
  <c r="Y72" i="37" s="1"/>
  <c r="Z72" i="37" s="1"/>
  <c r="AA72" i="37" s="1"/>
  <c r="AB72" i="37" s="1"/>
  <c r="AC72" i="37" s="1"/>
  <c r="AD72" i="37" s="1"/>
  <c r="AE72" i="37" s="1"/>
  <c r="AF72" i="37" s="1"/>
  <c r="AG72" i="37" s="1"/>
  <c r="W77" i="37"/>
  <c r="X77" i="37" s="1"/>
  <c r="Y77" i="37" s="1"/>
  <c r="Z77" i="37" s="1"/>
  <c r="AA77" i="37" s="1"/>
  <c r="AB77" i="37" s="1"/>
  <c r="AC77" i="37" s="1"/>
  <c r="AD77" i="37" s="1"/>
  <c r="AE77" i="37" s="1"/>
  <c r="AF77" i="37" s="1"/>
  <c r="AG77" i="37" s="1"/>
  <c r="W85" i="37"/>
  <c r="X85" i="37" s="1"/>
  <c r="Y85" i="37" s="1"/>
  <c r="Z85" i="37" s="1"/>
  <c r="AA85" i="37" s="1"/>
  <c r="AB85" i="37" s="1"/>
  <c r="AC85" i="37" s="1"/>
  <c r="AD85" i="37" s="1"/>
  <c r="AE85" i="37" s="1"/>
  <c r="AF85" i="37" s="1"/>
  <c r="AG85" i="37" s="1"/>
  <c r="W75" i="37"/>
  <c r="X75" i="37" s="1"/>
  <c r="Y75" i="37" s="1"/>
  <c r="Z75" i="37" s="1"/>
  <c r="AA75" i="37" s="1"/>
  <c r="AB75" i="37" s="1"/>
  <c r="AC75" i="37" s="1"/>
  <c r="AD75" i="37" s="1"/>
  <c r="AE75" i="37" s="1"/>
  <c r="AF75" i="37" s="1"/>
  <c r="AG75" i="37" s="1"/>
  <c r="W82" i="37"/>
  <c r="X82" i="37" s="1"/>
  <c r="Y82" i="37" s="1"/>
  <c r="Z82" i="37" s="1"/>
  <c r="AA82" i="37" s="1"/>
  <c r="AB82" i="37" s="1"/>
  <c r="AC82" i="37" s="1"/>
  <c r="AD82" i="37" s="1"/>
  <c r="AE82" i="37" s="1"/>
  <c r="AF82" i="37" s="1"/>
  <c r="AG82" i="37" s="1"/>
  <c r="W104" i="37"/>
  <c r="X104" i="37" s="1"/>
  <c r="Y104" i="37" s="1"/>
  <c r="Z104" i="37" s="1"/>
  <c r="AA104" i="37" s="1"/>
  <c r="AB104" i="37" s="1"/>
  <c r="AC104" i="37" s="1"/>
  <c r="AD104" i="37" s="1"/>
  <c r="AE104" i="37" s="1"/>
  <c r="AF104" i="37" s="1"/>
  <c r="AG104" i="37" s="1"/>
  <c r="W123" i="37"/>
  <c r="X123" i="37" s="1"/>
  <c r="Y123" i="37" s="1"/>
  <c r="Z123" i="37" s="1"/>
  <c r="AA123" i="37" s="1"/>
  <c r="AB123" i="37" s="1"/>
  <c r="AC123" i="37" s="1"/>
  <c r="AD123" i="37" s="1"/>
  <c r="AE123" i="37" s="1"/>
  <c r="AF123" i="37" s="1"/>
  <c r="AG123" i="37" s="1"/>
  <c r="W130" i="37"/>
  <c r="X130" i="37" s="1"/>
  <c r="Y130" i="37" s="1"/>
  <c r="Z130" i="37" s="1"/>
  <c r="AA130" i="37" s="1"/>
  <c r="AB130" i="37" s="1"/>
  <c r="AC130" i="37" s="1"/>
  <c r="AD130" i="37" s="1"/>
  <c r="AE130" i="37" s="1"/>
  <c r="AF130" i="37" s="1"/>
  <c r="AG130" i="37" s="1"/>
  <c r="W86" i="37"/>
  <c r="X86" i="37" s="1"/>
  <c r="Y86" i="37" s="1"/>
  <c r="Z86" i="37" s="1"/>
  <c r="AA86" i="37" s="1"/>
  <c r="AB86" i="37" s="1"/>
  <c r="AC86" i="37" s="1"/>
  <c r="AD86" i="37" s="1"/>
  <c r="AE86" i="37" s="1"/>
  <c r="AF86" i="37" s="1"/>
  <c r="AG86" i="37" s="1"/>
  <c r="W71" i="37"/>
  <c r="X71" i="37" s="1"/>
  <c r="Y71" i="37" s="1"/>
  <c r="Z71" i="37" s="1"/>
  <c r="AA71" i="37" s="1"/>
  <c r="AB71" i="37" s="1"/>
  <c r="AC71" i="37" s="1"/>
  <c r="AD71" i="37" s="1"/>
  <c r="AE71" i="37" s="1"/>
  <c r="AF71" i="37" s="1"/>
  <c r="AG71" i="37" s="1"/>
  <c r="W94" i="37"/>
  <c r="X94" i="37" s="1"/>
  <c r="Y94" i="37" s="1"/>
  <c r="Z94" i="37" s="1"/>
  <c r="AA94" i="37" s="1"/>
  <c r="AB94" i="37" s="1"/>
  <c r="AC94" i="37" s="1"/>
  <c r="AD94" i="37" s="1"/>
  <c r="AE94" i="37" s="1"/>
  <c r="AF94" i="37" s="1"/>
  <c r="AG94" i="37" s="1"/>
  <c r="W100" i="37"/>
  <c r="X100" i="37" s="1"/>
  <c r="Y100" i="37" s="1"/>
  <c r="Z100" i="37" s="1"/>
  <c r="AA100" i="37" s="1"/>
  <c r="AB100" i="37" s="1"/>
  <c r="AC100" i="37" s="1"/>
  <c r="AD100" i="37" s="1"/>
  <c r="AE100" i="37" s="1"/>
  <c r="AF100" i="37" s="1"/>
  <c r="AG100" i="37" s="1"/>
  <c r="W125" i="37"/>
  <c r="X125" i="37" s="1"/>
  <c r="Y125" i="37" s="1"/>
  <c r="Z125" i="37" s="1"/>
  <c r="AA125" i="37" s="1"/>
  <c r="AB125" i="37" s="1"/>
  <c r="AC125" i="37" s="1"/>
  <c r="AD125" i="37" s="1"/>
  <c r="AE125" i="37" s="1"/>
  <c r="AF125" i="37" s="1"/>
  <c r="AG125" i="37" s="1"/>
  <c r="W84" i="37"/>
  <c r="X84" i="37" s="1"/>
  <c r="Y84" i="37" s="1"/>
  <c r="Z84" i="37" s="1"/>
  <c r="AA84" i="37" s="1"/>
  <c r="AB84" i="37" s="1"/>
  <c r="AC84" i="37" s="1"/>
  <c r="AD84" i="37" s="1"/>
  <c r="AE84" i="37" s="1"/>
  <c r="AF84" i="37" s="1"/>
  <c r="AG84" i="37" s="1"/>
  <c r="V62" i="37" a="1"/>
  <c r="V62" i="37" s="1"/>
  <c r="G193" i="37" s="1" a="1"/>
  <c r="G193" i="37" s="1"/>
  <c r="V126" i="37" a="1"/>
  <c r="V126" i="37" s="1"/>
  <c r="W126" i="37" s="1"/>
  <c r="X126" i="37" s="1"/>
  <c r="Y126" i="37" s="1"/>
  <c r="Z126" i="37" s="1"/>
  <c r="AA126" i="37" s="1"/>
  <c r="AB126" i="37" s="1"/>
  <c r="AC126" i="37" s="1"/>
  <c r="AD126" i="37" s="1"/>
  <c r="AE126" i="37" s="1"/>
  <c r="AF126" i="37" s="1"/>
  <c r="AG126" i="37" s="1"/>
  <c r="V55" i="37" a="1"/>
  <c r="V55" i="37" s="1"/>
  <c r="V119" i="37" a="1"/>
  <c r="V119" i="37" s="1"/>
  <c r="W119" i="37" s="1"/>
  <c r="X119" i="37" s="1"/>
  <c r="Y119" i="37" s="1"/>
  <c r="Z119" i="37" s="1"/>
  <c r="AA119" i="37" s="1"/>
  <c r="AB119" i="37" s="1"/>
  <c r="AC119" i="37" s="1"/>
  <c r="AD119" i="37" s="1"/>
  <c r="AE119" i="37" s="1"/>
  <c r="AF119" i="37" s="1"/>
  <c r="AG119" i="37" s="1"/>
  <c r="V45" i="37" a="1"/>
  <c r="V45" i="37" s="1"/>
  <c r="G176" i="37" s="1" a="1"/>
  <c r="G176" i="37" s="1"/>
  <c r="V109" i="37" a="1"/>
  <c r="V109" i="37" s="1"/>
  <c r="W109" i="37" s="1"/>
  <c r="X109" i="37" s="1"/>
  <c r="Y109" i="37" s="1"/>
  <c r="Z109" i="37" s="1"/>
  <c r="AA109" i="37" s="1"/>
  <c r="AB109" i="37" s="1"/>
  <c r="AC109" i="37" s="1"/>
  <c r="AD109" i="37" s="1"/>
  <c r="AE109" i="37" s="1"/>
  <c r="AF109" i="37" s="1"/>
  <c r="AG109" i="37" s="1"/>
  <c r="V57" i="37" a="1"/>
  <c r="V57" i="37" s="1"/>
  <c r="G188" i="37" s="1" a="1"/>
  <c r="G188" i="37" s="1"/>
  <c r="V121" i="37" a="1"/>
  <c r="V121" i="37" s="1"/>
  <c r="W121" i="37" s="1"/>
  <c r="X121" i="37" s="1"/>
  <c r="Y121" i="37" s="1"/>
  <c r="Z121" i="37" s="1"/>
  <c r="AA121" i="37" s="1"/>
  <c r="AB121" i="37" s="1"/>
  <c r="AC121" i="37" s="1"/>
  <c r="AD121" i="37" s="1"/>
  <c r="AE121" i="37" s="1"/>
  <c r="AF121" i="37" s="1"/>
  <c r="AG121" i="37" s="1"/>
  <c r="V67" i="37" a="1"/>
  <c r="V67" i="37" s="1"/>
  <c r="G198" i="37" s="1" a="1"/>
  <c r="G198" i="37" s="1"/>
  <c r="V131" i="37" a="1"/>
  <c r="V131" i="37" s="1"/>
  <c r="W131" i="37" s="1"/>
  <c r="X131" i="37" s="1"/>
  <c r="Y131" i="37" s="1"/>
  <c r="Z131" i="37" s="1"/>
  <c r="AA131" i="37" s="1"/>
  <c r="AB131" i="37" s="1"/>
  <c r="AC131" i="37" s="1"/>
  <c r="AD131" i="37" s="1"/>
  <c r="AE131" i="37" s="1"/>
  <c r="AF131" i="37" s="1"/>
  <c r="AG131" i="37" s="1"/>
  <c r="V43" i="37" a="1"/>
  <c r="V43" i="37" s="1"/>
  <c r="I174" i="37" s="1" a="1"/>
  <c r="I174" i="37" s="1"/>
  <c r="V107" i="37" a="1"/>
  <c r="V107" i="37" s="1"/>
  <c r="W107" i="37" s="1"/>
  <c r="X107" i="37" s="1"/>
  <c r="Y107" i="37" s="1"/>
  <c r="Z107" i="37" s="1"/>
  <c r="AA107" i="37" s="1"/>
  <c r="AB107" i="37" s="1"/>
  <c r="AC107" i="37" s="1"/>
  <c r="AD107" i="37" s="1"/>
  <c r="AE107" i="37" s="1"/>
  <c r="AF107" i="37" s="1"/>
  <c r="AG107" i="37" s="1"/>
  <c r="V33" i="37" a="1"/>
  <c r="V33" i="37" s="1"/>
  <c r="G164" i="37" s="1" a="1"/>
  <c r="G164" i="37" s="1"/>
  <c r="V97" i="37" a="1"/>
  <c r="V97" i="37" s="1"/>
  <c r="W97" i="37" s="1"/>
  <c r="X97" i="37" s="1"/>
  <c r="Y97" i="37" s="1"/>
  <c r="Z97" i="37" s="1"/>
  <c r="AA97" i="37" s="1"/>
  <c r="AB97" i="37" s="1"/>
  <c r="AC97" i="37" s="1"/>
  <c r="AD97" i="37" s="1"/>
  <c r="AE97" i="37" s="1"/>
  <c r="AF97" i="37" s="1"/>
  <c r="AG97" i="37" s="1"/>
  <c r="G173" i="37" a="1"/>
  <c r="G173" i="37" s="1"/>
  <c r="H237" i="37" a="1"/>
  <c r="H237" i="37" s="1"/>
  <c r="G237" i="37" a="1"/>
  <c r="G237" i="37" s="1"/>
  <c r="J1040" i="40" s="1" a="1"/>
  <c r="J1040" i="40" s="1"/>
  <c r="V49" i="37" a="1"/>
  <c r="V49" i="37" s="1"/>
  <c r="G180" i="37" s="1" a="1"/>
  <c r="G180" i="37" s="1"/>
  <c r="V113" i="37" a="1"/>
  <c r="V113" i="37" s="1"/>
  <c r="W113" i="37" s="1"/>
  <c r="X113" i="37" s="1"/>
  <c r="Y113" i="37" s="1"/>
  <c r="Z113" i="37" s="1"/>
  <c r="AA113" i="37" s="1"/>
  <c r="AB113" i="37" s="1"/>
  <c r="AC113" i="37" s="1"/>
  <c r="AD113" i="37" s="1"/>
  <c r="AE113" i="37" s="1"/>
  <c r="AF113" i="37" s="1"/>
  <c r="AG113" i="37" s="1"/>
  <c r="G235" i="37" a="1"/>
  <c r="G235" i="37" s="1"/>
  <c r="J1039" i="40" s="1" a="1"/>
  <c r="J1039" i="40" s="1"/>
  <c r="G261" i="37" a="1"/>
  <c r="G261" i="37" s="1"/>
  <c r="J1292" i="40" s="1" a="1"/>
  <c r="J1292" i="40" s="1"/>
  <c r="V41" i="37" a="1"/>
  <c r="V41" i="37" s="1"/>
  <c r="G172" i="37" s="1" a="1"/>
  <c r="G172" i="37" s="1"/>
  <c r="V105" i="37" a="1"/>
  <c r="V105" i="37" s="1"/>
  <c r="W105" i="37" s="1"/>
  <c r="X105" i="37" s="1"/>
  <c r="Y105" i="37" s="1"/>
  <c r="Z105" i="37" s="1"/>
  <c r="AA105" i="37" s="1"/>
  <c r="AB105" i="37" s="1"/>
  <c r="AC105" i="37" s="1"/>
  <c r="AD105" i="37" s="1"/>
  <c r="AE105" i="37" s="1"/>
  <c r="AF105" i="37" s="1"/>
  <c r="AG105" i="37" s="1"/>
  <c r="V44" i="37" a="1"/>
  <c r="V44" i="37" s="1"/>
  <c r="V108" i="37" a="1"/>
  <c r="V108" i="37" s="1"/>
  <c r="W108" i="37" s="1"/>
  <c r="X108" i="37" s="1"/>
  <c r="Y108" i="37" s="1"/>
  <c r="Z108" i="37" s="1"/>
  <c r="AA108" i="37" s="1"/>
  <c r="AB108" i="37" s="1"/>
  <c r="AC108" i="37" s="1"/>
  <c r="AD108" i="37" s="1"/>
  <c r="AE108" i="37" s="1"/>
  <c r="AF108" i="37" s="1"/>
  <c r="AG108" i="37" s="1"/>
  <c r="V54" i="37" a="1"/>
  <c r="V54" i="37" s="1"/>
  <c r="G185" i="37" s="1" a="1"/>
  <c r="G185" i="37" s="1"/>
  <c r="V118" i="37" a="1"/>
  <c r="V118" i="37" s="1"/>
  <c r="W118" i="37" s="1"/>
  <c r="X118" i="37" s="1"/>
  <c r="Y118" i="37" s="1"/>
  <c r="Z118" i="37" s="1"/>
  <c r="AA118" i="37" s="1"/>
  <c r="AB118" i="37" s="1"/>
  <c r="AC118" i="37" s="1"/>
  <c r="AD118" i="37" s="1"/>
  <c r="AE118" i="37" s="1"/>
  <c r="AF118" i="37" s="1"/>
  <c r="AG118" i="37" s="1"/>
  <c r="V68" i="37" a="1"/>
  <c r="V68" i="37" s="1"/>
  <c r="G199" i="37" s="1" a="1"/>
  <c r="G199" i="37" s="1"/>
  <c r="V132" i="37" a="1"/>
  <c r="V132" i="37" s="1"/>
  <c r="W132" i="37" s="1"/>
  <c r="X132" i="37" s="1"/>
  <c r="Y132" i="37" s="1"/>
  <c r="Z132" i="37" s="1"/>
  <c r="AA132" i="37" s="1"/>
  <c r="AB132" i="37" s="1"/>
  <c r="AC132" i="37" s="1"/>
  <c r="AD132" i="37" s="1"/>
  <c r="AE132" i="37" s="1"/>
  <c r="AF132" i="37" s="1"/>
  <c r="AG132" i="37" s="1"/>
  <c r="G229" i="37" a="1"/>
  <c r="G229" i="37" s="1"/>
  <c r="J1006" i="40" s="1" a="1"/>
  <c r="J1006" i="40" s="1"/>
  <c r="H238" i="37" a="1"/>
  <c r="H238" i="37" s="1"/>
  <c r="G174" i="37" a="1"/>
  <c r="G174" i="37" s="1"/>
  <c r="G238" i="37" a="1"/>
  <c r="G238" i="37" s="1"/>
  <c r="J1041" i="40" s="1" a="1"/>
  <c r="J1041" i="40" s="1"/>
  <c r="V60" i="37" a="1"/>
  <c r="V60" i="37" s="1"/>
  <c r="I191" i="37" s="1" a="1"/>
  <c r="I191" i="37" s="1"/>
  <c r="V124" i="37" a="1"/>
  <c r="V124" i="37" s="1"/>
  <c r="W124" i="37" s="1"/>
  <c r="X124" i="37" s="1"/>
  <c r="Y124" i="37" s="1"/>
  <c r="Z124" i="37" s="1"/>
  <c r="AA124" i="37" s="1"/>
  <c r="AB124" i="37" s="1"/>
  <c r="AC124" i="37" s="1"/>
  <c r="AD124" i="37" s="1"/>
  <c r="AE124" i="37" s="1"/>
  <c r="AF124" i="37" s="1"/>
  <c r="AG124" i="37" s="1"/>
  <c r="G225" i="37" a="1"/>
  <c r="G225" i="37" s="1"/>
  <c r="J742" i="40" s="1" a="1"/>
  <c r="J742" i="40" s="1"/>
  <c r="H225" i="37" a="1"/>
  <c r="H225" i="37" s="1"/>
  <c r="V38" i="37" a="1"/>
  <c r="V38" i="37" s="1"/>
  <c r="G169" i="37" s="1" a="1"/>
  <c r="G169" i="37" s="1"/>
  <c r="V102" i="37" a="1"/>
  <c r="V102" i="37" s="1"/>
  <c r="W102" i="37" s="1"/>
  <c r="X102" i="37" s="1"/>
  <c r="Y102" i="37" s="1"/>
  <c r="Z102" i="37" s="1"/>
  <c r="AA102" i="37" s="1"/>
  <c r="AB102" i="37" s="1"/>
  <c r="AC102" i="37" s="1"/>
  <c r="AD102" i="37" s="1"/>
  <c r="AE102" i="37" s="1"/>
  <c r="AF102" i="37" s="1"/>
  <c r="AG102" i="37" s="1"/>
  <c r="V28" i="37" a="1"/>
  <c r="V28" i="37" s="1"/>
  <c r="G159" i="37" s="1" a="1"/>
  <c r="G159" i="37" s="1"/>
  <c r="V92" i="37" a="1"/>
  <c r="V92" i="37" s="1"/>
  <c r="W92" i="37" s="1"/>
  <c r="X92" i="37" s="1"/>
  <c r="Y92" i="37" s="1"/>
  <c r="Z92" i="37" s="1"/>
  <c r="AA92" i="37" s="1"/>
  <c r="AB92" i="37" s="1"/>
  <c r="AC92" i="37" s="1"/>
  <c r="AD92" i="37" s="1"/>
  <c r="AE92" i="37" s="1"/>
  <c r="AF92" i="37" s="1"/>
  <c r="AG92" i="37" s="1"/>
  <c r="V27" i="37" a="1"/>
  <c r="V27" i="37" s="1"/>
  <c r="G158" i="37" s="1" a="1"/>
  <c r="G158" i="37" s="1"/>
  <c r="V91" i="37" a="1"/>
  <c r="V91" i="37" s="1"/>
  <c r="W91" i="37" s="1"/>
  <c r="X91" i="37" s="1"/>
  <c r="Y91" i="37" s="1"/>
  <c r="Z91" i="37" s="1"/>
  <c r="AA91" i="37" s="1"/>
  <c r="AB91" i="37" s="1"/>
  <c r="AC91" i="37" s="1"/>
  <c r="AD91" i="37" s="1"/>
  <c r="AE91" i="37" s="1"/>
  <c r="AF91" i="37" s="1"/>
  <c r="AG91" i="37" s="1"/>
  <c r="G156" i="37" a="1"/>
  <c r="G156" i="37" s="1"/>
  <c r="H220" i="37" a="1"/>
  <c r="H220" i="37" s="1"/>
  <c r="G220" i="37" a="1"/>
  <c r="G220" i="37" s="1"/>
  <c r="J897" i="40" s="1" a="1"/>
  <c r="J897" i="40" s="1"/>
  <c r="V24" i="37" a="1"/>
  <c r="V24" i="37" s="1"/>
  <c r="I155" i="37" s="1" a="1"/>
  <c r="I155" i="37" s="1"/>
  <c r="J196" i="40" s="1" a="1"/>
  <c r="J196" i="40" s="1"/>
  <c r="V88" i="37" a="1"/>
  <c r="V88" i="37" s="1"/>
  <c r="W88" i="37" s="1"/>
  <c r="X88" i="37" s="1"/>
  <c r="Y88" i="37" s="1"/>
  <c r="Z88" i="37" s="1"/>
  <c r="AA88" i="37" s="1"/>
  <c r="AB88" i="37" s="1"/>
  <c r="AC88" i="37" s="1"/>
  <c r="AD88" i="37" s="1"/>
  <c r="AE88" i="37" s="1"/>
  <c r="AF88" i="37" s="1"/>
  <c r="AG88" i="37" s="1"/>
  <c r="G155" i="37" a="1"/>
  <c r="G155" i="37" s="1"/>
  <c r="G219" i="37" a="1"/>
  <c r="G219" i="37" s="1"/>
  <c r="J896" i="40" s="1" a="1"/>
  <c r="J896" i="40" s="1"/>
  <c r="H219" i="37" a="1"/>
  <c r="H219" i="37" s="1"/>
  <c r="G218" i="37" a="1"/>
  <c r="G218" i="37" s="1"/>
  <c r="J885" i="40" s="1" a="1"/>
  <c r="J885" i="40" s="1"/>
  <c r="G217" i="37" a="1"/>
  <c r="G217" i="37" s="1"/>
  <c r="J863" i="40" s="1" a="1"/>
  <c r="J863" i="40" s="1"/>
  <c r="V19" i="37" a="1"/>
  <c r="V19" i="37" s="1"/>
  <c r="G150" i="37" s="1" a="1"/>
  <c r="G150" i="37" s="1"/>
  <c r="V83" i="37" a="1"/>
  <c r="V83" i="37" s="1"/>
  <c r="W83" i="37" s="1"/>
  <c r="X83" i="37" s="1"/>
  <c r="Y83" i="37" s="1"/>
  <c r="Z83" i="37" s="1"/>
  <c r="AA83" i="37" s="1"/>
  <c r="AB83" i="37" s="1"/>
  <c r="AC83" i="37" s="1"/>
  <c r="AD83" i="37" s="1"/>
  <c r="AE83" i="37" s="1"/>
  <c r="AF83" i="37" s="1"/>
  <c r="AG83" i="37" s="1"/>
  <c r="G213" i="37" a="1"/>
  <c r="G213" i="37" s="1"/>
  <c r="J841" i="40" s="1" a="1"/>
  <c r="J841" i="40" s="1"/>
  <c r="V14" i="37" a="1"/>
  <c r="V14" i="37" s="1"/>
  <c r="G145" i="37" s="1" a="1"/>
  <c r="G145" i="37" s="1"/>
  <c r="V78" i="37" a="1"/>
  <c r="V78" i="37" s="1"/>
  <c r="W78" i="37" s="1"/>
  <c r="X78" i="37" s="1"/>
  <c r="Y78" i="37" s="1"/>
  <c r="Z78" i="37" s="1"/>
  <c r="AA78" i="37" s="1"/>
  <c r="AB78" i="37" s="1"/>
  <c r="AC78" i="37" s="1"/>
  <c r="AD78" i="37" s="1"/>
  <c r="AE78" i="37" s="1"/>
  <c r="AF78" i="37" s="1"/>
  <c r="AG78" i="37" s="1"/>
  <c r="G211" i="37" a="1"/>
  <c r="G211" i="37" s="1"/>
  <c r="J808" i="40" s="1" a="1"/>
  <c r="J808" i="40" s="1"/>
  <c r="G207" i="37" a="1"/>
  <c r="G207" i="37" s="1"/>
  <c r="J1347" i="40" s="1" a="1"/>
  <c r="J1347" i="40" s="1"/>
  <c r="V5" i="37" a="1"/>
  <c r="V5" i="37" s="1"/>
  <c r="G136" i="37" s="1" a="1"/>
  <c r="G136" i="37" s="1"/>
  <c r="V69" i="37" a="1"/>
  <c r="V69" i="37" s="1"/>
  <c r="W69" i="37" s="1"/>
  <c r="X69" i="37" s="1"/>
  <c r="Y69" i="37" s="1"/>
  <c r="Z69" i="37" s="1"/>
  <c r="AA69" i="37" s="1"/>
  <c r="AB69" i="37" s="1"/>
  <c r="AC69" i="37" s="1"/>
  <c r="AD69" i="37" s="1"/>
  <c r="AE69" i="37" s="1"/>
  <c r="AF69" i="37" s="1"/>
  <c r="AG69" i="37" s="1"/>
  <c r="H33" i="37" a="1"/>
  <c r="H33" i="37" s="1"/>
  <c r="H67" i="37" a="1"/>
  <c r="H67" i="37" s="1"/>
  <c r="H48" i="37" a="1"/>
  <c r="H48" i="37" s="1"/>
  <c r="H21" i="37" a="1"/>
  <c r="H21" i="37" s="1"/>
  <c r="H18" i="37" a="1"/>
  <c r="H18" i="37" s="1"/>
  <c r="H63" i="37" a="1"/>
  <c r="H63" i="37" s="1"/>
  <c r="H50" i="37" a="1"/>
  <c r="H50" i="37" s="1"/>
  <c r="H17" i="37" a="1"/>
  <c r="H17" i="37" s="1"/>
  <c r="H14" i="37" a="1"/>
  <c r="H14" i="37" s="1"/>
  <c r="H44" i="37" a="1"/>
  <c r="H44" i="37" s="1"/>
  <c r="H51" i="37" a="1"/>
  <c r="H51" i="37" s="1"/>
  <c r="H62" i="37" a="1"/>
  <c r="H62" i="37" s="1"/>
  <c r="H46" i="37" a="1"/>
  <c r="H46" i="37" s="1"/>
  <c r="H13" i="37" a="1"/>
  <c r="H13" i="37" s="1"/>
  <c r="H34" i="37" a="1"/>
  <c r="H34" i="37" s="1"/>
  <c r="H15" i="37" a="1"/>
  <c r="H15" i="37" s="1"/>
  <c r="H28" i="37" a="1"/>
  <c r="H28" i="37" s="1"/>
  <c r="H47" i="37" a="1"/>
  <c r="H47" i="37" s="1"/>
  <c r="H23" i="37" a="1"/>
  <c r="H23" i="37" s="1"/>
  <c r="H61" i="37" a="1"/>
  <c r="H61" i="37" s="1"/>
  <c r="H20" i="37" a="1"/>
  <c r="H20" i="37" s="1"/>
  <c r="H45" i="37" a="1"/>
  <c r="H45" i="37" s="1"/>
  <c r="H49" i="37" a="1"/>
  <c r="H49" i="37" s="1"/>
  <c r="H19" i="37" a="1"/>
  <c r="H19" i="37" s="1"/>
  <c r="H26" i="37" a="1"/>
  <c r="H26" i="37" s="1"/>
  <c r="H22" i="37" a="1"/>
  <c r="H22" i="37" s="1"/>
  <c r="H16" i="37" a="1"/>
  <c r="H16" i="37" s="1"/>
  <c r="H10" i="37" a="1"/>
  <c r="H10" i="37" s="1"/>
  <c r="H37" i="37" a="1"/>
  <c r="H37" i="37" s="1"/>
  <c r="H52" i="37" a="1"/>
  <c r="H52" i="37" s="1"/>
  <c r="H36" i="37" a="1"/>
  <c r="H36" i="37" s="1"/>
  <c r="H64" i="37" a="1"/>
  <c r="H64" i="37" s="1"/>
  <c r="H55" i="37" a="1"/>
  <c r="H55" i="37" s="1"/>
  <c r="H65" i="37" a="1"/>
  <c r="H65" i="37" s="1"/>
  <c r="H32" i="37" a="1"/>
  <c r="H32" i="37" s="1"/>
  <c r="H43" i="37" a="1"/>
  <c r="H43" i="37" s="1"/>
  <c r="H6" i="37" a="1"/>
  <c r="H6" i="37" s="1"/>
  <c r="H12" i="37" a="1"/>
  <c r="H12" i="37" s="1"/>
  <c r="H7" i="37" a="1"/>
  <c r="H7" i="37" s="1"/>
  <c r="H57" i="37" a="1"/>
  <c r="H57" i="37" s="1"/>
  <c r="H38" i="37" a="1"/>
  <c r="H38" i="37" s="1"/>
  <c r="H9" i="37" a="1"/>
  <c r="H9" i="37" s="1"/>
  <c r="H42" i="37" a="1"/>
  <c r="H42" i="37" s="1"/>
  <c r="H68" i="37" a="1"/>
  <c r="H68" i="37" s="1"/>
  <c r="H5" i="37" a="1"/>
  <c r="H5" i="37" s="1"/>
  <c r="H31" i="37" a="1"/>
  <c r="H31" i="37" s="1"/>
  <c r="H56" i="37" a="1"/>
  <c r="H56" i="37" s="1"/>
  <c r="H27" i="37" a="1"/>
  <c r="H27" i="37" s="1"/>
  <c r="H30" i="37" a="1"/>
  <c r="H30" i="37" s="1"/>
  <c r="H53" i="37" a="1"/>
  <c r="H53" i="37" s="1"/>
  <c r="H60" i="37" a="1"/>
  <c r="H60" i="37" s="1"/>
  <c r="H39" i="37" a="1"/>
  <c r="H39" i="37" s="1"/>
  <c r="H35" i="37" a="1"/>
  <c r="H35" i="37" s="1"/>
  <c r="H58" i="37" a="1"/>
  <c r="H58" i="37" s="1"/>
  <c r="H54" i="37" a="1"/>
  <c r="H54" i="37" s="1"/>
  <c r="H8" i="37" a="1"/>
  <c r="H8" i="37" s="1"/>
  <c r="H40" i="37" a="1"/>
  <c r="H40" i="37" s="1"/>
  <c r="H24" i="37" a="1"/>
  <c r="H24" i="37" s="1"/>
  <c r="H25" i="37" a="1"/>
  <c r="H25" i="37" s="1"/>
  <c r="H59" i="37" a="1"/>
  <c r="H59" i="37" s="1"/>
  <c r="H66" i="37" a="1"/>
  <c r="H66" i="37" s="1"/>
  <c r="H41" i="37" a="1"/>
  <c r="H41" i="37" s="1"/>
  <c r="H29" i="37" a="1"/>
  <c r="H29" i="37" s="1"/>
  <c r="H11" i="37" a="1"/>
  <c r="H11" i="37" s="1"/>
  <c r="I11" i="37" a="1"/>
  <c r="I11" i="37" s="1"/>
  <c r="I38" i="37" a="1"/>
  <c r="I38" i="37" s="1"/>
  <c r="I7" i="37" a="1"/>
  <c r="I7" i="37" s="1"/>
  <c r="I41" i="37" a="1"/>
  <c r="I41" i="37" s="1"/>
  <c r="I65" i="37" a="1"/>
  <c r="I65" i="37" s="1"/>
  <c r="I9" i="37" a="1"/>
  <c r="I9" i="37" s="1"/>
  <c r="I35" i="37" a="1"/>
  <c r="I35" i="37" s="1"/>
  <c r="I30" i="37" a="1"/>
  <c r="I30" i="37" s="1"/>
  <c r="I10" i="37" a="1"/>
  <c r="I10" i="37" s="1"/>
  <c r="I12" i="37" a="1"/>
  <c r="I12" i="37" s="1"/>
  <c r="I42" i="37" a="1"/>
  <c r="I42" i="37" s="1"/>
  <c r="I27" i="37" a="1"/>
  <c r="I27" i="37" s="1"/>
  <c r="I58" i="37" a="1"/>
  <c r="I58" i="37" s="1"/>
  <c r="I68" i="37" a="1"/>
  <c r="I68" i="37" s="1"/>
  <c r="I60" i="37" a="1"/>
  <c r="I60" i="37" s="1"/>
  <c r="I24" i="37" a="1"/>
  <c r="I24" i="37" s="1"/>
  <c r="I57" i="37" a="1"/>
  <c r="I57" i="37" s="1"/>
  <c r="I36" i="37" a="1"/>
  <c r="I36" i="37" s="1"/>
  <c r="I66" i="37" a="1"/>
  <c r="I66" i="37" s="1"/>
  <c r="I25" i="37" a="1"/>
  <c r="I25" i="37" s="1"/>
  <c r="I53" i="37" a="1"/>
  <c r="I53" i="37" s="1"/>
  <c r="I8" i="37" a="1"/>
  <c r="I8" i="37" s="1"/>
  <c r="I52" i="37" a="1"/>
  <c r="I52" i="37" s="1"/>
  <c r="I59" i="37" a="1"/>
  <c r="I59" i="37" s="1"/>
  <c r="I54" i="37" a="1"/>
  <c r="I54" i="37" s="1"/>
  <c r="I5" i="37" a="1"/>
  <c r="I5" i="37" s="1"/>
  <c r="I55" i="37" a="1"/>
  <c r="I55" i="37" s="1"/>
  <c r="I31" i="37" a="1"/>
  <c r="I31" i="37" s="1"/>
  <c r="I64" i="37" a="1"/>
  <c r="I64" i="37" s="1"/>
  <c r="I40" i="37" a="1"/>
  <c r="I40" i="37" s="1"/>
  <c r="I56" i="37" a="1"/>
  <c r="I56" i="37" s="1"/>
  <c r="I43" i="37" a="1"/>
  <c r="I43" i="37" s="1"/>
  <c r="I39" i="37" a="1"/>
  <c r="I39" i="37" s="1"/>
  <c r="I37" i="37" a="1"/>
  <c r="I37" i="37" s="1"/>
  <c r="I6" i="37" a="1"/>
  <c r="I6" i="37" s="1"/>
  <c r="I29" i="37" a="1"/>
  <c r="I29" i="37" s="1"/>
  <c r="I32" i="37" a="1"/>
  <c r="I32" i="37" s="1"/>
  <c r="I51" i="37" a="1"/>
  <c r="I51" i="37" s="1"/>
  <c r="I45" i="37" a="1"/>
  <c r="I45" i="37" s="1"/>
  <c r="I44" i="37" a="1"/>
  <c r="I44" i="37" s="1"/>
  <c r="I22" i="37" a="1"/>
  <c r="I22" i="37" s="1"/>
  <c r="I67" i="37" a="1"/>
  <c r="I67" i="37" s="1"/>
  <c r="I61" i="37" a="1"/>
  <c r="I61" i="37" s="1"/>
  <c r="I16" i="37" a="1"/>
  <c r="I16" i="37" s="1"/>
  <c r="I21" i="37" a="1"/>
  <c r="I21" i="37" s="1"/>
  <c r="I34" i="37" a="1"/>
  <c r="I34" i="37" s="1"/>
  <c r="I50" i="37" a="1"/>
  <c r="I50" i="37" s="1"/>
  <c r="I33" i="37" a="1"/>
  <c r="I33" i="37" s="1"/>
  <c r="I26" i="37" a="1"/>
  <c r="I26" i="37" s="1"/>
  <c r="I13" i="37" a="1"/>
  <c r="I13" i="37" s="1"/>
  <c r="I19" i="37" a="1"/>
  <c r="I19" i="37" s="1"/>
  <c r="I28" i="37" a="1"/>
  <c r="I28" i="37" s="1"/>
  <c r="I63" i="37" a="1"/>
  <c r="I63" i="37" s="1"/>
  <c r="I62" i="37" a="1"/>
  <c r="I62" i="37" s="1"/>
  <c r="I47" i="37" a="1"/>
  <c r="I47" i="37" s="1"/>
  <c r="I23" i="37" a="1"/>
  <c r="I23" i="37" s="1"/>
  <c r="I20" i="37" a="1"/>
  <c r="I20" i="37" s="1"/>
  <c r="I18" i="37" a="1"/>
  <c r="I18" i="37" s="1"/>
  <c r="I17" i="37" a="1"/>
  <c r="I17" i="37" s="1"/>
  <c r="I48" i="37" a="1"/>
  <c r="I48" i="37" s="1"/>
  <c r="I46" i="37" a="1"/>
  <c r="I46" i="37" s="1"/>
  <c r="I15" i="37" a="1"/>
  <c r="I15" i="37" s="1"/>
  <c r="I14" i="37" a="1"/>
  <c r="I14" i="37" s="1"/>
  <c r="I49" i="37" a="1"/>
  <c r="I49" i="37" s="1"/>
  <c r="A11" i="44"/>
  <c r="P51" i="3"/>
  <c r="O84" i="43" s="1" a="1"/>
  <c r="O84" i="43" s="1"/>
  <c r="H155" i="37" a="1"/>
  <c r="H155" i="37" s="1"/>
  <c r="K192" i="40" s="1" a="1"/>
  <c r="K192" i="40" s="1"/>
  <c r="H173" i="37" a="1"/>
  <c r="H173" i="37" s="1"/>
  <c r="J340" i="40" s="1" a="1"/>
  <c r="J340" i="40" s="1"/>
  <c r="O114" i="43" a="1"/>
  <c r="O114" i="43" s="1"/>
  <c r="H156" i="37" a="1"/>
  <c r="H156" i="37" s="1"/>
  <c r="J195" i="40" s="1" a="1"/>
  <c r="J195" i="40" s="1"/>
  <c r="H174" i="37" a="1"/>
  <c r="H174" i="37" s="1"/>
  <c r="J341" i="40" s="1" a="1"/>
  <c r="J341" i="40" s="1"/>
  <c r="C14" i="49"/>
  <c r="C12" i="49"/>
  <c r="C11" i="49"/>
  <c r="C10" i="49"/>
  <c r="C13" i="49"/>
  <c r="V52" i="37" a="1"/>
  <c r="V52" i="37" s="1"/>
  <c r="V53" i="37" a="1"/>
  <c r="V53" i="37" s="1"/>
  <c r="P150" i="43" a="1"/>
  <c r="P150" i="43" s="1"/>
  <c r="S150" i="43" a="1"/>
  <c r="S150" i="43" s="1"/>
  <c r="AA150" i="43" a="1"/>
  <c r="AA150" i="43" s="1"/>
  <c r="N151" i="43" a="1"/>
  <c r="N151" i="43" s="1"/>
  <c r="A150" i="43"/>
  <c r="M150" i="43" a="1"/>
  <c r="M150" i="43" s="1"/>
  <c r="P151" i="43" a="1"/>
  <c r="P151" i="43" s="1"/>
  <c r="S151" i="43" a="1"/>
  <c r="S151" i="43" s="1"/>
  <c r="AA151" i="43" a="1"/>
  <c r="AA151" i="43" s="1"/>
  <c r="R150" i="43" a="1"/>
  <c r="R150" i="43" s="1"/>
  <c r="W150" i="43" s="1"/>
  <c r="A151" i="43"/>
  <c r="Q150" i="43" a="1"/>
  <c r="Q150" i="43" s="1"/>
  <c r="V150" i="43" s="1"/>
  <c r="T150" i="43" a="1"/>
  <c r="T150" i="43" s="1"/>
  <c r="AB150" i="43" a="1"/>
  <c r="AB150" i="43" s="1"/>
  <c r="M151" i="43" a="1"/>
  <c r="M151" i="43" s="1"/>
  <c r="T151" i="43" a="1"/>
  <c r="T151" i="43" s="1"/>
  <c r="AC150" i="43" a="1"/>
  <c r="AC150" i="43" s="1"/>
  <c r="AE150" i="43" a="1"/>
  <c r="AE150" i="43" s="1"/>
  <c r="AG150" i="43" s="1"/>
  <c r="Q151" i="43" a="1"/>
  <c r="Q151" i="43" s="1"/>
  <c r="V151" i="43" s="1"/>
  <c r="AD150" i="43" a="1"/>
  <c r="AD150" i="43" s="1"/>
  <c r="N150" i="43" a="1"/>
  <c r="N150" i="43" s="1"/>
  <c r="AD151" i="43" a="1"/>
  <c r="AD151" i="43" s="1"/>
  <c r="O151" i="43" a="1"/>
  <c r="O151" i="43" s="1"/>
  <c r="R151" i="43" a="1"/>
  <c r="R151" i="43" s="1"/>
  <c r="W151" i="43" s="1"/>
  <c r="AE151" i="43" a="1"/>
  <c r="AE151" i="43" s="1"/>
  <c r="AG151" i="43" s="1"/>
  <c r="O150" i="43" a="1"/>
  <c r="O150" i="43" s="1"/>
  <c r="AC151" i="43" a="1"/>
  <c r="AC151" i="43" s="1"/>
  <c r="AB151" i="43" a="1"/>
  <c r="AB151" i="43" s="1"/>
  <c r="V9" i="37" a="1"/>
  <c r="V9" i="37" s="1"/>
  <c r="V40" i="37" a="1"/>
  <c r="V40" i="37" s="1"/>
  <c r="G171" i="37" s="1" a="1"/>
  <c r="G171" i="37" s="1"/>
  <c r="V31" i="37" a="1"/>
  <c r="V31" i="37" s="1"/>
  <c r="V15" i="37" a="1"/>
  <c r="V15" i="37" s="1"/>
  <c r="V6" i="37" a="1"/>
  <c r="V6" i="37" s="1"/>
  <c r="V29" i="37" a="1"/>
  <c r="V29" i="37" s="1"/>
  <c r="V47" i="37" a="1"/>
  <c r="V47" i="37" s="1"/>
  <c r="V59" i="37" a="1"/>
  <c r="V59" i="37" s="1"/>
  <c r="V8" i="37" a="1"/>
  <c r="V8" i="37" s="1"/>
  <c r="V17" i="37" a="1"/>
  <c r="V17" i="37" s="1"/>
  <c r="V23" i="37" a="1"/>
  <c r="V23" i="37" s="1"/>
  <c r="G154" i="37" s="1" a="1"/>
  <c r="G154" i="37" s="1"/>
  <c r="V32" i="37" a="1"/>
  <c r="V32" i="37" s="1"/>
  <c r="V25" i="37" a="1"/>
  <c r="V25" i="37" s="1"/>
  <c r="V39" i="37" a="1"/>
  <c r="V39" i="37" s="1"/>
  <c r="V10" i="37" a="1"/>
  <c r="V10" i="37" s="1"/>
  <c r="V11" i="37" a="1"/>
  <c r="V11" i="37" s="1"/>
  <c r="V16" i="37" a="1"/>
  <c r="V16" i="37" s="1"/>
  <c r="G147" i="37" s="1" a="1"/>
  <c r="G147" i="37" s="1"/>
  <c r="V13" i="37" a="1"/>
  <c r="V13" i="37" s="1"/>
  <c r="V18" i="37" a="1"/>
  <c r="V18" i="37" s="1"/>
  <c r="G149" i="37" s="1" a="1"/>
  <c r="G149" i="37" s="1"/>
  <c r="V21" i="37" a="1"/>
  <c r="V21" i="37" s="1"/>
  <c r="V58" i="37" a="1"/>
  <c r="V58" i="37" s="1"/>
  <c r="V65" i="37" a="1"/>
  <c r="V65" i="37" s="1"/>
  <c r="V20" i="37" a="1"/>
  <c r="V20" i="37" s="1"/>
  <c r="V37" i="37" a="1"/>
  <c r="V37" i="37" s="1"/>
  <c r="V7" i="37" a="1"/>
  <c r="V7" i="37" s="1"/>
  <c r="V61" i="37" a="1"/>
  <c r="V61" i="37" s="1"/>
  <c r="V50" i="37" a="1"/>
  <c r="V50" i="37" s="1"/>
  <c r="V12" i="37" a="1"/>
  <c r="V12" i="37" s="1"/>
  <c r="G143" i="37" s="1" a="1"/>
  <c r="G143" i="37" s="1"/>
  <c r="V22" i="37" a="1"/>
  <c r="V22" i="37" s="1"/>
  <c r="G153" i="37" s="1" a="1"/>
  <c r="G153" i="37" s="1"/>
  <c r="V30" i="37" a="1"/>
  <c r="V30" i="37" s="1"/>
  <c r="G161" i="37" s="1" a="1"/>
  <c r="G161" i="37" s="1"/>
  <c r="V34" i="37" a="1"/>
  <c r="V34" i="37" s="1"/>
  <c r="G165" i="37" s="1" a="1"/>
  <c r="G165" i="37" s="1"/>
  <c r="V42" i="37" a="1"/>
  <c r="V42" i="37" s="1"/>
  <c r="V35" i="37" a="1"/>
  <c r="V35" i="37" s="1"/>
  <c r="V36" i="37" a="1"/>
  <c r="V36" i="37" s="1"/>
  <c r="V46" i="37" a="1"/>
  <c r="V46" i="37" s="1"/>
  <c r="V66" i="37" a="1"/>
  <c r="V66" i="37" s="1"/>
  <c r="G197" i="37" s="1" a="1"/>
  <c r="G197" i="37" s="1"/>
  <c r="V56" i="37" a="1"/>
  <c r="V56" i="37" s="1"/>
  <c r="V64" i="37" a="1"/>
  <c r="V64" i="37" s="1"/>
  <c r="V63" i="37" a="1"/>
  <c r="V63" i="37" s="1"/>
  <c r="V26" i="37" a="1"/>
  <c r="V26" i="37" s="1"/>
  <c r="AD52" i="43" a="1"/>
  <c r="AD52" i="43" s="1"/>
  <c r="F6" i="44"/>
  <c r="F21" i="44"/>
  <c r="R135" i="43" a="1"/>
  <c r="R135" i="43" s="1"/>
  <c r="R51" i="43" a="1"/>
  <c r="R51" i="43" s="1"/>
  <c r="S52" i="43" a="1"/>
  <c r="S52" i="43" s="1"/>
  <c r="P52" i="43" a="1"/>
  <c r="P52" i="43" s="1"/>
  <c r="O52" i="43" a="1"/>
  <c r="O52" i="43" s="1"/>
  <c r="AB52" i="43" a="1"/>
  <c r="AB52" i="43" s="1"/>
  <c r="O37" i="43" a="1"/>
  <c r="O37" i="43" s="1"/>
  <c r="AB51" i="43" a="1"/>
  <c r="AB51" i="43" s="1"/>
  <c r="AE35" i="43" a="1"/>
  <c r="AE35" i="43" s="1"/>
  <c r="AA40" i="43" a="1"/>
  <c r="AA40" i="43" s="1"/>
  <c r="AD49" i="43" a="1"/>
  <c r="AD49" i="43" s="1"/>
  <c r="M56" i="43" a="1"/>
  <c r="M56" i="43" s="1"/>
  <c r="AB58" i="43" a="1"/>
  <c r="AB58" i="43" s="1"/>
  <c r="S63" i="43" a="1"/>
  <c r="S63" i="43" s="1"/>
  <c r="O71" i="43" a="1"/>
  <c r="O71" i="43" s="1"/>
  <c r="A73" i="43"/>
  <c r="S84" i="43" a="1"/>
  <c r="S84" i="43" s="1"/>
  <c r="R17" i="43" a="1"/>
  <c r="R17" i="43" s="1"/>
  <c r="P95" i="43" a="1"/>
  <c r="P95" i="43" s="1"/>
  <c r="N96" i="43" a="1"/>
  <c r="N96" i="43" s="1"/>
  <c r="AA96" i="43" a="1"/>
  <c r="AA96" i="43" s="1"/>
  <c r="P21" i="43" a="1"/>
  <c r="P21" i="43" s="1"/>
  <c r="AD97" i="43" a="1"/>
  <c r="AD97" i="43" s="1"/>
  <c r="R98" i="43" a="1"/>
  <c r="R98" i="43" s="1"/>
  <c r="AB99" i="43" a="1"/>
  <c r="AB99" i="43" s="1"/>
  <c r="Q101" i="43" a="1"/>
  <c r="Q101" i="43" s="1"/>
  <c r="O104" i="43" a="1"/>
  <c r="O104" i="43" s="1"/>
  <c r="O105" i="43" a="1"/>
  <c r="O105" i="43" s="1"/>
  <c r="AE110" i="43" a="1"/>
  <c r="AE110" i="43" s="1"/>
  <c r="AD112" i="43" a="1"/>
  <c r="AD112" i="43" s="1"/>
  <c r="M118" i="43" a="1"/>
  <c r="M118" i="43" s="1"/>
  <c r="M28" i="43" a="1"/>
  <c r="M28" i="43" s="1"/>
  <c r="P121" i="43" a="1"/>
  <c r="P121" i="43" s="1"/>
  <c r="R122" i="43" a="1"/>
  <c r="R122" i="43" s="1"/>
  <c r="AB124" i="43" a="1"/>
  <c r="AB124" i="43" s="1"/>
  <c r="R29" i="43" a="1"/>
  <c r="R29" i="43" s="1"/>
  <c r="N30" i="43" a="1"/>
  <c r="N30" i="43" s="1"/>
  <c r="S137" i="43" a="1"/>
  <c r="S137" i="43" s="1"/>
  <c r="AE143" i="43" a="1"/>
  <c r="AE143" i="43" s="1"/>
  <c r="P145" i="43" a="1"/>
  <c r="P145" i="43" s="1"/>
  <c r="R36" i="43" a="1"/>
  <c r="R36" i="43" s="1"/>
  <c r="A37" i="43"/>
  <c r="Q39" i="43" a="1"/>
  <c r="Q39" i="43" s="1"/>
  <c r="S44" i="43" a="1"/>
  <c r="S44" i="43" s="1"/>
  <c r="A53" i="43"/>
  <c r="A55" i="43"/>
  <c r="AD8" i="43" a="1"/>
  <c r="AD8" i="43" s="1"/>
  <c r="A9" i="43"/>
  <c r="O61" i="43" a="1"/>
  <c r="O61" i="43" s="1"/>
  <c r="P64" i="43" a="1"/>
  <c r="P64" i="43" s="1"/>
  <c r="AB70" i="43" a="1"/>
  <c r="AB70" i="43" s="1"/>
  <c r="Q76" i="43" a="1"/>
  <c r="Q76" i="43" s="1"/>
  <c r="AE90" i="43" a="1"/>
  <c r="AE90" i="43" s="1"/>
  <c r="O19" i="43" a="1"/>
  <c r="O19" i="43" s="1"/>
  <c r="S36" i="43" a="1"/>
  <c r="S36" i="43" s="1"/>
  <c r="AD40" i="43" a="1"/>
  <c r="AD40" i="43" s="1"/>
  <c r="O45" i="43" a="1"/>
  <c r="O45" i="43" s="1"/>
  <c r="P49" i="43" a="1"/>
  <c r="P49" i="43" s="1"/>
  <c r="Q53" i="43" a="1"/>
  <c r="Q53" i="43" s="1"/>
  <c r="Q8" i="43" a="1"/>
  <c r="Q8" i="43" s="1"/>
  <c r="P10" i="43" a="1"/>
  <c r="P10" i="43" s="1"/>
  <c r="T60" i="43" a="1"/>
  <c r="T60" i="43" s="1"/>
  <c r="N12" i="43" a="1"/>
  <c r="N12" i="43" s="1"/>
  <c r="R65" i="43" a="1"/>
  <c r="R65" i="43" s="1"/>
  <c r="AA70" i="43" a="1"/>
  <c r="AA70" i="43" s="1"/>
  <c r="R75" i="43" a="1"/>
  <c r="R75" i="43" s="1"/>
  <c r="A76" i="43"/>
  <c r="AA14" i="43" a="1"/>
  <c r="AA14" i="43" s="1"/>
  <c r="AB89" i="43" a="1"/>
  <c r="AB89" i="43" s="1"/>
  <c r="A15" i="43"/>
  <c r="S95" i="43" a="1"/>
  <c r="S95" i="43" s="1"/>
  <c r="AB97" i="43" a="1"/>
  <c r="AB97" i="43" s="1"/>
  <c r="P104" i="43" a="1"/>
  <c r="P104" i="43" s="1"/>
  <c r="P24" i="43" a="1"/>
  <c r="P24" i="43" s="1"/>
  <c r="A27" i="43"/>
  <c r="T141" i="43" a="1"/>
  <c r="T141" i="43" s="1"/>
  <c r="M7" i="43" a="1"/>
  <c r="M7" i="43" s="1"/>
  <c r="Q37" i="43" a="1"/>
  <c r="Q37" i="43" s="1"/>
  <c r="N41" i="43" a="1"/>
  <c r="N41" i="43" s="1"/>
  <c r="N48" i="43" a="1"/>
  <c r="N48" i="43" s="1"/>
  <c r="AA54" i="43" a="1"/>
  <c r="AA54" i="43" s="1"/>
  <c r="P57" i="43" a="1"/>
  <c r="P57" i="43" s="1"/>
  <c r="M60" i="43" a="1"/>
  <c r="M60" i="43" s="1"/>
  <c r="T11" i="43" a="1"/>
  <c r="T11" i="43" s="1"/>
  <c r="P67" i="43" a="1"/>
  <c r="P67" i="43" s="1"/>
  <c r="AA73" i="43" a="1"/>
  <c r="AA73" i="43" s="1"/>
  <c r="S85" i="43" a="1"/>
  <c r="S85" i="43" s="1"/>
  <c r="R91" i="43" a="1"/>
  <c r="R91" i="43" s="1"/>
  <c r="R37" i="43" a="1"/>
  <c r="R37" i="43" s="1"/>
  <c r="T42" i="43" a="1"/>
  <c r="T42" i="43" s="1"/>
  <c r="AB46" i="43" a="1"/>
  <c r="AB46" i="43" s="1"/>
  <c r="N50" i="43" a="1"/>
  <c r="N50" i="43" s="1"/>
  <c r="AC54" i="43" a="1"/>
  <c r="AC54" i="43" s="1"/>
  <c r="AE8" i="43" a="1"/>
  <c r="AE8" i="43" s="1"/>
  <c r="AA10" i="43" a="1"/>
  <c r="AA10" i="43" s="1"/>
  <c r="AE60" i="43" a="1"/>
  <c r="AE60" i="43" s="1"/>
  <c r="N62" i="43" a="1"/>
  <c r="N62" i="43" s="1"/>
  <c r="Q66" i="43" a="1"/>
  <c r="Q66" i="43" s="1"/>
  <c r="V66" i="43" s="1"/>
  <c r="A68" i="43"/>
  <c r="T13" i="43" a="1"/>
  <c r="T13" i="43" s="1"/>
  <c r="S82" i="43" a="1"/>
  <c r="S82" i="43" s="1"/>
  <c r="A83" i="43"/>
  <c r="P16" i="43" a="1"/>
  <c r="P16" i="43" s="1"/>
  <c r="AC20" i="43" a="1"/>
  <c r="AC20" i="43" s="1"/>
  <c r="P23" i="43" a="1"/>
  <c r="P23" i="43" s="1"/>
  <c r="P105" i="43" a="1"/>
  <c r="P105" i="43" s="1"/>
  <c r="M124" i="43" a="1"/>
  <c r="M124" i="43" s="1"/>
  <c r="AE30" i="43" a="1"/>
  <c r="AE30" i="43" s="1"/>
  <c r="S34" i="43" a="1"/>
  <c r="S34" i="43" s="1"/>
  <c r="AC35" i="43" a="1"/>
  <c r="AC35" i="43" s="1"/>
  <c r="R35" i="43" a="1"/>
  <c r="R35" i="43" s="1"/>
  <c r="T36" i="43" a="1"/>
  <c r="T36" i="43" s="1"/>
  <c r="AC37" i="43" a="1"/>
  <c r="AC37" i="43" s="1"/>
  <c r="S37" i="43" a="1"/>
  <c r="S37" i="43" s="1"/>
  <c r="AE37" i="43" a="1"/>
  <c r="AE37" i="43" s="1"/>
  <c r="O38" i="43" a="1"/>
  <c r="O38" i="43" s="1"/>
  <c r="A39" i="43"/>
  <c r="R39" i="43" a="1"/>
  <c r="R39" i="43" s="1"/>
  <c r="O40" i="43" a="1"/>
  <c r="O40" i="43" s="1"/>
  <c r="AE40" i="43" a="1"/>
  <c r="AE40" i="43" s="1"/>
  <c r="O41" i="43" a="1"/>
  <c r="O41" i="43" s="1"/>
  <c r="AA41" i="43" a="1"/>
  <c r="AA41" i="43" s="1"/>
  <c r="AA42" i="43" a="1"/>
  <c r="AA42" i="43" s="1"/>
  <c r="AB43" i="43" a="1"/>
  <c r="AB43" i="43" s="1"/>
  <c r="S43" i="43" a="1"/>
  <c r="S43" i="43" s="1"/>
  <c r="M44" i="43" a="1"/>
  <c r="M44" i="43" s="1"/>
  <c r="A45" i="43"/>
  <c r="P45" i="43" a="1"/>
  <c r="P45" i="43" s="1"/>
  <c r="M46" i="43" a="1"/>
  <c r="M46" i="43" s="1"/>
  <c r="AA46" i="43" a="1"/>
  <c r="AA46" i="43" s="1"/>
  <c r="M47" i="43" a="1"/>
  <c r="M47" i="43" s="1"/>
  <c r="S47" i="43" a="1"/>
  <c r="S47" i="43" s="1"/>
  <c r="P48" i="43" a="1"/>
  <c r="P48" i="43" s="1"/>
  <c r="AE48" i="43" a="1"/>
  <c r="AE48" i="43" s="1"/>
  <c r="Q49" i="43" a="1"/>
  <c r="Q49" i="43" s="1"/>
  <c r="AE49" i="43" a="1"/>
  <c r="AE49" i="43" s="1"/>
  <c r="AD50" i="43" a="1"/>
  <c r="AD50" i="43" s="1"/>
  <c r="M51" i="43" a="1"/>
  <c r="M51" i="43" s="1"/>
  <c r="S51" i="43" a="1"/>
  <c r="S51" i="43" s="1"/>
  <c r="A52" i="43"/>
  <c r="Q52" i="43" a="1"/>
  <c r="Q52" i="43" s="1"/>
  <c r="AA52" i="43" a="1"/>
  <c r="AA52" i="43" s="1"/>
  <c r="AC53" i="43" a="1"/>
  <c r="AC53" i="43" s="1"/>
  <c r="R53" i="43" a="1"/>
  <c r="R53" i="43" s="1"/>
  <c r="O54" i="43" a="1"/>
  <c r="O54" i="43" s="1"/>
  <c r="AD54" i="43" a="1"/>
  <c r="AD54" i="43" s="1"/>
  <c r="AB55" i="43" a="1"/>
  <c r="AB55" i="43" s="1"/>
  <c r="AE55" i="43" a="1"/>
  <c r="AE55" i="43" s="1"/>
  <c r="O56" i="43" a="1"/>
  <c r="O56" i="43" s="1"/>
  <c r="AD56" i="43" a="1"/>
  <c r="AD56" i="43" s="1"/>
  <c r="AC8" i="43" a="1"/>
  <c r="AC8" i="43" s="1"/>
  <c r="A57" i="43"/>
  <c r="AD57" i="43" a="1"/>
  <c r="AD57" i="43" s="1"/>
  <c r="AB9" i="43" a="1"/>
  <c r="AB9" i="43" s="1"/>
  <c r="AE9" i="43" a="1"/>
  <c r="AE9" i="43" s="1"/>
  <c r="Q10" i="43" a="1"/>
  <c r="Q10" i="43" s="1"/>
  <c r="AD10" i="43" a="1"/>
  <c r="AD10" i="43" s="1"/>
  <c r="S58" i="43" a="1"/>
  <c r="S58" i="43" s="1"/>
  <c r="A59" i="43"/>
  <c r="R59" i="43" a="1"/>
  <c r="R59" i="43" s="1"/>
  <c r="AD59" i="43" a="1"/>
  <c r="AD59" i="43" s="1"/>
  <c r="N60" i="43" a="1"/>
  <c r="N60" i="43" s="1"/>
  <c r="A61" i="43"/>
  <c r="Q61" i="43" a="1"/>
  <c r="Q61" i="43" s="1"/>
  <c r="O11" i="43" a="1"/>
  <c r="O11" i="43" s="1"/>
  <c r="AD11" i="43" a="1"/>
  <c r="AD11" i="43" s="1"/>
  <c r="O12" i="43" a="1"/>
  <c r="O12" i="43" s="1"/>
  <c r="AE12" i="43" a="1"/>
  <c r="AE12" i="43" s="1"/>
  <c r="AA62" i="43" a="1"/>
  <c r="AA62" i="43" s="1"/>
  <c r="M63" i="43" a="1"/>
  <c r="M63" i="43" s="1"/>
  <c r="AA63" i="43" a="1"/>
  <c r="AA63" i="43" s="1"/>
  <c r="R64" i="43" a="1"/>
  <c r="R64" i="43" s="1"/>
  <c r="S65" i="43" a="1"/>
  <c r="S65" i="43" s="1"/>
  <c r="A66" i="43"/>
  <c r="S67" i="43" a="1"/>
  <c r="S67" i="43" s="1"/>
  <c r="S68" i="43" a="1"/>
  <c r="S68" i="43" s="1"/>
  <c r="AD69" i="43" a="1"/>
  <c r="AD69" i="43" s="1"/>
  <c r="A13" i="43"/>
  <c r="AD13" i="43" a="1"/>
  <c r="AD13" i="43" s="1"/>
  <c r="S71" i="43" a="1"/>
  <c r="S71" i="43" s="1"/>
  <c r="O74" i="43" a="1"/>
  <c r="O74" i="43" s="1"/>
  <c r="T75" i="43" a="1"/>
  <c r="T75" i="43" s="1"/>
  <c r="T76" i="43" a="1"/>
  <c r="T76" i="43" s="1"/>
  <c r="AE77" i="43" a="1"/>
  <c r="AE77" i="43" s="1"/>
  <c r="O78" i="43" a="1"/>
  <c r="O78" i="43" s="1"/>
  <c r="AA78" i="43" a="1"/>
  <c r="AA78" i="43" s="1"/>
  <c r="Q79" i="43" a="1"/>
  <c r="Q79" i="43" s="1"/>
  <c r="A82" i="43"/>
  <c r="T82" i="43" a="1"/>
  <c r="T82" i="43" s="1"/>
  <c r="A84" i="43"/>
  <c r="AE84" i="43" a="1"/>
  <c r="AE84" i="43" s="1"/>
  <c r="AE85" i="43" a="1"/>
  <c r="AE85" i="43" s="1"/>
  <c r="AE86" i="43" a="1"/>
  <c r="AE86" i="43" s="1"/>
  <c r="T87" i="43" a="1"/>
  <c r="T87" i="43" s="1"/>
  <c r="A91" i="43"/>
  <c r="Q16" i="43" a="1"/>
  <c r="Q16" i="43" s="1"/>
  <c r="N92" i="43" a="1"/>
  <c r="N92" i="43" s="1"/>
  <c r="A17" i="43"/>
  <c r="AD17" i="43" a="1"/>
  <c r="AD17" i="43" s="1"/>
  <c r="P93" i="43" a="1"/>
  <c r="P93" i="43" s="1"/>
  <c r="AC18" i="43" a="1"/>
  <c r="AC18" i="43" s="1"/>
  <c r="AB94" i="43" a="1"/>
  <c r="AB94" i="43" s="1"/>
  <c r="S19" i="43" a="1"/>
  <c r="S19" i="43" s="1"/>
  <c r="A95" i="43"/>
  <c r="T95" i="43" a="1"/>
  <c r="T95" i="43" s="1"/>
  <c r="O20" i="43" a="1"/>
  <c r="O20" i="43" s="1"/>
  <c r="T21" i="43" a="1"/>
  <c r="T21" i="43" s="1"/>
  <c r="O97" i="43" a="1"/>
  <c r="O97" i="43" s="1"/>
  <c r="AE22" i="43" a="1"/>
  <c r="AE22" i="43" s="1"/>
  <c r="T23" i="43" a="1"/>
  <c r="T23" i="43" s="1"/>
  <c r="S99" i="43" a="1"/>
  <c r="S99" i="43" s="1"/>
  <c r="S100" i="43" a="1"/>
  <c r="S100" i="43" s="1"/>
  <c r="Q102" i="43" a="1"/>
  <c r="Q102" i="43" s="1"/>
  <c r="O103" i="43" a="1"/>
  <c r="O103" i="43" s="1"/>
  <c r="Q108" i="43" a="1"/>
  <c r="Q108" i="43" s="1"/>
  <c r="S109" i="43" a="1"/>
  <c r="S109" i="43" s="1"/>
  <c r="A114" i="43"/>
  <c r="P25" i="43" a="1"/>
  <c r="P25" i="43" s="1"/>
  <c r="Q26" i="43" a="1"/>
  <c r="Q26" i="43" s="1"/>
  <c r="AD28" i="43" a="1"/>
  <c r="AD28" i="43" s="1"/>
  <c r="S127" i="43" a="1"/>
  <c r="S127" i="43" s="1"/>
  <c r="AC129" i="43" a="1"/>
  <c r="AC129" i="43" s="1"/>
  <c r="AD130" i="43" a="1"/>
  <c r="AD130" i="43" s="1"/>
  <c r="A131" i="43"/>
  <c r="R132" i="43" a="1"/>
  <c r="R132" i="43" s="1"/>
  <c r="AA138" i="43" a="1"/>
  <c r="AA138" i="43" s="1"/>
  <c r="O147" i="43" a="1"/>
  <c r="O147" i="43" s="1"/>
  <c r="Q34" i="43" a="1"/>
  <c r="Q34" i="43" s="1"/>
  <c r="A35" i="43"/>
  <c r="AD38" i="43" a="1"/>
  <c r="AD38" i="43" s="1"/>
  <c r="S42" i="43" a="1"/>
  <c r="S42" i="43" s="1"/>
  <c r="A43" i="43"/>
  <c r="O49" i="43" a="1"/>
  <c r="O49" i="43" s="1"/>
  <c r="P53" i="43" a="1"/>
  <c r="P53" i="43" s="1"/>
  <c r="T56" i="43" a="1"/>
  <c r="T56" i="43" s="1"/>
  <c r="A8" i="43"/>
  <c r="AC9" i="43" a="1"/>
  <c r="AC9" i="43" s="1"/>
  <c r="AA61" i="43" a="1"/>
  <c r="AA61" i="43" s="1"/>
  <c r="P66" i="43" a="1"/>
  <c r="P66" i="43" s="1"/>
  <c r="R81" i="43" a="1"/>
  <c r="R81" i="43" s="1"/>
  <c r="AD15" i="43" a="1"/>
  <c r="AD15" i="43" s="1"/>
  <c r="T7" i="43" a="1"/>
  <c r="T7" i="43" s="1"/>
  <c r="AE38" i="43" a="1"/>
  <c r="AE38" i="43" s="1"/>
  <c r="AB44" i="43" a="1"/>
  <c r="AB44" i="43" s="1"/>
  <c r="R47" i="43" a="1"/>
  <c r="R47" i="43" s="1"/>
  <c r="AA50" i="43" a="1"/>
  <c r="AA50" i="43" s="1"/>
  <c r="N54" i="43" a="1"/>
  <c r="N54" i="43" s="1"/>
  <c r="AA56" i="43" a="1"/>
  <c r="AA56" i="43" s="1"/>
  <c r="AD9" i="43" a="1"/>
  <c r="AD9" i="43" s="1"/>
  <c r="Q59" i="43" a="1"/>
  <c r="Q59" i="43" s="1"/>
  <c r="AD61" i="43" a="1"/>
  <c r="AD61" i="43" s="1"/>
  <c r="T63" i="43" a="1"/>
  <c r="T63" i="43" s="1"/>
  <c r="AA69" i="43" a="1"/>
  <c r="AA69" i="43" s="1"/>
  <c r="P71" i="43" a="1"/>
  <c r="P71" i="43" s="1"/>
  <c r="S76" i="43" a="1"/>
  <c r="S76" i="43" s="1"/>
  <c r="S81" i="43" a="1"/>
  <c r="S81" i="43" s="1"/>
  <c r="N88" i="43" a="1"/>
  <c r="N88" i="43" s="1"/>
  <c r="AE94" i="43" a="1"/>
  <c r="AE94" i="43" s="1"/>
  <c r="AE96" i="43" a="1"/>
  <c r="AE96" i="43" s="1"/>
  <c r="R100" i="43" a="1"/>
  <c r="R100" i="43" s="1"/>
  <c r="R109" i="43" a="1"/>
  <c r="R109" i="43" s="1"/>
  <c r="R127" i="43" a="1"/>
  <c r="R127" i="43" s="1"/>
  <c r="O7" i="43" a="1"/>
  <c r="O7" i="43" s="1"/>
  <c r="AC34" i="43" a="1"/>
  <c r="AC34" i="43" s="1"/>
  <c r="T34" i="43" a="1"/>
  <c r="T34" i="43" s="1"/>
  <c r="M35" i="43" a="1"/>
  <c r="M35" i="43" s="1"/>
  <c r="S35" i="43" a="1"/>
  <c r="S35" i="43" s="1"/>
  <c r="AB36" i="43" a="1"/>
  <c r="AB36" i="43" s="1"/>
  <c r="AA36" i="43" a="1"/>
  <c r="AA36" i="43" s="1"/>
  <c r="M37" i="43" a="1"/>
  <c r="M37" i="43" s="1"/>
  <c r="T37" i="43" a="1"/>
  <c r="T37" i="43" s="1"/>
  <c r="P38" i="43" a="1"/>
  <c r="P38" i="43" s="1"/>
  <c r="S39" i="43" a="1"/>
  <c r="S39" i="43" s="1"/>
  <c r="P40" i="43" a="1"/>
  <c r="P40" i="43" s="1"/>
  <c r="P41" i="43" a="1"/>
  <c r="P41" i="43" s="1"/>
  <c r="AD41" i="43" a="1"/>
  <c r="AD41" i="43" s="1"/>
  <c r="N42" i="43" a="1"/>
  <c r="N42" i="43" s="1"/>
  <c r="AD42" i="43" a="1"/>
  <c r="AD42" i="43" s="1"/>
  <c r="M43" i="43" a="1"/>
  <c r="M43" i="43" s="1"/>
  <c r="T43" i="43" a="1"/>
  <c r="T43" i="43" s="1"/>
  <c r="AA44" i="43" a="1"/>
  <c r="AA44" i="43" s="1"/>
  <c r="Q45" i="43" a="1"/>
  <c r="Q45" i="43" s="1"/>
  <c r="N46" i="43" a="1"/>
  <c r="N46" i="43" s="1"/>
  <c r="AD46" i="43" a="1"/>
  <c r="AD46" i="43" s="1"/>
  <c r="T47" i="43" a="1"/>
  <c r="T47" i="43" s="1"/>
  <c r="A48" i="43"/>
  <c r="Q48" i="43" a="1"/>
  <c r="Q48" i="43" s="1"/>
  <c r="A49" i="43"/>
  <c r="O50" i="43" a="1"/>
  <c r="O50" i="43" s="1"/>
  <c r="N51" i="43" a="1"/>
  <c r="N51" i="43" s="1"/>
  <c r="T51" i="43" a="1"/>
  <c r="T51" i="43" s="1"/>
  <c r="R52" i="43" a="1"/>
  <c r="R52" i="43" s="1"/>
  <c r="AC52" i="43" a="1"/>
  <c r="AC52" i="43" s="1"/>
  <c r="M53" i="43" a="1"/>
  <c r="M53" i="43" s="1"/>
  <c r="S53" i="43" a="1"/>
  <c r="S53" i="43" s="1"/>
  <c r="P54" i="43" a="1"/>
  <c r="P54" i="43" s="1"/>
  <c r="M55" i="43" a="1"/>
  <c r="M55" i="43" s="1"/>
  <c r="R55" i="43" a="1"/>
  <c r="R55" i="43" s="1"/>
  <c r="P56" i="43" a="1"/>
  <c r="P56" i="43" s="1"/>
  <c r="M8" i="43" a="1"/>
  <c r="M8" i="43" s="1"/>
  <c r="R8" i="43" a="1"/>
  <c r="R8" i="43" s="1"/>
  <c r="R57" i="43" a="1"/>
  <c r="R57" i="43" s="1"/>
  <c r="M9" i="43" a="1"/>
  <c r="M9" i="43" s="1"/>
  <c r="R9" i="43" a="1"/>
  <c r="R9" i="43" s="1"/>
  <c r="A10" i="43"/>
  <c r="R10" i="43" a="1"/>
  <c r="R10" i="43" s="1"/>
  <c r="N58" i="43" a="1"/>
  <c r="N58" i="43" s="1"/>
  <c r="T58" i="43" a="1"/>
  <c r="T58" i="43" s="1"/>
  <c r="S59" i="43" a="1"/>
  <c r="S59" i="43" s="1"/>
  <c r="R61" i="43" a="1"/>
  <c r="R61" i="43" s="1"/>
  <c r="P11" i="43" a="1"/>
  <c r="P11" i="43" s="1"/>
  <c r="P12" i="43" a="1"/>
  <c r="P12" i="43" s="1"/>
  <c r="O62" i="43" a="1"/>
  <c r="O62" i="43" s="1"/>
  <c r="AD62" i="43" a="1"/>
  <c r="AD62" i="43" s="1"/>
  <c r="M64" i="43" a="1"/>
  <c r="M64" i="43" s="1"/>
  <c r="S64" i="43" a="1"/>
  <c r="S64" i="43" s="1"/>
  <c r="AB65" i="43" a="1"/>
  <c r="AB65" i="43" s="1"/>
  <c r="T65" i="43" a="1"/>
  <c r="T65" i="43" s="1"/>
  <c r="R66" i="43" a="1"/>
  <c r="R66" i="43" s="1"/>
  <c r="T67" i="43" a="1"/>
  <c r="T67" i="43" s="1"/>
  <c r="AC68" i="43" a="1"/>
  <c r="AC68" i="43" s="1"/>
  <c r="AA68" i="43" a="1"/>
  <c r="AA68" i="43" s="1"/>
  <c r="M69" i="43" a="1"/>
  <c r="M69" i="43" s="1"/>
  <c r="T71" i="43" a="1"/>
  <c r="T71" i="43" s="1"/>
  <c r="O72" i="43" a="1"/>
  <c r="O72" i="43" s="1"/>
  <c r="N73" i="43" a="1"/>
  <c r="N73" i="43" s="1"/>
  <c r="P74" i="43" a="1"/>
  <c r="P74" i="43" s="1"/>
  <c r="A75" i="43"/>
  <c r="AA75" i="43" a="1"/>
  <c r="AA75" i="43" s="1"/>
  <c r="M77" i="43" a="1"/>
  <c r="M77" i="43" s="1"/>
  <c r="P78" i="43" a="1"/>
  <c r="P78" i="43" s="1"/>
  <c r="AA79" i="43" a="1"/>
  <c r="AA79" i="43" s="1"/>
  <c r="AE80" i="43" a="1"/>
  <c r="AE80" i="43" s="1"/>
  <c r="AC14" i="43" a="1"/>
  <c r="AC14" i="43" s="1"/>
  <c r="A87" i="43"/>
  <c r="R88" i="43" a="1"/>
  <c r="R88" i="43" s="1"/>
  <c r="O89" i="43" a="1"/>
  <c r="O89" i="43" s="1"/>
  <c r="T16" i="43" a="1"/>
  <c r="T16" i="43" s="1"/>
  <c r="AE17" i="43" a="1"/>
  <c r="AE17" i="43" s="1"/>
  <c r="S93" i="43" a="1"/>
  <c r="S93" i="43" s="1"/>
  <c r="Q18" i="43" a="1"/>
  <c r="Q18" i="43" s="1"/>
  <c r="P20" i="43" a="1"/>
  <c r="P20" i="43" s="1"/>
  <c r="AE20" i="43" a="1"/>
  <c r="AE20" i="43" s="1"/>
  <c r="S96" i="43" a="1"/>
  <c r="S96" i="43" s="1"/>
  <c r="P97" i="43" a="1"/>
  <c r="P97" i="43" s="1"/>
  <c r="AC22" i="43" a="1"/>
  <c r="AC22" i="43" s="1"/>
  <c r="A98" i="43"/>
  <c r="T99" i="43" a="1"/>
  <c r="T99" i="43" s="1"/>
  <c r="AE103" i="43" a="1"/>
  <c r="AE103" i="43" s="1"/>
  <c r="A107" i="43"/>
  <c r="R108" i="43" a="1"/>
  <c r="R108" i="43" s="1"/>
  <c r="Q111" i="43" a="1"/>
  <c r="Q111" i="43" s="1"/>
  <c r="A115" i="43"/>
  <c r="R25" i="43" a="1"/>
  <c r="R25" i="43" s="1"/>
  <c r="O116" i="43" a="1"/>
  <c r="O116" i="43" s="1"/>
  <c r="AA118" i="43" a="1"/>
  <c r="AA118" i="43" s="1"/>
  <c r="AA119" i="43" a="1"/>
  <c r="AA119" i="43" s="1"/>
  <c r="AA120" i="43" a="1"/>
  <c r="AA120" i="43" s="1"/>
  <c r="S129" i="43" a="1"/>
  <c r="S129" i="43" s="1"/>
  <c r="AD144" i="43" a="1"/>
  <c r="AD144" i="43" s="1"/>
  <c r="Q35" i="43" a="1"/>
  <c r="Q35" i="43" s="1"/>
  <c r="AE39" i="43" a="1"/>
  <c r="AE39" i="43" s="1"/>
  <c r="T50" i="43" a="1"/>
  <c r="T50" i="43" s="1"/>
  <c r="AD55" i="43" a="1"/>
  <c r="AD55" i="43" s="1"/>
  <c r="O10" i="43" a="1"/>
  <c r="O10" i="43" s="1"/>
  <c r="Q65" i="43" a="1"/>
  <c r="Q65" i="43" s="1"/>
  <c r="S13" i="43" a="1"/>
  <c r="S13" i="43" s="1"/>
  <c r="AA83" i="43" a="1"/>
  <c r="AA83" i="43" s="1"/>
  <c r="N16" i="43" a="1"/>
  <c r="N16" i="43" s="1"/>
  <c r="R34" i="43" a="1"/>
  <c r="R34" i="43" s="1"/>
  <c r="M42" i="43" a="1"/>
  <c r="M42" i="43" s="1"/>
  <c r="AC47" i="43" a="1"/>
  <c r="AC47" i="43" s="1"/>
  <c r="Q57" i="43" a="1"/>
  <c r="Q57" i="43" s="1"/>
  <c r="M58" i="43" a="1"/>
  <c r="M58" i="43" s="1"/>
  <c r="AA11" i="43" a="1"/>
  <c r="AA11" i="43" s="1"/>
  <c r="R67" i="43" a="1"/>
  <c r="R67" i="43" s="1"/>
  <c r="AD73" i="43" a="1"/>
  <c r="AD73" i="43" s="1"/>
  <c r="M80" i="43" a="1"/>
  <c r="M80" i="43" s="1"/>
  <c r="AD91" i="43" a="1"/>
  <c r="AD91" i="43" s="1"/>
  <c r="Q96" i="43" a="1"/>
  <c r="Q96" i="43" s="1"/>
  <c r="V96" i="43" s="1"/>
  <c r="O102" i="43" a="1"/>
  <c r="O102" i="43" s="1"/>
  <c r="P26" i="43" a="1"/>
  <c r="P26" i="43" s="1"/>
  <c r="AC136" i="43" a="1"/>
  <c r="AC136" i="43" s="1"/>
  <c r="AA34" i="43" a="1"/>
  <c r="AA34" i="43" s="1"/>
  <c r="N37" i="43" a="1"/>
  <c r="N37" i="43" s="1"/>
  <c r="A38" i="43"/>
  <c r="Q40" i="43" a="1"/>
  <c r="Q40" i="43" s="1"/>
  <c r="A41" i="43"/>
  <c r="AA43" i="43" a="1"/>
  <c r="AA43" i="43" s="1"/>
  <c r="AC45" i="43" a="1"/>
  <c r="AC45" i="43" s="1"/>
  <c r="O46" i="43" a="1"/>
  <c r="O46" i="43" s="1"/>
  <c r="AA47" i="43" a="1"/>
  <c r="AA47" i="43" s="1"/>
  <c r="P50" i="43" a="1"/>
  <c r="P50" i="43" s="1"/>
  <c r="T53" i="43" a="1"/>
  <c r="T53" i="43" s="1"/>
  <c r="A54" i="43"/>
  <c r="Q54" i="43" a="1"/>
  <c r="Q54" i="43" s="1"/>
  <c r="AE54" i="43" a="1"/>
  <c r="AE54" i="43" s="1"/>
  <c r="S55" i="43" a="1"/>
  <c r="S55" i="43" s="1"/>
  <c r="Q56" i="43" a="1"/>
  <c r="Q56" i="43" s="1"/>
  <c r="AE56" i="43" a="1"/>
  <c r="AE56" i="43" s="1"/>
  <c r="S8" i="43" a="1"/>
  <c r="S8" i="43" s="1"/>
  <c r="AC57" i="43" a="1"/>
  <c r="AC57" i="43" s="1"/>
  <c r="S57" i="43" a="1"/>
  <c r="S57" i="43" s="1"/>
  <c r="AE57" i="43" a="1"/>
  <c r="AE57" i="43" s="1"/>
  <c r="S9" i="43" a="1"/>
  <c r="S9" i="43" s="1"/>
  <c r="S10" i="43" a="1"/>
  <c r="S10" i="43" s="1"/>
  <c r="AE10" i="43" a="1"/>
  <c r="AE10" i="43" s="1"/>
  <c r="AB59" i="43" a="1"/>
  <c r="AB59" i="43" s="1"/>
  <c r="T59" i="43" a="1"/>
  <c r="T59" i="43" s="1"/>
  <c r="AE59" i="43" a="1"/>
  <c r="AE59" i="43" s="1"/>
  <c r="O60" i="43" a="1"/>
  <c r="O60" i="43" s="1"/>
  <c r="T61" i="43" a="1"/>
  <c r="T61" i="43" s="1"/>
  <c r="A11" i="43"/>
  <c r="Q11" i="43" a="1"/>
  <c r="Q11" i="43" s="1"/>
  <c r="AE11" i="43" a="1"/>
  <c r="AE11" i="43" s="1"/>
  <c r="Q12" i="43" a="1"/>
  <c r="Q12" i="43" s="1"/>
  <c r="A62" i="43"/>
  <c r="P62" i="43" a="1"/>
  <c r="P62" i="43" s="1"/>
  <c r="AE62" i="43" a="1"/>
  <c r="AE62" i="43" s="1"/>
  <c r="O63" i="43" a="1"/>
  <c r="O63" i="43" s="1"/>
  <c r="AE63" i="43" a="1"/>
  <c r="AE63" i="43" s="1"/>
  <c r="T64" i="43" a="1"/>
  <c r="T64" i="43" s="1"/>
  <c r="M65" i="43" a="1"/>
  <c r="M65" i="43" s="1"/>
  <c r="AA65" i="43" a="1"/>
  <c r="AA65" i="43" s="1"/>
  <c r="AC66" i="43" a="1"/>
  <c r="AC66" i="43" s="1"/>
  <c r="AC67" i="43" a="1"/>
  <c r="AC67" i="43" s="1"/>
  <c r="AA67" i="43" a="1"/>
  <c r="AA67" i="43" s="1"/>
  <c r="M68" i="43" a="1"/>
  <c r="M68" i="43" s="1"/>
  <c r="AD68" i="43" a="1"/>
  <c r="AD68" i="43" s="1"/>
  <c r="N69" i="43" a="1"/>
  <c r="N69" i="43" s="1"/>
  <c r="AE69" i="43" a="1"/>
  <c r="AE69" i="43" s="1"/>
  <c r="O70" i="43" a="1"/>
  <c r="O70" i="43" s="1"/>
  <c r="AC13" i="43" a="1"/>
  <c r="AC13" i="43" s="1"/>
  <c r="P72" i="43" a="1"/>
  <c r="P72" i="43" s="1"/>
  <c r="O73" i="43" a="1"/>
  <c r="O73" i="43" s="1"/>
  <c r="A74" i="43"/>
  <c r="R74" i="43" a="1"/>
  <c r="R74" i="43" s="1"/>
  <c r="M76" i="43" a="1"/>
  <c r="M76" i="43" s="1"/>
  <c r="N77" i="43" a="1"/>
  <c r="N77" i="43" s="1"/>
  <c r="Q78" i="43" a="1"/>
  <c r="Q78" i="43" s="1"/>
  <c r="AE78" i="43" a="1"/>
  <c r="AE78" i="43" s="1"/>
  <c r="AD79" i="43" a="1"/>
  <c r="AD79" i="43" s="1"/>
  <c r="O80" i="43" a="1"/>
  <c r="O80" i="43" s="1"/>
  <c r="N14" i="43" a="1"/>
  <c r="N14" i="43" s="1"/>
  <c r="N83" i="43" a="1"/>
  <c r="N83" i="43" s="1"/>
  <c r="AC85" i="43" a="1"/>
  <c r="AC85" i="43" s="1"/>
  <c r="AC86" i="43" a="1"/>
  <c r="AC86" i="43" s="1"/>
  <c r="AD87" i="43" a="1"/>
  <c r="AD87" i="43" s="1"/>
  <c r="T88" i="43" a="1"/>
  <c r="T88" i="43" s="1"/>
  <c r="Q89" i="43" a="1"/>
  <c r="Q89" i="43" s="1"/>
  <c r="P90" i="43" a="1"/>
  <c r="P90" i="43" s="1"/>
  <c r="R92" i="43" a="1"/>
  <c r="R92" i="43" s="1"/>
  <c r="T93" i="43" a="1"/>
  <c r="T93" i="43" s="1"/>
  <c r="P94" i="43" a="1"/>
  <c r="P94" i="43" s="1"/>
  <c r="R20" i="43" a="1"/>
  <c r="R20" i="43" s="1"/>
  <c r="T96" i="43" a="1"/>
  <c r="T96" i="43" s="1"/>
  <c r="R97" i="43" a="1"/>
  <c r="R97" i="43" s="1"/>
  <c r="AA98" i="43" a="1"/>
  <c r="AA98" i="43" s="1"/>
  <c r="AE102" i="43" a="1"/>
  <c r="AE102" i="43" s="1"/>
  <c r="Q116" i="43" a="1"/>
  <c r="Q116" i="43" s="1"/>
  <c r="AB117" i="43" a="1"/>
  <c r="AB117" i="43" s="1"/>
  <c r="S27" i="43" a="1"/>
  <c r="S27" i="43" s="1"/>
  <c r="AA121" i="43" a="1"/>
  <c r="AA121" i="43" s="1"/>
  <c r="T123" i="43" a="1"/>
  <c r="T123" i="43" s="1"/>
  <c r="T129" i="43" a="1"/>
  <c r="T129" i="43" s="1"/>
  <c r="A134" i="43"/>
  <c r="AE7" i="43" a="1"/>
  <c r="AE7" i="43" s="1"/>
  <c r="N38" i="43" a="1"/>
  <c r="N38" i="43" s="1"/>
  <c r="AC42" i="43" a="1"/>
  <c r="AC42" i="43" s="1"/>
  <c r="AA48" i="43" a="1"/>
  <c r="AA48" i="43" s="1"/>
  <c r="P55" i="43" a="1"/>
  <c r="P55" i="43" s="1"/>
  <c r="P9" i="43" a="1"/>
  <c r="P9" i="43" s="1"/>
  <c r="S60" i="43" a="1"/>
  <c r="S60" i="43" s="1"/>
  <c r="T62" i="43" a="1"/>
  <c r="T62" i="43" s="1"/>
  <c r="A64" i="43"/>
  <c r="R69" i="43" a="1"/>
  <c r="R69" i="43" s="1"/>
  <c r="M78" i="43" a="1"/>
  <c r="M78" i="43" s="1"/>
  <c r="S86" i="43" a="1"/>
  <c r="S86" i="43" s="1"/>
  <c r="A90" i="43"/>
  <c r="AB92" i="43" a="1"/>
  <c r="AB92" i="43" s="1"/>
  <c r="AD37" i="43" a="1"/>
  <c r="AD37" i="43" s="1"/>
  <c r="R43" i="43" a="1"/>
  <c r="R43" i="43" s="1"/>
  <c r="O48" i="43" a="1"/>
  <c r="O48" i="43" s="1"/>
  <c r="Q55" i="43" a="1"/>
  <c r="Q55" i="43" s="1"/>
  <c r="AA57" i="43" a="1"/>
  <c r="AA57" i="43" s="1"/>
  <c r="R58" i="43" a="1"/>
  <c r="R58" i="43" s="1"/>
  <c r="P61" i="43" a="1"/>
  <c r="P61" i="43" s="1"/>
  <c r="AB63" i="43" a="1"/>
  <c r="AB63" i="43" s="1"/>
  <c r="R68" i="43" a="1"/>
  <c r="R68" i="43" s="1"/>
  <c r="M72" i="43" a="1"/>
  <c r="M72" i="43" s="1"/>
  <c r="AD77" i="43" a="1"/>
  <c r="AD77" i="43" s="1"/>
  <c r="AD83" i="43" a="1"/>
  <c r="AD83" i="43" s="1"/>
  <c r="AA17" i="43" a="1"/>
  <c r="AA17" i="43" s="1"/>
  <c r="AA20" i="43" a="1"/>
  <c r="AA20" i="43" s="1"/>
  <c r="N99" i="43" a="1"/>
  <c r="N99" i="43" s="1"/>
  <c r="Q106" i="43" a="1"/>
  <c r="Q106" i="43" s="1"/>
  <c r="Q128" i="43" a="1"/>
  <c r="Q128" i="43" s="1"/>
  <c r="N35" i="43" a="1"/>
  <c r="N35" i="43" s="1"/>
  <c r="AD36" i="43" a="1"/>
  <c r="AD36" i="43" s="1"/>
  <c r="AC39" i="43" a="1"/>
  <c r="AC39" i="43" s="1"/>
  <c r="A40" i="43"/>
  <c r="AE41" i="43" a="1"/>
  <c r="AE41" i="43" s="1"/>
  <c r="AD44" i="43" a="1"/>
  <c r="AD44" i="43" s="1"/>
  <c r="Q32" i="43" a="1"/>
  <c r="Q32" i="43" s="1"/>
  <c r="S149" i="43" a="1"/>
  <c r="S149" i="43" s="1"/>
  <c r="AB149" i="43" a="1"/>
  <c r="AB149" i="43" s="1"/>
  <c r="O32" i="43" a="1"/>
  <c r="O32" i="43" s="1"/>
  <c r="S32" i="43" a="1"/>
  <c r="S32" i="43" s="1"/>
  <c r="M32" i="43" a="1"/>
  <c r="M32" i="43" s="1"/>
  <c r="M149" i="43" a="1"/>
  <c r="M149" i="43" s="1"/>
  <c r="T32" i="43" a="1"/>
  <c r="T32" i="43" s="1"/>
  <c r="AC32" i="43" a="1"/>
  <c r="AC32" i="43" s="1"/>
  <c r="A149" i="43"/>
  <c r="N32" i="43" a="1"/>
  <c r="N32" i="43" s="1"/>
  <c r="AD32" i="43" a="1"/>
  <c r="AD32" i="43" s="1"/>
  <c r="N149" i="43" a="1"/>
  <c r="N149" i="43" s="1"/>
  <c r="R32" i="43" a="1"/>
  <c r="R32" i="43" s="1"/>
  <c r="W32" i="43" s="1"/>
  <c r="AD149" i="43" a="1"/>
  <c r="AD149" i="43" s="1"/>
  <c r="R149" i="43" a="1"/>
  <c r="R149" i="43" s="1"/>
  <c r="W149" i="43" s="1"/>
  <c r="P32" i="43" a="1"/>
  <c r="P32" i="43" s="1"/>
  <c r="AE149" i="43" a="1"/>
  <c r="AE149" i="43" s="1"/>
  <c r="AA149" i="43" a="1"/>
  <c r="AA149" i="43" s="1"/>
  <c r="Q149" i="43" a="1"/>
  <c r="Q149" i="43" s="1"/>
  <c r="T149" i="43" a="1"/>
  <c r="T149" i="43" s="1"/>
  <c r="AC149" i="43" a="1"/>
  <c r="AC149" i="43" s="1"/>
  <c r="A32" i="43"/>
  <c r="AE32" i="43" a="1"/>
  <c r="AE32" i="43" s="1"/>
  <c r="AA32" i="43" a="1"/>
  <c r="AA32" i="43" s="1"/>
  <c r="P149" i="43" a="1"/>
  <c r="P149" i="43" s="1"/>
  <c r="AB32" i="43" a="1"/>
  <c r="AB32" i="43" s="1"/>
  <c r="A71" i="43"/>
  <c r="AD148" i="43" a="1"/>
  <c r="AD148" i="43" s="1"/>
  <c r="A148" i="43"/>
  <c r="AA146" i="43" a="1"/>
  <c r="AA146" i="43" s="1"/>
  <c r="Q146" i="43" a="1"/>
  <c r="Q146" i="43" s="1"/>
  <c r="S145" i="43" a="1"/>
  <c r="S145" i="43" s="1"/>
  <c r="AA144" i="43" a="1"/>
  <c r="AA144" i="43" s="1"/>
  <c r="N144" i="43" a="1"/>
  <c r="N144" i="43" s="1"/>
  <c r="AD143" i="43" a="1"/>
  <c r="AD143" i="43" s="1"/>
  <c r="R143" i="43" a="1"/>
  <c r="R143" i="43" s="1"/>
  <c r="O142" i="43" a="1"/>
  <c r="O142" i="43" s="1"/>
  <c r="AE141" i="43" a="1"/>
  <c r="AE141" i="43" s="1"/>
  <c r="R141" i="43" a="1"/>
  <c r="R141" i="43" s="1"/>
  <c r="M140" i="43" a="1"/>
  <c r="M140" i="43" s="1"/>
  <c r="P139" i="43" a="1"/>
  <c r="P139" i="43" s="1"/>
  <c r="S138" i="43" a="1"/>
  <c r="S138" i="43" s="1"/>
  <c r="N137" i="43" a="1"/>
  <c r="N137" i="43" s="1"/>
  <c r="AD136" i="43" a="1"/>
  <c r="AD136" i="43" s="1"/>
  <c r="Q136" i="43" a="1"/>
  <c r="Q136" i="43" s="1"/>
  <c r="A136" i="43"/>
  <c r="AE134" i="43" a="1"/>
  <c r="AE134" i="43" s="1"/>
  <c r="Q134" i="43" a="1"/>
  <c r="Q134" i="43" s="1"/>
  <c r="Q133" i="43" a="1"/>
  <c r="Q133" i="43" s="1"/>
  <c r="AE31" i="43" a="1"/>
  <c r="AE31" i="43" s="1"/>
  <c r="Q31" i="43" a="1"/>
  <c r="Q31" i="43" s="1"/>
  <c r="A132" i="43"/>
  <c r="T131" i="43" a="1"/>
  <c r="T131" i="43" s="1"/>
  <c r="A30" i="43"/>
  <c r="T130" i="43" a="1"/>
  <c r="T130" i="43" s="1"/>
  <c r="AA129" i="43" a="1"/>
  <c r="AA129" i="43" s="1"/>
  <c r="AE29" i="43" a="1"/>
  <c r="AE29" i="43" s="1"/>
  <c r="Q29" i="43" a="1"/>
  <c r="Q29" i="43" s="1"/>
  <c r="R128" i="43" a="1"/>
  <c r="R128" i="43" s="1"/>
  <c r="O127" i="43" a="1"/>
  <c r="O127" i="43" s="1"/>
  <c r="N126" i="43" a="1"/>
  <c r="N126" i="43" s="1"/>
  <c r="AA125" i="43" a="1"/>
  <c r="AA125" i="43" s="1"/>
  <c r="Q125" i="43" a="1"/>
  <c r="Q125" i="43" s="1"/>
  <c r="AE124" i="43" a="1"/>
  <c r="AE124" i="43" s="1"/>
  <c r="T124" i="43" a="1"/>
  <c r="T124" i="43" s="1"/>
  <c r="N124" i="43" a="1"/>
  <c r="N124" i="43" s="1"/>
  <c r="AD123" i="43" a="1"/>
  <c r="AD123" i="43" s="1"/>
  <c r="O123" i="43" a="1"/>
  <c r="O123" i="43" s="1"/>
  <c r="AE122" i="43" a="1"/>
  <c r="AE122" i="43" s="1"/>
  <c r="AE121" i="43" a="1"/>
  <c r="AE121" i="43" s="1"/>
  <c r="S121" i="43" a="1"/>
  <c r="S121" i="43" s="1"/>
  <c r="N120" i="43" a="1"/>
  <c r="N120" i="43" s="1"/>
  <c r="AD119" i="43" a="1"/>
  <c r="AD119" i="43" s="1"/>
  <c r="R119" i="43" a="1"/>
  <c r="R119" i="43" s="1"/>
  <c r="M119" i="43" a="1"/>
  <c r="M119" i="43" s="1"/>
  <c r="AC28" i="43" a="1"/>
  <c r="AC28" i="43" s="1"/>
  <c r="N28" i="43" a="1"/>
  <c r="N28" i="43" s="1"/>
  <c r="T27" i="43" a="1"/>
  <c r="T27" i="43" s="1"/>
  <c r="M27" i="43" a="1"/>
  <c r="M27" i="43" s="1"/>
  <c r="AD117" i="43" a="1"/>
  <c r="AD117" i="43" s="1"/>
  <c r="P117" i="43" a="1"/>
  <c r="P117" i="43" s="1"/>
  <c r="A117" i="43"/>
  <c r="R26" i="43" a="1"/>
  <c r="R26" i="43" s="1"/>
  <c r="N116" i="43" a="1"/>
  <c r="N116" i="43" s="1"/>
  <c r="AD25" i="43" a="1"/>
  <c r="AD25" i="43" s="1"/>
  <c r="AA115" i="43" a="1"/>
  <c r="AA115" i="43" s="1"/>
  <c r="M115" i="43" a="1"/>
  <c r="M115" i="43" s="1"/>
  <c r="N24" i="43" a="1"/>
  <c r="N24" i="43" s="1"/>
  <c r="T114" i="43" a="1"/>
  <c r="T114" i="43" s="1"/>
  <c r="S113" i="43" a="1"/>
  <c r="S113" i="43" s="1"/>
  <c r="T112" i="43" a="1"/>
  <c r="T112" i="43" s="1"/>
  <c r="M112" i="43" a="1"/>
  <c r="M112" i="43" s="1"/>
  <c r="S111" i="43" a="1"/>
  <c r="S111" i="43" s="1"/>
  <c r="R110" i="43" a="1"/>
  <c r="R110" i="43" s="1"/>
  <c r="A110" i="43"/>
  <c r="T109" i="43" a="1"/>
  <c r="T109" i="43" s="1"/>
  <c r="M109" i="43" a="1"/>
  <c r="M109" i="43" s="1"/>
  <c r="AD108" i="43" a="1"/>
  <c r="AD108" i="43" s="1"/>
  <c r="N108" i="43" a="1"/>
  <c r="N108" i="43" s="1"/>
  <c r="T107" i="43" a="1"/>
  <c r="T107" i="43" s="1"/>
  <c r="T106" i="43" a="1"/>
  <c r="T106" i="43" s="1"/>
  <c r="M106" i="43" a="1"/>
  <c r="M106" i="43" s="1"/>
  <c r="AA105" i="43" a="1"/>
  <c r="AA105" i="43" s="1"/>
  <c r="Q105" i="43" a="1"/>
  <c r="Q105" i="43" s="1"/>
  <c r="AE104" i="43" a="1"/>
  <c r="AE104" i="43" s="1"/>
  <c r="R104" i="43" a="1"/>
  <c r="R104" i="43" s="1"/>
  <c r="AD103" i="43" a="1"/>
  <c r="AD103" i="43" s="1"/>
  <c r="N103" i="43" a="1"/>
  <c r="N103" i="43" s="1"/>
  <c r="P148" i="43" a="1"/>
  <c r="P148" i="43" s="1"/>
  <c r="AD147" i="43" a="1"/>
  <c r="AD147" i="43" s="1"/>
  <c r="P147" i="43" a="1"/>
  <c r="P147" i="43" s="1"/>
  <c r="A147" i="43"/>
  <c r="O146" i="43" a="1"/>
  <c r="O146" i="43" s="1"/>
  <c r="AE145" i="43" a="1"/>
  <c r="AE145" i="43" s="1"/>
  <c r="Q145" i="43" a="1"/>
  <c r="Q145" i="43" s="1"/>
  <c r="A145" i="43"/>
  <c r="T144" i="43" a="1"/>
  <c r="T144" i="43" s="1"/>
  <c r="M144" i="43" a="1"/>
  <c r="M144" i="43" s="1"/>
  <c r="Q143" i="43" a="1"/>
  <c r="Q143" i="43" s="1"/>
  <c r="A143" i="43"/>
  <c r="N142" i="43" a="1"/>
  <c r="N142" i="43" s="1"/>
  <c r="AA141" i="43" a="1"/>
  <c r="AA141" i="43" s="1"/>
  <c r="P141" i="43" a="1"/>
  <c r="P141" i="43" s="1"/>
  <c r="AE140" i="43" a="1"/>
  <c r="AE140" i="43" s="1"/>
  <c r="S140" i="43" a="1"/>
  <c r="S140" i="43" s="1"/>
  <c r="AD138" i="43" a="1"/>
  <c r="AD138" i="43" s="1"/>
  <c r="A138" i="43"/>
  <c r="T137" i="43" a="1"/>
  <c r="T137" i="43" s="1"/>
  <c r="M137" i="43" a="1"/>
  <c r="M137" i="43" s="1"/>
  <c r="O136" i="43" a="1"/>
  <c r="O136" i="43" s="1"/>
  <c r="S135" i="43" a="1"/>
  <c r="S135" i="43" s="1"/>
  <c r="M135" i="43" a="1"/>
  <c r="M135" i="43" s="1"/>
  <c r="AD134" i="43" a="1"/>
  <c r="AD134" i="43" s="1"/>
  <c r="AE133" i="43" a="1"/>
  <c r="AE133" i="43" s="1"/>
  <c r="N133" i="43" a="1"/>
  <c r="N133" i="43" s="1"/>
  <c r="AD31" i="43" a="1"/>
  <c r="AD31" i="43" s="1"/>
  <c r="AE132" i="43" a="1"/>
  <c r="AE132" i="43" s="1"/>
  <c r="P132" i="43" a="1"/>
  <c r="P132" i="43" s="1"/>
  <c r="R131" i="43" a="1"/>
  <c r="R131" i="43" s="1"/>
  <c r="N148" i="43" a="1"/>
  <c r="N148" i="43" s="1"/>
  <c r="AE146" i="43" a="1"/>
  <c r="AE146" i="43" s="1"/>
  <c r="T146" i="43" a="1"/>
  <c r="T146" i="43" s="1"/>
  <c r="M146" i="43" a="1"/>
  <c r="M146" i="43" s="1"/>
  <c r="AD145" i="43" a="1"/>
  <c r="AD145" i="43" s="1"/>
  <c r="R144" i="43" a="1"/>
  <c r="R144" i="43" s="1"/>
  <c r="O143" i="43" a="1"/>
  <c r="O143" i="43" s="1"/>
  <c r="AE142" i="43" a="1"/>
  <c r="AE142" i="43" s="1"/>
  <c r="S142" i="43" a="1"/>
  <c r="S142" i="43" s="1"/>
  <c r="N141" i="43" a="1"/>
  <c r="N141" i="43" s="1"/>
  <c r="AD140" i="43" a="1"/>
  <c r="AD140" i="43" s="1"/>
  <c r="Q140" i="43" a="1"/>
  <c r="Q140" i="43" s="1"/>
  <c r="AE139" i="43" a="1"/>
  <c r="AE139" i="43" s="1"/>
  <c r="S139" i="43" a="1"/>
  <c r="S139" i="43" s="1"/>
  <c r="M139" i="43" a="1"/>
  <c r="M139" i="43" s="1"/>
  <c r="P138" i="43" a="1"/>
  <c r="P138" i="43" s="1"/>
  <c r="R137" i="43" a="1"/>
  <c r="R137" i="43" s="1"/>
  <c r="AA135" i="43" a="1"/>
  <c r="AA135" i="43" s="1"/>
  <c r="M134" i="43" a="1"/>
  <c r="M134" i="43" s="1"/>
  <c r="AA133" i="43" a="1"/>
  <c r="AA133" i="43" s="1"/>
  <c r="M133" i="43" a="1"/>
  <c r="M133" i="43" s="1"/>
  <c r="M31" i="43" a="1"/>
  <c r="M31" i="43" s="1"/>
  <c r="AA132" i="43" a="1"/>
  <c r="AA132" i="43" s="1"/>
  <c r="AE131" i="43" a="1"/>
  <c r="AE131" i="43" s="1"/>
  <c r="T148" i="43" a="1"/>
  <c r="T148" i="43" s="1"/>
  <c r="M148" i="43" a="1"/>
  <c r="M148" i="43" s="1"/>
  <c r="T147" i="43" a="1"/>
  <c r="T147" i="43" s="1"/>
  <c r="N147" i="43" a="1"/>
  <c r="N147" i="43" s="1"/>
  <c r="S146" i="43" a="1"/>
  <c r="S146" i="43" s="1"/>
  <c r="AA145" i="43" a="1"/>
  <c r="AA145" i="43" s="1"/>
  <c r="N145" i="43" a="1"/>
  <c r="N145" i="43" s="1"/>
  <c r="Q144" i="43" a="1"/>
  <c r="Q144" i="43" s="1"/>
  <c r="V144" i="43" s="1"/>
  <c r="A144" i="43"/>
  <c r="AD142" i="43" a="1"/>
  <c r="AD142" i="43" s="1"/>
  <c r="R142" i="43" a="1"/>
  <c r="R142" i="43" s="1"/>
  <c r="AA140" i="43" a="1"/>
  <c r="AA140" i="43" s="1"/>
  <c r="P140" i="43" a="1"/>
  <c r="P140" i="43" s="1"/>
  <c r="AD139" i="43" a="1"/>
  <c r="AD139" i="43" s="1"/>
  <c r="R139" i="43" a="1"/>
  <c r="R139" i="43" s="1"/>
  <c r="O138" i="43" a="1"/>
  <c r="O138" i="43" s="1"/>
  <c r="AD137" i="43" a="1"/>
  <c r="AD137" i="43" s="1"/>
  <c r="Q137" i="43" a="1"/>
  <c r="Q137" i="43" s="1"/>
  <c r="A137" i="43"/>
  <c r="T136" i="43" a="1"/>
  <c r="T136" i="43" s="1"/>
  <c r="M136" i="43" a="1"/>
  <c r="M136" i="43" s="1"/>
  <c r="Q135" i="43" a="1"/>
  <c r="Q135" i="43" s="1"/>
  <c r="A135" i="43"/>
  <c r="T134" i="43" a="1"/>
  <c r="T134" i="43" s="1"/>
  <c r="T133" i="43" a="1"/>
  <c r="T133" i="43" s="1"/>
  <c r="T31" i="43" a="1"/>
  <c r="T31" i="43" s="1"/>
  <c r="T132" i="43" a="1"/>
  <c r="T132" i="43" s="1"/>
  <c r="M132" i="43" a="1"/>
  <c r="M132" i="43" s="1"/>
  <c r="N131" i="43" a="1"/>
  <c r="N131" i="43" s="1"/>
  <c r="T30" i="43" a="1"/>
  <c r="T30" i="43" s="1"/>
  <c r="M30" i="43" a="1"/>
  <c r="M30" i="43" s="1"/>
  <c r="P130" i="43" a="1"/>
  <c r="P130" i="43" s="1"/>
  <c r="AE129" i="43" a="1"/>
  <c r="AE129" i="43" s="1"/>
  <c r="S29" i="43" a="1"/>
  <c r="S29" i="43" s="1"/>
  <c r="N128" i="43" a="1"/>
  <c r="N128" i="43" s="1"/>
  <c r="AD127" i="43" a="1"/>
  <c r="AD127" i="43" s="1"/>
  <c r="R126" i="43" a="1"/>
  <c r="R126" i="43" s="1"/>
  <c r="AE125" i="43" a="1"/>
  <c r="AE125" i="43" s="1"/>
  <c r="T125" i="43" a="1"/>
  <c r="T125" i="43" s="1"/>
  <c r="M125" i="43" a="1"/>
  <c r="M125" i="43" s="1"/>
  <c r="P124" i="43" a="1"/>
  <c r="P124" i="43" s="1"/>
  <c r="A123" i="43"/>
  <c r="T122" i="43" a="1"/>
  <c r="T122" i="43" s="1"/>
  <c r="M122" i="43" a="1"/>
  <c r="M122" i="43" s="1"/>
  <c r="N121" i="43" a="1"/>
  <c r="N121" i="43" s="1"/>
  <c r="AD120" i="43" a="1"/>
  <c r="AD120" i="43" s="1"/>
  <c r="Q120" i="43" a="1"/>
  <c r="Q120" i="43" s="1"/>
  <c r="A120" i="43"/>
  <c r="AE28" i="43" a="1"/>
  <c r="AE28" i="43" s="1"/>
  <c r="Q28" i="43" a="1"/>
  <c r="Q28" i="43" s="1"/>
  <c r="A28" i="43"/>
  <c r="T118" i="43" a="1"/>
  <c r="T118" i="43" s="1"/>
  <c r="N118" i="43" a="1"/>
  <c r="N118" i="43" s="1"/>
  <c r="O27" i="43" a="1"/>
  <c r="O27" i="43" s="1"/>
  <c r="S117" i="43" a="1"/>
  <c r="S117" i="43" s="1"/>
  <c r="M117" i="43" a="1"/>
  <c r="M117" i="43" s="1"/>
  <c r="AA26" i="43" a="1"/>
  <c r="AA26" i="43" s="1"/>
  <c r="AE116" i="43" a="1"/>
  <c r="AE116" i="43" s="1"/>
  <c r="P116" i="43" a="1"/>
  <c r="P116" i="43" s="1"/>
  <c r="A116" i="43"/>
  <c r="Q25" i="43" a="1"/>
  <c r="Q25" i="43" s="1"/>
  <c r="AE115" i="43" a="1"/>
  <c r="AE115" i="43" s="1"/>
  <c r="Q115" i="43" a="1"/>
  <c r="Q115" i="43" s="1"/>
  <c r="Q24" i="43" a="1"/>
  <c r="Q24" i="43" s="1"/>
  <c r="AE114" i="43" a="1"/>
  <c r="AE114" i="43" s="1"/>
  <c r="N114" i="43" a="1"/>
  <c r="N114" i="43" s="1"/>
  <c r="AD113" i="43" a="1"/>
  <c r="AD113" i="43" s="1"/>
  <c r="N113" i="43" a="1"/>
  <c r="N113" i="43" s="1"/>
  <c r="P112" i="43" a="1"/>
  <c r="P112" i="43" s="1"/>
  <c r="AD111" i="43" a="1"/>
  <c r="AD111" i="43" s="1"/>
  <c r="N111" i="43" a="1"/>
  <c r="N111" i="43" s="1"/>
  <c r="AA110" i="43" a="1"/>
  <c r="AA110" i="43" s="1"/>
  <c r="M110" i="43" a="1"/>
  <c r="M110" i="43" s="1"/>
  <c r="AD109" i="43" a="1"/>
  <c r="AD109" i="43" s="1"/>
  <c r="P109" i="43" a="1"/>
  <c r="P109" i="43" s="1"/>
  <c r="AE107" i="43" a="1"/>
  <c r="AE107" i="43" s="1"/>
  <c r="P107" i="43" a="1"/>
  <c r="P107" i="43" s="1"/>
  <c r="AD106" i="43" a="1"/>
  <c r="AD106" i="43" s="1"/>
  <c r="P106" i="43" a="1"/>
  <c r="P106" i="43" s="1"/>
  <c r="AE105" i="43" a="1"/>
  <c r="AE105" i="43" s="1"/>
  <c r="S105" i="43" a="1"/>
  <c r="S105" i="43" s="1"/>
  <c r="N104" i="43" a="1"/>
  <c r="N104" i="43" s="1"/>
  <c r="Q103" i="43" a="1"/>
  <c r="Q103" i="43" s="1"/>
  <c r="A103" i="43"/>
  <c r="AA101" i="43" a="1"/>
  <c r="AA101" i="43" s="1"/>
  <c r="T100" i="43" a="1"/>
  <c r="T100" i="43" s="1"/>
  <c r="M100" i="43" a="1"/>
  <c r="M100" i="43" s="1"/>
  <c r="M147" i="43" a="1"/>
  <c r="M147" i="43" s="1"/>
  <c r="M145" i="43" a="1"/>
  <c r="M145" i="43" s="1"/>
  <c r="S144" i="43" a="1"/>
  <c r="S144" i="43" s="1"/>
  <c r="AA143" i="43" a="1"/>
  <c r="AA143" i="43" s="1"/>
  <c r="N143" i="43" a="1"/>
  <c r="N143" i="43" s="1"/>
  <c r="A142" i="43"/>
  <c r="Q141" i="43" a="1"/>
  <c r="Q141" i="43" s="1"/>
  <c r="A140" i="43"/>
  <c r="O139" i="43" a="1"/>
  <c r="O139" i="43" s="1"/>
  <c r="O137" i="43" a="1"/>
  <c r="O137" i="43" s="1"/>
  <c r="AE135" i="43" a="1"/>
  <c r="AE135" i="43" s="1"/>
  <c r="O135" i="43" a="1"/>
  <c r="O135" i="43" s="1"/>
  <c r="S134" i="43" a="1"/>
  <c r="S134" i="43" s="1"/>
  <c r="A133" i="43"/>
  <c r="N132" i="43" a="1"/>
  <c r="N132" i="43" s="1"/>
  <c r="S131" i="43" a="1"/>
  <c r="S131" i="43" s="1"/>
  <c r="AD30" i="43" a="1"/>
  <c r="AD30" i="43" s="1"/>
  <c r="S130" i="43" a="1"/>
  <c r="S130" i="43" s="1"/>
  <c r="A130" i="43"/>
  <c r="R129" i="43" a="1"/>
  <c r="R129" i="43" s="1"/>
  <c r="A129" i="43"/>
  <c r="P29" i="43" a="1"/>
  <c r="P29" i="43" s="1"/>
  <c r="AE128" i="43" a="1"/>
  <c r="AE128" i="43" s="1"/>
  <c r="P128" i="43" a="1"/>
  <c r="P128" i="43" s="1"/>
  <c r="Q127" i="43" a="1"/>
  <c r="Q127" i="43" s="1"/>
  <c r="AE126" i="43" a="1"/>
  <c r="AE126" i="43" s="1"/>
  <c r="M126" i="43" a="1"/>
  <c r="M126" i="43" s="1"/>
  <c r="A125" i="43"/>
  <c r="S124" i="43" a="1"/>
  <c r="S124" i="43" s="1"/>
  <c r="A124" i="43"/>
  <c r="S123" i="43" a="1"/>
  <c r="S123" i="43" s="1"/>
  <c r="P122" i="43" a="1"/>
  <c r="P122" i="43" s="1"/>
  <c r="N119" i="43" a="1"/>
  <c r="N119" i="43" s="1"/>
  <c r="AA28" i="43" a="1"/>
  <c r="AA28" i="43" s="1"/>
  <c r="S118" i="43" a="1"/>
  <c r="S118" i="43" s="1"/>
  <c r="R27" i="43" a="1"/>
  <c r="R27" i="43" s="1"/>
  <c r="R117" i="43" a="1"/>
  <c r="R117" i="43" s="1"/>
  <c r="O26" i="43" a="1"/>
  <c r="O26" i="43" s="1"/>
  <c r="N25" i="43" a="1"/>
  <c r="N25" i="43" s="1"/>
  <c r="S115" i="43" a="1"/>
  <c r="S115" i="43" s="1"/>
  <c r="AE24" i="43" a="1"/>
  <c r="AE24" i="43" s="1"/>
  <c r="R114" i="43" a="1"/>
  <c r="R114" i="43" s="1"/>
  <c r="M113" i="43" a="1"/>
  <c r="M113" i="43" s="1"/>
  <c r="AA112" i="43" a="1"/>
  <c r="AA112" i="43" s="1"/>
  <c r="P111" i="43" a="1"/>
  <c r="P111" i="43" s="1"/>
  <c r="T110" i="43" a="1"/>
  <c r="T110" i="43" s="1"/>
  <c r="P108" i="43" a="1"/>
  <c r="P108" i="43" s="1"/>
  <c r="R107" i="43" a="1"/>
  <c r="R107" i="43" s="1"/>
  <c r="N105" i="43" a="1"/>
  <c r="N105" i="43" s="1"/>
  <c r="M103" i="43" a="1"/>
  <c r="M103" i="43" s="1"/>
  <c r="AD102" i="43" a="1"/>
  <c r="AD102" i="43" s="1"/>
  <c r="N102" i="43" a="1"/>
  <c r="N102" i="43" s="1"/>
  <c r="P101" i="43" a="1"/>
  <c r="P101" i="43" s="1"/>
  <c r="R99" i="43" a="1"/>
  <c r="R99" i="43" s="1"/>
  <c r="AE23" i="43" a="1"/>
  <c r="AE23" i="43" s="1"/>
  <c r="S23" i="43" a="1"/>
  <c r="S23" i="43" s="1"/>
  <c r="M23" i="43" a="1"/>
  <c r="M23" i="43" s="1"/>
  <c r="O98" i="43" a="1"/>
  <c r="O98" i="43" s="1"/>
  <c r="AD22" i="43" a="1"/>
  <c r="AD22" i="43" s="1"/>
  <c r="Q22" i="43" a="1"/>
  <c r="Q22" i="43" s="1"/>
  <c r="V22" i="43" s="1"/>
  <c r="N97" i="43" a="1"/>
  <c r="N97" i="43" s="1"/>
  <c r="AD21" i="43" a="1"/>
  <c r="AD21" i="43" s="1"/>
  <c r="R21" i="43" a="1"/>
  <c r="R21" i="43" s="1"/>
  <c r="P96" i="43" a="1"/>
  <c r="P96" i="43" s="1"/>
  <c r="N20" i="43" a="1"/>
  <c r="N20" i="43" s="1"/>
  <c r="AD95" i="43" a="1"/>
  <c r="AD95" i="43" s="1"/>
  <c r="R95" i="43" a="1"/>
  <c r="R95" i="43" s="1"/>
  <c r="M95" i="43" a="1"/>
  <c r="M95" i="43" s="1"/>
  <c r="AA19" i="43" a="1"/>
  <c r="AA19" i="43" s="1"/>
  <c r="N94" i="43" a="1"/>
  <c r="N94" i="43" s="1"/>
  <c r="P18" i="43" a="1"/>
  <c r="P18" i="43" s="1"/>
  <c r="AE93" i="43" a="1"/>
  <c r="AE93" i="43" s="1"/>
  <c r="R93" i="43" a="1"/>
  <c r="R93" i="43" s="1"/>
  <c r="N17" i="43" a="1"/>
  <c r="N17" i="43" s="1"/>
  <c r="Q92" i="43" a="1"/>
  <c r="Q92" i="43" s="1"/>
  <c r="A92" i="43"/>
  <c r="S16" i="43" a="1"/>
  <c r="S16" i="43" s="1"/>
  <c r="AA91" i="43" a="1"/>
  <c r="AA91" i="43" s="1"/>
  <c r="AA15" i="43" a="1"/>
  <c r="AA15" i="43" s="1"/>
  <c r="N15" i="43" a="1"/>
  <c r="N15" i="43" s="1"/>
  <c r="AA90" i="43" a="1"/>
  <c r="AA90" i="43" s="1"/>
  <c r="N90" i="43" a="1"/>
  <c r="N90" i="43" s="1"/>
  <c r="AA89" i="43" a="1"/>
  <c r="AA89" i="43" s="1"/>
  <c r="N89" i="43" a="1"/>
  <c r="N89" i="43" s="1"/>
  <c r="Q88" i="43" a="1"/>
  <c r="Q88" i="43" s="1"/>
  <c r="A88" i="43"/>
  <c r="S87" i="43" a="1"/>
  <c r="S87" i="43" s="1"/>
  <c r="AD86" i="43" a="1"/>
  <c r="AD86" i="43" s="1"/>
  <c r="N86" i="43" a="1"/>
  <c r="N86" i="43" s="1"/>
  <c r="AD85" i="43" a="1"/>
  <c r="AD85" i="43" s="1"/>
  <c r="O85" i="43" a="1"/>
  <c r="O85" i="43" s="1"/>
  <c r="AD84" i="43" a="1"/>
  <c r="AD84" i="43" s="1"/>
  <c r="N84" i="43" a="1"/>
  <c r="N84" i="43" s="1"/>
  <c r="T83" i="43" a="1"/>
  <c r="T83" i="43" s="1"/>
  <c r="M83" i="43" a="1"/>
  <c r="M83" i="43" s="1"/>
  <c r="P82" i="43" a="1"/>
  <c r="P82" i="43" s="1"/>
  <c r="AE14" i="43" a="1"/>
  <c r="AE14" i="43" s="1"/>
  <c r="A14" i="43"/>
  <c r="N81" i="43" a="1"/>
  <c r="N81" i="43" s="1"/>
  <c r="AD80" i="43" a="1"/>
  <c r="AD80" i="43" s="1"/>
  <c r="R80" i="43" a="1"/>
  <c r="R80" i="43" s="1"/>
  <c r="T79" i="43" a="1"/>
  <c r="T79" i="43" s="1"/>
  <c r="AE147" i="43" a="1"/>
  <c r="AE147" i="43" s="1"/>
  <c r="R146" i="43" a="1"/>
  <c r="R146" i="43" s="1"/>
  <c r="P144" i="43" a="1"/>
  <c r="P144" i="43" s="1"/>
  <c r="M143" i="43" a="1"/>
  <c r="M143" i="43" s="1"/>
  <c r="T142" i="43" a="1"/>
  <c r="T142" i="43" s="1"/>
  <c r="O141" i="43" a="1"/>
  <c r="O141" i="43" s="1"/>
  <c r="AA139" i="43" a="1"/>
  <c r="AA139" i="43" s="1"/>
  <c r="N139" i="43" a="1"/>
  <c r="N139" i="43" s="1"/>
  <c r="AE137" i="43" a="1"/>
  <c r="AE137" i="43" s="1"/>
  <c r="AD135" i="43" a="1"/>
  <c r="AD135" i="43" s="1"/>
  <c r="N135" i="43" a="1"/>
  <c r="N135" i="43" s="1"/>
  <c r="R134" i="43" a="1"/>
  <c r="R134" i="43" s="1"/>
  <c r="AD133" i="43" a="1"/>
  <c r="AD133" i="43" s="1"/>
  <c r="A31" i="43"/>
  <c r="Q131" i="43" a="1"/>
  <c r="Q131" i="43" s="1"/>
  <c r="AA30" i="43" a="1"/>
  <c r="AA30" i="43" s="1"/>
  <c r="R130" i="43" a="1"/>
  <c r="R130" i="43" s="1"/>
  <c r="Q129" i="43" a="1"/>
  <c r="Q129" i="43" s="1"/>
  <c r="N29" i="43" a="1"/>
  <c r="N29" i="43" s="1"/>
  <c r="AD128" i="43" a="1"/>
  <c r="AD128" i="43" s="1"/>
  <c r="AA127" i="43" a="1"/>
  <c r="AA127" i="43" s="1"/>
  <c r="P127" i="43" a="1"/>
  <c r="P127" i="43" s="1"/>
  <c r="AD126" i="43" a="1"/>
  <c r="AD126" i="43" s="1"/>
  <c r="S125" i="43" a="1"/>
  <c r="S125" i="43" s="1"/>
  <c r="R124" i="43" a="1"/>
  <c r="R124" i="43" s="1"/>
  <c r="Q123" i="43" a="1"/>
  <c r="Q123" i="43" s="1"/>
  <c r="O122" i="43" a="1"/>
  <c r="O122" i="43" s="1"/>
  <c r="M121" i="43" a="1"/>
  <c r="M121" i="43" s="1"/>
  <c r="M120" i="43" a="1"/>
  <c r="M120" i="43" s="1"/>
  <c r="T28" i="43" a="1"/>
  <c r="T28" i="43" s="1"/>
  <c r="R118" i="43" a="1"/>
  <c r="R118" i="43" s="1"/>
  <c r="Q27" i="43" a="1"/>
  <c r="Q27" i="43" s="1"/>
  <c r="Q117" i="43" a="1"/>
  <c r="Q117" i="43" s="1"/>
  <c r="AE26" i="43" a="1"/>
  <c r="AE26" i="43" s="1"/>
  <c r="N26" i="43" a="1"/>
  <c r="N26" i="43" s="1"/>
  <c r="AD116" i="43" a="1"/>
  <c r="AD116" i="43" s="1"/>
  <c r="AE25" i="43" a="1"/>
  <c r="AE25" i="43" s="1"/>
  <c r="M25" i="43" a="1"/>
  <c r="M25" i="43" s="1"/>
  <c r="R115" i="43" a="1"/>
  <c r="R115" i="43" s="1"/>
  <c r="AD24" i="43" a="1"/>
  <c r="AD24" i="43" s="1"/>
  <c r="M24" i="43" a="1"/>
  <c r="M24" i="43" s="1"/>
  <c r="Q114" i="43" a="1"/>
  <c r="Q114" i="43" s="1"/>
  <c r="AE113" i="43" a="1"/>
  <c r="AE113" i="43" s="1"/>
  <c r="S112" i="43" a="1"/>
  <c r="S112" i="43" s="1"/>
  <c r="A112" i="43"/>
  <c r="M111" i="43" a="1"/>
  <c r="M111" i="43" s="1"/>
  <c r="S110" i="43" a="1"/>
  <c r="S110" i="43" s="1"/>
  <c r="Q109" i="43" a="1"/>
  <c r="Q109" i="43" s="1"/>
  <c r="AE108" i="43" a="1"/>
  <c r="AE108" i="43" s="1"/>
  <c r="M108" i="43" a="1"/>
  <c r="M108" i="43" s="1"/>
  <c r="AE106" i="43" a="1"/>
  <c r="AE106" i="43" s="1"/>
  <c r="N106" i="43" a="1"/>
  <c r="N106" i="43" s="1"/>
  <c r="M105" i="43" a="1"/>
  <c r="M105" i="43" s="1"/>
  <c r="M104" i="43" a="1"/>
  <c r="M104" i="43" s="1"/>
  <c r="AA103" i="43" a="1"/>
  <c r="AA103" i="43" s="1"/>
  <c r="AA102" i="43" a="1"/>
  <c r="AA102" i="43" s="1"/>
  <c r="M102" i="43" a="1"/>
  <c r="M102" i="43" s="1"/>
  <c r="O101" i="43" a="1"/>
  <c r="O101" i="43" s="1"/>
  <c r="Q100" i="43" a="1"/>
  <c r="Q100" i="43" s="1"/>
  <c r="AD23" i="43" a="1"/>
  <c r="AD23" i="43" s="1"/>
  <c r="R23" i="43" a="1"/>
  <c r="R23" i="43" s="1"/>
  <c r="N98" i="43" a="1"/>
  <c r="N98" i="43" s="1"/>
  <c r="AA22" i="43" a="1"/>
  <c r="AA22" i="43" s="1"/>
  <c r="P22" i="43" a="1"/>
  <c r="P22" i="43" s="1"/>
  <c r="A22" i="43"/>
  <c r="AA21" i="43" a="1"/>
  <c r="AA21" i="43" s="1"/>
  <c r="O96" i="43" a="1"/>
  <c r="O96" i="43" s="1"/>
  <c r="A96" i="43"/>
  <c r="AA95" i="43" a="1"/>
  <c r="AA95" i="43" s="1"/>
  <c r="Q19" i="43" a="1"/>
  <c r="Q19" i="43" s="1"/>
  <c r="A19" i="43"/>
  <c r="T94" i="43" a="1"/>
  <c r="T94" i="43" s="1"/>
  <c r="AD18" i="43" a="1"/>
  <c r="AD18" i="43" s="1"/>
  <c r="N18" i="43" a="1"/>
  <c r="N18" i="43" s="1"/>
  <c r="T17" i="43" a="1"/>
  <c r="T17" i="43" s="1"/>
  <c r="M17" i="43" a="1"/>
  <c r="M17" i="43" s="1"/>
  <c r="AD92" i="43" a="1"/>
  <c r="AD92" i="43" s="1"/>
  <c r="P92" i="43" a="1"/>
  <c r="P92" i="43" s="1"/>
  <c r="R16" i="43" a="1"/>
  <c r="R16" i="43" s="1"/>
  <c r="T91" i="43" a="1"/>
  <c r="T91" i="43" s="1"/>
  <c r="M91" i="43" a="1"/>
  <c r="M91" i="43" s="1"/>
  <c r="M15" i="43" a="1"/>
  <c r="M15" i="43" s="1"/>
  <c r="M90" i="43" a="1"/>
  <c r="M90" i="43" s="1"/>
  <c r="T89" i="43" a="1"/>
  <c r="T89" i="43" s="1"/>
  <c r="AD88" i="43" a="1"/>
  <c r="AD88" i="43" s="1"/>
  <c r="P88" i="43" a="1"/>
  <c r="P88" i="43" s="1"/>
  <c r="R87" i="43" a="1"/>
  <c r="R87" i="43" s="1"/>
  <c r="M87" i="43" a="1"/>
  <c r="M87" i="43" s="1"/>
  <c r="AA86" i="43" a="1"/>
  <c r="AA86" i="43" s="1"/>
  <c r="AA85" i="43" a="1"/>
  <c r="AA85" i="43" s="1"/>
  <c r="N85" i="43" a="1"/>
  <c r="N85" i="43" s="1"/>
  <c r="AA84" i="43" a="1"/>
  <c r="AA84" i="43" s="1"/>
  <c r="M84" i="43" a="1"/>
  <c r="M84" i="43" s="1"/>
  <c r="S83" i="43" a="1"/>
  <c r="S83" i="43" s="1"/>
  <c r="O82" i="43" a="1"/>
  <c r="O82" i="43" s="1"/>
  <c r="Q14" i="43" a="1"/>
  <c r="Q14" i="43" s="1"/>
  <c r="AA80" i="43" a="1"/>
  <c r="AA80" i="43" s="1"/>
  <c r="Q80" i="43" a="1"/>
  <c r="Q80" i="43" s="1"/>
  <c r="S79" i="43" a="1"/>
  <c r="S79" i="43" s="1"/>
  <c r="R77" i="43" a="1"/>
  <c r="R77" i="43" s="1"/>
  <c r="A77" i="43"/>
  <c r="AE76" i="43" a="1"/>
  <c r="AE76" i="43" s="1"/>
  <c r="R76" i="43" a="1"/>
  <c r="R76" i="43" s="1"/>
  <c r="AD75" i="43" a="1"/>
  <c r="AD75" i="43" s="1"/>
  <c r="P75" i="43" a="1"/>
  <c r="P75" i="43" s="1"/>
  <c r="AE74" i="43" a="1"/>
  <c r="AE74" i="43" s="1"/>
  <c r="T73" i="43" a="1"/>
  <c r="T73" i="43" s="1"/>
  <c r="M73" i="43" a="1"/>
  <c r="M73" i="43" s="1"/>
  <c r="R72" i="43" a="1"/>
  <c r="R72" i="43" s="1"/>
  <c r="R71" i="43" a="1"/>
  <c r="R71" i="43" s="1"/>
  <c r="Q13" i="43" a="1"/>
  <c r="Q13" i="43" s="1"/>
  <c r="AE70" i="43" a="1"/>
  <c r="AE70" i="43" s="1"/>
  <c r="Q70" i="43" a="1"/>
  <c r="Q70" i="43" s="1"/>
  <c r="T69" i="43" a="1"/>
  <c r="T69" i="43" s="1"/>
  <c r="N68" i="43" a="1"/>
  <c r="N68" i="43" s="1"/>
  <c r="A67" i="43"/>
  <c r="T66" i="43" a="1"/>
  <c r="T66" i="43" s="1"/>
  <c r="N66" i="43" a="1"/>
  <c r="N66" i="43" s="1"/>
  <c r="AA147" i="43" a="1"/>
  <c r="AA147" i="43" s="1"/>
  <c r="O144" i="43" a="1"/>
  <c r="O144" i="43" s="1"/>
  <c r="Q142" i="43" a="1"/>
  <c r="Q142" i="43" s="1"/>
  <c r="AD141" i="43" a="1"/>
  <c r="AD141" i="43" s="1"/>
  <c r="M141" i="43" a="1"/>
  <c r="M141" i="43" s="1"/>
  <c r="T140" i="43" a="1"/>
  <c r="T140" i="43" s="1"/>
  <c r="T138" i="43" a="1"/>
  <c r="T138" i="43" s="1"/>
  <c r="AA137" i="43" a="1"/>
  <c r="AA137" i="43" s="1"/>
  <c r="S136" i="43" a="1"/>
  <c r="S136" i="43" s="1"/>
  <c r="P134" i="43" a="1"/>
  <c r="P134" i="43" s="1"/>
  <c r="S133" i="43" a="1"/>
  <c r="S133" i="43" s="1"/>
  <c r="AA31" i="43" a="1"/>
  <c r="AA31" i="43" s="1"/>
  <c r="P131" i="43" a="1"/>
  <c r="P131" i="43" s="1"/>
  <c r="S30" i="43" a="1"/>
  <c r="S30" i="43" s="1"/>
  <c r="P129" i="43" a="1"/>
  <c r="P129" i="43" s="1"/>
  <c r="M29" i="43" a="1"/>
  <c r="M29" i="43" s="1"/>
  <c r="AB128" i="43" a="1"/>
  <c r="AB128" i="43" s="1"/>
  <c r="N127" i="43" a="1"/>
  <c r="N127" i="43" s="1"/>
  <c r="AA126" i="43" a="1"/>
  <c r="AA126" i="43" s="1"/>
  <c r="A126" i="43"/>
  <c r="R125" i="43" a="1"/>
  <c r="R125" i="43" s="1"/>
  <c r="AD124" i="43" a="1"/>
  <c r="AD124" i="43" s="1"/>
  <c r="P123" i="43" a="1"/>
  <c r="P123" i="43" s="1"/>
  <c r="AD122" i="43" a="1"/>
  <c r="AD122" i="43" s="1"/>
  <c r="N122" i="43" a="1"/>
  <c r="N122" i="43" s="1"/>
  <c r="T119" i="43" a="1"/>
  <c r="T119" i="43" s="1"/>
  <c r="S28" i="43" a="1"/>
  <c r="S28" i="43" s="1"/>
  <c r="Q118" i="43" a="1"/>
  <c r="Q118" i="43" s="1"/>
  <c r="A118" i="43"/>
  <c r="P27" i="43" a="1"/>
  <c r="P27" i="43" s="1"/>
  <c r="O117" i="43" a="1"/>
  <c r="O117" i="43" s="1"/>
  <c r="M26" i="43" a="1"/>
  <c r="M26" i="43" s="1"/>
  <c r="AA116" i="43" a="1"/>
  <c r="AA116" i="43" s="1"/>
  <c r="M116" i="43" a="1"/>
  <c r="M116" i="43" s="1"/>
  <c r="AA24" i="43" a="1"/>
  <c r="AA24" i="43" s="1"/>
  <c r="P114" i="43" a="1"/>
  <c r="P114" i="43" s="1"/>
  <c r="AA113" i="43" a="1"/>
  <c r="AA113" i="43" s="1"/>
  <c r="R112" i="43" a="1"/>
  <c r="R112" i="43" s="1"/>
  <c r="AE111" i="43" a="1"/>
  <c r="AE111" i="43" s="1"/>
  <c r="AE109" i="43" a="1"/>
  <c r="AE109" i="43" s="1"/>
  <c r="Q107" i="43" a="1"/>
  <c r="Q107" i="43" s="1"/>
  <c r="AA106" i="43" a="1"/>
  <c r="AA106" i="43" s="1"/>
  <c r="T104" i="43" a="1"/>
  <c r="T104" i="43" s="1"/>
  <c r="T103" i="43" a="1"/>
  <c r="T103" i="43" s="1"/>
  <c r="T102" i="43" a="1"/>
  <c r="T102" i="43" s="1"/>
  <c r="AE100" i="43" a="1"/>
  <c r="AE100" i="43" s="1"/>
  <c r="P100" i="43" a="1"/>
  <c r="P100" i="43" s="1"/>
  <c r="AE99" i="43" a="1"/>
  <c r="AE99" i="43" s="1"/>
  <c r="Q99" i="43" a="1"/>
  <c r="Q99" i="43" s="1"/>
  <c r="AA23" i="43" a="1"/>
  <c r="AA23" i="43" s="1"/>
  <c r="A23" i="43"/>
  <c r="T98" i="43" a="1"/>
  <c r="T98" i="43" s="1"/>
  <c r="O22" i="43" a="1"/>
  <c r="O22" i="43" s="1"/>
  <c r="AE97" i="43" a="1"/>
  <c r="AE97" i="43" s="1"/>
  <c r="T97" i="43" a="1"/>
  <c r="T97" i="43" s="1"/>
  <c r="M97" i="43" a="1"/>
  <c r="M97" i="43" s="1"/>
  <c r="Q21" i="43" a="1"/>
  <c r="Q21" i="43" s="1"/>
  <c r="A21" i="43"/>
  <c r="T20" i="43" a="1"/>
  <c r="T20" i="43" s="1"/>
  <c r="M20" i="43" a="1"/>
  <c r="M20" i="43" s="1"/>
  <c r="Q95" i="43" a="1"/>
  <c r="Q95" i="43" s="1"/>
  <c r="V95" i="43" s="1"/>
  <c r="P19" i="43" a="1"/>
  <c r="P19" i="43" s="1"/>
  <c r="S94" i="43" a="1"/>
  <c r="S94" i="43" s="1"/>
  <c r="M94" i="43" a="1"/>
  <c r="M94" i="43" s="1"/>
  <c r="AA18" i="43" a="1"/>
  <c r="AA18" i="43" s="1"/>
  <c r="M18" i="43" a="1"/>
  <c r="M18" i="43" s="1"/>
  <c r="AD93" i="43" a="1"/>
  <c r="AD93" i="43" s="1"/>
  <c r="Q93" i="43" a="1"/>
  <c r="Q93" i="43" s="1"/>
  <c r="A93" i="43"/>
  <c r="S17" i="43" a="1"/>
  <c r="S17" i="43" s="1"/>
  <c r="AA92" i="43" a="1"/>
  <c r="AA92" i="43" s="1"/>
  <c r="AE16" i="43" a="1"/>
  <c r="AE16" i="43" s="1"/>
  <c r="A16" i="43"/>
  <c r="S91" i="43" a="1"/>
  <c r="S91" i="43" s="1"/>
  <c r="T15" i="43" a="1"/>
  <c r="T15" i="43" s="1"/>
  <c r="T90" i="43" a="1"/>
  <c r="T90" i="43" s="1"/>
  <c r="S89" i="43" a="1"/>
  <c r="S89" i="43" s="1"/>
  <c r="M89" i="43" a="1"/>
  <c r="M89" i="43" s="1"/>
  <c r="AA88" i="43" a="1"/>
  <c r="AA88" i="43" s="1"/>
  <c r="AE87" i="43" a="1"/>
  <c r="AE87" i="43" s="1"/>
  <c r="T86" i="43" a="1"/>
  <c r="T86" i="43" s="1"/>
  <c r="M86" i="43" a="1"/>
  <c r="M86" i="43" s="1"/>
  <c r="T85" i="43" a="1"/>
  <c r="T85" i="43" s="1"/>
  <c r="M85" i="43" a="1"/>
  <c r="M85" i="43" s="1"/>
  <c r="T84" i="43" a="1"/>
  <c r="T84" i="43" s="1"/>
  <c r="R83" i="43" a="1"/>
  <c r="R83" i="43" s="1"/>
  <c r="N82" i="43" a="1"/>
  <c r="N82" i="43" s="1"/>
  <c r="AD14" i="43" a="1"/>
  <c r="AD14" i="43" s="1"/>
  <c r="P14" i="43" a="1"/>
  <c r="P14" i="43" s="1"/>
  <c r="T81" i="43" a="1"/>
  <c r="T81" i="43" s="1"/>
  <c r="M81" i="43" a="1"/>
  <c r="M81" i="43" s="1"/>
  <c r="P80" i="43" a="1"/>
  <c r="P80" i="43" s="1"/>
  <c r="A80" i="43"/>
  <c r="R79" i="43" a="1"/>
  <c r="R79" i="43" s="1"/>
  <c r="A79" i="43"/>
  <c r="N78" i="43" a="1"/>
  <c r="N78" i="43" s="1"/>
  <c r="Q77" i="43" a="1"/>
  <c r="Q77" i="43" s="1"/>
  <c r="AD76" i="43" a="1"/>
  <c r="AD76" i="43" s="1"/>
  <c r="N75" i="43" a="1"/>
  <c r="N75" i="43" s="1"/>
  <c r="Q74" i="43" a="1"/>
  <c r="Q74" i="43" s="1"/>
  <c r="S73" i="43" a="1"/>
  <c r="S73" i="43" s="1"/>
  <c r="Q72" i="43" a="1"/>
  <c r="Q72" i="43" s="1"/>
  <c r="A72" i="43"/>
  <c r="Q71" i="43" a="1"/>
  <c r="Q71" i="43" s="1"/>
  <c r="AE13" i="43" a="1"/>
  <c r="AE13" i="43" s="1"/>
  <c r="P13" i="43" a="1"/>
  <c r="P13" i="43" s="1"/>
  <c r="AD70" i="43" a="1"/>
  <c r="AD70" i="43" s="1"/>
  <c r="P70" i="43" a="1"/>
  <c r="P70" i="43" s="1"/>
  <c r="A70" i="43"/>
  <c r="S69" i="43" a="1"/>
  <c r="S69" i="43" s="1"/>
  <c r="T68" i="43" a="1"/>
  <c r="T68" i="43" s="1"/>
  <c r="AE67" i="43" a="1"/>
  <c r="AE67" i="43" s="1"/>
  <c r="Q67" i="43" a="1"/>
  <c r="Q67" i="43" s="1"/>
  <c r="S66" i="43" a="1"/>
  <c r="S66" i="43" s="1"/>
  <c r="AE65" i="43" a="1"/>
  <c r="AE65" i="43" s="1"/>
  <c r="P65" i="43" a="1"/>
  <c r="P65" i="43" s="1"/>
  <c r="AE64" i="43" a="1"/>
  <c r="AE64" i="43" s="1"/>
  <c r="AD63" i="43" a="1"/>
  <c r="AD63" i="43" s="1"/>
  <c r="N63" i="43" a="1"/>
  <c r="N63" i="43" s="1"/>
  <c r="T12" i="43" a="1"/>
  <c r="T12" i="43" s="1"/>
  <c r="M12" i="43" a="1"/>
  <c r="M12" i="43" s="1"/>
  <c r="AE61" i="43" a="1"/>
  <c r="AE61" i="43" s="1"/>
  <c r="S61" i="43" a="1"/>
  <c r="S61" i="43" s="1"/>
  <c r="P60" i="43" a="1"/>
  <c r="P60" i="43" s="1"/>
  <c r="A60" i="43"/>
  <c r="AE58" i="43" a="1"/>
  <c r="AE58" i="43" s="1"/>
  <c r="S148" i="43" a="1"/>
  <c r="S148" i="43" s="1"/>
  <c r="S147" i="43" a="1"/>
  <c r="S147" i="43" s="1"/>
  <c r="P146" i="43" a="1"/>
  <c r="P146" i="43" s="1"/>
  <c r="P142" i="43" a="1"/>
  <c r="P142" i="43" s="1"/>
  <c r="R140" i="43" a="1"/>
  <c r="R140" i="43" s="1"/>
  <c r="R138" i="43" a="1"/>
  <c r="R138" i="43" s="1"/>
  <c r="R136" i="43" a="1"/>
  <c r="R136" i="43" s="1"/>
  <c r="N134" i="43" a="1"/>
  <c r="N134" i="43" s="1"/>
  <c r="R133" i="43" a="1"/>
  <c r="R133" i="43" s="1"/>
  <c r="S31" i="43" a="1"/>
  <c r="S31" i="43" s="1"/>
  <c r="M131" i="43" a="1"/>
  <c r="M131" i="43" s="1"/>
  <c r="R30" i="43" a="1"/>
  <c r="R30" i="43" s="1"/>
  <c r="Q130" i="43" a="1"/>
  <c r="Q130" i="43" s="1"/>
  <c r="AD129" i="43" a="1"/>
  <c r="AD129" i="43" s="1"/>
  <c r="N129" i="43" a="1"/>
  <c r="N129" i="43" s="1"/>
  <c r="AD29" i="43" a="1"/>
  <c r="AD29" i="43" s="1"/>
  <c r="AA128" i="43" a="1"/>
  <c r="AA128" i="43" s="1"/>
  <c r="M128" i="43" a="1"/>
  <c r="M128" i="43" s="1"/>
  <c r="M127" i="43" a="1"/>
  <c r="M127" i="43" s="1"/>
  <c r="T126" i="43" a="1"/>
  <c r="T126" i="43" s="1"/>
  <c r="P125" i="43" a="1"/>
  <c r="P125" i="43" s="1"/>
  <c r="AA124" i="43" a="1"/>
  <c r="AA124" i="43" s="1"/>
  <c r="Q124" i="43" a="1"/>
  <c r="Q124" i="43" s="1"/>
  <c r="AE123" i="43" a="1"/>
  <c r="AE123" i="43" s="1"/>
  <c r="AC122" i="43" a="1"/>
  <c r="AC122" i="43" s="1"/>
  <c r="T121" i="43" a="1"/>
  <c r="T121" i="43" s="1"/>
  <c r="T120" i="43" a="1"/>
  <c r="T120" i="43" s="1"/>
  <c r="S119" i="43" a="1"/>
  <c r="S119" i="43" s="1"/>
  <c r="R28" i="43" a="1"/>
  <c r="R28" i="43" s="1"/>
  <c r="P118" i="43" a="1"/>
  <c r="P118" i="43" s="1"/>
  <c r="N27" i="43" a="1"/>
  <c r="N27" i="43" s="1"/>
  <c r="AE117" i="43" a="1"/>
  <c r="AE117" i="43" s="1"/>
  <c r="AD26" i="43" a="1"/>
  <c r="AD26" i="43" s="1"/>
  <c r="T116" i="43" a="1"/>
  <c r="T116" i="43" s="1"/>
  <c r="AA25" i="43" a="1"/>
  <c r="AA25" i="43" s="1"/>
  <c r="P115" i="43" a="1"/>
  <c r="P115" i="43" s="1"/>
  <c r="T24" i="43" a="1"/>
  <c r="T24" i="43" s="1"/>
  <c r="M114" i="43" a="1"/>
  <c r="M114" i="43" s="1"/>
  <c r="T113" i="43" a="1"/>
  <c r="T113" i="43" s="1"/>
  <c r="A113" i="43"/>
  <c r="AA111" i="43" a="1"/>
  <c r="AA111" i="43" s="1"/>
  <c r="Q110" i="43" a="1"/>
  <c r="Q110" i="43" s="1"/>
  <c r="N109" i="43" a="1"/>
  <c r="N109" i="43" s="1"/>
  <c r="AA108" i="43" a="1"/>
  <c r="AA108" i="43" s="1"/>
  <c r="N107" i="43" a="1"/>
  <c r="N107" i="43" s="1"/>
  <c r="T105" i="43" a="1"/>
  <c r="T105" i="43" s="1"/>
  <c r="S104" i="43" a="1"/>
  <c r="S104" i="43" s="1"/>
  <c r="S103" i="43" a="1"/>
  <c r="S103" i="43" s="1"/>
  <c r="S102" i="43" a="1"/>
  <c r="S102" i="43" s="1"/>
  <c r="N101" i="43" a="1"/>
  <c r="N101" i="43" s="1"/>
  <c r="AD100" i="43" a="1"/>
  <c r="AD100" i="43" s="1"/>
  <c r="P99" i="43" a="1"/>
  <c r="P99" i="43" s="1"/>
  <c r="Q23" i="43" a="1"/>
  <c r="Q23" i="43" s="1"/>
  <c r="S98" i="43" a="1"/>
  <c r="S98" i="43" s="1"/>
  <c r="M98" i="43" a="1"/>
  <c r="M98" i="43" s="1"/>
  <c r="N22" i="43" a="1"/>
  <c r="N22" i="43" s="1"/>
  <c r="S97" i="43" a="1"/>
  <c r="S97" i="43" s="1"/>
  <c r="R148" i="43" a="1"/>
  <c r="R148" i="43" s="1"/>
  <c r="R147" i="43" a="1"/>
  <c r="R147" i="43" s="1"/>
  <c r="AD146" i="43" a="1"/>
  <c r="AD146" i="43" s="1"/>
  <c r="N146" i="43" a="1"/>
  <c r="N146" i="43" s="1"/>
  <c r="T145" i="43" a="1"/>
  <c r="T145" i="43" s="1"/>
  <c r="T143" i="43" a="1"/>
  <c r="T143" i="43" s="1"/>
  <c r="O140" i="43" a="1"/>
  <c r="O140" i="43" s="1"/>
  <c r="A139" i="43"/>
  <c r="Q138" i="43" a="1"/>
  <c r="Q138" i="43" s="1"/>
  <c r="AE136" i="43" a="1"/>
  <c r="AE136" i="43" s="1"/>
  <c r="P136" i="43" a="1"/>
  <c r="P136" i="43" s="1"/>
  <c r="P133" i="43" a="1"/>
  <c r="P133" i="43" s="1"/>
  <c r="R31" i="43" a="1"/>
  <c r="R31" i="43" s="1"/>
  <c r="AD132" i="43" a="1"/>
  <c r="AD132" i="43" s="1"/>
  <c r="Q30" i="43" a="1"/>
  <c r="Q30" i="43" s="1"/>
  <c r="N130" i="43" a="1"/>
  <c r="N130" i="43" s="1"/>
  <c r="AB129" i="43" a="1"/>
  <c r="AB129" i="43" s="1"/>
  <c r="AA29" i="43" a="1"/>
  <c r="AA29" i="43" s="1"/>
  <c r="T128" i="43" a="1"/>
  <c r="T128" i="43" s="1"/>
  <c r="S126" i="43" a="1"/>
  <c r="S126" i="43" s="1"/>
  <c r="AD125" i="43" a="1"/>
  <c r="AD125" i="43" s="1"/>
  <c r="O125" i="43" a="1"/>
  <c r="O125" i="43" s="1"/>
  <c r="O124" i="43" a="1"/>
  <c r="O124" i="43" s="1"/>
  <c r="N123" i="43" a="1"/>
  <c r="N123" i="43" s="1"/>
  <c r="AA122" i="43" a="1"/>
  <c r="AA122" i="43" s="1"/>
  <c r="A122" i="43"/>
  <c r="R121" i="43" a="1"/>
  <c r="R121" i="43" s="1"/>
  <c r="A121" i="43"/>
  <c r="S120" i="43" a="1"/>
  <c r="S120" i="43" s="1"/>
  <c r="AE119" i="43" a="1"/>
  <c r="AE119" i="43" s="1"/>
  <c r="A119" i="43"/>
  <c r="P28" i="43" a="1"/>
  <c r="P28" i="43" s="1"/>
  <c r="AE118" i="43" a="1"/>
  <c r="AE118" i="43" s="1"/>
  <c r="O118" i="43" a="1"/>
  <c r="O118" i="43" s="1"/>
  <c r="AE27" i="43" a="1"/>
  <c r="AE27" i="43" s="1"/>
  <c r="N117" i="43" a="1"/>
  <c r="N117" i="43" s="1"/>
  <c r="T26" i="43" a="1"/>
  <c r="T26" i="43" s="1"/>
  <c r="S116" i="43" a="1"/>
  <c r="S116" i="43" s="1"/>
  <c r="T25" i="43" a="1"/>
  <c r="T25" i="43" s="1"/>
  <c r="A25" i="43"/>
  <c r="N115" i="43" a="1"/>
  <c r="N115" i="43" s="1"/>
  <c r="S24" i="43" a="1"/>
  <c r="S24" i="43" s="1"/>
  <c r="A24" i="43"/>
  <c r="R113" i="43" a="1"/>
  <c r="R113" i="43" s="1"/>
  <c r="Q112" i="43" a="1"/>
  <c r="Q112" i="43" s="1"/>
  <c r="T111" i="43" a="1"/>
  <c r="T111" i="43" s="1"/>
  <c r="A111" i="43"/>
  <c r="P110" i="43" a="1"/>
  <c r="P110" i="43" s="1"/>
  <c r="AA109" i="43" a="1"/>
  <c r="AA109" i="43" s="1"/>
  <c r="T108" i="43" a="1"/>
  <c r="T108" i="43" s="1"/>
  <c r="A108" i="43"/>
  <c r="M107" i="43" a="1"/>
  <c r="M107" i="43" s="1"/>
  <c r="S106" i="43" a="1"/>
  <c r="S106" i="43" s="1"/>
  <c r="A106" i="43"/>
  <c r="R105" i="43" a="1"/>
  <c r="R105" i="43" s="1"/>
  <c r="A105" i="43"/>
  <c r="A104" i="43"/>
  <c r="R103" i="43" a="1"/>
  <c r="R103" i="43" s="1"/>
  <c r="R102" i="43" a="1"/>
  <c r="R102" i="43" s="1"/>
  <c r="A102" i="43"/>
  <c r="T101" i="43" a="1"/>
  <c r="T101" i="43" s="1"/>
  <c r="M101" i="43" a="1"/>
  <c r="M101" i="43" s="1"/>
  <c r="AA100" i="43" a="1"/>
  <c r="AA100" i="43" s="1"/>
  <c r="N100" i="43" a="1"/>
  <c r="N100" i="43" s="1"/>
  <c r="AD99" i="43" a="1"/>
  <c r="AD99" i="43" s="1"/>
  <c r="AE148" i="43" a="1"/>
  <c r="AE148" i="43" s="1"/>
  <c r="Q148" i="43" a="1"/>
  <c r="Q148" i="43" s="1"/>
  <c r="Q147" i="43" a="1"/>
  <c r="Q147" i="43" s="1"/>
  <c r="AB146" i="43" a="1"/>
  <c r="AB146" i="43" s="1"/>
  <c r="R145" i="43" a="1"/>
  <c r="R145" i="43" s="1"/>
  <c r="AE144" i="43" a="1"/>
  <c r="AE144" i="43" s="1"/>
  <c r="S143" i="43" a="1"/>
  <c r="S143" i="43" s="1"/>
  <c r="AA142" i="43" a="1"/>
  <c r="AA142" i="43" s="1"/>
  <c r="M142" i="43" a="1"/>
  <c r="M142" i="43" s="1"/>
  <c r="A141" i="43"/>
  <c r="N140" i="43" a="1"/>
  <c r="N140" i="43" s="1"/>
  <c r="T139" i="43" a="1"/>
  <c r="T139" i="43" s="1"/>
  <c r="AE138" i="43" a="1"/>
  <c r="AE138" i="43" s="1"/>
  <c r="N138" i="43" a="1"/>
  <c r="N138" i="43" s="1"/>
  <c r="N136" i="43" a="1"/>
  <c r="N136" i="43" s="1"/>
  <c r="T135" i="43" a="1"/>
  <c r="T135" i="43" s="1"/>
  <c r="P31" i="43" a="1"/>
  <c r="P31" i="43" s="1"/>
  <c r="S132" i="43" a="1"/>
  <c r="S132" i="43" s="1"/>
  <c r="P30" i="43" a="1"/>
  <c r="P30" i="43" s="1"/>
  <c r="AE130" i="43" a="1"/>
  <c r="AE130" i="43" s="1"/>
  <c r="M130" i="43" a="1"/>
  <c r="M130" i="43" s="1"/>
  <c r="M129" i="43" a="1"/>
  <c r="M129" i="43" s="1"/>
  <c r="T29" i="43" a="1"/>
  <c r="T29" i="43" s="1"/>
  <c r="A29" i="43"/>
  <c r="S128" i="43" a="1"/>
  <c r="S128" i="43" s="1"/>
  <c r="A128" i="43"/>
  <c r="T127" i="43" a="1"/>
  <c r="T127" i="43" s="1"/>
  <c r="A127" i="43"/>
  <c r="Q126" i="43" a="1"/>
  <c r="Q126" i="43" s="1"/>
  <c r="N125" i="43" a="1"/>
  <c r="N125" i="43" s="1"/>
  <c r="AA123" i="43" a="1"/>
  <c r="AA123" i="43" s="1"/>
  <c r="M123" i="43" a="1"/>
  <c r="M123" i="43" s="1"/>
  <c r="S122" i="43" a="1"/>
  <c r="S122" i="43" s="1"/>
  <c r="Q121" i="43" a="1"/>
  <c r="Q121" i="43" s="1"/>
  <c r="AE120" i="43" a="1"/>
  <c r="AE120" i="43" s="1"/>
  <c r="R120" i="43" a="1"/>
  <c r="R120" i="43" s="1"/>
  <c r="Q119" i="43" a="1"/>
  <c r="Q119" i="43" s="1"/>
  <c r="O28" i="43" a="1"/>
  <c r="O28" i="43" s="1"/>
  <c r="AD118" i="43" a="1"/>
  <c r="AD118" i="43" s="1"/>
  <c r="AD27" i="43" a="1"/>
  <c r="AD27" i="43" s="1"/>
  <c r="AA117" i="43" a="1"/>
  <c r="AA117" i="43" s="1"/>
  <c r="S26" i="43" a="1"/>
  <c r="S26" i="43" s="1"/>
  <c r="A26" i="43"/>
  <c r="R116" i="43" a="1"/>
  <c r="R116" i="43" s="1"/>
  <c r="S25" i="43" a="1"/>
  <c r="S25" i="43" s="1"/>
  <c r="R24" i="43" a="1"/>
  <c r="R24" i="43" s="1"/>
  <c r="AD114" i="43" a="1"/>
  <c r="AD114" i="43" s="1"/>
  <c r="N112" i="43" a="1"/>
  <c r="N112" i="43" s="1"/>
  <c r="R111" i="43" a="1"/>
  <c r="R111" i="43" s="1"/>
  <c r="N110" i="43" a="1"/>
  <c r="N110" i="43" s="1"/>
  <c r="S108" i="43" a="1"/>
  <c r="S108" i="43" s="1"/>
  <c r="AD107" i="43" a="1"/>
  <c r="AD107" i="43" s="1"/>
  <c r="R106" i="43" a="1"/>
  <c r="R106" i="43" s="1"/>
  <c r="AD104" i="43" a="1"/>
  <c r="AD104" i="43" s="1"/>
  <c r="Q104" i="43" a="1"/>
  <c r="Q104" i="43" s="1"/>
  <c r="P103" i="43" a="1"/>
  <c r="P103" i="43" s="1"/>
  <c r="AE101" i="43" a="1"/>
  <c r="AE101" i="43" s="1"/>
  <c r="S101" i="43" a="1"/>
  <c r="S101" i="43" s="1"/>
  <c r="AA99" i="43" a="1"/>
  <c r="AA99" i="43" s="1"/>
  <c r="M99" i="43" a="1"/>
  <c r="M99" i="43" s="1"/>
  <c r="O23" i="43" a="1"/>
  <c r="O23" i="43" s="1"/>
  <c r="AD98" i="43" a="1"/>
  <c r="AD98" i="43" s="1"/>
  <c r="T22" i="43" a="1"/>
  <c r="T22" i="43" s="1"/>
  <c r="M22" i="43" a="1"/>
  <c r="M22" i="43" s="1"/>
  <c r="AA97" i="43" a="1"/>
  <c r="AA97" i="43" s="1"/>
  <c r="Q97" i="43" a="1"/>
  <c r="Q97" i="43" s="1"/>
  <c r="A97" i="43"/>
  <c r="AD96" i="43" a="1"/>
  <c r="AD96" i="43" s="1"/>
  <c r="R96" i="43" a="1"/>
  <c r="R96" i="43" s="1"/>
  <c r="M96" i="43" a="1"/>
  <c r="M96" i="43" s="1"/>
  <c r="AD20" i="43" a="1"/>
  <c r="AD20" i="43" s="1"/>
  <c r="Q20" i="43" a="1"/>
  <c r="Q20" i="43" s="1"/>
  <c r="A20" i="43"/>
  <c r="AE19" i="43" a="1"/>
  <c r="AE19" i="43" s="1"/>
  <c r="T19" i="43" a="1"/>
  <c r="T19" i="43" s="1"/>
  <c r="N19" i="43" a="1"/>
  <c r="N19" i="43" s="1"/>
  <c r="Q94" i="43" a="1"/>
  <c r="Q94" i="43" s="1"/>
  <c r="A94" i="43"/>
  <c r="R18" i="43" a="1"/>
  <c r="R18" i="43" s="1"/>
  <c r="A18" i="43"/>
  <c r="N93" i="43" a="1"/>
  <c r="N93" i="43" s="1"/>
  <c r="Q17" i="43" a="1"/>
  <c r="Q17" i="43" s="1"/>
  <c r="S92" i="43" a="1"/>
  <c r="S92" i="43" s="1"/>
  <c r="M92" i="43" a="1"/>
  <c r="M92" i="43" s="1"/>
  <c r="AA16" i="43" a="1"/>
  <c r="AA16" i="43" s="1"/>
  <c r="AE91" i="43" a="1"/>
  <c r="AE91" i="43" s="1"/>
  <c r="Q91" i="43" a="1"/>
  <c r="Q91" i="43" s="1"/>
  <c r="AE15" i="43" a="1"/>
  <c r="AE15" i="43" s="1"/>
  <c r="Q15" i="43" a="1"/>
  <c r="Q15" i="43" s="1"/>
  <c r="Q90" i="43" a="1"/>
  <c r="Q90" i="43" s="1"/>
  <c r="P89" i="43" a="1"/>
  <c r="P89" i="43" s="1"/>
  <c r="A89" i="43"/>
  <c r="S88" i="43" a="1"/>
  <c r="S88" i="43" s="1"/>
  <c r="M88" i="43" a="1"/>
  <c r="M88" i="43" s="1"/>
  <c r="AA87" i="43" a="1"/>
  <c r="AA87" i="43" s="1"/>
  <c r="O87" i="43" a="1"/>
  <c r="O87" i="43" s="1"/>
  <c r="A86" i="43"/>
  <c r="A85" i="43"/>
  <c r="AE83" i="43" a="1"/>
  <c r="AE83" i="43" s="1"/>
  <c r="P83" i="43" a="1"/>
  <c r="P83" i="43" s="1"/>
  <c r="AE82" i="43" a="1"/>
  <c r="AE82" i="43" s="1"/>
  <c r="R82" i="43" a="1"/>
  <c r="R82" i="43" s="1"/>
  <c r="T14" i="43" a="1"/>
  <c r="T14" i="43" s="1"/>
  <c r="M14" i="43" a="1"/>
  <c r="M14" i="43" s="1"/>
  <c r="AD81" i="43" a="1"/>
  <c r="AD81" i="43" s="1"/>
  <c r="Q81" i="43" a="1"/>
  <c r="Q81" i="43" s="1"/>
  <c r="A81" i="43"/>
  <c r="N80" i="43" a="1"/>
  <c r="N80" i="43" s="1"/>
  <c r="N79" i="43" a="1"/>
  <c r="N79" i="43" s="1"/>
  <c r="AD78" i="43" a="1"/>
  <c r="AD78" i="43" s="1"/>
  <c r="R78" i="43" a="1"/>
  <c r="R78" i="43" s="1"/>
  <c r="AA77" i="43" a="1"/>
  <c r="AA77" i="43" s="1"/>
  <c r="O76" i="43" a="1"/>
  <c r="O76" i="43" s="1"/>
  <c r="S75" i="43" a="1"/>
  <c r="S75" i="43" s="1"/>
  <c r="AE73" i="43" a="1"/>
  <c r="AE73" i="43" s="1"/>
  <c r="Q73" i="43" a="1"/>
  <c r="Q73" i="43" s="1"/>
  <c r="AE72" i="43" a="1"/>
  <c r="AE72" i="43" s="1"/>
  <c r="N72" i="43" a="1"/>
  <c r="N72" i="43" s="1"/>
  <c r="AD71" i="43" a="1"/>
  <c r="AD71" i="43" s="1"/>
  <c r="AA13" i="43" a="1"/>
  <c r="AA13" i="43" s="1"/>
  <c r="M13" i="43" a="1"/>
  <c r="M13" i="43" s="1"/>
  <c r="T70" i="43" a="1"/>
  <c r="T70" i="43" s="1"/>
  <c r="N70" i="43" a="1"/>
  <c r="N70" i="43" s="1"/>
  <c r="AA148" i="43" a="1"/>
  <c r="AA148" i="43" s="1"/>
  <c r="A146" i="43"/>
  <c r="P143" i="43" a="1"/>
  <c r="P143" i="43" s="1"/>
  <c r="S141" i="43" a="1"/>
  <c r="S141" i="43" s="1"/>
  <c r="Q139" i="43" a="1"/>
  <c r="Q139" i="43" s="1"/>
  <c r="P137" i="43" a="1"/>
  <c r="P137" i="43" s="1"/>
  <c r="P135" i="43" a="1"/>
  <c r="P135" i="43" s="1"/>
  <c r="AA134" i="43" a="1"/>
  <c r="AA134" i="43" s="1"/>
  <c r="Q132" i="43" a="1"/>
  <c r="Q132" i="43" s="1"/>
  <c r="AA131" i="43" a="1"/>
  <c r="AA131" i="43" s="1"/>
  <c r="A7" i="43"/>
  <c r="Q7" i="43" a="1"/>
  <c r="Q7" i="43" s="1"/>
  <c r="N34" i="43" a="1"/>
  <c r="N34" i="43" s="1"/>
  <c r="AD34" i="43" a="1"/>
  <c r="AD34" i="43" s="1"/>
  <c r="N36" i="43" a="1"/>
  <c r="N36" i="43" s="1"/>
  <c r="AE36" i="43" a="1"/>
  <c r="AE36" i="43" s="1"/>
  <c r="M39" i="43" a="1"/>
  <c r="M39" i="43" s="1"/>
  <c r="R40" i="43" a="1"/>
  <c r="R40" i="43" s="1"/>
  <c r="O42" i="43" a="1"/>
  <c r="O42" i="43" s="1"/>
  <c r="AE42" i="43" a="1"/>
  <c r="AE42" i="43" s="1"/>
  <c r="O43" i="43" a="1"/>
  <c r="O43" i="43" s="1"/>
  <c r="AD43" i="43" a="1"/>
  <c r="AD43" i="43" s="1"/>
  <c r="O44" i="43" a="1"/>
  <c r="O44" i="43" s="1"/>
  <c r="M45" i="43" a="1"/>
  <c r="M45" i="43" s="1"/>
  <c r="R45" i="43" a="1"/>
  <c r="R45" i="43" s="1"/>
  <c r="AD45" i="43" a="1"/>
  <c r="AD45" i="43" s="1"/>
  <c r="P46" i="43" a="1"/>
  <c r="P46" i="43" s="1"/>
  <c r="AE46" i="43" a="1"/>
  <c r="AE46" i="43" s="1"/>
  <c r="AD47" i="43" a="1"/>
  <c r="AD47" i="43" s="1"/>
  <c r="AC48" i="43" a="1"/>
  <c r="AC48" i="43" s="1"/>
  <c r="R48" i="43" a="1"/>
  <c r="R48" i="43" s="1"/>
  <c r="AC49" i="43" a="1"/>
  <c r="AC49" i="43" s="1"/>
  <c r="S49" i="43" a="1"/>
  <c r="S49" i="43" s="1"/>
  <c r="Q50" i="43" a="1"/>
  <c r="Q50" i="43" s="1"/>
  <c r="O51" i="43" a="1"/>
  <c r="O51" i="43" s="1"/>
  <c r="AA51" i="43" a="1"/>
  <c r="AA51" i="43" s="1"/>
  <c r="M52" i="43" a="1"/>
  <c r="M52" i="43" s="1"/>
  <c r="T52" i="43" a="1"/>
  <c r="T52" i="43" s="1"/>
  <c r="N53" i="43" a="1"/>
  <c r="N53" i="43" s="1"/>
  <c r="R54" i="43" a="1"/>
  <c r="R54" i="43" s="1"/>
  <c r="N55" i="43" a="1"/>
  <c r="N55" i="43" s="1"/>
  <c r="T55" i="43" a="1"/>
  <c r="T55" i="43" s="1"/>
  <c r="A56" i="43"/>
  <c r="N8" i="43" a="1"/>
  <c r="N8" i="43" s="1"/>
  <c r="T8" i="43" a="1"/>
  <c r="T8" i="43" s="1"/>
  <c r="M57" i="43" a="1"/>
  <c r="M57" i="43" s="1"/>
  <c r="T57" i="43" a="1"/>
  <c r="T57" i="43" s="1"/>
  <c r="N9" i="43" a="1"/>
  <c r="N9" i="43" s="1"/>
  <c r="T9" i="43" a="1"/>
  <c r="T9" i="43" s="1"/>
  <c r="AB10" i="43" a="1"/>
  <c r="AB10" i="43" s="1"/>
  <c r="T10" i="43" a="1"/>
  <c r="T10" i="43" s="1"/>
  <c r="O58" i="43" a="1"/>
  <c r="O58" i="43" s="1"/>
  <c r="AA58" i="43" a="1"/>
  <c r="AA58" i="43" s="1"/>
  <c r="M59" i="43" a="1"/>
  <c r="M59" i="43" s="1"/>
  <c r="Q60" i="43" a="1"/>
  <c r="Q60" i="43" s="1"/>
  <c r="M61" i="43" a="1"/>
  <c r="M61" i="43" s="1"/>
  <c r="A12" i="43"/>
  <c r="R12" i="43" a="1"/>
  <c r="R12" i="43" s="1"/>
  <c r="Q62" i="43" a="1"/>
  <c r="Q62" i="43" s="1"/>
  <c r="P63" i="43" a="1"/>
  <c r="P63" i="43" s="1"/>
  <c r="N64" i="43" a="1"/>
  <c r="N64" i="43" s="1"/>
  <c r="AD65" i="43" a="1"/>
  <c r="AD65" i="43" s="1"/>
  <c r="M66" i="43" a="1"/>
  <c r="M66" i="43" s="1"/>
  <c r="AA66" i="43" a="1"/>
  <c r="AA66" i="43" s="1"/>
  <c r="M67" i="43" a="1"/>
  <c r="M67" i="43" s="1"/>
  <c r="AD67" i="43" a="1"/>
  <c r="AD67" i="43" s="1"/>
  <c r="O68" i="43" a="1"/>
  <c r="O68" i="43" s="1"/>
  <c r="AE68" i="43" a="1"/>
  <c r="AE68" i="43" s="1"/>
  <c r="O69" i="43" a="1"/>
  <c r="O69" i="43" s="1"/>
  <c r="N13" i="43" a="1"/>
  <c r="N13" i="43" s="1"/>
  <c r="AC71" i="43" a="1"/>
  <c r="AC71" i="43" s="1"/>
  <c r="S72" i="43" a="1"/>
  <c r="S72" i="43" s="1"/>
  <c r="P73" i="43" a="1"/>
  <c r="P73" i="43" s="1"/>
  <c r="S74" i="43" a="1"/>
  <c r="S74" i="43" s="1"/>
  <c r="AC75" i="43" a="1"/>
  <c r="AC75" i="43" s="1"/>
  <c r="AE75" i="43" a="1"/>
  <c r="AE75" i="43" s="1"/>
  <c r="P77" i="43" a="1"/>
  <c r="P77" i="43" s="1"/>
  <c r="A78" i="43"/>
  <c r="S78" i="43" a="1"/>
  <c r="S78" i="43" s="1"/>
  <c r="AE79" i="43" a="1"/>
  <c r="AE79" i="43" s="1"/>
  <c r="S80" i="43" a="1"/>
  <c r="S80" i="43" s="1"/>
  <c r="AC81" i="43" a="1"/>
  <c r="AC81" i="43" s="1"/>
  <c r="AA81" i="43" a="1"/>
  <c r="AA81" i="43" s="1"/>
  <c r="M82" i="43" a="1"/>
  <c r="M82" i="43" s="1"/>
  <c r="O83" i="43" a="1"/>
  <c r="O83" i="43" s="1"/>
  <c r="P84" i="43" a="1"/>
  <c r="P84" i="43" s="1"/>
  <c r="P85" i="43" a="1"/>
  <c r="P85" i="43" s="1"/>
  <c r="P86" i="43" a="1"/>
  <c r="P86" i="43" s="1"/>
  <c r="R89" i="43" a="1"/>
  <c r="R89" i="43" s="1"/>
  <c r="R90" i="43" a="1"/>
  <c r="R90" i="43" s="1"/>
  <c r="P15" i="43" a="1"/>
  <c r="P15" i="43" s="1"/>
  <c r="N91" i="43" a="1"/>
  <c r="N91" i="43" s="1"/>
  <c r="AD16" i="43" a="1"/>
  <c r="AD16" i="43" s="1"/>
  <c r="T92" i="43" a="1"/>
  <c r="T92" i="43" s="1"/>
  <c r="AA93" i="43" a="1"/>
  <c r="AA93" i="43" s="1"/>
  <c r="S18" i="43" a="1"/>
  <c r="S18" i="43" s="1"/>
  <c r="AB19" i="43" a="1"/>
  <c r="AB19" i="43" s="1"/>
  <c r="S20" i="43" a="1"/>
  <c r="S20" i="43" s="1"/>
  <c r="M21" i="43" a="1"/>
  <c r="M21" i="43" s="1"/>
  <c r="R22" i="43" a="1"/>
  <c r="R22" i="43" s="1"/>
  <c r="AC98" i="43" a="1"/>
  <c r="AC98" i="43" s="1"/>
  <c r="AE98" i="43" a="1"/>
  <c r="AE98" i="43" s="1"/>
  <c r="A101" i="43"/>
  <c r="AD101" i="43" a="1"/>
  <c r="AD101" i="43" s="1"/>
  <c r="AA104" i="43" a="1"/>
  <c r="AA104" i="43" s="1"/>
  <c r="AC105" i="43" a="1"/>
  <c r="AC105" i="43" s="1"/>
  <c r="S114" i="43" a="1"/>
  <c r="S114" i="43" s="1"/>
  <c r="T117" i="43" a="1"/>
  <c r="T117" i="43" s="1"/>
  <c r="AA27" i="43" a="1"/>
  <c r="AA27" i="43" s="1"/>
  <c r="AD121" i="43" a="1"/>
  <c r="AD121" i="43" s="1"/>
  <c r="P126" i="43" a="1"/>
  <c r="P126" i="43" s="1"/>
  <c r="AD131" i="43" a="1"/>
  <c r="AD131" i="43" s="1"/>
  <c r="AA136" i="43" a="1"/>
  <c r="AA136" i="43" s="1"/>
  <c r="O148" i="43" a="1"/>
  <c r="O148" i="43" s="1"/>
  <c r="S7" i="43" a="1"/>
  <c r="S7" i="43" s="1"/>
  <c r="AA37" i="43" a="1"/>
  <c r="AA37" i="43" s="1"/>
  <c r="T41" i="43" a="1"/>
  <c r="T41" i="43" s="1"/>
  <c r="T46" i="43" a="1"/>
  <c r="T46" i="43" s="1"/>
  <c r="AE53" i="43" a="1"/>
  <c r="AE53" i="43" s="1"/>
  <c r="P8" i="43" a="1"/>
  <c r="P8" i="43" s="1"/>
  <c r="P59" i="43" a="1"/>
  <c r="P59" i="43" s="1"/>
  <c r="AD12" i="43" a="1"/>
  <c r="AD12" i="43" s="1"/>
  <c r="AE66" i="43" a="1"/>
  <c r="AE66" i="43" s="1"/>
  <c r="A69" i="43"/>
  <c r="AD74" i="43" a="1"/>
  <c r="AD74" i="43" s="1"/>
  <c r="P87" i="43" a="1"/>
  <c r="P87" i="43" s="1"/>
  <c r="AD94" i="43" a="1"/>
  <c r="AD94" i="43" s="1"/>
  <c r="N7" i="43" a="1"/>
  <c r="N7" i="43" s="1"/>
  <c r="A34" i="43"/>
  <c r="A36" i="43"/>
  <c r="N40" i="43" a="1"/>
  <c r="N40" i="43" s="1"/>
  <c r="T44" i="43" a="1"/>
  <c r="T44" i="43" s="1"/>
  <c r="AD48" i="43" a="1"/>
  <c r="AD48" i="43" s="1"/>
  <c r="N56" i="43" a="1"/>
  <c r="N56" i="43" s="1"/>
  <c r="Q9" i="43" a="1"/>
  <c r="Q9" i="43" s="1"/>
  <c r="AA59" i="43" a="1"/>
  <c r="AA59" i="43" s="1"/>
  <c r="N11" i="43" a="1"/>
  <c r="N11" i="43" s="1"/>
  <c r="Q64" i="43" a="1"/>
  <c r="Q64" i="43" s="1"/>
  <c r="A65" i="43"/>
  <c r="M70" i="43" a="1"/>
  <c r="M70" i="43" s="1"/>
  <c r="N74" i="43" a="1"/>
  <c r="N74" i="43" s="1"/>
  <c r="P79" i="43" a="1"/>
  <c r="P79" i="43" s="1"/>
  <c r="Q87" i="43" a="1"/>
  <c r="Q87" i="43" s="1"/>
  <c r="R19" i="43" a="1"/>
  <c r="R19" i="43" s="1"/>
  <c r="S21" i="43" a="1"/>
  <c r="S21" i="43" s="1"/>
  <c r="R101" i="43" a="1"/>
  <c r="R101" i="43" s="1"/>
  <c r="AE112" i="43" a="1"/>
  <c r="AE112" i="43" s="1"/>
  <c r="AA130" i="43" a="1"/>
  <c r="AA130" i="43" s="1"/>
  <c r="P7" i="43" a="1"/>
  <c r="P7" i="43" s="1"/>
  <c r="T35" i="43" a="1"/>
  <c r="T35" i="43" s="1"/>
  <c r="Q38" i="43" a="1"/>
  <c r="Q38" i="43" s="1"/>
  <c r="Q41" i="43" a="1"/>
  <c r="Q41" i="43" s="1"/>
  <c r="N43" i="43" a="1"/>
  <c r="N43" i="43" s="1"/>
  <c r="N44" i="43" a="1"/>
  <c r="N44" i="43" s="1"/>
  <c r="AA45" i="43" a="1"/>
  <c r="AA45" i="43" s="1"/>
  <c r="N47" i="43" a="1"/>
  <c r="N47" i="43" s="1"/>
  <c r="R49" i="43" a="1"/>
  <c r="R49" i="43" s="1"/>
  <c r="A50" i="43"/>
  <c r="AE50" i="43" a="1"/>
  <c r="AE50" i="43" s="1"/>
  <c r="O34" i="43" a="1"/>
  <c r="O34" i="43" s="1"/>
  <c r="O35" i="43" a="1"/>
  <c r="O35" i="43" s="1"/>
  <c r="O36" i="43" a="1"/>
  <c r="O36" i="43" s="1"/>
  <c r="AB38" i="43" a="1"/>
  <c r="AB38" i="43" s="1"/>
  <c r="T38" i="43" a="1"/>
  <c r="T38" i="43" s="1"/>
  <c r="N39" i="43" a="1"/>
  <c r="N39" i="43" s="1"/>
  <c r="AA39" i="43" a="1"/>
  <c r="AA39" i="43" s="1"/>
  <c r="AB40" i="43" a="1"/>
  <c r="AB40" i="43" s="1"/>
  <c r="S40" i="43" a="1"/>
  <c r="S40" i="43" s="1"/>
  <c r="AC41" i="43" a="1"/>
  <c r="AC41" i="43" s="1"/>
  <c r="R41" i="43" a="1"/>
  <c r="R41" i="43" s="1"/>
  <c r="A42" i="43"/>
  <c r="P42" i="43" a="1"/>
  <c r="P42" i="43" s="1"/>
  <c r="P43" i="43" a="1"/>
  <c r="P43" i="43" s="1"/>
  <c r="AE43" i="43" a="1"/>
  <c r="AE43" i="43" s="1"/>
  <c r="Q44" i="43" a="1"/>
  <c r="Q44" i="43" s="1"/>
  <c r="AE44" i="43" a="1"/>
  <c r="AE44" i="43" s="1"/>
  <c r="S45" i="43" a="1"/>
  <c r="S45" i="43" s="1"/>
  <c r="AE45" i="43" a="1"/>
  <c r="AE45" i="43" s="1"/>
  <c r="Q46" i="43" a="1"/>
  <c r="Q46" i="43" s="1"/>
  <c r="O47" i="43" a="1"/>
  <c r="O47" i="43" s="1"/>
  <c r="M48" i="43" a="1"/>
  <c r="M48" i="43" s="1"/>
  <c r="S48" i="43" a="1"/>
  <c r="S48" i="43" s="1"/>
  <c r="M49" i="43" a="1"/>
  <c r="M49" i="43" s="1"/>
  <c r="T49" i="43" a="1"/>
  <c r="T49" i="43" s="1"/>
  <c r="P51" i="43" a="1"/>
  <c r="P51" i="43" s="1"/>
  <c r="AD51" i="43" a="1"/>
  <c r="AD51" i="43" s="1"/>
  <c r="N52" i="43" a="1"/>
  <c r="N52" i="43" s="1"/>
  <c r="AE52" i="43" a="1"/>
  <c r="AE52" i="43" s="1"/>
  <c r="AA53" i="43" a="1"/>
  <c r="AA53" i="43" s="1"/>
  <c r="AB54" i="43" a="1"/>
  <c r="AB54" i="43" s="1"/>
  <c r="S54" i="43" a="1"/>
  <c r="S54" i="43" s="1"/>
  <c r="R56" i="43" a="1"/>
  <c r="R56" i="43" s="1"/>
  <c r="N57" i="43" a="1"/>
  <c r="N57" i="43" s="1"/>
  <c r="M10" i="43" a="1"/>
  <c r="M10" i="43" s="1"/>
  <c r="A58" i="43"/>
  <c r="P58" i="43" a="1"/>
  <c r="P58" i="43" s="1"/>
  <c r="AC58" i="43" a="1"/>
  <c r="AC58" i="43" s="1"/>
  <c r="N59" i="43" a="1"/>
  <c r="N59" i="43" s="1"/>
  <c r="AA60" i="43" a="1"/>
  <c r="AA60" i="43" s="1"/>
  <c r="AC11" i="43" a="1"/>
  <c r="AC11" i="43" s="1"/>
  <c r="R11" i="43" a="1"/>
  <c r="R11" i="43" s="1"/>
  <c r="S12" i="43" a="1"/>
  <c r="S12" i="43" s="1"/>
  <c r="R62" i="43" a="1"/>
  <c r="R62" i="43" s="1"/>
  <c r="Q63" i="43" a="1"/>
  <c r="Q63" i="43" s="1"/>
  <c r="AA64" i="43" a="1"/>
  <c r="AA64" i="43" s="1"/>
  <c r="N65" i="43" a="1"/>
  <c r="N65" i="43" s="1"/>
  <c r="AD66" i="43" a="1"/>
  <c r="AD66" i="43" s="1"/>
  <c r="N67" i="43" a="1"/>
  <c r="N67" i="43" s="1"/>
  <c r="P68" i="43" a="1"/>
  <c r="P68" i="43" s="1"/>
  <c r="P69" i="43" a="1"/>
  <c r="P69" i="43" s="1"/>
  <c r="R70" i="43" a="1"/>
  <c r="R70" i="43" s="1"/>
  <c r="O13" i="43" a="1"/>
  <c r="O13" i="43" s="1"/>
  <c r="M71" i="43" a="1"/>
  <c r="M71" i="43" s="1"/>
  <c r="AE71" i="43" a="1"/>
  <c r="AE71" i="43" s="1"/>
  <c r="T72" i="43" a="1"/>
  <c r="T72" i="43" s="1"/>
  <c r="T74" i="43" a="1"/>
  <c r="T74" i="43" s="1"/>
  <c r="M75" i="43" a="1"/>
  <c r="M75" i="43" s="1"/>
  <c r="N76" i="43" a="1"/>
  <c r="N76" i="43" s="1"/>
  <c r="AA76" i="43" a="1"/>
  <c r="AA76" i="43" s="1"/>
  <c r="S77" i="43" a="1"/>
  <c r="S77" i="43" s="1"/>
  <c r="T78" i="43" a="1"/>
  <c r="T78" i="43" s="1"/>
  <c r="AB79" i="43" a="1"/>
  <c r="AB79" i="43" s="1"/>
  <c r="T80" i="43" a="1"/>
  <c r="T80" i="43" s="1"/>
  <c r="O81" i="43" a="1"/>
  <c r="O81" i="43" s="1"/>
  <c r="R14" i="43" a="1"/>
  <c r="R14" i="43" s="1"/>
  <c r="AA82" i="43" a="1"/>
  <c r="AA82" i="43" s="1"/>
  <c r="Q83" i="43" a="1"/>
  <c r="Q83" i="43" s="1"/>
  <c r="Q84" i="43" a="1"/>
  <c r="Q84" i="43" s="1"/>
  <c r="Q85" i="43" a="1"/>
  <c r="Q85" i="43" s="1"/>
  <c r="Q86" i="43" a="1"/>
  <c r="Q86" i="43" s="1"/>
  <c r="N87" i="43" a="1"/>
  <c r="N87" i="43" s="1"/>
  <c r="AE88" i="43" a="1"/>
  <c r="AE88" i="43" s="1"/>
  <c r="AD89" i="43" a="1"/>
  <c r="AD89" i="43" s="1"/>
  <c r="S90" i="43" a="1"/>
  <c r="S90" i="43" s="1"/>
  <c r="R15" i="43" a="1"/>
  <c r="R15" i="43" s="1"/>
  <c r="P91" i="43" a="1"/>
  <c r="P91" i="43" s="1"/>
  <c r="P17" i="43" a="1"/>
  <c r="P17" i="43" s="1"/>
  <c r="AC93" i="43" a="1"/>
  <c r="AC93" i="43" s="1"/>
  <c r="T18" i="43" a="1"/>
  <c r="T18" i="43" s="1"/>
  <c r="R94" i="43" a="1"/>
  <c r="R94" i="43" s="1"/>
  <c r="M19" i="43" a="1"/>
  <c r="M19" i="43" s="1"/>
  <c r="N95" i="43" a="1"/>
  <c r="N95" i="43" s="1"/>
  <c r="AC96" i="43" a="1"/>
  <c r="AC96" i="43" s="1"/>
  <c r="N21" i="43" a="1"/>
  <c r="N21" i="43" s="1"/>
  <c r="S22" i="43" a="1"/>
  <c r="S22" i="43" s="1"/>
  <c r="P98" i="43" a="1"/>
  <c r="P98" i="43" s="1"/>
  <c r="A100" i="43"/>
  <c r="AD105" i="43" a="1"/>
  <c r="AD105" i="43" s="1"/>
  <c r="S107" i="43" a="1"/>
  <c r="S107" i="43" s="1"/>
  <c r="A109" i="43"/>
  <c r="AC110" i="43" a="1"/>
  <c r="AC110" i="43" s="1"/>
  <c r="AB112" i="43" a="1"/>
  <c r="AB112" i="43" s="1"/>
  <c r="P113" i="43" a="1"/>
  <c r="P113" i="43" s="1"/>
  <c r="AA114" i="43" a="1"/>
  <c r="AA114" i="43" s="1"/>
  <c r="T115" i="43" a="1"/>
  <c r="T115" i="43" s="1"/>
  <c r="O119" i="43" a="1"/>
  <c r="O119" i="43" s="1"/>
  <c r="O120" i="43" a="1"/>
  <c r="O120" i="43" s="1"/>
  <c r="AC125" i="43" a="1"/>
  <c r="AC125" i="43" s="1"/>
  <c r="AE127" i="43" a="1"/>
  <c r="AE127" i="43" s="1"/>
  <c r="M138" i="43" a="1"/>
  <c r="M138" i="43" s="1"/>
  <c r="M34" i="43" a="1"/>
  <c r="M34" i="43" s="1"/>
  <c r="M36" i="43" a="1"/>
  <c r="M36" i="43" s="1"/>
  <c r="T39" i="43" a="1"/>
  <c r="T39" i="43" s="1"/>
  <c r="AA7" i="43" a="1"/>
  <c r="AA7" i="43" s="1"/>
  <c r="AE34" i="43" a="1"/>
  <c r="AE34" i="43" s="1"/>
  <c r="AA35" i="43" a="1"/>
  <c r="AA35" i="43" s="1"/>
  <c r="AB7" i="43" a="1"/>
  <c r="AB7" i="43" s="1"/>
  <c r="R7" i="43" a="1"/>
  <c r="R7" i="43" s="1"/>
  <c r="AD7" i="43" a="1"/>
  <c r="AD7" i="43" s="1"/>
  <c r="P34" i="43" a="1"/>
  <c r="P34" i="43" s="1"/>
  <c r="P35" i="43" a="1"/>
  <c r="P35" i="43" s="1"/>
  <c r="AD35" i="43" a="1"/>
  <c r="AD35" i="43" s="1"/>
  <c r="Q36" i="43" a="1"/>
  <c r="Q36" i="43" s="1"/>
  <c r="P37" i="43" a="1"/>
  <c r="P37" i="43" s="1"/>
  <c r="M38" i="43" a="1"/>
  <c r="M38" i="43" s="1"/>
  <c r="AA38" i="43" a="1"/>
  <c r="AA38" i="43" s="1"/>
  <c r="O39" i="43" a="1"/>
  <c r="O39" i="43" s="1"/>
  <c r="AD39" i="43" a="1"/>
  <c r="AD39" i="43" s="1"/>
  <c r="M40" i="43" a="1"/>
  <c r="M40" i="43" s="1"/>
  <c r="T40" i="43" a="1"/>
  <c r="T40" i="43" s="1"/>
  <c r="M41" i="43" a="1"/>
  <c r="M41" i="43" s="1"/>
  <c r="S41" i="43" a="1"/>
  <c r="S41" i="43" s="1"/>
  <c r="Q42" i="43" a="1"/>
  <c r="Q42" i="43" s="1"/>
  <c r="Q43" i="43" a="1"/>
  <c r="Q43" i="43" s="1"/>
  <c r="A44" i="43"/>
  <c r="R44" i="43" a="1"/>
  <c r="R44" i="43" s="1"/>
  <c r="N45" i="43" a="1"/>
  <c r="N45" i="43" s="1"/>
  <c r="T45" i="43" a="1"/>
  <c r="T45" i="43" s="1"/>
  <c r="A46" i="43"/>
  <c r="A47" i="43"/>
  <c r="Q47" i="43" a="1"/>
  <c r="Q47" i="43" s="1"/>
  <c r="AE47" i="43" a="1"/>
  <c r="AE47" i="43" s="1"/>
  <c r="T48" i="43" a="1"/>
  <c r="T48" i="43" s="1"/>
  <c r="N49" i="43" a="1"/>
  <c r="N49" i="43" s="1"/>
  <c r="AA49" i="43" a="1"/>
  <c r="AA49" i="43" s="1"/>
  <c r="M50" i="43" a="1"/>
  <c r="M50" i="43" s="1"/>
  <c r="S50" i="43" a="1"/>
  <c r="S50" i="43" s="1"/>
  <c r="A51" i="43"/>
  <c r="Q51" i="43" a="1"/>
  <c r="Q51" i="43" s="1"/>
  <c r="AE51" i="43" a="1"/>
  <c r="AE51" i="43" s="1"/>
  <c r="O53" i="43" a="1"/>
  <c r="O53" i="43" s="1"/>
  <c r="AD53" i="43" a="1"/>
  <c r="AD53" i="43" s="1"/>
  <c r="M54" i="43" a="1"/>
  <c r="M54" i="43" s="1"/>
  <c r="T54" i="43" a="1"/>
  <c r="T54" i="43" s="1"/>
  <c r="O55" i="43" a="1"/>
  <c r="O55" i="43" s="1"/>
  <c r="AA55" i="43" a="1"/>
  <c r="AA55" i="43" s="1"/>
  <c r="AC56" i="43" a="1"/>
  <c r="AC56" i="43" s="1"/>
  <c r="S56" i="43" a="1"/>
  <c r="S56" i="43" s="1"/>
  <c r="O8" i="43" a="1"/>
  <c r="O8" i="43" s="1"/>
  <c r="AA8" i="43" a="1"/>
  <c r="AA8" i="43" s="1"/>
  <c r="O57" i="43" a="1"/>
  <c r="O57" i="43" s="1"/>
  <c r="O9" i="43" a="1"/>
  <c r="O9" i="43" s="1"/>
  <c r="AA9" i="43" a="1"/>
  <c r="AA9" i="43" s="1"/>
  <c r="N10" i="43" a="1"/>
  <c r="N10" i="43" s="1"/>
  <c r="Q58" i="43" a="1"/>
  <c r="Q58" i="43" s="1"/>
  <c r="AD58" i="43" a="1"/>
  <c r="AD58" i="43" s="1"/>
  <c r="O59" i="43" a="1"/>
  <c r="O59" i="43" s="1"/>
  <c r="AB60" i="43" a="1"/>
  <c r="AB60" i="43" s="1"/>
  <c r="R60" i="43" a="1"/>
  <c r="R60" i="43" s="1"/>
  <c r="AD60" i="43" a="1"/>
  <c r="AD60" i="43" s="1"/>
  <c r="N61" i="43" a="1"/>
  <c r="N61" i="43" s="1"/>
  <c r="M11" i="43" a="1"/>
  <c r="M11" i="43" s="1"/>
  <c r="S11" i="43" a="1"/>
  <c r="S11" i="43" s="1"/>
  <c r="AB12" i="43" a="1"/>
  <c r="AB12" i="43" s="1"/>
  <c r="AA12" i="43" a="1"/>
  <c r="AA12" i="43" s="1"/>
  <c r="M62" i="43" a="1"/>
  <c r="M62" i="43" s="1"/>
  <c r="S62" i="43" a="1"/>
  <c r="S62" i="43" s="1"/>
  <c r="A63" i="43"/>
  <c r="R63" i="43" a="1"/>
  <c r="R63" i="43" s="1"/>
  <c r="O64" i="43" a="1"/>
  <c r="O64" i="43" s="1"/>
  <c r="AD64" i="43" a="1"/>
  <c r="AD64" i="43" s="1"/>
  <c r="O65" i="43" a="1"/>
  <c r="O65" i="43" s="1"/>
  <c r="O66" i="43" a="1"/>
  <c r="O66" i="43" s="1"/>
  <c r="O67" i="43" a="1"/>
  <c r="O67" i="43" s="1"/>
  <c r="Q68" i="43" a="1"/>
  <c r="Q68" i="43" s="1"/>
  <c r="Q69" i="43" a="1"/>
  <c r="Q69" i="43" s="1"/>
  <c r="S70" i="43" a="1"/>
  <c r="S70" i="43" s="1"/>
  <c r="R13" i="43" a="1"/>
  <c r="R13" i="43" s="1"/>
  <c r="N71" i="43" a="1"/>
  <c r="N71" i="43" s="1"/>
  <c r="AD72" i="43" a="1"/>
  <c r="AD72" i="43" s="1"/>
  <c r="R73" i="43" a="1"/>
  <c r="R73" i="43" s="1"/>
  <c r="M74" i="43" a="1"/>
  <c r="M74" i="43" s="1"/>
  <c r="AA74" i="43" a="1"/>
  <c r="AA74" i="43" s="1"/>
  <c r="Q75" i="43" a="1"/>
  <c r="Q75" i="43" s="1"/>
  <c r="P76" i="43" a="1"/>
  <c r="P76" i="43" s="1"/>
  <c r="T77" i="43" a="1"/>
  <c r="T77" i="43" s="1"/>
  <c r="M79" i="43" a="1"/>
  <c r="M79" i="43" s="1"/>
  <c r="P81" i="43" a="1"/>
  <c r="P81" i="43" s="1"/>
  <c r="AE81" i="43" a="1"/>
  <c r="AE81" i="43" s="1"/>
  <c r="S14" i="43" a="1"/>
  <c r="S14" i="43" s="1"/>
  <c r="Q82" i="43" a="1"/>
  <c r="Q82" i="43" s="1"/>
  <c r="AD82" i="43" a="1"/>
  <c r="AD82" i="43" s="1"/>
  <c r="R84" i="43" a="1"/>
  <c r="R84" i="43" s="1"/>
  <c r="R85" i="43" a="1"/>
  <c r="R85" i="43" s="1"/>
  <c r="R86" i="43" a="1"/>
  <c r="R86" i="43" s="1"/>
  <c r="AB88" i="43" a="1"/>
  <c r="AB88" i="43" s="1"/>
  <c r="AE89" i="43" a="1"/>
  <c r="AE89" i="43" s="1"/>
  <c r="AD90" i="43" a="1"/>
  <c r="AD90" i="43" s="1"/>
  <c r="S15" i="43" a="1"/>
  <c r="S15" i="43" s="1"/>
  <c r="M16" i="43" a="1"/>
  <c r="M16" i="43" s="1"/>
  <c r="AE92" i="43" a="1"/>
  <c r="AE92" i="43" s="1"/>
  <c r="M93" i="43" a="1"/>
  <c r="M93" i="43" s="1"/>
  <c r="AE18" i="43" a="1"/>
  <c r="AE18" i="43" s="1"/>
  <c r="AA94" i="43" a="1"/>
  <c r="AA94" i="43" s="1"/>
  <c r="AD19" i="43" a="1"/>
  <c r="AD19" i="43" s="1"/>
  <c r="O95" i="43" a="1"/>
  <c r="O95" i="43" s="1"/>
  <c r="AE95" i="43" a="1"/>
  <c r="AE95" i="43" s="1"/>
  <c r="O21" i="43" a="1"/>
  <c r="O21" i="43" s="1"/>
  <c r="AE21" i="43" a="1"/>
  <c r="AE21" i="43" s="1"/>
  <c r="Q98" i="43" a="1"/>
  <c r="Q98" i="43" s="1"/>
  <c r="N23" i="43" a="1"/>
  <c r="N23" i="43" s="1"/>
  <c r="A99" i="43"/>
  <c r="AA107" i="43" a="1"/>
  <c r="AA107" i="43" s="1"/>
  <c r="AD110" i="43" a="1"/>
  <c r="AD110" i="43" s="1"/>
  <c r="Q113" i="43" a="1"/>
  <c r="Q113" i="43" s="1"/>
  <c r="AD115" i="43" a="1"/>
  <c r="AD115" i="43" s="1"/>
  <c r="P119" i="43" a="1"/>
  <c r="P119" i="43" s="1"/>
  <c r="P120" i="43" a="1"/>
  <c r="P120" i="43" s="1"/>
  <c r="O121" i="43" a="1"/>
  <c r="O121" i="43" s="1"/>
  <c r="Q122" i="43" a="1"/>
  <c r="Q122" i="43" s="1"/>
  <c r="N31" i="43" a="1"/>
  <c r="N31" i="43" s="1"/>
  <c r="AC148" i="43" a="1"/>
  <c r="AC148" i="43" s="1"/>
  <c r="AC78" i="43" a="1"/>
  <c r="AC78" i="43" s="1"/>
  <c r="AC100" i="43" a="1"/>
  <c r="AC100" i="43" s="1"/>
  <c r="AB27" i="43" a="1"/>
  <c r="AB27" i="43" s="1"/>
  <c r="AC109" i="43" a="1"/>
  <c r="AC109" i="43" s="1"/>
  <c r="AC114" i="43" a="1"/>
  <c r="AC114" i="43" s="1"/>
  <c r="AC127" i="43" a="1"/>
  <c r="AC127" i="43" s="1"/>
  <c r="AC131" i="43" a="1"/>
  <c r="AC131" i="43" s="1"/>
  <c r="AB144" i="43" a="1"/>
  <c r="AB144" i="43" s="1"/>
  <c r="AB116" i="43" a="1"/>
  <c r="AB116" i="43" s="1"/>
  <c r="AB26" i="43" a="1"/>
  <c r="AB26" i="43" s="1"/>
  <c r="AB122" i="43" a="1"/>
  <c r="AB122" i="43" s="1"/>
  <c r="AC29" i="43" a="1"/>
  <c r="AC29" i="43" s="1"/>
  <c r="AC141" i="43" a="1"/>
  <c r="AC141" i="43" s="1"/>
  <c r="AC61" i="43" a="1"/>
  <c r="AC61" i="43" s="1"/>
  <c r="AB62" i="43" a="1"/>
  <c r="AB62" i="43" s="1"/>
  <c r="AC64" i="43" a="1"/>
  <c r="AC64" i="43" s="1"/>
  <c r="AC73" i="43" a="1"/>
  <c r="AC73" i="43" s="1"/>
  <c r="AC84" i="43" a="1"/>
  <c r="AC84" i="43" s="1"/>
  <c r="AB87" i="43" a="1"/>
  <c r="AB87" i="43" s="1"/>
  <c r="AC90" i="43" a="1"/>
  <c r="AC90" i="43" s="1"/>
  <c r="AB91" i="43" a="1"/>
  <c r="AB91" i="43" s="1"/>
  <c r="AC17" i="43" a="1"/>
  <c r="AC17" i="43" s="1"/>
  <c r="AB102" i="43" a="1"/>
  <c r="AB102" i="43" s="1"/>
  <c r="AC108" i="43" a="1"/>
  <c r="AC108" i="43" s="1"/>
  <c r="AC111" i="43" a="1"/>
  <c r="AC111" i="43" s="1"/>
  <c r="AC24" i="43" a="1"/>
  <c r="AC24" i="43" s="1"/>
  <c r="AC25" i="43" a="1"/>
  <c r="AC25" i="43" s="1"/>
  <c r="AC119" i="43" a="1"/>
  <c r="AC119" i="43" s="1"/>
  <c r="AB120" i="43" a="1"/>
  <c r="AB120" i="43" s="1"/>
  <c r="AB135" i="43" a="1"/>
  <c r="AB135" i="43" s="1"/>
  <c r="AC137" i="43" a="1"/>
  <c r="AC137" i="43" s="1"/>
  <c r="AC69" i="43" a="1"/>
  <c r="AC69" i="43" s="1"/>
  <c r="AC74" i="43" a="1"/>
  <c r="AC74" i="43" s="1"/>
  <c r="AC83" i="43" a="1"/>
  <c r="AC83" i="43" s="1"/>
  <c r="AB23" i="43" a="1"/>
  <c r="AB23" i="43" s="1"/>
  <c r="AC103" i="43" a="1"/>
  <c r="AC103" i="43" s="1"/>
  <c r="AC113" i="43" a="1"/>
  <c r="AC113" i="43" s="1"/>
  <c r="AB126" i="43" a="1"/>
  <c r="AB126" i="43" s="1"/>
  <c r="AB132" i="43" a="1"/>
  <c r="AB132" i="43" s="1"/>
  <c r="AB80" i="43" a="1"/>
  <c r="AB80" i="43" s="1"/>
  <c r="AC16" i="43" a="1"/>
  <c r="AC16" i="43" s="1"/>
  <c r="AB93" i="43" a="1"/>
  <c r="AB93" i="43" s="1"/>
  <c r="AB21" i="43" a="1"/>
  <c r="AB21" i="43" s="1"/>
  <c r="AB28" i="43" a="1"/>
  <c r="AB28" i="43" s="1"/>
  <c r="AB30" i="43" a="1"/>
  <c r="AB30" i="43" s="1"/>
  <c r="AB105" i="43" a="1"/>
  <c r="AB105" i="43" s="1"/>
  <c r="AB31" i="43" a="1"/>
  <c r="AB31" i="43" s="1"/>
  <c r="AB133" i="43" a="1"/>
  <c r="AB133" i="43" s="1"/>
  <c r="AB134" i="43" a="1"/>
  <c r="AB134" i="43" s="1"/>
  <c r="AC146" i="43" a="1"/>
  <c r="AC146" i="43" s="1"/>
  <c r="AC142" i="43" a="1"/>
  <c r="AC142" i="43" s="1"/>
  <c r="AC104" i="43" a="1"/>
  <c r="AC104" i="43" s="1"/>
  <c r="AC107" i="43" a="1"/>
  <c r="AC107" i="43" s="1"/>
  <c r="AB118" i="43" a="1"/>
  <c r="AB118" i="43" s="1"/>
  <c r="AC121" i="43" a="1"/>
  <c r="AC121" i="43" s="1"/>
  <c r="AC128" i="43" a="1"/>
  <c r="AC128" i="43" s="1"/>
  <c r="AC130" i="43" a="1"/>
  <c r="AC130" i="43" s="1"/>
  <c r="AC138" i="43" a="1"/>
  <c r="AC138" i="43" s="1"/>
  <c r="AB143" i="43" a="1"/>
  <c r="AB143" i="43" s="1"/>
  <c r="AB145" i="43" a="1"/>
  <c r="AB145" i="43" s="1"/>
  <c r="AC147" i="43" a="1"/>
  <c r="AC147" i="43" s="1"/>
  <c r="P69" i="3"/>
  <c r="O109" i="43" s="1" a="1"/>
  <c r="O109" i="43" s="1"/>
  <c r="I69" i="43"/>
  <c r="I73" i="43"/>
  <c r="I106" i="43"/>
  <c r="I127" i="43"/>
  <c r="I48" i="43"/>
  <c r="P66" i="3"/>
  <c r="I129" i="43"/>
  <c r="I133" i="43"/>
  <c r="I42" i="43"/>
  <c r="P83" i="3"/>
  <c r="O131" i="43" s="1" a="1"/>
  <c r="O131" i="43" s="1"/>
  <c r="I34" i="43"/>
  <c r="I14" i="43"/>
  <c r="P68" i="3"/>
  <c r="O112" i="43" s="1" a="1"/>
  <c r="O112" i="43" s="1"/>
  <c r="I55" i="43"/>
  <c r="P89" i="3"/>
  <c r="O145" i="43" s="1" a="1"/>
  <c r="O145" i="43" s="1"/>
  <c r="I35" i="43"/>
  <c r="I10" i="43"/>
  <c r="I43" i="43"/>
  <c r="I44" i="43"/>
  <c r="I77" i="43"/>
  <c r="I83" i="43"/>
  <c r="I87" i="43"/>
  <c r="I89" i="43"/>
  <c r="I72" i="43"/>
  <c r="I17" i="43"/>
  <c r="H43" i="8"/>
  <c r="I9" i="43"/>
  <c r="I58" i="43"/>
  <c r="I75" i="43"/>
  <c r="I50" i="43"/>
  <c r="I13" i="43"/>
  <c r="I57" i="43"/>
  <c r="I101" i="43"/>
  <c r="I25" i="43"/>
  <c r="I125" i="43"/>
  <c r="I137" i="43"/>
  <c r="P48" i="3"/>
  <c r="P81" i="3"/>
  <c r="P71" i="3"/>
  <c r="O25" i="43" s="1" a="1"/>
  <c r="O25" i="43" s="1"/>
  <c r="P82" i="3"/>
  <c r="O30" i="43" s="1" a="1"/>
  <c r="O30" i="43" s="1"/>
  <c r="I62" i="43"/>
  <c r="I123" i="43"/>
  <c r="I91" i="43"/>
  <c r="I52" i="43"/>
  <c r="P42" i="3"/>
  <c r="O79" i="43" s="1" a="1"/>
  <c r="O79" i="43" s="1"/>
  <c r="I74" i="43"/>
  <c r="P79" i="3"/>
  <c r="P37" i="3"/>
  <c r="P67" i="3"/>
  <c r="O111" i="43" s="1" a="1"/>
  <c r="O111" i="43" s="1"/>
  <c r="I45" i="43"/>
  <c r="I60" i="43"/>
  <c r="I21" i="43"/>
  <c r="I103" i="43"/>
  <c r="H8" i="8"/>
  <c r="H46" i="8"/>
  <c r="H19" i="8"/>
  <c r="H36" i="8"/>
  <c r="I28" i="43"/>
  <c r="H44" i="8"/>
  <c r="H23" i="8"/>
  <c r="H26" i="8"/>
  <c r="H21" i="8"/>
  <c r="H7" i="8"/>
  <c r="H10" i="8"/>
  <c r="H24" i="8"/>
  <c r="I49" i="43"/>
  <c r="I104" i="43"/>
  <c r="I41" i="43"/>
  <c r="I27" i="43"/>
  <c r="I26" i="43"/>
  <c r="I116" i="43"/>
  <c r="I102" i="43"/>
  <c r="I7" i="43"/>
  <c r="I121" i="43"/>
  <c r="I119" i="43"/>
  <c r="I118" i="43"/>
  <c r="I117" i="43"/>
  <c r="I64" i="43"/>
  <c r="I120" i="43"/>
  <c r="I105" i="43"/>
  <c r="I38" i="43"/>
  <c r="I39" i="43"/>
  <c r="I47" i="43"/>
  <c r="I149" i="43"/>
  <c r="I32" i="43"/>
  <c r="H14" i="8"/>
  <c r="I23" i="43"/>
  <c r="I99" i="43"/>
  <c r="I46" i="43"/>
  <c r="I53" i="43"/>
  <c r="I56" i="43"/>
  <c r="I11" i="43"/>
  <c r="I67" i="43"/>
  <c r="I92" i="43"/>
  <c r="O100" i="43" a="1"/>
  <c r="O100" i="43" s="1"/>
  <c r="I111" i="43"/>
  <c r="I112" i="43"/>
  <c r="I115" i="43"/>
  <c r="I145" i="43"/>
  <c r="I61" i="43"/>
  <c r="I79" i="43"/>
  <c r="I81" i="43"/>
  <c r="I84" i="43"/>
  <c r="I93" i="43"/>
  <c r="I18" i="43"/>
  <c r="I20" i="43"/>
  <c r="I100" i="43"/>
  <c r="I122" i="43"/>
  <c r="I124" i="43"/>
  <c r="I30" i="43"/>
  <c r="I136" i="43"/>
  <c r="I138" i="43"/>
  <c r="I147" i="43"/>
  <c r="H49" i="8"/>
  <c r="H59" i="8"/>
  <c r="H60" i="8"/>
  <c r="I70" i="43"/>
  <c r="I85" i="43"/>
  <c r="I90" i="43"/>
  <c r="I19" i="43"/>
  <c r="I109" i="43"/>
  <c r="I128" i="43"/>
  <c r="I131" i="43"/>
  <c r="H22" i="8"/>
  <c r="H11" i="8"/>
  <c r="H12" i="8"/>
  <c r="H30" i="8"/>
  <c r="H13" i="8"/>
  <c r="I40" i="43"/>
  <c r="I8" i="43"/>
  <c r="I12" i="43"/>
  <c r="I78" i="43"/>
  <c r="I80" i="43"/>
  <c r="I82" i="43"/>
  <c r="I86" i="43"/>
  <c r="I88" i="43"/>
  <c r="I16" i="43"/>
  <c r="I97" i="43"/>
  <c r="I98" i="43"/>
  <c r="I126" i="43"/>
  <c r="H55" i="8"/>
  <c r="H18" i="8"/>
  <c r="H35" i="8"/>
  <c r="H6" i="8"/>
  <c r="I142" i="43"/>
  <c r="I135" i="43"/>
  <c r="I31" i="43"/>
  <c r="H31" i="8"/>
  <c r="H16" i="8"/>
  <c r="H9" i="8"/>
  <c r="H47" i="8"/>
  <c r="H34" i="8"/>
  <c r="H39" i="8"/>
  <c r="H29" i="8"/>
  <c r="I143" i="43"/>
  <c r="I132" i="43"/>
  <c r="I130" i="43"/>
  <c r="I29" i="43"/>
  <c r="I114" i="43"/>
  <c r="I110" i="43"/>
  <c r="I108" i="43"/>
  <c r="I107" i="43"/>
  <c r="H32" i="8"/>
  <c r="H17" i="8"/>
  <c r="I146" i="43"/>
  <c r="I141" i="43"/>
  <c r="I134" i="43"/>
  <c r="H48" i="8"/>
  <c r="H50" i="8"/>
  <c r="H27" i="8"/>
  <c r="H20" i="8"/>
  <c r="H41" i="8"/>
  <c r="H54" i="8"/>
  <c r="H67" i="8"/>
  <c r="H57" i="8"/>
  <c r="H52" i="8"/>
  <c r="H33" i="8"/>
  <c r="H42" i="8"/>
  <c r="H37" i="8"/>
  <c r="H15" i="8"/>
  <c r="H45" i="8"/>
  <c r="H40" i="8"/>
  <c r="H66" i="8"/>
  <c r="H62" i="8"/>
  <c r="H58" i="8"/>
  <c r="H53" i="8"/>
  <c r="B20" i="19"/>
  <c r="P56" i="3"/>
  <c r="P87" i="3"/>
  <c r="I36" i="43"/>
  <c r="I37" i="43"/>
  <c r="I51" i="43"/>
  <c r="I54" i="43"/>
  <c r="I59" i="43"/>
  <c r="I63" i="43"/>
  <c r="I65" i="43"/>
  <c r="I68" i="43"/>
  <c r="I71" i="43"/>
  <c r="I76" i="43"/>
  <c r="I15" i="43"/>
  <c r="I94" i="43"/>
  <c r="I113" i="43"/>
  <c r="I24" i="43"/>
  <c r="I140" i="43"/>
  <c r="I148" i="43"/>
  <c r="H38" i="8"/>
  <c r="H56" i="8"/>
  <c r="H65" i="8"/>
  <c r="I139" i="43"/>
  <c r="AB85" i="43" a="1"/>
  <c r="AB85" i="43" s="1"/>
  <c r="AC133" i="43" a="1"/>
  <c r="AC133" i="43" s="1"/>
  <c r="AB96" i="43" a="1"/>
  <c r="AB96" i="43" s="1"/>
  <c r="AC87" i="43" a="1"/>
  <c r="AC87" i="43" s="1"/>
  <c r="AB8" i="43" a="1"/>
  <c r="AB8" i="43" s="1"/>
  <c r="AB61" i="43" a="1"/>
  <c r="AB61" i="43" s="1"/>
  <c r="AC63" i="43" a="1"/>
  <c r="AC63" i="43" s="1"/>
  <c r="AC91" i="43" a="1"/>
  <c r="AC91" i="43" s="1"/>
  <c r="AB108" i="43" a="1"/>
  <c r="AB108" i="43" s="1"/>
  <c r="AC126" i="43" a="1"/>
  <c r="AC126" i="43" s="1"/>
  <c r="AB90" i="43" a="1"/>
  <c r="AB90" i="43" s="1"/>
  <c r="AC97" i="43" a="1"/>
  <c r="AC97" i="43" s="1"/>
  <c r="AC27" i="43" a="1"/>
  <c r="AC27" i="43" s="1"/>
  <c r="AC132" i="43" a="1"/>
  <c r="AC132" i="43" s="1"/>
  <c r="AC51" i="43" a="1"/>
  <c r="AC51" i="43" s="1"/>
  <c r="AB68" i="43" a="1"/>
  <c r="AB68" i="43" s="1"/>
  <c r="AC70" i="43" a="1"/>
  <c r="AC70" i="43" s="1"/>
  <c r="AB109" i="43" a="1"/>
  <c r="AB109" i="43" s="1"/>
  <c r="AC112" i="43" a="1"/>
  <c r="AC112" i="43" s="1"/>
  <c r="AC120" i="43" a="1"/>
  <c r="AC120" i="43" s="1"/>
  <c r="AC145" i="43" a="1"/>
  <c r="AC145" i="43" s="1"/>
  <c r="AC80" i="43" a="1"/>
  <c r="AC80" i="43" s="1"/>
  <c r="AB24" i="43" a="1"/>
  <c r="AB24" i="43" s="1"/>
  <c r="AB22" i="43" a="1"/>
  <c r="AB22" i="43" s="1"/>
  <c r="AC88" i="43" a="1"/>
  <c r="AC88" i="43" s="1"/>
  <c r="AB125" i="43" a="1"/>
  <c r="AB125" i="43" s="1"/>
  <c r="AB137" i="43" a="1"/>
  <c r="AB137" i="43" s="1"/>
  <c r="AC30" i="43" a="1"/>
  <c r="AC30" i="43" s="1"/>
  <c r="AC144" i="43" a="1"/>
  <c r="AC144" i="43" s="1"/>
  <c r="AB148" i="43" a="1"/>
  <c r="AB148" i="43" s="1"/>
  <c r="AC102" i="43" a="1"/>
  <c r="AC102" i="43" s="1"/>
  <c r="AB41" i="43" a="1"/>
  <c r="AB41" i="43" s="1"/>
  <c r="AB45" i="43" a="1"/>
  <c r="AB45" i="43" s="1"/>
  <c r="AB66" i="43" a="1"/>
  <c r="AB66" i="43" s="1"/>
  <c r="AB81" i="43" a="1"/>
  <c r="AB81" i="43" s="1"/>
  <c r="AB16" i="43" a="1"/>
  <c r="AB16" i="43" s="1"/>
  <c r="AB127" i="43" a="1"/>
  <c r="AB127" i="43" s="1"/>
  <c r="AB136" i="43" a="1"/>
  <c r="AB136" i="43" s="1"/>
  <c r="AB141" i="43" a="1"/>
  <c r="AB141" i="43" s="1"/>
  <c r="AB37" i="43" a="1"/>
  <c r="AB37" i="43" s="1"/>
  <c r="AC59" i="43" a="1"/>
  <c r="AC59" i="43" s="1"/>
  <c r="AB20" i="43" a="1"/>
  <c r="AB20" i="43" s="1"/>
  <c r="AC43" i="43" a="1"/>
  <c r="AC43" i="43" s="1"/>
  <c r="AC36" i="43" a="1"/>
  <c r="AC36" i="43" s="1"/>
  <c r="AB98" i="43" a="1"/>
  <c r="AB98" i="43" s="1"/>
  <c r="AB78" i="43" a="1"/>
  <c r="AB78" i="43" s="1"/>
  <c r="AC72" i="43" a="1"/>
  <c r="AC72" i="43" s="1"/>
  <c r="AB74" i="43" a="1"/>
  <c r="AB74" i="43" s="1"/>
  <c r="AB17" i="43" a="1"/>
  <c r="AB17" i="43" s="1"/>
  <c r="AB100" i="43" a="1"/>
  <c r="AB100" i="43" s="1"/>
  <c r="AB103" i="43" a="1"/>
  <c r="AB103" i="43" s="1"/>
  <c r="AB25" i="43" a="1"/>
  <c r="AB25" i="43" s="1"/>
  <c r="AB130" i="43" a="1"/>
  <c r="AB130" i="43" s="1"/>
  <c r="AC134" i="43" a="1"/>
  <c r="AC134" i="43" s="1"/>
  <c r="AB142" i="43" a="1"/>
  <c r="AB142" i="43" s="1"/>
  <c r="AB49" i="43" a="1"/>
  <c r="AB49" i="43" s="1"/>
  <c r="AB53" i="43" a="1"/>
  <c r="AB53" i="43" s="1"/>
  <c r="AC65" i="43" a="1"/>
  <c r="AC65" i="43" s="1"/>
  <c r="AC7" i="43" a="1"/>
  <c r="AC7" i="43" s="1"/>
  <c r="AB34" i="43" a="1"/>
  <c r="AB34" i="43" s="1"/>
  <c r="AB42" i="43" a="1"/>
  <c r="AB42" i="43" s="1"/>
  <c r="AB56" i="43" a="1"/>
  <c r="AB56" i="43" s="1"/>
  <c r="AC60" i="43" a="1"/>
  <c r="AC60" i="43" s="1"/>
  <c r="AC62" i="43" a="1"/>
  <c r="AC62" i="43" s="1"/>
  <c r="AB14" i="43" a="1"/>
  <c r="AB14" i="43" s="1"/>
  <c r="AB86" i="43" a="1"/>
  <c r="AB86" i="43" s="1"/>
  <c r="AC31" i="43" a="1"/>
  <c r="AC31" i="43" s="1"/>
  <c r="AB147" i="43" a="1"/>
  <c r="AB147" i="43" s="1"/>
  <c r="AB39" i="43" a="1"/>
  <c r="AB39" i="43" s="1"/>
  <c r="AB29" i="43" a="1"/>
  <c r="AB29" i="43" s="1"/>
  <c r="AC40" i="43" a="1"/>
  <c r="AC40" i="43" s="1"/>
  <c r="AB47" i="43" a="1"/>
  <c r="AB47" i="43" s="1"/>
  <c r="AC12" i="43" a="1"/>
  <c r="AC12" i="43" s="1"/>
  <c r="AC79" i="43" a="1"/>
  <c r="AC79" i="43" s="1"/>
  <c r="AB83" i="43" a="1"/>
  <c r="AB83" i="43" s="1"/>
  <c r="AC89" i="43" a="1"/>
  <c r="AC89" i="43" s="1"/>
  <c r="AC92" i="43" a="1"/>
  <c r="AC92" i="43" s="1"/>
  <c r="AB114" i="43" a="1"/>
  <c r="AB114" i="43" s="1"/>
  <c r="AC26" i="43" a="1"/>
  <c r="AC26" i="43" s="1"/>
  <c r="AB121" i="43" a="1"/>
  <c r="AB121" i="43" s="1"/>
  <c r="AB138" i="43" a="1"/>
  <c r="AB138" i="43" s="1"/>
  <c r="AC44" i="43" a="1"/>
  <c r="AC44" i="43" s="1"/>
  <c r="AC55" i="43" a="1"/>
  <c r="AC55" i="43" s="1"/>
  <c r="AC76" i="43" a="1"/>
  <c r="AC76" i="43" s="1"/>
  <c r="AB76" i="43" a="1"/>
  <c r="AB76" i="43" s="1"/>
  <c r="AC46" i="43" a="1"/>
  <c r="AC46" i="43" s="1"/>
  <c r="AC38" i="43" a="1"/>
  <c r="AC38" i="43" s="1"/>
  <c r="AB35" i="43" a="1"/>
  <c r="AB35" i="43" s="1"/>
  <c r="AB48" i="43" a="1"/>
  <c r="AB48" i="43" s="1"/>
  <c r="AB95" i="43" a="1"/>
  <c r="AB95" i="43" s="1"/>
  <c r="AC95" i="43" a="1"/>
  <c r="AC95" i="43" s="1"/>
  <c r="AB77" i="43" a="1"/>
  <c r="AB77" i="43" s="1"/>
  <c r="AC77" i="43" a="1"/>
  <c r="AC77" i="43" s="1"/>
  <c r="AB11" i="43" a="1"/>
  <c r="AB11" i="43" s="1"/>
  <c r="AC15" i="43" a="1"/>
  <c r="AC15" i="43" s="1"/>
  <c r="AB15" i="43" a="1"/>
  <c r="AB15" i="43" s="1"/>
  <c r="AB64" i="43" a="1"/>
  <c r="AB64" i="43" s="1"/>
  <c r="AC50" i="43" a="1"/>
  <c r="AC50" i="43" s="1"/>
  <c r="AB50" i="43" a="1"/>
  <c r="AB50" i="43" s="1"/>
  <c r="AC82" i="43" a="1"/>
  <c r="AC82" i="43" s="1"/>
  <c r="AB82" i="43" a="1"/>
  <c r="AB82" i="43" s="1"/>
  <c r="AC106" i="43" a="1"/>
  <c r="AC106" i="43" s="1"/>
  <c r="AB106" i="43" a="1"/>
  <c r="AB106" i="43" s="1"/>
  <c r="AC10" i="43" a="1"/>
  <c r="AC10" i="43" s="1"/>
  <c r="AB18" i="43" a="1"/>
  <c r="AB18" i="43" s="1"/>
  <c r="AC23" i="43" a="1"/>
  <c r="AC23" i="43" s="1"/>
  <c r="AB101" i="43" a="1"/>
  <c r="AB101" i="43" s="1"/>
  <c r="AC101" i="43" a="1"/>
  <c r="AC101" i="43" s="1"/>
  <c r="AB67" i="43" a="1"/>
  <c r="AB67" i="43" s="1"/>
  <c r="AB73" i="43" a="1"/>
  <c r="AB73" i="43" s="1"/>
  <c r="AB75" i="43" a="1"/>
  <c r="AB75" i="43" s="1"/>
  <c r="AC123" i="43" a="1"/>
  <c r="AC123" i="43" s="1"/>
  <c r="AB123" i="43" a="1"/>
  <c r="AB123" i="43" s="1"/>
  <c r="AC140" i="43" a="1"/>
  <c r="AC140" i="43" s="1"/>
  <c r="AB140" i="43" a="1"/>
  <c r="AB140" i="43" s="1"/>
  <c r="AB57" i="43" a="1"/>
  <c r="AB57" i="43" s="1"/>
  <c r="AB69" i="43" a="1"/>
  <c r="AB69" i="43" s="1"/>
  <c r="AB13" i="43" a="1"/>
  <c r="AB13" i="43" s="1"/>
  <c r="AB84" i="43" a="1"/>
  <c r="AB84" i="43" s="1"/>
  <c r="AC94" i="43" a="1"/>
  <c r="AC94" i="43" s="1"/>
  <c r="AC21" i="43" a="1"/>
  <c r="AC21" i="43" s="1"/>
  <c r="AC115" i="43" a="1"/>
  <c r="AC115" i="43" s="1"/>
  <c r="AB115" i="43" a="1"/>
  <c r="AB115" i="43" s="1"/>
  <c r="AB139" i="43" a="1"/>
  <c r="AB139" i="43" s="1"/>
  <c r="AC139" i="43" a="1"/>
  <c r="AC139" i="43" s="1"/>
  <c r="AC19" i="43" a="1"/>
  <c r="AC19" i="43" s="1"/>
  <c r="AC99" i="43" a="1"/>
  <c r="AC99" i="43" s="1"/>
  <c r="AC116" i="43" a="1"/>
  <c r="AC116" i="43" s="1"/>
  <c r="AC117" i="43" a="1"/>
  <c r="AC117" i="43" s="1"/>
  <c r="AC118" i="43" a="1"/>
  <c r="AC118" i="43" s="1"/>
  <c r="AB119" i="43" a="1"/>
  <c r="AB119" i="43" s="1"/>
  <c r="AC135" i="43" a="1"/>
  <c r="AC135" i="43" s="1"/>
  <c r="AB104" i="43" a="1"/>
  <c r="AB104" i="43" s="1"/>
  <c r="AC124" i="43" a="1"/>
  <c r="AC124" i="43" s="1"/>
  <c r="AC143" i="43" a="1"/>
  <c r="AC143" i="43" s="1"/>
  <c r="AB107" i="43" a="1"/>
  <c r="AB107" i="43" s="1"/>
  <c r="AB110" i="43" a="1"/>
  <c r="AB110" i="43" s="1"/>
  <c r="AB111" i="43" a="1"/>
  <c r="AB111" i="43" s="1"/>
  <c r="AB113" i="43" a="1"/>
  <c r="AB113" i="43" s="1"/>
  <c r="AB131" i="43" a="1"/>
  <c r="AB131" i="43" s="1"/>
  <c r="U7" i="31" l="1"/>
  <c r="O90" i="43" a="1"/>
  <c r="O90" i="43" s="1"/>
  <c r="O88" i="43" a="1"/>
  <c r="O88" i="43" s="1"/>
  <c r="Y33" i="43"/>
  <c r="O115" i="43" a="1"/>
  <c r="O115" i="43" s="1"/>
  <c r="H218" i="37" a="1"/>
  <c r="H218" i="37" s="1"/>
  <c r="K885" i="40" s="1" a="1"/>
  <c r="K885" i="40" s="1"/>
  <c r="G252" i="37" a="1"/>
  <c r="G252" i="37" s="1"/>
  <c r="J1204" i="40" s="1" a="1"/>
  <c r="J1204" i="40" s="1"/>
  <c r="G223" i="37" a="1"/>
  <c r="G223" i="37" s="1"/>
  <c r="J940" i="40" s="1" a="1"/>
  <c r="J940" i="40" s="1"/>
  <c r="I225" i="37" a="1"/>
  <c r="I225" i="37" s="1"/>
  <c r="J744" i="40" s="1" a="1"/>
  <c r="J744" i="40" s="1"/>
  <c r="J225" i="37" a="1"/>
  <c r="J225" i="37" s="1"/>
  <c r="J745" i="40" s="1" a="1"/>
  <c r="J745" i="40" s="1"/>
  <c r="I238" i="37" a="1"/>
  <c r="I238" i="37" s="1"/>
  <c r="J1049" i="40" s="1" a="1"/>
  <c r="J1049" i="40" s="1"/>
  <c r="G239" i="37" a="1"/>
  <c r="G239" i="37" s="1"/>
  <c r="J1083" i="40" s="1" a="1"/>
  <c r="J1083" i="40" s="1"/>
  <c r="H207" i="37" a="1"/>
  <c r="H207" i="37" s="1"/>
  <c r="K1347" i="40" s="1" a="1"/>
  <c r="K1347" i="40" s="1"/>
  <c r="H229" i="37" a="1"/>
  <c r="H229" i="37" s="1"/>
  <c r="K1006" i="40" s="1" a="1"/>
  <c r="K1006" i="40" s="1"/>
  <c r="G250" i="37" a="1"/>
  <c r="G250" i="37" s="1"/>
  <c r="J1182" i="40" s="1" a="1"/>
  <c r="J1182" i="40" s="1"/>
  <c r="I217" i="37" a="1"/>
  <c r="I217" i="37" s="1"/>
  <c r="J867" i="40" s="1" a="1"/>
  <c r="J867" i="40" s="1"/>
  <c r="H211" i="37" a="1"/>
  <c r="H211" i="37" s="1"/>
  <c r="J811" i="40" s="1" a="1"/>
  <c r="J811" i="40" s="1"/>
  <c r="H213" i="37" a="1"/>
  <c r="H213" i="37" s="1"/>
  <c r="J843" i="40" s="1" a="1"/>
  <c r="J843" i="40" s="1"/>
  <c r="H235" i="37" a="1"/>
  <c r="H235" i="37" s="1"/>
  <c r="K1039" i="40" s="1" a="1"/>
  <c r="K1039" i="40" s="1"/>
  <c r="G186" i="37" a="1"/>
  <c r="G186" i="37" s="1"/>
  <c r="I213" i="37" a="1"/>
  <c r="I213" i="37" s="1"/>
  <c r="K843" i="40" s="1" a="1"/>
  <c r="K843" i="40" s="1"/>
  <c r="I211" i="37" a="1"/>
  <c r="I211" i="37" s="1"/>
  <c r="J814" i="40" s="1" a="1"/>
  <c r="J814" i="40" s="1"/>
  <c r="H239" i="37" a="1"/>
  <c r="H239" i="37" s="1"/>
  <c r="J1087" i="40" s="1" a="1"/>
  <c r="J1087" i="40" s="1"/>
  <c r="G175" i="37" a="1"/>
  <c r="G175" i="37" s="1"/>
  <c r="H217" i="37" a="1"/>
  <c r="H217" i="37" s="1"/>
  <c r="J865" i="40" s="1" a="1"/>
  <c r="J865" i="40" s="1"/>
  <c r="I207" i="37" a="1"/>
  <c r="I207" i="37" s="1"/>
  <c r="J1349" i="40" s="1" a="1"/>
  <c r="J1349" i="40" s="1"/>
  <c r="I239" i="37" a="1"/>
  <c r="I239" i="37" s="1"/>
  <c r="K1087" i="40" s="1" a="1"/>
  <c r="K1087" i="40" s="1"/>
  <c r="G257" i="37" a="1"/>
  <c r="G257" i="37" s="1"/>
  <c r="J1260" i="40" s="1" a="1"/>
  <c r="J1260" i="40" s="1"/>
  <c r="G262" i="37" a="1"/>
  <c r="G262" i="37" s="1"/>
  <c r="J1325" i="40" s="1" a="1"/>
  <c r="J1325" i="40" s="1"/>
  <c r="G244" i="37" a="1"/>
  <c r="G244" i="37" s="1"/>
  <c r="J1127" i="40" s="1" a="1"/>
  <c r="J1127" i="40" s="1"/>
  <c r="L1127" i="40" s="1"/>
  <c r="G222" i="37" a="1"/>
  <c r="G222" i="37" s="1"/>
  <c r="J929" i="40" s="1" a="1"/>
  <c r="J929" i="40" s="1"/>
  <c r="G236" i="37" a="1"/>
  <c r="G236" i="37" s="1"/>
  <c r="J1042" i="40" s="1" a="1"/>
  <c r="J1042" i="40" s="1"/>
  <c r="G263" i="37" a="1"/>
  <c r="G263" i="37" s="1"/>
  <c r="J1336" i="40" s="1" a="1"/>
  <c r="J1336" i="40" s="1"/>
  <c r="G240" i="37" a="1"/>
  <c r="G240" i="37" s="1"/>
  <c r="J1084" i="40" s="1" a="1"/>
  <c r="J1084" i="40" s="1"/>
  <c r="G233" i="37" a="1"/>
  <c r="G233" i="37" s="1"/>
  <c r="J962" i="40" s="1" a="1"/>
  <c r="J962" i="40" s="1"/>
  <c r="H252" i="37" a="1"/>
  <c r="H252" i="37" s="1"/>
  <c r="G228" i="37" a="1"/>
  <c r="G228" i="37" s="1"/>
  <c r="J995" i="40" s="1" a="1"/>
  <c r="J995" i="40" s="1"/>
  <c r="I255" i="37" a="1"/>
  <c r="I255" i="37" s="1"/>
  <c r="J1234" i="40" s="1" a="1"/>
  <c r="J1234" i="40" s="1"/>
  <c r="H250" i="37" a="1"/>
  <c r="H250" i="37" s="1"/>
  <c r="G249" i="37" a="1"/>
  <c r="G249" i="37" s="1"/>
  <c r="J1183" i="40" s="1" a="1"/>
  <c r="J1183" i="40" s="1"/>
  <c r="J1045" i="40" a="1"/>
  <c r="J1045" i="40" s="1"/>
  <c r="K1041" i="40" a="1"/>
  <c r="K1041" i="40" s="1"/>
  <c r="J1044" i="40" a="1"/>
  <c r="J1044" i="40" s="1"/>
  <c r="K1040" i="40" a="1"/>
  <c r="K1040" i="40" s="1"/>
  <c r="K742" i="40" a="1"/>
  <c r="K742" i="40" s="1"/>
  <c r="J743" i="40" a="1"/>
  <c r="J743" i="40" s="1"/>
  <c r="I219" i="37" a="1"/>
  <c r="I219" i="37" s="1"/>
  <c r="K898" i="40" s="1" a="1"/>
  <c r="K898" i="40" s="1"/>
  <c r="J899" i="40" a="1"/>
  <c r="J899" i="40" s="1"/>
  <c r="K897" i="40" a="1"/>
  <c r="K897" i="40" s="1"/>
  <c r="K896" i="40" a="1"/>
  <c r="K896" i="40" s="1"/>
  <c r="J898" i="40" a="1"/>
  <c r="J898" i="40" s="1"/>
  <c r="G214" i="37" a="1"/>
  <c r="G214" i="37" s="1"/>
  <c r="J842" i="40" s="1" a="1"/>
  <c r="J842" i="40" s="1"/>
  <c r="G209" i="37" a="1"/>
  <c r="G209" i="37" s="1"/>
  <c r="J809" i="40" s="1" a="1"/>
  <c r="J809" i="40" s="1"/>
  <c r="G200" i="37" a="1"/>
  <c r="G200" i="37" s="1"/>
  <c r="J709" i="40" s="1" a="1"/>
  <c r="J709" i="40" s="1"/>
  <c r="G140" i="37" a="1"/>
  <c r="G140" i="37" s="1"/>
  <c r="G204" i="37" a="1"/>
  <c r="G204" i="37" s="1"/>
  <c r="J775" i="40" s="1" a="1"/>
  <c r="J775" i="40" s="1"/>
  <c r="G168" i="37" a="1"/>
  <c r="G168" i="37" s="1"/>
  <c r="G232" i="37" a="1"/>
  <c r="G232" i="37" s="1"/>
  <c r="J951" i="40" s="1" a="1"/>
  <c r="J951" i="40" s="1"/>
  <c r="G177" i="37" a="1"/>
  <c r="G177" i="37" s="1"/>
  <c r="G241" i="37" a="1"/>
  <c r="G241" i="37" s="1"/>
  <c r="J1085" i="40" s="1" a="1"/>
  <c r="J1085" i="40" s="1"/>
  <c r="G181" i="37" a="1"/>
  <c r="G181" i="37" s="1"/>
  <c r="G245" i="37" a="1"/>
  <c r="G245" i="37" s="1"/>
  <c r="J1402" i="40" s="1" a="1"/>
  <c r="J1402" i="40" s="1"/>
  <c r="J213" i="37" a="1"/>
  <c r="J213" i="37" s="1"/>
  <c r="I218" i="37" a="1"/>
  <c r="I218" i="37" s="1"/>
  <c r="G162" i="37" a="1"/>
  <c r="G162" i="37" s="1"/>
  <c r="G226" i="37" a="1"/>
  <c r="G226" i="37" s="1"/>
  <c r="J984" i="40" s="1" a="1"/>
  <c r="J984" i="40" s="1"/>
  <c r="G183" i="37" a="1"/>
  <c r="G183" i="37" s="1"/>
  <c r="G247" i="37" a="1"/>
  <c r="G247" i="37" s="1"/>
  <c r="J1160" i="40" s="1" a="1"/>
  <c r="J1160" i="40" s="1"/>
  <c r="G144" i="37" a="1"/>
  <c r="G144" i="37" s="1"/>
  <c r="G208" i="37" a="1"/>
  <c r="G208" i="37" s="1"/>
  <c r="J797" i="40" s="1" a="1"/>
  <c r="J797" i="40" s="1"/>
  <c r="J211" i="37" a="1"/>
  <c r="J211" i="37" s="1"/>
  <c r="I173" i="37" a="1"/>
  <c r="I173" i="37" s="1"/>
  <c r="K340" i="40" s="1" a="1"/>
  <c r="K340" i="40" s="1"/>
  <c r="I237" i="37" a="1"/>
  <c r="I237" i="37" s="1"/>
  <c r="G194" i="37" a="1"/>
  <c r="G194" i="37" s="1"/>
  <c r="G258" i="37" a="1"/>
  <c r="G258" i="37" s="1"/>
  <c r="J1281" i="40" s="1" a="1"/>
  <c r="J1281" i="40" s="1"/>
  <c r="I229" i="37" a="1"/>
  <c r="I229" i="37" s="1"/>
  <c r="G151" i="37" a="1"/>
  <c r="G151" i="37" s="1"/>
  <c r="G215" i="37" a="1"/>
  <c r="G215" i="37" s="1"/>
  <c r="J1380" i="40" s="1" a="1"/>
  <c r="J1380" i="40" s="1"/>
  <c r="L1380" i="40" s="1"/>
  <c r="G141" i="37" a="1"/>
  <c r="G141" i="37" s="1"/>
  <c r="G205" i="37" a="1"/>
  <c r="G205" i="37" s="1"/>
  <c r="J720" i="40" s="1" a="1"/>
  <c r="J720" i="40" s="1"/>
  <c r="G178" i="37" a="1"/>
  <c r="G178" i="37" s="1"/>
  <c r="G242" i="37" a="1"/>
  <c r="G242" i="37" s="1"/>
  <c r="J1086" i="40" s="1" a="1"/>
  <c r="J1086" i="40" s="1"/>
  <c r="I235" i="37" a="1"/>
  <c r="I235" i="37" s="1"/>
  <c r="G166" i="37" a="1"/>
  <c r="G166" i="37" s="1"/>
  <c r="G230" i="37" a="1"/>
  <c r="G230" i="37" s="1"/>
  <c r="J1358" i="40" s="1" a="1"/>
  <c r="J1358" i="40" s="1"/>
  <c r="L1358" i="40" s="1"/>
  <c r="G142" i="37" a="1"/>
  <c r="G142" i="37" s="1"/>
  <c r="G206" i="37" a="1"/>
  <c r="G206" i="37" s="1"/>
  <c r="J786" i="40" s="1" a="1"/>
  <c r="J786" i="40" s="1"/>
  <c r="G195" i="37" a="1"/>
  <c r="G195" i="37" s="1"/>
  <c r="G259" i="37" a="1"/>
  <c r="G259" i="37" s="1"/>
  <c r="J1293" i="40" s="1" a="1"/>
  <c r="J1293" i="40" s="1"/>
  <c r="K225" i="37" a="1"/>
  <c r="K225" i="37" s="1"/>
  <c r="G196" i="37" a="1"/>
  <c r="G196" i="37" s="1"/>
  <c r="G260" i="37" a="1"/>
  <c r="G260" i="37" s="1"/>
  <c r="J1294" i="40" s="1" a="1"/>
  <c r="J1294" i="40" s="1"/>
  <c r="G170" i="37" a="1"/>
  <c r="G170" i="37" s="1"/>
  <c r="G234" i="37" a="1"/>
  <c r="G234" i="37" s="1"/>
  <c r="J1028" i="40" s="1" a="1"/>
  <c r="J1028" i="40" s="1"/>
  <c r="G160" i="37" a="1"/>
  <c r="G160" i="37" s="1"/>
  <c r="G224" i="37" a="1"/>
  <c r="G224" i="37" s="1"/>
  <c r="J731" i="40" s="1" a="1"/>
  <c r="J731" i="40" s="1"/>
  <c r="G167" i="37" a="1"/>
  <c r="G167" i="37" s="1"/>
  <c r="G231" i="37" a="1"/>
  <c r="G231" i="37" s="1"/>
  <c r="J1017" i="40" s="1" a="1"/>
  <c r="J1017" i="40" s="1"/>
  <c r="G148" i="37" a="1"/>
  <c r="G148" i="37" s="1"/>
  <c r="G212" i="37" a="1"/>
  <c r="G212" i="37" s="1"/>
  <c r="J1369" i="40" s="1" a="1"/>
  <c r="J1369" i="40" s="1"/>
  <c r="L1369" i="40" s="1"/>
  <c r="G138" i="37" a="1"/>
  <c r="G138" i="37" s="1"/>
  <c r="G202" i="37" a="1"/>
  <c r="G202" i="37" s="1"/>
  <c r="J753" i="40" s="1" a="1"/>
  <c r="J753" i="40" s="1"/>
  <c r="G157" i="37" a="1"/>
  <c r="G157" i="37" s="1"/>
  <c r="G221" i="37" a="1"/>
  <c r="G221" i="37" s="1"/>
  <c r="J918" i="40" s="1" a="1"/>
  <c r="J918" i="40" s="1"/>
  <c r="G190" i="37" a="1"/>
  <c r="G190" i="37" s="1"/>
  <c r="G254" i="37" a="1"/>
  <c r="G254" i="37" s="1"/>
  <c r="J1227" i="40" s="1" a="1"/>
  <c r="J1227" i="40" s="1"/>
  <c r="G187" i="37" a="1"/>
  <c r="G187" i="37" s="1"/>
  <c r="G251" i="37" a="1"/>
  <c r="G251" i="37" s="1"/>
  <c r="J1205" i="40" s="1" a="1"/>
  <c r="J1205" i="40" s="1"/>
  <c r="J217" i="37" a="1"/>
  <c r="J217" i="37" s="1"/>
  <c r="G189" i="37" a="1"/>
  <c r="G189" i="37" s="1"/>
  <c r="G253" i="37" a="1"/>
  <c r="G253" i="37" s="1"/>
  <c r="J1226" i="40" s="1" a="1"/>
  <c r="J1226" i="40" s="1"/>
  <c r="I156" i="37" a="1"/>
  <c r="I156" i="37" s="1"/>
  <c r="J197" i="40" s="1" a="1"/>
  <c r="J197" i="40" s="1"/>
  <c r="I220" i="37" a="1"/>
  <c r="I220" i="37" s="1"/>
  <c r="G137" i="37" a="1"/>
  <c r="G137" i="37" s="1"/>
  <c r="G201" i="37" a="1"/>
  <c r="G201" i="37" s="1"/>
  <c r="J1149" i="40" s="1" a="1"/>
  <c r="J1149" i="40" s="1"/>
  <c r="G192" i="37" a="1"/>
  <c r="G192" i="37" s="1"/>
  <c r="G256" i="37" a="1"/>
  <c r="G256" i="37" s="1"/>
  <c r="J1259" i="40" s="1" a="1"/>
  <c r="J1259" i="40" s="1"/>
  <c r="G139" i="37" a="1"/>
  <c r="G139" i="37" s="1"/>
  <c r="G203" i="37" a="1"/>
  <c r="G203" i="37" s="1"/>
  <c r="J764" i="40" s="1" a="1"/>
  <c r="J764" i="40" s="1"/>
  <c r="H261" i="37" a="1"/>
  <c r="H261" i="37" s="1"/>
  <c r="J207" i="37" a="1"/>
  <c r="J207" i="37" s="1"/>
  <c r="G152" i="37" a="1"/>
  <c r="G152" i="37" s="1"/>
  <c r="G216" i="37" a="1"/>
  <c r="G216" i="37" s="1"/>
  <c r="J864" i="40" s="1" a="1"/>
  <c r="J864" i="40" s="1"/>
  <c r="G163" i="37" a="1"/>
  <c r="G163" i="37" s="1"/>
  <c r="G227" i="37" a="1"/>
  <c r="G227" i="37" s="1"/>
  <c r="J973" i="40" s="1" a="1"/>
  <c r="J973" i="40" s="1"/>
  <c r="G146" i="37" a="1"/>
  <c r="G146" i="37" s="1"/>
  <c r="G210" i="37" a="1"/>
  <c r="G210" i="37" s="1"/>
  <c r="J810" i="40" s="1" a="1"/>
  <c r="J810" i="40" s="1"/>
  <c r="G184" i="37" a="1"/>
  <c r="G184" i="37" s="1"/>
  <c r="G248" i="37" a="1"/>
  <c r="G248" i="37" s="1"/>
  <c r="J1161" i="40" s="1" a="1"/>
  <c r="J1161" i="40" s="1"/>
  <c r="V78" i="43"/>
  <c r="O86" i="43" a="1"/>
  <c r="O86" i="43" s="1"/>
  <c r="J345" i="40" a="1"/>
  <c r="J345" i="40" s="1"/>
  <c r="W5" i="37"/>
  <c r="W44" i="37"/>
  <c r="H175" i="37" s="1" a="1"/>
  <c r="H175" i="37" s="1"/>
  <c r="J383" i="40" s="1" a="1"/>
  <c r="J383" i="40" s="1"/>
  <c r="W19" i="37"/>
  <c r="H214" i="37" s="1" a="1"/>
  <c r="H214" i="37" s="1"/>
  <c r="W22" i="37"/>
  <c r="H153" i="37" s="1" a="1"/>
  <c r="H153" i="37" s="1"/>
  <c r="J161" i="40" s="1" a="1"/>
  <c r="J161" i="40" s="1"/>
  <c r="W28" i="37"/>
  <c r="H223" i="37" s="1" a="1"/>
  <c r="H223" i="37" s="1"/>
  <c r="W25" i="37"/>
  <c r="W41" i="37"/>
  <c r="H236" i="37" s="1" a="1"/>
  <c r="H236" i="37" s="1"/>
  <c r="W14" i="37"/>
  <c r="W45" i="37"/>
  <c r="W55" i="37"/>
  <c r="H186" i="37" s="1" a="1"/>
  <c r="H186" i="37" s="1"/>
  <c r="W38" i="37"/>
  <c r="W62" i="37"/>
  <c r="W68" i="37"/>
  <c r="H263" i="37" s="1" a="1"/>
  <c r="H263" i="37" s="1"/>
  <c r="W32" i="37"/>
  <c r="W6" i="37"/>
  <c r="W49" i="37"/>
  <c r="W48" i="37"/>
  <c r="H243" i="37" s="1" a="1"/>
  <c r="H243" i="37" s="1"/>
  <c r="W24" i="37"/>
  <c r="W33" i="37"/>
  <c r="W15" i="37"/>
  <c r="W27" i="37"/>
  <c r="H222" i="37" s="1" a="1"/>
  <c r="H222" i="37" s="1"/>
  <c r="W43" i="37"/>
  <c r="W31" i="37"/>
  <c r="W51" i="37"/>
  <c r="H246" i="37" s="1" a="1"/>
  <c r="H246" i="37" s="1"/>
  <c r="W53" i="37"/>
  <c r="W54" i="37"/>
  <c r="W57" i="37"/>
  <c r="H188" i="37" s="1" a="1"/>
  <c r="H188" i="37" s="1"/>
  <c r="K500" i="40" s="1" a="1"/>
  <c r="K500" i="40" s="1"/>
  <c r="W12" i="37"/>
  <c r="H143" i="37" s="1" a="1"/>
  <c r="H143" i="37" s="1"/>
  <c r="W60" i="37"/>
  <c r="W63" i="37"/>
  <c r="W67" i="37"/>
  <c r="H262" i="37" s="1" a="1"/>
  <c r="H262" i="37" s="1"/>
  <c r="W66" i="37"/>
  <c r="H197" i="37" s="1" a="1"/>
  <c r="H197" i="37" s="1"/>
  <c r="K588" i="40" s="1" a="1"/>
  <c r="K588" i="40" s="1"/>
  <c r="W35" i="37"/>
  <c r="W50" i="37"/>
  <c r="W58" i="37"/>
  <c r="W23" i="37"/>
  <c r="H154" i="37" s="1" a="1"/>
  <c r="H154" i="37" s="1"/>
  <c r="K181" i="40" s="1" a="1"/>
  <c r="K181" i="40" s="1"/>
  <c r="W46" i="37"/>
  <c r="W30" i="37"/>
  <c r="W20" i="37"/>
  <c r="H215" i="37" s="1" a="1"/>
  <c r="H215" i="37" s="1"/>
  <c r="W21" i="37"/>
  <c r="W16" i="37"/>
  <c r="H147" i="37" s="1" a="1"/>
  <c r="H147" i="37" s="1"/>
  <c r="K104" i="40" s="1" a="1"/>
  <c r="K104" i="40" s="1"/>
  <c r="W17" i="37"/>
  <c r="W40" i="37"/>
  <c r="H171" i="37" s="1" a="1"/>
  <c r="H171" i="37" s="1"/>
  <c r="J339" i="40" s="1" a="1"/>
  <c r="J339" i="40" s="1"/>
  <c r="W52" i="37"/>
  <c r="W26" i="37"/>
  <c r="W36" i="37"/>
  <c r="W42" i="37"/>
  <c r="W18" i="37"/>
  <c r="H149" i="37" s="1" a="1"/>
  <c r="H149" i="37" s="1"/>
  <c r="K137" i="40" s="1" a="1"/>
  <c r="K137" i="40" s="1"/>
  <c r="W11" i="37"/>
  <c r="W39" i="37"/>
  <c r="W8" i="37"/>
  <c r="W9" i="37"/>
  <c r="W37" i="37"/>
  <c r="W61" i="37"/>
  <c r="W13" i="37"/>
  <c r="W64" i="37"/>
  <c r="W7" i="37"/>
  <c r="W59" i="37"/>
  <c r="W56" i="37"/>
  <c r="W10" i="37"/>
  <c r="W47" i="37"/>
  <c r="W34" i="37"/>
  <c r="H165" i="37" s="1" a="1"/>
  <c r="H165" i="37" s="1"/>
  <c r="K302" i="40" s="1" a="1"/>
  <c r="K302" i="40" s="1"/>
  <c r="W65" i="37"/>
  <c r="H260" i="37" s="1" a="1"/>
  <c r="H260" i="37" s="1"/>
  <c r="W29" i="37"/>
  <c r="V59" i="43"/>
  <c r="O68" i="8" a="1"/>
  <c r="O68" i="8" s="1"/>
  <c r="P1391" i="40" s="1" a="1"/>
  <c r="P1391" i="40" s="1"/>
  <c r="O69" i="8" a="1"/>
  <c r="O69" i="8" s="1"/>
  <c r="P1138" i="40" s="1" a="1"/>
  <c r="P1138" i="40" s="1"/>
  <c r="V128" i="43"/>
  <c r="Y128" i="43" s="1"/>
  <c r="AF151" i="43"/>
  <c r="AH151" i="43" s="1"/>
  <c r="P69" i="8" s="1"/>
  <c r="Q69" i="8" s="1"/>
  <c r="U150" i="43"/>
  <c r="X150" i="43" s="1"/>
  <c r="J69" i="8" s="1"/>
  <c r="V18" i="43"/>
  <c r="Y18" i="43" s="1"/>
  <c r="V27" i="43"/>
  <c r="Y27" i="43" s="1"/>
  <c r="V39" i="43"/>
  <c r="Y39" i="43" s="1"/>
  <c r="V101" i="43"/>
  <c r="V37" i="43"/>
  <c r="V35" i="43"/>
  <c r="Y35" i="43" s="1"/>
  <c r="Y150" i="43"/>
  <c r="K69" i="8" s="1"/>
  <c r="V92" i="43"/>
  <c r="Y92" i="43" s="1"/>
  <c r="V72" i="43"/>
  <c r="Y72" i="43" s="1"/>
  <c r="E6" i="44"/>
  <c r="V76" i="43"/>
  <c r="AI151" i="43"/>
  <c r="R69" i="8" s="1"/>
  <c r="S69" i="8" s="1"/>
  <c r="AB69" i="8" s="1"/>
  <c r="U151" i="43"/>
  <c r="AF150" i="43"/>
  <c r="Z150" i="43"/>
  <c r="N69" i="8" s="1"/>
  <c r="V69" i="43"/>
  <c r="Y69" i="43" s="1"/>
  <c r="V25" i="43"/>
  <c r="Y25" i="43" s="1"/>
  <c r="J194" i="40" a="1"/>
  <c r="J194" i="40" s="1"/>
  <c r="V55" i="43"/>
  <c r="Y55" i="43" s="1"/>
  <c r="V105" i="43"/>
  <c r="V133" i="43"/>
  <c r="Y133" i="43" s="1"/>
  <c r="V49" i="43"/>
  <c r="Y49" i="43" s="1"/>
  <c r="V135" i="43"/>
  <c r="V129" i="43"/>
  <c r="Y129" i="43" s="1"/>
  <c r="V103" i="43"/>
  <c r="Y103" i="43" s="1"/>
  <c r="V106" i="43"/>
  <c r="Y106" i="43" s="1"/>
  <c r="V9" i="43"/>
  <c r="Y9" i="43" s="1"/>
  <c r="V28" i="43"/>
  <c r="Y28" i="43" s="1"/>
  <c r="V50" i="43"/>
  <c r="Y50" i="43" s="1"/>
  <c r="V54" i="43"/>
  <c r="Y54" i="43" s="1"/>
  <c r="V111" i="43"/>
  <c r="Y111" i="43" s="1"/>
  <c r="V52" i="43"/>
  <c r="V16" i="43"/>
  <c r="Y16" i="43" s="1"/>
  <c r="V11" i="43"/>
  <c r="Y11" i="43" s="1"/>
  <c r="V108" i="43"/>
  <c r="Y108" i="43" s="1"/>
  <c r="V56" i="43"/>
  <c r="Y56" i="43" s="1"/>
  <c r="V70" i="43"/>
  <c r="Y70" i="43" s="1"/>
  <c r="Y144" i="43"/>
  <c r="V7" i="43"/>
  <c r="V48" i="43"/>
  <c r="Y48" i="43" s="1"/>
  <c r="V115" i="43"/>
  <c r="Y115" i="43" s="1"/>
  <c r="V110" i="43"/>
  <c r="Y110" i="43" s="1"/>
  <c r="V75" i="43"/>
  <c r="Y75" i="43" s="1"/>
  <c r="V8" i="43"/>
  <c r="Y8" i="43" s="1"/>
  <c r="E21" i="44"/>
  <c r="F22" i="44" s="1"/>
  <c r="E22" i="44" s="1"/>
  <c r="V65" i="43"/>
  <c r="Y65" i="43" s="1"/>
  <c r="K193" i="40" a="1"/>
  <c r="K193" i="40" s="1"/>
  <c r="K194" i="40" a="1"/>
  <c r="K194" i="40" s="1"/>
  <c r="K336" i="40" a="1"/>
  <c r="K336" i="40" s="1"/>
  <c r="K337" i="40" a="1"/>
  <c r="K337" i="40" s="1"/>
  <c r="V47" i="43"/>
  <c r="Y47" i="43" s="1"/>
  <c r="V136" i="43"/>
  <c r="V13" i="43"/>
  <c r="Y13" i="43" s="1"/>
  <c r="V107" i="43"/>
  <c r="Y107" i="43" s="1"/>
  <c r="V99" i="43"/>
  <c r="Y99" i="43" s="1"/>
  <c r="V117" i="43"/>
  <c r="Y117" i="43" s="1"/>
  <c r="V91" i="43"/>
  <c r="Y91" i="43" s="1"/>
  <c r="V12" i="43"/>
  <c r="Y12" i="43" s="1"/>
  <c r="V51" i="43"/>
  <c r="Y51" i="43" s="1"/>
  <c r="V137" i="43"/>
  <c r="V23" i="43"/>
  <c r="V109" i="43"/>
  <c r="Y109" i="43" s="1"/>
  <c r="V77" i="43"/>
  <c r="Y77" i="43" s="1"/>
  <c r="V19" i="43"/>
  <c r="V112" i="43"/>
  <c r="Y112" i="43" s="1"/>
  <c r="V134" i="43"/>
  <c r="Y134" i="43" s="1"/>
  <c r="V100" i="43"/>
  <c r="Y100" i="43" s="1"/>
  <c r="V90" i="43"/>
  <c r="Y90" i="43" s="1"/>
  <c r="O29" i="43" a="1"/>
  <c r="O29" i="43" s="1"/>
  <c r="V138" i="43"/>
  <c r="V93" i="43"/>
  <c r="Y93" i="43" s="1"/>
  <c r="V53" i="43"/>
  <c r="Y53" i="43" s="1"/>
  <c r="V120" i="43"/>
  <c r="V102" i="43"/>
  <c r="Y102" i="43" s="1"/>
  <c r="V21" i="43"/>
  <c r="V57" i="43"/>
  <c r="V14" i="43"/>
  <c r="Y14" i="43" s="1"/>
  <c r="V116" i="43"/>
  <c r="Y116" i="43" s="1"/>
  <c r="V17" i="43"/>
  <c r="Y17" i="43" s="1"/>
  <c r="O31" i="43" a="1"/>
  <c r="O31" i="43" s="1"/>
  <c r="V81" i="43"/>
  <c r="V64" i="43"/>
  <c r="Y64" i="43" s="1"/>
  <c r="V45" i="43"/>
  <c r="V34" i="43"/>
  <c r="Y34" i="43" s="1"/>
  <c r="V71" i="43"/>
  <c r="Y71" i="43" s="1"/>
  <c r="V36" i="43"/>
  <c r="Y36" i="43" s="1"/>
  <c r="V44" i="43"/>
  <c r="Y44" i="43" s="1"/>
  <c r="V30" i="43"/>
  <c r="Y30" i="43" s="1"/>
  <c r="V88" i="43"/>
  <c r="Y88" i="43" s="1"/>
  <c r="V124" i="43"/>
  <c r="V26" i="43"/>
  <c r="Y26" i="43" s="1"/>
  <c r="V143" i="43"/>
  <c r="V86" i="43"/>
  <c r="Y86" i="43" s="1"/>
  <c r="V40" i="43"/>
  <c r="Y40" i="43" s="1"/>
  <c r="V79" i="43"/>
  <c r="Y79" i="43" s="1"/>
  <c r="V89" i="43"/>
  <c r="Y89" i="43" s="1"/>
  <c r="V10" i="43"/>
  <c r="V142" i="43"/>
  <c r="V61" i="43"/>
  <c r="V123" i="43"/>
  <c r="Y123" i="43" s="1"/>
  <c r="V62" i="43"/>
  <c r="Y62" i="43" s="1"/>
  <c r="V20" i="43"/>
  <c r="V139" i="43"/>
  <c r="V141" i="43"/>
  <c r="V146" i="43"/>
  <c r="V140" i="43"/>
  <c r="V15" i="43"/>
  <c r="Y15" i="43" s="1"/>
  <c r="V80" i="43"/>
  <c r="V67" i="43"/>
  <c r="Y67" i="43" s="1"/>
  <c r="V118" i="43"/>
  <c r="Y118" i="43" s="1"/>
  <c r="V114" i="43"/>
  <c r="Y114" i="43" s="1"/>
  <c r="V125" i="43"/>
  <c r="V68" i="43"/>
  <c r="Y68" i="43" s="1"/>
  <c r="V147" i="43"/>
  <c r="Y147" i="43" s="1"/>
  <c r="O129" i="43" a="1"/>
  <c r="O129" i="43" s="1"/>
  <c r="V60" i="43"/>
  <c r="V46" i="43"/>
  <c r="Y46" i="43" s="1"/>
  <c r="V127" i="43"/>
  <c r="V82" i="43"/>
  <c r="O24" i="43" a="1"/>
  <c r="O24" i="43" s="1"/>
  <c r="O133" i="43" a="1"/>
  <c r="O133" i="43" s="1"/>
  <c r="V41" i="43"/>
  <c r="Y41" i="43" s="1"/>
  <c r="V94" i="43"/>
  <c r="Y94" i="43" s="1"/>
  <c r="V145" i="43"/>
  <c r="Y145" i="43" s="1"/>
  <c r="V74" i="43"/>
  <c r="Y74" i="43" s="1"/>
  <c r="V24" i="43"/>
  <c r="Y24" i="43" s="1"/>
  <c r="V58" i="43"/>
  <c r="Y58" i="43" s="1"/>
  <c r="V83" i="43"/>
  <c r="Y83" i="43" s="1"/>
  <c r="V126" i="43"/>
  <c r="Y126" i="43" s="1"/>
  <c r="V29" i="43"/>
  <c r="Y29" i="43" s="1"/>
  <c r="V119" i="43"/>
  <c r="V113" i="43"/>
  <c r="Y113" i="43" s="1"/>
  <c r="V130" i="43"/>
  <c r="Y130" i="43" s="1"/>
  <c r="V97" i="43"/>
  <c r="V121" i="43"/>
  <c r="V104" i="43"/>
  <c r="V42" i="43"/>
  <c r="Y42" i="43" s="1"/>
  <c r="V148" i="43"/>
  <c r="V63" i="43"/>
  <c r="Y63" i="43" s="1"/>
  <c r="V132" i="43"/>
  <c r="Y132" i="43" s="1"/>
  <c r="V31" i="43"/>
  <c r="Y31" i="43" s="1"/>
  <c r="V131" i="43"/>
  <c r="Y131" i="43" s="1"/>
  <c r="O113" i="43" a="1"/>
  <c r="O113" i="43" s="1"/>
  <c r="V84" i="43"/>
  <c r="Y84" i="43" s="1"/>
  <c r="V98" i="43"/>
  <c r="Y66" i="43"/>
  <c r="V122" i="43"/>
  <c r="Y122" i="43" s="1"/>
  <c r="V87" i="43"/>
  <c r="Y87" i="43" s="1"/>
  <c r="V73" i="43"/>
  <c r="Y73" i="43" s="1"/>
  <c r="V85" i="43"/>
  <c r="Y85" i="43" s="1"/>
  <c r="V38" i="43"/>
  <c r="Y38" i="43" s="1"/>
  <c r="V43" i="43"/>
  <c r="Y43" i="43" s="1"/>
  <c r="O106" i="43" a="1"/>
  <c r="O106" i="43" s="1"/>
  <c r="O14" i="43" a="1"/>
  <c r="O14" i="43" s="1"/>
  <c r="O110" i="43" a="1"/>
  <c r="O110" i="43" s="1"/>
  <c r="O17" i="43" a="1"/>
  <c r="O17" i="43" s="1"/>
  <c r="O108" i="43" a="1"/>
  <c r="O108" i="43" s="1"/>
  <c r="O15" i="43" a="1"/>
  <c r="O15" i="43" s="1"/>
  <c r="O126" i="43" a="1"/>
  <c r="O126" i="43" s="1"/>
  <c r="O128" i="43" a="1"/>
  <c r="O128" i="43" s="1"/>
  <c r="O16" i="43" a="1"/>
  <c r="O16" i="43" s="1"/>
  <c r="O18" i="43" a="1"/>
  <c r="O18" i="43" s="1"/>
  <c r="O75" i="43" a="1"/>
  <c r="O75" i="43" s="1"/>
  <c r="O107" i="43" a="1"/>
  <c r="O107" i="43" s="1"/>
  <c r="AF149" i="43"/>
  <c r="AG149" i="43"/>
  <c r="AG32" i="43"/>
  <c r="AI32" i="43" s="1"/>
  <c r="R68" i="8" s="1"/>
  <c r="S68" i="8" s="1"/>
  <c r="AB68" i="8" s="1"/>
  <c r="AF32" i="43"/>
  <c r="AH32" i="43" s="1"/>
  <c r="P68" i="8" s="1"/>
  <c r="Q68" i="8" s="1"/>
  <c r="O149" i="43" a="1"/>
  <c r="O149" i="43" s="1"/>
  <c r="Z149" i="43" s="1"/>
  <c r="N68" i="8" s="1"/>
  <c r="O99" i="43" a="1"/>
  <c r="O99" i="43" s="1"/>
  <c r="O134" i="43" a="1"/>
  <c r="O134" i="43" s="1"/>
  <c r="O132" i="43" a="1"/>
  <c r="O132" i="43" s="1"/>
  <c r="O130" i="43" a="1"/>
  <c r="O130" i="43" s="1"/>
  <c r="O91" i="43" a="1"/>
  <c r="O91" i="43" s="1"/>
  <c r="O94" i="43" a="1"/>
  <c r="O94" i="43" s="1"/>
  <c r="O93" i="43" a="1"/>
  <c r="O93" i="43" s="1"/>
  <c r="O92" i="43" a="1"/>
  <c r="O92" i="43" s="1"/>
  <c r="V32" i="43"/>
  <c r="U32" i="43"/>
  <c r="V149" i="43"/>
  <c r="Y149" i="43" s="1"/>
  <c r="K68" i="8" s="1"/>
  <c r="U149" i="43"/>
  <c r="X149" i="43" s="1"/>
  <c r="J68" i="8" s="1"/>
  <c r="O1138" i="40" l="1" a="1"/>
  <c r="O1138" i="40" s="1"/>
  <c r="T1138" i="40" s="1"/>
  <c r="Z69" i="8"/>
  <c r="O1391" i="40" a="1"/>
  <c r="O1391" i="40" s="1"/>
  <c r="T1391" i="40" s="1"/>
  <c r="Z68" i="8"/>
  <c r="Q1391" i="40" a="1"/>
  <c r="Q1391" i="40" s="1"/>
  <c r="U1391" i="40" s="1"/>
  <c r="AA68" i="8"/>
  <c r="Q1138" i="40" a="1"/>
  <c r="Q1138" i="40" s="1"/>
  <c r="U1138" i="40" s="1"/>
  <c r="AA69" i="8"/>
  <c r="K743" i="40" a="1"/>
  <c r="K743" i="40" s="1"/>
  <c r="J1007" i="40" a="1"/>
  <c r="J1007" i="40" s="1"/>
  <c r="J886" i="40" a="1"/>
  <c r="J886" i="40" s="1"/>
  <c r="K1348" i="40" a="1"/>
  <c r="K1348" i="40" s="1"/>
  <c r="K744" i="40" a="1"/>
  <c r="K744" i="40" s="1"/>
  <c r="J1348" i="40" a="1"/>
  <c r="J1348" i="40" s="1"/>
  <c r="K1045" i="40" a="1"/>
  <c r="K1045" i="40" s="1"/>
  <c r="J1043" i="40" a="1"/>
  <c r="J1043" i="40" s="1"/>
  <c r="K841" i="40" a="1"/>
  <c r="K841" i="40" s="1"/>
  <c r="J182" i="40" a="1"/>
  <c r="J182" i="40" s="1"/>
  <c r="J1091" i="40" a="1"/>
  <c r="J1091" i="40" s="1"/>
  <c r="J845" i="40" a="1"/>
  <c r="J845" i="40" s="1"/>
  <c r="J303" i="40" a="1"/>
  <c r="J303" i="40" s="1"/>
  <c r="K335" i="40" a="1"/>
  <c r="K335" i="40" s="1"/>
  <c r="K865" i="40" a="1"/>
  <c r="K865" i="40" s="1"/>
  <c r="K863" i="40" a="1"/>
  <c r="K863" i="40" s="1"/>
  <c r="J139" i="40" a="1"/>
  <c r="J139" i="40" s="1"/>
  <c r="J480" i="40" a="1"/>
  <c r="J480" i="40" s="1"/>
  <c r="K478" i="40" a="1"/>
  <c r="K478" i="40" s="1"/>
  <c r="K808" i="40" a="1"/>
  <c r="K808" i="40" s="1"/>
  <c r="K159" i="40" a="1"/>
  <c r="K159" i="40" s="1"/>
  <c r="K811" i="40" a="1"/>
  <c r="K811" i="40" s="1"/>
  <c r="K1083" i="40" a="1"/>
  <c r="K1083" i="40" s="1"/>
  <c r="J107" i="40" a="1"/>
  <c r="J107" i="40" s="1"/>
  <c r="L225" i="37" a="1"/>
  <c r="L225" i="37" s="1"/>
  <c r="K746" i="40" s="1" a="1"/>
  <c r="K746" i="40" s="1"/>
  <c r="H161" i="37" a="1"/>
  <c r="H161" i="37" s="1"/>
  <c r="K379" i="40" a="1"/>
  <c r="K379" i="40" s="1"/>
  <c r="K1231" i="40" a="1"/>
  <c r="K1231" i="40" s="1"/>
  <c r="J502" i="40" a="1"/>
  <c r="J502" i="40" s="1"/>
  <c r="J1184" i="40" a="1"/>
  <c r="J1184" i="40" s="1"/>
  <c r="K1182" i="40" a="1"/>
  <c r="K1182" i="40" s="1"/>
  <c r="K1204" i="40" a="1"/>
  <c r="K1204" i="40" s="1"/>
  <c r="J1206" i="40" a="1"/>
  <c r="J1206" i="40" s="1"/>
  <c r="J900" i="40" a="1"/>
  <c r="J900" i="40" s="1"/>
  <c r="J344" i="40" a="1"/>
  <c r="J344" i="40" s="1"/>
  <c r="J1381" i="40" a="1"/>
  <c r="J1381" i="40" s="1"/>
  <c r="L1381" i="40" s="1"/>
  <c r="K1380" i="40" a="1"/>
  <c r="K1380" i="40" s="1"/>
  <c r="J1326" i="40" a="1"/>
  <c r="J1326" i="40" s="1"/>
  <c r="K1325" i="40" a="1"/>
  <c r="K1325" i="40" s="1"/>
  <c r="J1046" i="40" a="1"/>
  <c r="J1046" i="40" s="1"/>
  <c r="K1042" i="40" a="1"/>
  <c r="K1042" i="40" s="1"/>
  <c r="J1139" i="40" a="1"/>
  <c r="J1139" i="40" s="1"/>
  <c r="L1139" i="40" s="1"/>
  <c r="K1138" i="40" a="1"/>
  <c r="K1138" i="40" s="1"/>
  <c r="R1138" i="40" s="1" a="1"/>
  <c r="R1138" i="40" s="1"/>
  <c r="V1138" i="40" s="1"/>
  <c r="J869" i="40" a="1"/>
  <c r="J869" i="40" s="1"/>
  <c r="K867" i="40" a="1"/>
  <c r="K867" i="40" s="1"/>
  <c r="K1044" i="40" a="1"/>
  <c r="K1044" i="40" s="1"/>
  <c r="J1048" i="40" a="1"/>
  <c r="J1048" i="40" s="1"/>
  <c r="K929" i="40" a="1"/>
  <c r="K929" i="40" s="1"/>
  <c r="J930" i="40" a="1"/>
  <c r="J930" i="40" s="1"/>
  <c r="K1336" i="40" a="1"/>
  <c r="K1336" i="40" s="1"/>
  <c r="J1337" i="40" a="1"/>
  <c r="J1337" i="40" s="1"/>
  <c r="J941" i="40" a="1"/>
  <c r="J941" i="40" s="1"/>
  <c r="K940" i="40" a="1"/>
  <c r="K940" i="40" s="1"/>
  <c r="K1294" i="40" a="1"/>
  <c r="K1294" i="40" s="1"/>
  <c r="J1297" i="40" a="1"/>
  <c r="J1297" i="40" s="1"/>
  <c r="K814" i="40" a="1"/>
  <c r="K814" i="40" s="1"/>
  <c r="J817" i="40" a="1"/>
  <c r="J817" i="40" s="1"/>
  <c r="J887" i="40" a="1"/>
  <c r="J887" i="40" s="1"/>
  <c r="K886" i="40" a="1"/>
  <c r="K886" i="40" s="1"/>
  <c r="J1350" i="40" a="1"/>
  <c r="J1350" i="40" s="1"/>
  <c r="K1349" i="40" a="1"/>
  <c r="K1349" i="40" s="1"/>
  <c r="K842" i="40" a="1"/>
  <c r="K842" i="40" s="1"/>
  <c r="J844" i="40" a="1"/>
  <c r="J844" i="40" s="1"/>
  <c r="J1295" i="40" a="1"/>
  <c r="J1295" i="40" s="1"/>
  <c r="K1292" i="40" a="1"/>
  <c r="K1292" i="40" s="1"/>
  <c r="J901" i="40" a="1"/>
  <c r="J901" i="40" s="1"/>
  <c r="K899" i="40" a="1"/>
  <c r="K899" i="40" s="1"/>
  <c r="J746" i="40" a="1"/>
  <c r="J746" i="40" s="1"/>
  <c r="K745" i="40" a="1"/>
  <c r="K745" i="40" s="1"/>
  <c r="K1043" i="40" a="1"/>
  <c r="K1043" i="40" s="1"/>
  <c r="J1047" i="40" a="1"/>
  <c r="J1047" i="40" s="1"/>
  <c r="J1008" i="40" a="1"/>
  <c r="J1008" i="40" s="1"/>
  <c r="K1007" i="40" a="1"/>
  <c r="K1007" i="40" s="1"/>
  <c r="K845" i="40" a="1"/>
  <c r="K845" i="40" s="1"/>
  <c r="J847" i="40" a="1"/>
  <c r="J847" i="40" s="1"/>
  <c r="K1391" i="40" a="1"/>
  <c r="K1391" i="40" s="1"/>
  <c r="R1391" i="40" s="1" a="1"/>
  <c r="R1391" i="40" s="1"/>
  <c r="V1391" i="40" s="1"/>
  <c r="J1392" i="40" a="1"/>
  <c r="J1392" i="40" s="1"/>
  <c r="L1392" i="40" s="1"/>
  <c r="J591" i="40" a="1"/>
  <c r="J591" i="40" s="1"/>
  <c r="H170" i="37" a="1"/>
  <c r="H170" i="37" s="1"/>
  <c r="J325" i="40" s="1" a="1"/>
  <c r="J325" i="40" s="1"/>
  <c r="H234" i="37" a="1"/>
  <c r="H234" i="37" s="1"/>
  <c r="K207" i="37" a="1"/>
  <c r="K207" i="37" s="1"/>
  <c r="H190" i="37" a="1"/>
  <c r="H190" i="37" s="1"/>
  <c r="K523" i="40" s="1" a="1"/>
  <c r="K523" i="40" s="1"/>
  <c r="H254" i="37" a="1"/>
  <c r="H254" i="37" s="1"/>
  <c r="H148" i="37" a="1"/>
  <c r="H148" i="37" s="1"/>
  <c r="J666" i="40" s="1" a="1"/>
  <c r="J666" i="40" s="1"/>
  <c r="L666" i="40" s="1"/>
  <c r="H212" i="37" a="1"/>
  <c r="H212" i="37" s="1"/>
  <c r="J218" i="37" a="1"/>
  <c r="J218" i="37" s="1"/>
  <c r="H146" i="37" a="1"/>
  <c r="H146" i="37" s="1"/>
  <c r="J109" i="40" s="1" a="1"/>
  <c r="J109" i="40" s="1"/>
  <c r="H210" i="37" a="1"/>
  <c r="H210" i="37" s="1"/>
  <c r="H193" i="37" a="1"/>
  <c r="H193" i="37" s="1"/>
  <c r="K556" i="40" s="1" a="1"/>
  <c r="K556" i="40" s="1"/>
  <c r="H257" i="37" a="1"/>
  <c r="H257" i="37" s="1"/>
  <c r="K217" i="37" a="1"/>
  <c r="K217" i="37" s="1"/>
  <c r="H185" i="37" a="1"/>
  <c r="H185" i="37" s="1"/>
  <c r="J481" i="40" s="1" a="1"/>
  <c r="J481" i="40" s="1"/>
  <c r="H249" i="37" a="1"/>
  <c r="H249" i="37" s="1"/>
  <c r="J239" i="37" a="1"/>
  <c r="J239" i="37" s="1"/>
  <c r="H144" i="37" a="1"/>
  <c r="H144" i="37" s="1"/>
  <c r="K93" i="40" s="1" a="1"/>
  <c r="K93" i="40" s="1"/>
  <c r="H208" i="37" a="1"/>
  <c r="H208" i="37" s="1"/>
  <c r="H166" i="37" a="1"/>
  <c r="H166" i="37" s="1"/>
  <c r="H230" i="37" a="1"/>
  <c r="H230" i="37" s="1"/>
  <c r="H192" i="37" a="1"/>
  <c r="H192" i="37" s="1"/>
  <c r="J557" i="40" s="1" a="1"/>
  <c r="J557" i="40" s="1"/>
  <c r="H256" i="37" a="1"/>
  <c r="H256" i="37" s="1"/>
  <c r="H167" i="37" a="1"/>
  <c r="H167" i="37" s="1"/>
  <c r="K313" i="40" s="1" a="1"/>
  <c r="K313" i="40" s="1"/>
  <c r="H231" i="37" a="1"/>
  <c r="H231" i="37" s="1"/>
  <c r="I261" i="37" a="1"/>
  <c r="I261" i="37" s="1"/>
  <c r="H180" i="37" a="1"/>
  <c r="H180" i="37" s="1"/>
  <c r="J424" i="40" s="1" a="1"/>
  <c r="J424" i="40" s="1"/>
  <c r="L424" i="40" s="1"/>
  <c r="H244" i="37" a="1"/>
  <c r="H244" i="37" s="1"/>
  <c r="H145" i="37" a="1"/>
  <c r="H145" i="37" s="1"/>
  <c r="K105" i="40" s="1" a="1"/>
  <c r="K105" i="40" s="1"/>
  <c r="H209" i="37" a="1"/>
  <c r="H209" i="37" s="1"/>
  <c r="H176" i="37" a="1"/>
  <c r="H176" i="37" s="1"/>
  <c r="K380" i="40" s="1" a="1"/>
  <c r="K380" i="40" s="1"/>
  <c r="H240" i="37" a="1"/>
  <c r="H240" i="37" s="1"/>
  <c r="H136" i="37" a="1"/>
  <c r="H136" i="37" s="1"/>
  <c r="J6" i="40" s="1" a="1"/>
  <c r="J6" i="40" s="1"/>
  <c r="H200" i="37" a="1"/>
  <c r="H200" i="37" s="1"/>
  <c r="H162" i="37" a="1"/>
  <c r="H162" i="37" s="1"/>
  <c r="J281" i="40" s="1" a="1"/>
  <c r="J281" i="40" s="1"/>
  <c r="H226" i="37" a="1"/>
  <c r="H226" i="37" s="1"/>
  <c r="H137" i="37" a="1"/>
  <c r="H137" i="37" s="1"/>
  <c r="K445" i="40" s="1" a="1"/>
  <c r="K445" i="40" s="1"/>
  <c r="H201" i="37" a="1"/>
  <c r="H201" i="37" s="1"/>
  <c r="H141" i="37" a="1"/>
  <c r="H141" i="37" s="1"/>
  <c r="K16" i="40" s="1" a="1"/>
  <c r="K16" i="40" s="1"/>
  <c r="H205" i="37" a="1"/>
  <c r="H205" i="37" s="1"/>
  <c r="H140" i="37" a="1"/>
  <c r="H140" i="37" s="1"/>
  <c r="K71" i="40" s="1" a="1"/>
  <c r="K71" i="40" s="1"/>
  <c r="H204" i="37" a="1"/>
  <c r="H204" i="37" s="1"/>
  <c r="H183" i="37" a="1"/>
  <c r="H183" i="37" s="1"/>
  <c r="J458" i="40" s="1" a="1"/>
  <c r="J458" i="40" s="1"/>
  <c r="H247" i="37" a="1"/>
  <c r="H247" i="37" s="1"/>
  <c r="H194" i="37" a="1"/>
  <c r="H194" i="37" s="1"/>
  <c r="K577" i="40" s="1" a="1"/>
  <c r="K577" i="40" s="1"/>
  <c r="H258" i="37" a="1"/>
  <c r="H258" i="37" s="1"/>
  <c r="J174" i="37" a="1"/>
  <c r="J174" i="37" s="1"/>
  <c r="J349" i="40" s="1" a="1"/>
  <c r="J349" i="40" s="1"/>
  <c r="J238" i="37" a="1"/>
  <c r="J238" i="37" s="1"/>
  <c r="H163" i="37" a="1"/>
  <c r="H163" i="37" s="1"/>
  <c r="K269" i="40" s="1" a="1"/>
  <c r="K269" i="40" s="1"/>
  <c r="H227" i="37" a="1"/>
  <c r="H227" i="37" s="1"/>
  <c r="J156" i="37" a="1"/>
  <c r="J156" i="37" s="1"/>
  <c r="K197" i="40" s="1" a="1"/>
  <c r="K197" i="40" s="1"/>
  <c r="J220" i="37" a="1"/>
  <c r="J220" i="37" s="1"/>
  <c r="H160" i="37" a="1"/>
  <c r="H160" i="37" s="1"/>
  <c r="K27" i="40" s="1" a="1"/>
  <c r="K27" i="40" s="1"/>
  <c r="H224" i="37" a="1"/>
  <c r="H224" i="37" s="1"/>
  <c r="H138" i="37" a="1"/>
  <c r="H138" i="37" s="1"/>
  <c r="H202" i="37" a="1"/>
  <c r="H202" i="37" s="1"/>
  <c r="H142" i="37" a="1"/>
  <c r="H142" i="37" s="1"/>
  <c r="K82" i="40" s="1" a="1"/>
  <c r="K82" i="40" s="1"/>
  <c r="H206" i="37" a="1"/>
  <c r="H206" i="37" s="1"/>
  <c r="K211" i="37" a="1"/>
  <c r="K211" i="37" s="1"/>
  <c r="H189" i="37" a="1"/>
  <c r="H189" i="37" s="1"/>
  <c r="J525" i="40" s="1" a="1"/>
  <c r="J525" i="40" s="1"/>
  <c r="H253" i="37" a="1"/>
  <c r="H253" i="37" s="1"/>
  <c r="I252" i="37" a="1"/>
  <c r="I252" i="37" s="1"/>
  <c r="H164" i="37" a="1"/>
  <c r="H164" i="37" s="1"/>
  <c r="K291" i="40" s="1" a="1"/>
  <c r="K291" i="40" s="1"/>
  <c r="H228" i="37" a="1"/>
  <c r="H228" i="37" s="1"/>
  <c r="H169" i="37" a="1"/>
  <c r="H169" i="37" s="1"/>
  <c r="K258" i="40" s="1" a="1"/>
  <c r="K258" i="40" s="1"/>
  <c r="H233" i="37" a="1"/>
  <c r="H233" i="37" s="1"/>
  <c r="H195" i="37" a="1"/>
  <c r="H195" i="37" s="1"/>
  <c r="K589" i="40" s="1" a="1"/>
  <c r="K589" i="40" s="1"/>
  <c r="H259" i="37" a="1"/>
  <c r="H259" i="37" s="1"/>
  <c r="K213" i="37" a="1"/>
  <c r="K213" i="37" s="1"/>
  <c r="H181" i="37" a="1"/>
  <c r="H181" i="37" s="1"/>
  <c r="J699" i="40" s="1" a="1"/>
  <c r="J699" i="40" s="1"/>
  <c r="H245" i="37" a="1"/>
  <c r="H245" i="37" s="1"/>
  <c r="J155" i="37" a="1"/>
  <c r="J155" i="37" s="1"/>
  <c r="K196" i="40" s="1" a="1"/>
  <c r="K196" i="40" s="1"/>
  <c r="J219" i="37" a="1"/>
  <c r="J219" i="37" s="1"/>
  <c r="I250" i="37" a="1"/>
  <c r="I250" i="37" s="1"/>
  <c r="J229" i="37" a="1"/>
  <c r="J229" i="37" s="1"/>
  <c r="J173" i="37" a="1"/>
  <c r="J173" i="37" s="1"/>
  <c r="K344" i="40" s="1" a="1"/>
  <c r="K344" i="40" s="1"/>
  <c r="J237" i="37" a="1"/>
  <c r="J237" i="37" s="1"/>
  <c r="H152" i="37" a="1"/>
  <c r="H152" i="37" s="1"/>
  <c r="K160" i="40" s="1" a="1"/>
  <c r="K160" i="40" s="1"/>
  <c r="H216" i="37" a="1"/>
  <c r="H216" i="37" s="1"/>
  <c r="H184" i="37" a="1"/>
  <c r="H184" i="37" s="1"/>
  <c r="K457" i="40" s="1" a="1"/>
  <c r="K457" i="40" s="1"/>
  <c r="H248" i="37" a="1"/>
  <c r="H248" i="37" s="1"/>
  <c r="H178" i="37" a="1"/>
  <c r="H178" i="37" s="1"/>
  <c r="K382" i="40" s="1" a="1"/>
  <c r="K382" i="40" s="1"/>
  <c r="H242" i="37" a="1"/>
  <c r="H242" i="37" s="1"/>
  <c r="H168" i="37" a="1"/>
  <c r="H168" i="37" s="1"/>
  <c r="J248" i="40" s="1" a="1"/>
  <c r="J248" i="40" s="1"/>
  <c r="H232" i="37" a="1"/>
  <c r="H232" i="37" s="1"/>
  <c r="H157" i="37" a="1"/>
  <c r="H157" i="37" s="1"/>
  <c r="H221" i="37" a="1"/>
  <c r="H221" i="37" s="1"/>
  <c r="H187" i="37" a="1"/>
  <c r="H187" i="37" s="1"/>
  <c r="H251" i="37" a="1"/>
  <c r="H251" i="37" s="1"/>
  <c r="H139" i="37" a="1"/>
  <c r="H139" i="37" s="1"/>
  <c r="J61" i="40" s="1" a="1"/>
  <c r="J61" i="40" s="1"/>
  <c r="H203" i="37" a="1"/>
  <c r="H203" i="37" s="1"/>
  <c r="J235" i="37" a="1"/>
  <c r="J235" i="37" s="1"/>
  <c r="H177" i="37" a="1"/>
  <c r="H177" i="37" s="1"/>
  <c r="K381" i="40" s="1" a="1"/>
  <c r="K381" i="40" s="1"/>
  <c r="H241" i="37" a="1"/>
  <c r="H241" i="37" s="1"/>
  <c r="J191" i="37" a="1"/>
  <c r="J191" i="37" s="1"/>
  <c r="J255" i="37" a="1"/>
  <c r="J255" i="37" s="1"/>
  <c r="X65" i="37"/>
  <c r="H196" i="37" a="1"/>
  <c r="H196" i="37" s="1"/>
  <c r="K590" i="40" s="1" a="1"/>
  <c r="K590" i="40" s="1"/>
  <c r="X20" i="37"/>
  <c r="H151" i="37" a="1"/>
  <c r="H151" i="37" s="1"/>
  <c r="X48" i="37"/>
  <c r="H179" i="37" a="1"/>
  <c r="H179" i="37" s="1"/>
  <c r="X5" i="37"/>
  <c r="I200" i="37" s="1" a="1"/>
  <c r="I200" i="37" s="1"/>
  <c r="X51" i="37"/>
  <c r="H182" i="37" a="1"/>
  <c r="H182" i="37" s="1"/>
  <c r="K434" i="40" s="1" a="1"/>
  <c r="K434" i="40" s="1"/>
  <c r="X30" i="37"/>
  <c r="H198" i="37" a="1"/>
  <c r="H198" i="37" s="1"/>
  <c r="K621" i="40" s="1" a="1"/>
  <c r="K621" i="40" s="1"/>
  <c r="X41" i="37"/>
  <c r="H172" i="37" a="1"/>
  <c r="H172" i="37" s="1"/>
  <c r="K338" i="40" s="1" a="1"/>
  <c r="K338" i="40" s="1"/>
  <c r="X60" i="37"/>
  <c r="H158" i="37" a="1"/>
  <c r="H158" i="37" s="1"/>
  <c r="K225" i="40" s="1" a="1"/>
  <c r="K225" i="40" s="1"/>
  <c r="H199" i="37" a="1"/>
  <c r="H199" i="37" s="1"/>
  <c r="K632" i="40" s="1" a="1"/>
  <c r="K632" i="40" s="1"/>
  <c r="H159" i="37" a="1"/>
  <c r="H159" i="37" s="1"/>
  <c r="J237" i="40" s="1" a="1"/>
  <c r="J237" i="40" s="1"/>
  <c r="X12" i="37"/>
  <c r="X7" i="37"/>
  <c r="X19" i="37"/>
  <c r="H150" i="37" a="1"/>
  <c r="H150" i="37" s="1"/>
  <c r="K138" i="40" s="1" a="1"/>
  <c r="K138" i="40" s="1"/>
  <c r="K341" i="40" a="1"/>
  <c r="K341" i="40" s="1"/>
  <c r="X35" i="37"/>
  <c r="X33" i="37"/>
  <c r="X56" i="37"/>
  <c r="X26" i="37"/>
  <c r="X34" i="37"/>
  <c r="I165" i="37" s="1" a="1"/>
  <c r="I165" i="37" s="1"/>
  <c r="K303" i="40" s="1" a="1"/>
  <c r="K303" i="40" s="1"/>
  <c r="X61" i="37"/>
  <c r="X23" i="37"/>
  <c r="I154" i="37" s="1" a="1"/>
  <c r="I154" i="37" s="1"/>
  <c r="K182" i="40" s="1" a="1"/>
  <c r="K182" i="40" s="1"/>
  <c r="X14" i="37"/>
  <c r="X52" i="37"/>
  <c r="X8" i="37"/>
  <c r="X31" i="37"/>
  <c r="X6" i="37"/>
  <c r="X39" i="37"/>
  <c r="X43" i="37"/>
  <c r="X32" i="37"/>
  <c r="X29" i="37"/>
  <c r="X11" i="37"/>
  <c r="X16" i="37"/>
  <c r="X27" i="37"/>
  <c r="X68" i="37"/>
  <c r="X25" i="37"/>
  <c r="X64" i="37"/>
  <c r="X36" i="37"/>
  <c r="X17" i="37"/>
  <c r="X37" i="37"/>
  <c r="X18" i="37"/>
  <c r="I149" i="37" s="1" a="1"/>
  <c r="I149" i="37" s="1"/>
  <c r="X46" i="37"/>
  <c r="X58" i="37"/>
  <c r="X66" i="37"/>
  <c r="I197" i="37" s="1" a="1"/>
  <c r="I197" i="37" s="1"/>
  <c r="J594" i="40" s="1" a="1"/>
  <c r="J594" i="40" s="1"/>
  <c r="X57" i="37"/>
  <c r="I188" i="37" s="1" a="1"/>
  <c r="I188" i="37" s="1"/>
  <c r="J504" i="40" s="1" a="1"/>
  <c r="J504" i="40" s="1"/>
  <c r="X15" i="37"/>
  <c r="X62" i="37"/>
  <c r="X28" i="37"/>
  <c r="X10" i="37"/>
  <c r="X47" i="37"/>
  <c r="X13" i="37"/>
  <c r="X21" i="37"/>
  <c r="X38" i="37"/>
  <c r="X22" i="37"/>
  <c r="X9" i="37"/>
  <c r="X67" i="37"/>
  <c r="X54" i="37"/>
  <c r="X24" i="37"/>
  <c r="X55" i="37"/>
  <c r="I186" i="37" s="1" a="1"/>
  <c r="I186" i="37" s="1"/>
  <c r="J482" i="40" s="1" a="1"/>
  <c r="J482" i="40" s="1"/>
  <c r="X63" i="37"/>
  <c r="X49" i="37"/>
  <c r="X59" i="37"/>
  <c r="X42" i="37"/>
  <c r="X40" i="37"/>
  <c r="I171" i="37" s="1" a="1"/>
  <c r="I171" i="37" s="1"/>
  <c r="J343" i="40" s="1" a="1"/>
  <c r="J343" i="40" s="1"/>
  <c r="X50" i="37"/>
  <c r="X53" i="37"/>
  <c r="X45" i="37"/>
  <c r="X44" i="37"/>
  <c r="I175" i="37" s="1" a="1"/>
  <c r="I175" i="37" s="1"/>
  <c r="F8" i="44"/>
  <c r="E8" i="44" s="1"/>
  <c r="L69" i="8"/>
  <c r="N1138" i="40" s="1" a="1"/>
  <c r="N1138" i="40" s="1"/>
  <c r="K195" i="40" a="1"/>
  <c r="K195" i="40" s="1"/>
  <c r="M69" i="8"/>
  <c r="F7" i="44"/>
  <c r="E7" i="44" s="1"/>
  <c r="L68" i="8"/>
  <c r="N1391" i="40" s="1" a="1"/>
  <c r="N1391" i="40" s="1"/>
  <c r="M68" i="8"/>
  <c r="K524" i="40" a="1"/>
  <c r="K524" i="40" s="1"/>
  <c r="J527" i="40" a="1"/>
  <c r="J527" i="40" s="1"/>
  <c r="M1138" i="40" l="1" a="1"/>
  <c r="M1138" i="40" s="1"/>
  <c r="S1138" i="40" s="1"/>
  <c r="Y69" i="8"/>
  <c r="M1391" i="40" a="1"/>
  <c r="M1391" i="40" s="1"/>
  <c r="S1391" i="40" s="1"/>
  <c r="Y68" i="8"/>
  <c r="L207" i="37" a="1"/>
  <c r="L207" i="37" s="1"/>
  <c r="K1351" i="40" s="1" a="1"/>
  <c r="K1351" i="40" s="1"/>
  <c r="I143" i="37" a="1"/>
  <c r="I143" i="37" s="1"/>
  <c r="J39" i="40" a="1"/>
  <c r="J39" i="40" s="1"/>
  <c r="K38" i="40" a="1"/>
  <c r="K38" i="40" s="1"/>
  <c r="L211" i="37" a="1"/>
  <c r="L211" i="37" s="1"/>
  <c r="K820" i="40" s="1" a="1"/>
  <c r="K820" i="40" s="1"/>
  <c r="I147" i="37" a="1"/>
  <c r="I147" i="37" s="1"/>
  <c r="K139" i="40" a="1"/>
  <c r="K139" i="40" s="1"/>
  <c r="J141" i="40" a="1"/>
  <c r="J141" i="40" s="1"/>
  <c r="J747" i="40" a="1"/>
  <c r="J747" i="40" s="1"/>
  <c r="K339" i="40" a="1"/>
  <c r="K339" i="40" s="1"/>
  <c r="J183" i="40" a="1"/>
  <c r="J183" i="40" s="1"/>
  <c r="J304" i="40" a="1"/>
  <c r="J304" i="40" s="1"/>
  <c r="L217" i="37" a="1"/>
  <c r="L217" i="37" s="1"/>
  <c r="J873" i="40" s="1" a="1"/>
  <c r="J873" i="40" s="1"/>
  <c r="I153" i="37" a="1"/>
  <c r="I153" i="37" s="1"/>
  <c r="K383" i="40" a="1"/>
  <c r="K383" i="40" s="1"/>
  <c r="J387" i="40" a="1"/>
  <c r="J387" i="40" s="1"/>
  <c r="M225" i="37" a="1"/>
  <c r="M225" i="37" s="1"/>
  <c r="J748" i="40" s="1" a="1"/>
  <c r="J748" i="40" s="1"/>
  <c r="I161" i="37" a="1"/>
  <c r="I161" i="37" s="1"/>
  <c r="K324" i="40" a="1"/>
  <c r="K324" i="40" s="1"/>
  <c r="J592" i="40" a="1"/>
  <c r="J592" i="40" s="1"/>
  <c r="J578" i="40" a="1"/>
  <c r="J578" i="40" s="1"/>
  <c r="K731" i="40" a="1"/>
  <c r="K731" i="40" s="1"/>
  <c r="J732" i="40" a="1"/>
  <c r="J732" i="40" s="1"/>
  <c r="J812" i="40" a="1"/>
  <c r="J812" i="40" s="1"/>
  <c r="K809" i="40" a="1"/>
  <c r="K809" i="40" s="1"/>
  <c r="K710" i="40" a="1"/>
  <c r="K710" i="40" s="1"/>
  <c r="J711" i="40" a="1"/>
  <c r="J711" i="40" s="1"/>
  <c r="J1237" i="40" a="1"/>
  <c r="J1237" i="40" s="1"/>
  <c r="K1234" i="40" a="1"/>
  <c r="K1234" i="40" s="1"/>
  <c r="K1281" i="40" a="1"/>
  <c r="K1281" i="40" s="1"/>
  <c r="J1282" i="40" a="1"/>
  <c r="J1282" i="40" s="1"/>
  <c r="K1085" i="40" a="1"/>
  <c r="K1085" i="40" s="1"/>
  <c r="J1089" i="40" a="1"/>
  <c r="J1089" i="40" s="1"/>
  <c r="K918" i="40" a="1"/>
  <c r="K918" i="40" s="1"/>
  <c r="J919" i="40" a="1"/>
  <c r="J919" i="40" s="1"/>
  <c r="J866" i="40" a="1"/>
  <c r="J866" i="40" s="1"/>
  <c r="K864" i="40" a="1"/>
  <c r="K864" i="40" s="1"/>
  <c r="J902" i="40" a="1"/>
  <c r="J902" i="40" s="1"/>
  <c r="K900" i="40" a="1"/>
  <c r="K900" i="40" s="1"/>
  <c r="J963" i="40" a="1"/>
  <c r="J963" i="40" s="1"/>
  <c r="K962" i="40" a="1"/>
  <c r="K962" i="40" s="1"/>
  <c r="J820" i="40" a="1"/>
  <c r="J820" i="40" s="1"/>
  <c r="K817" i="40" a="1"/>
  <c r="K817" i="40" s="1"/>
  <c r="J903" i="40" a="1"/>
  <c r="J903" i="40" s="1"/>
  <c r="K901" i="40" a="1"/>
  <c r="K901" i="40" s="1"/>
  <c r="K1160" i="40" a="1"/>
  <c r="K1160" i="40" s="1"/>
  <c r="J1162" i="40" a="1"/>
  <c r="J1162" i="40" s="1"/>
  <c r="K984" i="40" a="1"/>
  <c r="K984" i="40" s="1"/>
  <c r="J985" i="40" a="1"/>
  <c r="J985" i="40" s="1"/>
  <c r="K1127" i="40" a="1"/>
  <c r="K1127" i="40" s="1"/>
  <c r="J1128" i="40" a="1"/>
  <c r="J1128" i="40" s="1"/>
  <c r="L1128" i="40" s="1"/>
  <c r="J1359" i="40" a="1"/>
  <c r="J1359" i="40" s="1"/>
  <c r="L1359" i="40" s="1"/>
  <c r="K1358" i="40" a="1"/>
  <c r="K1358" i="40" s="1"/>
  <c r="K869" i="40" a="1"/>
  <c r="K869" i="40" s="1"/>
  <c r="J871" i="40" a="1"/>
  <c r="J871" i="40" s="1"/>
  <c r="K1369" i="40" a="1"/>
  <c r="K1369" i="40" s="1"/>
  <c r="J1370" i="40" a="1"/>
  <c r="J1370" i="40" s="1"/>
  <c r="L1370" i="40" s="1"/>
  <c r="P1392" i="40" a="1"/>
  <c r="P1392" i="40" s="1"/>
  <c r="N1392" i="40" a="1"/>
  <c r="N1392" i="40" s="1"/>
  <c r="Q1392" i="40" a="1"/>
  <c r="Q1392" i="40" s="1"/>
  <c r="U1392" i="40" s="1"/>
  <c r="O1392" i="40" a="1"/>
  <c r="O1392" i="40" s="1"/>
  <c r="T1392" i="40" s="1"/>
  <c r="M1392" i="40" a="1"/>
  <c r="M1392" i="40" s="1"/>
  <c r="S1392" i="40" s="1"/>
  <c r="Q1139" i="40" a="1"/>
  <c r="Q1139" i="40" s="1"/>
  <c r="U1139" i="40" s="1"/>
  <c r="M1139" i="40" a="1"/>
  <c r="M1139" i="40" s="1"/>
  <c r="S1139" i="40" s="1"/>
  <c r="N1139" i="40" a="1"/>
  <c r="N1139" i="40" s="1"/>
  <c r="O1139" i="40" a="1"/>
  <c r="O1139" i="40" s="1"/>
  <c r="T1139" i="40" s="1"/>
  <c r="P1139" i="40" a="1"/>
  <c r="P1139" i="40" s="1"/>
  <c r="J1163" i="40" a="1"/>
  <c r="J1163" i="40" s="1"/>
  <c r="K1161" i="40" a="1"/>
  <c r="K1161" i="40" s="1"/>
  <c r="J1261" i="40" a="1"/>
  <c r="J1261" i="40" s="1"/>
  <c r="K1259" i="40" a="1"/>
  <c r="K1259" i="40" s="1"/>
  <c r="J1229" i="40" a="1"/>
  <c r="J1229" i="40" s="1"/>
  <c r="K1226" i="40" a="1"/>
  <c r="K1226" i="40" s="1"/>
  <c r="K887" i="40" a="1"/>
  <c r="K887" i="40" s="1"/>
  <c r="J888" i="40" a="1"/>
  <c r="J888" i="40" s="1"/>
  <c r="J1051" i="40" a="1"/>
  <c r="J1051" i="40" s="1"/>
  <c r="K1047" i="40" a="1"/>
  <c r="K1047" i="40" s="1"/>
  <c r="K951" i="40" a="1"/>
  <c r="K951" i="40" s="1"/>
  <c r="J952" i="40" a="1"/>
  <c r="J952" i="40" s="1"/>
  <c r="J1052" i="40" a="1"/>
  <c r="J1052" i="40" s="1"/>
  <c r="K1048" i="40" a="1"/>
  <c r="K1048" i="40" s="1"/>
  <c r="K1402" i="40" a="1"/>
  <c r="K1402" i="40" s="1"/>
  <c r="J1403" i="40" a="1"/>
  <c r="J1403" i="40" s="1"/>
  <c r="K995" i="40" a="1"/>
  <c r="K995" i="40" s="1"/>
  <c r="J996" i="40" a="1"/>
  <c r="J996" i="40" s="1"/>
  <c r="J787" i="40" a="1"/>
  <c r="J787" i="40" s="1"/>
  <c r="K786" i="40" a="1"/>
  <c r="K786" i="40" s="1"/>
  <c r="J974" i="40" a="1"/>
  <c r="J974" i="40" s="1"/>
  <c r="K973" i="40" a="1"/>
  <c r="K973" i="40" s="1"/>
  <c r="K775" i="40" a="1"/>
  <c r="K775" i="40" s="1"/>
  <c r="J776" i="40" a="1"/>
  <c r="J776" i="40" s="1"/>
  <c r="J710" i="40" a="1"/>
  <c r="J710" i="40" s="1"/>
  <c r="K709" i="40" a="1"/>
  <c r="K709" i="40" s="1"/>
  <c r="K1295" i="40" a="1"/>
  <c r="K1295" i="40" s="1"/>
  <c r="J1298" i="40" a="1"/>
  <c r="J1298" i="40" s="1"/>
  <c r="K797" i="40" a="1"/>
  <c r="K797" i="40" s="1"/>
  <c r="J798" i="40" a="1"/>
  <c r="J798" i="40" s="1"/>
  <c r="J1262" i="40" a="1"/>
  <c r="J1262" i="40" s="1"/>
  <c r="K1260" i="40" a="1"/>
  <c r="K1260" i="40" s="1"/>
  <c r="J1230" i="40" a="1"/>
  <c r="J1230" i="40" s="1"/>
  <c r="K1227" i="40" a="1"/>
  <c r="K1227" i="40" s="1"/>
  <c r="K1205" i="40" a="1"/>
  <c r="K1205" i="40" s="1"/>
  <c r="J1207" i="40" a="1"/>
  <c r="J1207" i="40" s="1"/>
  <c r="K1149" i="40" a="1"/>
  <c r="K1149" i="40" s="1"/>
  <c r="J1150" i="40" a="1"/>
  <c r="J1150" i="40" s="1"/>
  <c r="J1186" i="40" a="1"/>
  <c r="J1186" i="40" s="1"/>
  <c r="K1184" i="40" a="1"/>
  <c r="K1184" i="40" s="1"/>
  <c r="J1029" i="40" a="1"/>
  <c r="J1029" i="40" s="1"/>
  <c r="K1028" i="40" a="1"/>
  <c r="K1028" i="40" s="1"/>
  <c r="J765" i="40" a="1"/>
  <c r="J765" i="40" s="1"/>
  <c r="K764" i="40" a="1"/>
  <c r="K764" i="40" s="1"/>
  <c r="K1086" i="40" a="1"/>
  <c r="K1086" i="40" s="1"/>
  <c r="J1090" i="40" a="1"/>
  <c r="J1090" i="40" s="1"/>
  <c r="J1009" i="40" a="1"/>
  <c r="J1009" i="40" s="1"/>
  <c r="K1008" i="40" a="1"/>
  <c r="K1008" i="40" s="1"/>
  <c r="K847" i="40" a="1"/>
  <c r="K847" i="40" s="1"/>
  <c r="J849" i="40" a="1"/>
  <c r="J849" i="40" s="1"/>
  <c r="K1206" i="40" a="1"/>
  <c r="K1206" i="40" s="1"/>
  <c r="J1208" i="40" a="1"/>
  <c r="J1208" i="40" s="1"/>
  <c r="K753" i="40" a="1"/>
  <c r="K753" i="40" s="1"/>
  <c r="J754" i="40" a="1"/>
  <c r="J754" i="40" s="1"/>
  <c r="J1053" i="40" a="1"/>
  <c r="J1053" i="40" s="1"/>
  <c r="K1049" i="40" a="1"/>
  <c r="K1049" i="40" s="1"/>
  <c r="J721" i="40" a="1"/>
  <c r="J721" i="40" s="1"/>
  <c r="K720" i="40" a="1"/>
  <c r="K720" i="40" s="1"/>
  <c r="K1084" i="40" a="1"/>
  <c r="K1084" i="40" s="1"/>
  <c r="J1088" i="40" a="1"/>
  <c r="J1088" i="40" s="1"/>
  <c r="J1018" i="40" a="1"/>
  <c r="J1018" i="40" s="1"/>
  <c r="K1017" i="40" a="1"/>
  <c r="K1017" i="40" s="1"/>
  <c r="J1095" i="40" a="1"/>
  <c r="J1095" i="40" s="1"/>
  <c r="K1091" i="40" a="1"/>
  <c r="K1091" i="40" s="1"/>
  <c r="J813" i="40" a="1"/>
  <c r="J813" i="40" s="1"/>
  <c r="K810" i="40" a="1"/>
  <c r="K810" i="40" s="1"/>
  <c r="K1350" i="40" a="1"/>
  <c r="K1350" i="40" s="1"/>
  <c r="J1351" i="40" a="1"/>
  <c r="J1351" i="40" s="1"/>
  <c r="K1293" i="40" a="1"/>
  <c r="K1293" i="40" s="1"/>
  <c r="J1296" i="40" a="1"/>
  <c r="J1296" i="40" s="1"/>
  <c r="K1183" i="40" a="1"/>
  <c r="K1183" i="40" s="1"/>
  <c r="J1185" i="40" a="1"/>
  <c r="J1185" i="40" s="1"/>
  <c r="K502" i="40" a="1"/>
  <c r="K502" i="40" s="1"/>
  <c r="K247" i="40" a="1"/>
  <c r="K247" i="40" s="1"/>
  <c r="J94" i="40" a="1"/>
  <c r="J94" i="40" s="1"/>
  <c r="K591" i="40" a="1"/>
  <c r="K591" i="40" s="1"/>
  <c r="I150" i="37" a="1"/>
  <c r="I150" i="37" s="1"/>
  <c r="K140" i="40" s="1" a="1"/>
  <c r="K140" i="40" s="1"/>
  <c r="I214" i="37" a="1"/>
  <c r="I214" i="37" s="1"/>
  <c r="I172" i="37" a="1"/>
  <c r="I172" i="37" s="1"/>
  <c r="K342" i="40" s="1" a="1"/>
  <c r="K342" i="40" s="1"/>
  <c r="I236" i="37" a="1"/>
  <c r="I236" i="37" s="1"/>
  <c r="I144" i="37" a="1"/>
  <c r="I144" i="37" s="1"/>
  <c r="J95" i="40" s="1" a="1"/>
  <c r="J95" i="40" s="1"/>
  <c r="I208" i="37" a="1"/>
  <c r="I208" i="37" s="1"/>
  <c r="J385" i="40" a="1"/>
  <c r="J385" i="40" s="1"/>
  <c r="I168" i="37" a="1"/>
  <c r="I168" i="37" s="1"/>
  <c r="K248" i="40" s="1" a="1"/>
  <c r="K248" i="40" s="1"/>
  <c r="I232" i="37" a="1"/>
  <c r="I232" i="37" s="1"/>
  <c r="K235" i="37" a="1"/>
  <c r="K235" i="37" s="1"/>
  <c r="I195" i="37" a="1"/>
  <c r="I195" i="37" s="1"/>
  <c r="J595" i="40" s="1" a="1"/>
  <c r="J595" i="40" s="1"/>
  <c r="I259" i="37" a="1"/>
  <c r="I259" i="37" s="1"/>
  <c r="I166" i="37" a="1"/>
  <c r="I166" i="37" s="1"/>
  <c r="I230" i="37" a="1"/>
  <c r="I230" i="37" s="1"/>
  <c r="I151" i="37" a="1"/>
  <c r="I151" i="37" s="1"/>
  <c r="I215" i="37" a="1"/>
  <c r="I215" i="37" s="1"/>
  <c r="K174" i="37" a="1"/>
  <c r="K174" i="37" s="1"/>
  <c r="J353" i="40" s="1" a="1"/>
  <c r="J353" i="40" s="1"/>
  <c r="K238" i="37" a="1"/>
  <c r="K238" i="37" s="1"/>
  <c r="I194" i="37" a="1"/>
  <c r="I194" i="37" s="1"/>
  <c r="J579" i="40" s="1" a="1"/>
  <c r="J579" i="40" s="1"/>
  <c r="I258" i="37" a="1"/>
  <c r="I258" i="37" s="1"/>
  <c r="I148" i="37" a="1"/>
  <c r="I148" i="37" s="1"/>
  <c r="I212" i="37" a="1"/>
  <c r="I212" i="37" s="1"/>
  <c r="I179" i="37" a="1"/>
  <c r="I179" i="37" s="1"/>
  <c r="I243" i="37" a="1"/>
  <c r="I243" i="37" s="1"/>
  <c r="I181" i="37" a="1"/>
  <c r="I181" i="37" s="1"/>
  <c r="K699" i="40" s="1" a="1"/>
  <c r="K699" i="40" s="1"/>
  <c r="I245" i="37" a="1"/>
  <c r="I245" i="37" s="1"/>
  <c r="J250" i="37" a="1"/>
  <c r="J250" i="37" s="1"/>
  <c r="J261" i="37" a="1"/>
  <c r="J261" i="37" s="1"/>
  <c r="I167" i="37" a="1"/>
  <c r="I167" i="37" s="1"/>
  <c r="K314" i="40" s="1" a="1"/>
  <c r="K314" i="40" s="1"/>
  <c r="I231" i="37" a="1"/>
  <c r="I231" i="37" s="1"/>
  <c r="I160" i="37" a="1"/>
  <c r="I160" i="37" s="1"/>
  <c r="I224" i="37" a="1"/>
  <c r="I224" i="37" s="1"/>
  <c r="K280" i="40" a="1"/>
  <c r="K280" i="40" s="1"/>
  <c r="I163" i="37" a="1"/>
  <c r="I163" i="37" s="1"/>
  <c r="I227" i="37" a="1"/>
  <c r="I227" i="37" s="1"/>
  <c r="I185" i="37" a="1"/>
  <c r="I185" i="37" s="1"/>
  <c r="K481" i="40" s="1" a="1"/>
  <c r="K481" i="40" s="1"/>
  <c r="I249" i="37" a="1"/>
  <c r="I249" i="37" s="1"/>
  <c r="I178" i="37" a="1"/>
  <c r="I178" i="37" s="1"/>
  <c r="K386" i="40" s="1" a="1"/>
  <c r="K386" i="40" s="1"/>
  <c r="I242" i="37" a="1"/>
  <c r="I242" i="37" s="1"/>
  <c r="I189" i="37" a="1"/>
  <c r="I189" i="37" s="1"/>
  <c r="K525" i="40" s="1" a="1"/>
  <c r="K525" i="40" s="1"/>
  <c r="I253" i="37" a="1"/>
  <c r="I253" i="37" s="1"/>
  <c r="J259" i="40" a="1"/>
  <c r="J259" i="40" s="1"/>
  <c r="K173" i="37" a="1"/>
  <c r="K173" i="37" s="1"/>
  <c r="J352" i="40" s="1" a="1"/>
  <c r="J352" i="40" s="1"/>
  <c r="K237" i="37" a="1"/>
  <c r="K237" i="37" s="1"/>
  <c r="I198" i="37" a="1"/>
  <c r="I198" i="37" s="1"/>
  <c r="J623" i="40" s="1" a="1"/>
  <c r="J623" i="40" s="1"/>
  <c r="I262" i="37" a="1"/>
  <c r="I262" i="37" s="1"/>
  <c r="I141" i="37" a="1"/>
  <c r="I141" i="37" s="1"/>
  <c r="K17" i="40" s="1" a="1"/>
  <c r="K17" i="40" s="1"/>
  <c r="I205" i="37" a="1"/>
  <c r="I205" i="37" s="1"/>
  <c r="I177" i="37" a="1"/>
  <c r="I177" i="37" s="1"/>
  <c r="K385" i="40" s="1" a="1"/>
  <c r="K385" i="40" s="1"/>
  <c r="I241" i="37" a="1"/>
  <c r="I241" i="37" s="1"/>
  <c r="K156" i="37" a="1"/>
  <c r="K156" i="37" s="1"/>
  <c r="K199" i="40" s="1" a="1"/>
  <c r="K199" i="40" s="1"/>
  <c r="K220" i="37" a="1"/>
  <c r="K220" i="37" s="1"/>
  <c r="I170" i="37" a="1"/>
  <c r="I170" i="37" s="1"/>
  <c r="I234" i="37" a="1"/>
  <c r="I234" i="37" s="1"/>
  <c r="I192" i="37" a="1"/>
  <c r="I192" i="37" s="1"/>
  <c r="J559" i="40" s="1" a="1"/>
  <c r="J559" i="40" s="1"/>
  <c r="I256" i="37" a="1"/>
  <c r="I256" i="37" s="1"/>
  <c r="I182" i="37" a="1"/>
  <c r="I182" i="37" s="1"/>
  <c r="J436" i="40" s="1" a="1"/>
  <c r="J436" i="40" s="1"/>
  <c r="I246" i="37" a="1"/>
  <c r="I246" i="37" s="1"/>
  <c r="I196" i="37" a="1"/>
  <c r="I196" i="37" s="1"/>
  <c r="J596" i="40" s="1" a="1"/>
  <c r="J596" i="40" s="1"/>
  <c r="I260" i="37" a="1"/>
  <c r="I260" i="37" s="1"/>
  <c r="I169" i="37" a="1"/>
  <c r="I169" i="37" s="1"/>
  <c r="I233" i="37" a="1"/>
  <c r="I233" i="37" s="1"/>
  <c r="I164" i="37" a="1"/>
  <c r="I164" i="37" s="1"/>
  <c r="K292" i="40" s="1" a="1"/>
  <c r="K292" i="40" s="1"/>
  <c r="I228" i="37" a="1"/>
  <c r="I228" i="37" s="1"/>
  <c r="I138" i="37" a="1"/>
  <c r="I138" i="37" s="1"/>
  <c r="I202" i="37" a="1"/>
  <c r="I202" i="37" s="1"/>
  <c r="K229" i="37" a="1"/>
  <c r="K229" i="37" s="1"/>
  <c r="K191" i="37" a="1"/>
  <c r="K191" i="37" s="1"/>
  <c r="K255" i="37" a="1"/>
  <c r="K255" i="37" s="1"/>
  <c r="I176" i="37" a="1"/>
  <c r="I176" i="37" s="1"/>
  <c r="I240" i="37" a="1"/>
  <c r="I240" i="37" s="1"/>
  <c r="I146" i="37" a="1"/>
  <c r="I146" i="37" s="1"/>
  <c r="I210" i="37" a="1"/>
  <c r="I210" i="37" s="1"/>
  <c r="I162" i="37" a="1"/>
  <c r="I162" i="37" s="1"/>
  <c r="J282" i="40" s="1" a="1"/>
  <c r="J282" i="40" s="1"/>
  <c r="I226" i="37" a="1"/>
  <c r="I226" i="37" s="1"/>
  <c r="I184" i="37" a="1"/>
  <c r="I184" i="37" s="1"/>
  <c r="I248" i="37" a="1"/>
  <c r="I248" i="37" s="1"/>
  <c r="I152" i="37" a="1"/>
  <c r="I152" i="37" s="1"/>
  <c r="I216" i="37" a="1"/>
  <c r="I216" i="37" s="1"/>
  <c r="J252" i="37" a="1"/>
  <c r="J252" i="37" s="1"/>
  <c r="I142" i="37" a="1"/>
  <c r="I142" i="37" s="1"/>
  <c r="I206" i="37" a="1"/>
  <c r="I206" i="37" s="1"/>
  <c r="I139" i="37" a="1"/>
  <c r="I139" i="37" s="1"/>
  <c r="J62" i="40" s="1" a="1"/>
  <c r="J62" i="40" s="1"/>
  <c r="I203" i="37" a="1"/>
  <c r="I203" i="37" s="1"/>
  <c r="K218" i="37" a="1"/>
  <c r="K218" i="37" s="1"/>
  <c r="K155" i="37" a="1"/>
  <c r="K155" i="37" s="1"/>
  <c r="K219" i="37" a="1"/>
  <c r="K219" i="37" s="1"/>
  <c r="I183" i="37" a="1"/>
  <c r="I183" i="37" s="1"/>
  <c r="K458" i="40" s="1" a="1"/>
  <c r="K458" i="40" s="1"/>
  <c r="I247" i="37" a="1"/>
  <c r="I247" i="37" s="1"/>
  <c r="K239" i="37" a="1"/>
  <c r="K239" i="37" s="1"/>
  <c r="I190" i="37" a="1"/>
  <c r="I190" i="37" s="1"/>
  <c r="J529" i="40" s="1" a="1"/>
  <c r="J529" i="40" s="1"/>
  <c r="I254" i="37" a="1"/>
  <c r="I254" i="37" s="1"/>
  <c r="I140" i="37" a="1"/>
  <c r="I140" i="37" s="1"/>
  <c r="K72" i="40" s="1" a="1"/>
  <c r="K72" i="40" s="1"/>
  <c r="I204" i="37" a="1"/>
  <c r="I204" i="37" s="1"/>
  <c r="I159" i="37" a="1"/>
  <c r="I159" i="37" s="1"/>
  <c r="I223" i="37" a="1"/>
  <c r="I223" i="37" s="1"/>
  <c r="L213" i="37" a="1"/>
  <c r="L213" i="37" s="1"/>
  <c r="I199" i="37" a="1"/>
  <c r="I199" i="37" s="1"/>
  <c r="I263" i="37" a="1"/>
  <c r="I263" i="37" s="1"/>
  <c r="I180" i="37" a="1"/>
  <c r="I180" i="37" s="1"/>
  <c r="K424" i="40" s="1" a="1"/>
  <c r="K424" i="40" s="1"/>
  <c r="I244" i="37" a="1"/>
  <c r="I244" i="37" s="1"/>
  <c r="I193" i="37" a="1"/>
  <c r="I193" i="37" s="1"/>
  <c r="J560" i="40" s="1" a="1"/>
  <c r="J560" i="40" s="1"/>
  <c r="I257" i="37" a="1"/>
  <c r="I257" i="37" s="1"/>
  <c r="I158" i="37" a="1"/>
  <c r="I158" i="37" s="1"/>
  <c r="I222" i="37" a="1"/>
  <c r="I222" i="37" s="1"/>
  <c r="I137" i="37" a="1"/>
  <c r="I137" i="37" s="1"/>
  <c r="I201" i="37" a="1"/>
  <c r="I201" i="37" s="1"/>
  <c r="I145" i="37" a="1"/>
  <c r="I145" i="37" s="1"/>
  <c r="J111" i="40" s="1" a="1"/>
  <c r="J111" i="40" s="1"/>
  <c r="I209" i="37" a="1"/>
  <c r="I209" i="37" s="1"/>
  <c r="I157" i="37" a="1"/>
  <c r="I157" i="37" s="1"/>
  <c r="I221" i="37" a="1"/>
  <c r="I221" i="37" s="1"/>
  <c r="I187" i="37" a="1"/>
  <c r="I187" i="37" s="1"/>
  <c r="I251" i="37" a="1"/>
  <c r="I251" i="37" s="1"/>
  <c r="I136" i="37" a="1"/>
  <c r="I136" i="37" s="1"/>
  <c r="J7" i="40" s="1" a="1"/>
  <c r="J7" i="40" s="1"/>
  <c r="J140" i="40" a="1"/>
  <c r="J140" i="40" s="1"/>
  <c r="K236" i="40" a="1"/>
  <c r="K236" i="40" s="1"/>
  <c r="J622" i="40" a="1"/>
  <c r="J622" i="40" s="1"/>
  <c r="K5" i="40" a="1"/>
  <c r="K5" i="40" s="1"/>
  <c r="Y5" i="37"/>
  <c r="J200" i="37" s="1" a="1"/>
  <c r="J200" i="37" s="1"/>
  <c r="Y59" i="37"/>
  <c r="Y9" i="37"/>
  <c r="Y46" i="37"/>
  <c r="Y25" i="37"/>
  <c r="L220" i="37" s="1" a="1"/>
  <c r="L220" i="37" s="1"/>
  <c r="Y41" i="37"/>
  <c r="Y22" i="37"/>
  <c r="Y53" i="37"/>
  <c r="Y62" i="37"/>
  <c r="J633" i="40" a="1"/>
  <c r="J633" i="40" s="1"/>
  <c r="Y19" i="37"/>
  <c r="Y48" i="37"/>
  <c r="Y45" i="37"/>
  <c r="Y55" i="37"/>
  <c r="J186" i="37" s="1" a="1"/>
  <c r="J186" i="37" s="1"/>
  <c r="J484" i="40" s="1" a="1"/>
  <c r="J484" i="40" s="1"/>
  <c r="Y43" i="37"/>
  <c r="L238" i="37" s="1" a="1"/>
  <c r="L238" i="37" s="1"/>
  <c r="Y15" i="37"/>
  <c r="Y57" i="37"/>
  <c r="J188" i="37" s="1" a="1"/>
  <c r="J188" i="37" s="1"/>
  <c r="K504" i="40" s="1" a="1"/>
  <c r="K504" i="40" s="1"/>
  <c r="Y17" i="37"/>
  <c r="J226" i="40" a="1"/>
  <c r="J226" i="40" s="1"/>
  <c r="Y6" i="37"/>
  <c r="Y7" i="37"/>
  <c r="Y30" i="37"/>
  <c r="Y20" i="37"/>
  <c r="Y66" i="37"/>
  <c r="J197" i="37" s="1" a="1"/>
  <c r="J197" i="37" s="1"/>
  <c r="J597" i="40" s="1" a="1"/>
  <c r="J597" i="40" s="1"/>
  <c r="Y36" i="37"/>
  <c r="Y16" i="37"/>
  <c r="Y31" i="37"/>
  <c r="Y42" i="37"/>
  <c r="L237" i="37" s="1" a="1"/>
  <c r="L237" i="37" s="1"/>
  <c r="Y47" i="37"/>
  <c r="Y11" i="37"/>
  <c r="Y8" i="37"/>
  <c r="Y12" i="37"/>
  <c r="Y60" i="37"/>
  <c r="L255" i="37" s="1" a="1"/>
  <c r="L255" i="37" s="1"/>
  <c r="Y51" i="37"/>
  <c r="Y65" i="37"/>
  <c r="K60" i="40" a="1"/>
  <c r="K60" i="40" s="1"/>
  <c r="K480" i="40" a="1"/>
  <c r="K480" i="40" s="1"/>
  <c r="K479" i="40" a="1"/>
  <c r="K479" i="40" s="1"/>
  <c r="J342" i="40" a="1"/>
  <c r="J342" i="40" s="1"/>
  <c r="J446" i="40" a="1"/>
  <c r="J446" i="40" s="1"/>
  <c r="J314" i="40" a="1"/>
  <c r="J314" i="40" s="1"/>
  <c r="J198" i="40" a="1"/>
  <c r="J198" i="40" s="1"/>
  <c r="J348" i="40" a="1"/>
  <c r="J348" i="40" s="1"/>
  <c r="J72" i="40" a="1"/>
  <c r="J72" i="40" s="1"/>
  <c r="K423" i="40" a="1"/>
  <c r="K423" i="40" s="1"/>
  <c r="J270" i="40" a="1"/>
  <c r="J270" i="40" s="1"/>
  <c r="J459" i="40" a="1"/>
  <c r="J459" i="40" s="1"/>
  <c r="J558" i="40" a="1"/>
  <c r="J558" i="40" s="1"/>
  <c r="K106" i="40" a="1"/>
  <c r="K106" i="40" s="1"/>
  <c r="J108" i="40" a="1"/>
  <c r="J108" i="40" s="1"/>
  <c r="J384" i="40" a="1"/>
  <c r="J384" i="40" s="1"/>
  <c r="K522" i="40" a="1"/>
  <c r="K522" i="40" s="1"/>
  <c r="J83" i="40" a="1"/>
  <c r="J83" i="40" s="1"/>
  <c r="J526" i="40" a="1"/>
  <c r="J526" i="40" s="1"/>
  <c r="K698" i="40" a="1"/>
  <c r="K698" i="40" s="1"/>
  <c r="J292" i="40" a="1"/>
  <c r="J292" i="40" s="1"/>
  <c r="J386" i="40" a="1"/>
  <c r="J386" i="40" s="1"/>
  <c r="J162" i="40" a="1"/>
  <c r="J162" i="40" s="1"/>
  <c r="Y63" i="37"/>
  <c r="Y37" i="37"/>
  <c r="Y27" i="37"/>
  <c r="Y61" i="37"/>
  <c r="Y33" i="37"/>
  <c r="J199" i="40" a="1"/>
  <c r="J199" i="40" s="1"/>
  <c r="K687" i="40" a="1"/>
  <c r="K687" i="40" s="1"/>
  <c r="J688" i="40" a="1"/>
  <c r="J688" i="40" s="1"/>
  <c r="Y34" i="37"/>
  <c r="J165" i="37" s="1" a="1"/>
  <c r="J165" i="37" s="1"/>
  <c r="J305" i="40" s="1" a="1"/>
  <c r="J305" i="40" s="1"/>
  <c r="J17" i="40" a="1"/>
  <c r="J17" i="40" s="1"/>
  <c r="Y39" i="37"/>
  <c r="Y44" i="37"/>
  <c r="J175" i="37" s="1" a="1"/>
  <c r="J175" i="37" s="1"/>
  <c r="J391" i="40" s="1" a="1"/>
  <c r="J391" i="40" s="1"/>
  <c r="Y64" i="37"/>
  <c r="K345" i="40" a="1"/>
  <c r="K345" i="40" s="1"/>
  <c r="Y40" i="37"/>
  <c r="J171" i="37" s="1" a="1"/>
  <c r="J171" i="37" s="1"/>
  <c r="K343" i="40" s="1" a="1"/>
  <c r="K343" i="40" s="1"/>
  <c r="Y10" i="37"/>
  <c r="Y24" i="37"/>
  <c r="Y38" i="37"/>
  <c r="Y28" i="37"/>
  <c r="J435" i="40" a="1"/>
  <c r="J435" i="40" s="1"/>
  <c r="Y54" i="37"/>
  <c r="Y21" i="37"/>
  <c r="Y58" i="37"/>
  <c r="Y52" i="37"/>
  <c r="Y26" i="37"/>
  <c r="Y35" i="37"/>
  <c r="Y29" i="37"/>
  <c r="Y23" i="37"/>
  <c r="J154" i="37" s="1" a="1"/>
  <c r="J154" i="37" s="1"/>
  <c r="J184" i="40" s="1" a="1"/>
  <c r="J184" i="40" s="1"/>
  <c r="Y14" i="37"/>
  <c r="Y67" i="37"/>
  <c r="Y13" i="37"/>
  <c r="Y18" i="37"/>
  <c r="J149" i="37" s="1" a="1"/>
  <c r="J149" i="37" s="1"/>
  <c r="Y68" i="37"/>
  <c r="Y32" i="37"/>
  <c r="Y50" i="37"/>
  <c r="Y49" i="37"/>
  <c r="Y56" i="37"/>
  <c r="F23" i="44"/>
  <c r="K456" i="40" a="1"/>
  <c r="K456" i="40" s="1"/>
  <c r="J50" i="40" a="1"/>
  <c r="J50" i="40" s="1"/>
  <c r="K49" i="40" a="1"/>
  <c r="K49" i="40" s="1"/>
  <c r="J644" i="40" a="1"/>
  <c r="J644" i="40" s="1"/>
  <c r="K643" i="40" a="1"/>
  <c r="K643" i="40" s="1"/>
  <c r="K665" i="40" a="1"/>
  <c r="K665" i="40" s="1"/>
  <c r="J28" i="40" a="1"/>
  <c r="J28" i="40" s="1"/>
  <c r="J593" i="40" a="1"/>
  <c r="J593" i="40" s="1"/>
  <c r="K555" i="40" a="1"/>
  <c r="K555" i="40" s="1"/>
  <c r="J503" i="40" a="1"/>
  <c r="J503" i="40" s="1"/>
  <c r="K501" i="40" a="1"/>
  <c r="K501" i="40" s="1"/>
  <c r="K654" i="40" a="1"/>
  <c r="K654" i="40" s="1"/>
  <c r="J655" i="40" a="1"/>
  <c r="J655" i="40" s="1"/>
  <c r="L655" i="40" s="1"/>
  <c r="K676" i="40" a="1"/>
  <c r="K676" i="40" s="1"/>
  <c r="J677" i="40" a="1"/>
  <c r="J677" i="40" s="1"/>
  <c r="L677" i="40" s="1"/>
  <c r="J215" i="40" a="1"/>
  <c r="J215" i="40" s="1"/>
  <c r="K214" i="40" a="1"/>
  <c r="K214" i="40" s="1"/>
  <c r="J530" i="40" a="1"/>
  <c r="J530" i="40" s="1"/>
  <c r="K527" i="40" a="1"/>
  <c r="K527" i="40" s="1"/>
  <c r="M688" i="40" l="1" a="1"/>
  <c r="M688" i="40" s="1"/>
  <c r="S688" i="40" s="1"/>
  <c r="L688" i="40"/>
  <c r="P436" i="40" a="1"/>
  <c r="P436" i="40" s="1"/>
  <c r="L436" i="40"/>
  <c r="P435" i="40" a="1"/>
  <c r="P435" i="40" s="1"/>
  <c r="L435" i="40"/>
  <c r="E23" i="44"/>
  <c r="F24" i="44" s="1"/>
  <c r="J1352" i="40" a="1"/>
  <c r="J1352" i="40" s="1"/>
  <c r="K747" i="40" a="1"/>
  <c r="K747" i="40" s="1"/>
  <c r="K871" i="40" a="1"/>
  <c r="K871" i="40" s="1"/>
  <c r="J823" i="40" a="1"/>
  <c r="J823" i="40" s="1"/>
  <c r="K304" i="40" a="1"/>
  <c r="K304" i="40" s="1"/>
  <c r="K387" i="40" a="1"/>
  <c r="K387" i="40" s="1"/>
  <c r="K39" i="40" a="1"/>
  <c r="K39" i="40" s="1"/>
  <c r="J40" i="40" a="1"/>
  <c r="J40" i="40" s="1"/>
  <c r="K107" i="40" a="1"/>
  <c r="K107" i="40" s="1"/>
  <c r="J110" i="40" a="1"/>
  <c r="J110" i="40" s="1"/>
  <c r="K183" i="40" a="1"/>
  <c r="K183" i="40" s="1"/>
  <c r="M207" i="37" a="1"/>
  <c r="M207" i="37" s="1"/>
  <c r="J1353" i="40" s="1" a="1"/>
  <c r="J1353" i="40" s="1"/>
  <c r="J143" i="37" a="1"/>
  <c r="J143" i="37" s="1"/>
  <c r="J646" i="40" s="1" a="1"/>
  <c r="J646" i="40" s="1"/>
  <c r="N225" i="37" a="1"/>
  <c r="N225" i="37" s="1"/>
  <c r="J749" i="40" s="1" a="1"/>
  <c r="J749" i="40" s="1"/>
  <c r="J161" i="37" a="1"/>
  <c r="J161" i="37" s="1"/>
  <c r="M217" i="37" a="1"/>
  <c r="M217" i="37" s="1"/>
  <c r="K873" i="40" s="1" a="1"/>
  <c r="K873" i="40" s="1"/>
  <c r="J153" i="37" a="1"/>
  <c r="J153" i="37" s="1"/>
  <c r="J347" i="40" a="1"/>
  <c r="J347" i="40" s="1"/>
  <c r="J163" i="40" a="1"/>
  <c r="J163" i="40" s="1"/>
  <c r="K161" i="40" a="1"/>
  <c r="K161" i="40" s="1"/>
  <c r="M211" i="37" a="1"/>
  <c r="M211" i="37" s="1"/>
  <c r="K823" i="40" s="1" a="1"/>
  <c r="K823" i="40" s="1"/>
  <c r="J147" i="37" a="1"/>
  <c r="J147" i="37" s="1"/>
  <c r="K141" i="40" a="1"/>
  <c r="K141" i="40" s="1"/>
  <c r="J143" i="40" a="1"/>
  <c r="J143" i="40" s="1"/>
  <c r="K812" i="40" a="1"/>
  <c r="K812" i="40" s="1"/>
  <c r="J815" i="40" a="1"/>
  <c r="J815" i="40" s="1"/>
  <c r="J777" i="40" a="1"/>
  <c r="J777" i="40" s="1"/>
  <c r="K776" i="40" a="1"/>
  <c r="K776" i="40" s="1"/>
  <c r="K1229" i="40" a="1"/>
  <c r="K1229" i="40" s="1"/>
  <c r="J1232" i="40" a="1"/>
  <c r="J1232" i="40" s="1"/>
  <c r="K1046" i="40" a="1"/>
  <c r="K1046" i="40" s="1"/>
  <c r="J1050" i="40" a="1"/>
  <c r="J1050" i="40" s="1"/>
  <c r="J799" i="40" a="1"/>
  <c r="J799" i="40" s="1"/>
  <c r="K798" i="40" a="1"/>
  <c r="K798" i="40" s="1"/>
  <c r="J1060" i="40" a="1"/>
  <c r="J1060" i="40" s="1"/>
  <c r="K1056" i="40" a="1"/>
  <c r="K1056" i="40" s="1"/>
  <c r="K1240" i="40" a="1"/>
  <c r="K1240" i="40" s="1"/>
  <c r="J1243" i="40" a="1"/>
  <c r="J1243" i="40" s="1"/>
  <c r="K905" i="40" a="1"/>
  <c r="K905" i="40" s="1"/>
  <c r="J907" i="40" a="1"/>
  <c r="J907" i="40" s="1"/>
  <c r="K1150" i="40" a="1"/>
  <c r="K1150" i="40" s="1"/>
  <c r="J1151" i="40" a="1"/>
  <c r="J1151" i="40" s="1"/>
  <c r="J1338" i="40" a="1"/>
  <c r="J1338" i="40" s="1"/>
  <c r="K1337" i="40" a="1"/>
  <c r="K1337" i="40" s="1"/>
  <c r="K1230" i="40" a="1"/>
  <c r="K1230" i="40" s="1"/>
  <c r="J1233" i="40" a="1"/>
  <c r="J1233" i="40" s="1"/>
  <c r="J889" i="40" a="1"/>
  <c r="J889" i="40" s="1"/>
  <c r="K888" i="40" a="1"/>
  <c r="K888" i="40" s="1"/>
  <c r="K866" i="40" a="1"/>
  <c r="K866" i="40" s="1"/>
  <c r="J868" i="40" a="1"/>
  <c r="J868" i="40" s="1"/>
  <c r="K1088" i="40" a="1"/>
  <c r="K1088" i="40" s="1"/>
  <c r="J1092" i="40" a="1"/>
  <c r="J1092" i="40" s="1"/>
  <c r="J997" i="40" a="1"/>
  <c r="J997" i="40" s="1"/>
  <c r="K996" i="40" a="1"/>
  <c r="K996" i="40" s="1"/>
  <c r="K1261" i="40" a="1"/>
  <c r="K1261" i="40" s="1"/>
  <c r="J1263" i="40" a="1"/>
  <c r="J1263" i="40" s="1"/>
  <c r="J722" i="40" a="1"/>
  <c r="J722" i="40" s="1"/>
  <c r="K721" i="40" a="1"/>
  <c r="K721" i="40" s="1"/>
  <c r="J733" i="40" a="1"/>
  <c r="J733" i="40" s="1"/>
  <c r="K732" i="40" a="1"/>
  <c r="K732" i="40" s="1"/>
  <c r="J1404" i="40" a="1"/>
  <c r="J1404" i="40" s="1"/>
  <c r="K1403" i="40" a="1"/>
  <c r="K1403" i="40" s="1"/>
  <c r="K1053" i="40" a="1"/>
  <c r="K1053" i="40" s="1"/>
  <c r="J1057" i="40" a="1"/>
  <c r="J1057" i="40" s="1"/>
  <c r="K1051" i="40" a="1"/>
  <c r="K1051" i="40" s="1"/>
  <c r="J1055" i="40" a="1"/>
  <c r="J1055" i="40" s="1"/>
  <c r="J1094" i="40" a="1"/>
  <c r="J1094" i="40" s="1"/>
  <c r="K1090" i="40" a="1"/>
  <c r="K1090" i="40" s="1"/>
  <c r="J846" i="40" a="1"/>
  <c r="J846" i="40" s="1"/>
  <c r="K844" i="40" a="1"/>
  <c r="K844" i="40" s="1"/>
  <c r="J931" i="40" a="1"/>
  <c r="J931" i="40" s="1"/>
  <c r="K930" i="40" a="1"/>
  <c r="K930" i="40" s="1"/>
  <c r="K849" i="40" a="1"/>
  <c r="K849" i="40" s="1"/>
  <c r="J851" i="40" a="1"/>
  <c r="J851" i="40" s="1"/>
  <c r="J1099" i="40" a="1"/>
  <c r="J1099" i="40" s="1"/>
  <c r="K1095" i="40" a="1"/>
  <c r="K1095" i="40" s="1"/>
  <c r="K765" i="40" a="1"/>
  <c r="K765" i="40" s="1"/>
  <c r="J766" i="40" a="1"/>
  <c r="J766" i="40" s="1"/>
  <c r="J1165" i="40" a="1"/>
  <c r="J1165" i="40" s="1"/>
  <c r="K1163" i="40" a="1"/>
  <c r="K1163" i="40" s="1"/>
  <c r="K1237" i="40" a="1"/>
  <c r="K1237" i="40" s="1"/>
  <c r="J1240" i="40" a="1"/>
  <c r="J1240" i="40" s="1"/>
  <c r="K963" i="40" a="1"/>
  <c r="K963" i="40" s="1"/>
  <c r="J964" i="40" a="1"/>
  <c r="J964" i="40" s="1"/>
  <c r="K1029" i="40" a="1"/>
  <c r="K1029" i="40" s="1"/>
  <c r="J1030" i="40" a="1"/>
  <c r="J1030" i="40" s="1"/>
  <c r="K1326" i="40" a="1"/>
  <c r="K1326" i="40" s="1"/>
  <c r="J1327" i="40" a="1"/>
  <c r="J1327" i="40" s="1"/>
  <c r="K1018" i="40" a="1"/>
  <c r="K1018" i="40" s="1"/>
  <c r="J1019" i="40" a="1"/>
  <c r="J1019" i="40" s="1"/>
  <c r="J1393" i="40" a="1"/>
  <c r="J1393" i="40" s="1"/>
  <c r="L1393" i="40" s="1"/>
  <c r="K1392" i="40" a="1"/>
  <c r="K1392" i="40" s="1"/>
  <c r="R1392" i="40" s="1" a="1"/>
  <c r="R1392" i="40" s="1"/>
  <c r="V1392" i="40" s="1"/>
  <c r="K1381" i="40" a="1"/>
  <c r="K1381" i="40" s="1"/>
  <c r="J1382" i="40" a="1"/>
  <c r="J1382" i="40" s="1"/>
  <c r="L1382" i="40" s="1"/>
  <c r="K952" i="40" a="1"/>
  <c r="K952" i="40" s="1"/>
  <c r="J953" i="40" a="1"/>
  <c r="J953" i="40" s="1"/>
  <c r="J1061" i="40" a="1"/>
  <c r="J1061" i="40" s="1"/>
  <c r="K1057" i="40" a="1"/>
  <c r="K1057" i="40" s="1"/>
  <c r="K1207" i="40" a="1"/>
  <c r="K1207" i="40" s="1"/>
  <c r="J1209" i="40" a="1"/>
  <c r="J1209" i="40" s="1"/>
  <c r="K1185" i="40" a="1"/>
  <c r="K1185" i="40" s="1"/>
  <c r="J1187" i="40" a="1"/>
  <c r="J1187" i="40" s="1"/>
  <c r="J712" i="40" a="1"/>
  <c r="J712" i="40" s="1"/>
  <c r="K711" i="40" a="1"/>
  <c r="K711" i="40" s="1"/>
  <c r="K919" i="40" a="1"/>
  <c r="K919" i="40" s="1"/>
  <c r="J920" i="40" a="1"/>
  <c r="J920" i="40" s="1"/>
  <c r="K1262" i="40" a="1"/>
  <c r="K1262" i="40" s="1"/>
  <c r="J1264" i="40" a="1"/>
  <c r="J1264" i="40" s="1"/>
  <c r="K941" i="40" a="1"/>
  <c r="K941" i="40" s="1"/>
  <c r="J942" i="40" a="1"/>
  <c r="J942" i="40" s="1"/>
  <c r="K1162" i="40" a="1"/>
  <c r="K1162" i="40" s="1"/>
  <c r="J1164" i="40" a="1"/>
  <c r="J1164" i="40" s="1"/>
  <c r="J788" i="40" a="1"/>
  <c r="J788" i="40" s="1"/>
  <c r="K787" i="40" a="1"/>
  <c r="K787" i="40" s="1"/>
  <c r="K985" i="40" a="1"/>
  <c r="K985" i="40" s="1"/>
  <c r="J986" i="40" a="1"/>
  <c r="J986" i="40" s="1"/>
  <c r="J1010" i="40" a="1"/>
  <c r="J1010" i="40" s="1"/>
  <c r="K1009" i="40" a="1"/>
  <c r="K1009" i="40" s="1"/>
  <c r="J1300" i="40" a="1"/>
  <c r="J1300" i="40" s="1"/>
  <c r="K1297" i="40" a="1"/>
  <c r="K1297" i="40" s="1"/>
  <c r="K903" i="40" a="1"/>
  <c r="K903" i="40" s="1"/>
  <c r="J905" i="40" a="1"/>
  <c r="J905" i="40" s="1"/>
  <c r="J1056" i="40" a="1"/>
  <c r="J1056" i="40" s="1"/>
  <c r="K1052" i="40" a="1"/>
  <c r="K1052" i="40" s="1"/>
  <c r="J1301" i="40" a="1"/>
  <c r="J1301" i="40" s="1"/>
  <c r="K1298" i="40" a="1"/>
  <c r="K1298" i="40" s="1"/>
  <c r="K1370" i="40" a="1"/>
  <c r="K1370" i="40" s="1"/>
  <c r="J1371" i="40" a="1"/>
  <c r="J1371" i="40" s="1"/>
  <c r="L1371" i="40" s="1"/>
  <c r="K1359" i="40" a="1"/>
  <c r="K1359" i="40" s="1"/>
  <c r="J1360" i="40" a="1"/>
  <c r="J1360" i="40" s="1"/>
  <c r="L1360" i="40" s="1"/>
  <c r="K974" i="40" a="1"/>
  <c r="K974" i="40" s="1"/>
  <c r="J975" i="40" a="1"/>
  <c r="J975" i="40" s="1"/>
  <c r="J1129" i="40" a="1"/>
  <c r="J1129" i="40" s="1"/>
  <c r="L1129" i="40" s="1"/>
  <c r="K1128" i="40" a="1"/>
  <c r="K1128" i="40" s="1"/>
  <c r="K902" i="40" a="1"/>
  <c r="K902" i="40" s="1"/>
  <c r="J904" i="40" a="1"/>
  <c r="J904" i="40" s="1"/>
  <c r="K1208" i="40" a="1"/>
  <c r="K1208" i="40" s="1"/>
  <c r="J1210" i="40" a="1"/>
  <c r="J1210" i="40" s="1"/>
  <c r="K813" i="40" a="1"/>
  <c r="K813" i="40" s="1"/>
  <c r="J816" i="40" a="1"/>
  <c r="J816" i="40" s="1"/>
  <c r="K754" i="40" a="1"/>
  <c r="K754" i="40" s="1"/>
  <c r="J755" i="40" a="1"/>
  <c r="J755" i="40" s="1"/>
  <c r="J1140" i="40" a="1"/>
  <c r="J1140" i="40" s="1"/>
  <c r="L1140" i="40" s="1"/>
  <c r="K1139" i="40" a="1"/>
  <c r="K1139" i="40" s="1"/>
  <c r="R1139" i="40" s="1" a="1"/>
  <c r="R1139" i="40" s="1"/>
  <c r="V1139" i="40" s="1"/>
  <c r="J1093" i="40" a="1"/>
  <c r="J1093" i="40" s="1"/>
  <c r="K1089" i="40" a="1"/>
  <c r="K1089" i="40" s="1"/>
  <c r="K1186" i="40" a="1"/>
  <c r="K1186" i="40" s="1"/>
  <c r="J1188" i="40" a="1"/>
  <c r="J1188" i="40" s="1"/>
  <c r="K1282" i="40" a="1"/>
  <c r="K1282" i="40" s="1"/>
  <c r="J1283" i="40" a="1"/>
  <c r="J1283" i="40" s="1"/>
  <c r="K1296" i="40" a="1"/>
  <c r="K1296" i="40" s="1"/>
  <c r="J1299" i="40" a="1"/>
  <c r="J1299" i="40" s="1"/>
  <c r="K557" i="40" a="1"/>
  <c r="K557" i="40" s="1"/>
  <c r="K6" i="40" a="1"/>
  <c r="K6" i="40" s="1"/>
  <c r="K578" i="40" a="1"/>
  <c r="K578" i="40" s="1"/>
  <c r="J162" i="37" a="1"/>
  <c r="J162" i="37" s="1"/>
  <c r="K282" i="40" s="1" a="1"/>
  <c r="K282" i="40" s="1"/>
  <c r="J226" i="37" a="1"/>
  <c r="J226" i="37" s="1"/>
  <c r="J187" i="37" a="1"/>
  <c r="J187" i="37" s="1"/>
  <c r="J251" i="37" a="1"/>
  <c r="J251" i="37" s="1"/>
  <c r="J141" i="37" a="1"/>
  <c r="J141" i="37" s="1"/>
  <c r="K18" i="40" s="1" a="1"/>
  <c r="K18" i="40" s="1"/>
  <c r="J205" i="37" a="1"/>
  <c r="J205" i="37" s="1"/>
  <c r="J160" i="37" a="1"/>
  <c r="J160" i="37" s="1"/>
  <c r="K29" i="40" s="1" a="1"/>
  <c r="K29" i="40" s="1"/>
  <c r="J224" i="37" a="1"/>
  <c r="J224" i="37" s="1"/>
  <c r="L229" i="37" a="1"/>
  <c r="L229" i="37" s="1"/>
  <c r="J158" i="37" a="1"/>
  <c r="J158" i="37" s="1"/>
  <c r="J228" i="40" s="1" a="1"/>
  <c r="J228" i="40" s="1"/>
  <c r="J222" i="37" a="1"/>
  <c r="J222" i="37" s="1"/>
  <c r="J137" i="37" a="1"/>
  <c r="J137" i="37" s="1"/>
  <c r="J201" i="37" a="1"/>
  <c r="J201" i="37" s="1"/>
  <c r="J193" i="37" a="1"/>
  <c r="J193" i="37" s="1"/>
  <c r="J257" i="37" a="1"/>
  <c r="J257" i="37" s="1"/>
  <c r="J199" i="37" a="1"/>
  <c r="J199" i="37" s="1"/>
  <c r="J635" i="40" s="1" a="1"/>
  <c r="J635" i="40" s="1"/>
  <c r="J263" i="37" a="1"/>
  <c r="J263" i="37" s="1"/>
  <c r="J139" i="37" a="1"/>
  <c r="J139" i="37" s="1"/>
  <c r="K62" i="40" s="1" a="1"/>
  <c r="K62" i="40" s="1"/>
  <c r="J203" i="37" a="1"/>
  <c r="J203" i="37" s="1"/>
  <c r="J138" i="37" a="1"/>
  <c r="J138" i="37" s="1"/>
  <c r="J202" i="37" a="1"/>
  <c r="J202" i="37" s="1"/>
  <c r="J180" i="37" a="1"/>
  <c r="J180" i="37" s="1"/>
  <c r="K425" i="40" s="1" a="1"/>
  <c r="K425" i="40" s="1"/>
  <c r="J244" i="37" a="1"/>
  <c r="J244" i="37" s="1"/>
  <c r="J144" i="37" a="1"/>
  <c r="J144" i="37" s="1"/>
  <c r="K95" i="40" s="1" a="1"/>
  <c r="K95" i="40" s="1"/>
  <c r="J208" i="37" a="1"/>
  <c r="J208" i="37" s="1"/>
  <c r="J166" i="37" a="1"/>
  <c r="J166" i="37" s="1"/>
  <c r="J230" i="37" a="1"/>
  <c r="J230" i="37" s="1"/>
  <c r="J185" i="37" a="1"/>
  <c r="J185" i="37" s="1"/>
  <c r="J249" i="37" a="1"/>
  <c r="J249" i="37" s="1"/>
  <c r="L235" i="37" a="1"/>
  <c r="L235" i="37" s="1"/>
  <c r="J182" i="37" a="1"/>
  <c r="J182" i="37" s="1"/>
  <c r="J246" i="37" a="1"/>
  <c r="J246" i="37" s="1"/>
  <c r="J178" i="37" a="1"/>
  <c r="J178" i="37" s="1"/>
  <c r="J394" i="40" s="1" a="1"/>
  <c r="J394" i="40" s="1"/>
  <c r="J242" i="37" a="1"/>
  <c r="J242" i="37" s="1"/>
  <c r="J167" i="37" a="1"/>
  <c r="J167" i="37" s="1"/>
  <c r="J316" i="40" s="1" a="1"/>
  <c r="J316" i="40" s="1"/>
  <c r="J231" i="37" a="1"/>
  <c r="J231" i="37" s="1"/>
  <c r="K250" i="37" a="1"/>
  <c r="K250" i="37" s="1"/>
  <c r="J184" i="37" a="1"/>
  <c r="J184" i="37" s="1"/>
  <c r="J248" i="37" a="1"/>
  <c r="J248" i="37" s="1"/>
  <c r="J177" i="37" a="1"/>
  <c r="J177" i="37" s="1"/>
  <c r="J393" i="40" s="1" a="1"/>
  <c r="J393" i="40" s="1"/>
  <c r="J241" i="37" a="1"/>
  <c r="J241" i="37" s="1"/>
  <c r="J146" i="37" a="1"/>
  <c r="J146" i="37" s="1"/>
  <c r="J115" i="40" s="1" a="1"/>
  <c r="J115" i="40" s="1"/>
  <c r="J210" i="37" a="1"/>
  <c r="J210" i="37" s="1"/>
  <c r="J150" i="37" a="1"/>
  <c r="J150" i="37" s="1"/>
  <c r="K142" i="40" s="1" a="1"/>
  <c r="K142" i="40" s="1"/>
  <c r="J214" i="37" a="1"/>
  <c r="J214" i="37" s="1"/>
  <c r="J172" i="37" a="1"/>
  <c r="J172" i="37" s="1"/>
  <c r="J350" i="40" s="1" a="1"/>
  <c r="J350" i="40" s="1"/>
  <c r="J236" i="37" a="1"/>
  <c r="J236" i="37" s="1"/>
  <c r="J190" i="37" a="1"/>
  <c r="J190" i="37" s="1"/>
  <c r="J532" i="40" s="1" a="1"/>
  <c r="J532" i="40" s="1"/>
  <c r="J254" i="37" a="1"/>
  <c r="J254" i="37" s="1"/>
  <c r="M213" i="37" a="1"/>
  <c r="M213" i="37" s="1"/>
  <c r="J152" i="37" a="1"/>
  <c r="J152" i="37" s="1"/>
  <c r="J216" i="37" a="1"/>
  <c r="J216" i="37" s="1"/>
  <c r="J157" i="37" a="1"/>
  <c r="J157" i="37" s="1"/>
  <c r="J221" i="37" a="1"/>
  <c r="J221" i="37" s="1"/>
  <c r="J168" i="37" a="1"/>
  <c r="J168" i="37" s="1"/>
  <c r="K249" i="40" s="1" a="1"/>
  <c r="K249" i="40" s="1"/>
  <c r="J232" i="37" a="1"/>
  <c r="J232" i="37" s="1"/>
  <c r="J148" i="37" a="1"/>
  <c r="J148" i="37" s="1"/>
  <c r="J212" i="37" a="1"/>
  <c r="J212" i="37" s="1"/>
  <c r="J176" i="37" a="1"/>
  <c r="J176" i="37" s="1"/>
  <c r="J240" i="37" a="1"/>
  <c r="J240" i="37" s="1"/>
  <c r="J145" i="37" a="1"/>
  <c r="J145" i="37" s="1"/>
  <c r="K111" i="40" s="1" a="1"/>
  <c r="K111" i="40" s="1"/>
  <c r="J209" i="37" a="1"/>
  <c r="J209" i="37" s="1"/>
  <c r="J189" i="37" a="1"/>
  <c r="J189" i="37" s="1"/>
  <c r="K528" i="40" s="1" a="1"/>
  <c r="K528" i="40" s="1"/>
  <c r="J253" i="37" a="1"/>
  <c r="J253" i="37" s="1"/>
  <c r="J170" i="37" a="1"/>
  <c r="J170" i="37" s="1"/>
  <c r="J234" i="37" a="1"/>
  <c r="J234" i="37" s="1"/>
  <c r="J159" i="37" a="1"/>
  <c r="J159" i="37" s="1"/>
  <c r="K238" i="40" s="1" a="1"/>
  <c r="K238" i="40" s="1"/>
  <c r="J223" i="37" a="1"/>
  <c r="J223" i="37" s="1"/>
  <c r="K261" i="37" a="1"/>
  <c r="K261" i="37" s="1"/>
  <c r="J179" i="37" a="1"/>
  <c r="J179" i="37" s="1"/>
  <c r="J243" i="37" a="1"/>
  <c r="J243" i="37" s="1"/>
  <c r="J140" i="37" a="1"/>
  <c r="J140" i="37" s="1"/>
  <c r="J74" i="40" s="1" a="1"/>
  <c r="J74" i="40" s="1"/>
  <c r="J204" i="37" a="1"/>
  <c r="J204" i="37" s="1"/>
  <c r="L155" i="37" a="1"/>
  <c r="L155" i="37" s="1"/>
  <c r="L219" i="37" a="1"/>
  <c r="L219" i="37" s="1"/>
  <c r="L239" i="37" a="1"/>
  <c r="L239" i="37" s="1"/>
  <c r="J164" i="37" a="1"/>
  <c r="J164" i="37" s="1"/>
  <c r="K293" i="40" s="1" a="1"/>
  <c r="K293" i="40" s="1"/>
  <c r="J228" i="37" a="1"/>
  <c r="J228" i="37" s="1"/>
  <c r="L218" i="37" a="1"/>
  <c r="L218" i="37" s="1"/>
  <c r="J192" i="37" a="1"/>
  <c r="J192" i="37" s="1"/>
  <c r="J256" i="37" a="1"/>
  <c r="J256" i="37" s="1"/>
  <c r="J196" i="37" a="1"/>
  <c r="J196" i="37" s="1"/>
  <c r="J599" i="40" s="1" a="1"/>
  <c r="J599" i="40" s="1"/>
  <c r="J260" i="37" a="1"/>
  <c r="J260" i="37" s="1"/>
  <c r="J142" i="37" a="1"/>
  <c r="J142" i="37" s="1"/>
  <c r="J206" i="37" a="1"/>
  <c r="J206" i="37" s="1"/>
  <c r="J181" i="37" a="1"/>
  <c r="J181" i="37" s="1"/>
  <c r="J701" i="40" s="1" a="1"/>
  <c r="J701" i="40" s="1"/>
  <c r="J245" i="37" a="1"/>
  <c r="J245" i="37" s="1"/>
  <c r="J198" i="37" a="1"/>
  <c r="J198" i="37" s="1"/>
  <c r="J262" i="37" a="1"/>
  <c r="J262" i="37" s="1"/>
  <c r="J163" i="37" a="1"/>
  <c r="J163" i="37" s="1"/>
  <c r="J272" i="40" s="1" a="1"/>
  <c r="J272" i="40" s="1"/>
  <c r="J227" i="37" a="1"/>
  <c r="J227" i="37" s="1"/>
  <c r="J183" i="37" a="1"/>
  <c r="J183" i="37" s="1"/>
  <c r="J247" i="37" a="1"/>
  <c r="J247" i="37" s="1"/>
  <c r="J169" i="37" a="1"/>
  <c r="J169" i="37" s="1"/>
  <c r="J233" i="37" a="1"/>
  <c r="J233" i="37" s="1"/>
  <c r="J195" i="37" a="1"/>
  <c r="J195" i="37" s="1"/>
  <c r="K595" i="40" s="1" a="1"/>
  <c r="K595" i="40" s="1"/>
  <c r="J259" i="37" a="1"/>
  <c r="J259" i="37" s="1"/>
  <c r="J194" i="37" a="1"/>
  <c r="J194" i="37" s="1"/>
  <c r="K579" i="40" s="1" a="1"/>
  <c r="K579" i="40" s="1"/>
  <c r="J258" i="37" a="1"/>
  <c r="J258" i="37" s="1"/>
  <c r="J151" i="37" a="1"/>
  <c r="J151" i="37" s="1"/>
  <c r="J215" i="37" a="1"/>
  <c r="J215" i="37" s="1"/>
  <c r="K252" i="37" a="1"/>
  <c r="K252" i="37" s="1"/>
  <c r="J136" i="37" a="1"/>
  <c r="J136" i="37" s="1"/>
  <c r="K7" i="40" s="1" a="1"/>
  <c r="K7" i="40" s="1"/>
  <c r="J201" i="40" a="1"/>
  <c r="J201" i="40" s="1"/>
  <c r="Z5" i="37"/>
  <c r="K200" i="37" s="1" a="1"/>
  <c r="K200" i="37" s="1"/>
  <c r="J346" i="40" a="1"/>
  <c r="J346" i="40" s="1"/>
  <c r="Z17" i="37"/>
  <c r="Z55" i="37"/>
  <c r="L250" i="37" s="1" a="1"/>
  <c r="L250" i="37" s="1"/>
  <c r="Z51" i="37"/>
  <c r="Z11" i="37"/>
  <c r="Z16" i="37"/>
  <c r="Z30" i="37"/>
  <c r="Z62" i="37"/>
  <c r="Z25" i="37"/>
  <c r="M220" i="37" s="1" a="1"/>
  <c r="M220" i="37" s="1"/>
  <c r="L156" i="37" a="1"/>
  <c r="L156" i="37" s="1"/>
  <c r="J203" i="40" s="1" a="1"/>
  <c r="J203" i="40" s="1"/>
  <c r="Z57" i="37"/>
  <c r="L252" i="37" s="1" a="1"/>
  <c r="L252" i="37" s="1"/>
  <c r="Z45" i="37"/>
  <c r="Z60" i="37"/>
  <c r="M255" i="37" s="1" a="1"/>
  <c r="M255" i="37" s="1"/>
  <c r="L191" i="37" a="1"/>
  <c r="L191" i="37" s="1"/>
  <c r="Z47" i="37"/>
  <c r="Z36" i="37"/>
  <c r="Z7" i="37"/>
  <c r="Z53" i="37"/>
  <c r="Z46" i="37"/>
  <c r="Z15" i="37"/>
  <c r="Z48" i="37"/>
  <c r="Z12" i="37"/>
  <c r="Z42" i="37"/>
  <c r="M237" i="37" s="1" a="1"/>
  <c r="M237" i="37" s="1"/>
  <c r="L173" i="37" a="1"/>
  <c r="L173" i="37" s="1"/>
  <c r="K352" i="40" s="1" a="1"/>
  <c r="K352" i="40" s="1"/>
  <c r="Z66" i="37"/>
  <c r="L261" i="37" s="1" a="1"/>
  <c r="L261" i="37" s="1"/>
  <c r="Z6" i="37"/>
  <c r="Z22" i="37"/>
  <c r="Z9" i="37"/>
  <c r="Z43" i="37"/>
  <c r="M238" i="37" s="1" a="1"/>
  <c r="M238" i="37" s="1"/>
  <c r="L174" i="37" a="1"/>
  <c r="L174" i="37" s="1"/>
  <c r="Z19" i="37"/>
  <c r="Z65" i="37"/>
  <c r="Z8" i="37"/>
  <c r="Z31" i="37"/>
  <c r="Z20" i="37"/>
  <c r="Z41" i="37"/>
  <c r="Z59" i="37"/>
  <c r="K594" i="40" a="1"/>
  <c r="K594" i="40" s="1"/>
  <c r="K108" i="40" a="1"/>
  <c r="K108" i="40" s="1"/>
  <c r="K482" i="40" a="1"/>
  <c r="K482" i="40" s="1"/>
  <c r="J73" i="40" a="1"/>
  <c r="J73" i="40" s="1"/>
  <c r="J483" i="40" a="1"/>
  <c r="J483" i="40" s="1"/>
  <c r="K593" i="40" a="1"/>
  <c r="K593" i="40" s="1"/>
  <c r="J293" i="40" a="1"/>
  <c r="J293" i="40" s="1"/>
  <c r="K622" i="40" a="1"/>
  <c r="K622" i="40" s="1"/>
  <c r="J142" i="40" a="1"/>
  <c r="J142" i="40" s="1"/>
  <c r="J528" i="40" a="1"/>
  <c r="J528" i="40" s="1"/>
  <c r="J506" i="40" a="1"/>
  <c r="J506" i="40" s="1"/>
  <c r="J425" i="40" a="1"/>
  <c r="J425" i="40" s="1"/>
  <c r="L425" i="40" s="1"/>
  <c r="J249" i="40" a="1"/>
  <c r="J249" i="40" s="1"/>
  <c r="K349" i="40" a="1"/>
  <c r="K349" i="40" s="1"/>
  <c r="K61" i="40" a="1"/>
  <c r="K61" i="40" s="1"/>
  <c r="K94" i="40" a="1"/>
  <c r="K94" i="40" s="1"/>
  <c r="K558" i="40" a="1"/>
  <c r="K558" i="40" s="1"/>
  <c r="K281" i="40" a="1"/>
  <c r="K281" i="40" s="1"/>
  <c r="K592" i="40" a="1"/>
  <c r="K592" i="40" s="1"/>
  <c r="Z29" i="37"/>
  <c r="Z21" i="37"/>
  <c r="Z38" i="37"/>
  <c r="Z50" i="37"/>
  <c r="Z52" i="37"/>
  <c r="J200" i="40" a="1"/>
  <c r="J200" i="40" s="1"/>
  <c r="K198" i="40" a="1"/>
  <c r="K198" i="40" s="1"/>
  <c r="Z40" i="37"/>
  <c r="K171" i="37" s="1" a="1"/>
  <c r="K171" i="37" s="1"/>
  <c r="J351" i="40" s="1" a="1"/>
  <c r="J351" i="40" s="1"/>
  <c r="J271" i="40" a="1"/>
  <c r="J271" i="40" s="1"/>
  <c r="K270" i="40" a="1"/>
  <c r="K270" i="40" s="1"/>
  <c r="Z18" i="37"/>
  <c r="K149" i="37" s="1" a="1"/>
  <c r="K149" i="37" s="1"/>
  <c r="K666" i="40" a="1"/>
  <c r="K666" i="40" s="1"/>
  <c r="J667" i="40" a="1"/>
  <c r="J667" i="40" s="1"/>
  <c r="L667" i="40" s="1"/>
  <c r="J84" i="40" a="1"/>
  <c r="J84" i="40" s="1"/>
  <c r="K83" i="40" a="1"/>
  <c r="K83" i="40" s="1"/>
  <c r="Z44" i="37"/>
  <c r="K175" i="37" s="1" a="1"/>
  <c r="K175" i="37" s="1"/>
  <c r="J395" i="40" s="1" a="1"/>
  <c r="J395" i="40" s="1"/>
  <c r="J227" i="40" a="1"/>
  <c r="J227" i="40" s="1"/>
  <c r="K226" i="40" a="1"/>
  <c r="K226" i="40" s="1"/>
  <c r="J388" i="40" a="1"/>
  <c r="J388" i="40" s="1"/>
  <c r="K384" i="40" a="1"/>
  <c r="K384" i="40" s="1"/>
  <c r="Z56" i="37"/>
  <c r="K435" i="40" a="1"/>
  <c r="K435" i="40" s="1"/>
  <c r="Z14" i="37"/>
  <c r="Z54" i="37"/>
  <c r="Z24" i="37"/>
  <c r="Z10" i="37"/>
  <c r="J326" i="40" a="1"/>
  <c r="J326" i="40" s="1"/>
  <c r="K325" i="40" a="1"/>
  <c r="K325" i="40" s="1"/>
  <c r="Z27" i="37"/>
  <c r="Q688" i="40" a="1"/>
  <c r="Q688" i="40" s="1"/>
  <c r="U688" i="40" s="1"/>
  <c r="O688" i="40" a="1"/>
  <c r="O688" i="40" s="1"/>
  <c r="T688" i="40" s="1"/>
  <c r="P688" i="40" a="1"/>
  <c r="P688" i="40" s="1"/>
  <c r="K688" i="40" a="1"/>
  <c r="K688" i="40" s="1"/>
  <c r="R688" i="40" s="1" a="1"/>
  <c r="R688" i="40" s="1"/>
  <c r="V688" i="40" s="1"/>
  <c r="J689" i="40" a="1"/>
  <c r="J689" i="40" s="1"/>
  <c r="L689" i="40" s="1"/>
  <c r="Z32" i="37"/>
  <c r="Z13" i="37"/>
  <c r="Z35" i="37"/>
  <c r="Z39" i="37"/>
  <c r="Z33" i="37"/>
  <c r="J447" i="40" a="1"/>
  <c r="J447" i="40" s="1"/>
  <c r="K446" i="40" a="1"/>
  <c r="K446" i="40" s="1"/>
  <c r="J460" i="40" a="1"/>
  <c r="J460" i="40" s="1"/>
  <c r="N688" i="40" a="1"/>
  <c r="N688" i="40" s="1"/>
  <c r="Z49" i="37"/>
  <c r="J634" i="40" a="1"/>
  <c r="J634" i="40" s="1"/>
  <c r="K633" i="40" a="1"/>
  <c r="K633" i="40" s="1"/>
  <c r="Z23" i="37"/>
  <c r="K154" i="37" s="1" a="1"/>
  <c r="K154" i="37" s="1"/>
  <c r="K184" i="40" s="1" a="1"/>
  <c r="K184" i="40" s="1"/>
  <c r="Z58" i="37"/>
  <c r="K237" i="40" a="1"/>
  <c r="K237" i="40" s="1"/>
  <c r="J238" i="40" a="1"/>
  <c r="J238" i="40" s="1"/>
  <c r="Z64" i="37"/>
  <c r="Z37" i="37"/>
  <c r="Z68" i="37"/>
  <c r="Z67" i="37"/>
  <c r="Z26" i="37"/>
  <c r="J164" i="40" a="1"/>
  <c r="J164" i="40" s="1"/>
  <c r="K162" i="40" a="1"/>
  <c r="K162" i="40" s="1"/>
  <c r="Z28" i="37"/>
  <c r="K109" i="40" a="1"/>
  <c r="K109" i="40" s="1"/>
  <c r="J112" i="40" a="1"/>
  <c r="J112" i="40" s="1"/>
  <c r="K28" i="40" a="1"/>
  <c r="K28" i="40" s="1"/>
  <c r="J29" i="40" a="1"/>
  <c r="J29" i="40" s="1"/>
  <c r="J461" i="40" a="1"/>
  <c r="J461" i="40" s="1"/>
  <c r="K459" i="40" a="1"/>
  <c r="K459" i="40" s="1"/>
  <c r="J260" i="40" a="1"/>
  <c r="J260" i="40" s="1"/>
  <c r="K259" i="40" a="1"/>
  <c r="K259" i="40" s="1"/>
  <c r="Z34" i="37"/>
  <c r="K165" i="37" s="1" a="1"/>
  <c r="K165" i="37" s="1"/>
  <c r="K305" i="40" s="1" a="1"/>
  <c r="K305" i="40" s="1"/>
  <c r="Z61" i="37"/>
  <c r="Z63" i="37"/>
  <c r="J390" i="40" a="1"/>
  <c r="J390" i="40" s="1"/>
  <c r="J18" i="40" a="1"/>
  <c r="J18" i="40" s="1"/>
  <c r="K526" i="40" a="1"/>
  <c r="K526" i="40" s="1"/>
  <c r="K50" i="40" a="1"/>
  <c r="K50" i="40" s="1"/>
  <c r="J51" i="40" a="1"/>
  <c r="J51" i="40" s="1"/>
  <c r="J645" i="40" a="1"/>
  <c r="J645" i="40" s="1"/>
  <c r="K644" i="40" a="1"/>
  <c r="K644" i="40" s="1"/>
  <c r="J700" i="40" a="1"/>
  <c r="J700" i="40" s="1"/>
  <c r="J315" i="40" a="1"/>
  <c r="J315" i="40" s="1"/>
  <c r="K348" i="40" a="1"/>
  <c r="K348" i="40" s="1"/>
  <c r="J389" i="40" a="1"/>
  <c r="J389" i="40" s="1"/>
  <c r="K503" i="40" a="1"/>
  <c r="K503" i="40" s="1"/>
  <c r="J505" i="40" a="1"/>
  <c r="J505" i="40" s="1"/>
  <c r="K655" i="40" a="1"/>
  <c r="K655" i="40" s="1"/>
  <c r="J656" i="40" a="1"/>
  <c r="J656" i="40" s="1"/>
  <c r="L656" i="40" s="1"/>
  <c r="K677" i="40" a="1"/>
  <c r="K677" i="40" s="1"/>
  <c r="J678" i="40" a="1"/>
  <c r="J678" i="40" s="1"/>
  <c r="L678" i="40" s="1"/>
  <c r="K215" i="40" a="1"/>
  <c r="K215" i="40" s="1"/>
  <c r="J216" i="40" a="1"/>
  <c r="J216" i="40" s="1"/>
  <c r="J533" i="40" a="1"/>
  <c r="J533" i="40" s="1"/>
  <c r="K530" i="40" a="1"/>
  <c r="K530" i="40" s="1"/>
  <c r="E24" i="44" l="1"/>
  <c r="F10" i="44" s="1"/>
  <c r="E10" i="44" s="1"/>
  <c r="J185" i="40" a="1"/>
  <c r="J185" i="40" s="1"/>
  <c r="K1352" i="40" a="1"/>
  <c r="K1352" i="40" s="1"/>
  <c r="J826" i="40" a="1"/>
  <c r="J826" i="40" s="1"/>
  <c r="K391" i="40" a="1"/>
  <c r="K391" i="40" s="1"/>
  <c r="J165" i="40" a="1"/>
  <c r="J165" i="40" s="1"/>
  <c r="K163" i="40" a="1"/>
  <c r="K163" i="40" s="1"/>
  <c r="K40" i="40" a="1"/>
  <c r="K40" i="40" s="1"/>
  <c r="J41" i="40" a="1"/>
  <c r="J41" i="40" s="1"/>
  <c r="K110" i="40" a="1"/>
  <c r="K110" i="40" s="1"/>
  <c r="J113" i="40" a="1"/>
  <c r="J113" i="40" s="1"/>
  <c r="J306" i="40" a="1"/>
  <c r="J306" i="40" s="1"/>
  <c r="K748" i="40" a="1"/>
  <c r="K748" i="40" s="1"/>
  <c r="K347" i="40" a="1"/>
  <c r="K347" i="40" s="1"/>
  <c r="K645" i="40" a="1"/>
  <c r="K645" i="40" s="1"/>
  <c r="K186" i="37" a="1"/>
  <c r="K186" i="37" s="1"/>
  <c r="J486" i="40" s="1" a="1"/>
  <c r="J486" i="40" s="1"/>
  <c r="O225" i="37" a="1"/>
  <c r="O225" i="37" s="1"/>
  <c r="K749" i="40" s="1" a="1"/>
  <c r="K749" i="40" s="1"/>
  <c r="K161" i="37" a="1"/>
  <c r="K161" i="37" s="1"/>
  <c r="K188" i="37" a="1"/>
  <c r="K188" i="37" s="1"/>
  <c r="J508" i="40" s="1" a="1"/>
  <c r="J508" i="40" s="1"/>
  <c r="K197" i="37" a="1"/>
  <c r="K197" i="37" s="1"/>
  <c r="J600" i="40" s="1" a="1"/>
  <c r="J600" i="40" s="1"/>
  <c r="N207" i="37" a="1"/>
  <c r="N207" i="37" s="1"/>
  <c r="J1354" i="40" s="1" a="1"/>
  <c r="J1354" i="40" s="1"/>
  <c r="K143" i="37" a="1"/>
  <c r="K143" i="37" s="1"/>
  <c r="K646" i="40" s="1" a="1"/>
  <c r="K646" i="40" s="1"/>
  <c r="J875" i="40" a="1"/>
  <c r="J875" i="40" s="1"/>
  <c r="N217" i="37" a="1"/>
  <c r="N217" i="37" s="1"/>
  <c r="J877" i="40" s="1" a="1"/>
  <c r="J877" i="40" s="1"/>
  <c r="K153" i="37" a="1"/>
  <c r="K153" i="37" s="1"/>
  <c r="N211" i="37" a="1"/>
  <c r="N211" i="37" s="1"/>
  <c r="J829" i="40" s="1" a="1"/>
  <c r="J829" i="40" s="1"/>
  <c r="K147" i="37" a="1"/>
  <c r="K147" i="37" s="1"/>
  <c r="K143" i="40" a="1"/>
  <c r="K143" i="40" s="1"/>
  <c r="J145" i="40" a="1"/>
  <c r="J145" i="40" s="1"/>
  <c r="K1061" i="40" a="1"/>
  <c r="K1061" i="40" s="1"/>
  <c r="J1065" i="40" a="1"/>
  <c r="J1065" i="40" s="1"/>
  <c r="J909" i="40" a="1"/>
  <c r="J909" i="40" s="1"/>
  <c r="K907" i="40" a="1"/>
  <c r="K907" i="40" s="1"/>
  <c r="K1190" i="40" a="1"/>
  <c r="K1190" i="40" s="1"/>
  <c r="J1192" i="40" a="1"/>
  <c r="J1192" i="40" s="1"/>
  <c r="K1382" i="40" a="1"/>
  <c r="K1382" i="40" s="1"/>
  <c r="J1383" i="40" a="1"/>
  <c r="J1383" i="40" s="1"/>
  <c r="L1383" i="40" s="1"/>
  <c r="J1166" i="40" a="1"/>
  <c r="J1166" i="40" s="1"/>
  <c r="K1164" i="40" a="1"/>
  <c r="K1164" i="40" s="1"/>
  <c r="J789" i="40" a="1"/>
  <c r="J789" i="40" s="1"/>
  <c r="K788" i="40" a="1"/>
  <c r="K788" i="40" s="1"/>
  <c r="J998" i="40" a="1"/>
  <c r="J998" i="40" s="1"/>
  <c r="K997" i="40" a="1"/>
  <c r="K997" i="40" s="1"/>
  <c r="J1394" i="40" a="1"/>
  <c r="J1394" i="40" s="1"/>
  <c r="L1394" i="40" s="1"/>
  <c r="K1393" i="40" a="1"/>
  <c r="K1393" i="40" s="1"/>
  <c r="R1393" i="40" s="1" a="1"/>
  <c r="R1393" i="40" s="1"/>
  <c r="V1393" i="40" s="1"/>
  <c r="J1235" i="40" a="1"/>
  <c r="J1235" i="40" s="1"/>
  <c r="K1232" i="40" a="1"/>
  <c r="K1232" i="40" s="1"/>
  <c r="J954" i="40" a="1"/>
  <c r="J954" i="40" s="1"/>
  <c r="K953" i="40" a="1"/>
  <c r="K953" i="40" s="1"/>
  <c r="J1236" i="40" a="1"/>
  <c r="J1236" i="40" s="1"/>
  <c r="K1233" i="40" a="1"/>
  <c r="K1233" i="40" s="1"/>
  <c r="K1093" i="40" a="1"/>
  <c r="K1093" i="40" s="1"/>
  <c r="J1097" i="40" a="1"/>
  <c r="J1097" i="40" s="1"/>
  <c r="K1094" i="40" a="1"/>
  <c r="K1094" i="40" s="1"/>
  <c r="J1098" i="40" a="1"/>
  <c r="J1098" i="40" s="1"/>
  <c r="J1361" i="40" a="1"/>
  <c r="J1361" i="40" s="1"/>
  <c r="L1361" i="40" s="1"/>
  <c r="K1360" i="40" a="1"/>
  <c r="K1360" i="40" s="1"/>
  <c r="K766" i="40" a="1"/>
  <c r="K766" i="40" s="1"/>
  <c r="J767" i="40" a="1"/>
  <c r="J767" i="40" s="1"/>
  <c r="K931" i="40" a="1"/>
  <c r="K931" i="40" s="1"/>
  <c r="J932" i="40" a="1"/>
  <c r="J932" i="40" s="1"/>
  <c r="O1393" i="40" a="1"/>
  <c r="O1393" i="40" s="1"/>
  <c r="T1393" i="40" s="1"/>
  <c r="M1393" i="40" a="1"/>
  <c r="M1393" i="40" s="1"/>
  <c r="S1393" i="40" s="1"/>
  <c r="N1393" i="40" a="1"/>
  <c r="N1393" i="40" s="1"/>
  <c r="P1393" i="40" a="1"/>
  <c r="P1393" i="40" s="1"/>
  <c r="Q1393" i="40" a="1"/>
  <c r="Q1393" i="40" s="1"/>
  <c r="U1393" i="40" s="1"/>
  <c r="K1209" i="40" a="1"/>
  <c r="K1209" i="40" s="1"/>
  <c r="J1211" i="40" a="1"/>
  <c r="J1211" i="40" s="1"/>
  <c r="M1140" i="40" a="1"/>
  <c r="M1140" i="40" s="1"/>
  <c r="S1140" i="40" s="1"/>
  <c r="N1140" i="40" a="1"/>
  <c r="N1140" i="40" s="1"/>
  <c r="O1140" i="40" a="1"/>
  <c r="O1140" i="40" s="1"/>
  <c r="T1140" i="40" s="1"/>
  <c r="P1140" i="40" a="1"/>
  <c r="P1140" i="40" s="1"/>
  <c r="Q1140" i="40" a="1"/>
  <c r="Q1140" i="40" s="1"/>
  <c r="U1140" i="40" s="1"/>
  <c r="J1064" i="40" a="1"/>
  <c r="J1064" i="40" s="1"/>
  <c r="K1060" i="40" a="1"/>
  <c r="K1060" i="40" s="1"/>
  <c r="J1303" i="40" a="1"/>
  <c r="J1303" i="40" s="1"/>
  <c r="K1300" i="40" a="1"/>
  <c r="K1300" i="40" s="1"/>
  <c r="J1054" i="40" a="1"/>
  <c r="J1054" i="40" s="1"/>
  <c r="K1050" i="40" a="1"/>
  <c r="K1050" i="40" s="1"/>
  <c r="J1011" i="40" a="1"/>
  <c r="J1011" i="40" s="1"/>
  <c r="K1010" i="40" a="1"/>
  <c r="K1010" i="40" s="1"/>
  <c r="K986" i="40" a="1"/>
  <c r="K986" i="40" s="1"/>
  <c r="J987" i="40" a="1"/>
  <c r="J987" i="40" s="1"/>
  <c r="J1284" i="40" a="1"/>
  <c r="J1284" i="40" s="1"/>
  <c r="K1283" i="40" a="1"/>
  <c r="K1283" i="40" s="1"/>
  <c r="K1099" i="40" a="1"/>
  <c r="K1099" i="40" s="1"/>
  <c r="J1103" i="40" a="1"/>
  <c r="J1103" i="40" s="1"/>
  <c r="J921" i="40" a="1"/>
  <c r="J921" i="40" s="1"/>
  <c r="K920" i="40" a="1"/>
  <c r="K920" i="40" s="1"/>
  <c r="K799" i="40" a="1"/>
  <c r="K799" i="40" s="1"/>
  <c r="J800" i="40" a="1"/>
  <c r="J800" i="40" s="1"/>
  <c r="K712" i="40" a="1"/>
  <c r="K712" i="40" s="1"/>
  <c r="J713" i="40" a="1"/>
  <c r="J713" i="40" s="1"/>
  <c r="J1246" i="40" a="1"/>
  <c r="J1246" i="40" s="1"/>
  <c r="K1243" i="40" a="1"/>
  <c r="K1243" i="40" s="1"/>
  <c r="J1302" i="40" a="1"/>
  <c r="J1302" i="40" s="1"/>
  <c r="K1299" i="40" a="1"/>
  <c r="K1299" i="40" s="1"/>
  <c r="J1328" i="40" a="1"/>
  <c r="J1328" i="40" s="1"/>
  <c r="K1327" i="40" a="1"/>
  <c r="K1327" i="40" s="1"/>
  <c r="K1263" i="40" a="1"/>
  <c r="K1263" i="40" s="1"/>
  <c r="J1265" i="40" a="1"/>
  <c r="J1265" i="40" s="1"/>
  <c r="J906" i="40" a="1"/>
  <c r="J906" i="40" s="1"/>
  <c r="K904" i="40" a="1"/>
  <c r="K904" i="40" s="1"/>
  <c r="K942" i="40" a="1"/>
  <c r="K942" i="40" s="1"/>
  <c r="J943" i="40" a="1"/>
  <c r="J943" i="40" s="1"/>
  <c r="K1092" i="40" a="1"/>
  <c r="K1092" i="40" s="1"/>
  <c r="J1096" i="40" a="1"/>
  <c r="J1096" i="40" s="1"/>
  <c r="J870" i="40" a="1"/>
  <c r="J870" i="40" s="1"/>
  <c r="K868" i="40" a="1"/>
  <c r="K868" i="40" s="1"/>
  <c r="K846" i="40" a="1"/>
  <c r="K846" i="40" s="1"/>
  <c r="J848" i="40" a="1"/>
  <c r="J848" i="40" s="1"/>
  <c r="J1190" i="40" a="1"/>
  <c r="J1190" i="40" s="1"/>
  <c r="K1188" i="40" a="1"/>
  <c r="K1188" i="40" s="1"/>
  <c r="K1055" i="40" a="1"/>
  <c r="K1055" i="40" s="1"/>
  <c r="J1059" i="40" a="1"/>
  <c r="J1059" i="40" s="1"/>
  <c r="K1129" i="40" a="1"/>
  <c r="K1129" i="40" s="1"/>
  <c r="J1130" i="40" a="1"/>
  <c r="J1130" i="40" s="1"/>
  <c r="L1130" i="40" s="1"/>
  <c r="J1266" i="40" a="1"/>
  <c r="J1266" i="40" s="1"/>
  <c r="K1264" i="40" a="1"/>
  <c r="K1264" i="40" s="1"/>
  <c r="J734" i="40" a="1"/>
  <c r="J734" i="40" s="1"/>
  <c r="K733" i="40" a="1"/>
  <c r="K733" i="40" s="1"/>
  <c r="K1301" i="40" a="1"/>
  <c r="K1301" i="40" s="1"/>
  <c r="J1304" i="40" a="1"/>
  <c r="J1304" i="40" s="1"/>
  <c r="K1165" i="40" a="1"/>
  <c r="K1165" i="40" s="1"/>
  <c r="J1167" i="40" a="1"/>
  <c r="J1167" i="40" s="1"/>
  <c r="J1339" i="40" a="1"/>
  <c r="J1339" i="40" s="1"/>
  <c r="K1338" i="40" a="1"/>
  <c r="K1338" i="40" s="1"/>
  <c r="J1307" i="40" a="1"/>
  <c r="J1307" i="40" s="1"/>
  <c r="K1304" i="40" a="1"/>
  <c r="K1304" i="40" s="1"/>
  <c r="J723" i="40" a="1"/>
  <c r="J723" i="40" s="1"/>
  <c r="K722" i="40" a="1"/>
  <c r="K722" i="40" s="1"/>
  <c r="K975" i="40" a="1"/>
  <c r="K975" i="40" s="1"/>
  <c r="J976" i="40" a="1"/>
  <c r="J976" i="40" s="1"/>
  <c r="K815" i="40" a="1"/>
  <c r="K815" i="40" s="1"/>
  <c r="J818" i="40" a="1"/>
  <c r="J818" i="40" s="1"/>
  <c r="J1141" i="40" a="1"/>
  <c r="J1141" i="40" s="1"/>
  <c r="L1141" i="40" s="1"/>
  <c r="K1140" i="40" a="1"/>
  <c r="K1140" i="40" s="1"/>
  <c r="R1140" i="40" s="1" a="1"/>
  <c r="R1140" i="40" s="1"/>
  <c r="V1140" i="40" s="1"/>
  <c r="J1214" i="40" a="1"/>
  <c r="J1214" i="40" s="1"/>
  <c r="K1212" i="40" a="1"/>
  <c r="K1212" i="40" s="1"/>
  <c r="K1210" i="40" a="1"/>
  <c r="K1210" i="40" s="1"/>
  <c r="J1212" i="40" a="1"/>
  <c r="J1212" i="40" s="1"/>
  <c r="J965" i="40" a="1"/>
  <c r="J965" i="40" s="1"/>
  <c r="K964" i="40" a="1"/>
  <c r="K964" i="40" s="1"/>
  <c r="J1405" i="40" a="1"/>
  <c r="J1405" i="40" s="1"/>
  <c r="K1404" i="40" a="1"/>
  <c r="K1404" i="40" s="1"/>
  <c r="K889" i="40" a="1"/>
  <c r="K889" i="40" s="1"/>
  <c r="J890" i="40" a="1"/>
  <c r="J890" i="40" s="1"/>
  <c r="K777" i="40" a="1"/>
  <c r="K777" i="40" s="1"/>
  <c r="J778" i="40" a="1"/>
  <c r="J778" i="40" s="1"/>
  <c r="K1030" i="40" a="1"/>
  <c r="K1030" i="40" s="1"/>
  <c r="J1031" i="40" a="1"/>
  <c r="J1031" i="40" s="1"/>
  <c r="K1371" i="40" a="1"/>
  <c r="K1371" i="40" s="1"/>
  <c r="J1372" i="40" a="1"/>
  <c r="J1372" i="40" s="1"/>
  <c r="L1372" i="40" s="1"/>
  <c r="J853" i="40" a="1"/>
  <c r="J853" i="40" s="1"/>
  <c r="K851" i="40" a="1"/>
  <c r="K851" i="40" s="1"/>
  <c r="K816" i="40" a="1"/>
  <c r="K816" i="40" s="1"/>
  <c r="J819" i="40" a="1"/>
  <c r="J819" i="40" s="1"/>
  <c r="J1020" i="40" a="1"/>
  <c r="J1020" i="40" s="1"/>
  <c r="K1019" i="40" a="1"/>
  <c r="K1019" i="40" s="1"/>
  <c r="J1189" i="40" a="1"/>
  <c r="J1189" i="40" s="1"/>
  <c r="K1187" i="40" a="1"/>
  <c r="K1187" i="40" s="1"/>
  <c r="K755" i="40" a="1"/>
  <c r="K755" i="40" s="1"/>
  <c r="J756" i="40" a="1"/>
  <c r="J756" i="40" s="1"/>
  <c r="K1151" i="40" a="1"/>
  <c r="K1151" i="40" s="1"/>
  <c r="J1152" i="40" a="1"/>
  <c r="J1152" i="40" s="1"/>
  <c r="J114" i="40" a="1"/>
  <c r="J114" i="40" s="1"/>
  <c r="K190" i="37" a="1"/>
  <c r="K190" i="37" s="1"/>
  <c r="K254" i="37" a="1"/>
  <c r="K254" i="37" s="1"/>
  <c r="K142" i="37" a="1"/>
  <c r="K142" i="37" s="1"/>
  <c r="K206" i="37" a="1"/>
  <c r="K206" i="37" s="1"/>
  <c r="K195" i="37" a="1"/>
  <c r="K195" i="37" s="1"/>
  <c r="K598" i="40" s="1" a="1"/>
  <c r="K598" i="40" s="1"/>
  <c r="K259" i="37" a="1"/>
  <c r="K259" i="37" s="1"/>
  <c r="K170" i="37" a="1"/>
  <c r="K170" i="37" s="1"/>
  <c r="K234" i="37" a="1"/>
  <c r="K234" i="37" s="1"/>
  <c r="K196" i="37" a="1"/>
  <c r="K196" i="37" s="1"/>
  <c r="K599" i="40" s="1" a="1"/>
  <c r="K599" i="40" s="1"/>
  <c r="K260" i="37" a="1"/>
  <c r="K260" i="37" s="1"/>
  <c r="K137" i="37" a="1"/>
  <c r="K137" i="37" s="1"/>
  <c r="K201" i="37" a="1"/>
  <c r="K201" i="37" s="1"/>
  <c r="K148" i="37" a="1"/>
  <c r="K148" i="37" s="1"/>
  <c r="K668" i="40" s="1" a="1"/>
  <c r="K668" i="40" s="1"/>
  <c r="K212" i="37" a="1"/>
  <c r="K212" i="37" s="1"/>
  <c r="K164" i="37" a="1"/>
  <c r="K164" i="37" s="1"/>
  <c r="K294" i="40" s="1" a="1"/>
  <c r="K294" i="40" s="1"/>
  <c r="K228" i="37" a="1"/>
  <c r="K228" i="37" s="1"/>
  <c r="K180" i="37" a="1"/>
  <c r="K180" i="37" s="1"/>
  <c r="J427" i="40" s="1" a="1"/>
  <c r="J427" i="40" s="1"/>
  <c r="L427" i="40" s="1"/>
  <c r="K244" i="37" a="1"/>
  <c r="K244" i="37" s="1"/>
  <c r="K166" i="37" a="1"/>
  <c r="K166" i="37" s="1"/>
  <c r="K230" i="37" a="1"/>
  <c r="K230" i="37" s="1"/>
  <c r="M155" i="37" a="1"/>
  <c r="M155" i="37" s="1"/>
  <c r="M219" i="37" a="1"/>
  <c r="M219" i="37" s="1"/>
  <c r="K172" i="37" a="1"/>
  <c r="K172" i="37" s="1"/>
  <c r="J354" i="40" s="1" a="1"/>
  <c r="J354" i="40" s="1"/>
  <c r="K236" i="37" a="1"/>
  <c r="K236" i="37" s="1"/>
  <c r="K151" i="37" a="1"/>
  <c r="K151" i="37" s="1"/>
  <c r="K215" i="37" a="1"/>
  <c r="K215" i="37" s="1"/>
  <c r="K150" i="37" a="1"/>
  <c r="K150" i="37" s="1"/>
  <c r="K144" i="40" s="1" a="1"/>
  <c r="K144" i="40" s="1"/>
  <c r="K214" i="37" a="1"/>
  <c r="K214" i="37" s="1"/>
  <c r="K192" i="37" a="1"/>
  <c r="K192" i="37" s="1"/>
  <c r="K256" i="37" a="1"/>
  <c r="K256" i="37" s="1"/>
  <c r="K144" i="37" a="1"/>
  <c r="K144" i="37" s="1"/>
  <c r="J97" i="40" s="1" a="1"/>
  <c r="J97" i="40" s="1"/>
  <c r="K208" i="37" a="1"/>
  <c r="K208" i="37" s="1"/>
  <c r="K145" i="37" a="1"/>
  <c r="K145" i="37" s="1"/>
  <c r="K114" i="40" s="1" a="1"/>
  <c r="K114" i="40" s="1"/>
  <c r="K209" i="37" a="1"/>
  <c r="K209" i="37" s="1"/>
  <c r="M235" i="37" a="1"/>
  <c r="M235" i="37" s="1"/>
  <c r="K169" i="37" a="1"/>
  <c r="K169" i="37" s="1"/>
  <c r="K233" i="37" a="1"/>
  <c r="K233" i="37" s="1"/>
  <c r="M229" i="37" a="1"/>
  <c r="M229" i="37" s="1"/>
  <c r="K199" i="37" a="1"/>
  <c r="K199" i="37" s="1"/>
  <c r="K263" i="37" a="1"/>
  <c r="K263" i="37" s="1"/>
  <c r="K189" i="37" a="1"/>
  <c r="K189" i="37" s="1"/>
  <c r="K531" i="40" s="1" a="1"/>
  <c r="K531" i="40" s="1"/>
  <c r="K253" i="37" a="1"/>
  <c r="K253" i="37" s="1"/>
  <c r="K158" i="37" a="1"/>
  <c r="K158" i="37" s="1"/>
  <c r="K222" i="37" a="1"/>
  <c r="K222" i="37" s="1"/>
  <c r="K152" i="37" a="1"/>
  <c r="K152" i="37" s="1"/>
  <c r="K216" i="37" a="1"/>
  <c r="K216" i="37" s="1"/>
  <c r="K162" i="37" a="1"/>
  <c r="K162" i="37" s="1"/>
  <c r="K283" i="40" s="1" a="1"/>
  <c r="K283" i="40" s="1"/>
  <c r="K226" i="37" a="1"/>
  <c r="K226" i="37" s="1"/>
  <c r="K177" i="37" a="1"/>
  <c r="K177" i="37" s="1"/>
  <c r="J397" i="40" s="1" a="1"/>
  <c r="J397" i="40" s="1"/>
  <c r="K241" i="37" a="1"/>
  <c r="K241" i="37" s="1"/>
  <c r="K141" i="37" a="1"/>
  <c r="K141" i="37" s="1"/>
  <c r="K19" i="40" s="1" a="1"/>
  <c r="K19" i="40" s="1"/>
  <c r="K205" i="37" a="1"/>
  <c r="K205" i="37" s="1"/>
  <c r="K181" i="37" a="1"/>
  <c r="K181" i="37" s="1"/>
  <c r="K245" i="37" a="1"/>
  <c r="K245" i="37" s="1"/>
  <c r="K146" i="37" a="1"/>
  <c r="K146" i="37" s="1"/>
  <c r="K210" i="37" a="1"/>
  <c r="K210" i="37" s="1"/>
  <c r="K178" i="37" a="1"/>
  <c r="K178" i="37" s="1"/>
  <c r="K394" i="40" s="1" a="1"/>
  <c r="K394" i="40" s="1"/>
  <c r="K242" i="37" a="1"/>
  <c r="K242" i="37" s="1"/>
  <c r="K193" i="37" a="1"/>
  <c r="K193" i="37" s="1"/>
  <c r="K257" i="37" a="1"/>
  <c r="K257" i="37" s="1"/>
  <c r="M218" i="37" a="1"/>
  <c r="M218" i="37" s="1"/>
  <c r="K163" i="37" a="1"/>
  <c r="K163" i="37" s="1"/>
  <c r="K227" i="37" a="1"/>
  <c r="K227" i="37" s="1"/>
  <c r="K187" i="37" a="1"/>
  <c r="K187" i="37" s="1"/>
  <c r="K251" i="37" a="1"/>
  <c r="K251" i="37" s="1"/>
  <c r="K184" i="37" a="1"/>
  <c r="K184" i="37" s="1"/>
  <c r="K463" i="40" s="1" a="1"/>
  <c r="K463" i="40" s="1"/>
  <c r="K248" i="37" a="1"/>
  <c r="K248" i="37" s="1"/>
  <c r="K176" i="37" a="1"/>
  <c r="K176" i="37" s="1"/>
  <c r="K392" i="40" s="1" a="1"/>
  <c r="K392" i="40" s="1"/>
  <c r="K240" i="37" a="1"/>
  <c r="K240" i="37" s="1"/>
  <c r="N213" i="37" a="1"/>
  <c r="N213" i="37" s="1"/>
  <c r="K179" i="37" a="1"/>
  <c r="K179" i="37" s="1"/>
  <c r="K243" i="37" a="1"/>
  <c r="K243" i="37" s="1"/>
  <c r="K167" i="37" a="1"/>
  <c r="K167" i="37" s="1"/>
  <c r="K316" i="40" s="1" a="1"/>
  <c r="K316" i="40" s="1"/>
  <c r="K231" i="37" a="1"/>
  <c r="K231" i="37" s="1"/>
  <c r="K182" i="37" a="1"/>
  <c r="K182" i="37" s="1"/>
  <c r="K246" i="37" a="1"/>
  <c r="K246" i="37" s="1"/>
  <c r="K157" i="37" a="1"/>
  <c r="K157" i="37" s="1"/>
  <c r="K221" i="37" a="1"/>
  <c r="K221" i="37" s="1"/>
  <c r="K194" i="37" a="1"/>
  <c r="K194" i="37" s="1"/>
  <c r="J581" i="40" s="1" a="1"/>
  <c r="J581" i="40" s="1"/>
  <c r="K258" i="37" a="1"/>
  <c r="K258" i="37" s="1"/>
  <c r="K198" i="37" a="1"/>
  <c r="K198" i="37" s="1"/>
  <c r="K262" i="37" a="1"/>
  <c r="K262" i="37" s="1"/>
  <c r="K185" i="37" a="1"/>
  <c r="K185" i="37" s="1"/>
  <c r="K249" i="37" a="1"/>
  <c r="K249" i="37" s="1"/>
  <c r="M239" i="37" a="1"/>
  <c r="M239" i="37" s="1"/>
  <c r="K159" i="37" a="1"/>
  <c r="K159" i="37" s="1"/>
  <c r="K223" i="37" a="1"/>
  <c r="K223" i="37" s="1"/>
  <c r="K168" i="37" a="1"/>
  <c r="K168" i="37" s="1"/>
  <c r="J251" i="40" s="1" a="1"/>
  <c r="J251" i="40" s="1"/>
  <c r="K232" i="37" a="1"/>
  <c r="K232" i="37" s="1"/>
  <c r="K183" i="37" a="1"/>
  <c r="K183" i="37" s="1"/>
  <c r="K247" i="37" a="1"/>
  <c r="K247" i="37" s="1"/>
  <c r="K160" i="37" a="1"/>
  <c r="K160" i="37" s="1"/>
  <c r="K224" i="37" a="1"/>
  <c r="K224" i="37" s="1"/>
  <c r="K139" i="37" a="1"/>
  <c r="K139" i="37" s="1"/>
  <c r="K203" i="37" a="1"/>
  <c r="K203" i="37" s="1"/>
  <c r="K140" i="37" a="1"/>
  <c r="K140" i="37" s="1"/>
  <c r="K74" i="40" s="1" a="1"/>
  <c r="K74" i="40" s="1"/>
  <c r="K204" i="37" a="1"/>
  <c r="K204" i="37" s="1"/>
  <c r="K138" i="37" a="1"/>
  <c r="K138" i="37" s="1"/>
  <c r="K202" i="37" a="1"/>
  <c r="K202" i="37" s="1"/>
  <c r="J8" i="40" a="1"/>
  <c r="J8" i="40" s="1"/>
  <c r="K136" i="37" a="1"/>
  <c r="K136" i="37" s="1"/>
  <c r="J9" i="40" s="1" a="1"/>
  <c r="J9" i="40" s="1"/>
  <c r="AA5" i="37"/>
  <c r="L200" i="37" s="1" a="1"/>
  <c r="L200" i="37" s="1"/>
  <c r="K346" i="40" a="1"/>
  <c r="K346" i="40" s="1"/>
  <c r="J144" i="40" a="1"/>
  <c r="J144" i="40" s="1"/>
  <c r="K201" i="40" a="1"/>
  <c r="K201" i="40" s="1"/>
  <c r="J63" i="40" a="1"/>
  <c r="J63" i="40" s="1"/>
  <c r="AA59" i="37"/>
  <c r="L254" i="37" s="1" a="1"/>
  <c r="L254" i="37" s="1"/>
  <c r="AA8" i="37"/>
  <c r="AA9" i="37"/>
  <c r="L204" i="37" s="1" a="1"/>
  <c r="L204" i="37" s="1"/>
  <c r="AA42" i="37"/>
  <c r="N237" i="37" s="1" a="1"/>
  <c r="N237" i="37" s="1"/>
  <c r="M173" i="37" a="1"/>
  <c r="M173" i="37" s="1"/>
  <c r="J360" i="40" s="1" a="1"/>
  <c r="J360" i="40" s="1"/>
  <c r="AA46" i="37"/>
  <c r="L241" i="37" s="1" a="1"/>
  <c r="L241" i="37" s="1"/>
  <c r="AA47" i="37"/>
  <c r="L242" i="37" s="1" a="1"/>
  <c r="L242" i="37" s="1"/>
  <c r="AA25" i="37"/>
  <c r="N220" i="37" s="1" a="1"/>
  <c r="N220" i="37" s="1"/>
  <c r="M156" i="37" a="1"/>
  <c r="M156" i="37" s="1"/>
  <c r="J205" i="40" s="1" a="1"/>
  <c r="J205" i="40" s="1"/>
  <c r="AA11" i="37"/>
  <c r="L206" i="37" s="1" a="1"/>
  <c r="L206" i="37" s="1"/>
  <c r="AA41" i="37"/>
  <c r="L236" i="37" s="1" a="1"/>
  <c r="L236" i="37" s="1"/>
  <c r="AA65" i="37"/>
  <c r="L260" i="37" s="1" a="1"/>
  <c r="L260" i="37" s="1"/>
  <c r="AA22" i="37"/>
  <c r="AA12" i="37"/>
  <c r="AA53" i="37"/>
  <c r="L248" i="37" s="1" a="1"/>
  <c r="L248" i="37" s="1"/>
  <c r="AA60" i="37"/>
  <c r="N255" i="37" s="1" a="1"/>
  <c r="N255" i="37" s="1"/>
  <c r="M191" i="37" a="1"/>
  <c r="M191" i="37" s="1"/>
  <c r="AA62" i="37"/>
  <c r="L257" i="37" s="1" a="1"/>
  <c r="L257" i="37" s="1"/>
  <c r="AA51" i="37"/>
  <c r="L246" i="37" s="1" a="1"/>
  <c r="L246" i="37" s="1"/>
  <c r="AA20" i="37"/>
  <c r="L215" i="37" s="1" a="1"/>
  <c r="L215" i="37" s="1"/>
  <c r="AA19" i="37"/>
  <c r="L214" i="37" s="1" a="1"/>
  <c r="L214" i="37" s="1"/>
  <c r="AA6" i="37"/>
  <c r="AA48" i="37"/>
  <c r="L243" i="37" s="1" a="1"/>
  <c r="L243" i="37" s="1"/>
  <c r="AA7" i="37"/>
  <c r="AA45" i="37"/>
  <c r="L240" i="37" s="1" a="1"/>
  <c r="L240" i="37" s="1"/>
  <c r="AA30" i="37"/>
  <c r="AA55" i="37"/>
  <c r="M250" i="37" s="1" a="1"/>
  <c r="M250" i="37" s="1"/>
  <c r="AA31" i="37"/>
  <c r="L226" i="37" s="1" a="1"/>
  <c r="L226" i="37" s="1"/>
  <c r="AA43" i="37"/>
  <c r="N238" i="37" s="1" a="1"/>
  <c r="N238" i="37" s="1"/>
  <c r="M174" i="37" a="1"/>
  <c r="M174" i="37" s="1"/>
  <c r="AA66" i="37"/>
  <c r="M261" i="37" s="1" a="1"/>
  <c r="M261" i="37" s="1"/>
  <c r="AA15" i="37"/>
  <c r="L210" i="37" s="1" a="1"/>
  <c r="L210" i="37" s="1"/>
  <c r="AA36" i="37"/>
  <c r="L231" i="37" s="1" a="1"/>
  <c r="L231" i="37" s="1"/>
  <c r="AA57" i="37"/>
  <c r="M252" i="37" s="1" a="1"/>
  <c r="M252" i="37" s="1"/>
  <c r="L188" i="37" a="1"/>
  <c r="L188" i="37" s="1"/>
  <c r="K508" i="40" s="1" a="1"/>
  <c r="K508" i="40" s="1"/>
  <c r="AA16" i="37"/>
  <c r="AA17" i="37"/>
  <c r="L212" i="37" s="1" a="1"/>
  <c r="L212" i="37" s="1"/>
  <c r="J239" i="40" a="1"/>
  <c r="J239" i="40" s="1"/>
  <c r="J96" i="40" a="1"/>
  <c r="J96" i="40" s="1"/>
  <c r="K634" i="40" a="1"/>
  <c r="K634" i="40" s="1"/>
  <c r="J283" i="40" a="1"/>
  <c r="J283" i="40" s="1"/>
  <c r="J19" i="40" a="1"/>
  <c r="J19" i="40" s="1"/>
  <c r="J294" i="40" a="1"/>
  <c r="J294" i="40" s="1"/>
  <c r="K227" i="40" a="1"/>
  <c r="K227" i="40" s="1"/>
  <c r="J250" i="40" a="1"/>
  <c r="J250" i="40" s="1"/>
  <c r="K315" i="40" a="1"/>
  <c r="K315" i="40" s="1"/>
  <c r="K112" i="40" a="1"/>
  <c r="K112" i="40" s="1"/>
  <c r="K596" i="40" a="1"/>
  <c r="K596" i="40" s="1"/>
  <c r="K700" i="40" a="1"/>
  <c r="K700" i="40" s="1"/>
  <c r="J30" i="40" a="1"/>
  <c r="J30" i="40" s="1"/>
  <c r="J356" i="40" a="1"/>
  <c r="J356" i="40" s="1"/>
  <c r="K389" i="40" a="1"/>
  <c r="K389" i="40" s="1"/>
  <c r="J531" i="40" a="1"/>
  <c r="J531" i="40" s="1"/>
  <c r="K271" i="40" a="1"/>
  <c r="K271" i="40" s="1"/>
  <c r="J327" i="40" a="1"/>
  <c r="J327" i="40" s="1"/>
  <c r="K326" i="40" a="1"/>
  <c r="K326" i="40" s="1"/>
  <c r="K353" i="40" a="1"/>
  <c r="K353" i="40" s="1"/>
  <c r="J357" i="40" a="1"/>
  <c r="J357" i="40" s="1"/>
  <c r="K460" i="40" a="1"/>
  <c r="K460" i="40" s="1"/>
  <c r="J462" i="40" a="1"/>
  <c r="J462" i="40" s="1"/>
  <c r="AA38" i="37"/>
  <c r="J562" i="40" a="1"/>
  <c r="J562" i="40" s="1"/>
  <c r="K560" i="40" a="1"/>
  <c r="K560" i="40" s="1"/>
  <c r="K559" i="40" a="1"/>
  <c r="K559" i="40" s="1"/>
  <c r="J561" i="40" a="1"/>
  <c r="J561" i="40" s="1"/>
  <c r="AA49" i="37"/>
  <c r="AA39" i="37"/>
  <c r="AA52" i="37"/>
  <c r="K529" i="40" a="1"/>
  <c r="K529" i="40" s="1"/>
  <c r="K73" i="40" a="1"/>
  <c r="K73" i="40" s="1"/>
  <c r="AA61" i="37"/>
  <c r="AA26" i="37"/>
  <c r="AA58" i="37"/>
  <c r="AA32" i="37"/>
  <c r="AA56" i="37"/>
  <c r="AA40" i="37"/>
  <c r="L171" i="37" s="1" a="1"/>
  <c r="L171" i="37" s="1"/>
  <c r="K351" i="40" s="1" a="1"/>
  <c r="K351" i="40" s="1"/>
  <c r="K436" i="40" a="1"/>
  <c r="K436" i="40" s="1"/>
  <c r="J437" i="40" a="1"/>
  <c r="J437" i="40" s="1"/>
  <c r="J166" i="40" a="1"/>
  <c r="J166" i="40" s="1"/>
  <c r="K164" i="40" a="1"/>
  <c r="K164" i="40" s="1"/>
  <c r="AA37" i="37"/>
  <c r="AA54" i="37"/>
  <c r="P689" i="40" a="1"/>
  <c r="P689" i="40" s="1"/>
  <c r="O689" i="40" a="1"/>
  <c r="O689" i="40" s="1"/>
  <c r="T689" i="40" s="1"/>
  <c r="Q689" i="40" a="1"/>
  <c r="Q689" i="40" s="1"/>
  <c r="U689" i="40" s="1"/>
  <c r="N689" i="40" a="1"/>
  <c r="N689" i="40" s="1"/>
  <c r="M689" i="40" a="1"/>
  <c r="M689" i="40" s="1"/>
  <c r="S689" i="40" s="1"/>
  <c r="AA10" i="37"/>
  <c r="AA44" i="37"/>
  <c r="L175" i="37" s="1" a="1"/>
  <c r="L175" i="37" s="1"/>
  <c r="J399" i="40" s="1" a="1"/>
  <c r="J399" i="40" s="1"/>
  <c r="AA18" i="37"/>
  <c r="L149" i="37" s="1" a="1"/>
  <c r="L149" i="37" s="1"/>
  <c r="AA21" i="37"/>
  <c r="J426" i="40" a="1"/>
  <c r="J426" i="40" s="1"/>
  <c r="L426" i="40" s="1"/>
  <c r="J624" i="40" a="1"/>
  <c r="J624" i="40" s="1"/>
  <c r="K623" i="40" a="1"/>
  <c r="K623" i="40" s="1"/>
  <c r="AA34" i="37"/>
  <c r="L165" i="37" s="1" a="1"/>
  <c r="L165" i="37" s="1"/>
  <c r="J307" i="40" s="1" a="1"/>
  <c r="J307" i="40" s="1"/>
  <c r="AA67" i="37"/>
  <c r="AA64" i="37"/>
  <c r="AA23" i="37"/>
  <c r="L154" i="37" s="1" a="1"/>
  <c r="L154" i="37" s="1"/>
  <c r="K185" i="40" s="1" a="1"/>
  <c r="K185" i="40" s="1"/>
  <c r="AA50" i="37"/>
  <c r="AA27" i="37"/>
  <c r="K390" i="40" a="1"/>
  <c r="K390" i="40" s="1"/>
  <c r="J580" i="40" a="1"/>
  <c r="J580" i="40" s="1"/>
  <c r="AA35" i="37"/>
  <c r="J202" i="40" a="1"/>
  <c r="J202" i="40" s="1"/>
  <c r="K200" i="40" a="1"/>
  <c r="K200" i="40" s="1"/>
  <c r="J668" i="40" a="1"/>
  <c r="J668" i="40" s="1"/>
  <c r="L668" i="40" s="1"/>
  <c r="K667" i="40" a="1"/>
  <c r="K667" i="40" s="1"/>
  <c r="AA28" i="37"/>
  <c r="AA68" i="37"/>
  <c r="J85" i="40" a="1"/>
  <c r="J85" i="40" s="1"/>
  <c r="K84" i="40" a="1"/>
  <c r="K84" i="40" s="1"/>
  <c r="AA24" i="37"/>
  <c r="AA14" i="37"/>
  <c r="AA29" i="37"/>
  <c r="AA63" i="37"/>
  <c r="K689" i="40" a="1"/>
  <c r="K689" i="40" s="1"/>
  <c r="R689" i="40" s="1" a="1"/>
  <c r="R689" i="40" s="1"/>
  <c r="V689" i="40" s="1"/>
  <c r="J690" i="40" a="1"/>
  <c r="J690" i="40" s="1"/>
  <c r="L690" i="40" s="1"/>
  <c r="AA33" i="37"/>
  <c r="AA13" i="37"/>
  <c r="K447" i="40" a="1"/>
  <c r="K447" i="40" s="1"/>
  <c r="J448" i="40" a="1"/>
  <c r="J448" i="40" s="1"/>
  <c r="J485" i="40" a="1"/>
  <c r="J485" i="40" s="1"/>
  <c r="K483" i="40" a="1"/>
  <c r="K483" i="40" s="1"/>
  <c r="J392" i="40" a="1"/>
  <c r="J392" i="40" s="1"/>
  <c r="K388" i="40" a="1"/>
  <c r="K388" i="40" s="1"/>
  <c r="K461" i="40" a="1"/>
  <c r="K461" i="40" s="1"/>
  <c r="J463" i="40" a="1"/>
  <c r="J463" i="40" s="1"/>
  <c r="K260" i="40" a="1"/>
  <c r="K260" i="40" s="1"/>
  <c r="J261" i="40" a="1"/>
  <c r="J261" i="40" s="1"/>
  <c r="F9" i="44"/>
  <c r="E9" i="44" s="1"/>
  <c r="J52" i="40" a="1"/>
  <c r="J52" i="40" s="1"/>
  <c r="K51" i="40" a="1"/>
  <c r="K51" i="40" s="1"/>
  <c r="J598" i="40" a="1"/>
  <c r="J598" i="40" s="1"/>
  <c r="K505" i="40" a="1"/>
  <c r="K505" i="40" s="1"/>
  <c r="J507" i="40" a="1"/>
  <c r="J507" i="40" s="1"/>
  <c r="K656" i="40" a="1"/>
  <c r="K656" i="40" s="1"/>
  <c r="J657" i="40" a="1"/>
  <c r="J657" i="40" s="1"/>
  <c r="L657" i="40" s="1"/>
  <c r="K678" i="40" a="1"/>
  <c r="K678" i="40" s="1"/>
  <c r="J679" i="40" a="1"/>
  <c r="J679" i="40" s="1"/>
  <c r="L679" i="40" s="1"/>
  <c r="J217" i="40" a="1"/>
  <c r="J217" i="40" s="1"/>
  <c r="K216" i="40" a="1"/>
  <c r="K216" i="40" s="1"/>
  <c r="J536" i="40" a="1"/>
  <c r="J536" i="40" s="1"/>
  <c r="K533" i="40" a="1"/>
  <c r="K533" i="40" s="1"/>
  <c r="P437" i="40" l="1" a="1"/>
  <c r="P437" i="40" s="1"/>
  <c r="L437" i="40"/>
  <c r="K395" i="40" a="1"/>
  <c r="K395" i="40" s="1"/>
  <c r="K597" i="40" a="1"/>
  <c r="K597" i="40" s="1"/>
  <c r="L197" i="37" a="1"/>
  <c r="L197" i="37" s="1"/>
  <c r="J603" i="40" s="1" a="1"/>
  <c r="J603" i="40" s="1"/>
  <c r="K506" i="40" a="1"/>
  <c r="K506" i="40" s="1"/>
  <c r="K1353" i="40" a="1"/>
  <c r="K1353" i="40" s="1"/>
  <c r="K306" i="40" a="1"/>
  <c r="K306" i="40" s="1"/>
  <c r="J186" i="40" a="1"/>
  <c r="J186" i="40" s="1"/>
  <c r="K826" i="40" a="1"/>
  <c r="K826" i="40" s="1"/>
  <c r="J647" i="40" a="1"/>
  <c r="J647" i="40" s="1"/>
  <c r="O207" i="37" a="1"/>
  <c r="O207" i="37" s="1"/>
  <c r="J1355" i="40" s="1" a="1"/>
  <c r="J1355" i="40" s="1"/>
  <c r="L143" i="37" a="1"/>
  <c r="L143" i="37" s="1"/>
  <c r="K647" i="40" s="1" a="1"/>
  <c r="K647" i="40" s="1"/>
  <c r="K113" i="40" a="1"/>
  <c r="K113" i="40" s="1"/>
  <c r="J116" i="40" a="1"/>
  <c r="J116" i="40" s="1"/>
  <c r="J355" i="40" a="1"/>
  <c r="J355" i="40" s="1"/>
  <c r="K484" i="40" a="1"/>
  <c r="K484" i="40" s="1"/>
  <c r="K875" i="40" a="1"/>
  <c r="K875" i="40" s="1"/>
  <c r="P225" i="37" a="1"/>
  <c r="P225" i="37" s="1"/>
  <c r="K750" i="40" s="1" a="1"/>
  <c r="K750" i="40" s="1"/>
  <c r="L161" i="37" a="1"/>
  <c r="L161" i="37" s="1"/>
  <c r="J750" i="40" a="1"/>
  <c r="J750" i="40" s="1"/>
  <c r="J147" i="40" a="1"/>
  <c r="J147" i="40" s="1"/>
  <c r="K145" i="40" a="1"/>
  <c r="K145" i="40" s="1"/>
  <c r="O217" i="37" a="1"/>
  <c r="O217" i="37" s="1"/>
  <c r="J879" i="40" s="1" a="1"/>
  <c r="J879" i="40" s="1"/>
  <c r="L153" i="37" a="1"/>
  <c r="L153" i="37" s="1"/>
  <c r="J167" i="40" a="1"/>
  <c r="J167" i="40" s="1"/>
  <c r="K165" i="40" a="1"/>
  <c r="K165" i="40" s="1"/>
  <c r="O211" i="37" a="1"/>
  <c r="O211" i="37" s="1"/>
  <c r="K829" i="40" s="1" a="1"/>
  <c r="K829" i="40" s="1"/>
  <c r="L147" i="37" a="1"/>
  <c r="L147" i="37" s="1"/>
  <c r="L186" i="37" a="1"/>
  <c r="L186" i="37" s="1"/>
  <c r="J488" i="40" s="1" a="1"/>
  <c r="J488" i="40" s="1"/>
  <c r="J42" i="40" a="1"/>
  <c r="J42" i="40" s="1"/>
  <c r="K41" i="40" a="1"/>
  <c r="K41" i="40" s="1"/>
  <c r="K8" i="40" a="1"/>
  <c r="K8" i="40" s="1"/>
  <c r="K426" i="40" a="1"/>
  <c r="K426" i="40" s="1"/>
  <c r="J1242" i="40" a="1"/>
  <c r="J1242" i="40" s="1"/>
  <c r="K1239" i="40" a="1"/>
  <c r="K1239" i="40" s="1"/>
  <c r="K1021" i="40" a="1"/>
  <c r="K1021" i="40" s="1"/>
  <c r="J1022" i="40" a="1"/>
  <c r="J1022" i="40" s="1"/>
  <c r="J852" i="40" a="1"/>
  <c r="J852" i="40" s="1"/>
  <c r="K850" i="40" a="1"/>
  <c r="K850" i="40" s="1"/>
  <c r="K909" i="40" a="1"/>
  <c r="K909" i="40" s="1"/>
  <c r="J911" i="40" a="1"/>
  <c r="J911" i="40" s="1"/>
  <c r="K734" i="40" a="1"/>
  <c r="K734" i="40" s="1"/>
  <c r="J735" i="40" a="1"/>
  <c r="J735" i="40" s="1"/>
  <c r="K1103" i="40" a="1"/>
  <c r="K1103" i="40" s="1"/>
  <c r="J1107" i="40" a="1"/>
  <c r="J1107" i="40" s="1"/>
  <c r="K921" i="40" a="1"/>
  <c r="K921" i="40" s="1"/>
  <c r="J922" i="40" a="1"/>
  <c r="J922" i="40" s="1"/>
  <c r="K853" i="40" a="1"/>
  <c r="K853" i="40" s="1"/>
  <c r="J855" i="40" a="1"/>
  <c r="J855" i="40" s="1"/>
  <c r="J977" i="40" a="1"/>
  <c r="J977" i="40" s="1"/>
  <c r="K976" i="40" a="1"/>
  <c r="K976" i="40" s="1"/>
  <c r="J822" i="40" a="1"/>
  <c r="J822" i="40" s="1"/>
  <c r="K819" i="40" a="1"/>
  <c r="K819" i="40" s="1"/>
  <c r="K987" i="40" a="1"/>
  <c r="K987" i="40" s="1"/>
  <c r="J988" i="40" a="1"/>
  <c r="J988" i="40" s="1"/>
  <c r="J1340" i="40" a="1"/>
  <c r="J1340" i="40" s="1"/>
  <c r="K1339" i="40" a="1"/>
  <c r="K1339" i="40" s="1"/>
  <c r="J821" i="40" a="1"/>
  <c r="J821" i="40" s="1"/>
  <c r="K818" i="40" a="1"/>
  <c r="K818" i="40" s="1"/>
  <c r="K1383" i="40" a="1"/>
  <c r="K1383" i="40" s="1"/>
  <c r="J1384" i="40" a="1"/>
  <c r="J1384" i="40" s="1"/>
  <c r="L1384" i="40" s="1"/>
  <c r="K1130" i="40" a="1"/>
  <c r="K1130" i="40" s="1"/>
  <c r="J1131" i="40" a="1"/>
  <c r="J1131" i="40" s="1"/>
  <c r="L1131" i="40" s="1"/>
  <c r="K1303" i="40" a="1"/>
  <c r="K1303" i="40" s="1"/>
  <c r="J1306" i="40" a="1"/>
  <c r="J1306" i="40" s="1"/>
  <c r="J1239" i="40" a="1"/>
  <c r="J1239" i="40" s="1"/>
  <c r="K1236" i="40" a="1"/>
  <c r="K1236" i="40" s="1"/>
  <c r="K822" i="40" a="1"/>
  <c r="K822" i="40" s="1"/>
  <c r="J825" i="40" a="1"/>
  <c r="J825" i="40" s="1"/>
  <c r="K1192" i="40" a="1"/>
  <c r="K1192" i="40" s="1"/>
  <c r="J1194" i="40" a="1"/>
  <c r="J1194" i="40" s="1"/>
  <c r="J1385" i="40" a="1"/>
  <c r="J1385" i="40" s="1"/>
  <c r="L1385" i="40" s="1"/>
  <c r="K1384" i="40" a="1"/>
  <c r="K1384" i="40" s="1"/>
  <c r="K1102" i="40" a="1"/>
  <c r="K1102" i="40" s="1"/>
  <c r="J1106" i="40" a="1"/>
  <c r="J1106" i="40" s="1"/>
  <c r="J989" i="40" a="1"/>
  <c r="J989" i="40" s="1"/>
  <c r="K988" i="40" a="1"/>
  <c r="K988" i="40" s="1"/>
  <c r="J1143" i="40" a="1"/>
  <c r="J1143" i="40" s="1"/>
  <c r="L1143" i="40" s="1"/>
  <c r="K1142" i="40" a="1"/>
  <c r="K1142" i="40" s="1"/>
  <c r="K1166" i="40" a="1"/>
  <c r="K1166" i="40" s="1"/>
  <c r="J1168" i="40" a="1"/>
  <c r="J1168" i="40" s="1"/>
  <c r="J891" i="40" a="1"/>
  <c r="J891" i="40" s="1"/>
  <c r="K890" i="40" a="1"/>
  <c r="K890" i="40" s="1"/>
  <c r="K1054" i="40" a="1"/>
  <c r="K1054" i="40" s="1"/>
  <c r="J1058" i="40" a="1"/>
  <c r="J1058" i="40" s="1"/>
  <c r="Q1394" i="40" a="1"/>
  <c r="Q1394" i="40" s="1"/>
  <c r="U1394" i="40" s="1"/>
  <c r="O1394" i="40" a="1"/>
  <c r="O1394" i="40" s="1"/>
  <c r="T1394" i="40" s="1"/>
  <c r="M1394" i="40" a="1"/>
  <c r="M1394" i="40" s="1"/>
  <c r="S1394" i="40" s="1"/>
  <c r="P1394" i="40" a="1"/>
  <c r="P1394" i="40" s="1"/>
  <c r="N1394" i="40" a="1"/>
  <c r="N1394" i="40" s="1"/>
  <c r="J1374" i="40" a="1"/>
  <c r="J1374" i="40" s="1"/>
  <c r="L1374" i="40" s="1"/>
  <c r="K1373" i="40" a="1"/>
  <c r="K1373" i="40" s="1"/>
  <c r="J1310" i="40" a="1"/>
  <c r="J1310" i="40" s="1"/>
  <c r="K1307" i="40" a="1"/>
  <c r="K1307" i="40" s="1"/>
  <c r="J1270" i="40" a="1"/>
  <c r="J1270" i="40" s="1"/>
  <c r="K1268" i="40" a="1"/>
  <c r="K1268" i="40" s="1"/>
  <c r="K1214" i="40" a="1"/>
  <c r="K1214" i="40" s="1"/>
  <c r="J1216" i="40" a="1"/>
  <c r="J1216" i="40" s="1"/>
  <c r="J757" i="40" a="1"/>
  <c r="J757" i="40" s="1"/>
  <c r="K756" i="40" a="1"/>
  <c r="K756" i="40" s="1"/>
  <c r="J1142" i="40" a="1"/>
  <c r="J1142" i="40" s="1"/>
  <c r="L1142" i="40" s="1"/>
  <c r="K1141" i="40" a="1"/>
  <c r="K1141" i="40" s="1"/>
  <c r="R1141" i="40" s="1" a="1"/>
  <c r="R1141" i="40" s="1"/>
  <c r="V1141" i="40" s="1"/>
  <c r="J1012" i="40" a="1"/>
  <c r="J1012" i="40" s="1"/>
  <c r="K1011" i="40" a="1"/>
  <c r="K1011" i="40" s="1"/>
  <c r="K998" i="40" a="1"/>
  <c r="K998" i="40" s="1"/>
  <c r="J999" i="40" a="1"/>
  <c r="J999" i="40" s="1"/>
  <c r="K1100" i="40" a="1"/>
  <c r="K1100" i="40" s="1"/>
  <c r="J1104" i="40" a="1"/>
  <c r="J1104" i="40" s="1"/>
  <c r="J1309" i="40" a="1"/>
  <c r="J1309" i="40" s="1"/>
  <c r="K1306" i="40" a="1"/>
  <c r="K1306" i="40" s="1"/>
  <c r="K1064" i="40" a="1"/>
  <c r="K1064" i="40" s="1"/>
  <c r="J1068" i="40" a="1"/>
  <c r="J1068" i="40" s="1"/>
  <c r="J779" i="40" a="1"/>
  <c r="J779" i="40" s="1"/>
  <c r="K778" i="40" a="1"/>
  <c r="K778" i="40" s="1"/>
  <c r="J955" i="40" a="1"/>
  <c r="J955" i="40" s="1"/>
  <c r="K954" i="40" a="1"/>
  <c r="K954" i="40" s="1"/>
  <c r="K1328" i="40" a="1"/>
  <c r="K1328" i="40" s="1"/>
  <c r="J1329" i="40" a="1"/>
  <c r="J1329" i="40" s="1"/>
  <c r="J1021" i="40" a="1"/>
  <c r="J1021" i="40" s="1"/>
  <c r="K1020" i="40" a="1"/>
  <c r="K1020" i="40" s="1"/>
  <c r="J1169" i="40" a="1"/>
  <c r="J1169" i="40" s="1"/>
  <c r="K1167" i="40" a="1"/>
  <c r="K1167" i="40" s="1"/>
  <c r="J1268" i="40" a="1"/>
  <c r="J1268" i="40" s="1"/>
  <c r="K1266" i="40" a="1"/>
  <c r="K1266" i="40" s="1"/>
  <c r="J724" i="40" a="1"/>
  <c r="J724" i="40" s="1"/>
  <c r="K723" i="40" a="1"/>
  <c r="K723" i="40" s="1"/>
  <c r="J933" i="40" a="1"/>
  <c r="J933" i="40" s="1"/>
  <c r="K932" i="40" a="1"/>
  <c r="K932" i="40" s="1"/>
  <c r="K965" i="40" a="1"/>
  <c r="K965" i="40" s="1"/>
  <c r="J966" i="40" a="1"/>
  <c r="J966" i="40" s="1"/>
  <c r="J1267" i="40" a="1"/>
  <c r="J1267" i="40" s="1"/>
  <c r="K1265" i="40" a="1"/>
  <c r="K1265" i="40" s="1"/>
  <c r="J908" i="40" a="1"/>
  <c r="J908" i="40" s="1"/>
  <c r="K906" i="40" a="1"/>
  <c r="K906" i="40" s="1"/>
  <c r="J1373" i="40" a="1"/>
  <c r="J1373" i="40" s="1"/>
  <c r="L1373" i="40" s="1"/>
  <c r="K1372" i="40" a="1"/>
  <c r="K1372" i="40" s="1"/>
  <c r="K1302" i="40" a="1"/>
  <c r="K1302" i="40" s="1"/>
  <c r="J1305" i="40" a="1"/>
  <c r="J1305" i="40" s="1"/>
  <c r="K1096" i="40" a="1"/>
  <c r="K1096" i="40" s="1"/>
  <c r="J1100" i="40" a="1"/>
  <c r="J1100" i="40" s="1"/>
  <c r="K870" i="40" a="1"/>
  <c r="K870" i="40" s="1"/>
  <c r="J872" i="40" a="1"/>
  <c r="J872" i="40" s="1"/>
  <c r="K1031" i="40" a="1"/>
  <c r="K1031" i="40" s="1"/>
  <c r="J1032" i="40" a="1"/>
  <c r="J1032" i="40" s="1"/>
  <c r="J1069" i="40" a="1"/>
  <c r="J1069" i="40" s="1"/>
  <c r="K1065" i="40" a="1"/>
  <c r="K1065" i="40" s="1"/>
  <c r="K1246" i="40" a="1"/>
  <c r="K1246" i="40" s="1"/>
  <c r="J1249" i="40" a="1"/>
  <c r="J1249" i="40" s="1"/>
  <c r="J1062" i="40" a="1"/>
  <c r="J1062" i="40" s="1"/>
  <c r="K1058" i="40" a="1"/>
  <c r="K1058" i="40" s="1"/>
  <c r="J780" i="40" a="1"/>
  <c r="J780" i="40" s="1"/>
  <c r="K779" i="40" a="1"/>
  <c r="K779" i="40" s="1"/>
  <c r="O1141" i="40" a="1"/>
  <c r="O1141" i="40" s="1"/>
  <c r="T1141" i="40" s="1"/>
  <c r="M1141" i="40" a="1"/>
  <c r="M1141" i="40" s="1"/>
  <c r="S1141" i="40" s="1"/>
  <c r="N1141" i="40" a="1"/>
  <c r="N1141" i="40" s="1"/>
  <c r="Q1141" i="40" a="1"/>
  <c r="Q1141" i="40" s="1"/>
  <c r="U1141" i="40" s="1"/>
  <c r="P1141" i="40" a="1"/>
  <c r="P1141" i="40" s="1"/>
  <c r="K1101" i="40" a="1"/>
  <c r="K1101" i="40" s="1"/>
  <c r="J1105" i="40" a="1"/>
  <c r="J1105" i="40" s="1"/>
  <c r="K1189" i="40" a="1"/>
  <c r="K1189" i="40" s="1"/>
  <c r="J1191" i="40" a="1"/>
  <c r="J1191" i="40" s="1"/>
  <c r="J1406" i="40" a="1"/>
  <c r="J1406" i="40" s="1"/>
  <c r="K1405" i="40" a="1"/>
  <c r="K1405" i="40" s="1"/>
  <c r="J801" i="40" a="1"/>
  <c r="J801" i="40" s="1"/>
  <c r="K800" i="40" a="1"/>
  <c r="K800" i="40" s="1"/>
  <c r="K1395" i="40" a="1"/>
  <c r="K1395" i="40" s="1"/>
  <c r="J1396" i="40" a="1"/>
  <c r="J1396" i="40" s="1"/>
  <c r="L1396" i="40" s="1"/>
  <c r="K1169" i="40" a="1"/>
  <c r="K1169" i="40" s="1"/>
  <c r="J1171" i="40" a="1"/>
  <c r="J1171" i="40" s="1"/>
  <c r="K790" i="40" a="1"/>
  <c r="K790" i="40" s="1"/>
  <c r="J791" i="40" a="1"/>
  <c r="J791" i="40" s="1"/>
  <c r="J714" i="40" a="1"/>
  <c r="J714" i="40" s="1"/>
  <c r="K713" i="40" a="1"/>
  <c r="K713" i="40" s="1"/>
  <c r="K767" i="40" a="1"/>
  <c r="K767" i="40" s="1"/>
  <c r="J768" i="40" a="1"/>
  <c r="J768" i="40" s="1"/>
  <c r="K943" i="40" a="1"/>
  <c r="K943" i="40" s="1"/>
  <c r="J944" i="40" a="1"/>
  <c r="J944" i="40" s="1"/>
  <c r="J1285" i="40" a="1"/>
  <c r="J1285" i="40" s="1"/>
  <c r="K1284" i="40" a="1"/>
  <c r="K1284" i="40" s="1"/>
  <c r="J1395" i="40" a="1"/>
  <c r="J1395" i="40" s="1"/>
  <c r="L1395" i="40" s="1"/>
  <c r="K1394" i="40" a="1"/>
  <c r="K1394" i="40" s="1"/>
  <c r="R1394" i="40" s="1" a="1"/>
  <c r="R1394" i="40" s="1"/>
  <c r="V1394" i="40" s="1"/>
  <c r="J1213" i="40" a="1"/>
  <c r="J1213" i="40" s="1"/>
  <c r="K1211" i="40" a="1"/>
  <c r="K1211" i="40" s="1"/>
  <c r="J1102" i="40" a="1"/>
  <c r="J1102" i="40" s="1"/>
  <c r="K1098" i="40" a="1"/>
  <c r="K1098" i="40" s="1"/>
  <c r="K1097" i="40" a="1"/>
  <c r="K1097" i="40" s="1"/>
  <c r="J1101" i="40" a="1"/>
  <c r="J1101" i="40" s="1"/>
  <c r="J1238" i="40" a="1"/>
  <c r="J1238" i="40" s="1"/>
  <c r="K1235" i="40" a="1"/>
  <c r="K1235" i="40" s="1"/>
  <c r="J1063" i="40" a="1"/>
  <c r="J1063" i="40" s="1"/>
  <c r="K1059" i="40" a="1"/>
  <c r="K1059" i="40" s="1"/>
  <c r="K848" i="40" a="1"/>
  <c r="K848" i="40" s="1"/>
  <c r="J850" i="40" a="1"/>
  <c r="J850" i="40" s="1"/>
  <c r="K1361" i="40" a="1"/>
  <c r="K1361" i="40" s="1"/>
  <c r="J1362" i="40" a="1"/>
  <c r="J1362" i="40" s="1"/>
  <c r="L1362" i="40" s="1"/>
  <c r="J1153" i="40" a="1"/>
  <c r="J1153" i="40" s="1"/>
  <c r="K1152" i="40" a="1"/>
  <c r="K1152" i="40" s="1"/>
  <c r="J790" i="40" a="1"/>
  <c r="J790" i="40" s="1"/>
  <c r="K789" i="40" a="1"/>
  <c r="K789" i="40" s="1"/>
  <c r="J20" i="40" a="1"/>
  <c r="J20" i="40" s="1"/>
  <c r="N155" i="37" a="1"/>
  <c r="N155" i="37" s="1"/>
  <c r="N219" i="37" a="1"/>
  <c r="N219" i="37" s="1"/>
  <c r="L195" i="37" a="1"/>
  <c r="L195" i="37" s="1"/>
  <c r="L259" i="37" a="1"/>
  <c r="L259" i="37" s="1"/>
  <c r="N239" i="37" a="1"/>
  <c r="N239" i="37" s="1"/>
  <c r="L157" i="37" a="1"/>
  <c r="L157" i="37" s="1"/>
  <c r="L221" i="37" a="1"/>
  <c r="L221" i="37" s="1"/>
  <c r="L198" i="37" a="1"/>
  <c r="L198" i="37" s="1"/>
  <c r="L262" i="37" a="1"/>
  <c r="L262" i="37" s="1"/>
  <c r="N235" i="37" a="1"/>
  <c r="N235" i="37" s="1"/>
  <c r="N229" i="37" a="1"/>
  <c r="N229" i="37" s="1"/>
  <c r="L185" i="37" a="1"/>
  <c r="L185" i="37" s="1"/>
  <c r="L249" i="37" a="1"/>
  <c r="L249" i="37" s="1"/>
  <c r="L199" i="37" a="1"/>
  <c r="L199" i="37" s="1"/>
  <c r="L263" i="37" a="1"/>
  <c r="L263" i="37" s="1"/>
  <c r="L169" i="37" a="1"/>
  <c r="L169" i="37" s="1"/>
  <c r="L233" i="37" a="1"/>
  <c r="L233" i="37" s="1"/>
  <c r="L159" i="37" a="1"/>
  <c r="L159" i="37" s="1"/>
  <c r="L223" i="37" a="1"/>
  <c r="L223" i="37" s="1"/>
  <c r="L158" i="37" a="1"/>
  <c r="L158" i="37" s="1"/>
  <c r="L222" i="37" a="1"/>
  <c r="L222" i="37" s="1"/>
  <c r="L139" i="37" a="1"/>
  <c r="L139" i="37" s="1"/>
  <c r="L203" i="37" a="1"/>
  <c r="L203" i="37" s="1"/>
  <c r="L160" i="37" a="1"/>
  <c r="L160" i="37" s="1"/>
  <c r="L224" i="37" a="1"/>
  <c r="L224" i="37" s="1"/>
  <c r="L181" i="37" a="1"/>
  <c r="L181" i="37" s="1"/>
  <c r="L245" i="37" a="1"/>
  <c r="L245" i="37" s="1"/>
  <c r="L163" i="37" a="1"/>
  <c r="L163" i="37" s="1"/>
  <c r="L227" i="37" a="1"/>
  <c r="L227" i="37" s="1"/>
  <c r="L170" i="37" a="1"/>
  <c r="L170" i="37" s="1"/>
  <c r="L234" i="37" a="1"/>
  <c r="L234" i="37" s="1"/>
  <c r="L138" i="37" a="1"/>
  <c r="L138" i="37" s="1"/>
  <c r="L202" i="37" a="1"/>
  <c r="L202" i="37" s="1"/>
  <c r="L194" i="37" a="1"/>
  <c r="L194" i="37" s="1"/>
  <c r="L258" i="37" a="1"/>
  <c r="L258" i="37" s="1"/>
  <c r="L168" i="37" a="1"/>
  <c r="L168" i="37" s="1"/>
  <c r="J252" i="40" s="1" a="1"/>
  <c r="J252" i="40" s="1"/>
  <c r="L232" i="37" a="1"/>
  <c r="L232" i="37" s="1"/>
  <c r="L187" i="37" a="1"/>
  <c r="L187" i="37" s="1"/>
  <c r="L251" i="37" a="1"/>
  <c r="L251" i="37" s="1"/>
  <c r="L183" i="37" a="1"/>
  <c r="L183" i="37" s="1"/>
  <c r="L247" i="37" a="1"/>
  <c r="L247" i="37" s="1"/>
  <c r="L144" i="37" a="1"/>
  <c r="L144" i="37" s="1"/>
  <c r="L208" i="37" a="1"/>
  <c r="L208" i="37" s="1"/>
  <c r="N218" i="37" a="1"/>
  <c r="N218" i="37" s="1"/>
  <c r="L152" i="37" a="1"/>
  <c r="L152" i="37" s="1"/>
  <c r="L216" i="37" a="1"/>
  <c r="L216" i="37" s="1"/>
  <c r="L164" i="37" a="1"/>
  <c r="L164" i="37" s="1"/>
  <c r="L228" i="37" a="1"/>
  <c r="L228" i="37" s="1"/>
  <c r="L166" i="37" a="1"/>
  <c r="L166" i="37" s="1"/>
  <c r="L230" i="37" a="1"/>
  <c r="L230" i="37" s="1"/>
  <c r="L141" i="37" a="1"/>
  <c r="L141" i="37" s="1"/>
  <c r="J21" i="40" s="1" a="1"/>
  <c r="J21" i="40" s="1"/>
  <c r="L205" i="37" a="1"/>
  <c r="L205" i="37" s="1"/>
  <c r="L192" i="37" a="1"/>
  <c r="L192" i="37" s="1"/>
  <c r="L256" i="37" a="1"/>
  <c r="L256" i="37" s="1"/>
  <c r="L180" i="37" a="1"/>
  <c r="L180" i="37" s="1"/>
  <c r="K427" i="40" s="1" a="1"/>
  <c r="K427" i="40" s="1"/>
  <c r="L244" i="37" a="1"/>
  <c r="L244" i="37" s="1"/>
  <c r="L145" i="37" a="1"/>
  <c r="L145" i="37" s="1"/>
  <c r="K117" i="40" s="1" a="1"/>
  <c r="K117" i="40" s="1"/>
  <c r="L209" i="37" a="1"/>
  <c r="L209" i="37" s="1"/>
  <c r="O213" i="37" a="1"/>
  <c r="O213" i="37" s="1"/>
  <c r="L189" i="37" a="1"/>
  <c r="L189" i="37" s="1"/>
  <c r="K534" i="40" s="1" a="1"/>
  <c r="K534" i="40" s="1"/>
  <c r="L253" i="37" a="1"/>
  <c r="L253" i="37" s="1"/>
  <c r="L137" i="37" a="1"/>
  <c r="L137" i="37" s="1"/>
  <c r="L201" i="37" a="1"/>
  <c r="L201" i="37" s="1"/>
  <c r="L136" i="37" a="1"/>
  <c r="L136" i="37" s="1"/>
  <c r="F25" i="44"/>
  <c r="AB5" i="37"/>
  <c r="M200" i="37" s="1" a="1"/>
  <c r="M200" i="37" s="1"/>
  <c r="K393" i="40" a="1"/>
  <c r="K393" i="40" s="1"/>
  <c r="J284" i="40" a="1"/>
  <c r="J284" i="40" s="1"/>
  <c r="AB17" i="37"/>
  <c r="M212" i="37" s="1" a="1"/>
  <c r="M212" i="37" s="1"/>
  <c r="L148" i="37" a="1"/>
  <c r="L148" i="37" s="1"/>
  <c r="AB15" i="37"/>
  <c r="M210" i="37" s="1" a="1"/>
  <c r="M210" i="37" s="1"/>
  <c r="L146" i="37" a="1"/>
  <c r="L146" i="37" s="1"/>
  <c r="AB55" i="37"/>
  <c r="N250" i="37" s="1" a="1"/>
  <c r="N250" i="37" s="1"/>
  <c r="AB48" i="37"/>
  <c r="M243" i="37" s="1" a="1"/>
  <c r="M243" i="37" s="1"/>
  <c r="L179" i="37" a="1"/>
  <c r="L179" i="37" s="1"/>
  <c r="AB51" i="37"/>
  <c r="M246" i="37" s="1" a="1"/>
  <c r="M246" i="37" s="1"/>
  <c r="L182" i="37" a="1"/>
  <c r="L182" i="37" s="1"/>
  <c r="AB12" i="37"/>
  <c r="AB11" i="37"/>
  <c r="M206" i="37" s="1" a="1"/>
  <c r="M206" i="37" s="1"/>
  <c r="L142" i="37" a="1"/>
  <c r="L142" i="37" s="1"/>
  <c r="AB42" i="37"/>
  <c r="O237" i="37" s="1" a="1"/>
  <c r="O237" i="37" s="1"/>
  <c r="N173" i="37" a="1"/>
  <c r="N173" i="37" s="1"/>
  <c r="K360" i="40" s="1" a="1"/>
  <c r="K360" i="40" s="1"/>
  <c r="AB16" i="37"/>
  <c r="AB66" i="37"/>
  <c r="N261" i="37" s="1" a="1"/>
  <c r="N261" i="37" s="1"/>
  <c r="AB30" i="37"/>
  <c r="AB6" i="37"/>
  <c r="AB62" i="37"/>
  <c r="M257" i="37" s="1" a="1"/>
  <c r="M257" i="37" s="1"/>
  <c r="L193" i="37" a="1"/>
  <c r="L193" i="37" s="1"/>
  <c r="AB22" i="37"/>
  <c r="AB25" i="37"/>
  <c r="O220" i="37" s="1" a="1"/>
  <c r="O220" i="37" s="1"/>
  <c r="N156" i="37" a="1"/>
  <c r="N156" i="37" s="1"/>
  <c r="J207" i="40" s="1" a="1"/>
  <c r="J207" i="40" s="1"/>
  <c r="AB9" i="37"/>
  <c r="M204" i="37" s="1" a="1"/>
  <c r="M204" i="37" s="1"/>
  <c r="L140" i="37" a="1"/>
  <c r="L140" i="37" s="1"/>
  <c r="J76" i="40" s="1" a="1"/>
  <c r="J76" i="40" s="1"/>
  <c r="AB57" i="37"/>
  <c r="N252" i="37" s="1" a="1"/>
  <c r="N252" i="37" s="1"/>
  <c r="AB43" i="37"/>
  <c r="O238" i="37" s="1" a="1"/>
  <c r="O238" i="37" s="1"/>
  <c r="N174" i="37" a="1"/>
  <c r="N174" i="37" s="1"/>
  <c r="AB45" i="37"/>
  <c r="M240" i="37" s="1" a="1"/>
  <c r="M240" i="37" s="1"/>
  <c r="L176" i="37" a="1"/>
  <c r="L176" i="37" s="1"/>
  <c r="AB19" i="37"/>
  <c r="M214" i="37" s="1" a="1"/>
  <c r="M214" i="37" s="1"/>
  <c r="L150" i="37" a="1"/>
  <c r="L150" i="37" s="1"/>
  <c r="J148" i="40" s="1" a="1"/>
  <c r="J148" i="40" s="1"/>
  <c r="AB60" i="37"/>
  <c r="O255" i="37" s="1" a="1"/>
  <c r="O255" i="37" s="1"/>
  <c r="N191" i="37" a="1"/>
  <c r="N191" i="37" s="1"/>
  <c r="AB65" i="37"/>
  <c r="M260" i="37" s="1" a="1"/>
  <c r="M260" i="37" s="1"/>
  <c r="L196" i="37" a="1"/>
  <c r="L196" i="37" s="1"/>
  <c r="K602" i="40" s="1" a="1"/>
  <c r="K602" i="40" s="1"/>
  <c r="AB47" i="37"/>
  <c r="M242" i="37" s="1" a="1"/>
  <c r="M242" i="37" s="1"/>
  <c r="L178" i="37" a="1"/>
  <c r="L178" i="37" s="1"/>
  <c r="K398" i="40" s="1" a="1"/>
  <c r="K398" i="40" s="1"/>
  <c r="AB8" i="37"/>
  <c r="AB36" i="37"/>
  <c r="M231" i="37" s="1" a="1"/>
  <c r="M231" i="37" s="1"/>
  <c r="L167" i="37" a="1"/>
  <c r="L167" i="37" s="1"/>
  <c r="K317" i="40" s="1" a="1"/>
  <c r="K317" i="40" s="1"/>
  <c r="AB31" i="37"/>
  <c r="M226" i="37" s="1" a="1"/>
  <c r="M226" i="37" s="1"/>
  <c r="L162" i="37" a="1"/>
  <c r="L162" i="37" s="1"/>
  <c r="J285" i="40" s="1" a="1"/>
  <c r="J285" i="40" s="1"/>
  <c r="AB7" i="37"/>
  <c r="AB20" i="37"/>
  <c r="M215" i="37" s="1" a="1"/>
  <c r="M215" i="37" s="1"/>
  <c r="L151" i="37" a="1"/>
  <c r="L151" i="37" s="1"/>
  <c r="AB53" i="37"/>
  <c r="M248" i="37" s="1" a="1"/>
  <c r="M248" i="37" s="1"/>
  <c r="L184" i="37" a="1"/>
  <c r="L184" i="37" s="1"/>
  <c r="AB41" i="37"/>
  <c r="M236" i="37" s="1" a="1"/>
  <c r="M236" i="37" s="1"/>
  <c r="L172" i="37" a="1"/>
  <c r="L172" i="37" s="1"/>
  <c r="J358" i="40" s="1" a="1"/>
  <c r="J358" i="40" s="1"/>
  <c r="AB46" i="37"/>
  <c r="M241" i="37" s="1" a="1"/>
  <c r="M241" i="37" s="1"/>
  <c r="L177" i="37" a="1"/>
  <c r="L177" i="37" s="1"/>
  <c r="J401" i="40" s="1" a="1"/>
  <c r="J401" i="40" s="1"/>
  <c r="AB59" i="37"/>
  <c r="M254" i="37" s="1" a="1"/>
  <c r="M254" i="37" s="1"/>
  <c r="L190" i="37" a="1"/>
  <c r="L190" i="37" s="1"/>
  <c r="J396" i="40" a="1"/>
  <c r="J396" i="40" s="1"/>
  <c r="J465" i="40" a="1"/>
  <c r="J465" i="40" s="1"/>
  <c r="J510" i="40" a="1"/>
  <c r="J510" i="40" s="1"/>
  <c r="J602" i="40" a="1"/>
  <c r="J602" i="40" s="1"/>
  <c r="K203" i="40" a="1"/>
  <c r="K203" i="40" s="1"/>
  <c r="J669" i="40" a="1"/>
  <c r="J669" i="40" s="1"/>
  <c r="L669" i="40" s="1"/>
  <c r="K350" i="40" a="1"/>
  <c r="K350" i="40" s="1"/>
  <c r="K250" i="40" a="1"/>
  <c r="K250" i="40" s="1"/>
  <c r="J601" i="40" a="1"/>
  <c r="J601" i="40" s="1"/>
  <c r="J398" i="40" a="1"/>
  <c r="J398" i="40" s="1"/>
  <c r="K96" i="40" a="1"/>
  <c r="K96" i="40" s="1"/>
  <c r="K356" i="40" a="1"/>
  <c r="K356" i="40" s="1"/>
  <c r="J317" i="40" a="1"/>
  <c r="J317" i="40" s="1"/>
  <c r="J117" i="40" a="1"/>
  <c r="J117" i="40" s="1"/>
  <c r="K580" i="40" a="1"/>
  <c r="K580" i="40" s="1"/>
  <c r="AB13" i="37"/>
  <c r="AB44" i="37"/>
  <c r="M175" i="37" s="1" a="1"/>
  <c r="M175" i="37" s="1"/>
  <c r="J403" i="40" s="1" a="1"/>
  <c r="J403" i="40" s="1"/>
  <c r="AB10" i="37"/>
  <c r="K690" i="40" a="1"/>
  <c r="K690" i="40" s="1"/>
  <c r="R690" i="40" s="1" a="1"/>
  <c r="R690" i="40" s="1"/>
  <c r="V690" i="40" s="1"/>
  <c r="J691" i="40" a="1"/>
  <c r="J691" i="40" s="1"/>
  <c r="L691" i="40" s="1"/>
  <c r="K228" i="40" a="1"/>
  <c r="K228" i="40" s="1"/>
  <c r="J229" i="40" a="1"/>
  <c r="J229" i="40" s="1"/>
  <c r="AB23" i="37"/>
  <c r="M154" i="37" s="1" a="1"/>
  <c r="M154" i="37" s="1"/>
  <c r="K186" i="40" s="1" a="1"/>
  <c r="K186" i="40" s="1"/>
  <c r="AB34" i="37"/>
  <c r="M165" i="37" s="1" a="1"/>
  <c r="M165" i="37" s="1"/>
  <c r="K307" i="40" s="1" a="1"/>
  <c r="K307" i="40" s="1"/>
  <c r="AB49" i="37"/>
  <c r="J295" i="40" a="1"/>
  <c r="J295" i="40" s="1"/>
  <c r="AB33" i="37"/>
  <c r="AB27" i="37"/>
  <c r="AB58" i="37"/>
  <c r="P690" i="40" a="1"/>
  <c r="P690" i="40" s="1"/>
  <c r="O690" i="40" a="1"/>
  <c r="O690" i="40" s="1"/>
  <c r="T690" i="40" s="1"/>
  <c r="Q690" i="40" a="1"/>
  <c r="Q690" i="40" s="1"/>
  <c r="U690" i="40" s="1"/>
  <c r="N690" i="40" a="1"/>
  <c r="N690" i="40" s="1"/>
  <c r="M690" i="40" a="1"/>
  <c r="M690" i="40" s="1"/>
  <c r="S690" i="40" s="1"/>
  <c r="J702" i="40" a="1"/>
  <c r="J702" i="40" s="1"/>
  <c r="K701" i="40" a="1"/>
  <c r="K701" i="40" s="1"/>
  <c r="AB18" i="37"/>
  <c r="M149" i="37" s="1" a="1"/>
  <c r="M149" i="37" s="1"/>
  <c r="J449" i="40" a="1"/>
  <c r="J449" i="40" s="1"/>
  <c r="K448" i="40" a="1"/>
  <c r="K448" i="40" s="1"/>
  <c r="AB54" i="37"/>
  <c r="K357" i="40" a="1"/>
  <c r="K357" i="40" s="1"/>
  <c r="J361" i="40" a="1"/>
  <c r="J361" i="40" s="1"/>
  <c r="AB56" i="37"/>
  <c r="K462" i="40" a="1"/>
  <c r="K462" i="40" s="1"/>
  <c r="J464" i="40" a="1"/>
  <c r="J464" i="40" s="1"/>
  <c r="K485" i="40" a="1"/>
  <c r="K485" i="40" s="1"/>
  <c r="J487" i="40" a="1"/>
  <c r="J487" i="40" s="1"/>
  <c r="J146" i="40" a="1"/>
  <c r="J146" i="40" s="1"/>
  <c r="K115" i="40" a="1"/>
  <c r="K115" i="40" s="1"/>
  <c r="J118" i="40" a="1"/>
  <c r="J118" i="40" s="1"/>
  <c r="J636" i="40" a="1"/>
  <c r="J636" i="40" s="1"/>
  <c r="K635" i="40" a="1"/>
  <c r="K635" i="40" s="1"/>
  <c r="J438" i="40" a="1"/>
  <c r="J438" i="40" s="1"/>
  <c r="K437" i="40" a="1"/>
  <c r="K437" i="40" s="1"/>
  <c r="K272" i="40" a="1"/>
  <c r="K272" i="40" s="1"/>
  <c r="J273" i="40" a="1"/>
  <c r="J273" i="40" s="1"/>
  <c r="AB26" i="37"/>
  <c r="AB52" i="37"/>
  <c r="AB29" i="37"/>
  <c r="AB24" i="37"/>
  <c r="AB68" i="37"/>
  <c r="AB50" i="37"/>
  <c r="AB64" i="37"/>
  <c r="J168" i="40" a="1"/>
  <c r="J168" i="40" s="1"/>
  <c r="K166" i="40" a="1"/>
  <c r="K166" i="40" s="1"/>
  <c r="K85" i="40" a="1"/>
  <c r="K85" i="40" s="1"/>
  <c r="J86" i="40" a="1"/>
  <c r="J86" i="40" s="1"/>
  <c r="AB37" i="37"/>
  <c r="K562" i="40" a="1"/>
  <c r="K562" i="40" s="1"/>
  <c r="J564" i="40" a="1"/>
  <c r="J564" i="40" s="1"/>
  <c r="J328" i="40" a="1"/>
  <c r="J328" i="40" s="1"/>
  <c r="K327" i="40" a="1"/>
  <c r="K327" i="40" s="1"/>
  <c r="AB63" i="37"/>
  <c r="AB14" i="37"/>
  <c r="J240" i="40" a="1"/>
  <c r="J240" i="40" s="1"/>
  <c r="K239" i="40" a="1"/>
  <c r="K239" i="40" s="1"/>
  <c r="AB35" i="37"/>
  <c r="K624" i="40" a="1"/>
  <c r="K624" i="40" s="1"/>
  <c r="J625" i="40" a="1"/>
  <c r="J625" i="40" s="1"/>
  <c r="AB40" i="37"/>
  <c r="M171" i="37" s="1" a="1"/>
  <c r="M171" i="37" s="1"/>
  <c r="J359" i="40" s="1" a="1"/>
  <c r="J359" i="40" s="1"/>
  <c r="AB32" i="37"/>
  <c r="J563" i="40" a="1"/>
  <c r="J563" i="40" s="1"/>
  <c r="K561" i="40" a="1"/>
  <c r="K561" i="40" s="1"/>
  <c r="AB39" i="37"/>
  <c r="J262" i="40" a="1"/>
  <c r="J262" i="40" s="1"/>
  <c r="K261" i="40" a="1"/>
  <c r="K261" i="40" s="1"/>
  <c r="J75" i="40" a="1"/>
  <c r="J75" i="40" s="1"/>
  <c r="J31" i="40" a="1"/>
  <c r="J31" i="40" s="1"/>
  <c r="K30" i="40" a="1"/>
  <c r="K30" i="40" s="1"/>
  <c r="J204" i="40" a="1"/>
  <c r="J204" i="40" s="1"/>
  <c r="K202" i="40" a="1"/>
  <c r="K202" i="40" s="1"/>
  <c r="AB28" i="37"/>
  <c r="AB67" i="37"/>
  <c r="AB21" i="37"/>
  <c r="J535" i="40" a="1"/>
  <c r="J535" i="40" s="1"/>
  <c r="K532" i="40" a="1"/>
  <c r="K532" i="40" s="1"/>
  <c r="AB61" i="37"/>
  <c r="AB38" i="37"/>
  <c r="J534" i="40" a="1"/>
  <c r="J534" i="40" s="1"/>
  <c r="J64" i="40" a="1"/>
  <c r="J64" i="40" s="1"/>
  <c r="K63" i="40" a="1"/>
  <c r="K63" i="40" s="1"/>
  <c r="J53" i="40" a="1"/>
  <c r="J53" i="40" s="1"/>
  <c r="K52" i="40" a="1"/>
  <c r="K52" i="40" s="1"/>
  <c r="J509" i="40" a="1"/>
  <c r="J509" i="40" s="1"/>
  <c r="K507" i="40" a="1"/>
  <c r="K507" i="40" s="1"/>
  <c r="K657" i="40" a="1"/>
  <c r="K657" i="40" s="1"/>
  <c r="J658" i="40" a="1"/>
  <c r="J658" i="40" s="1"/>
  <c r="L658" i="40" s="1"/>
  <c r="K679" i="40" a="1"/>
  <c r="K679" i="40" s="1"/>
  <c r="J680" i="40" a="1"/>
  <c r="J680" i="40" s="1"/>
  <c r="L680" i="40" s="1"/>
  <c r="J218" i="40" a="1"/>
  <c r="J218" i="40" s="1"/>
  <c r="K217" i="40" a="1"/>
  <c r="K217" i="40" s="1"/>
  <c r="J539" i="40" a="1"/>
  <c r="J539" i="40" s="1"/>
  <c r="K536" i="40" a="1"/>
  <c r="K536" i="40" s="1"/>
  <c r="P438" i="40" l="1" a="1"/>
  <c r="P438" i="40" s="1"/>
  <c r="L438" i="40"/>
  <c r="P55" i="31"/>
  <c r="P57" i="31"/>
  <c r="P59" i="31"/>
  <c r="P58" i="31"/>
  <c r="P60" i="31"/>
  <c r="P56" i="31"/>
  <c r="K9" i="40" a="1"/>
  <c r="K9" i="40" s="1"/>
  <c r="J296" i="40" a="1"/>
  <c r="J296" i="40" s="1"/>
  <c r="K97" i="40" a="1"/>
  <c r="K97" i="40" s="1"/>
  <c r="E25" i="44"/>
  <c r="F11" i="44" s="1"/>
  <c r="E11" i="44" s="1"/>
  <c r="J832" i="40" a="1"/>
  <c r="J832" i="40" s="1"/>
  <c r="K600" i="40" a="1"/>
  <c r="K600" i="40" s="1"/>
  <c r="K1354" i="40" a="1"/>
  <c r="K1354" i="40" s="1"/>
  <c r="J648" i="40" a="1"/>
  <c r="J648" i="40" s="1"/>
  <c r="K399" i="40" a="1"/>
  <c r="K399" i="40" s="1"/>
  <c r="M188" i="37" a="1"/>
  <c r="M188" i="37" s="1"/>
  <c r="J512" i="40" s="1" a="1"/>
  <c r="J512" i="40" s="1"/>
  <c r="K355" i="40" a="1"/>
  <c r="K355" i="40" s="1"/>
  <c r="J308" i="40" a="1"/>
  <c r="J308" i="40" s="1"/>
  <c r="J187" i="40" a="1"/>
  <c r="J187" i="40" s="1"/>
  <c r="K877" i="40" a="1"/>
  <c r="K877" i="40" s="1"/>
  <c r="K486" i="40" a="1"/>
  <c r="K486" i="40" s="1"/>
  <c r="P217" i="37" a="1"/>
  <c r="P217" i="37" s="1"/>
  <c r="J881" i="40" s="1" a="1"/>
  <c r="J881" i="40" s="1"/>
  <c r="M153" i="37" a="1"/>
  <c r="M153" i="37" s="1"/>
  <c r="P207" i="37" a="1"/>
  <c r="P207" i="37" s="1"/>
  <c r="J1356" i="40" s="1" a="1"/>
  <c r="J1356" i="40" s="1"/>
  <c r="M143" i="37" a="1"/>
  <c r="M143" i="37" s="1"/>
  <c r="K648" i="40" s="1" a="1"/>
  <c r="K648" i="40" s="1"/>
  <c r="K116" i="40" a="1"/>
  <c r="K116" i="40" s="1"/>
  <c r="J119" i="40" a="1"/>
  <c r="J119" i="40" s="1"/>
  <c r="P211" i="37" a="1"/>
  <c r="P211" i="37" s="1"/>
  <c r="K832" i="40" s="1" a="1"/>
  <c r="K832" i="40" s="1"/>
  <c r="M147" i="37" a="1"/>
  <c r="M147" i="37" s="1"/>
  <c r="J149" i="40" a="1"/>
  <c r="J149" i="40" s="1"/>
  <c r="K147" i="40" a="1"/>
  <c r="K147" i="40" s="1"/>
  <c r="Q225" i="37" a="1"/>
  <c r="Q225" i="37" s="1"/>
  <c r="J752" i="40" s="1" a="1"/>
  <c r="J752" i="40" s="1"/>
  <c r="M161" i="37" a="1"/>
  <c r="M161" i="37" s="1"/>
  <c r="J751" i="40" a="1"/>
  <c r="J751" i="40" s="1"/>
  <c r="M197" i="37" a="1"/>
  <c r="M197" i="37" s="1"/>
  <c r="J606" i="40" s="1" a="1"/>
  <c r="J606" i="40" s="1"/>
  <c r="K42" i="40" a="1"/>
  <c r="K42" i="40" s="1"/>
  <c r="J43" i="40" a="1"/>
  <c r="J43" i="40" s="1"/>
  <c r="K167" i="40" a="1"/>
  <c r="K167" i="40" s="1"/>
  <c r="J169" i="40" a="1"/>
  <c r="J169" i="40" s="1"/>
  <c r="M186" i="37" a="1"/>
  <c r="M186" i="37" s="1"/>
  <c r="J490" i="40" s="1" a="1"/>
  <c r="J490" i="40" s="1"/>
  <c r="J537" i="40" a="1"/>
  <c r="J537" i="40" s="1"/>
  <c r="R1395" i="40" a="1"/>
  <c r="R1395" i="40" s="1"/>
  <c r="V1395" i="40" s="1"/>
  <c r="K911" i="40" a="1"/>
  <c r="K911" i="40" s="1"/>
  <c r="J913" i="40" a="1"/>
  <c r="J913" i="40" s="1"/>
  <c r="O1396" i="40" a="1"/>
  <c r="O1396" i="40" s="1"/>
  <c r="T1396" i="40" s="1"/>
  <c r="M1396" i="40" a="1"/>
  <c r="M1396" i="40" s="1"/>
  <c r="S1396" i="40" s="1"/>
  <c r="Q1396" i="40" a="1"/>
  <c r="Q1396" i="40" s="1"/>
  <c r="U1396" i="40" s="1"/>
  <c r="P1396" i="40" a="1"/>
  <c r="P1396" i="40" s="1"/>
  <c r="N1396" i="40" a="1"/>
  <c r="N1396" i="40" s="1"/>
  <c r="R1142" i="40" a="1"/>
  <c r="R1142" i="40" s="1"/>
  <c r="V1142" i="40" s="1"/>
  <c r="J828" i="40" a="1"/>
  <c r="J828" i="40" s="1"/>
  <c r="K825" i="40" a="1"/>
  <c r="K825" i="40" s="1"/>
  <c r="K1063" i="40" a="1"/>
  <c r="K1063" i="40" s="1"/>
  <c r="J1067" i="40" a="1"/>
  <c r="J1067" i="40" s="1"/>
  <c r="M1143" i="40" a="1"/>
  <c r="M1143" i="40" s="1"/>
  <c r="S1143" i="40" s="1"/>
  <c r="O1143" i="40" a="1"/>
  <c r="O1143" i="40" s="1"/>
  <c r="T1143" i="40" s="1"/>
  <c r="Q1143" i="40" a="1"/>
  <c r="Q1143" i="40" s="1"/>
  <c r="U1143" i="40" s="1"/>
  <c r="P1143" i="40" a="1"/>
  <c r="P1143" i="40" s="1"/>
  <c r="N1143" i="40" a="1"/>
  <c r="N1143" i="40" s="1"/>
  <c r="J1110" i="40" a="1"/>
  <c r="J1110" i="40" s="1"/>
  <c r="K1106" i="40" a="1"/>
  <c r="K1106" i="40" s="1"/>
  <c r="J1132" i="40" a="1"/>
  <c r="J1132" i="40" s="1"/>
  <c r="L1132" i="40" s="1"/>
  <c r="K1131" i="40" a="1"/>
  <c r="K1131" i="40" s="1"/>
  <c r="K966" i="40" a="1"/>
  <c r="K966" i="40" s="1"/>
  <c r="J967" i="40" a="1"/>
  <c r="J967" i="40" s="1"/>
  <c r="J1109" i="40" a="1"/>
  <c r="J1109" i="40" s="1"/>
  <c r="K1105" i="40" a="1"/>
  <c r="K1105" i="40" s="1"/>
  <c r="K1309" i="40" a="1"/>
  <c r="K1309" i="40" s="1"/>
  <c r="J1312" i="40" a="1"/>
  <c r="J1312" i="40" s="1"/>
  <c r="K1069" i="40" a="1"/>
  <c r="K1069" i="40" s="1"/>
  <c r="J1073" i="40" a="1"/>
  <c r="J1073" i="40" s="1"/>
  <c r="K1385" i="40" a="1"/>
  <c r="K1385" i="40" s="1"/>
  <c r="J1386" i="40" a="1"/>
  <c r="J1386" i="40" s="1"/>
  <c r="L1386" i="40" s="1"/>
  <c r="J1154" i="40" a="1"/>
  <c r="J1154" i="40" s="1"/>
  <c r="K1153" i="40" a="1"/>
  <c r="K1153" i="40" s="1"/>
  <c r="J758" i="40" a="1"/>
  <c r="J758" i="40" s="1"/>
  <c r="K757" i="40" a="1"/>
  <c r="K757" i="40" s="1"/>
  <c r="J990" i="40" a="1"/>
  <c r="J990" i="40" s="1"/>
  <c r="K989" i="40" a="1"/>
  <c r="K989" i="40" s="1"/>
  <c r="J1144" i="40" a="1"/>
  <c r="J1144" i="40" s="1"/>
  <c r="L1144" i="40" s="1"/>
  <c r="K1143" i="40" a="1"/>
  <c r="K1143" i="40" s="1"/>
  <c r="R1143" i="40" s="1" a="1"/>
  <c r="R1143" i="40" s="1"/>
  <c r="V1143" i="40" s="1"/>
  <c r="K1374" i="40" a="1"/>
  <c r="K1374" i="40" s="1"/>
  <c r="J1375" i="40" a="1"/>
  <c r="J1375" i="40" s="1"/>
  <c r="L1375" i="40" s="1"/>
  <c r="K1238" i="40" a="1"/>
  <c r="K1238" i="40" s="1"/>
  <c r="J1241" i="40" a="1"/>
  <c r="J1241" i="40" s="1"/>
  <c r="J1269" i="40" a="1"/>
  <c r="J1269" i="40" s="1"/>
  <c r="K1267" i="40" a="1"/>
  <c r="K1267" i="40" s="1"/>
  <c r="J874" i="40" a="1"/>
  <c r="J874" i="40" s="1"/>
  <c r="K872" i="40" a="1"/>
  <c r="K872" i="40" s="1"/>
  <c r="K1213" i="40" a="1"/>
  <c r="K1213" i="40" s="1"/>
  <c r="J1215" i="40" a="1"/>
  <c r="J1215" i="40" s="1"/>
  <c r="J1033" i="40" a="1"/>
  <c r="J1033" i="40" s="1"/>
  <c r="K1032" i="40" a="1"/>
  <c r="K1032" i="40" s="1"/>
  <c r="K768" i="40" a="1"/>
  <c r="K768" i="40" s="1"/>
  <c r="J769" i="40" a="1"/>
  <c r="J769" i="40" s="1"/>
  <c r="J1341" i="40" a="1"/>
  <c r="J1341" i="40" s="1"/>
  <c r="K1340" i="40" a="1"/>
  <c r="K1340" i="40" s="1"/>
  <c r="K1329" i="40" a="1"/>
  <c r="K1329" i="40" s="1"/>
  <c r="J1330" i="40" a="1"/>
  <c r="J1330" i="40" s="1"/>
  <c r="J910" i="40" a="1"/>
  <c r="J910" i="40" s="1"/>
  <c r="K908" i="40" a="1"/>
  <c r="K908" i="40" s="1"/>
  <c r="N1395" i="40" a="1"/>
  <c r="N1395" i="40" s="1"/>
  <c r="M1395" i="40" a="1"/>
  <c r="M1395" i="40" s="1"/>
  <c r="S1395" i="40" s="1"/>
  <c r="O1395" i="40" a="1"/>
  <c r="O1395" i="40" s="1"/>
  <c r="T1395" i="40" s="1"/>
  <c r="Q1395" i="40" a="1"/>
  <c r="Q1395" i="40" s="1"/>
  <c r="U1395" i="40" s="1"/>
  <c r="P1395" i="40" a="1"/>
  <c r="P1395" i="40" s="1"/>
  <c r="K1242" i="40" a="1"/>
  <c r="K1242" i="40" s="1"/>
  <c r="J1245" i="40" a="1"/>
  <c r="J1245" i="40" s="1"/>
  <c r="K999" i="40" a="1"/>
  <c r="K999" i="40" s="1"/>
  <c r="J1000" i="40" a="1"/>
  <c r="J1000" i="40" s="1"/>
  <c r="K1062" i="40" a="1"/>
  <c r="K1062" i="40" s="1"/>
  <c r="J1066" i="40" a="1"/>
  <c r="J1066" i="40" s="1"/>
  <c r="J1308" i="40" a="1"/>
  <c r="J1308" i="40" s="1"/>
  <c r="K1305" i="40" a="1"/>
  <c r="K1305" i="40" s="1"/>
  <c r="J1252" i="40" a="1"/>
  <c r="J1252" i="40" s="1"/>
  <c r="K1249" i="40" a="1"/>
  <c r="K1249" i="40" s="1"/>
  <c r="K1022" i="40" a="1"/>
  <c r="K1022" i="40" s="1"/>
  <c r="J1023" i="40" a="1"/>
  <c r="J1023" i="40" s="1"/>
  <c r="K1068" i="40" a="1"/>
  <c r="K1068" i="40" s="1"/>
  <c r="J1072" i="40" a="1"/>
  <c r="J1072" i="40" s="1"/>
  <c r="J1397" i="40" a="1"/>
  <c r="J1397" i="40" s="1"/>
  <c r="L1397" i="40" s="1"/>
  <c r="K1396" i="40" a="1"/>
  <c r="K1396" i="40" s="1"/>
  <c r="R1396" i="40" s="1" a="1"/>
  <c r="R1396" i="40" s="1"/>
  <c r="V1396" i="40" s="1"/>
  <c r="K855" i="40" a="1"/>
  <c r="K855" i="40" s="1"/>
  <c r="J857" i="40" a="1"/>
  <c r="J857" i="40" s="1"/>
  <c r="J725" i="40" a="1"/>
  <c r="J725" i="40" s="1"/>
  <c r="K724" i="40" a="1"/>
  <c r="K724" i="40" s="1"/>
  <c r="J892" i="40" a="1"/>
  <c r="J892" i="40" s="1"/>
  <c r="K891" i="40" a="1"/>
  <c r="K891" i="40" s="1"/>
  <c r="J956" i="40" a="1"/>
  <c r="J956" i="40" s="1"/>
  <c r="K955" i="40" a="1"/>
  <c r="K955" i="40" s="1"/>
  <c r="J978" i="40" a="1"/>
  <c r="J978" i="40" s="1"/>
  <c r="K977" i="40" a="1"/>
  <c r="K977" i="40" s="1"/>
  <c r="K933" i="40" a="1"/>
  <c r="K933" i="40" s="1"/>
  <c r="J934" i="40" a="1"/>
  <c r="J934" i="40" s="1"/>
  <c r="K1191" i="40" a="1"/>
  <c r="K1191" i="40" s="1"/>
  <c r="J1193" i="40" a="1"/>
  <c r="J1193" i="40" s="1"/>
  <c r="K922" i="40" a="1"/>
  <c r="K922" i="40" s="1"/>
  <c r="J923" i="40" a="1"/>
  <c r="J923" i="40" s="1"/>
  <c r="K1310" i="40" a="1"/>
  <c r="K1310" i="40" s="1"/>
  <c r="J1313" i="40" a="1"/>
  <c r="J1313" i="40" s="1"/>
  <c r="K735" i="40" a="1"/>
  <c r="K735" i="40" s="1"/>
  <c r="J736" i="40" a="1"/>
  <c r="J736" i="40" s="1"/>
  <c r="K1270" i="40" a="1"/>
  <c r="K1270" i="40" s="1"/>
  <c r="J1272" i="40" a="1"/>
  <c r="J1272" i="40" s="1"/>
  <c r="J1173" i="40" a="1"/>
  <c r="J1173" i="40" s="1"/>
  <c r="K1171" i="40" a="1"/>
  <c r="K1171" i="40" s="1"/>
  <c r="J854" i="40" a="1"/>
  <c r="J854" i="40" s="1"/>
  <c r="K852" i="40" a="1"/>
  <c r="K852" i="40" s="1"/>
  <c r="J781" i="40" a="1"/>
  <c r="J781" i="40" s="1"/>
  <c r="K780" i="40" a="1"/>
  <c r="K780" i="40" s="1"/>
  <c r="J715" i="40" a="1"/>
  <c r="J715" i="40" s="1"/>
  <c r="K714" i="40" a="1"/>
  <c r="K714" i="40" s="1"/>
  <c r="K1104" i="40" a="1"/>
  <c r="K1104" i="40" s="1"/>
  <c r="J1108" i="40" a="1"/>
  <c r="J1108" i="40" s="1"/>
  <c r="Q1142" i="40" a="1"/>
  <c r="Q1142" i="40" s="1"/>
  <c r="U1142" i="40" s="1"/>
  <c r="P1142" i="40" a="1"/>
  <c r="P1142" i="40" s="1"/>
  <c r="M1142" i="40" a="1"/>
  <c r="M1142" i="40" s="1"/>
  <c r="S1142" i="40" s="1"/>
  <c r="N1142" i="40" a="1"/>
  <c r="N1142" i="40" s="1"/>
  <c r="O1142" i="40" a="1"/>
  <c r="O1142" i="40" s="1"/>
  <c r="T1142" i="40" s="1"/>
  <c r="J1170" i="40" a="1"/>
  <c r="J1170" i="40" s="1"/>
  <c r="K1168" i="40" a="1"/>
  <c r="K1168" i="40" s="1"/>
  <c r="J1218" i="40" a="1"/>
  <c r="J1218" i="40" s="1"/>
  <c r="K1216" i="40" a="1"/>
  <c r="K1216" i="40" s="1"/>
  <c r="K791" i="40" a="1"/>
  <c r="K791" i="40" s="1"/>
  <c r="J792" i="40" a="1"/>
  <c r="J792" i="40" s="1"/>
  <c r="J1196" i="40" a="1"/>
  <c r="J1196" i="40" s="1"/>
  <c r="K1194" i="40" a="1"/>
  <c r="K1194" i="40" s="1"/>
  <c r="K821" i="40" a="1"/>
  <c r="K821" i="40" s="1"/>
  <c r="J824" i="40" a="1"/>
  <c r="J824" i="40" s="1"/>
  <c r="K1362" i="40" a="1"/>
  <c r="K1362" i="40" s="1"/>
  <c r="J1363" i="40" a="1"/>
  <c r="J1363" i="40" s="1"/>
  <c r="L1363" i="40" s="1"/>
  <c r="K801" i="40" a="1"/>
  <c r="K801" i="40" s="1"/>
  <c r="J802" i="40" a="1"/>
  <c r="J802" i="40" s="1"/>
  <c r="J1286" i="40" a="1"/>
  <c r="J1286" i="40" s="1"/>
  <c r="K1285" i="40" a="1"/>
  <c r="K1285" i="40" s="1"/>
  <c r="K1406" i="40" a="1"/>
  <c r="K1406" i="40" s="1"/>
  <c r="J1407" i="40" a="1"/>
  <c r="J1407" i="40" s="1"/>
  <c r="J945" i="40" a="1"/>
  <c r="J945" i="40" s="1"/>
  <c r="K944" i="40" a="1"/>
  <c r="K944" i="40" s="1"/>
  <c r="J1013" i="40" a="1"/>
  <c r="J1013" i="40" s="1"/>
  <c r="K1012" i="40" a="1"/>
  <c r="K1012" i="40" s="1"/>
  <c r="K1107" i="40" a="1"/>
  <c r="K1107" i="40" s="1"/>
  <c r="J1111" i="40" a="1"/>
  <c r="J1111" i="40" s="1"/>
  <c r="J98" i="40" a="1"/>
  <c r="J98" i="40" s="1"/>
  <c r="K20" i="40" a="1"/>
  <c r="K20" i="40" s="1"/>
  <c r="M194" i="37" a="1"/>
  <c r="M194" i="37" s="1"/>
  <c r="M258" i="37" a="1"/>
  <c r="M258" i="37" s="1"/>
  <c r="O155" i="37" a="1"/>
  <c r="O155" i="37" s="1"/>
  <c r="O219" i="37" a="1"/>
  <c r="O219" i="37" s="1"/>
  <c r="M141" i="37" a="1"/>
  <c r="M141" i="37" s="1"/>
  <c r="K21" i="40" s="1" a="1"/>
  <c r="K21" i="40" s="1"/>
  <c r="M205" i="37" a="1"/>
  <c r="M205" i="37" s="1"/>
  <c r="M139" i="37" a="1"/>
  <c r="M139" i="37" s="1"/>
  <c r="M203" i="37" a="1"/>
  <c r="M203" i="37" s="1"/>
  <c r="M160" i="37" a="1"/>
  <c r="M160" i="37" s="1"/>
  <c r="M224" i="37" a="1"/>
  <c r="M224" i="37" s="1"/>
  <c r="M187" i="37" a="1"/>
  <c r="M187" i="37" s="1"/>
  <c r="M251" i="37" a="1"/>
  <c r="M251" i="37" s="1"/>
  <c r="M180" i="37" a="1"/>
  <c r="M180" i="37" s="1"/>
  <c r="K428" i="40" s="1" a="1"/>
  <c r="K428" i="40" s="1"/>
  <c r="M244" i="37" a="1"/>
  <c r="M244" i="37" s="1"/>
  <c r="O239" i="37" a="1"/>
  <c r="O239" i="37" s="1"/>
  <c r="M192" i="37" a="1"/>
  <c r="M192" i="37" s="1"/>
  <c r="M256" i="37" a="1"/>
  <c r="M256" i="37" s="1"/>
  <c r="M163" i="37" a="1"/>
  <c r="M163" i="37" s="1"/>
  <c r="M227" i="37" a="1"/>
  <c r="M227" i="37" s="1"/>
  <c r="M145" i="37" a="1"/>
  <c r="M145" i="37" s="1"/>
  <c r="K120" i="40" s="1" a="1"/>
  <c r="K120" i="40" s="1"/>
  <c r="M209" i="37" a="1"/>
  <c r="M209" i="37" s="1"/>
  <c r="M199" i="37" a="1"/>
  <c r="M199" i="37" s="1"/>
  <c r="M263" i="37" a="1"/>
  <c r="M263" i="37" s="1"/>
  <c r="M152" i="37" a="1"/>
  <c r="M152" i="37" s="1"/>
  <c r="J172" i="40" s="1" a="1"/>
  <c r="J172" i="40" s="1"/>
  <c r="M216" i="37" a="1"/>
  <c r="M216" i="37" s="1"/>
  <c r="M198" i="37" a="1"/>
  <c r="M198" i="37" s="1"/>
  <c r="M262" i="37" a="1"/>
  <c r="M262" i="37" s="1"/>
  <c r="M166" i="37" a="1"/>
  <c r="M166" i="37" s="1"/>
  <c r="M230" i="37" a="1"/>
  <c r="M230" i="37" s="1"/>
  <c r="M157" i="37" a="1"/>
  <c r="M157" i="37" s="1"/>
  <c r="M221" i="37" a="1"/>
  <c r="M221" i="37" s="1"/>
  <c r="O218" i="37" a="1"/>
  <c r="O218" i="37" s="1"/>
  <c r="M138" i="37" a="1"/>
  <c r="M138" i="37" s="1"/>
  <c r="M202" i="37" a="1"/>
  <c r="M202" i="37" s="1"/>
  <c r="P213" i="37" a="1"/>
  <c r="P213" i="37" s="1"/>
  <c r="M189" i="37" a="1"/>
  <c r="M189" i="37" s="1"/>
  <c r="J540" i="40" s="1" a="1"/>
  <c r="J540" i="40" s="1"/>
  <c r="M253" i="37" a="1"/>
  <c r="M253" i="37" s="1"/>
  <c r="O235" i="37" a="1"/>
  <c r="O235" i="37" s="1"/>
  <c r="M159" i="37" a="1"/>
  <c r="M159" i="37" s="1"/>
  <c r="M223" i="37" a="1"/>
  <c r="M223" i="37" s="1"/>
  <c r="M170" i="37" a="1"/>
  <c r="M170" i="37" s="1"/>
  <c r="M234" i="37" a="1"/>
  <c r="M234" i="37" s="1"/>
  <c r="M185" i="37" a="1"/>
  <c r="M185" i="37" s="1"/>
  <c r="M249" i="37" a="1"/>
  <c r="M249" i="37" s="1"/>
  <c r="M158" i="37" a="1"/>
  <c r="M158" i="37" s="1"/>
  <c r="M222" i="37" a="1"/>
  <c r="M222" i="37" s="1"/>
  <c r="M195" i="37" a="1"/>
  <c r="M195" i="37" s="1"/>
  <c r="M259" i="37" a="1"/>
  <c r="M259" i="37" s="1"/>
  <c r="M144" i="37" a="1"/>
  <c r="M144" i="37" s="1"/>
  <c r="K98" i="40" s="1" a="1"/>
  <c r="K98" i="40" s="1"/>
  <c r="M208" i="37" a="1"/>
  <c r="M208" i="37" s="1"/>
  <c r="M137" i="37" a="1"/>
  <c r="M137" i="37" s="1"/>
  <c r="M201" i="37" a="1"/>
  <c r="M201" i="37" s="1"/>
  <c r="M183" i="37" a="1"/>
  <c r="M183" i="37" s="1"/>
  <c r="M247" i="37" a="1"/>
  <c r="M247" i="37" s="1"/>
  <c r="O229" i="37" a="1"/>
  <c r="O229" i="37" s="1"/>
  <c r="M169" i="37" a="1"/>
  <c r="M169" i="37" s="1"/>
  <c r="M233" i="37" a="1"/>
  <c r="M233" i="37" s="1"/>
  <c r="M168" i="37" a="1"/>
  <c r="M168" i="37" s="1"/>
  <c r="K252" i="40" s="1" a="1"/>
  <c r="K252" i="40" s="1"/>
  <c r="M232" i="37" a="1"/>
  <c r="M232" i="37" s="1"/>
  <c r="M181" i="37" a="1"/>
  <c r="M181" i="37" s="1"/>
  <c r="M245" i="37" a="1"/>
  <c r="M245" i="37" s="1"/>
  <c r="M164" i="37" a="1"/>
  <c r="M164" i="37" s="1"/>
  <c r="K296" i="40" s="1" a="1"/>
  <c r="K296" i="40" s="1"/>
  <c r="M228" i="37" a="1"/>
  <c r="M228" i="37" s="1"/>
  <c r="J10" i="40" a="1"/>
  <c r="J10" i="40" s="1"/>
  <c r="M136" i="37" a="1"/>
  <c r="M136" i="37" s="1"/>
  <c r="J11" i="40" s="1" a="1"/>
  <c r="J11" i="40" s="1"/>
  <c r="AC5" i="37"/>
  <c r="K205" i="40" a="1"/>
  <c r="K205" i="40" s="1"/>
  <c r="J605" i="40" a="1"/>
  <c r="J605" i="40" s="1"/>
  <c r="K354" i="40" a="1"/>
  <c r="K354" i="40" s="1"/>
  <c r="J402" i="40" a="1"/>
  <c r="J402" i="40" s="1"/>
  <c r="AC59" i="37"/>
  <c r="N254" i="37" s="1" a="1"/>
  <c r="N254" i="37" s="1"/>
  <c r="M190" i="37" a="1"/>
  <c r="M190" i="37" s="1"/>
  <c r="AC20" i="37"/>
  <c r="N215" i="37" s="1" a="1"/>
  <c r="N215" i="37" s="1"/>
  <c r="M151" i="37" a="1"/>
  <c r="M151" i="37" s="1"/>
  <c r="AC8" i="37"/>
  <c r="AC19" i="37"/>
  <c r="N214" i="37" s="1" a="1"/>
  <c r="N214" i="37" s="1"/>
  <c r="M150" i="37" a="1"/>
  <c r="M150" i="37" s="1"/>
  <c r="K148" i="40" s="1" a="1"/>
  <c r="K148" i="40" s="1"/>
  <c r="AC9" i="37"/>
  <c r="N204" i="37" s="1" a="1"/>
  <c r="N204" i="37" s="1"/>
  <c r="M140" i="37" a="1"/>
  <c r="M140" i="37" s="1"/>
  <c r="K76" i="40" s="1" a="1"/>
  <c r="K76" i="40" s="1"/>
  <c r="AC6" i="37"/>
  <c r="AC42" i="37"/>
  <c r="P237" i="37" s="1" a="1"/>
  <c r="P237" i="37" s="1"/>
  <c r="O173" i="37" a="1"/>
  <c r="O173" i="37" s="1"/>
  <c r="K364" i="40" s="1" a="1"/>
  <c r="K364" i="40" s="1"/>
  <c r="AC48" i="37"/>
  <c r="N243" i="37" s="1" a="1"/>
  <c r="N243" i="37" s="1"/>
  <c r="M179" i="37" a="1"/>
  <c r="M179" i="37" s="1"/>
  <c r="AC46" i="37"/>
  <c r="N241" i="37" s="1" a="1"/>
  <c r="N241" i="37" s="1"/>
  <c r="M177" i="37" a="1"/>
  <c r="M177" i="37" s="1"/>
  <c r="J405" i="40" s="1" a="1"/>
  <c r="J405" i="40" s="1"/>
  <c r="AC7" i="37"/>
  <c r="AC47" i="37"/>
  <c r="N242" i="37" s="1" a="1"/>
  <c r="N242" i="37" s="1"/>
  <c r="M178" i="37" a="1"/>
  <c r="M178" i="37" s="1"/>
  <c r="K402" i="40" s="1" a="1"/>
  <c r="K402" i="40" s="1"/>
  <c r="AC45" i="37"/>
  <c r="N240" i="37" s="1" a="1"/>
  <c r="N240" i="37" s="1"/>
  <c r="M176" i="37" a="1"/>
  <c r="M176" i="37" s="1"/>
  <c r="AC25" i="37"/>
  <c r="P220" i="37" s="1" a="1"/>
  <c r="P220" i="37" s="1"/>
  <c r="O156" i="37" a="1"/>
  <c r="O156" i="37" s="1"/>
  <c r="K207" i="40" s="1" a="1"/>
  <c r="K207" i="40" s="1"/>
  <c r="AC30" i="37"/>
  <c r="AC11" i="37"/>
  <c r="N206" i="37" s="1" a="1"/>
  <c r="N206" i="37" s="1"/>
  <c r="M142" i="37" a="1"/>
  <c r="M142" i="37" s="1"/>
  <c r="AC55" i="37"/>
  <c r="O250" i="37" s="1" a="1"/>
  <c r="O250" i="37" s="1"/>
  <c r="AC41" i="37"/>
  <c r="N236" i="37" s="1" a="1"/>
  <c r="N236" i="37" s="1"/>
  <c r="M172" i="37" a="1"/>
  <c r="M172" i="37" s="1"/>
  <c r="J362" i="40" s="1" a="1"/>
  <c r="J362" i="40" s="1"/>
  <c r="AC31" i="37"/>
  <c r="N226" i="37" s="1" a="1"/>
  <c r="N226" i="37" s="1"/>
  <c r="M162" i="37" a="1"/>
  <c r="M162" i="37" s="1"/>
  <c r="J286" i="40" s="1" a="1"/>
  <c r="J286" i="40" s="1"/>
  <c r="AC65" i="37"/>
  <c r="N260" i="37" s="1" a="1"/>
  <c r="N260" i="37" s="1"/>
  <c r="M196" i="37" a="1"/>
  <c r="M196" i="37" s="1"/>
  <c r="J608" i="40" s="1" a="1"/>
  <c r="J608" i="40" s="1"/>
  <c r="AC43" i="37"/>
  <c r="P238" i="37" s="1" a="1"/>
  <c r="P238" i="37" s="1"/>
  <c r="O174" i="37" a="1"/>
  <c r="O174" i="37" s="1"/>
  <c r="AC22" i="37"/>
  <c r="AC66" i="37"/>
  <c r="O261" i="37" s="1" a="1"/>
  <c r="O261" i="37" s="1"/>
  <c r="AC12" i="37"/>
  <c r="AC15" i="37"/>
  <c r="N210" i="37" s="1" a="1"/>
  <c r="N210" i="37" s="1"/>
  <c r="M146" i="37" a="1"/>
  <c r="M146" i="37" s="1"/>
  <c r="AC53" i="37"/>
  <c r="N248" i="37" s="1" a="1"/>
  <c r="N248" i="37" s="1"/>
  <c r="M184" i="37" a="1"/>
  <c r="M184" i="37" s="1"/>
  <c r="AC36" i="37"/>
  <c r="N231" i="37" s="1" a="1"/>
  <c r="N231" i="37" s="1"/>
  <c r="M167" i="37" a="1"/>
  <c r="M167" i="37" s="1"/>
  <c r="J319" i="40" s="1" a="1"/>
  <c r="J319" i="40" s="1"/>
  <c r="AC60" i="37"/>
  <c r="P255" i="37" s="1" a="1"/>
  <c r="P255" i="37" s="1"/>
  <c r="O191" i="37" a="1"/>
  <c r="O191" i="37" s="1"/>
  <c r="AC57" i="37"/>
  <c r="O252" i="37" s="1" a="1"/>
  <c r="O252" i="37" s="1"/>
  <c r="AC62" i="37"/>
  <c r="N257" i="37" s="1" a="1"/>
  <c r="N257" i="37" s="1"/>
  <c r="M193" i="37" a="1"/>
  <c r="M193" i="37" s="1"/>
  <c r="AC16" i="37"/>
  <c r="AC51" i="37"/>
  <c r="N246" i="37" s="1" a="1"/>
  <c r="N246" i="37" s="1"/>
  <c r="M182" i="37" a="1"/>
  <c r="M182" i="37" s="1"/>
  <c r="AC17" i="37"/>
  <c r="N212" i="37" s="1" a="1"/>
  <c r="N212" i="37" s="1"/>
  <c r="M148" i="37" a="1"/>
  <c r="M148" i="37" s="1"/>
  <c r="K146" i="40" a="1"/>
  <c r="K146" i="40" s="1"/>
  <c r="K75" i="40" a="1"/>
  <c r="K75" i="40" s="1"/>
  <c r="J364" i="40" a="1"/>
  <c r="J364" i="40" s="1"/>
  <c r="K397" i="40" a="1"/>
  <c r="K397" i="40" s="1"/>
  <c r="J120" i="40" a="1"/>
  <c r="J120" i="40" s="1"/>
  <c r="J318" i="40" a="1"/>
  <c r="J318" i="40" s="1"/>
  <c r="K284" i="40" a="1"/>
  <c r="K284" i="40" s="1"/>
  <c r="K251" i="40" a="1"/>
  <c r="K251" i="40" s="1"/>
  <c r="J428" i="40" a="1"/>
  <c r="J428" i="40" s="1"/>
  <c r="L428" i="40" s="1"/>
  <c r="AC32" i="37"/>
  <c r="AC14" i="37"/>
  <c r="AC52" i="37"/>
  <c r="AC58" i="37"/>
  <c r="AC33" i="37"/>
  <c r="AC23" i="37"/>
  <c r="N154" i="37" s="1" a="1"/>
  <c r="N154" i="37" s="1"/>
  <c r="K187" i="40" s="1" a="1"/>
  <c r="K187" i="40" s="1"/>
  <c r="K86" i="40" a="1"/>
  <c r="K86" i="40" s="1"/>
  <c r="J87" i="40" a="1"/>
  <c r="J87" i="40" s="1"/>
  <c r="AC68" i="37"/>
  <c r="J170" i="40" a="1"/>
  <c r="J170" i="40" s="1"/>
  <c r="K168" i="40" a="1"/>
  <c r="K168" i="40" s="1"/>
  <c r="AC28" i="37"/>
  <c r="J329" i="40" a="1"/>
  <c r="J329" i="40" s="1"/>
  <c r="K328" i="40" a="1"/>
  <c r="K328" i="40" s="1"/>
  <c r="AC35" i="37"/>
  <c r="J604" i="40" a="1"/>
  <c r="J604" i="40" s="1"/>
  <c r="K601" i="40" a="1"/>
  <c r="K601" i="40" s="1"/>
  <c r="J206" i="40" a="1"/>
  <c r="J206" i="40" s="1"/>
  <c r="K204" i="40" a="1"/>
  <c r="K204" i="40" s="1"/>
  <c r="AC54" i="37"/>
  <c r="J450" i="40" a="1"/>
  <c r="J450" i="40" s="1"/>
  <c r="K449" i="40" a="1"/>
  <c r="K449" i="40" s="1"/>
  <c r="J241" i="40" a="1"/>
  <c r="J241" i="40" s="1"/>
  <c r="K240" i="40" a="1"/>
  <c r="K240" i="40" s="1"/>
  <c r="K262" i="40" a="1"/>
  <c r="K262" i="40" s="1"/>
  <c r="J263" i="40" a="1"/>
  <c r="J263" i="40" s="1"/>
  <c r="AC39" i="37"/>
  <c r="AC63" i="37"/>
  <c r="AC64" i="37"/>
  <c r="AC24" i="37"/>
  <c r="AC26" i="37"/>
  <c r="AC56" i="37"/>
  <c r="J692" i="40" a="1"/>
  <c r="J692" i="40" s="1"/>
  <c r="L692" i="40" s="1"/>
  <c r="K691" i="40" a="1"/>
  <c r="K691" i="40" s="1"/>
  <c r="R691" i="40" s="1" a="1"/>
  <c r="R691" i="40" s="1"/>
  <c r="V691" i="40" s="1"/>
  <c r="AC44" i="37"/>
  <c r="N175" i="37" s="1" a="1"/>
  <c r="N175" i="37" s="1"/>
  <c r="K403" i="40" s="1" a="1"/>
  <c r="K403" i="40" s="1"/>
  <c r="K464" i="40" a="1"/>
  <c r="K464" i="40" s="1"/>
  <c r="J466" i="40" a="1"/>
  <c r="J466" i="40" s="1"/>
  <c r="K396" i="40" a="1"/>
  <c r="K396" i="40" s="1"/>
  <c r="J400" i="40" a="1"/>
  <c r="J400" i="40" s="1"/>
  <c r="AC37" i="37"/>
  <c r="K295" i="40" a="1"/>
  <c r="K295" i="40" s="1"/>
  <c r="AC38" i="37"/>
  <c r="AC21" i="37"/>
  <c r="K361" i="40" a="1"/>
  <c r="K361" i="40" s="1"/>
  <c r="J365" i="40" a="1"/>
  <c r="J365" i="40" s="1"/>
  <c r="K702" i="40" a="1"/>
  <c r="K702" i="40" s="1"/>
  <c r="J703" i="40" a="1"/>
  <c r="J703" i="40" s="1"/>
  <c r="K31" i="40" a="1"/>
  <c r="K31" i="40" s="1"/>
  <c r="J32" i="40" a="1"/>
  <c r="J32" i="40" s="1"/>
  <c r="P691" i="40" a="1"/>
  <c r="P691" i="40" s="1"/>
  <c r="Q691" i="40" a="1"/>
  <c r="Q691" i="40" s="1"/>
  <c r="U691" i="40" s="1"/>
  <c r="O691" i="40" a="1"/>
  <c r="O691" i="40" s="1"/>
  <c r="T691" i="40" s="1"/>
  <c r="M691" i="40" a="1"/>
  <c r="M691" i="40" s="1"/>
  <c r="S691" i="40" s="1"/>
  <c r="N691" i="40" a="1"/>
  <c r="N691" i="40" s="1"/>
  <c r="J565" i="40" a="1"/>
  <c r="J565" i="40" s="1"/>
  <c r="K563" i="40" a="1"/>
  <c r="K563" i="40" s="1"/>
  <c r="J626" i="40" a="1"/>
  <c r="J626" i="40" s="1"/>
  <c r="K625" i="40" a="1"/>
  <c r="K625" i="40" s="1"/>
  <c r="AC40" i="37"/>
  <c r="N171" i="37" s="1" a="1"/>
  <c r="N171" i="37" s="1"/>
  <c r="J363" i="40" s="1" a="1"/>
  <c r="J363" i="40" s="1"/>
  <c r="K438" i="40" a="1"/>
  <c r="K438" i="40" s="1"/>
  <c r="J439" i="40" a="1"/>
  <c r="J439" i="40" s="1"/>
  <c r="AC49" i="37"/>
  <c r="K564" i="40" a="1"/>
  <c r="K564" i="40" s="1"/>
  <c r="J566" i="40" a="1"/>
  <c r="J566" i="40" s="1"/>
  <c r="AC67" i="37"/>
  <c r="K273" i="40" a="1"/>
  <c r="K273" i="40" s="1"/>
  <c r="J274" i="40" a="1"/>
  <c r="J274" i="40" s="1"/>
  <c r="K669" i="40" a="1"/>
  <c r="K669" i="40" s="1"/>
  <c r="J670" i="40" a="1"/>
  <c r="J670" i="40" s="1"/>
  <c r="L670" i="40" s="1"/>
  <c r="AC50" i="37"/>
  <c r="AC29" i="37"/>
  <c r="K487" i="40" a="1"/>
  <c r="K487" i="40" s="1"/>
  <c r="J489" i="40" a="1"/>
  <c r="J489" i="40" s="1"/>
  <c r="AC18" i="37"/>
  <c r="N149" i="37" s="1" a="1"/>
  <c r="N149" i="37" s="1"/>
  <c r="J538" i="40" a="1"/>
  <c r="J538" i="40" s="1"/>
  <c r="K535" i="40" a="1"/>
  <c r="K535" i="40" s="1"/>
  <c r="K229" i="40" a="1"/>
  <c r="K229" i="40" s="1"/>
  <c r="J230" i="40" a="1"/>
  <c r="J230" i="40" s="1"/>
  <c r="AC10" i="37"/>
  <c r="AC61" i="37"/>
  <c r="K118" i="40" a="1"/>
  <c r="K118" i="40" s="1"/>
  <c r="J121" i="40" a="1"/>
  <c r="J121" i="40" s="1"/>
  <c r="K636" i="40" a="1"/>
  <c r="K636" i="40" s="1"/>
  <c r="J637" i="40" a="1"/>
  <c r="J637" i="40" s="1"/>
  <c r="K465" i="40" a="1"/>
  <c r="K465" i="40" s="1"/>
  <c r="J467" i="40" a="1"/>
  <c r="J467" i="40" s="1"/>
  <c r="AC27" i="37"/>
  <c r="AC34" i="37"/>
  <c r="N165" i="37" s="1" a="1"/>
  <c r="N165" i="37" s="1"/>
  <c r="J309" i="40" s="1" a="1"/>
  <c r="J309" i="40" s="1"/>
  <c r="J65" i="40" a="1"/>
  <c r="J65" i="40" s="1"/>
  <c r="K64" i="40" a="1"/>
  <c r="K64" i="40" s="1"/>
  <c r="AC13" i="37"/>
  <c r="K53" i="40" a="1"/>
  <c r="K53" i="40" s="1"/>
  <c r="J54" i="40" a="1"/>
  <c r="J54" i="40" s="1"/>
  <c r="J582" i="40" a="1"/>
  <c r="J582" i="40" s="1"/>
  <c r="K581" i="40" a="1"/>
  <c r="K581" i="40" s="1"/>
  <c r="J511" i="40" a="1"/>
  <c r="J511" i="40" s="1"/>
  <c r="K509" i="40" a="1"/>
  <c r="K509" i="40" s="1"/>
  <c r="K658" i="40" a="1"/>
  <c r="K658" i="40" s="1"/>
  <c r="J659" i="40" a="1"/>
  <c r="J659" i="40" s="1"/>
  <c r="L659" i="40" s="1"/>
  <c r="J681" i="40" a="1"/>
  <c r="J681" i="40" s="1"/>
  <c r="L681" i="40" s="1"/>
  <c r="K680" i="40" a="1"/>
  <c r="K680" i="40" s="1"/>
  <c r="J219" i="40" a="1"/>
  <c r="J219" i="40" s="1"/>
  <c r="K218" i="40" a="1"/>
  <c r="K218" i="40" s="1"/>
  <c r="K539" i="40" a="1"/>
  <c r="K539" i="40" s="1"/>
  <c r="J542" i="40" a="1"/>
  <c r="J542" i="40" s="1"/>
  <c r="P439" i="40" l="1" a="1"/>
  <c r="P439" i="40" s="1"/>
  <c r="L439" i="40"/>
  <c r="K510" i="40" a="1"/>
  <c r="K510" i="40" s="1"/>
  <c r="K603" i="40" a="1"/>
  <c r="K603" i="40" s="1"/>
  <c r="J407" i="40" a="1"/>
  <c r="J407" i="40" s="1"/>
  <c r="J188" i="40" a="1"/>
  <c r="J188" i="40" s="1"/>
  <c r="K359" i="40" a="1"/>
  <c r="K359" i="40" s="1"/>
  <c r="N197" i="37" a="1"/>
  <c r="N197" i="37" s="1"/>
  <c r="J609" i="40" s="1" a="1"/>
  <c r="J609" i="40" s="1"/>
  <c r="N188" i="37" a="1"/>
  <c r="N188" i="37" s="1"/>
  <c r="J514" i="40" s="1" a="1"/>
  <c r="J514" i="40" s="1"/>
  <c r="K879" i="40" a="1"/>
  <c r="K879" i="40" s="1"/>
  <c r="J649" i="40" a="1"/>
  <c r="J649" i="40" s="1"/>
  <c r="K1355" i="40" a="1"/>
  <c r="K1355" i="40" s="1"/>
  <c r="K308" i="40" a="1"/>
  <c r="K308" i="40" s="1"/>
  <c r="K149" i="40" a="1"/>
  <c r="K149" i="40" s="1"/>
  <c r="J151" i="40" a="1"/>
  <c r="J151" i="40" s="1"/>
  <c r="K488" i="40" a="1"/>
  <c r="K488" i="40" s="1"/>
  <c r="K751" i="40" a="1"/>
  <c r="K751" i="40" s="1"/>
  <c r="R225" i="37" a="1"/>
  <c r="R225" i="37" s="1"/>
  <c r="K752" i="40" s="1" a="1"/>
  <c r="K752" i="40" s="1"/>
  <c r="N161" i="37" a="1"/>
  <c r="N161" i="37" s="1"/>
  <c r="Q207" i="37" a="1"/>
  <c r="Q207" i="37" s="1"/>
  <c r="J1357" i="40" s="1" a="1"/>
  <c r="J1357" i="40" s="1"/>
  <c r="N143" i="37" a="1"/>
  <c r="N143" i="37" s="1"/>
  <c r="K649" i="40" s="1" a="1"/>
  <c r="K649" i="40" s="1"/>
  <c r="J122" i="40" a="1"/>
  <c r="J122" i="40" s="1"/>
  <c r="K119" i="40" a="1"/>
  <c r="K119" i="40" s="1"/>
  <c r="Q211" i="37" a="1"/>
  <c r="Q211" i="37" s="1"/>
  <c r="K835" i="40" s="1" a="1"/>
  <c r="K835" i="40" s="1"/>
  <c r="N147" i="37" a="1"/>
  <c r="N147" i="37" s="1"/>
  <c r="N186" i="37" a="1"/>
  <c r="N186" i="37" s="1"/>
  <c r="K490" i="40" s="1" a="1"/>
  <c r="K490" i="40" s="1"/>
  <c r="K43" i="40" a="1"/>
  <c r="K43" i="40" s="1"/>
  <c r="J44" i="40" a="1"/>
  <c r="J44" i="40" s="1"/>
  <c r="J835" i="40" a="1"/>
  <c r="J835" i="40" s="1"/>
  <c r="J171" i="40" a="1"/>
  <c r="J171" i="40" s="1"/>
  <c r="K169" i="40" a="1"/>
  <c r="K169" i="40" s="1"/>
  <c r="Q217" i="37" a="1"/>
  <c r="Q217" i="37" s="1"/>
  <c r="J883" i="40" s="1" a="1"/>
  <c r="J883" i="40" s="1"/>
  <c r="N153" i="37" a="1"/>
  <c r="N153" i="37" s="1"/>
  <c r="K170" i="40" a="1"/>
  <c r="K170" i="40" s="1"/>
  <c r="K1375" i="40" a="1"/>
  <c r="K1375" i="40" s="1"/>
  <c r="J1376" i="40" a="1"/>
  <c r="J1376" i="40" s="1"/>
  <c r="L1376" i="40" s="1"/>
  <c r="K1108" i="40" a="1"/>
  <c r="K1108" i="40" s="1"/>
  <c r="J1112" i="40" a="1"/>
  <c r="J1112" i="40" s="1"/>
  <c r="K934" i="40" a="1"/>
  <c r="K934" i="40" s="1"/>
  <c r="J935" i="40" a="1"/>
  <c r="J935" i="40" s="1"/>
  <c r="J831" i="40" a="1"/>
  <c r="J831" i="40" s="1"/>
  <c r="K828" i="40" a="1"/>
  <c r="K828" i="40" s="1"/>
  <c r="K1386" i="40" a="1"/>
  <c r="K1386" i="40" s="1"/>
  <c r="J1387" i="40" a="1"/>
  <c r="J1387" i="40" s="1"/>
  <c r="L1387" i="40" s="1"/>
  <c r="J1271" i="40" a="1"/>
  <c r="J1271" i="40" s="1"/>
  <c r="K1269" i="40" a="1"/>
  <c r="K1269" i="40" s="1"/>
  <c r="K1144" i="40" a="1"/>
  <c r="K1144" i="40" s="1"/>
  <c r="R1144" i="40" s="1" a="1"/>
  <c r="R1144" i="40" s="1"/>
  <c r="V1144" i="40" s="1"/>
  <c r="J1145" i="40" a="1"/>
  <c r="J1145" i="40" s="1"/>
  <c r="L1145" i="40" s="1"/>
  <c r="J1255" i="40" a="1"/>
  <c r="J1255" i="40" s="1"/>
  <c r="K1252" i="40" a="1"/>
  <c r="K1252" i="40" s="1"/>
  <c r="K1312" i="40" a="1"/>
  <c r="K1312" i="40" s="1"/>
  <c r="J1315" i="40" a="1"/>
  <c r="J1315" i="40" s="1"/>
  <c r="K792" i="40" a="1"/>
  <c r="K792" i="40" s="1"/>
  <c r="J793" i="40" a="1"/>
  <c r="J793" i="40" s="1"/>
  <c r="K1110" i="40" a="1"/>
  <c r="K1110" i="40" s="1"/>
  <c r="J1114" i="40" a="1"/>
  <c r="J1114" i="40" s="1"/>
  <c r="J1172" i="40" a="1"/>
  <c r="J1172" i="40" s="1"/>
  <c r="K1170" i="40" a="1"/>
  <c r="K1170" i="40" s="1"/>
  <c r="K874" i="40" a="1"/>
  <c r="K874" i="40" s="1"/>
  <c r="J876" i="40" a="1"/>
  <c r="J876" i="40" s="1"/>
  <c r="K1245" i="40" a="1"/>
  <c r="K1245" i="40" s="1"/>
  <c r="J1248" i="40" a="1"/>
  <c r="J1248" i="40" s="1"/>
  <c r="J957" i="40" a="1"/>
  <c r="J957" i="40" s="1"/>
  <c r="K956" i="40" a="1"/>
  <c r="K956" i="40" s="1"/>
  <c r="K1154" i="40" a="1"/>
  <c r="K1154" i="40" s="1"/>
  <c r="J1155" i="40" a="1"/>
  <c r="J1155" i="40" s="1"/>
  <c r="K1193" i="40" a="1"/>
  <c r="K1193" i="40" s="1"/>
  <c r="J1195" i="40" a="1"/>
  <c r="J1195" i="40" s="1"/>
  <c r="K1241" i="40" a="1"/>
  <c r="K1241" i="40" s="1"/>
  <c r="J1244" i="40" a="1"/>
  <c r="J1244" i="40" s="1"/>
  <c r="K923" i="40" a="1"/>
  <c r="K923" i="40" s="1"/>
  <c r="J924" i="40" a="1"/>
  <c r="J924" i="40" s="1"/>
  <c r="K1341" i="40" a="1"/>
  <c r="K1341" i="40" s="1"/>
  <c r="J1342" i="40" a="1"/>
  <c r="J1342" i="40" s="1"/>
  <c r="K1111" i="40" a="1"/>
  <c r="K1111" i="40" s="1"/>
  <c r="J1115" i="40" a="1"/>
  <c r="J1115" i="40" s="1"/>
  <c r="K769" i="40" a="1"/>
  <c r="K769" i="40" s="1"/>
  <c r="J770" i="40" a="1"/>
  <c r="J770" i="40" s="1"/>
  <c r="M1397" i="40" a="1"/>
  <c r="M1397" i="40" s="1"/>
  <c r="S1397" i="40" s="1"/>
  <c r="Q1397" i="40" a="1"/>
  <c r="Q1397" i="40" s="1"/>
  <c r="U1397" i="40" s="1"/>
  <c r="N1397" i="40" a="1"/>
  <c r="N1397" i="40" s="1"/>
  <c r="O1397" i="40" a="1"/>
  <c r="O1397" i="40" s="1"/>
  <c r="T1397" i="40" s="1"/>
  <c r="P1397" i="40" a="1"/>
  <c r="P1397" i="40" s="1"/>
  <c r="J1077" i="40" a="1"/>
  <c r="J1077" i="40" s="1"/>
  <c r="K1073" i="40" a="1"/>
  <c r="K1073" i="40" s="1"/>
  <c r="J1076" i="40" a="1"/>
  <c r="J1076" i="40" s="1"/>
  <c r="K1072" i="40" a="1"/>
  <c r="K1072" i="40" s="1"/>
  <c r="J893" i="40" a="1"/>
  <c r="J893" i="40" s="1"/>
  <c r="K892" i="40" a="1"/>
  <c r="K892" i="40" s="1"/>
  <c r="K1023" i="40" a="1"/>
  <c r="K1023" i="40" s="1"/>
  <c r="J1024" i="40" a="1"/>
  <c r="J1024" i="40" s="1"/>
  <c r="K1313" i="40" a="1"/>
  <c r="K1313" i="40" s="1"/>
  <c r="J1316" i="40" a="1"/>
  <c r="J1316" i="40" s="1"/>
  <c r="K990" i="40" a="1"/>
  <c r="K990" i="40" s="1"/>
  <c r="J991" i="40" a="1"/>
  <c r="J991" i="40" s="1"/>
  <c r="J782" i="40" a="1"/>
  <c r="J782" i="40" s="1"/>
  <c r="K781" i="40" a="1"/>
  <c r="K781" i="40" s="1"/>
  <c r="K1067" i="40" a="1"/>
  <c r="K1067" i="40" s="1"/>
  <c r="J1071" i="40" a="1"/>
  <c r="J1071" i="40" s="1"/>
  <c r="K1109" i="40" a="1"/>
  <c r="K1109" i="40" s="1"/>
  <c r="J1113" i="40" a="1"/>
  <c r="J1113" i="40" s="1"/>
  <c r="K967" i="40" a="1"/>
  <c r="K967" i="40" s="1"/>
  <c r="J968" i="40" a="1"/>
  <c r="J968" i="40" s="1"/>
  <c r="J803" i="40" a="1"/>
  <c r="J803" i="40" s="1"/>
  <c r="K802" i="40" a="1"/>
  <c r="K802" i="40" s="1"/>
  <c r="J1034" i="40" a="1"/>
  <c r="J1034" i="40" s="1"/>
  <c r="K1033" i="40" a="1"/>
  <c r="K1033" i="40" s="1"/>
  <c r="J859" i="40" a="1"/>
  <c r="J859" i="40" s="1"/>
  <c r="K857" i="40" a="1"/>
  <c r="K857" i="40" s="1"/>
  <c r="K1363" i="40" a="1"/>
  <c r="K1363" i="40" s="1"/>
  <c r="J1364" i="40" a="1"/>
  <c r="J1364" i="40" s="1"/>
  <c r="L1364" i="40" s="1"/>
  <c r="K824" i="40" a="1"/>
  <c r="K824" i="40" s="1"/>
  <c r="J827" i="40" a="1"/>
  <c r="J827" i="40" s="1"/>
  <c r="J1133" i="40" a="1"/>
  <c r="J1133" i="40" s="1"/>
  <c r="L1133" i="40" s="1"/>
  <c r="K1132" i="40" a="1"/>
  <c r="K1132" i="40" s="1"/>
  <c r="J726" i="40" a="1"/>
  <c r="J726" i="40" s="1"/>
  <c r="K725" i="40" a="1"/>
  <c r="K725" i="40" s="1"/>
  <c r="K1218" i="40" a="1"/>
  <c r="K1218" i="40" s="1"/>
  <c r="J1220" i="40" a="1"/>
  <c r="J1220" i="40" s="1"/>
  <c r="K1286" i="40" a="1"/>
  <c r="K1286" i="40" s="1"/>
  <c r="J1287" i="40" a="1"/>
  <c r="J1287" i="40" s="1"/>
  <c r="J297" i="40" a="1"/>
  <c r="J297" i="40" s="1"/>
  <c r="J1274" i="40" a="1"/>
  <c r="J1274" i="40" s="1"/>
  <c r="K1272" i="40" a="1"/>
  <c r="K1272" i="40" s="1"/>
  <c r="J1175" i="40" a="1"/>
  <c r="J1175" i="40" s="1"/>
  <c r="K1173" i="40" a="1"/>
  <c r="K1173" i="40" s="1"/>
  <c r="J1070" i="40" a="1"/>
  <c r="J1070" i="40" s="1"/>
  <c r="K1066" i="40" a="1"/>
  <c r="K1066" i="40" s="1"/>
  <c r="K913" i="40" a="1"/>
  <c r="K913" i="40" s="1"/>
  <c r="J915" i="40" a="1"/>
  <c r="J915" i="40" s="1"/>
  <c r="K854" i="40" a="1"/>
  <c r="K854" i="40" s="1"/>
  <c r="J856" i="40" a="1"/>
  <c r="J856" i="40" s="1"/>
  <c r="Q1144" i="40" a="1"/>
  <c r="Q1144" i="40" s="1"/>
  <c r="U1144" i="40" s="1"/>
  <c r="O1144" i="40" a="1"/>
  <c r="O1144" i="40" s="1"/>
  <c r="T1144" i="40" s="1"/>
  <c r="P1144" i="40" a="1"/>
  <c r="P1144" i="40" s="1"/>
  <c r="M1144" i="40" a="1"/>
  <c r="M1144" i="40" s="1"/>
  <c r="S1144" i="40" s="1"/>
  <c r="N1144" i="40" a="1"/>
  <c r="N1144" i="40" s="1"/>
  <c r="J1198" i="40" a="1"/>
  <c r="J1198" i="40" s="1"/>
  <c r="K1196" i="40" a="1"/>
  <c r="K1196" i="40" s="1"/>
  <c r="J1408" i="40" a="1"/>
  <c r="J1408" i="40" s="1"/>
  <c r="K1407" i="40" a="1"/>
  <c r="K1407" i="40" s="1"/>
  <c r="J737" i="40" a="1"/>
  <c r="J737" i="40" s="1"/>
  <c r="K736" i="40" a="1"/>
  <c r="K736" i="40" s="1"/>
  <c r="J1398" i="40" a="1"/>
  <c r="J1398" i="40" s="1"/>
  <c r="L1398" i="40" s="1"/>
  <c r="K1397" i="40" a="1"/>
  <c r="K1397" i="40" s="1"/>
  <c r="R1397" i="40" s="1" a="1"/>
  <c r="R1397" i="40" s="1"/>
  <c r="V1397" i="40" s="1"/>
  <c r="J1001" i="40" a="1"/>
  <c r="J1001" i="40" s="1"/>
  <c r="K1000" i="40" a="1"/>
  <c r="K1000" i="40" s="1"/>
  <c r="K1013" i="40" a="1"/>
  <c r="K1013" i="40" s="1"/>
  <c r="J1014" i="40" a="1"/>
  <c r="J1014" i="40" s="1"/>
  <c r="K1308" i="40" a="1"/>
  <c r="K1308" i="40" s="1"/>
  <c r="J1311" i="40" a="1"/>
  <c r="J1311" i="40" s="1"/>
  <c r="K945" i="40" a="1"/>
  <c r="K945" i="40" s="1"/>
  <c r="J946" i="40" a="1"/>
  <c r="J946" i="40" s="1"/>
  <c r="K758" i="40" a="1"/>
  <c r="K758" i="40" s="1"/>
  <c r="J759" i="40" a="1"/>
  <c r="J759" i="40" s="1"/>
  <c r="K1330" i="40" a="1"/>
  <c r="K1330" i="40" s="1"/>
  <c r="J1331" i="40" a="1"/>
  <c r="J1331" i="40" s="1"/>
  <c r="K978" i="40" a="1"/>
  <c r="K978" i="40" s="1"/>
  <c r="J979" i="40" a="1"/>
  <c r="J979" i="40" s="1"/>
  <c r="K1215" i="40" a="1"/>
  <c r="K1215" i="40" s="1"/>
  <c r="J1217" i="40" a="1"/>
  <c r="J1217" i="40" s="1"/>
  <c r="K910" i="40" a="1"/>
  <c r="K910" i="40" s="1"/>
  <c r="J912" i="40" a="1"/>
  <c r="J912" i="40" s="1"/>
  <c r="N164" i="37" a="1"/>
  <c r="N164" i="37" s="1"/>
  <c r="K297" i="40" s="1" a="1"/>
  <c r="K297" i="40" s="1"/>
  <c r="N228" i="37" a="1"/>
  <c r="N228" i="37" s="1"/>
  <c r="P229" i="37" a="1"/>
  <c r="P229" i="37" s="1"/>
  <c r="N192" i="37" a="1"/>
  <c r="N192" i="37" s="1"/>
  <c r="N256" i="37" a="1"/>
  <c r="N256" i="37" s="1"/>
  <c r="N198" i="37" a="1"/>
  <c r="N198" i="37" s="1"/>
  <c r="N262" i="37" a="1"/>
  <c r="N262" i="37" s="1"/>
  <c r="N168" i="37" a="1"/>
  <c r="N168" i="37" s="1"/>
  <c r="K253" i="40" s="1" a="1"/>
  <c r="K253" i="40" s="1"/>
  <c r="N232" i="37" a="1"/>
  <c r="N232" i="37" s="1"/>
  <c r="N187" i="37" a="1"/>
  <c r="N187" i="37" s="1"/>
  <c r="N251" i="37" a="1"/>
  <c r="N251" i="37" s="1"/>
  <c r="N159" i="37" a="1"/>
  <c r="N159" i="37" s="1"/>
  <c r="N223" i="37" a="1"/>
  <c r="N223" i="37" s="1"/>
  <c r="P218" i="37" a="1"/>
  <c r="P218" i="37" s="1"/>
  <c r="N163" i="37" a="1"/>
  <c r="N163" i="37" s="1"/>
  <c r="N227" i="37" a="1"/>
  <c r="N227" i="37" s="1"/>
  <c r="N138" i="37" a="1"/>
  <c r="N138" i="37" s="1"/>
  <c r="N202" i="37" a="1"/>
  <c r="N202" i="37" s="1"/>
  <c r="N136" i="37" a="1"/>
  <c r="N136" i="37" s="1"/>
  <c r="K11" i="40" s="1" a="1"/>
  <c r="K11" i="40" s="1"/>
  <c r="N200" i="37" a="1"/>
  <c r="N200" i="37" s="1"/>
  <c r="N158" i="37" a="1"/>
  <c r="N158" i="37" s="1"/>
  <c r="N222" i="37" a="1"/>
  <c r="N222" i="37" s="1"/>
  <c r="N157" i="37" a="1"/>
  <c r="N157" i="37" s="1"/>
  <c r="N221" i="37" a="1"/>
  <c r="N221" i="37" s="1"/>
  <c r="N180" i="37" a="1"/>
  <c r="N180" i="37" s="1"/>
  <c r="K429" i="40" s="1" a="1"/>
  <c r="K429" i="40" s="1"/>
  <c r="N244" i="37" a="1"/>
  <c r="N244" i="37" s="1"/>
  <c r="N152" i="37" a="1"/>
  <c r="N152" i="37" s="1"/>
  <c r="N216" i="37" a="1"/>
  <c r="N216" i="37" s="1"/>
  <c r="N194" i="37" a="1"/>
  <c r="N194" i="37" s="1"/>
  <c r="N258" i="37" a="1"/>
  <c r="N258" i="37" s="1"/>
  <c r="N189" i="37" a="1"/>
  <c r="N189" i="37" s="1"/>
  <c r="K540" i="40" s="1" a="1"/>
  <c r="K540" i="40" s="1"/>
  <c r="N253" i="37" a="1"/>
  <c r="N253" i="37" s="1"/>
  <c r="N139" i="37" a="1"/>
  <c r="N139" i="37" s="1"/>
  <c r="N203" i="37" a="1"/>
  <c r="N203" i="37" s="1"/>
  <c r="N199" i="37" a="1"/>
  <c r="N199" i="37" s="1"/>
  <c r="N263" i="37" a="1"/>
  <c r="N263" i="37" s="1"/>
  <c r="N183" i="37" a="1"/>
  <c r="N183" i="37" s="1"/>
  <c r="N247" i="37" a="1"/>
  <c r="N247" i="37" s="1"/>
  <c r="P235" i="37" a="1"/>
  <c r="P235" i="37" s="1"/>
  <c r="N144" i="37" a="1"/>
  <c r="N144" i="37" s="1"/>
  <c r="N208" i="37" a="1"/>
  <c r="N208" i="37" s="1"/>
  <c r="N169" i="37" a="1"/>
  <c r="N169" i="37" s="1"/>
  <c r="N233" i="37" a="1"/>
  <c r="N233" i="37" s="1"/>
  <c r="P239" i="37" a="1"/>
  <c r="P239" i="37" s="1"/>
  <c r="N185" i="37" a="1"/>
  <c r="N185" i="37" s="1"/>
  <c r="N249" i="37" a="1"/>
  <c r="N249" i="37" s="1"/>
  <c r="N141" i="37" a="1"/>
  <c r="N141" i="37" s="1"/>
  <c r="K22" i="40" s="1" a="1"/>
  <c r="K22" i="40" s="1"/>
  <c r="N205" i="37" a="1"/>
  <c r="N205" i="37" s="1"/>
  <c r="N160" i="37" a="1"/>
  <c r="N160" i="37" s="1"/>
  <c r="N224" i="37" a="1"/>
  <c r="N224" i="37" s="1"/>
  <c r="P155" i="37" a="1"/>
  <c r="P155" i="37" s="1"/>
  <c r="P219" i="37" a="1"/>
  <c r="P219" i="37" s="1"/>
  <c r="N181" i="37" a="1"/>
  <c r="N181" i="37" s="1"/>
  <c r="N245" i="37" a="1"/>
  <c r="N245" i="37" s="1"/>
  <c r="N195" i="37" a="1"/>
  <c r="N195" i="37" s="1"/>
  <c r="N259" i="37" a="1"/>
  <c r="N259" i="37" s="1"/>
  <c r="N166" i="37" a="1"/>
  <c r="N166" i="37" s="1"/>
  <c r="N230" i="37" a="1"/>
  <c r="N230" i="37" s="1"/>
  <c r="Q213" i="37" a="1"/>
  <c r="Q213" i="37" s="1"/>
  <c r="N170" i="37" a="1"/>
  <c r="N170" i="37" s="1"/>
  <c r="N234" i="37" a="1"/>
  <c r="N234" i="37" s="1"/>
  <c r="N145" i="37" a="1"/>
  <c r="N145" i="37" s="1"/>
  <c r="J126" i="40" s="1" a="1"/>
  <c r="J126" i="40" s="1"/>
  <c r="N209" i="37" a="1"/>
  <c r="N209" i="37" s="1"/>
  <c r="N137" i="37" a="1"/>
  <c r="N137" i="37" s="1"/>
  <c r="N201" i="37" a="1"/>
  <c r="N201" i="37" s="1"/>
  <c r="K10" i="40" a="1"/>
  <c r="K10" i="40" s="1"/>
  <c r="F26" i="44"/>
  <c r="AD5" i="37"/>
  <c r="O200" i="37" s="1" a="1"/>
  <c r="O200" i="37" s="1"/>
  <c r="J209" i="40" a="1"/>
  <c r="J209" i="40" s="1"/>
  <c r="AD17" i="37"/>
  <c r="O212" i="37" s="1" a="1"/>
  <c r="O212" i="37" s="1"/>
  <c r="N148" i="37" a="1"/>
  <c r="N148" i="37" s="1"/>
  <c r="AD57" i="37"/>
  <c r="P252" i="37" s="1" a="1"/>
  <c r="P252" i="37" s="1"/>
  <c r="AD15" i="37"/>
  <c r="O210" i="37" s="1" a="1"/>
  <c r="O210" i="37" s="1"/>
  <c r="N146" i="37" a="1"/>
  <c r="N146" i="37" s="1"/>
  <c r="AD43" i="37"/>
  <c r="Q238" i="37" s="1" a="1"/>
  <c r="Q238" i="37" s="1"/>
  <c r="P174" i="37" a="1"/>
  <c r="P174" i="37" s="1"/>
  <c r="AD55" i="37"/>
  <c r="P250" i="37" s="1" a="1"/>
  <c r="P250" i="37" s="1"/>
  <c r="AD45" i="37"/>
  <c r="O240" i="37" s="1" a="1"/>
  <c r="O240" i="37" s="1"/>
  <c r="N176" i="37" a="1"/>
  <c r="N176" i="37" s="1"/>
  <c r="AD48" i="37"/>
  <c r="O243" i="37" s="1" a="1"/>
  <c r="O243" i="37" s="1"/>
  <c r="N179" i="37" a="1"/>
  <c r="N179" i="37" s="1"/>
  <c r="AD19" i="37"/>
  <c r="O214" i="37" s="1" a="1"/>
  <c r="O214" i="37" s="1"/>
  <c r="N150" i="37" a="1"/>
  <c r="N150" i="37" s="1"/>
  <c r="K150" i="40" s="1" a="1"/>
  <c r="K150" i="40" s="1"/>
  <c r="AD51" i="37"/>
  <c r="O246" i="37" s="1" a="1"/>
  <c r="O246" i="37" s="1"/>
  <c r="N182" i="37" a="1"/>
  <c r="N182" i="37" s="1"/>
  <c r="AD60" i="37"/>
  <c r="Q255" i="37" s="1" a="1"/>
  <c r="Q255" i="37" s="1"/>
  <c r="P191" i="37" a="1"/>
  <c r="P191" i="37" s="1"/>
  <c r="AD12" i="37"/>
  <c r="AD65" i="37"/>
  <c r="O260" i="37" s="1" a="1"/>
  <c r="O260" i="37" s="1"/>
  <c r="N196" i="37" a="1"/>
  <c r="N196" i="37" s="1"/>
  <c r="K608" i="40" s="1" a="1"/>
  <c r="K608" i="40" s="1"/>
  <c r="AD11" i="37"/>
  <c r="O206" i="37" s="1" a="1"/>
  <c r="O206" i="37" s="1"/>
  <c r="N142" i="37" a="1"/>
  <c r="N142" i="37" s="1"/>
  <c r="AD47" i="37"/>
  <c r="O242" i="37" s="1" a="1"/>
  <c r="O242" i="37" s="1"/>
  <c r="N178" i="37" a="1"/>
  <c r="N178" i="37" s="1"/>
  <c r="K406" i="40" s="1" a="1"/>
  <c r="K406" i="40" s="1"/>
  <c r="AD42" i="37"/>
  <c r="Q237" i="37" s="1" a="1"/>
  <c r="Q237" i="37" s="1"/>
  <c r="P173" i="37" a="1"/>
  <c r="P173" i="37" s="1"/>
  <c r="J372" i="40" s="1" a="1"/>
  <c r="J372" i="40" s="1"/>
  <c r="AD8" i="37"/>
  <c r="AD16" i="37"/>
  <c r="AD36" i="37"/>
  <c r="O231" i="37" s="1" a="1"/>
  <c r="O231" i="37" s="1"/>
  <c r="N167" i="37" a="1"/>
  <c r="N167" i="37" s="1"/>
  <c r="K319" i="40" s="1" a="1"/>
  <c r="K319" i="40" s="1"/>
  <c r="AD66" i="37"/>
  <c r="P261" i="37" s="1" a="1"/>
  <c r="P261" i="37" s="1"/>
  <c r="AD31" i="37"/>
  <c r="O226" i="37" s="1" a="1"/>
  <c r="O226" i="37" s="1"/>
  <c r="N162" i="37" a="1"/>
  <c r="N162" i="37" s="1"/>
  <c r="J287" i="40" s="1" a="1"/>
  <c r="J287" i="40" s="1"/>
  <c r="AD30" i="37"/>
  <c r="AD7" i="37"/>
  <c r="AD6" i="37"/>
  <c r="AD20" i="37"/>
  <c r="O215" i="37" s="1" a="1"/>
  <c r="O215" i="37" s="1"/>
  <c r="N151" i="37" a="1"/>
  <c r="N151" i="37" s="1"/>
  <c r="AD62" i="37"/>
  <c r="O257" i="37" s="1" a="1"/>
  <c r="O257" i="37" s="1"/>
  <c r="N193" i="37" a="1"/>
  <c r="N193" i="37" s="1"/>
  <c r="AD53" i="37"/>
  <c r="O248" i="37" s="1" a="1"/>
  <c r="O248" i="37" s="1"/>
  <c r="N184" i="37" a="1"/>
  <c r="N184" i="37" s="1"/>
  <c r="AD22" i="37"/>
  <c r="AD41" i="37"/>
  <c r="O236" i="37" s="1" a="1"/>
  <c r="O236" i="37" s="1"/>
  <c r="N172" i="37" a="1"/>
  <c r="N172" i="37" s="1"/>
  <c r="K362" i="40" s="1" a="1"/>
  <c r="K362" i="40" s="1"/>
  <c r="AD25" i="37"/>
  <c r="Q220" i="37" s="1" a="1"/>
  <c r="Q220" i="37" s="1"/>
  <c r="P156" i="37" a="1"/>
  <c r="P156" i="37" s="1"/>
  <c r="K209" i="40" s="1" a="1"/>
  <c r="K209" i="40" s="1"/>
  <c r="AD46" i="37"/>
  <c r="O241" i="37" s="1" a="1"/>
  <c r="O241" i="37" s="1"/>
  <c r="N177" i="37" a="1"/>
  <c r="N177" i="37" s="1"/>
  <c r="J409" i="40" s="1" a="1"/>
  <c r="J409" i="40" s="1"/>
  <c r="AD9" i="37"/>
  <c r="O204" i="37" s="1" a="1"/>
  <c r="O204" i="37" s="1"/>
  <c r="N140" i="37" a="1"/>
  <c r="N140" i="37" s="1"/>
  <c r="AD59" i="37"/>
  <c r="O254" i="37" s="1" a="1"/>
  <c r="O254" i="37" s="1"/>
  <c r="N190" i="37" a="1"/>
  <c r="N190" i="37" s="1"/>
  <c r="K605" i="40" a="1"/>
  <c r="K605" i="40" s="1"/>
  <c r="K401" i="40" a="1"/>
  <c r="K401" i="40" s="1"/>
  <c r="K358" i="40" a="1"/>
  <c r="K358" i="40" s="1"/>
  <c r="J406" i="40" a="1"/>
  <c r="J406" i="40" s="1"/>
  <c r="K537" i="40" a="1"/>
  <c r="K537" i="40" s="1"/>
  <c r="J123" i="40" a="1"/>
  <c r="J123" i="40" s="1"/>
  <c r="J150" i="40" a="1"/>
  <c r="J150" i="40" s="1"/>
  <c r="J429" i="40" a="1"/>
  <c r="J429" i="40" s="1"/>
  <c r="L429" i="40" s="1"/>
  <c r="K285" i="40" a="1"/>
  <c r="K285" i="40" s="1"/>
  <c r="K318" i="40" a="1"/>
  <c r="K318" i="40" s="1"/>
  <c r="J368" i="40" a="1"/>
  <c r="J368" i="40" s="1"/>
  <c r="AD27" i="37"/>
  <c r="J568" i="40" a="1"/>
  <c r="J568" i="40" s="1"/>
  <c r="K566" i="40" a="1"/>
  <c r="K566" i="40" s="1"/>
  <c r="J88" i="40" a="1"/>
  <c r="J88" i="40" s="1"/>
  <c r="K87" i="40" a="1"/>
  <c r="K87" i="40" s="1"/>
  <c r="J704" i="40" a="1"/>
  <c r="J704" i="40" s="1"/>
  <c r="K703" i="40" a="1"/>
  <c r="K703" i="40" s="1"/>
  <c r="AD67" i="37"/>
  <c r="AD44" i="37"/>
  <c r="O175" i="37" s="1" a="1"/>
  <c r="O175" i="37" s="1"/>
  <c r="K407" i="40" s="1" a="1"/>
  <c r="K407" i="40" s="1"/>
  <c r="AD63" i="37"/>
  <c r="AD68" i="37"/>
  <c r="AD33" i="37"/>
  <c r="J124" i="40" a="1"/>
  <c r="J124" i="40" s="1"/>
  <c r="K121" i="40" a="1"/>
  <c r="K121" i="40" s="1"/>
  <c r="J567" i="40" a="1"/>
  <c r="J567" i="40" s="1"/>
  <c r="K565" i="40" a="1"/>
  <c r="K565" i="40" s="1"/>
  <c r="J242" i="40" a="1"/>
  <c r="J242" i="40" s="1"/>
  <c r="K241" i="40" a="1"/>
  <c r="K241" i="40" s="1"/>
  <c r="AD13" i="37"/>
  <c r="AD61" i="37"/>
  <c r="AD10" i="37"/>
  <c r="AD18" i="37"/>
  <c r="O149" i="37" s="1" a="1"/>
  <c r="O149" i="37" s="1"/>
  <c r="AD50" i="37"/>
  <c r="AD21" i="37"/>
  <c r="Q692" i="40" a="1"/>
  <c r="Q692" i="40" s="1"/>
  <c r="U692" i="40" s="1"/>
  <c r="O692" i="40" a="1"/>
  <c r="O692" i="40" s="1"/>
  <c r="T692" i="40" s="1"/>
  <c r="P692" i="40" a="1"/>
  <c r="P692" i="40" s="1"/>
  <c r="N692" i="40" a="1"/>
  <c r="N692" i="40" s="1"/>
  <c r="M692" i="40" a="1"/>
  <c r="M692" i="40" s="1"/>
  <c r="S692" i="40" s="1"/>
  <c r="AD24" i="37"/>
  <c r="AD28" i="37"/>
  <c r="J541" i="40" a="1"/>
  <c r="J541" i="40" s="1"/>
  <c r="K538" i="40" a="1"/>
  <c r="K538" i="40" s="1"/>
  <c r="J440" i="40" a="1"/>
  <c r="J440" i="40" s="1"/>
  <c r="K439" i="40" a="1"/>
  <c r="K439" i="40" s="1"/>
  <c r="J22" i="40" a="1"/>
  <c r="J22" i="40" s="1"/>
  <c r="J693" i="40" a="1"/>
  <c r="J693" i="40" s="1"/>
  <c r="L693" i="40" s="1"/>
  <c r="K692" i="40" a="1"/>
  <c r="K692" i="40" s="1"/>
  <c r="R692" i="40" s="1" a="1"/>
  <c r="R692" i="40" s="1"/>
  <c r="V692" i="40" s="1"/>
  <c r="K263" i="40" a="1"/>
  <c r="K263" i="40" s="1"/>
  <c r="J264" i="40" a="1"/>
  <c r="J264" i="40" s="1"/>
  <c r="K329" i="40" a="1"/>
  <c r="K329" i="40" s="1"/>
  <c r="J330" i="40" a="1"/>
  <c r="J330" i="40" s="1"/>
  <c r="J491" i="40" a="1"/>
  <c r="J491" i="40" s="1"/>
  <c r="K489" i="40" a="1"/>
  <c r="K489" i="40" s="1"/>
  <c r="K670" i="40" a="1"/>
  <c r="K670" i="40" s="1"/>
  <c r="J671" i="40" a="1"/>
  <c r="J671" i="40" s="1"/>
  <c r="L671" i="40" s="1"/>
  <c r="K206" i="40" a="1"/>
  <c r="K206" i="40" s="1"/>
  <c r="J208" i="40" a="1"/>
  <c r="J208" i="40" s="1"/>
  <c r="AD38" i="37"/>
  <c r="K604" i="40" a="1"/>
  <c r="K604" i="40" s="1"/>
  <c r="J607" i="40" a="1"/>
  <c r="J607" i="40" s="1"/>
  <c r="AD39" i="37"/>
  <c r="AD58" i="37"/>
  <c r="AD14" i="37"/>
  <c r="J66" i="40" a="1"/>
  <c r="J66" i="40" s="1"/>
  <c r="K65" i="40" a="1"/>
  <c r="K65" i="40" s="1"/>
  <c r="K32" i="40" a="1"/>
  <c r="K32" i="40" s="1"/>
  <c r="J33" i="40" a="1"/>
  <c r="J33" i="40" s="1"/>
  <c r="AD49" i="37"/>
  <c r="J369" i="40" a="1"/>
  <c r="J369" i="40" s="1"/>
  <c r="K365" i="40" a="1"/>
  <c r="K365" i="40" s="1"/>
  <c r="K400" i="40" a="1"/>
  <c r="K400" i="40" s="1"/>
  <c r="J404" i="40" a="1"/>
  <c r="J404" i="40" s="1"/>
  <c r="AD56" i="37"/>
  <c r="AD54" i="37"/>
  <c r="J468" i="40" a="1"/>
  <c r="J468" i="40" s="1"/>
  <c r="K466" i="40" a="1"/>
  <c r="K466" i="40" s="1"/>
  <c r="AD34" i="37"/>
  <c r="O165" i="37" s="1" a="1"/>
  <c r="O165" i="37" s="1"/>
  <c r="K309" i="40" s="1" a="1"/>
  <c r="K309" i="40" s="1"/>
  <c r="AD40" i="37"/>
  <c r="O171" i="37" s="1" a="1"/>
  <c r="O171" i="37" s="1"/>
  <c r="J367" i="40" s="1" a="1"/>
  <c r="J367" i="40" s="1"/>
  <c r="AD64" i="37"/>
  <c r="AD35" i="37"/>
  <c r="AD23" i="37"/>
  <c r="O154" i="37" s="1" a="1"/>
  <c r="O154" i="37" s="1"/>
  <c r="K188" i="40" s="1" a="1"/>
  <c r="K188" i="40" s="1"/>
  <c r="J469" i="40" a="1"/>
  <c r="J469" i="40" s="1"/>
  <c r="K467" i="40" a="1"/>
  <c r="K467" i="40" s="1"/>
  <c r="K274" i="40" a="1"/>
  <c r="K274" i="40" s="1"/>
  <c r="J275" i="40" a="1"/>
  <c r="J275" i="40" s="1"/>
  <c r="J231" i="40" a="1"/>
  <c r="J231" i="40" s="1"/>
  <c r="K230" i="40" a="1"/>
  <c r="K230" i="40" s="1"/>
  <c r="J451" i="40" a="1"/>
  <c r="J451" i="40" s="1"/>
  <c r="K450" i="40" a="1"/>
  <c r="K450" i="40" s="1"/>
  <c r="AD29" i="37"/>
  <c r="J627" i="40" a="1"/>
  <c r="J627" i="40" s="1"/>
  <c r="K626" i="40" a="1"/>
  <c r="K626" i="40" s="1"/>
  <c r="AD37" i="37"/>
  <c r="AD26" i="37"/>
  <c r="J583" i="40" a="1"/>
  <c r="J583" i="40" s="1"/>
  <c r="K582" i="40" a="1"/>
  <c r="K582" i="40" s="1"/>
  <c r="K637" i="40" a="1"/>
  <c r="K637" i="40" s="1"/>
  <c r="J638" i="40" a="1"/>
  <c r="J638" i="40" s="1"/>
  <c r="AD52" i="37"/>
  <c r="AD32" i="37"/>
  <c r="J99" i="40" a="1"/>
  <c r="J99" i="40" s="1"/>
  <c r="J77" i="40" a="1"/>
  <c r="J77" i="40" s="1"/>
  <c r="J253" i="40" a="1"/>
  <c r="J253" i="40" s="1"/>
  <c r="K54" i="40" a="1"/>
  <c r="K54" i="40" s="1"/>
  <c r="J55" i="40" a="1"/>
  <c r="J55" i="40" s="1"/>
  <c r="K511" i="40" a="1"/>
  <c r="K511" i="40" s="1"/>
  <c r="J513" i="40" a="1"/>
  <c r="J513" i="40" s="1"/>
  <c r="K659" i="40" a="1"/>
  <c r="K659" i="40" s="1"/>
  <c r="J660" i="40" a="1"/>
  <c r="J660" i="40" s="1"/>
  <c r="L660" i="40" s="1"/>
  <c r="K681" i="40" a="1"/>
  <c r="K681" i="40" s="1"/>
  <c r="J682" i="40" a="1"/>
  <c r="J682" i="40" s="1"/>
  <c r="L682" i="40" s="1"/>
  <c r="J220" i="40" a="1"/>
  <c r="J220" i="40" s="1"/>
  <c r="K219" i="40" a="1"/>
  <c r="K219" i="40" s="1"/>
  <c r="K542" i="40" a="1"/>
  <c r="K542" i="40" s="1"/>
  <c r="J545" i="40" a="1"/>
  <c r="J545" i="40" s="1"/>
  <c r="P440" i="40" l="1" a="1"/>
  <c r="P440" i="40" s="1"/>
  <c r="L440" i="40"/>
  <c r="E26" i="44"/>
  <c r="K512" i="40" a="1"/>
  <c r="K512" i="40" s="1"/>
  <c r="K606" i="40" a="1"/>
  <c r="K606" i="40" s="1"/>
  <c r="J492" i="40" a="1"/>
  <c r="J492" i="40" s="1"/>
  <c r="O188" i="37" a="1"/>
  <c r="O188" i="37" s="1"/>
  <c r="J516" i="40" s="1" a="1"/>
  <c r="J516" i="40" s="1"/>
  <c r="O197" i="37" a="1"/>
  <c r="O197" i="37" s="1"/>
  <c r="J612" i="40" s="1" a="1"/>
  <c r="J612" i="40" s="1"/>
  <c r="K363" i="40" a="1"/>
  <c r="K363" i="40" s="1"/>
  <c r="K881" i="40" a="1"/>
  <c r="K881" i="40" s="1"/>
  <c r="J838" i="40" a="1"/>
  <c r="J838" i="40" s="1"/>
  <c r="AE30" i="37"/>
  <c r="O161" i="37" a="1"/>
  <c r="O161" i="37" s="1"/>
  <c r="J173" i="40" a="1"/>
  <c r="J173" i="40" s="1"/>
  <c r="K171" i="40" a="1"/>
  <c r="K171" i="40" s="1"/>
  <c r="J189" i="40" a="1"/>
  <c r="J189" i="40" s="1"/>
  <c r="R217" i="37" a="1"/>
  <c r="R217" i="37" s="1"/>
  <c r="K883" i="40" s="1" a="1"/>
  <c r="K883" i="40" s="1"/>
  <c r="O153" i="37" a="1"/>
  <c r="O153" i="37" s="1"/>
  <c r="J45" i="40" a="1"/>
  <c r="J45" i="40" s="1"/>
  <c r="K44" i="40" a="1"/>
  <c r="K44" i="40" s="1"/>
  <c r="R211" i="37" a="1"/>
  <c r="R211" i="37" s="1"/>
  <c r="K838" i="40" s="1" a="1"/>
  <c r="K838" i="40" s="1"/>
  <c r="O147" i="37" a="1"/>
  <c r="O147" i="37" s="1"/>
  <c r="K122" i="40" a="1"/>
  <c r="K122" i="40" s="1"/>
  <c r="J125" i="40" a="1"/>
  <c r="J125" i="40" s="1"/>
  <c r="J411" i="40" a="1"/>
  <c r="J411" i="40" s="1"/>
  <c r="K1356" i="40" a="1"/>
  <c r="K1356" i="40" s="1"/>
  <c r="J650" i="40" a="1"/>
  <c r="J650" i="40" s="1"/>
  <c r="J153" i="40" a="1"/>
  <c r="J153" i="40" s="1"/>
  <c r="K151" i="40" a="1"/>
  <c r="K151" i="40" s="1"/>
  <c r="J310" i="40" a="1"/>
  <c r="J310" i="40" s="1"/>
  <c r="O186" i="37" a="1"/>
  <c r="O186" i="37" s="1"/>
  <c r="J494" i="40" s="1" a="1"/>
  <c r="J494" i="40" s="1"/>
  <c r="R207" i="37" a="1"/>
  <c r="R207" i="37" s="1"/>
  <c r="K1357" i="40" s="1" a="1"/>
  <c r="K1357" i="40" s="1"/>
  <c r="O143" i="37" a="1"/>
  <c r="O143" i="37" s="1"/>
  <c r="J651" i="40" s="1" a="1"/>
  <c r="J651" i="40" s="1"/>
  <c r="J430" i="40" a="1"/>
  <c r="J430" i="40" s="1"/>
  <c r="L430" i="40" s="1"/>
  <c r="K123" i="40" a="1"/>
  <c r="K123" i="40" s="1"/>
  <c r="J23" i="40" a="1"/>
  <c r="J23" i="40" s="1"/>
  <c r="J1118" i="40" a="1"/>
  <c r="J1118" i="40" s="1"/>
  <c r="K1114" i="40" a="1"/>
  <c r="K1114" i="40" s="1"/>
  <c r="K1255" i="40" a="1"/>
  <c r="K1255" i="40" s="1"/>
  <c r="J1258" i="40" a="1"/>
  <c r="J1258" i="40" s="1"/>
  <c r="K1112" i="40" a="1"/>
  <c r="K1112" i="40" s="1"/>
  <c r="J1116" i="40" a="1"/>
  <c r="J1116" i="40" s="1"/>
  <c r="J1222" i="40" a="1"/>
  <c r="J1222" i="40" s="1"/>
  <c r="K1220" i="40" a="1"/>
  <c r="K1220" i="40" s="1"/>
  <c r="K782" i="40" a="1"/>
  <c r="K782" i="40" s="1"/>
  <c r="J783" i="40" a="1"/>
  <c r="J783" i="40" s="1"/>
  <c r="J1025" i="40" a="1"/>
  <c r="J1025" i="40" s="1"/>
  <c r="K1024" i="40" a="1"/>
  <c r="K1024" i="40" s="1"/>
  <c r="K1155" i="40" a="1"/>
  <c r="K1155" i="40" s="1"/>
  <c r="J1156" i="40" a="1"/>
  <c r="J1156" i="40" s="1"/>
  <c r="J1365" i="40" a="1"/>
  <c r="J1365" i="40" s="1"/>
  <c r="L1365" i="40" s="1"/>
  <c r="K1364" i="40" a="1"/>
  <c r="K1364" i="40" s="1"/>
  <c r="J738" i="40" a="1"/>
  <c r="J738" i="40" s="1"/>
  <c r="K737" i="40" a="1"/>
  <c r="K737" i="40" s="1"/>
  <c r="J969" i="40" a="1"/>
  <c r="J969" i="40" s="1"/>
  <c r="K968" i="40" a="1"/>
  <c r="K968" i="40" s="1"/>
  <c r="K1342" i="40" a="1"/>
  <c r="K1342" i="40" s="1"/>
  <c r="J1343" i="40" a="1"/>
  <c r="J1343" i="40" s="1"/>
  <c r="J878" i="40" a="1"/>
  <c r="J878" i="40" s="1"/>
  <c r="K876" i="40" a="1"/>
  <c r="K876" i="40" s="1"/>
  <c r="K715" i="40" a="1"/>
  <c r="K715" i="40" s="1"/>
  <c r="J716" i="40" a="1"/>
  <c r="J716" i="40" s="1"/>
  <c r="K946" i="40" a="1"/>
  <c r="K946" i="40" s="1"/>
  <c r="J947" i="40" a="1"/>
  <c r="J947" i="40" s="1"/>
  <c r="K1271" i="40" a="1"/>
  <c r="K1271" i="40" s="1"/>
  <c r="J1273" i="40" a="1"/>
  <c r="J1273" i="40" s="1"/>
  <c r="J1146" i="40" a="1"/>
  <c r="J1146" i="40" s="1"/>
  <c r="L1146" i="40" s="1"/>
  <c r="K1145" i="40" a="1"/>
  <c r="K1145" i="40" s="1"/>
  <c r="R1145" i="40" s="1" a="1"/>
  <c r="R1145" i="40" s="1"/>
  <c r="V1145" i="40" s="1"/>
  <c r="K1198" i="40" a="1"/>
  <c r="K1198" i="40" s="1"/>
  <c r="J1200" i="40" a="1"/>
  <c r="J1200" i="40" s="1"/>
  <c r="N1398" i="40" a="1"/>
  <c r="N1398" i="40" s="1"/>
  <c r="O1398" i="40" a="1"/>
  <c r="O1398" i="40" s="1"/>
  <c r="T1398" i="40" s="1"/>
  <c r="Q1398" i="40" a="1"/>
  <c r="Q1398" i="40" s="1"/>
  <c r="U1398" i="40" s="1"/>
  <c r="M1398" i="40" a="1"/>
  <c r="M1398" i="40" s="1"/>
  <c r="S1398" i="40" s="1"/>
  <c r="P1398" i="40" a="1"/>
  <c r="P1398" i="40" s="1"/>
  <c r="P1145" i="40" a="1"/>
  <c r="P1145" i="40" s="1"/>
  <c r="M1145" i="40" a="1"/>
  <c r="M1145" i="40" s="1"/>
  <c r="S1145" i="40" s="1"/>
  <c r="N1145" i="40" a="1"/>
  <c r="N1145" i="40" s="1"/>
  <c r="O1145" i="40" a="1"/>
  <c r="O1145" i="40" s="1"/>
  <c r="T1145" i="40" s="1"/>
  <c r="Q1145" i="40" a="1"/>
  <c r="Q1145" i="40" s="1"/>
  <c r="U1145" i="40" s="1"/>
  <c r="J794" i="40" a="1"/>
  <c r="J794" i="40" s="1"/>
  <c r="K793" i="40" a="1"/>
  <c r="K793" i="40" s="1"/>
  <c r="J1377" i="40" a="1"/>
  <c r="J1377" i="40" s="1"/>
  <c r="L1377" i="40" s="1"/>
  <c r="K1376" i="40" a="1"/>
  <c r="K1376" i="40" s="1"/>
  <c r="J1117" i="40" a="1"/>
  <c r="J1117" i="40" s="1"/>
  <c r="K1113" i="40" a="1"/>
  <c r="K1113" i="40" s="1"/>
  <c r="K1175" i="40" a="1"/>
  <c r="K1175" i="40" s="1"/>
  <c r="J1177" i="40" a="1"/>
  <c r="J1177" i="40" s="1"/>
  <c r="J830" i="40" a="1"/>
  <c r="J830" i="40" s="1"/>
  <c r="K827" i="40" a="1"/>
  <c r="K827" i="40" s="1"/>
  <c r="K1311" i="40" a="1"/>
  <c r="K1311" i="40" s="1"/>
  <c r="J1314" i="40" a="1"/>
  <c r="J1314" i="40" s="1"/>
  <c r="K726" i="40" a="1"/>
  <c r="K726" i="40" s="1"/>
  <c r="J727" i="40" a="1"/>
  <c r="J727" i="40" s="1"/>
  <c r="J804" i="40" a="1"/>
  <c r="J804" i="40" s="1"/>
  <c r="K803" i="40" a="1"/>
  <c r="K803" i="40" s="1"/>
  <c r="J771" i="40" a="1"/>
  <c r="J771" i="40" s="1"/>
  <c r="K770" i="40" a="1"/>
  <c r="K770" i="40" s="1"/>
  <c r="J1134" i="40" a="1"/>
  <c r="J1134" i="40" s="1"/>
  <c r="L1134" i="40" s="1"/>
  <c r="K1133" i="40" a="1"/>
  <c r="K1133" i="40" s="1"/>
  <c r="K759" i="40" a="1"/>
  <c r="K759" i="40" s="1"/>
  <c r="J760" i="40" a="1"/>
  <c r="J760" i="40" s="1"/>
  <c r="K1217" i="40" a="1"/>
  <c r="K1217" i="40" s="1"/>
  <c r="J1219" i="40" a="1"/>
  <c r="J1219" i="40" s="1"/>
  <c r="K1014" i="40" a="1"/>
  <c r="K1014" i="40" s="1"/>
  <c r="J1015" i="40" a="1"/>
  <c r="J1015" i="40" s="1"/>
  <c r="J1318" i="40" a="1"/>
  <c r="J1318" i="40" s="1"/>
  <c r="K1315" i="40" a="1"/>
  <c r="K1315" i="40" s="1"/>
  <c r="K856" i="40" a="1"/>
  <c r="K856" i="40" s="1"/>
  <c r="J858" i="40" a="1"/>
  <c r="J858" i="40" s="1"/>
  <c r="K1077" i="40" a="1"/>
  <c r="K1077" i="40" s="1"/>
  <c r="J1081" i="40" a="1"/>
  <c r="J1081" i="40" s="1"/>
  <c r="J917" i="40" a="1"/>
  <c r="J917" i="40" s="1"/>
  <c r="K915" i="40" a="1"/>
  <c r="K915" i="40" s="1"/>
  <c r="K1274" i="40" a="1"/>
  <c r="K1274" i="40" s="1"/>
  <c r="J1276" i="40" a="1"/>
  <c r="J1276" i="40" s="1"/>
  <c r="K991" i="40" a="1"/>
  <c r="K991" i="40" s="1"/>
  <c r="J992" i="40" a="1"/>
  <c r="J992" i="40" s="1"/>
  <c r="J1035" i="40" a="1"/>
  <c r="J1035" i="40" s="1"/>
  <c r="K1034" i="40" a="1"/>
  <c r="K1034" i="40" s="1"/>
  <c r="J1409" i="40" a="1"/>
  <c r="J1409" i="40" s="1"/>
  <c r="K1408" i="40" a="1"/>
  <c r="K1408" i="40" s="1"/>
  <c r="J1197" i="40" a="1"/>
  <c r="J1197" i="40" s="1"/>
  <c r="K1195" i="40" a="1"/>
  <c r="K1195" i="40" s="1"/>
  <c r="K1071" i="40" a="1"/>
  <c r="K1071" i="40" s="1"/>
  <c r="J1075" i="40" a="1"/>
  <c r="J1075" i="40" s="1"/>
  <c r="K1244" i="40" a="1"/>
  <c r="K1244" i="40" s="1"/>
  <c r="J1247" i="40" a="1"/>
  <c r="J1247" i="40" s="1"/>
  <c r="J925" i="40" a="1"/>
  <c r="J925" i="40" s="1"/>
  <c r="K924" i="40" a="1"/>
  <c r="K924" i="40" s="1"/>
  <c r="K979" i="40" a="1"/>
  <c r="K979" i="40" s="1"/>
  <c r="J980" i="40" a="1"/>
  <c r="J980" i="40" s="1"/>
  <c r="K957" i="40" a="1"/>
  <c r="K957" i="40" s="1"/>
  <c r="J958" i="40" a="1"/>
  <c r="J958" i="40" s="1"/>
  <c r="J1002" i="40" a="1"/>
  <c r="J1002" i="40" s="1"/>
  <c r="K1001" i="40" a="1"/>
  <c r="K1001" i="40" s="1"/>
  <c r="K1076" i="40" a="1"/>
  <c r="K1076" i="40" s="1"/>
  <c r="J1080" i="40" a="1"/>
  <c r="J1080" i="40" s="1"/>
  <c r="K1398" i="40" a="1"/>
  <c r="K1398" i="40" s="1"/>
  <c r="R1398" i="40" s="1" a="1"/>
  <c r="R1398" i="40" s="1"/>
  <c r="V1398" i="40" s="1"/>
  <c r="J1399" i="40" a="1"/>
  <c r="J1399" i="40" s="1"/>
  <c r="L1399" i="40" s="1"/>
  <c r="K831" i="40" a="1"/>
  <c r="K831" i="40" s="1"/>
  <c r="J834" i="40" a="1"/>
  <c r="J834" i="40" s="1"/>
  <c r="J717" i="40" a="1"/>
  <c r="J717" i="40" s="1"/>
  <c r="K716" i="40" a="1"/>
  <c r="K716" i="40" s="1"/>
  <c r="J1251" i="40" a="1"/>
  <c r="J1251" i="40" s="1"/>
  <c r="K1248" i="40" a="1"/>
  <c r="K1248" i="40" s="1"/>
  <c r="K1070" i="40" a="1"/>
  <c r="K1070" i="40" s="1"/>
  <c r="J1074" i="40" a="1"/>
  <c r="J1074" i="40" s="1"/>
  <c r="J1388" i="40" a="1"/>
  <c r="J1388" i="40" s="1"/>
  <c r="L1388" i="40" s="1"/>
  <c r="K1387" i="40" a="1"/>
  <c r="K1387" i="40" s="1"/>
  <c r="J1319" i="40" a="1"/>
  <c r="J1319" i="40" s="1"/>
  <c r="K1316" i="40" a="1"/>
  <c r="K1316" i="40" s="1"/>
  <c r="J861" i="40" a="1"/>
  <c r="J861" i="40" s="1"/>
  <c r="K859" i="40" a="1"/>
  <c r="K859" i="40" s="1"/>
  <c r="J914" i="40" a="1"/>
  <c r="J914" i="40" s="1"/>
  <c r="K912" i="40" a="1"/>
  <c r="K912" i="40" s="1"/>
  <c r="J1119" i="40" a="1"/>
  <c r="J1119" i="40" s="1"/>
  <c r="K1115" i="40" a="1"/>
  <c r="K1115" i="40" s="1"/>
  <c r="J1174" i="40" a="1"/>
  <c r="J1174" i="40" s="1"/>
  <c r="K1172" i="40" a="1"/>
  <c r="K1172" i="40" s="1"/>
  <c r="J1288" i="40" a="1"/>
  <c r="J1288" i="40" s="1"/>
  <c r="K1287" i="40" a="1"/>
  <c r="K1287" i="40" s="1"/>
  <c r="J936" i="40" a="1"/>
  <c r="J936" i="40" s="1"/>
  <c r="K935" i="40" a="1"/>
  <c r="K935" i="40" s="1"/>
  <c r="K893" i="40" a="1"/>
  <c r="K893" i="40" s="1"/>
  <c r="J894" i="40" a="1"/>
  <c r="J894" i="40" s="1"/>
  <c r="J1332" i="40" a="1"/>
  <c r="J1332" i="40" s="1"/>
  <c r="K1331" i="40" a="1"/>
  <c r="K1331" i="40" s="1"/>
  <c r="O157" i="37" a="1"/>
  <c r="O157" i="37" s="1"/>
  <c r="O221" i="37" a="1"/>
  <c r="O221" i="37" s="1"/>
  <c r="Q218" i="37" a="1"/>
  <c r="Q218" i="37" s="1"/>
  <c r="O159" i="37" a="1"/>
  <c r="O159" i="37" s="1"/>
  <c r="O223" i="37" a="1"/>
  <c r="O223" i="37" s="1"/>
  <c r="O181" i="37" a="1"/>
  <c r="O181" i="37" s="1"/>
  <c r="O245" i="37" a="1"/>
  <c r="O245" i="37" s="1"/>
  <c r="Q239" i="37" a="1"/>
  <c r="Q239" i="37" s="1"/>
  <c r="O158" i="37" a="1"/>
  <c r="O158" i="37" s="1"/>
  <c r="O222" i="37" a="1"/>
  <c r="O222" i="37" s="1"/>
  <c r="O163" i="37" a="1"/>
  <c r="O163" i="37" s="1"/>
  <c r="O227" i="37" a="1"/>
  <c r="O227" i="37" s="1"/>
  <c r="O195" i="37" a="1"/>
  <c r="O195" i="37" s="1"/>
  <c r="O259" i="37" a="1"/>
  <c r="O259" i="37" s="1"/>
  <c r="O187" i="37" a="1"/>
  <c r="O187" i="37" s="1"/>
  <c r="O251" i="37" a="1"/>
  <c r="O251" i="37" s="1"/>
  <c r="O169" i="37" a="1"/>
  <c r="O169" i="37" s="1"/>
  <c r="O233" i="37" a="1"/>
  <c r="O233" i="37" s="1"/>
  <c r="O138" i="37" a="1"/>
  <c r="O138" i="37" s="1"/>
  <c r="O202" i="37" a="1"/>
  <c r="O202" i="37" s="1"/>
  <c r="O185" i="37" a="1"/>
  <c r="O185" i="37" s="1"/>
  <c r="O249" i="37" a="1"/>
  <c r="O249" i="37" s="1"/>
  <c r="Q235" i="37" a="1"/>
  <c r="Q235" i="37" s="1"/>
  <c r="O141" i="37" a="1"/>
  <c r="O141" i="37" s="1"/>
  <c r="K23" i="40" s="1" a="1"/>
  <c r="K23" i="40" s="1"/>
  <c r="O205" i="37" a="1"/>
  <c r="O205" i="37" s="1"/>
  <c r="O166" i="37" a="1"/>
  <c r="O166" i="37" s="1"/>
  <c r="O230" i="37" a="1"/>
  <c r="O230" i="37" s="1"/>
  <c r="O168" i="37" a="1"/>
  <c r="O168" i="37" s="1"/>
  <c r="J255" i="40" s="1" a="1"/>
  <c r="J255" i="40" s="1"/>
  <c r="O232" i="37" a="1"/>
  <c r="O232" i="37" s="1"/>
  <c r="Q229" i="37" a="1"/>
  <c r="Q229" i="37" s="1"/>
  <c r="O145" i="37" a="1"/>
  <c r="O145" i="37" s="1"/>
  <c r="K126" i="40" s="1" a="1"/>
  <c r="K126" i="40" s="1"/>
  <c r="O209" i="37" a="1"/>
  <c r="O209" i="37" s="1"/>
  <c r="O192" i="37" a="1"/>
  <c r="O192" i="37" s="1"/>
  <c r="O256" i="37" a="1"/>
  <c r="O256" i="37" s="1"/>
  <c r="Q155" i="37" a="1"/>
  <c r="Q155" i="37" s="1"/>
  <c r="Q219" i="37" a="1"/>
  <c r="Q219" i="37" s="1"/>
  <c r="O198" i="37" a="1"/>
  <c r="O198" i="37" s="1"/>
  <c r="O262" i="37" a="1"/>
  <c r="O262" i="37" s="1"/>
  <c r="O144" i="37" a="1"/>
  <c r="O144" i="37" s="1"/>
  <c r="O208" i="37" a="1"/>
  <c r="O208" i="37" s="1"/>
  <c r="O164" i="37" a="1"/>
  <c r="O164" i="37" s="1"/>
  <c r="K298" i="40" s="1" a="1"/>
  <c r="K298" i="40" s="1"/>
  <c r="O228" i="37" a="1"/>
  <c r="O228" i="37" s="1"/>
  <c r="O139" i="37" a="1"/>
  <c r="O139" i="37" s="1"/>
  <c r="O203" i="37" a="1"/>
  <c r="O203" i="37" s="1"/>
  <c r="R213" i="37" a="1"/>
  <c r="R213" i="37" s="1"/>
  <c r="K861" i="40" s="1" a="1"/>
  <c r="K861" i="40" s="1"/>
  <c r="O183" i="37" a="1"/>
  <c r="O183" i="37" s="1"/>
  <c r="O247" i="37" a="1"/>
  <c r="O247" i="37" s="1"/>
  <c r="O189" i="37" a="1"/>
  <c r="O189" i="37" s="1"/>
  <c r="J546" i="40" s="1" a="1"/>
  <c r="J546" i="40" s="1"/>
  <c r="O253" i="37" a="1"/>
  <c r="O253" i="37" s="1"/>
  <c r="O199" i="37" a="1"/>
  <c r="O199" i="37" s="1"/>
  <c r="O263" i="37" a="1"/>
  <c r="O263" i="37" s="1"/>
  <c r="O137" i="37" a="1"/>
  <c r="O137" i="37" s="1"/>
  <c r="O201" i="37" a="1"/>
  <c r="O201" i="37" s="1"/>
  <c r="O160" i="37" a="1"/>
  <c r="O160" i="37" s="1"/>
  <c r="O224" i="37" a="1"/>
  <c r="O224" i="37" s="1"/>
  <c r="O180" i="37" a="1"/>
  <c r="O180" i="37" s="1"/>
  <c r="K430" i="40" s="1" a="1"/>
  <c r="K430" i="40" s="1"/>
  <c r="O244" i="37" a="1"/>
  <c r="O244" i="37" s="1"/>
  <c r="O170" i="37" a="1"/>
  <c r="O170" i="37" s="1"/>
  <c r="O234" i="37" a="1"/>
  <c r="O234" i="37" s="1"/>
  <c r="O152" i="37" a="1"/>
  <c r="O152" i="37" s="1"/>
  <c r="O216" i="37" a="1"/>
  <c r="O216" i="37" s="1"/>
  <c r="O194" i="37" a="1"/>
  <c r="O194" i="37" s="1"/>
  <c r="J585" i="40" s="1" a="1"/>
  <c r="J585" i="40" s="1"/>
  <c r="O258" i="37" a="1"/>
  <c r="O258" i="37" s="1"/>
  <c r="O136" i="37" a="1"/>
  <c r="O136" i="37" s="1"/>
  <c r="K12" i="40" s="1" a="1"/>
  <c r="K12" i="40" s="1"/>
  <c r="AE5" i="37"/>
  <c r="P200" i="37" s="1" a="1"/>
  <c r="P200" i="37" s="1"/>
  <c r="F27" i="44"/>
  <c r="J152" i="40" a="1"/>
  <c r="J152" i="40" s="1"/>
  <c r="J211" i="40" a="1"/>
  <c r="J211" i="40" s="1"/>
  <c r="AE59" i="37"/>
  <c r="P254" i="37" s="1" a="1"/>
  <c r="P254" i="37" s="1"/>
  <c r="O190" i="37" a="1"/>
  <c r="O190" i="37" s="1"/>
  <c r="AE41" i="37"/>
  <c r="P236" i="37" s="1" a="1"/>
  <c r="P236" i="37" s="1"/>
  <c r="O172" i="37" a="1"/>
  <c r="O172" i="37" s="1"/>
  <c r="K366" i="40" s="1" a="1"/>
  <c r="K366" i="40" s="1"/>
  <c r="AE20" i="37"/>
  <c r="P215" i="37" s="1" a="1"/>
  <c r="P215" i="37" s="1"/>
  <c r="O151" i="37" a="1"/>
  <c r="O151" i="37" s="1"/>
  <c r="AE31" i="37"/>
  <c r="P226" i="37" s="1" a="1"/>
  <c r="P226" i="37" s="1"/>
  <c r="O162" i="37" a="1"/>
  <c r="O162" i="37" s="1"/>
  <c r="J288" i="40" s="1" a="1"/>
  <c r="J288" i="40" s="1"/>
  <c r="AE8" i="37"/>
  <c r="AE65" i="37"/>
  <c r="P260" i="37" s="1" a="1"/>
  <c r="P260" i="37" s="1"/>
  <c r="O196" i="37" a="1"/>
  <c r="O196" i="37" s="1"/>
  <c r="K611" i="40" s="1" a="1"/>
  <c r="K611" i="40" s="1"/>
  <c r="AE19" i="37"/>
  <c r="P214" i="37" s="1" a="1"/>
  <c r="P214" i="37" s="1"/>
  <c r="O150" i="37" a="1"/>
  <c r="O150" i="37" s="1"/>
  <c r="J154" i="40" s="1" a="1"/>
  <c r="J154" i="40" s="1"/>
  <c r="AE43" i="37"/>
  <c r="R238" i="37" s="1" a="1"/>
  <c r="R238" i="37" s="1"/>
  <c r="K1081" i="40" s="1" a="1"/>
  <c r="K1081" i="40" s="1"/>
  <c r="Q174" i="37" a="1"/>
  <c r="Q174" i="37" s="1"/>
  <c r="AE9" i="37"/>
  <c r="P204" i="37" s="1" a="1"/>
  <c r="P204" i="37" s="1"/>
  <c r="O140" i="37" a="1"/>
  <c r="O140" i="37" s="1"/>
  <c r="J79" i="40" s="1" a="1"/>
  <c r="J79" i="40" s="1"/>
  <c r="AE22" i="37"/>
  <c r="AE6" i="37"/>
  <c r="AE66" i="37"/>
  <c r="Q261" i="37" s="1" a="1"/>
  <c r="Q261" i="37" s="1"/>
  <c r="AE42" i="37"/>
  <c r="R237" i="37" s="1" a="1"/>
  <c r="R237" i="37" s="1"/>
  <c r="K1080" i="40" s="1" a="1"/>
  <c r="K1080" i="40" s="1"/>
  <c r="Q173" i="37" a="1"/>
  <c r="Q173" i="37" s="1"/>
  <c r="K372" i="40" s="1" a="1"/>
  <c r="K372" i="40" s="1"/>
  <c r="AE12" i="37"/>
  <c r="AE48" i="37"/>
  <c r="P243" i="37" s="1" a="1"/>
  <c r="P243" i="37" s="1"/>
  <c r="O179" i="37" a="1"/>
  <c r="O179" i="37" s="1"/>
  <c r="AE15" i="37"/>
  <c r="P210" i="37" s="1" a="1"/>
  <c r="P210" i="37" s="1"/>
  <c r="O146" i="37" a="1"/>
  <c r="O146" i="37" s="1"/>
  <c r="AE46" i="37"/>
  <c r="P241" i="37" s="1" a="1"/>
  <c r="P241" i="37" s="1"/>
  <c r="O177" i="37" a="1"/>
  <c r="O177" i="37" s="1"/>
  <c r="J413" i="40" s="1" a="1"/>
  <c r="J413" i="40" s="1"/>
  <c r="AE53" i="37"/>
  <c r="P248" i="37" s="1" a="1"/>
  <c r="P248" i="37" s="1"/>
  <c r="O184" i="37" a="1"/>
  <c r="O184" i="37" s="1"/>
  <c r="AE7" i="37"/>
  <c r="AE36" i="37"/>
  <c r="P231" i="37" s="1" a="1"/>
  <c r="P231" i="37" s="1"/>
  <c r="O167" i="37" a="1"/>
  <c r="O167" i="37" s="1"/>
  <c r="J321" i="40" s="1" a="1"/>
  <c r="J321" i="40" s="1"/>
  <c r="AE47" i="37"/>
  <c r="P242" i="37" s="1" a="1"/>
  <c r="P242" i="37" s="1"/>
  <c r="O178" i="37" a="1"/>
  <c r="O178" i="37" s="1"/>
  <c r="K410" i="40" s="1" a="1"/>
  <c r="K410" i="40" s="1"/>
  <c r="AE60" i="37"/>
  <c r="R255" i="37" s="1" a="1"/>
  <c r="R255" i="37" s="1"/>
  <c r="K1258" i="40" s="1" a="1"/>
  <c r="K1258" i="40" s="1"/>
  <c r="Q191" i="37" a="1"/>
  <c r="Q191" i="37" s="1"/>
  <c r="AE45" i="37"/>
  <c r="P240" i="37" s="1" a="1"/>
  <c r="P240" i="37" s="1"/>
  <c r="O176" i="37" a="1"/>
  <c r="O176" i="37" s="1"/>
  <c r="AE57" i="37"/>
  <c r="Q252" i="37" s="1" a="1"/>
  <c r="Q252" i="37" s="1"/>
  <c r="AE25" i="37"/>
  <c r="R220" i="37" s="1" a="1"/>
  <c r="R220" i="37" s="1"/>
  <c r="K917" i="40" s="1" a="1"/>
  <c r="K917" i="40" s="1"/>
  <c r="Q156" i="37" a="1"/>
  <c r="Q156" i="37" s="1"/>
  <c r="J213" i="40" s="1" a="1"/>
  <c r="J213" i="40" s="1"/>
  <c r="AE62" i="37"/>
  <c r="P257" i="37" s="1" a="1"/>
  <c r="P257" i="37" s="1"/>
  <c r="O193" i="37" a="1"/>
  <c r="O193" i="37" s="1"/>
  <c r="AE16" i="37"/>
  <c r="AE11" i="37"/>
  <c r="P206" i="37" s="1" a="1"/>
  <c r="P206" i="37" s="1"/>
  <c r="O142" i="37" a="1"/>
  <c r="O142" i="37" s="1"/>
  <c r="AE51" i="37"/>
  <c r="P246" i="37" s="1" a="1"/>
  <c r="P246" i="37" s="1"/>
  <c r="O182" i="37" a="1"/>
  <c r="O182" i="37" s="1"/>
  <c r="AE55" i="37"/>
  <c r="Q250" i="37" s="1" a="1"/>
  <c r="Q250" i="37" s="1"/>
  <c r="AE17" i="37"/>
  <c r="P212" i="37" s="1" a="1"/>
  <c r="P212" i="37" s="1"/>
  <c r="O148" i="37" a="1"/>
  <c r="O148" i="37" s="1"/>
  <c r="K405" i="40" a="1"/>
  <c r="K405" i="40" s="1"/>
  <c r="K368" i="40" a="1"/>
  <c r="K368" i="40" s="1"/>
  <c r="J410" i="40" a="1"/>
  <c r="J410" i="40" s="1"/>
  <c r="J298" i="40" a="1"/>
  <c r="J298" i="40" s="1"/>
  <c r="K286" i="40" a="1"/>
  <c r="K286" i="40" s="1"/>
  <c r="J611" i="40" a="1"/>
  <c r="J611" i="40" s="1"/>
  <c r="J320" i="40" a="1"/>
  <c r="J320" i="40" s="1"/>
  <c r="J543" i="40" a="1"/>
  <c r="J543" i="40" s="1"/>
  <c r="J254" i="40" a="1"/>
  <c r="J254" i="40" s="1"/>
  <c r="AE52" i="37"/>
  <c r="AE64" i="37"/>
  <c r="AE49" i="37"/>
  <c r="J705" i="40" a="1"/>
  <c r="J705" i="40" s="1"/>
  <c r="K704" i="40" a="1"/>
  <c r="K704" i="40" s="1"/>
  <c r="J569" i="40" a="1"/>
  <c r="J569" i="40" s="1"/>
  <c r="K567" i="40" a="1"/>
  <c r="K567" i="40" s="1"/>
  <c r="K77" i="40" a="1"/>
  <c r="K77" i="40" s="1"/>
  <c r="J78" i="40" a="1"/>
  <c r="J78" i="40" s="1"/>
  <c r="AE61" i="37"/>
  <c r="AE37" i="37"/>
  <c r="J373" i="40" a="1"/>
  <c r="J373" i="40" s="1"/>
  <c r="K369" i="40" a="1"/>
  <c r="K369" i="40" s="1"/>
  <c r="K541" i="40" a="1"/>
  <c r="K541" i="40" s="1"/>
  <c r="J544" i="40" a="1"/>
  <c r="J544" i="40" s="1"/>
  <c r="J265" i="40" a="1"/>
  <c r="J265" i="40" s="1"/>
  <c r="K264" i="40" a="1"/>
  <c r="K264" i="40" s="1"/>
  <c r="AE50" i="37"/>
  <c r="K66" i="40" a="1"/>
  <c r="K66" i="40" s="1"/>
  <c r="J67" i="40" a="1"/>
  <c r="J67" i="40" s="1"/>
  <c r="K99" i="40" a="1"/>
  <c r="K99" i="40" s="1"/>
  <c r="J100" i="40" a="1"/>
  <c r="J100" i="40" s="1"/>
  <c r="K468" i="40" a="1"/>
  <c r="K468" i="40" s="1"/>
  <c r="J470" i="40" a="1"/>
  <c r="J470" i="40" s="1"/>
  <c r="AE26" i="37"/>
  <c r="AE23" i="37"/>
  <c r="P154" i="37" s="1" a="1"/>
  <c r="P154" i="37" s="1"/>
  <c r="K189" i="40" s="1" a="1"/>
  <c r="K189" i="40" s="1"/>
  <c r="J441" i="40" a="1"/>
  <c r="J441" i="40" s="1"/>
  <c r="K440" i="40" a="1"/>
  <c r="K440" i="40" s="1"/>
  <c r="K404" i="40" a="1"/>
  <c r="K404" i="40" s="1"/>
  <c r="J408" i="40" a="1"/>
  <c r="J408" i="40" s="1"/>
  <c r="J276" i="40" a="1"/>
  <c r="J276" i="40" s="1"/>
  <c r="K275" i="40" a="1"/>
  <c r="K275" i="40" s="1"/>
  <c r="AE38" i="37"/>
  <c r="P693" i="40" a="1"/>
  <c r="P693" i="40" s="1"/>
  <c r="Q693" i="40" a="1"/>
  <c r="Q693" i="40" s="1"/>
  <c r="U693" i="40" s="1"/>
  <c r="O693" i="40" a="1"/>
  <c r="O693" i="40" s="1"/>
  <c r="T693" i="40" s="1"/>
  <c r="M693" i="40" a="1"/>
  <c r="M693" i="40" s="1"/>
  <c r="S693" i="40" s="1"/>
  <c r="N693" i="40" a="1"/>
  <c r="N693" i="40" s="1"/>
  <c r="J243" i="40" a="1"/>
  <c r="J243" i="40" s="1"/>
  <c r="K242" i="40" a="1"/>
  <c r="K242" i="40" s="1"/>
  <c r="AE13" i="37"/>
  <c r="AE33" i="37"/>
  <c r="J366" i="40" a="1"/>
  <c r="J366" i="40" s="1"/>
  <c r="AE35" i="37"/>
  <c r="J493" i="40" a="1"/>
  <c r="J493" i="40" s="1"/>
  <c r="K491" i="40" a="1"/>
  <c r="K491" i="40" s="1"/>
  <c r="AE28" i="37"/>
  <c r="K451" i="40" a="1"/>
  <c r="K451" i="40" s="1"/>
  <c r="J452" i="40" a="1"/>
  <c r="J452" i="40" s="1"/>
  <c r="K638" i="40" a="1"/>
  <c r="K638" i="40" s="1"/>
  <c r="J639" i="40" a="1"/>
  <c r="J639" i="40" s="1"/>
  <c r="AE44" i="37"/>
  <c r="P175" i="37" s="1" a="1"/>
  <c r="P175" i="37" s="1"/>
  <c r="K411" i="40" s="1" a="1"/>
  <c r="K411" i="40" s="1"/>
  <c r="AE56" i="37"/>
  <c r="AE14" i="37"/>
  <c r="AE32" i="37"/>
  <c r="K33" i="40" a="1"/>
  <c r="K33" i="40" s="1"/>
  <c r="J34" i="40" a="1"/>
  <c r="J34" i="40" s="1"/>
  <c r="AE40" i="37"/>
  <c r="P171" i="37" s="1" a="1"/>
  <c r="P171" i="37" s="1"/>
  <c r="J371" i="40" s="1" a="1"/>
  <c r="J371" i="40" s="1"/>
  <c r="K124" i="40" a="1"/>
  <c r="K124" i="40" s="1"/>
  <c r="J127" i="40" a="1"/>
  <c r="J127" i="40" s="1"/>
  <c r="AE58" i="37"/>
  <c r="K172" i="40" a="1"/>
  <c r="K172" i="40" s="1"/>
  <c r="J174" i="40" a="1"/>
  <c r="J174" i="40" s="1"/>
  <c r="AE68" i="37"/>
  <c r="AE54" i="37"/>
  <c r="K693" i="40" a="1"/>
  <c r="K693" i="40" s="1"/>
  <c r="R693" i="40" s="1" a="1"/>
  <c r="R693" i="40" s="1"/>
  <c r="V693" i="40" s="1"/>
  <c r="J694" i="40" a="1"/>
  <c r="J694" i="40" s="1"/>
  <c r="L694" i="40" s="1"/>
  <c r="J672" i="40" a="1"/>
  <c r="J672" i="40" s="1"/>
  <c r="L672" i="40" s="1"/>
  <c r="K671" i="40" a="1"/>
  <c r="K671" i="40" s="1"/>
  <c r="K330" i="40" a="1"/>
  <c r="K330" i="40" s="1"/>
  <c r="J331" i="40" a="1"/>
  <c r="J331" i="40" s="1"/>
  <c r="J210" i="40" a="1"/>
  <c r="J210" i="40" s="1"/>
  <c r="K208" i="40" a="1"/>
  <c r="K208" i="40" s="1"/>
  <c r="AE18" i="37"/>
  <c r="P149" i="37" s="1" a="1"/>
  <c r="P149" i="37" s="1"/>
  <c r="AE10" i="37"/>
  <c r="K583" i="40" a="1"/>
  <c r="K583" i="40" s="1"/>
  <c r="J584" i="40" a="1"/>
  <c r="J584" i="40" s="1"/>
  <c r="K627" i="40" a="1"/>
  <c r="K627" i="40" s="1"/>
  <c r="J628" i="40" a="1"/>
  <c r="J628" i="40" s="1"/>
  <c r="J232" i="40" a="1"/>
  <c r="J232" i="40" s="1"/>
  <c r="K231" i="40" a="1"/>
  <c r="K231" i="40" s="1"/>
  <c r="J471" i="40" a="1"/>
  <c r="J471" i="40" s="1"/>
  <c r="K469" i="40" a="1"/>
  <c r="K469" i="40" s="1"/>
  <c r="AE29" i="37"/>
  <c r="J610" i="40" a="1"/>
  <c r="J610" i="40" s="1"/>
  <c r="K607" i="40" a="1"/>
  <c r="K607" i="40" s="1"/>
  <c r="AE34" i="37"/>
  <c r="P165" i="37" s="1" a="1"/>
  <c r="P165" i="37" s="1"/>
  <c r="J311" i="40" s="1" a="1"/>
  <c r="J311" i="40" s="1"/>
  <c r="AE39" i="37"/>
  <c r="AE24" i="37"/>
  <c r="AE21" i="37"/>
  <c r="J89" i="40" a="1"/>
  <c r="J89" i="40" s="1"/>
  <c r="K88" i="40" a="1"/>
  <c r="K88" i="40" s="1"/>
  <c r="J570" i="40" a="1"/>
  <c r="J570" i="40" s="1"/>
  <c r="K568" i="40" a="1"/>
  <c r="K568" i="40" s="1"/>
  <c r="AE63" i="37"/>
  <c r="AE67" i="37"/>
  <c r="AE27" i="37"/>
  <c r="J12" i="40" a="1"/>
  <c r="J12" i="40" s="1"/>
  <c r="K55" i="40" a="1"/>
  <c r="K55" i="40" s="1"/>
  <c r="J56" i="40" a="1"/>
  <c r="J56" i="40" s="1"/>
  <c r="K513" i="40" a="1"/>
  <c r="K513" i="40" s="1"/>
  <c r="J515" i="40" a="1"/>
  <c r="J515" i="40" s="1"/>
  <c r="K660" i="40" a="1"/>
  <c r="K660" i="40" s="1"/>
  <c r="J661" i="40" a="1"/>
  <c r="J661" i="40" s="1"/>
  <c r="L661" i="40" s="1"/>
  <c r="J683" i="40" a="1"/>
  <c r="J683" i="40" s="1"/>
  <c r="L683" i="40" s="1"/>
  <c r="K682" i="40" a="1"/>
  <c r="K682" i="40" s="1"/>
  <c r="K220" i="40" a="1"/>
  <c r="K220" i="40" s="1"/>
  <c r="J221" i="40" a="1"/>
  <c r="J221" i="40" s="1"/>
  <c r="K545" i="40" a="1"/>
  <c r="K545" i="40" s="1"/>
  <c r="J548" i="40" a="1"/>
  <c r="J548" i="40" s="1"/>
  <c r="P441" i="40" l="1" a="1"/>
  <c r="P441" i="40" s="1"/>
  <c r="L441" i="40"/>
  <c r="K514" i="40" a="1"/>
  <c r="K514" i="40" s="1"/>
  <c r="E27" i="44"/>
  <c r="F28" i="44" s="1"/>
  <c r="P188" i="37" a="1"/>
  <c r="P188" i="37" s="1"/>
  <c r="K516" i="40" s="1" a="1"/>
  <c r="K516" i="40" s="1"/>
  <c r="K609" i="40" a="1"/>
  <c r="K609" i="40" s="1"/>
  <c r="J415" i="40" a="1"/>
  <c r="J415" i="40" s="1"/>
  <c r="K310" i="40" a="1"/>
  <c r="K310" i="40" s="1"/>
  <c r="P186" i="37" a="1"/>
  <c r="P186" i="37" s="1"/>
  <c r="K494" i="40" s="1" a="1"/>
  <c r="K494" i="40" s="1"/>
  <c r="J128" i="40" a="1"/>
  <c r="J128" i="40" s="1"/>
  <c r="K125" i="40" a="1"/>
  <c r="K125" i="40" s="1"/>
  <c r="AF16" i="37"/>
  <c r="P147" i="37" a="1"/>
  <c r="P147" i="37" s="1"/>
  <c r="AF22" i="37"/>
  <c r="P153" i="37" a="1"/>
  <c r="P153" i="37" s="1"/>
  <c r="K367" i="40" a="1"/>
  <c r="K367" i="40" s="1"/>
  <c r="AF12" i="37"/>
  <c r="P143" i="37" a="1"/>
  <c r="P143" i="37" s="1"/>
  <c r="J652" i="40" s="1" a="1"/>
  <c r="J652" i="40" s="1"/>
  <c r="J190" i="40" a="1"/>
  <c r="J190" i="40" s="1"/>
  <c r="K650" i="40" a="1"/>
  <c r="K650" i="40" s="1"/>
  <c r="J175" i="40" a="1"/>
  <c r="J175" i="40" s="1"/>
  <c r="K173" i="40" a="1"/>
  <c r="K173" i="40" s="1"/>
  <c r="P197" i="37" a="1"/>
  <c r="P197" i="37" s="1"/>
  <c r="J615" i="40" s="1" a="1"/>
  <c r="J615" i="40" s="1"/>
  <c r="K492" i="40" a="1"/>
  <c r="K492" i="40" s="1"/>
  <c r="J46" i="40" a="1"/>
  <c r="J46" i="40" s="1"/>
  <c r="K45" i="40" a="1"/>
  <c r="K45" i="40" s="1"/>
  <c r="AF30" i="37"/>
  <c r="P161" i="37" a="1"/>
  <c r="P161" i="37" s="1"/>
  <c r="K153" i="40" a="1"/>
  <c r="K153" i="40" s="1"/>
  <c r="J155" i="40" a="1"/>
  <c r="J155" i="40" s="1"/>
  <c r="J431" i="40" a="1"/>
  <c r="J431" i="40" s="1"/>
  <c r="L431" i="40" s="1"/>
  <c r="K878" i="40" a="1"/>
  <c r="K878" i="40" s="1"/>
  <c r="J880" i="40" a="1"/>
  <c r="J880" i="40" s="1"/>
  <c r="K1119" i="40" a="1"/>
  <c r="K1119" i="40" s="1"/>
  <c r="J1123" i="40" a="1"/>
  <c r="J1123" i="40" s="1"/>
  <c r="J1202" i="40" a="1"/>
  <c r="J1202" i="40" s="1"/>
  <c r="K1200" i="40" a="1"/>
  <c r="K1200" i="40" s="1"/>
  <c r="J1278" i="40" a="1"/>
  <c r="J1278" i="40" s="1"/>
  <c r="K1276" i="40" a="1"/>
  <c r="K1276" i="40" s="1"/>
  <c r="K783" i="40" a="1"/>
  <c r="K783" i="40" s="1"/>
  <c r="J784" i="40" a="1"/>
  <c r="J784" i="40" s="1"/>
  <c r="M1146" i="40" a="1"/>
  <c r="M1146" i="40" s="1"/>
  <c r="S1146" i="40" s="1"/>
  <c r="O1146" i="40" a="1"/>
  <c r="O1146" i="40" s="1"/>
  <c r="T1146" i="40" s="1"/>
  <c r="P1146" i="40" a="1"/>
  <c r="P1146" i="40" s="1"/>
  <c r="N1146" i="40" a="1"/>
  <c r="N1146" i="40" s="1"/>
  <c r="Q1146" i="40" a="1"/>
  <c r="Q1146" i="40" s="1"/>
  <c r="U1146" i="40" s="1"/>
  <c r="J1221" i="40" a="1"/>
  <c r="J1221" i="40" s="1"/>
  <c r="K1219" i="40" a="1"/>
  <c r="K1219" i="40" s="1"/>
  <c r="K1118" i="40" a="1"/>
  <c r="K1118" i="40" s="1"/>
  <c r="J1122" i="40" a="1"/>
  <c r="J1122" i="40" s="1"/>
  <c r="O1399" i="40" a="1"/>
  <c r="O1399" i="40" s="1"/>
  <c r="T1399" i="40" s="1"/>
  <c r="P1399" i="40" a="1"/>
  <c r="P1399" i="40" s="1"/>
  <c r="Q1399" i="40" a="1"/>
  <c r="Q1399" i="40" s="1"/>
  <c r="U1399" i="40" s="1"/>
  <c r="M1399" i="40" a="1"/>
  <c r="M1399" i="40" s="1"/>
  <c r="S1399" i="40" s="1"/>
  <c r="N1399" i="40" a="1"/>
  <c r="N1399" i="40" s="1"/>
  <c r="J837" i="40" a="1"/>
  <c r="J837" i="40" s="1"/>
  <c r="K834" i="40" a="1"/>
  <c r="K834" i="40" s="1"/>
  <c r="K1319" i="40" a="1"/>
  <c r="K1319" i="40" s="1"/>
  <c r="J1322" i="40" a="1"/>
  <c r="J1322" i="40" s="1"/>
  <c r="J1389" i="40" a="1"/>
  <c r="J1389" i="40" s="1"/>
  <c r="L1389" i="40" s="1"/>
  <c r="K1388" i="40" a="1"/>
  <c r="K1388" i="40" s="1"/>
  <c r="J1036" i="40" a="1"/>
  <c r="J1036" i="40" s="1"/>
  <c r="K1035" i="40" a="1"/>
  <c r="K1035" i="40" s="1"/>
  <c r="J1344" i="40" a="1"/>
  <c r="J1344" i="40" s="1"/>
  <c r="K1343" i="40" a="1"/>
  <c r="K1343" i="40" s="1"/>
  <c r="J772" i="40" a="1"/>
  <c r="J772" i="40" s="1"/>
  <c r="K771" i="40" a="1"/>
  <c r="K771" i="40" s="1"/>
  <c r="J916" i="40" a="1"/>
  <c r="J916" i="40" s="1"/>
  <c r="K914" i="40" a="1"/>
  <c r="K914" i="40" s="1"/>
  <c r="K958" i="40" a="1"/>
  <c r="K958" i="40" s="1"/>
  <c r="J959" i="40" a="1"/>
  <c r="J959" i="40" s="1"/>
  <c r="K1197" i="40" a="1"/>
  <c r="K1197" i="40" s="1"/>
  <c r="J1199" i="40" a="1"/>
  <c r="J1199" i="40" s="1"/>
  <c r="J1317" i="40" a="1"/>
  <c r="J1317" i="40" s="1"/>
  <c r="K1314" i="40" a="1"/>
  <c r="K1314" i="40" s="1"/>
  <c r="K1409" i="40" a="1"/>
  <c r="K1409" i="40" s="1"/>
  <c r="J1410" i="40" a="1"/>
  <c r="J1410" i="40" s="1"/>
  <c r="J1333" i="40" a="1"/>
  <c r="J1333" i="40" s="1"/>
  <c r="K1332" i="40" a="1"/>
  <c r="K1332" i="40" s="1"/>
  <c r="K1146" i="40" a="1"/>
  <c r="K1146" i="40" s="1"/>
  <c r="R1146" i="40" s="1" a="1"/>
  <c r="R1146" i="40" s="1"/>
  <c r="V1146" i="40" s="1"/>
  <c r="J1147" i="40" a="1"/>
  <c r="J1147" i="40" s="1"/>
  <c r="L1147" i="40" s="1"/>
  <c r="K794" i="40" a="1"/>
  <c r="K794" i="40" s="1"/>
  <c r="J795" i="40" a="1"/>
  <c r="J795" i="40" s="1"/>
  <c r="K1222" i="40" a="1"/>
  <c r="K1222" i="40" s="1"/>
  <c r="J1224" i="40" a="1"/>
  <c r="J1224" i="40" s="1"/>
  <c r="J1026" i="40" a="1"/>
  <c r="J1026" i="40" s="1"/>
  <c r="K1025" i="40" a="1"/>
  <c r="K1025" i="40" s="1"/>
  <c r="K858" i="40" a="1"/>
  <c r="K858" i="40" s="1"/>
  <c r="J860" i="40" a="1"/>
  <c r="J860" i="40" s="1"/>
  <c r="J1157" i="40" a="1"/>
  <c r="J1157" i="40" s="1"/>
  <c r="K1156" i="40" a="1"/>
  <c r="K1156" i="40" s="1"/>
  <c r="J926" i="40" a="1"/>
  <c r="J926" i="40" s="1"/>
  <c r="K925" i="40" a="1"/>
  <c r="K925" i="40" s="1"/>
  <c r="J1400" i="40" a="1"/>
  <c r="J1400" i="40" s="1"/>
  <c r="L1400" i="40" s="1"/>
  <c r="K1399" i="40" a="1"/>
  <c r="K1399" i="40" s="1"/>
  <c r="R1399" i="40" s="1" a="1"/>
  <c r="R1399" i="40" s="1"/>
  <c r="V1399" i="40" s="1"/>
  <c r="J1078" i="40" a="1"/>
  <c r="J1078" i="40" s="1"/>
  <c r="K1074" i="40" a="1"/>
  <c r="K1074" i="40" s="1"/>
  <c r="K717" i="40" a="1"/>
  <c r="K717" i="40" s="1"/>
  <c r="J718" i="40" a="1"/>
  <c r="J718" i="40" s="1"/>
  <c r="J1135" i="40" a="1"/>
  <c r="J1135" i="40" s="1"/>
  <c r="L1135" i="40" s="1"/>
  <c r="K1134" i="40" a="1"/>
  <c r="K1134" i="40" s="1"/>
  <c r="K1247" i="40" a="1"/>
  <c r="K1247" i="40" s="1"/>
  <c r="J1250" i="40" a="1"/>
  <c r="J1250" i="40" s="1"/>
  <c r="J1003" i="40" a="1"/>
  <c r="J1003" i="40" s="1"/>
  <c r="K1002" i="40" a="1"/>
  <c r="K1002" i="40" s="1"/>
  <c r="K1273" i="40" a="1"/>
  <c r="K1273" i="40" s="1"/>
  <c r="J1275" i="40" a="1"/>
  <c r="J1275" i="40" s="1"/>
  <c r="K1365" i="40" a="1"/>
  <c r="K1365" i="40" s="1"/>
  <c r="J1366" i="40" a="1"/>
  <c r="J1366" i="40" s="1"/>
  <c r="L1366" i="40" s="1"/>
  <c r="K760" i="40" a="1"/>
  <c r="K760" i="40" s="1"/>
  <c r="J761" i="40" a="1"/>
  <c r="J761" i="40" s="1"/>
  <c r="J981" i="40" a="1"/>
  <c r="J981" i="40" s="1"/>
  <c r="K980" i="40" a="1"/>
  <c r="K980" i="40" s="1"/>
  <c r="K947" i="40" a="1"/>
  <c r="K947" i="40" s="1"/>
  <c r="J948" i="40" a="1"/>
  <c r="J948" i="40" s="1"/>
  <c r="K992" i="40" a="1"/>
  <c r="K992" i="40" s="1"/>
  <c r="J993" i="40" a="1"/>
  <c r="J993" i="40" s="1"/>
  <c r="J1079" i="40" a="1"/>
  <c r="J1079" i="40" s="1"/>
  <c r="K1075" i="40" a="1"/>
  <c r="K1075" i="40" s="1"/>
  <c r="K1377" i="40" a="1"/>
  <c r="K1377" i="40" s="1"/>
  <c r="J1378" i="40" a="1"/>
  <c r="J1378" i="40" s="1"/>
  <c r="L1378" i="40" s="1"/>
  <c r="K1116" i="40" a="1"/>
  <c r="K1116" i="40" s="1"/>
  <c r="J1120" i="40" a="1"/>
  <c r="J1120" i="40" s="1"/>
  <c r="K1318" i="40" a="1"/>
  <c r="K1318" i="40" s="1"/>
  <c r="J1321" i="40" a="1"/>
  <c r="J1321" i="40" s="1"/>
  <c r="K1117" i="40" a="1"/>
  <c r="K1117" i="40" s="1"/>
  <c r="J1121" i="40" a="1"/>
  <c r="J1121" i="40" s="1"/>
  <c r="K1015" i="40" a="1"/>
  <c r="K1015" i="40" s="1"/>
  <c r="J1016" i="40" a="1"/>
  <c r="J1016" i="40" s="1"/>
  <c r="J1179" i="40" a="1"/>
  <c r="J1179" i="40" s="1"/>
  <c r="K1177" i="40" a="1"/>
  <c r="K1177" i="40" s="1"/>
  <c r="J1254" i="40" a="1"/>
  <c r="J1254" i="40" s="1"/>
  <c r="K1251" i="40" a="1"/>
  <c r="K1251" i="40" s="1"/>
  <c r="K1288" i="40" a="1"/>
  <c r="K1288" i="40" s="1"/>
  <c r="J1289" i="40" a="1"/>
  <c r="J1289" i="40" s="1"/>
  <c r="K738" i="40" a="1"/>
  <c r="K738" i="40" s="1"/>
  <c r="J739" i="40" a="1"/>
  <c r="J739" i="40" s="1"/>
  <c r="K1174" i="40" a="1"/>
  <c r="K1174" i="40" s="1"/>
  <c r="J1176" i="40" a="1"/>
  <c r="J1176" i="40" s="1"/>
  <c r="J805" i="40" a="1"/>
  <c r="J805" i="40" s="1"/>
  <c r="K804" i="40" a="1"/>
  <c r="K804" i="40" s="1"/>
  <c r="K830" i="40" a="1"/>
  <c r="K830" i="40" s="1"/>
  <c r="J833" i="40" a="1"/>
  <c r="J833" i="40" s="1"/>
  <c r="J728" i="40" a="1"/>
  <c r="J728" i="40" s="1"/>
  <c r="K727" i="40" a="1"/>
  <c r="K727" i="40" s="1"/>
  <c r="J970" i="40" a="1"/>
  <c r="J970" i="40" s="1"/>
  <c r="K969" i="40" a="1"/>
  <c r="K969" i="40" s="1"/>
  <c r="K936" i="40" a="1"/>
  <c r="K936" i="40" s="1"/>
  <c r="J937" i="40" a="1"/>
  <c r="J937" i="40" s="1"/>
  <c r="K894" i="40" a="1"/>
  <c r="K894" i="40" s="1"/>
  <c r="J895" i="40" a="1"/>
  <c r="J895" i="40" s="1"/>
  <c r="F12" i="44"/>
  <c r="E12" i="44" s="1"/>
  <c r="J13" i="40" a="1"/>
  <c r="J13" i="40" s="1"/>
  <c r="P137" i="37" a="1"/>
  <c r="P137" i="37" s="1"/>
  <c r="P201" i="37" a="1"/>
  <c r="P201" i="37" s="1"/>
  <c r="P169" i="37" a="1"/>
  <c r="P169" i="37" s="1"/>
  <c r="P233" i="37" a="1"/>
  <c r="P233" i="37" s="1"/>
  <c r="R218" i="37" a="1"/>
  <c r="R218" i="37" s="1"/>
  <c r="K895" i="40" s="1" a="1"/>
  <c r="K895" i="40" s="1"/>
  <c r="P181" i="37" a="1"/>
  <c r="P181" i="37" s="1"/>
  <c r="P245" i="37" a="1"/>
  <c r="P245" i="37" s="1"/>
  <c r="P168" i="37" a="1"/>
  <c r="P168" i="37" s="1"/>
  <c r="K255" i="40" s="1" a="1"/>
  <c r="K255" i="40" s="1"/>
  <c r="P232" i="37" a="1"/>
  <c r="P232" i="37" s="1"/>
  <c r="P160" i="37" a="1"/>
  <c r="P160" i="37" s="1"/>
  <c r="P224" i="37" a="1"/>
  <c r="P224" i="37" s="1"/>
  <c r="P199" i="37" a="1"/>
  <c r="P199" i="37" s="1"/>
  <c r="P263" i="37" a="1"/>
  <c r="P263" i="37" s="1"/>
  <c r="R235" i="37" a="1"/>
  <c r="R235" i="37" s="1"/>
  <c r="K1079" i="40" s="1" a="1"/>
  <c r="K1079" i="40" s="1"/>
  <c r="P157" i="37" a="1"/>
  <c r="P157" i="37" s="1"/>
  <c r="P221" i="37" a="1"/>
  <c r="P221" i="37" s="1"/>
  <c r="P192" i="37" a="1"/>
  <c r="P192" i="37" s="1"/>
  <c r="P256" i="37" a="1"/>
  <c r="P256" i="37" s="1"/>
  <c r="P138" i="37" a="1"/>
  <c r="P138" i="37" s="1"/>
  <c r="P202" i="37" a="1"/>
  <c r="P202" i="37" s="1"/>
  <c r="P187" i="37" a="1"/>
  <c r="P187" i="37" s="1"/>
  <c r="P251" i="37" a="1"/>
  <c r="P251" i="37" s="1"/>
  <c r="P166" i="37" a="1"/>
  <c r="P166" i="37" s="1"/>
  <c r="P230" i="37" a="1"/>
  <c r="P230" i="37" s="1"/>
  <c r="P180" i="37" a="1"/>
  <c r="P180" i="37" s="1"/>
  <c r="K431" i="40" s="1" a="1"/>
  <c r="K431" i="40" s="1"/>
  <c r="P244" i="37" a="1"/>
  <c r="P244" i="37" s="1"/>
  <c r="P158" i="37" a="1"/>
  <c r="P158" i="37" s="1"/>
  <c r="P222" i="37" a="1"/>
  <c r="P222" i="37" s="1"/>
  <c r="P152" i="37" a="1"/>
  <c r="P152" i="37" s="1"/>
  <c r="P216" i="37" a="1"/>
  <c r="P216" i="37" s="1"/>
  <c r="P141" i="37" a="1"/>
  <c r="P141" i="37" s="1"/>
  <c r="K24" i="40" s="1" a="1"/>
  <c r="K24" i="40" s="1"/>
  <c r="P205" i="37" a="1"/>
  <c r="P205" i="37" s="1"/>
  <c r="P195" i="37" a="1"/>
  <c r="P195" i="37" s="1"/>
  <c r="P259" i="37" a="1"/>
  <c r="P259" i="37" s="1"/>
  <c r="P139" i="37" a="1"/>
  <c r="P139" i="37" s="1"/>
  <c r="K68" i="40" s="1" a="1"/>
  <c r="K68" i="40" s="1"/>
  <c r="P203" i="37" a="1"/>
  <c r="P203" i="37" s="1"/>
  <c r="R239" i="37" a="1"/>
  <c r="R239" i="37" s="1"/>
  <c r="K1123" i="40" s="1" a="1"/>
  <c r="K1123" i="40" s="1"/>
  <c r="P163" i="37" a="1"/>
  <c r="P163" i="37" s="1"/>
  <c r="P227" i="37" a="1"/>
  <c r="P227" i="37" s="1"/>
  <c r="P198" i="37" a="1"/>
  <c r="P198" i="37" s="1"/>
  <c r="P262" i="37" a="1"/>
  <c r="P262" i="37" s="1"/>
  <c r="R155" i="37" a="1"/>
  <c r="R155" i="37" s="1"/>
  <c r="K212" i="40" s="1" a="1"/>
  <c r="K212" i="40" s="1"/>
  <c r="R219" i="37" a="1"/>
  <c r="R219" i="37" s="1"/>
  <c r="K916" i="40" s="1" a="1"/>
  <c r="K916" i="40" s="1"/>
  <c r="P189" i="37" a="1"/>
  <c r="P189" i="37" s="1"/>
  <c r="K546" i="40" s="1" a="1"/>
  <c r="K546" i="40" s="1"/>
  <c r="P253" i="37" a="1"/>
  <c r="P253" i="37" s="1"/>
  <c r="P159" i="37" a="1"/>
  <c r="P159" i="37" s="1"/>
  <c r="P223" i="37" a="1"/>
  <c r="P223" i="37" s="1"/>
  <c r="P164" i="37" a="1"/>
  <c r="P164" i="37" s="1"/>
  <c r="K299" i="40" s="1" a="1"/>
  <c r="K299" i="40" s="1"/>
  <c r="P228" i="37" a="1"/>
  <c r="P228" i="37" s="1"/>
  <c r="P170" i="37" a="1"/>
  <c r="P170" i="37" s="1"/>
  <c r="P234" i="37" a="1"/>
  <c r="P234" i="37" s="1"/>
  <c r="P194" i="37" a="1"/>
  <c r="P194" i="37" s="1"/>
  <c r="P258" i="37" a="1"/>
  <c r="P258" i="37" s="1"/>
  <c r="R229" i="37" a="1"/>
  <c r="R229" i="37" s="1"/>
  <c r="K1016" i="40" s="1" a="1"/>
  <c r="K1016" i="40" s="1"/>
  <c r="P185" i="37" a="1"/>
  <c r="P185" i="37" s="1"/>
  <c r="P249" i="37" a="1"/>
  <c r="P249" i="37" s="1"/>
  <c r="P145" i="37" a="1"/>
  <c r="P145" i="37" s="1"/>
  <c r="K129" i="40" s="1" a="1"/>
  <c r="K129" i="40" s="1"/>
  <c r="P209" i="37" a="1"/>
  <c r="P209" i="37" s="1"/>
  <c r="P144" i="37" a="1"/>
  <c r="P144" i="37" s="1"/>
  <c r="P208" i="37" a="1"/>
  <c r="P208" i="37" s="1"/>
  <c r="P183" i="37" a="1"/>
  <c r="P183" i="37" s="1"/>
  <c r="P247" i="37" a="1"/>
  <c r="P247" i="37" s="1"/>
  <c r="P136" i="37" a="1"/>
  <c r="P136" i="37" s="1"/>
  <c r="K13" i="40" s="1" a="1"/>
  <c r="K13" i="40" s="1"/>
  <c r="AF5" i="37"/>
  <c r="Q200" i="37" s="1" a="1"/>
  <c r="Q200" i="37" s="1"/>
  <c r="J414" i="40" a="1"/>
  <c r="J414" i="40" s="1"/>
  <c r="AF11" i="37"/>
  <c r="Q206" i="37" s="1" a="1"/>
  <c r="Q206" i="37" s="1"/>
  <c r="P142" i="37" a="1"/>
  <c r="P142" i="37" s="1"/>
  <c r="AF57" i="37"/>
  <c r="R252" i="37" s="1" a="1"/>
  <c r="R252" i="37" s="1"/>
  <c r="K1224" i="40" s="1" a="1"/>
  <c r="K1224" i="40" s="1"/>
  <c r="AF36" i="37"/>
  <c r="Q231" i="37" s="1" a="1"/>
  <c r="Q231" i="37" s="1"/>
  <c r="P167" i="37" a="1"/>
  <c r="P167" i="37" s="1"/>
  <c r="J322" i="40" s="1" a="1"/>
  <c r="J322" i="40" s="1"/>
  <c r="AF15" i="37"/>
  <c r="Q210" i="37" s="1" a="1"/>
  <c r="Q210" i="37" s="1"/>
  <c r="P146" i="37" a="1"/>
  <c r="P146" i="37" s="1"/>
  <c r="AF66" i="37"/>
  <c r="R261" i="37" s="1" a="1"/>
  <c r="R261" i="37" s="1"/>
  <c r="K1322" i="40" s="1" a="1"/>
  <c r="K1322" i="40" s="1"/>
  <c r="AF43" i="37"/>
  <c r="AG43" i="37" s="1"/>
  <c r="R174" i="37" a="1"/>
  <c r="R174" i="37" s="1"/>
  <c r="K377" i="40" s="1" a="1"/>
  <c r="K377" i="40" s="1"/>
  <c r="AF31" i="37"/>
  <c r="Q226" i="37" s="1" a="1"/>
  <c r="Q226" i="37" s="1"/>
  <c r="P162" i="37" a="1"/>
  <c r="P162" i="37" s="1"/>
  <c r="J289" i="40" s="1" a="1"/>
  <c r="J289" i="40" s="1"/>
  <c r="AF17" i="37"/>
  <c r="Q212" i="37" s="1" a="1"/>
  <c r="Q212" i="37" s="1"/>
  <c r="P148" i="37" a="1"/>
  <c r="P148" i="37" s="1"/>
  <c r="AF45" i="37"/>
  <c r="Q240" i="37" s="1" a="1"/>
  <c r="Q240" i="37" s="1"/>
  <c r="P176" i="37" a="1"/>
  <c r="P176" i="37" s="1"/>
  <c r="AF7" i="37"/>
  <c r="AF48" i="37"/>
  <c r="Q243" i="37" s="1" a="1"/>
  <c r="Q243" i="37" s="1"/>
  <c r="P179" i="37" a="1"/>
  <c r="P179" i="37" s="1"/>
  <c r="AF6" i="37"/>
  <c r="AF19" i="37"/>
  <c r="Q214" i="37" s="1" a="1"/>
  <c r="Q214" i="37" s="1"/>
  <c r="P150" i="37" a="1"/>
  <c r="P150" i="37" s="1"/>
  <c r="J156" i="40" s="1" a="1"/>
  <c r="J156" i="40" s="1"/>
  <c r="AF20" i="37"/>
  <c r="Q215" i="37" s="1" a="1"/>
  <c r="Q215" i="37" s="1"/>
  <c r="P151" i="37" a="1"/>
  <c r="P151" i="37" s="1"/>
  <c r="AF55" i="37"/>
  <c r="R250" i="37" s="1" a="1"/>
  <c r="R250" i="37" s="1"/>
  <c r="K1202" i="40" s="1" a="1"/>
  <c r="K1202" i="40" s="1"/>
  <c r="AF62" i="37"/>
  <c r="Q257" i="37" s="1" a="1"/>
  <c r="Q257" i="37" s="1"/>
  <c r="P193" i="37" a="1"/>
  <c r="P193" i="37" s="1"/>
  <c r="AF60" i="37"/>
  <c r="AG60" i="37" s="1"/>
  <c r="R191" i="37" a="1"/>
  <c r="R191" i="37" s="1"/>
  <c r="K554" i="40" s="1" a="1"/>
  <c r="K554" i="40" s="1"/>
  <c r="AF53" i="37"/>
  <c r="Q248" i="37" s="1" a="1"/>
  <c r="Q248" i="37" s="1"/>
  <c r="P184" i="37" a="1"/>
  <c r="P184" i="37" s="1"/>
  <c r="AF65" i="37"/>
  <c r="Q260" i="37" s="1" a="1"/>
  <c r="Q260" i="37" s="1"/>
  <c r="P196" i="37" a="1"/>
  <c r="P196" i="37" s="1"/>
  <c r="J617" i="40" s="1" a="1"/>
  <c r="J617" i="40" s="1"/>
  <c r="AF41" i="37"/>
  <c r="Q236" i="37" s="1" a="1"/>
  <c r="Q236" i="37" s="1"/>
  <c r="P172" i="37" a="1"/>
  <c r="P172" i="37" s="1"/>
  <c r="K370" i="40" s="1" a="1"/>
  <c r="K370" i="40" s="1"/>
  <c r="AF51" i="37"/>
  <c r="Q246" i="37" s="1" a="1"/>
  <c r="Q246" i="37" s="1"/>
  <c r="P182" i="37" a="1"/>
  <c r="P182" i="37" s="1"/>
  <c r="AF25" i="37"/>
  <c r="AG25" i="37" s="1"/>
  <c r="R156" i="37" a="1"/>
  <c r="R156" i="37" s="1"/>
  <c r="K213" i="40" s="1" a="1"/>
  <c r="K213" i="40" s="1"/>
  <c r="AF47" i="37"/>
  <c r="Q242" i="37" s="1" a="1"/>
  <c r="Q242" i="37" s="1"/>
  <c r="P178" i="37" a="1"/>
  <c r="P178" i="37" s="1"/>
  <c r="K414" i="40" s="1" a="1"/>
  <c r="K414" i="40" s="1"/>
  <c r="AF46" i="37"/>
  <c r="Q241" i="37" s="1" a="1"/>
  <c r="Q241" i="37" s="1"/>
  <c r="P177" i="37" a="1"/>
  <c r="P177" i="37" s="1"/>
  <c r="K413" i="40" s="1" a="1"/>
  <c r="K413" i="40" s="1"/>
  <c r="AF42" i="37"/>
  <c r="AG42" i="37" s="1"/>
  <c r="R173" i="37" a="1"/>
  <c r="R173" i="37" s="1"/>
  <c r="K376" i="40" s="1" a="1"/>
  <c r="K376" i="40" s="1"/>
  <c r="AF9" i="37"/>
  <c r="Q204" i="37" s="1" a="1"/>
  <c r="Q204" i="37" s="1"/>
  <c r="P140" i="37" a="1"/>
  <c r="P140" i="37" s="1"/>
  <c r="AF8" i="37"/>
  <c r="AF59" i="37"/>
  <c r="Q254" i="37" s="1" a="1"/>
  <c r="Q254" i="37" s="1"/>
  <c r="P190" i="37" a="1"/>
  <c r="P190" i="37" s="1"/>
  <c r="J129" i="40" a="1"/>
  <c r="J129" i="40" s="1"/>
  <c r="K254" i="40" a="1"/>
  <c r="K254" i="40" s="1"/>
  <c r="K287" i="40" a="1"/>
  <c r="K287" i="40" s="1"/>
  <c r="J614" i="40" a="1"/>
  <c r="J614" i="40" s="1"/>
  <c r="K409" i="40" a="1"/>
  <c r="K409" i="40" s="1"/>
  <c r="J299" i="40" a="1"/>
  <c r="J299" i="40" s="1"/>
  <c r="K152" i="40" a="1"/>
  <c r="K152" i="40" s="1"/>
  <c r="K543" i="40" a="1"/>
  <c r="K543" i="40" s="1"/>
  <c r="J376" i="40" a="1"/>
  <c r="J376" i="40" s="1"/>
  <c r="J370" i="40" a="1"/>
  <c r="J370" i="40" s="1"/>
  <c r="K211" i="40" a="1"/>
  <c r="K211" i="40" s="1"/>
  <c r="K584" i="40" a="1"/>
  <c r="K584" i="40" s="1"/>
  <c r="K78" i="40" a="1"/>
  <c r="K78" i="40" s="1"/>
  <c r="AF63" i="37"/>
  <c r="AF37" i="37"/>
  <c r="J613" i="40" a="1"/>
  <c r="J613" i="40" s="1"/>
  <c r="K610" i="40" a="1"/>
  <c r="K610" i="40" s="1"/>
  <c r="AF24" i="37"/>
  <c r="AG24" i="37" s="1"/>
  <c r="AF29" i="37"/>
  <c r="AF10" i="37"/>
  <c r="AF54" i="37"/>
  <c r="K672" i="40" a="1"/>
  <c r="K672" i="40" s="1"/>
  <c r="J673" i="40" a="1"/>
  <c r="J673" i="40" s="1"/>
  <c r="L673" i="40" s="1"/>
  <c r="J244" i="40" a="1"/>
  <c r="J244" i="40" s="1"/>
  <c r="K243" i="40" a="1"/>
  <c r="K243" i="40" s="1"/>
  <c r="AF35" i="37"/>
  <c r="AF38" i="37"/>
  <c r="J571" i="40" a="1"/>
  <c r="J571" i="40" s="1"/>
  <c r="K569" i="40" a="1"/>
  <c r="K569" i="40" s="1"/>
  <c r="AF64" i="37"/>
  <c r="J495" i="40" a="1"/>
  <c r="J495" i="40" s="1"/>
  <c r="K493" i="40" a="1"/>
  <c r="K493" i="40" s="1"/>
  <c r="AF32" i="37"/>
  <c r="AF56" i="37"/>
  <c r="J547" i="40" a="1"/>
  <c r="J547" i="40" s="1"/>
  <c r="K544" i="40" a="1"/>
  <c r="K544" i="40" s="1"/>
  <c r="K408" i="40" a="1"/>
  <c r="K408" i="40" s="1"/>
  <c r="J412" i="40" a="1"/>
  <c r="J412" i="40" s="1"/>
  <c r="J572" i="40" a="1"/>
  <c r="J572" i="40" s="1"/>
  <c r="K570" i="40" a="1"/>
  <c r="K570" i="40" s="1"/>
  <c r="K320" i="40" a="1"/>
  <c r="K320" i="40" s="1"/>
  <c r="K232" i="40" a="1"/>
  <c r="K232" i="40" s="1"/>
  <c r="J233" i="40" a="1"/>
  <c r="J233" i="40" s="1"/>
  <c r="K331" i="40" a="1"/>
  <c r="K331" i="40" s="1"/>
  <c r="J332" i="40" a="1"/>
  <c r="J332" i="40" s="1"/>
  <c r="K67" i="40" a="1"/>
  <c r="K67" i="40" s="1"/>
  <c r="J68" i="40" a="1"/>
  <c r="J68" i="40" s="1"/>
  <c r="AF40" i="37"/>
  <c r="Q171" i="37" s="1" a="1"/>
  <c r="Q171" i="37" s="1"/>
  <c r="J375" i="40" s="1" a="1"/>
  <c r="J375" i="40" s="1"/>
  <c r="AF28" i="37"/>
  <c r="AF23" i="37"/>
  <c r="AF61" i="37"/>
  <c r="K210" i="40" a="1"/>
  <c r="K210" i="40" s="1"/>
  <c r="J212" i="40" a="1"/>
  <c r="J212" i="40" s="1"/>
  <c r="K127" i="40" a="1"/>
  <c r="K127" i="40" s="1"/>
  <c r="J130" i="40" a="1"/>
  <c r="J130" i="40" s="1"/>
  <c r="J266" i="40" a="1"/>
  <c r="J266" i="40" s="1"/>
  <c r="K265" i="40" a="1"/>
  <c r="K265" i="40" s="1"/>
  <c r="AF27" i="37"/>
  <c r="AF39" i="37"/>
  <c r="AF58" i="37"/>
  <c r="J706" i="40" a="1"/>
  <c r="J706" i="40" s="1"/>
  <c r="K705" i="40" a="1"/>
  <c r="K705" i="40" s="1"/>
  <c r="K694" i="40" a="1"/>
  <c r="K694" i="40" s="1"/>
  <c r="R694" i="40" s="1" a="1"/>
  <c r="R694" i="40" s="1"/>
  <c r="V694" i="40" s="1"/>
  <c r="J695" i="40" a="1"/>
  <c r="J695" i="40" s="1"/>
  <c r="L695" i="40" s="1"/>
  <c r="J377" i="40" a="1"/>
  <c r="J377" i="40" s="1"/>
  <c r="K373" i="40" a="1"/>
  <c r="K373" i="40" s="1"/>
  <c r="K34" i="40" a="1"/>
  <c r="K34" i="40" s="1"/>
  <c r="J35" i="40" a="1"/>
  <c r="J35" i="40" s="1"/>
  <c r="J24" i="40" a="1"/>
  <c r="J24" i="40" s="1"/>
  <c r="K628" i="40" a="1"/>
  <c r="K628" i="40" s="1"/>
  <c r="J629" i="40" a="1"/>
  <c r="J629" i="40" s="1"/>
  <c r="K174" i="40" a="1"/>
  <c r="K174" i="40" s="1"/>
  <c r="J176" i="40" a="1"/>
  <c r="J176" i="40" s="1"/>
  <c r="K89" i="40" a="1"/>
  <c r="K89" i="40" s="1"/>
  <c r="J90" i="40" a="1"/>
  <c r="J90" i="40" s="1"/>
  <c r="J640" i="40" a="1"/>
  <c r="J640" i="40" s="1"/>
  <c r="K639" i="40" a="1"/>
  <c r="K639" i="40" s="1"/>
  <c r="AF14" i="37"/>
  <c r="AF44" i="37"/>
  <c r="Q175" i="37" s="1" a="1"/>
  <c r="Q175" i="37" s="1"/>
  <c r="K415" i="40" s="1" a="1"/>
  <c r="K415" i="40" s="1"/>
  <c r="AF33" i="37"/>
  <c r="AF26" i="37"/>
  <c r="K441" i="40" a="1"/>
  <c r="K441" i="40" s="1"/>
  <c r="J442" i="40" a="1"/>
  <c r="J442" i="40" s="1"/>
  <c r="K470" i="40" a="1"/>
  <c r="K470" i="40" s="1"/>
  <c r="J472" i="40" a="1"/>
  <c r="J472" i="40" s="1"/>
  <c r="AF67" i="37"/>
  <c r="AF34" i="37"/>
  <c r="AF18" i="37"/>
  <c r="Q149" i="37" s="1" a="1"/>
  <c r="Q149" i="37" s="1"/>
  <c r="Q694" i="40" a="1"/>
  <c r="Q694" i="40" s="1"/>
  <c r="U694" i="40" s="1"/>
  <c r="P694" i="40" a="1"/>
  <c r="P694" i="40" s="1"/>
  <c r="O694" i="40" a="1"/>
  <c r="O694" i="40" s="1"/>
  <c r="T694" i="40" s="1"/>
  <c r="M694" i="40" a="1"/>
  <c r="M694" i="40" s="1"/>
  <c r="S694" i="40" s="1"/>
  <c r="N694" i="40" a="1"/>
  <c r="N694" i="40" s="1"/>
  <c r="AF68" i="37"/>
  <c r="K276" i="40" a="1"/>
  <c r="K276" i="40" s="1"/>
  <c r="J277" i="40" a="1"/>
  <c r="J277" i="40" s="1"/>
  <c r="K100" i="40" a="1"/>
  <c r="K100" i="40" s="1"/>
  <c r="J101" i="40" a="1"/>
  <c r="J101" i="40" s="1"/>
  <c r="AF50" i="37"/>
  <c r="AF49" i="37"/>
  <c r="J473" i="40" a="1"/>
  <c r="J473" i="40" s="1"/>
  <c r="K471" i="40" a="1"/>
  <c r="K471" i="40" s="1"/>
  <c r="AF21" i="37"/>
  <c r="K452" i="40" a="1"/>
  <c r="K452" i="40" s="1"/>
  <c r="J453" i="40" a="1"/>
  <c r="J453" i="40" s="1"/>
  <c r="AF13" i="37"/>
  <c r="AF52" i="37"/>
  <c r="K56" i="40" a="1"/>
  <c r="K56" i="40" s="1"/>
  <c r="J57" i="40" a="1"/>
  <c r="J57" i="40" s="1"/>
  <c r="J517" i="40" a="1"/>
  <c r="J517" i="40" s="1"/>
  <c r="K515" i="40" a="1"/>
  <c r="K515" i="40" s="1"/>
  <c r="K661" i="40" a="1"/>
  <c r="K661" i="40" s="1"/>
  <c r="J662" i="40" a="1"/>
  <c r="J662" i="40" s="1"/>
  <c r="L662" i="40" s="1"/>
  <c r="J684" i="40" a="1"/>
  <c r="J684" i="40" s="1"/>
  <c r="L684" i="40" s="1"/>
  <c r="K683" i="40" a="1"/>
  <c r="K683" i="40" s="1"/>
  <c r="J222" i="40" a="1"/>
  <c r="J222" i="40" s="1"/>
  <c r="K221" i="40" a="1"/>
  <c r="K221" i="40" s="1"/>
  <c r="J551" i="40" a="1"/>
  <c r="J551" i="40" s="1"/>
  <c r="K548" i="40" a="1"/>
  <c r="K548" i="40" s="1"/>
  <c r="P442" i="40" l="1" a="1"/>
  <c r="P442" i="40" s="1"/>
  <c r="L442" i="40"/>
  <c r="E28" i="44"/>
  <c r="F14" i="44" s="1"/>
  <c r="E14" i="44" s="1"/>
  <c r="J518" i="40" a="1"/>
  <c r="J518" i="40" s="1"/>
  <c r="K371" i="40" a="1"/>
  <c r="K371" i="40" s="1"/>
  <c r="J496" i="40" a="1"/>
  <c r="J496" i="40" s="1"/>
  <c r="Q197" i="37" a="1"/>
  <c r="Q197" i="37" s="1"/>
  <c r="J618" i="40" s="1" a="1"/>
  <c r="J618" i="40" s="1"/>
  <c r="J419" i="40" a="1"/>
  <c r="J419" i="40" s="1"/>
  <c r="Q186" i="37" a="1"/>
  <c r="Q186" i="37" s="1"/>
  <c r="J498" i="40" s="1" a="1"/>
  <c r="J498" i="40" s="1"/>
  <c r="Q188" i="37" a="1"/>
  <c r="Q188" i="37" s="1"/>
  <c r="J520" i="40" s="1" a="1"/>
  <c r="J520" i="40" s="1"/>
  <c r="K651" i="40" a="1"/>
  <c r="K651" i="40" s="1"/>
  <c r="K612" i="40" a="1"/>
  <c r="K612" i="40" s="1"/>
  <c r="AG23" i="37"/>
  <c r="R154" i="37" s="1" a="1"/>
  <c r="R154" i="37" s="1"/>
  <c r="K191" i="40" s="1" a="1"/>
  <c r="K191" i="40" s="1"/>
  <c r="Q154" i="37" a="1"/>
  <c r="Q154" i="37" s="1"/>
  <c r="AG12" i="37"/>
  <c r="R143" i="37" s="1" a="1"/>
  <c r="R143" i="37" s="1"/>
  <c r="K653" i="40" s="1" a="1"/>
  <c r="K653" i="40" s="1"/>
  <c r="Q143" i="37" a="1"/>
  <c r="Q143" i="37" s="1"/>
  <c r="K46" i="40" a="1"/>
  <c r="K46" i="40" s="1"/>
  <c r="J47" i="40" a="1"/>
  <c r="J47" i="40" s="1"/>
  <c r="AG34" i="37"/>
  <c r="R165" i="37" s="1" a="1"/>
  <c r="R165" i="37" s="1"/>
  <c r="K312" i="40" s="1" a="1"/>
  <c r="K312" i="40" s="1"/>
  <c r="Q165" i="37" a="1"/>
  <c r="Q165" i="37" s="1"/>
  <c r="AG30" i="37"/>
  <c r="R161" i="37" s="1" a="1"/>
  <c r="R161" i="37" s="1"/>
  <c r="K48" i="40" s="1" a="1"/>
  <c r="K48" i="40" s="1"/>
  <c r="Q161" i="37" a="1"/>
  <c r="Q161" i="37" s="1"/>
  <c r="K175" i="40" a="1"/>
  <c r="K175" i="40" s="1"/>
  <c r="J177" i="40" a="1"/>
  <c r="J177" i="40" s="1"/>
  <c r="AG22" i="37"/>
  <c r="R153" i="37" s="1" a="1"/>
  <c r="R153" i="37" s="1"/>
  <c r="K179" i="40" s="1" a="1"/>
  <c r="K179" i="40" s="1"/>
  <c r="Q153" i="37" a="1"/>
  <c r="Q153" i="37" s="1"/>
  <c r="AG16" i="37"/>
  <c r="R147" i="37" s="1" a="1"/>
  <c r="R147" i="37" s="1"/>
  <c r="K134" i="40" s="1" a="1"/>
  <c r="K134" i="40" s="1"/>
  <c r="Q147" i="37" a="1"/>
  <c r="Q147" i="37" s="1"/>
  <c r="J157" i="40" a="1"/>
  <c r="J157" i="40" s="1"/>
  <c r="K155" i="40" a="1"/>
  <c r="K155" i="40" s="1"/>
  <c r="J131" i="40" a="1"/>
  <c r="J131" i="40" s="1"/>
  <c r="K128" i="40" a="1"/>
  <c r="K128" i="40" s="1"/>
  <c r="J14" i="40" a="1"/>
  <c r="J14" i="40" s="1"/>
  <c r="J1125" i="40" a="1"/>
  <c r="J1125" i="40" s="1"/>
  <c r="K1121" i="40" a="1"/>
  <c r="K1121" i="40" s="1"/>
  <c r="K718" i="40" a="1"/>
  <c r="K718" i="40" s="1"/>
  <c r="J719" i="40" a="1"/>
  <c r="J719" i="40" s="1"/>
  <c r="J1201" i="40" a="1"/>
  <c r="J1201" i="40" s="1"/>
  <c r="K1199" i="40" a="1"/>
  <c r="K1199" i="40" s="1"/>
  <c r="K1003" i="40" a="1"/>
  <c r="K1003" i="40" s="1"/>
  <c r="J1004" i="40" a="1"/>
  <c r="J1004" i="40" s="1"/>
  <c r="J1334" i="40" a="1"/>
  <c r="J1334" i="40" s="1"/>
  <c r="K1333" i="40" a="1"/>
  <c r="K1333" i="40" s="1"/>
  <c r="K1317" i="40" a="1"/>
  <c r="K1317" i="40" s="1"/>
  <c r="J1320" i="40" a="1"/>
  <c r="J1320" i="40" s="1"/>
  <c r="K1135" i="40" a="1"/>
  <c r="K1135" i="40" s="1"/>
  <c r="J1136" i="40" a="1"/>
  <c r="J1136" i="40" s="1"/>
  <c r="L1136" i="40" s="1"/>
  <c r="J1277" i="40" a="1"/>
  <c r="J1277" i="40" s="1"/>
  <c r="K1275" i="40" a="1"/>
  <c r="K1275" i="40" s="1"/>
  <c r="J740" i="40" a="1"/>
  <c r="J740" i="40" s="1"/>
  <c r="K739" i="40" a="1"/>
  <c r="K739" i="40" s="1"/>
  <c r="K970" i="40" a="1"/>
  <c r="K970" i="40" s="1"/>
  <c r="J971" i="40" a="1"/>
  <c r="J971" i="40" s="1"/>
  <c r="J994" i="40" a="1"/>
  <c r="J994" i="40" s="1"/>
  <c r="K993" i="40" a="1"/>
  <c r="K993" i="40" s="1"/>
  <c r="J1401" i="40" a="1"/>
  <c r="J1401" i="40" s="1"/>
  <c r="L1401" i="40" s="1"/>
  <c r="K1400" i="40" a="1"/>
  <c r="K1400" i="40" s="1"/>
  <c r="R1400" i="40" s="1" a="1"/>
  <c r="R1400" i="40" s="1"/>
  <c r="V1400" i="40" s="1"/>
  <c r="K1176" i="40" a="1"/>
  <c r="K1176" i="40" s="1"/>
  <c r="J1178" i="40" a="1"/>
  <c r="J1178" i="40" s="1"/>
  <c r="J949" i="40" a="1"/>
  <c r="J949" i="40" s="1"/>
  <c r="K948" i="40" a="1"/>
  <c r="K948" i="40" s="1"/>
  <c r="J982" i="40" a="1"/>
  <c r="J982" i="40" s="1"/>
  <c r="K981" i="40" a="1"/>
  <c r="K981" i="40" s="1"/>
  <c r="J729" i="40" a="1"/>
  <c r="J729" i="40" s="1"/>
  <c r="K728" i="40" a="1"/>
  <c r="K728" i="40" s="1"/>
  <c r="K1366" i="40" a="1"/>
  <c r="K1366" i="40" s="1"/>
  <c r="J1367" i="40" a="1"/>
  <c r="J1367" i="40" s="1"/>
  <c r="L1367" i="40" s="1"/>
  <c r="K926" i="40" a="1"/>
  <c r="K926" i="40" s="1"/>
  <c r="J927" i="40" a="1"/>
  <c r="J927" i="40" s="1"/>
  <c r="J960" i="40" a="1"/>
  <c r="J960" i="40" s="1"/>
  <c r="K959" i="40" a="1"/>
  <c r="K959" i="40" s="1"/>
  <c r="J1158" i="40" a="1"/>
  <c r="J1158" i="40" s="1"/>
  <c r="K1157" i="40" a="1"/>
  <c r="K1157" i="40" s="1"/>
  <c r="K1254" i="40" a="1"/>
  <c r="K1254" i="40" s="1"/>
  <c r="J1257" i="40" a="1"/>
  <c r="J1257" i="40" s="1"/>
  <c r="J1126" i="40" a="1"/>
  <c r="J1126" i="40" s="1"/>
  <c r="K1122" i="40" a="1"/>
  <c r="K1122" i="40" s="1"/>
  <c r="J1324" i="40" a="1"/>
  <c r="J1324" i="40" s="1"/>
  <c r="K1321" i="40" a="1"/>
  <c r="K1321" i="40" s="1"/>
  <c r="N1400" i="40" a="1"/>
  <c r="N1400" i="40" s="1"/>
  <c r="M1400" i="40" a="1"/>
  <c r="M1400" i="40" s="1"/>
  <c r="S1400" i="40" s="1"/>
  <c r="O1400" i="40" a="1"/>
  <c r="O1400" i="40" s="1"/>
  <c r="T1400" i="40" s="1"/>
  <c r="P1400" i="40" a="1"/>
  <c r="P1400" i="40" s="1"/>
  <c r="Q1400" i="40" a="1"/>
  <c r="Q1400" i="40" s="1"/>
  <c r="U1400" i="40" s="1"/>
  <c r="M1147" i="40" a="1"/>
  <c r="M1147" i="40" s="1"/>
  <c r="S1147" i="40" s="1"/>
  <c r="O1147" i="40" a="1"/>
  <c r="O1147" i="40" s="1"/>
  <c r="T1147" i="40" s="1"/>
  <c r="N1147" i="40" a="1"/>
  <c r="N1147" i="40" s="1"/>
  <c r="Q1147" i="40" a="1"/>
  <c r="Q1147" i="40" s="1"/>
  <c r="U1147" i="40" s="1"/>
  <c r="P1147" i="40" a="1"/>
  <c r="P1147" i="40" s="1"/>
  <c r="J806" i="40" a="1"/>
  <c r="J806" i="40" s="1"/>
  <c r="K805" i="40" a="1"/>
  <c r="K805" i="40" s="1"/>
  <c r="J1290" i="40" a="1"/>
  <c r="J1290" i="40" s="1"/>
  <c r="K1289" i="40" a="1"/>
  <c r="K1289" i="40" s="1"/>
  <c r="J1253" i="40" a="1"/>
  <c r="J1253" i="40" s="1"/>
  <c r="K1250" i="40" a="1"/>
  <c r="K1250" i="40" s="1"/>
  <c r="K880" i="40" a="1"/>
  <c r="K880" i="40" s="1"/>
  <c r="J882" i="40" a="1"/>
  <c r="J882" i="40" s="1"/>
  <c r="J1223" i="40" a="1"/>
  <c r="J1223" i="40" s="1"/>
  <c r="K1221" i="40" a="1"/>
  <c r="K1221" i="40" s="1"/>
  <c r="K1410" i="40" a="1"/>
  <c r="K1410" i="40" s="1"/>
  <c r="J1411" i="40" a="1"/>
  <c r="J1411" i="40" s="1"/>
  <c r="K1078" i="40" a="1"/>
  <c r="K1078" i="40" s="1"/>
  <c r="J1082" i="40" a="1"/>
  <c r="J1082" i="40" s="1"/>
  <c r="K784" i="40" a="1"/>
  <c r="K784" i="40" s="1"/>
  <c r="J785" i="40" a="1"/>
  <c r="J785" i="40" s="1"/>
  <c r="J1181" i="40" a="1"/>
  <c r="J1181" i="40" s="1"/>
  <c r="K1179" i="40" a="1"/>
  <c r="K1179" i="40" s="1"/>
  <c r="K1389" i="40" a="1"/>
  <c r="K1389" i="40" s="1"/>
  <c r="J1390" i="40" a="1"/>
  <c r="J1390" i="40" s="1"/>
  <c r="L1390" i="40" s="1"/>
  <c r="K1120" i="40" a="1"/>
  <c r="K1120" i="40" s="1"/>
  <c r="J1124" i="40" a="1"/>
  <c r="J1124" i="40" s="1"/>
  <c r="J796" i="40" a="1"/>
  <c r="J796" i="40" s="1"/>
  <c r="K795" i="40" a="1"/>
  <c r="K795" i="40" s="1"/>
  <c r="K1026" i="40" a="1"/>
  <c r="K1026" i="40" s="1"/>
  <c r="J1027" i="40" a="1"/>
  <c r="J1027" i="40" s="1"/>
  <c r="K833" i="40" a="1"/>
  <c r="K833" i="40" s="1"/>
  <c r="J836" i="40" a="1"/>
  <c r="J836" i="40" s="1"/>
  <c r="J1037" i="40" a="1"/>
  <c r="J1037" i="40" s="1"/>
  <c r="K1036" i="40" a="1"/>
  <c r="K1036" i="40" s="1"/>
  <c r="J773" i="40" a="1"/>
  <c r="J773" i="40" s="1"/>
  <c r="K772" i="40" a="1"/>
  <c r="K772" i="40" s="1"/>
  <c r="K937" i="40" a="1"/>
  <c r="K937" i="40" s="1"/>
  <c r="J938" i="40" a="1"/>
  <c r="J938" i="40" s="1"/>
  <c r="J762" i="40" a="1"/>
  <c r="J762" i="40" s="1"/>
  <c r="K761" i="40" a="1"/>
  <c r="K761" i="40" s="1"/>
  <c r="J1345" i="40" a="1"/>
  <c r="J1345" i="40" s="1"/>
  <c r="K1344" i="40" a="1"/>
  <c r="K1344" i="40" s="1"/>
  <c r="K1278" i="40" a="1"/>
  <c r="K1278" i="40" s="1"/>
  <c r="J1280" i="40" a="1"/>
  <c r="J1280" i="40" s="1"/>
  <c r="K1147" i="40" a="1"/>
  <c r="K1147" i="40" s="1"/>
  <c r="R1147" i="40" s="1" a="1"/>
  <c r="R1147" i="40" s="1"/>
  <c r="V1147" i="40" s="1"/>
  <c r="J1148" i="40" a="1"/>
  <c r="J1148" i="40" s="1"/>
  <c r="L1148" i="40" s="1"/>
  <c r="J862" i="40" a="1"/>
  <c r="J862" i="40" s="1"/>
  <c r="K860" i="40" a="1"/>
  <c r="K860" i="40" s="1"/>
  <c r="K1378" i="40" a="1"/>
  <c r="K1378" i="40" s="1"/>
  <c r="J1379" i="40" a="1"/>
  <c r="J1379" i="40" s="1"/>
  <c r="L1379" i="40" s="1"/>
  <c r="K837" i="40" a="1"/>
  <c r="K837" i="40" s="1"/>
  <c r="J840" i="40" a="1"/>
  <c r="J840" i="40" s="1"/>
  <c r="F13" i="44"/>
  <c r="E13" i="44" s="1"/>
  <c r="J549" i="40" a="1"/>
  <c r="J549" i="40" s="1"/>
  <c r="Q168" i="37" a="1"/>
  <c r="Q168" i="37" s="1"/>
  <c r="J257" i="40" s="1" a="1"/>
  <c r="J257" i="40" s="1"/>
  <c r="Q232" i="37" a="1"/>
  <c r="Q232" i="37" s="1"/>
  <c r="Q145" i="37" a="1"/>
  <c r="Q145" i="37" s="1"/>
  <c r="K132" i="40" s="1" a="1"/>
  <c r="K132" i="40" s="1"/>
  <c r="Q209" i="37" a="1"/>
  <c r="Q209" i="37" s="1"/>
  <c r="Q187" i="37" a="1"/>
  <c r="Q187" i="37" s="1"/>
  <c r="Q251" i="37" a="1"/>
  <c r="Q251" i="37" s="1"/>
  <c r="Q141" i="37" a="1"/>
  <c r="Q141" i="37" s="1"/>
  <c r="K25" i="40" s="1" a="1"/>
  <c r="K25" i="40" s="1"/>
  <c r="Q205" i="37" a="1"/>
  <c r="Q205" i="37" s="1"/>
  <c r="Q180" i="37" a="1"/>
  <c r="Q180" i="37" s="1"/>
  <c r="J433" i="40" s="1" a="1"/>
  <c r="J433" i="40" s="1"/>
  <c r="L433" i="40" s="1"/>
  <c r="Q244" i="37" a="1"/>
  <c r="Q244" i="37" s="1"/>
  <c r="Q144" i="37" a="1"/>
  <c r="Q144" i="37" s="1"/>
  <c r="Q208" i="37" a="1"/>
  <c r="Q208" i="37" s="1"/>
  <c r="Q185" i="37" a="1"/>
  <c r="Q185" i="37" s="1"/>
  <c r="Q249" i="37" a="1"/>
  <c r="Q249" i="37" s="1"/>
  <c r="Q163" i="37" a="1"/>
  <c r="Q163" i="37" s="1"/>
  <c r="Q227" i="37" a="1"/>
  <c r="Q227" i="37" s="1"/>
  <c r="Q169" i="37" a="1"/>
  <c r="Q169" i="37" s="1"/>
  <c r="Q233" i="37" a="1"/>
  <c r="Q233" i="37" s="1"/>
  <c r="Q160" i="37" a="1"/>
  <c r="Q160" i="37" s="1"/>
  <c r="Q224" i="37" a="1"/>
  <c r="Q224" i="37" s="1"/>
  <c r="Q138" i="37" a="1"/>
  <c r="Q138" i="37" s="1"/>
  <c r="Q202" i="37" a="1"/>
  <c r="Q202" i="37" s="1"/>
  <c r="J25" i="40" a="1"/>
  <c r="J25" i="40" s="1"/>
  <c r="Q152" i="37" a="1"/>
  <c r="Q152" i="37" s="1"/>
  <c r="Q216" i="37" a="1"/>
  <c r="Q216" i="37" s="1"/>
  <c r="Q157" i="37" a="1"/>
  <c r="Q157" i="37" s="1"/>
  <c r="Q221" i="37" a="1"/>
  <c r="Q221" i="37" s="1"/>
  <c r="Q189" i="37" a="1"/>
  <c r="Q189" i="37" s="1"/>
  <c r="K549" i="40" s="1" a="1"/>
  <c r="K549" i="40" s="1"/>
  <c r="Q253" i="37" a="1"/>
  <c r="Q253" i="37" s="1"/>
  <c r="Q166" i="37" a="1"/>
  <c r="Q166" i="37" s="1"/>
  <c r="Q230" i="37" a="1"/>
  <c r="Q230" i="37" s="1"/>
  <c r="Q194" i="37" a="1"/>
  <c r="Q194" i="37" s="1"/>
  <c r="Q258" i="37" a="1"/>
  <c r="Q258" i="37" s="1"/>
  <c r="Q159" i="37" a="1"/>
  <c r="Q159" i="37" s="1"/>
  <c r="Q223" i="37" a="1"/>
  <c r="Q223" i="37" s="1"/>
  <c r="Q139" i="37" a="1"/>
  <c r="Q139" i="37" s="1"/>
  <c r="Q203" i="37" a="1"/>
  <c r="Q203" i="37" s="1"/>
  <c r="Q170" i="37" a="1"/>
  <c r="Q170" i="37" s="1"/>
  <c r="Q234" i="37" a="1"/>
  <c r="Q234" i="37" s="1"/>
  <c r="Q192" i="37" a="1"/>
  <c r="Q192" i="37" s="1"/>
  <c r="Q256" i="37" a="1"/>
  <c r="Q256" i="37" s="1"/>
  <c r="Q137" i="37" a="1"/>
  <c r="Q137" i="37" s="1"/>
  <c r="Q201" i="37" a="1"/>
  <c r="Q201" i="37" s="1"/>
  <c r="Q199" i="37" a="1"/>
  <c r="Q199" i="37" s="1"/>
  <c r="Q263" i="37" a="1"/>
  <c r="Q263" i="37" s="1"/>
  <c r="Q164" i="37" a="1"/>
  <c r="Q164" i="37" s="1"/>
  <c r="J301" i="40" s="1" a="1"/>
  <c r="J301" i="40" s="1"/>
  <c r="Q228" i="37" a="1"/>
  <c r="Q228" i="37" s="1"/>
  <c r="Q158" i="37" a="1"/>
  <c r="Q158" i="37" s="1"/>
  <c r="Q222" i="37" a="1"/>
  <c r="Q222" i="37" s="1"/>
  <c r="Q195" i="37" a="1"/>
  <c r="Q195" i="37" s="1"/>
  <c r="Q259" i="37" a="1"/>
  <c r="Q259" i="37" s="1"/>
  <c r="Q183" i="37" a="1"/>
  <c r="Q183" i="37" s="1"/>
  <c r="Q247" i="37" a="1"/>
  <c r="Q247" i="37" s="1"/>
  <c r="Q181" i="37" a="1"/>
  <c r="Q181" i="37" s="1"/>
  <c r="Q245" i="37" a="1"/>
  <c r="Q245" i="37" s="1"/>
  <c r="Q198" i="37" a="1"/>
  <c r="Q198" i="37" s="1"/>
  <c r="Q262" i="37" a="1"/>
  <c r="Q262" i="37" s="1"/>
  <c r="Q136" i="37" a="1"/>
  <c r="Q136" i="37" s="1"/>
  <c r="K14" i="40" s="1" a="1"/>
  <c r="K14" i="40" s="1"/>
  <c r="AG5" i="37"/>
  <c r="K321" i="40" a="1"/>
  <c r="K321" i="40" s="1"/>
  <c r="J69" i="40" a="1"/>
  <c r="J69" i="40" s="1"/>
  <c r="AG59" i="37"/>
  <c r="Q190" i="37" a="1"/>
  <c r="Q190" i="37" s="1"/>
  <c r="AG46" i="37"/>
  <c r="Q177" i="37" a="1"/>
  <c r="Q177" i="37" s="1"/>
  <c r="K417" i="40" s="1" a="1"/>
  <c r="K417" i="40" s="1"/>
  <c r="AG41" i="37"/>
  <c r="Q172" i="37" a="1"/>
  <c r="Q172" i="37" s="1"/>
  <c r="J378" i="40" s="1" a="1"/>
  <c r="J378" i="40" s="1"/>
  <c r="AG62" i="37"/>
  <c r="Q193" i="37" a="1"/>
  <c r="Q193" i="37" s="1"/>
  <c r="AG6" i="37"/>
  <c r="AG17" i="37"/>
  <c r="Q148" i="37" a="1"/>
  <c r="Q148" i="37" s="1"/>
  <c r="AG15" i="37"/>
  <c r="Q146" i="37" a="1"/>
  <c r="Q146" i="37" s="1"/>
  <c r="AG8" i="37"/>
  <c r="AG47" i="37"/>
  <c r="Q178" i="37" a="1"/>
  <c r="Q178" i="37" s="1"/>
  <c r="K418" i="40" s="1" a="1"/>
  <c r="K418" i="40" s="1"/>
  <c r="AG65" i="37"/>
  <c r="Q196" i="37" a="1"/>
  <c r="Q196" i="37" s="1"/>
  <c r="J620" i="40" s="1" a="1"/>
  <c r="J620" i="40" s="1"/>
  <c r="AG55" i="37"/>
  <c r="R186" i="37" s="1" a="1"/>
  <c r="R186" i="37" s="1"/>
  <c r="K498" i="40" s="1" a="1"/>
  <c r="K498" i="40" s="1"/>
  <c r="AG48" i="37"/>
  <c r="Q179" i="37" a="1"/>
  <c r="Q179" i="37" s="1"/>
  <c r="AG31" i="37"/>
  <c r="Q162" i="37" a="1"/>
  <c r="Q162" i="37" s="1"/>
  <c r="J290" i="40" s="1" a="1"/>
  <c r="J290" i="40" s="1"/>
  <c r="AG36" i="37"/>
  <c r="Q167" i="37" a="1"/>
  <c r="Q167" i="37" s="1"/>
  <c r="K322" i="40" s="1" a="1"/>
  <c r="K322" i="40" s="1"/>
  <c r="AG9" i="37"/>
  <c r="Q140" i="37" a="1"/>
  <c r="Q140" i="37" s="1"/>
  <c r="AG53" i="37"/>
  <c r="Q184" i="37" a="1"/>
  <c r="Q184" i="37" s="1"/>
  <c r="AG20" i="37"/>
  <c r="Q151" i="37" a="1"/>
  <c r="Q151" i="37" s="1"/>
  <c r="AG7" i="37"/>
  <c r="AG57" i="37"/>
  <c r="R188" i="37" s="1" a="1"/>
  <c r="R188" i="37" s="1"/>
  <c r="K520" i="40" s="1" a="1"/>
  <c r="K520" i="40" s="1"/>
  <c r="AG51" i="37"/>
  <c r="Q182" i="37" a="1"/>
  <c r="Q182" i="37" s="1"/>
  <c r="AG19" i="37"/>
  <c r="Q150" i="37" a="1"/>
  <c r="Q150" i="37" s="1"/>
  <c r="K156" i="40" s="1" a="1"/>
  <c r="K156" i="40" s="1"/>
  <c r="AG45" i="37"/>
  <c r="Q176" i="37" a="1"/>
  <c r="Q176" i="37" s="1"/>
  <c r="AG66" i="37"/>
  <c r="R197" i="37" s="1" a="1"/>
  <c r="R197" i="37" s="1"/>
  <c r="K618" i="40" s="1" a="1"/>
  <c r="K618" i="40" s="1"/>
  <c r="AG11" i="37"/>
  <c r="Q142" i="37" a="1"/>
  <c r="Q142" i="37" s="1"/>
  <c r="J256" i="40" a="1"/>
  <c r="J256" i="40" s="1"/>
  <c r="K614" i="40" a="1"/>
  <c r="K614" i="40" s="1"/>
  <c r="J418" i="40" a="1"/>
  <c r="J418" i="40" s="1"/>
  <c r="J374" i="40" a="1"/>
  <c r="J374" i="40" s="1"/>
  <c r="J300" i="40" a="1"/>
  <c r="J300" i="40" s="1"/>
  <c r="K154" i="40" a="1"/>
  <c r="K154" i="40" s="1"/>
  <c r="J417" i="40" a="1"/>
  <c r="J417" i="40" s="1"/>
  <c r="K288" i="40" a="1"/>
  <c r="K288" i="40" s="1"/>
  <c r="J432" i="40" a="1"/>
  <c r="J432" i="40" s="1"/>
  <c r="L432" i="40" s="1"/>
  <c r="J132" i="40" a="1"/>
  <c r="J132" i="40" s="1"/>
  <c r="K473" i="40" a="1"/>
  <c r="K473" i="40" s="1"/>
  <c r="J475" i="40" a="1"/>
  <c r="J475" i="40" s="1"/>
  <c r="K629" i="40" a="1"/>
  <c r="K629" i="40" s="1"/>
  <c r="J630" i="40" a="1"/>
  <c r="J630" i="40" s="1"/>
  <c r="J133" i="40" a="1"/>
  <c r="J133" i="40" s="1"/>
  <c r="K130" i="40" a="1"/>
  <c r="K130" i="40" s="1"/>
  <c r="AG58" i="37"/>
  <c r="J267" i="40" a="1"/>
  <c r="J267" i="40" s="1"/>
  <c r="K266" i="40" a="1"/>
  <c r="K266" i="40" s="1"/>
  <c r="K453" i="40" a="1"/>
  <c r="K453" i="40" s="1"/>
  <c r="J454" i="40" a="1"/>
  <c r="J454" i="40" s="1"/>
  <c r="J102" i="40" a="1"/>
  <c r="J102" i="40" s="1"/>
  <c r="K101" i="40" a="1"/>
  <c r="K101" i="40" s="1"/>
  <c r="K412" i="40" a="1"/>
  <c r="K412" i="40" s="1"/>
  <c r="J416" i="40" a="1"/>
  <c r="J416" i="40" s="1"/>
  <c r="AG39" i="37"/>
  <c r="J245" i="40" a="1"/>
  <c r="J245" i="40" s="1"/>
  <c r="K244" i="40" a="1"/>
  <c r="K244" i="40" s="1"/>
  <c r="AG40" i="37"/>
  <c r="R171" i="37" s="1" a="1"/>
  <c r="R171" i="37" s="1"/>
  <c r="K375" i="40" s="1" a="1"/>
  <c r="K375" i="40" s="1"/>
  <c r="AG56" i="37"/>
  <c r="R251" i="37" s="1" a="1"/>
  <c r="R251" i="37" s="1"/>
  <c r="K1225" i="40" s="1" a="1"/>
  <c r="K1225" i="40" s="1"/>
  <c r="J497" i="40" a="1"/>
  <c r="J497" i="40" s="1"/>
  <c r="K495" i="40" a="1"/>
  <c r="K495" i="40" s="1"/>
  <c r="AG10" i="37"/>
  <c r="AG33" i="37"/>
  <c r="R228" i="37" s="1" a="1"/>
  <c r="R228" i="37" s="1"/>
  <c r="K1005" i="40" s="1" a="1"/>
  <c r="K1005" i="40" s="1"/>
  <c r="K332" i="40" a="1"/>
  <c r="K332" i="40" s="1"/>
  <c r="J333" i="40" a="1"/>
  <c r="J333" i="40" s="1"/>
  <c r="J696" i="40" a="1"/>
  <c r="J696" i="40" s="1"/>
  <c r="L696" i="40" s="1"/>
  <c r="K695" i="40" a="1"/>
  <c r="K695" i="40" s="1"/>
  <c r="R695" i="40" s="1" a="1"/>
  <c r="R695" i="40" s="1"/>
  <c r="V695" i="40" s="1"/>
  <c r="AG14" i="37"/>
  <c r="AG13" i="37"/>
  <c r="R208" i="37" s="1" a="1"/>
  <c r="R208" i="37" s="1"/>
  <c r="K807" i="40" s="1" a="1"/>
  <c r="K807" i="40" s="1"/>
  <c r="K233" i="40" a="1"/>
  <c r="K233" i="40" s="1"/>
  <c r="J234" i="40" a="1"/>
  <c r="J234" i="40" s="1"/>
  <c r="AG28" i="37"/>
  <c r="R223" i="37" s="1" a="1"/>
  <c r="R223" i="37" s="1"/>
  <c r="K950" i="40" s="1" a="1"/>
  <c r="K950" i="40" s="1"/>
  <c r="J278" i="40" a="1"/>
  <c r="J278" i="40" s="1"/>
  <c r="K277" i="40" a="1"/>
  <c r="K277" i="40" s="1"/>
  <c r="AG64" i="37"/>
  <c r="AG54" i="37"/>
  <c r="R249" i="37" s="1" a="1"/>
  <c r="R249" i="37" s="1"/>
  <c r="K1203" i="40" s="1" a="1"/>
  <c r="K1203" i="40" s="1"/>
  <c r="J36" i="40" a="1"/>
  <c r="J36" i="40" s="1"/>
  <c r="K35" i="40" a="1"/>
  <c r="K35" i="40" s="1"/>
  <c r="AG37" i="37"/>
  <c r="R232" i="37" s="1" a="1"/>
  <c r="R232" i="37" s="1"/>
  <c r="K961" i="40" s="1" a="1"/>
  <c r="K961" i="40" s="1"/>
  <c r="AG67" i="37"/>
  <c r="R262" i="37" s="1" a="1"/>
  <c r="R262" i="37" s="1"/>
  <c r="K1335" i="40" s="1" a="1"/>
  <c r="K1335" i="40" s="1"/>
  <c r="J616" i="40" a="1"/>
  <c r="J616" i="40" s="1"/>
  <c r="K613" i="40" a="1"/>
  <c r="K613" i="40" s="1"/>
  <c r="AG38" i="37"/>
  <c r="R233" i="37" s="1" a="1"/>
  <c r="R233" i="37" s="1"/>
  <c r="K972" i="40" s="1" a="1"/>
  <c r="K972" i="40" s="1"/>
  <c r="AG49" i="37"/>
  <c r="J641" i="40" a="1"/>
  <c r="J641" i="40" s="1"/>
  <c r="K640" i="40" a="1"/>
  <c r="K640" i="40" s="1"/>
  <c r="AG27" i="37"/>
  <c r="R222" i="37" s="1" a="1"/>
  <c r="R222" i="37" s="1"/>
  <c r="K939" i="40" s="1" a="1"/>
  <c r="K939" i="40" s="1"/>
  <c r="AG35" i="37"/>
  <c r="J91" i="40" a="1"/>
  <c r="J91" i="40" s="1"/>
  <c r="K90" i="40" a="1"/>
  <c r="K90" i="40" s="1"/>
  <c r="AG29" i="37"/>
  <c r="R224" i="37" s="1" a="1"/>
  <c r="R224" i="37" s="1"/>
  <c r="K741" i="40" s="1" a="1"/>
  <c r="K741" i="40" s="1"/>
  <c r="O695" i="40" a="1"/>
  <c r="O695" i="40" s="1"/>
  <c r="T695" i="40" s="1"/>
  <c r="P695" i="40" a="1"/>
  <c r="P695" i="40" s="1"/>
  <c r="Q695" i="40" a="1"/>
  <c r="Q695" i="40" s="1"/>
  <c r="U695" i="40" s="1"/>
  <c r="N695" i="40" a="1"/>
  <c r="N695" i="40" s="1"/>
  <c r="M695" i="40" a="1"/>
  <c r="M695" i="40" s="1"/>
  <c r="S695" i="40" s="1"/>
  <c r="J707" i="40" a="1"/>
  <c r="J707" i="40" s="1"/>
  <c r="K706" i="40" a="1"/>
  <c r="K706" i="40" s="1"/>
  <c r="AG68" i="37"/>
  <c r="R263" i="37" s="1" a="1"/>
  <c r="R263" i="37" s="1"/>
  <c r="K1346" i="40" s="1" a="1"/>
  <c r="K1346" i="40" s="1"/>
  <c r="AG18" i="37"/>
  <c r="R149" i="37" s="1" a="1"/>
  <c r="R149" i="37" s="1"/>
  <c r="K157" i="40" s="1" a="1"/>
  <c r="K157" i="40" s="1"/>
  <c r="K572" i="40" a="1"/>
  <c r="K572" i="40" s="1"/>
  <c r="J574" i="40" a="1"/>
  <c r="J574" i="40" s="1"/>
  <c r="AG32" i="37"/>
  <c r="K176" i="40" a="1"/>
  <c r="K176" i="40" s="1"/>
  <c r="J178" i="40" a="1"/>
  <c r="J178" i="40" s="1"/>
  <c r="K442" i="40" a="1"/>
  <c r="K442" i="40" s="1"/>
  <c r="J443" i="40" a="1"/>
  <c r="J443" i="40" s="1"/>
  <c r="AG44" i="37"/>
  <c r="R175" i="37" s="1" a="1"/>
  <c r="R175" i="37" s="1"/>
  <c r="K419" i="40" s="1" a="1"/>
  <c r="K419" i="40" s="1"/>
  <c r="K547" i="40" a="1"/>
  <c r="K547" i="40" s="1"/>
  <c r="J550" i="40" a="1"/>
  <c r="J550" i="40" s="1"/>
  <c r="J573" i="40" a="1"/>
  <c r="J573" i="40" s="1"/>
  <c r="K571" i="40" a="1"/>
  <c r="K571" i="40" s="1"/>
  <c r="J80" i="40" a="1"/>
  <c r="J80" i="40" s="1"/>
  <c r="K79" i="40" a="1"/>
  <c r="K79" i="40" s="1"/>
  <c r="J586" i="40" a="1"/>
  <c r="J586" i="40" s="1"/>
  <c r="K585" i="40" a="1"/>
  <c r="K585" i="40" s="1"/>
  <c r="AG52" i="37"/>
  <c r="J474" i="40" a="1"/>
  <c r="J474" i="40" s="1"/>
  <c r="K472" i="40" a="1"/>
  <c r="K472" i="40" s="1"/>
  <c r="AG21" i="37"/>
  <c r="R216" i="37" s="1" a="1"/>
  <c r="R216" i="37" s="1"/>
  <c r="K884" i="40" s="1" a="1"/>
  <c r="K884" i="40" s="1"/>
  <c r="AG50" i="37"/>
  <c r="AG26" i="37"/>
  <c r="R221" i="37" s="1" a="1"/>
  <c r="R221" i="37" s="1"/>
  <c r="K928" i="40" s="1" a="1"/>
  <c r="K928" i="40" s="1"/>
  <c r="K673" i="40" a="1"/>
  <c r="K673" i="40" s="1"/>
  <c r="J674" i="40" a="1"/>
  <c r="J674" i="40" s="1"/>
  <c r="L674" i="40" s="1"/>
  <c r="AG61" i="37"/>
  <c r="AG63" i="37"/>
  <c r="R258" i="37" s="1" a="1"/>
  <c r="R258" i="37" s="1"/>
  <c r="K1291" i="40" s="1" a="1"/>
  <c r="K1291" i="40" s="1"/>
  <c r="J58" i="40" a="1"/>
  <c r="J58" i="40" s="1"/>
  <c r="K57" i="40" a="1"/>
  <c r="K57" i="40" s="1"/>
  <c r="J519" i="40" a="1"/>
  <c r="J519" i="40" s="1"/>
  <c r="K517" i="40" a="1"/>
  <c r="K517" i="40" s="1"/>
  <c r="J663" i="40" a="1"/>
  <c r="J663" i="40" s="1"/>
  <c r="L663" i="40" s="1"/>
  <c r="K662" i="40" a="1"/>
  <c r="K662" i="40" s="1"/>
  <c r="K684" i="40" a="1"/>
  <c r="K684" i="40" s="1"/>
  <c r="J685" i="40" a="1"/>
  <c r="J685" i="40" s="1"/>
  <c r="L685" i="40" s="1"/>
  <c r="K222" i="40" a="1"/>
  <c r="K222" i="40" s="1"/>
  <c r="J223" i="40" a="1"/>
  <c r="J223" i="40" s="1"/>
  <c r="J554" i="40" a="1"/>
  <c r="J554" i="40" s="1"/>
  <c r="K551" i="40" a="1"/>
  <c r="K551" i="40" s="1"/>
  <c r="P443" i="40" l="1" a="1"/>
  <c r="P443" i="40" s="1"/>
  <c r="L443" i="40"/>
  <c r="K615" i="40" a="1"/>
  <c r="K615" i="40" s="1"/>
  <c r="K496" i="40" a="1"/>
  <c r="K496" i="40" s="1"/>
  <c r="K518" i="40" a="1"/>
  <c r="K518" i="40" s="1"/>
  <c r="K47" i="40" a="1"/>
  <c r="K47" i="40" s="1"/>
  <c r="J48" i="40" a="1"/>
  <c r="J48" i="40" s="1"/>
  <c r="K131" i="40" a="1"/>
  <c r="K131" i="40" s="1"/>
  <c r="J134" i="40" a="1"/>
  <c r="J134" i="40" s="1"/>
  <c r="K311" i="40" a="1"/>
  <c r="K311" i="40" s="1"/>
  <c r="J312" i="40" a="1"/>
  <c r="J312" i="40" s="1"/>
  <c r="J179" i="40" a="1"/>
  <c r="J179" i="40" s="1"/>
  <c r="K177" i="40" a="1"/>
  <c r="K177" i="40" s="1"/>
  <c r="J191" i="40" a="1"/>
  <c r="J191" i="40" s="1"/>
  <c r="K190" i="40" a="1"/>
  <c r="K190" i="40" s="1"/>
  <c r="F29" i="44"/>
  <c r="J135" i="40" a="1"/>
  <c r="J135" i="40" s="1"/>
  <c r="K1411" i="40" a="1"/>
  <c r="K1411" i="40" s="1"/>
  <c r="J1412" i="40" a="1"/>
  <c r="J1412" i="40" s="1"/>
  <c r="J1005" i="40" a="1"/>
  <c r="J1005" i="40" s="1"/>
  <c r="K1004" i="40" a="1"/>
  <c r="K1004" i="40" s="1"/>
  <c r="J1038" i="40" a="1"/>
  <c r="J1038" i="40" s="1"/>
  <c r="K1037" i="40" a="1"/>
  <c r="K1037" i="40" s="1"/>
  <c r="J1368" i="40" a="1"/>
  <c r="J1368" i="40" s="1"/>
  <c r="L1368" i="40" s="1"/>
  <c r="K1367" i="40" a="1"/>
  <c r="K1367" i="40" s="1"/>
  <c r="K762" i="40" a="1"/>
  <c r="K762" i="40" s="1"/>
  <c r="J763" i="40" a="1"/>
  <c r="J763" i="40" s="1"/>
  <c r="K1201" i="40" a="1"/>
  <c r="K1201" i="40" s="1"/>
  <c r="J1203" i="40" a="1"/>
  <c r="J1203" i="40" s="1"/>
  <c r="K1223" i="40" a="1"/>
  <c r="K1223" i="40" s="1"/>
  <c r="J1225" i="40" a="1"/>
  <c r="J1225" i="40" s="1"/>
  <c r="K1178" i="40" a="1"/>
  <c r="K1178" i="40" s="1"/>
  <c r="J1180" i="40" a="1"/>
  <c r="J1180" i="40" s="1"/>
  <c r="J1346" i="40" a="1"/>
  <c r="J1346" i="40" s="1"/>
  <c r="K1345" i="40" a="1"/>
  <c r="K1345" i="40" s="1"/>
  <c r="J774" i="40" a="1"/>
  <c r="J774" i="40" s="1"/>
  <c r="K773" i="40" a="1"/>
  <c r="K773" i="40" s="1"/>
  <c r="K1253" i="40" a="1"/>
  <c r="K1253" i="40" s="1"/>
  <c r="J1256" i="40" a="1"/>
  <c r="J1256" i="40" s="1"/>
  <c r="J741" i="40" a="1"/>
  <c r="J741" i="40" s="1"/>
  <c r="K740" i="40" a="1"/>
  <c r="K740" i="40" s="1"/>
  <c r="K806" i="40" a="1"/>
  <c r="K806" i="40" s="1"/>
  <c r="J807" i="40" a="1"/>
  <c r="J807" i="40" s="1"/>
  <c r="J839" i="40" a="1"/>
  <c r="J839" i="40" s="1"/>
  <c r="K836" i="40" a="1"/>
  <c r="K836" i="40" s="1"/>
  <c r="J1323" i="40" a="1"/>
  <c r="J1323" i="40" s="1"/>
  <c r="K1320" i="40" a="1"/>
  <c r="K1320" i="40" s="1"/>
  <c r="J1159" i="40" a="1"/>
  <c r="J1159" i="40" s="1"/>
  <c r="K1158" i="40" a="1"/>
  <c r="K1158" i="40" s="1"/>
  <c r="K949" i="40" a="1"/>
  <c r="K949" i="40" s="1"/>
  <c r="J950" i="40" a="1"/>
  <c r="J950" i="40" s="1"/>
  <c r="K927" i="40" a="1"/>
  <c r="K927" i="40" s="1"/>
  <c r="J928" i="40" a="1"/>
  <c r="J928" i="40" s="1"/>
  <c r="K971" i="40" a="1"/>
  <c r="K971" i="40" s="1"/>
  <c r="J972" i="40" a="1"/>
  <c r="J972" i="40" s="1"/>
  <c r="J1137" i="40" a="1"/>
  <c r="J1137" i="40" s="1"/>
  <c r="L1137" i="40" s="1"/>
  <c r="K1136" i="40" a="1"/>
  <c r="K1136" i="40" s="1"/>
  <c r="J961" i="40" a="1"/>
  <c r="J961" i="40" s="1"/>
  <c r="K960" i="40" a="1"/>
  <c r="K960" i="40" s="1"/>
  <c r="P1401" i="40" a="1"/>
  <c r="P1401" i="40" s="1"/>
  <c r="Q1401" i="40" a="1"/>
  <c r="Q1401" i="40" s="1"/>
  <c r="U1401" i="40" s="1"/>
  <c r="M1401" i="40" a="1"/>
  <c r="M1401" i="40" s="1"/>
  <c r="S1401" i="40" s="1"/>
  <c r="N1401" i="40" a="1"/>
  <c r="N1401" i="40" s="1"/>
  <c r="O1401" i="40" a="1"/>
  <c r="O1401" i="40" s="1"/>
  <c r="T1401" i="40" s="1"/>
  <c r="J1335" i="40" a="1"/>
  <c r="J1335" i="40" s="1"/>
  <c r="K1334" i="40" a="1"/>
  <c r="K1334" i="40" s="1"/>
  <c r="J939" i="40" a="1"/>
  <c r="J939" i="40" s="1"/>
  <c r="K938" i="40" a="1"/>
  <c r="K938" i="40" s="1"/>
  <c r="K1277" i="40" a="1"/>
  <c r="K1277" i="40" s="1"/>
  <c r="J1279" i="40" a="1"/>
  <c r="J1279" i="40" s="1"/>
  <c r="J1291" i="40" a="1"/>
  <c r="J1291" i="40" s="1"/>
  <c r="K1290" i="40" a="1"/>
  <c r="K1290" i="40" s="1"/>
  <c r="K882" i="40" a="1"/>
  <c r="K882" i="40" s="1"/>
  <c r="J884" i="40" a="1"/>
  <c r="J884" i="40" s="1"/>
  <c r="Q1148" i="40" a="1"/>
  <c r="Q1148" i="40" s="1"/>
  <c r="U1148" i="40" s="1"/>
  <c r="P1148" i="40" a="1"/>
  <c r="P1148" i="40" s="1"/>
  <c r="O1148" i="40" a="1"/>
  <c r="O1148" i="40" s="1"/>
  <c r="T1148" i="40" s="1"/>
  <c r="N1148" i="40" a="1"/>
  <c r="N1148" i="40" s="1"/>
  <c r="M1148" i="40" a="1"/>
  <c r="M1148" i="40" s="1"/>
  <c r="S1148" i="40" s="1"/>
  <c r="K982" i="40" a="1"/>
  <c r="K982" i="40" s="1"/>
  <c r="J983" i="40" a="1"/>
  <c r="J983" i="40" s="1"/>
  <c r="K729" i="40" a="1"/>
  <c r="K729" i="40" s="1"/>
  <c r="J730" i="40" a="1"/>
  <c r="J730" i="40" s="1"/>
  <c r="J15" i="40" a="1"/>
  <c r="J15" i="40" s="1"/>
  <c r="J552" i="40" a="1"/>
  <c r="J552" i="40" s="1"/>
  <c r="K300" i="40" a="1"/>
  <c r="K300" i="40" s="1"/>
  <c r="R170" i="37" a="1"/>
  <c r="R170" i="37" s="1"/>
  <c r="K334" i="40" s="1" a="1"/>
  <c r="K334" i="40" s="1"/>
  <c r="R234" i="37" a="1"/>
  <c r="R234" i="37" s="1"/>
  <c r="K1038" i="40" s="1" a="1"/>
  <c r="K1038" i="40" s="1"/>
  <c r="R148" i="37" a="1"/>
  <c r="R148" i="37" s="1"/>
  <c r="K675" i="40" s="1" a="1"/>
  <c r="K675" i="40" s="1"/>
  <c r="R212" i="37" a="1"/>
  <c r="R212" i="37" s="1"/>
  <c r="K1379" i="40" s="1" a="1"/>
  <c r="K1379" i="40" s="1"/>
  <c r="R163" i="37" a="1"/>
  <c r="R163" i="37" s="1"/>
  <c r="K279" i="40" s="1" a="1"/>
  <c r="K279" i="40" s="1"/>
  <c r="R227" i="37" a="1"/>
  <c r="R227" i="37" s="1"/>
  <c r="K983" i="40" s="1" a="1"/>
  <c r="K983" i="40" s="1"/>
  <c r="R138" i="37" a="1"/>
  <c r="R138" i="37" s="1"/>
  <c r="K59" i="40" s="1" a="1"/>
  <c r="K59" i="40" s="1"/>
  <c r="R202" i="37" a="1"/>
  <c r="R202" i="37" s="1"/>
  <c r="K763" i="40" s="1" a="1"/>
  <c r="K763" i="40" s="1"/>
  <c r="R167" i="37" a="1"/>
  <c r="R167" i="37" s="1"/>
  <c r="K323" i="40" s="1" a="1"/>
  <c r="K323" i="40" s="1"/>
  <c r="R231" i="37" a="1"/>
  <c r="R231" i="37" s="1"/>
  <c r="K1027" i="40" s="1" a="1"/>
  <c r="K1027" i="40" s="1"/>
  <c r="R196" i="37" a="1"/>
  <c r="R196" i="37" s="1"/>
  <c r="K620" i="40" s="1" a="1"/>
  <c r="K620" i="40" s="1"/>
  <c r="R260" i="37" a="1"/>
  <c r="R260" i="37" s="1"/>
  <c r="K1324" i="40" s="1" a="1"/>
  <c r="K1324" i="40" s="1"/>
  <c r="R137" i="37" a="1"/>
  <c r="R137" i="37" s="1"/>
  <c r="K455" i="40" s="1" a="1"/>
  <c r="K455" i="40" s="1"/>
  <c r="R201" i="37" a="1"/>
  <c r="R201" i="37" s="1"/>
  <c r="K1159" i="40" s="1" a="1"/>
  <c r="K1159" i="40" s="1"/>
  <c r="R190" i="37" a="1"/>
  <c r="R190" i="37" s="1"/>
  <c r="K553" i="40" s="1" a="1"/>
  <c r="K553" i="40" s="1"/>
  <c r="R254" i="37" a="1"/>
  <c r="R254" i="37" s="1"/>
  <c r="K1257" i="40" s="1" a="1"/>
  <c r="K1257" i="40" s="1"/>
  <c r="R166" i="37" a="1"/>
  <c r="R166" i="37" s="1"/>
  <c r="K664" i="40" s="1" a="1"/>
  <c r="K664" i="40" s="1"/>
  <c r="R230" i="37" a="1"/>
  <c r="R230" i="37" s="1"/>
  <c r="K1368" i="40" s="1" a="1"/>
  <c r="K1368" i="40" s="1"/>
  <c r="R195" i="37" a="1"/>
  <c r="R195" i="37" s="1"/>
  <c r="K619" i="40" s="1" a="1"/>
  <c r="K619" i="40" s="1"/>
  <c r="R259" i="37" a="1"/>
  <c r="R259" i="37" s="1"/>
  <c r="K1323" i="40" s="1" a="1"/>
  <c r="K1323" i="40" s="1"/>
  <c r="R151" i="37" a="1"/>
  <c r="R151" i="37" s="1"/>
  <c r="K686" i="40" s="1" a="1"/>
  <c r="K686" i="40" s="1"/>
  <c r="R215" i="37" a="1"/>
  <c r="R215" i="37" s="1"/>
  <c r="K1390" i="40" s="1" a="1"/>
  <c r="K1390" i="40" s="1"/>
  <c r="R162" i="37" a="1"/>
  <c r="R162" i="37" s="1"/>
  <c r="K290" i="40" s="1" a="1"/>
  <c r="K290" i="40" s="1"/>
  <c r="R226" i="37" a="1"/>
  <c r="R226" i="37" s="1"/>
  <c r="K994" i="40" s="1" a="1"/>
  <c r="K994" i="40" s="1"/>
  <c r="R178" i="37" a="1"/>
  <c r="R178" i="37" s="1"/>
  <c r="K422" i="40" s="1" a="1"/>
  <c r="K422" i="40" s="1"/>
  <c r="R242" i="37" a="1"/>
  <c r="R242" i="37" s="1"/>
  <c r="K1126" i="40" s="1" a="1"/>
  <c r="K1126" i="40" s="1"/>
  <c r="R193" i="37" a="1"/>
  <c r="R193" i="37" s="1"/>
  <c r="K576" i="40" s="1" a="1"/>
  <c r="K576" i="40" s="1"/>
  <c r="R257" i="37" a="1"/>
  <c r="R257" i="37" s="1"/>
  <c r="K1280" i="40" s="1" a="1"/>
  <c r="K1280" i="40" s="1"/>
  <c r="R192" i="37" a="1"/>
  <c r="R192" i="37" s="1"/>
  <c r="K575" i="40" s="1" a="1"/>
  <c r="K575" i="40" s="1"/>
  <c r="R256" i="37" a="1"/>
  <c r="R256" i="37" s="1"/>
  <c r="K1279" i="40" s="1" a="1"/>
  <c r="K1279" i="40" s="1"/>
  <c r="R183" i="37" a="1"/>
  <c r="R183" i="37" s="1"/>
  <c r="K476" i="40" s="1" a="1"/>
  <c r="K476" i="40" s="1"/>
  <c r="R247" i="37" a="1"/>
  <c r="R247" i="37" s="1"/>
  <c r="K1180" i="40" s="1" a="1"/>
  <c r="K1180" i="40" s="1"/>
  <c r="R150" i="37" a="1"/>
  <c r="R150" i="37" s="1"/>
  <c r="K158" i="40" s="1" a="1"/>
  <c r="K158" i="40" s="1"/>
  <c r="R214" i="37" a="1"/>
  <c r="R214" i="37" s="1"/>
  <c r="K862" i="40" s="1" a="1"/>
  <c r="K862" i="40" s="1"/>
  <c r="R139" i="37" a="1"/>
  <c r="R139" i="37" s="1"/>
  <c r="K70" i="40" s="1" a="1"/>
  <c r="K70" i="40" s="1"/>
  <c r="R203" i="37" a="1"/>
  <c r="R203" i="37" s="1"/>
  <c r="K774" i="40" s="1" a="1"/>
  <c r="K774" i="40" s="1"/>
  <c r="R180" i="37" a="1"/>
  <c r="R180" i="37" s="1"/>
  <c r="K433" i="40" s="1" a="1"/>
  <c r="K433" i="40" s="1"/>
  <c r="R244" i="37" a="1"/>
  <c r="R244" i="37" s="1"/>
  <c r="K1137" i="40" s="1" a="1"/>
  <c r="K1137" i="40" s="1"/>
  <c r="R184" i="37" a="1"/>
  <c r="R184" i="37" s="1"/>
  <c r="K477" i="40" s="1" a="1"/>
  <c r="K477" i="40" s="1"/>
  <c r="R248" i="37" a="1"/>
  <c r="R248" i="37" s="1"/>
  <c r="K1181" i="40" s="1" a="1"/>
  <c r="K1181" i="40" s="1"/>
  <c r="R179" i="37" a="1"/>
  <c r="R179" i="37" s="1"/>
  <c r="K697" i="40" s="1" a="1"/>
  <c r="K697" i="40" s="1"/>
  <c r="R243" i="37" a="1"/>
  <c r="R243" i="37" s="1"/>
  <c r="K1401" i="40" s="1" a="1"/>
  <c r="K1401" i="40" s="1"/>
  <c r="R1401" i="40" s="1" a="1"/>
  <c r="R1401" i="40" s="1"/>
  <c r="V1401" i="40" s="1"/>
  <c r="R172" i="37" a="1"/>
  <c r="R172" i="37" s="1"/>
  <c r="K378" i="40" s="1" a="1"/>
  <c r="K378" i="40" s="1"/>
  <c r="R236" i="37" a="1"/>
  <c r="R236" i="37" s="1"/>
  <c r="K1082" i="40" s="1" a="1"/>
  <c r="K1082" i="40" s="1"/>
  <c r="R189" i="37" a="1"/>
  <c r="R189" i="37" s="1"/>
  <c r="K552" i="40" s="1" a="1"/>
  <c r="K552" i="40" s="1"/>
  <c r="R253" i="37" a="1"/>
  <c r="R253" i="37" s="1"/>
  <c r="K1256" i="40" s="1" a="1"/>
  <c r="K1256" i="40" s="1"/>
  <c r="R176" i="37" a="1"/>
  <c r="R176" i="37" s="1"/>
  <c r="K420" i="40" s="1" a="1"/>
  <c r="K420" i="40" s="1"/>
  <c r="R240" i="37" a="1"/>
  <c r="R240" i="37" s="1"/>
  <c r="K1124" i="40" s="1" a="1"/>
  <c r="K1124" i="40" s="1"/>
  <c r="R142" i="37" a="1"/>
  <c r="R142" i="37" s="1"/>
  <c r="K92" i="40" s="1" a="1"/>
  <c r="K92" i="40" s="1"/>
  <c r="R206" i="37" a="1"/>
  <c r="R206" i="37" s="1"/>
  <c r="K796" i="40" s="1" a="1"/>
  <c r="K796" i="40" s="1"/>
  <c r="R182" i="37" a="1"/>
  <c r="R182" i="37" s="1"/>
  <c r="K444" i="40" s="1" a="1"/>
  <c r="K444" i="40" s="1"/>
  <c r="R246" i="37" a="1"/>
  <c r="R246" i="37" s="1"/>
  <c r="K1148" i="40" s="1" a="1"/>
  <c r="K1148" i="40" s="1"/>
  <c r="R1148" i="40" s="1" a="1"/>
  <c r="R1148" i="40" s="1"/>
  <c r="V1148" i="40" s="1"/>
  <c r="R146" i="37" a="1"/>
  <c r="R146" i="37" s="1"/>
  <c r="K136" i="40" s="1" a="1"/>
  <c r="K136" i="40" s="1"/>
  <c r="R210" i="37" a="1"/>
  <c r="R210" i="37" s="1"/>
  <c r="K840" i="40" s="1" a="1"/>
  <c r="K840" i="40" s="1"/>
  <c r="R136" i="37" a="1"/>
  <c r="R136" i="37" s="1"/>
  <c r="K15" i="40" s="1" a="1"/>
  <c r="K15" i="40" s="1"/>
  <c r="R200" i="37" a="1"/>
  <c r="R200" i="37" s="1"/>
  <c r="K719" i="40" s="1" a="1"/>
  <c r="K719" i="40" s="1"/>
  <c r="R181" i="37" a="1"/>
  <c r="R181" i="37" s="1"/>
  <c r="K708" i="40" s="1" a="1"/>
  <c r="K708" i="40" s="1"/>
  <c r="R245" i="37" a="1"/>
  <c r="R245" i="37" s="1"/>
  <c r="K1412" i="40" s="1" a="1"/>
  <c r="K1412" i="40" s="1"/>
  <c r="R145" i="37" a="1"/>
  <c r="R145" i="37" s="1"/>
  <c r="K135" i="40" s="1" a="1"/>
  <c r="K135" i="40" s="1"/>
  <c r="R209" i="37" a="1"/>
  <c r="R209" i="37" s="1"/>
  <c r="K839" i="40" s="1" a="1"/>
  <c r="K839" i="40" s="1"/>
  <c r="R141" i="37" a="1"/>
  <c r="R141" i="37" s="1"/>
  <c r="K26" i="40" s="1" a="1"/>
  <c r="K26" i="40" s="1"/>
  <c r="R205" i="37" a="1"/>
  <c r="R205" i="37" s="1"/>
  <c r="K730" i="40" s="1" a="1"/>
  <c r="K730" i="40" s="1"/>
  <c r="R140" i="37" a="1"/>
  <c r="R140" i="37" s="1"/>
  <c r="K81" i="40" s="1" a="1"/>
  <c r="K81" i="40" s="1"/>
  <c r="R204" i="37" a="1"/>
  <c r="R204" i="37" s="1"/>
  <c r="K785" i="40" s="1" a="1"/>
  <c r="K785" i="40" s="1"/>
  <c r="R177" i="37" a="1"/>
  <c r="R177" i="37" s="1"/>
  <c r="K421" i="40" s="1" a="1"/>
  <c r="K421" i="40" s="1"/>
  <c r="R241" i="37" a="1"/>
  <c r="R241" i="37" s="1"/>
  <c r="K1125" i="40" s="1" a="1"/>
  <c r="K1125" i="40" s="1"/>
  <c r="K617" i="40" a="1"/>
  <c r="K617" i="40" s="1"/>
  <c r="J323" i="40" a="1"/>
  <c r="J323" i="40" s="1"/>
  <c r="R157" i="37" a="1"/>
  <c r="R157" i="37" s="1"/>
  <c r="K224" i="40" s="1" a="1"/>
  <c r="K224" i="40" s="1"/>
  <c r="R198" i="37" a="1"/>
  <c r="R198" i="37" s="1"/>
  <c r="K631" i="40" s="1" a="1"/>
  <c r="K631" i="40" s="1"/>
  <c r="R168" i="37" a="1"/>
  <c r="R168" i="37" s="1"/>
  <c r="K257" i="40" s="1" a="1"/>
  <c r="K257" i="40" s="1"/>
  <c r="R199" i="37" a="1"/>
  <c r="R199" i="37" s="1"/>
  <c r="K642" i="40" s="1" a="1"/>
  <c r="K642" i="40" s="1"/>
  <c r="R160" i="37" a="1"/>
  <c r="R160" i="37" s="1"/>
  <c r="K37" i="40" s="1" a="1"/>
  <c r="K37" i="40" s="1"/>
  <c r="R159" i="37" a="1"/>
  <c r="R159" i="37" s="1"/>
  <c r="K246" i="40" s="1" a="1"/>
  <c r="K246" i="40" s="1"/>
  <c r="R194" i="37" a="1"/>
  <c r="R194" i="37" s="1"/>
  <c r="K587" i="40" s="1" a="1"/>
  <c r="K587" i="40" s="1"/>
  <c r="R169" i="37" a="1"/>
  <c r="R169" i="37" s="1"/>
  <c r="K268" i="40" s="1" a="1"/>
  <c r="K268" i="40" s="1"/>
  <c r="R164" i="37" a="1"/>
  <c r="R164" i="37" s="1"/>
  <c r="K301" i="40" s="1" a="1"/>
  <c r="K301" i="40" s="1"/>
  <c r="R187" i="37" a="1"/>
  <c r="R187" i="37" s="1"/>
  <c r="K521" i="40" s="1" a="1"/>
  <c r="K521" i="40" s="1"/>
  <c r="R185" i="37" a="1"/>
  <c r="R185" i="37" s="1"/>
  <c r="K499" i="40" s="1" a="1"/>
  <c r="K499" i="40" s="1"/>
  <c r="R144" i="37" a="1"/>
  <c r="R144" i="37" s="1"/>
  <c r="K103" i="40" s="1" a="1"/>
  <c r="K103" i="40" s="1"/>
  <c r="R152" i="37" a="1"/>
  <c r="R152" i="37" s="1"/>
  <c r="K180" i="40" s="1" a="1"/>
  <c r="K180" i="40" s="1"/>
  <c r="R158" i="37" a="1"/>
  <c r="R158" i="37" s="1"/>
  <c r="K235" i="40" s="1" a="1"/>
  <c r="K235" i="40" s="1"/>
  <c r="J26" i="40" a="1"/>
  <c r="J26" i="40" s="1"/>
  <c r="K432" i="40" a="1"/>
  <c r="K432" i="40" s="1"/>
  <c r="K374" i="40" a="1"/>
  <c r="K374" i="40" s="1"/>
  <c r="J158" i="40" a="1"/>
  <c r="J158" i="40" s="1"/>
  <c r="K256" i="40" a="1"/>
  <c r="K256" i="40" s="1"/>
  <c r="K289" i="40" a="1"/>
  <c r="K289" i="40" s="1"/>
  <c r="J422" i="40" a="1"/>
  <c r="J422" i="40" s="1"/>
  <c r="J420" i="40" a="1"/>
  <c r="J420" i="40" s="1"/>
  <c r="K416" i="40" a="1"/>
  <c r="K416" i="40" s="1"/>
  <c r="K497" i="40" a="1"/>
  <c r="K497" i="40" s="1"/>
  <c r="J499" i="40" a="1"/>
  <c r="J499" i="40" s="1"/>
  <c r="K245" i="40" a="1"/>
  <c r="K245" i="40" s="1"/>
  <c r="J246" i="40" a="1"/>
  <c r="J246" i="40" s="1"/>
  <c r="K133" i="40" a="1"/>
  <c r="K133" i="40" s="1"/>
  <c r="J136" i="40" a="1"/>
  <c r="J136" i="40" s="1"/>
  <c r="J455" i="40" a="1"/>
  <c r="J455" i="40" s="1"/>
  <c r="K454" i="40" a="1"/>
  <c r="K454" i="40" s="1"/>
  <c r="K674" i="40" a="1"/>
  <c r="K674" i="40" s="1"/>
  <c r="J675" i="40" a="1"/>
  <c r="J675" i="40" s="1"/>
  <c r="L675" i="40" s="1"/>
  <c r="J421" i="40" a="1"/>
  <c r="J421" i="40" s="1"/>
  <c r="J587" i="40" a="1"/>
  <c r="J587" i="40" s="1"/>
  <c r="K586" i="40" a="1"/>
  <c r="K586" i="40" s="1"/>
  <c r="J477" i="40" a="1"/>
  <c r="J477" i="40" s="1"/>
  <c r="K475" i="40" a="1"/>
  <c r="K475" i="40" s="1"/>
  <c r="K696" i="40" a="1"/>
  <c r="K696" i="40" s="1"/>
  <c r="R696" i="40" s="1" a="1"/>
  <c r="R696" i="40" s="1"/>
  <c r="V696" i="40" s="1"/>
  <c r="J697" i="40" a="1"/>
  <c r="J697" i="40" s="1"/>
  <c r="L697" i="40" s="1"/>
  <c r="K630" i="40" a="1"/>
  <c r="K630" i="40" s="1"/>
  <c r="J631" i="40" a="1"/>
  <c r="J631" i="40" s="1"/>
  <c r="K91" i="40" a="1"/>
  <c r="K91" i="40" s="1"/>
  <c r="J92" i="40" a="1"/>
  <c r="J92" i="40" s="1"/>
  <c r="K474" i="40" a="1"/>
  <c r="K474" i="40" s="1"/>
  <c r="J476" i="40" a="1"/>
  <c r="J476" i="40" s="1"/>
  <c r="J619" i="40" a="1"/>
  <c r="J619" i="40" s="1"/>
  <c r="K616" i="40" a="1"/>
  <c r="K616" i="40" s="1"/>
  <c r="J334" i="40" a="1"/>
  <c r="J334" i="40" s="1"/>
  <c r="K333" i="40" a="1"/>
  <c r="K333" i="40" s="1"/>
  <c r="K178" i="40" a="1"/>
  <c r="K178" i="40" s="1"/>
  <c r="J180" i="40" a="1"/>
  <c r="J180" i="40" s="1"/>
  <c r="K443" i="40" a="1"/>
  <c r="K443" i="40" s="1"/>
  <c r="J444" i="40" a="1"/>
  <c r="J444" i="40" s="1"/>
  <c r="K574" i="40" a="1"/>
  <c r="K574" i="40" s="1"/>
  <c r="J576" i="40" a="1"/>
  <c r="J576" i="40" s="1"/>
  <c r="J708" i="40" a="1"/>
  <c r="J708" i="40" s="1"/>
  <c r="K707" i="40" a="1"/>
  <c r="K707" i="40" s="1"/>
  <c r="P696" i="40" a="1"/>
  <c r="P696" i="40" s="1"/>
  <c r="Q696" i="40" a="1"/>
  <c r="Q696" i="40" s="1"/>
  <c r="U696" i="40" s="1"/>
  <c r="O696" i="40" a="1"/>
  <c r="O696" i="40" s="1"/>
  <c r="T696" i="40" s="1"/>
  <c r="M696" i="40" a="1"/>
  <c r="M696" i="40" s="1"/>
  <c r="S696" i="40" s="1"/>
  <c r="N696" i="40" a="1"/>
  <c r="N696" i="40" s="1"/>
  <c r="J81" i="40" a="1"/>
  <c r="J81" i="40" s="1"/>
  <c r="K80" i="40" a="1"/>
  <c r="K80" i="40" s="1"/>
  <c r="K278" i="40" a="1"/>
  <c r="K278" i="40" s="1"/>
  <c r="J279" i="40" a="1"/>
  <c r="J279" i="40" s="1"/>
  <c r="J642" i="40" a="1"/>
  <c r="J642" i="40" s="1"/>
  <c r="K641" i="40" a="1"/>
  <c r="K641" i="40" s="1"/>
  <c r="K234" i="40" a="1"/>
  <c r="K234" i="40" s="1"/>
  <c r="J235" i="40" a="1"/>
  <c r="J235" i="40" s="1"/>
  <c r="K102" i="40" a="1"/>
  <c r="K102" i="40" s="1"/>
  <c r="J103" i="40" a="1"/>
  <c r="J103" i="40" s="1"/>
  <c r="K69" i="40" a="1"/>
  <c r="K69" i="40" s="1"/>
  <c r="J70" i="40" a="1"/>
  <c r="J70" i="40" s="1"/>
  <c r="J553" i="40" a="1"/>
  <c r="J553" i="40" s="1"/>
  <c r="K550" i="40" a="1"/>
  <c r="K550" i="40" s="1"/>
  <c r="J575" i="40" a="1"/>
  <c r="J575" i="40" s="1"/>
  <c r="K573" i="40" a="1"/>
  <c r="K573" i="40" s="1"/>
  <c r="K36" i="40" a="1"/>
  <c r="K36" i="40" s="1"/>
  <c r="J37" i="40" a="1"/>
  <c r="J37" i="40" s="1"/>
  <c r="J268" i="40" a="1"/>
  <c r="J268" i="40" s="1"/>
  <c r="K267" i="40" a="1"/>
  <c r="K267" i="40" s="1"/>
  <c r="J59" i="40" a="1"/>
  <c r="J59" i="40" s="1"/>
  <c r="K58" i="40" a="1"/>
  <c r="K58" i="40" s="1"/>
  <c r="K652" i="40" a="1"/>
  <c r="K652" i="40" s="1"/>
  <c r="J653" i="40" a="1"/>
  <c r="J653" i="40" s="1"/>
  <c r="J521" i="40" a="1"/>
  <c r="J521" i="40" s="1"/>
  <c r="K519" i="40" a="1"/>
  <c r="K519" i="40" s="1"/>
  <c r="K663" i="40" a="1"/>
  <c r="K663" i="40" s="1"/>
  <c r="J664" i="40" a="1"/>
  <c r="J664" i="40" s="1"/>
  <c r="L664" i="40" s="1"/>
  <c r="J686" i="40" a="1"/>
  <c r="J686" i="40" s="1"/>
  <c r="L686" i="40" s="1"/>
  <c r="K685" i="40" a="1"/>
  <c r="K685" i="40" s="1"/>
  <c r="J224" i="40" a="1"/>
  <c r="J224" i="40" s="1"/>
  <c r="K223" i="40" a="1"/>
  <c r="K223" i="40" s="1"/>
  <c r="P444" i="40" l="1" a="1"/>
  <c r="P444" i="40" s="1"/>
  <c r="L444" i="40"/>
  <c r="E29" i="44"/>
  <c r="F30" i="44" s="1"/>
  <c r="R697" i="40" a="1"/>
  <c r="R697" i="40" s="1"/>
  <c r="V697" i="40" s="1"/>
  <c r="O697" i="40" a="1"/>
  <c r="O697" i="40" s="1"/>
  <c r="T697" i="40" s="1"/>
  <c r="P697" i="40" a="1"/>
  <c r="P697" i="40" s="1"/>
  <c r="Q697" i="40" a="1"/>
  <c r="Q697" i="40" s="1"/>
  <c r="U697" i="40" s="1"/>
  <c r="N697" i="40" a="1"/>
  <c r="N697" i="40" s="1"/>
  <c r="M697" i="40" a="1"/>
  <c r="M697" i="40" s="1"/>
  <c r="S697" i="40" s="1"/>
  <c r="O20" i="4"/>
  <c r="P20" i="4" s="1"/>
  <c r="O64" i="4"/>
  <c r="P64" i="4" s="1"/>
  <c r="O22" i="4"/>
  <c r="P22" i="4" s="1"/>
  <c r="O24" i="4"/>
  <c r="P24" i="4" s="1"/>
  <c r="O37" i="4"/>
  <c r="O19" i="4"/>
  <c r="P19" i="4" s="1"/>
  <c r="O21" i="4"/>
  <c r="P21" i="4" s="1"/>
  <c r="O68" i="4"/>
  <c r="P68" i="4" s="1"/>
  <c r="O7" i="4"/>
  <c r="O31" i="4"/>
  <c r="O48" i="4"/>
  <c r="O63" i="4"/>
  <c r="P63" i="4" s="1"/>
  <c r="O13" i="4"/>
  <c r="P13" i="4" s="1"/>
  <c r="O55" i="4"/>
  <c r="O76" i="4"/>
  <c r="P76" i="4" s="1"/>
  <c r="O23" i="4"/>
  <c r="O11" i="4"/>
  <c r="P11" i="4" s="1"/>
  <c r="O72" i="4"/>
  <c r="P72" i="4" s="1"/>
  <c r="O12" i="4"/>
  <c r="P12" i="4" s="1"/>
  <c r="O35" i="4"/>
  <c r="P35" i="4" s="1"/>
  <c r="O40" i="4"/>
  <c r="P40" i="4" s="1"/>
  <c r="O39" i="4"/>
  <c r="O59" i="4"/>
  <c r="O43" i="4"/>
  <c r="P43" i="4" s="1"/>
  <c r="O45" i="4"/>
  <c r="P45" i="4" s="1"/>
  <c r="O41" i="4"/>
  <c r="P41" i="4" s="1"/>
  <c r="O67" i="4"/>
  <c r="P67" i="4" s="1"/>
  <c r="O8" i="4"/>
  <c r="P8" i="4" s="1"/>
  <c r="O36" i="4"/>
  <c r="P36" i="4" s="1"/>
  <c r="O75" i="4"/>
  <c r="O65" i="4"/>
  <c r="O34" i="4"/>
  <c r="P34" i="4" s="1"/>
  <c r="O46" i="4"/>
  <c r="O71" i="4"/>
  <c r="P71" i="4" s="1"/>
  <c r="O74" i="4"/>
  <c r="O9" i="4"/>
  <c r="P9" i="4" s="1"/>
  <c r="O56" i="4"/>
  <c r="P56" i="4" s="1"/>
  <c r="O29" i="4"/>
  <c r="P29" i="4" s="1"/>
  <c r="J148" i="43" a="1"/>
  <c r="J148" i="43" s="1"/>
  <c r="O14" i="4"/>
  <c r="P14" i="4" s="1"/>
  <c r="O49" i="4"/>
  <c r="P49" i="4" s="1"/>
  <c r="O10" i="4"/>
  <c r="P10" i="4" s="1"/>
  <c r="O32" i="4"/>
  <c r="P32" i="4" s="1"/>
  <c r="O53" i="4"/>
  <c r="P53" i="4" s="1"/>
  <c r="O62" i="4"/>
  <c r="P62" i="4" s="1"/>
  <c r="O25" i="4"/>
  <c r="P25" i="4" s="1"/>
  <c r="O42" i="4"/>
  <c r="O16" i="4"/>
  <c r="O15" i="4"/>
  <c r="P15" i="4" s="1"/>
  <c r="O26" i="4"/>
  <c r="P26" i="4" s="1"/>
  <c r="O33" i="4"/>
  <c r="P33" i="4" s="1"/>
  <c r="O66" i="4"/>
  <c r="P66" i="4" s="1"/>
  <c r="O58" i="4"/>
  <c r="P58" i="4" s="1"/>
  <c r="O69" i="4"/>
  <c r="P69" i="4" s="1"/>
  <c r="O27" i="4"/>
  <c r="P27" i="4" s="1"/>
  <c r="O47" i="4"/>
  <c r="P47" i="4" s="1"/>
  <c r="J99" i="43" a="1"/>
  <c r="J99" i="43" s="1"/>
  <c r="O30" i="4"/>
  <c r="P30" i="4" s="1"/>
  <c r="O44" i="4"/>
  <c r="P44" i="4" s="1"/>
  <c r="O57" i="4"/>
  <c r="P57" i="4" s="1"/>
  <c r="O17" i="4"/>
  <c r="P17" i="4" s="1"/>
  <c r="O50" i="4"/>
  <c r="O6" i="4"/>
  <c r="O60" i="4"/>
  <c r="O5" i="4"/>
  <c r="O73" i="4"/>
  <c r="P73" i="4" s="1"/>
  <c r="O70" i="4"/>
  <c r="P70" i="4" s="1"/>
  <c r="O38" i="4"/>
  <c r="P38" i="4" s="1"/>
  <c r="O18" i="4"/>
  <c r="P18" i="4" s="1"/>
  <c r="L1412" i="40" l="1"/>
  <c r="P60" i="4"/>
  <c r="L134" i="40"/>
  <c r="P16" i="4"/>
  <c r="L312" i="40"/>
  <c r="P23" i="4"/>
  <c r="L1005" i="40"/>
  <c r="P6" i="4"/>
  <c r="I67" i="8"/>
  <c r="J67" i="8" s="1"/>
  <c r="P42" i="4"/>
  <c r="L1291" i="40"/>
  <c r="P59" i="4"/>
  <c r="L180" i="40"/>
  <c r="P65" i="4"/>
  <c r="L246" i="40"/>
  <c r="P50" i="4"/>
  <c r="J81" i="43" a="1"/>
  <c r="J81" i="43" s="1"/>
  <c r="U81" i="43" s="1"/>
  <c r="P75" i="4"/>
  <c r="L191" i="40"/>
  <c r="P39" i="4"/>
  <c r="L48" i="40"/>
  <c r="P55" i="4"/>
  <c r="L37" i="40"/>
  <c r="P5" i="4"/>
  <c r="L158" i="40"/>
  <c r="P46" i="4"/>
  <c r="L1159" i="40"/>
  <c r="P7" i="4"/>
  <c r="L81" i="40"/>
  <c r="P37" i="4"/>
  <c r="L15" i="40"/>
  <c r="P74" i="4"/>
  <c r="L92" i="40"/>
  <c r="P48" i="4"/>
  <c r="L70" i="40"/>
  <c r="P31" i="4"/>
  <c r="I65" i="8"/>
  <c r="O65" i="8" s="1" a="1"/>
  <c r="O65" i="8" s="1"/>
  <c r="P1335" i="40" s="1" a="1"/>
  <c r="P1335" i="40" s="1"/>
  <c r="L1325" i="40"/>
  <c r="L1326" i="40"/>
  <c r="L622" i="40"/>
  <c r="L623" i="40"/>
  <c r="L1327" i="40"/>
  <c r="L624" i="40"/>
  <c r="L1328" i="40"/>
  <c r="L625" i="40"/>
  <c r="L1329" i="40"/>
  <c r="L626" i="40"/>
  <c r="L1330" i="40"/>
  <c r="L1331" i="40"/>
  <c r="L627" i="40"/>
  <c r="L1332" i="40"/>
  <c r="L628" i="40"/>
  <c r="L1333" i="40"/>
  <c r="L629" i="40"/>
  <c r="L1334" i="40"/>
  <c r="L630" i="40"/>
  <c r="I22" i="8"/>
  <c r="O22" i="8" s="1" a="1"/>
  <c r="O22" i="8" s="1"/>
  <c r="L1161" i="40"/>
  <c r="L1163" i="40"/>
  <c r="L459" i="40"/>
  <c r="L1165" i="40"/>
  <c r="L461" i="40"/>
  <c r="L1167" i="40"/>
  <c r="L463" i="40"/>
  <c r="L1171" i="40"/>
  <c r="L1169" i="40"/>
  <c r="L465" i="40"/>
  <c r="L1173" i="40"/>
  <c r="L467" i="40"/>
  <c r="L469" i="40"/>
  <c r="L1175" i="40"/>
  <c r="L471" i="40"/>
  <c r="L1177" i="40"/>
  <c r="L1179" i="40"/>
  <c r="L473" i="40"/>
  <c r="L475" i="40"/>
  <c r="L1181" i="40"/>
  <c r="L950" i="40"/>
  <c r="L1335" i="40"/>
  <c r="L708" i="40"/>
  <c r="I32" i="8"/>
  <c r="K32" i="8" s="1"/>
  <c r="L1183" i="40"/>
  <c r="L481" i="40"/>
  <c r="L1185" i="40"/>
  <c r="L1187" i="40"/>
  <c r="L483" i="40"/>
  <c r="L485" i="40"/>
  <c r="L1189" i="40"/>
  <c r="L1191" i="40"/>
  <c r="L487" i="40"/>
  <c r="L1193" i="40"/>
  <c r="L489" i="40"/>
  <c r="L491" i="40"/>
  <c r="L1195" i="40"/>
  <c r="L1197" i="40"/>
  <c r="L493" i="40"/>
  <c r="L1199" i="40"/>
  <c r="L495" i="40"/>
  <c r="L497" i="40"/>
  <c r="L1201" i="40"/>
  <c r="I50" i="8"/>
  <c r="O50" i="8" s="1" a="1"/>
  <c r="O50" i="8" s="1"/>
  <c r="P1208" i="40" s="1" a="1"/>
  <c r="P1208" i="40" s="1"/>
  <c r="L1204" i="40"/>
  <c r="L1206" i="40"/>
  <c r="L504" i="40"/>
  <c r="L502" i="40"/>
  <c r="L1208" i="40"/>
  <c r="L1210" i="40"/>
  <c r="L506" i="40"/>
  <c r="L1212" i="40"/>
  <c r="L508" i="40"/>
  <c r="L1214" i="40"/>
  <c r="L1216" i="40"/>
  <c r="L510" i="40"/>
  <c r="L512" i="40"/>
  <c r="L1218" i="40"/>
  <c r="L514" i="40"/>
  <c r="L1220" i="40"/>
  <c r="L1222" i="40"/>
  <c r="L516" i="40"/>
  <c r="L1224" i="40"/>
  <c r="L520" i="40"/>
  <c r="L518" i="40"/>
  <c r="J14" i="43" a="1"/>
  <c r="J14" i="43" s="1"/>
  <c r="W14" i="43" s="1"/>
  <c r="Z14" i="43" s="1"/>
  <c r="L1028" i="40"/>
  <c r="L325" i="40"/>
  <c r="L1029" i="40"/>
  <c r="L1030" i="40"/>
  <c r="L326" i="40"/>
  <c r="L327" i="40"/>
  <c r="L1031" i="40"/>
  <c r="L1032" i="40"/>
  <c r="L328" i="40"/>
  <c r="L1033" i="40"/>
  <c r="L329" i="40"/>
  <c r="L1034" i="40"/>
  <c r="L330" i="40"/>
  <c r="L331" i="40"/>
  <c r="L1035" i="40"/>
  <c r="L1036" i="40"/>
  <c r="L332" i="40"/>
  <c r="L333" i="40"/>
  <c r="L1037" i="40"/>
  <c r="L1086" i="40"/>
  <c r="L386" i="40"/>
  <c r="L1090" i="40"/>
  <c r="L1094" i="40"/>
  <c r="L394" i="40"/>
  <c r="L390" i="40"/>
  <c r="L1098" i="40"/>
  <c r="L398" i="40"/>
  <c r="L1106" i="40"/>
  <c r="L1102" i="40"/>
  <c r="L1110" i="40"/>
  <c r="L402" i="40"/>
  <c r="L1114" i="40"/>
  <c r="L406" i="40"/>
  <c r="L1118" i="40"/>
  <c r="L410" i="40"/>
  <c r="L1122" i="40"/>
  <c r="L414" i="40"/>
  <c r="L418" i="40"/>
  <c r="L1126" i="40"/>
  <c r="I49" i="8"/>
  <c r="O49" i="8" s="1" a="1"/>
  <c r="O49" i="8" s="1"/>
  <c r="P932" i="40" s="1" a="1"/>
  <c r="P932" i="40" s="1"/>
  <c r="L929" i="40"/>
  <c r="L930" i="40"/>
  <c r="L226" i="40"/>
  <c r="L931" i="40"/>
  <c r="L228" i="40"/>
  <c r="L227" i="40"/>
  <c r="L932" i="40"/>
  <c r="L933" i="40"/>
  <c r="L229" i="40"/>
  <c r="L230" i="40"/>
  <c r="L934" i="40"/>
  <c r="L935" i="40"/>
  <c r="L231" i="40"/>
  <c r="L232" i="40"/>
  <c r="L936" i="40"/>
  <c r="L233" i="40"/>
  <c r="L937" i="40"/>
  <c r="L234" i="40"/>
  <c r="L938" i="40"/>
  <c r="J70" i="43" a="1"/>
  <c r="J70" i="43" s="1"/>
  <c r="AF70" i="43" s="1"/>
  <c r="AH70" i="43" s="1"/>
  <c r="L951" i="40"/>
  <c r="L248" i="40"/>
  <c r="L952" i="40"/>
  <c r="L249" i="40"/>
  <c r="L953" i="40"/>
  <c r="L250" i="40"/>
  <c r="L954" i="40"/>
  <c r="L251" i="40"/>
  <c r="L252" i="40"/>
  <c r="L955" i="40"/>
  <c r="L956" i="40"/>
  <c r="L253" i="40"/>
  <c r="L957" i="40"/>
  <c r="L255" i="40"/>
  <c r="L254" i="40"/>
  <c r="L958" i="40"/>
  <c r="L959" i="40"/>
  <c r="L256" i="40"/>
  <c r="L960" i="40"/>
  <c r="L257" i="40"/>
  <c r="L1227" i="40"/>
  <c r="L526" i="40"/>
  <c r="L529" i="40"/>
  <c r="L1230" i="40"/>
  <c r="L532" i="40"/>
  <c r="L1233" i="40"/>
  <c r="L1236" i="40"/>
  <c r="L535" i="40"/>
  <c r="L1242" i="40"/>
  <c r="L1239" i="40"/>
  <c r="L1245" i="40"/>
  <c r="L538" i="40"/>
  <c r="L1248" i="40"/>
  <c r="L541" i="40"/>
  <c r="L1251" i="40"/>
  <c r="L544" i="40"/>
  <c r="L547" i="40"/>
  <c r="L1254" i="40"/>
  <c r="L1257" i="40"/>
  <c r="L550" i="40"/>
  <c r="O13" i="3" a="1"/>
  <c r="O13" i="3" s="1"/>
  <c r="R42" i="43" s="1" a="1"/>
  <c r="R42" i="43" s="1"/>
  <c r="L753" i="40"/>
  <c r="L754" i="40"/>
  <c r="L50" i="40"/>
  <c r="L51" i="40"/>
  <c r="L755" i="40"/>
  <c r="L52" i="40"/>
  <c r="L756" i="40"/>
  <c r="L757" i="40"/>
  <c r="L53" i="40"/>
  <c r="L758" i="40"/>
  <c r="L54" i="40"/>
  <c r="L759" i="40"/>
  <c r="L55" i="40"/>
  <c r="L56" i="40"/>
  <c r="L760" i="40"/>
  <c r="L57" i="40"/>
  <c r="L761" i="40"/>
  <c r="L762" i="40"/>
  <c r="L58" i="40"/>
  <c r="I37" i="8"/>
  <c r="O37" i="8" s="1" a="1"/>
  <c r="O37" i="8" s="1"/>
  <c r="P730" i="40" s="1" a="1"/>
  <c r="P730" i="40" s="1"/>
  <c r="L720" i="40"/>
  <c r="L17" i="40"/>
  <c r="L721" i="40"/>
  <c r="L18" i="40"/>
  <c r="L722" i="40"/>
  <c r="L723" i="40"/>
  <c r="L19" i="40"/>
  <c r="L724" i="40"/>
  <c r="L21" i="40"/>
  <c r="L20" i="40"/>
  <c r="L725" i="40"/>
  <c r="L726" i="40"/>
  <c r="L22" i="40"/>
  <c r="L23" i="40"/>
  <c r="L727" i="40"/>
  <c r="L24" i="40"/>
  <c r="L728" i="40"/>
  <c r="L25" i="40"/>
  <c r="L729" i="40"/>
  <c r="I58" i="8"/>
  <c r="K58" i="8" s="1"/>
  <c r="L863" i="40"/>
  <c r="L867" i="40"/>
  <c r="L865" i="40"/>
  <c r="L161" i="40"/>
  <c r="L869" i="40"/>
  <c r="L871" i="40"/>
  <c r="L873" i="40"/>
  <c r="L163" i="40"/>
  <c r="L875" i="40"/>
  <c r="L877" i="40"/>
  <c r="L165" i="40"/>
  <c r="L167" i="40"/>
  <c r="L879" i="40"/>
  <c r="L169" i="40"/>
  <c r="L881" i="40"/>
  <c r="L883" i="40"/>
  <c r="L171" i="40"/>
  <c r="L173" i="40"/>
  <c r="L175" i="40"/>
  <c r="L177" i="40"/>
  <c r="I61" i="8"/>
  <c r="O61" i="8" s="1" a="1"/>
  <c r="O61" i="8" s="1"/>
  <c r="P922" i="40" s="1" a="1"/>
  <c r="P922" i="40" s="1"/>
  <c r="L918" i="40"/>
  <c r="L919" i="40"/>
  <c r="L215" i="40"/>
  <c r="L920" i="40"/>
  <c r="L216" i="40"/>
  <c r="L921" i="40"/>
  <c r="L217" i="40"/>
  <c r="L922" i="40"/>
  <c r="L218" i="40"/>
  <c r="L219" i="40"/>
  <c r="L923" i="40"/>
  <c r="L924" i="40"/>
  <c r="L220" i="40"/>
  <c r="L925" i="40"/>
  <c r="L221" i="40"/>
  <c r="L926" i="40"/>
  <c r="L222" i="40"/>
  <c r="L223" i="40"/>
  <c r="L927" i="40"/>
  <c r="I35" i="8"/>
  <c r="O35" i="8" s="1" a="1"/>
  <c r="O35" i="8" s="1"/>
  <c r="P1071" i="40" s="1" a="1"/>
  <c r="P1071" i="40" s="1"/>
  <c r="L1039" i="40"/>
  <c r="L339" i="40"/>
  <c r="L343" i="40"/>
  <c r="L1047" i="40"/>
  <c r="L1043" i="40"/>
  <c r="L1051" i="40"/>
  <c r="L351" i="40"/>
  <c r="L347" i="40"/>
  <c r="L1055" i="40"/>
  <c r="L1059" i="40"/>
  <c r="L359" i="40"/>
  <c r="L355" i="40"/>
  <c r="L1063" i="40"/>
  <c r="L1067" i="40"/>
  <c r="L363" i="40"/>
  <c r="L367" i="40"/>
  <c r="L1071" i="40"/>
  <c r="L371" i="40"/>
  <c r="L1075" i="40"/>
  <c r="L375" i="40"/>
  <c r="L1079" i="40"/>
  <c r="L1205" i="40"/>
  <c r="L503" i="40"/>
  <c r="L1207" i="40"/>
  <c r="L505" i="40"/>
  <c r="L1209" i="40"/>
  <c r="L507" i="40"/>
  <c r="L1211" i="40"/>
  <c r="L509" i="40"/>
  <c r="L1213" i="40"/>
  <c r="L511" i="40"/>
  <c r="L1215" i="40"/>
  <c r="L1217" i="40"/>
  <c r="L513" i="40"/>
  <c r="L1219" i="40"/>
  <c r="L515" i="40"/>
  <c r="L1221" i="40"/>
  <c r="L517" i="40"/>
  <c r="L519" i="40"/>
  <c r="L1223" i="40"/>
  <c r="I51" i="8"/>
  <c r="K51" i="8" s="1"/>
  <c r="L797" i="40"/>
  <c r="L798" i="40"/>
  <c r="L95" i="40"/>
  <c r="L94" i="40"/>
  <c r="L799" i="40"/>
  <c r="L800" i="40"/>
  <c r="L96" i="40"/>
  <c r="L97" i="40"/>
  <c r="L801" i="40"/>
  <c r="L802" i="40"/>
  <c r="L98" i="40"/>
  <c r="L99" i="40"/>
  <c r="L803" i="40"/>
  <c r="L100" i="40"/>
  <c r="L804" i="40"/>
  <c r="L101" i="40"/>
  <c r="L805" i="40"/>
  <c r="L806" i="40"/>
  <c r="L102" i="40"/>
  <c r="L1085" i="40"/>
  <c r="L385" i="40"/>
  <c r="L1089" i="40"/>
  <c r="L1093" i="40"/>
  <c r="L389" i="40"/>
  <c r="L393" i="40"/>
  <c r="L397" i="40"/>
  <c r="L1097" i="40"/>
  <c r="L1101" i="40"/>
  <c r="L1105" i="40"/>
  <c r="L401" i="40"/>
  <c r="L405" i="40"/>
  <c r="L1109" i="40"/>
  <c r="L409" i="40"/>
  <c r="L1113" i="40"/>
  <c r="L413" i="40"/>
  <c r="L1117" i="40"/>
  <c r="L1121" i="40"/>
  <c r="L1125" i="40"/>
  <c r="L417" i="40"/>
  <c r="I47" i="8"/>
  <c r="K47" i="8" s="1"/>
  <c r="L1259" i="40"/>
  <c r="L557" i="40"/>
  <c r="L559" i="40"/>
  <c r="L1261" i="40"/>
  <c r="L1263" i="40"/>
  <c r="L1265" i="40"/>
  <c r="L561" i="40"/>
  <c r="L563" i="40"/>
  <c r="L1267" i="40"/>
  <c r="L565" i="40"/>
  <c r="L1269" i="40"/>
  <c r="L567" i="40"/>
  <c r="L1271" i="40"/>
  <c r="L569" i="40"/>
  <c r="L1273" i="40"/>
  <c r="L571" i="40"/>
  <c r="L1275" i="40"/>
  <c r="L573" i="40"/>
  <c r="L1277" i="40"/>
  <c r="L196" i="40"/>
  <c r="L896" i="40"/>
  <c r="L898" i="40"/>
  <c r="L194" i="40"/>
  <c r="L900" i="40"/>
  <c r="L902" i="40"/>
  <c r="L198" i="40"/>
  <c r="L904" i="40"/>
  <c r="L200" i="40"/>
  <c r="L906" i="40"/>
  <c r="L202" i="40"/>
  <c r="L204" i="40"/>
  <c r="L908" i="40"/>
  <c r="L206" i="40"/>
  <c r="L910" i="40"/>
  <c r="L208" i="40"/>
  <c r="L912" i="40"/>
  <c r="L210" i="40"/>
  <c r="L914" i="40"/>
  <c r="L916" i="40"/>
  <c r="L212" i="40"/>
  <c r="I23" i="8"/>
  <c r="O23" i="8" s="1" a="1"/>
  <c r="O23" i="8" s="1"/>
  <c r="P1247" i="40" s="1" a="1"/>
  <c r="P1247" i="40" s="1"/>
  <c r="L1226" i="40"/>
  <c r="L525" i="40"/>
  <c r="L1229" i="40"/>
  <c r="L1232" i="40"/>
  <c r="L528" i="40"/>
  <c r="L531" i="40"/>
  <c r="L1235" i="40"/>
  <c r="L534" i="40"/>
  <c r="L1238" i="40"/>
  <c r="L537" i="40"/>
  <c r="L540" i="40"/>
  <c r="L1241" i="40"/>
  <c r="L1244" i="40"/>
  <c r="L546" i="40"/>
  <c r="L1247" i="40"/>
  <c r="L543" i="40"/>
  <c r="L1250" i="40"/>
  <c r="L549" i="40"/>
  <c r="L1253" i="40"/>
  <c r="I41" i="8"/>
  <c r="R41" i="8" s="1"/>
  <c r="S41" i="8" s="1"/>
  <c r="AB41" i="8" s="1"/>
  <c r="L984" i="40"/>
  <c r="L281" i="40"/>
  <c r="L985" i="40"/>
  <c r="L282" i="40"/>
  <c r="L986" i="40"/>
  <c r="L987" i="40"/>
  <c r="L283" i="40"/>
  <c r="L989" i="40"/>
  <c r="L284" i="40"/>
  <c r="L285" i="40"/>
  <c r="L988" i="40"/>
  <c r="L286" i="40"/>
  <c r="L990" i="40"/>
  <c r="L991" i="40"/>
  <c r="L287" i="40"/>
  <c r="L992" i="40"/>
  <c r="L288" i="40"/>
  <c r="L993" i="40"/>
  <c r="L289" i="40"/>
  <c r="L290" i="40"/>
  <c r="L994" i="40"/>
  <c r="J33" i="43" a="1"/>
  <c r="J33" i="43" s="1"/>
  <c r="AG33" i="43" s="1"/>
  <c r="AI33" i="43" s="1"/>
  <c r="L709" i="40"/>
  <c r="L6" i="40"/>
  <c r="L710" i="40"/>
  <c r="L711" i="40"/>
  <c r="L7" i="40"/>
  <c r="L712" i="40"/>
  <c r="L713" i="40"/>
  <c r="L9" i="40"/>
  <c r="L8" i="40"/>
  <c r="L714" i="40"/>
  <c r="L11" i="40"/>
  <c r="L10" i="40"/>
  <c r="L715" i="40"/>
  <c r="L716" i="40"/>
  <c r="L12" i="40"/>
  <c r="L717" i="40"/>
  <c r="L718" i="40"/>
  <c r="L13" i="40"/>
  <c r="L14" i="40"/>
  <c r="L719" i="40"/>
  <c r="J73" i="43" a="1"/>
  <c r="J73" i="43" s="1"/>
  <c r="W73" i="43" s="1"/>
  <c r="Z73" i="43" s="1"/>
  <c r="L973" i="40"/>
  <c r="L270" i="40"/>
  <c r="L974" i="40"/>
  <c r="L272" i="40"/>
  <c r="L271" i="40"/>
  <c r="L975" i="40"/>
  <c r="L976" i="40"/>
  <c r="L273" i="40"/>
  <c r="L977" i="40"/>
  <c r="L978" i="40"/>
  <c r="L274" i="40"/>
  <c r="L275" i="40"/>
  <c r="L979" i="40"/>
  <c r="L980" i="40"/>
  <c r="L276" i="40"/>
  <c r="L277" i="40"/>
  <c r="L981" i="40"/>
  <c r="L278" i="40"/>
  <c r="L982" i="40"/>
  <c r="L1084" i="40"/>
  <c r="L384" i="40"/>
  <c r="L1088" i="40"/>
  <c r="L1092" i="40"/>
  <c r="L388" i="40"/>
  <c r="L392" i="40"/>
  <c r="L1096" i="40"/>
  <c r="L1100" i="40"/>
  <c r="L396" i="40"/>
  <c r="L1104" i="40"/>
  <c r="L400" i="40"/>
  <c r="L1108" i="40"/>
  <c r="L404" i="40"/>
  <c r="L1112" i="40"/>
  <c r="L1116" i="40"/>
  <c r="L408" i="40"/>
  <c r="L1120" i="40"/>
  <c r="L412" i="40"/>
  <c r="L416" i="40"/>
  <c r="L1124" i="40"/>
  <c r="I46" i="8"/>
  <c r="O46" i="8" s="1" a="1"/>
  <c r="O46" i="8" s="1"/>
  <c r="P787" i="40" s="1" a="1"/>
  <c r="P787" i="40" s="1"/>
  <c r="L786" i="40"/>
  <c r="L83" i="40"/>
  <c r="L787" i="40"/>
  <c r="L788" i="40"/>
  <c r="L84" i="40"/>
  <c r="L789" i="40"/>
  <c r="L85" i="40"/>
  <c r="L86" i="40"/>
  <c r="L790" i="40"/>
  <c r="L791" i="40"/>
  <c r="L792" i="40"/>
  <c r="L87" i="40"/>
  <c r="L793" i="40"/>
  <c r="L88" i="40"/>
  <c r="L794" i="40"/>
  <c r="L89" i="40"/>
  <c r="L795" i="40"/>
  <c r="L90" i="40"/>
  <c r="L796" i="40"/>
  <c r="L91" i="40"/>
  <c r="L1294" i="40"/>
  <c r="L1297" i="40"/>
  <c r="L593" i="40"/>
  <c r="L596" i="40"/>
  <c r="L1300" i="40"/>
  <c r="L599" i="40"/>
  <c r="L1303" i="40"/>
  <c r="L1309" i="40"/>
  <c r="L1306" i="40"/>
  <c r="L602" i="40"/>
  <c r="L605" i="40"/>
  <c r="L608" i="40"/>
  <c r="L1312" i="40"/>
  <c r="L1315" i="40"/>
  <c r="L1318" i="40"/>
  <c r="L611" i="40"/>
  <c r="L1321" i="40"/>
  <c r="L614" i="40"/>
  <c r="L617" i="40"/>
  <c r="L1324" i="40"/>
  <c r="L620" i="40"/>
  <c r="I48" i="8"/>
  <c r="O48" i="8" s="1" a="1"/>
  <c r="O48" i="8" s="1"/>
  <c r="P1272" i="40" s="1" a="1"/>
  <c r="P1272" i="40" s="1"/>
  <c r="L1260" i="40"/>
  <c r="L560" i="40"/>
  <c r="L558" i="40"/>
  <c r="L1262" i="40"/>
  <c r="L1264" i="40"/>
  <c r="L562" i="40"/>
  <c r="L1266" i="40"/>
  <c r="L564" i="40"/>
  <c r="L1268" i="40"/>
  <c r="L1270" i="40"/>
  <c r="L566" i="40"/>
  <c r="L1272" i="40"/>
  <c r="L1274" i="40"/>
  <c r="L568" i="40"/>
  <c r="L1276" i="40"/>
  <c r="L570" i="40"/>
  <c r="L1278" i="40"/>
  <c r="L572" i="40"/>
  <c r="L1280" i="40"/>
  <c r="L574" i="40"/>
  <c r="L962" i="40"/>
  <c r="L963" i="40"/>
  <c r="L259" i="40"/>
  <c r="L964" i="40"/>
  <c r="L260" i="40"/>
  <c r="L261" i="40"/>
  <c r="L965" i="40"/>
  <c r="L966" i="40"/>
  <c r="L262" i="40"/>
  <c r="L263" i="40"/>
  <c r="L967" i="40"/>
  <c r="L264" i="40"/>
  <c r="L968" i="40"/>
  <c r="L969" i="40"/>
  <c r="L265" i="40"/>
  <c r="L970" i="40"/>
  <c r="L266" i="40"/>
  <c r="L267" i="40"/>
  <c r="L971" i="40"/>
  <c r="L1160" i="40"/>
  <c r="L458" i="40"/>
  <c r="L1162" i="40"/>
  <c r="L1164" i="40"/>
  <c r="L460" i="40"/>
  <c r="L462" i="40"/>
  <c r="L1166" i="40"/>
  <c r="L1168" i="40"/>
  <c r="L464" i="40"/>
  <c r="L466" i="40"/>
  <c r="L1170" i="40"/>
  <c r="L468" i="40"/>
  <c r="L1172" i="40"/>
  <c r="L470" i="40"/>
  <c r="L1174" i="40"/>
  <c r="L1176" i="40"/>
  <c r="L472" i="40"/>
  <c r="L474" i="40"/>
  <c r="L1178" i="40"/>
  <c r="I30" i="8"/>
  <c r="O30" i="8" s="1" a="1"/>
  <c r="O30" i="8" s="1"/>
  <c r="L383" i="40"/>
  <c r="L1087" i="40"/>
  <c r="L1083" i="40"/>
  <c r="L1091" i="40"/>
  <c r="L391" i="40"/>
  <c r="L1095" i="40"/>
  <c r="L387" i="40"/>
  <c r="L1099" i="40"/>
  <c r="L395" i="40"/>
  <c r="L1103" i="40"/>
  <c r="L399" i="40"/>
  <c r="L403" i="40"/>
  <c r="L1107" i="40"/>
  <c r="L1111" i="40"/>
  <c r="L407" i="40"/>
  <c r="L1115" i="40"/>
  <c r="L411" i="40"/>
  <c r="L1119" i="40"/>
  <c r="L415" i="40"/>
  <c r="L1123" i="40"/>
  <c r="L419" i="40"/>
  <c r="J110" i="43" a="1"/>
  <c r="J110" i="43" s="1"/>
  <c r="AF110" i="43" s="1"/>
  <c r="AH110" i="43" s="1"/>
  <c r="L1182" i="40"/>
  <c r="L480" i="40"/>
  <c r="L1184" i="40"/>
  <c r="L482" i="40"/>
  <c r="L484" i="40"/>
  <c r="L1186" i="40"/>
  <c r="L1188" i="40"/>
  <c r="L1192" i="40"/>
  <c r="L1190" i="40"/>
  <c r="L486" i="40"/>
  <c r="L488" i="40"/>
  <c r="L1194" i="40"/>
  <c r="L1196" i="40"/>
  <c r="L490" i="40"/>
  <c r="L1198" i="40"/>
  <c r="L492" i="40"/>
  <c r="L494" i="40"/>
  <c r="L1200" i="40"/>
  <c r="L1202" i="40"/>
  <c r="L498" i="40"/>
  <c r="L496" i="40"/>
  <c r="I25" i="8"/>
  <c r="O25" i="8" s="1" a="1"/>
  <c r="O25" i="8" s="1"/>
  <c r="P1040" i="40" s="1" a="1"/>
  <c r="P1040" i="40" s="1"/>
  <c r="L1040" i="40"/>
  <c r="L340" i="40"/>
  <c r="L1044" i="40"/>
  <c r="L344" i="40"/>
  <c r="L1048" i="40"/>
  <c r="L352" i="40"/>
  <c r="L1052" i="40"/>
  <c r="L348" i="40"/>
  <c r="L1056" i="40"/>
  <c r="L1060" i="40"/>
  <c r="L1064" i="40"/>
  <c r="L356" i="40"/>
  <c r="L360" i="40"/>
  <c r="L1068" i="40"/>
  <c r="L1072" i="40"/>
  <c r="L364" i="40"/>
  <c r="L368" i="40"/>
  <c r="L1076" i="40"/>
  <c r="L372" i="40"/>
  <c r="L1080" i="40"/>
  <c r="L376" i="40"/>
  <c r="I20" i="8"/>
  <c r="O20" i="8" s="1" a="1"/>
  <c r="O20" i="8" s="1"/>
  <c r="P1336" i="40" s="1" a="1"/>
  <c r="P1336" i="40" s="1"/>
  <c r="L1336" i="40"/>
  <c r="L1337" i="40"/>
  <c r="L633" i="40"/>
  <c r="L1338" i="40"/>
  <c r="L634" i="40"/>
  <c r="L635" i="40"/>
  <c r="L1339" i="40"/>
  <c r="L1340" i="40"/>
  <c r="L636" i="40"/>
  <c r="L1341" i="40"/>
  <c r="L637" i="40"/>
  <c r="L638" i="40"/>
  <c r="L1342" i="40"/>
  <c r="L639" i="40"/>
  <c r="L1343" i="40"/>
  <c r="L640" i="40"/>
  <c r="L1344" i="40"/>
  <c r="L1345" i="40"/>
  <c r="L641" i="40"/>
  <c r="L764" i="40"/>
  <c r="L61" i="40"/>
  <c r="L765" i="40"/>
  <c r="L62" i="40"/>
  <c r="L766" i="40"/>
  <c r="L63" i="40"/>
  <c r="L767" i="40"/>
  <c r="L768" i="40"/>
  <c r="L64" i="40"/>
  <c r="L769" i="40"/>
  <c r="L65" i="40"/>
  <c r="L770" i="40"/>
  <c r="L66" i="40"/>
  <c r="L771" i="40"/>
  <c r="L67" i="40"/>
  <c r="L68" i="40"/>
  <c r="L772" i="40"/>
  <c r="L69" i="40"/>
  <c r="L773" i="40"/>
  <c r="L939" i="40"/>
  <c r="L553" i="40"/>
  <c r="L422" i="40"/>
  <c r="L420" i="40"/>
  <c r="L983" i="40"/>
  <c r="L268" i="40"/>
  <c r="I53" i="8"/>
  <c r="O53" i="8" s="1" a="1"/>
  <c r="O53" i="8" s="1"/>
  <c r="P810" i="40" s="1" a="1"/>
  <c r="P810" i="40" s="1"/>
  <c r="L810" i="40"/>
  <c r="L109" i="40"/>
  <c r="L813" i="40"/>
  <c r="L112" i="40"/>
  <c r="L115" i="40"/>
  <c r="L816" i="40"/>
  <c r="L819" i="40"/>
  <c r="L822" i="40"/>
  <c r="L118" i="40"/>
  <c r="L825" i="40"/>
  <c r="L121" i="40"/>
  <c r="L828" i="40"/>
  <c r="L831" i="40"/>
  <c r="L124" i="40"/>
  <c r="L834" i="40"/>
  <c r="L127" i="40"/>
  <c r="L837" i="40"/>
  <c r="L130" i="40"/>
  <c r="L133" i="40"/>
  <c r="L840" i="40"/>
  <c r="I60" i="8"/>
  <c r="K60" i="8" s="1"/>
  <c r="L897" i="40"/>
  <c r="L195" i="40"/>
  <c r="L197" i="40"/>
  <c r="L899" i="40"/>
  <c r="L901" i="40"/>
  <c r="L903" i="40"/>
  <c r="L199" i="40"/>
  <c r="L905" i="40"/>
  <c r="L201" i="40"/>
  <c r="L907" i="40"/>
  <c r="L203" i="40"/>
  <c r="L909" i="40"/>
  <c r="L205" i="40"/>
  <c r="L911" i="40"/>
  <c r="L207" i="40"/>
  <c r="L913" i="40"/>
  <c r="L915" i="40"/>
  <c r="L209" i="40"/>
  <c r="L211" i="40"/>
  <c r="L213" i="40"/>
  <c r="L917" i="40"/>
  <c r="I56" i="8"/>
  <c r="O56" i="8" s="1" a="1"/>
  <c r="O56" i="8" s="1"/>
  <c r="P860" i="40" s="1" a="1"/>
  <c r="P860" i="40" s="1"/>
  <c r="L842" i="40"/>
  <c r="L844" i="40"/>
  <c r="L140" i="40"/>
  <c r="L142" i="40"/>
  <c r="L846" i="40"/>
  <c r="L144" i="40"/>
  <c r="L848" i="40"/>
  <c r="L146" i="40"/>
  <c r="L850" i="40"/>
  <c r="L148" i="40"/>
  <c r="L852" i="40"/>
  <c r="L854" i="40"/>
  <c r="L150" i="40"/>
  <c r="L856" i="40"/>
  <c r="L858" i="40"/>
  <c r="L152" i="40"/>
  <c r="L154" i="40"/>
  <c r="L860" i="40"/>
  <c r="L156" i="40"/>
  <c r="L862" i="40"/>
  <c r="L841" i="40"/>
  <c r="L843" i="40"/>
  <c r="L847" i="40"/>
  <c r="L139" i="40"/>
  <c r="L845" i="40"/>
  <c r="L849" i="40"/>
  <c r="L141" i="40"/>
  <c r="L143" i="40"/>
  <c r="L851" i="40"/>
  <c r="L853" i="40"/>
  <c r="L145" i="40"/>
  <c r="L147" i="40"/>
  <c r="L855" i="40"/>
  <c r="L149" i="40"/>
  <c r="L857" i="40"/>
  <c r="L859" i="40"/>
  <c r="L151" i="40"/>
  <c r="L861" i="40"/>
  <c r="L153" i="40"/>
  <c r="L155" i="40"/>
  <c r="L157" i="40"/>
  <c r="L1293" i="40"/>
  <c r="L595" i="40"/>
  <c r="L592" i="40"/>
  <c r="L1296" i="40"/>
  <c r="L1299" i="40"/>
  <c r="L598" i="40"/>
  <c r="L1302" i="40"/>
  <c r="L601" i="40"/>
  <c r="L1305" i="40"/>
  <c r="L1308" i="40"/>
  <c r="L604" i="40"/>
  <c r="L607" i="40"/>
  <c r="L1311" i="40"/>
  <c r="L1314" i="40"/>
  <c r="L610" i="40"/>
  <c r="L613" i="40"/>
  <c r="L1317" i="40"/>
  <c r="L1320" i="40"/>
  <c r="L616" i="40"/>
  <c r="L1149" i="40"/>
  <c r="L1150" i="40"/>
  <c r="L446" i="40"/>
  <c r="L1151" i="40"/>
  <c r="L447" i="40"/>
  <c r="L448" i="40"/>
  <c r="L1152" i="40"/>
  <c r="L1153" i="40"/>
  <c r="L449" i="40"/>
  <c r="L1154" i="40"/>
  <c r="L450" i="40"/>
  <c r="L451" i="40"/>
  <c r="L1155" i="40"/>
  <c r="L452" i="40"/>
  <c r="L1156" i="40"/>
  <c r="L453" i="40"/>
  <c r="L1157" i="40"/>
  <c r="L454" i="40"/>
  <c r="L1158" i="40"/>
  <c r="L730" i="40"/>
  <c r="L1203" i="40"/>
  <c r="L642" i="40"/>
  <c r="L334" i="40"/>
  <c r="L136" i="40"/>
  <c r="L476" i="40"/>
  <c r="L26" i="40"/>
  <c r="L1346" i="40"/>
  <c r="L499" i="40"/>
  <c r="L928" i="40"/>
  <c r="L59" i="40"/>
  <c r="L421" i="40"/>
  <c r="L477" i="40"/>
  <c r="L224" i="40"/>
  <c r="L619" i="40"/>
  <c r="L961" i="40"/>
  <c r="L864" i="40"/>
  <c r="L162" i="40"/>
  <c r="L866" i="40"/>
  <c r="L868" i="40"/>
  <c r="L164" i="40"/>
  <c r="L166" i="40"/>
  <c r="L870" i="40"/>
  <c r="L168" i="40"/>
  <c r="L872" i="40"/>
  <c r="L172" i="40"/>
  <c r="L170" i="40"/>
  <c r="L874" i="40"/>
  <c r="L876" i="40"/>
  <c r="L174" i="40"/>
  <c r="L878" i="40"/>
  <c r="L176" i="40"/>
  <c r="L880" i="40"/>
  <c r="L882" i="40"/>
  <c r="L178" i="40"/>
  <c r="L1281" i="40"/>
  <c r="L579" i="40"/>
  <c r="L578" i="40"/>
  <c r="L1282" i="40"/>
  <c r="L1283" i="40"/>
  <c r="L580" i="40"/>
  <c r="L581" i="40"/>
  <c r="L1284" i="40"/>
  <c r="L1285" i="40"/>
  <c r="L1286" i="40"/>
  <c r="L582" i="40"/>
  <c r="L583" i="40"/>
  <c r="L1287" i="40"/>
  <c r="L1288" i="40"/>
  <c r="L584" i="40"/>
  <c r="L585" i="40"/>
  <c r="L1289" i="40"/>
  <c r="L586" i="40"/>
  <c r="L1290" i="40"/>
  <c r="I8" i="8"/>
  <c r="K8" i="8" s="1"/>
  <c r="L1017" i="40"/>
  <c r="L314" i="40"/>
  <c r="L1018" i="40"/>
  <c r="L315" i="40"/>
  <c r="L1019" i="40"/>
  <c r="L316" i="40"/>
  <c r="L1020" i="40"/>
  <c r="L1021" i="40"/>
  <c r="L317" i="40"/>
  <c r="L1022" i="40"/>
  <c r="L1023" i="40"/>
  <c r="L319" i="40"/>
  <c r="L318" i="40"/>
  <c r="L1024" i="40"/>
  <c r="L321" i="40"/>
  <c r="L320" i="40"/>
  <c r="L1025" i="40"/>
  <c r="L1026" i="40"/>
  <c r="L322" i="40"/>
  <c r="L1027" i="40"/>
  <c r="L179" i="40"/>
  <c r="L552" i="40"/>
  <c r="L455" i="40"/>
  <c r="L235" i="40"/>
  <c r="L884" i="40"/>
  <c r="I36" i="8"/>
  <c r="O36" i="8" s="1" a="1"/>
  <c r="O36" i="8" s="1"/>
  <c r="P893" i="40" s="1" a="1"/>
  <c r="P893" i="40" s="1"/>
  <c r="L885" i="40"/>
  <c r="L887" i="40"/>
  <c r="L182" i="40"/>
  <c r="L886" i="40"/>
  <c r="L888" i="40"/>
  <c r="L184" i="40"/>
  <c r="L183" i="40"/>
  <c r="L889" i="40"/>
  <c r="L185" i="40"/>
  <c r="L890" i="40"/>
  <c r="L186" i="40"/>
  <c r="L891" i="40"/>
  <c r="L187" i="40"/>
  <c r="L892" i="40"/>
  <c r="L893" i="40"/>
  <c r="L188" i="40"/>
  <c r="L189" i="40"/>
  <c r="L894" i="40"/>
  <c r="L190" i="40"/>
  <c r="L895" i="40"/>
  <c r="I28" i="8"/>
  <c r="O28" i="8" s="1" a="1"/>
  <c r="O28" i="8" s="1"/>
  <c r="P747" i="40" s="1" a="1"/>
  <c r="P747" i="40" s="1"/>
  <c r="L742" i="40"/>
  <c r="L743" i="40"/>
  <c r="L744" i="40"/>
  <c r="L745" i="40"/>
  <c r="L746" i="40"/>
  <c r="L39" i="40"/>
  <c r="L748" i="40"/>
  <c r="L747" i="40"/>
  <c r="L749" i="40"/>
  <c r="L40" i="40"/>
  <c r="L41" i="40"/>
  <c r="L750" i="40"/>
  <c r="L42" i="40"/>
  <c r="L751" i="40"/>
  <c r="L43" i="40"/>
  <c r="L752" i="40"/>
  <c r="L44" i="40"/>
  <c r="L45" i="40"/>
  <c r="L46" i="40"/>
  <c r="L47" i="40"/>
  <c r="L1038" i="40"/>
  <c r="L1225" i="40"/>
  <c r="L575" i="40"/>
  <c r="J101" i="43" a="1"/>
  <c r="J101" i="43" s="1"/>
  <c r="W101" i="43" s="1"/>
  <c r="L1402" i="40"/>
  <c r="L699" i="40"/>
  <c r="L1403" i="40"/>
  <c r="L700" i="40"/>
  <c r="L701" i="40"/>
  <c r="L1404" i="40"/>
  <c r="L1405" i="40"/>
  <c r="L702" i="40"/>
  <c r="L1406" i="40"/>
  <c r="L703" i="40"/>
  <c r="L1407" i="40"/>
  <c r="L1408" i="40"/>
  <c r="L704" i="40"/>
  <c r="L705" i="40"/>
  <c r="L1409" i="40"/>
  <c r="L1410" i="40"/>
  <c r="L706" i="40"/>
  <c r="L1411" i="40"/>
  <c r="L707" i="40"/>
  <c r="I52" i="8"/>
  <c r="K52" i="8" s="1"/>
  <c r="L809" i="40"/>
  <c r="L812" i="40"/>
  <c r="L108" i="40"/>
  <c r="L111" i="40"/>
  <c r="L815" i="40"/>
  <c r="L114" i="40"/>
  <c r="L818" i="40"/>
  <c r="L117" i="40"/>
  <c r="L821" i="40"/>
  <c r="L120" i="40"/>
  <c r="L824" i="40"/>
  <c r="L123" i="40"/>
  <c r="L126" i="40"/>
  <c r="L827" i="40"/>
  <c r="L830" i="40"/>
  <c r="L833" i="40"/>
  <c r="L129" i="40"/>
  <c r="L836" i="40"/>
  <c r="L132" i="40"/>
  <c r="D31" i="33"/>
  <c r="L1228" i="40"/>
  <c r="L1231" i="40"/>
  <c r="L1234" i="40"/>
  <c r="L527" i="40"/>
  <c r="L1237" i="40"/>
  <c r="L530" i="40"/>
  <c r="L533" i="40"/>
  <c r="L1240" i="40"/>
  <c r="L1243" i="40"/>
  <c r="L1246" i="40"/>
  <c r="L536" i="40"/>
  <c r="L539" i="40"/>
  <c r="L1249" i="40"/>
  <c r="L1252" i="40"/>
  <c r="L542" i="40"/>
  <c r="L545" i="40"/>
  <c r="L1255" i="40"/>
  <c r="L1258" i="40"/>
  <c r="L548" i="40"/>
  <c r="L551" i="40"/>
  <c r="L554" i="40"/>
  <c r="I6" i="8"/>
  <c r="L995" i="40"/>
  <c r="L996" i="40"/>
  <c r="L292" i="40"/>
  <c r="L997" i="40"/>
  <c r="L293" i="40"/>
  <c r="L294" i="40"/>
  <c r="L998" i="40"/>
  <c r="L999" i="40"/>
  <c r="L295" i="40"/>
  <c r="L296" i="40"/>
  <c r="L1000" i="40"/>
  <c r="L297" i="40"/>
  <c r="L1001" i="40"/>
  <c r="L1002" i="40"/>
  <c r="L298" i="40"/>
  <c r="L299" i="40"/>
  <c r="L1003" i="40"/>
  <c r="L300" i="40"/>
  <c r="L1004" i="40"/>
  <c r="L301" i="40"/>
  <c r="J69" i="43" a="1"/>
  <c r="J69" i="43" s="1"/>
  <c r="AF69" i="43" s="1"/>
  <c r="L940" i="40"/>
  <c r="L237" i="40"/>
  <c r="L941" i="40"/>
  <c r="L238" i="40"/>
  <c r="L942" i="40"/>
  <c r="L239" i="40"/>
  <c r="L943" i="40"/>
  <c r="L240" i="40"/>
  <c r="L944" i="40"/>
  <c r="L945" i="40"/>
  <c r="L241" i="40"/>
  <c r="L242" i="40"/>
  <c r="L946" i="40"/>
  <c r="L947" i="40"/>
  <c r="L243" i="40"/>
  <c r="L948" i="40"/>
  <c r="L244" i="40"/>
  <c r="L245" i="40"/>
  <c r="L949" i="40"/>
  <c r="I39" i="8"/>
  <c r="K39" i="8" s="1"/>
  <c r="L1292" i="40"/>
  <c r="L591" i="40"/>
  <c r="L594" i="40"/>
  <c r="L1295" i="40"/>
  <c r="L597" i="40"/>
  <c r="L1298" i="40"/>
  <c r="L1301" i="40"/>
  <c r="L1304" i="40"/>
  <c r="L1307" i="40"/>
  <c r="L600" i="40"/>
  <c r="L1310" i="40"/>
  <c r="L603" i="40"/>
  <c r="L1313" i="40"/>
  <c r="L606" i="40"/>
  <c r="L609" i="40"/>
  <c r="L1316" i="40"/>
  <c r="L1319" i="40"/>
  <c r="L612" i="40"/>
  <c r="L615" i="40"/>
  <c r="L1322" i="40"/>
  <c r="L618" i="40"/>
  <c r="L1042" i="40"/>
  <c r="L1046" i="40"/>
  <c r="L342" i="40"/>
  <c r="L350" i="40"/>
  <c r="L1050" i="40"/>
  <c r="L346" i="40"/>
  <c r="L1054" i="40"/>
  <c r="L354" i="40"/>
  <c r="L358" i="40"/>
  <c r="L1058" i="40"/>
  <c r="L1062" i="40"/>
  <c r="L362" i="40"/>
  <c r="L1066" i="40"/>
  <c r="L1070" i="40"/>
  <c r="L1074" i="40"/>
  <c r="L366" i="40"/>
  <c r="L1078" i="40"/>
  <c r="L370" i="40"/>
  <c r="L374" i="40"/>
  <c r="L378" i="40"/>
  <c r="L1082" i="40"/>
  <c r="I31" i="8"/>
  <c r="O31" i="8" s="1" a="1"/>
  <c r="O31" i="8" s="1"/>
  <c r="P1069" i="40" s="1" a="1"/>
  <c r="P1069" i="40" s="1"/>
  <c r="L341" i="40"/>
  <c r="L1041" i="40"/>
  <c r="L345" i="40"/>
  <c r="L1045" i="40"/>
  <c r="L1049" i="40"/>
  <c r="L349" i="40"/>
  <c r="L1053" i="40"/>
  <c r="L353" i="40"/>
  <c r="L1061" i="40"/>
  <c r="L1057" i="40"/>
  <c r="L357" i="40"/>
  <c r="L1065" i="40"/>
  <c r="L1069" i="40"/>
  <c r="L361" i="40"/>
  <c r="L1073" i="40"/>
  <c r="L365" i="40"/>
  <c r="L369" i="40"/>
  <c r="L1077" i="40"/>
  <c r="L1081" i="40"/>
  <c r="L373" i="40"/>
  <c r="L377" i="40"/>
  <c r="I45" i="8"/>
  <c r="O45" i="8" s="1" a="1"/>
  <c r="O45" i="8" s="1"/>
  <c r="P781" i="40" s="1" a="1"/>
  <c r="P781" i="40" s="1"/>
  <c r="L775" i="40"/>
  <c r="L72" i="40"/>
  <c r="L776" i="40"/>
  <c r="L74" i="40"/>
  <c r="L73" i="40"/>
  <c r="L777" i="40"/>
  <c r="L778" i="40"/>
  <c r="L780" i="40"/>
  <c r="L779" i="40"/>
  <c r="L75" i="40"/>
  <c r="L76" i="40"/>
  <c r="L781" i="40"/>
  <c r="L77" i="40"/>
  <c r="L782" i="40"/>
  <c r="L78" i="40"/>
  <c r="L79" i="40"/>
  <c r="L783" i="40"/>
  <c r="L784" i="40"/>
  <c r="L785" i="40"/>
  <c r="L80" i="40"/>
  <c r="L763" i="40"/>
  <c r="L774" i="40"/>
  <c r="L587" i="40"/>
  <c r="L1323" i="40"/>
  <c r="L1256" i="40"/>
  <c r="L631" i="40"/>
  <c r="L135" i="40"/>
  <c r="L323" i="40"/>
  <c r="L521" i="40"/>
  <c r="L731" i="40"/>
  <c r="L28" i="40"/>
  <c r="L732" i="40"/>
  <c r="L733" i="40"/>
  <c r="L29" i="40"/>
  <c r="L30" i="40"/>
  <c r="L734" i="40"/>
  <c r="L735" i="40"/>
  <c r="L31" i="40"/>
  <c r="L32" i="40"/>
  <c r="L736" i="40"/>
  <c r="L737" i="40"/>
  <c r="L33" i="40"/>
  <c r="L738" i="40"/>
  <c r="L34" i="40"/>
  <c r="L739" i="40"/>
  <c r="L35" i="40"/>
  <c r="L36" i="40"/>
  <c r="L740" i="40"/>
  <c r="I54" i="8"/>
  <c r="O54" i="8" s="1" a="1"/>
  <c r="O54" i="8" s="1"/>
  <c r="L808" i="40"/>
  <c r="L811" i="40"/>
  <c r="L814" i="40"/>
  <c r="L817" i="40"/>
  <c r="L107" i="40"/>
  <c r="L820" i="40"/>
  <c r="L110" i="40"/>
  <c r="L823" i="40"/>
  <c r="L113" i="40"/>
  <c r="L826" i="40"/>
  <c r="L829" i="40"/>
  <c r="L116" i="40"/>
  <c r="L119" i="40"/>
  <c r="L832" i="40"/>
  <c r="L122" i="40"/>
  <c r="L835" i="40"/>
  <c r="L125" i="40"/>
  <c r="L838" i="40"/>
  <c r="L128" i="40"/>
  <c r="L131" i="40"/>
  <c r="P40" i="3"/>
  <c r="O77" i="43" s="1" a="1"/>
  <c r="O77" i="43" s="1"/>
  <c r="L1006" i="40"/>
  <c r="L1007" i="40"/>
  <c r="L1008" i="40"/>
  <c r="L303" i="40"/>
  <c r="L305" i="40"/>
  <c r="L1009" i="40"/>
  <c r="L304" i="40"/>
  <c r="L1010" i="40"/>
  <c r="L307" i="40"/>
  <c r="L306" i="40"/>
  <c r="L1011" i="40"/>
  <c r="L1012" i="40"/>
  <c r="L308" i="40"/>
  <c r="L1013" i="40"/>
  <c r="L309" i="40"/>
  <c r="L1014" i="40"/>
  <c r="L310" i="40"/>
  <c r="L1015" i="40"/>
  <c r="L311" i="40"/>
  <c r="L1016" i="40"/>
  <c r="L807" i="40"/>
  <c r="L839" i="40"/>
  <c r="L279" i="40"/>
  <c r="L1279" i="40"/>
  <c r="L972" i="40"/>
  <c r="L741" i="40"/>
  <c r="L1180" i="40"/>
  <c r="L576" i="40"/>
  <c r="L103" i="40"/>
  <c r="W34" i="3" a="1"/>
  <c r="W34" i="3" s="1"/>
  <c r="J76" i="43" a="1"/>
  <c r="J76" i="43" s="1"/>
  <c r="AG76" i="43" s="1"/>
  <c r="AI76" i="43" s="1"/>
  <c r="E30" i="44"/>
  <c r="F31" i="44" s="1"/>
  <c r="E17" i="44" s="1"/>
  <c r="K17" i="44" s="1" a="1"/>
  <c r="K17" i="44" s="1"/>
  <c r="W33" i="43"/>
  <c r="Z33" i="43" s="1"/>
  <c r="AF33" i="43"/>
  <c r="AH33" i="43" s="1"/>
  <c r="J35" i="43" a="1"/>
  <c r="J35" i="43" s="1"/>
  <c r="AG35" i="43" s="1"/>
  <c r="AI35" i="43" s="1"/>
  <c r="L11" i="3" a="1"/>
  <c r="L11" i="3" s="1"/>
  <c r="L62" i="3" a="1"/>
  <c r="L62" i="3" s="1"/>
  <c r="P102" i="43" s="1" a="1"/>
  <c r="P102" i="43" s="1"/>
  <c r="O9" i="3" a="1"/>
  <c r="O9" i="3" s="1"/>
  <c r="N9" i="3" a="1"/>
  <c r="N9" i="3" s="1"/>
  <c r="F15" i="44"/>
  <c r="E15" i="44" s="1"/>
  <c r="P1338" i="40" a="1"/>
  <c r="P1338" i="40" s="1"/>
  <c r="P1039" i="40" a="1"/>
  <c r="P1039" i="40" s="1"/>
  <c r="P1047" i="40" a="1"/>
  <c r="P1047" i="40" s="1"/>
  <c r="P1051" i="40" a="1"/>
  <c r="P1051" i="40" s="1"/>
  <c r="P1055" i="40" a="1"/>
  <c r="P1055" i="40" s="1"/>
  <c r="P1059" i="40" a="1"/>
  <c r="P1059" i="40" s="1"/>
  <c r="P1063" i="40" a="1"/>
  <c r="P1063" i="40" s="1"/>
  <c r="P1327" i="40" a="1"/>
  <c r="P1327" i="40" s="1"/>
  <c r="P1333" i="40" a="1"/>
  <c r="P1333" i="40" s="1"/>
  <c r="P844" i="40" a="1"/>
  <c r="P844" i="40" s="1"/>
  <c r="P1346" i="40" a="1"/>
  <c r="P1346" i="40" s="1"/>
  <c r="P1212" i="40" a="1"/>
  <c r="P1212" i="40" s="1"/>
  <c r="I24" i="8"/>
  <c r="O24" i="8" s="1" a="1"/>
  <c r="O24" i="8" s="1"/>
  <c r="P532" i="40" s="1" a="1"/>
  <c r="P532" i="40" s="1"/>
  <c r="L10" i="3"/>
  <c r="I38" i="8"/>
  <c r="K38" i="8" s="1"/>
  <c r="P88" i="40" a="1"/>
  <c r="P88" i="40" s="1"/>
  <c r="P343" i="40" a="1"/>
  <c r="P343" i="40" s="1"/>
  <c r="P339" i="40" a="1"/>
  <c r="P339" i="40" s="1"/>
  <c r="P347" i="40" a="1"/>
  <c r="P347" i="40" s="1"/>
  <c r="P351" i="40" a="1"/>
  <c r="P351" i="40" s="1"/>
  <c r="P355" i="40" a="1"/>
  <c r="P355" i="40" s="1"/>
  <c r="P371" i="40" a="1"/>
  <c r="P371" i="40" s="1"/>
  <c r="P375" i="40" a="1"/>
  <c r="P375" i="40" s="1"/>
  <c r="P633" i="40" a="1"/>
  <c r="P633" i="40" s="1"/>
  <c r="P634" i="40" a="1"/>
  <c r="P634" i="40" s="1"/>
  <c r="P635" i="40" a="1"/>
  <c r="P635" i="40" s="1"/>
  <c r="P636" i="40" a="1"/>
  <c r="P636" i="40" s="1"/>
  <c r="P637" i="40" a="1"/>
  <c r="P637" i="40" s="1"/>
  <c r="P638" i="40" a="1"/>
  <c r="P638" i="40" s="1"/>
  <c r="P639" i="40" a="1"/>
  <c r="P639" i="40" s="1"/>
  <c r="P640" i="40" a="1"/>
  <c r="P640" i="40" s="1"/>
  <c r="P641" i="40" a="1"/>
  <c r="P641" i="40" s="1"/>
  <c r="P642" i="40" a="1"/>
  <c r="P642" i="40" s="1"/>
  <c r="P623" i="40" a="1"/>
  <c r="P623" i="40" s="1"/>
  <c r="P628" i="40" a="1"/>
  <c r="P628" i="40" s="1"/>
  <c r="P631" i="40" a="1"/>
  <c r="P631" i="40" s="1"/>
  <c r="I29" i="8"/>
  <c r="O29" i="8" s="1" a="1"/>
  <c r="O29" i="8" s="1"/>
  <c r="I12" i="8"/>
  <c r="I40" i="8"/>
  <c r="J40" i="43" a="1"/>
  <c r="J40" i="43" s="1"/>
  <c r="U40" i="43" s="1"/>
  <c r="X40" i="43" s="1"/>
  <c r="J41" i="43" a="1"/>
  <c r="J41" i="43" s="1"/>
  <c r="W41" i="43" s="1"/>
  <c r="Z41" i="43" s="1"/>
  <c r="I11" i="8"/>
  <c r="J100" i="43" a="1"/>
  <c r="J100" i="43" s="1"/>
  <c r="AG100" i="43" s="1"/>
  <c r="J144" i="43" a="1"/>
  <c r="J144" i="43" s="1"/>
  <c r="U144" i="43" s="1"/>
  <c r="X144" i="43" s="1"/>
  <c r="J65" i="8" s="1"/>
  <c r="I66" i="8"/>
  <c r="O66" i="8" s="1" a="1"/>
  <c r="O66" i="8" s="1"/>
  <c r="I7" i="8"/>
  <c r="J34" i="43" a="1"/>
  <c r="J34" i="43" s="1"/>
  <c r="U34" i="43" s="1"/>
  <c r="X34" i="43" s="1"/>
  <c r="I13" i="8"/>
  <c r="I18" i="8"/>
  <c r="I17" i="8"/>
  <c r="I14" i="8"/>
  <c r="O14" i="8" s="1" a="1"/>
  <c r="O14" i="8" s="1"/>
  <c r="I9" i="8"/>
  <c r="C9" i="33"/>
  <c r="J42" i="43" a="1"/>
  <c r="J42" i="43" s="1"/>
  <c r="AF42" i="43" s="1"/>
  <c r="I35" i="33"/>
  <c r="K56" i="8"/>
  <c r="K50" i="8"/>
  <c r="R50" i="8"/>
  <c r="S50" i="8" s="1"/>
  <c r="AB50" i="8" s="1"/>
  <c r="AG99" i="43"/>
  <c r="AF99" i="43"/>
  <c r="W99" i="43"/>
  <c r="Z99" i="43" s="1"/>
  <c r="U99" i="43"/>
  <c r="X99" i="43" s="1"/>
  <c r="AG110" i="43"/>
  <c r="AI110" i="43" s="1"/>
  <c r="W110" i="43"/>
  <c r="Z110" i="43" s="1"/>
  <c r="C11" i="33"/>
  <c r="C16" i="33"/>
  <c r="J56" i="43" a="1"/>
  <c r="J56" i="43" s="1"/>
  <c r="D7" i="33"/>
  <c r="J60" i="43" a="1"/>
  <c r="J60" i="43" s="1"/>
  <c r="J22" i="43" a="1"/>
  <c r="J22" i="43" s="1"/>
  <c r="D23" i="33"/>
  <c r="J98" i="43" a="1"/>
  <c r="J98" i="43" s="1"/>
  <c r="J94" i="43" a="1"/>
  <c r="J94" i="43" s="1"/>
  <c r="J18" i="43" a="1"/>
  <c r="J18" i="43" s="1"/>
  <c r="C30" i="33"/>
  <c r="J24" i="43" a="1"/>
  <c r="J24" i="43" s="1"/>
  <c r="J114" i="43" a="1"/>
  <c r="J114" i="43" s="1"/>
  <c r="K20" i="8"/>
  <c r="C14" i="33"/>
  <c r="J82" i="43" a="1"/>
  <c r="J82" i="43" s="1"/>
  <c r="C21" i="33"/>
  <c r="I27" i="8"/>
  <c r="J16" i="43" a="1"/>
  <c r="J16" i="43" s="1"/>
  <c r="J20" i="43" a="1"/>
  <c r="J20" i="43" s="1"/>
  <c r="J96" i="43" a="1"/>
  <c r="J96" i="43" s="1"/>
  <c r="J92" i="43" a="1"/>
  <c r="J92" i="43" s="1"/>
  <c r="C24" i="33"/>
  <c r="J23" i="43" a="1"/>
  <c r="J23" i="43" s="1"/>
  <c r="AF81" i="43"/>
  <c r="AG81" i="43"/>
  <c r="J127" i="43" a="1"/>
  <c r="J127" i="43" s="1"/>
  <c r="C33" i="33"/>
  <c r="J128" i="43" a="1"/>
  <c r="J128" i="43" s="1"/>
  <c r="I16" i="8"/>
  <c r="O16" i="8" s="1" a="1"/>
  <c r="O16" i="8" s="1"/>
  <c r="J126" i="43" a="1"/>
  <c r="J126" i="43" s="1"/>
  <c r="AG69" i="43"/>
  <c r="J66" i="43" a="1"/>
  <c r="J66" i="43" s="1"/>
  <c r="J13" i="43" a="1"/>
  <c r="J13" i="43" s="1"/>
  <c r="J103" i="43" a="1"/>
  <c r="J103" i="43" s="1"/>
  <c r="J119" i="43" a="1"/>
  <c r="J119" i="43" s="1"/>
  <c r="C31" i="33"/>
  <c r="J116" i="43" a="1"/>
  <c r="J116" i="43" s="1"/>
  <c r="J26" i="43" a="1"/>
  <c r="J26" i="43" s="1"/>
  <c r="AF148" i="43"/>
  <c r="W148" i="43"/>
  <c r="U148" i="43"/>
  <c r="AG148" i="43"/>
  <c r="I62" i="8"/>
  <c r="O62" i="8" s="1" a="1"/>
  <c r="O62" i="8" s="1"/>
  <c r="J53" i="43" a="1"/>
  <c r="J53" i="43" s="1"/>
  <c r="J59" i="43" a="1"/>
  <c r="J59" i="43" s="1"/>
  <c r="J9" i="43" a="1"/>
  <c r="J9" i="43" s="1"/>
  <c r="J58" i="43" a="1"/>
  <c r="J58" i="43" s="1"/>
  <c r="C37" i="33"/>
  <c r="J68" i="43" a="1"/>
  <c r="J68" i="43" s="1"/>
  <c r="C12" i="33"/>
  <c r="J67" i="43" a="1"/>
  <c r="J67" i="43" s="1"/>
  <c r="P65" i="8"/>
  <c r="J25" i="43" a="1"/>
  <c r="J25" i="43" s="1"/>
  <c r="D30" i="33"/>
  <c r="J85" i="43" a="1"/>
  <c r="J85" i="43" s="1"/>
  <c r="J86" i="43" a="1"/>
  <c r="J86" i="43" s="1"/>
  <c r="J118" i="43" a="1"/>
  <c r="J118" i="43" s="1"/>
  <c r="J28" i="43" a="1"/>
  <c r="J28" i="43" s="1"/>
  <c r="J121" i="43" a="1"/>
  <c r="J121" i="43" s="1"/>
  <c r="I19" i="8"/>
  <c r="O19" i="8" s="1" a="1"/>
  <c r="O19" i="8" s="1"/>
  <c r="C25" i="33"/>
  <c r="I15" i="8"/>
  <c r="O15" i="8" s="1" a="1"/>
  <c r="O15" i="8" s="1"/>
  <c r="J102" i="43" a="1"/>
  <c r="J102" i="43" s="1"/>
  <c r="J105" i="43" a="1"/>
  <c r="J105" i="43" s="1"/>
  <c r="C27" i="33"/>
  <c r="J104" i="43" a="1"/>
  <c r="J104" i="43" s="1"/>
  <c r="I21" i="8"/>
  <c r="O21" i="8" s="1" a="1"/>
  <c r="O21" i="8" s="1"/>
  <c r="J112" i="43" a="1"/>
  <c r="J112" i="43" s="1"/>
  <c r="D29" i="33"/>
  <c r="J111" i="43" a="1"/>
  <c r="J111" i="43" s="1"/>
  <c r="J113" i="43" a="1"/>
  <c r="J113" i="43" s="1"/>
  <c r="I55" i="8"/>
  <c r="O55" i="8" s="1" a="1"/>
  <c r="O55" i="8" s="1"/>
  <c r="J8" i="43" a="1"/>
  <c r="J8" i="43" s="1"/>
  <c r="J29" i="43" a="1"/>
  <c r="J29" i="43" s="1"/>
  <c r="J136" i="43" a="1"/>
  <c r="J136" i="43" s="1"/>
  <c r="J129" i="43" a="1"/>
  <c r="J129" i="43" s="1"/>
  <c r="J135" i="43" a="1"/>
  <c r="J135" i="43" s="1"/>
  <c r="J130" i="43" a="1"/>
  <c r="J130" i="43" s="1"/>
  <c r="J137" i="43" a="1"/>
  <c r="J137" i="43" s="1"/>
  <c r="AG73" i="43"/>
  <c r="AI73" i="43" s="1"/>
  <c r="J106" i="43" a="1"/>
  <c r="J106" i="43" s="1"/>
  <c r="J109" i="43" a="1"/>
  <c r="J109" i="43" s="1"/>
  <c r="C29" i="33"/>
  <c r="J107" i="43" a="1"/>
  <c r="J107" i="43" s="1"/>
  <c r="J108" i="43" a="1"/>
  <c r="J108" i="43" s="1"/>
  <c r="J57" i="43" a="1"/>
  <c r="J57" i="43" s="1"/>
  <c r="K65" i="8"/>
  <c r="R65" i="8"/>
  <c r="C28" i="33"/>
  <c r="J71" i="43" a="1"/>
  <c r="J71" i="43" s="1"/>
  <c r="C18" i="33"/>
  <c r="U69" i="43"/>
  <c r="X69" i="43" s="1"/>
  <c r="C35" i="33"/>
  <c r="J17" i="43" a="1"/>
  <c r="J17" i="43" s="1"/>
  <c r="J97" i="43" a="1"/>
  <c r="J97" i="43" s="1"/>
  <c r="J93" i="43" a="1"/>
  <c r="J93" i="43" s="1"/>
  <c r="J21" i="43" a="1"/>
  <c r="J21" i="43" s="1"/>
  <c r="D9" i="33"/>
  <c r="J63" i="43" a="1"/>
  <c r="J63" i="43" s="1"/>
  <c r="J141" i="43" a="1"/>
  <c r="J141" i="43" s="1"/>
  <c r="J133" i="43" a="1"/>
  <c r="J133" i="43" s="1"/>
  <c r="J143" i="43" a="1"/>
  <c r="J143" i="43" s="1"/>
  <c r="J134" i="43" a="1"/>
  <c r="J134" i="43" s="1"/>
  <c r="J142" i="43" a="1"/>
  <c r="J142" i="43" s="1"/>
  <c r="D34" i="33"/>
  <c r="J31" i="43" a="1"/>
  <c r="J31" i="43" s="1"/>
  <c r="J74" i="43" a="1"/>
  <c r="J74" i="43" s="1"/>
  <c r="C17" i="33"/>
  <c r="J65" i="43" a="1"/>
  <c r="J65" i="43" s="1"/>
  <c r="J7" i="43" a="1"/>
  <c r="J7" i="43" s="1"/>
  <c r="U7" i="43" s="1"/>
  <c r="C26" i="33"/>
  <c r="I26" i="8"/>
  <c r="O26" i="8" s="1" a="1"/>
  <c r="O26" i="8" s="1"/>
  <c r="J54" i="43" a="1"/>
  <c r="J54" i="43" s="1"/>
  <c r="I59" i="8"/>
  <c r="O59" i="8" s="1" a="1"/>
  <c r="O59" i="8" s="1"/>
  <c r="J84" i="43" a="1"/>
  <c r="J84" i="43" s="1"/>
  <c r="C22" i="33"/>
  <c r="J83" i="43" a="1"/>
  <c r="J83" i="43" s="1"/>
  <c r="J123" i="43" a="1"/>
  <c r="J123" i="43" s="1"/>
  <c r="J125" i="43" a="1"/>
  <c r="J125" i="43" s="1"/>
  <c r="J87" i="43" a="1"/>
  <c r="J87" i="43" s="1"/>
  <c r="J88" i="43" a="1"/>
  <c r="J88" i="43" s="1"/>
  <c r="D22" i="33"/>
  <c r="I64" i="8"/>
  <c r="O64" i="8" s="1" a="1"/>
  <c r="O64" i="8" s="1"/>
  <c r="W69" i="43"/>
  <c r="Z69" i="43" s="1"/>
  <c r="C32" i="33"/>
  <c r="J124" i="43" a="1"/>
  <c r="J124" i="43" s="1"/>
  <c r="J122" i="43" a="1"/>
  <c r="J122" i="43" s="1"/>
  <c r="J10" i="43" a="1"/>
  <c r="J10" i="43" s="1"/>
  <c r="C7" i="33"/>
  <c r="J61" i="43" a="1"/>
  <c r="J61" i="43" s="1"/>
  <c r="J55" i="43" a="1"/>
  <c r="J55" i="43" s="1"/>
  <c r="C8" i="33"/>
  <c r="J11" i="43" a="1"/>
  <c r="J11" i="43" s="1"/>
  <c r="J75" i="43" a="1"/>
  <c r="J75" i="43" s="1"/>
  <c r="J115" i="43" a="1"/>
  <c r="J115" i="43" s="1"/>
  <c r="I34" i="8"/>
  <c r="O34" i="8" s="1" a="1"/>
  <c r="O34" i="8" s="1"/>
  <c r="D8" i="33"/>
  <c r="J12" i="43" a="1"/>
  <c r="J12" i="43" s="1"/>
  <c r="I33" i="8"/>
  <c r="O33" i="8" s="1" a="1"/>
  <c r="O33" i="8" s="1"/>
  <c r="I57" i="8"/>
  <c r="O57" i="8" s="1" a="1"/>
  <c r="O57" i="8" s="1"/>
  <c r="J62" i="43" a="1"/>
  <c r="J62" i="43" s="1"/>
  <c r="C19" i="33"/>
  <c r="C15" i="33"/>
  <c r="J15" i="43" a="1"/>
  <c r="J15" i="43" s="1"/>
  <c r="C23" i="33"/>
  <c r="J91" i="43" a="1"/>
  <c r="J91" i="43" s="1"/>
  <c r="J19" i="43" a="1"/>
  <c r="J19" i="43" s="1"/>
  <c r="J95" i="43" a="1"/>
  <c r="J95" i="43" s="1"/>
  <c r="J147" i="43" a="1"/>
  <c r="J147" i="43" s="1"/>
  <c r="C20" i="33"/>
  <c r="J80" i="43" a="1"/>
  <c r="J80" i="43" s="1"/>
  <c r="J117" i="43" a="1"/>
  <c r="J117" i="43" s="1"/>
  <c r="J27" i="43" a="1"/>
  <c r="J27" i="43" s="1"/>
  <c r="J120" i="43" a="1"/>
  <c r="J120" i="43" s="1"/>
  <c r="J90" i="43" a="1"/>
  <c r="J90" i="43" s="1"/>
  <c r="J89" i="43" a="1"/>
  <c r="J89" i="43" s="1"/>
  <c r="I63" i="8"/>
  <c r="O63" i="8" s="1" a="1"/>
  <c r="O63" i="8" s="1"/>
  <c r="J64" i="43" a="1"/>
  <c r="J64" i="43" s="1"/>
  <c r="J52" i="43" a="1"/>
  <c r="J52" i="43" s="1"/>
  <c r="C6" i="33"/>
  <c r="J51" i="43" a="1"/>
  <c r="J51" i="43" s="1"/>
  <c r="J72" i="43" a="1"/>
  <c r="J72" i="43" s="1"/>
  <c r="D28" i="33"/>
  <c r="J79" i="43" a="1"/>
  <c r="J79" i="43" s="1"/>
  <c r="C10" i="33"/>
  <c r="C36" i="33"/>
  <c r="J146" i="43" a="1"/>
  <c r="J146" i="43" s="1"/>
  <c r="J145" i="43" a="1"/>
  <c r="J145" i="43" s="1"/>
  <c r="J30" i="43" a="1"/>
  <c r="J30" i="43" s="1"/>
  <c r="C34" i="33"/>
  <c r="J132" i="43" a="1"/>
  <c r="J132" i="43" s="1"/>
  <c r="J138" i="43" a="1"/>
  <c r="J138" i="43" s="1"/>
  <c r="J140" i="43" a="1"/>
  <c r="J140" i="43" s="1"/>
  <c r="J131" i="43" a="1"/>
  <c r="J131" i="43" s="1"/>
  <c r="J139" i="43" a="1"/>
  <c r="J139" i="43" s="1"/>
  <c r="J77" i="43" a="1"/>
  <c r="J77" i="43" s="1"/>
  <c r="J78" i="43" a="1"/>
  <c r="J78" i="43" s="1"/>
  <c r="J39" i="43" a="1"/>
  <c r="J39" i="43" s="1"/>
  <c r="I44" i="8"/>
  <c r="O44" i="8" s="1" a="1"/>
  <c r="O44" i="8" s="1"/>
  <c r="J38" i="43" a="1"/>
  <c r="J38" i="43" s="1"/>
  <c r="I43" i="8"/>
  <c r="O43" i="8" s="1" a="1"/>
  <c r="O43" i="8" s="1"/>
  <c r="J36" i="43" a="1"/>
  <c r="J36" i="43" s="1"/>
  <c r="I54" i="4"/>
  <c r="M54" i="4" s="1"/>
  <c r="O54" i="4" s="1"/>
  <c r="P54" i="4" s="1"/>
  <c r="C13" i="33"/>
  <c r="I42" i="8"/>
  <c r="O42" i="8" s="1" a="1"/>
  <c r="O42" i="8" s="1"/>
  <c r="J37" i="43" a="1"/>
  <c r="J37" i="43" s="1"/>
  <c r="P152" i="40" l="1" a="1"/>
  <c r="P152" i="40" s="1"/>
  <c r="P1344" i="40" a="1"/>
  <c r="P1344" i="40" s="1"/>
  <c r="P150" i="40" a="1"/>
  <c r="P150" i="40" s="1"/>
  <c r="P1339" i="40" a="1"/>
  <c r="P1339" i="40" s="1"/>
  <c r="P1342" i="40" a="1"/>
  <c r="P1342" i="40" s="1"/>
  <c r="P852" i="40" a="1"/>
  <c r="P852" i="40" s="1"/>
  <c r="P510" i="40" a="1"/>
  <c r="P510" i="40" s="1"/>
  <c r="P1206" i="40" a="1"/>
  <c r="P1206" i="40" s="1"/>
  <c r="P1341" i="40" a="1"/>
  <c r="P1341" i="40" s="1"/>
  <c r="P156" i="40" a="1"/>
  <c r="P156" i="40" s="1"/>
  <c r="P1340" i="40" a="1"/>
  <c r="P1340" i="40" s="1"/>
  <c r="P858" i="40" a="1"/>
  <c r="P858" i="40" s="1"/>
  <c r="P1343" i="40" a="1"/>
  <c r="P1343" i="40" s="1"/>
  <c r="J373" i="42" s="1"/>
  <c r="P22" i="8"/>
  <c r="Q22" i="8" s="1"/>
  <c r="AA22" i="8" s="1"/>
  <c r="R22" i="8"/>
  <c r="S22" i="8" s="1"/>
  <c r="AB22" i="8" s="1"/>
  <c r="P848" i="40" a="1"/>
  <c r="P848" i="40" s="1"/>
  <c r="P794" i="40" a="1"/>
  <c r="P794" i="40" s="1"/>
  <c r="O52" i="8" a="1"/>
  <c r="O52" i="8" s="1"/>
  <c r="P135" i="40" s="1" a="1"/>
  <c r="P135" i="40" s="1"/>
  <c r="P158" i="40" a="1"/>
  <c r="P158" i="40" s="1"/>
  <c r="P92" i="40" a="1"/>
  <c r="P92" i="40" s="1"/>
  <c r="O67" i="8" a="1"/>
  <c r="O67" i="8" s="1"/>
  <c r="P1371" i="40" s="1" a="1"/>
  <c r="P1371" i="40" s="1"/>
  <c r="P793" i="40" a="1"/>
  <c r="P793" i="40" s="1"/>
  <c r="N67" i="8"/>
  <c r="Z67" i="8" s="1"/>
  <c r="P154" i="40" a="1"/>
  <c r="P154" i="40" s="1"/>
  <c r="P854" i="40" a="1"/>
  <c r="P854" i="40" s="1"/>
  <c r="P1345" i="40" a="1"/>
  <c r="P1345" i="40" s="1"/>
  <c r="J747" i="42" s="1"/>
  <c r="K22" i="8"/>
  <c r="K36" i="8"/>
  <c r="P792" i="40" a="1"/>
  <c r="P792" i="40" s="1"/>
  <c r="U14" i="43"/>
  <c r="X14" i="43" s="1"/>
  <c r="J27" i="8" s="1"/>
  <c r="M27" i="8" s="1"/>
  <c r="Y27" i="8" s="1"/>
  <c r="P142" i="40" a="1"/>
  <c r="P142" i="40" s="1"/>
  <c r="P856" i="40" a="1"/>
  <c r="P856" i="40" s="1"/>
  <c r="P786" i="40" a="1"/>
  <c r="P786" i="40" s="1"/>
  <c r="O32" i="8" a="1"/>
  <c r="O32" i="8" s="1"/>
  <c r="P1191" i="40" s="1" a="1"/>
  <c r="P1191" i="40" s="1"/>
  <c r="P87" i="40" a="1"/>
  <c r="P87" i="40" s="1"/>
  <c r="P850" i="40" a="1"/>
  <c r="P850" i="40" s="1"/>
  <c r="R61" i="8"/>
  <c r="S61" i="8" s="1"/>
  <c r="P91" i="40" a="1"/>
  <c r="P91" i="40" s="1"/>
  <c r="P61" i="8"/>
  <c r="K53" i="8"/>
  <c r="P752" i="40" a="1"/>
  <c r="P752" i="40" s="1"/>
  <c r="K37" i="8"/>
  <c r="P892" i="40" a="1"/>
  <c r="P892" i="40" s="1"/>
  <c r="P891" i="40" a="1"/>
  <c r="P891" i="40" s="1"/>
  <c r="P572" i="40" a="1"/>
  <c r="P572" i="40" s="1"/>
  <c r="P728" i="40" a="1"/>
  <c r="P728" i="40" s="1"/>
  <c r="P890" i="40" a="1"/>
  <c r="P890" i="40" s="1"/>
  <c r="P720" i="40" a="1"/>
  <c r="P720" i="40" s="1"/>
  <c r="P67" i="8"/>
  <c r="Q67" i="8" s="1"/>
  <c r="AA67" i="8" s="1"/>
  <c r="U73" i="43"/>
  <c r="X73" i="43" s="1"/>
  <c r="J40" i="8" s="1"/>
  <c r="AF73" i="43"/>
  <c r="AH73" i="43" s="1"/>
  <c r="P40" i="8" s="1"/>
  <c r="K67" i="8"/>
  <c r="M67" i="8" s="1"/>
  <c r="Y67" i="8" s="1"/>
  <c r="P889" i="40" a="1"/>
  <c r="P889" i="40" s="1"/>
  <c r="R67" i="8"/>
  <c r="S67" i="8" s="1"/>
  <c r="AB67" i="8" s="1"/>
  <c r="P189" i="40" a="1"/>
  <c r="P189" i="40" s="1"/>
  <c r="J451" i="42" s="1"/>
  <c r="P188" i="40" a="1"/>
  <c r="P188" i="40" s="1"/>
  <c r="P140" i="40" a="1"/>
  <c r="P140" i="40" s="1"/>
  <c r="P842" i="40" a="1"/>
  <c r="P842" i="40" s="1"/>
  <c r="R58" i="8"/>
  <c r="S58" i="8" s="1"/>
  <c r="AB58" i="8" s="1"/>
  <c r="W81" i="43"/>
  <c r="P187" i="40" a="1"/>
  <c r="P187" i="40" s="1"/>
  <c r="P19" i="40" a="1"/>
  <c r="P19" i="40" s="1"/>
  <c r="R35" i="8"/>
  <c r="S35" i="8" s="1"/>
  <c r="AB35" i="8" s="1"/>
  <c r="P186" i="40" a="1"/>
  <c r="P186" i="40" s="1"/>
  <c r="K35" i="8"/>
  <c r="P518" i="40" a="1"/>
  <c r="P518" i="40" s="1"/>
  <c r="P1067" i="40" a="1"/>
  <c r="P1067" i="40" s="1"/>
  <c r="P630" i="40" a="1"/>
  <c r="P630" i="40" s="1"/>
  <c r="P622" i="40" a="1"/>
  <c r="P622" i="40" s="1"/>
  <c r="P516" i="40" a="1"/>
  <c r="P516" i="40" s="1"/>
  <c r="P1214" i="40" a="1"/>
  <c r="P1214" i="40" s="1"/>
  <c r="P1326" i="40" a="1"/>
  <c r="P1326" i="40" s="1"/>
  <c r="P629" i="40" a="1"/>
  <c r="P629" i="40" s="1"/>
  <c r="J735" i="42" s="1"/>
  <c r="P514" i="40" a="1"/>
  <c r="P514" i="40" s="1"/>
  <c r="P1210" i="40" a="1"/>
  <c r="P1210" i="40" s="1"/>
  <c r="P1334" i="40" a="1"/>
  <c r="P1334" i="40" s="1"/>
  <c r="P1325" i="40" a="1"/>
  <c r="P1325" i="40" s="1"/>
  <c r="P627" i="40" a="1"/>
  <c r="P627" i="40" s="1"/>
  <c r="P506" i="40" a="1"/>
  <c r="P506" i="40" s="1"/>
  <c r="P1204" i="40" a="1"/>
  <c r="P1204" i="40" s="1"/>
  <c r="P1332" i="40" a="1"/>
  <c r="P1332" i="40" s="1"/>
  <c r="P626" i="40" a="1"/>
  <c r="P626" i="40" s="1"/>
  <c r="P504" i="40" a="1"/>
  <c r="P504" i="40" s="1"/>
  <c r="P1331" i="40" a="1"/>
  <c r="P1331" i="40" s="1"/>
  <c r="P625" i="40" a="1"/>
  <c r="P625" i="40" s="1"/>
  <c r="P502" i="40" a="1"/>
  <c r="P502" i="40" s="1"/>
  <c r="P1330" i="40" a="1"/>
  <c r="P1330" i="40" s="1"/>
  <c r="P624" i="40" a="1"/>
  <c r="P624" i="40" s="1"/>
  <c r="P520" i="40" a="1"/>
  <c r="P520" i="40" s="1"/>
  <c r="P1328" i="40" a="1"/>
  <c r="P1328" i="40" s="1"/>
  <c r="P745" i="40" a="1"/>
  <c r="P745" i="40" s="1"/>
  <c r="P44" i="40" a="1"/>
  <c r="P44" i="40" s="1"/>
  <c r="P1222" i="40" a="1"/>
  <c r="P1222" i="40" s="1"/>
  <c r="P1329" i="40" a="1"/>
  <c r="P1329" i="40" s="1"/>
  <c r="P779" i="40" a="1"/>
  <c r="P779" i="40" s="1"/>
  <c r="P921" i="40" a="1"/>
  <c r="P921" i="40" s="1"/>
  <c r="P215" i="40" a="1"/>
  <c r="P215" i="40" s="1"/>
  <c r="P183" i="40" a="1"/>
  <c r="P183" i="40" s="1"/>
  <c r="P222" i="40" a="1"/>
  <c r="P222" i="40" s="1"/>
  <c r="P886" i="40" a="1"/>
  <c r="P886" i="40" s="1"/>
  <c r="P846" i="40" a="1"/>
  <c r="P846" i="40" s="1"/>
  <c r="P1043" i="40" a="1"/>
  <c r="P1043" i="40" s="1"/>
  <c r="P887" i="40" a="1"/>
  <c r="P887" i="40" s="1"/>
  <c r="P182" i="40" a="1"/>
  <c r="P182" i="40" s="1"/>
  <c r="P221" i="40" a="1"/>
  <c r="P221" i="40" s="1"/>
  <c r="P885" i="40" a="1"/>
  <c r="P885" i="40" s="1"/>
  <c r="P828" i="40" a="1"/>
  <c r="P828" i="40" s="1"/>
  <c r="P73" i="40" a="1"/>
  <c r="P73" i="40" s="1"/>
  <c r="P367" i="40" a="1"/>
  <c r="P367" i="40" s="1"/>
  <c r="P219" i="40" a="1"/>
  <c r="P219" i="40" s="1"/>
  <c r="P512" i="40" a="1"/>
  <c r="P512" i="40" s="1"/>
  <c r="P148" i="40" a="1"/>
  <c r="P148" i="40" s="1"/>
  <c r="P895" i="40" a="1"/>
  <c r="P895" i="40" s="1"/>
  <c r="P1220" i="40" a="1"/>
  <c r="P1220" i="40" s="1"/>
  <c r="P1079" i="40" a="1"/>
  <c r="P1079" i="40" s="1"/>
  <c r="P926" i="40" a="1"/>
  <c r="P926" i="40" s="1"/>
  <c r="P191" i="40" a="1"/>
  <c r="P191" i="40" s="1"/>
  <c r="P363" i="40" a="1"/>
  <c r="P363" i="40" s="1"/>
  <c r="P218" i="40" a="1"/>
  <c r="P218" i="40" s="1"/>
  <c r="J469" i="42" s="1"/>
  <c r="P146" i="40" a="1"/>
  <c r="P146" i="40" s="1"/>
  <c r="P894" i="40" a="1"/>
  <c r="P894" i="40" s="1"/>
  <c r="P1218" i="40" a="1"/>
  <c r="P1218" i="40" s="1"/>
  <c r="P862" i="40" a="1"/>
  <c r="P862" i="40" s="1"/>
  <c r="P1075" i="40" a="1"/>
  <c r="P1075" i="40" s="1"/>
  <c r="P925" i="40" a="1"/>
  <c r="P925" i="40" s="1"/>
  <c r="P923" i="40" a="1"/>
  <c r="P923" i="40" s="1"/>
  <c r="P920" i="40" a="1"/>
  <c r="P920" i="40" s="1"/>
  <c r="P919" i="40" a="1"/>
  <c r="P919" i="40" s="1"/>
  <c r="P185" i="40" a="1"/>
  <c r="P185" i="40" s="1"/>
  <c r="P888" i="40" a="1"/>
  <c r="P888" i="40" s="1"/>
  <c r="P918" i="40" a="1"/>
  <c r="P918" i="40" s="1"/>
  <c r="P184" i="40" a="1"/>
  <c r="P184" i="40" s="1"/>
  <c r="P223" i="40" a="1"/>
  <c r="P223" i="40" s="1"/>
  <c r="P224" i="40" a="1"/>
  <c r="P224" i="40" s="1"/>
  <c r="P130" i="40" a="1"/>
  <c r="P130" i="40" s="1"/>
  <c r="P220" i="40" a="1"/>
  <c r="P220" i="40" s="1"/>
  <c r="P928" i="40" a="1"/>
  <c r="P928" i="40" s="1"/>
  <c r="P927" i="40" a="1"/>
  <c r="P927" i="40" s="1"/>
  <c r="P190" i="40" a="1"/>
  <c r="P190" i="40" s="1"/>
  <c r="P359" i="40" a="1"/>
  <c r="P359" i="40" s="1"/>
  <c r="P216" i="40" a="1"/>
  <c r="P216" i="40" s="1"/>
  <c r="P508" i="40" a="1"/>
  <c r="P508" i="40" s="1"/>
  <c r="P144" i="40" a="1"/>
  <c r="P144" i="40" s="1"/>
  <c r="P1216" i="40" a="1"/>
  <c r="P1216" i="40" s="1"/>
  <c r="P924" i="40" a="1"/>
  <c r="P924" i="40" s="1"/>
  <c r="P1064" i="40" a="1"/>
  <c r="P1064" i="40" s="1"/>
  <c r="P1061" i="40" a="1"/>
  <c r="P1061" i="40" s="1"/>
  <c r="P369" i="40" a="1"/>
  <c r="P369" i="40" s="1"/>
  <c r="R50" i="43" a="1"/>
  <c r="R50" i="43" s="1"/>
  <c r="O58" i="8" a="1"/>
  <c r="O58" i="8" s="1"/>
  <c r="P867" i="40" s="1" a="1"/>
  <c r="P867" i="40" s="1"/>
  <c r="P365" i="40" a="1"/>
  <c r="P365" i="40" s="1"/>
  <c r="P1053" i="40" a="1"/>
  <c r="P1053" i="40" s="1"/>
  <c r="U33" i="43"/>
  <c r="X33" i="43" s="1"/>
  <c r="J26" i="8" s="1"/>
  <c r="R39" i="8"/>
  <c r="S39" i="8" s="1"/>
  <c r="AB39" i="8" s="1"/>
  <c r="O39" i="8" a="1"/>
  <c r="O39" i="8" s="1"/>
  <c r="P1322" i="40" s="1" a="1"/>
  <c r="P1322" i="40" s="1"/>
  <c r="K61" i="8"/>
  <c r="P217" i="40" a="1"/>
  <c r="P217" i="40" s="1"/>
  <c r="P361" i="40" a="1"/>
  <c r="P361" i="40" s="1"/>
  <c r="P1049" i="40" a="1"/>
  <c r="P1049" i="40" s="1"/>
  <c r="P1224" i="40" a="1"/>
  <c r="P1224" i="40" s="1"/>
  <c r="P357" i="40" a="1"/>
  <c r="P357" i="40" s="1"/>
  <c r="P1045" i="40" a="1"/>
  <c r="P1045" i="40" s="1"/>
  <c r="U110" i="43"/>
  <c r="X110" i="43" s="1"/>
  <c r="P353" i="40" a="1"/>
  <c r="P353" i="40" s="1"/>
  <c r="P1077" i="40" a="1"/>
  <c r="P1077" i="40" s="1"/>
  <c r="P1041" i="40" a="1"/>
  <c r="P1041" i="40" s="1"/>
  <c r="P1081" i="40" a="1"/>
  <c r="P1081" i="40" s="1"/>
  <c r="R31" i="8"/>
  <c r="S31" i="8" s="1"/>
  <c r="AB31" i="8" s="1"/>
  <c r="P349" i="40" a="1"/>
  <c r="P349" i="40" s="1"/>
  <c r="P1073" i="40" a="1"/>
  <c r="P1073" i="40" s="1"/>
  <c r="P58" i="8"/>
  <c r="K31" i="8"/>
  <c r="P341" i="40" a="1"/>
  <c r="P341" i="40" s="1"/>
  <c r="P1065" i="40" a="1"/>
  <c r="P1065" i="40" s="1"/>
  <c r="P377" i="40" a="1"/>
  <c r="P377" i="40" s="1"/>
  <c r="P1057" i="40" a="1"/>
  <c r="P1057" i="40" s="1"/>
  <c r="K41" i="8"/>
  <c r="P373" i="40" a="1"/>
  <c r="P373" i="40" s="1"/>
  <c r="P345" i="40" a="1"/>
  <c r="P345" i="40" s="1"/>
  <c r="U70" i="43"/>
  <c r="X70" i="43" s="1"/>
  <c r="J63" i="8" s="1"/>
  <c r="P41" i="8"/>
  <c r="R30" i="8"/>
  <c r="S30" i="8" s="1"/>
  <c r="AB30" i="8" s="1"/>
  <c r="P81" i="40" a="1"/>
  <c r="P81" i="40" s="1"/>
  <c r="O8" i="8" a="1"/>
  <c r="O8" i="8" s="1"/>
  <c r="P1018" i="40" s="1" a="1"/>
  <c r="P1018" i="40" s="1"/>
  <c r="K30" i="8"/>
  <c r="R54" i="8"/>
  <c r="S54" i="8" s="1"/>
  <c r="AB54" i="8" s="1"/>
  <c r="W70" i="43"/>
  <c r="Z70" i="43" s="1"/>
  <c r="N63" i="8" s="1"/>
  <c r="Z63" i="8" s="1"/>
  <c r="K54" i="8"/>
  <c r="AG70" i="43"/>
  <c r="AI70" i="43" s="1"/>
  <c r="R63" i="8" s="1"/>
  <c r="O41" i="8" a="1"/>
  <c r="O41" i="8" s="1"/>
  <c r="P986" i="40" s="1" a="1"/>
  <c r="P986" i="40" s="1"/>
  <c r="K45" i="8"/>
  <c r="P133" i="40" a="1"/>
  <c r="P133" i="40" s="1"/>
  <c r="P109" i="40" a="1"/>
  <c r="P109" i="40" s="1"/>
  <c r="P74" i="40" a="1"/>
  <c r="P74" i="40" s="1"/>
  <c r="P45" i="40" a="1"/>
  <c r="P45" i="40" s="1"/>
  <c r="P780" i="40" a="1"/>
  <c r="P780" i="40" s="1"/>
  <c r="P744" i="40" a="1"/>
  <c r="P744" i="40" s="1"/>
  <c r="P831" i="40" a="1"/>
  <c r="P831" i="40" s="1"/>
  <c r="P127" i="40" a="1"/>
  <c r="P127" i="40" s="1"/>
  <c r="P80" i="40" a="1"/>
  <c r="P80" i="40" s="1"/>
  <c r="P72" i="40" a="1"/>
  <c r="P72" i="40" s="1"/>
  <c r="P43" i="40" a="1"/>
  <c r="P43" i="40" s="1"/>
  <c r="P778" i="40" a="1"/>
  <c r="P778" i="40" s="1"/>
  <c r="P751" i="40" a="1"/>
  <c r="P751" i="40" s="1"/>
  <c r="P743" i="40" a="1"/>
  <c r="P743" i="40" s="1"/>
  <c r="P825" i="40" a="1"/>
  <c r="P825" i="40" s="1"/>
  <c r="K28" i="8"/>
  <c r="R28" i="8"/>
  <c r="S28" i="8" s="1"/>
  <c r="AB28" i="8" s="1"/>
  <c r="J45" i="8"/>
  <c r="M45" i="8" s="1"/>
  <c r="Y45" i="8" s="1"/>
  <c r="P124" i="40" a="1"/>
  <c r="P124" i="40" s="1"/>
  <c r="P79" i="40" a="1"/>
  <c r="P79" i="40" s="1"/>
  <c r="P41" i="40" a="1"/>
  <c r="P41" i="40" s="1"/>
  <c r="P785" i="40" a="1"/>
  <c r="P785" i="40" s="1"/>
  <c r="P777" i="40" a="1"/>
  <c r="P777" i="40" s="1"/>
  <c r="P750" i="40" a="1"/>
  <c r="P750" i="40" s="1"/>
  <c r="P742" i="40" a="1"/>
  <c r="P742" i="40" s="1"/>
  <c r="P822" i="40" a="1"/>
  <c r="P822" i="40" s="1"/>
  <c r="AG101" i="43"/>
  <c r="AI101" i="43" s="1"/>
  <c r="R15" i="8" s="1"/>
  <c r="P121" i="40" a="1"/>
  <c r="P121" i="40" s="1"/>
  <c r="P78" i="40" a="1"/>
  <c r="P78" i="40" s="1"/>
  <c r="P40" i="40" a="1"/>
  <c r="P40" i="40" s="1"/>
  <c r="P784" i="40" a="1"/>
  <c r="P784" i="40" s="1"/>
  <c r="P776" i="40" a="1"/>
  <c r="P776" i="40" s="1"/>
  <c r="P749" i="40" a="1"/>
  <c r="P749" i="40" s="1"/>
  <c r="P819" i="40" a="1"/>
  <c r="P819" i="40" s="1"/>
  <c r="AF101" i="43"/>
  <c r="AH101" i="43" s="1"/>
  <c r="P15" i="8" s="1"/>
  <c r="P115" i="40" a="1"/>
  <c r="P115" i="40" s="1"/>
  <c r="P77" i="40" a="1"/>
  <c r="P77" i="40" s="1"/>
  <c r="P48" i="40" a="1"/>
  <c r="P48" i="40" s="1"/>
  <c r="P39" i="40" a="1"/>
  <c r="P39" i="40" s="1"/>
  <c r="P783" i="40" a="1"/>
  <c r="P783" i="40" s="1"/>
  <c r="P775" i="40" a="1"/>
  <c r="P775" i="40" s="1"/>
  <c r="P748" i="40" a="1"/>
  <c r="P748" i="40" s="1"/>
  <c r="P840" i="40" a="1"/>
  <c r="P840" i="40" s="1"/>
  <c r="P816" i="40" a="1"/>
  <c r="P816" i="40" s="1"/>
  <c r="U101" i="43"/>
  <c r="P118" i="40" a="1"/>
  <c r="P118" i="40" s="1"/>
  <c r="P76" i="40" a="1"/>
  <c r="P76" i="40" s="1"/>
  <c r="P47" i="40" a="1"/>
  <c r="P47" i="40" s="1"/>
  <c r="P42" i="40" a="1"/>
  <c r="P42" i="40" s="1"/>
  <c r="P782" i="40" a="1"/>
  <c r="P782" i="40" s="1"/>
  <c r="P746" i="40" a="1"/>
  <c r="P746" i="40" s="1"/>
  <c r="P837" i="40" a="1"/>
  <c r="P837" i="40" s="1"/>
  <c r="P813" i="40" a="1"/>
  <c r="P813" i="40" s="1"/>
  <c r="P136" i="40" a="1"/>
  <c r="P136" i="40" s="1"/>
  <c r="P112" i="40" a="1"/>
  <c r="P112" i="40" s="1"/>
  <c r="P75" i="40" a="1"/>
  <c r="P75" i="40" s="1"/>
  <c r="P46" i="40" a="1"/>
  <c r="P46" i="40" s="1"/>
  <c r="P834" i="40" a="1"/>
  <c r="P834" i="40" s="1"/>
  <c r="P1068" i="40" a="1"/>
  <c r="P1068" i="40" s="1"/>
  <c r="P1241" i="40" a="1"/>
  <c r="P1241" i="40" s="1"/>
  <c r="R6" i="8"/>
  <c r="P232" i="40" a="1"/>
  <c r="P232" i="40" s="1"/>
  <c r="P938" i="40" a="1"/>
  <c r="P938" i="40" s="1"/>
  <c r="AF14" i="43"/>
  <c r="AH14" i="43" s="1"/>
  <c r="U76" i="43"/>
  <c r="P549" i="40" a="1"/>
  <c r="P549" i="40" s="1"/>
  <c r="P231" i="40" a="1"/>
  <c r="P231" i="40" s="1"/>
  <c r="P364" i="40" a="1"/>
  <c r="P364" i="40" s="1"/>
  <c r="P931" i="40" a="1"/>
  <c r="P931" i="40" s="1"/>
  <c r="W76" i="43"/>
  <c r="P546" i="40" a="1"/>
  <c r="P546" i="40" s="1"/>
  <c r="P360" i="40" a="1"/>
  <c r="P360" i="40" s="1"/>
  <c r="P930" i="40" a="1"/>
  <c r="P930" i="40" s="1"/>
  <c r="R60" i="8"/>
  <c r="S60" i="8" s="1"/>
  <c r="AB60" i="8" s="1"/>
  <c r="P49" i="8"/>
  <c r="P525" i="40" a="1"/>
  <c r="P525" i="40" s="1"/>
  <c r="P60" i="8"/>
  <c r="AG14" i="43"/>
  <c r="AI14" i="43" s="1"/>
  <c r="P1256" i="40" a="1"/>
  <c r="P1256" i="40" s="1"/>
  <c r="P1244" i="40" a="1"/>
  <c r="P1244" i="40" s="1"/>
  <c r="P1337" i="40" a="1"/>
  <c r="P1337" i="40" s="1"/>
  <c r="J367" i="42" s="1"/>
  <c r="P26" i="40" a="1"/>
  <c r="P26" i="40" s="1"/>
  <c r="P543" i="40" a="1"/>
  <c r="P543" i="40" s="1"/>
  <c r="P17" i="40" a="1"/>
  <c r="P17" i="40" s="1"/>
  <c r="O51" i="8" a="1"/>
  <c r="O51" i="8" s="1"/>
  <c r="P803" i="40" s="1" a="1"/>
  <c r="P803" i="40" s="1"/>
  <c r="O60" i="8" a="1"/>
  <c r="O60" i="8" s="1"/>
  <c r="P899" i="40" s="1" a="1"/>
  <c r="P899" i="40" s="1"/>
  <c r="P540" i="40" a="1"/>
  <c r="P540" i="40" s="1"/>
  <c r="P229" i="40" a="1"/>
  <c r="P229" i="40" s="1"/>
  <c r="P86" i="40" a="1"/>
  <c r="P86" i="40" s="1"/>
  <c r="P85" i="40" a="1"/>
  <c r="P85" i="40" s="1"/>
  <c r="P566" i="40" a="1"/>
  <c r="P566" i="40" s="1"/>
  <c r="P24" i="40" a="1"/>
  <c r="P24" i="40" s="1"/>
  <c r="P352" i="40" a="1"/>
  <c r="P352" i="40" s="1"/>
  <c r="P1270" i="40" a="1"/>
  <c r="P1270" i="40" s="1"/>
  <c r="P791" i="40" a="1"/>
  <c r="P791" i="40" s="1"/>
  <c r="P1056" i="40" a="1"/>
  <c r="P1056" i="40" s="1"/>
  <c r="P1235" i="40" a="1"/>
  <c r="P1235" i="40" s="1"/>
  <c r="P725" i="40" a="1"/>
  <c r="P725" i="40" s="1"/>
  <c r="P936" i="40" a="1"/>
  <c r="P936" i="40" s="1"/>
  <c r="P727" i="40" a="1"/>
  <c r="P727" i="40" s="1"/>
  <c r="R49" i="8"/>
  <c r="S49" i="8" s="1"/>
  <c r="P929" i="40" a="1"/>
  <c r="P929" i="40" s="1"/>
  <c r="K49" i="8"/>
  <c r="K23" i="8"/>
  <c r="P537" i="40" a="1"/>
  <c r="P537" i="40" s="1"/>
  <c r="P228" i="40" a="1"/>
  <c r="P228" i="40" s="1"/>
  <c r="J479" i="42" s="1"/>
  <c r="P83" i="40" a="1"/>
  <c r="P83" i="40" s="1"/>
  <c r="P560" i="40" a="1"/>
  <c r="P560" i="40" s="1"/>
  <c r="P23" i="40" a="1"/>
  <c r="P23" i="40" s="1"/>
  <c r="P348" i="40" a="1"/>
  <c r="P348" i="40" s="1"/>
  <c r="P1268" i="40" a="1"/>
  <c r="P1268" i="40" s="1"/>
  <c r="P790" i="40" a="1"/>
  <c r="P790" i="40" s="1"/>
  <c r="P1052" i="40" a="1"/>
  <c r="P1052" i="40" s="1"/>
  <c r="P1232" i="40" a="1"/>
  <c r="P1232" i="40" s="1"/>
  <c r="P724" i="40" a="1"/>
  <c r="P724" i="40" s="1"/>
  <c r="P935" i="40" a="1"/>
  <c r="P935" i="40" s="1"/>
  <c r="R25" i="8"/>
  <c r="S25" i="8" s="1"/>
  <c r="AB25" i="8" s="1"/>
  <c r="P534" i="40" a="1"/>
  <c r="P534" i="40" s="1"/>
  <c r="P235" i="40" a="1"/>
  <c r="P235" i="40" s="1"/>
  <c r="P227" i="40" a="1"/>
  <c r="P227" i="40" s="1"/>
  <c r="P84" i="40" a="1"/>
  <c r="P84" i="40" s="1"/>
  <c r="P562" i="40" a="1"/>
  <c r="P562" i="40" s="1"/>
  <c r="P22" i="40" a="1"/>
  <c r="P22" i="40" s="1"/>
  <c r="P376" i="40" a="1"/>
  <c r="P376" i="40" s="1"/>
  <c r="P344" i="40" a="1"/>
  <c r="P344" i="40" s="1"/>
  <c r="P1264" i="40" a="1"/>
  <c r="P1264" i="40" s="1"/>
  <c r="P789" i="40" a="1"/>
  <c r="P789" i="40" s="1"/>
  <c r="P1080" i="40" a="1"/>
  <c r="P1080" i="40" s="1"/>
  <c r="P1048" i="40" a="1"/>
  <c r="P1048" i="40" s="1"/>
  <c r="P1253" i="40" a="1"/>
  <c r="P1253" i="40" s="1"/>
  <c r="P1229" i="40" a="1"/>
  <c r="P1229" i="40" s="1"/>
  <c r="P723" i="40" a="1"/>
  <c r="P723" i="40" s="1"/>
  <c r="P934" i="40" a="1"/>
  <c r="P934" i="40" s="1"/>
  <c r="J37" i="8"/>
  <c r="M37" i="8" s="1"/>
  <c r="Y37" i="8" s="1"/>
  <c r="P230" i="40" a="1"/>
  <c r="P230" i="40" s="1"/>
  <c r="P25" i="40" a="1"/>
  <c r="P25" i="40" s="1"/>
  <c r="P356" i="40" a="1"/>
  <c r="P356" i="40" s="1"/>
  <c r="P1060" i="40" a="1"/>
  <c r="P1060" i="40" s="1"/>
  <c r="P1238" i="40" a="1"/>
  <c r="P1238" i="40" s="1"/>
  <c r="P726" i="40" a="1"/>
  <c r="P726" i="40" s="1"/>
  <c r="K48" i="8"/>
  <c r="K46" i="8"/>
  <c r="K25" i="8"/>
  <c r="O47" i="8" a="1"/>
  <c r="O47" i="8" s="1"/>
  <c r="P1259" i="40" s="1" a="1"/>
  <c r="P1259" i="40" s="1"/>
  <c r="P531" i="40" a="1"/>
  <c r="P531" i="40" s="1"/>
  <c r="P234" i="40" a="1"/>
  <c r="P234" i="40" s="1"/>
  <c r="P226" i="40" a="1"/>
  <c r="P226" i="40" s="1"/>
  <c r="P90" i="40" a="1"/>
  <c r="P90" i="40" s="1"/>
  <c r="P576" i="40" a="1"/>
  <c r="P576" i="40" s="1"/>
  <c r="P558" i="40" a="1"/>
  <c r="P558" i="40" s="1"/>
  <c r="P21" i="40" a="1"/>
  <c r="P21" i="40" s="1"/>
  <c r="P372" i="40" a="1"/>
  <c r="P372" i="40" s="1"/>
  <c r="P340" i="40" a="1"/>
  <c r="P340" i="40" s="1"/>
  <c r="P796" i="40" a="1"/>
  <c r="P796" i="40" s="1"/>
  <c r="P788" i="40" a="1"/>
  <c r="P788" i="40" s="1"/>
  <c r="P1076" i="40" a="1"/>
  <c r="P1076" i="40" s="1"/>
  <c r="P1044" i="40" a="1"/>
  <c r="P1044" i="40" s="1"/>
  <c r="P1250" i="40" a="1"/>
  <c r="P1250" i="40" s="1"/>
  <c r="P1226" i="40" a="1"/>
  <c r="P1226" i="40" s="1"/>
  <c r="P722" i="40" a="1"/>
  <c r="P722" i="40" s="1"/>
  <c r="P933" i="40" a="1"/>
  <c r="P933" i="40" s="1"/>
  <c r="P570" i="40" a="1"/>
  <c r="P570" i="40" s="1"/>
  <c r="P18" i="40" a="1"/>
  <c r="P18" i="40" s="1"/>
  <c r="P568" i="40" a="1"/>
  <c r="P568" i="40" s="1"/>
  <c r="P1280" i="40" a="1"/>
  <c r="P1280" i="40" s="1"/>
  <c r="P937" i="40" a="1"/>
  <c r="P937" i="40" s="1"/>
  <c r="N46" i="8"/>
  <c r="O791" i="40" s="1" a="1"/>
  <c r="O791" i="40" s="1"/>
  <c r="T791" i="40" s="1"/>
  <c r="P552" i="40" a="1"/>
  <c r="P552" i="40" s="1"/>
  <c r="P528" i="40" a="1"/>
  <c r="P528" i="40" s="1"/>
  <c r="P233" i="40" a="1"/>
  <c r="P233" i="40" s="1"/>
  <c r="P89" i="40" a="1"/>
  <c r="P89" i="40" s="1"/>
  <c r="P574" i="40" a="1"/>
  <c r="P574" i="40" s="1"/>
  <c r="P20" i="40" a="1"/>
  <c r="P20" i="40" s="1"/>
  <c r="P368" i="40" a="1"/>
  <c r="P368" i="40" s="1"/>
  <c r="P795" i="40" a="1"/>
  <c r="P795" i="40" s="1"/>
  <c r="P1072" i="40" a="1"/>
  <c r="P1072" i="40" s="1"/>
  <c r="P939" i="40" a="1"/>
  <c r="P939" i="40" s="1"/>
  <c r="P729" i="40" a="1"/>
  <c r="P729" i="40" s="1"/>
  <c r="P721" i="40" a="1"/>
  <c r="P721" i="40" s="1"/>
  <c r="P1266" i="40" a="1"/>
  <c r="P1266" i="40" s="1"/>
  <c r="AF76" i="43"/>
  <c r="AH76" i="43" s="1"/>
  <c r="P6" i="8" s="1"/>
  <c r="P564" i="40" a="1"/>
  <c r="P564" i="40" s="1"/>
  <c r="P1278" i="40" a="1"/>
  <c r="P1278" i="40" s="1"/>
  <c r="P1262" i="40" a="1"/>
  <c r="P1262" i="40" s="1"/>
  <c r="P1276" i="40" a="1"/>
  <c r="P1276" i="40" s="1"/>
  <c r="P1260" i="40" a="1"/>
  <c r="P1260" i="40" s="1"/>
  <c r="P1274" i="40" a="1"/>
  <c r="P1274" i="40" s="1"/>
  <c r="L1347" i="40"/>
  <c r="L1349" i="40"/>
  <c r="L1350" i="40"/>
  <c r="L1348" i="40"/>
  <c r="L644" i="40"/>
  <c r="L1351" i="40"/>
  <c r="L646" i="40"/>
  <c r="L1353" i="40"/>
  <c r="L1352" i="40"/>
  <c r="L645" i="40"/>
  <c r="L1354" i="40"/>
  <c r="L647" i="40"/>
  <c r="L1355" i="40"/>
  <c r="L1356" i="40"/>
  <c r="L648" i="40"/>
  <c r="L1357" i="40"/>
  <c r="L649" i="40"/>
  <c r="L651" i="40"/>
  <c r="L650" i="40"/>
  <c r="L652" i="40"/>
  <c r="L653" i="40"/>
  <c r="J15" i="44" a="1"/>
  <c r="J15" i="44" s="1"/>
  <c r="U35" i="43"/>
  <c r="X35" i="43" s="1"/>
  <c r="J42" i="8" s="1"/>
  <c r="M42" i="8" s="1"/>
  <c r="Y42" i="8" s="1"/>
  <c r="W35" i="43"/>
  <c r="Z35" i="43" s="1"/>
  <c r="N42" i="8" s="1"/>
  <c r="Z42" i="8" s="1"/>
  <c r="AF35" i="43"/>
  <c r="AH35" i="43" s="1"/>
  <c r="P42" i="8" s="1"/>
  <c r="Q42" i="8" s="1"/>
  <c r="AA42" i="8" s="1"/>
  <c r="U102" i="43"/>
  <c r="X102" i="43" s="1"/>
  <c r="J21" i="8" s="1"/>
  <c r="K24" i="8"/>
  <c r="P526" i="40" a="1"/>
  <c r="P526" i="40" s="1"/>
  <c r="P550" i="40" a="1"/>
  <c r="P550" i="40" s="1"/>
  <c r="P541" i="40" a="1"/>
  <c r="P541" i="40" s="1"/>
  <c r="P547" i="40" a="1"/>
  <c r="P547" i="40" s="1"/>
  <c r="P544" i="40" a="1"/>
  <c r="P544" i="40" s="1"/>
  <c r="P538" i="40" a="1"/>
  <c r="P538" i="40" s="1"/>
  <c r="P535" i="40" a="1"/>
  <c r="P535" i="40" s="1"/>
  <c r="P529" i="40" a="1"/>
  <c r="P529" i="40" s="1"/>
  <c r="P553" i="40" a="1"/>
  <c r="P553" i="40" s="1"/>
  <c r="G17" i="44" a="1"/>
  <c r="G17" i="44" s="1"/>
  <c r="H17" i="44" a="1"/>
  <c r="H17" i="44" s="1"/>
  <c r="J17" i="44" a="1"/>
  <c r="J17" i="44" s="1"/>
  <c r="F17" i="44" a="1"/>
  <c r="F17" i="44" s="1"/>
  <c r="F16" i="44"/>
  <c r="P1183" i="40" a="1"/>
  <c r="P1183" i="40" s="1"/>
  <c r="P1185" i="40" a="1"/>
  <c r="P1185" i="40" s="1"/>
  <c r="P1187" i="40" a="1"/>
  <c r="P1187" i="40" s="1"/>
  <c r="P1189" i="40" a="1"/>
  <c r="P1189" i="40" s="1"/>
  <c r="P1380" i="40" a="1"/>
  <c r="P1380" i="40" s="1"/>
  <c r="P1381" i="40" a="1"/>
  <c r="P1381" i="40" s="1"/>
  <c r="P1382" i="40" a="1"/>
  <c r="P1382" i="40" s="1"/>
  <c r="P1383" i="40" a="1"/>
  <c r="P1383" i="40" s="1"/>
  <c r="P1385" i="40" a="1"/>
  <c r="P1385" i="40" s="1"/>
  <c r="P1384" i="40" a="1"/>
  <c r="P1384" i="40" s="1"/>
  <c r="P1386" i="40" a="1"/>
  <c r="P1386" i="40" s="1"/>
  <c r="P1387" i="40" a="1"/>
  <c r="P1387" i="40" s="1"/>
  <c r="P1388" i="40" a="1"/>
  <c r="P1388" i="40" s="1"/>
  <c r="P1389" i="40" a="1"/>
  <c r="P1389" i="40" s="1"/>
  <c r="P1390" i="40" a="1"/>
  <c r="P1390" i="40" s="1"/>
  <c r="P1182" i="40" a="1"/>
  <c r="P1182" i="40" s="1"/>
  <c r="P1184" i="40" a="1"/>
  <c r="P1184" i="40" s="1"/>
  <c r="P1186" i="40" a="1"/>
  <c r="P1186" i="40" s="1"/>
  <c r="P1188" i="40" a="1"/>
  <c r="P1188" i="40" s="1"/>
  <c r="P1190" i="40" a="1"/>
  <c r="P1190" i="40" s="1"/>
  <c r="P1192" i="40" a="1"/>
  <c r="P1192" i="40" s="1"/>
  <c r="P1194" i="40" a="1"/>
  <c r="P1194" i="40" s="1"/>
  <c r="P1196" i="40" a="1"/>
  <c r="P1196" i="40" s="1"/>
  <c r="P1198" i="40" a="1"/>
  <c r="P1198" i="40" s="1"/>
  <c r="P1200" i="40" a="1"/>
  <c r="P1200" i="40" s="1"/>
  <c r="P1202" i="40" a="1"/>
  <c r="P1202" i="40" s="1"/>
  <c r="Q1173" i="40" a="1"/>
  <c r="Q1173" i="40" s="1"/>
  <c r="U1173" i="40" s="1"/>
  <c r="O1377" i="40" a="1"/>
  <c r="O1377" i="40" s="1"/>
  <c r="T1377" i="40" s="1"/>
  <c r="O1379" i="40" a="1"/>
  <c r="O1379" i="40" s="1"/>
  <c r="T1379" i="40" s="1"/>
  <c r="R1204" i="40" a="1"/>
  <c r="R1204" i="40" s="1"/>
  <c r="V1204" i="40" s="1"/>
  <c r="R1206" i="40" a="1"/>
  <c r="R1206" i="40" s="1"/>
  <c r="V1206" i="40" s="1"/>
  <c r="R1208" i="40" a="1"/>
  <c r="R1208" i="40" s="1"/>
  <c r="V1208" i="40" s="1"/>
  <c r="R1210" i="40" a="1"/>
  <c r="R1210" i="40" s="1"/>
  <c r="V1210" i="40" s="1"/>
  <c r="R1212" i="40" a="1"/>
  <c r="R1212" i="40" s="1"/>
  <c r="V1212" i="40" s="1"/>
  <c r="R1214" i="40" a="1"/>
  <c r="R1214" i="40" s="1"/>
  <c r="V1214" i="40" s="1"/>
  <c r="R1216" i="40" a="1"/>
  <c r="R1216" i="40" s="1"/>
  <c r="V1216" i="40" s="1"/>
  <c r="R1218" i="40" a="1"/>
  <c r="R1218" i="40" s="1"/>
  <c r="V1218" i="40" s="1"/>
  <c r="R1220" i="40" a="1"/>
  <c r="R1220" i="40" s="1"/>
  <c r="V1220" i="40" s="1"/>
  <c r="R1224" i="40" a="1"/>
  <c r="R1224" i="40" s="1"/>
  <c r="V1224" i="40" s="1"/>
  <c r="R1222" i="40" a="1"/>
  <c r="R1222" i="40" s="1"/>
  <c r="V1222" i="40" s="1"/>
  <c r="R1161" i="40" a="1"/>
  <c r="R1161" i="40" s="1"/>
  <c r="V1161" i="40" s="1"/>
  <c r="R1163" i="40" a="1"/>
  <c r="R1163" i="40" s="1"/>
  <c r="V1163" i="40" s="1"/>
  <c r="R1165" i="40" a="1"/>
  <c r="R1165" i="40" s="1"/>
  <c r="V1165" i="40" s="1"/>
  <c r="R1167" i="40" a="1"/>
  <c r="R1167" i="40" s="1"/>
  <c r="V1167" i="40" s="1"/>
  <c r="R1169" i="40" a="1"/>
  <c r="R1169" i="40" s="1"/>
  <c r="V1169" i="40" s="1"/>
  <c r="R1171" i="40" a="1"/>
  <c r="R1171" i="40" s="1"/>
  <c r="V1171" i="40" s="1"/>
  <c r="R1173" i="40" a="1"/>
  <c r="R1173" i="40" s="1"/>
  <c r="V1173" i="40" s="1"/>
  <c r="R1175" i="40" a="1"/>
  <c r="R1175" i="40" s="1"/>
  <c r="V1175" i="40" s="1"/>
  <c r="R1177" i="40" a="1"/>
  <c r="R1177" i="40" s="1"/>
  <c r="V1177" i="40" s="1"/>
  <c r="R1179" i="40" a="1"/>
  <c r="R1179" i="40" s="1"/>
  <c r="V1179" i="40" s="1"/>
  <c r="R1181" i="40" a="1"/>
  <c r="R1181" i="40" s="1"/>
  <c r="V1181" i="40" s="1"/>
  <c r="P764" i="40" a="1"/>
  <c r="P764" i="40" s="1"/>
  <c r="P765" i="40" a="1"/>
  <c r="P765" i="40" s="1"/>
  <c r="P766" i="40" a="1"/>
  <c r="P766" i="40" s="1"/>
  <c r="P767" i="40" a="1"/>
  <c r="P767" i="40" s="1"/>
  <c r="P768" i="40" a="1"/>
  <c r="P768" i="40" s="1"/>
  <c r="P769" i="40" a="1"/>
  <c r="P769" i="40" s="1"/>
  <c r="P770" i="40" a="1"/>
  <c r="P770" i="40" s="1"/>
  <c r="P771" i="40" a="1"/>
  <c r="P771" i="40" s="1"/>
  <c r="P772" i="40" a="1"/>
  <c r="P772" i="40" s="1"/>
  <c r="P773" i="40" a="1"/>
  <c r="P773" i="40" s="1"/>
  <c r="P774" i="40" a="1"/>
  <c r="P774" i="40" s="1"/>
  <c r="P962" i="40" a="1"/>
  <c r="P962" i="40" s="1"/>
  <c r="P963" i="40" a="1"/>
  <c r="P963" i="40" s="1"/>
  <c r="P964" i="40" a="1"/>
  <c r="P964" i="40" s="1"/>
  <c r="P965" i="40" a="1"/>
  <c r="P965" i="40" s="1"/>
  <c r="P966" i="40" a="1"/>
  <c r="P966" i="40" s="1"/>
  <c r="P967" i="40" a="1"/>
  <c r="P967" i="40" s="1"/>
  <c r="P968" i="40" a="1"/>
  <c r="P968" i="40" s="1"/>
  <c r="P969" i="40" a="1"/>
  <c r="P969" i="40" s="1"/>
  <c r="P970" i="40" a="1"/>
  <c r="P970" i="40" s="1"/>
  <c r="P971" i="40" a="1"/>
  <c r="P971" i="40" s="1"/>
  <c r="P972" i="40" a="1"/>
  <c r="P972" i="40" s="1"/>
  <c r="P841" i="40" a="1"/>
  <c r="P841" i="40" s="1"/>
  <c r="P845" i="40" a="1"/>
  <c r="P845" i="40" s="1"/>
  <c r="P843" i="40" a="1"/>
  <c r="P843" i="40" s="1"/>
  <c r="P847" i="40" a="1"/>
  <c r="P847" i="40" s="1"/>
  <c r="P849" i="40" a="1"/>
  <c r="P849" i="40" s="1"/>
  <c r="P851" i="40" a="1"/>
  <c r="P851" i="40" s="1"/>
  <c r="P853" i="40" a="1"/>
  <c r="P853" i="40" s="1"/>
  <c r="P855" i="40" a="1"/>
  <c r="P855" i="40" s="1"/>
  <c r="P857" i="40" a="1"/>
  <c r="P857" i="40" s="1"/>
  <c r="P859" i="40" a="1"/>
  <c r="P859" i="40" s="1"/>
  <c r="P861" i="40" a="1"/>
  <c r="P861" i="40" s="1"/>
  <c r="P896" i="40" a="1"/>
  <c r="P896" i="40" s="1"/>
  <c r="P898" i="40" a="1"/>
  <c r="P898" i="40" s="1"/>
  <c r="P900" i="40" a="1"/>
  <c r="P900" i="40" s="1"/>
  <c r="P902" i="40" a="1"/>
  <c r="P902" i="40" s="1"/>
  <c r="P904" i="40" a="1"/>
  <c r="P904" i="40" s="1"/>
  <c r="P906" i="40" a="1"/>
  <c r="P906" i="40" s="1"/>
  <c r="P908" i="40" a="1"/>
  <c r="P908" i="40" s="1"/>
  <c r="P910" i="40" a="1"/>
  <c r="P910" i="40" s="1"/>
  <c r="P912" i="40" a="1"/>
  <c r="P912" i="40" s="1"/>
  <c r="P914" i="40" a="1"/>
  <c r="P914" i="40" s="1"/>
  <c r="P916" i="40" a="1"/>
  <c r="P916" i="40" s="1"/>
  <c r="P940" i="40" a="1"/>
  <c r="P940" i="40" s="1"/>
  <c r="P941" i="40" a="1"/>
  <c r="P941" i="40" s="1"/>
  <c r="P942" i="40" a="1"/>
  <c r="P942" i="40" s="1"/>
  <c r="P943" i="40" a="1"/>
  <c r="P943" i="40" s="1"/>
  <c r="P944" i="40" a="1"/>
  <c r="P944" i="40" s="1"/>
  <c r="P945" i="40" a="1"/>
  <c r="P945" i="40" s="1"/>
  <c r="P946" i="40" a="1"/>
  <c r="P946" i="40" s="1"/>
  <c r="P947" i="40" a="1"/>
  <c r="P947" i="40" s="1"/>
  <c r="P948" i="40" a="1"/>
  <c r="P948" i="40" s="1"/>
  <c r="P949" i="40" a="1"/>
  <c r="P949" i="40" s="1"/>
  <c r="P950" i="40" a="1"/>
  <c r="P950" i="40" s="1"/>
  <c r="P709" i="40" a="1"/>
  <c r="P709" i="40" s="1"/>
  <c r="P711" i="40" a="1"/>
  <c r="P711" i="40" s="1"/>
  <c r="P710" i="40" a="1"/>
  <c r="P710" i="40" s="1"/>
  <c r="P712" i="40" a="1"/>
  <c r="P712" i="40" s="1"/>
  <c r="P713" i="40" a="1"/>
  <c r="P713" i="40" s="1"/>
  <c r="P714" i="40" a="1"/>
  <c r="P714" i="40" s="1"/>
  <c r="P715" i="40" a="1"/>
  <c r="P715" i="40" s="1"/>
  <c r="P716" i="40" a="1"/>
  <c r="P716" i="40" s="1"/>
  <c r="P717" i="40" a="1"/>
  <c r="P717" i="40" s="1"/>
  <c r="P718" i="40" a="1"/>
  <c r="P718" i="40" s="1"/>
  <c r="P719" i="40" a="1"/>
  <c r="P719" i="40" s="1"/>
  <c r="R984" i="40" a="1"/>
  <c r="R984" i="40" s="1"/>
  <c r="V984" i="40" s="1"/>
  <c r="R985" i="40" a="1"/>
  <c r="R985" i="40" s="1"/>
  <c r="V985" i="40" s="1"/>
  <c r="R986" i="40" a="1"/>
  <c r="R986" i="40" s="1"/>
  <c r="V986" i="40" s="1"/>
  <c r="R988" i="40" a="1"/>
  <c r="R988" i="40" s="1"/>
  <c r="V988" i="40" s="1"/>
  <c r="R987" i="40" a="1"/>
  <c r="R987" i="40" s="1"/>
  <c r="V987" i="40" s="1"/>
  <c r="R989" i="40" a="1"/>
  <c r="R989" i="40" s="1"/>
  <c r="V989" i="40" s="1"/>
  <c r="R990" i="40" a="1"/>
  <c r="R990" i="40" s="1"/>
  <c r="V990" i="40" s="1"/>
  <c r="R991" i="40" a="1"/>
  <c r="R991" i="40" s="1"/>
  <c r="V991" i="40" s="1"/>
  <c r="R992" i="40" a="1"/>
  <c r="R992" i="40" s="1"/>
  <c r="V992" i="40" s="1"/>
  <c r="R993" i="40" a="1"/>
  <c r="R993" i="40" s="1"/>
  <c r="V993" i="40" s="1"/>
  <c r="R994" i="40" a="1"/>
  <c r="R994" i="40" s="1"/>
  <c r="V994" i="40" s="1"/>
  <c r="P1161" i="40" a="1"/>
  <c r="P1161" i="40" s="1"/>
  <c r="P1163" i="40" a="1"/>
  <c r="P1163" i="40" s="1"/>
  <c r="P1165" i="40" a="1"/>
  <c r="P1165" i="40" s="1"/>
  <c r="P1167" i="40" a="1"/>
  <c r="P1167" i="40" s="1"/>
  <c r="P1169" i="40" a="1"/>
  <c r="P1169" i="40" s="1"/>
  <c r="P1171" i="40" a="1"/>
  <c r="P1171" i="40" s="1"/>
  <c r="P1173" i="40" a="1"/>
  <c r="P1173" i="40" s="1"/>
  <c r="P1175" i="40" a="1"/>
  <c r="P1175" i="40" s="1"/>
  <c r="P1177" i="40" a="1"/>
  <c r="P1177" i="40" s="1"/>
  <c r="P1179" i="40" a="1"/>
  <c r="P1179" i="40" s="1"/>
  <c r="P1181" i="40" a="1"/>
  <c r="P1181" i="40" s="1"/>
  <c r="P808" i="40" a="1"/>
  <c r="P808" i="40" s="1"/>
  <c r="P811" i="40" a="1"/>
  <c r="P811" i="40" s="1"/>
  <c r="P814" i="40" a="1"/>
  <c r="P814" i="40" s="1"/>
  <c r="P817" i="40" a="1"/>
  <c r="P817" i="40" s="1"/>
  <c r="P820" i="40" a="1"/>
  <c r="P820" i="40" s="1"/>
  <c r="P823" i="40" a="1"/>
  <c r="P823" i="40" s="1"/>
  <c r="P826" i="40" a="1"/>
  <c r="P826" i="40" s="1"/>
  <c r="P829" i="40" a="1"/>
  <c r="P829" i="40" s="1"/>
  <c r="P832" i="40" a="1"/>
  <c r="P832" i="40" s="1"/>
  <c r="P835" i="40" a="1"/>
  <c r="P835" i="40" s="1"/>
  <c r="P838" i="40" a="1"/>
  <c r="P838" i="40" s="1"/>
  <c r="P1227" i="40" a="1"/>
  <c r="P1227" i="40" s="1"/>
  <c r="P1230" i="40" a="1"/>
  <c r="P1230" i="40" s="1"/>
  <c r="P1233" i="40" a="1"/>
  <c r="P1233" i="40" s="1"/>
  <c r="P1236" i="40" a="1"/>
  <c r="P1236" i="40" s="1"/>
  <c r="P1239" i="40" a="1"/>
  <c r="P1239" i="40" s="1"/>
  <c r="P1242" i="40" a="1"/>
  <c r="P1242" i="40" s="1"/>
  <c r="P1245" i="40" a="1"/>
  <c r="P1245" i="40" s="1"/>
  <c r="P1248" i="40" a="1"/>
  <c r="P1248" i="40" s="1"/>
  <c r="P1251" i="40" a="1"/>
  <c r="P1251" i="40" s="1"/>
  <c r="P1254" i="40" a="1"/>
  <c r="P1254" i="40" s="1"/>
  <c r="P1257" i="40" a="1"/>
  <c r="P1257" i="40" s="1"/>
  <c r="P1281" i="40" a="1"/>
  <c r="P1281" i="40" s="1"/>
  <c r="P1282" i="40" a="1"/>
  <c r="P1282" i="40" s="1"/>
  <c r="P1283" i="40" a="1"/>
  <c r="P1283" i="40" s="1"/>
  <c r="P1284" i="40" a="1"/>
  <c r="P1284" i="40" s="1"/>
  <c r="P1285" i="40" a="1"/>
  <c r="P1285" i="40" s="1"/>
  <c r="P1286" i="40" a="1"/>
  <c r="P1286" i="40" s="1"/>
  <c r="P1287" i="40" a="1"/>
  <c r="P1287" i="40" s="1"/>
  <c r="P1288" i="40" a="1"/>
  <c r="P1288" i="40" s="1"/>
  <c r="P1289" i="40" a="1"/>
  <c r="P1289" i="40" s="1"/>
  <c r="P1290" i="40" a="1"/>
  <c r="P1290" i="40" s="1"/>
  <c r="P1291" i="40" a="1"/>
  <c r="P1291" i="40" s="1"/>
  <c r="P1083" i="40" a="1"/>
  <c r="P1083" i="40" s="1"/>
  <c r="P1087" i="40" a="1"/>
  <c r="P1087" i="40" s="1"/>
  <c r="P1091" i="40" a="1"/>
  <c r="P1091" i="40" s="1"/>
  <c r="P1095" i="40" a="1"/>
  <c r="P1095" i="40" s="1"/>
  <c r="P1099" i="40" a="1"/>
  <c r="P1099" i="40" s="1"/>
  <c r="P1103" i="40" a="1"/>
  <c r="P1103" i="40" s="1"/>
  <c r="P1107" i="40" a="1"/>
  <c r="P1107" i="40" s="1"/>
  <c r="P1111" i="40" a="1"/>
  <c r="P1111" i="40" s="1"/>
  <c r="P1115" i="40" a="1"/>
  <c r="P1115" i="40" s="1"/>
  <c r="P1119" i="40" a="1"/>
  <c r="P1119" i="40" s="1"/>
  <c r="P1123" i="40" a="1"/>
  <c r="P1123" i="40" s="1"/>
  <c r="P864" i="40" a="1"/>
  <c r="P864" i="40" s="1"/>
  <c r="P866" i="40" a="1"/>
  <c r="P866" i="40" s="1"/>
  <c r="P868" i="40" a="1"/>
  <c r="P868" i="40" s="1"/>
  <c r="P870" i="40" a="1"/>
  <c r="P870" i="40" s="1"/>
  <c r="P872" i="40" a="1"/>
  <c r="P872" i="40" s="1"/>
  <c r="P874" i="40" a="1"/>
  <c r="P874" i="40" s="1"/>
  <c r="P876" i="40" a="1"/>
  <c r="P876" i="40" s="1"/>
  <c r="P878" i="40" a="1"/>
  <c r="P878" i="40" s="1"/>
  <c r="P880" i="40" a="1"/>
  <c r="P880" i="40" s="1"/>
  <c r="P882" i="40" a="1"/>
  <c r="P882" i="40" s="1"/>
  <c r="P884" i="40" a="1"/>
  <c r="P884" i="40" s="1"/>
  <c r="P1149" i="40" a="1"/>
  <c r="P1149" i="40" s="1"/>
  <c r="P1150" i="40" a="1"/>
  <c r="P1150" i="40" s="1"/>
  <c r="P1151" i="40" a="1"/>
  <c r="P1151" i="40" s="1"/>
  <c r="P1152" i="40" a="1"/>
  <c r="P1152" i="40" s="1"/>
  <c r="P1153" i="40" a="1"/>
  <c r="P1153" i="40" s="1"/>
  <c r="P1154" i="40" a="1"/>
  <c r="P1154" i="40" s="1"/>
  <c r="P1155" i="40" a="1"/>
  <c r="P1155" i="40" s="1"/>
  <c r="P1156" i="40" a="1"/>
  <c r="P1156" i="40" s="1"/>
  <c r="P1157" i="40" a="1"/>
  <c r="P1157" i="40" s="1"/>
  <c r="P1158" i="40" a="1"/>
  <c r="P1158" i="40" s="1"/>
  <c r="P1159" i="40" a="1"/>
  <c r="P1159" i="40" s="1"/>
  <c r="P1402" i="40" a="1"/>
  <c r="P1402" i="40" s="1"/>
  <c r="P1403" i="40" a="1"/>
  <c r="P1403" i="40" s="1"/>
  <c r="P1404" i="40" a="1"/>
  <c r="P1404" i="40" s="1"/>
  <c r="P1405" i="40" a="1"/>
  <c r="P1405" i="40" s="1"/>
  <c r="P1406" i="40" a="1"/>
  <c r="P1406" i="40" s="1"/>
  <c r="P1407" i="40" a="1"/>
  <c r="P1407" i="40" s="1"/>
  <c r="P1408" i="40" a="1"/>
  <c r="P1408" i="40" s="1"/>
  <c r="P1409" i="40" a="1"/>
  <c r="P1409" i="40" s="1"/>
  <c r="P1410" i="40" a="1"/>
  <c r="P1410" i="40" s="1"/>
  <c r="P1411" i="40" a="1"/>
  <c r="P1411" i="40" s="1"/>
  <c r="P1412" i="40" a="1"/>
  <c r="P1412" i="40" s="1"/>
  <c r="P1160" i="40" a="1"/>
  <c r="P1160" i="40" s="1"/>
  <c r="P1162" i="40" a="1"/>
  <c r="P1162" i="40" s="1"/>
  <c r="P1164" i="40" a="1"/>
  <c r="P1164" i="40" s="1"/>
  <c r="P1166" i="40" a="1"/>
  <c r="P1166" i="40" s="1"/>
  <c r="P1168" i="40" a="1"/>
  <c r="P1168" i="40" s="1"/>
  <c r="P1170" i="40" a="1"/>
  <c r="P1170" i="40" s="1"/>
  <c r="P1172" i="40" a="1"/>
  <c r="P1172" i="40" s="1"/>
  <c r="P1174" i="40" a="1"/>
  <c r="P1174" i="40" s="1"/>
  <c r="P1176" i="40" a="1"/>
  <c r="P1176" i="40" s="1"/>
  <c r="P1178" i="40" a="1"/>
  <c r="P1178" i="40" s="1"/>
  <c r="P1180" i="40" a="1"/>
  <c r="P1180" i="40" s="1"/>
  <c r="P1127" i="40" a="1"/>
  <c r="P1127" i="40" s="1"/>
  <c r="P1128" i="40" a="1"/>
  <c r="P1128" i="40" s="1"/>
  <c r="P1129" i="40" a="1"/>
  <c r="P1129" i="40" s="1"/>
  <c r="P1130" i="40" a="1"/>
  <c r="P1130" i="40" s="1"/>
  <c r="P1131" i="40" a="1"/>
  <c r="P1131" i="40" s="1"/>
  <c r="P1132" i="40" a="1"/>
  <c r="P1132" i="40" s="1"/>
  <c r="P1133" i="40" a="1"/>
  <c r="P1133" i="40" s="1"/>
  <c r="P1134" i="40" a="1"/>
  <c r="P1134" i="40" s="1"/>
  <c r="P1135" i="40" a="1"/>
  <c r="P1135" i="40" s="1"/>
  <c r="P1136" i="40" a="1"/>
  <c r="P1136" i="40" s="1"/>
  <c r="P1137" i="40" a="1"/>
  <c r="P1137" i="40" s="1"/>
  <c r="P836" i="40" a="1"/>
  <c r="P836" i="40" s="1"/>
  <c r="P839" i="40" a="1"/>
  <c r="P839" i="40" s="1"/>
  <c r="P1228" i="40" a="1"/>
  <c r="P1228" i="40" s="1"/>
  <c r="P1231" i="40" a="1"/>
  <c r="P1231" i="40" s="1"/>
  <c r="P1234" i="40" a="1"/>
  <c r="P1234" i="40" s="1"/>
  <c r="P1237" i="40" a="1"/>
  <c r="P1237" i="40" s="1"/>
  <c r="P1243" i="40" a="1"/>
  <c r="P1243" i="40" s="1"/>
  <c r="P1240" i="40" a="1"/>
  <c r="P1240" i="40" s="1"/>
  <c r="P1246" i="40" a="1"/>
  <c r="P1246" i="40" s="1"/>
  <c r="P1249" i="40" a="1"/>
  <c r="P1249" i="40" s="1"/>
  <c r="P1252" i="40" a="1"/>
  <c r="P1252" i="40" s="1"/>
  <c r="P1255" i="40" a="1"/>
  <c r="P1255" i="40" s="1"/>
  <c r="P1258" i="40" a="1"/>
  <c r="P1258" i="40" s="1"/>
  <c r="P753" i="40" a="1"/>
  <c r="P753" i="40" s="1"/>
  <c r="P754" i="40" a="1"/>
  <c r="P754" i="40" s="1"/>
  <c r="P755" i="40" a="1"/>
  <c r="P755" i="40" s="1"/>
  <c r="P756" i="40" a="1"/>
  <c r="P756" i="40" s="1"/>
  <c r="P757" i="40" a="1"/>
  <c r="P757" i="40" s="1"/>
  <c r="P758" i="40" a="1"/>
  <c r="P758" i="40" s="1"/>
  <c r="P759" i="40" a="1"/>
  <c r="P759" i="40" s="1"/>
  <c r="P760" i="40" a="1"/>
  <c r="P760" i="40" s="1"/>
  <c r="P761" i="40" a="1"/>
  <c r="P761" i="40" s="1"/>
  <c r="P762" i="40" a="1"/>
  <c r="P762" i="40" s="1"/>
  <c r="P763" i="40" a="1"/>
  <c r="P763" i="40" s="1"/>
  <c r="P951" i="40" a="1"/>
  <c r="P951" i="40" s="1"/>
  <c r="P952" i="40" a="1"/>
  <c r="P952" i="40" s="1"/>
  <c r="P953" i="40" a="1"/>
  <c r="P953" i="40" s="1"/>
  <c r="P954" i="40" a="1"/>
  <c r="P954" i="40" s="1"/>
  <c r="P955" i="40" a="1"/>
  <c r="P955" i="40" s="1"/>
  <c r="P956" i="40" a="1"/>
  <c r="P956" i="40" s="1"/>
  <c r="P957" i="40" a="1"/>
  <c r="P957" i="40" s="1"/>
  <c r="P958" i="40" a="1"/>
  <c r="P958" i="40" s="1"/>
  <c r="P959" i="40" a="1"/>
  <c r="P959" i="40" s="1"/>
  <c r="P960" i="40" a="1"/>
  <c r="P960" i="40" s="1"/>
  <c r="P961" i="40" a="1"/>
  <c r="P961" i="40" s="1"/>
  <c r="P1205" i="40" a="1"/>
  <c r="P1205" i="40" s="1"/>
  <c r="P1207" i="40" a="1"/>
  <c r="P1207" i="40" s="1"/>
  <c r="P1209" i="40" a="1"/>
  <c r="P1209" i="40" s="1"/>
  <c r="P1211" i="40" a="1"/>
  <c r="P1211" i="40" s="1"/>
  <c r="P1213" i="40" a="1"/>
  <c r="P1213" i="40" s="1"/>
  <c r="P1215" i="40" a="1"/>
  <c r="P1215" i="40" s="1"/>
  <c r="P1217" i="40" a="1"/>
  <c r="P1217" i="40" s="1"/>
  <c r="P1219" i="40" a="1"/>
  <c r="P1219" i="40" s="1"/>
  <c r="P1221" i="40" a="1"/>
  <c r="P1221" i="40" s="1"/>
  <c r="P1223" i="40" a="1"/>
  <c r="P1223" i="40" s="1"/>
  <c r="P1225" i="40" a="1"/>
  <c r="P1225" i="40" s="1"/>
  <c r="P1042" i="40" a="1"/>
  <c r="P1042" i="40" s="1"/>
  <c r="P1046" i="40" a="1"/>
  <c r="P1046" i="40" s="1"/>
  <c r="P1050" i="40" a="1"/>
  <c r="P1050" i="40" s="1"/>
  <c r="P1054" i="40" a="1"/>
  <c r="P1054" i="40" s="1"/>
  <c r="P1058" i="40" a="1"/>
  <c r="P1058" i="40" s="1"/>
  <c r="P1062" i="40" a="1"/>
  <c r="P1062" i="40" s="1"/>
  <c r="P1066" i="40" a="1"/>
  <c r="P1066" i="40" s="1"/>
  <c r="P1070" i="40" a="1"/>
  <c r="P1070" i="40" s="1"/>
  <c r="P1074" i="40" a="1"/>
  <c r="P1074" i="40" s="1"/>
  <c r="P1078" i="40" a="1"/>
  <c r="P1078" i="40" s="1"/>
  <c r="P1082" i="40" a="1"/>
  <c r="P1082" i="40" s="1"/>
  <c r="J375" i="42"/>
  <c r="J374" i="42"/>
  <c r="J746" i="42"/>
  <c r="J365" i="42"/>
  <c r="J737" i="42"/>
  <c r="J357" i="42"/>
  <c r="J729" i="42"/>
  <c r="J372" i="42"/>
  <c r="J744" i="42"/>
  <c r="J743" i="42"/>
  <c r="J371" i="42"/>
  <c r="J742" i="42"/>
  <c r="J370" i="42"/>
  <c r="J734" i="42"/>
  <c r="J362" i="42"/>
  <c r="J741" i="42"/>
  <c r="J369" i="42"/>
  <c r="J748" i="42"/>
  <c r="J376" i="42"/>
  <c r="J740" i="42"/>
  <c r="J368" i="42"/>
  <c r="AB71" i="43" a="1"/>
  <c r="AB71" i="43" s="1"/>
  <c r="AB72" i="43" a="1"/>
  <c r="AB72" i="43" s="1"/>
  <c r="O38" i="8" a="1"/>
  <c r="O38" i="8" s="1"/>
  <c r="P30" i="40" s="1" a="1"/>
  <c r="P30" i="40" s="1"/>
  <c r="P447" i="40" a="1"/>
  <c r="P447" i="40" s="1"/>
  <c r="P446" i="40" a="1"/>
  <c r="P446" i="40" s="1"/>
  <c r="P448" i="40" a="1"/>
  <c r="P448" i="40" s="1"/>
  <c r="P449" i="40" a="1"/>
  <c r="P449" i="40" s="1"/>
  <c r="P450" i="40" a="1"/>
  <c r="P450" i="40" s="1"/>
  <c r="P451" i="40" a="1"/>
  <c r="P451" i="40" s="1"/>
  <c r="P452" i="40" a="1"/>
  <c r="P452" i="40" s="1"/>
  <c r="P453" i="40" a="1"/>
  <c r="P453" i="40" s="1"/>
  <c r="P454" i="40" a="1"/>
  <c r="P454" i="40" s="1"/>
  <c r="P455" i="40" a="1"/>
  <c r="P455" i="40" s="1"/>
  <c r="P145" i="40" a="1"/>
  <c r="P145" i="40" s="1"/>
  <c r="P141" i="40" a="1"/>
  <c r="P141" i="40" s="1"/>
  <c r="P139" i="40" a="1"/>
  <c r="P139" i="40" s="1"/>
  <c r="P143" i="40" a="1"/>
  <c r="P143" i="40" s="1"/>
  <c r="P147" i="40" a="1"/>
  <c r="P147" i="40" s="1"/>
  <c r="P149" i="40" a="1"/>
  <c r="P149" i="40" s="1"/>
  <c r="P151" i="40" a="1"/>
  <c r="P151" i="40" s="1"/>
  <c r="P153" i="40" a="1"/>
  <c r="P153" i="40" s="1"/>
  <c r="P155" i="40" a="1"/>
  <c r="P155" i="40" s="1"/>
  <c r="P157" i="40" a="1"/>
  <c r="P157" i="40" s="1"/>
  <c r="P248" i="40" a="1"/>
  <c r="P248" i="40" s="1"/>
  <c r="P249" i="40" a="1"/>
  <c r="P249" i="40" s="1"/>
  <c r="P250" i="40" a="1"/>
  <c r="P250" i="40" s="1"/>
  <c r="P251" i="40" a="1"/>
  <c r="P251" i="40" s="1"/>
  <c r="P252" i="40" a="1"/>
  <c r="P252" i="40" s="1"/>
  <c r="P253" i="40" a="1"/>
  <c r="P253" i="40" s="1"/>
  <c r="P254" i="40" a="1"/>
  <c r="P254" i="40" s="1"/>
  <c r="P255" i="40" a="1"/>
  <c r="P255" i="40" s="1"/>
  <c r="P256" i="40" a="1"/>
  <c r="P256" i="40" s="1"/>
  <c r="P257" i="40" a="1"/>
  <c r="P257" i="40" s="1"/>
  <c r="P196" i="40" a="1"/>
  <c r="P196" i="40" s="1"/>
  <c r="P194" i="40" a="1"/>
  <c r="P194" i="40" s="1"/>
  <c r="P198" i="40" a="1"/>
  <c r="P198" i="40" s="1"/>
  <c r="P200" i="40" a="1"/>
  <c r="P200" i="40" s="1"/>
  <c r="P202" i="40" a="1"/>
  <c r="P202" i="40" s="1"/>
  <c r="P204" i="40" a="1"/>
  <c r="P204" i="40" s="1"/>
  <c r="P206" i="40" a="1"/>
  <c r="P206" i="40" s="1"/>
  <c r="P208" i="40" a="1"/>
  <c r="P208" i="40" s="1"/>
  <c r="P210" i="40" a="1"/>
  <c r="P210" i="40" s="1"/>
  <c r="P212" i="40" a="1"/>
  <c r="P212" i="40" s="1"/>
  <c r="P699" i="40" a="1"/>
  <c r="P699" i="40" s="1"/>
  <c r="P701" i="40" a="1"/>
  <c r="P701" i="40" s="1"/>
  <c r="P702" i="40" a="1"/>
  <c r="P702" i="40" s="1"/>
  <c r="P700" i="40" a="1"/>
  <c r="P700" i="40" s="1"/>
  <c r="P703" i="40" a="1"/>
  <c r="P703" i="40" s="1"/>
  <c r="P704" i="40" a="1"/>
  <c r="P704" i="40" s="1"/>
  <c r="P705" i="40" a="1"/>
  <c r="P705" i="40" s="1"/>
  <c r="P706" i="40" a="1"/>
  <c r="P706" i="40" s="1"/>
  <c r="P707" i="40" a="1"/>
  <c r="P707" i="40" s="1"/>
  <c r="P708" i="40" a="1"/>
  <c r="P708" i="40" s="1"/>
  <c r="P61" i="40" a="1"/>
  <c r="P61" i="40" s="1"/>
  <c r="P62" i="40" a="1"/>
  <c r="P62" i="40" s="1"/>
  <c r="P63" i="40" a="1"/>
  <c r="P63" i="40" s="1"/>
  <c r="P65" i="40" a="1"/>
  <c r="P65" i="40" s="1"/>
  <c r="P64" i="40" a="1"/>
  <c r="P64" i="40" s="1"/>
  <c r="P66" i="40" a="1"/>
  <c r="P66" i="40" s="1"/>
  <c r="P67" i="40" a="1"/>
  <c r="P67" i="40" s="1"/>
  <c r="P68" i="40" a="1"/>
  <c r="P68" i="40" s="1"/>
  <c r="P69" i="40" a="1"/>
  <c r="P69" i="40" s="1"/>
  <c r="P70" i="40" a="1"/>
  <c r="P70" i="40" s="1"/>
  <c r="P503" i="40" a="1"/>
  <c r="P503" i="40" s="1"/>
  <c r="P505" i="40" a="1"/>
  <c r="P505" i="40" s="1"/>
  <c r="P507" i="40" a="1"/>
  <c r="P507" i="40" s="1"/>
  <c r="P509" i="40" a="1"/>
  <c r="P509" i="40" s="1"/>
  <c r="P511" i="40" a="1"/>
  <c r="P511" i="40" s="1"/>
  <c r="P513" i="40" a="1"/>
  <c r="P513" i="40" s="1"/>
  <c r="P515" i="40" a="1"/>
  <c r="P515" i="40" s="1"/>
  <c r="P517" i="40" a="1"/>
  <c r="P517" i="40" s="1"/>
  <c r="P519" i="40" a="1"/>
  <c r="P519" i="40" s="1"/>
  <c r="P521" i="40" a="1"/>
  <c r="P521" i="40" s="1"/>
  <c r="P113" i="40" a="1"/>
  <c r="P113" i="40" s="1"/>
  <c r="P110" i="40" a="1"/>
  <c r="P110" i="40" s="1"/>
  <c r="P107" i="40" a="1"/>
  <c r="P107" i="40" s="1"/>
  <c r="P116" i="40" a="1"/>
  <c r="P116" i="40" s="1"/>
  <c r="P119" i="40" a="1"/>
  <c r="P119" i="40" s="1"/>
  <c r="P122" i="40" a="1"/>
  <c r="P122" i="40" s="1"/>
  <c r="P128" i="40" a="1"/>
  <c r="P128" i="40" s="1"/>
  <c r="P125" i="40" a="1"/>
  <c r="P125" i="40" s="1"/>
  <c r="P131" i="40" a="1"/>
  <c r="P131" i="40" s="1"/>
  <c r="P134" i="40" a="1"/>
  <c r="P134" i="40" s="1"/>
  <c r="P162" i="40" a="1"/>
  <c r="P162" i="40" s="1"/>
  <c r="P164" i="40" a="1"/>
  <c r="P164" i="40" s="1"/>
  <c r="P166" i="40" a="1"/>
  <c r="P166" i="40" s="1"/>
  <c r="P168" i="40" a="1"/>
  <c r="P168" i="40" s="1"/>
  <c r="P170" i="40" a="1"/>
  <c r="P170" i="40" s="1"/>
  <c r="P172" i="40" a="1"/>
  <c r="P172" i="40" s="1"/>
  <c r="P174" i="40" a="1"/>
  <c r="P174" i="40" s="1"/>
  <c r="P176" i="40" a="1"/>
  <c r="P176" i="40" s="1"/>
  <c r="P178" i="40" a="1"/>
  <c r="P178" i="40" s="1"/>
  <c r="P180" i="40" a="1"/>
  <c r="P180" i="40" s="1"/>
  <c r="P527" i="40" a="1"/>
  <c r="P527" i="40" s="1"/>
  <c r="P530" i="40" a="1"/>
  <c r="P530" i="40" s="1"/>
  <c r="P533" i="40" a="1"/>
  <c r="P533" i="40" s="1"/>
  <c r="P536" i="40" a="1"/>
  <c r="P536" i="40" s="1"/>
  <c r="P539" i="40" a="1"/>
  <c r="P539" i="40" s="1"/>
  <c r="P542" i="40" a="1"/>
  <c r="P542" i="40" s="1"/>
  <c r="P545" i="40" a="1"/>
  <c r="P545" i="40" s="1"/>
  <c r="P548" i="40" a="1"/>
  <c r="P548" i="40" s="1"/>
  <c r="P551" i="40" a="1"/>
  <c r="P551" i="40" s="1"/>
  <c r="P554" i="40" a="1"/>
  <c r="P554" i="40" s="1"/>
  <c r="P6" i="40" a="1"/>
  <c r="P6" i="40" s="1"/>
  <c r="P7" i="40" a="1"/>
  <c r="P7" i="40" s="1"/>
  <c r="P8" i="40" a="1"/>
  <c r="P8" i="40" s="1"/>
  <c r="P9" i="40" a="1"/>
  <c r="P9" i="40" s="1"/>
  <c r="P11" i="40" a="1"/>
  <c r="P11" i="40" s="1"/>
  <c r="P10" i="40" a="1"/>
  <c r="P10" i="40" s="1"/>
  <c r="P12" i="40" a="1"/>
  <c r="P12" i="40" s="1"/>
  <c r="P13" i="40" a="1"/>
  <c r="P13" i="40" s="1"/>
  <c r="P14" i="40" a="1"/>
  <c r="P14" i="40" s="1"/>
  <c r="P15" i="40" a="1"/>
  <c r="P15" i="40" s="1"/>
  <c r="P237" i="40" a="1"/>
  <c r="P237" i="40" s="1"/>
  <c r="P238" i="40" a="1"/>
  <c r="P238" i="40" s="1"/>
  <c r="P239" i="40" a="1"/>
  <c r="P239" i="40" s="1"/>
  <c r="P240" i="40" a="1"/>
  <c r="P240" i="40" s="1"/>
  <c r="P241" i="40" a="1"/>
  <c r="P241" i="40" s="1"/>
  <c r="P242" i="40" a="1"/>
  <c r="P242" i="40" s="1"/>
  <c r="P243" i="40" a="1"/>
  <c r="P243" i="40" s="1"/>
  <c r="P244" i="40" a="1"/>
  <c r="P244" i="40" s="1"/>
  <c r="P245" i="40" a="1"/>
  <c r="P245" i="40" s="1"/>
  <c r="P246" i="40" a="1"/>
  <c r="P246" i="40" s="1"/>
  <c r="P578" i="40" a="1"/>
  <c r="P578" i="40" s="1"/>
  <c r="P579" i="40" a="1"/>
  <c r="P579" i="40" s="1"/>
  <c r="P581" i="40" a="1"/>
  <c r="P581" i="40" s="1"/>
  <c r="P580" i="40" a="1"/>
  <c r="P580" i="40" s="1"/>
  <c r="P583" i="40" a="1"/>
  <c r="P583" i="40" s="1"/>
  <c r="P584" i="40" a="1"/>
  <c r="P584" i="40" s="1"/>
  <c r="P582" i="40" a="1"/>
  <c r="P582" i="40" s="1"/>
  <c r="P585" i="40" a="1"/>
  <c r="P585" i="40" s="1"/>
  <c r="P586" i="40" a="1"/>
  <c r="P586" i="40" s="1"/>
  <c r="P587" i="40" a="1"/>
  <c r="P587" i="40" s="1"/>
  <c r="P129" i="40" a="1"/>
  <c r="P129" i="40" s="1"/>
  <c r="P132" i="40" a="1"/>
  <c r="P132" i="40" s="1"/>
  <c r="P480" i="40" a="1"/>
  <c r="P480" i="40" s="1"/>
  <c r="P482" i="40" a="1"/>
  <c r="P482" i="40" s="1"/>
  <c r="P484" i="40" a="1"/>
  <c r="P484" i="40" s="1"/>
  <c r="P486" i="40" a="1"/>
  <c r="P486" i="40" s="1"/>
  <c r="P488" i="40" a="1"/>
  <c r="P488" i="40" s="1"/>
  <c r="P490" i="40" a="1"/>
  <c r="P490" i="40" s="1"/>
  <c r="P492" i="40" a="1"/>
  <c r="P492" i="40" s="1"/>
  <c r="P494" i="40" a="1"/>
  <c r="P494" i="40" s="1"/>
  <c r="P496" i="40" a="1"/>
  <c r="P496" i="40" s="1"/>
  <c r="P498" i="40" a="1"/>
  <c r="P498" i="40" s="1"/>
  <c r="P458" i="40" a="1"/>
  <c r="P458" i="40" s="1"/>
  <c r="P460" i="40" a="1"/>
  <c r="P460" i="40" s="1"/>
  <c r="P462" i="40" a="1"/>
  <c r="P462" i="40" s="1"/>
  <c r="P464" i="40" a="1"/>
  <c r="P464" i="40" s="1"/>
  <c r="P466" i="40" a="1"/>
  <c r="P466" i="40" s="1"/>
  <c r="P468" i="40" a="1"/>
  <c r="P468" i="40" s="1"/>
  <c r="P470" i="40" a="1"/>
  <c r="P470" i="40" s="1"/>
  <c r="P472" i="40" a="1"/>
  <c r="P472" i="40" s="1"/>
  <c r="P474" i="40" a="1"/>
  <c r="P474" i="40" s="1"/>
  <c r="P476" i="40" a="1"/>
  <c r="P476" i="40" s="1"/>
  <c r="P424" i="40" a="1"/>
  <c r="P424" i="40" s="1"/>
  <c r="P425" i="40" a="1"/>
  <c r="P425" i="40" s="1"/>
  <c r="P426" i="40" a="1"/>
  <c r="P426" i="40" s="1"/>
  <c r="P427" i="40" a="1"/>
  <c r="P427" i="40" s="1"/>
  <c r="P428" i="40" a="1"/>
  <c r="P428" i="40" s="1"/>
  <c r="P429" i="40" a="1"/>
  <c r="P429" i="40" s="1"/>
  <c r="P430" i="40" a="1"/>
  <c r="P430" i="40" s="1"/>
  <c r="P431" i="40" a="1"/>
  <c r="P431" i="40" s="1"/>
  <c r="P432" i="40" a="1"/>
  <c r="P432" i="40" s="1"/>
  <c r="P433" i="40" a="1"/>
  <c r="P433" i="40" s="1"/>
  <c r="P459" i="40" a="1"/>
  <c r="P459" i="40" s="1"/>
  <c r="P461" i="40" a="1"/>
  <c r="P461" i="40" s="1"/>
  <c r="P463" i="40" a="1"/>
  <c r="P463" i="40" s="1"/>
  <c r="P465" i="40" a="1"/>
  <c r="P465" i="40" s="1"/>
  <c r="P467" i="40" a="1"/>
  <c r="P467" i="40" s="1"/>
  <c r="P469" i="40" a="1"/>
  <c r="P469" i="40" s="1"/>
  <c r="P471" i="40" a="1"/>
  <c r="P471" i="40" s="1"/>
  <c r="P473" i="40" a="1"/>
  <c r="P473" i="40" s="1"/>
  <c r="P475" i="40" a="1"/>
  <c r="P475" i="40" s="1"/>
  <c r="P477" i="40" a="1"/>
  <c r="P477" i="40" s="1"/>
  <c r="P391" i="40" a="1"/>
  <c r="P391" i="40" s="1"/>
  <c r="P383" i="40" a="1"/>
  <c r="P383" i="40" s="1"/>
  <c r="P387" i="40" a="1"/>
  <c r="P387" i="40" s="1"/>
  <c r="P395" i="40" a="1"/>
  <c r="P395" i="40" s="1"/>
  <c r="P399" i="40" a="1"/>
  <c r="P399" i="40" s="1"/>
  <c r="P403" i="40" a="1"/>
  <c r="P403" i="40" s="1"/>
  <c r="P407" i="40" a="1"/>
  <c r="P407" i="40" s="1"/>
  <c r="P411" i="40" a="1"/>
  <c r="P411" i="40" s="1"/>
  <c r="P415" i="40" a="1"/>
  <c r="P415" i="40" s="1"/>
  <c r="P419" i="40" a="1"/>
  <c r="P419" i="40" s="1"/>
  <c r="P50" i="40" a="1"/>
  <c r="P50" i="40" s="1"/>
  <c r="P51" i="40" a="1"/>
  <c r="P51" i="40" s="1"/>
  <c r="P52" i="40" a="1"/>
  <c r="P52" i="40" s="1"/>
  <c r="P53" i="40" a="1"/>
  <c r="P53" i="40" s="1"/>
  <c r="P54" i="40" a="1"/>
  <c r="P54" i="40" s="1"/>
  <c r="P55" i="40" a="1"/>
  <c r="P55" i="40" s="1"/>
  <c r="P56" i="40" a="1"/>
  <c r="P56" i="40" s="1"/>
  <c r="P57" i="40" a="1"/>
  <c r="P57" i="40" s="1"/>
  <c r="P58" i="40" a="1"/>
  <c r="P58" i="40" s="1"/>
  <c r="P59" i="40" a="1"/>
  <c r="P59" i="40" s="1"/>
  <c r="P260" i="40" a="1"/>
  <c r="P260" i="40" s="1"/>
  <c r="P259" i="40" a="1"/>
  <c r="P259" i="40" s="1"/>
  <c r="P261" i="40" a="1"/>
  <c r="P261" i="40" s="1"/>
  <c r="P262" i="40" a="1"/>
  <c r="P262" i="40" s="1"/>
  <c r="P263" i="40" a="1"/>
  <c r="P263" i="40" s="1"/>
  <c r="P264" i="40" a="1"/>
  <c r="P264" i="40" s="1"/>
  <c r="P265" i="40" a="1"/>
  <c r="P265" i="40" s="1"/>
  <c r="P266" i="40" a="1"/>
  <c r="P266" i="40" s="1"/>
  <c r="P267" i="40" a="1"/>
  <c r="P267" i="40" s="1"/>
  <c r="P268" i="40" a="1"/>
  <c r="P268" i="40" s="1"/>
  <c r="P485" i="40" a="1"/>
  <c r="P485" i="40" s="1"/>
  <c r="P487" i="40" a="1"/>
  <c r="P487" i="40" s="1"/>
  <c r="P489" i="40" a="1"/>
  <c r="P489" i="40" s="1"/>
  <c r="P491" i="40" a="1"/>
  <c r="P491" i="40" s="1"/>
  <c r="P342" i="40" a="1"/>
  <c r="P342" i="40" s="1"/>
  <c r="P346" i="40" a="1"/>
  <c r="P346" i="40" s="1"/>
  <c r="P350" i="40" a="1"/>
  <c r="P350" i="40" s="1"/>
  <c r="P354" i="40" a="1"/>
  <c r="P354" i="40" s="1"/>
  <c r="P358" i="40" a="1"/>
  <c r="P358" i="40" s="1"/>
  <c r="P362" i="40" a="1"/>
  <c r="P362" i="40" s="1"/>
  <c r="P366" i="40" a="1"/>
  <c r="P366" i="40" s="1"/>
  <c r="P370" i="40" a="1"/>
  <c r="P370" i="40" s="1"/>
  <c r="P374" i="40" a="1"/>
  <c r="P374" i="40" s="1"/>
  <c r="P378" i="40" a="1"/>
  <c r="P378" i="40" s="1"/>
  <c r="N27" i="8"/>
  <c r="Z27" i="8" s="1"/>
  <c r="O27" i="8" a="1"/>
  <c r="O27" i="8" s="1"/>
  <c r="K17" i="8"/>
  <c r="O17" i="8" a="1"/>
  <c r="O17" i="8" s="1"/>
  <c r="K40" i="8"/>
  <c r="O40" i="8" a="1"/>
  <c r="O40" i="8" s="1"/>
  <c r="J9" i="8"/>
  <c r="O9" i="8" a="1"/>
  <c r="O9" i="8" s="1"/>
  <c r="K12" i="8"/>
  <c r="O12" i="8" a="1"/>
  <c r="O12" i="8" s="1"/>
  <c r="K29" i="8"/>
  <c r="O18" i="8" a="1"/>
  <c r="O18" i="8" s="1"/>
  <c r="O13" i="8" a="1"/>
  <c r="O13" i="8" s="1"/>
  <c r="AF41" i="43"/>
  <c r="AH41" i="43" s="1"/>
  <c r="P46" i="8" s="1"/>
  <c r="Q46" i="8" s="1"/>
  <c r="AA46" i="8" s="1"/>
  <c r="U41" i="43"/>
  <c r="X41" i="43" s="1"/>
  <c r="J46" i="8" s="1"/>
  <c r="K7" i="8"/>
  <c r="O7" i="8" a="1"/>
  <c r="O7" i="8" s="1"/>
  <c r="K11" i="8"/>
  <c r="O11" i="8" a="1"/>
  <c r="O11" i="8" s="1"/>
  <c r="AG41" i="43"/>
  <c r="AI41" i="43" s="1"/>
  <c r="R46" i="8" s="1"/>
  <c r="S46" i="8" s="1"/>
  <c r="AB46" i="8" s="1"/>
  <c r="O6" i="8" a="1"/>
  <c r="O6" i="8" s="1"/>
  <c r="AF40" i="43"/>
  <c r="AH40" i="43" s="1"/>
  <c r="P45" i="8" s="1"/>
  <c r="Q45" i="8" s="1"/>
  <c r="AA45" i="8" s="1"/>
  <c r="R40" i="8"/>
  <c r="S40" i="8" s="1"/>
  <c r="N40" i="8"/>
  <c r="Z40" i="8" s="1"/>
  <c r="AG40" i="43"/>
  <c r="AI40" i="43" s="1"/>
  <c r="R45" i="8" s="1"/>
  <c r="S45" i="8" s="1"/>
  <c r="AB45" i="8" s="1"/>
  <c r="W40" i="43"/>
  <c r="Z40" i="43" s="1"/>
  <c r="N45" i="8" s="1"/>
  <c r="Z45" i="8" s="1"/>
  <c r="U100" i="43"/>
  <c r="X100" i="43" s="1"/>
  <c r="J15" i="8" s="1"/>
  <c r="W100" i="43"/>
  <c r="Z100" i="43" s="1"/>
  <c r="N15" i="8" s="1"/>
  <c r="Z15" i="8" s="1"/>
  <c r="W144" i="43"/>
  <c r="Z144" i="43" s="1"/>
  <c r="N65" i="8" s="1"/>
  <c r="Z65" i="8" s="1"/>
  <c r="AF144" i="43"/>
  <c r="AG144" i="43"/>
  <c r="AF100" i="43"/>
  <c r="R66" i="8"/>
  <c r="S66" i="8" s="1"/>
  <c r="AB66" i="8" s="1"/>
  <c r="L65" i="8"/>
  <c r="P66" i="8"/>
  <c r="Q66" i="8" s="1"/>
  <c r="AA66" i="8" s="1"/>
  <c r="N66" i="8"/>
  <c r="Z66" i="8" s="1"/>
  <c r="K66" i="8"/>
  <c r="J66" i="8"/>
  <c r="AG34" i="43"/>
  <c r="AI34" i="43" s="1"/>
  <c r="R37" i="8" s="1"/>
  <c r="S37" i="8" s="1"/>
  <c r="AB37" i="8" s="1"/>
  <c r="K13" i="8"/>
  <c r="J14" i="8"/>
  <c r="N14" i="8"/>
  <c r="Z14" i="8" s="1"/>
  <c r="K18" i="8"/>
  <c r="AF34" i="43"/>
  <c r="AH34" i="43" s="1"/>
  <c r="P37" i="8" s="1"/>
  <c r="Q37" i="8" s="1"/>
  <c r="AA37" i="8" s="1"/>
  <c r="W34" i="43"/>
  <c r="Z34" i="43" s="1"/>
  <c r="N37" i="8" s="1"/>
  <c r="Z37" i="8" s="1"/>
  <c r="N9" i="8"/>
  <c r="Z9" i="8" s="1"/>
  <c r="R9" i="8"/>
  <c r="S9" i="8" s="1"/>
  <c r="AB9" i="8" s="1"/>
  <c r="P9" i="8"/>
  <c r="Q9" i="8" s="1"/>
  <c r="AA9" i="8" s="1"/>
  <c r="K9" i="8"/>
  <c r="U42" i="43"/>
  <c r="X42" i="43" s="1"/>
  <c r="R42" i="8"/>
  <c r="S42" i="8" s="1"/>
  <c r="AB42" i="8" s="1"/>
  <c r="N62" i="8"/>
  <c r="Z62" i="8" s="1"/>
  <c r="AG42" i="43"/>
  <c r="W42" i="43"/>
  <c r="Z42" i="43" s="1"/>
  <c r="J62" i="8"/>
  <c r="K14" i="8"/>
  <c r="P36" i="43" a="1"/>
  <c r="P36" i="43" s="1"/>
  <c r="U36" i="43" s="1"/>
  <c r="X36" i="43" s="1"/>
  <c r="P44" i="43" a="1"/>
  <c r="P44" i="43" s="1"/>
  <c r="U131" i="43"/>
  <c r="X131" i="43" s="1"/>
  <c r="W131" i="43"/>
  <c r="Z131" i="43" s="1"/>
  <c r="AF131" i="43"/>
  <c r="AG131" i="43"/>
  <c r="R38" i="43" a="1"/>
  <c r="R38" i="43" s="1"/>
  <c r="W38" i="43" s="1"/>
  <c r="Z38" i="43" s="1"/>
  <c r="R46" i="43" a="1"/>
  <c r="R46" i="43" s="1"/>
  <c r="AG140" i="43"/>
  <c r="AI140" i="43" s="1"/>
  <c r="U140" i="43"/>
  <c r="W140" i="43"/>
  <c r="AF140" i="43"/>
  <c r="AH140" i="43" s="1"/>
  <c r="AG145" i="43"/>
  <c r="AF145" i="43"/>
  <c r="W145" i="43"/>
  <c r="Z145" i="43" s="1"/>
  <c r="N20" i="8" s="1"/>
  <c r="Z20" i="8" s="1"/>
  <c r="U145" i="43"/>
  <c r="X145" i="43" s="1"/>
  <c r="J20" i="8" s="1"/>
  <c r="W52" i="43"/>
  <c r="U52" i="43"/>
  <c r="AF52" i="43"/>
  <c r="AH52" i="43" s="1"/>
  <c r="P51" i="8" s="1"/>
  <c r="AG52" i="43"/>
  <c r="AI52" i="43" s="1"/>
  <c r="R51" i="8" s="1"/>
  <c r="U11" i="43"/>
  <c r="X11" i="43" s="1"/>
  <c r="J56" i="8" s="1"/>
  <c r="W11" i="43"/>
  <c r="Z11" i="43" s="1"/>
  <c r="N56" i="8" s="1"/>
  <c r="Z56" i="8" s="1"/>
  <c r="AF11" i="43"/>
  <c r="AH11" i="43" s="1"/>
  <c r="P56" i="8" s="1"/>
  <c r="Q56" i="8" s="1"/>
  <c r="AA56" i="8" s="1"/>
  <c r="AG11" i="43"/>
  <c r="AI11" i="43" s="1"/>
  <c r="R56" i="8" s="1"/>
  <c r="S56" i="8" s="1"/>
  <c r="AB56" i="8" s="1"/>
  <c r="W7" i="43"/>
  <c r="AF7" i="43"/>
  <c r="AH7" i="43" s="1"/>
  <c r="P26" i="8" s="1"/>
  <c r="AG7" i="43"/>
  <c r="AI7" i="43" s="1"/>
  <c r="R26" i="8" s="1"/>
  <c r="U74" i="43"/>
  <c r="X74" i="43" s="1"/>
  <c r="J41" i="8" s="1"/>
  <c r="W74" i="43"/>
  <c r="Z74" i="43" s="1"/>
  <c r="N41" i="8" s="1"/>
  <c r="Z41" i="8" s="1"/>
  <c r="AG74" i="43"/>
  <c r="AF74" i="43"/>
  <c r="U142" i="43"/>
  <c r="AG142" i="43"/>
  <c r="AI142" i="43" s="1"/>
  <c r="W142" i="43"/>
  <c r="AF142" i="43"/>
  <c r="AH142" i="43" s="1"/>
  <c r="AG63" i="43"/>
  <c r="AF63" i="43"/>
  <c r="W63" i="43"/>
  <c r="Z63" i="43" s="1"/>
  <c r="N58" i="8" s="1"/>
  <c r="Z58" i="8" s="1"/>
  <c r="U63" i="43"/>
  <c r="X63" i="43" s="1"/>
  <c r="J58" i="8" s="1"/>
  <c r="U107" i="43"/>
  <c r="X107" i="43" s="1"/>
  <c r="AF107" i="43"/>
  <c r="AH107" i="43" s="1"/>
  <c r="AG107" i="43"/>
  <c r="AI107" i="43" s="1"/>
  <c r="W107" i="43"/>
  <c r="Z107" i="43" s="1"/>
  <c r="U129" i="43"/>
  <c r="X129" i="43" s="1"/>
  <c r="AG129" i="43"/>
  <c r="AF129" i="43"/>
  <c r="W129" i="43"/>
  <c r="Z129" i="43" s="1"/>
  <c r="W8" i="43"/>
  <c r="Z8" i="43" s="1"/>
  <c r="AG8" i="43"/>
  <c r="AI8" i="43" s="1"/>
  <c r="U8" i="43"/>
  <c r="X8" i="43" s="1"/>
  <c r="AF8" i="43"/>
  <c r="AH8" i="43" s="1"/>
  <c r="U112" i="43"/>
  <c r="X112" i="43" s="1"/>
  <c r="AG112" i="43"/>
  <c r="AF112" i="43"/>
  <c r="W112" i="43"/>
  <c r="Z112" i="43" s="1"/>
  <c r="U53" i="43"/>
  <c r="X53" i="43" s="1"/>
  <c r="W53" i="43"/>
  <c r="Z53" i="43" s="1"/>
  <c r="AF53" i="43"/>
  <c r="AG53" i="43"/>
  <c r="AG119" i="43"/>
  <c r="AI119" i="43" s="1"/>
  <c r="W119" i="43"/>
  <c r="U119" i="43"/>
  <c r="AF119" i="43"/>
  <c r="AH119" i="43" s="1"/>
  <c r="AF20" i="43"/>
  <c r="AH20" i="43" s="1"/>
  <c r="W20" i="43"/>
  <c r="AG20" i="43"/>
  <c r="AI20" i="43" s="1"/>
  <c r="U20" i="43"/>
  <c r="U56" i="43"/>
  <c r="X56" i="43" s="1"/>
  <c r="AF56" i="43"/>
  <c r="W56" i="43"/>
  <c r="Z56" i="43" s="1"/>
  <c r="AG56" i="43"/>
  <c r="I37" i="33"/>
  <c r="W78" i="43"/>
  <c r="AG78" i="43"/>
  <c r="AI78" i="43" s="1"/>
  <c r="R7" i="8" s="1"/>
  <c r="AF78" i="43"/>
  <c r="AH78" i="43" s="1"/>
  <c r="P7" i="8" s="1"/>
  <c r="U78" i="43"/>
  <c r="AG55" i="43"/>
  <c r="AF55" i="43"/>
  <c r="W55" i="43"/>
  <c r="Z55" i="43" s="1"/>
  <c r="N52" i="8" s="1"/>
  <c r="Z52" i="8" s="1"/>
  <c r="U55" i="43"/>
  <c r="X55" i="43" s="1"/>
  <c r="J52" i="8" s="1"/>
  <c r="AG37" i="43"/>
  <c r="AI37" i="43" s="1"/>
  <c r="R43" i="8" s="1"/>
  <c r="S43" i="8" s="1"/>
  <c r="AB43" i="8" s="1"/>
  <c r="W37" i="43"/>
  <c r="U37" i="43"/>
  <c r="AF37" i="43"/>
  <c r="AH37" i="43" s="1"/>
  <c r="P43" i="8" s="1"/>
  <c r="Q43" i="8" s="1"/>
  <c r="AA43" i="8" s="1"/>
  <c r="S38" i="43" a="1"/>
  <c r="S38" i="43" s="1"/>
  <c r="U38" i="43" s="1"/>
  <c r="X38" i="43" s="1"/>
  <c r="S46" i="43" a="1"/>
  <c r="S46" i="43" s="1"/>
  <c r="U77" i="43"/>
  <c r="X77" i="43" s="1"/>
  <c r="J7" i="8" s="1"/>
  <c r="AG77" i="43"/>
  <c r="W77" i="43"/>
  <c r="Z77" i="43" s="1"/>
  <c r="N7" i="8" s="1"/>
  <c r="Z7" i="8" s="1"/>
  <c r="AF77" i="43"/>
  <c r="AG138" i="43"/>
  <c r="AI138" i="43" s="1"/>
  <c r="AF138" i="43"/>
  <c r="AH138" i="43" s="1"/>
  <c r="W138" i="43"/>
  <c r="U138" i="43"/>
  <c r="AF79" i="43"/>
  <c r="AH79" i="43" s="1"/>
  <c r="AG79" i="43"/>
  <c r="AI79" i="43" s="1"/>
  <c r="U79" i="43"/>
  <c r="X79" i="43" s="1"/>
  <c r="W79" i="43"/>
  <c r="Z79" i="43" s="1"/>
  <c r="U117" i="43"/>
  <c r="X117" i="43" s="1"/>
  <c r="W117" i="43"/>
  <c r="Z117" i="43" s="1"/>
  <c r="AG117" i="43"/>
  <c r="AF117" i="43"/>
  <c r="AF147" i="43"/>
  <c r="AH147" i="43" s="1"/>
  <c r="AG147" i="43"/>
  <c r="AI147" i="43" s="1"/>
  <c r="U147" i="43"/>
  <c r="X147" i="43" s="1"/>
  <c r="W147" i="43"/>
  <c r="Z147" i="43" s="1"/>
  <c r="U61" i="43"/>
  <c r="W61" i="43"/>
  <c r="AG61" i="43"/>
  <c r="AI61" i="43" s="1"/>
  <c r="AF61" i="43"/>
  <c r="AH61" i="43" s="1"/>
  <c r="AF122" i="43"/>
  <c r="AG122" i="43"/>
  <c r="W122" i="43"/>
  <c r="Z122" i="43" s="1"/>
  <c r="N47" i="8" s="1"/>
  <c r="Z47" i="8" s="1"/>
  <c r="U122" i="43"/>
  <c r="X122" i="43" s="1"/>
  <c r="J47" i="8" s="1"/>
  <c r="AF31" i="43"/>
  <c r="AH31" i="43" s="1"/>
  <c r="AG31" i="43"/>
  <c r="AI31" i="43" s="1"/>
  <c r="W31" i="43"/>
  <c r="Z31" i="43" s="1"/>
  <c r="U31" i="43"/>
  <c r="X31" i="43" s="1"/>
  <c r="W134" i="43"/>
  <c r="Z134" i="43" s="1"/>
  <c r="U134" i="43"/>
  <c r="X134" i="43" s="1"/>
  <c r="AG134" i="43"/>
  <c r="AF134" i="43"/>
  <c r="K6" i="8"/>
  <c r="K55" i="8"/>
  <c r="R55" i="8"/>
  <c r="S55" i="8" s="1"/>
  <c r="AB55" i="8" s="1"/>
  <c r="AG105" i="43"/>
  <c r="AI105" i="43" s="1"/>
  <c r="U105" i="43"/>
  <c r="W105" i="43"/>
  <c r="AF105" i="43"/>
  <c r="AH105" i="43" s="1"/>
  <c r="AF28" i="43"/>
  <c r="AH28" i="43" s="1"/>
  <c r="AG28" i="43"/>
  <c r="AI28" i="43" s="1"/>
  <c r="W28" i="43"/>
  <c r="Z28" i="43" s="1"/>
  <c r="U28" i="43"/>
  <c r="X28" i="43" s="1"/>
  <c r="U58" i="43"/>
  <c r="X58" i="43" s="1"/>
  <c r="W58" i="43"/>
  <c r="Z58" i="43" s="1"/>
  <c r="AG58" i="43"/>
  <c r="AF58" i="43"/>
  <c r="U26" i="43"/>
  <c r="X26" i="43" s="1"/>
  <c r="W26" i="43"/>
  <c r="Z26" i="43" s="1"/>
  <c r="AF26" i="43"/>
  <c r="AH26" i="43" s="1"/>
  <c r="AG26" i="43"/>
  <c r="AI26" i="43" s="1"/>
  <c r="W13" i="43"/>
  <c r="Z13" i="43" s="1"/>
  <c r="N64" i="8" s="1"/>
  <c r="Z64" i="8" s="1"/>
  <c r="AG13" i="43"/>
  <c r="AI13" i="43" s="1"/>
  <c r="R64" i="8" s="1"/>
  <c r="U13" i="43"/>
  <c r="X13" i="43" s="1"/>
  <c r="J64" i="8" s="1"/>
  <c r="AF13" i="43"/>
  <c r="AH13" i="43" s="1"/>
  <c r="P64" i="8" s="1"/>
  <c r="AG126" i="43"/>
  <c r="AF126" i="43"/>
  <c r="W126" i="43"/>
  <c r="Z126" i="43" s="1"/>
  <c r="U126" i="43"/>
  <c r="X126" i="43" s="1"/>
  <c r="AG16" i="43"/>
  <c r="AI16" i="43" s="1"/>
  <c r="AF16" i="43"/>
  <c r="AH16" i="43" s="1"/>
  <c r="U16" i="43"/>
  <c r="X16" i="43" s="1"/>
  <c r="W16" i="43"/>
  <c r="Z16" i="43" s="1"/>
  <c r="AF18" i="43"/>
  <c r="AH18" i="43" s="1"/>
  <c r="AG18" i="43"/>
  <c r="AI18" i="43" s="1"/>
  <c r="U18" i="43"/>
  <c r="X18" i="43" s="1"/>
  <c r="W18" i="43"/>
  <c r="Z18" i="43" s="1"/>
  <c r="AG22" i="43"/>
  <c r="AI22" i="43" s="1"/>
  <c r="W22" i="43"/>
  <c r="U22" i="43"/>
  <c r="AF22" i="43"/>
  <c r="AH22" i="43" s="1"/>
  <c r="I12" i="33"/>
  <c r="W39" i="43"/>
  <c r="Z39" i="43" s="1"/>
  <c r="AF39" i="43"/>
  <c r="AG39" i="43"/>
  <c r="AG30" i="43"/>
  <c r="AI30" i="43" s="1"/>
  <c r="U30" i="43"/>
  <c r="X30" i="43" s="1"/>
  <c r="AF30" i="43"/>
  <c r="AH30" i="43" s="1"/>
  <c r="W30" i="43"/>
  <c r="Z30" i="43" s="1"/>
  <c r="W91" i="43"/>
  <c r="Z91" i="43" s="1"/>
  <c r="U91" i="43"/>
  <c r="X91" i="43" s="1"/>
  <c r="AF91" i="43"/>
  <c r="AG91" i="43"/>
  <c r="K42" i="8"/>
  <c r="U132" i="43"/>
  <c r="X132" i="43" s="1"/>
  <c r="W132" i="43"/>
  <c r="Z132" i="43" s="1"/>
  <c r="AF132" i="43"/>
  <c r="AG132" i="43"/>
  <c r="AG146" i="43"/>
  <c r="AI146" i="43" s="1"/>
  <c r="R20" i="8" s="1"/>
  <c r="U146" i="43"/>
  <c r="AF146" i="43"/>
  <c r="AH146" i="43" s="1"/>
  <c r="P20" i="8" s="1"/>
  <c r="W146" i="43"/>
  <c r="AG64" i="43"/>
  <c r="AI64" i="43" s="1"/>
  <c r="R36" i="8" s="1"/>
  <c r="W64" i="43"/>
  <c r="Z64" i="43" s="1"/>
  <c r="N36" i="8" s="1"/>
  <c r="Z36" i="8" s="1"/>
  <c r="U64" i="43"/>
  <c r="X64" i="43" s="1"/>
  <c r="J36" i="8" s="1"/>
  <c r="AF64" i="43"/>
  <c r="AH64" i="43" s="1"/>
  <c r="P36" i="8" s="1"/>
  <c r="AG120" i="43"/>
  <c r="AI120" i="43" s="1"/>
  <c r="U120" i="43"/>
  <c r="AF120" i="43"/>
  <c r="AH120" i="43" s="1"/>
  <c r="W120" i="43"/>
  <c r="P57" i="8"/>
  <c r="K57" i="8"/>
  <c r="R57" i="8"/>
  <c r="K34" i="8"/>
  <c r="U124" i="43"/>
  <c r="W124" i="43"/>
  <c r="AF124" i="43"/>
  <c r="AH124" i="43" s="1"/>
  <c r="P47" i="8" s="1"/>
  <c r="AG124" i="43"/>
  <c r="AI124" i="43" s="1"/>
  <c r="R47" i="8" s="1"/>
  <c r="AF88" i="43"/>
  <c r="AH88" i="43" s="1"/>
  <c r="W88" i="43"/>
  <c r="Z88" i="43" s="1"/>
  <c r="U88" i="43"/>
  <c r="X88" i="43" s="1"/>
  <c r="AG88" i="43"/>
  <c r="AI88" i="43" s="1"/>
  <c r="AG125" i="43"/>
  <c r="AI125" i="43" s="1"/>
  <c r="R48" i="8" s="1"/>
  <c r="S48" i="8" s="1"/>
  <c r="AB48" i="8" s="1"/>
  <c r="U125" i="43"/>
  <c r="W125" i="43"/>
  <c r="AF125" i="43"/>
  <c r="AH125" i="43" s="1"/>
  <c r="P48" i="8" s="1"/>
  <c r="Q48" i="8" s="1"/>
  <c r="AA48" i="8" s="1"/>
  <c r="AG84" i="43"/>
  <c r="AI84" i="43" s="1"/>
  <c r="U84" i="43"/>
  <c r="X84" i="43" s="1"/>
  <c r="AF84" i="43"/>
  <c r="AH84" i="43" s="1"/>
  <c r="W84" i="43"/>
  <c r="Z84" i="43" s="1"/>
  <c r="U97" i="43"/>
  <c r="W97" i="43"/>
  <c r="AF97" i="43"/>
  <c r="AH97" i="43" s="1"/>
  <c r="AG97" i="43"/>
  <c r="AI97" i="43" s="1"/>
  <c r="W109" i="43"/>
  <c r="Z109" i="43" s="1"/>
  <c r="AF109" i="43"/>
  <c r="AG109" i="43"/>
  <c r="U109" i="43"/>
  <c r="X109" i="43" s="1"/>
  <c r="U113" i="43"/>
  <c r="X113" i="43" s="1"/>
  <c r="W113" i="43"/>
  <c r="Z113" i="43" s="1"/>
  <c r="AF113" i="43"/>
  <c r="AG113" i="43"/>
  <c r="R288" i="40" a="1"/>
  <c r="R288" i="40" s="1"/>
  <c r="V288" i="40" s="1"/>
  <c r="R289" i="40" a="1"/>
  <c r="R289" i="40" s="1"/>
  <c r="V289" i="40" s="1"/>
  <c r="R281" i="40" a="1"/>
  <c r="R281" i="40" s="1"/>
  <c r="V281" i="40" s="1"/>
  <c r="R290" i="40" a="1"/>
  <c r="R290" i="40" s="1"/>
  <c r="V290" i="40" s="1"/>
  <c r="R286" i="40" a="1"/>
  <c r="R286" i="40" s="1"/>
  <c r="V286" i="40" s="1"/>
  <c r="R283" i="40" a="1"/>
  <c r="R283" i="40" s="1"/>
  <c r="V283" i="40" s="1"/>
  <c r="R285" i="40" a="1"/>
  <c r="R285" i="40" s="1"/>
  <c r="V285" i="40" s="1"/>
  <c r="R287" i="40" a="1"/>
  <c r="R287" i="40" s="1"/>
  <c r="V287" i="40" s="1"/>
  <c r="R284" i="40" a="1"/>
  <c r="R284" i="40" s="1"/>
  <c r="V284" i="40" s="1"/>
  <c r="R282" i="40" a="1"/>
  <c r="R282" i="40" s="1"/>
  <c r="V282" i="40" s="1"/>
  <c r="K15" i="8"/>
  <c r="AG68" i="43"/>
  <c r="AF68" i="43"/>
  <c r="W68" i="43"/>
  <c r="Z68" i="43" s="1"/>
  <c r="N49" i="8" s="1"/>
  <c r="Z49" i="8" s="1"/>
  <c r="U68" i="43"/>
  <c r="X68" i="43" s="1"/>
  <c r="J49" i="8" s="1"/>
  <c r="AF116" i="43"/>
  <c r="AG116" i="43"/>
  <c r="W116" i="43"/>
  <c r="Z116" i="43" s="1"/>
  <c r="U116" i="43"/>
  <c r="X116" i="43" s="1"/>
  <c r="AG66" i="43"/>
  <c r="AF66" i="43"/>
  <c r="U66" i="43"/>
  <c r="X66" i="43" s="1"/>
  <c r="J59" i="8" s="1"/>
  <c r="W66" i="43"/>
  <c r="Z66" i="43" s="1"/>
  <c r="N59" i="8" s="1"/>
  <c r="Z59" i="8" s="1"/>
  <c r="K16" i="8"/>
  <c r="K27" i="8"/>
  <c r="AF114" i="43"/>
  <c r="AH114" i="43" s="1"/>
  <c r="AG114" i="43"/>
  <c r="AI114" i="43" s="1"/>
  <c r="W114" i="43"/>
  <c r="Z114" i="43" s="1"/>
  <c r="U114" i="43"/>
  <c r="X114" i="43" s="1"/>
  <c r="K63" i="8"/>
  <c r="W87" i="43"/>
  <c r="Z87" i="43" s="1"/>
  <c r="AF87" i="43"/>
  <c r="AH87" i="43" s="1"/>
  <c r="AG87" i="43"/>
  <c r="AI87" i="43" s="1"/>
  <c r="U87" i="43"/>
  <c r="X87" i="43" s="1"/>
  <c r="U65" i="43"/>
  <c r="X65" i="43" s="1"/>
  <c r="J60" i="8" s="1"/>
  <c r="AG65" i="43"/>
  <c r="AF65" i="43"/>
  <c r="W65" i="43"/>
  <c r="Z65" i="43" s="1"/>
  <c r="N60" i="8" s="1"/>
  <c r="Z60" i="8" s="1"/>
  <c r="AF143" i="43"/>
  <c r="AH143" i="43" s="1"/>
  <c r="AG143" i="43"/>
  <c r="AI143" i="43" s="1"/>
  <c r="W143" i="43"/>
  <c r="U143" i="43"/>
  <c r="U17" i="43"/>
  <c r="X17" i="43" s="1"/>
  <c r="AG17" i="43"/>
  <c r="AI17" i="43" s="1"/>
  <c r="AF17" i="43"/>
  <c r="AH17" i="43" s="1"/>
  <c r="W17" i="43"/>
  <c r="Z17" i="43" s="1"/>
  <c r="S65" i="8"/>
  <c r="N26" i="8"/>
  <c r="Z26" i="8" s="1"/>
  <c r="K21" i="8"/>
  <c r="AF86" i="43"/>
  <c r="AH86" i="43" s="1"/>
  <c r="U86" i="43"/>
  <c r="X86" i="43" s="1"/>
  <c r="W86" i="43"/>
  <c r="Z86" i="43" s="1"/>
  <c r="AG86" i="43"/>
  <c r="AI86" i="43" s="1"/>
  <c r="AG25" i="43"/>
  <c r="AI25" i="43" s="1"/>
  <c r="W25" i="43"/>
  <c r="Z25" i="43" s="1"/>
  <c r="U25" i="43"/>
  <c r="X25" i="43" s="1"/>
  <c r="AF25" i="43"/>
  <c r="AH25" i="43" s="1"/>
  <c r="U103" i="43"/>
  <c r="X103" i="43" s="1"/>
  <c r="J22" i="8" s="1"/>
  <c r="AF103" i="43"/>
  <c r="AG103" i="43"/>
  <c r="W103" i="43"/>
  <c r="Z103" i="43" s="1"/>
  <c r="N22" i="8" s="1"/>
  <c r="Z22" i="8" s="1"/>
  <c r="AF128" i="43"/>
  <c r="U128" i="43"/>
  <c r="X128" i="43" s="1"/>
  <c r="W128" i="43"/>
  <c r="Z128" i="43" s="1"/>
  <c r="AG128" i="43"/>
  <c r="R469" i="40" a="1"/>
  <c r="R469" i="40" s="1"/>
  <c r="V469" i="40" s="1"/>
  <c r="R463" i="40" a="1"/>
  <c r="R463" i="40" s="1"/>
  <c r="V463" i="40" s="1"/>
  <c r="R465" i="40" a="1"/>
  <c r="R465" i="40" s="1"/>
  <c r="V465" i="40" s="1"/>
  <c r="R475" i="40" a="1"/>
  <c r="R475" i="40" s="1"/>
  <c r="V475" i="40" s="1"/>
  <c r="R461" i="40" a="1"/>
  <c r="R461" i="40" s="1"/>
  <c r="V461" i="40" s="1"/>
  <c r="R477" i="40" a="1"/>
  <c r="R477" i="40" s="1"/>
  <c r="V477" i="40" s="1"/>
  <c r="R467" i="40" a="1"/>
  <c r="R467" i="40" s="1"/>
  <c r="V467" i="40" s="1"/>
  <c r="R473" i="40" a="1"/>
  <c r="R473" i="40" s="1"/>
  <c r="V473" i="40" s="1"/>
  <c r="R459" i="40" a="1"/>
  <c r="R459" i="40" s="1"/>
  <c r="V459" i="40" s="1"/>
  <c r="R471" i="40" a="1"/>
  <c r="R471" i="40" s="1"/>
  <c r="V471" i="40" s="1"/>
  <c r="U92" i="43"/>
  <c r="X92" i="43" s="1"/>
  <c r="W92" i="43"/>
  <c r="Z92" i="43" s="1"/>
  <c r="AF92" i="43"/>
  <c r="AG92" i="43"/>
  <c r="P63" i="8"/>
  <c r="W94" i="43"/>
  <c r="Z94" i="43" s="1"/>
  <c r="AF94" i="43"/>
  <c r="U94" i="43"/>
  <c r="X94" i="43" s="1"/>
  <c r="AG94" i="43"/>
  <c r="M65" i="8"/>
  <c r="Y65" i="8" s="1"/>
  <c r="AF139" i="43"/>
  <c r="AH139" i="43" s="1"/>
  <c r="AG139" i="43"/>
  <c r="AI139" i="43" s="1"/>
  <c r="W139" i="43"/>
  <c r="U139" i="43"/>
  <c r="U89" i="43"/>
  <c r="X89" i="43" s="1"/>
  <c r="W89" i="43"/>
  <c r="Z89" i="43" s="1"/>
  <c r="AF89" i="43"/>
  <c r="AH89" i="43" s="1"/>
  <c r="AG89" i="43"/>
  <c r="AI89" i="43" s="1"/>
  <c r="AG15" i="43"/>
  <c r="AI15" i="43" s="1"/>
  <c r="U15" i="43"/>
  <c r="X15" i="43" s="1"/>
  <c r="AF15" i="43"/>
  <c r="AH15" i="43" s="1"/>
  <c r="W15" i="43"/>
  <c r="Z15" i="43" s="1"/>
  <c r="K33" i="8"/>
  <c r="R33" i="8"/>
  <c r="AG10" i="43"/>
  <c r="AI10" i="43" s="1"/>
  <c r="U10" i="43"/>
  <c r="W10" i="43"/>
  <c r="AF10" i="43"/>
  <c r="AH10" i="43" s="1"/>
  <c r="AF123" i="43"/>
  <c r="AG123" i="43"/>
  <c r="U123" i="43"/>
  <c r="X123" i="43" s="1"/>
  <c r="J48" i="8" s="1"/>
  <c r="K59" i="8"/>
  <c r="R59" i="8"/>
  <c r="P59" i="8"/>
  <c r="AF21" i="43"/>
  <c r="AH21" i="43" s="1"/>
  <c r="U21" i="43"/>
  <c r="W21" i="43"/>
  <c r="AG21" i="43"/>
  <c r="AI21" i="43" s="1"/>
  <c r="W106" i="43"/>
  <c r="Z106" i="43" s="1"/>
  <c r="U106" i="43"/>
  <c r="X106" i="43" s="1"/>
  <c r="AG106" i="43"/>
  <c r="AI106" i="43" s="1"/>
  <c r="AF106" i="43"/>
  <c r="AH106" i="43" s="1"/>
  <c r="AF137" i="43"/>
  <c r="AH137" i="43" s="1"/>
  <c r="W137" i="43"/>
  <c r="AG137" i="43"/>
  <c r="AI137" i="43" s="1"/>
  <c r="U137" i="43"/>
  <c r="U136" i="43"/>
  <c r="W136" i="43"/>
  <c r="AG136" i="43"/>
  <c r="AI136" i="43" s="1"/>
  <c r="AF136" i="43"/>
  <c r="AH136" i="43" s="1"/>
  <c r="U104" i="43"/>
  <c r="W104" i="43"/>
  <c r="AG104" i="43"/>
  <c r="AI104" i="43" s="1"/>
  <c r="AF104" i="43"/>
  <c r="AH104" i="43" s="1"/>
  <c r="AG102" i="43"/>
  <c r="AF102" i="43"/>
  <c r="W102" i="43"/>
  <c r="Z102" i="43" s="1"/>
  <c r="N21" i="8" s="1"/>
  <c r="Z21" i="8" s="1"/>
  <c r="U118" i="43"/>
  <c r="X118" i="43" s="1"/>
  <c r="W118" i="43"/>
  <c r="Z118" i="43" s="1"/>
  <c r="AF118" i="43"/>
  <c r="AG118" i="43"/>
  <c r="R62" i="8"/>
  <c r="K62" i="8"/>
  <c r="P62" i="8"/>
  <c r="AG82" i="43"/>
  <c r="AI82" i="43" s="1"/>
  <c r="W82" i="43"/>
  <c r="U82" i="43"/>
  <c r="AF82" i="43"/>
  <c r="AH82" i="43" s="1"/>
  <c r="U24" i="43"/>
  <c r="X24" i="43" s="1"/>
  <c r="AF24" i="43"/>
  <c r="AH24" i="43" s="1"/>
  <c r="AG24" i="43"/>
  <c r="AI24" i="43" s="1"/>
  <c r="W24" i="43"/>
  <c r="Z24" i="43" s="1"/>
  <c r="AF60" i="43"/>
  <c r="AH60" i="43" s="1"/>
  <c r="AG60" i="43"/>
  <c r="AI60" i="43" s="1"/>
  <c r="W60" i="43"/>
  <c r="U60" i="43"/>
  <c r="I22" i="33"/>
  <c r="I10" i="8"/>
  <c r="O10" i="8" s="1" a="1"/>
  <c r="O10" i="8" s="1"/>
  <c r="J44" i="43" a="1"/>
  <c r="J44" i="43" s="1"/>
  <c r="J47" i="43" a="1"/>
  <c r="J47" i="43" s="1"/>
  <c r="J43" i="43" a="1"/>
  <c r="J43" i="43" s="1"/>
  <c r="J45" i="43" a="1"/>
  <c r="J45" i="43" s="1"/>
  <c r="J46" i="43" a="1"/>
  <c r="J46" i="43" s="1"/>
  <c r="D13" i="33"/>
  <c r="J48" i="43" a="1"/>
  <c r="J48" i="43" s="1"/>
  <c r="J49" i="43" a="1"/>
  <c r="J49" i="43" s="1"/>
  <c r="J50" i="43" a="1"/>
  <c r="J50" i="43" s="1"/>
  <c r="W36" i="43"/>
  <c r="Z36" i="43" s="1"/>
  <c r="AG36" i="43"/>
  <c r="AF36" i="43"/>
  <c r="AG90" i="43"/>
  <c r="AI90" i="43" s="1"/>
  <c r="W90" i="43"/>
  <c r="Z90" i="43" s="1"/>
  <c r="AF90" i="43"/>
  <c r="AH90" i="43" s="1"/>
  <c r="U90" i="43"/>
  <c r="X90" i="43" s="1"/>
  <c r="AG80" i="43"/>
  <c r="AI80" i="43" s="1"/>
  <c r="U80" i="43"/>
  <c r="AF80" i="43"/>
  <c r="AH80" i="43" s="1"/>
  <c r="W80" i="43"/>
  <c r="AG12" i="43"/>
  <c r="AI12" i="43" s="1"/>
  <c r="AF12" i="43"/>
  <c r="AH12" i="43" s="1"/>
  <c r="P33" i="8" s="1"/>
  <c r="W12" i="43"/>
  <c r="Z12" i="43" s="1"/>
  <c r="N33" i="8" s="1"/>
  <c r="Z33" i="8" s="1"/>
  <c r="U12" i="43"/>
  <c r="X12" i="43" s="1"/>
  <c r="J33" i="8" s="1"/>
  <c r="AF54" i="43"/>
  <c r="AG54" i="43"/>
  <c r="W54" i="43"/>
  <c r="Z54" i="43" s="1"/>
  <c r="U54" i="43"/>
  <c r="X54" i="43" s="1"/>
  <c r="AG133" i="43"/>
  <c r="AF133" i="43"/>
  <c r="U133" i="43"/>
  <c r="X133" i="43" s="1"/>
  <c r="W133" i="43"/>
  <c r="Z133" i="43" s="1"/>
  <c r="W71" i="43"/>
  <c r="Z71" i="43" s="1"/>
  <c r="N38" i="8" s="1"/>
  <c r="Z38" i="8" s="1"/>
  <c r="AG71" i="43"/>
  <c r="AI71" i="43" s="1"/>
  <c r="R38" i="8" s="1"/>
  <c r="U71" i="43"/>
  <c r="X71" i="43" s="1"/>
  <c r="J38" i="8" s="1"/>
  <c r="W108" i="43"/>
  <c r="Z108" i="43" s="1"/>
  <c r="U108" i="43"/>
  <c r="X108" i="43" s="1"/>
  <c r="AF108" i="43"/>
  <c r="AG108" i="43"/>
  <c r="W111" i="43"/>
  <c r="Z111" i="43" s="1"/>
  <c r="U111" i="43"/>
  <c r="X111" i="43" s="1"/>
  <c r="AG111" i="43"/>
  <c r="AI111" i="43" s="1"/>
  <c r="AF111" i="43"/>
  <c r="AH111" i="43" s="1"/>
  <c r="P55" i="8" s="1"/>
  <c r="Q55" i="8" s="1"/>
  <c r="AA55" i="8" s="1"/>
  <c r="K19" i="8"/>
  <c r="AF9" i="43"/>
  <c r="AH9" i="43" s="1"/>
  <c r="AG9" i="43"/>
  <c r="AI9" i="43" s="1"/>
  <c r="U9" i="43"/>
  <c r="X9" i="43" s="1"/>
  <c r="W9" i="43"/>
  <c r="Z9" i="43" s="1"/>
  <c r="W127" i="43"/>
  <c r="U127" i="43"/>
  <c r="AF127" i="43"/>
  <c r="AH127" i="43" s="1"/>
  <c r="P16" i="8" s="1"/>
  <c r="AG127" i="43"/>
  <c r="AI127" i="43" s="1"/>
  <c r="R16" i="8" s="1"/>
  <c r="U23" i="43"/>
  <c r="W23" i="43"/>
  <c r="AG23" i="43"/>
  <c r="AI23" i="43" s="1"/>
  <c r="R14" i="8" s="1"/>
  <c r="AF23" i="43"/>
  <c r="AH23" i="43" s="1"/>
  <c r="P14" i="8" s="1"/>
  <c r="Q459" i="40" a="1"/>
  <c r="Q459" i="40" s="1"/>
  <c r="U459" i="40" s="1"/>
  <c r="I36" i="33"/>
  <c r="AF98" i="43"/>
  <c r="AH98" i="43" s="1"/>
  <c r="U98" i="43"/>
  <c r="AG98" i="43"/>
  <c r="AI98" i="43" s="1"/>
  <c r="W98" i="43"/>
  <c r="AF38" i="43"/>
  <c r="AH38" i="43" s="1"/>
  <c r="P44" i="8" s="1"/>
  <c r="Q44" i="8" s="1"/>
  <c r="AA44" i="8" s="1"/>
  <c r="AG38" i="43"/>
  <c r="AI38" i="43" s="1"/>
  <c r="R44" i="8" s="1"/>
  <c r="S44" i="8" s="1"/>
  <c r="AB44" i="8" s="1"/>
  <c r="AF27" i="43"/>
  <c r="AH27" i="43" s="1"/>
  <c r="AG27" i="43"/>
  <c r="AI27" i="43" s="1"/>
  <c r="W27" i="43"/>
  <c r="Z27" i="43" s="1"/>
  <c r="U27" i="43"/>
  <c r="X27" i="43" s="1"/>
  <c r="AG95" i="43"/>
  <c r="AI95" i="43" s="1"/>
  <c r="AF95" i="43"/>
  <c r="AH95" i="43" s="1"/>
  <c r="U95" i="43"/>
  <c r="W95" i="43"/>
  <c r="W62" i="43"/>
  <c r="Z62" i="43" s="1"/>
  <c r="N57" i="8" s="1"/>
  <c r="Z57" i="8" s="1"/>
  <c r="AG62" i="43"/>
  <c r="AF62" i="43"/>
  <c r="U62" i="43"/>
  <c r="X62" i="43" s="1"/>
  <c r="J57" i="8" s="1"/>
  <c r="AF115" i="43"/>
  <c r="AH115" i="43" s="1"/>
  <c r="AG115" i="43"/>
  <c r="AI115" i="43" s="1"/>
  <c r="W115" i="43"/>
  <c r="Z115" i="43" s="1"/>
  <c r="U115" i="43"/>
  <c r="X115" i="43" s="1"/>
  <c r="K43" i="8"/>
  <c r="K44" i="8"/>
  <c r="AG51" i="43"/>
  <c r="AF51" i="43"/>
  <c r="W51" i="43"/>
  <c r="Z51" i="43" s="1"/>
  <c r="N51" i="8" s="1"/>
  <c r="Z51" i="8" s="1"/>
  <c r="U51" i="43"/>
  <c r="X51" i="43" s="1"/>
  <c r="J51" i="8" s="1"/>
  <c r="P47" i="43" a="1"/>
  <c r="P47" i="43" s="1"/>
  <c r="P39" i="43" a="1"/>
  <c r="P39" i="43" s="1"/>
  <c r="U39" i="43" s="1"/>
  <c r="X39" i="43" s="1"/>
  <c r="AG19" i="43"/>
  <c r="AI19" i="43" s="1"/>
  <c r="U19" i="43"/>
  <c r="AF19" i="43"/>
  <c r="AH19" i="43" s="1"/>
  <c r="W19" i="43"/>
  <c r="AG75" i="43"/>
  <c r="AF75" i="43"/>
  <c r="W75" i="43"/>
  <c r="Z75" i="43" s="1"/>
  <c r="N6" i="8" s="1"/>
  <c r="Z6" i="8" s="1"/>
  <c r="U75" i="43"/>
  <c r="X75" i="43" s="1"/>
  <c r="J6" i="8" s="1"/>
  <c r="K64" i="8"/>
  <c r="AF83" i="43"/>
  <c r="AH83" i="43" s="1"/>
  <c r="AG83" i="43"/>
  <c r="AI83" i="43" s="1"/>
  <c r="U83" i="43"/>
  <c r="X83" i="43" s="1"/>
  <c r="W83" i="43"/>
  <c r="Z83" i="43" s="1"/>
  <c r="K26" i="8"/>
  <c r="AG141" i="43"/>
  <c r="AI141" i="43" s="1"/>
  <c r="AF141" i="43"/>
  <c r="AH141" i="43" s="1"/>
  <c r="U141" i="43"/>
  <c r="W141" i="43"/>
  <c r="AA72" i="43" a="1"/>
  <c r="AA72" i="43" s="1"/>
  <c r="AA71" i="43" a="1"/>
  <c r="AA71" i="43" s="1"/>
  <c r="W130" i="43"/>
  <c r="Z130" i="43" s="1"/>
  <c r="AG130" i="43"/>
  <c r="U130" i="43"/>
  <c r="X130" i="43" s="1"/>
  <c r="AF130" i="43"/>
  <c r="AF121" i="43"/>
  <c r="AH121" i="43" s="1"/>
  <c r="AG121" i="43"/>
  <c r="AI121" i="43" s="1"/>
  <c r="W121" i="43"/>
  <c r="U121" i="43"/>
  <c r="U85" i="43"/>
  <c r="X85" i="43" s="1"/>
  <c r="AF85" i="43"/>
  <c r="AH85" i="43" s="1"/>
  <c r="W85" i="43"/>
  <c r="Z85" i="43" s="1"/>
  <c r="AG85" i="43"/>
  <c r="AI85" i="43" s="1"/>
  <c r="AG67" i="43"/>
  <c r="AF67" i="43"/>
  <c r="W67" i="43"/>
  <c r="Z67" i="43" s="1"/>
  <c r="N61" i="8" s="1"/>
  <c r="Z61" i="8" s="1"/>
  <c r="U67" i="43"/>
  <c r="X67" i="43" s="1"/>
  <c r="J61" i="8" s="1"/>
  <c r="R514" i="40" a="1"/>
  <c r="R514" i="40" s="1"/>
  <c r="V514" i="40" s="1"/>
  <c r="R512" i="40" a="1"/>
  <c r="R512" i="40" s="1"/>
  <c r="V512" i="40" s="1"/>
  <c r="R502" i="40" a="1"/>
  <c r="R502" i="40" s="1"/>
  <c r="V502" i="40" s="1"/>
  <c r="R504" i="40" a="1"/>
  <c r="R504" i="40" s="1"/>
  <c r="V504" i="40" s="1"/>
  <c r="R516" i="40" a="1"/>
  <c r="R516" i="40" s="1"/>
  <c r="V516" i="40" s="1"/>
  <c r="R518" i="40" a="1"/>
  <c r="R518" i="40" s="1"/>
  <c r="V518" i="40" s="1"/>
  <c r="R506" i="40" a="1"/>
  <c r="R506" i="40" s="1"/>
  <c r="V506" i="40" s="1"/>
  <c r="R520" i="40" a="1"/>
  <c r="R520" i="40" s="1"/>
  <c r="V520" i="40" s="1"/>
  <c r="R510" i="40" a="1"/>
  <c r="R510" i="40" s="1"/>
  <c r="V510" i="40" s="1"/>
  <c r="R508" i="40" a="1"/>
  <c r="R508" i="40" s="1"/>
  <c r="V508" i="40" s="1"/>
  <c r="U72" i="43"/>
  <c r="X72" i="43" s="1"/>
  <c r="J28" i="8" s="1"/>
  <c r="W72" i="43"/>
  <c r="Z72" i="43" s="1"/>
  <c r="N28" i="8" s="1"/>
  <c r="Z28" i="8" s="1"/>
  <c r="AG72" i="43"/>
  <c r="AI72" i="43" s="1"/>
  <c r="AF93" i="43"/>
  <c r="W93" i="43"/>
  <c r="Z93" i="43" s="1"/>
  <c r="U93" i="43"/>
  <c r="X93" i="43" s="1"/>
  <c r="AG93" i="43"/>
  <c r="U57" i="43"/>
  <c r="AF57" i="43"/>
  <c r="AG57" i="43"/>
  <c r="W57" i="43"/>
  <c r="AF135" i="43"/>
  <c r="AH135" i="43" s="1"/>
  <c r="U135" i="43"/>
  <c r="W135" i="43"/>
  <c r="AG135" i="43"/>
  <c r="AI135" i="43" s="1"/>
  <c r="AG29" i="43"/>
  <c r="AI29" i="43" s="1"/>
  <c r="AF29" i="43"/>
  <c r="AH29" i="43" s="1"/>
  <c r="U29" i="43"/>
  <c r="X29" i="43" s="1"/>
  <c r="W29" i="43"/>
  <c r="Z29" i="43" s="1"/>
  <c r="R675" i="40" a="1"/>
  <c r="R675" i="40" s="1"/>
  <c r="V675" i="40" s="1"/>
  <c r="W59" i="43"/>
  <c r="U59" i="43"/>
  <c r="AG59" i="43"/>
  <c r="AI59" i="43" s="1"/>
  <c r="AF59" i="43"/>
  <c r="AH59" i="43" s="1"/>
  <c r="W96" i="43"/>
  <c r="AF96" i="43"/>
  <c r="AH96" i="43" s="1"/>
  <c r="U96" i="43"/>
  <c r="AG96" i="43"/>
  <c r="AI96" i="43" s="1"/>
  <c r="I10" i="33"/>
  <c r="R353" i="40" l="1" a="1"/>
  <c r="R353" i="40" s="1"/>
  <c r="V353" i="40" s="1"/>
  <c r="J356" i="42"/>
  <c r="J449" i="42"/>
  <c r="J359" i="42"/>
  <c r="Q467" i="40" a="1"/>
  <c r="Q467" i="40" s="1"/>
  <c r="U467" i="40" s="1"/>
  <c r="P1379" i="40" a="1"/>
  <c r="P1379" i="40" s="1"/>
  <c r="Q1169" i="40" a="1"/>
  <c r="Q1169" i="40" s="1"/>
  <c r="U1169" i="40" s="1"/>
  <c r="Q475" i="40" a="1"/>
  <c r="Q475" i="40" s="1"/>
  <c r="U475" i="40" s="1"/>
  <c r="Q461" i="40" a="1"/>
  <c r="Q461" i="40" s="1"/>
  <c r="U461" i="40" s="1"/>
  <c r="P177" i="40" a="1"/>
  <c r="P177" i="40" s="1"/>
  <c r="P1378" i="40" a="1"/>
  <c r="P1378" i="40" s="1"/>
  <c r="Q1167" i="40" a="1"/>
  <c r="Q1167" i="40" s="1"/>
  <c r="U1167" i="40" s="1"/>
  <c r="Q1171" i="40" a="1"/>
  <c r="Q1171" i="40" s="1"/>
  <c r="U1171" i="40" s="1"/>
  <c r="M21" i="40" a="1"/>
  <c r="M21" i="40" s="1"/>
  <c r="S21" i="40" s="1"/>
  <c r="P668" i="40" a="1"/>
  <c r="P668" i="40" s="1"/>
  <c r="P1370" i="40" a="1"/>
  <c r="P1370" i="40" s="1"/>
  <c r="Q1181" i="40" a="1"/>
  <c r="Q1181" i="40" s="1"/>
  <c r="U1181" i="40" s="1"/>
  <c r="Q1165" i="40" a="1"/>
  <c r="Q1165" i="40" s="1"/>
  <c r="U1165" i="40" s="1"/>
  <c r="Q465" i="40" a="1"/>
  <c r="Q465" i="40" s="1"/>
  <c r="U465" i="40" s="1"/>
  <c r="Q473" i="40" a="1"/>
  <c r="Q473" i="40" s="1"/>
  <c r="U473" i="40" s="1"/>
  <c r="P667" i="40" a="1"/>
  <c r="P667" i="40" s="1"/>
  <c r="J745" i="42"/>
  <c r="P1369" i="40" a="1"/>
  <c r="P1369" i="40" s="1"/>
  <c r="Q1179" i="40" a="1"/>
  <c r="Q1179" i="40" s="1"/>
  <c r="U1179" i="40" s="1"/>
  <c r="Q1163" i="40" a="1"/>
  <c r="Q1163" i="40" s="1"/>
  <c r="U1163" i="40" s="1"/>
  <c r="Q477" i="40" a="1"/>
  <c r="Q477" i="40" s="1"/>
  <c r="U477" i="40" s="1"/>
  <c r="Q471" i="40" a="1"/>
  <c r="Q471" i="40" s="1"/>
  <c r="U471" i="40" s="1"/>
  <c r="P666" i="40" a="1"/>
  <c r="P666" i="40" s="1"/>
  <c r="R1374" i="40" a="1"/>
  <c r="R1374" i="40" s="1"/>
  <c r="V1374" i="40" s="1"/>
  <c r="Q1177" i="40" a="1"/>
  <c r="Q1177" i="40" s="1"/>
  <c r="U1177" i="40" s="1"/>
  <c r="Q1161" i="40" a="1"/>
  <c r="Q1161" i="40" s="1"/>
  <c r="U1161" i="40" s="1"/>
  <c r="Q469" i="40" a="1"/>
  <c r="Q469" i="40" s="1"/>
  <c r="U469" i="40" s="1"/>
  <c r="Q463" i="40" a="1"/>
  <c r="Q463" i="40" s="1"/>
  <c r="U463" i="40" s="1"/>
  <c r="R1372" i="40" a="1"/>
  <c r="R1372" i="40" s="1"/>
  <c r="V1372" i="40" s="1"/>
  <c r="Q1175" i="40" a="1"/>
  <c r="Q1175" i="40" s="1"/>
  <c r="U1175" i="40" s="1"/>
  <c r="J94" i="42"/>
  <c r="R365" i="40" a="1"/>
  <c r="R365" i="40" s="1"/>
  <c r="V365" i="40" s="1"/>
  <c r="Q671" i="40" a="1"/>
  <c r="Q671" i="40" s="1"/>
  <c r="U671" i="40" s="1"/>
  <c r="O669" i="40" a="1"/>
  <c r="O669" i="40" s="1"/>
  <c r="T669" i="40" s="1"/>
  <c r="R169" i="40" a="1"/>
  <c r="R169" i="40" s="1"/>
  <c r="V169" i="40" s="1"/>
  <c r="P481" i="40" a="1"/>
  <c r="P481" i="40" s="1"/>
  <c r="J652" i="42" s="1"/>
  <c r="P675" i="40" a="1"/>
  <c r="P675" i="40" s="1"/>
  <c r="P1377" i="40" a="1"/>
  <c r="P1377" i="40" s="1"/>
  <c r="R865" i="40" a="1"/>
  <c r="R865" i="40" s="1"/>
  <c r="V865" i="40" s="1"/>
  <c r="O1373" i="40" a="1"/>
  <c r="O1373" i="40" s="1"/>
  <c r="T1373" i="40" s="1"/>
  <c r="P1203" i="40" a="1"/>
  <c r="P1203" i="40" s="1"/>
  <c r="R666" i="40" a="1"/>
  <c r="R666" i="40" s="1"/>
  <c r="V666" i="40" s="1"/>
  <c r="Q669" i="40" a="1"/>
  <c r="Q669" i="40" s="1"/>
  <c r="U669" i="40" s="1"/>
  <c r="O671" i="40" a="1"/>
  <c r="O671" i="40" s="1"/>
  <c r="T671" i="40" s="1"/>
  <c r="R179" i="40" a="1"/>
  <c r="R179" i="40" s="1"/>
  <c r="V179" i="40" s="1"/>
  <c r="P674" i="40" a="1"/>
  <c r="P674" i="40" s="1"/>
  <c r="J47" i="42" s="1"/>
  <c r="P1376" i="40" a="1"/>
  <c r="P1376" i="40" s="1"/>
  <c r="O1374" i="40" a="1"/>
  <c r="O1374" i="40" s="1"/>
  <c r="T1374" i="40" s="1"/>
  <c r="P1201" i="40" a="1"/>
  <c r="P1201" i="40" s="1"/>
  <c r="J78" i="42"/>
  <c r="R377" i="40" a="1"/>
  <c r="R377" i="40" s="1"/>
  <c r="V377" i="40" s="1"/>
  <c r="O1376" i="40" a="1"/>
  <c r="O1376" i="40" s="1"/>
  <c r="T1376" i="40" s="1"/>
  <c r="R871" i="40" a="1"/>
  <c r="R871" i="40" s="1"/>
  <c r="V871" i="40" s="1"/>
  <c r="Q673" i="40" a="1"/>
  <c r="Q673" i="40" s="1"/>
  <c r="U673" i="40" s="1"/>
  <c r="O674" i="40" a="1"/>
  <c r="O674" i="40" s="1"/>
  <c r="T674" i="40" s="1"/>
  <c r="Q675" i="40" a="1"/>
  <c r="Q675" i="40" s="1"/>
  <c r="U675" i="40" s="1"/>
  <c r="O673" i="40" a="1"/>
  <c r="O673" i="40" s="1"/>
  <c r="T673" i="40" s="1"/>
  <c r="R165" i="40" a="1"/>
  <c r="R165" i="40" s="1"/>
  <c r="V165" i="40" s="1"/>
  <c r="P1375" i="40" a="1"/>
  <c r="P1375" i="40" s="1"/>
  <c r="O1369" i="40" a="1"/>
  <c r="O1369" i="40" s="1"/>
  <c r="T1369" i="40" s="1"/>
  <c r="P1199" i="40" a="1"/>
  <c r="P1199" i="40" s="1"/>
  <c r="J361" i="42"/>
  <c r="Q674" i="40" a="1"/>
  <c r="Q674" i="40" s="1"/>
  <c r="U674" i="40" s="1"/>
  <c r="O670" i="40" a="1"/>
  <c r="O670" i="40" s="1"/>
  <c r="T670" i="40" s="1"/>
  <c r="P499" i="40" a="1"/>
  <c r="P499" i="40" s="1"/>
  <c r="P672" i="40" a="1"/>
  <c r="P672" i="40" s="1"/>
  <c r="P1373" i="40" a="1"/>
  <c r="P1373" i="40" s="1"/>
  <c r="P1197" i="40" a="1"/>
  <c r="P1197" i="40" s="1"/>
  <c r="R873" i="40" a="1"/>
  <c r="R873" i="40" s="1"/>
  <c r="V873" i="40" s="1"/>
  <c r="P483" i="40" a="1"/>
  <c r="P483" i="40" s="1"/>
  <c r="J653" i="42" s="1"/>
  <c r="O667" i="40" a="1"/>
  <c r="O667" i="40" s="1"/>
  <c r="T667" i="40" s="1"/>
  <c r="P497" i="40" a="1"/>
  <c r="P497" i="40" s="1"/>
  <c r="P671" i="40" a="1"/>
  <c r="P671" i="40" s="1"/>
  <c r="P1374" i="40" a="1"/>
  <c r="P1374" i="40" s="1"/>
  <c r="P1195" i="40" a="1"/>
  <c r="P1195" i="40" s="1"/>
  <c r="J285" i="42" s="1"/>
  <c r="J736" i="42"/>
  <c r="P603" i="40" a="1"/>
  <c r="P603" i="40" s="1"/>
  <c r="O1375" i="40" a="1"/>
  <c r="O1375" i="40" s="1"/>
  <c r="T1375" i="40" s="1"/>
  <c r="I7" i="33"/>
  <c r="P673" i="40" a="1"/>
  <c r="P673" i="40" s="1"/>
  <c r="P495" i="40" a="1"/>
  <c r="P495" i="40" s="1"/>
  <c r="P669" i="40" a="1"/>
  <c r="P669" i="40" s="1"/>
  <c r="P1372" i="40" a="1"/>
  <c r="P1372" i="40" s="1"/>
  <c r="P1193" i="40" a="1"/>
  <c r="P1193" i="40" s="1"/>
  <c r="J284" i="42" s="1"/>
  <c r="O666" i="40" a="1"/>
  <c r="O666" i="40" s="1"/>
  <c r="T666" i="40" s="1"/>
  <c r="P493" i="40" a="1"/>
  <c r="P493" i="40" s="1"/>
  <c r="P670" i="40" a="1"/>
  <c r="P670" i="40" s="1"/>
  <c r="R671" i="40" a="1"/>
  <c r="R671" i="40" s="1"/>
  <c r="V671" i="40" s="1"/>
  <c r="P833" i="40" a="1"/>
  <c r="P833" i="40" s="1"/>
  <c r="R1373" i="40" a="1"/>
  <c r="R1373" i="40" s="1"/>
  <c r="V1373" i="40" s="1"/>
  <c r="R672" i="40" a="1"/>
  <c r="R672" i="40" s="1"/>
  <c r="V672" i="40" s="1"/>
  <c r="P123" i="40" a="1"/>
  <c r="P123" i="40" s="1"/>
  <c r="P830" i="40" a="1"/>
  <c r="P830" i="40" s="1"/>
  <c r="R1371" i="40" a="1"/>
  <c r="R1371" i="40" s="1"/>
  <c r="V1371" i="40" s="1"/>
  <c r="O1378" i="40" a="1"/>
  <c r="O1378" i="40" s="1"/>
  <c r="T1378" i="40" s="1"/>
  <c r="J358" i="42"/>
  <c r="P126" i="40" a="1"/>
  <c r="P126" i="40" s="1"/>
  <c r="R673" i="40" a="1"/>
  <c r="R673" i="40" s="1"/>
  <c r="V673" i="40" s="1"/>
  <c r="P824" i="40" a="1"/>
  <c r="P824" i="40" s="1"/>
  <c r="P114" i="40" a="1"/>
  <c r="P114" i="40" s="1"/>
  <c r="J450" i="42"/>
  <c r="P821" i="40" a="1"/>
  <c r="P821" i="40" s="1"/>
  <c r="J468" i="42"/>
  <c r="J474" i="42"/>
  <c r="R1370" i="40" a="1"/>
  <c r="R1370" i="40" s="1"/>
  <c r="V1370" i="40" s="1"/>
  <c r="J733" i="42"/>
  <c r="P812" i="40" a="1"/>
  <c r="P812" i="40" s="1"/>
  <c r="R1378" i="40" a="1"/>
  <c r="R1378" i="40" s="1"/>
  <c r="V1378" i="40" s="1"/>
  <c r="O1372" i="40" a="1"/>
  <c r="O1372" i="40" s="1"/>
  <c r="T1372" i="40" s="1"/>
  <c r="Q1378" i="40" a="1"/>
  <c r="Q1378" i="40" s="1"/>
  <c r="U1378" i="40" s="1"/>
  <c r="P120" i="40" a="1"/>
  <c r="P120" i="40" s="1"/>
  <c r="P108" i="40" a="1"/>
  <c r="P108" i="40" s="1"/>
  <c r="O675" i="40" a="1"/>
  <c r="O675" i="40" s="1"/>
  <c r="T675" i="40" s="1"/>
  <c r="R668" i="40" a="1"/>
  <c r="R668" i="40" s="1"/>
  <c r="V668" i="40" s="1"/>
  <c r="P809" i="40" a="1"/>
  <c r="P809" i="40" s="1"/>
  <c r="R1377" i="40" a="1"/>
  <c r="R1377" i="40" s="1"/>
  <c r="V1377" i="40" s="1"/>
  <c r="O1371" i="40" a="1"/>
  <c r="O1371" i="40" s="1"/>
  <c r="T1371" i="40" s="1"/>
  <c r="P827" i="40" a="1"/>
  <c r="P827" i="40" s="1"/>
  <c r="P117" i="40" a="1"/>
  <c r="P117" i="40" s="1"/>
  <c r="P111" i="40" a="1"/>
  <c r="P111" i="40" s="1"/>
  <c r="P818" i="40" a="1"/>
  <c r="P818" i="40" s="1"/>
  <c r="P815" i="40" a="1"/>
  <c r="P815" i="40" s="1"/>
  <c r="R667" i="40" a="1"/>
  <c r="R667" i="40" s="1"/>
  <c r="V667" i="40" s="1"/>
  <c r="R177" i="40" a="1"/>
  <c r="R177" i="40" s="1"/>
  <c r="V177" i="40" s="1"/>
  <c r="O668" i="40" a="1"/>
  <c r="O668" i="40" s="1"/>
  <c r="T668" i="40" s="1"/>
  <c r="R161" i="40" a="1"/>
  <c r="R161" i="40" s="1"/>
  <c r="V161" i="40" s="1"/>
  <c r="R670" i="40" a="1"/>
  <c r="R670" i="40" s="1"/>
  <c r="V670" i="40" s="1"/>
  <c r="R345" i="40" a="1"/>
  <c r="R345" i="40" s="1"/>
  <c r="V345" i="40" s="1"/>
  <c r="O672" i="40" a="1"/>
  <c r="O672" i="40" s="1"/>
  <c r="T672" i="40" s="1"/>
  <c r="R163" i="40" a="1"/>
  <c r="R163" i="40" s="1"/>
  <c r="V163" i="40" s="1"/>
  <c r="P207" i="40" a="1"/>
  <c r="P207" i="40" s="1"/>
  <c r="P179" i="40" a="1"/>
  <c r="P179" i="40" s="1"/>
  <c r="R1375" i="40" a="1"/>
  <c r="R1375" i="40" s="1"/>
  <c r="V1375" i="40" s="1"/>
  <c r="O1370" i="40" a="1"/>
  <c r="O1370" i="40" s="1"/>
  <c r="T1370" i="40" s="1"/>
  <c r="M17" i="40" a="1"/>
  <c r="M17" i="40" s="1"/>
  <c r="S17" i="40" s="1"/>
  <c r="Q1376" i="40" a="1"/>
  <c r="Q1376" i="40" s="1"/>
  <c r="U1376" i="40" s="1"/>
  <c r="Q1375" i="40" a="1"/>
  <c r="Q1375" i="40" s="1"/>
  <c r="U1375" i="40" s="1"/>
  <c r="R373" i="40" a="1"/>
  <c r="R373" i="40" s="1"/>
  <c r="V373" i="40" s="1"/>
  <c r="P871" i="40" a="1"/>
  <c r="P871" i="40" s="1"/>
  <c r="R1369" i="40" a="1"/>
  <c r="R1369" i="40" s="1"/>
  <c r="V1369" i="40" s="1"/>
  <c r="R879" i="40" a="1"/>
  <c r="R879" i="40" s="1"/>
  <c r="V879" i="40" s="1"/>
  <c r="Q1374" i="40" a="1"/>
  <c r="Q1374" i="40" s="1"/>
  <c r="U1374" i="40" s="1"/>
  <c r="P197" i="40" a="1"/>
  <c r="P197" i="40" s="1"/>
  <c r="R369" i="40" a="1"/>
  <c r="R369" i="40" s="1"/>
  <c r="V369" i="40" s="1"/>
  <c r="R131" i="40" a="1"/>
  <c r="R131" i="40" s="1"/>
  <c r="V131" i="40" s="1"/>
  <c r="R171" i="40" a="1"/>
  <c r="R171" i="40" s="1"/>
  <c r="V171" i="40" s="1"/>
  <c r="P873" i="40" a="1"/>
  <c r="P873" i="40" s="1"/>
  <c r="R877" i="40" a="1"/>
  <c r="R877" i="40" s="1"/>
  <c r="V877" i="40" s="1"/>
  <c r="P171" i="40" a="1"/>
  <c r="P171" i="40" s="1"/>
  <c r="R669" i="40" a="1"/>
  <c r="R669" i="40" s="1"/>
  <c r="V669" i="40" s="1"/>
  <c r="R357" i="40" a="1"/>
  <c r="R357" i="40" s="1"/>
  <c r="V357" i="40" s="1"/>
  <c r="R173" i="40" a="1"/>
  <c r="R173" i="40" s="1"/>
  <c r="V173" i="40" s="1"/>
  <c r="R341" i="40" a="1"/>
  <c r="R341" i="40" s="1"/>
  <c r="V341" i="40" s="1"/>
  <c r="R175" i="40" a="1"/>
  <c r="R175" i="40" s="1"/>
  <c r="V175" i="40" s="1"/>
  <c r="R1379" i="40" a="1"/>
  <c r="R1379" i="40" s="1"/>
  <c r="V1379" i="40" s="1"/>
  <c r="R875" i="40" a="1"/>
  <c r="R875" i="40" s="1"/>
  <c r="V875" i="40" s="1"/>
  <c r="R674" i="40" a="1"/>
  <c r="R674" i="40" s="1"/>
  <c r="V674" i="40" s="1"/>
  <c r="Q668" i="40" a="1"/>
  <c r="Q668" i="40" s="1"/>
  <c r="U668" i="40" s="1"/>
  <c r="R167" i="40" a="1"/>
  <c r="R167" i="40" s="1"/>
  <c r="V167" i="40" s="1"/>
  <c r="J79" i="42"/>
  <c r="R1376" i="40" a="1"/>
  <c r="R1376" i="40" s="1"/>
  <c r="V1376" i="40" s="1"/>
  <c r="R867" i="40" a="1"/>
  <c r="R867" i="40" s="1"/>
  <c r="V867" i="40" s="1"/>
  <c r="J77" i="42"/>
  <c r="R869" i="40" a="1"/>
  <c r="R869" i="40" s="1"/>
  <c r="V869" i="40" s="1"/>
  <c r="P903" i="40" a="1"/>
  <c r="P903" i="40" s="1"/>
  <c r="Q1373" i="40" a="1"/>
  <c r="Q1373" i="40" s="1"/>
  <c r="U1373" i="40" s="1"/>
  <c r="M26" i="40" a="1"/>
  <c r="M26" i="40" s="1"/>
  <c r="S26" i="40" s="1"/>
  <c r="M25" i="40" a="1"/>
  <c r="M25" i="40" s="1"/>
  <c r="S25" i="40" s="1"/>
  <c r="P901" i="40" a="1"/>
  <c r="P901" i="40" s="1"/>
  <c r="J456" i="42" s="1"/>
  <c r="M24" i="40" a="1"/>
  <c r="M24" i="40" s="1"/>
  <c r="S24" i="40" s="1"/>
  <c r="R863" i="40" a="1"/>
  <c r="R863" i="40" s="1"/>
  <c r="V863" i="40" s="1"/>
  <c r="P897" i="40" a="1"/>
  <c r="P897" i="40" s="1"/>
  <c r="Q1372" i="40" a="1"/>
  <c r="Q1372" i="40" s="1"/>
  <c r="U1372" i="40" s="1"/>
  <c r="J728" i="42"/>
  <c r="J730" i="42"/>
  <c r="P211" i="40" a="1"/>
  <c r="P211" i="40" s="1"/>
  <c r="M723" i="40" a="1"/>
  <c r="M723" i="40" s="1"/>
  <c r="S723" i="40" s="1"/>
  <c r="P213" i="40" a="1"/>
  <c r="P213" i="40" s="1"/>
  <c r="M727" i="40" a="1"/>
  <c r="M727" i="40" s="1"/>
  <c r="S727" i="40" s="1"/>
  <c r="M23" i="40" a="1"/>
  <c r="M23" i="40" s="1"/>
  <c r="S23" i="40" s="1"/>
  <c r="P209" i="40" a="1"/>
  <c r="P209" i="40" s="1"/>
  <c r="M721" i="40" a="1"/>
  <c r="M721" i="40" s="1"/>
  <c r="S721" i="40" s="1"/>
  <c r="R881" i="40" a="1"/>
  <c r="R881" i="40" s="1"/>
  <c r="V881" i="40" s="1"/>
  <c r="J731" i="42"/>
  <c r="M720" i="40" a="1"/>
  <c r="M720" i="40" s="1"/>
  <c r="S720" i="40" s="1"/>
  <c r="R883" i="40" a="1"/>
  <c r="R883" i="40" s="1"/>
  <c r="V883" i="40" s="1"/>
  <c r="J103" i="42"/>
  <c r="J364" i="42"/>
  <c r="J732" i="42"/>
  <c r="J360" i="42"/>
  <c r="J30" i="44" s="1" a="1"/>
  <c r="J30" i="44" s="1"/>
  <c r="J453" i="42"/>
  <c r="J448" i="42"/>
  <c r="J98" i="42"/>
  <c r="J27" i="44" s="1" a="1"/>
  <c r="J27" i="44" s="1"/>
  <c r="J445" i="42"/>
  <c r="M22" i="40" a="1"/>
  <c r="M22" i="40" s="1"/>
  <c r="S22" i="40" s="1"/>
  <c r="R42" i="40" a="1"/>
  <c r="R42" i="40" s="1"/>
  <c r="V42" i="40" s="1"/>
  <c r="P205" i="40" a="1"/>
  <c r="P205" i="40" s="1"/>
  <c r="J76" i="42"/>
  <c r="M18" i="40" a="1"/>
  <c r="M18" i="40" s="1"/>
  <c r="S18" i="40" s="1"/>
  <c r="Q670" i="40" a="1"/>
  <c r="Q670" i="40" s="1"/>
  <c r="U670" i="40" s="1"/>
  <c r="R47" i="40" a="1"/>
  <c r="R47" i="40" s="1"/>
  <c r="V47" i="40" s="1"/>
  <c r="Q1371" i="40" a="1"/>
  <c r="Q1371" i="40" s="1"/>
  <c r="U1371" i="40" s="1"/>
  <c r="R361" i="40" a="1"/>
  <c r="R361" i="40" s="1"/>
  <c r="V361" i="40" s="1"/>
  <c r="R44" i="40" a="1"/>
  <c r="R44" i="40" s="1"/>
  <c r="V44" i="40" s="1"/>
  <c r="P201" i="40" a="1"/>
  <c r="P201" i="40" s="1"/>
  <c r="J363" i="42"/>
  <c r="Q1370" i="40" a="1"/>
  <c r="Q1370" i="40" s="1"/>
  <c r="U1370" i="40" s="1"/>
  <c r="P27" i="8"/>
  <c r="Q27" i="8" s="1"/>
  <c r="L37" i="8"/>
  <c r="N720" i="40" s="1" a="1"/>
  <c r="N720" i="40" s="1"/>
  <c r="P203" i="40" a="1"/>
  <c r="P203" i="40" s="1"/>
  <c r="J470" i="42"/>
  <c r="Q666" i="40" a="1"/>
  <c r="Q666" i="40" s="1"/>
  <c r="U666" i="40" s="1"/>
  <c r="R349" i="40" a="1"/>
  <c r="R349" i="40" s="1"/>
  <c r="V349" i="40" s="1"/>
  <c r="Q667" i="40" a="1"/>
  <c r="Q667" i="40" s="1"/>
  <c r="U667" i="40" s="1"/>
  <c r="R40" i="40" a="1"/>
  <c r="R40" i="40" s="1"/>
  <c r="V40" i="40" s="1"/>
  <c r="P199" i="40" a="1"/>
  <c r="P199" i="40" s="1"/>
  <c r="Q1369" i="40" a="1"/>
  <c r="Q1369" i="40" s="1"/>
  <c r="U1369" i="40" s="1"/>
  <c r="R43" i="40" a="1"/>
  <c r="R43" i="40" s="1"/>
  <c r="V43" i="40" s="1"/>
  <c r="M730" i="40" a="1"/>
  <c r="M730" i="40" s="1"/>
  <c r="S730" i="40" s="1"/>
  <c r="P917" i="40" a="1"/>
  <c r="P917" i="40" s="1"/>
  <c r="J95" i="42"/>
  <c r="J447" i="42"/>
  <c r="M19" i="40" a="1"/>
  <c r="M19" i="40" s="1"/>
  <c r="S19" i="40" s="1"/>
  <c r="Q672" i="40" a="1"/>
  <c r="Q672" i="40" s="1"/>
  <c r="U672" i="40" s="1"/>
  <c r="R46" i="40" a="1"/>
  <c r="R46" i="40" s="1"/>
  <c r="V46" i="40" s="1"/>
  <c r="L67" i="8"/>
  <c r="N1377" i="40" s="1" a="1"/>
  <c r="N1377" i="40" s="1"/>
  <c r="P195" i="40" a="1"/>
  <c r="P195" i="40" s="1"/>
  <c r="J455" i="42" s="1"/>
  <c r="M728" i="40" a="1"/>
  <c r="M728" i="40" s="1"/>
  <c r="S728" i="40" s="1"/>
  <c r="P915" i="40" a="1"/>
  <c r="P915" i="40" s="1"/>
  <c r="J91" i="42" s="1"/>
  <c r="Q1379" i="40" a="1"/>
  <c r="Q1379" i="40" s="1"/>
  <c r="U1379" i="40" s="1"/>
  <c r="J444" i="42"/>
  <c r="R48" i="40" a="1"/>
  <c r="R48" i="40" s="1"/>
  <c r="V48" i="40" s="1"/>
  <c r="P911" i="40" a="1"/>
  <c r="P911" i="40" s="1"/>
  <c r="M20" i="40" a="1"/>
  <c r="M20" i="40" s="1"/>
  <c r="S20" i="40" s="1"/>
  <c r="R360" i="40" a="1"/>
  <c r="R360" i="40" s="1"/>
  <c r="V360" i="40" s="1"/>
  <c r="R41" i="40" a="1"/>
  <c r="R41" i="40" s="1"/>
  <c r="V41" i="40" s="1"/>
  <c r="P98" i="40" a="1"/>
  <c r="P98" i="40" s="1"/>
  <c r="M724" i="40" a="1"/>
  <c r="M724" i="40" s="1"/>
  <c r="S724" i="40" s="1"/>
  <c r="P909" i="40" a="1"/>
  <c r="P909" i="40" s="1"/>
  <c r="Q1377" i="40" a="1"/>
  <c r="Q1377" i="40" s="1"/>
  <c r="U1377" i="40" s="1"/>
  <c r="P169" i="40" a="1"/>
  <c r="P169" i="40" s="1"/>
  <c r="J467" i="42"/>
  <c r="P165" i="40" a="1"/>
  <c r="P165" i="40" s="1"/>
  <c r="W50" i="43"/>
  <c r="Z50" i="43" s="1"/>
  <c r="P161" i="40" a="1"/>
  <c r="P161" i="40" s="1"/>
  <c r="P881" i="40" a="1"/>
  <c r="P881" i="40" s="1"/>
  <c r="P287" i="40" a="1"/>
  <c r="P287" i="40" s="1"/>
  <c r="P163" i="40" a="1"/>
  <c r="P163" i="40" s="1"/>
  <c r="J62" i="42" s="1"/>
  <c r="P879" i="40" a="1"/>
  <c r="P879" i="40" s="1"/>
  <c r="R348" i="40" a="1"/>
  <c r="R348" i="40" s="1"/>
  <c r="V348" i="40" s="1"/>
  <c r="P877" i="40" a="1"/>
  <c r="P877" i="40" s="1"/>
  <c r="R27" i="8"/>
  <c r="S27" i="8" s="1"/>
  <c r="P167" i="40" a="1"/>
  <c r="P167" i="40" s="1"/>
  <c r="P883" i="40" a="1"/>
  <c r="P883" i="40" s="1"/>
  <c r="R376" i="40" a="1"/>
  <c r="R376" i="40" s="1"/>
  <c r="V376" i="40" s="1"/>
  <c r="M729" i="40" a="1"/>
  <c r="M729" i="40" s="1"/>
  <c r="S729" i="40" s="1"/>
  <c r="P875" i="40" a="1"/>
  <c r="P875" i="40" s="1"/>
  <c r="P913" i="40" a="1"/>
  <c r="P913" i="40" s="1"/>
  <c r="J446" i="42"/>
  <c r="J100" i="42"/>
  <c r="J96" i="42"/>
  <c r="M726" i="40" a="1"/>
  <c r="M726" i="40" s="1"/>
  <c r="S726" i="40" s="1"/>
  <c r="P869" i="40" a="1"/>
  <c r="P869" i="40" s="1"/>
  <c r="P907" i="40" a="1"/>
  <c r="P907" i="40" s="1"/>
  <c r="L46" i="8"/>
  <c r="N793" i="40" s="1" a="1"/>
  <c r="N793" i="40" s="1"/>
  <c r="P175" i="40" a="1"/>
  <c r="P175" i="40" s="1"/>
  <c r="P173" i="40" a="1"/>
  <c r="P173" i="40" s="1"/>
  <c r="M725" i="40" a="1"/>
  <c r="M725" i="40" s="1"/>
  <c r="S725" i="40" s="1"/>
  <c r="P863" i="40" a="1"/>
  <c r="P863" i="40" s="1"/>
  <c r="P905" i="40" a="1"/>
  <c r="P905" i="40" s="1"/>
  <c r="J102" i="42"/>
  <c r="J81" i="42"/>
  <c r="M722" i="40" a="1"/>
  <c r="M722" i="40" s="1"/>
  <c r="S722" i="40" s="1"/>
  <c r="J101" i="42"/>
  <c r="J466" i="42"/>
  <c r="J471" i="42"/>
  <c r="P609" i="40" a="1"/>
  <c r="P609" i="40" s="1"/>
  <c r="J475" i="42"/>
  <c r="P321" i="40" a="1"/>
  <c r="P321" i="40" s="1"/>
  <c r="R1061" i="40" a="1"/>
  <c r="R1061" i="40" s="1"/>
  <c r="V1061" i="40" s="1"/>
  <c r="P317" i="40" a="1"/>
  <c r="P317" i="40" s="1"/>
  <c r="J472" i="42"/>
  <c r="J72" i="42"/>
  <c r="P1025" i="40" a="1"/>
  <c r="P1025" i="40" s="1"/>
  <c r="R203" i="40" a="1"/>
  <c r="R203" i="40" s="1"/>
  <c r="V203" i="40" s="1"/>
  <c r="J452" i="42"/>
  <c r="P606" i="40" a="1"/>
  <c r="P606" i="40" s="1"/>
  <c r="P600" i="40" a="1"/>
  <c r="P600" i="40" s="1"/>
  <c r="P597" i="40" a="1"/>
  <c r="P597" i="40" s="1"/>
  <c r="P591" i="40" a="1"/>
  <c r="P591" i="40" s="1"/>
  <c r="J473" i="42"/>
  <c r="J80" i="42"/>
  <c r="P615" i="40" a="1"/>
  <c r="P615" i="40" s="1"/>
  <c r="J73" i="42"/>
  <c r="P612" i="40" a="1"/>
  <c r="P612" i="40" s="1"/>
  <c r="J99" i="42"/>
  <c r="R917" i="40" a="1"/>
  <c r="R917" i="40" s="1"/>
  <c r="V917" i="40" s="1"/>
  <c r="L45" i="8"/>
  <c r="N781" i="40" s="1" a="1"/>
  <c r="N781" i="40" s="1"/>
  <c r="P1319" i="40" a="1"/>
  <c r="P1319" i="40" s="1"/>
  <c r="P594" i="40" a="1"/>
  <c r="P594" i="40" s="1"/>
  <c r="P1313" i="40" a="1"/>
  <c r="P1313" i="40" s="1"/>
  <c r="P1316" i="40" a="1"/>
  <c r="P1316" i="40" s="1"/>
  <c r="P1310" i="40" a="1"/>
  <c r="P1310" i="40" s="1"/>
  <c r="P618" i="40" a="1"/>
  <c r="P618" i="40" s="1"/>
  <c r="P1307" i="40" a="1"/>
  <c r="P1307" i="40" s="1"/>
  <c r="J75" i="42"/>
  <c r="P1304" i="40" a="1"/>
  <c r="P1304" i="40" s="1"/>
  <c r="P1301" i="40" a="1"/>
  <c r="P1301" i="40" s="1"/>
  <c r="J74" i="42"/>
  <c r="P1298" i="40" a="1"/>
  <c r="P1298" i="40" s="1"/>
  <c r="P1295" i="40" a="1"/>
  <c r="P1295" i="40" s="1"/>
  <c r="P865" i="40" a="1"/>
  <c r="P865" i="40" s="1"/>
  <c r="J97" i="42"/>
  <c r="P1292" i="40" a="1"/>
  <c r="P1292" i="40" s="1"/>
  <c r="O790" i="40" a="1"/>
  <c r="O790" i="40" s="1"/>
  <c r="T790" i="40" s="1"/>
  <c r="P993" i="40" a="1"/>
  <c r="P993" i="40" s="1"/>
  <c r="R1076" i="40" a="1"/>
  <c r="R1076" i="40" s="1"/>
  <c r="V1076" i="40" s="1"/>
  <c r="P985" i="40" a="1"/>
  <c r="P985" i="40" s="1"/>
  <c r="R1044" i="40" a="1"/>
  <c r="R1044" i="40" s="1"/>
  <c r="V1044" i="40" s="1"/>
  <c r="P802" i="40" a="1"/>
  <c r="P802" i="40" s="1"/>
  <c r="R201" i="40" a="1"/>
  <c r="R201" i="40" s="1"/>
  <c r="V201" i="40" s="1"/>
  <c r="R612" i="40" a="1"/>
  <c r="R612" i="40" s="1"/>
  <c r="V612" i="40" s="1"/>
  <c r="R134" i="40" a="1"/>
  <c r="R134" i="40" s="1"/>
  <c r="V134" i="40" s="1"/>
  <c r="R899" i="40" a="1"/>
  <c r="R899" i="40" s="1"/>
  <c r="V899" i="40" s="1"/>
  <c r="R603" i="40" a="1"/>
  <c r="R603" i="40" s="1"/>
  <c r="V603" i="40" s="1"/>
  <c r="R195" i="40" a="1"/>
  <c r="R195" i="40" s="1"/>
  <c r="V195" i="40" s="1"/>
  <c r="R600" i="40" a="1"/>
  <c r="R600" i="40" s="1"/>
  <c r="V600" i="40" s="1"/>
  <c r="R107" i="40" a="1"/>
  <c r="R107" i="40" s="1"/>
  <c r="V107" i="40" s="1"/>
  <c r="R826" i="40" a="1"/>
  <c r="R826" i="40" s="1"/>
  <c r="V826" i="40" s="1"/>
  <c r="R213" i="40" a="1"/>
  <c r="R213" i="40" s="1"/>
  <c r="V213" i="40" s="1"/>
  <c r="R606" i="40" a="1"/>
  <c r="R606" i="40" s="1"/>
  <c r="V606" i="40" s="1"/>
  <c r="R119" i="40" a="1"/>
  <c r="R119" i="40" s="1"/>
  <c r="V119" i="40" s="1"/>
  <c r="R1310" i="40" a="1"/>
  <c r="R1310" i="40" s="1"/>
  <c r="V1310" i="40" s="1"/>
  <c r="J105" i="42"/>
  <c r="J111" i="42"/>
  <c r="J484" i="42"/>
  <c r="R1065" i="40" a="1"/>
  <c r="R1065" i="40" s="1"/>
  <c r="V1065" i="40" s="1"/>
  <c r="R1053" i="40" a="1"/>
  <c r="R1053" i="40" s="1"/>
  <c r="V1053" i="40" s="1"/>
  <c r="P1017" i="40" a="1"/>
  <c r="P1017" i="40" s="1"/>
  <c r="R1057" i="40" a="1"/>
  <c r="R1057" i="40" s="1"/>
  <c r="V1057" i="40" s="1"/>
  <c r="R1081" i="40" a="1"/>
  <c r="R1081" i="40" s="1"/>
  <c r="V1081" i="40" s="1"/>
  <c r="R1049" i="40" a="1"/>
  <c r="R1049" i="40" s="1"/>
  <c r="V1049" i="40" s="1"/>
  <c r="R1077" i="40" a="1"/>
  <c r="R1077" i="40" s="1"/>
  <c r="V1077" i="40" s="1"/>
  <c r="R1041" i="40" a="1"/>
  <c r="R1041" i="40" s="1"/>
  <c r="V1041" i="40" s="1"/>
  <c r="R752" i="40" a="1"/>
  <c r="R752" i="40" s="1"/>
  <c r="V752" i="40" s="1"/>
  <c r="R1073" i="40" a="1"/>
  <c r="R1073" i="40" s="1"/>
  <c r="V1073" i="40" s="1"/>
  <c r="R1045" i="40" a="1"/>
  <c r="R1045" i="40" s="1"/>
  <c r="V1045" i="40" s="1"/>
  <c r="R742" i="40" a="1"/>
  <c r="R742" i="40" s="1"/>
  <c r="V742" i="40" s="1"/>
  <c r="R1069" i="40" a="1"/>
  <c r="R1069" i="40" s="1"/>
  <c r="V1069" i="40" s="1"/>
  <c r="R199" i="40" a="1"/>
  <c r="R199" i="40" s="1"/>
  <c r="V199" i="40" s="1"/>
  <c r="R609" i="40" a="1"/>
  <c r="R609" i="40" s="1"/>
  <c r="V609" i="40" s="1"/>
  <c r="R113" i="40" a="1"/>
  <c r="R113" i="40" s="1"/>
  <c r="V113" i="40" s="1"/>
  <c r="J112" i="42"/>
  <c r="R823" i="40" a="1"/>
  <c r="R823" i="40" s="1"/>
  <c r="V823" i="40" s="1"/>
  <c r="R1307" i="40" a="1"/>
  <c r="R1307" i="40" s="1"/>
  <c r="V1307" i="40" s="1"/>
  <c r="R913" i="40" a="1"/>
  <c r="R913" i="40" s="1"/>
  <c r="V913" i="40" s="1"/>
  <c r="R897" i="40" a="1"/>
  <c r="R897" i="40" s="1"/>
  <c r="V897" i="40" s="1"/>
  <c r="R820" i="40" a="1"/>
  <c r="R820" i="40" s="1"/>
  <c r="V820" i="40" s="1"/>
  <c r="R1301" i="40" a="1"/>
  <c r="R1301" i="40" s="1"/>
  <c r="V1301" i="40" s="1"/>
  <c r="R911" i="40" a="1"/>
  <c r="R911" i="40" s="1"/>
  <c r="V911" i="40" s="1"/>
  <c r="R205" i="40" a="1"/>
  <c r="R205" i="40" s="1"/>
  <c r="V205" i="40" s="1"/>
  <c r="R594" i="40" a="1"/>
  <c r="R594" i="40" s="1"/>
  <c r="V594" i="40" s="1"/>
  <c r="R116" i="40" a="1"/>
  <c r="R116" i="40" s="1"/>
  <c r="V116" i="40" s="1"/>
  <c r="R125" i="40" a="1"/>
  <c r="R125" i="40" s="1"/>
  <c r="V125" i="40" s="1"/>
  <c r="R817" i="40" a="1"/>
  <c r="R817" i="40" s="1"/>
  <c r="V817" i="40" s="1"/>
  <c r="R1304" i="40" a="1"/>
  <c r="R1304" i="40" s="1"/>
  <c r="V1304" i="40" s="1"/>
  <c r="R909" i="40" a="1"/>
  <c r="R909" i="40" s="1"/>
  <c r="V909" i="40" s="1"/>
  <c r="R615" i="40" a="1"/>
  <c r="R615" i="40" s="1"/>
  <c r="V615" i="40" s="1"/>
  <c r="R110" i="40" a="1"/>
  <c r="R110" i="40" s="1"/>
  <c r="V110" i="40" s="1"/>
  <c r="R835" i="40" a="1"/>
  <c r="R835" i="40" s="1"/>
  <c r="V835" i="40" s="1"/>
  <c r="R814" i="40" a="1"/>
  <c r="R814" i="40" s="1"/>
  <c r="V814" i="40" s="1"/>
  <c r="R1322" i="40" a="1"/>
  <c r="R1322" i="40" s="1"/>
  <c r="V1322" i="40" s="1"/>
  <c r="R1298" i="40" a="1"/>
  <c r="R1298" i="40" s="1"/>
  <c r="V1298" i="40" s="1"/>
  <c r="R907" i="40" a="1"/>
  <c r="R907" i="40" s="1"/>
  <c r="V907" i="40" s="1"/>
  <c r="R209" i="40" a="1"/>
  <c r="R209" i="40" s="1"/>
  <c r="V209" i="40" s="1"/>
  <c r="R211" i="40" a="1"/>
  <c r="R211" i="40" s="1"/>
  <c r="V211" i="40" s="1"/>
  <c r="R591" i="40" a="1"/>
  <c r="R591" i="40" s="1"/>
  <c r="V591" i="40" s="1"/>
  <c r="R618" i="40" a="1"/>
  <c r="R618" i="40" s="1"/>
  <c r="V618" i="40" s="1"/>
  <c r="R122" i="40" a="1"/>
  <c r="R122" i="40" s="1"/>
  <c r="V122" i="40" s="1"/>
  <c r="J107" i="42"/>
  <c r="R838" i="40" a="1"/>
  <c r="R838" i="40" s="1"/>
  <c r="V838" i="40" s="1"/>
  <c r="R811" i="40" a="1"/>
  <c r="R811" i="40" s="1"/>
  <c r="V811" i="40" s="1"/>
  <c r="R1319" i="40" a="1"/>
  <c r="R1319" i="40" s="1"/>
  <c r="V1319" i="40" s="1"/>
  <c r="R1295" i="40" a="1"/>
  <c r="R1295" i="40" s="1"/>
  <c r="V1295" i="40" s="1"/>
  <c r="R903" i="40" a="1"/>
  <c r="R903" i="40" s="1"/>
  <c r="V903" i="40" s="1"/>
  <c r="R832" i="40" a="1"/>
  <c r="R832" i="40" s="1"/>
  <c r="V832" i="40" s="1"/>
  <c r="R808" i="40" a="1"/>
  <c r="R808" i="40" s="1"/>
  <c r="V808" i="40" s="1"/>
  <c r="R1316" i="40" a="1"/>
  <c r="R1316" i="40" s="1"/>
  <c r="V1316" i="40" s="1"/>
  <c r="R1292" i="40" a="1"/>
  <c r="R1292" i="40" s="1"/>
  <c r="V1292" i="40" s="1"/>
  <c r="R905" i="40" a="1"/>
  <c r="R905" i="40" s="1"/>
  <c r="V905" i="40" s="1"/>
  <c r="R197" i="40" a="1"/>
  <c r="R197" i="40" s="1"/>
  <c r="V197" i="40" s="1"/>
  <c r="R207" i="40" a="1"/>
  <c r="R207" i="40" s="1"/>
  <c r="V207" i="40" s="1"/>
  <c r="R597" i="40" a="1"/>
  <c r="R597" i="40" s="1"/>
  <c r="V597" i="40" s="1"/>
  <c r="R128" i="40" a="1"/>
  <c r="R128" i="40" s="1"/>
  <c r="V128" i="40" s="1"/>
  <c r="R829" i="40" a="1"/>
  <c r="R829" i="40" s="1"/>
  <c r="V829" i="40" s="1"/>
  <c r="R1313" i="40" a="1"/>
  <c r="R1313" i="40" s="1"/>
  <c r="V1313" i="40" s="1"/>
  <c r="R915" i="40" a="1"/>
  <c r="R915" i="40" s="1"/>
  <c r="V915" i="40" s="1"/>
  <c r="R901" i="40" a="1"/>
  <c r="R901" i="40" s="1"/>
  <c r="V901" i="40" s="1"/>
  <c r="R352" i="40" a="1"/>
  <c r="R352" i="40" s="1"/>
  <c r="V352" i="40" s="1"/>
  <c r="R340" i="40" a="1"/>
  <c r="R340" i="40" s="1"/>
  <c r="V340" i="40" s="1"/>
  <c r="I6" i="33"/>
  <c r="P286" i="40" a="1"/>
  <c r="P286" i="40" s="1"/>
  <c r="P97" i="40" a="1"/>
  <c r="P97" i="40" s="1"/>
  <c r="R1072" i="40" a="1"/>
  <c r="R1072" i="40" s="1"/>
  <c r="V1072" i="40" s="1"/>
  <c r="R1040" i="40" a="1"/>
  <c r="R1040" i="40" s="1"/>
  <c r="V1040" i="40" s="1"/>
  <c r="P992" i="40" a="1"/>
  <c r="P992" i="40" s="1"/>
  <c r="P984" i="40" a="1"/>
  <c r="P984" i="40" s="1"/>
  <c r="P801" i="40" a="1"/>
  <c r="P801" i="40" s="1"/>
  <c r="R344" i="40" a="1"/>
  <c r="R344" i="40" s="1"/>
  <c r="V344" i="40" s="1"/>
  <c r="P285" i="40" a="1"/>
  <c r="P285" i="40" s="1"/>
  <c r="P96" i="40" a="1"/>
  <c r="P96" i="40" s="1"/>
  <c r="R1068" i="40" a="1"/>
  <c r="R1068" i="40" s="1"/>
  <c r="V1068" i="40" s="1"/>
  <c r="P991" i="40" a="1"/>
  <c r="P991" i="40" s="1"/>
  <c r="P800" i="40" a="1"/>
  <c r="P800" i="40" s="1"/>
  <c r="R356" i="40" a="1"/>
  <c r="R356" i="40" s="1"/>
  <c r="V356" i="40" s="1"/>
  <c r="P284" i="40" a="1"/>
  <c r="P284" i="40" s="1"/>
  <c r="P103" i="40" a="1"/>
  <c r="P103" i="40" s="1"/>
  <c r="P95" i="40" a="1"/>
  <c r="P95" i="40" s="1"/>
  <c r="R1064" i="40" a="1"/>
  <c r="R1064" i="40" s="1"/>
  <c r="V1064" i="40" s="1"/>
  <c r="P990" i="40" a="1"/>
  <c r="P990" i="40" s="1"/>
  <c r="P807" i="40" a="1"/>
  <c r="P807" i="40" s="1"/>
  <c r="P799" i="40" a="1"/>
  <c r="P799" i="40" s="1"/>
  <c r="R364" i="40" a="1"/>
  <c r="R364" i="40" s="1"/>
  <c r="V364" i="40" s="1"/>
  <c r="P283" i="40" a="1"/>
  <c r="P283" i="40" s="1"/>
  <c r="P102" i="40" a="1"/>
  <c r="P102" i="40" s="1"/>
  <c r="P94" i="40" a="1"/>
  <c r="P94" i="40" s="1"/>
  <c r="R1060" i="40" a="1"/>
  <c r="R1060" i="40" s="1"/>
  <c r="V1060" i="40" s="1"/>
  <c r="P988" i="40" a="1"/>
  <c r="P988" i="40" s="1"/>
  <c r="P806" i="40" a="1"/>
  <c r="P806" i="40" s="1"/>
  <c r="P798" i="40" a="1"/>
  <c r="P798" i="40" s="1"/>
  <c r="R368" i="40" a="1"/>
  <c r="R368" i="40" s="1"/>
  <c r="V368" i="40" s="1"/>
  <c r="P290" i="40" a="1"/>
  <c r="P290" i="40" s="1"/>
  <c r="P282" i="40" a="1"/>
  <c r="P282" i="40" s="1"/>
  <c r="P101" i="40" a="1"/>
  <c r="P101" i="40" s="1"/>
  <c r="R1052" i="40" a="1"/>
  <c r="R1052" i="40" s="1"/>
  <c r="V1052" i="40" s="1"/>
  <c r="P989" i="40" a="1"/>
  <c r="P989" i="40" s="1"/>
  <c r="P805" i="40" a="1"/>
  <c r="P805" i="40" s="1"/>
  <c r="P797" i="40" a="1"/>
  <c r="P797" i="40" s="1"/>
  <c r="J478" i="42"/>
  <c r="P289" i="40" a="1"/>
  <c r="P289" i="40" s="1"/>
  <c r="P281" i="40" a="1"/>
  <c r="P281" i="40" s="1"/>
  <c r="P100" i="40" a="1"/>
  <c r="P100" i="40" s="1"/>
  <c r="R1056" i="40" a="1"/>
  <c r="R1056" i="40" s="1"/>
  <c r="V1056" i="40" s="1"/>
  <c r="P987" i="40" a="1"/>
  <c r="P987" i="40" s="1"/>
  <c r="P804" i="40" a="1"/>
  <c r="P804" i="40" s="1"/>
  <c r="R372" i="40" a="1"/>
  <c r="R372" i="40" s="1"/>
  <c r="V372" i="40" s="1"/>
  <c r="P288" i="40" a="1"/>
  <c r="P288" i="40" s="1"/>
  <c r="P99" i="40" a="1"/>
  <c r="P99" i="40" s="1"/>
  <c r="J405" i="42" s="1"/>
  <c r="R1080" i="40" a="1"/>
  <c r="R1080" i="40" s="1"/>
  <c r="V1080" i="40" s="1"/>
  <c r="R1048" i="40" a="1"/>
  <c r="R1048" i="40" s="1"/>
  <c r="V1048" i="40" s="1"/>
  <c r="P994" i="40" a="1"/>
  <c r="P994" i="40" s="1"/>
  <c r="J485" i="42"/>
  <c r="R45" i="40" a="1"/>
  <c r="R45" i="40" s="1"/>
  <c r="V45" i="40" s="1"/>
  <c r="R39" i="40" a="1"/>
  <c r="R39" i="40" s="1"/>
  <c r="V39" i="40" s="1"/>
  <c r="O90" i="40" a="1"/>
  <c r="O90" i="40" s="1"/>
  <c r="T90" i="40" s="1"/>
  <c r="P320" i="40" a="1"/>
  <c r="P320" i="40" s="1"/>
  <c r="R751" i="40" a="1"/>
  <c r="R751" i="40" s="1"/>
  <c r="V751" i="40" s="1"/>
  <c r="R744" i="40" a="1"/>
  <c r="R744" i="40" s="1"/>
  <c r="V744" i="40" s="1"/>
  <c r="P1024" i="40" a="1"/>
  <c r="P1024" i="40" s="1"/>
  <c r="O89" i="40" a="1"/>
  <c r="O89" i="40" s="1"/>
  <c r="T89" i="40" s="1"/>
  <c r="P319" i="40" a="1"/>
  <c r="P319" i="40" s="1"/>
  <c r="R750" i="40" a="1"/>
  <c r="R750" i="40" s="1"/>
  <c r="V750" i="40" s="1"/>
  <c r="R743" i="40" a="1"/>
  <c r="R743" i="40" s="1"/>
  <c r="V743" i="40" s="1"/>
  <c r="P1023" i="40" a="1"/>
  <c r="P1023" i="40" s="1"/>
  <c r="O87" i="40" a="1"/>
  <c r="O87" i="40" s="1"/>
  <c r="T87" i="40" s="1"/>
  <c r="P318" i="40" a="1"/>
  <c r="P318" i="40" s="1"/>
  <c r="J113" i="42"/>
  <c r="R749" i="40" a="1"/>
  <c r="R749" i="40" s="1"/>
  <c r="V749" i="40" s="1"/>
  <c r="P1022" i="40" a="1"/>
  <c r="P1022" i="40" s="1"/>
  <c r="R748" i="40" a="1"/>
  <c r="R748" i="40" s="1"/>
  <c r="V748" i="40" s="1"/>
  <c r="P1021" i="40" a="1"/>
  <c r="P1021" i="40" s="1"/>
  <c r="P316" i="40" a="1"/>
  <c r="P316" i="40" s="1"/>
  <c r="R747" i="40" a="1"/>
  <c r="R747" i="40" s="1"/>
  <c r="V747" i="40" s="1"/>
  <c r="P1020" i="40" a="1"/>
  <c r="P1020" i="40" s="1"/>
  <c r="P323" i="40" a="1"/>
  <c r="P323" i="40" s="1"/>
  <c r="P315" i="40" a="1"/>
  <c r="P315" i="40" s="1"/>
  <c r="R745" i="40" a="1"/>
  <c r="R745" i="40" s="1"/>
  <c r="V745" i="40" s="1"/>
  <c r="P1027" i="40" a="1"/>
  <c r="P1027" i="40" s="1"/>
  <c r="P1019" i="40" a="1"/>
  <c r="P1019" i="40" s="1"/>
  <c r="P322" i="40" a="1"/>
  <c r="P322" i="40" s="1"/>
  <c r="P314" i="40" a="1"/>
  <c r="P314" i="40" s="1"/>
  <c r="R746" i="40" a="1"/>
  <c r="R746" i="40" s="1"/>
  <c r="V746" i="40" s="1"/>
  <c r="P1026" i="40" a="1"/>
  <c r="P1026" i="40" s="1"/>
  <c r="J110" i="42"/>
  <c r="J477" i="42"/>
  <c r="J483" i="42"/>
  <c r="K35" i="33"/>
  <c r="M15" i="44" s="1"/>
  <c r="AB65" i="8"/>
  <c r="K37" i="33"/>
  <c r="AB49" i="8"/>
  <c r="K17" i="33"/>
  <c r="AB40" i="8"/>
  <c r="O793" i="40" a="1"/>
  <c r="O793" i="40" s="1"/>
  <c r="T793" i="40" s="1"/>
  <c r="Z46" i="8"/>
  <c r="J109" i="42"/>
  <c r="K12" i="33"/>
  <c r="AB61" i="8"/>
  <c r="J739" i="42"/>
  <c r="P575" i="40" a="1"/>
  <c r="P575" i="40" s="1"/>
  <c r="P573" i="40" a="1"/>
  <c r="P573" i="40" s="1"/>
  <c r="P561" i="40" a="1"/>
  <c r="P561" i="40" s="1"/>
  <c r="P559" i="40" a="1"/>
  <c r="P559" i="40" s="1"/>
  <c r="P557" i="40" a="1"/>
  <c r="P557" i="40" s="1"/>
  <c r="P1271" i="40" a="1"/>
  <c r="P1271" i="40" s="1"/>
  <c r="P1269" i="40" a="1"/>
  <c r="P1269" i="40" s="1"/>
  <c r="J482" i="42"/>
  <c r="J108" i="42"/>
  <c r="J486" i="42"/>
  <c r="O792" i="40" a="1"/>
  <c r="O792" i="40" s="1"/>
  <c r="T792" i="40" s="1"/>
  <c r="P1273" i="40" a="1"/>
  <c r="P1273" i="40" s="1"/>
  <c r="O91" i="40" a="1"/>
  <c r="O91" i="40" s="1"/>
  <c r="T91" i="40" s="1"/>
  <c r="P571" i="40" a="1"/>
  <c r="P571" i="40" s="1"/>
  <c r="O789" i="40" a="1"/>
  <c r="O789" i="40" s="1"/>
  <c r="T789" i="40" s="1"/>
  <c r="P1267" i="40" a="1"/>
  <c r="P1267" i="40" s="1"/>
  <c r="O88" i="40" a="1"/>
  <c r="O88" i="40" s="1"/>
  <c r="T88" i="40" s="1"/>
  <c r="P569" i="40" a="1"/>
  <c r="P569" i="40" s="1"/>
  <c r="J481" i="42"/>
  <c r="J106" i="42"/>
  <c r="O796" i="40" a="1"/>
  <c r="O796" i="40" s="1"/>
  <c r="T796" i="40" s="1"/>
  <c r="O788" i="40" a="1"/>
  <c r="O788" i="40" s="1"/>
  <c r="T788" i="40" s="1"/>
  <c r="P1265" i="40" a="1"/>
  <c r="P1265" i="40" s="1"/>
  <c r="I32" i="33"/>
  <c r="O84" i="40" a="1"/>
  <c r="O84" i="40" s="1"/>
  <c r="T84" i="40" s="1"/>
  <c r="O85" i="40" a="1"/>
  <c r="O85" i="40" s="1"/>
  <c r="T85" i="40" s="1"/>
  <c r="P567" i="40" a="1"/>
  <c r="P567" i="40" s="1"/>
  <c r="O795" i="40" a="1"/>
  <c r="O795" i="40" s="1"/>
  <c r="T795" i="40" s="1"/>
  <c r="O787" i="40" a="1"/>
  <c r="O787" i="40" s="1"/>
  <c r="T787" i="40" s="1"/>
  <c r="P1279" i="40" a="1"/>
  <c r="P1279" i="40" s="1"/>
  <c r="P1263" i="40" a="1"/>
  <c r="P1263" i="40" s="1"/>
  <c r="O92" i="40" a="1"/>
  <c r="O92" i="40" s="1"/>
  <c r="T92" i="40" s="1"/>
  <c r="O83" i="40" a="1"/>
  <c r="O83" i="40" s="1"/>
  <c r="T83" i="40" s="1"/>
  <c r="P565" i="40" a="1"/>
  <c r="P565" i="40" s="1"/>
  <c r="J480" i="42"/>
  <c r="J114" i="42"/>
  <c r="O794" i="40" a="1"/>
  <c r="O794" i="40" s="1"/>
  <c r="T794" i="40" s="1"/>
  <c r="O786" i="40" a="1"/>
  <c r="O786" i="40" s="1"/>
  <c r="T786" i="40" s="1"/>
  <c r="P1277" i="40" a="1"/>
  <c r="P1277" i="40" s="1"/>
  <c r="P1261" i="40" a="1"/>
  <c r="P1261" i="40" s="1"/>
  <c r="O86" i="40" a="1"/>
  <c r="O86" i="40" s="1"/>
  <c r="T86" i="40" s="1"/>
  <c r="P563" i="40" a="1"/>
  <c r="P563" i="40" s="1"/>
  <c r="P1275" i="40" a="1"/>
  <c r="P1275" i="40" s="1"/>
  <c r="J12" i="44" a="1"/>
  <c r="J12" i="44" s="1"/>
  <c r="P7" i="31"/>
  <c r="C5" i="34"/>
  <c r="AF72" i="43"/>
  <c r="AH72" i="43" s="1"/>
  <c r="P28" i="8" s="1"/>
  <c r="Q28" i="8" s="1"/>
  <c r="AA28" i="8" s="1"/>
  <c r="AF71" i="43"/>
  <c r="AH71" i="43" s="1"/>
  <c r="P38" i="8" s="1"/>
  <c r="M21" i="8"/>
  <c r="Y21" i="8" s="1"/>
  <c r="P28" i="40" a="1"/>
  <c r="P28" i="40" s="1"/>
  <c r="J225" i="42"/>
  <c r="J233" i="42"/>
  <c r="P31" i="40" a="1"/>
  <c r="P31" i="40" s="1"/>
  <c r="P37" i="40" a="1"/>
  <c r="P37" i="40" s="1"/>
  <c r="P29" i="40" a="1"/>
  <c r="P29" i="40" s="1"/>
  <c r="I28" i="33"/>
  <c r="P36" i="40" a="1"/>
  <c r="P36" i="40" s="1"/>
  <c r="P35" i="40" a="1"/>
  <c r="P35" i="40" s="1"/>
  <c r="P34" i="40" a="1"/>
  <c r="P34" i="40" s="1"/>
  <c r="P33" i="40" a="1"/>
  <c r="P33" i="40" s="1"/>
  <c r="P32" i="40" a="1"/>
  <c r="P32" i="40" s="1"/>
  <c r="J687" i="42"/>
  <c r="J606" i="42"/>
  <c r="J598" i="42"/>
  <c r="J316" i="42"/>
  <c r="J294" i="42"/>
  <c r="J604" i="42"/>
  <c r="J293" i="42"/>
  <c r="J693" i="42"/>
  <c r="J602" i="42"/>
  <c r="J685" i="42"/>
  <c r="J317" i="42"/>
  <c r="J668" i="42"/>
  <c r="J599" i="42"/>
  <c r="J300" i="42"/>
  <c r="J292" i="42"/>
  <c r="J299" i="42"/>
  <c r="J663" i="42"/>
  <c r="J231" i="42"/>
  <c r="J314" i="42"/>
  <c r="J669" i="42"/>
  <c r="J318" i="42"/>
  <c r="J667" i="42"/>
  <c r="J228" i="42"/>
  <c r="J320" i="42"/>
  <c r="J684" i="42"/>
  <c r="J319" i="42"/>
  <c r="J298" i="42"/>
  <c r="J229" i="42"/>
  <c r="R1380" i="40" a="1"/>
  <c r="R1380" i="40" s="1"/>
  <c r="V1380" i="40" s="1"/>
  <c r="R1381" i="40" a="1"/>
  <c r="R1381" i="40" s="1"/>
  <c r="V1381" i="40" s="1"/>
  <c r="R1382" i="40" a="1"/>
  <c r="R1382" i="40" s="1"/>
  <c r="V1382" i="40" s="1"/>
  <c r="R1383" i="40" a="1"/>
  <c r="R1383" i="40" s="1"/>
  <c r="V1383" i="40" s="1"/>
  <c r="R1384" i="40" a="1"/>
  <c r="R1384" i="40" s="1"/>
  <c r="V1384" i="40" s="1"/>
  <c r="R1385" i="40" a="1"/>
  <c r="R1385" i="40" s="1"/>
  <c r="V1385" i="40" s="1"/>
  <c r="R1386" i="40" a="1"/>
  <c r="R1386" i="40" s="1"/>
  <c r="V1386" i="40" s="1"/>
  <c r="R1387" i="40" a="1"/>
  <c r="R1387" i="40" s="1"/>
  <c r="V1387" i="40" s="1"/>
  <c r="R1388" i="40" a="1"/>
  <c r="R1388" i="40" s="1"/>
  <c r="V1388" i="40" s="1"/>
  <c r="R1389" i="40" a="1"/>
  <c r="R1389" i="40" s="1"/>
  <c r="V1389" i="40" s="1"/>
  <c r="R1390" i="40" a="1"/>
  <c r="R1390" i="40" s="1"/>
  <c r="V1390" i="40" s="1"/>
  <c r="R786" i="40" a="1"/>
  <c r="R786" i="40" s="1"/>
  <c r="V786" i="40" s="1"/>
  <c r="R787" i="40" a="1"/>
  <c r="R787" i="40" s="1"/>
  <c r="V787" i="40" s="1"/>
  <c r="R788" i="40" a="1"/>
  <c r="R788" i="40" s="1"/>
  <c r="V788" i="40" s="1"/>
  <c r="R790" i="40" a="1"/>
  <c r="R790" i="40" s="1"/>
  <c r="V790" i="40" s="1"/>
  <c r="R789" i="40" a="1"/>
  <c r="R789" i="40" s="1"/>
  <c r="V789" i="40" s="1"/>
  <c r="R791" i="40" a="1"/>
  <c r="R791" i="40" s="1"/>
  <c r="V791" i="40" s="1"/>
  <c r="R792" i="40" a="1"/>
  <c r="R792" i="40" s="1"/>
  <c r="V792" i="40" s="1"/>
  <c r="R793" i="40" a="1"/>
  <c r="R793" i="40" s="1"/>
  <c r="V793" i="40" s="1"/>
  <c r="R794" i="40" a="1"/>
  <c r="R794" i="40" s="1"/>
  <c r="V794" i="40" s="1"/>
  <c r="R795" i="40" a="1"/>
  <c r="R795" i="40" s="1"/>
  <c r="V795" i="40" s="1"/>
  <c r="R796" i="40" a="1"/>
  <c r="R796" i="40" s="1"/>
  <c r="V796" i="40" s="1"/>
  <c r="P1086" i="40" a="1"/>
  <c r="P1086" i="40" s="1"/>
  <c r="P1090" i="40" a="1"/>
  <c r="P1090" i="40" s="1"/>
  <c r="P1094" i="40" a="1"/>
  <c r="P1094" i="40" s="1"/>
  <c r="P1098" i="40" a="1"/>
  <c r="P1098" i="40" s="1"/>
  <c r="P1102" i="40" a="1"/>
  <c r="P1102" i="40" s="1"/>
  <c r="P1106" i="40" a="1"/>
  <c r="P1106" i="40" s="1"/>
  <c r="P1110" i="40" a="1"/>
  <c r="P1110" i="40" s="1"/>
  <c r="P1114" i="40" a="1"/>
  <c r="P1114" i="40" s="1"/>
  <c r="P1118" i="40" a="1"/>
  <c r="P1118" i="40" s="1"/>
  <c r="P1122" i="40" a="1"/>
  <c r="P1122" i="40" s="1"/>
  <c r="P1126" i="40" a="1"/>
  <c r="P1126" i="40" s="1"/>
  <c r="P973" i="40" a="1"/>
  <c r="P973" i="40" s="1"/>
  <c r="P974" i="40" a="1"/>
  <c r="P974" i="40" s="1"/>
  <c r="P975" i="40" a="1"/>
  <c r="P975" i="40" s="1"/>
  <c r="P976" i="40" a="1"/>
  <c r="P976" i="40" s="1"/>
  <c r="P977" i="40" a="1"/>
  <c r="P977" i="40" s="1"/>
  <c r="P978" i="40" a="1"/>
  <c r="P978" i="40" s="1"/>
  <c r="P979" i="40" a="1"/>
  <c r="P979" i="40" s="1"/>
  <c r="P980" i="40" a="1"/>
  <c r="P980" i="40" s="1"/>
  <c r="P981" i="40" a="1"/>
  <c r="P981" i="40" s="1"/>
  <c r="P982" i="40" a="1"/>
  <c r="P982" i="40" s="1"/>
  <c r="P983" i="40" a="1"/>
  <c r="P983" i="40" s="1"/>
  <c r="R1039" i="40" a="1"/>
  <c r="R1039" i="40" s="1"/>
  <c r="V1039" i="40" s="1"/>
  <c r="R1043" i="40" a="1"/>
  <c r="R1043" i="40" s="1"/>
  <c r="V1043" i="40" s="1"/>
  <c r="R1047" i="40" a="1"/>
  <c r="R1047" i="40" s="1"/>
  <c r="V1047" i="40" s="1"/>
  <c r="R1051" i="40" a="1"/>
  <c r="R1051" i="40" s="1"/>
  <c r="V1051" i="40" s="1"/>
  <c r="R1055" i="40" a="1"/>
  <c r="R1055" i="40" s="1"/>
  <c r="V1055" i="40" s="1"/>
  <c r="R1059" i="40" a="1"/>
  <c r="R1059" i="40" s="1"/>
  <c r="V1059" i="40" s="1"/>
  <c r="R1063" i="40" a="1"/>
  <c r="R1063" i="40" s="1"/>
  <c r="V1063" i="40" s="1"/>
  <c r="R1067" i="40" a="1"/>
  <c r="R1067" i="40" s="1"/>
  <c r="V1067" i="40" s="1"/>
  <c r="R1071" i="40" a="1"/>
  <c r="R1071" i="40" s="1"/>
  <c r="V1071" i="40" s="1"/>
  <c r="R1079" i="40" a="1"/>
  <c r="R1079" i="40" s="1"/>
  <c r="V1079" i="40" s="1"/>
  <c r="R1075" i="40" a="1"/>
  <c r="R1075" i="40" s="1"/>
  <c r="V1075" i="40" s="1"/>
  <c r="P1347" i="40" a="1"/>
  <c r="P1347" i="40" s="1"/>
  <c r="P1348" i="40" a="1"/>
  <c r="P1348" i="40" s="1"/>
  <c r="P1349" i="40" a="1"/>
  <c r="P1349" i="40" s="1"/>
  <c r="P1350" i="40" a="1"/>
  <c r="P1350" i="40" s="1"/>
  <c r="P1351" i="40" a="1"/>
  <c r="P1351" i="40" s="1"/>
  <c r="J392" i="42" s="1"/>
  <c r="P1352" i="40" a="1"/>
  <c r="P1352" i="40" s="1"/>
  <c r="P1353" i="40" a="1"/>
  <c r="P1353" i="40" s="1"/>
  <c r="P1354" i="40" a="1"/>
  <c r="P1354" i="40" s="1"/>
  <c r="P1355" i="40" a="1"/>
  <c r="P1355" i="40" s="1"/>
  <c r="P1356" i="40" a="1"/>
  <c r="P1356" i="40" s="1"/>
  <c r="P1357" i="40" a="1"/>
  <c r="P1357" i="40" s="1"/>
  <c r="O709" i="40" a="1"/>
  <c r="O709" i="40" s="1"/>
  <c r="T709" i="40" s="1"/>
  <c r="O711" i="40" a="1"/>
  <c r="O711" i="40" s="1"/>
  <c r="T711" i="40" s="1"/>
  <c r="O710" i="40" a="1"/>
  <c r="O710" i="40" s="1"/>
  <c r="T710" i="40" s="1"/>
  <c r="O712" i="40" a="1"/>
  <c r="O712" i="40" s="1"/>
  <c r="T712" i="40" s="1"/>
  <c r="O713" i="40" a="1"/>
  <c r="O713" i="40" s="1"/>
  <c r="T713" i="40" s="1"/>
  <c r="O714" i="40" a="1"/>
  <c r="O714" i="40" s="1"/>
  <c r="T714" i="40" s="1"/>
  <c r="O715" i="40" a="1"/>
  <c r="O715" i="40" s="1"/>
  <c r="T715" i="40" s="1"/>
  <c r="O717" i="40" a="1"/>
  <c r="O717" i="40" s="1"/>
  <c r="T717" i="40" s="1"/>
  <c r="O716" i="40" a="1"/>
  <c r="O716" i="40" s="1"/>
  <c r="T716" i="40" s="1"/>
  <c r="O718" i="40" a="1"/>
  <c r="O718" i="40" s="1"/>
  <c r="T718" i="40" s="1"/>
  <c r="O719" i="40" a="1"/>
  <c r="O719" i="40" s="1"/>
  <c r="T719" i="40" s="1"/>
  <c r="R1260" i="40" a="1"/>
  <c r="R1260" i="40" s="1"/>
  <c r="V1260" i="40" s="1"/>
  <c r="R1262" i="40" a="1"/>
  <c r="R1262" i="40" s="1"/>
  <c r="V1262" i="40" s="1"/>
  <c r="R1264" i="40" a="1"/>
  <c r="R1264" i="40" s="1"/>
  <c r="V1264" i="40" s="1"/>
  <c r="R1266" i="40" a="1"/>
  <c r="R1266" i="40" s="1"/>
  <c r="V1266" i="40" s="1"/>
  <c r="R1268" i="40" a="1"/>
  <c r="R1268" i="40" s="1"/>
  <c r="V1268" i="40" s="1"/>
  <c r="R1270" i="40" a="1"/>
  <c r="R1270" i="40" s="1"/>
  <c r="V1270" i="40" s="1"/>
  <c r="R1272" i="40" a="1"/>
  <c r="R1272" i="40" s="1"/>
  <c r="V1272" i="40" s="1"/>
  <c r="R1274" i="40" a="1"/>
  <c r="R1274" i="40" s="1"/>
  <c r="V1274" i="40" s="1"/>
  <c r="R1276" i="40" a="1"/>
  <c r="R1276" i="40" s="1"/>
  <c r="V1276" i="40" s="1"/>
  <c r="R1278" i="40" a="1"/>
  <c r="R1278" i="40" s="1"/>
  <c r="V1278" i="40" s="1"/>
  <c r="R1280" i="40" a="1"/>
  <c r="R1280" i="40" s="1"/>
  <c r="V1280" i="40" s="1"/>
  <c r="O951" i="40" a="1"/>
  <c r="O951" i="40" s="1"/>
  <c r="T951" i="40" s="1"/>
  <c r="O952" i="40" a="1"/>
  <c r="O952" i="40" s="1"/>
  <c r="T952" i="40" s="1"/>
  <c r="O953" i="40" a="1"/>
  <c r="O953" i="40" s="1"/>
  <c r="T953" i="40" s="1"/>
  <c r="O954" i="40" a="1"/>
  <c r="O954" i="40" s="1"/>
  <c r="T954" i="40" s="1"/>
  <c r="O955" i="40" a="1"/>
  <c r="O955" i="40" s="1"/>
  <c r="T955" i="40" s="1"/>
  <c r="O956" i="40" a="1"/>
  <c r="O956" i="40" s="1"/>
  <c r="T956" i="40" s="1"/>
  <c r="O957" i="40" a="1"/>
  <c r="O957" i="40" s="1"/>
  <c r="T957" i="40" s="1"/>
  <c r="O958" i="40" a="1"/>
  <c r="O958" i="40" s="1"/>
  <c r="T958" i="40" s="1"/>
  <c r="O959" i="40" a="1"/>
  <c r="O959" i="40" s="1"/>
  <c r="T959" i="40" s="1"/>
  <c r="O960" i="40" a="1"/>
  <c r="O960" i="40" s="1"/>
  <c r="T960" i="40" s="1"/>
  <c r="O961" i="40" a="1"/>
  <c r="O961" i="40" s="1"/>
  <c r="T961" i="40" s="1"/>
  <c r="M1369" i="40" a="1"/>
  <c r="M1369" i="40" s="1"/>
  <c r="S1369" i="40" s="1"/>
  <c r="M1370" i="40" a="1"/>
  <c r="M1370" i="40" s="1"/>
  <c r="S1370" i="40" s="1"/>
  <c r="M1371" i="40" a="1"/>
  <c r="M1371" i="40" s="1"/>
  <c r="S1371" i="40" s="1"/>
  <c r="M1372" i="40" a="1"/>
  <c r="M1372" i="40" s="1"/>
  <c r="S1372" i="40" s="1"/>
  <c r="M1373" i="40" a="1"/>
  <c r="M1373" i="40" s="1"/>
  <c r="S1373" i="40" s="1"/>
  <c r="M1374" i="40" a="1"/>
  <c r="M1374" i="40" s="1"/>
  <c r="S1374" i="40" s="1"/>
  <c r="M1375" i="40" a="1"/>
  <c r="M1375" i="40" s="1"/>
  <c r="S1375" i="40" s="1"/>
  <c r="M1376" i="40" a="1"/>
  <c r="M1376" i="40" s="1"/>
  <c r="S1376" i="40" s="1"/>
  <c r="M1377" i="40" a="1"/>
  <c r="M1377" i="40" s="1"/>
  <c r="S1377" i="40" s="1"/>
  <c r="M1378" i="40" a="1"/>
  <c r="M1378" i="40" s="1"/>
  <c r="S1378" i="40" s="1"/>
  <c r="M1379" i="40" a="1"/>
  <c r="M1379" i="40" s="1"/>
  <c r="S1379" i="40" s="1"/>
  <c r="O1358" i="40" a="1"/>
  <c r="O1358" i="40" s="1"/>
  <c r="T1358" i="40" s="1"/>
  <c r="O1359" i="40" a="1"/>
  <c r="O1359" i="40" s="1"/>
  <c r="T1359" i="40" s="1"/>
  <c r="O1360" i="40" a="1"/>
  <c r="O1360" i="40" s="1"/>
  <c r="T1360" i="40" s="1"/>
  <c r="O1361" i="40" a="1"/>
  <c r="O1361" i="40" s="1"/>
  <c r="T1361" i="40" s="1"/>
  <c r="O1362" i="40" a="1"/>
  <c r="O1362" i="40" s="1"/>
  <c r="T1362" i="40" s="1"/>
  <c r="O1363" i="40" a="1"/>
  <c r="O1363" i="40" s="1"/>
  <c r="T1363" i="40" s="1"/>
  <c r="O1364" i="40" a="1"/>
  <c r="O1364" i="40" s="1"/>
  <c r="T1364" i="40" s="1"/>
  <c r="O1365" i="40" a="1"/>
  <c r="O1365" i="40" s="1"/>
  <c r="T1365" i="40" s="1"/>
  <c r="O1366" i="40" a="1"/>
  <c r="O1366" i="40" s="1"/>
  <c r="T1366" i="40" s="1"/>
  <c r="O1367" i="40" a="1"/>
  <c r="O1367" i="40" s="1"/>
  <c r="T1367" i="40" s="1"/>
  <c r="O1368" i="40" a="1"/>
  <c r="O1368" i="40" s="1"/>
  <c r="T1368" i="40" s="1"/>
  <c r="O72" i="40" a="1"/>
  <c r="O72" i="40" s="1"/>
  <c r="T72" i="40" s="1"/>
  <c r="O775" i="40" a="1"/>
  <c r="O775" i="40" s="1"/>
  <c r="T775" i="40" s="1"/>
  <c r="O776" i="40" a="1"/>
  <c r="O776" i="40" s="1"/>
  <c r="T776" i="40" s="1"/>
  <c r="O777" i="40" a="1"/>
  <c r="O777" i="40" s="1"/>
  <c r="T777" i="40" s="1"/>
  <c r="O778" i="40" a="1"/>
  <c r="O778" i="40" s="1"/>
  <c r="T778" i="40" s="1"/>
  <c r="O780" i="40" a="1"/>
  <c r="O780" i="40" s="1"/>
  <c r="T780" i="40" s="1"/>
  <c r="O779" i="40" a="1"/>
  <c r="O779" i="40" s="1"/>
  <c r="T779" i="40" s="1"/>
  <c r="O781" i="40" a="1"/>
  <c r="O781" i="40" s="1"/>
  <c r="T781" i="40" s="1"/>
  <c r="O782" i="40" a="1"/>
  <c r="O782" i="40" s="1"/>
  <c r="T782" i="40" s="1"/>
  <c r="O783" i="40" a="1"/>
  <c r="O783" i="40" s="1"/>
  <c r="T783" i="40" s="1"/>
  <c r="O784" i="40" a="1"/>
  <c r="O784" i="40" s="1"/>
  <c r="T784" i="40" s="1"/>
  <c r="O785" i="40" a="1"/>
  <c r="O785" i="40" s="1"/>
  <c r="T785" i="40" s="1"/>
  <c r="P1084" i="40" a="1"/>
  <c r="P1084" i="40" s="1"/>
  <c r="P1088" i="40" a="1"/>
  <c r="P1088" i="40" s="1"/>
  <c r="P1092" i="40" a="1"/>
  <c r="P1092" i="40" s="1"/>
  <c r="P1096" i="40" a="1"/>
  <c r="P1096" i="40" s="1"/>
  <c r="P1104" i="40" a="1"/>
  <c r="P1104" i="40" s="1"/>
  <c r="P1100" i="40" a="1"/>
  <c r="P1100" i="40" s="1"/>
  <c r="P1108" i="40" a="1"/>
  <c r="P1108" i="40" s="1"/>
  <c r="P1112" i="40" a="1"/>
  <c r="P1112" i="40" s="1"/>
  <c r="P1116" i="40" a="1"/>
  <c r="P1116" i="40" s="1"/>
  <c r="P1120" i="40" a="1"/>
  <c r="P1120" i="40" s="1"/>
  <c r="P1124" i="40" a="1"/>
  <c r="P1124" i="40" s="1"/>
  <c r="P1294" i="40" a="1"/>
  <c r="P1294" i="40" s="1"/>
  <c r="P1297" i="40" a="1"/>
  <c r="P1297" i="40" s="1"/>
  <c r="P1300" i="40" a="1"/>
  <c r="P1300" i="40" s="1"/>
  <c r="P1303" i="40" a="1"/>
  <c r="P1303" i="40" s="1"/>
  <c r="P1306" i="40" a="1"/>
  <c r="P1306" i="40" s="1"/>
  <c r="P1309" i="40" a="1"/>
  <c r="P1309" i="40" s="1"/>
  <c r="P1312" i="40" a="1"/>
  <c r="P1312" i="40" s="1"/>
  <c r="P1315" i="40" a="1"/>
  <c r="P1315" i="40" s="1"/>
  <c r="P1318" i="40" a="1"/>
  <c r="P1318" i="40" s="1"/>
  <c r="P1321" i="40" a="1"/>
  <c r="P1321" i="40" s="1"/>
  <c r="P1324" i="40" a="1"/>
  <c r="P1324" i="40" s="1"/>
  <c r="O1160" i="40" a="1"/>
  <c r="O1160" i="40" s="1"/>
  <c r="T1160" i="40" s="1"/>
  <c r="O1162" i="40" a="1"/>
  <c r="O1162" i="40" s="1"/>
  <c r="T1162" i="40" s="1"/>
  <c r="O1164" i="40" a="1"/>
  <c r="O1164" i="40" s="1"/>
  <c r="T1164" i="40" s="1"/>
  <c r="O1166" i="40" a="1"/>
  <c r="O1166" i="40" s="1"/>
  <c r="T1166" i="40" s="1"/>
  <c r="O1168" i="40" a="1"/>
  <c r="O1168" i="40" s="1"/>
  <c r="T1168" i="40" s="1"/>
  <c r="O1170" i="40" a="1"/>
  <c r="O1170" i="40" s="1"/>
  <c r="T1170" i="40" s="1"/>
  <c r="O1172" i="40" a="1"/>
  <c r="O1172" i="40" s="1"/>
  <c r="T1172" i="40" s="1"/>
  <c r="O1174" i="40" a="1"/>
  <c r="O1174" i="40" s="1"/>
  <c r="T1174" i="40" s="1"/>
  <c r="O1176" i="40" a="1"/>
  <c r="O1176" i="40" s="1"/>
  <c r="T1176" i="40" s="1"/>
  <c r="O1178" i="40" a="1"/>
  <c r="O1178" i="40" s="1"/>
  <c r="T1178" i="40" s="1"/>
  <c r="O1180" i="40" a="1"/>
  <c r="O1180" i="40" s="1"/>
  <c r="T1180" i="40" s="1"/>
  <c r="O929" i="40" a="1"/>
  <c r="O929" i="40" s="1"/>
  <c r="T929" i="40" s="1"/>
  <c r="O930" i="40" a="1"/>
  <c r="O930" i="40" s="1"/>
  <c r="T930" i="40" s="1"/>
  <c r="O931" i="40" a="1"/>
  <c r="O931" i="40" s="1"/>
  <c r="T931" i="40" s="1"/>
  <c r="O932" i="40" a="1"/>
  <c r="O932" i="40" s="1"/>
  <c r="T932" i="40" s="1"/>
  <c r="O933" i="40" a="1"/>
  <c r="O933" i="40" s="1"/>
  <c r="T933" i="40" s="1"/>
  <c r="O934" i="40" a="1"/>
  <c r="O934" i="40" s="1"/>
  <c r="T934" i="40" s="1"/>
  <c r="O935" i="40" a="1"/>
  <c r="O935" i="40" s="1"/>
  <c r="T935" i="40" s="1"/>
  <c r="O936" i="40" a="1"/>
  <c r="O936" i="40" s="1"/>
  <c r="T936" i="40" s="1"/>
  <c r="O937" i="40" a="1"/>
  <c r="O937" i="40" s="1"/>
  <c r="T937" i="40" s="1"/>
  <c r="O938" i="40" a="1"/>
  <c r="O938" i="40" s="1"/>
  <c r="T938" i="40" s="1"/>
  <c r="O939" i="40" a="1"/>
  <c r="O939" i="40" s="1"/>
  <c r="T939" i="40" s="1"/>
  <c r="Q1149" i="40" a="1"/>
  <c r="Q1149" i="40" s="1"/>
  <c r="U1149" i="40" s="1"/>
  <c r="Q1150" i="40" a="1"/>
  <c r="Q1150" i="40" s="1"/>
  <c r="U1150" i="40" s="1"/>
  <c r="Q1151" i="40" a="1"/>
  <c r="Q1151" i="40" s="1"/>
  <c r="U1151" i="40" s="1"/>
  <c r="Q1152" i="40" a="1"/>
  <c r="Q1152" i="40" s="1"/>
  <c r="U1152" i="40" s="1"/>
  <c r="Q1153" i="40" a="1"/>
  <c r="Q1153" i="40" s="1"/>
  <c r="U1153" i="40" s="1"/>
  <c r="Q1154" i="40" a="1"/>
  <c r="Q1154" i="40" s="1"/>
  <c r="U1154" i="40" s="1"/>
  <c r="Q1155" i="40" a="1"/>
  <c r="Q1155" i="40" s="1"/>
  <c r="U1155" i="40" s="1"/>
  <c r="Q1156" i="40" a="1"/>
  <c r="Q1156" i="40" s="1"/>
  <c r="U1156" i="40" s="1"/>
  <c r="Q1157" i="40" a="1"/>
  <c r="Q1157" i="40" s="1"/>
  <c r="U1157" i="40" s="1"/>
  <c r="Q1158" i="40" a="1"/>
  <c r="Q1158" i="40" s="1"/>
  <c r="U1158" i="40" s="1"/>
  <c r="Q1159" i="40" a="1"/>
  <c r="Q1159" i="40" s="1"/>
  <c r="U1159" i="40" s="1"/>
  <c r="O841" i="40" a="1"/>
  <c r="O841" i="40" s="1"/>
  <c r="T841" i="40" s="1"/>
  <c r="O843" i="40" a="1"/>
  <c r="O843" i="40" s="1"/>
  <c r="T843" i="40" s="1"/>
  <c r="O845" i="40" a="1"/>
  <c r="O845" i="40" s="1"/>
  <c r="T845" i="40" s="1"/>
  <c r="O847" i="40" a="1"/>
  <c r="O847" i="40" s="1"/>
  <c r="T847" i="40" s="1"/>
  <c r="O849" i="40" a="1"/>
  <c r="O849" i="40" s="1"/>
  <c r="T849" i="40" s="1"/>
  <c r="O851" i="40" a="1"/>
  <c r="O851" i="40" s="1"/>
  <c r="T851" i="40" s="1"/>
  <c r="O853" i="40" a="1"/>
  <c r="O853" i="40" s="1"/>
  <c r="T853" i="40" s="1"/>
  <c r="O855" i="40" a="1"/>
  <c r="O855" i="40" s="1"/>
  <c r="T855" i="40" s="1"/>
  <c r="O857" i="40" a="1"/>
  <c r="O857" i="40" s="1"/>
  <c r="T857" i="40" s="1"/>
  <c r="O859" i="40" a="1"/>
  <c r="O859" i="40" s="1"/>
  <c r="T859" i="40" s="1"/>
  <c r="O861" i="40" a="1"/>
  <c r="O861" i="40" s="1"/>
  <c r="T861" i="40" s="1"/>
  <c r="R918" i="40" a="1"/>
  <c r="R918" i="40" s="1"/>
  <c r="V918" i="40" s="1"/>
  <c r="R919" i="40" a="1"/>
  <c r="R919" i="40" s="1"/>
  <c r="V919" i="40" s="1"/>
  <c r="R920" i="40" a="1"/>
  <c r="R920" i="40" s="1"/>
  <c r="V920" i="40" s="1"/>
  <c r="R921" i="40" a="1"/>
  <c r="R921" i="40" s="1"/>
  <c r="V921" i="40" s="1"/>
  <c r="R922" i="40" a="1"/>
  <c r="R922" i="40" s="1"/>
  <c r="V922" i="40" s="1"/>
  <c r="R923" i="40" a="1"/>
  <c r="R923" i="40" s="1"/>
  <c r="V923" i="40" s="1"/>
  <c r="R924" i="40" a="1"/>
  <c r="R924" i="40" s="1"/>
  <c r="V924" i="40" s="1"/>
  <c r="R925" i="40" a="1"/>
  <c r="R925" i="40" s="1"/>
  <c r="V925" i="40" s="1"/>
  <c r="R926" i="40" a="1"/>
  <c r="R926" i="40" s="1"/>
  <c r="V926" i="40" s="1"/>
  <c r="R927" i="40" a="1"/>
  <c r="R927" i="40" s="1"/>
  <c r="V927" i="40" s="1"/>
  <c r="R928" i="40" a="1"/>
  <c r="R928" i="40" s="1"/>
  <c r="V928" i="40" s="1"/>
  <c r="R1325" i="40" a="1"/>
  <c r="R1325" i="40" s="1"/>
  <c r="V1325" i="40" s="1"/>
  <c r="R1326" i="40" a="1"/>
  <c r="R1326" i="40" s="1"/>
  <c r="V1326" i="40" s="1"/>
  <c r="R1327" i="40" a="1"/>
  <c r="R1327" i="40" s="1"/>
  <c r="V1327" i="40" s="1"/>
  <c r="R1328" i="40" a="1"/>
  <c r="R1328" i="40" s="1"/>
  <c r="V1328" i="40" s="1"/>
  <c r="R1329" i="40" a="1"/>
  <c r="R1329" i="40" s="1"/>
  <c r="V1329" i="40" s="1"/>
  <c r="R1330" i="40" a="1"/>
  <c r="R1330" i="40" s="1"/>
  <c r="V1330" i="40" s="1"/>
  <c r="R1331" i="40" a="1"/>
  <c r="R1331" i="40" s="1"/>
  <c r="V1331" i="40" s="1"/>
  <c r="R1332" i="40" a="1"/>
  <c r="R1332" i="40" s="1"/>
  <c r="V1332" i="40" s="1"/>
  <c r="R1333" i="40" a="1"/>
  <c r="R1333" i="40" s="1"/>
  <c r="V1333" i="40" s="1"/>
  <c r="R1334" i="40" a="1"/>
  <c r="R1334" i="40" s="1"/>
  <c r="V1334" i="40" s="1"/>
  <c r="R1335" i="40" a="1"/>
  <c r="R1335" i="40" s="1"/>
  <c r="V1335" i="40" s="1"/>
  <c r="Q753" i="40" a="1"/>
  <c r="Q753" i="40" s="1"/>
  <c r="U753" i="40" s="1"/>
  <c r="Q754" i="40" a="1"/>
  <c r="Q754" i="40" s="1"/>
  <c r="U754" i="40" s="1"/>
  <c r="Q755" i="40" a="1"/>
  <c r="Q755" i="40" s="1"/>
  <c r="U755" i="40" s="1"/>
  <c r="Q756" i="40" a="1"/>
  <c r="Q756" i="40" s="1"/>
  <c r="U756" i="40" s="1"/>
  <c r="Q757" i="40" a="1"/>
  <c r="Q757" i="40" s="1"/>
  <c r="U757" i="40" s="1"/>
  <c r="Q758" i="40" a="1"/>
  <c r="Q758" i="40" s="1"/>
  <c r="U758" i="40" s="1"/>
  <c r="Q759" i="40" a="1"/>
  <c r="Q759" i="40" s="1"/>
  <c r="U759" i="40" s="1"/>
  <c r="Q760" i="40" a="1"/>
  <c r="Q760" i="40" s="1"/>
  <c r="U760" i="40" s="1"/>
  <c r="Q761" i="40" a="1"/>
  <c r="Q761" i="40" s="1"/>
  <c r="U761" i="40" s="1"/>
  <c r="Q762" i="40" a="1"/>
  <c r="Q762" i="40" s="1"/>
  <c r="U762" i="40" s="1"/>
  <c r="Q763" i="40" a="1"/>
  <c r="Q763" i="40" s="1"/>
  <c r="U763" i="40" s="1"/>
  <c r="O940" i="40" a="1"/>
  <c r="O940" i="40" s="1"/>
  <c r="T940" i="40" s="1"/>
  <c r="O941" i="40" a="1"/>
  <c r="O941" i="40" s="1"/>
  <c r="T941" i="40" s="1"/>
  <c r="O942" i="40" a="1"/>
  <c r="O942" i="40" s="1"/>
  <c r="T942" i="40" s="1"/>
  <c r="O943" i="40" a="1"/>
  <c r="O943" i="40" s="1"/>
  <c r="T943" i="40" s="1"/>
  <c r="O944" i="40" a="1"/>
  <c r="O944" i="40" s="1"/>
  <c r="T944" i="40" s="1"/>
  <c r="O945" i="40" a="1"/>
  <c r="O945" i="40" s="1"/>
  <c r="T945" i="40" s="1"/>
  <c r="O946" i="40" a="1"/>
  <c r="O946" i="40" s="1"/>
  <c r="T946" i="40" s="1"/>
  <c r="O947" i="40" a="1"/>
  <c r="O947" i="40" s="1"/>
  <c r="T947" i="40" s="1"/>
  <c r="O948" i="40" a="1"/>
  <c r="O948" i="40" s="1"/>
  <c r="T948" i="40" s="1"/>
  <c r="O949" i="40" a="1"/>
  <c r="O949" i="40" s="1"/>
  <c r="T949" i="40" s="1"/>
  <c r="O950" i="40" a="1"/>
  <c r="O950" i="40" s="1"/>
  <c r="T950" i="40" s="1"/>
  <c r="R720" i="40" a="1"/>
  <c r="R720" i="40" s="1"/>
  <c r="V720" i="40" s="1"/>
  <c r="R721" i="40" a="1"/>
  <c r="R721" i="40" s="1"/>
  <c r="V721" i="40" s="1"/>
  <c r="R722" i="40" a="1"/>
  <c r="R722" i="40" s="1"/>
  <c r="V722" i="40" s="1"/>
  <c r="R723" i="40" a="1"/>
  <c r="R723" i="40" s="1"/>
  <c r="V723" i="40" s="1"/>
  <c r="R724" i="40" a="1"/>
  <c r="R724" i="40" s="1"/>
  <c r="V724" i="40" s="1"/>
  <c r="R725" i="40" a="1"/>
  <c r="R725" i="40" s="1"/>
  <c r="V725" i="40" s="1"/>
  <c r="R726" i="40" a="1"/>
  <c r="R726" i="40" s="1"/>
  <c r="V726" i="40" s="1"/>
  <c r="R727" i="40" a="1"/>
  <c r="R727" i="40" s="1"/>
  <c r="V727" i="40" s="1"/>
  <c r="R728" i="40" a="1"/>
  <c r="R728" i="40" s="1"/>
  <c r="V728" i="40" s="1"/>
  <c r="R729" i="40" a="1"/>
  <c r="R729" i="40" s="1"/>
  <c r="V729" i="40" s="1"/>
  <c r="R730" i="40" a="1"/>
  <c r="R730" i="40" s="1"/>
  <c r="V730" i="40" s="1"/>
  <c r="R775" i="40" a="1"/>
  <c r="R775" i="40" s="1"/>
  <c r="V775" i="40" s="1"/>
  <c r="R776" i="40" a="1"/>
  <c r="R776" i="40" s="1"/>
  <c r="V776" i="40" s="1"/>
  <c r="R777" i="40" a="1"/>
  <c r="R777" i="40" s="1"/>
  <c r="V777" i="40" s="1"/>
  <c r="R779" i="40" a="1"/>
  <c r="R779" i="40" s="1"/>
  <c r="V779" i="40" s="1"/>
  <c r="R778" i="40" a="1"/>
  <c r="R778" i="40" s="1"/>
  <c r="V778" i="40" s="1"/>
  <c r="R780" i="40" a="1"/>
  <c r="R780" i="40" s="1"/>
  <c r="V780" i="40" s="1"/>
  <c r="R781" i="40" a="1"/>
  <c r="R781" i="40" s="1"/>
  <c r="V781" i="40" s="1"/>
  <c r="R782" i="40" a="1"/>
  <c r="R782" i="40" s="1"/>
  <c r="V782" i="40" s="1"/>
  <c r="R783" i="40" a="1"/>
  <c r="R783" i="40" s="1"/>
  <c r="V783" i="40" s="1"/>
  <c r="R784" i="40" a="1"/>
  <c r="R784" i="40" s="1"/>
  <c r="V784" i="40" s="1"/>
  <c r="R785" i="40" a="1"/>
  <c r="R785" i="40" s="1"/>
  <c r="V785" i="40" s="1"/>
  <c r="P1293" i="40" a="1"/>
  <c r="P1293" i="40" s="1"/>
  <c r="P1296" i="40" a="1"/>
  <c r="P1296" i="40" s="1"/>
  <c r="P1299" i="40" a="1"/>
  <c r="P1299" i="40" s="1"/>
  <c r="P1302" i="40" a="1"/>
  <c r="P1302" i="40" s="1"/>
  <c r="P1305" i="40" a="1"/>
  <c r="P1305" i="40" s="1"/>
  <c r="P1308" i="40" a="1"/>
  <c r="P1308" i="40" s="1"/>
  <c r="P1311" i="40" a="1"/>
  <c r="P1311" i="40" s="1"/>
  <c r="P1314" i="40" a="1"/>
  <c r="P1314" i="40" s="1"/>
  <c r="P1317" i="40" a="1"/>
  <c r="P1317" i="40" s="1"/>
  <c r="P1320" i="40" a="1"/>
  <c r="P1320" i="40" s="1"/>
  <c r="P1323" i="40" a="1"/>
  <c r="P1323" i="40" s="1"/>
  <c r="M1325" i="40" a="1"/>
  <c r="M1325" i="40" s="1"/>
  <c r="S1325" i="40" s="1"/>
  <c r="M1326" i="40" a="1"/>
  <c r="M1326" i="40" s="1"/>
  <c r="S1326" i="40" s="1"/>
  <c r="M1327" i="40" a="1"/>
  <c r="M1327" i="40" s="1"/>
  <c r="S1327" i="40" s="1"/>
  <c r="M1328" i="40" a="1"/>
  <c r="M1328" i="40" s="1"/>
  <c r="S1328" i="40" s="1"/>
  <c r="M1329" i="40" a="1"/>
  <c r="M1329" i="40" s="1"/>
  <c r="S1329" i="40" s="1"/>
  <c r="M1330" i="40" a="1"/>
  <c r="M1330" i="40" s="1"/>
  <c r="S1330" i="40" s="1"/>
  <c r="M1331" i="40" a="1"/>
  <c r="M1331" i="40" s="1"/>
  <c r="S1331" i="40" s="1"/>
  <c r="M1332" i="40" a="1"/>
  <c r="M1332" i="40" s="1"/>
  <c r="S1332" i="40" s="1"/>
  <c r="M1333" i="40" a="1"/>
  <c r="M1333" i="40" s="1"/>
  <c r="S1333" i="40" s="1"/>
  <c r="M1334" i="40" a="1"/>
  <c r="M1334" i="40" s="1"/>
  <c r="S1334" i="40" s="1"/>
  <c r="M1335" i="40" a="1"/>
  <c r="M1335" i="40" s="1"/>
  <c r="S1335" i="40" s="1"/>
  <c r="O1161" i="40" a="1"/>
  <c r="O1161" i="40" s="1"/>
  <c r="T1161" i="40" s="1"/>
  <c r="O1163" i="40" a="1"/>
  <c r="O1163" i="40" s="1"/>
  <c r="T1163" i="40" s="1"/>
  <c r="O1165" i="40" a="1"/>
  <c r="O1165" i="40" s="1"/>
  <c r="T1165" i="40" s="1"/>
  <c r="O1167" i="40" a="1"/>
  <c r="O1167" i="40" s="1"/>
  <c r="T1167" i="40" s="1"/>
  <c r="O1171" i="40" a="1"/>
  <c r="O1171" i="40" s="1"/>
  <c r="T1171" i="40" s="1"/>
  <c r="O1169" i="40" a="1"/>
  <c r="O1169" i="40" s="1"/>
  <c r="T1169" i="40" s="1"/>
  <c r="O1173" i="40" a="1"/>
  <c r="O1173" i="40" s="1"/>
  <c r="T1173" i="40" s="1"/>
  <c r="O1175" i="40" a="1"/>
  <c r="O1175" i="40" s="1"/>
  <c r="T1175" i="40" s="1"/>
  <c r="O1177" i="40" a="1"/>
  <c r="O1177" i="40" s="1"/>
  <c r="T1177" i="40" s="1"/>
  <c r="O1179" i="40" a="1"/>
  <c r="O1179" i="40" s="1"/>
  <c r="T1179" i="40" s="1"/>
  <c r="O1181" i="40" a="1"/>
  <c r="O1181" i="40" s="1"/>
  <c r="T1181" i="40" s="1"/>
  <c r="M1149" i="40" a="1"/>
  <c r="M1149" i="40" s="1"/>
  <c r="S1149" i="40" s="1"/>
  <c r="M1150" i="40" a="1"/>
  <c r="M1150" i="40" s="1"/>
  <c r="S1150" i="40" s="1"/>
  <c r="M1151" i="40" a="1"/>
  <c r="M1151" i="40" s="1"/>
  <c r="S1151" i="40" s="1"/>
  <c r="M1152" i="40" a="1"/>
  <c r="M1152" i="40" s="1"/>
  <c r="S1152" i="40" s="1"/>
  <c r="M1153" i="40" a="1"/>
  <c r="M1153" i="40" s="1"/>
  <c r="S1153" i="40" s="1"/>
  <c r="M1154" i="40" a="1"/>
  <c r="M1154" i="40" s="1"/>
  <c r="S1154" i="40" s="1"/>
  <c r="M1155" i="40" a="1"/>
  <c r="M1155" i="40" s="1"/>
  <c r="S1155" i="40" s="1"/>
  <c r="M1156" i="40" a="1"/>
  <c r="M1156" i="40" s="1"/>
  <c r="S1156" i="40" s="1"/>
  <c r="M1157" i="40" a="1"/>
  <c r="M1157" i="40" s="1"/>
  <c r="S1157" i="40" s="1"/>
  <c r="M1158" i="40" a="1"/>
  <c r="M1158" i="40" s="1"/>
  <c r="S1158" i="40" s="1"/>
  <c r="M1159" i="40" a="1"/>
  <c r="M1159" i="40" s="1"/>
  <c r="S1159" i="40" s="1"/>
  <c r="M1028" i="40" a="1"/>
  <c r="M1028" i="40" s="1"/>
  <c r="S1028" i="40" s="1"/>
  <c r="M1029" i="40" a="1"/>
  <c r="M1029" i="40" s="1"/>
  <c r="S1029" i="40" s="1"/>
  <c r="M1030" i="40" a="1"/>
  <c r="M1030" i="40" s="1"/>
  <c r="S1030" i="40" s="1"/>
  <c r="M1031" i="40" a="1"/>
  <c r="M1031" i="40" s="1"/>
  <c r="S1031" i="40" s="1"/>
  <c r="M1032" i="40" a="1"/>
  <c r="M1032" i="40" s="1"/>
  <c r="S1032" i="40" s="1"/>
  <c r="M1033" i="40" a="1"/>
  <c r="M1033" i="40" s="1"/>
  <c r="S1033" i="40" s="1"/>
  <c r="M1034" i="40" a="1"/>
  <c r="M1034" i="40" s="1"/>
  <c r="S1034" i="40" s="1"/>
  <c r="M1035" i="40" a="1"/>
  <c r="M1035" i="40" s="1"/>
  <c r="S1035" i="40" s="1"/>
  <c r="M1036" i="40" a="1"/>
  <c r="M1036" i="40" s="1"/>
  <c r="S1036" i="40" s="1"/>
  <c r="M1037" i="40" a="1"/>
  <c r="M1037" i="40" s="1"/>
  <c r="S1037" i="40" s="1"/>
  <c r="M1038" i="40" a="1"/>
  <c r="M1038" i="40" s="1"/>
  <c r="S1038" i="40" s="1"/>
  <c r="O973" i="40" a="1"/>
  <c r="O973" i="40" s="1"/>
  <c r="T973" i="40" s="1"/>
  <c r="O974" i="40" a="1"/>
  <c r="O974" i="40" s="1"/>
  <c r="T974" i="40" s="1"/>
  <c r="O975" i="40" a="1"/>
  <c r="O975" i="40" s="1"/>
  <c r="T975" i="40" s="1"/>
  <c r="O976" i="40" a="1"/>
  <c r="O976" i="40" s="1"/>
  <c r="T976" i="40" s="1"/>
  <c r="O977" i="40" a="1"/>
  <c r="O977" i="40" s="1"/>
  <c r="T977" i="40" s="1"/>
  <c r="O978" i="40" a="1"/>
  <c r="O978" i="40" s="1"/>
  <c r="T978" i="40" s="1"/>
  <c r="O979" i="40" a="1"/>
  <c r="O979" i="40" s="1"/>
  <c r="T979" i="40" s="1"/>
  <c r="O980" i="40" a="1"/>
  <c r="O980" i="40" s="1"/>
  <c r="T980" i="40" s="1"/>
  <c r="O981" i="40" a="1"/>
  <c r="O981" i="40" s="1"/>
  <c r="T981" i="40" s="1"/>
  <c r="O982" i="40" a="1"/>
  <c r="O982" i="40" s="1"/>
  <c r="T982" i="40" s="1"/>
  <c r="O983" i="40" a="1"/>
  <c r="O983" i="40" s="1"/>
  <c r="T983" i="40" s="1"/>
  <c r="P1006" i="40" a="1"/>
  <c r="P1006" i="40" s="1"/>
  <c r="P1007" i="40" a="1"/>
  <c r="P1007" i="40" s="1"/>
  <c r="P1008" i="40" a="1"/>
  <c r="P1008" i="40" s="1"/>
  <c r="P1009" i="40" a="1"/>
  <c r="P1009" i="40" s="1"/>
  <c r="P1010" i="40" a="1"/>
  <c r="P1010" i="40" s="1"/>
  <c r="P1011" i="40" a="1"/>
  <c r="P1011" i="40" s="1"/>
  <c r="P1012" i="40" a="1"/>
  <c r="P1012" i="40" s="1"/>
  <c r="P1013" i="40" a="1"/>
  <c r="P1013" i="40" s="1"/>
  <c r="P1014" i="40" a="1"/>
  <c r="P1014" i="40" s="1"/>
  <c r="P1015" i="40" a="1"/>
  <c r="P1015" i="40" s="1"/>
  <c r="P1016" i="40" a="1"/>
  <c r="P1016" i="40" s="1"/>
  <c r="O885" i="40" a="1"/>
  <c r="O885" i="40" s="1"/>
  <c r="T885" i="40" s="1"/>
  <c r="O886" i="40" a="1"/>
  <c r="O886" i="40" s="1"/>
  <c r="T886" i="40" s="1"/>
  <c r="O887" i="40" a="1"/>
  <c r="O887" i="40" s="1"/>
  <c r="T887" i="40" s="1"/>
  <c r="O888" i="40" a="1"/>
  <c r="O888" i="40" s="1"/>
  <c r="T888" i="40" s="1"/>
  <c r="O889" i="40" a="1"/>
  <c r="O889" i="40" s="1"/>
  <c r="T889" i="40" s="1"/>
  <c r="O890" i="40" a="1"/>
  <c r="O890" i="40" s="1"/>
  <c r="T890" i="40" s="1"/>
  <c r="O891" i="40" a="1"/>
  <c r="O891" i="40" s="1"/>
  <c r="T891" i="40" s="1"/>
  <c r="O892" i="40" a="1"/>
  <c r="O892" i="40" s="1"/>
  <c r="T892" i="40" s="1"/>
  <c r="O893" i="40" a="1"/>
  <c r="O893" i="40" s="1"/>
  <c r="T893" i="40" s="1"/>
  <c r="O894" i="40" a="1"/>
  <c r="O894" i="40" s="1"/>
  <c r="T894" i="40" s="1"/>
  <c r="O895" i="40" a="1"/>
  <c r="O895" i="40" s="1"/>
  <c r="T895" i="40" s="1"/>
  <c r="O1259" i="40" a="1"/>
  <c r="O1259" i="40" s="1"/>
  <c r="T1259" i="40" s="1"/>
  <c r="O1261" i="40" a="1"/>
  <c r="O1261" i="40" s="1"/>
  <c r="T1261" i="40" s="1"/>
  <c r="O1263" i="40" a="1"/>
  <c r="O1263" i="40" s="1"/>
  <c r="T1263" i="40" s="1"/>
  <c r="O1265" i="40" a="1"/>
  <c r="O1265" i="40" s="1"/>
  <c r="T1265" i="40" s="1"/>
  <c r="O1267" i="40" a="1"/>
  <c r="O1267" i="40" s="1"/>
  <c r="T1267" i="40" s="1"/>
  <c r="O1269" i="40" a="1"/>
  <c r="O1269" i="40" s="1"/>
  <c r="T1269" i="40" s="1"/>
  <c r="O1271" i="40" a="1"/>
  <c r="O1271" i="40" s="1"/>
  <c r="T1271" i="40" s="1"/>
  <c r="O1273" i="40" a="1"/>
  <c r="O1273" i="40" s="1"/>
  <c r="T1273" i="40" s="1"/>
  <c r="O1275" i="40" a="1"/>
  <c r="O1275" i="40" s="1"/>
  <c r="T1275" i="40" s="1"/>
  <c r="O1277" i="40" a="1"/>
  <c r="O1277" i="40" s="1"/>
  <c r="T1277" i="40" s="1"/>
  <c r="O1279" i="40" a="1"/>
  <c r="O1279" i="40" s="1"/>
  <c r="T1279" i="40" s="1"/>
  <c r="R842" i="40" a="1"/>
  <c r="R842" i="40" s="1"/>
  <c r="V842" i="40" s="1"/>
  <c r="R844" i="40" a="1"/>
  <c r="R844" i="40" s="1"/>
  <c r="V844" i="40" s="1"/>
  <c r="R846" i="40" a="1"/>
  <c r="R846" i="40" s="1"/>
  <c r="V846" i="40" s="1"/>
  <c r="R850" i="40" a="1"/>
  <c r="R850" i="40" s="1"/>
  <c r="V850" i="40" s="1"/>
  <c r="R848" i="40" a="1"/>
  <c r="R848" i="40" s="1"/>
  <c r="V848" i="40" s="1"/>
  <c r="R852" i="40" a="1"/>
  <c r="R852" i="40" s="1"/>
  <c r="V852" i="40" s="1"/>
  <c r="R854" i="40" a="1"/>
  <c r="R854" i="40" s="1"/>
  <c r="V854" i="40" s="1"/>
  <c r="R856" i="40" a="1"/>
  <c r="R856" i="40" s="1"/>
  <c r="V856" i="40" s="1"/>
  <c r="R858" i="40" a="1"/>
  <c r="R858" i="40" s="1"/>
  <c r="V858" i="40" s="1"/>
  <c r="R860" i="40" a="1"/>
  <c r="R860" i="40" s="1"/>
  <c r="V860" i="40" s="1"/>
  <c r="R862" i="40" a="1"/>
  <c r="R862" i="40" s="1"/>
  <c r="V862" i="40" s="1"/>
  <c r="R1149" i="40" a="1"/>
  <c r="R1149" i="40" s="1"/>
  <c r="V1149" i="40" s="1"/>
  <c r="R1150" i="40" a="1"/>
  <c r="R1150" i="40" s="1"/>
  <c r="V1150" i="40" s="1"/>
  <c r="R1151" i="40" a="1"/>
  <c r="R1151" i="40" s="1"/>
  <c r="V1151" i="40" s="1"/>
  <c r="R1152" i="40" a="1"/>
  <c r="R1152" i="40" s="1"/>
  <c r="V1152" i="40" s="1"/>
  <c r="R1153" i="40" a="1"/>
  <c r="R1153" i="40" s="1"/>
  <c r="V1153" i="40" s="1"/>
  <c r="R1154" i="40" a="1"/>
  <c r="R1154" i="40" s="1"/>
  <c r="V1154" i="40" s="1"/>
  <c r="R1155" i="40" a="1"/>
  <c r="R1155" i="40" s="1"/>
  <c r="V1155" i="40" s="1"/>
  <c r="R1156" i="40" a="1"/>
  <c r="R1156" i="40" s="1"/>
  <c r="V1156" i="40" s="1"/>
  <c r="R1157" i="40" a="1"/>
  <c r="R1157" i="40" s="1"/>
  <c r="V1157" i="40" s="1"/>
  <c r="R1158" i="40" a="1"/>
  <c r="R1158" i="40" s="1"/>
  <c r="V1158" i="40" s="1"/>
  <c r="R1159" i="40" a="1"/>
  <c r="R1159" i="40" s="1"/>
  <c r="V1159" i="40" s="1"/>
  <c r="O25" i="40" a="1"/>
  <c r="O25" i="40" s="1"/>
  <c r="T25" i="40" s="1"/>
  <c r="O720" i="40" a="1"/>
  <c r="O720" i="40" s="1"/>
  <c r="T720" i="40" s="1"/>
  <c r="O721" i="40" a="1"/>
  <c r="O721" i="40" s="1"/>
  <c r="T721" i="40" s="1"/>
  <c r="O722" i="40" a="1"/>
  <c r="O722" i="40" s="1"/>
  <c r="T722" i="40" s="1"/>
  <c r="O723" i="40" a="1"/>
  <c r="O723" i="40" s="1"/>
  <c r="T723" i="40" s="1"/>
  <c r="O724" i="40" a="1"/>
  <c r="O724" i="40" s="1"/>
  <c r="T724" i="40" s="1"/>
  <c r="O725" i="40" a="1"/>
  <c r="O725" i="40" s="1"/>
  <c r="T725" i="40" s="1"/>
  <c r="O726" i="40" a="1"/>
  <c r="O726" i="40" s="1"/>
  <c r="T726" i="40" s="1"/>
  <c r="O727" i="40" a="1"/>
  <c r="O727" i="40" s="1"/>
  <c r="T727" i="40" s="1"/>
  <c r="O728" i="40" a="1"/>
  <c r="O728" i="40" s="1"/>
  <c r="T728" i="40" s="1"/>
  <c r="O729" i="40" a="1"/>
  <c r="O729" i="40" s="1"/>
  <c r="T729" i="40" s="1"/>
  <c r="O730" i="40" a="1"/>
  <c r="O730" i="40" s="1"/>
  <c r="T730" i="40" s="1"/>
  <c r="O622" i="40" a="1"/>
  <c r="O622" i="40" s="1"/>
  <c r="T622" i="40" s="1"/>
  <c r="O1325" i="40" a="1"/>
  <c r="O1325" i="40" s="1"/>
  <c r="T1325" i="40" s="1"/>
  <c r="O1326" i="40" a="1"/>
  <c r="O1326" i="40" s="1"/>
  <c r="T1326" i="40" s="1"/>
  <c r="O1327" i="40" a="1"/>
  <c r="O1327" i="40" s="1"/>
  <c r="T1327" i="40" s="1"/>
  <c r="O1328" i="40" a="1"/>
  <c r="O1328" i="40" s="1"/>
  <c r="T1328" i="40" s="1"/>
  <c r="O1329" i="40" a="1"/>
  <c r="O1329" i="40" s="1"/>
  <c r="T1329" i="40" s="1"/>
  <c r="O1330" i="40" a="1"/>
  <c r="O1330" i="40" s="1"/>
  <c r="T1330" i="40" s="1"/>
  <c r="O1331" i="40" a="1"/>
  <c r="O1331" i="40" s="1"/>
  <c r="T1331" i="40" s="1"/>
  <c r="O1332" i="40" a="1"/>
  <c r="O1332" i="40" s="1"/>
  <c r="T1332" i="40" s="1"/>
  <c r="O1333" i="40" a="1"/>
  <c r="O1333" i="40" s="1"/>
  <c r="T1333" i="40" s="1"/>
  <c r="O1334" i="40" a="1"/>
  <c r="O1334" i="40" s="1"/>
  <c r="T1334" i="40" s="1"/>
  <c r="O1335" i="40" a="1"/>
  <c r="O1335" i="40" s="1"/>
  <c r="T1335" i="40" s="1"/>
  <c r="R973" i="40" a="1"/>
  <c r="R973" i="40" s="1"/>
  <c r="V973" i="40" s="1"/>
  <c r="R974" i="40" a="1"/>
  <c r="R974" i="40" s="1"/>
  <c r="V974" i="40" s="1"/>
  <c r="R975" i="40" a="1"/>
  <c r="R975" i="40" s="1"/>
  <c r="V975" i="40" s="1"/>
  <c r="R976" i="40" a="1"/>
  <c r="R976" i="40" s="1"/>
  <c r="V976" i="40" s="1"/>
  <c r="R977" i="40" a="1"/>
  <c r="R977" i="40" s="1"/>
  <c r="V977" i="40" s="1"/>
  <c r="R978" i="40" a="1"/>
  <c r="R978" i="40" s="1"/>
  <c r="V978" i="40" s="1"/>
  <c r="R979" i="40" a="1"/>
  <c r="R979" i="40" s="1"/>
  <c r="V979" i="40" s="1"/>
  <c r="R980" i="40" a="1"/>
  <c r="R980" i="40" s="1"/>
  <c r="V980" i="40" s="1"/>
  <c r="R981" i="40" a="1"/>
  <c r="R981" i="40" s="1"/>
  <c r="V981" i="40" s="1"/>
  <c r="R983" i="40" a="1"/>
  <c r="R983" i="40" s="1"/>
  <c r="V983" i="40" s="1"/>
  <c r="R982" i="40" a="1"/>
  <c r="R982" i="40" s="1"/>
  <c r="V982" i="40" s="1"/>
  <c r="P1085" i="40" a="1"/>
  <c r="P1085" i="40" s="1"/>
  <c r="P1089" i="40" a="1"/>
  <c r="P1089" i="40" s="1"/>
  <c r="P1093" i="40" a="1"/>
  <c r="P1093" i="40" s="1"/>
  <c r="P1097" i="40" a="1"/>
  <c r="P1097" i="40" s="1"/>
  <c r="P1105" i="40" a="1"/>
  <c r="P1105" i="40" s="1"/>
  <c r="P1101" i="40" a="1"/>
  <c r="P1101" i="40" s="1"/>
  <c r="P1109" i="40" a="1"/>
  <c r="P1109" i="40" s="1"/>
  <c r="P1113" i="40" a="1"/>
  <c r="P1113" i="40" s="1"/>
  <c r="P1117" i="40" a="1"/>
  <c r="P1117" i="40" s="1"/>
  <c r="P1121" i="40" a="1"/>
  <c r="P1121" i="40" s="1"/>
  <c r="P1125" i="40" a="1"/>
  <c r="P1125" i="40" s="1"/>
  <c r="P1028" i="40" a="1"/>
  <c r="P1028" i="40" s="1"/>
  <c r="P1029" i="40" a="1"/>
  <c r="P1029" i="40" s="1"/>
  <c r="P1030" i="40" a="1"/>
  <c r="P1030" i="40" s="1"/>
  <c r="P1031" i="40" a="1"/>
  <c r="P1031" i="40" s="1"/>
  <c r="P1032" i="40" a="1"/>
  <c r="P1032" i="40" s="1"/>
  <c r="P1033" i="40" a="1"/>
  <c r="P1033" i="40" s="1"/>
  <c r="P1034" i="40" a="1"/>
  <c r="P1034" i="40" s="1"/>
  <c r="P1035" i="40" a="1"/>
  <c r="P1035" i="40" s="1"/>
  <c r="P1036" i="40" a="1"/>
  <c r="P1036" i="40" s="1"/>
  <c r="P1037" i="40" a="1"/>
  <c r="P1037" i="40" s="1"/>
  <c r="P1038" i="40" a="1"/>
  <c r="P1038" i="40" s="1"/>
  <c r="O797" i="40" a="1"/>
  <c r="O797" i="40" s="1"/>
  <c r="T797" i="40" s="1"/>
  <c r="O798" i="40" a="1"/>
  <c r="O798" i="40" s="1"/>
  <c r="T798" i="40" s="1"/>
  <c r="O799" i="40" a="1"/>
  <c r="O799" i="40" s="1"/>
  <c r="T799" i="40" s="1"/>
  <c r="O800" i="40" a="1"/>
  <c r="O800" i="40" s="1"/>
  <c r="T800" i="40" s="1"/>
  <c r="O801" i="40" a="1"/>
  <c r="O801" i="40" s="1"/>
  <c r="T801" i="40" s="1"/>
  <c r="O802" i="40" a="1"/>
  <c r="O802" i="40" s="1"/>
  <c r="T802" i="40" s="1"/>
  <c r="O803" i="40" a="1"/>
  <c r="O803" i="40" s="1"/>
  <c r="T803" i="40" s="1"/>
  <c r="O804" i="40" a="1"/>
  <c r="O804" i="40" s="1"/>
  <c r="T804" i="40" s="1"/>
  <c r="O805" i="40" a="1"/>
  <c r="O805" i="40" s="1"/>
  <c r="T805" i="40" s="1"/>
  <c r="O806" i="40" a="1"/>
  <c r="O806" i="40" s="1"/>
  <c r="T806" i="40" s="1"/>
  <c r="O807" i="40" a="1"/>
  <c r="O807" i="40" s="1"/>
  <c r="T807" i="40" s="1"/>
  <c r="O864" i="40" a="1"/>
  <c r="O864" i="40" s="1"/>
  <c r="T864" i="40" s="1"/>
  <c r="O866" i="40" a="1"/>
  <c r="O866" i="40" s="1"/>
  <c r="T866" i="40" s="1"/>
  <c r="O868" i="40" a="1"/>
  <c r="O868" i="40" s="1"/>
  <c r="T868" i="40" s="1"/>
  <c r="O870" i="40" a="1"/>
  <c r="O870" i="40" s="1"/>
  <c r="T870" i="40" s="1"/>
  <c r="O872" i="40" a="1"/>
  <c r="O872" i="40" s="1"/>
  <c r="T872" i="40" s="1"/>
  <c r="O874" i="40" a="1"/>
  <c r="O874" i="40" s="1"/>
  <c r="T874" i="40" s="1"/>
  <c r="O876" i="40" a="1"/>
  <c r="O876" i="40" s="1"/>
  <c r="T876" i="40" s="1"/>
  <c r="O878" i="40" a="1"/>
  <c r="O878" i="40" s="1"/>
  <c r="T878" i="40" s="1"/>
  <c r="O880" i="40" a="1"/>
  <c r="O880" i="40" s="1"/>
  <c r="T880" i="40" s="1"/>
  <c r="O882" i="40" a="1"/>
  <c r="O882" i="40" s="1"/>
  <c r="T882" i="40" s="1"/>
  <c r="O884" i="40" a="1"/>
  <c r="O884" i="40" s="1"/>
  <c r="T884" i="40" s="1"/>
  <c r="O897" i="40" a="1"/>
  <c r="O897" i="40" s="1"/>
  <c r="T897" i="40" s="1"/>
  <c r="O899" i="40" a="1"/>
  <c r="O899" i="40" s="1"/>
  <c r="T899" i="40" s="1"/>
  <c r="O901" i="40" a="1"/>
  <c r="O901" i="40" s="1"/>
  <c r="T901" i="40" s="1"/>
  <c r="O903" i="40" a="1"/>
  <c r="O903" i="40" s="1"/>
  <c r="T903" i="40" s="1"/>
  <c r="O907" i="40" a="1"/>
  <c r="O907" i="40" s="1"/>
  <c r="T907" i="40" s="1"/>
  <c r="O905" i="40" a="1"/>
  <c r="O905" i="40" s="1"/>
  <c r="T905" i="40" s="1"/>
  <c r="O909" i="40" a="1"/>
  <c r="O909" i="40" s="1"/>
  <c r="T909" i="40" s="1"/>
  <c r="O911" i="40" a="1"/>
  <c r="O911" i="40" s="1"/>
  <c r="T911" i="40" s="1"/>
  <c r="O913" i="40" a="1"/>
  <c r="O913" i="40" s="1"/>
  <c r="T913" i="40" s="1"/>
  <c r="O915" i="40" a="1"/>
  <c r="O915" i="40" s="1"/>
  <c r="T915" i="40" s="1"/>
  <c r="O917" i="40" a="1"/>
  <c r="O917" i="40" s="1"/>
  <c r="T917" i="40" s="1"/>
  <c r="O742" i="40" a="1"/>
  <c r="O742" i="40" s="1"/>
  <c r="T742" i="40" s="1"/>
  <c r="O744" i="40" a="1"/>
  <c r="O744" i="40" s="1"/>
  <c r="T744" i="40" s="1"/>
  <c r="O745" i="40" a="1"/>
  <c r="O745" i="40" s="1"/>
  <c r="T745" i="40" s="1"/>
  <c r="O743" i="40" a="1"/>
  <c r="O743" i="40" s="1"/>
  <c r="T743" i="40" s="1"/>
  <c r="O747" i="40" a="1"/>
  <c r="O747" i="40" s="1"/>
  <c r="T747" i="40" s="1"/>
  <c r="O746" i="40" a="1"/>
  <c r="O746" i="40" s="1"/>
  <c r="T746" i="40" s="1"/>
  <c r="O748" i="40" a="1"/>
  <c r="O748" i="40" s="1"/>
  <c r="T748" i="40" s="1"/>
  <c r="O749" i="40" a="1"/>
  <c r="O749" i="40" s="1"/>
  <c r="T749" i="40" s="1"/>
  <c r="O750" i="40" a="1"/>
  <c r="O750" i="40" s="1"/>
  <c r="T750" i="40" s="1"/>
  <c r="O751" i="40" a="1"/>
  <c r="O751" i="40" s="1"/>
  <c r="T751" i="40" s="1"/>
  <c r="O752" i="40" a="1"/>
  <c r="O752" i="40" s="1"/>
  <c r="T752" i="40" s="1"/>
  <c r="R764" i="40" a="1"/>
  <c r="R764" i="40" s="1"/>
  <c r="V764" i="40" s="1"/>
  <c r="R765" i="40" a="1"/>
  <c r="R765" i="40" s="1"/>
  <c r="V765" i="40" s="1"/>
  <c r="R766" i="40" a="1"/>
  <c r="R766" i="40" s="1"/>
  <c r="V766" i="40" s="1"/>
  <c r="R767" i="40" a="1"/>
  <c r="R767" i="40" s="1"/>
  <c r="V767" i="40" s="1"/>
  <c r="R768" i="40" a="1"/>
  <c r="R768" i="40" s="1"/>
  <c r="V768" i="40" s="1"/>
  <c r="R769" i="40" a="1"/>
  <c r="R769" i="40" s="1"/>
  <c r="V769" i="40" s="1"/>
  <c r="R770" i="40" a="1"/>
  <c r="R770" i="40" s="1"/>
  <c r="V770" i="40" s="1"/>
  <c r="R771" i="40" a="1"/>
  <c r="R771" i="40" s="1"/>
  <c r="V771" i="40" s="1"/>
  <c r="R772" i="40" a="1"/>
  <c r="R772" i="40" s="1"/>
  <c r="V772" i="40" s="1"/>
  <c r="R774" i="40" a="1"/>
  <c r="R774" i="40" s="1"/>
  <c r="V774" i="40" s="1"/>
  <c r="R773" i="40" a="1"/>
  <c r="R773" i="40" s="1"/>
  <c r="V773" i="40" s="1"/>
  <c r="O731" i="40" a="1"/>
  <c r="O731" i="40" s="1"/>
  <c r="T731" i="40" s="1"/>
  <c r="O732" i="40" a="1"/>
  <c r="O732" i="40" s="1"/>
  <c r="T732" i="40" s="1"/>
  <c r="O733" i="40" a="1"/>
  <c r="O733" i="40" s="1"/>
  <c r="T733" i="40" s="1"/>
  <c r="O734" i="40" a="1"/>
  <c r="O734" i="40" s="1"/>
  <c r="T734" i="40" s="1"/>
  <c r="O735" i="40" a="1"/>
  <c r="O735" i="40" s="1"/>
  <c r="T735" i="40" s="1"/>
  <c r="O736" i="40" a="1"/>
  <c r="O736" i="40" s="1"/>
  <c r="T736" i="40" s="1"/>
  <c r="O737" i="40" a="1"/>
  <c r="O737" i="40" s="1"/>
  <c r="T737" i="40" s="1"/>
  <c r="O738" i="40" a="1"/>
  <c r="O738" i="40" s="1"/>
  <c r="T738" i="40" s="1"/>
  <c r="O739" i="40" a="1"/>
  <c r="O739" i="40" s="1"/>
  <c r="T739" i="40" s="1"/>
  <c r="O740" i="40" a="1"/>
  <c r="O740" i="40" s="1"/>
  <c r="T740" i="40" s="1"/>
  <c r="O741" i="40" a="1"/>
  <c r="O741" i="40" s="1"/>
  <c r="T741" i="40" s="1"/>
  <c r="O962" i="40" a="1"/>
  <c r="O962" i="40" s="1"/>
  <c r="T962" i="40" s="1"/>
  <c r="O963" i="40" a="1"/>
  <c r="O963" i="40" s="1"/>
  <c r="T963" i="40" s="1"/>
  <c r="O964" i="40" a="1"/>
  <c r="O964" i="40" s="1"/>
  <c r="T964" i="40" s="1"/>
  <c r="O965" i="40" a="1"/>
  <c r="O965" i="40" s="1"/>
  <c r="T965" i="40" s="1"/>
  <c r="O966" i="40" a="1"/>
  <c r="O966" i="40" s="1"/>
  <c r="T966" i="40" s="1"/>
  <c r="O967" i="40" a="1"/>
  <c r="O967" i="40" s="1"/>
  <c r="T967" i="40" s="1"/>
  <c r="O968" i="40" a="1"/>
  <c r="O968" i="40" s="1"/>
  <c r="T968" i="40" s="1"/>
  <c r="O969" i="40" a="1"/>
  <c r="O969" i="40" s="1"/>
  <c r="T969" i="40" s="1"/>
  <c r="O970" i="40" a="1"/>
  <c r="O970" i="40" s="1"/>
  <c r="T970" i="40" s="1"/>
  <c r="O971" i="40" a="1"/>
  <c r="O971" i="40" s="1"/>
  <c r="T971" i="40" s="1"/>
  <c r="O972" i="40" a="1"/>
  <c r="O972" i="40" s="1"/>
  <c r="T972" i="40" s="1"/>
  <c r="O1006" i="40" a="1"/>
  <c r="O1006" i="40" s="1"/>
  <c r="T1006" i="40" s="1"/>
  <c r="O1007" i="40" a="1"/>
  <c r="O1007" i="40" s="1"/>
  <c r="T1007" i="40" s="1"/>
  <c r="O1008" i="40" a="1"/>
  <c r="O1008" i="40" s="1"/>
  <c r="T1008" i="40" s="1"/>
  <c r="O1009" i="40" a="1"/>
  <c r="O1009" i="40" s="1"/>
  <c r="T1009" i="40" s="1"/>
  <c r="O1010" i="40" a="1"/>
  <c r="O1010" i="40" s="1"/>
  <c r="T1010" i="40" s="1"/>
  <c r="O1011" i="40" a="1"/>
  <c r="O1011" i="40" s="1"/>
  <c r="T1011" i="40" s="1"/>
  <c r="O1012" i="40" a="1"/>
  <c r="O1012" i="40" s="1"/>
  <c r="T1012" i="40" s="1"/>
  <c r="O1013" i="40" a="1"/>
  <c r="O1013" i="40" s="1"/>
  <c r="T1013" i="40" s="1"/>
  <c r="O1014" i="40" a="1"/>
  <c r="O1014" i="40" s="1"/>
  <c r="T1014" i="40" s="1"/>
  <c r="O1015" i="40" a="1"/>
  <c r="O1015" i="40" s="1"/>
  <c r="T1015" i="40" s="1"/>
  <c r="O1016" i="40" a="1"/>
  <c r="O1016" i="40" s="1"/>
  <c r="T1016" i="40" s="1"/>
  <c r="R753" i="40" a="1"/>
  <c r="R753" i="40" s="1"/>
  <c r="V753" i="40" s="1"/>
  <c r="R754" i="40" a="1"/>
  <c r="R754" i="40" s="1"/>
  <c r="V754" i="40" s="1"/>
  <c r="R755" i="40" a="1"/>
  <c r="R755" i="40" s="1"/>
  <c r="V755" i="40" s="1"/>
  <c r="R756" i="40" a="1"/>
  <c r="R756" i="40" s="1"/>
  <c r="V756" i="40" s="1"/>
  <c r="R757" i="40" a="1"/>
  <c r="R757" i="40" s="1"/>
  <c r="V757" i="40" s="1"/>
  <c r="R758" i="40" a="1"/>
  <c r="R758" i="40" s="1"/>
  <c r="V758" i="40" s="1"/>
  <c r="R759" i="40" a="1"/>
  <c r="R759" i="40" s="1"/>
  <c r="V759" i="40" s="1"/>
  <c r="R760" i="40" a="1"/>
  <c r="R760" i="40" s="1"/>
  <c r="V760" i="40" s="1"/>
  <c r="R761" i="40" a="1"/>
  <c r="R761" i="40" s="1"/>
  <c r="V761" i="40" s="1"/>
  <c r="R762" i="40" a="1"/>
  <c r="R762" i="40" s="1"/>
  <c r="V762" i="40" s="1"/>
  <c r="R763" i="40" a="1"/>
  <c r="R763" i="40" s="1"/>
  <c r="V763" i="40" s="1"/>
  <c r="O863" i="40" a="1"/>
  <c r="O863" i="40" s="1"/>
  <c r="T863" i="40" s="1"/>
  <c r="O867" i="40" a="1"/>
  <c r="O867" i="40" s="1"/>
  <c r="T867" i="40" s="1"/>
  <c r="O865" i="40" a="1"/>
  <c r="O865" i="40" s="1"/>
  <c r="T865" i="40" s="1"/>
  <c r="O869" i="40" a="1"/>
  <c r="O869" i="40" s="1"/>
  <c r="T869" i="40" s="1"/>
  <c r="O871" i="40" a="1"/>
  <c r="O871" i="40" s="1"/>
  <c r="T871" i="40" s="1"/>
  <c r="O873" i="40" a="1"/>
  <c r="O873" i="40" s="1"/>
  <c r="T873" i="40" s="1"/>
  <c r="O875" i="40" a="1"/>
  <c r="O875" i="40" s="1"/>
  <c r="T875" i="40" s="1"/>
  <c r="O877" i="40" a="1"/>
  <c r="O877" i="40" s="1"/>
  <c r="T877" i="40" s="1"/>
  <c r="O879" i="40" a="1"/>
  <c r="O879" i="40" s="1"/>
  <c r="T879" i="40" s="1"/>
  <c r="O881" i="40" a="1"/>
  <c r="O881" i="40" s="1"/>
  <c r="T881" i="40" s="1"/>
  <c r="O883" i="40" a="1"/>
  <c r="O883" i="40" s="1"/>
  <c r="T883" i="40" s="1"/>
  <c r="Q842" i="40" a="1"/>
  <c r="Q842" i="40" s="1"/>
  <c r="U842" i="40" s="1"/>
  <c r="Q844" i="40" a="1"/>
  <c r="Q844" i="40" s="1"/>
  <c r="U844" i="40" s="1"/>
  <c r="Q846" i="40" a="1"/>
  <c r="Q846" i="40" s="1"/>
  <c r="U846" i="40" s="1"/>
  <c r="Q848" i="40" a="1"/>
  <c r="Q848" i="40" s="1"/>
  <c r="U848" i="40" s="1"/>
  <c r="Q850" i="40" a="1"/>
  <c r="Q850" i="40" s="1"/>
  <c r="U850" i="40" s="1"/>
  <c r="Q852" i="40" a="1"/>
  <c r="Q852" i="40" s="1"/>
  <c r="U852" i="40" s="1"/>
  <c r="Q854" i="40" a="1"/>
  <c r="Q854" i="40" s="1"/>
  <c r="U854" i="40" s="1"/>
  <c r="Q856" i="40" a="1"/>
  <c r="Q856" i="40" s="1"/>
  <c r="U856" i="40" s="1"/>
  <c r="Q858" i="40" a="1"/>
  <c r="Q858" i="40" s="1"/>
  <c r="U858" i="40" s="1"/>
  <c r="Q860" i="40" a="1"/>
  <c r="Q860" i="40" s="1"/>
  <c r="U860" i="40" s="1"/>
  <c r="Q862" i="40" a="1"/>
  <c r="Q862" i="40" s="1"/>
  <c r="U862" i="40" s="1"/>
  <c r="O1336" i="40" a="1"/>
  <c r="O1336" i="40" s="1"/>
  <c r="T1336" i="40" s="1"/>
  <c r="O1337" i="40" a="1"/>
  <c r="O1337" i="40" s="1"/>
  <c r="T1337" i="40" s="1"/>
  <c r="O1338" i="40" a="1"/>
  <c r="O1338" i="40" s="1"/>
  <c r="T1338" i="40" s="1"/>
  <c r="O1339" i="40" a="1"/>
  <c r="O1339" i="40" s="1"/>
  <c r="T1339" i="40" s="1"/>
  <c r="O1340" i="40" a="1"/>
  <c r="O1340" i="40" s="1"/>
  <c r="T1340" i="40" s="1"/>
  <c r="O1341" i="40" a="1"/>
  <c r="O1341" i="40" s="1"/>
  <c r="T1341" i="40" s="1"/>
  <c r="O1342" i="40" a="1"/>
  <c r="O1342" i="40" s="1"/>
  <c r="T1342" i="40" s="1"/>
  <c r="O1343" i="40" a="1"/>
  <c r="O1343" i="40" s="1"/>
  <c r="T1343" i="40" s="1"/>
  <c r="O1344" i="40" a="1"/>
  <c r="O1344" i="40" s="1"/>
  <c r="T1344" i="40" s="1"/>
  <c r="O1345" i="40" a="1"/>
  <c r="O1345" i="40" s="1"/>
  <c r="T1345" i="40" s="1"/>
  <c r="O1346" i="40" a="1"/>
  <c r="O1346" i="40" s="1"/>
  <c r="T1346" i="40" s="1"/>
  <c r="Q720" i="40" a="1"/>
  <c r="Q720" i="40" s="1"/>
  <c r="U720" i="40" s="1"/>
  <c r="Q721" i="40" a="1"/>
  <c r="Q721" i="40" s="1"/>
  <c r="U721" i="40" s="1"/>
  <c r="Q722" i="40" a="1"/>
  <c r="Q722" i="40" s="1"/>
  <c r="U722" i="40" s="1"/>
  <c r="Q723" i="40" a="1"/>
  <c r="Q723" i="40" s="1"/>
  <c r="U723" i="40" s="1"/>
  <c r="Q724" i="40" a="1"/>
  <c r="Q724" i="40" s="1"/>
  <c r="U724" i="40" s="1"/>
  <c r="Q725" i="40" a="1"/>
  <c r="Q725" i="40" s="1"/>
  <c r="U725" i="40" s="1"/>
  <c r="Q726" i="40" a="1"/>
  <c r="Q726" i="40" s="1"/>
  <c r="U726" i="40" s="1"/>
  <c r="Q727" i="40" a="1"/>
  <c r="Q727" i="40" s="1"/>
  <c r="U727" i="40" s="1"/>
  <c r="Q728" i="40" a="1"/>
  <c r="Q728" i="40" s="1"/>
  <c r="U728" i="40" s="1"/>
  <c r="Q729" i="40" a="1"/>
  <c r="Q729" i="40" s="1"/>
  <c r="U729" i="40" s="1"/>
  <c r="Q730" i="40" a="1"/>
  <c r="Q730" i="40" s="1"/>
  <c r="U730" i="40" s="1"/>
  <c r="O686" i="40" a="1"/>
  <c r="O686" i="40" s="1"/>
  <c r="T686" i="40" s="1"/>
  <c r="O1380" i="40" a="1"/>
  <c r="O1380" i="40" s="1"/>
  <c r="T1380" i="40" s="1"/>
  <c r="O1381" i="40" a="1"/>
  <c r="O1381" i="40" s="1"/>
  <c r="T1381" i="40" s="1"/>
  <c r="O1382" i="40" a="1"/>
  <c r="O1382" i="40" s="1"/>
  <c r="T1382" i="40" s="1"/>
  <c r="O1383" i="40" a="1"/>
  <c r="O1383" i="40" s="1"/>
  <c r="T1383" i="40" s="1"/>
  <c r="O1385" i="40" a="1"/>
  <c r="O1385" i="40" s="1"/>
  <c r="T1385" i="40" s="1"/>
  <c r="O1384" i="40" a="1"/>
  <c r="O1384" i="40" s="1"/>
  <c r="T1384" i="40" s="1"/>
  <c r="O1386" i="40" a="1"/>
  <c r="O1386" i="40" s="1"/>
  <c r="T1386" i="40" s="1"/>
  <c r="O1387" i="40" a="1"/>
  <c r="O1387" i="40" s="1"/>
  <c r="T1387" i="40" s="1"/>
  <c r="O1388" i="40" a="1"/>
  <c r="O1388" i="40" s="1"/>
  <c r="T1388" i="40" s="1"/>
  <c r="O1389" i="40" a="1"/>
  <c r="O1389" i="40" s="1"/>
  <c r="T1389" i="40" s="1"/>
  <c r="O1390" i="40" a="1"/>
  <c r="O1390" i="40" s="1"/>
  <c r="T1390" i="40" s="1"/>
  <c r="O1402" i="40" a="1"/>
  <c r="O1402" i="40" s="1"/>
  <c r="T1402" i="40" s="1"/>
  <c r="O1403" i="40" a="1"/>
  <c r="O1403" i="40" s="1"/>
  <c r="T1403" i="40" s="1"/>
  <c r="O1404" i="40" a="1"/>
  <c r="O1404" i="40" s="1"/>
  <c r="T1404" i="40" s="1"/>
  <c r="O1405" i="40" a="1"/>
  <c r="O1405" i="40" s="1"/>
  <c r="T1405" i="40" s="1"/>
  <c r="O1406" i="40" a="1"/>
  <c r="O1406" i="40" s="1"/>
  <c r="T1406" i="40" s="1"/>
  <c r="O1407" i="40" a="1"/>
  <c r="O1407" i="40" s="1"/>
  <c r="T1407" i="40" s="1"/>
  <c r="O1408" i="40" a="1"/>
  <c r="O1408" i="40" s="1"/>
  <c r="T1408" i="40" s="1"/>
  <c r="O1409" i="40" a="1"/>
  <c r="O1409" i="40" s="1"/>
  <c r="T1409" i="40" s="1"/>
  <c r="O1410" i="40" a="1"/>
  <c r="O1410" i="40" s="1"/>
  <c r="T1410" i="40" s="1"/>
  <c r="O1411" i="40" a="1"/>
  <c r="O1411" i="40" s="1"/>
  <c r="T1411" i="40" s="1"/>
  <c r="O1412" i="40" a="1"/>
  <c r="O1412" i="40" s="1"/>
  <c r="T1412" i="40" s="1"/>
  <c r="Q77" i="40" a="1"/>
  <c r="Q77" i="40" s="1"/>
  <c r="U77" i="40" s="1"/>
  <c r="Q775" i="40" a="1"/>
  <c r="Q775" i="40" s="1"/>
  <c r="U775" i="40" s="1"/>
  <c r="Q776" i="40" a="1"/>
  <c r="Q776" i="40" s="1"/>
  <c r="U776" i="40" s="1"/>
  <c r="Q777" i="40" a="1"/>
  <c r="Q777" i="40" s="1"/>
  <c r="U777" i="40" s="1"/>
  <c r="Q778" i="40" a="1"/>
  <c r="Q778" i="40" s="1"/>
  <c r="U778" i="40" s="1"/>
  <c r="Q779" i="40" a="1"/>
  <c r="Q779" i="40" s="1"/>
  <c r="U779" i="40" s="1"/>
  <c r="Q780" i="40" a="1"/>
  <c r="Q780" i="40" s="1"/>
  <c r="U780" i="40" s="1"/>
  <c r="Q781" i="40" a="1"/>
  <c r="Q781" i="40" s="1"/>
  <c r="U781" i="40" s="1"/>
  <c r="Q782" i="40" a="1"/>
  <c r="Q782" i="40" s="1"/>
  <c r="U782" i="40" s="1"/>
  <c r="Q783" i="40" a="1"/>
  <c r="Q783" i="40" s="1"/>
  <c r="U783" i="40" s="1"/>
  <c r="Q784" i="40" a="1"/>
  <c r="Q784" i="40" s="1"/>
  <c r="U784" i="40" s="1"/>
  <c r="Q785" i="40" a="1"/>
  <c r="Q785" i="40" s="1"/>
  <c r="U785" i="40" s="1"/>
  <c r="O331" i="40" a="1"/>
  <c r="O331" i="40" s="1"/>
  <c r="T331" i="40" s="1"/>
  <c r="O1028" i="40" a="1"/>
  <c r="O1028" i="40" s="1"/>
  <c r="T1028" i="40" s="1"/>
  <c r="O1029" i="40" a="1"/>
  <c r="O1029" i="40" s="1"/>
  <c r="T1029" i="40" s="1"/>
  <c r="O1030" i="40" a="1"/>
  <c r="O1030" i="40" s="1"/>
  <c r="T1030" i="40" s="1"/>
  <c r="O1031" i="40" a="1"/>
  <c r="O1031" i="40" s="1"/>
  <c r="T1031" i="40" s="1"/>
  <c r="O1032" i="40" a="1"/>
  <c r="O1032" i="40" s="1"/>
  <c r="T1032" i="40" s="1"/>
  <c r="O1033" i="40" a="1"/>
  <c r="O1033" i="40" s="1"/>
  <c r="T1033" i="40" s="1"/>
  <c r="O1034" i="40" a="1"/>
  <c r="O1034" i="40" s="1"/>
  <c r="T1034" i="40" s="1"/>
  <c r="O1035" i="40" a="1"/>
  <c r="O1035" i="40" s="1"/>
  <c r="T1035" i="40" s="1"/>
  <c r="O1036" i="40" a="1"/>
  <c r="O1036" i="40" s="1"/>
  <c r="T1036" i="40" s="1"/>
  <c r="O1037" i="40" a="1"/>
  <c r="O1037" i="40" s="1"/>
  <c r="T1037" i="40" s="1"/>
  <c r="O1038" i="40" a="1"/>
  <c r="O1038" i="40" s="1"/>
  <c r="T1038" i="40" s="1"/>
  <c r="O995" i="40" a="1"/>
  <c r="O995" i="40" s="1"/>
  <c r="T995" i="40" s="1"/>
  <c r="O996" i="40" a="1"/>
  <c r="O996" i="40" s="1"/>
  <c r="T996" i="40" s="1"/>
  <c r="O997" i="40" a="1"/>
  <c r="O997" i="40" s="1"/>
  <c r="T997" i="40" s="1"/>
  <c r="O998" i="40" a="1"/>
  <c r="O998" i="40" s="1"/>
  <c r="T998" i="40" s="1"/>
  <c r="O999" i="40" a="1"/>
  <c r="O999" i="40" s="1"/>
  <c r="T999" i="40" s="1"/>
  <c r="O1000" i="40" a="1"/>
  <c r="O1000" i="40" s="1"/>
  <c r="T1000" i="40" s="1"/>
  <c r="O1001" i="40" a="1"/>
  <c r="O1001" i="40" s="1"/>
  <c r="T1001" i="40" s="1"/>
  <c r="O1002" i="40" a="1"/>
  <c r="O1002" i="40" s="1"/>
  <c r="T1002" i="40" s="1"/>
  <c r="O1003" i="40" a="1"/>
  <c r="O1003" i="40" s="1"/>
  <c r="T1003" i="40" s="1"/>
  <c r="O1004" i="40" a="1"/>
  <c r="O1004" i="40" s="1"/>
  <c r="T1004" i="40" s="1"/>
  <c r="O1005" i="40" a="1"/>
  <c r="O1005" i="40" s="1"/>
  <c r="T1005" i="40" s="1"/>
  <c r="Q764" i="40" a="1"/>
  <c r="Q764" i="40" s="1"/>
  <c r="U764" i="40" s="1"/>
  <c r="Q765" i="40" a="1"/>
  <c r="Q765" i="40" s="1"/>
  <c r="U765" i="40" s="1"/>
  <c r="Q766" i="40" a="1"/>
  <c r="Q766" i="40" s="1"/>
  <c r="U766" i="40" s="1"/>
  <c r="Q767" i="40" a="1"/>
  <c r="Q767" i="40" s="1"/>
  <c r="U767" i="40" s="1"/>
  <c r="Q768" i="40" a="1"/>
  <c r="Q768" i="40" s="1"/>
  <c r="U768" i="40" s="1"/>
  <c r="Q769" i="40" a="1"/>
  <c r="Q769" i="40" s="1"/>
  <c r="U769" i="40" s="1"/>
  <c r="Q770" i="40" a="1"/>
  <c r="Q770" i="40" s="1"/>
  <c r="U770" i="40" s="1"/>
  <c r="Q771" i="40" a="1"/>
  <c r="Q771" i="40" s="1"/>
  <c r="U771" i="40" s="1"/>
  <c r="Q772" i="40" a="1"/>
  <c r="Q772" i="40" s="1"/>
  <c r="U772" i="40" s="1"/>
  <c r="Q773" i="40" a="1"/>
  <c r="Q773" i="40" s="1"/>
  <c r="U773" i="40" s="1"/>
  <c r="Q774" i="40" a="1"/>
  <c r="Q774" i="40" s="1"/>
  <c r="U774" i="40" s="1"/>
  <c r="Q1260" i="40" a="1"/>
  <c r="Q1260" i="40" s="1"/>
  <c r="U1260" i="40" s="1"/>
  <c r="Q1262" i="40" a="1"/>
  <c r="Q1262" i="40" s="1"/>
  <c r="U1262" i="40" s="1"/>
  <c r="Q1264" i="40" a="1"/>
  <c r="Q1264" i="40" s="1"/>
  <c r="U1264" i="40" s="1"/>
  <c r="Q1266" i="40" a="1"/>
  <c r="Q1266" i="40" s="1"/>
  <c r="U1266" i="40" s="1"/>
  <c r="Q1270" i="40" a="1"/>
  <c r="Q1270" i="40" s="1"/>
  <c r="U1270" i="40" s="1"/>
  <c r="Q1268" i="40" a="1"/>
  <c r="Q1268" i="40" s="1"/>
  <c r="U1268" i="40" s="1"/>
  <c r="Q1272" i="40" a="1"/>
  <c r="Q1272" i="40" s="1"/>
  <c r="U1272" i="40" s="1"/>
  <c r="Q1274" i="40" a="1"/>
  <c r="Q1274" i="40" s="1"/>
  <c r="U1274" i="40" s="1"/>
  <c r="Q1276" i="40" a="1"/>
  <c r="Q1276" i="40" s="1"/>
  <c r="U1276" i="40" s="1"/>
  <c r="Q1278" i="40" a="1"/>
  <c r="Q1278" i="40" s="1"/>
  <c r="U1278" i="40" s="1"/>
  <c r="Q1280" i="40" a="1"/>
  <c r="Q1280" i="40" s="1"/>
  <c r="U1280" i="40" s="1"/>
  <c r="O1149" i="40" a="1"/>
  <c r="O1149" i="40" s="1"/>
  <c r="T1149" i="40" s="1"/>
  <c r="O1150" i="40" a="1"/>
  <c r="O1150" i="40" s="1"/>
  <c r="T1150" i="40" s="1"/>
  <c r="O1151" i="40" a="1"/>
  <c r="O1151" i="40" s="1"/>
  <c r="T1151" i="40" s="1"/>
  <c r="O1152" i="40" a="1"/>
  <c r="O1152" i="40" s="1"/>
  <c r="T1152" i="40" s="1"/>
  <c r="O1153" i="40" a="1"/>
  <c r="O1153" i="40" s="1"/>
  <c r="T1153" i="40" s="1"/>
  <c r="O1154" i="40" a="1"/>
  <c r="O1154" i="40" s="1"/>
  <c r="T1154" i="40" s="1"/>
  <c r="O1155" i="40" a="1"/>
  <c r="O1155" i="40" s="1"/>
  <c r="T1155" i="40" s="1"/>
  <c r="O1156" i="40" a="1"/>
  <c r="O1156" i="40" s="1"/>
  <c r="T1156" i="40" s="1"/>
  <c r="O1157" i="40" a="1"/>
  <c r="O1157" i="40" s="1"/>
  <c r="T1157" i="40" s="1"/>
  <c r="O1158" i="40" a="1"/>
  <c r="O1158" i="40" s="1"/>
  <c r="T1158" i="40" s="1"/>
  <c r="O1159" i="40" a="1"/>
  <c r="O1159" i="40" s="1"/>
  <c r="T1159" i="40" s="1"/>
  <c r="R929" i="40" a="1"/>
  <c r="R929" i="40" s="1"/>
  <c r="V929" i="40" s="1"/>
  <c r="R930" i="40" a="1"/>
  <c r="R930" i="40" s="1"/>
  <c r="V930" i="40" s="1"/>
  <c r="R931" i="40" a="1"/>
  <c r="R931" i="40" s="1"/>
  <c r="V931" i="40" s="1"/>
  <c r="R932" i="40" a="1"/>
  <c r="R932" i="40" s="1"/>
  <c r="V932" i="40" s="1"/>
  <c r="R933" i="40" a="1"/>
  <c r="R933" i="40" s="1"/>
  <c r="V933" i="40" s="1"/>
  <c r="R934" i="40" a="1"/>
  <c r="R934" i="40" s="1"/>
  <c r="V934" i="40" s="1"/>
  <c r="R935" i="40" a="1"/>
  <c r="R935" i="40" s="1"/>
  <c r="V935" i="40" s="1"/>
  <c r="R936" i="40" a="1"/>
  <c r="R936" i="40" s="1"/>
  <c r="V936" i="40" s="1"/>
  <c r="R937" i="40" a="1"/>
  <c r="R937" i="40" s="1"/>
  <c r="V937" i="40" s="1"/>
  <c r="R938" i="40" a="1"/>
  <c r="R938" i="40" s="1"/>
  <c r="V938" i="40" s="1"/>
  <c r="R939" i="40" a="1"/>
  <c r="R939" i="40" s="1"/>
  <c r="V939" i="40" s="1"/>
  <c r="R1083" i="40" a="1"/>
  <c r="R1083" i="40" s="1"/>
  <c r="V1083" i="40" s="1"/>
  <c r="R1087" i="40" a="1"/>
  <c r="R1087" i="40" s="1"/>
  <c r="V1087" i="40" s="1"/>
  <c r="R1091" i="40" a="1"/>
  <c r="R1091" i="40" s="1"/>
  <c r="V1091" i="40" s="1"/>
  <c r="R1095" i="40" a="1"/>
  <c r="R1095" i="40" s="1"/>
  <c r="V1095" i="40" s="1"/>
  <c r="R1099" i="40" a="1"/>
  <c r="R1099" i="40" s="1"/>
  <c r="V1099" i="40" s="1"/>
  <c r="R1103" i="40" a="1"/>
  <c r="R1103" i="40" s="1"/>
  <c r="V1103" i="40" s="1"/>
  <c r="R1107" i="40" a="1"/>
  <c r="R1107" i="40" s="1"/>
  <c r="V1107" i="40" s="1"/>
  <c r="R1111" i="40" a="1"/>
  <c r="R1111" i="40" s="1"/>
  <c r="V1111" i="40" s="1"/>
  <c r="R1115" i="40" a="1"/>
  <c r="R1115" i="40" s="1"/>
  <c r="V1115" i="40" s="1"/>
  <c r="R1123" i="40" a="1"/>
  <c r="R1123" i="40" s="1"/>
  <c r="V1123" i="40" s="1"/>
  <c r="R1119" i="40" a="1"/>
  <c r="R1119" i="40" s="1"/>
  <c r="V1119" i="40" s="1"/>
  <c r="O984" i="40" a="1"/>
  <c r="O984" i="40" s="1"/>
  <c r="T984" i="40" s="1"/>
  <c r="O985" i="40" a="1"/>
  <c r="O985" i="40" s="1"/>
  <c r="T985" i="40" s="1"/>
  <c r="O986" i="40" a="1"/>
  <c r="O986" i="40" s="1"/>
  <c r="T986" i="40" s="1"/>
  <c r="O987" i="40" a="1"/>
  <c r="O987" i="40" s="1"/>
  <c r="T987" i="40" s="1"/>
  <c r="O989" i="40" a="1"/>
  <c r="O989" i="40" s="1"/>
  <c r="T989" i="40" s="1"/>
  <c r="O988" i="40" a="1"/>
  <c r="O988" i="40" s="1"/>
  <c r="T988" i="40" s="1"/>
  <c r="O990" i="40" a="1"/>
  <c r="O990" i="40" s="1"/>
  <c r="T990" i="40" s="1"/>
  <c r="O991" i="40" a="1"/>
  <c r="O991" i="40" s="1"/>
  <c r="T991" i="40" s="1"/>
  <c r="O992" i="40" a="1"/>
  <c r="O992" i="40" s="1"/>
  <c r="T992" i="40" s="1"/>
  <c r="O993" i="40" a="1"/>
  <c r="O993" i="40" s="1"/>
  <c r="T993" i="40" s="1"/>
  <c r="O994" i="40" a="1"/>
  <c r="O994" i="40" s="1"/>
  <c r="T994" i="40" s="1"/>
  <c r="O842" i="40" a="1"/>
  <c r="O842" i="40" s="1"/>
  <c r="T842" i="40" s="1"/>
  <c r="O844" i="40" a="1"/>
  <c r="O844" i="40" s="1"/>
  <c r="T844" i="40" s="1"/>
  <c r="O846" i="40" a="1"/>
  <c r="O846" i="40" s="1"/>
  <c r="T846" i="40" s="1"/>
  <c r="O848" i="40" a="1"/>
  <c r="O848" i="40" s="1"/>
  <c r="T848" i="40" s="1"/>
  <c r="O850" i="40" a="1"/>
  <c r="O850" i="40" s="1"/>
  <c r="T850" i="40" s="1"/>
  <c r="O852" i="40" a="1"/>
  <c r="O852" i="40" s="1"/>
  <c r="T852" i="40" s="1"/>
  <c r="O854" i="40" a="1"/>
  <c r="O854" i="40" s="1"/>
  <c r="T854" i="40" s="1"/>
  <c r="O856" i="40" a="1"/>
  <c r="O856" i="40" s="1"/>
  <c r="T856" i="40" s="1"/>
  <c r="O858" i="40" a="1"/>
  <c r="O858" i="40" s="1"/>
  <c r="T858" i="40" s="1"/>
  <c r="O860" i="40" a="1"/>
  <c r="O860" i="40" s="1"/>
  <c r="T860" i="40" s="1"/>
  <c r="O862" i="40" a="1"/>
  <c r="O862" i="40" s="1"/>
  <c r="T862" i="40" s="1"/>
  <c r="Q1380" i="40" a="1"/>
  <c r="Q1380" i="40" s="1"/>
  <c r="U1380" i="40" s="1"/>
  <c r="Q1381" i="40" a="1"/>
  <c r="Q1381" i="40" s="1"/>
  <c r="U1381" i="40" s="1"/>
  <c r="Q1382" i="40" a="1"/>
  <c r="Q1382" i="40" s="1"/>
  <c r="U1382" i="40" s="1"/>
  <c r="Q1383" i="40" a="1"/>
  <c r="Q1383" i="40" s="1"/>
  <c r="U1383" i="40" s="1"/>
  <c r="Q1385" i="40" a="1"/>
  <c r="Q1385" i="40" s="1"/>
  <c r="U1385" i="40" s="1"/>
  <c r="Q1384" i="40" a="1"/>
  <c r="Q1384" i="40" s="1"/>
  <c r="U1384" i="40" s="1"/>
  <c r="Q1386" i="40" a="1"/>
  <c r="Q1386" i="40" s="1"/>
  <c r="U1386" i="40" s="1"/>
  <c r="Q1387" i="40" a="1"/>
  <c r="Q1387" i="40" s="1"/>
  <c r="U1387" i="40" s="1"/>
  <c r="Q1388" i="40" a="1"/>
  <c r="Q1388" i="40" s="1"/>
  <c r="U1388" i="40" s="1"/>
  <c r="Q1389" i="40" a="1"/>
  <c r="Q1389" i="40" s="1"/>
  <c r="U1389" i="40" s="1"/>
  <c r="Q1390" i="40" a="1"/>
  <c r="Q1390" i="40" s="1"/>
  <c r="U1390" i="40" s="1"/>
  <c r="P995" i="40" a="1"/>
  <c r="P995" i="40" s="1"/>
  <c r="P996" i="40" a="1"/>
  <c r="P996" i="40" s="1"/>
  <c r="P997" i="40" a="1"/>
  <c r="P997" i="40" s="1"/>
  <c r="P998" i="40" a="1"/>
  <c r="P998" i="40" s="1"/>
  <c r="P999" i="40" a="1"/>
  <c r="P999" i="40" s="1"/>
  <c r="P1000" i="40" a="1"/>
  <c r="P1000" i="40" s="1"/>
  <c r="P1001" i="40" a="1"/>
  <c r="P1001" i="40" s="1"/>
  <c r="P1002" i="40" a="1"/>
  <c r="P1002" i="40" s="1"/>
  <c r="P1003" i="40" a="1"/>
  <c r="P1003" i="40" s="1"/>
  <c r="P1004" i="40" a="1"/>
  <c r="P1004" i="40" s="1"/>
  <c r="P1005" i="40" a="1"/>
  <c r="P1005" i="40" s="1"/>
  <c r="P1358" i="40" a="1"/>
  <c r="P1358" i="40" s="1"/>
  <c r="P1359" i="40" a="1"/>
  <c r="P1359" i="40" s="1"/>
  <c r="P1360" i="40" a="1"/>
  <c r="P1360" i="40" s="1"/>
  <c r="P1361" i="40" a="1"/>
  <c r="P1361" i="40" s="1"/>
  <c r="P1362" i="40" a="1"/>
  <c r="P1362" i="40" s="1"/>
  <c r="P1363" i="40" a="1"/>
  <c r="P1363" i="40" s="1"/>
  <c r="P1364" i="40" a="1"/>
  <c r="P1364" i="40" s="1"/>
  <c r="P1365" i="40" a="1"/>
  <c r="P1365" i="40" s="1"/>
  <c r="P1366" i="40" a="1"/>
  <c r="P1366" i="40" s="1"/>
  <c r="P1367" i="40" a="1"/>
  <c r="P1367" i="40" s="1"/>
  <c r="P1368" i="40" a="1"/>
  <c r="P1368" i="40" s="1"/>
  <c r="P731" i="40" a="1"/>
  <c r="P731" i="40" s="1"/>
  <c r="P732" i="40" a="1"/>
  <c r="P732" i="40" s="1"/>
  <c r="P733" i="40" a="1"/>
  <c r="P733" i="40" s="1"/>
  <c r="P734" i="40" a="1"/>
  <c r="P734" i="40" s="1"/>
  <c r="J129" i="42" s="1"/>
  <c r="P735" i="40" a="1"/>
  <c r="P735" i="40" s="1"/>
  <c r="P736" i="40" a="1"/>
  <c r="P736" i="40" s="1"/>
  <c r="P737" i="40" a="1"/>
  <c r="P737" i="40" s="1"/>
  <c r="P738" i="40" a="1"/>
  <c r="P738" i="40" s="1"/>
  <c r="P739" i="40" a="1"/>
  <c r="P739" i="40" s="1"/>
  <c r="P740" i="40" a="1"/>
  <c r="P740" i="40" s="1"/>
  <c r="P741" i="40" a="1"/>
  <c r="P741" i="40" s="1"/>
  <c r="O918" i="40" a="1"/>
  <c r="O918" i="40" s="1"/>
  <c r="T918" i="40" s="1"/>
  <c r="O919" i="40" a="1"/>
  <c r="O919" i="40" s="1"/>
  <c r="T919" i="40" s="1"/>
  <c r="O920" i="40" a="1"/>
  <c r="O920" i="40" s="1"/>
  <c r="T920" i="40" s="1"/>
  <c r="O921" i="40" a="1"/>
  <c r="O921" i="40" s="1"/>
  <c r="T921" i="40" s="1"/>
  <c r="O922" i="40" a="1"/>
  <c r="O922" i="40" s="1"/>
  <c r="T922" i="40" s="1"/>
  <c r="O923" i="40" a="1"/>
  <c r="O923" i="40" s="1"/>
  <c r="T923" i="40" s="1"/>
  <c r="O924" i="40" a="1"/>
  <c r="O924" i="40" s="1"/>
  <c r="T924" i="40" s="1"/>
  <c r="O925" i="40" a="1"/>
  <c r="O925" i="40" s="1"/>
  <c r="T925" i="40" s="1"/>
  <c r="O926" i="40" a="1"/>
  <c r="O926" i="40" s="1"/>
  <c r="T926" i="40" s="1"/>
  <c r="O927" i="40" a="1"/>
  <c r="O927" i="40" s="1"/>
  <c r="T927" i="40" s="1"/>
  <c r="O928" i="40" a="1"/>
  <c r="O928" i="40" s="1"/>
  <c r="T928" i="40" s="1"/>
  <c r="R661" i="40" a="1"/>
  <c r="R661" i="40" s="1"/>
  <c r="V661" i="40" s="1"/>
  <c r="R1358" i="40" a="1"/>
  <c r="R1358" i="40" s="1"/>
  <c r="V1358" i="40" s="1"/>
  <c r="R1359" i="40" a="1"/>
  <c r="R1359" i="40" s="1"/>
  <c r="V1359" i="40" s="1"/>
  <c r="R1360" i="40" a="1"/>
  <c r="R1360" i="40" s="1"/>
  <c r="V1360" i="40" s="1"/>
  <c r="R1361" i="40" a="1"/>
  <c r="R1361" i="40" s="1"/>
  <c r="V1361" i="40" s="1"/>
  <c r="R1362" i="40" a="1"/>
  <c r="R1362" i="40" s="1"/>
  <c r="V1362" i="40" s="1"/>
  <c r="R1363" i="40" a="1"/>
  <c r="R1363" i="40" s="1"/>
  <c r="V1363" i="40" s="1"/>
  <c r="R1364" i="40" a="1"/>
  <c r="R1364" i="40" s="1"/>
  <c r="V1364" i="40" s="1"/>
  <c r="R1365" i="40" a="1"/>
  <c r="R1365" i="40" s="1"/>
  <c r="V1365" i="40" s="1"/>
  <c r="R1366" i="40" a="1"/>
  <c r="R1366" i="40" s="1"/>
  <c r="V1366" i="40" s="1"/>
  <c r="R1367" i="40" a="1"/>
  <c r="R1367" i="40" s="1"/>
  <c r="V1367" i="40" s="1"/>
  <c r="R1368" i="40" a="1"/>
  <c r="R1368" i="40" s="1"/>
  <c r="V1368" i="40" s="1"/>
  <c r="M775" i="40" a="1"/>
  <c r="M775" i="40" s="1"/>
  <c r="S775" i="40" s="1"/>
  <c r="M776" i="40" a="1"/>
  <c r="M776" i="40" s="1"/>
  <c r="S776" i="40" s="1"/>
  <c r="M777" i="40" a="1"/>
  <c r="M777" i="40" s="1"/>
  <c r="S777" i="40" s="1"/>
  <c r="M778" i="40" a="1"/>
  <c r="M778" i="40" s="1"/>
  <c r="S778" i="40" s="1"/>
  <c r="M780" i="40" a="1"/>
  <c r="M780" i="40" s="1"/>
  <c r="S780" i="40" s="1"/>
  <c r="M779" i="40" a="1"/>
  <c r="M779" i="40" s="1"/>
  <c r="S779" i="40" s="1"/>
  <c r="M781" i="40" a="1"/>
  <c r="M781" i="40" s="1"/>
  <c r="S781" i="40" s="1"/>
  <c r="M782" i="40" a="1"/>
  <c r="M782" i="40" s="1"/>
  <c r="S782" i="40" s="1"/>
  <c r="M783" i="40" a="1"/>
  <c r="M783" i="40" s="1"/>
  <c r="S783" i="40" s="1"/>
  <c r="M784" i="40" a="1"/>
  <c r="M784" i="40" s="1"/>
  <c r="S784" i="40" s="1"/>
  <c r="M785" i="40" a="1"/>
  <c r="M785" i="40" s="1"/>
  <c r="S785" i="40" s="1"/>
  <c r="Q1182" i="40" a="1"/>
  <c r="Q1182" i="40" s="1"/>
  <c r="U1182" i="40" s="1"/>
  <c r="Q1184" i="40" a="1"/>
  <c r="Q1184" i="40" s="1"/>
  <c r="U1184" i="40" s="1"/>
  <c r="Q1186" i="40" a="1"/>
  <c r="Q1186" i="40" s="1"/>
  <c r="U1186" i="40" s="1"/>
  <c r="Q1188" i="40" a="1"/>
  <c r="Q1188" i="40" s="1"/>
  <c r="U1188" i="40" s="1"/>
  <c r="Q1192" i="40" a="1"/>
  <c r="Q1192" i="40" s="1"/>
  <c r="U1192" i="40" s="1"/>
  <c r="Q1190" i="40" a="1"/>
  <c r="Q1190" i="40" s="1"/>
  <c r="U1190" i="40" s="1"/>
  <c r="Q1194" i="40" a="1"/>
  <c r="Q1194" i="40" s="1"/>
  <c r="U1194" i="40" s="1"/>
  <c r="Q1196" i="40" a="1"/>
  <c r="Q1196" i="40" s="1"/>
  <c r="U1196" i="40" s="1"/>
  <c r="Q1198" i="40" a="1"/>
  <c r="Q1198" i="40" s="1"/>
  <c r="U1198" i="40" s="1"/>
  <c r="Q1200" i="40" a="1"/>
  <c r="Q1200" i="40" s="1"/>
  <c r="U1200" i="40" s="1"/>
  <c r="Q1202" i="40" a="1"/>
  <c r="Q1202" i="40" s="1"/>
  <c r="U1202" i="40" s="1"/>
  <c r="O896" i="40" a="1"/>
  <c r="O896" i="40" s="1"/>
  <c r="T896" i="40" s="1"/>
  <c r="O898" i="40" a="1"/>
  <c r="O898" i="40" s="1"/>
  <c r="T898" i="40" s="1"/>
  <c r="O900" i="40" a="1"/>
  <c r="O900" i="40" s="1"/>
  <c r="T900" i="40" s="1"/>
  <c r="O902" i="40" a="1"/>
  <c r="O902" i="40" s="1"/>
  <c r="T902" i="40" s="1"/>
  <c r="O904" i="40" a="1"/>
  <c r="O904" i="40" s="1"/>
  <c r="T904" i="40" s="1"/>
  <c r="O906" i="40" a="1"/>
  <c r="O906" i="40" s="1"/>
  <c r="T906" i="40" s="1"/>
  <c r="O908" i="40" a="1"/>
  <c r="O908" i="40" s="1"/>
  <c r="T908" i="40" s="1"/>
  <c r="O910" i="40" a="1"/>
  <c r="O910" i="40" s="1"/>
  <c r="T910" i="40" s="1"/>
  <c r="O912" i="40" a="1"/>
  <c r="O912" i="40" s="1"/>
  <c r="T912" i="40" s="1"/>
  <c r="O914" i="40" a="1"/>
  <c r="O914" i="40" s="1"/>
  <c r="T914" i="40" s="1"/>
  <c r="O916" i="40" a="1"/>
  <c r="O916" i="40" s="1"/>
  <c r="T916" i="40" s="1"/>
  <c r="R1182" i="40" a="1"/>
  <c r="R1182" i="40" s="1"/>
  <c r="V1182" i="40" s="1"/>
  <c r="R1184" i="40" a="1"/>
  <c r="R1184" i="40" s="1"/>
  <c r="V1184" i="40" s="1"/>
  <c r="R1186" i="40" a="1"/>
  <c r="R1186" i="40" s="1"/>
  <c r="V1186" i="40" s="1"/>
  <c r="R1190" i="40" a="1"/>
  <c r="R1190" i="40" s="1"/>
  <c r="V1190" i="40" s="1"/>
  <c r="R1188" i="40" a="1"/>
  <c r="R1188" i="40" s="1"/>
  <c r="V1188" i="40" s="1"/>
  <c r="R1192" i="40" a="1"/>
  <c r="R1192" i="40" s="1"/>
  <c r="V1192" i="40" s="1"/>
  <c r="R1194" i="40" a="1"/>
  <c r="R1194" i="40" s="1"/>
  <c r="V1194" i="40" s="1"/>
  <c r="R1196" i="40" a="1"/>
  <c r="R1196" i="40" s="1"/>
  <c r="V1196" i="40" s="1"/>
  <c r="R1198" i="40" a="1"/>
  <c r="R1198" i="40" s="1"/>
  <c r="V1198" i="40" s="1"/>
  <c r="R1202" i="40" a="1"/>
  <c r="R1202" i="40" s="1"/>
  <c r="V1202" i="40" s="1"/>
  <c r="R1200" i="40" a="1"/>
  <c r="R1200" i="40" s="1"/>
  <c r="V1200" i="40" s="1"/>
  <c r="O809" i="40" a="1"/>
  <c r="O809" i="40" s="1"/>
  <c r="T809" i="40" s="1"/>
  <c r="O812" i="40" a="1"/>
  <c r="O812" i="40" s="1"/>
  <c r="T812" i="40" s="1"/>
  <c r="O815" i="40" a="1"/>
  <c r="O815" i="40" s="1"/>
  <c r="T815" i="40" s="1"/>
  <c r="O818" i="40" a="1"/>
  <c r="O818" i="40" s="1"/>
  <c r="T818" i="40" s="1"/>
  <c r="O821" i="40" a="1"/>
  <c r="O821" i="40" s="1"/>
  <c r="T821" i="40" s="1"/>
  <c r="O824" i="40" a="1"/>
  <c r="O824" i="40" s="1"/>
  <c r="T824" i="40" s="1"/>
  <c r="O827" i="40" a="1"/>
  <c r="O827" i="40" s="1"/>
  <c r="T827" i="40" s="1"/>
  <c r="O830" i="40" a="1"/>
  <c r="O830" i="40" s="1"/>
  <c r="T830" i="40" s="1"/>
  <c r="O833" i="40" a="1"/>
  <c r="O833" i="40" s="1"/>
  <c r="T833" i="40" s="1"/>
  <c r="O836" i="40" a="1"/>
  <c r="O836" i="40" s="1"/>
  <c r="T836" i="40" s="1"/>
  <c r="O839" i="40" a="1"/>
  <c r="O839" i="40" s="1"/>
  <c r="T839" i="40" s="1"/>
  <c r="Q661" i="40" a="1"/>
  <c r="Q661" i="40" s="1"/>
  <c r="U661" i="40" s="1"/>
  <c r="Q1358" i="40" a="1"/>
  <c r="Q1358" i="40" s="1"/>
  <c r="U1358" i="40" s="1"/>
  <c r="Q1359" i="40" a="1"/>
  <c r="Q1359" i="40" s="1"/>
  <c r="U1359" i="40" s="1"/>
  <c r="Q1360" i="40" a="1"/>
  <c r="Q1360" i="40" s="1"/>
  <c r="U1360" i="40" s="1"/>
  <c r="Q1361" i="40" a="1"/>
  <c r="Q1361" i="40" s="1"/>
  <c r="U1361" i="40" s="1"/>
  <c r="Q1362" i="40" a="1"/>
  <c r="Q1362" i="40" s="1"/>
  <c r="U1362" i="40" s="1"/>
  <c r="Q1363" i="40" a="1"/>
  <c r="Q1363" i="40" s="1"/>
  <c r="U1363" i="40" s="1"/>
  <c r="Q1364" i="40" a="1"/>
  <c r="Q1364" i="40" s="1"/>
  <c r="U1364" i="40" s="1"/>
  <c r="Q1365" i="40" a="1"/>
  <c r="Q1365" i="40" s="1"/>
  <c r="U1365" i="40" s="1"/>
  <c r="Q1366" i="40" a="1"/>
  <c r="Q1366" i="40" s="1"/>
  <c r="U1366" i="40" s="1"/>
  <c r="Q1367" i="40" a="1"/>
  <c r="Q1367" i="40" s="1"/>
  <c r="U1367" i="40" s="1"/>
  <c r="Q1368" i="40" a="1"/>
  <c r="Q1368" i="40" s="1"/>
  <c r="U1368" i="40" s="1"/>
  <c r="O1127" i="40" a="1"/>
  <c r="O1127" i="40" s="1"/>
  <c r="T1127" i="40" s="1"/>
  <c r="O1128" i="40" a="1"/>
  <c r="O1128" i="40" s="1"/>
  <c r="T1128" i="40" s="1"/>
  <c r="O1129" i="40" a="1"/>
  <c r="O1129" i="40" s="1"/>
  <c r="T1129" i="40" s="1"/>
  <c r="O1130" i="40" a="1"/>
  <c r="O1130" i="40" s="1"/>
  <c r="T1130" i="40" s="1"/>
  <c r="O1131" i="40" a="1"/>
  <c r="O1131" i="40" s="1"/>
  <c r="T1131" i="40" s="1"/>
  <c r="O1132" i="40" a="1"/>
  <c r="O1132" i="40" s="1"/>
  <c r="T1132" i="40" s="1"/>
  <c r="O1133" i="40" a="1"/>
  <c r="O1133" i="40" s="1"/>
  <c r="T1133" i="40" s="1"/>
  <c r="O1134" i="40" a="1"/>
  <c r="O1134" i="40" s="1"/>
  <c r="T1134" i="40" s="1"/>
  <c r="O1135" i="40" a="1"/>
  <c r="O1135" i="40" s="1"/>
  <c r="T1135" i="40" s="1"/>
  <c r="O1136" i="40" a="1"/>
  <c r="O1136" i="40" s="1"/>
  <c r="T1136" i="40" s="1"/>
  <c r="O1137" i="40" a="1"/>
  <c r="O1137" i="40" s="1"/>
  <c r="T1137" i="40" s="1"/>
  <c r="N1325" i="40" a="1"/>
  <c r="N1325" i="40" s="1"/>
  <c r="N1326" i="40" a="1"/>
  <c r="N1326" i="40" s="1"/>
  <c r="N1327" i="40" a="1"/>
  <c r="N1327" i="40" s="1"/>
  <c r="N1328" i="40" a="1"/>
  <c r="N1328" i="40" s="1"/>
  <c r="N1329" i="40" a="1"/>
  <c r="N1329" i="40" s="1"/>
  <c r="N1330" i="40" a="1"/>
  <c r="N1330" i="40" s="1"/>
  <c r="N1331" i="40" a="1"/>
  <c r="N1331" i="40" s="1"/>
  <c r="N1332" i="40" a="1"/>
  <c r="N1332" i="40" s="1"/>
  <c r="N1333" i="40" a="1"/>
  <c r="N1333" i="40" s="1"/>
  <c r="N1334" i="40" a="1"/>
  <c r="N1334" i="40" s="1"/>
  <c r="N1335" i="40" a="1"/>
  <c r="N1335" i="40" s="1"/>
  <c r="Q786" i="40" a="1"/>
  <c r="Q786" i="40" s="1"/>
  <c r="U786" i="40" s="1"/>
  <c r="Q787" i="40" a="1"/>
  <c r="Q787" i="40" s="1"/>
  <c r="U787" i="40" s="1"/>
  <c r="Q788" i="40" a="1"/>
  <c r="Q788" i="40" s="1"/>
  <c r="U788" i="40" s="1"/>
  <c r="Q789" i="40" a="1"/>
  <c r="Q789" i="40" s="1"/>
  <c r="U789" i="40" s="1"/>
  <c r="Q790" i="40" a="1"/>
  <c r="Q790" i="40" s="1"/>
  <c r="U790" i="40" s="1"/>
  <c r="Q791" i="40" a="1"/>
  <c r="Q791" i="40" s="1"/>
  <c r="U791" i="40" s="1"/>
  <c r="Q792" i="40" a="1"/>
  <c r="Q792" i="40" s="1"/>
  <c r="U792" i="40" s="1"/>
  <c r="Q793" i="40" a="1"/>
  <c r="Q793" i="40" s="1"/>
  <c r="U793" i="40" s="1"/>
  <c r="Q794" i="40" a="1"/>
  <c r="Q794" i="40" s="1"/>
  <c r="U794" i="40" s="1"/>
  <c r="Q795" i="40" a="1"/>
  <c r="Q795" i="40" s="1"/>
  <c r="U795" i="40" s="1"/>
  <c r="Q796" i="40" a="1"/>
  <c r="Q796" i="40" s="1"/>
  <c r="U796" i="40" s="1"/>
  <c r="J230" i="42"/>
  <c r="J690" i="42"/>
  <c r="J597" i="42"/>
  <c r="J605" i="42"/>
  <c r="J686" i="42"/>
  <c r="J666" i="42"/>
  <c r="J315" i="42"/>
  <c r="J493" i="42"/>
  <c r="J121" i="42"/>
  <c r="J581" i="42"/>
  <c r="J209" i="42"/>
  <c r="J623" i="42"/>
  <c r="J251" i="42"/>
  <c r="J647" i="42"/>
  <c r="J275" i="42"/>
  <c r="J660" i="42"/>
  <c r="J288" i="42"/>
  <c r="J711" i="42"/>
  <c r="J339" i="42"/>
  <c r="J494" i="42"/>
  <c r="J122" i="42"/>
  <c r="J14" i="42"/>
  <c r="J386" i="42"/>
  <c r="J6" i="42"/>
  <c r="J378" i="42"/>
  <c r="J638" i="42"/>
  <c r="J266" i="42"/>
  <c r="J630" i="42"/>
  <c r="J258" i="42"/>
  <c r="J198" i="42"/>
  <c r="J570" i="42"/>
  <c r="J295" i="42"/>
  <c r="J692" i="42"/>
  <c r="J321" i="42"/>
  <c r="J670" i="42"/>
  <c r="J671" i="42"/>
  <c r="J664" i="42"/>
  <c r="J580" i="42"/>
  <c r="J208" i="42"/>
  <c r="J708" i="42"/>
  <c r="J336" i="42"/>
  <c r="J83" i="42"/>
  <c r="J207" i="42"/>
  <c r="J29" i="44" s="1" a="1"/>
  <c r="J29" i="44" s="1"/>
  <c r="J579" i="42"/>
  <c r="J621" i="42"/>
  <c r="J249" i="42"/>
  <c r="J645" i="42"/>
  <c r="J273" i="42"/>
  <c r="J709" i="42"/>
  <c r="J337" i="42"/>
  <c r="J492" i="42"/>
  <c r="J120" i="42"/>
  <c r="J21" i="44" s="1" a="1"/>
  <c r="J21" i="44" s="1"/>
  <c r="J12" i="42"/>
  <c r="J384" i="42"/>
  <c r="J636" i="42"/>
  <c r="J264" i="42"/>
  <c r="J196" i="42"/>
  <c r="J28" i="44" s="1" a="1"/>
  <c r="J28" i="44" s="1"/>
  <c r="J568" i="42"/>
  <c r="J296" i="42"/>
  <c r="J234" i="42"/>
  <c r="J672" i="42"/>
  <c r="J622" i="42"/>
  <c r="J250" i="42"/>
  <c r="J68" i="42"/>
  <c r="J206" i="42"/>
  <c r="J578" i="42"/>
  <c r="J628" i="42"/>
  <c r="J256" i="42"/>
  <c r="J620" i="42"/>
  <c r="J248" i="42"/>
  <c r="J644" i="42"/>
  <c r="J272" i="42"/>
  <c r="J343" i="42"/>
  <c r="J715" i="42"/>
  <c r="J335" i="42"/>
  <c r="J707" i="42"/>
  <c r="J119" i="42"/>
  <c r="J491" i="42"/>
  <c r="J382" i="42"/>
  <c r="J10" i="42"/>
  <c r="J263" i="42"/>
  <c r="J635" i="42"/>
  <c r="J567" i="42"/>
  <c r="J195" i="42"/>
  <c r="J691" i="42"/>
  <c r="J227" i="42"/>
  <c r="J600" i="42"/>
  <c r="J646" i="42"/>
  <c r="J274" i="42"/>
  <c r="J13" i="42"/>
  <c r="J385" i="42"/>
  <c r="J197" i="42"/>
  <c r="J569" i="42"/>
  <c r="J205" i="42"/>
  <c r="J577" i="42"/>
  <c r="J255" i="42"/>
  <c r="J627" i="42"/>
  <c r="J247" i="42"/>
  <c r="J619" i="42"/>
  <c r="J271" i="42"/>
  <c r="J643" i="42"/>
  <c r="J342" i="42"/>
  <c r="J714" i="42"/>
  <c r="J334" i="42"/>
  <c r="J706" i="42"/>
  <c r="J118" i="42"/>
  <c r="J490" i="42"/>
  <c r="J383" i="42"/>
  <c r="J11" i="42"/>
  <c r="J262" i="42"/>
  <c r="J634" i="42"/>
  <c r="J566" i="42"/>
  <c r="J194" i="42"/>
  <c r="J665" i="42"/>
  <c r="J689" i="42"/>
  <c r="J297" i="42"/>
  <c r="J688" i="42"/>
  <c r="J287" i="42"/>
  <c r="J659" i="42"/>
  <c r="J212" i="42"/>
  <c r="J584" i="42"/>
  <c r="J575" i="42"/>
  <c r="J203" i="42"/>
  <c r="J254" i="42"/>
  <c r="J626" i="42"/>
  <c r="J278" i="42"/>
  <c r="J650" i="42"/>
  <c r="J270" i="42"/>
  <c r="J642" i="42"/>
  <c r="J655" i="42"/>
  <c r="J283" i="42"/>
  <c r="J341" i="42"/>
  <c r="J713" i="42"/>
  <c r="J125" i="42"/>
  <c r="J497" i="42"/>
  <c r="J117" i="42"/>
  <c r="J489" i="42"/>
  <c r="J381" i="42"/>
  <c r="J9" i="42"/>
  <c r="J420" i="42"/>
  <c r="J48" i="42"/>
  <c r="J40" i="42"/>
  <c r="J259" i="42"/>
  <c r="J631" i="42"/>
  <c r="J573" i="42"/>
  <c r="J201" i="42"/>
  <c r="J565" i="42"/>
  <c r="J193" i="42"/>
  <c r="J603" i="42"/>
  <c r="J232" i="42"/>
  <c r="J312" i="42"/>
  <c r="J291" i="42"/>
  <c r="J583" i="42"/>
  <c r="J211" i="42"/>
  <c r="J204" i="42"/>
  <c r="J576" i="42"/>
  <c r="J253" i="42"/>
  <c r="J625" i="42"/>
  <c r="J277" i="42"/>
  <c r="J649" i="42"/>
  <c r="J269" i="42"/>
  <c r="J641" i="42"/>
  <c r="J654" i="42"/>
  <c r="J282" i="42"/>
  <c r="J710" i="42"/>
  <c r="J338" i="42"/>
  <c r="J124" i="42"/>
  <c r="J496" i="42"/>
  <c r="J116" i="42"/>
  <c r="J488" i="42"/>
  <c r="J380" i="42"/>
  <c r="J8" i="42"/>
  <c r="J261" i="42"/>
  <c r="J633" i="42"/>
  <c r="J572" i="42"/>
  <c r="J200" i="42"/>
  <c r="J564" i="42"/>
  <c r="J192" i="42"/>
  <c r="J226" i="42"/>
  <c r="J313" i="42"/>
  <c r="J601" i="42"/>
  <c r="J637" i="42"/>
  <c r="J265" i="42"/>
  <c r="J582" i="42"/>
  <c r="J210" i="42"/>
  <c r="J252" i="42"/>
  <c r="J624" i="42"/>
  <c r="J276" i="42"/>
  <c r="J648" i="42"/>
  <c r="J661" i="42"/>
  <c r="J289" i="42"/>
  <c r="J340" i="42"/>
  <c r="J712" i="42"/>
  <c r="J495" i="42"/>
  <c r="J123" i="42"/>
  <c r="J15" i="42"/>
  <c r="J387" i="42"/>
  <c r="J7" i="42"/>
  <c r="J379" i="42"/>
  <c r="J267" i="42"/>
  <c r="J639" i="42"/>
  <c r="J632" i="42"/>
  <c r="J260" i="42"/>
  <c r="J199" i="42"/>
  <c r="J571" i="42"/>
  <c r="M62" i="8"/>
  <c r="O274" i="40" a="1"/>
  <c r="O274" i="40" s="1"/>
  <c r="T274" i="40" s="1"/>
  <c r="I17" i="33"/>
  <c r="P270" i="40" a="1"/>
  <c r="P270" i="40" s="1"/>
  <c r="P271" i="40" a="1"/>
  <c r="P271" i="40" s="1"/>
  <c r="P272" i="40" a="1"/>
  <c r="P272" i="40" s="1"/>
  <c r="P273" i="40" a="1"/>
  <c r="P273" i="40" s="1"/>
  <c r="P274" i="40" a="1"/>
  <c r="P274" i="40" s="1"/>
  <c r="P275" i="40" a="1"/>
  <c r="P275" i="40" s="1"/>
  <c r="P276" i="40" a="1"/>
  <c r="P276" i="40" s="1"/>
  <c r="P277" i="40" a="1"/>
  <c r="P277" i="40" s="1"/>
  <c r="P278" i="40" a="1"/>
  <c r="P278" i="40" s="1"/>
  <c r="P279" i="40" a="1"/>
  <c r="P279" i="40" s="1"/>
  <c r="L40" i="8"/>
  <c r="P592" i="40" a="1"/>
  <c r="P592" i="40" s="1"/>
  <c r="P595" i="40" a="1"/>
  <c r="P595" i="40" s="1"/>
  <c r="P601" i="40" a="1"/>
  <c r="P601" i="40" s="1"/>
  <c r="P604" i="40" a="1"/>
  <c r="P604" i="40" s="1"/>
  <c r="P598" i="40" a="1"/>
  <c r="P598" i="40" s="1"/>
  <c r="P607" i="40" a="1"/>
  <c r="P607" i="40" s="1"/>
  <c r="P610" i="40" a="1"/>
  <c r="P610" i="40" s="1"/>
  <c r="P613" i="40" a="1"/>
  <c r="P613" i="40" s="1"/>
  <c r="P616" i="40" a="1"/>
  <c r="P616" i="40" s="1"/>
  <c r="P619" i="40" a="1"/>
  <c r="P619" i="40" s="1"/>
  <c r="P326" i="40" a="1"/>
  <c r="P326" i="40" s="1"/>
  <c r="P325" i="40" a="1"/>
  <c r="P325" i="40" s="1"/>
  <c r="P327" i="40" a="1"/>
  <c r="P327" i="40" s="1"/>
  <c r="P328" i="40" a="1"/>
  <c r="P328" i="40" s="1"/>
  <c r="P329" i="40" a="1"/>
  <c r="P329" i="40" s="1"/>
  <c r="P330" i="40" a="1"/>
  <c r="P330" i="40" s="1"/>
  <c r="P331" i="40" a="1"/>
  <c r="P331" i="40" s="1"/>
  <c r="P332" i="40" a="1"/>
  <c r="P332" i="40" s="1"/>
  <c r="P333" i="40" a="1"/>
  <c r="P333" i="40" s="1"/>
  <c r="P334" i="40" a="1"/>
  <c r="P334" i="40" s="1"/>
  <c r="P292" i="40" a="1"/>
  <c r="P292" i="40" s="1"/>
  <c r="P293" i="40" a="1"/>
  <c r="P293" i="40" s="1"/>
  <c r="P294" i="40" a="1"/>
  <c r="P294" i="40" s="1"/>
  <c r="P295" i="40" a="1"/>
  <c r="P295" i="40" s="1"/>
  <c r="P296" i="40" a="1"/>
  <c r="P296" i="40" s="1"/>
  <c r="P297" i="40" a="1"/>
  <c r="P297" i="40" s="1"/>
  <c r="P298" i="40" a="1"/>
  <c r="P298" i="40" s="1"/>
  <c r="P299" i="40" a="1"/>
  <c r="P299" i="40" s="1"/>
  <c r="P300" i="40" a="1"/>
  <c r="P300" i="40" s="1"/>
  <c r="P301" i="40" a="1"/>
  <c r="P301" i="40" s="1"/>
  <c r="P593" i="40" a="1"/>
  <c r="P593" i="40" s="1"/>
  <c r="P596" i="40" a="1"/>
  <c r="P596" i="40" s="1"/>
  <c r="P599" i="40" a="1"/>
  <c r="P599" i="40" s="1"/>
  <c r="P602" i="40" a="1"/>
  <c r="P602" i="40" s="1"/>
  <c r="P605" i="40" a="1"/>
  <c r="P605" i="40" s="1"/>
  <c r="P608" i="40" a="1"/>
  <c r="P608" i="40" s="1"/>
  <c r="P611" i="40" a="1"/>
  <c r="P611" i="40" s="1"/>
  <c r="P614" i="40" a="1"/>
  <c r="P614" i="40" s="1"/>
  <c r="P617" i="40" a="1"/>
  <c r="P617" i="40" s="1"/>
  <c r="P620" i="40" a="1"/>
  <c r="P620" i="40" s="1"/>
  <c r="P644" i="40" a="1"/>
  <c r="P644" i="40" s="1"/>
  <c r="J17" i="42" s="1"/>
  <c r="P645" i="40" a="1"/>
  <c r="P645" i="40" s="1"/>
  <c r="J18" i="42" s="1"/>
  <c r="P646" i="40" a="1"/>
  <c r="P646" i="40" s="1"/>
  <c r="J19" i="42" s="1"/>
  <c r="P647" i="40" a="1"/>
  <c r="P647" i="40" s="1"/>
  <c r="P648" i="40" a="1"/>
  <c r="P648" i="40" s="1"/>
  <c r="P649" i="40" a="1"/>
  <c r="P649" i="40" s="1"/>
  <c r="J22" i="42" s="1"/>
  <c r="P650" i="40" a="1"/>
  <c r="P650" i="40" s="1"/>
  <c r="J23" i="42" s="1"/>
  <c r="P651" i="40" a="1"/>
  <c r="P651" i="40" s="1"/>
  <c r="J24" i="42" s="1"/>
  <c r="P652" i="40" a="1"/>
  <c r="P652" i="40" s="1"/>
  <c r="J25" i="42" s="1"/>
  <c r="P653" i="40" a="1"/>
  <c r="P653" i="40" s="1"/>
  <c r="J26" i="42" s="1"/>
  <c r="P386" i="40" a="1"/>
  <c r="P386" i="40" s="1"/>
  <c r="P390" i="40" a="1"/>
  <c r="P390" i="40" s="1"/>
  <c r="P394" i="40" a="1"/>
  <c r="P394" i="40" s="1"/>
  <c r="P398" i="40" a="1"/>
  <c r="P398" i="40" s="1"/>
  <c r="P402" i="40" a="1"/>
  <c r="P402" i="40" s="1"/>
  <c r="P406" i="40" a="1"/>
  <c r="P406" i="40" s="1"/>
  <c r="P410" i="40" a="1"/>
  <c r="P410" i="40" s="1"/>
  <c r="P414" i="40" a="1"/>
  <c r="P414" i="40" s="1"/>
  <c r="P418" i="40" a="1"/>
  <c r="P418" i="40" s="1"/>
  <c r="P422" i="40" a="1"/>
  <c r="P422" i="40" s="1"/>
  <c r="P385" i="40" a="1"/>
  <c r="P385" i="40" s="1"/>
  <c r="P393" i="40" a="1"/>
  <c r="P393" i="40" s="1"/>
  <c r="P389" i="40" a="1"/>
  <c r="P389" i="40" s="1"/>
  <c r="P397" i="40" a="1"/>
  <c r="P397" i="40" s="1"/>
  <c r="P401" i="40" a="1"/>
  <c r="P401" i="40" s="1"/>
  <c r="P405" i="40" a="1"/>
  <c r="P405" i="40" s="1"/>
  <c r="P409" i="40" a="1"/>
  <c r="P409" i="40" s="1"/>
  <c r="P413" i="40" a="1"/>
  <c r="P413" i="40" s="1"/>
  <c r="P417" i="40" a="1"/>
  <c r="P417" i="40" s="1"/>
  <c r="P421" i="40" a="1"/>
  <c r="P421" i="40" s="1"/>
  <c r="R80" i="40" a="1"/>
  <c r="R80" i="40" s="1"/>
  <c r="V80" i="40" s="1"/>
  <c r="P677" i="40" a="1"/>
  <c r="P677" i="40" s="1"/>
  <c r="J422" i="42" s="1"/>
  <c r="P678" i="40" a="1"/>
  <c r="P678" i="40" s="1"/>
  <c r="J423" i="42" s="1"/>
  <c r="P679" i="40" a="1"/>
  <c r="P679" i="40" s="1"/>
  <c r="J52" i="42" s="1"/>
  <c r="P680" i="40" a="1"/>
  <c r="P680" i="40" s="1"/>
  <c r="J53" i="42" s="1"/>
  <c r="P681" i="40" a="1"/>
  <c r="P681" i="40" s="1"/>
  <c r="J54" i="42" s="1"/>
  <c r="P682" i="40" a="1"/>
  <c r="P682" i="40" s="1"/>
  <c r="J55" i="42" s="1"/>
  <c r="P683" i="40" a="1"/>
  <c r="P683" i="40" s="1"/>
  <c r="J428" i="42" s="1"/>
  <c r="P684" i="40" a="1"/>
  <c r="P684" i="40" s="1"/>
  <c r="J429" i="42" s="1"/>
  <c r="P685" i="40" a="1"/>
  <c r="P685" i="40" s="1"/>
  <c r="J430" i="42" s="1"/>
  <c r="P686" i="40" a="1"/>
  <c r="P686" i="40" s="1"/>
  <c r="J431" i="42" s="1"/>
  <c r="P655" i="40" a="1"/>
  <c r="P655" i="40" s="1"/>
  <c r="P656" i="40" a="1"/>
  <c r="P656" i="40" s="1"/>
  <c r="P657" i="40" a="1"/>
  <c r="P657" i="40" s="1"/>
  <c r="P658" i="40" a="1"/>
  <c r="P658" i="40" s="1"/>
  <c r="P659" i="40" a="1"/>
  <c r="P659" i="40" s="1"/>
  <c r="P660" i="40" a="1"/>
  <c r="P660" i="40" s="1"/>
  <c r="P661" i="40" a="1"/>
  <c r="P661" i="40" s="1"/>
  <c r="P662" i="40" a="1"/>
  <c r="P662" i="40" s="1"/>
  <c r="P663" i="40" a="1"/>
  <c r="P663" i="40" s="1"/>
  <c r="P664" i="40" a="1"/>
  <c r="P664" i="40" s="1"/>
  <c r="P384" i="40" a="1"/>
  <c r="P384" i="40" s="1"/>
  <c r="P388" i="40" a="1"/>
  <c r="P388" i="40" s="1"/>
  <c r="P392" i="40" a="1"/>
  <c r="P392" i="40" s="1"/>
  <c r="P396" i="40" a="1"/>
  <c r="P396" i="40" s="1"/>
  <c r="P400" i="40" a="1"/>
  <c r="P400" i="40" s="1"/>
  <c r="P404" i="40" a="1"/>
  <c r="P404" i="40" s="1"/>
  <c r="P408" i="40" a="1"/>
  <c r="P408" i="40" s="1"/>
  <c r="P412" i="40" a="1"/>
  <c r="P412" i="40" s="1"/>
  <c r="P416" i="40" a="1"/>
  <c r="P416" i="40" s="1"/>
  <c r="P420" i="40" a="1"/>
  <c r="P420" i="40" s="1"/>
  <c r="R74" i="40" a="1"/>
  <c r="R74" i="40" s="1"/>
  <c r="V74" i="40" s="1"/>
  <c r="P304" i="40" a="1"/>
  <c r="P304" i="40" s="1"/>
  <c r="P303" i="40" a="1"/>
  <c r="P303" i="40" s="1"/>
  <c r="P305" i="40" a="1"/>
  <c r="P305" i="40" s="1"/>
  <c r="P306" i="40" a="1"/>
  <c r="P306" i="40" s="1"/>
  <c r="P307" i="40" a="1"/>
  <c r="P307" i="40" s="1"/>
  <c r="P308" i="40" a="1"/>
  <c r="P308" i="40" s="1"/>
  <c r="P309" i="40" a="1"/>
  <c r="P309" i="40" s="1"/>
  <c r="P310" i="40" a="1"/>
  <c r="P310" i="40" s="1"/>
  <c r="P311" i="40" a="1"/>
  <c r="P311" i="40" s="1"/>
  <c r="P312" i="40" a="1"/>
  <c r="P312" i="40" s="1"/>
  <c r="I34" i="33"/>
  <c r="H35" i="33"/>
  <c r="R83" i="40" a="1"/>
  <c r="R83" i="40" s="1"/>
  <c r="V83" i="40" s="1"/>
  <c r="R84" i="40" a="1"/>
  <c r="R84" i="40" s="1"/>
  <c r="V84" i="40" s="1"/>
  <c r="O626" i="40" a="1"/>
  <c r="O626" i="40" s="1"/>
  <c r="T626" i="40" s="1"/>
  <c r="Q83" i="40" a="1"/>
  <c r="Q83" i="40" s="1"/>
  <c r="U83" i="40" s="1"/>
  <c r="O631" i="40" a="1"/>
  <c r="O631" i="40" s="1"/>
  <c r="T631" i="40" s="1"/>
  <c r="Q92" i="40" a="1"/>
  <c r="Q92" i="40" s="1"/>
  <c r="U92" i="40" s="1"/>
  <c r="R90" i="40" a="1"/>
  <c r="R90" i="40" s="1"/>
  <c r="V90" i="40" s="1"/>
  <c r="R85" i="40" a="1"/>
  <c r="R85" i="40" s="1"/>
  <c r="V85" i="40" s="1"/>
  <c r="O326" i="40" a="1"/>
  <c r="O326" i="40" s="1"/>
  <c r="T326" i="40" s="1"/>
  <c r="Q87" i="40" a="1"/>
  <c r="Q87" i="40" s="1"/>
  <c r="U87" i="40" s="1"/>
  <c r="O623" i="40" a="1"/>
  <c r="O623" i="40" s="1"/>
  <c r="T623" i="40" s="1"/>
  <c r="O327" i="40" a="1"/>
  <c r="O327" i="40" s="1"/>
  <c r="T327" i="40" s="1"/>
  <c r="Q89" i="40" a="1"/>
  <c r="Q89" i="40" s="1"/>
  <c r="U89" i="40" s="1"/>
  <c r="R92" i="40" a="1"/>
  <c r="R92" i="40" s="1"/>
  <c r="V92" i="40" s="1"/>
  <c r="H21" i="33"/>
  <c r="O329" i="40" a="1"/>
  <c r="O329" i="40" s="1"/>
  <c r="T329" i="40" s="1"/>
  <c r="Q86" i="40" a="1"/>
  <c r="Q86" i="40" s="1"/>
  <c r="U86" i="40" s="1"/>
  <c r="M40" i="8"/>
  <c r="Y40" i="8" s="1"/>
  <c r="Q81" i="40" a="1"/>
  <c r="Q81" i="40" s="1"/>
  <c r="U81" i="40" s="1"/>
  <c r="Q75" i="40" a="1"/>
  <c r="Q75" i="40" s="1"/>
  <c r="U75" i="40" s="1"/>
  <c r="O333" i="40" a="1"/>
  <c r="O333" i="40" s="1"/>
  <c r="T333" i="40" s="1"/>
  <c r="O332" i="40" a="1"/>
  <c r="O332" i="40" s="1"/>
  <c r="T332" i="40" s="1"/>
  <c r="Q88" i="40" a="1"/>
  <c r="Q88" i="40" s="1"/>
  <c r="U88" i="40" s="1"/>
  <c r="Q74" i="40" a="1"/>
  <c r="Q74" i="40" s="1"/>
  <c r="U74" i="40" s="1"/>
  <c r="R87" i="40" a="1"/>
  <c r="R87" i="40" s="1"/>
  <c r="V87" i="40" s="1"/>
  <c r="M9" i="8"/>
  <c r="Y9" i="8" s="1"/>
  <c r="R86" i="40" a="1"/>
  <c r="R86" i="40" s="1"/>
  <c r="V86" i="40" s="1"/>
  <c r="Q40" i="8"/>
  <c r="AA40" i="8" s="1"/>
  <c r="Q76" i="40" a="1"/>
  <c r="Q76" i="40" s="1"/>
  <c r="U76" i="40" s="1"/>
  <c r="O334" i="40" a="1"/>
  <c r="O334" i="40" s="1"/>
  <c r="T334" i="40" s="1"/>
  <c r="Q84" i="40" a="1"/>
  <c r="Q84" i="40" s="1"/>
  <c r="U84" i="40" s="1"/>
  <c r="Q80" i="40" a="1"/>
  <c r="Q80" i="40" s="1"/>
  <c r="U80" i="40" s="1"/>
  <c r="Q73" i="40" a="1"/>
  <c r="Q73" i="40" s="1"/>
  <c r="U73" i="40" s="1"/>
  <c r="O330" i="40" a="1"/>
  <c r="O330" i="40" s="1"/>
  <c r="T330" i="40" s="1"/>
  <c r="M46" i="8"/>
  <c r="Y46" i="8" s="1"/>
  <c r="O328" i="40" a="1"/>
  <c r="O328" i="40" s="1"/>
  <c r="T328" i="40" s="1"/>
  <c r="O325" i="40" a="1"/>
  <c r="O325" i="40" s="1"/>
  <c r="T325" i="40" s="1"/>
  <c r="Q90" i="40" a="1"/>
  <c r="Q90" i="40" s="1"/>
  <c r="U90" i="40" s="1"/>
  <c r="Q85" i="40" a="1"/>
  <c r="Q85" i="40" s="1"/>
  <c r="U85" i="40" s="1"/>
  <c r="Q79" i="40" a="1"/>
  <c r="Q79" i="40" s="1"/>
  <c r="U79" i="40" s="1"/>
  <c r="R89" i="40" a="1"/>
  <c r="R89" i="40" s="1"/>
  <c r="V89" i="40" s="1"/>
  <c r="R88" i="40" a="1"/>
  <c r="R88" i="40" s="1"/>
  <c r="V88" i="40" s="1"/>
  <c r="O278" i="40" a="1"/>
  <c r="O278" i="40" s="1"/>
  <c r="T278" i="40" s="1"/>
  <c r="S6" i="8"/>
  <c r="AB6" i="8" s="1"/>
  <c r="Q91" i="40" a="1"/>
  <c r="Q91" i="40" s="1"/>
  <c r="U91" i="40" s="1"/>
  <c r="Q72" i="40" a="1"/>
  <c r="Q72" i="40" s="1"/>
  <c r="U72" i="40" s="1"/>
  <c r="R91" i="40" a="1"/>
  <c r="R91" i="40" s="1"/>
  <c r="V91" i="40" s="1"/>
  <c r="O270" i="40" a="1"/>
  <c r="O270" i="40" s="1"/>
  <c r="T270" i="40" s="1"/>
  <c r="I23" i="33"/>
  <c r="O272" i="40" a="1"/>
  <c r="O272" i="40" s="1"/>
  <c r="T272" i="40" s="1"/>
  <c r="Q78" i="40" a="1"/>
  <c r="Q78" i="40" s="1"/>
  <c r="U78" i="40" s="1"/>
  <c r="O273" i="40" a="1"/>
  <c r="O273" i="40" s="1"/>
  <c r="T273" i="40" s="1"/>
  <c r="O625" i="40" a="1"/>
  <c r="O625" i="40" s="1"/>
  <c r="T625" i="40" s="1"/>
  <c r="O624" i="40" a="1"/>
  <c r="O624" i="40" s="1"/>
  <c r="T624" i="40" s="1"/>
  <c r="O279" i="40" a="1"/>
  <c r="O279" i="40" s="1"/>
  <c r="T279" i="40" s="1"/>
  <c r="O276" i="40" a="1"/>
  <c r="O276" i="40" s="1"/>
  <c r="T276" i="40" s="1"/>
  <c r="H17" i="33"/>
  <c r="O271" i="40" a="1"/>
  <c r="O271" i="40" s="1"/>
  <c r="T271" i="40" s="1"/>
  <c r="O627" i="40" a="1"/>
  <c r="O627" i="40" s="1"/>
  <c r="T627" i="40" s="1"/>
  <c r="O629" i="40" a="1"/>
  <c r="O629" i="40" s="1"/>
  <c r="T629" i="40" s="1"/>
  <c r="O277" i="40" a="1"/>
  <c r="O277" i="40" s="1"/>
  <c r="T277" i="40" s="1"/>
  <c r="O275" i="40" a="1"/>
  <c r="O275" i="40" s="1"/>
  <c r="T275" i="40" s="1"/>
  <c r="O78" i="40" a="1"/>
  <c r="O78" i="40" s="1"/>
  <c r="T78" i="40" s="1"/>
  <c r="O74" i="40" a="1"/>
  <c r="O74" i="40" s="1"/>
  <c r="T74" i="40" s="1"/>
  <c r="O77" i="40" a="1"/>
  <c r="O77" i="40" s="1"/>
  <c r="T77" i="40" s="1"/>
  <c r="R73" i="40" a="1"/>
  <c r="R73" i="40" s="1"/>
  <c r="V73" i="40" s="1"/>
  <c r="R78" i="40" a="1"/>
  <c r="R78" i="40" s="1"/>
  <c r="V78" i="40" s="1"/>
  <c r="O76" i="40" a="1"/>
  <c r="O76" i="40" s="1"/>
  <c r="T76" i="40" s="1"/>
  <c r="R77" i="40" a="1"/>
  <c r="R77" i="40" s="1"/>
  <c r="V77" i="40" s="1"/>
  <c r="R76" i="40" a="1"/>
  <c r="R76" i="40" s="1"/>
  <c r="V76" i="40" s="1"/>
  <c r="O80" i="40" a="1"/>
  <c r="O80" i="40" s="1"/>
  <c r="T80" i="40" s="1"/>
  <c r="O628" i="40" a="1"/>
  <c r="O628" i="40" s="1"/>
  <c r="T628" i="40" s="1"/>
  <c r="O75" i="40" a="1"/>
  <c r="O75" i="40" s="1"/>
  <c r="T75" i="40" s="1"/>
  <c r="R75" i="40" a="1"/>
  <c r="R75" i="40" s="1"/>
  <c r="V75" i="40" s="1"/>
  <c r="O79" i="40" a="1"/>
  <c r="O79" i="40" s="1"/>
  <c r="T79" i="40" s="1"/>
  <c r="O73" i="40" a="1"/>
  <c r="O73" i="40" s="1"/>
  <c r="T73" i="40" s="1"/>
  <c r="R79" i="40" a="1"/>
  <c r="R79" i="40" s="1"/>
  <c r="V79" i="40" s="1"/>
  <c r="R72" i="40" a="1"/>
  <c r="R72" i="40" s="1"/>
  <c r="V72" i="40" s="1"/>
  <c r="O81" i="40" a="1"/>
  <c r="O81" i="40" s="1"/>
  <c r="T81" i="40" s="1"/>
  <c r="O630" i="40" a="1"/>
  <c r="O630" i="40" s="1"/>
  <c r="T630" i="40" s="1"/>
  <c r="R81" i="40" a="1"/>
  <c r="R81" i="40" s="1"/>
  <c r="V81" i="40" s="1"/>
  <c r="R50" i="40" a="1"/>
  <c r="R50" i="40" s="1"/>
  <c r="V50" i="40" s="1"/>
  <c r="R51" i="40" a="1"/>
  <c r="R51" i="40" s="1"/>
  <c r="V51" i="40" s="1"/>
  <c r="R52" i="40" a="1"/>
  <c r="R52" i="40" s="1"/>
  <c r="V52" i="40" s="1"/>
  <c r="R53" i="40" a="1"/>
  <c r="R53" i="40" s="1"/>
  <c r="V53" i="40" s="1"/>
  <c r="R54" i="40" a="1"/>
  <c r="R54" i="40" s="1"/>
  <c r="V54" i="40" s="1"/>
  <c r="R55" i="40" a="1"/>
  <c r="R55" i="40" s="1"/>
  <c r="V55" i="40" s="1"/>
  <c r="R56" i="40" a="1"/>
  <c r="R56" i="40" s="1"/>
  <c r="V56" i="40" s="1"/>
  <c r="R57" i="40" a="1"/>
  <c r="R57" i="40" s="1"/>
  <c r="V57" i="40" s="1"/>
  <c r="R59" i="40" a="1"/>
  <c r="R59" i="40" s="1"/>
  <c r="V59" i="40" s="1"/>
  <c r="R58" i="40" a="1"/>
  <c r="R58" i="40" s="1"/>
  <c r="V58" i="40" s="1"/>
  <c r="M447" i="40" a="1"/>
  <c r="M447" i="40" s="1"/>
  <c r="S447" i="40" s="1"/>
  <c r="M446" i="40" a="1"/>
  <c r="M446" i="40" s="1"/>
  <c r="S446" i="40" s="1"/>
  <c r="M448" i="40" a="1"/>
  <c r="M448" i="40" s="1"/>
  <c r="S448" i="40" s="1"/>
  <c r="M449" i="40" a="1"/>
  <c r="M449" i="40" s="1"/>
  <c r="S449" i="40" s="1"/>
  <c r="M450" i="40" a="1"/>
  <c r="M450" i="40" s="1"/>
  <c r="S450" i="40" s="1"/>
  <c r="M451" i="40" a="1"/>
  <c r="M451" i="40" s="1"/>
  <c r="S451" i="40" s="1"/>
  <c r="M452" i="40" a="1"/>
  <c r="M452" i="40" s="1"/>
  <c r="S452" i="40" s="1"/>
  <c r="M453" i="40" a="1"/>
  <c r="M453" i="40" s="1"/>
  <c r="S453" i="40" s="1"/>
  <c r="M454" i="40" a="1"/>
  <c r="M454" i="40" s="1"/>
  <c r="S454" i="40" s="1"/>
  <c r="M455" i="40" a="1"/>
  <c r="M455" i="40" s="1"/>
  <c r="S455" i="40" s="1"/>
  <c r="R446" i="40" a="1"/>
  <c r="R446" i="40" s="1"/>
  <c r="V446" i="40" s="1"/>
  <c r="R447" i="40" a="1"/>
  <c r="R447" i="40" s="1"/>
  <c r="V447" i="40" s="1"/>
  <c r="R448" i="40" a="1"/>
  <c r="R448" i="40" s="1"/>
  <c r="V448" i="40" s="1"/>
  <c r="R449" i="40" a="1"/>
  <c r="R449" i="40" s="1"/>
  <c r="V449" i="40" s="1"/>
  <c r="R450" i="40" a="1"/>
  <c r="R450" i="40" s="1"/>
  <c r="V450" i="40" s="1"/>
  <c r="R451" i="40" a="1"/>
  <c r="R451" i="40" s="1"/>
  <c r="V451" i="40" s="1"/>
  <c r="R452" i="40" a="1"/>
  <c r="R452" i="40" s="1"/>
  <c r="V452" i="40" s="1"/>
  <c r="R453" i="40" a="1"/>
  <c r="R453" i="40" s="1"/>
  <c r="V453" i="40" s="1"/>
  <c r="R455" i="40" a="1"/>
  <c r="R455" i="40" s="1"/>
  <c r="V455" i="40" s="1"/>
  <c r="R454" i="40" a="1"/>
  <c r="R454" i="40" s="1"/>
  <c r="V454" i="40" s="1"/>
  <c r="M72" i="40" a="1"/>
  <c r="M72" i="40" s="1"/>
  <c r="S72" i="40" s="1"/>
  <c r="M73" i="40" a="1"/>
  <c r="M73" i="40" s="1"/>
  <c r="S73" i="40" s="1"/>
  <c r="M74" i="40" a="1"/>
  <c r="M74" i="40" s="1"/>
  <c r="S74" i="40" s="1"/>
  <c r="M75" i="40" a="1"/>
  <c r="M75" i="40" s="1"/>
  <c r="S75" i="40" s="1"/>
  <c r="M76" i="40" a="1"/>
  <c r="M76" i="40" s="1"/>
  <c r="S76" i="40" s="1"/>
  <c r="M77" i="40" a="1"/>
  <c r="M77" i="40" s="1"/>
  <c r="S77" i="40" s="1"/>
  <c r="M78" i="40" a="1"/>
  <c r="M78" i="40" s="1"/>
  <c r="S78" i="40" s="1"/>
  <c r="M79" i="40" a="1"/>
  <c r="M79" i="40" s="1"/>
  <c r="S79" i="40" s="1"/>
  <c r="M80" i="40" a="1"/>
  <c r="M80" i="40" s="1"/>
  <c r="S80" i="40" s="1"/>
  <c r="M81" i="40" a="1"/>
  <c r="M81" i="40" s="1"/>
  <c r="S81" i="40" s="1"/>
  <c r="O447" i="40" a="1"/>
  <c r="O447" i="40" s="1"/>
  <c r="T447" i="40" s="1"/>
  <c r="O446" i="40" a="1"/>
  <c r="O446" i="40" s="1"/>
  <c r="T446" i="40" s="1"/>
  <c r="O448" i="40" a="1"/>
  <c r="O448" i="40" s="1"/>
  <c r="T448" i="40" s="1"/>
  <c r="O449" i="40" a="1"/>
  <c r="O449" i="40" s="1"/>
  <c r="T449" i="40" s="1"/>
  <c r="O450" i="40" a="1"/>
  <c r="O450" i="40" s="1"/>
  <c r="T450" i="40" s="1"/>
  <c r="O451" i="40" a="1"/>
  <c r="O451" i="40" s="1"/>
  <c r="T451" i="40" s="1"/>
  <c r="O452" i="40" a="1"/>
  <c r="O452" i="40" s="1"/>
  <c r="T452" i="40" s="1"/>
  <c r="O453" i="40" a="1"/>
  <c r="O453" i="40" s="1"/>
  <c r="T453" i="40" s="1"/>
  <c r="O454" i="40" a="1"/>
  <c r="O454" i="40" s="1"/>
  <c r="T454" i="40" s="1"/>
  <c r="O455" i="40" a="1"/>
  <c r="O455" i="40" s="1"/>
  <c r="T455" i="40" s="1"/>
  <c r="Q447" i="40" a="1"/>
  <c r="Q447" i="40" s="1"/>
  <c r="U447" i="40" s="1"/>
  <c r="Q446" i="40" a="1"/>
  <c r="Q446" i="40" s="1"/>
  <c r="U446" i="40" s="1"/>
  <c r="Q448" i="40" a="1"/>
  <c r="Q448" i="40" s="1"/>
  <c r="U448" i="40" s="1"/>
  <c r="Q449" i="40" a="1"/>
  <c r="Q449" i="40" s="1"/>
  <c r="U449" i="40" s="1"/>
  <c r="Q450" i="40" a="1"/>
  <c r="Q450" i="40" s="1"/>
  <c r="U450" i="40" s="1"/>
  <c r="Q451" i="40" a="1"/>
  <c r="Q451" i="40" s="1"/>
  <c r="U451" i="40" s="1"/>
  <c r="Q452" i="40" a="1"/>
  <c r="Q452" i="40" s="1"/>
  <c r="U452" i="40" s="1"/>
  <c r="Q453" i="40" a="1"/>
  <c r="Q453" i="40" s="1"/>
  <c r="U453" i="40" s="1"/>
  <c r="Q454" i="40" a="1"/>
  <c r="Q454" i="40" s="1"/>
  <c r="U454" i="40" s="1"/>
  <c r="Q455" i="40" a="1"/>
  <c r="Q455" i="40" s="1"/>
  <c r="U455" i="40" s="1"/>
  <c r="R61" i="40" a="1"/>
  <c r="R61" i="40" s="1"/>
  <c r="V61" i="40" s="1"/>
  <c r="R62" i="40" a="1"/>
  <c r="R62" i="40" s="1"/>
  <c r="V62" i="40" s="1"/>
  <c r="R64" i="40" a="1"/>
  <c r="R64" i="40" s="1"/>
  <c r="V64" i="40" s="1"/>
  <c r="R63" i="40" a="1"/>
  <c r="R63" i="40" s="1"/>
  <c r="V63" i="40" s="1"/>
  <c r="R65" i="40" a="1"/>
  <c r="R65" i="40" s="1"/>
  <c r="V65" i="40" s="1"/>
  <c r="R66" i="40" a="1"/>
  <c r="R66" i="40" s="1"/>
  <c r="V66" i="40" s="1"/>
  <c r="R67" i="40" a="1"/>
  <c r="R67" i="40" s="1"/>
  <c r="V67" i="40" s="1"/>
  <c r="R68" i="40" a="1"/>
  <c r="R68" i="40" s="1"/>
  <c r="V68" i="40" s="1"/>
  <c r="R70" i="40" a="1"/>
  <c r="R70" i="40" s="1"/>
  <c r="V70" i="40" s="1"/>
  <c r="R69" i="40" a="1"/>
  <c r="R69" i="40" s="1"/>
  <c r="V69" i="40" s="1"/>
  <c r="N72" i="40" a="1"/>
  <c r="N72" i="40" s="1"/>
  <c r="N73" i="40" a="1"/>
  <c r="N73" i="40" s="1"/>
  <c r="N74" i="40" a="1"/>
  <c r="N74" i="40" s="1"/>
  <c r="Q50" i="40" a="1"/>
  <c r="Q50" i="40" s="1"/>
  <c r="U50" i="40" s="1"/>
  <c r="Q51" i="40" a="1"/>
  <c r="Q51" i="40" s="1"/>
  <c r="U51" i="40" s="1"/>
  <c r="Q52" i="40" a="1"/>
  <c r="Q52" i="40" s="1"/>
  <c r="U52" i="40" s="1"/>
  <c r="Q53" i="40" a="1"/>
  <c r="Q53" i="40" s="1"/>
  <c r="U53" i="40" s="1"/>
  <c r="Q54" i="40" a="1"/>
  <c r="Q54" i="40" s="1"/>
  <c r="U54" i="40" s="1"/>
  <c r="Q55" i="40" a="1"/>
  <c r="Q55" i="40" s="1"/>
  <c r="U55" i="40" s="1"/>
  <c r="Q56" i="40" a="1"/>
  <c r="Q56" i="40" s="1"/>
  <c r="U56" i="40" s="1"/>
  <c r="Q57" i="40" a="1"/>
  <c r="Q57" i="40" s="1"/>
  <c r="U57" i="40" s="1"/>
  <c r="Q58" i="40" a="1"/>
  <c r="Q58" i="40" s="1"/>
  <c r="U58" i="40" s="1"/>
  <c r="Q59" i="40" a="1"/>
  <c r="Q59" i="40" s="1"/>
  <c r="U59" i="40" s="1"/>
  <c r="Q61" i="40" a="1"/>
  <c r="Q61" i="40" s="1"/>
  <c r="U61" i="40" s="1"/>
  <c r="Q62" i="40" a="1"/>
  <c r="Q62" i="40" s="1"/>
  <c r="U62" i="40" s="1"/>
  <c r="Q63" i="40" a="1"/>
  <c r="Q63" i="40" s="1"/>
  <c r="U63" i="40" s="1"/>
  <c r="Q65" i="40" a="1"/>
  <c r="Q65" i="40" s="1"/>
  <c r="U65" i="40" s="1"/>
  <c r="Q66" i="40" a="1"/>
  <c r="Q66" i="40" s="1"/>
  <c r="U66" i="40" s="1"/>
  <c r="Q64" i="40" a="1"/>
  <c r="Q64" i="40" s="1"/>
  <c r="U64" i="40" s="1"/>
  <c r="Q67" i="40" a="1"/>
  <c r="Q67" i="40" s="1"/>
  <c r="U67" i="40" s="1"/>
  <c r="Q68" i="40" a="1"/>
  <c r="Q68" i="40" s="1"/>
  <c r="U68" i="40" s="1"/>
  <c r="Q69" i="40" a="1"/>
  <c r="Q69" i="40" s="1"/>
  <c r="U69" i="40" s="1"/>
  <c r="Q70" i="40" a="1"/>
  <c r="Q70" i="40" s="1"/>
  <c r="U70" i="40" s="1"/>
  <c r="O704" i="40" a="1"/>
  <c r="O704" i="40" s="1"/>
  <c r="T704" i="40" s="1"/>
  <c r="O706" i="40" a="1"/>
  <c r="O706" i="40" s="1"/>
  <c r="T706" i="40" s="1"/>
  <c r="O699" i="40" a="1"/>
  <c r="O699" i="40" s="1"/>
  <c r="T699" i="40" s="1"/>
  <c r="O707" i="40" a="1"/>
  <c r="O707" i="40" s="1"/>
  <c r="T707" i="40" s="1"/>
  <c r="O703" i="40" a="1"/>
  <c r="O703" i="40" s="1"/>
  <c r="T703" i="40" s="1"/>
  <c r="O701" i="40" a="1"/>
  <c r="O701" i="40" s="1"/>
  <c r="T701" i="40" s="1"/>
  <c r="O705" i="40" a="1"/>
  <c r="O705" i="40" s="1"/>
  <c r="T705" i="40" s="1"/>
  <c r="O702" i="40" a="1"/>
  <c r="O702" i="40" s="1"/>
  <c r="T702" i="40" s="1"/>
  <c r="O700" i="40" a="1"/>
  <c r="O700" i="40" s="1"/>
  <c r="T700" i="40" s="1"/>
  <c r="O708" i="40" a="1"/>
  <c r="O708" i="40" s="1"/>
  <c r="T708" i="40" s="1"/>
  <c r="R683" i="40" a="1"/>
  <c r="R683" i="40" s="1"/>
  <c r="V683" i="40" s="1"/>
  <c r="R685" i="40" a="1"/>
  <c r="R685" i="40" s="1"/>
  <c r="V685" i="40" s="1"/>
  <c r="R682" i="40" a="1"/>
  <c r="R682" i="40" s="1"/>
  <c r="V682" i="40" s="1"/>
  <c r="R680" i="40" a="1"/>
  <c r="R680" i="40" s="1"/>
  <c r="V680" i="40" s="1"/>
  <c r="N630" i="40" a="1"/>
  <c r="N630" i="40" s="1"/>
  <c r="Q686" i="40" a="1"/>
  <c r="Q686" i="40" s="1"/>
  <c r="U686" i="40" s="1"/>
  <c r="R684" i="40" a="1"/>
  <c r="R684" i="40" s="1"/>
  <c r="V684" i="40" s="1"/>
  <c r="R678" i="40" a="1"/>
  <c r="R678" i="40" s="1"/>
  <c r="V678" i="40" s="1"/>
  <c r="R686" i="40" a="1"/>
  <c r="R686" i="40" s="1"/>
  <c r="V686" i="40" s="1"/>
  <c r="Q684" i="40" a="1"/>
  <c r="Q684" i="40" s="1"/>
  <c r="U684" i="40" s="1"/>
  <c r="Q681" i="40" a="1"/>
  <c r="Q681" i="40" s="1"/>
  <c r="U681" i="40" s="1"/>
  <c r="R679" i="40" a="1"/>
  <c r="R679" i="40" s="1"/>
  <c r="V679" i="40" s="1"/>
  <c r="N626" i="40" a="1"/>
  <c r="N626" i="40" s="1"/>
  <c r="R681" i="40" a="1"/>
  <c r="R681" i="40" s="1"/>
  <c r="V681" i="40" s="1"/>
  <c r="Q678" i="40" a="1"/>
  <c r="Q678" i="40" s="1"/>
  <c r="U678" i="40" s="1"/>
  <c r="H14" i="33"/>
  <c r="R677" i="40" a="1"/>
  <c r="R677" i="40" s="1"/>
  <c r="V677" i="40" s="1"/>
  <c r="N628" i="40" a="1"/>
  <c r="N628" i="40" s="1"/>
  <c r="Q680" i="40" a="1"/>
  <c r="Q680" i="40" s="1"/>
  <c r="U680" i="40" s="1"/>
  <c r="O663" i="40" a="1"/>
  <c r="O663" i="40" s="1"/>
  <c r="T663" i="40" s="1"/>
  <c r="G35" i="33"/>
  <c r="N625" i="40" a="1"/>
  <c r="N625" i="40" s="1"/>
  <c r="O656" i="40" a="1"/>
  <c r="O656" i="40" s="1"/>
  <c r="T656" i="40" s="1"/>
  <c r="O681" i="40" a="1"/>
  <c r="O681" i="40" s="1"/>
  <c r="T681" i="40" s="1"/>
  <c r="Q679" i="40" a="1"/>
  <c r="Q679" i="40" s="1"/>
  <c r="U679" i="40" s="1"/>
  <c r="Q685" i="40" a="1"/>
  <c r="Q685" i="40" s="1"/>
  <c r="U685" i="40" s="1"/>
  <c r="O664" i="40" a="1"/>
  <c r="O664" i="40" s="1"/>
  <c r="T664" i="40" s="1"/>
  <c r="Q677" i="40" a="1"/>
  <c r="Q677" i="40" s="1"/>
  <c r="U677" i="40" s="1"/>
  <c r="Q683" i="40" a="1"/>
  <c r="Q683" i="40" s="1"/>
  <c r="U683" i="40" s="1"/>
  <c r="N627" i="40" a="1"/>
  <c r="N627" i="40" s="1"/>
  <c r="N622" i="40" a="1"/>
  <c r="N622" i="40" s="1"/>
  <c r="N624" i="40" a="1"/>
  <c r="N624" i="40" s="1"/>
  <c r="O655" i="40" a="1"/>
  <c r="O655" i="40" s="1"/>
  <c r="T655" i="40" s="1"/>
  <c r="O678" i="40" a="1"/>
  <c r="O678" i="40" s="1"/>
  <c r="T678" i="40" s="1"/>
  <c r="Q682" i="40" a="1"/>
  <c r="Q682" i="40" s="1"/>
  <c r="U682" i="40" s="1"/>
  <c r="Q663" i="40" a="1"/>
  <c r="Q663" i="40" s="1"/>
  <c r="U663" i="40" s="1"/>
  <c r="N623" i="40" a="1"/>
  <c r="N623" i="40" s="1"/>
  <c r="N629" i="40" a="1"/>
  <c r="N629" i="40" s="1"/>
  <c r="N631" i="40" a="1"/>
  <c r="N631" i="40" s="1"/>
  <c r="O662" i="40" a="1"/>
  <c r="O662" i="40" s="1"/>
  <c r="T662" i="40" s="1"/>
  <c r="O682" i="40" a="1"/>
  <c r="O682" i="40" s="1"/>
  <c r="T682" i="40" s="1"/>
  <c r="O677" i="40" a="1"/>
  <c r="O677" i="40" s="1"/>
  <c r="T677" i="40" s="1"/>
  <c r="O684" i="40" a="1"/>
  <c r="O684" i="40" s="1"/>
  <c r="T684" i="40" s="1"/>
  <c r="O661" i="40" a="1"/>
  <c r="O661" i="40" s="1"/>
  <c r="T661" i="40" s="1"/>
  <c r="O680" i="40" a="1"/>
  <c r="O680" i="40" s="1"/>
  <c r="T680" i="40" s="1"/>
  <c r="O658" i="40" a="1"/>
  <c r="O658" i="40" s="1"/>
  <c r="T658" i="40" s="1"/>
  <c r="O657" i="40" a="1"/>
  <c r="O657" i="40" s="1"/>
  <c r="T657" i="40" s="1"/>
  <c r="O683" i="40" a="1"/>
  <c r="O683" i="40" s="1"/>
  <c r="T683" i="40" s="1"/>
  <c r="O685" i="40" a="1"/>
  <c r="O685" i="40" s="1"/>
  <c r="T685" i="40" s="1"/>
  <c r="O660" i="40" a="1"/>
  <c r="O660" i="40" s="1"/>
  <c r="T660" i="40" s="1"/>
  <c r="O679" i="40" a="1"/>
  <c r="O679" i="40" s="1"/>
  <c r="T679" i="40" s="1"/>
  <c r="L66" i="8"/>
  <c r="M66" i="8"/>
  <c r="Y66" i="8" s="1"/>
  <c r="I19" i="33"/>
  <c r="O659" i="40" a="1"/>
  <c r="O659" i="40" s="1"/>
  <c r="T659" i="40" s="1"/>
  <c r="R656" i="40" a="1"/>
  <c r="R656" i="40" s="1"/>
  <c r="V656" i="40" s="1"/>
  <c r="R29" i="8"/>
  <c r="S29" i="8" s="1"/>
  <c r="O19" i="40" a="1"/>
  <c r="O19" i="40" s="1"/>
  <c r="T19" i="40" s="1"/>
  <c r="M14" i="8"/>
  <c r="Y14" i="8" s="1"/>
  <c r="Q659" i="40" a="1"/>
  <c r="Q659" i="40" s="1"/>
  <c r="U659" i="40" s="1"/>
  <c r="Q656" i="40" a="1"/>
  <c r="Q656" i="40" s="1"/>
  <c r="U656" i="40" s="1"/>
  <c r="Q657" i="40" a="1"/>
  <c r="Q657" i="40" s="1"/>
  <c r="U657" i="40" s="1"/>
  <c r="Q664" i="40" a="1"/>
  <c r="Q664" i="40" s="1"/>
  <c r="U664" i="40" s="1"/>
  <c r="O431" i="40" a="1"/>
  <c r="O431" i="40" s="1"/>
  <c r="T431" i="40" s="1"/>
  <c r="O23" i="40" a="1"/>
  <c r="O23" i="40" s="1"/>
  <c r="T23" i="40" s="1"/>
  <c r="O425" i="40" a="1"/>
  <c r="O425" i="40" s="1"/>
  <c r="T425" i="40" s="1"/>
  <c r="O432" i="40" a="1"/>
  <c r="O432" i="40" s="1"/>
  <c r="T432" i="40" s="1"/>
  <c r="O430" i="40" a="1"/>
  <c r="O430" i="40" s="1"/>
  <c r="T430" i="40" s="1"/>
  <c r="O429" i="40" a="1"/>
  <c r="O429" i="40" s="1"/>
  <c r="T429" i="40" s="1"/>
  <c r="O433" i="40" a="1"/>
  <c r="O433" i="40" s="1"/>
  <c r="T433" i="40" s="1"/>
  <c r="O426" i="40" a="1"/>
  <c r="O426" i="40" s="1"/>
  <c r="T426" i="40" s="1"/>
  <c r="O424" i="40" a="1"/>
  <c r="O424" i="40" s="1"/>
  <c r="T424" i="40" s="1"/>
  <c r="O427" i="40" a="1"/>
  <c r="O427" i="40" s="1"/>
  <c r="T427" i="40" s="1"/>
  <c r="O428" i="40" a="1"/>
  <c r="O428" i="40" s="1"/>
  <c r="T428" i="40" s="1"/>
  <c r="H24" i="33"/>
  <c r="Q662" i="40" a="1"/>
  <c r="Q662" i="40" s="1"/>
  <c r="U662" i="40" s="1"/>
  <c r="N43" i="8"/>
  <c r="Z43" i="8" s="1"/>
  <c r="Q658" i="40" a="1"/>
  <c r="Q658" i="40" s="1"/>
  <c r="U658" i="40" s="1"/>
  <c r="Q660" i="40" a="1"/>
  <c r="Q660" i="40" s="1"/>
  <c r="U660" i="40" s="1"/>
  <c r="Q655" i="40" a="1"/>
  <c r="Q655" i="40" s="1"/>
  <c r="U655" i="40" s="1"/>
  <c r="L42" i="8"/>
  <c r="I20" i="33"/>
  <c r="P31" i="8"/>
  <c r="Q31" i="8" s="1"/>
  <c r="AA31" i="8" s="1"/>
  <c r="O442" i="40" a="1"/>
  <c r="O442" i="40" s="1"/>
  <c r="T442" i="40" s="1"/>
  <c r="O24" i="40" a="1"/>
  <c r="O24" i="40" s="1"/>
  <c r="T24" i="40" s="1"/>
  <c r="O20" i="40" a="1"/>
  <c r="O20" i="40" s="1"/>
  <c r="T20" i="40" s="1"/>
  <c r="O440" i="40" a="1"/>
  <c r="O440" i="40" s="1"/>
  <c r="T440" i="40" s="1"/>
  <c r="O18" i="40" a="1"/>
  <c r="O18" i="40" s="1"/>
  <c r="T18" i="40" s="1"/>
  <c r="O26" i="40" a="1"/>
  <c r="O26" i="40" s="1"/>
  <c r="T26" i="40" s="1"/>
  <c r="O443" i="40" a="1"/>
  <c r="O443" i="40" s="1"/>
  <c r="T443" i="40" s="1"/>
  <c r="O21" i="40" a="1"/>
  <c r="O21" i="40" s="1"/>
  <c r="T21" i="40" s="1"/>
  <c r="O439" i="40" a="1"/>
  <c r="O439" i="40" s="1"/>
  <c r="T439" i="40" s="1"/>
  <c r="O22" i="40" a="1"/>
  <c r="O22" i="40" s="1"/>
  <c r="T22" i="40" s="1"/>
  <c r="O17" i="40" a="1"/>
  <c r="O17" i="40" s="1"/>
  <c r="T17" i="40" s="1"/>
  <c r="O238" i="40" a="1"/>
  <c r="O238" i="40" s="1"/>
  <c r="T238" i="40" s="1"/>
  <c r="R662" i="40" a="1"/>
  <c r="R662" i="40" s="1"/>
  <c r="V662" i="40" s="1"/>
  <c r="R655" i="40" a="1"/>
  <c r="R655" i="40" s="1"/>
  <c r="V655" i="40" s="1"/>
  <c r="R660" i="40" a="1"/>
  <c r="R660" i="40" s="1"/>
  <c r="V660" i="40" s="1"/>
  <c r="R664" i="40" a="1"/>
  <c r="R664" i="40" s="1"/>
  <c r="V664" i="40" s="1"/>
  <c r="R657" i="40" a="1"/>
  <c r="R657" i="40" s="1"/>
  <c r="V657" i="40" s="1"/>
  <c r="P23" i="8"/>
  <c r="Q23" i="8" s="1"/>
  <c r="AA23" i="8" s="1"/>
  <c r="R659" i="40" a="1"/>
  <c r="R659" i="40" s="1"/>
  <c r="V659" i="40" s="1"/>
  <c r="R663" i="40" a="1"/>
  <c r="R663" i="40" s="1"/>
  <c r="V663" i="40" s="1"/>
  <c r="N29" i="8"/>
  <c r="Z29" i="8" s="1"/>
  <c r="L21" i="8"/>
  <c r="R658" i="40" a="1"/>
  <c r="R658" i="40" s="1"/>
  <c r="V658" i="40" s="1"/>
  <c r="L27" i="8"/>
  <c r="L14" i="8"/>
  <c r="P35" i="8"/>
  <c r="Q35" i="8" s="1"/>
  <c r="AA35" i="8" s="1"/>
  <c r="H25" i="33"/>
  <c r="O437" i="40" a="1"/>
  <c r="O437" i="40" s="1"/>
  <c r="T437" i="40" s="1"/>
  <c r="N31" i="8"/>
  <c r="Z31" i="8" s="1"/>
  <c r="O435" i="40" a="1"/>
  <c r="O435" i="40" s="1"/>
  <c r="T435" i="40" s="1"/>
  <c r="J43" i="8"/>
  <c r="L43" i="8" s="1"/>
  <c r="O441" i="40" a="1"/>
  <c r="O441" i="40" s="1"/>
  <c r="T441" i="40" s="1"/>
  <c r="O438" i="40" a="1"/>
  <c r="O438" i="40" s="1"/>
  <c r="T438" i="40" s="1"/>
  <c r="R52" i="8"/>
  <c r="S52" i="8" s="1"/>
  <c r="AB52" i="8" s="1"/>
  <c r="L9" i="8"/>
  <c r="J31" i="8"/>
  <c r="M31" i="8" s="1"/>
  <c r="Y31" i="8" s="1"/>
  <c r="O444" i="40" a="1"/>
  <c r="O444" i="40" s="1"/>
  <c r="T444" i="40" s="1"/>
  <c r="O436" i="40" a="1"/>
  <c r="O436" i="40" s="1"/>
  <c r="T436" i="40" s="1"/>
  <c r="P21" i="8"/>
  <c r="J29" i="8"/>
  <c r="L29" i="8" s="1"/>
  <c r="J19" i="8"/>
  <c r="M19" i="8" s="1"/>
  <c r="P24" i="8"/>
  <c r="Q24" i="8" s="1"/>
  <c r="AA24" i="8" s="1"/>
  <c r="J54" i="8"/>
  <c r="L54" i="8" s="1"/>
  <c r="N50" i="8"/>
  <c r="Z50" i="8" s="1"/>
  <c r="N55" i="8"/>
  <c r="Z55" i="8" s="1"/>
  <c r="L62" i="8"/>
  <c r="N11" i="8"/>
  <c r="Z11" i="8" s="1"/>
  <c r="O240" i="40" a="1"/>
  <c r="O240" i="40" s="1"/>
  <c r="T240" i="40" s="1"/>
  <c r="O242" i="40" a="1"/>
  <c r="O242" i="40" s="1"/>
  <c r="T242" i="40" s="1"/>
  <c r="O237" i="40" a="1"/>
  <c r="O237" i="40" s="1"/>
  <c r="T237" i="40" s="1"/>
  <c r="R32" i="8"/>
  <c r="O239" i="40" a="1"/>
  <c r="O239" i="40" s="1"/>
  <c r="T239" i="40" s="1"/>
  <c r="O244" i="40" a="1"/>
  <c r="O244" i="40" s="1"/>
  <c r="T244" i="40" s="1"/>
  <c r="J11" i="8"/>
  <c r="M11" i="8" s="1"/>
  <c r="Y11" i="8" s="1"/>
  <c r="R18" i="8"/>
  <c r="S18" i="8" s="1"/>
  <c r="AB18" i="8" s="1"/>
  <c r="O246" i="40" a="1"/>
  <c r="O246" i="40" s="1"/>
  <c r="T246" i="40" s="1"/>
  <c r="P29" i="8"/>
  <c r="Q29" i="8" s="1"/>
  <c r="AA29" i="8" s="1"/>
  <c r="O241" i="40" a="1"/>
  <c r="O241" i="40" s="1"/>
  <c r="T241" i="40" s="1"/>
  <c r="O243" i="40" a="1"/>
  <c r="O243" i="40" s="1"/>
  <c r="T243" i="40" s="1"/>
  <c r="O245" i="40" a="1"/>
  <c r="O245" i="40" s="1"/>
  <c r="T245" i="40" s="1"/>
  <c r="P32" i="8"/>
  <c r="N35" i="8"/>
  <c r="Z35" i="8" s="1"/>
  <c r="J17" i="8"/>
  <c r="L17" i="8" s="1"/>
  <c r="R21" i="8"/>
  <c r="R34" i="8"/>
  <c r="S34" i="8" s="1"/>
  <c r="I24" i="33"/>
  <c r="P50" i="8"/>
  <c r="Q50" i="8" s="1"/>
  <c r="AA50" i="8" s="1"/>
  <c r="R24" i="8"/>
  <c r="S24" i="8" s="1"/>
  <c r="AB24" i="8" s="1"/>
  <c r="N19" i="8"/>
  <c r="I29" i="33"/>
  <c r="J8" i="8"/>
  <c r="M8" i="8" s="1"/>
  <c r="Y8" i="8" s="1"/>
  <c r="U47" i="43"/>
  <c r="X47" i="43" s="1"/>
  <c r="J23" i="8"/>
  <c r="M23" i="8" s="1"/>
  <c r="Y23" i="8" s="1"/>
  <c r="R23" i="8"/>
  <c r="S23" i="8" s="1"/>
  <c r="AB23" i="8" s="1"/>
  <c r="J18" i="8"/>
  <c r="M18" i="8" s="1"/>
  <c r="Y18" i="8" s="1"/>
  <c r="J50" i="8"/>
  <c r="L50" i="8" s="1"/>
  <c r="J55" i="8"/>
  <c r="M55" i="8" s="1"/>
  <c r="Y55" i="8" s="1"/>
  <c r="P52" i="8"/>
  <c r="Q52" i="8" s="1"/>
  <c r="AA52" i="8" s="1"/>
  <c r="N23" i="8"/>
  <c r="Z23" i="8" s="1"/>
  <c r="N54" i="8"/>
  <c r="Q494" i="40" a="1"/>
  <c r="Q494" i="40" s="1"/>
  <c r="U494" i="40" s="1"/>
  <c r="Q480" i="40" a="1"/>
  <c r="Q480" i="40" s="1"/>
  <c r="U480" i="40" s="1"/>
  <c r="Q484" i="40" a="1"/>
  <c r="Q484" i="40" s="1"/>
  <c r="U484" i="40" s="1"/>
  <c r="Q486" i="40" a="1"/>
  <c r="Q486" i="40" s="1"/>
  <c r="U486" i="40" s="1"/>
  <c r="Q490" i="40" a="1"/>
  <c r="Q490" i="40" s="1"/>
  <c r="U490" i="40" s="1"/>
  <c r="Q488" i="40" a="1"/>
  <c r="Q488" i="40" s="1"/>
  <c r="U488" i="40" s="1"/>
  <c r="Q482" i="40" a="1"/>
  <c r="Q482" i="40" s="1"/>
  <c r="U482" i="40" s="1"/>
  <c r="Q496" i="40" a="1"/>
  <c r="Q496" i="40" s="1"/>
  <c r="U496" i="40" s="1"/>
  <c r="Q492" i="40" a="1"/>
  <c r="Q492" i="40" s="1"/>
  <c r="U492" i="40" s="1"/>
  <c r="Q498" i="40" a="1"/>
  <c r="Q498" i="40" s="1"/>
  <c r="U498" i="40" s="1"/>
  <c r="P18" i="8"/>
  <c r="Q18" i="8" s="1"/>
  <c r="AA18" i="8" s="1"/>
  <c r="AF46" i="43"/>
  <c r="AH46" i="43" s="1"/>
  <c r="AG46" i="43"/>
  <c r="AI46" i="43" s="1"/>
  <c r="S26" i="8"/>
  <c r="I11" i="33"/>
  <c r="S33" i="8"/>
  <c r="Q63" i="8"/>
  <c r="AA63" i="8" s="1"/>
  <c r="M60" i="8"/>
  <c r="Y60" i="8" s="1"/>
  <c r="L60" i="8"/>
  <c r="M63" i="8"/>
  <c r="Y63" i="8" s="1"/>
  <c r="L63" i="8"/>
  <c r="Q6" i="8"/>
  <c r="AA6" i="8" s="1"/>
  <c r="S57" i="8"/>
  <c r="M36" i="8"/>
  <c r="Y36" i="8" s="1"/>
  <c r="L36" i="8"/>
  <c r="L64" i="8"/>
  <c r="M64" i="8"/>
  <c r="Y64" i="8" s="1"/>
  <c r="R279" i="40" a="1"/>
  <c r="R279" i="40" s="1"/>
  <c r="V279" i="40" s="1"/>
  <c r="R278" i="40" a="1"/>
  <c r="R278" i="40" s="1"/>
  <c r="V278" i="40" s="1"/>
  <c r="R270" i="40" a="1"/>
  <c r="R270" i="40" s="1"/>
  <c r="V270" i="40" s="1"/>
  <c r="R275" i="40" a="1"/>
  <c r="R275" i="40" s="1"/>
  <c r="V275" i="40" s="1"/>
  <c r="R271" i="40" a="1"/>
  <c r="R271" i="40" s="1"/>
  <c r="V271" i="40" s="1"/>
  <c r="R273" i="40" a="1"/>
  <c r="R273" i="40" s="1"/>
  <c r="V273" i="40" s="1"/>
  <c r="R277" i="40" a="1"/>
  <c r="R277" i="40" s="1"/>
  <c r="V277" i="40" s="1"/>
  <c r="R272" i="40" a="1"/>
  <c r="R272" i="40" s="1"/>
  <c r="V272" i="40" s="1"/>
  <c r="R276" i="40" a="1"/>
  <c r="R276" i="40" s="1"/>
  <c r="V276" i="40" s="1"/>
  <c r="R274" i="40" a="1"/>
  <c r="R274" i="40" s="1"/>
  <c r="V274" i="40" s="1"/>
  <c r="O565" i="40" a="1"/>
  <c r="O565" i="40" s="1"/>
  <c r="T565" i="40" s="1"/>
  <c r="O557" i="40" a="1"/>
  <c r="O557" i="40" s="1"/>
  <c r="T557" i="40" s="1"/>
  <c r="O571" i="40" a="1"/>
  <c r="O571" i="40" s="1"/>
  <c r="T571" i="40" s="1"/>
  <c r="O573" i="40" a="1"/>
  <c r="O573" i="40" s="1"/>
  <c r="T573" i="40" s="1"/>
  <c r="O569" i="40" a="1"/>
  <c r="O569" i="40" s="1"/>
  <c r="T569" i="40" s="1"/>
  <c r="O567" i="40" a="1"/>
  <c r="O567" i="40" s="1"/>
  <c r="T567" i="40" s="1"/>
  <c r="O563" i="40" a="1"/>
  <c r="O563" i="40" s="1"/>
  <c r="T563" i="40" s="1"/>
  <c r="O575" i="40" a="1"/>
  <c r="O575" i="40" s="1"/>
  <c r="T575" i="40" s="1"/>
  <c r="O559" i="40" a="1"/>
  <c r="O559" i="40" s="1"/>
  <c r="T559" i="40" s="1"/>
  <c r="O561" i="40" a="1"/>
  <c r="O561" i="40" s="1"/>
  <c r="T561" i="40" s="1"/>
  <c r="Q7" i="8"/>
  <c r="AA7" i="8" s="1"/>
  <c r="O161" i="40" a="1"/>
  <c r="O161" i="40" s="1"/>
  <c r="T161" i="40" s="1"/>
  <c r="O177" i="40" a="1"/>
  <c r="O177" i="40" s="1"/>
  <c r="T177" i="40" s="1"/>
  <c r="O175" i="40" a="1"/>
  <c r="O175" i="40" s="1"/>
  <c r="T175" i="40" s="1"/>
  <c r="O165" i="40" a="1"/>
  <c r="O165" i="40" s="1"/>
  <c r="T165" i="40" s="1"/>
  <c r="O169" i="40" a="1"/>
  <c r="O169" i="40" s="1"/>
  <c r="T169" i="40" s="1"/>
  <c r="O163" i="40" a="1"/>
  <c r="O163" i="40" s="1"/>
  <c r="T163" i="40" s="1"/>
  <c r="O167" i="40" a="1"/>
  <c r="O167" i="40" s="1"/>
  <c r="T167" i="40" s="1"/>
  <c r="O179" i="40" a="1"/>
  <c r="O179" i="40" s="1"/>
  <c r="T179" i="40" s="1"/>
  <c r="O173" i="40" a="1"/>
  <c r="O173" i="40" s="1"/>
  <c r="T173" i="40" s="1"/>
  <c r="O171" i="40" a="1"/>
  <c r="O171" i="40" s="1"/>
  <c r="T171" i="40" s="1"/>
  <c r="R144" i="40" a="1"/>
  <c r="R144" i="40" s="1"/>
  <c r="V144" i="40" s="1"/>
  <c r="R140" i="40" a="1"/>
  <c r="R140" i="40" s="1"/>
  <c r="V140" i="40" s="1"/>
  <c r="R142" i="40" a="1"/>
  <c r="R142" i="40" s="1"/>
  <c r="V142" i="40" s="1"/>
  <c r="R158" i="40" a="1"/>
  <c r="R158" i="40" s="1"/>
  <c r="V158" i="40" s="1"/>
  <c r="R152" i="40" a="1"/>
  <c r="R152" i="40" s="1"/>
  <c r="V152" i="40" s="1"/>
  <c r="R150" i="40" a="1"/>
  <c r="R150" i="40" s="1"/>
  <c r="V150" i="40" s="1"/>
  <c r="R146" i="40" a="1"/>
  <c r="R146" i="40" s="1"/>
  <c r="V146" i="40" s="1"/>
  <c r="R154" i="40" a="1"/>
  <c r="R154" i="40" s="1"/>
  <c r="V154" i="40" s="1"/>
  <c r="R156" i="40" a="1"/>
  <c r="R156" i="40" s="1"/>
  <c r="V156" i="40" s="1"/>
  <c r="R148" i="40" a="1"/>
  <c r="R148" i="40" s="1"/>
  <c r="V148" i="40" s="1"/>
  <c r="O638" i="40" a="1"/>
  <c r="O638" i="40" s="1"/>
  <c r="T638" i="40" s="1"/>
  <c r="O634" i="40" a="1"/>
  <c r="O634" i="40" s="1"/>
  <c r="T634" i="40" s="1"/>
  <c r="O639" i="40" a="1"/>
  <c r="O639" i="40" s="1"/>
  <c r="T639" i="40" s="1"/>
  <c r="O640" i="40" a="1"/>
  <c r="O640" i="40" s="1"/>
  <c r="T640" i="40" s="1"/>
  <c r="O641" i="40" a="1"/>
  <c r="O641" i="40" s="1"/>
  <c r="T641" i="40" s="1"/>
  <c r="O636" i="40" a="1"/>
  <c r="O636" i="40" s="1"/>
  <c r="T636" i="40" s="1"/>
  <c r="O633" i="40" a="1"/>
  <c r="O633" i="40" s="1"/>
  <c r="T633" i="40" s="1"/>
  <c r="O637" i="40" a="1"/>
  <c r="O637" i="40" s="1"/>
  <c r="T637" i="40" s="1"/>
  <c r="O642" i="40" a="1"/>
  <c r="O642" i="40" s="1"/>
  <c r="T642" i="40" s="1"/>
  <c r="O635" i="40" a="1"/>
  <c r="O635" i="40" s="1"/>
  <c r="T635" i="40" s="1"/>
  <c r="H36" i="33"/>
  <c r="L28" i="8"/>
  <c r="M28" i="8"/>
  <c r="Y28" i="8" s="1"/>
  <c r="I16" i="33"/>
  <c r="J14" i="44" s="1" a="1"/>
  <c r="J14" i="44" s="1"/>
  <c r="M6" i="8"/>
  <c r="Y6" i="8" s="1"/>
  <c r="L6" i="8"/>
  <c r="O162" i="40" a="1"/>
  <c r="O162" i="40" s="1"/>
  <c r="T162" i="40" s="1"/>
  <c r="O166" i="40" a="1"/>
  <c r="O166" i="40" s="1"/>
  <c r="T166" i="40" s="1"/>
  <c r="O168" i="40" a="1"/>
  <c r="O168" i="40" s="1"/>
  <c r="T168" i="40" s="1"/>
  <c r="O164" i="40" a="1"/>
  <c r="O164" i="40" s="1"/>
  <c r="T164" i="40" s="1"/>
  <c r="O170" i="40" a="1"/>
  <c r="O170" i="40" s="1"/>
  <c r="T170" i="40" s="1"/>
  <c r="O176" i="40" a="1"/>
  <c r="O176" i="40" s="1"/>
  <c r="T176" i="40" s="1"/>
  <c r="O172" i="40" a="1"/>
  <c r="O172" i="40" s="1"/>
  <c r="T172" i="40" s="1"/>
  <c r="O178" i="40" a="1"/>
  <c r="O178" i="40" s="1"/>
  <c r="T178" i="40" s="1"/>
  <c r="H9" i="33"/>
  <c r="O174" i="40" a="1"/>
  <c r="O174" i="40" s="1"/>
  <c r="T174" i="40" s="1"/>
  <c r="O180" i="40" a="1"/>
  <c r="O180" i="40" s="1"/>
  <c r="T180" i="40" s="1"/>
  <c r="S16" i="8"/>
  <c r="R53" i="8"/>
  <c r="S53" i="8" s="1"/>
  <c r="AB53" i="8" s="1"/>
  <c r="AG45" i="43"/>
  <c r="AI45" i="43" s="1"/>
  <c r="AF45" i="43"/>
  <c r="AH45" i="43" s="1"/>
  <c r="W45" i="43"/>
  <c r="U45" i="43"/>
  <c r="O474" i="40" a="1"/>
  <c r="O474" i="40" s="1"/>
  <c r="T474" i="40" s="1"/>
  <c r="O476" i="40" a="1"/>
  <c r="O476" i="40" s="1"/>
  <c r="T476" i="40" s="1"/>
  <c r="O468" i="40" a="1"/>
  <c r="O468" i="40" s="1"/>
  <c r="T468" i="40" s="1"/>
  <c r="O460" i="40" a="1"/>
  <c r="O460" i="40" s="1"/>
  <c r="T460" i="40" s="1"/>
  <c r="O470" i="40" a="1"/>
  <c r="O470" i="40" s="1"/>
  <c r="T470" i="40" s="1"/>
  <c r="O464" i="40" a="1"/>
  <c r="O464" i="40" s="1"/>
  <c r="T464" i="40" s="1"/>
  <c r="O458" i="40" a="1"/>
  <c r="O458" i="40" s="1"/>
  <c r="T458" i="40" s="1"/>
  <c r="O466" i="40" a="1"/>
  <c r="O466" i="40" s="1"/>
  <c r="T466" i="40" s="1"/>
  <c r="O472" i="40" a="1"/>
  <c r="O472" i="40" s="1"/>
  <c r="T472" i="40" s="1"/>
  <c r="O462" i="40" a="1"/>
  <c r="O462" i="40" s="1"/>
  <c r="T462" i="40" s="1"/>
  <c r="H27" i="33"/>
  <c r="I8" i="33"/>
  <c r="N13" i="8"/>
  <c r="Z13" i="8" s="1"/>
  <c r="Q20" i="40" a="1"/>
  <c r="Q20" i="40" s="1"/>
  <c r="U20" i="40" s="1"/>
  <c r="Q24" i="40" a="1"/>
  <c r="Q24" i="40" s="1"/>
  <c r="U24" i="40" s="1"/>
  <c r="Q18" i="40" a="1"/>
  <c r="Q18" i="40" s="1"/>
  <c r="U18" i="40" s="1"/>
  <c r="Q21" i="40" a="1"/>
  <c r="Q21" i="40" s="1"/>
  <c r="U21" i="40" s="1"/>
  <c r="Q19" i="40" a="1"/>
  <c r="Q19" i="40" s="1"/>
  <c r="U19" i="40" s="1"/>
  <c r="Q26" i="40" a="1"/>
  <c r="Q26" i="40" s="1"/>
  <c r="U26" i="40" s="1"/>
  <c r="Q22" i="40" a="1"/>
  <c r="Q22" i="40" s="1"/>
  <c r="U22" i="40" s="1"/>
  <c r="Q17" i="40" a="1"/>
  <c r="Q17" i="40" s="1"/>
  <c r="U17" i="40" s="1"/>
  <c r="Q23" i="40" a="1"/>
  <c r="Q23" i="40" s="1"/>
  <c r="U23" i="40" s="1"/>
  <c r="Q25" i="40" a="1"/>
  <c r="Q25" i="40" s="1"/>
  <c r="U25" i="40" s="1"/>
  <c r="Q15" i="8"/>
  <c r="P34" i="8"/>
  <c r="R566" i="40" a="1"/>
  <c r="R566" i="40" s="1"/>
  <c r="V566" i="40" s="1"/>
  <c r="R570" i="40" a="1"/>
  <c r="R570" i="40" s="1"/>
  <c r="V570" i="40" s="1"/>
  <c r="R572" i="40" a="1"/>
  <c r="R572" i="40" s="1"/>
  <c r="V572" i="40" s="1"/>
  <c r="R576" i="40" a="1"/>
  <c r="R576" i="40" s="1"/>
  <c r="V576" i="40" s="1"/>
  <c r="R562" i="40" a="1"/>
  <c r="R562" i="40" s="1"/>
  <c r="V562" i="40" s="1"/>
  <c r="R558" i="40" a="1"/>
  <c r="R558" i="40" s="1"/>
  <c r="V558" i="40" s="1"/>
  <c r="R560" i="40" a="1"/>
  <c r="R560" i="40" s="1"/>
  <c r="V560" i="40" s="1"/>
  <c r="R574" i="40" a="1"/>
  <c r="R574" i="40" s="1"/>
  <c r="V574" i="40" s="1"/>
  <c r="R568" i="40" a="1"/>
  <c r="R568" i="40" s="1"/>
  <c r="V568" i="40" s="1"/>
  <c r="R564" i="40" a="1"/>
  <c r="R564" i="40" s="1"/>
  <c r="V564" i="40" s="1"/>
  <c r="S47" i="8"/>
  <c r="H10" i="33"/>
  <c r="O183" i="40" a="1"/>
  <c r="O183" i="40" s="1"/>
  <c r="T183" i="40" s="1"/>
  <c r="O189" i="40" a="1"/>
  <c r="O189" i="40" s="1"/>
  <c r="T189" i="40" s="1"/>
  <c r="O187" i="40" a="1"/>
  <c r="O187" i="40" s="1"/>
  <c r="T187" i="40" s="1"/>
  <c r="O186" i="40" a="1"/>
  <c r="O186" i="40" s="1"/>
  <c r="T186" i="40" s="1"/>
  <c r="O188" i="40" a="1"/>
  <c r="O188" i="40" s="1"/>
  <c r="T188" i="40" s="1"/>
  <c r="O185" i="40" a="1"/>
  <c r="O185" i="40" s="1"/>
  <c r="T185" i="40" s="1"/>
  <c r="O182" i="40" a="1"/>
  <c r="O182" i="40" s="1"/>
  <c r="T182" i="40" s="1"/>
  <c r="O184" i="40" a="1"/>
  <c r="O184" i="40" s="1"/>
  <c r="T184" i="40" s="1"/>
  <c r="O191" i="40" a="1"/>
  <c r="O191" i="40" s="1"/>
  <c r="T191" i="40" s="1"/>
  <c r="O190" i="40" a="1"/>
  <c r="O190" i="40" s="1"/>
  <c r="T190" i="40" s="1"/>
  <c r="R17" i="8"/>
  <c r="P30" i="8"/>
  <c r="S64" i="8"/>
  <c r="J39" i="8"/>
  <c r="N24" i="8"/>
  <c r="Z24" i="8" s="1"/>
  <c r="R8" i="8"/>
  <c r="S7" i="8"/>
  <c r="AB7" i="8" s="1"/>
  <c r="P54" i="8"/>
  <c r="Q54" i="8" s="1"/>
  <c r="AA54" i="8" s="1"/>
  <c r="O287" i="40" a="1"/>
  <c r="O287" i="40" s="1"/>
  <c r="T287" i="40" s="1"/>
  <c r="O286" i="40" a="1"/>
  <c r="O286" i="40" s="1"/>
  <c r="T286" i="40" s="1"/>
  <c r="O282" i="40" a="1"/>
  <c r="O282" i="40" s="1"/>
  <c r="T282" i="40" s="1"/>
  <c r="O288" i="40" a="1"/>
  <c r="O288" i="40" s="1"/>
  <c r="T288" i="40" s="1"/>
  <c r="O283" i="40" a="1"/>
  <c r="O283" i="40" s="1"/>
  <c r="T283" i="40" s="1"/>
  <c r="O284" i="40" a="1"/>
  <c r="O284" i="40" s="1"/>
  <c r="T284" i="40" s="1"/>
  <c r="O290" i="40" a="1"/>
  <c r="O290" i="40" s="1"/>
  <c r="T290" i="40" s="1"/>
  <c r="O289" i="40" a="1"/>
  <c r="O289" i="40" s="1"/>
  <c r="T289" i="40" s="1"/>
  <c r="O285" i="40" a="1"/>
  <c r="O285" i="40" s="1"/>
  <c r="T285" i="40" s="1"/>
  <c r="O281" i="40" a="1"/>
  <c r="O281" i="40" s="1"/>
  <c r="T281" i="40" s="1"/>
  <c r="Q142" i="40" a="1"/>
  <c r="Q142" i="40" s="1"/>
  <c r="U142" i="40" s="1"/>
  <c r="Q140" i="40" a="1"/>
  <c r="Q140" i="40" s="1"/>
  <c r="U140" i="40" s="1"/>
  <c r="Q158" i="40" a="1"/>
  <c r="Q158" i="40" s="1"/>
  <c r="U158" i="40" s="1"/>
  <c r="Q148" i="40" a="1"/>
  <c r="Q148" i="40" s="1"/>
  <c r="U148" i="40" s="1"/>
  <c r="Q156" i="40" a="1"/>
  <c r="Q156" i="40" s="1"/>
  <c r="U156" i="40" s="1"/>
  <c r="Q152" i="40" a="1"/>
  <c r="Q152" i="40" s="1"/>
  <c r="U152" i="40" s="1"/>
  <c r="Q150" i="40" a="1"/>
  <c r="Q150" i="40" s="1"/>
  <c r="U150" i="40" s="1"/>
  <c r="Q144" i="40" a="1"/>
  <c r="Q144" i="40" s="1"/>
  <c r="U144" i="40" s="1"/>
  <c r="Q154" i="40" a="1"/>
  <c r="Q154" i="40" s="1"/>
  <c r="U154" i="40" s="1"/>
  <c r="Q146" i="40" a="1"/>
  <c r="Q146" i="40" s="1"/>
  <c r="U146" i="40" s="1"/>
  <c r="O297" i="40" a="1"/>
  <c r="O297" i="40" s="1"/>
  <c r="T297" i="40" s="1"/>
  <c r="O292" i="40" a="1"/>
  <c r="O292" i="40" s="1"/>
  <c r="T292" i="40" s="1"/>
  <c r="O298" i="40" a="1"/>
  <c r="O298" i="40" s="1"/>
  <c r="T298" i="40" s="1"/>
  <c r="O299" i="40" a="1"/>
  <c r="O299" i="40" s="1"/>
  <c r="T299" i="40" s="1"/>
  <c r="O296" i="40" a="1"/>
  <c r="O296" i="40" s="1"/>
  <c r="T296" i="40" s="1"/>
  <c r="O300" i="40" a="1"/>
  <c r="O300" i="40" s="1"/>
  <c r="T300" i="40" s="1"/>
  <c r="H18" i="33"/>
  <c r="O294" i="40" a="1"/>
  <c r="O294" i="40" s="1"/>
  <c r="T294" i="40" s="1"/>
  <c r="O301" i="40" a="1"/>
  <c r="O301" i="40" s="1"/>
  <c r="T301" i="40" s="1"/>
  <c r="O295" i="40" a="1"/>
  <c r="O295" i="40" s="1"/>
  <c r="T295" i="40" s="1"/>
  <c r="O293" i="40" a="1"/>
  <c r="O293" i="40" s="1"/>
  <c r="T293" i="40" s="1"/>
  <c r="Q16" i="8"/>
  <c r="P53" i="8"/>
  <c r="Q53" i="8" s="1"/>
  <c r="AA53" i="8" s="1"/>
  <c r="L38" i="8"/>
  <c r="M38" i="8"/>
  <c r="Y38" i="8" s="1"/>
  <c r="AG43" i="43"/>
  <c r="AI43" i="43" s="1"/>
  <c r="AF43" i="43"/>
  <c r="AH43" i="43" s="1"/>
  <c r="W43" i="43"/>
  <c r="Z43" i="43" s="1"/>
  <c r="U43" i="43"/>
  <c r="X43" i="43" s="1"/>
  <c r="I14" i="33"/>
  <c r="J32" i="8"/>
  <c r="S59" i="8"/>
  <c r="R218" i="40" a="1"/>
  <c r="R218" i="40" s="1"/>
  <c r="V218" i="40" s="1"/>
  <c r="R222" i="40" a="1"/>
  <c r="R222" i="40" s="1"/>
  <c r="V222" i="40" s="1"/>
  <c r="R219" i="40" a="1"/>
  <c r="R219" i="40" s="1"/>
  <c r="V219" i="40" s="1"/>
  <c r="R224" i="40" a="1"/>
  <c r="R224" i="40" s="1"/>
  <c r="V224" i="40" s="1"/>
  <c r="R223" i="40" a="1"/>
  <c r="R223" i="40" s="1"/>
  <c r="V223" i="40" s="1"/>
  <c r="R217" i="40" a="1"/>
  <c r="R217" i="40" s="1"/>
  <c r="V217" i="40" s="1"/>
  <c r="R216" i="40" a="1"/>
  <c r="R216" i="40" s="1"/>
  <c r="V216" i="40" s="1"/>
  <c r="R215" i="40" a="1"/>
  <c r="R215" i="40" s="1"/>
  <c r="V215" i="40" s="1"/>
  <c r="R221" i="40" a="1"/>
  <c r="R221" i="40" s="1"/>
  <c r="V221" i="40" s="1"/>
  <c r="R220" i="40" a="1"/>
  <c r="R220" i="40" s="1"/>
  <c r="V220" i="40" s="1"/>
  <c r="P13" i="8"/>
  <c r="Q13" i="8" s="1"/>
  <c r="AA13" i="8" s="1"/>
  <c r="I21" i="33"/>
  <c r="I33" i="33"/>
  <c r="R22" i="40" a="1"/>
  <c r="R22" i="40" s="1"/>
  <c r="V22" i="40" s="1"/>
  <c r="R20" i="40" a="1"/>
  <c r="R20" i="40" s="1"/>
  <c r="V20" i="40" s="1"/>
  <c r="R21" i="40" a="1"/>
  <c r="R21" i="40" s="1"/>
  <c r="V21" i="40" s="1"/>
  <c r="R24" i="40" a="1"/>
  <c r="R24" i="40" s="1"/>
  <c r="V24" i="40" s="1"/>
  <c r="R19" i="40" a="1"/>
  <c r="R19" i="40" s="1"/>
  <c r="V19" i="40" s="1"/>
  <c r="R17" i="40" a="1"/>
  <c r="R17" i="40" s="1"/>
  <c r="V17" i="40" s="1"/>
  <c r="R26" i="40" a="1"/>
  <c r="R26" i="40" s="1"/>
  <c r="V26" i="40" s="1"/>
  <c r="R18" i="40" a="1"/>
  <c r="R18" i="40" s="1"/>
  <c r="V18" i="40" s="1"/>
  <c r="R25" i="40" a="1"/>
  <c r="R25" i="40" s="1"/>
  <c r="V25" i="40" s="1"/>
  <c r="R23" i="40" a="1"/>
  <c r="R23" i="40" s="1"/>
  <c r="V23" i="40" s="1"/>
  <c r="Q47" i="8"/>
  <c r="S36" i="8"/>
  <c r="O257" i="40" a="1"/>
  <c r="O257" i="40" s="1"/>
  <c r="T257" i="40" s="1"/>
  <c r="O254" i="40" a="1"/>
  <c r="O254" i="40" s="1"/>
  <c r="T254" i="40" s="1"/>
  <c r="O255" i="40" a="1"/>
  <c r="O255" i="40" s="1"/>
  <c r="T255" i="40" s="1"/>
  <c r="O248" i="40" a="1"/>
  <c r="O248" i="40" s="1"/>
  <c r="T248" i="40" s="1"/>
  <c r="O256" i="40" a="1"/>
  <c r="O256" i="40" s="1"/>
  <c r="T256" i="40" s="1"/>
  <c r="O252" i="40" a="1"/>
  <c r="O252" i="40" s="1"/>
  <c r="T252" i="40" s="1"/>
  <c r="O249" i="40" a="1"/>
  <c r="O249" i="40" s="1"/>
  <c r="T249" i="40" s="1"/>
  <c r="O250" i="40" a="1"/>
  <c r="O250" i="40" s="1"/>
  <c r="T250" i="40" s="1"/>
  <c r="O251" i="40" a="1"/>
  <c r="O251" i="40" s="1"/>
  <c r="T251" i="40" s="1"/>
  <c r="O253" i="40" a="1"/>
  <c r="O253" i="40" s="1"/>
  <c r="T253" i="40" s="1"/>
  <c r="H15" i="33"/>
  <c r="I13" i="44" s="1"/>
  <c r="O262" i="40" a="1"/>
  <c r="O262" i="40" s="1"/>
  <c r="T262" i="40" s="1"/>
  <c r="O261" i="40" a="1"/>
  <c r="O261" i="40" s="1"/>
  <c r="T261" i="40" s="1"/>
  <c r="O268" i="40" a="1"/>
  <c r="O268" i="40" s="1"/>
  <c r="T268" i="40" s="1"/>
  <c r="O259" i="40" a="1"/>
  <c r="O259" i="40" s="1"/>
  <c r="T259" i="40" s="1"/>
  <c r="O260" i="40" a="1"/>
  <c r="O260" i="40" s="1"/>
  <c r="T260" i="40" s="1"/>
  <c r="O267" i="40" a="1"/>
  <c r="O267" i="40" s="1"/>
  <c r="T267" i="40" s="1"/>
  <c r="O264" i="40" a="1"/>
  <c r="O264" i="40" s="1"/>
  <c r="T264" i="40" s="1"/>
  <c r="O263" i="40" a="1"/>
  <c r="O263" i="40" s="1"/>
  <c r="T263" i="40" s="1"/>
  <c r="O265" i="40" a="1"/>
  <c r="O265" i="40" s="1"/>
  <c r="T265" i="40" s="1"/>
  <c r="O266" i="40" a="1"/>
  <c r="O266" i="40" s="1"/>
  <c r="T266" i="40" s="1"/>
  <c r="H16" i="33"/>
  <c r="I14" i="44" s="1"/>
  <c r="R19" i="8"/>
  <c r="S19" i="8" s="1"/>
  <c r="AB19" i="8" s="1"/>
  <c r="R490" i="40" a="1"/>
  <c r="R490" i="40" s="1"/>
  <c r="V490" i="40" s="1"/>
  <c r="R482" i="40" a="1"/>
  <c r="R482" i="40" s="1"/>
  <c r="V482" i="40" s="1"/>
  <c r="R488" i="40" a="1"/>
  <c r="R488" i="40" s="1"/>
  <c r="V488" i="40" s="1"/>
  <c r="R498" i="40" a="1"/>
  <c r="R498" i="40" s="1"/>
  <c r="V498" i="40" s="1"/>
  <c r="R492" i="40" a="1"/>
  <c r="R492" i="40" s="1"/>
  <c r="V492" i="40" s="1"/>
  <c r="R486" i="40" a="1"/>
  <c r="R486" i="40" s="1"/>
  <c r="V486" i="40" s="1"/>
  <c r="R480" i="40" a="1"/>
  <c r="R480" i="40" s="1"/>
  <c r="V480" i="40" s="1"/>
  <c r="R494" i="40" a="1"/>
  <c r="R494" i="40" s="1"/>
  <c r="V494" i="40" s="1"/>
  <c r="R484" i="40" a="1"/>
  <c r="R484" i="40" s="1"/>
  <c r="V484" i="40" s="1"/>
  <c r="R496" i="40" a="1"/>
  <c r="R496" i="40" s="1"/>
  <c r="V496" i="40" s="1"/>
  <c r="N39" i="8"/>
  <c r="Z39" i="8" s="1"/>
  <c r="J24" i="8"/>
  <c r="P8" i="8"/>
  <c r="L41" i="8"/>
  <c r="M41" i="8"/>
  <c r="Y41" i="8" s="1"/>
  <c r="O154" i="40" a="1"/>
  <c r="O154" i="40" s="1"/>
  <c r="T154" i="40" s="1"/>
  <c r="O158" i="40" a="1"/>
  <c r="O158" i="40" s="1"/>
  <c r="T158" i="40" s="1"/>
  <c r="O146" i="40" a="1"/>
  <c r="O146" i="40" s="1"/>
  <c r="T146" i="40" s="1"/>
  <c r="O148" i="40" a="1"/>
  <c r="O148" i="40" s="1"/>
  <c r="T148" i="40" s="1"/>
  <c r="O150" i="40" a="1"/>
  <c r="O150" i="40" s="1"/>
  <c r="T150" i="40" s="1"/>
  <c r="O152" i="40" a="1"/>
  <c r="O152" i="40" s="1"/>
  <c r="T152" i="40" s="1"/>
  <c r="O144" i="40" a="1"/>
  <c r="O144" i="40" s="1"/>
  <c r="T144" i="40" s="1"/>
  <c r="O156" i="40" a="1"/>
  <c r="O156" i="40" s="1"/>
  <c r="T156" i="40" s="1"/>
  <c r="O140" i="40" a="1"/>
  <c r="O140" i="40" s="1"/>
  <c r="T140" i="40" s="1"/>
  <c r="O142" i="40" a="1"/>
  <c r="O142" i="40" s="1"/>
  <c r="T142" i="40" s="1"/>
  <c r="U44" i="43"/>
  <c r="X44" i="43" s="1"/>
  <c r="I26" i="33"/>
  <c r="S38" i="8"/>
  <c r="M33" i="8"/>
  <c r="Y33" i="8" s="1"/>
  <c r="L33" i="8"/>
  <c r="W47" i="43"/>
  <c r="Z47" i="43" s="1"/>
  <c r="AG47" i="43"/>
  <c r="AF47" i="43"/>
  <c r="N32" i="8"/>
  <c r="Z32" i="8" s="1"/>
  <c r="M623" i="40" a="1"/>
  <c r="M623" i="40" s="1"/>
  <c r="S623" i="40" s="1"/>
  <c r="M626" i="40" a="1"/>
  <c r="M626" i="40" s="1"/>
  <c r="S626" i="40" s="1"/>
  <c r="M622" i="40" a="1"/>
  <c r="M622" i="40" s="1"/>
  <c r="S622" i="40" s="1"/>
  <c r="M630" i="40" a="1"/>
  <c r="M630" i="40" s="1"/>
  <c r="S630" i="40" s="1"/>
  <c r="M624" i="40" a="1"/>
  <c r="M624" i="40" s="1"/>
  <c r="S624" i="40" s="1"/>
  <c r="M625" i="40" a="1"/>
  <c r="M625" i="40" s="1"/>
  <c r="S625" i="40" s="1"/>
  <c r="M631" i="40" a="1"/>
  <c r="M631" i="40" s="1"/>
  <c r="S631" i="40" s="1"/>
  <c r="M629" i="40" a="1"/>
  <c r="M629" i="40" s="1"/>
  <c r="S629" i="40" s="1"/>
  <c r="M628" i="40" a="1"/>
  <c r="M628" i="40" s="1"/>
  <c r="S628" i="40" s="1"/>
  <c r="M627" i="40" a="1"/>
  <c r="M627" i="40" s="1"/>
  <c r="S627" i="40" s="1"/>
  <c r="F35" i="33"/>
  <c r="O463" i="40" a="1"/>
  <c r="O463" i="40" s="1"/>
  <c r="T463" i="40" s="1"/>
  <c r="O465" i="40" a="1"/>
  <c r="O465" i="40" s="1"/>
  <c r="T465" i="40" s="1"/>
  <c r="O477" i="40" a="1"/>
  <c r="O477" i="40" s="1"/>
  <c r="T477" i="40" s="1"/>
  <c r="O473" i="40" a="1"/>
  <c r="O473" i="40" s="1"/>
  <c r="T473" i="40" s="1"/>
  <c r="O469" i="40" a="1"/>
  <c r="O469" i="40" s="1"/>
  <c r="T469" i="40" s="1"/>
  <c r="O471" i="40" a="1"/>
  <c r="O471" i="40" s="1"/>
  <c r="T471" i="40" s="1"/>
  <c r="O475" i="40" a="1"/>
  <c r="O475" i="40" s="1"/>
  <c r="T475" i="40" s="1"/>
  <c r="O467" i="40" a="1"/>
  <c r="O467" i="40" s="1"/>
  <c r="T467" i="40" s="1"/>
  <c r="O461" i="40" a="1"/>
  <c r="O461" i="40" s="1"/>
  <c r="T461" i="40" s="1"/>
  <c r="O459" i="40" a="1"/>
  <c r="O459" i="40" s="1"/>
  <c r="T459" i="40" s="1"/>
  <c r="R625" i="40" a="1"/>
  <c r="R625" i="40" s="1"/>
  <c r="V625" i="40" s="1"/>
  <c r="R629" i="40" a="1"/>
  <c r="R629" i="40" s="1"/>
  <c r="V629" i="40" s="1"/>
  <c r="R628" i="40" a="1"/>
  <c r="R628" i="40" s="1"/>
  <c r="V628" i="40" s="1"/>
  <c r="R624" i="40" a="1"/>
  <c r="R624" i="40" s="1"/>
  <c r="V624" i="40" s="1"/>
  <c r="R626" i="40" a="1"/>
  <c r="R626" i="40" s="1"/>
  <c r="V626" i="40" s="1"/>
  <c r="R631" i="40" a="1"/>
  <c r="R631" i="40" s="1"/>
  <c r="V631" i="40" s="1"/>
  <c r="R623" i="40" a="1"/>
  <c r="R623" i="40" s="1"/>
  <c r="V623" i="40" s="1"/>
  <c r="R630" i="40" a="1"/>
  <c r="R630" i="40" s="1"/>
  <c r="V630" i="40" s="1"/>
  <c r="R622" i="40" a="1"/>
  <c r="R622" i="40" s="1"/>
  <c r="V622" i="40" s="1"/>
  <c r="R627" i="40" a="1"/>
  <c r="R627" i="40" s="1"/>
  <c r="V627" i="40" s="1"/>
  <c r="R13" i="8"/>
  <c r="S13" i="8" s="1"/>
  <c r="AB13" i="8" s="1"/>
  <c r="L49" i="8"/>
  <c r="M49" i="8"/>
  <c r="Y49" i="8" s="1"/>
  <c r="I25" i="33"/>
  <c r="N12" i="8"/>
  <c r="Z12" i="8" s="1"/>
  <c r="J16" i="8"/>
  <c r="P19" i="8"/>
  <c r="L52" i="8"/>
  <c r="M52" i="8"/>
  <c r="Y52" i="8" s="1"/>
  <c r="N53" i="8"/>
  <c r="M56" i="8"/>
  <c r="Y56" i="8" s="1"/>
  <c r="L56" i="8"/>
  <c r="S51" i="8"/>
  <c r="W46" i="43"/>
  <c r="Z46" i="43" s="1"/>
  <c r="L51" i="8"/>
  <c r="M51" i="8"/>
  <c r="Y51" i="8" s="1"/>
  <c r="R343" i="40" a="1"/>
  <c r="R343" i="40" s="1"/>
  <c r="V343" i="40" s="1"/>
  <c r="R351" i="40" a="1"/>
  <c r="R351" i="40" s="1"/>
  <c r="V351" i="40" s="1"/>
  <c r="R363" i="40" a="1"/>
  <c r="R363" i="40" s="1"/>
  <c r="V363" i="40" s="1"/>
  <c r="R347" i="40" a="1"/>
  <c r="R347" i="40" s="1"/>
  <c r="V347" i="40" s="1"/>
  <c r="R355" i="40" a="1"/>
  <c r="R355" i="40" s="1"/>
  <c r="V355" i="40" s="1"/>
  <c r="R359" i="40" a="1"/>
  <c r="R359" i="40" s="1"/>
  <c r="V359" i="40" s="1"/>
  <c r="R339" i="40" a="1"/>
  <c r="R339" i="40" s="1"/>
  <c r="V339" i="40" s="1"/>
  <c r="R371" i="40" a="1"/>
  <c r="R371" i="40" s="1"/>
  <c r="V371" i="40" s="1"/>
  <c r="R375" i="40" a="1"/>
  <c r="R375" i="40" s="1"/>
  <c r="V375" i="40" s="1"/>
  <c r="R367" i="40" a="1"/>
  <c r="R367" i="40" s="1"/>
  <c r="V367" i="40" s="1"/>
  <c r="O36" i="40" a="1"/>
  <c r="O36" i="40" s="1"/>
  <c r="T36" i="40" s="1"/>
  <c r="O32" i="40" a="1"/>
  <c r="O32" i="40" s="1"/>
  <c r="T32" i="40" s="1"/>
  <c r="O30" i="40" a="1"/>
  <c r="O30" i="40" s="1"/>
  <c r="T30" i="40" s="1"/>
  <c r="O31" i="40" a="1"/>
  <c r="O31" i="40" s="1"/>
  <c r="T31" i="40" s="1"/>
  <c r="O28" i="40" a="1"/>
  <c r="O28" i="40" s="1"/>
  <c r="T28" i="40" s="1"/>
  <c r="O35" i="40" a="1"/>
  <c r="O35" i="40" s="1"/>
  <c r="T35" i="40" s="1"/>
  <c r="O34" i="40" a="1"/>
  <c r="O34" i="40" s="1"/>
  <c r="T34" i="40" s="1"/>
  <c r="O29" i="40" a="1"/>
  <c r="O29" i="40" s="1"/>
  <c r="T29" i="40" s="1"/>
  <c r="O33" i="40" a="1"/>
  <c r="O33" i="40" s="1"/>
  <c r="T33" i="40" s="1"/>
  <c r="O37" i="40" a="1"/>
  <c r="O37" i="40" s="1"/>
  <c r="T37" i="40" s="1"/>
  <c r="H28" i="33"/>
  <c r="O155" i="40" a="1"/>
  <c r="O155" i="40" s="1"/>
  <c r="T155" i="40" s="1"/>
  <c r="H8" i="33"/>
  <c r="O147" i="40" a="1"/>
  <c r="O147" i="40" s="1"/>
  <c r="T147" i="40" s="1"/>
  <c r="O139" i="40" a="1"/>
  <c r="O139" i="40" s="1"/>
  <c r="T139" i="40" s="1"/>
  <c r="O157" i="40" a="1"/>
  <c r="O157" i="40" s="1"/>
  <c r="T157" i="40" s="1"/>
  <c r="O151" i="40" a="1"/>
  <c r="O151" i="40" s="1"/>
  <c r="T151" i="40" s="1"/>
  <c r="O149" i="40" a="1"/>
  <c r="O149" i="40" s="1"/>
  <c r="T149" i="40" s="1"/>
  <c r="O143" i="40" a="1"/>
  <c r="O143" i="40" s="1"/>
  <c r="T143" i="40" s="1"/>
  <c r="O145" i="40" a="1"/>
  <c r="O145" i="40" s="1"/>
  <c r="T145" i="40" s="1"/>
  <c r="O153" i="40" a="1"/>
  <c r="O153" i="40" s="1"/>
  <c r="T153" i="40" s="1"/>
  <c r="O141" i="40" a="1"/>
  <c r="O141" i="40" s="1"/>
  <c r="T141" i="40" s="1"/>
  <c r="U50" i="43"/>
  <c r="X50" i="43" s="1"/>
  <c r="AF50" i="43"/>
  <c r="AG50" i="43"/>
  <c r="W44" i="43"/>
  <c r="Z44" i="43" s="1"/>
  <c r="AF44" i="43"/>
  <c r="AG44" i="43"/>
  <c r="L15" i="8"/>
  <c r="M15" i="8"/>
  <c r="Y15" i="8" s="1"/>
  <c r="S62" i="8"/>
  <c r="M48" i="8"/>
  <c r="Y48" i="8" s="1"/>
  <c r="L48" i="8"/>
  <c r="P11" i="8"/>
  <c r="Q11" i="8" s="1"/>
  <c r="AA11" i="8" s="1"/>
  <c r="P25" i="8"/>
  <c r="J13" i="8"/>
  <c r="O196" i="40" a="1"/>
  <c r="O196" i="40" s="1"/>
  <c r="T196" i="40" s="1"/>
  <c r="O194" i="40" a="1"/>
  <c r="O194" i="40" s="1"/>
  <c r="T194" i="40" s="1"/>
  <c r="O198" i="40" a="1"/>
  <c r="O198" i="40" s="1"/>
  <c r="T198" i="40" s="1"/>
  <c r="O212" i="40" a="1"/>
  <c r="O212" i="40" s="1"/>
  <c r="T212" i="40" s="1"/>
  <c r="O208" i="40" a="1"/>
  <c r="O208" i="40" s="1"/>
  <c r="T208" i="40" s="1"/>
  <c r="O210" i="40" a="1"/>
  <c r="O210" i="40" s="1"/>
  <c r="T210" i="40" s="1"/>
  <c r="O202" i="40" a="1"/>
  <c r="O202" i="40" s="1"/>
  <c r="T202" i="40" s="1"/>
  <c r="O200" i="40" a="1"/>
  <c r="O200" i="40" s="1"/>
  <c r="T200" i="40" s="1"/>
  <c r="O206" i="40" a="1"/>
  <c r="O206" i="40" s="1"/>
  <c r="T206" i="40" s="1"/>
  <c r="O204" i="40" a="1"/>
  <c r="O204" i="40" s="1"/>
  <c r="T204" i="40" s="1"/>
  <c r="H11" i="33"/>
  <c r="O232" i="40" a="1"/>
  <c r="O232" i="40" s="1"/>
  <c r="T232" i="40" s="1"/>
  <c r="O227" i="40" a="1"/>
  <c r="O227" i="40" s="1"/>
  <c r="T227" i="40" s="1"/>
  <c r="O226" i="40" a="1"/>
  <c r="O226" i="40" s="1"/>
  <c r="T226" i="40" s="1"/>
  <c r="O234" i="40" a="1"/>
  <c r="O234" i="40" s="1"/>
  <c r="T234" i="40" s="1"/>
  <c r="O233" i="40" a="1"/>
  <c r="O233" i="40" s="1"/>
  <c r="T233" i="40" s="1"/>
  <c r="O235" i="40" a="1"/>
  <c r="O235" i="40" s="1"/>
  <c r="T235" i="40" s="1"/>
  <c r="O230" i="40" a="1"/>
  <c r="O230" i="40" s="1"/>
  <c r="T230" i="40" s="1"/>
  <c r="O229" i="40" a="1"/>
  <c r="O229" i="40" s="1"/>
  <c r="T229" i="40" s="1"/>
  <c r="O228" i="40" a="1"/>
  <c r="O228" i="40" s="1"/>
  <c r="T228" i="40" s="1"/>
  <c r="O231" i="40" a="1"/>
  <c r="O231" i="40" s="1"/>
  <c r="T231" i="40" s="1"/>
  <c r="H37" i="33"/>
  <c r="Q20" i="8"/>
  <c r="J12" i="8"/>
  <c r="N16" i="8"/>
  <c r="Z16" i="8" s="1"/>
  <c r="O304" i="40" a="1"/>
  <c r="O304" i="40" s="1"/>
  <c r="T304" i="40" s="1"/>
  <c r="O305" i="40" a="1"/>
  <c r="O305" i="40" s="1"/>
  <c r="T305" i="40" s="1"/>
  <c r="O312" i="40" a="1"/>
  <c r="O312" i="40" s="1"/>
  <c r="T312" i="40" s="1"/>
  <c r="O311" i="40" a="1"/>
  <c r="O311" i="40" s="1"/>
  <c r="T311" i="40" s="1"/>
  <c r="O310" i="40" a="1"/>
  <c r="O310" i="40" s="1"/>
  <c r="T310" i="40" s="1"/>
  <c r="O309" i="40" a="1"/>
  <c r="O309" i="40" s="1"/>
  <c r="T309" i="40" s="1"/>
  <c r="O303" i="40" a="1"/>
  <c r="O303" i="40" s="1"/>
  <c r="T303" i="40" s="1"/>
  <c r="O306" i="40" a="1"/>
  <c r="O306" i="40" s="1"/>
  <c r="T306" i="40" s="1"/>
  <c r="O307" i="40" a="1"/>
  <c r="O307" i="40" s="1"/>
  <c r="T307" i="40" s="1"/>
  <c r="O308" i="40" a="1"/>
  <c r="O308" i="40" s="1"/>
  <c r="T308" i="40" s="1"/>
  <c r="H19" i="33"/>
  <c r="P39" i="8"/>
  <c r="Q39" i="8" s="1"/>
  <c r="AA39" i="8" s="1"/>
  <c r="M334" i="40" a="1"/>
  <c r="M334" i="40" s="1"/>
  <c r="S334" i="40" s="1"/>
  <c r="M329" i="40" a="1"/>
  <c r="M329" i="40" s="1"/>
  <c r="S329" i="40" s="1"/>
  <c r="M331" i="40" a="1"/>
  <c r="M331" i="40" s="1"/>
  <c r="S331" i="40" s="1"/>
  <c r="M326" i="40" a="1"/>
  <c r="M326" i="40" s="1"/>
  <c r="S326" i="40" s="1"/>
  <c r="M325" i="40" a="1"/>
  <c r="M325" i="40" s="1"/>
  <c r="S325" i="40" s="1"/>
  <c r="M332" i="40" a="1"/>
  <c r="M332" i="40" s="1"/>
  <c r="S332" i="40" s="1"/>
  <c r="M328" i="40" a="1"/>
  <c r="M328" i="40" s="1"/>
  <c r="S328" i="40" s="1"/>
  <c r="M333" i="40" a="1"/>
  <c r="M333" i="40" s="1"/>
  <c r="S333" i="40" s="1"/>
  <c r="F21" i="33"/>
  <c r="M330" i="40" a="1"/>
  <c r="M330" i="40" s="1"/>
  <c r="S330" i="40" s="1"/>
  <c r="M327" i="40" a="1"/>
  <c r="M327" i="40" s="1"/>
  <c r="S327" i="40" s="1"/>
  <c r="M7" i="8"/>
  <c r="Y7" i="8" s="1"/>
  <c r="L7" i="8"/>
  <c r="O120" i="40" a="1"/>
  <c r="O120" i="40" s="1"/>
  <c r="T120" i="40" s="1"/>
  <c r="O135" i="40" a="1"/>
  <c r="O135" i="40" s="1"/>
  <c r="T135" i="40" s="1"/>
  <c r="O129" i="40" a="1"/>
  <c r="O129" i="40" s="1"/>
  <c r="T129" i="40" s="1"/>
  <c r="O111" i="40" a="1"/>
  <c r="O111" i="40" s="1"/>
  <c r="T111" i="40" s="1"/>
  <c r="O114" i="40" a="1"/>
  <c r="O114" i="40" s="1"/>
  <c r="T114" i="40" s="1"/>
  <c r="O132" i="40" a="1"/>
  <c r="O132" i="40" s="1"/>
  <c r="T132" i="40" s="1"/>
  <c r="O117" i="40" a="1"/>
  <c r="O117" i="40" s="1"/>
  <c r="T117" i="40" s="1"/>
  <c r="O108" i="40" a="1"/>
  <c r="O108" i="40" s="1"/>
  <c r="T108" i="40" s="1"/>
  <c r="O126" i="40" a="1"/>
  <c r="O126" i="40" s="1"/>
  <c r="T126" i="40" s="1"/>
  <c r="O123" i="40" a="1"/>
  <c r="O123" i="40" s="1"/>
  <c r="T123" i="40" s="1"/>
  <c r="J53" i="8"/>
  <c r="Q26" i="8"/>
  <c r="Q51" i="8"/>
  <c r="N44" i="8"/>
  <c r="Z44" i="8" s="1"/>
  <c r="M61" i="8"/>
  <c r="Y61" i="8" s="1"/>
  <c r="L61" i="8"/>
  <c r="O100" i="40" a="1"/>
  <c r="O100" i="40" s="1"/>
  <c r="T100" i="40" s="1"/>
  <c r="H6" i="33"/>
  <c r="O97" i="40" a="1"/>
  <c r="O97" i="40" s="1"/>
  <c r="T97" i="40" s="1"/>
  <c r="O95" i="40" a="1"/>
  <c r="O95" i="40" s="1"/>
  <c r="T95" i="40" s="1"/>
  <c r="O98" i="40" a="1"/>
  <c r="O98" i="40" s="1"/>
  <c r="T98" i="40" s="1"/>
  <c r="O99" i="40" a="1"/>
  <c r="O99" i="40" s="1"/>
  <c r="T99" i="40" s="1"/>
  <c r="O96" i="40" a="1"/>
  <c r="O96" i="40" s="1"/>
  <c r="T96" i="40" s="1"/>
  <c r="O101" i="40" a="1"/>
  <c r="O101" i="40" s="1"/>
  <c r="T101" i="40" s="1"/>
  <c r="O102" i="40" a="1"/>
  <c r="O102" i="40" s="1"/>
  <c r="T102" i="40" s="1"/>
  <c r="O94" i="40" a="1"/>
  <c r="O94" i="40" s="1"/>
  <c r="T94" i="40" s="1"/>
  <c r="O103" i="40" a="1"/>
  <c r="O103" i="40" s="1"/>
  <c r="T103" i="40" s="1"/>
  <c r="Q33" i="8"/>
  <c r="AF49" i="43"/>
  <c r="AH49" i="43" s="1"/>
  <c r="AG49" i="43"/>
  <c r="AI49" i="43" s="1"/>
  <c r="U49" i="43"/>
  <c r="X49" i="43" s="1"/>
  <c r="W49" i="43"/>
  <c r="Z49" i="43" s="1"/>
  <c r="R10" i="8"/>
  <c r="S10" i="8" s="1"/>
  <c r="K10" i="8"/>
  <c r="N25" i="8"/>
  <c r="Z25" i="8" s="1"/>
  <c r="I27" i="33"/>
  <c r="O201" i="40" a="1"/>
  <c r="O201" i="40" s="1"/>
  <c r="T201" i="40" s="1"/>
  <c r="O195" i="40" a="1"/>
  <c r="O195" i="40" s="1"/>
  <c r="T195" i="40" s="1"/>
  <c r="O205" i="40" a="1"/>
  <c r="O205" i="40" s="1"/>
  <c r="T205" i="40" s="1"/>
  <c r="O199" i="40" a="1"/>
  <c r="O199" i="40" s="1"/>
  <c r="T199" i="40" s="1"/>
  <c r="O207" i="40" a="1"/>
  <c r="O207" i="40" s="1"/>
  <c r="T207" i="40" s="1"/>
  <c r="O213" i="40" a="1"/>
  <c r="O213" i="40" s="1"/>
  <c r="T213" i="40" s="1"/>
  <c r="O203" i="40" a="1"/>
  <c r="O203" i="40" s="1"/>
  <c r="T203" i="40" s="1"/>
  <c r="O197" i="40" a="1"/>
  <c r="O197" i="40" s="1"/>
  <c r="T197" i="40" s="1"/>
  <c r="O211" i="40" a="1"/>
  <c r="O211" i="40" s="1"/>
  <c r="T211" i="40" s="1"/>
  <c r="O209" i="40" a="1"/>
  <c r="O209" i="40" s="1"/>
  <c r="T209" i="40" s="1"/>
  <c r="L59" i="8"/>
  <c r="M59" i="8"/>
  <c r="Y59" i="8" s="1"/>
  <c r="I30" i="33"/>
  <c r="S15" i="8"/>
  <c r="P12" i="8"/>
  <c r="Q12" i="8" s="1"/>
  <c r="AA12" i="8" s="1"/>
  <c r="U46" i="43"/>
  <c r="X46" i="43" s="1"/>
  <c r="N673" i="40" a="1"/>
  <c r="N673" i="40" s="1"/>
  <c r="N674" i="40" a="1"/>
  <c r="N674" i="40" s="1"/>
  <c r="Q14" i="8"/>
  <c r="N18" i="8"/>
  <c r="Z18" i="8" s="1"/>
  <c r="O43" i="40" a="1"/>
  <c r="O43" i="40" s="1"/>
  <c r="T43" i="40" s="1"/>
  <c r="O42" i="40" a="1"/>
  <c r="O42" i="40" s="1"/>
  <c r="T42" i="40" s="1"/>
  <c r="O48" i="40" a="1"/>
  <c r="O48" i="40" s="1"/>
  <c r="T48" i="40" s="1"/>
  <c r="O41" i="40" a="1"/>
  <c r="O41" i="40" s="1"/>
  <c r="T41" i="40" s="1"/>
  <c r="O44" i="40" a="1"/>
  <c r="O44" i="40" s="1"/>
  <c r="T44" i="40" s="1"/>
  <c r="O45" i="40" a="1"/>
  <c r="O45" i="40" s="1"/>
  <c r="T45" i="40" s="1"/>
  <c r="O40" i="40" a="1"/>
  <c r="O40" i="40" s="1"/>
  <c r="T40" i="40" s="1"/>
  <c r="O46" i="40" a="1"/>
  <c r="O46" i="40" s="1"/>
  <c r="T46" i="40" s="1"/>
  <c r="O39" i="40" a="1"/>
  <c r="O39" i="40" s="1"/>
  <c r="T39" i="40" s="1"/>
  <c r="O47" i="40" a="1"/>
  <c r="O47" i="40" s="1"/>
  <c r="T47" i="40" s="1"/>
  <c r="O222" i="40" a="1"/>
  <c r="O222" i="40" s="1"/>
  <c r="T222" i="40" s="1"/>
  <c r="O216" i="40" a="1"/>
  <c r="O216" i="40" s="1"/>
  <c r="T216" i="40" s="1"/>
  <c r="O224" i="40" a="1"/>
  <c r="O224" i="40" s="1"/>
  <c r="T224" i="40" s="1"/>
  <c r="O223" i="40" a="1"/>
  <c r="O223" i="40" s="1"/>
  <c r="T223" i="40" s="1"/>
  <c r="O215" i="40" a="1"/>
  <c r="O215" i="40" s="1"/>
  <c r="T215" i="40" s="1"/>
  <c r="O221" i="40" a="1"/>
  <c r="O221" i="40" s="1"/>
  <c r="T221" i="40" s="1"/>
  <c r="O219" i="40" a="1"/>
  <c r="O219" i="40" s="1"/>
  <c r="T219" i="40" s="1"/>
  <c r="O218" i="40" a="1"/>
  <c r="O218" i="40" s="1"/>
  <c r="T218" i="40" s="1"/>
  <c r="O217" i="40" a="1"/>
  <c r="O217" i="40" s="1"/>
  <c r="T217" i="40" s="1"/>
  <c r="O220" i="40" a="1"/>
  <c r="O220" i="40" s="1"/>
  <c r="T220" i="40" s="1"/>
  <c r="H12" i="33"/>
  <c r="L57" i="8"/>
  <c r="M57" i="8"/>
  <c r="Y57" i="8" s="1"/>
  <c r="S14" i="8"/>
  <c r="U48" i="43"/>
  <c r="X48" i="43" s="1"/>
  <c r="AF48" i="43"/>
  <c r="AH48" i="43" s="1"/>
  <c r="W48" i="43"/>
  <c r="Z48" i="43" s="1"/>
  <c r="AG48" i="43"/>
  <c r="AI48" i="43" s="1"/>
  <c r="R11" i="8"/>
  <c r="J25" i="8"/>
  <c r="L22" i="8"/>
  <c r="M22" i="8"/>
  <c r="Y22" i="8" s="1"/>
  <c r="J35" i="8"/>
  <c r="J34" i="8"/>
  <c r="Q570" i="40" a="1"/>
  <c r="Q570" i="40" s="1"/>
  <c r="U570" i="40" s="1"/>
  <c r="Q558" i="40" a="1"/>
  <c r="Q558" i="40" s="1"/>
  <c r="U558" i="40" s="1"/>
  <c r="Q574" i="40" a="1"/>
  <c r="Q574" i="40" s="1"/>
  <c r="U574" i="40" s="1"/>
  <c r="Q562" i="40" a="1"/>
  <c r="Q562" i="40" s="1"/>
  <c r="U562" i="40" s="1"/>
  <c r="Q568" i="40" a="1"/>
  <c r="Q568" i="40" s="1"/>
  <c r="U568" i="40" s="1"/>
  <c r="Q566" i="40" a="1"/>
  <c r="Q566" i="40" s="1"/>
  <c r="U566" i="40" s="1"/>
  <c r="Q564" i="40" a="1"/>
  <c r="Q564" i="40" s="1"/>
  <c r="U564" i="40" s="1"/>
  <c r="Q572" i="40" a="1"/>
  <c r="Q572" i="40" s="1"/>
  <c r="U572" i="40" s="1"/>
  <c r="Q560" i="40" a="1"/>
  <c r="Q560" i="40" s="1"/>
  <c r="U560" i="40" s="1"/>
  <c r="Q576" i="40" a="1"/>
  <c r="Q576" i="40" s="1"/>
  <c r="U576" i="40" s="1"/>
  <c r="S20" i="8"/>
  <c r="N17" i="8"/>
  <c r="Z17" i="8" s="1"/>
  <c r="N30" i="8"/>
  <c r="Z30" i="8" s="1"/>
  <c r="R12" i="8"/>
  <c r="S12" i="8" s="1"/>
  <c r="AB12" i="8" s="1"/>
  <c r="R399" i="40" a="1"/>
  <c r="R399" i="40" s="1"/>
  <c r="V399" i="40" s="1"/>
  <c r="R419" i="40" a="1"/>
  <c r="R419" i="40" s="1"/>
  <c r="V419" i="40" s="1"/>
  <c r="R383" i="40" a="1"/>
  <c r="R383" i="40" s="1"/>
  <c r="V383" i="40" s="1"/>
  <c r="R403" i="40" a="1"/>
  <c r="R403" i="40" s="1"/>
  <c r="V403" i="40" s="1"/>
  <c r="R415" i="40" a="1"/>
  <c r="R415" i="40" s="1"/>
  <c r="V415" i="40" s="1"/>
  <c r="R387" i="40" a="1"/>
  <c r="R387" i="40" s="1"/>
  <c r="V387" i="40" s="1"/>
  <c r="R391" i="40" a="1"/>
  <c r="R391" i="40" s="1"/>
  <c r="V391" i="40" s="1"/>
  <c r="R411" i="40" a="1"/>
  <c r="R411" i="40" s="1"/>
  <c r="V411" i="40" s="1"/>
  <c r="R407" i="40" a="1"/>
  <c r="R407" i="40" s="1"/>
  <c r="V407" i="40" s="1"/>
  <c r="R395" i="40" a="1"/>
  <c r="R395" i="40" s="1"/>
  <c r="V395" i="40" s="1"/>
  <c r="J44" i="8"/>
  <c r="M668" i="40" a="1"/>
  <c r="M668" i="40" s="1"/>
  <c r="S668" i="40" s="1"/>
  <c r="M671" i="40" a="1"/>
  <c r="M671" i="40" s="1"/>
  <c r="S671" i="40" s="1"/>
  <c r="M670" i="40" a="1"/>
  <c r="M670" i="40" s="1"/>
  <c r="S670" i="40" s="1"/>
  <c r="M669" i="40" a="1"/>
  <c r="M669" i="40" s="1"/>
  <c r="S669" i="40" s="1"/>
  <c r="M674" i="40" a="1"/>
  <c r="M674" i="40" s="1"/>
  <c r="S674" i="40" s="1"/>
  <c r="M673" i="40" a="1"/>
  <c r="M673" i="40" s="1"/>
  <c r="S673" i="40" s="1"/>
  <c r="M675" i="40" a="1"/>
  <c r="M675" i="40" s="1"/>
  <c r="S675" i="40" s="1"/>
  <c r="M666" i="40" a="1"/>
  <c r="M666" i="40" s="1"/>
  <c r="S666" i="40" s="1"/>
  <c r="M672" i="40" a="1"/>
  <c r="M672" i="40" s="1"/>
  <c r="S672" i="40" s="1"/>
  <c r="M667" i="40" a="1"/>
  <c r="M667" i="40" s="1"/>
  <c r="S667" i="40" s="1"/>
  <c r="I31" i="33"/>
  <c r="O13" i="40" a="1"/>
  <c r="O13" i="40" s="1"/>
  <c r="T13" i="40" s="1"/>
  <c r="O15" i="40" a="1"/>
  <c r="O15" i="40" s="1"/>
  <c r="T15" i="40" s="1"/>
  <c r="O11" i="40" a="1"/>
  <c r="O11" i="40" s="1"/>
  <c r="T11" i="40" s="1"/>
  <c r="O9" i="40" a="1"/>
  <c r="O9" i="40" s="1"/>
  <c r="T9" i="40" s="1"/>
  <c r="O7" i="40" a="1"/>
  <c r="O7" i="40" s="1"/>
  <c r="T7" i="40" s="1"/>
  <c r="O12" i="40" a="1"/>
  <c r="O12" i="40" s="1"/>
  <c r="T12" i="40" s="1"/>
  <c r="O14" i="40" a="1"/>
  <c r="O14" i="40" s="1"/>
  <c r="T14" i="40" s="1"/>
  <c r="O6" i="40" a="1"/>
  <c r="O6" i="40" s="1"/>
  <c r="T6" i="40" s="1"/>
  <c r="O10" i="40" a="1"/>
  <c r="O10" i="40" s="1"/>
  <c r="T10" i="40" s="1"/>
  <c r="H26" i="33"/>
  <c r="O8" i="40" a="1"/>
  <c r="O8" i="40" s="1"/>
  <c r="T8" i="40" s="1"/>
  <c r="I15" i="33"/>
  <c r="J13" i="44" s="1" a="1"/>
  <c r="J13" i="44" s="1"/>
  <c r="N34" i="8"/>
  <c r="Z34" i="8" s="1"/>
  <c r="I9" i="33"/>
  <c r="Q36" i="8"/>
  <c r="P17" i="8"/>
  <c r="R229" i="40" a="1"/>
  <c r="R229" i="40" s="1"/>
  <c r="V229" i="40" s="1"/>
  <c r="R228" i="40" a="1"/>
  <c r="R228" i="40" s="1"/>
  <c r="V228" i="40" s="1"/>
  <c r="R233" i="40" a="1"/>
  <c r="R233" i="40" s="1"/>
  <c r="V233" i="40" s="1"/>
  <c r="R235" i="40" a="1"/>
  <c r="R235" i="40" s="1"/>
  <c r="V235" i="40" s="1"/>
  <c r="R232" i="40" a="1"/>
  <c r="R232" i="40" s="1"/>
  <c r="V232" i="40" s="1"/>
  <c r="R227" i="40" a="1"/>
  <c r="R227" i="40" s="1"/>
  <c r="V227" i="40" s="1"/>
  <c r="R226" i="40" a="1"/>
  <c r="R226" i="40" s="1"/>
  <c r="V226" i="40" s="1"/>
  <c r="R231" i="40" a="1"/>
  <c r="R231" i="40" s="1"/>
  <c r="V231" i="40" s="1"/>
  <c r="R230" i="40" a="1"/>
  <c r="R230" i="40" s="1"/>
  <c r="V230" i="40" s="1"/>
  <c r="R234" i="40" a="1"/>
  <c r="R234" i="40" s="1"/>
  <c r="V234" i="40" s="1"/>
  <c r="J30" i="8"/>
  <c r="Q64" i="8"/>
  <c r="I18" i="33"/>
  <c r="L47" i="8"/>
  <c r="M47" i="8"/>
  <c r="Y47" i="8" s="1"/>
  <c r="N8" i="8"/>
  <c r="Z8" i="8" s="1"/>
  <c r="M26" i="8"/>
  <c r="Y26" i="8" s="1"/>
  <c r="L26" i="8"/>
  <c r="L58" i="8"/>
  <c r="M58" i="8"/>
  <c r="Y58" i="8" s="1"/>
  <c r="L20" i="8"/>
  <c r="M20" i="8"/>
  <c r="Y20" i="8" s="1"/>
  <c r="N1374" i="40" l="1" a="1"/>
  <c r="N1374" i="40" s="1"/>
  <c r="N1372" i="40" a="1"/>
  <c r="N1372" i="40" s="1"/>
  <c r="J441" i="42"/>
  <c r="J416" i="42"/>
  <c r="J46" i="42"/>
  <c r="J419" i="42"/>
  <c r="J413" i="42"/>
  <c r="J44" i="42"/>
  <c r="J286" i="42"/>
  <c r="J281" i="42"/>
  <c r="J438" i="42"/>
  <c r="J89" i="42"/>
  <c r="J39" i="42"/>
  <c r="J43" i="42"/>
  <c r="J70" i="42"/>
  <c r="J658" i="42"/>
  <c r="J412" i="42"/>
  <c r="J656" i="42"/>
  <c r="J418" i="42"/>
  <c r="J280" i="42"/>
  <c r="J415" i="42"/>
  <c r="J436" i="42"/>
  <c r="J417" i="42"/>
  <c r="J41" i="42"/>
  <c r="J414" i="42"/>
  <c r="J411" i="42"/>
  <c r="J657" i="42"/>
  <c r="N730" i="40" a="1"/>
  <c r="N730" i="40" s="1"/>
  <c r="J45" i="42"/>
  <c r="J84" i="42"/>
  <c r="J42" i="42"/>
  <c r="J90" i="42"/>
  <c r="J32" i="42"/>
  <c r="J22" i="44" s="1" a="1"/>
  <c r="J22" i="44" s="1"/>
  <c r="J65" i="42"/>
  <c r="J25" i="44" s="1" a="1"/>
  <c r="J25" i="44" s="1"/>
  <c r="N23" i="40" a="1"/>
  <c r="N23" i="40" s="1"/>
  <c r="J440" i="42"/>
  <c r="N795" i="40" a="1"/>
  <c r="N795" i="40" s="1"/>
  <c r="N670" i="40" a="1"/>
  <c r="N670" i="40" s="1"/>
  <c r="N1379" i="40" a="1"/>
  <c r="N1379" i="40" s="1"/>
  <c r="N796" i="40" a="1"/>
  <c r="N796" i="40" s="1"/>
  <c r="N675" i="40" a="1"/>
  <c r="N675" i="40" s="1"/>
  <c r="N668" i="40" a="1"/>
  <c r="N668" i="40" s="1"/>
  <c r="J442" i="42"/>
  <c r="N1378" i="40" a="1"/>
  <c r="N1378" i="40" s="1"/>
  <c r="J462" i="42"/>
  <c r="N669" i="40" a="1"/>
  <c r="N669" i="40" s="1"/>
  <c r="N1376" i="40" a="1"/>
  <c r="N1376" i="40" s="1"/>
  <c r="J460" i="42"/>
  <c r="N792" i="40" a="1"/>
  <c r="N792" i="40" s="1"/>
  <c r="N672" i="40" a="1"/>
  <c r="N672" i="40" s="1"/>
  <c r="N1375" i="40" a="1"/>
  <c r="N1375" i="40" s="1"/>
  <c r="J464" i="42"/>
  <c r="N83" i="40" a="1"/>
  <c r="N83" i="40" s="1"/>
  <c r="N667" i="40" a="1"/>
  <c r="N667" i="40" s="1"/>
  <c r="N1373" i="40" a="1"/>
  <c r="N1373" i="40" s="1"/>
  <c r="N21" i="40" a="1"/>
  <c r="N21" i="40" s="1"/>
  <c r="J92" i="42"/>
  <c r="J86" i="42"/>
  <c r="N90" i="40" a="1"/>
  <c r="N90" i="40" s="1"/>
  <c r="N791" i="40" a="1"/>
  <c r="N791" i="40" s="1"/>
  <c r="N723" i="40" a="1"/>
  <c r="N723" i="40" s="1"/>
  <c r="J457" i="42"/>
  <c r="N87" i="40" a="1"/>
  <c r="N87" i="40" s="1"/>
  <c r="J85" i="42"/>
  <c r="J33" i="42"/>
  <c r="N84" i="40" a="1"/>
  <c r="N84" i="40" s="1"/>
  <c r="J461" i="42"/>
  <c r="J463" i="42"/>
  <c r="N722" i="40" a="1"/>
  <c r="N722" i="40" s="1"/>
  <c r="J439" i="42"/>
  <c r="J407" i="42"/>
  <c r="J63" i="42"/>
  <c r="J30" i="42"/>
  <c r="J458" i="42"/>
  <c r="J87" i="42"/>
  <c r="J26" i="44" s="1" a="1"/>
  <c r="J26" i="44" s="1"/>
  <c r="N85" i="40" a="1"/>
  <c r="N85" i="40" s="1"/>
  <c r="N25" i="40" a="1"/>
  <c r="N25" i="40" s="1"/>
  <c r="N91" i="40" a="1"/>
  <c r="N91" i="40" s="1"/>
  <c r="J66" i="42"/>
  <c r="N671" i="40" a="1"/>
  <c r="N671" i="40" s="1"/>
  <c r="N24" i="40" a="1"/>
  <c r="N24" i="40" s="1"/>
  <c r="N92" i="40" a="1"/>
  <c r="N92" i="40" s="1"/>
  <c r="J88" i="42"/>
  <c r="N1371" i="40" a="1"/>
  <c r="N1371" i="40" s="1"/>
  <c r="N787" i="40" a="1"/>
  <c r="N787" i="40" s="1"/>
  <c r="N726" i="40" a="1"/>
  <c r="N726" i="40" s="1"/>
  <c r="J697" i="42"/>
  <c r="J408" i="42"/>
  <c r="N729" i="40" a="1"/>
  <c r="N729" i="40" s="1"/>
  <c r="J433" i="42"/>
  <c r="N22" i="40" a="1"/>
  <c r="N22" i="40" s="1"/>
  <c r="N19" i="40" a="1"/>
  <c r="N19" i="40" s="1"/>
  <c r="J437" i="42"/>
  <c r="N788" i="40" a="1"/>
  <c r="N788" i="40" s="1"/>
  <c r="N727" i="40" a="1"/>
  <c r="N727" i="40" s="1"/>
  <c r="J696" i="42"/>
  <c r="N666" i="40" a="1"/>
  <c r="N666" i="40" s="1"/>
  <c r="N17" i="40" a="1"/>
  <c r="N17" i="40" s="1"/>
  <c r="N18" i="40" a="1"/>
  <c r="N18" i="40" s="1"/>
  <c r="N1370" i="40" a="1"/>
  <c r="N1370" i="40" s="1"/>
  <c r="N786" i="40" a="1"/>
  <c r="N786" i="40" s="1"/>
  <c r="N725" i="40" a="1"/>
  <c r="N725" i="40" s="1"/>
  <c r="J404" i="42"/>
  <c r="N26" i="40" a="1"/>
  <c r="N26" i="40" s="1"/>
  <c r="N86" i="40" a="1"/>
  <c r="N86" i="40" s="1"/>
  <c r="N790" i="40" a="1"/>
  <c r="N790" i="40" s="1"/>
  <c r="N20" i="40" a="1"/>
  <c r="N20" i="40" s="1"/>
  <c r="J69" i="42"/>
  <c r="N789" i="40" a="1"/>
  <c r="N789" i="40" s="1"/>
  <c r="N728" i="40" a="1"/>
  <c r="N728" i="40" s="1"/>
  <c r="N1369" i="40" a="1"/>
  <c r="N1369" i="40" s="1"/>
  <c r="N724" i="40" a="1"/>
  <c r="N724" i="40" s="1"/>
  <c r="N88" i="40" a="1"/>
  <c r="N88" i="40" s="1"/>
  <c r="N794" i="40" a="1"/>
  <c r="N794" i="40" s="1"/>
  <c r="J327" i="42"/>
  <c r="J64" i="42"/>
  <c r="N721" i="40" a="1"/>
  <c r="N721" i="40" s="1"/>
  <c r="N89" i="40" a="1"/>
  <c r="N89" i="40" s="1"/>
  <c r="N80" i="40" a="1"/>
  <c r="N80" i="40" s="1"/>
  <c r="J61" i="42"/>
  <c r="J67" i="42"/>
  <c r="J459" i="42"/>
  <c r="N780" i="40" a="1"/>
  <c r="N780" i="40" s="1"/>
  <c r="N78" i="40" a="1"/>
  <c r="N78" i="40" s="1"/>
  <c r="J435" i="42"/>
  <c r="N77" i="40" a="1"/>
  <c r="N77" i="40" s="1"/>
  <c r="J434" i="42"/>
  <c r="N81" i="40" a="1"/>
  <c r="N81" i="40" s="1"/>
  <c r="N76" i="40" a="1"/>
  <c r="N76" i="40" s="1"/>
  <c r="N75" i="40" a="1"/>
  <c r="N75" i="40" s="1"/>
  <c r="N779" i="40" a="1"/>
  <c r="N779" i="40" s="1"/>
  <c r="N778" i="40" a="1"/>
  <c r="N778" i="40" s="1"/>
  <c r="N79" i="40" a="1"/>
  <c r="N79" i="40" s="1"/>
  <c r="N785" i="40" a="1"/>
  <c r="N785" i="40" s="1"/>
  <c r="N777" i="40" a="1"/>
  <c r="N777" i="40" s="1"/>
  <c r="N784" i="40" a="1"/>
  <c r="N784" i="40" s="1"/>
  <c r="N776" i="40" a="1"/>
  <c r="N776" i="40" s="1"/>
  <c r="J400" i="42"/>
  <c r="G127" i="41" s="1"/>
  <c r="N783" i="40" a="1"/>
  <c r="N783" i="40" s="1"/>
  <c r="N775" i="40" a="1"/>
  <c r="N775" i="40" s="1"/>
  <c r="J35" i="42"/>
  <c r="N782" i="40" a="1"/>
  <c r="N782" i="40" s="1"/>
  <c r="J34" i="42"/>
  <c r="J391" i="42"/>
  <c r="J398" i="42"/>
  <c r="J390" i="42"/>
  <c r="J397" i="42"/>
  <c r="J389" i="42"/>
  <c r="J20" i="42"/>
  <c r="J395" i="42"/>
  <c r="J29" i="42"/>
  <c r="J394" i="42"/>
  <c r="J393" i="42"/>
  <c r="J401" i="42"/>
  <c r="J28" i="42"/>
  <c r="J324" i="42"/>
  <c r="J325" i="42"/>
  <c r="J402" i="42"/>
  <c r="J699" i="42"/>
  <c r="J406" i="42"/>
  <c r="J36" i="42"/>
  <c r="J323" i="42"/>
  <c r="J37" i="42"/>
  <c r="J695" i="42"/>
  <c r="J328" i="42"/>
  <c r="J31" i="42"/>
  <c r="J702" i="42"/>
  <c r="J700" i="42"/>
  <c r="J403" i="42"/>
  <c r="J409" i="42"/>
  <c r="J330" i="42"/>
  <c r="J332" i="42"/>
  <c r="J326" i="42"/>
  <c r="J701" i="42"/>
  <c r="J704" i="42"/>
  <c r="J703" i="42"/>
  <c r="J331" i="42"/>
  <c r="J698" i="42"/>
  <c r="J329" i="42"/>
  <c r="K13" i="33"/>
  <c r="AB10" i="8"/>
  <c r="M241" i="40" a="1"/>
  <c r="M241" i="40" s="1"/>
  <c r="S241" i="40" s="1"/>
  <c r="Y62" i="8"/>
  <c r="K24" i="33"/>
  <c r="AB14" i="8"/>
  <c r="P8" i="31"/>
  <c r="Z53" i="8"/>
  <c r="J24" i="33"/>
  <c r="AA14" i="8"/>
  <c r="K21" i="33"/>
  <c r="AB27" i="8"/>
  <c r="J21" i="33"/>
  <c r="AA27" i="8"/>
  <c r="K32" i="33"/>
  <c r="AB47" i="8"/>
  <c r="K30" i="33"/>
  <c r="AB34" i="8"/>
  <c r="S9" i="31"/>
  <c r="Y19" i="8"/>
  <c r="K10" i="33"/>
  <c r="AB36" i="8"/>
  <c r="K33" i="33"/>
  <c r="AB16" i="8"/>
  <c r="K8" i="33"/>
  <c r="AB33" i="8"/>
  <c r="T8" i="31"/>
  <c r="Z54" i="8"/>
  <c r="J10" i="33"/>
  <c r="AA36" i="8"/>
  <c r="K36" i="33"/>
  <c r="M12" i="44" s="1"/>
  <c r="AB20" i="8"/>
  <c r="J6" i="33"/>
  <c r="AA51" i="8"/>
  <c r="J36" i="33"/>
  <c r="AA20" i="8"/>
  <c r="J32" i="33"/>
  <c r="AA47" i="8"/>
  <c r="K11" i="33"/>
  <c r="AB59" i="8"/>
  <c r="K16" i="33"/>
  <c r="M14" i="44" s="1"/>
  <c r="AB64" i="8"/>
  <c r="K9" i="33"/>
  <c r="M10" i="44" s="1"/>
  <c r="AB57" i="8"/>
  <c r="K28" i="33"/>
  <c r="AB38" i="8"/>
  <c r="K26" i="33"/>
  <c r="AB26" i="8"/>
  <c r="J26" i="33"/>
  <c r="AA26" i="8"/>
  <c r="K6" i="33"/>
  <c r="AB51" i="8"/>
  <c r="J33" i="33"/>
  <c r="AA16" i="8"/>
  <c r="J25" i="33"/>
  <c r="AA15" i="8"/>
  <c r="T9" i="31"/>
  <c r="Z19" i="8"/>
  <c r="K14" i="33"/>
  <c r="AB62" i="8"/>
  <c r="J8" i="33"/>
  <c r="AA33" i="8"/>
  <c r="J16" i="33"/>
  <c r="L14" i="44" s="1"/>
  <c r="AA64" i="8"/>
  <c r="K25" i="33"/>
  <c r="AB15" i="8"/>
  <c r="K22" i="33"/>
  <c r="AB29" i="8"/>
  <c r="F217" i="42"/>
  <c r="F589" i="42"/>
  <c r="F356" i="42"/>
  <c r="F728" i="42"/>
  <c r="F221" i="42"/>
  <c r="F593" i="42"/>
  <c r="F361" i="42"/>
  <c r="F733" i="42"/>
  <c r="F360" i="42"/>
  <c r="F732" i="42"/>
  <c r="F104" i="52" s="1"/>
  <c r="F586" i="42"/>
  <c r="F214" i="42"/>
  <c r="F734" i="42"/>
  <c r="F362" i="42"/>
  <c r="F357" i="42"/>
  <c r="F729" i="42"/>
  <c r="F215" i="42"/>
  <c r="F587" i="42"/>
  <c r="F363" i="42"/>
  <c r="F735" i="42"/>
  <c r="F588" i="42"/>
  <c r="F216" i="42"/>
  <c r="F220" i="42"/>
  <c r="F592" i="42"/>
  <c r="F737" i="42"/>
  <c r="F365" i="42"/>
  <c r="F591" i="42"/>
  <c r="F219" i="42"/>
  <c r="F590" i="42"/>
  <c r="F86" i="52" s="1"/>
  <c r="F218" i="42"/>
  <c r="F359" i="42"/>
  <c r="F731" i="42"/>
  <c r="F223" i="42"/>
  <c r="F595" i="42"/>
  <c r="F358" i="42"/>
  <c r="F730" i="42"/>
  <c r="F222" i="42"/>
  <c r="F594" i="42"/>
  <c r="F736" i="42"/>
  <c r="F364" i="42"/>
  <c r="J18" i="33"/>
  <c r="K18" i="33"/>
  <c r="K19" i="33"/>
  <c r="J19" i="33"/>
  <c r="C86" i="52"/>
  <c r="T11" i="31"/>
  <c r="C104" i="52"/>
  <c r="P11" i="31"/>
  <c r="N7" i="31"/>
  <c r="P9" i="31"/>
  <c r="J10" i="44" a="1"/>
  <c r="J10" i="44" s="1"/>
  <c r="P12" i="31"/>
  <c r="J9" i="44" a="1"/>
  <c r="J9" i="44" s="1"/>
  <c r="M1176" i="40" a="1"/>
  <c r="M1176" i="40" s="1"/>
  <c r="S1176" i="40" s="1"/>
  <c r="O7" i="31"/>
  <c r="Q7" i="31" s="1"/>
  <c r="T12" i="31"/>
  <c r="R8" i="31"/>
  <c r="J23" i="44" a="1"/>
  <c r="J23" i="44" s="1"/>
  <c r="J24" i="44" a="1"/>
  <c r="J24" i="44" s="1"/>
  <c r="J7" i="44" a="1"/>
  <c r="J7" i="44" s="1"/>
  <c r="J8" i="44" a="1"/>
  <c r="J8" i="44" s="1"/>
  <c r="J11" i="44" a="1"/>
  <c r="J11" i="44" s="1"/>
  <c r="C6" i="34"/>
  <c r="C9" i="34"/>
  <c r="J499" i="42"/>
  <c r="C10" i="34"/>
  <c r="B5" i="34"/>
  <c r="C7" i="34"/>
  <c r="F8" i="31" a="1"/>
  <c r="F8" i="31" s="1"/>
  <c r="F11" i="31" a="1"/>
  <c r="F11" i="31" s="1"/>
  <c r="F12" i="31" a="1"/>
  <c r="F12" i="31" s="1"/>
  <c r="F9" i="31" a="1"/>
  <c r="F9" i="31" s="1"/>
  <c r="F7" i="31" a="1"/>
  <c r="F7" i="31" s="1"/>
  <c r="I15" i="44"/>
  <c r="J502" i="42"/>
  <c r="J388" i="42"/>
  <c r="J396" i="42"/>
  <c r="M1174" i="40" a="1"/>
  <c r="M1174" i="40" s="1"/>
  <c r="S1174" i="40" s="1"/>
  <c r="M462" i="40" a="1"/>
  <c r="M462" i="40" s="1"/>
  <c r="S462" i="40" s="1"/>
  <c r="K7" i="33"/>
  <c r="J7" i="33"/>
  <c r="Q25" i="8"/>
  <c r="J15" i="33"/>
  <c r="L13" i="44" s="1"/>
  <c r="Q19" i="8"/>
  <c r="K31" i="33"/>
  <c r="J508" i="42"/>
  <c r="M1170" i="40" a="1"/>
  <c r="M1170" i="40" s="1"/>
  <c r="S1170" i="40" s="1"/>
  <c r="M1166" i="40" a="1"/>
  <c r="M1166" i="40" s="1"/>
  <c r="S1166" i="40" s="1"/>
  <c r="M472" i="40" a="1"/>
  <c r="M472" i="40" s="1"/>
  <c r="S472" i="40" s="1"/>
  <c r="M1180" i="40" a="1"/>
  <c r="M1180" i="40" s="1"/>
  <c r="S1180" i="40" s="1"/>
  <c r="M470" i="40" a="1"/>
  <c r="M470" i="40" s="1"/>
  <c r="S470" i="40" s="1"/>
  <c r="M1164" i="40" a="1"/>
  <c r="M1164" i="40" s="1"/>
  <c r="S1164" i="40" s="1"/>
  <c r="M458" i="40" a="1"/>
  <c r="M458" i="40" s="1"/>
  <c r="S458" i="40" s="1"/>
  <c r="M476" i="40" a="1"/>
  <c r="M476" i="40" s="1"/>
  <c r="S476" i="40" s="1"/>
  <c r="M466" i="40" a="1"/>
  <c r="M466" i="40" s="1"/>
  <c r="S466" i="40" s="1"/>
  <c r="M1178" i="40" a="1"/>
  <c r="M1178" i="40" s="1"/>
  <c r="S1178" i="40" s="1"/>
  <c r="M1172" i="40" a="1"/>
  <c r="M1172" i="40" s="1"/>
  <c r="S1172" i="40" s="1"/>
  <c r="M468" i="40" a="1"/>
  <c r="M468" i="40" s="1"/>
  <c r="S468" i="40" s="1"/>
  <c r="M474" i="40" a="1"/>
  <c r="M474" i="40" s="1"/>
  <c r="S474" i="40" s="1"/>
  <c r="M1168" i="40" a="1"/>
  <c r="M1168" i="40" s="1"/>
  <c r="S1168" i="40" s="1"/>
  <c r="M464" i="40" a="1"/>
  <c r="M464" i="40" s="1"/>
  <c r="S464" i="40" s="1"/>
  <c r="M460" i="40" a="1"/>
  <c r="M460" i="40" s="1"/>
  <c r="S460" i="40" s="1"/>
  <c r="M1162" i="40" a="1"/>
  <c r="M1162" i="40" s="1"/>
  <c r="S1162" i="40" s="1"/>
  <c r="M1160" i="40" a="1"/>
  <c r="M1160" i="40" s="1"/>
  <c r="S1160" i="40" s="1"/>
  <c r="J133" i="42"/>
  <c r="J131" i="42"/>
  <c r="J135" i="42"/>
  <c r="J506" i="42"/>
  <c r="M239" i="40" a="1"/>
  <c r="M239" i="40" s="1"/>
  <c r="S239" i="40" s="1"/>
  <c r="J500" i="42"/>
  <c r="J132" i="42"/>
  <c r="J504" i="42"/>
  <c r="I12" i="44"/>
  <c r="J503" i="42"/>
  <c r="J188" i="42"/>
  <c r="J189" i="42"/>
  <c r="J181" i="42"/>
  <c r="J134" i="42"/>
  <c r="J183" i="42"/>
  <c r="G33" i="41"/>
  <c r="J127" i="42"/>
  <c r="J136" i="42"/>
  <c r="J557" i="42"/>
  <c r="I728" i="42"/>
  <c r="J501" i="42"/>
  <c r="J559" i="42"/>
  <c r="J130" i="42"/>
  <c r="I356" i="42"/>
  <c r="I592" i="42"/>
  <c r="J507" i="42"/>
  <c r="J556" i="42"/>
  <c r="I220" i="42"/>
  <c r="G12" i="41"/>
  <c r="J558" i="42"/>
  <c r="M1336" i="40" a="1"/>
  <c r="M1336" i="40" s="1"/>
  <c r="S1336" i="40" s="1"/>
  <c r="M1337" i="40" a="1"/>
  <c r="M1337" i="40" s="1"/>
  <c r="S1337" i="40" s="1"/>
  <c r="M1338" i="40" a="1"/>
  <c r="M1338" i="40" s="1"/>
  <c r="S1338" i="40" s="1"/>
  <c r="M1339" i="40" a="1"/>
  <c r="M1339" i="40" s="1"/>
  <c r="S1339" i="40" s="1"/>
  <c r="M1340" i="40" a="1"/>
  <c r="M1340" i="40" s="1"/>
  <c r="S1340" i="40" s="1"/>
  <c r="M1341" i="40" a="1"/>
  <c r="M1341" i="40" s="1"/>
  <c r="S1341" i="40" s="1"/>
  <c r="M1342" i="40" a="1"/>
  <c r="M1342" i="40" s="1"/>
  <c r="S1342" i="40" s="1"/>
  <c r="M1343" i="40" a="1"/>
  <c r="M1343" i="40" s="1"/>
  <c r="S1343" i="40" s="1"/>
  <c r="M1344" i="40" a="1"/>
  <c r="M1344" i="40" s="1"/>
  <c r="S1344" i="40" s="1"/>
  <c r="M1345" i="40" a="1"/>
  <c r="M1345" i="40" s="1"/>
  <c r="S1345" i="40" s="1"/>
  <c r="M1346" i="40" a="1"/>
  <c r="M1346" i="40" s="1"/>
  <c r="S1346" i="40" s="1"/>
  <c r="N1259" i="40" a="1"/>
  <c r="N1259" i="40" s="1"/>
  <c r="N1261" i="40" a="1"/>
  <c r="N1261" i="40" s="1"/>
  <c r="N1263" i="40" a="1"/>
  <c r="N1263" i="40" s="1"/>
  <c r="N1265" i="40" a="1"/>
  <c r="N1265" i="40" s="1"/>
  <c r="N1267" i="40" a="1"/>
  <c r="N1267" i="40" s="1"/>
  <c r="N1269" i="40" a="1"/>
  <c r="N1269" i="40" s="1"/>
  <c r="N1271" i="40" a="1"/>
  <c r="N1271" i="40" s="1"/>
  <c r="N1273" i="40" a="1"/>
  <c r="N1273" i="40" s="1"/>
  <c r="N1275" i="40" a="1"/>
  <c r="N1275" i="40" s="1"/>
  <c r="N1277" i="40" a="1"/>
  <c r="N1277" i="40" s="1"/>
  <c r="N1279" i="40" a="1"/>
  <c r="N1279" i="40" s="1"/>
  <c r="N918" i="40" a="1"/>
  <c r="N918" i="40" s="1"/>
  <c r="N919" i="40" a="1"/>
  <c r="N919" i="40" s="1"/>
  <c r="N920" i="40" a="1"/>
  <c r="N920" i="40" s="1"/>
  <c r="N921" i="40" a="1"/>
  <c r="N921" i="40" s="1"/>
  <c r="N922" i="40" a="1"/>
  <c r="N922" i="40" s="1"/>
  <c r="N923" i="40" a="1"/>
  <c r="N923" i="40" s="1"/>
  <c r="N924" i="40" a="1"/>
  <c r="N924" i="40" s="1"/>
  <c r="N925" i="40" a="1"/>
  <c r="N925" i="40" s="1"/>
  <c r="N926" i="40" a="1"/>
  <c r="N926" i="40" s="1"/>
  <c r="N927" i="40" a="1"/>
  <c r="N927" i="40" s="1"/>
  <c r="N928" i="40" a="1"/>
  <c r="N928" i="40" s="1"/>
  <c r="N809" i="40" a="1"/>
  <c r="N809" i="40" s="1"/>
  <c r="N812" i="40" a="1"/>
  <c r="N812" i="40" s="1"/>
  <c r="N815" i="40" a="1"/>
  <c r="N815" i="40" s="1"/>
  <c r="N818" i="40" a="1"/>
  <c r="N818" i="40" s="1"/>
  <c r="N821" i="40" a="1"/>
  <c r="N821" i="40" s="1"/>
  <c r="N824" i="40" a="1"/>
  <c r="N824" i="40" s="1"/>
  <c r="N827" i="40" a="1"/>
  <c r="N827" i="40" s="1"/>
  <c r="N830" i="40" a="1"/>
  <c r="N830" i="40" s="1"/>
  <c r="N833" i="40" a="1"/>
  <c r="N833" i="40" s="1"/>
  <c r="N836" i="40" a="1"/>
  <c r="N836" i="40" s="1"/>
  <c r="N839" i="40" a="1"/>
  <c r="N839" i="40" s="1"/>
  <c r="R1227" i="40" a="1"/>
  <c r="R1227" i="40" s="1"/>
  <c r="V1227" i="40" s="1"/>
  <c r="R1230" i="40" a="1"/>
  <c r="R1230" i="40" s="1"/>
  <c r="V1230" i="40" s="1"/>
  <c r="R1233" i="40" a="1"/>
  <c r="R1233" i="40" s="1"/>
  <c r="V1233" i="40" s="1"/>
  <c r="R1239" i="40" a="1"/>
  <c r="R1239" i="40" s="1"/>
  <c r="V1239" i="40" s="1"/>
  <c r="R1236" i="40" a="1"/>
  <c r="R1236" i="40" s="1"/>
  <c r="V1236" i="40" s="1"/>
  <c r="R1242" i="40" a="1"/>
  <c r="R1242" i="40" s="1"/>
  <c r="V1242" i="40" s="1"/>
  <c r="R1245" i="40" a="1"/>
  <c r="R1245" i="40" s="1"/>
  <c r="V1245" i="40" s="1"/>
  <c r="R1248" i="40" a="1"/>
  <c r="R1248" i="40" s="1"/>
  <c r="V1248" i="40" s="1"/>
  <c r="R1251" i="40" a="1"/>
  <c r="R1251" i="40" s="1"/>
  <c r="V1251" i="40" s="1"/>
  <c r="R1254" i="40" a="1"/>
  <c r="R1254" i="40" s="1"/>
  <c r="V1254" i="40" s="1"/>
  <c r="R1257" i="40" a="1"/>
  <c r="R1257" i="40" s="1"/>
  <c r="V1257" i="40" s="1"/>
  <c r="M1259" i="40" a="1"/>
  <c r="M1259" i="40" s="1"/>
  <c r="S1259" i="40" s="1"/>
  <c r="M1261" i="40" a="1"/>
  <c r="M1261" i="40" s="1"/>
  <c r="S1261" i="40" s="1"/>
  <c r="M1263" i="40" a="1"/>
  <c r="M1263" i="40" s="1"/>
  <c r="S1263" i="40" s="1"/>
  <c r="M1265" i="40" a="1"/>
  <c r="M1265" i="40" s="1"/>
  <c r="S1265" i="40" s="1"/>
  <c r="M1267" i="40" a="1"/>
  <c r="M1267" i="40" s="1"/>
  <c r="S1267" i="40" s="1"/>
  <c r="M1269" i="40" a="1"/>
  <c r="M1269" i="40" s="1"/>
  <c r="S1269" i="40" s="1"/>
  <c r="M1271" i="40" a="1"/>
  <c r="M1271" i="40" s="1"/>
  <c r="S1271" i="40" s="1"/>
  <c r="M1273" i="40" a="1"/>
  <c r="M1273" i="40" s="1"/>
  <c r="S1273" i="40" s="1"/>
  <c r="M1275" i="40" a="1"/>
  <c r="M1275" i="40" s="1"/>
  <c r="S1275" i="40" s="1"/>
  <c r="M1277" i="40" a="1"/>
  <c r="M1277" i="40" s="1"/>
  <c r="S1277" i="40" s="1"/>
  <c r="M1279" i="40" a="1"/>
  <c r="M1279" i="40" s="1"/>
  <c r="S1279" i="40" s="1"/>
  <c r="Q810" i="40" a="1"/>
  <c r="Q810" i="40" s="1"/>
  <c r="U810" i="40" s="1"/>
  <c r="Q813" i="40" a="1"/>
  <c r="Q813" i="40" s="1"/>
  <c r="U813" i="40" s="1"/>
  <c r="Q816" i="40" a="1"/>
  <c r="Q816" i="40" s="1"/>
  <c r="U816" i="40" s="1"/>
  <c r="Q819" i="40" a="1"/>
  <c r="Q819" i="40" s="1"/>
  <c r="U819" i="40" s="1"/>
  <c r="Q825" i="40" a="1"/>
  <c r="Q825" i="40" s="1"/>
  <c r="U825" i="40" s="1"/>
  <c r="Q822" i="40" a="1"/>
  <c r="Q822" i="40" s="1"/>
  <c r="U822" i="40" s="1"/>
  <c r="Q828" i="40" a="1"/>
  <c r="Q828" i="40" s="1"/>
  <c r="U828" i="40" s="1"/>
  <c r="Q831" i="40" a="1"/>
  <c r="Q831" i="40" s="1"/>
  <c r="U831" i="40" s="1"/>
  <c r="Q834" i="40" a="1"/>
  <c r="Q834" i="40" s="1"/>
  <c r="U834" i="40" s="1"/>
  <c r="Q837" i="40" a="1"/>
  <c r="Q837" i="40" s="1"/>
  <c r="U837" i="40" s="1"/>
  <c r="Q840" i="40" a="1"/>
  <c r="Q840" i="40" s="1"/>
  <c r="U840" i="40" s="1"/>
  <c r="N1204" i="40" a="1"/>
  <c r="N1204" i="40" s="1"/>
  <c r="N1206" i="40" a="1"/>
  <c r="N1206" i="40" s="1"/>
  <c r="N1208" i="40" a="1"/>
  <c r="N1208" i="40" s="1"/>
  <c r="N1210" i="40" a="1"/>
  <c r="N1210" i="40" s="1"/>
  <c r="N1212" i="40" a="1"/>
  <c r="N1212" i="40" s="1"/>
  <c r="N1214" i="40" a="1"/>
  <c r="N1214" i="40" s="1"/>
  <c r="N1216" i="40" a="1"/>
  <c r="N1216" i="40" s="1"/>
  <c r="N1218" i="40" a="1"/>
  <c r="N1218" i="40" s="1"/>
  <c r="N1220" i="40" a="1"/>
  <c r="N1220" i="40" s="1"/>
  <c r="N1222" i="40" a="1"/>
  <c r="N1222" i="40" s="1"/>
  <c r="N1224" i="40" a="1"/>
  <c r="N1224" i="40" s="1"/>
  <c r="M918" i="40" a="1"/>
  <c r="M918" i="40" s="1"/>
  <c r="S918" i="40" s="1"/>
  <c r="M919" i="40" a="1"/>
  <c r="M919" i="40" s="1"/>
  <c r="S919" i="40" s="1"/>
  <c r="M920" i="40" a="1"/>
  <c r="M920" i="40" s="1"/>
  <c r="S920" i="40" s="1"/>
  <c r="M921" i="40" a="1"/>
  <c r="M921" i="40" s="1"/>
  <c r="S921" i="40" s="1"/>
  <c r="M922" i="40" a="1"/>
  <c r="M922" i="40" s="1"/>
  <c r="S922" i="40" s="1"/>
  <c r="M923" i="40" a="1"/>
  <c r="M923" i="40" s="1"/>
  <c r="S923" i="40" s="1"/>
  <c r="M924" i="40" a="1"/>
  <c r="M924" i="40" s="1"/>
  <c r="S924" i="40" s="1"/>
  <c r="M925" i="40" a="1"/>
  <c r="M925" i="40" s="1"/>
  <c r="S925" i="40" s="1"/>
  <c r="M926" i="40" a="1"/>
  <c r="M926" i="40" s="1"/>
  <c r="S926" i="40" s="1"/>
  <c r="M927" i="40" a="1"/>
  <c r="M927" i="40" s="1"/>
  <c r="S927" i="40" s="1"/>
  <c r="M928" i="40" a="1"/>
  <c r="M928" i="40" s="1"/>
  <c r="S928" i="40" s="1"/>
  <c r="M1260" i="40" a="1"/>
  <c r="M1260" i="40" s="1"/>
  <c r="S1260" i="40" s="1"/>
  <c r="M1262" i="40" a="1"/>
  <c r="M1262" i="40" s="1"/>
  <c r="S1262" i="40" s="1"/>
  <c r="M1264" i="40" a="1"/>
  <c r="M1264" i="40" s="1"/>
  <c r="S1264" i="40" s="1"/>
  <c r="M1266" i="40" a="1"/>
  <c r="M1266" i="40" s="1"/>
  <c r="S1266" i="40" s="1"/>
  <c r="M1268" i="40" a="1"/>
  <c r="M1268" i="40" s="1"/>
  <c r="S1268" i="40" s="1"/>
  <c r="M1270" i="40" a="1"/>
  <c r="M1270" i="40" s="1"/>
  <c r="S1270" i="40" s="1"/>
  <c r="M1272" i="40" a="1"/>
  <c r="M1272" i="40" s="1"/>
  <c r="S1272" i="40" s="1"/>
  <c r="M1274" i="40" a="1"/>
  <c r="M1274" i="40" s="1"/>
  <c r="S1274" i="40" s="1"/>
  <c r="M1276" i="40" a="1"/>
  <c r="M1276" i="40" s="1"/>
  <c r="S1276" i="40" s="1"/>
  <c r="M1278" i="40" a="1"/>
  <c r="M1278" i="40" s="1"/>
  <c r="S1278" i="40" s="1"/>
  <c r="M1280" i="40" a="1"/>
  <c r="M1280" i="40" s="1"/>
  <c r="S1280" i="40" s="1"/>
  <c r="R885" i="40" a="1"/>
  <c r="R885" i="40" s="1"/>
  <c r="V885" i="40" s="1"/>
  <c r="R886" i="40" a="1"/>
  <c r="R886" i="40" s="1"/>
  <c r="V886" i="40" s="1"/>
  <c r="R887" i="40" a="1"/>
  <c r="R887" i="40" s="1"/>
  <c r="V887" i="40" s="1"/>
  <c r="R888" i="40" a="1"/>
  <c r="R888" i="40" s="1"/>
  <c r="V888" i="40" s="1"/>
  <c r="R889" i="40" a="1"/>
  <c r="R889" i="40" s="1"/>
  <c r="V889" i="40" s="1"/>
  <c r="R890" i="40" a="1"/>
  <c r="R890" i="40" s="1"/>
  <c r="V890" i="40" s="1"/>
  <c r="R891" i="40" a="1"/>
  <c r="R891" i="40" s="1"/>
  <c r="V891" i="40" s="1"/>
  <c r="R892" i="40" a="1"/>
  <c r="R892" i="40" s="1"/>
  <c r="V892" i="40" s="1"/>
  <c r="R893" i="40" a="1"/>
  <c r="R893" i="40" s="1"/>
  <c r="V893" i="40" s="1"/>
  <c r="R895" i="40" a="1"/>
  <c r="R895" i="40" s="1"/>
  <c r="V895" i="40" s="1"/>
  <c r="R894" i="40" a="1"/>
  <c r="R894" i="40" s="1"/>
  <c r="V894" i="40" s="1"/>
  <c r="O1086" i="40" a="1"/>
  <c r="O1086" i="40" s="1"/>
  <c r="T1086" i="40" s="1"/>
  <c r="O1090" i="40" a="1"/>
  <c r="O1090" i="40" s="1"/>
  <c r="T1090" i="40" s="1"/>
  <c r="O1094" i="40" a="1"/>
  <c r="O1094" i="40" s="1"/>
  <c r="T1094" i="40" s="1"/>
  <c r="O1098" i="40" a="1"/>
  <c r="O1098" i="40" s="1"/>
  <c r="T1098" i="40" s="1"/>
  <c r="O1102" i="40" a="1"/>
  <c r="O1102" i="40" s="1"/>
  <c r="T1102" i="40" s="1"/>
  <c r="O1106" i="40" a="1"/>
  <c r="O1106" i="40" s="1"/>
  <c r="T1106" i="40" s="1"/>
  <c r="O1110" i="40" a="1"/>
  <c r="O1110" i="40" s="1"/>
  <c r="T1110" i="40" s="1"/>
  <c r="O1114" i="40" a="1"/>
  <c r="O1114" i="40" s="1"/>
  <c r="T1114" i="40" s="1"/>
  <c r="O1118" i="40" a="1"/>
  <c r="O1118" i="40" s="1"/>
  <c r="T1118" i="40" s="1"/>
  <c r="O1122" i="40" a="1"/>
  <c r="O1122" i="40" s="1"/>
  <c r="T1122" i="40" s="1"/>
  <c r="O1126" i="40" a="1"/>
  <c r="O1126" i="40" s="1"/>
  <c r="T1126" i="40" s="1"/>
  <c r="R864" i="40" a="1"/>
  <c r="R864" i="40" s="1"/>
  <c r="V864" i="40" s="1"/>
  <c r="R866" i="40" a="1"/>
  <c r="R866" i="40" s="1"/>
  <c r="V866" i="40" s="1"/>
  <c r="R868" i="40" a="1"/>
  <c r="R868" i="40" s="1"/>
  <c r="V868" i="40" s="1"/>
  <c r="R870" i="40" a="1"/>
  <c r="R870" i="40" s="1"/>
  <c r="V870" i="40" s="1"/>
  <c r="R872" i="40" a="1"/>
  <c r="R872" i="40" s="1"/>
  <c r="V872" i="40" s="1"/>
  <c r="R874" i="40" a="1"/>
  <c r="R874" i="40" s="1"/>
  <c r="V874" i="40" s="1"/>
  <c r="R876" i="40" a="1"/>
  <c r="R876" i="40" s="1"/>
  <c r="V876" i="40" s="1"/>
  <c r="R878" i="40" a="1"/>
  <c r="R878" i="40" s="1"/>
  <c r="V878" i="40" s="1"/>
  <c r="R880" i="40" a="1"/>
  <c r="R880" i="40" s="1"/>
  <c r="V880" i="40" s="1"/>
  <c r="R882" i="40" a="1"/>
  <c r="R882" i="40" s="1"/>
  <c r="V882" i="40" s="1"/>
  <c r="R884" i="40" a="1"/>
  <c r="R884" i="40" s="1"/>
  <c r="V884" i="40" s="1"/>
  <c r="Q1294" i="40" a="1"/>
  <c r="Q1294" i="40" s="1"/>
  <c r="U1294" i="40" s="1"/>
  <c r="Q1297" i="40" a="1"/>
  <c r="Q1297" i="40" s="1"/>
  <c r="U1297" i="40" s="1"/>
  <c r="Q1300" i="40" a="1"/>
  <c r="Q1300" i="40" s="1"/>
  <c r="U1300" i="40" s="1"/>
  <c r="Q1303" i="40" a="1"/>
  <c r="Q1303" i="40" s="1"/>
  <c r="U1303" i="40" s="1"/>
  <c r="Q1309" i="40" a="1"/>
  <c r="Q1309" i="40" s="1"/>
  <c r="U1309" i="40" s="1"/>
  <c r="Q1306" i="40" a="1"/>
  <c r="Q1306" i="40" s="1"/>
  <c r="U1306" i="40" s="1"/>
  <c r="Q1312" i="40" a="1"/>
  <c r="Q1312" i="40" s="1"/>
  <c r="U1312" i="40" s="1"/>
  <c r="Q1315" i="40" a="1"/>
  <c r="Q1315" i="40" s="1"/>
  <c r="U1315" i="40" s="1"/>
  <c r="Q1318" i="40" a="1"/>
  <c r="Q1318" i="40" s="1"/>
  <c r="U1318" i="40" s="1"/>
  <c r="Q1321" i="40" a="1"/>
  <c r="Q1321" i="40" s="1"/>
  <c r="U1321" i="40" s="1"/>
  <c r="Q1324" i="40" a="1"/>
  <c r="Q1324" i="40" s="1"/>
  <c r="U1324" i="40" s="1"/>
  <c r="M1294" i="40" a="1"/>
  <c r="M1294" i="40" s="1"/>
  <c r="S1294" i="40" s="1"/>
  <c r="M1297" i="40" a="1"/>
  <c r="M1297" i="40" s="1"/>
  <c r="S1297" i="40" s="1"/>
  <c r="M1300" i="40" a="1"/>
  <c r="M1300" i="40" s="1"/>
  <c r="S1300" i="40" s="1"/>
  <c r="M1303" i="40" a="1"/>
  <c r="M1303" i="40" s="1"/>
  <c r="S1303" i="40" s="1"/>
  <c r="M1306" i="40" a="1"/>
  <c r="M1306" i="40" s="1"/>
  <c r="S1306" i="40" s="1"/>
  <c r="M1309" i="40" a="1"/>
  <c r="M1309" i="40" s="1"/>
  <c r="S1309" i="40" s="1"/>
  <c r="M1312" i="40" a="1"/>
  <c r="M1312" i="40" s="1"/>
  <c r="S1312" i="40" s="1"/>
  <c r="M1315" i="40" a="1"/>
  <c r="M1315" i="40" s="1"/>
  <c r="S1315" i="40" s="1"/>
  <c r="M1318" i="40" a="1"/>
  <c r="M1318" i="40" s="1"/>
  <c r="S1318" i="40" s="1"/>
  <c r="M1321" i="40" a="1"/>
  <c r="M1321" i="40" s="1"/>
  <c r="S1321" i="40" s="1"/>
  <c r="M1324" i="40" a="1"/>
  <c r="M1324" i="40" s="1"/>
  <c r="S1324" i="40" s="1"/>
  <c r="Q512" i="40" a="1"/>
  <c r="Q512" i="40" s="1"/>
  <c r="U512" i="40" s="1"/>
  <c r="Q1204" i="40" a="1"/>
  <c r="Q1204" i="40" s="1"/>
  <c r="U1204" i="40" s="1"/>
  <c r="Q1206" i="40" a="1"/>
  <c r="Q1206" i="40" s="1"/>
  <c r="U1206" i="40" s="1"/>
  <c r="Q1208" i="40" a="1"/>
  <c r="Q1208" i="40" s="1"/>
  <c r="U1208" i="40" s="1"/>
  <c r="Q1210" i="40" a="1"/>
  <c r="Q1210" i="40" s="1"/>
  <c r="U1210" i="40" s="1"/>
  <c r="Q1214" i="40" a="1"/>
  <c r="Q1214" i="40" s="1"/>
  <c r="U1214" i="40" s="1"/>
  <c r="Q1212" i="40" a="1"/>
  <c r="Q1212" i="40" s="1"/>
  <c r="U1212" i="40" s="1"/>
  <c r="Q1216" i="40" a="1"/>
  <c r="Q1216" i="40" s="1"/>
  <c r="U1216" i="40" s="1"/>
  <c r="Q1218" i="40" a="1"/>
  <c r="Q1218" i="40" s="1"/>
  <c r="U1218" i="40" s="1"/>
  <c r="Q1220" i="40" a="1"/>
  <c r="Q1220" i="40" s="1"/>
  <c r="U1220" i="40" s="1"/>
  <c r="Q1222" i="40" a="1"/>
  <c r="Q1222" i="40" s="1"/>
  <c r="U1222" i="40" s="1"/>
  <c r="Q1224" i="40" a="1"/>
  <c r="Q1224" i="40" s="1"/>
  <c r="U1224" i="40" s="1"/>
  <c r="N808" i="40" a="1"/>
  <c r="N808" i="40" s="1"/>
  <c r="N814" i="40" a="1"/>
  <c r="N814" i="40" s="1"/>
  <c r="N811" i="40" a="1"/>
  <c r="N811" i="40" s="1"/>
  <c r="N817" i="40" a="1"/>
  <c r="N817" i="40" s="1"/>
  <c r="N820" i="40" a="1"/>
  <c r="N820" i="40" s="1"/>
  <c r="N823" i="40" a="1"/>
  <c r="N823" i="40" s="1"/>
  <c r="N826" i="40" a="1"/>
  <c r="N826" i="40" s="1"/>
  <c r="N829" i="40" a="1"/>
  <c r="N829" i="40" s="1"/>
  <c r="N832" i="40" a="1"/>
  <c r="N832" i="40" s="1"/>
  <c r="N835" i="40" a="1"/>
  <c r="N835" i="40" s="1"/>
  <c r="N838" i="40" a="1"/>
  <c r="N838" i="40" s="1"/>
  <c r="N1358" i="40" a="1"/>
  <c r="N1358" i="40" s="1"/>
  <c r="N1359" i="40" a="1"/>
  <c r="N1359" i="40" s="1"/>
  <c r="N1360" i="40" a="1"/>
  <c r="N1360" i="40" s="1"/>
  <c r="N1361" i="40" a="1"/>
  <c r="N1361" i="40" s="1"/>
  <c r="N1362" i="40" a="1"/>
  <c r="N1362" i="40" s="1"/>
  <c r="N1363" i="40" a="1"/>
  <c r="N1363" i="40" s="1"/>
  <c r="N1364" i="40" a="1"/>
  <c r="N1364" i="40" s="1"/>
  <c r="N1365" i="40" a="1"/>
  <c r="N1365" i="40" s="1"/>
  <c r="N1366" i="40" a="1"/>
  <c r="N1366" i="40" s="1"/>
  <c r="N1367" i="40" a="1"/>
  <c r="N1367" i="40" s="1"/>
  <c r="N1368" i="40" a="1"/>
  <c r="N1368" i="40" s="1"/>
  <c r="O362" i="40" a="1"/>
  <c r="O362" i="40" s="1"/>
  <c r="T362" i="40" s="1"/>
  <c r="O1042" i="40" a="1"/>
  <c r="O1042" i="40" s="1"/>
  <c r="T1042" i="40" s="1"/>
  <c r="O1046" i="40" a="1"/>
  <c r="O1046" i="40" s="1"/>
  <c r="T1046" i="40" s="1"/>
  <c r="O1050" i="40" a="1"/>
  <c r="O1050" i="40" s="1"/>
  <c r="T1050" i="40" s="1"/>
  <c r="O1054" i="40" a="1"/>
  <c r="O1054" i="40" s="1"/>
  <c r="T1054" i="40" s="1"/>
  <c r="O1058" i="40" a="1"/>
  <c r="O1058" i="40" s="1"/>
  <c r="T1058" i="40" s="1"/>
  <c r="O1062" i="40" a="1"/>
  <c r="O1062" i="40" s="1"/>
  <c r="T1062" i="40" s="1"/>
  <c r="O1066" i="40" a="1"/>
  <c r="O1066" i="40" s="1"/>
  <c r="T1066" i="40" s="1"/>
  <c r="O1070" i="40" a="1"/>
  <c r="O1070" i="40" s="1"/>
  <c r="T1070" i="40" s="1"/>
  <c r="O1074" i="40" a="1"/>
  <c r="O1074" i="40" s="1"/>
  <c r="T1074" i="40" s="1"/>
  <c r="O1078" i="40" a="1"/>
  <c r="O1078" i="40" s="1"/>
  <c r="T1078" i="40" s="1"/>
  <c r="O1082" i="40" a="1"/>
  <c r="O1082" i="40" s="1"/>
  <c r="T1082" i="40" s="1"/>
  <c r="O753" i="40" a="1"/>
  <c r="O753" i="40" s="1"/>
  <c r="T753" i="40" s="1"/>
  <c r="O754" i="40" a="1"/>
  <c r="O754" i="40" s="1"/>
  <c r="T754" i="40" s="1"/>
  <c r="O755" i="40" a="1"/>
  <c r="O755" i="40" s="1"/>
  <c r="T755" i="40" s="1"/>
  <c r="O756" i="40" a="1"/>
  <c r="O756" i="40" s="1"/>
  <c r="T756" i="40" s="1"/>
  <c r="O757" i="40" a="1"/>
  <c r="O757" i="40" s="1"/>
  <c r="T757" i="40" s="1"/>
  <c r="O758" i="40" a="1"/>
  <c r="O758" i="40" s="1"/>
  <c r="T758" i="40" s="1"/>
  <c r="O759" i="40" a="1"/>
  <c r="O759" i="40" s="1"/>
  <c r="T759" i="40" s="1"/>
  <c r="O760" i="40" a="1"/>
  <c r="O760" i="40" s="1"/>
  <c r="T760" i="40" s="1"/>
  <c r="O761" i="40" a="1"/>
  <c r="O761" i="40" s="1"/>
  <c r="T761" i="40" s="1"/>
  <c r="O762" i="40" a="1"/>
  <c r="O762" i="40" s="1"/>
  <c r="T762" i="40" s="1"/>
  <c r="O763" i="40" a="1"/>
  <c r="O763" i="40" s="1"/>
  <c r="T763" i="40" s="1"/>
  <c r="R362" i="40" a="1"/>
  <c r="R362" i="40" s="1"/>
  <c r="V362" i="40" s="1"/>
  <c r="R1042" i="40" a="1"/>
  <c r="R1042" i="40" s="1"/>
  <c r="V1042" i="40" s="1"/>
  <c r="R1046" i="40" a="1"/>
  <c r="R1046" i="40" s="1"/>
  <c r="V1046" i="40" s="1"/>
  <c r="R1050" i="40" a="1"/>
  <c r="R1050" i="40" s="1"/>
  <c r="V1050" i="40" s="1"/>
  <c r="R1058" i="40" a="1"/>
  <c r="R1058" i="40" s="1"/>
  <c r="V1058" i="40" s="1"/>
  <c r="R1054" i="40" a="1"/>
  <c r="R1054" i="40" s="1"/>
  <c r="V1054" i="40" s="1"/>
  <c r="R1062" i="40" a="1"/>
  <c r="R1062" i="40" s="1"/>
  <c r="V1062" i="40" s="1"/>
  <c r="R1066" i="40" a="1"/>
  <c r="R1066" i="40" s="1"/>
  <c r="V1066" i="40" s="1"/>
  <c r="R1070" i="40" a="1"/>
  <c r="R1070" i="40" s="1"/>
  <c r="V1070" i="40" s="1"/>
  <c r="R1074" i="40" a="1"/>
  <c r="R1074" i="40" s="1"/>
  <c r="V1074" i="40" s="1"/>
  <c r="R1078" i="40" a="1"/>
  <c r="R1078" i="40" s="1"/>
  <c r="V1078" i="40" s="1"/>
  <c r="R1082" i="40" a="1"/>
  <c r="R1082" i="40" s="1"/>
  <c r="V1082" i="40" s="1"/>
  <c r="M663" i="40" a="1"/>
  <c r="M663" i="40" s="1"/>
  <c r="S663" i="40" s="1"/>
  <c r="M1358" i="40" a="1"/>
  <c r="M1358" i="40" s="1"/>
  <c r="S1358" i="40" s="1"/>
  <c r="M1359" i="40" a="1"/>
  <c r="M1359" i="40" s="1"/>
  <c r="S1359" i="40" s="1"/>
  <c r="M1360" i="40" a="1"/>
  <c r="M1360" i="40" s="1"/>
  <c r="S1360" i="40" s="1"/>
  <c r="M1361" i="40" a="1"/>
  <c r="M1361" i="40" s="1"/>
  <c r="S1361" i="40" s="1"/>
  <c r="M1362" i="40" a="1"/>
  <c r="M1362" i="40" s="1"/>
  <c r="S1362" i="40" s="1"/>
  <c r="M1363" i="40" a="1"/>
  <c r="M1363" i="40" s="1"/>
  <c r="S1363" i="40" s="1"/>
  <c r="M1364" i="40" a="1"/>
  <c r="M1364" i="40" s="1"/>
  <c r="S1364" i="40" s="1"/>
  <c r="M1365" i="40" a="1"/>
  <c r="M1365" i="40" s="1"/>
  <c r="S1365" i="40" s="1"/>
  <c r="M1366" i="40" a="1"/>
  <c r="M1366" i="40" s="1"/>
  <c r="S1366" i="40" s="1"/>
  <c r="M1367" i="40" a="1"/>
  <c r="M1367" i="40" s="1"/>
  <c r="S1367" i="40" s="1"/>
  <c r="M1368" i="40" a="1"/>
  <c r="M1368" i="40" s="1"/>
  <c r="S1368" i="40" s="1"/>
  <c r="N797" i="40" a="1"/>
  <c r="N797" i="40" s="1"/>
  <c r="N798" i="40" a="1"/>
  <c r="N798" i="40" s="1"/>
  <c r="N799" i="40" a="1"/>
  <c r="N799" i="40" s="1"/>
  <c r="N800" i="40" a="1"/>
  <c r="N800" i="40" s="1"/>
  <c r="N801" i="40" a="1"/>
  <c r="N801" i="40" s="1"/>
  <c r="N802" i="40" a="1"/>
  <c r="N802" i="40" s="1"/>
  <c r="N803" i="40" a="1"/>
  <c r="N803" i="40" s="1"/>
  <c r="N804" i="40" a="1"/>
  <c r="N804" i="40" s="1"/>
  <c r="N805" i="40" a="1"/>
  <c r="N805" i="40" s="1"/>
  <c r="N806" i="40" a="1"/>
  <c r="N806" i="40" s="1"/>
  <c r="N807" i="40" a="1"/>
  <c r="N807" i="40" s="1"/>
  <c r="M809" i="40" a="1"/>
  <c r="M809" i="40" s="1"/>
  <c r="S809" i="40" s="1"/>
  <c r="M812" i="40" a="1"/>
  <c r="M812" i="40" s="1"/>
  <c r="S812" i="40" s="1"/>
  <c r="M815" i="40" a="1"/>
  <c r="M815" i="40" s="1"/>
  <c r="S815" i="40" s="1"/>
  <c r="M818" i="40" a="1"/>
  <c r="M818" i="40" s="1"/>
  <c r="S818" i="40" s="1"/>
  <c r="M821" i="40" a="1"/>
  <c r="M821" i="40" s="1"/>
  <c r="S821" i="40" s="1"/>
  <c r="M824" i="40" a="1"/>
  <c r="M824" i="40" s="1"/>
  <c r="S824" i="40" s="1"/>
  <c r="M827" i="40" a="1"/>
  <c r="M827" i="40" s="1"/>
  <c r="S827" i="40" s="1"/>
  <c r="M830" i="40" a="1"/>
  <c r="M830" i="40" s="1"/>
  <c r="S830" i="40" s="1"/>
  <c r="M833" i="40" a="1"/>
  <c r="M833" i="40" s="1"/>
  <c r="S833" i="40" s="1"/>
  <c r="M836" i="40" a="1"/>
  <c r="M836" i="40" s="1"/>
  <c r="S836" i="40" s="1"/>
  <c r="M839" i="40" a="1"/>
  <c r="M839" i="40" s="1"/>
  <c r="S839" i="40" s="1"/>
  <c r="O496" i="40" a="1"/>
  <c r="O496" i="40" s="1"/>
  <c r="T496" i="40" s="1"/>
  <c r="O1182" i="40" a="1"/>
  <c r="O1182" i="40" s="1"/>
  <c r="T1182" i="40" s="1"/>
  <c r="O1184" i="40" a="1"/>
  <c r="O1184" i="40" s="1"/>
  <c r="T1184" i="40" s="1"/>
  <c r="O1186" i="40" a="1"/>
  <c r="O1186" i="40" s="1"/>
  <c r="T1186" i="40" s="1"/>
  <c r="O1188" i="40" a="1"/>
  <c r="O1188" i="40" s="1"/>
  <c r="T1188" i="40" s="1"/>
  <c r="O1192" i="40" a="1"/>
  <c r="O1192" i="40" s="1"/>
  <c r="T1192" i="40" s="1"/>
  <c r="O1190" i="40" a="1"/>
  <c r="O1190" i="40" s="1"/>
  <c r="T1190" i="40" s="1"/>
  <c r="O1194" i="40" a="1"/>
  <c r="O1194" i="40" s="1"/>
  <c r="T1194" i="40" s="1"/>
  <c r="O1196" i="40" a="1"/>
  <c r="O1196" i="40" s="1"/>
  <c r="T1196" i="40" s="1"/>
  <c r="O1198" i="40" a="1"/>
  <c r="O1198" i="40" s="1"/>
  <c r="T1198" i="40" s="1"/>
  <c r="O1200" i="40" a="1"/>
  <c r="O1200" i="40" s="1"/>
  <c r="T1200" i="40" s="1"/>
  <c r="O1202" i="40" a="1"/>
  <c r="O1202" i="40" s="1"/>
  <c r="T1202" i="40" s="1"/>
  <c r="M1127" i="40" a="1"/>
  <c r="M1127" i="40" s="1"/>
  <c r="S1127" i="40" s="1"/>
  <c r="M1128" i="40" a="1"/>
  <c r="M1128" i="40" s="1"/>
  <c r="S1128" i="40" s="1"/>
  <c r="M1129" i="40" a="1"/>
  <c r="M1129" i="40" s="1"/>
  <c r="S1129" i="40" s="1"/>
  <c r="M1130" i="40" a="1"/>
  <c r="M1130" i="40" s="1"/>
  <c r="S1130" i="40" s="1"/>
  <c r="M1131" i="40" a="1"/>
  <c r="M1131" i="40" s="1"/>
  <c r="S1131" i="40" s="1"/>
  <c r="M1132" i="40" a="1"/>
  <c r="M1132" i="40" s="1"/>
  <c r="S1132" i="40" s="1"/>
  <c r="M1133" i="40" a="1"/>
  <c r="M1133" i="40" s="1"/>
  <c r="S1133" i="40" s="1"/>
  <c r="M1134" i="40" a="1"/>
  <c r="M1134" i="40" s="1"/>
  <c r="S1134" i="40" s="1"/>
  <c r="M1135" i="40" a="1"/>
  <c r="M1135" i="40" s="1"/>
  <c r="S1135" i="40" s="1"/>
  <c r="M1136" i="40" a="1"/>
  <c r="M1136" i="40" s="1"/>
  <c r="S1136" i="40" s="1"/>
  <c r="M1137" i="40" a="1"/>
  <c r="M1137" i="40" s="1"/>
  <c r="S1137" i="40" s="1"/>
  <c r="M863" i="40" a="1"/>
  <c r="M863" i="40" s="1"/>
  <c r="S863" i="40" s="1"/>
  <c r="M865" i="40" a="1"/>
  <c r="M865" i="40" s="1"/>
  <c r="S865" i="40" s="1"/>
  <c r="M867" i="40" a="1"/>
  <c r="M867" i="40" s="1"/>
  <c r="S867" i="40" s="1"/>
  <c r="M869" i="40" a="1"/>
  <c r="M869" i="40" s="1"/>
  <c r="S869" i="40" s="1"/>
  <c r="M871" i="40" a="1"/>
  <c r="M871" i="40" s="1"/>
  <c r="S871" i="40" s="1"/>
  <c r="M873" i="40" a="1"/>
  <c r="M873" i="40" s="1"/>
  <c r="S873" i="40" s="1"/>
  <c r="M875" i="40" a="1"/>
  <c r="M875" i="40" s="1"/>
  <c r="S875" i="40" s="1"/>
  <c r="M877" i="40" a="1"/>
  <c r="M877" i="40" s="1"/>
  <c r="S877" i="40" s="1"/>
  <c r="M879" i="40" a="1"/>
  <c r="M879" i="40" s="1"/>
  <c r="S879" i="40" s="1"/>
  <c r="M881" i="40" a="1"/>
  <c r="M881" i="40" s="1"/>
  <c r="S881" i="40" s="1"/>
  <c r="M883" i="40" a="1"/>
  <c r="M883" i="40" s="1"/>
  <c r="S883" i="40" s="1"/>
  <c r="R1085" i="40" a="1"/>
  <c r="R1085" i="40" s="1"/>
  <c r="V1085" i="40" s="1"/>
  <c r="R1089" i="40" a="1"/>
  <c r="R1089" i="40" s="1"/>
  <c r="V1089" i="40" s="1"/>
  <c r="R1093" i="40" a="1"/>
  <c r="R1093" i="40" s="1"/>
  <c r="V1093" i="40" s="1"/>
  <c r="R1097" i="40" a="1"/>
  <c r="R1097" i="40" s="1"/>
  <c r="V1097" i="40" s="1"/>
  <c r="R1101" i="40" a="1"/>
  <c r="R1101" i="40" s="1"/>
  <c r="V1101" i="40" s="1"/>
  <c r="R1105" i="40" a="1"/>
  <c r="R1105" i="40" s="1"/>
  <c r="V1105" i="40" s="1"/>
  <c r="R1109" i="40" a="1"/>
  <c r="R1109" i="40" s="1"/>
  <c r="V1109" i="40" s="1"/>
  <c r="R1113" i="40" a="1"/>
  <c r="R1113" i="40" s="1"/>
  <c r="V1113" i="40" s="1"/>
  <c r="R1117" i="40" a="1"/>
  <c r="R1117" i="40" s="1"/>
  <c r="V1117" i="40" s="1"/>
  <c r="R1121" i="40" a="1"/>
  <c r="R1121" i="40" s="1"/>
  <c r="V1121" i="40" s="1"/>
  <c r="R1125" i="40" a="1"/>
  <c r="R1125" i="40" s="1"/>
  <c r="V1125" i="40" s="1"/>
  <c r="R940" i="40" a="1"/>
  <c r="R940" i="40" s="1"/>
  <c r="V940" i="40" s="1"/>
  <c r="R941" i="40" a="1"/>
  <c r="R941" i="40" s="1"/>
  <c r="V941" i="40" s="1"/>
  <c r="R942" i="40" a="1"/>
  <c r="R942" i="40" s="1"/>
  <c r="V942" i="40" s="1"/>
  <c r="R943" i="40" a="1"/>
  <c r="R943" i="40" s="1"/>
  <c r="V943" i="40" s="1"/>
  <c r="R944" i="40" a="1"/>
  <c r="R944" i="40" s="1"/>
  <c r="V944" i="40" s="1"/>
  <c r="R945" i="40" a="1"/>
  <c r="R945" i="40" s="1"/>
  <c r="V945" i="40" s="1"/>
  <c r="R946" i="40" a="1"/>
  <c r="R946" i="40" s="1"/>
  <c r="V946" i="40" s="1"/>
  <c r="R947" i="40" a="1"/>
  <c r="R947" i="40" s="1"/>
  <c r="V947" i="40" s="1"/>
  <c r="R948" i="40" a="1"/>
  <c r="R948" i="40" s="1"/>
  <c r="V948" i="40" s="1"/>
  <c r="R950" i="40" a="1"/>
  <c r="R950" i="40" s="1"/>
  <c r="V950" i="40" s="1"/>
  <c r="R949" i="40" a="1"/>
  <c r="R949" i="40" s="1"/>
  <c r="V949" i="40" s="1"/>
  <c r="R797" i="40" a="1"/>
  <c r="R797" i="40" s="1"/>
  <c r="V797" i="40" s="1"/>
  <c r="R798" i="40" a="1"/>
  <c r="R798" i="40" s="1"/>
  <c r="V798" i="40" s="1"/>
  <c r="R799" i="40" a="1"/>
  <c r="R799" i="40" s="1"/>
  <c r="V799" i="40" s="1"/>
  <c r="R800" i="40" a="1"/>
  <c r="R800" i="40" s="1"/>
  <c r="V800" i="40" s="1"/>
  <c r="R801" i="40" a="1"/>
  <c r="R801" i="40" s="1"/>
  <c r="V801" i="40" s="1"/>
  <c r="R802" i="40" a="1"/>
  <c r="R802" i="40" s="1"/>
  <c r="V802" i="40" s="1"/>
  <c r="R803" i="40" a="1"/>
  <c r="R803" i="40" s="1"/>
  <c r="V803" i="40" s="1"/>
  <c r="R804" i="40" a="1"/>
  <c r="R804" i="40" s="1"/>
  <c r="V804" i="40" s="1"/>
  <c r="R805" i="40" a="1"/>
  <c r="R805" i="40" s="1"/>
  <c r="V805" i="40" s="1"/>
  <c r="R806" i="40" a="1"/>
  <c r="R806" i="40" s="1"/>
  <c r="V806" i="40" s="1"/>
  <c r="R807" i="40" a="1"/>
  <c r="R807" i="40" s="1"/>
  <c r="V807" i="40" s="1"/>
  <c r="R1228" i="40" a="1"/>
  <c r="R1228" i="40" s="1"/>
  <c r="V1228" i="40" s="1"/>
  <c r="R1231" i="40" a="1"/>
  <c r="R1231" i="40" s="1"/>
  <c r="V1231" i="40" s="1"/>
  <c r="R1234" i="40" a="1"/>
  <c r="R1234" i="40" s="1"/>
  <c r="V1234" i="40" s="1"/>
  <c r="R1240" i="40" a="1"/>
  <c r="R1240" i="40" s="1"/>
  <c r="V1240" i="40" s="1"/>
  <c r="R1237" i="40" a="1"/>
  <c r="R1237" i="40" s="1"/>
  <c r="V1237" i="40" s="1"/>
  <c r="R1243" i="40" a="1"/>
  <c r="R1243" i="40" s="1"/>
  <c r="V1243" i="40" s="1"/>
  <c r="R1246" i="40" a="1"/>
  <c r="R1246" i="40" s="1"/>
  <c r="V1246" i="40" s="1"/>
  <c r="R1249" i="40" a="1"/>
  <c r="R1249" i="40" s="1"/>
  <c r="V1249" i="40" s="1"/>
  <c r="R1252" i="40" a="1"/>
  <c r="R1252" i="40" s="1"/>
  <c r="V1252" i="40" s="1"/>
  <c r="R1255" i="40" a="1"/>
  <c r="R1255" i="40" s="1"/>
  <c r="V1255" i="40" s="1"/>
  <c r="R1258" i="40" a="1"/>
  <c r="R1258" i="40" s="1"/>
  <c r="V1258" i="40" s="1"/>
  <c r="Q1086" i="40" a="1"/>
  <c r="Q1086" i="40" s="1"/>
  <c r="U1086" i="40" s="1"/>
  <c r="Q1090" i="40" a="1"/>
  <c r="Q1090" i="40" s="1"/>
  <c r="U1090" i="40" s="1"/>
  <c r="Q1094" i="40" a="1"/>
  <c r="Q1094" i="40" s="1"/>
  <c r="U1094" i="40" s="1"/>
  <c r="Q1098" i="40" a="1"/>
  <c r="Q1098" i="40" s="1"/>
  <c r="U1098" i="40" s="1"/>
  <c r="Q1102" i="40" a="1"/>
  <c r="Q1102" i="40" s="1"/>
  <c r="U1102" i="40" s="1"/>
  <c r="Q1106" i="40" a="1"/>
  <c r="Q1106" i="40" s="1"/>
  <c r="U1106" i="40" s="1"/>
  <c r="Q1110" i="40" a="1"/>
  <c r="Q1110" i="40" s="1"/>
  <c r="U1110" i="40" s="1"/>
  <c r="Q1114" i="40" a="1"/>
  <c r="Q1114" i="40" s="1"/>
  <c r="U1114" i="40" s="1"/>
  <c r="Q1118" i="40" a="1"/>
  <c r="Q1118" i="40" s="1"/>
  <c r="U1118" i="40" s="1"/>
  <c r="Q1122" i="40" a="1"/>
  <c r="Q1122" i="40" s="1"/>
  <c r="U1122" i="40" s="1"/>
  <c r="Q1126" i="40" a="1"/>
  <c r="Q1126" i="40" s="1"/>
  <c r="U1126" i="40" s="1"/>
  <c r="R962" i="40" a="1"/>
  <c r="R962" i="40" s="1"/>
  <c r="V962" i="40" s="1"/>
  <c r="R963" i="40" a="1"/>
  <c r="R963" i="40" s="1"/>
  <c r="V963" i="40" s="1"/>
  <c r="R964" i="40" a="1"/>
  <c r="R964" i="40" s="1"/>
  <c r="V964" i="40" s="1"/>
  <c r="R965" i="40" a="1"/>
  <c r="R965" i="40" s="1"/>
  <c r="V965" i="40" s="1"/>
  <c r="R966" i="40" a="1"/>
  <c r="R966" i="40" s="1"/>
  <c r="V966" i="40" s="1"/>
  <c r="R967" i="40" a="1"/>
  <c r="R967" i="40" s="1"/>
  <c r="V967" i="40" s="1"/>
  <c r="R968" i="40" a="1"/>
  <c r="R968" i="40" s="1"/>
  <c r="V968" i="40" s="1"/>
  <c r="R969" i="40" a="1"/>
  <c r="R969" i="40" s="1"/>
  <c r="V969" i="40" s="1"/>
  <c r="R970" i="40" a="1"/>
  <c r="R970" i="40" s="1"/>
  <c r="V970" i="40" s="1"/>
  <c r="R972" i="40" a="1"/>
  <c r="R972" i="40" s="1"/>
  <c r="V972" i="40" s="1"/>
  <c r="R971" i="40" a="1"/>
  <c r="R971" i="40" s="1"/>
  <c r="V971" i="40" s="1"/>
  <c r="N995" i="40" a="1"/>
  <c r="N995" i="40" s="1"/>
  <c r="N996" i="40" a="1"/>
  <c r="N996" i="40" s="1"/>
  <c r="N997" i="40" a="1"/>
  <c r="N997" i="40" s="1"/>
  <c r="N998" i="40" a="1"/>
  <c r="N998" i="40" s="1"/>
  <c r="N999" i="40" a="1"/>
  <c r="N999" i="40" s="1"/>
  <c r="N1000" i="40" a="1"/>
  <c r="N1000" i="40" s="1"/>
  <c r="N1001" i="40" a="1"/>
  <c r="N1001" i="40" s="1"/>
  <c r="N1002" i="40" a="1"/>
  <c r="N1002" i="40" s="1"/>
  <c r="N1003" i="40" a="1"/>
  <c r="N1003" i="40" s="1"/>
  <c r="N1004" i="40" a="1"/>
  <c r="N1004" i="40" s="1"/>
  <c r="N1005" i="40" a="1"/>
  <c r="N1005" i="40" s="1"/>
  <c r="Q995" i="40" a="1"/>
  <c r="Q995" i="40" s="1"/>
  <c r="U995" i="40" s="1"/>
  <c r="Q996" i="40" a="1"/>
  <c r="Q996" i="40" s="1"/>
  <c r="U996" i="40" s="1"/>
  <c r="Q997" i="40" a="1"/>
  <c r="Q997" i="40" s="1"/>
  <c r="U997" i="40" s="1"/>
  <c r="Q998" i="40" a="1"/>
  <c r="Q998" i="40" s="1"/>
  <c r="U998" i="40" s="1"/>
  <c r="Q999" i="40" a="1"/>
  <c r="Q999" i="40" s="1"/>
  <c r="U999" i="40" s="1"/>
  <c r="Q1000" i="40" a="1"/>
  <c r="Q1000" i="40" s="1"/>
  <c r="U1000" i="40" s="1"/>
  <c r="Q1001" i="40" a="1"/>
  <c r="Q1001" i="40" s="1"/>
  <c r="U1001" i="40" s="1"/>
  <c r="Q1002" i="40" a="1"/>
  <c r="Q1002" i="40" s="1"/>
  <c r="U1002" i="40" s="1"/>
  <c r="Q1003" i="40" a="1"/>
  <c r="Q1003" i="40" s="1"/>
  <c r="U1003" i="40" s="1"/>
  <c r="Q1004" i="40" a="1"/>
  <c r="Q1004" i="40" s="1"/>
  <c r="U1004" i="40" s="1"/>
  <c r="Q1005" i="40" a="1"/>
  <c r="Q1005" i="40" s="1"/>
  <c r="U1005" i="40" s="1"/>
  <c r="R1226" i="40" a="1"/>
  <c r="R1226" i="40" s="1"/>
  <c r="V1226" i="40" s="1"/>
  <c r="R1229" i="40" a="1"/>
  <c r="R1229" i="40" s="1"/>
  <c r="V1229" i="40" s="1"/>
  <c r="R1232" i="40" a="1"/>
  <c r="R1232" i="40" s="1"/>
  <c r="V1232" i="40" s="1"/>
  <c r="R1235" i="40" a="1"/>
  <c r="R1235" i="40" s="1"/>
  <c r="V1235" i="40" s="1"/>
  <c r="R1238" i="40" a="1"/>
  <c r="R1238" i="40" s="1"/>
  <c r="V1238" i="40" s="1"/>
  <c r="R1241" i="40" a="1"/>
  <c r="R1241" i="40" s="1"/>
  <c r="V1241" i="40" s="1"/>
  <c r="R1244" i="40" a="1"/>
  <c r="R1244" i="40" s="1"/>
  <c r="V1244" i="40" s="1"/>
  <c r="R1247" i="40" a="1"/>
  <c r="R1247" i="40" s="1"/>
  <c r="V1247" i="40" s="1"/>
  <c r="R1250" i="40" a="1"/>
  <c r="R1250" i="40" s="1"/>
  <c r="V1250" i="40" s="1"/>
  <c r="R1256" i="40" a="1"/>
  <c r="R1256" i="40" s="1"/>
  <c r="V1256" i="40" s="1"/>
  <c r="R1253" i="40" a="1"/>
  <c r="R1253" i="40" s="1"/>
  <c r="V1253" i="40" s="1"/>
  <c r="Q1227" i="40" a="1"/>
  <c r="Q1227" i="40" s="1"/>
  <c r="U1227" i="40" s="1"/>
  <c r="Q1230" i="40" a="1"/>
  <c r="Q1230" i="40" s="1"/>
  <c r="U1230" i="40" s="1"/>
  <c r="Q1233" i="40" a="1"/>
  <c r="Q1233" i="40" s="1"/>
  <c r="U1233" i="40" s="1"/>
  <c r="Q1236" i="40" a="1"/>
  <c r="Q1236" i="40" s="1"/>
  <c r="U1236" i="40" s="1"/>
  <c r="Q1242" i="40" a="1"/>
  <c r="Q1242" i="40" s="1"/>
  <c r="U1242" i="40" s="1"/>
  <c r="Q1239" i="40" a="1"/>
  <c r="Q1239" i="40" s="1"/>
  <c r="U1239" i="40" s="1"/>
  <c r="Q1245" i="40" a="1"/>
  <c r="Q1245" i="40" s="1"/>
  <c r="U1245" i="40" s="1"/>
  <c r="Q1248" i="40" a="1"/>
  <c r="Q1248" i="40" s="1"/>
  <c r="U1248" i="40" s="1"/>
  <c r="Q1251" i="40" a="1"/>
  <c r="Q1251" i="40" s="1"/>
  <c r="U1251" i="40" s="1"/>
  <c r="Q1254" i="40" a="1"/>
  <c r="Q1254" i="40" s="1"/>
  <c r="U1254" i="40" s="1"/>
  <c r="Q1257" i="40" a="1"/>
  <c r="Q1257" i="40" s="1"/>
  <c r="U1257" i="40" s="1"/>
  <c r="R809" i="40" a="1"/>
  <c r="R809" i="40" s="1"/>
  <c r="V809" i="40" s="1"/>
  <c r="R812" i="40" a="1"/>
  <c r="R812" i="40" s="1"/>
  <c r="V812" i="40" s="1"/>
  <c r="R815" i="40" a="1"/>
  <c r="R815" i="40" s="1"/>
  <c r="V815" i="40" s="1"/>
  <c r="R818" i="40" a="1"/>
  <c r="R818" i="40" s="1"/>
  <c r="V818" i="40" s="1"/>
  <c r="R821" i="40" a="1"/>
  <c r="R821" i="40" s="1"/>
  <c r="V821" i="40" s="1"/>
  <c r="R824" i="40" a="1"/>
  <c r="R824" i="40" s="1"/>
  <c r="V824" i="40" s="1"/>
  <c r="R827" i="40" a="1"/>
  <c r="R827" i="40" s="1"/>
  <c r="V827" i="40" s="1"/>
  <c r="R830" i="40" a="1"/>
  <c r="R830" i="40" s="1"/>
  <c r="V830" i="40" s="1"/>
  <c r="R833" i="40" a="1"/>
  <c r="R833" i="40" s="1"/>
  <c r="V833" i="40" s="1"/>
  <c r="R839" i="40" a="1"/>
  <c r="R839" i="40" s="1"/>
  <c r="V839" i="40" s="1"/>
  <c r="R836" i="40" a="1"/>
  <c r="R836" i="40" s="1"/>
  <c r="V836" i="40" s="1"/>
  <c r="Q41" i="40" a="1"/>
  <c r="Q41" i="40" s="1"/>
  <c r="U41" i="40" s="1"/>
  <c r="Q742" i="40" a="1"/>
  <c r="Q742" i="40" s="1"/>
  <c r="U742" i="40" s="1"/>
  <c r="Q745" i="40" a="1"/>
  <c r="Q745" i="40" s="1"/>
  <c r="U745" i="40" s="1"/>
  <c r="Q744" i="40" a="1"/>
  <c r="Q744" i="40" s="1"/>
  <c r="U744" i="40" s="1"/>
  <c r="Q743" i="40" a="1"/>
  <c r="Q743" i="40" s="1"/>
  <c r="U743" i="40" s="1"/>
  <c r="Q746" i="40" a="1"/>
  <c r="Q746" i="40" s="1"/>
  <c r="U746" i="40" s="1"/>
  <c r="Q747" i="40" a="1"/>
  <c r="Q747" i="40" s="1"/>
  <c r="U747" i="40" s="1"/>
  <c r="Q748" i="40" a="1"/>
  <c r="Q748" i="40" s="1"/>
  <c r="U748" i="40" s="1"/>
  <c r="Q749" i="40" a="1"/>
  <c r="Q749" i="40" s="1"/>
  <c r="U749" i="40" s="1"/>
  <c r="Q750" i="40" a="1"/>
  <c r="Q750" i="40" s="1"/>
  <c r="U750" i="40" s="1"/>
  <c r="Q751" i="40" a="1"/>
  <c r="Q751" i="40" s="1"/>
  <c r="U751" i="40" s="1"/>
  <c r="Q752" i="40" a="1"/>
  <c r="Q752" i="40" s="1"/>
  <c r="U752" i="40" s="1"/>
  <c r="M275" i="40" a="1"/>
  <c r="M275" i="40" s="1"/>
  <c r="S275" i="40" s="1"/>
  <c r="M973" i="40" a="1"/>
  <c r="M973" i="40" s="1"/>
  <c r="S973" i="40" s="1"/>
  <c r="M974" i="40" a="1"/>
  <c r="M974" i="40" s="1"/>
  <c r="S974" i="40" s="1"/>
  <c r="M975" i="40" a="1"/>
  <c r="M975" i="40" s="1"/>
  <c r="S975" i="40" s="1"/>
  <c r="M976" i="40" a="1"/>
  <c r="M976" i="40" s="1"/>
  <c r="S976" i="40" s="1"/>
  <c r="M977" i="40" a="1"/>
  <c r="M977" i="40" s="1"/>
  <c r="S977" i="40" s="1"/>
  <c r="M978" i="40" a="1"/>
  <c r="M978" i="40" s="1"/>
  <c r="S978" i="40" s="1"/>
  <c r="M979" i="40" a="1"/>
  <c r="M979" i="40" s="1"/>
  <c r="S979" i="40" s="1"/>
  <c r="M980" i="40" a="1"/>
  <c r="M980" i="40" s="1"/>
  <c r="S980" i="40" s="1"/>
  <c r="M981" i="40" a="1"/>
  <c r="M981" i="40" s="1"/>
  <c r="S981" i="40" s="1"/>
  <c r="M982" i="40" a="1"/>
  <c r="M982" i="40" s="1"/>
  <c r="S982" i="40" s="1"/>
  <c r="M983" i="40" a="1"/>
  <c r="M983" i="40" s="1"/>
  <c r="S983" i="40" s="1"/>
  <c r="N896" i="40" a="1"/>
  <c r="N896" i="40" s="1"/>
  <c r="N898" i="40" a="1"/>
  <c r="N898" i="40" s="1"/>
  <c r="N900" i="40" a="1"/>
  <c r="N900" i="40" s="1"/>
  <c r="N902" i="40" a="1"/>
  <c r="N902" i="40" s="1"/>
  <c r="N904" i="40" a="1"/>
  <c r="N904" i="40" s="1"/>
  <c r="N906" i="40" a="1"/>
  <c r="N906" i="40" s="1"/>
  <c r="N908" i="40" a="1"/>
  <c r="N908" i="40" s="1"/>
  <c r="N910" i="40" a="1"/>
  <c r="N910" i="40" s="1"/>
  <c r="N912" i="40" a="1"/>
  <c r="N912" i="40" s="1"/>
  <c r="N914" i="40" a="1"/>
  <c r="N914" i="40" s="1"/>
  <c r="N916" i="40" a="1"/>
  <c r="N916" i="40" s="1"/>
  <c r="Q1084" i="40" a="1"/>
  <c r="Q1084" i="40" s="1"/>
  <c r="U1084" i="40" s="1"/>
  <c r="Q1088" i="40" a="1"/>
  <c r="Q1088" i="40" s="1"/>
  <c r="U1088" i="40" s="1"/>
  <c r="Q1092" i="40" a="1"/>
  <c r="Q1092" i="40" s="1"/>
  <c r="U1092" i="40" s="1"/>
  <c r="Q1096" i="40" a="1"/>
  <c r="Q1096" i="40" s="1"/>
  <c r="U1096" i="40" s="1"/>
  <c r="Q1104" i="40" a="1"/>
  <c r="Q1104" i="40" s="1"/>
  <c r="U1104" i="40" s="1"/>
  <c r="Q1100" i="40" a="1"/>
  <c r="Q1100" i="40" s="1"/>
  <c r="U1100" i="40" s="1"/>
  <c r="Q1108" i="40" a="1"/>
  <c r="Q1108" i="40" s="1"/>
  <c r="U1108" i="40" s="1"/>
  <c r="Q1112" i="40" a="1"/>
  <c r="Q1112" i="40" s="1"/>
  <c r="U1112" i="40" s="1"/>
  <c r="Q1116" i="40" a="1"/>
  <c r="Q1116" i="40" s="1"/>
  <c r="U1116" i="40" s="1"/>
  <c r="Q1120" i="40" a="1"/>
  <c r="Q1120" i="40" s="1"/>
  <c r="U1120" i="40" s="1"/>
  <c r="Q1124" i="40" a="1"/>
  <c r="Q1124" i="40" s="1"/>
  <c r="U1124" i="40" s="1"/>
  <c r="O1292" i="40" a="1"/>
  <c r="O1292" i="40" s="1"/>
  <c r="T1292" i="40" s="1"/>
  <c r="O1295" i="40" a="1"/>
  <c r="O1295" i="40" s="1"/>
  <c r="T1295" i="40" s="1"/>
  <c r="O1298" i="40" a="1"/>
  <c r="O1298" i="40" s="1"/>
  <c r="T1298" i="40" s="1"/>
  <c r="O1301" i="40" a="1"/>
  <c r="O1301" i="40" s="1"/>
  <c r="T1301" i="40" s="1"/>
  <c r="O1304" i="40" a="1"/>
  <c r="O1304" i="40" s="1"/>
  <c r="T1304" i="40" s="1"/>
  <c r="O1307" i="40" a="1"/>
  <c r="O1307" i="40" s="1"/>
  <c r="T1307" i="40" s="1"/>
  <c r="O1310" i="40" a="1"/>
  <c r="O1310" i="40" s="1"/>
  <c r="T1310" i="40" s="1"/>
  <c r="O1313" i="40" a="1"/>
  <c r="O1313" i="40" s="1"/>
  <c r="T1313" i="40" s="1"/>
  <c r="O1316" i="40" a="1"/>
  <c r="O1316" i="40" s="1"/>
  <c r="T1316" i="40" s="1"/>
  <c r="O1319" i="40" a="1"/>
  <c r="O1319" i="40" s="1"/>
  <c r="T1319" i="40" s="1"/>
  <c r="O1322" i="40" a="1"/>
  <c r="O1322" i="40" s="1"/>
  <c r="T1322" i="40" s="1"/>
  <c r="M885" i="40" a="1"/>
  <c r="M885" i="40" s="1"/>
  <c r="S885" i="40" s="1"/>
  <c r="M886" i="40" a="1"/>
  <c r="M886" i="40" s="1"/>
  <c r="S886" i="40" s="1"/>
  <c r="M887" i="40" a="1"/>
  <c r="M887" i="40" s="1"/>
  <c r="S887" i="40" s="1"/>
  <c r="M888" i="40" a="1"/>
  <c r="M888" i="40" s="1"/>
  <c r="S888" i="40" s="1"/>
  <c r="M889" i="40" a="1"/>
  <c r="M889" i="40" s="1"/>
  <c r="S889" i="40" s="1"/>
  <c r="M890" i="40" a="1"/>
  <c r="M890" i="40" s="1"/>
  <c r="S890" i="40" s="1"/>
  <c r="M891" i="40" a="1"/>
  <c r="M891" i="40" s="1"/>
  <c r="S891" i="40" s="1"/>
  <c r="M892" i="40" a="1"/>
  <c r="M892" i="40" s="1"/>
  <c r="S892" i="40" s="1"/>
  <c r="M893" i="40" a="1"/>
  <c r="M893" i="40" s="1"/>
  <c r="S893" i="40" s="1"/>
  <c r="M894" i="40" a="1"/>
  <c r="M894" i="40" s="1"/>
  <c r="S894" i="40" s="1"/>
  <c r="M895" i="40" a="1"/>
  <c r="M895" i="40" s="1"/>
  <c r="S895" i="40" s="1"/>
  <c r="M897" i="40" a="1"/>
  <c r="M897" i="40" s="1"/>
  <c r="S897" i="40" s="1"/>
  <c r="M899" i="40" a="1"/>
  <c r="M899" i="40" s="1"/>
  <c r="S899" i="40" s="1"/>
  <c r="M901" i="40" a="1"/>
  <c r="M901" i="40" s="1"/>
  <c r="S901" i="40" s="1"/>
  <c r="M903" i="40" a="1"/>
  <c r="M903" i="40" s="1"/>
  <c r="S903" i="40" s="1"/>
  <c r="M907" i="40" a="1"/>
  <c r="M907" i="40" s="1"/>
  <c r="S907" i="40" s="1"/>
  <c r="M905" i="40" a="1"/>
  <c r="M905" i="40" s="1"/>
  <c r="S905" i="40" s="1"/>
  <c r="M909" i="40" a="1"/>
  <c r="M909" i="40" s="1"/>
  <c r="S909" i="40" s="1"/>
  <c r="M911" i="40" a="1"/>
  <c r="M911" i="40" s="1"/>
  <c r="S911" i="40" s="1"/>
  <c r="M913" i="40" a="1"/>
  <c r="M913" i="40" s="1"/>
  <c r="S913" i="40" s="1"/>
  <c r="M915" i="40" a="1"/>
  <c r="M915" i="40" s="1"/>
  <c r="S915" i="40" s="1"/>
  <c r="M917" i="40" a="1"/>
  <c r="M917" i="40" s="1"/>
  <c r="S917" i="40" s="1"/>
  <c r="Q973" i="40" a="1"/>
  <c r="Q973" i="40" s="1"/>
  <c r="U973" i="40" s="1"/>
  <c r="Q974" i="40" a="1"/>
  <c r="Q974" i="40" s="1"/>
  <c r="U974" i="40" s="1"/>
  <c r="Q975" i="40" a="1"/>
  <c r="Q975" i="40" s="1"/>
  <c r="U975" i="40" s="1"/>
  <c r="Q976" i="40" a="1"/>
  <c r="Q976" i="40" s="1"/>
  <c r="U976" i="40" s="1"/>
  <c r="Q977" i="40" a="1"/>
  <c r="Q977" i="40" s="1"/>
  <c r="U977" i="40" s="1"/>
  <c r="Q978" i="40" a="1"/>
  <c r="Q978" i="40" s="1"/>
  <c r="U978" i="40" s="1"/>
  <c r="Q979" i="40" a="1"/>
  <c r="Q979" i="40" s="1"/>
  <c r="U979" i="40" s="1"/>
  <c r="Q980" i="40" a="1"/>
  <c r="Q980" i="40" s="1"/>
  <c r="U980" i="40" s="1"/>
  <c r="Q981" i="40" a="1"/>
  <c r="Q981" i="40" s="1"/>
  <c r="U981" i="40" s="1"/>
  <c r="Q982" i="40" a="1"/>
  <c r="Q982" i="40" s="1"/>
  <c r="U982" i="40" s="1"/>
  <c r="Q983" i="40" a="1"/>
  <c r="Q983" i="40" s="1"/>
  <c r="U983" i="40" s="1"/>
  <c r="M1041" i="40" a="1"/>
  <c r="M1041" i="40" s="1"/>
  <c r="S1041" i="40" s="1"/>
  <c r="M1045" i="40" a="1"/>
  <c r="M1045" i="40" s="1"/>
  <c r="S1045" i="40" s="1"/>
  <c r="M1049" i="40" a="1"/>
  <c r="M1049" i="40" s="1"/>
  <c r="S1049" i="40" s="1"/>
  <c r="M1053" i="40" a="1"/>
  <c r="M1053" i="40" s="1"/>
  <c r="S1053" i="40" s="1"/>
  <c r="M1057" i="40" a="1"/>
  <c r="M1057" i="40" s="1"/>
  <c r="S1057" i="40" s="1"/>
  <c r="M1061" i="40" a="1"/>
  <c r="M1061" i="40" s="1"/>
  <c r="S1061" i="40" s="1"/>
  <c r="M1065" i="40" a="1"/>
  <c r="M1065" i="40" s="1"/>
  <c r="S1065" i="40" s="1"/>
  <c r="M1069" i="40" a="1"/>
  <c r="M1069" i="40" s="1"/>
  <c r="S1069" i="40" s="1"/>
  <c r="M1073" i="40" a="1"/>
  <c r="M1073" i="40" s="1"/>
  <c r="S1073" i="40" s="1"/>
  <c r="M1077" i="40" a="1"/>
  <c r="M1077" i="40" s="1"/>
  <c r="S1077" i="40" s="1"/>
  <c r="M1081" i="40" a="1"/>
  <c r="M1081" i="40" s="1"/>
  <c r="S1081" i="40" s="1"/>
  <c r="Q885" i="40" a="1"/>
  <c r="Q885" i="40" s="1"/>
  <c r="U885" i="40" s="1"/>
  <c r="Q886" i="40" a="1"/>
  <c r="Q886" i="40" s="1"/>
  <c r="U886" i="40" s="1"/>
  <c r="Q887" i="40" a="1"/>
  <c r="Q887" i="40" s="1"/>
  <c r="U887" i="40" s="1"/>
  <c r="Q888" i="40" a="1"/>
  <c r="Q888" i="40" s="1"/>
  <c r="U888" i="40" s="1"/>
  <c r="Q889" i="40" a="1"/>
  <c r="Q889" i="40" s="1"/>
  <c r="U889" i="40" s="1"/>
  <c r="Q890" i="40" a="1"/>
  <c r="Q890" i="40" s="1"/>
  <c r="U890" i="40" s="1"/>
  <c r="Q891" i="40" a="1"/>
  <c r="Q891" i="40" s="1"/>
  <c r="U891" i="40" s="1"/>
  <c r="Q892" i="40" a="1"/>
  <c r="Q892" i="40" s="1"/>
  <c r="U892" i="40" s="1"/>
  <c r="Q893" i="40" a="1"/>
  <c r="Q893" i="40" s="1"/>
  <c r="U893" i="40" s="1"/>
  <c r="Q894" i="40" a="1"/>
  <c r="Q894" i="40" s="1"/>
  <c r="U894" i="40" s="1"/>
  <c r="Q895" i="40" a="1"/>
  <c r="Q895" i="40" s="1"/>
  <c r="U895" i="40" s="1"/>
  <c r="O764" i="40" a="1"/>
  <c r="O764" i="40" s="1"/>
  <c r="T764" i="40" s="1"/>
  <c r="O765" i="40" a="1"/>
  <c r="O765" i="40" s="1"/>
  <c r="T765" i="40" s="1"/>
  <c r="O766" i="40" a="1"/>
  <c r="O766" i="40" s="1"/>
  <c r="T766" i="40" s="1"/>
  <c r="O767" i="40" a="1"/>
  <c r="O767" i="40" s="1"/>
  <c r="T767" i="40" s="1"/>
  <c r="O768" i="40" a="1"/>
  <c r="O768" i="40" s="1"/>
  <c r="T768" i="40" s="1"/>
  <c r="O769" i="40" a="1"/>
  <c r="O769" i="40" s="1"/>
  <c r="T769" i="40" s="1"/>
  <c r="O770" i="40" a="1"/>
  <c r="O770" i="40" s="1"/>
  <c r="T770" i="40" s="1"/>
  <c r="O771" i="40" a="1"/>
  <c r="O771" i="40" s="1"/>
  <c r="T771" i="40" s="1"/>
  <c r="O772" i="40" a="1"/>
  <c r="O772" i="40" s="1"/>
  <c r="T772" i="40" s="1"/>
  <c r="O773" i="40" a="1"/>
  <c r="O773" i="40" s="1"/>
  <c r="T773" i="40" s="1"/>
  <c r="O774" i="40" a="1"/>
  <c r="O774" i="40" s="1"/>
  <c r="T774" i="40" s="1"/>
  <c r="O1205" i="40" a="1"/>
  <c r="O1205" i="40" s="1"/>
  <c r="T1205" i="40" s="1"/>
  <c r="O1207" i="40" a="1"/>
  <c r="O1207" i="40" s="1"/>
  <c r="T1207" i="40" s="1"/>
  <c r="O1209" i="40" a="1"/>
  <c r="O1209" i="40" s="1"/>
  <c r="T1209" i="40" s="1"/>
  <c r="O1211" i="40" a="1"/>
  <c r="O1211" i="40" s="1"/>
  <c r="T1211" i="40" s="1"/>
  <c r="O1213" i="40" a="1"/>
  <c r="O1213" i="40" s="1"/>
  <c r="T1213" i="40" s="1"/>
  <c r="O1215" i="40" a="1"/>
  <c r="O1215" i="40" s="1"/>
  <c r="T1215" i="40" s="1"/>
  <c r="O1217" i="40" a="1"/>
  <c r="O1217" i="40" s="1"/>
  <c r="T1217" i="40" s="1"/>
  <c r="O1219" i="40" a="1"/>
  <c r="O1219" i="40" s="1"/>
  <c r="T1219" i="40" s="1"/>
  <c r="O1221" i="40" a="1"/>
  <c r="O1221" i="40" s="1"/>
  <c r="T1221" i="40" s="1"/>
  <c r="O1223" i="40" a="1"/>
  <c r="O1223" i="40" s="1"/>
  <c r="T1223" i="40" s="1"/>
  <c r="O1225" i="40" a="1"/>
  <c r="O1225" i="40" s="1"/>
  <c r="T1225" i="40" s="1"/>
  <c r="O1083" i="40" a="1"/>
  <c r="O1083" i="40" s="1"/>
  <c r="T1083" i="40" s="1"/>
  <c r="O1087" i="40" a="1"/>
  <c r="O1087" i="40" s="1"/>
  <c r="T1087" i="40" s="1"/>
  <c r="O1091" i="40" a="1"/>
  <c r="O1091" i="40" s="1"/>
  <c r="T1091" i="40" s="1"/>
  <c r="O1095" i="40" a="1"/>
  <c r="O1095" i="40" s="1"/>
  <c r="T1095" i="40" s="1"/>
  <c r="O1099" i="40" a="1"/>
  <c r="O1099" i="40" s="1"/>
  <c r="T1099" i="40" s="1"/>
  <c r="O1103" i="40" a="1"/>
  <c r="O1103" i="40" s="1"/>
  <c r="T1103" i="40" s="1"/>
  <c r="O1107" i="40" a="1"/>
  <c r="O1107" i="40" s="1"/>
  <c r="T1107" i="40" s="1"/>
  <c r="O1111" i="40" a="1"/>
  <c r="O1111" i="40" s="1"/>
  <c r="T1111" i="40" s="1"/>
  <c r="O1115" i="40" a="1"/>
  <c r="O1115" i="40" s="1"/>
  <c r="T1115" i="40" s="1"/>
  <c r="O1119" i="40" a="1"/>
  <c r="O1119" i="40" s="1"/>
  <c r="T1119" i="40" s="1"/>
  <c r="O1123" i="40" a="1"/>
  <c r="O1123" i="40" s="1"/>
  <c r="T1123" i="40" s="1"/>
  <c r="F27" i="33"/>
  <c r="C87" i="52" s="1"/>
  <c r="M1161" i="40" a="1"/>
  <c r="M1161" i="40" s="1"/>
  <c r="S1161" i="40" s="1"/>
  <c r="M1163" i="40" a="1"/>
  <c r="M1163" i="40" s="1"/>
  <c r="S1163" i="40" s="1"/>
  <c r="M1165" i="40" a="1"/>
  <c r="M1165" i="40" s="1"/>
  <c r="S1165" i="40" s="1"/>
  <c r="M1167" i="40" a="1"/>
  <c r="M1167" i="40" s="1"/>
  <c r="S1167" i="40" s="1"/>
  <c r="M1169" i="40" a="1"/>
  <c r="M1169" i="40" s="1"/>
  <c r="S1169" i="40" s="1"/>
  <c r="M1171" i="40" a="1"/>
  <c r="M1171" i="40" s="1"/>
  <c r="S1171" i="40" s="1"/>
  <c r="M1173" i="40" a="1"/>
  <c r="M1173" i="40" s="1"/>
  <c r="S1173" i="40" s="1"/>
  <c r="M1175" i="40" a="1"/>
  <c r="M1175" i="40" s="1"/>
  <c r="S1175" i="40" s="1"/>
  <c r="M1177" i="40" a="1"/>
  <c r="M1177" i="40" s="1"/>
  <c r="S1177" i="40" s="1"/>
  <c r="M1179" i="40" a="1"/>
  <c r="M1179" i="40" s="1"/>
  <c r="S1179" i="40" s="1"/>
  <c r="M1181" i="40" a="1"/>
  <c r="M1181" i="40" s="1"/>
  <c r="S1181" i="40" s="1"/>
  <c r="R1127" i="40" a="1"/>
  <c r="R1127" i="40" s="1"/>
  <c r="V1127" i="40" s="1"/>
  <c r="R1128" i="40" a="1"/>
  <c r="R1128" i="40" s="1"/>
  <c r="V1128" i="40" s="1"/>
  <c r="R1129" i="40" a="1"/>
  <c r="R1129" i="40" s="1"/>
  <c r="V1129" i="40" s="1"/>
  <c r="R1130" i="40" a="1"/>
  <c r="R1130" i="40" s="1"/>
  <c r="V1130" i="40" s="1"/>
  <c r="R1131" i="40" a="1"/>
  <c r="R1131" i="40" s="1"/>
  <c r="V1131" i="40" s="1"/>
  <c r="R1132" i="40" a="1"/>
  <c r="R1132" i="40" s="1"/>
  <c r="V1132" i="40" s="1"/>
  <c r="R1133" i="40" a="1"/>
  <c r="R1133" i="40" s="1"/>
  <c r="V1133" i="40" s="1"/>
  <c r="R1134" i="40" a="1"/>
  <c r="R1134" i="40" s="1"/>
  <c r="V1134" i="40" s="1"/>
  <c r="R1135" i="40" a="1"/>
  <c r="R1135" i="40" s="1"/>
  <c r="V1135" i="40" s="1"/>
  <c r="R1136" i="40" a="1"/>
  <c r="R1136" i="40" s="1"/>
  <c r="V1136" i="40" s="1"/>
  <c r="R1137" i="40" a="1"/>
  <c r="R1137" i="40" s="1"/>
  <c r="V1137" i="40" s="1"/>
  <c r="R1402" i="40" a="1"/>
  <c r="R1402" i="40" s="1"/>
  <c r="V1402" i="40" s="1"/>
  <c r="R1403" i="40" a="1"/>
  <c r="R1403" i="40" s="1"/>
  <c r="V1403" i="40" s="1"/>
  <c r="R1404" i="40" a="1"/>
  <c r="R1404" i="40" s="1"/>
  <c r="V1404" i="40" s="1"/>
  <c r="R1405" i="40" a="1"/>
  <c r="R1405" i="40" s="1"/>
  <c r="V1405" i="40" s="1"/>
  <c r="R1406" i="40" a="1"/>
  <c r="R1406" i="40" s="1"/>
  <c r="V1406" i="40" s="1"/>
  <c r="R1407" i="40" a="1"/>
  <c r="R1407" i="40" s="1"/>
  <c r="V1407" i="40" s="1"/>
  <c r="R1408" i="40" a="1"/>
  <c r="R1408" i="40" s="1"/>
  <c r="V1408" i="40" s="1"/>
  <c r="R1409" i="40" a="1"/>
  <c r="R1409" i="40" s="1"/>
  <c r="V1409" i="40" s="1"/>
  <c r="R1410" i="40" a="1"/>
  <c r="R1410" i="40" s="1"/>
  <c r="V1410" i="40" s="1"/>
  <c r="R1411" i="40" a="1"/>
  <c r="R1411" i="40" s="1"/>
  <c r="V1411" i="40" s="1"/>
  <c r="R1412" i="40" a="1"/>
  <c r="R1412" i="40" s="1"/>
  <c r="V1412" i="40" s="1"/>
  <c r="Q841" i="40" a="1"/>
  <c r="Q841" i="40" s="1"/>
  <c r="U841" i="40" s="1"/>
  <c r="Q845" i="40" a="1"/>
  <c r="Q845" i="40" s="1"/>
  <c r="U845" i="40" s="1"/>
  <c r="Q843" i="40" a="1"/>
  <c r="Q843" i="40" s="1"/>
  <c r="U843" i="40" s="1"/>
  <c r="Q847" i="40" a="1"/>
  <c r="Q847" i="40" s="1"/>
  <c r="U847" i="40" s="1"/>
  <c r="Q849" i="40" a="1"/>
  <c r="Q849" i="40" s="1"/>
  <c r="U849" i="40" s="1"/>
  <c r="Q851" i="40" a="1"/>
  <c r="Q851" i="40" s="1"/>
  <c r="U851" i="40" s="1"/>
  <c r="Q853" i="40" a="1"/>
  <c r="Q853" i="40" s="1"/>
  <c r="U853" i="40" s="1"/>
  <c r="Q855" i="40" a="1"/>
  <c r="Q855" i="40" s="1"/>
  <c r="U855" i="40" s="1"/>
  <c r="Q857" i="40" a="1"/>
  <c r="Q857" i="40" s="1"/>
  <c r="U857" i="40" s="1"/>
  <c r="Q859" i="40" a="1"/>
  <c r="Q859" i="40" s="1"/>
  <c r="U859" i="40" s="1"/>
  <c r="Q861" i="40" a="1"/>
  <c r="Q861" i="40" s="1"/>
  <c r="U861" i="40" s="1"/>
  <c r="M1006" i="40" a="1"/>
  <c r="M1006" i="40" s="1"/>
  <c r="S1006" i="40" s="1"/>
  <c r="M1007" i="40" a="1"/>
  <c r="M1007" i="40" s="1"/>
  <c r="S1007" i="40" s="1"/>
  <c r="M1008" i="40" a="1"/>
  <c r="M1008" i="40" s="1"/>
  <c r="S1008" i="40" s="1"/>
  <c r="M1009" i="40" a="1"/>
  <c r="M1009" i="40" s="1"/>
  <c r="S1009" i="40" s="1"/>
  <c r="M1010" i="40" a="1"/>
  <c r="M1010" i="40" s="1"/>
  <c r="S1010" i="40" s="1"/>
  <c r="M1011" i="40" a="1"/>
  <c r="M1011" i="40" s="1"/>
  <c r="S1011" i="40" s="1"/>
  <c r="M1012" i="40" a="1"/>
  <c r="M1012" i="40" s="1"/>
  <c r="S1012" i="40" s="1"/>
  <c r="M1013" i="40" a="1"/>
  <c r="M1013" i="40" s="1"/>
  <c r="S1013" i="40" s="1"/>
  <c r="M1014" i="40" a="1"/>
  <c r="M1014" i="40" s="1"/>
  <c r="S1014" i="40" s="1"/>
  <c r="M1015" i="40" a="1"/>
  <c r="M1015" i="40" s="1"/>
  <c r="S1015" i="40" s="1"/>
  <c r="M1016" i="40" a="1"/>
  <c r="M1016" i="40" s="1"/>
  <c r="S1016" i="40" s="1"/>
  <c r="O1281" i="40" a="1"/>
  <c r="O1281" i="40" s="1"/>
  <c r="T1281" i="40" s="1"/>
  <c r="O1282" i="40" a="1"/>
  <c r="O1282" i="40" s="1"/>
  <c r="T1282" i="40" s="1"/>
  <c r="O1283" i="40" a="1"/>
  <c r="O1283" i="40" s="1"/>
  <c r="T1283" i="40" s="1"/>
  <c r="O1284" i="40" a="1"/>
  <c r="O1284" i="40" s="1"/>
  <c r="T1284" i="40" s="1"/>
  <c r="O1285" i="40" a="1"/>
  <c r="O1285" i="40" s="1"/>
  <c r="T1285" i="40" s="1"/>
  <c r="O1286" i="40" a="1"/>
  <c r="O1286" i="40" s="1"/>
  <c r="T1286" i="40" s="1"/>
  <c r="O1287" i="40" a="1"/>
  <c r="O1287" i="40" s="1"/>
  <c r="T1287" i="40" s="1"/>
  <c r="O1288" i="40" a="1"/>
  <c r="O1288" i="40" s="1"/>
  <c r="T1288" i="40" s="1"/>
  <c r="O1289" i="40" a="1"/>
  <c r="O1289" i="40" s="1"/>
  <c r="T1289" i="40" s="1"/>
  <c r="O1290" i="40" a="1"/>
  <c r="O1290" i="40" s="1"/>
  <c r="T1290" i="40" s="1"/>
  <c r="O1291" i="40" a="1"/>
  <c r="O1291" i="40" s="1"/>
  <c r="T1291" i="40" s="1"/>
  <c r="O1085" i="40" a="1"/>
  <c r="O1085" i="40" s="1"/>
  <c r="T1085" i="40" s="1"/>
  <c r="O1089" i="40" a="1"/>
  <c r="O1089" i="40" s="1"/>
  <c r="T1089" i="40" s="1"/>
  <c r="O1093" i="40" a="1"/>
  <c r="O1093" i="40" s="1"/>
  <c r="T1093" i="40" s="1"/>
  <c r="O1097" i="40" a="1"/>
  <c r="O1097" i="40" s="1"/>
  <c r="T1097" i="40" s="1"/>
  <c r="O1101" i="40" a="1"/>
  <c r="O1101" i="40" s="1"/>
  <c r="T1101" i="40" s="1"/>
  <c r="O1105" i="40" a="1"/>
  <c r="O1105" i="40" s="1"/>
  <c r="T1105" i="40" s="1"/>
  <c r="O1109" i="40" a="1"/>
  <c r="O1109" i="40" s="1"/>
  <c r="T1109" i="40" s="1"/>
  <c r="O1113" i="40" a="1"/>
  <c r="O1113" i="40" s="1"/>
  <c r="T1113" i="40" s="1"/>
  <c r="O1117" i="40" a="1"/>
  <c r="O1117" i="40" s="1"/>
  <c r="T1117" i="40" s="1"/>
  <c r="O1121" i="40" a="1"/>
  <c r="O1121" i="40" s="1"/>
  <c r="T1121" i="40" s="1"/>
  <c r="O1125" i="40" a="1"/>
  <c r="O1125" i="40" s="1"/>
  <c r="T1125" i="40" s="1"/>
  <c r="N841" i="40" a="1"/>
  <c r="N841" i="40" s="1"/>
  <c r="N843" i="40" a="1"/>
  <c r="N843" i="40" s="1"/>
  <c r="N845" i="40" a="1"/>
  <c r="N845" i="40" s="1"/>
  <c r="N847" i="40" a="1"/>
  <c r="N847" i="40" s="1"/>
  <c r="N849" i="40" a="1"/>
  <c r="N849" i="40" s="1"/>
  <c r="N851" i="40" a="1"/>
  <c r="N851" i="40" s="1"/>
  <c r="N853" i="40" a="1"/>
  <c r="N853" i="40" s="1"/>
  <c r="N855" i="40" a="1"/>
  <c r="N855" i="40" s="1"/>
  <c r="N857" i="40" a="1"/>
  <c r="N857" i="40" s="1"/>
  <c r="N859" i="40" a="1"/>
  <c r="N859" i="40" s="1"/>
  <c r="N861" i="40" a="1"/>
  <c r="N861" i="40" s="1"/>
  <c r="M984" i="40" a="1"/>
  <c r="M984" i="40" s="1"/>
  <c r="S984" i="40" s="1"/>
  <c r="M985" i="40" a="1"/>
  <c r="M985" i="40" s="1"/>
  <c r="S985" i="40" s="1"/>
  <c r="M986" i="40" a="1"/>
  <c r="M986" i="40" s="1"/>
  <c r="S986" i="40" s="1"/>
  <c r="M987" i="40" a="1"/>
  <c r="M987" i="40" s="1"/>
  <c r="S987" i="40" s="1"/>
  <c r="M988" i="40" a="1"/>
  <c r="M988" i="40" s="1"/>
  <c r="S988" i="40" s="1"/>
  <c r="M989" i="40" a="1"/>
  <c r="M989" i="40" s="1"/>
  <c r="S989" i="40" s="1"/>
  <c r="M990" i="40" a="1"/>
  <c r="M990" i="40" s="1"/>
  <c r="S990" i="40" s="1"/>
  <c r="M991" i="40" a="1"/>
  <c r="M991" i="40" s="1"/>
  <c r="S991" i="40" s="1"/>
  <c r="M992" i="40" a="1"/>
  <c r="M992" i="40" s="1"/>
  <c r="S992" i="40" s="1"/>
  <c r="M993" i="40" a="1"/>
  <c r="M993" i="40" s="1"/>
  <c r="S993" i="40" s="1"/>
  <c r="M994" i="40" a="1"/>
  <c r="M994" i="40" s="1"/>
  <c r="S994" i="40" s="1"/>
  <c r="Q808" i="40" a="1"/>
  <c r="Q808" i="40" s="1"/>
  <c r="U808" i="40" s="1"/>
  <c r="Q811" i="40" a="1"/>
  <c r="Q811" i="40" s="1"/>
  <c r="U811" i="40" s="1"/>
  <c r="Q814" i="40" a="1"/>
  <c r="Q814" i="40" s="1"/>
  <c r="U814" i="40" s="1"/>
  <c r="Q817" i="40" a="1"/>
  <c r="Q817" i="40" s="1"/>
  <c r="U817" i="40" s="1"/>
  <c r="Q823" i="40" a="1"/>
  <c r="Q823" i="40" s="1"/>
  <c r="U823" i="40" s="1"/>
  <c r="Q820" i="40" a="1"/>
  <c r="Q820" i="40" s="1"/>
  <c r="U820" i="40" s="1"/>
  <c r="Q826" i="40" a="1"/>
  <c r="Q826" i="40" s="1"/>
  <c r="U826" i="40" s="1"/>
  <c r="Q829" i="40" a="1"/>
  <c r="Q829" i="40" s="1"/>
  <c r="U829" i="40" s="1"/>
  <c r="Q832" i="40" a="1"/>
  <c r="Q832" i="40" s="1"/>
  <c r="U832" i="40" s="1"/>
  <c r="Q835" i="40" a="1"/>
  <c r="Q835" i="40" s="1"/>
  <c r="U835" i="40" s="1"/>
  <c r="Q838" i="40" a="1"/>
  <c r="Q838" i="40" s="1"/>
  <c r="U838" i="40" s="1"/>
  <c r="M995" i="40" a="1"/>
  <c r="M995" i="40" s="1"/>
  <c r="S995" i="40" s="1"/>
  <c r="M996" i="40" a="1"/>
  <c r="M996" i="40" s="1"/>
  <c r="S996" i="40" s="1"/>
  <c r="M997" i="40" a="1"/>
  <c r="M997" i="40" s="1"/>
  <c r="S997" i="40" s="1"/>
  <c r="M998" i="40" a="1"/>
  <c r="M998" i="40" s="1"/>
  <c r="S998" i="40" s="1"/>
  <c r="M999" i="40" a="1"/>
  <c r="M999" i="40" s="1"/>
  <c r="S999" i="40" s="1"/>
  <c r="M1000" i="40" a="1"/>
  <c r="M1000" i="40" s="1"/>
  <c r="S1000" i="40" s="1"/>
  <c r="M1001" i="40" a="1"/>
  <c r="M1001" i="40" s="1"/>
  <c r="S1001" i="40" s="1"/>
  <c r="M1002" i="40" a="1"/>
  <c r="M1002" i="40" s="1"/>
  <c r="S1002" i="40" s="1"/>
  <c r="M1003" i="40" a="1"/>
  <c r="M1003" i="40" s="1"/>
  <c r="S1003" i="40" s="1"/>
  <c r="M1004" i="40" a="1"/>
  <c r="M1004" i="40" s="1"/>
  <c r="S1004" i="40" s="1"/>
  <c r="M1005" i="40" a="1"/>
  <c r="M1005" i="40" s="1"/>
  <c r="S1005" i="40" s="1"/>
  <c r="R841" i="40" a="1"/>
  <c r="R841" i="40" s="1"/>
  <c r="V841" i="40" s="1"/>
  <c r="R843" i="40" a="1"/>
  <c r="R843" i="40" s="1"/>
  <c r="V843" i="40" s="1"/>
  <c r="R845" i="40" a="1"/>
  <c r="R845" i="40" s="1"/>
  <c r="V845" i="40" s="1"/>
  <c r="R847" i="40" a="1"/>
  <c r="R847" i="40" s="1"/>
  <c r="V847" i="40" s="1"/>
  <c r="R849" i="40" a="1"/>
  <c r="R849" i="40" s="1"/>
  <c r="V849" i="40" s="1"/>
  <c r="R851" i="40" a="1"/>
  <c r="R851" i="40" s="1"/>
  <c r="V851" i="40" s="1"/>
  <c r="R853" i="40" a="1"/>
  <c r="R853" i="40" s="1"/>
  <c r="V853" i="40" s="1"/>
  <c r="R855" i="40" a="1"/>
  <c r="R855" i="40" s="1"/>
  <c r="V855" i="40" s="1"/>
  <c r="R857" i="40" a="1"/>
  <c r="R857" i="40" s="1"/>
  <c r="V857" i="40" s="1"/>
  <c r="R861" i="40" a="1"/>
  <c r="R861" i="40" s="1"/>
  <c r="V861" i="40" s="1"/>
  <c r="R859" i="40" a="1"/>
  <c r="R859" i="40" s="1"/>
  <c r="V859" i="40" s="1"/>
  <c r="M1226" i="40" a="1"/>
  <c r="M1226" i="40" s="1"/>
  <c r="S1226" i="40" s="1"/>
  <c r="M1229" i="40" a="1"/>
  <c r="M1229" i="40" s="1"/>
  <c r="S1229" i="40" s="1"/>
  <c r="M1232" i="40" a="1"/>
  <c r="M1232" i="40" s="1"/>
  <c r="S1232" i="40" s="1"/>
  <c r="M1235" i="40" a="1"/>
  <c r="M1235" i="40" s="1"/>
  <c r="S1235" i="40" s="1"/>
  <c r="M1238" i="40" a="1"/>
  <c r="M1238" i="40" s="1"/>
  <c r="S1238" i="40" s="1"/>
  <c r="M1241" i="40" a="1"/>
  <c r="M1241" i="40" s="1"/>
  <c r="S1241" i="40" s="1"/>
  <c r="M1244" i="40" a="1"/>
  <c r="M1244" i="40" s="1"/>
  <c r="S1244" i="40" s="1"/>
  <c r="M1247" i="40" a="1"/>
  <c r="M1247" i="40" s="1"/>
  <c r="S1247" i="40" s="1"/>
  <c r="M1250" i="40" a="1"/>
  <c r="M1250" i="40" s="1"/>
  <c r="S1250" i="40" s="1"/>
  <c r="M1253" i="40" a="1"/>
  <c r="M1253" i="40" s="1"/>
  <c r="S1253" i="40" s="1"/>
  <c r="M1256" i="40" a="1"/>
  <c r="M1256" i="40" s="1"/>
  <c r="S1256" i="40" s="1"/>
  <c r="R1205" i="40" a="1"/>
  <c r="R1205" i="40" s="1"/>
  <c r="V1205" i="40" s="1"/>
  <c r="R1207" i="40" a="1"/>
  <c r="R1207" i="40" s="1"/>
  <c r="V1207" i="40" s="1"/>
  <c r="R1209" i="40" a="1"/>
  <c r="R1209" i="40" s="1"/>
  <c r="V1209" i="40" s="1"/>
  <c r="R1211" i="40" a="1"/>
  <c r="R1211" i="40" s="1"/>
  <c r="V1211" i="40" s="1"/>
  <c r="R1213" i="40" a="1"/>
  <c r="R1213" i="40" s="1"/>
  <c r="V1213" i="40" s="1"/>
  <c r="R1215" i="40" a="1"/>
  <c r="R1215" i="40" s="1"/>
  <c r="V1215" i="40" s="1"/>
  <c r="R1217" i="40" a="1"/>
  <c r="R1217" i="40" s="1"/>
  <c r="V1217" i="40" s="1"/>
  <c r="R1219" i="40" a="1"/>
  <c r="R1219" i="40" s="1"/>
  <c r="V1219" i="40" s="1"/>
  <c r="R1221" i="40" a="1"/>
  <c r="R1221" i="40" s="1"/>
  <c r="V1221" i="40" s="1"/>
  <c r="R1223" i="40" a="1"/>
  <c r="R1223" i="40" s="1"/>
  <c r="V1223" i="40" s="1"/>
  <c r="R1225" i="40" a="1"/>
  <c r="R1225" i="40" s="1"/>
  <c r="V1225" i="40" s="1"/>
  <c r="Q1042" i="40" a="1"/>
  <c r="Q1042" i="40" s="1"/>
  <c r="U1042" i="40" s="1"/>
  <c r="Q1046" i="40" a="1"/>
  <c r="Q1046" i="40" s="1"/>
  <c r="U1046" i="40" s="1"/>
  <c r="Q1050" i="40" a="1"/>
  <c r="Q1050" i="40" s="1"/>
  <c r="U1050" i="40" s="1"/>
  <c r="Q1054" i="40" a="1"/>
  <c r="Q1054" i="40" s="1"/>
  <c r="U1054" i="40" s="1"/>
  <c r="Q1058" i="40" a="1"/>
  <c r="Q1058" i="40" s="1"/>
  <c r="U1058" i="40" s="1"/>
  <c r="Q1062" i="40" a="1"/>
  <c r="Q1062" i="40" s="1"/>
  <c r="U1062" i="40" s="1"/>
  <c r="Q1066" i="40" a="1"/>
  <c r="Q1066" i="40" s="1"/>
  <c r="U1066" i="40" s="1"/>
  <c r="Q1070" i="40" a="1"/>
  <c r="Q1070" i="40" s="1"/>
  <c r="U1070" i="40" s="1"/>
  <c r="Q1074" i="40" a="1"/>
  <c r="Q1074" i="40" s="1"/>
  <c r="U1074" i="40" s="1"/>
  <c r="Q1078" i="40" a="1"/>
  <c r="Q1078" i="40" s="1"/>
  <c r="U1078" i="40" s="1"/>
  <c r="Q1082" i="40" a="1"/>
  <c r="Q1082" i="40" s="1"/>
  <c r="U1082" i="40" s="1"/>
  <c r="M1228" i="40" a="1"/>
  <c r="M1228" i="40" s="1"/>
  <c r="S1228" i="40" s="1"/>
  <c r="M1231" i="40" a="1"/>
  <c r="M1231" i="40" s="1"/>
  <c r="S1231" i="40" s="1"/>
  <c r="M1234" i="40" a="1"/>
  <c r="M1234" i="40" s="1"/>
  <c r="S1234" i="40" s="1"/>
  <c r="M1237" i="40" a="1"/>
  <c r="M1237" i="40" s="1"/>
  <c r="S1237" i="40" s="1"/>
  <c r="M1240" i="40" a="1"/>
  <c r="M1240" i="40" s="1"/>
  <c r="S1240" i="40" s="1"/>
  <c r="M1243" i="40" a="1"/>
  <c r="M1243" i="40" s="1"/>
  <c r="S1243" i="40" s="1"/>
  <c r="M1246" i="40" a="1"/>
  <c r="M1246" i="40" s="1"/>
  <c r="S1246" i="40" s="1"/>
  <c r="M1249" i="40" a="1"/>
  <c r="M1249" i="40" s="1"/>
  <c r="S1249" i="40" s="1"/>
  <c r="M1252" i="40" a="1"/>
  <c r="M1252" i="40" s="1"/>
  <c r="S1252" i="40" s="1"/>
  <c r="M1255" i="40" a="1"/>
  <c r="M1255" i="40" s="1"/>
  <c r="S1255" i="40" s="1"/>
  <c r="M1258" i="40" a="1"/>
  <c r="M1258" i="40" s="1"/>
  <c r="S1258" i="40" s="1"/>
  <c r="Q1039" i="40" a="1"/>
  <c r="Q1039" i="40" s="1"/>
  <c r="U1039" i="40" s="1"/>
  <c r="Q1043" i="40" a="1"/>
  <c r="Q1043" i="40" s="1"/>
  <c r="U1043" i="40" s="1"/>
  <c r="Q1047" i="40" a="1"/>
  <c r="Q1047" i="40" s="1"/>
  <c r="U1047" i="40" s="1"/>
  <c r="Q1051" i="40" a="1"/>
  <c r="Q1051" i="40" s="1"/>
  <c r="U1051" i="40" s="1"/>
  <c r="Q1055" i="40" a="1"/>
  <c r="Q1055" i="40" s="1"/>
  <c r="U1055" i="40" s="1"/>
  <c r="Q1059" i="40" a="1"/>
  <c r="Q1059" i="40" s="1"/>
  <c r="U1059" i="40" s="1"/>
  <c r="Q1063" i="40" a="1"/>
  <c r="Q1063" i="40" s="1"/>
  <c r="U1063" i="40" s="1"/>
  <c r="Q1067" i="40" a="1"/>
  <c r="Q1067" i="40" s="1"/>
  <c r="U1067" i="40" s="1"/>
  <c r="Q1071" i="40" a="1"/>
  <c r="Q1071" i="40" s="1"/>
  <c r="U1071" i="40" s="1"/>
  <c r="Q1075" i="40" a="1"/>
  <c r="Q1075" i="40" s="1"/>
  <c r="U1075" i="40" s="1"/>
  <c r="Q1079" i="40" a="1"/>
  <c r="Q1079" i="40" s="1"/>
  <c r="U1079" i="40" s="1"/>
  <c r="Q1041" i="40" a="1"/>
  <c r="Q1041" i="40" s="1"/>
  <c r="U1041" i="40" s="1"/>
  <c r="Q1049" i="40" a="1"/>
  <c r="Q1049" i="40" s="1"/>
  <c r="U1049" i="40" s="1"/>
  <c r="Q1045" i="40" a="1"/>
  <c r="Q1045" i="40" s="1"/>
  <c r="U1045" i="40" s="1"/>
  <c r="Q1053" i="40" a="1"/>
  <c r="Q1053" i="40" s="1"/>
  <c r="U1053" i="40" s="1"/>
  <c r="Q1057" i="40" a="1"/>
  <c r="Q1057" i="40" s="1"/>
  <c r="U1057" i="40" s="1"/>
  <c r="Q1061" i="40" a="1"/>
  <c r="Q1061" i="40" s="1"/>
  <c r="U1061" i="40" s="1"/>
  <c r="Q1065" i="40" a="1"/>
  <c r="Q1065" i="40" s="1"/>
  <c r="U1065" i="40" s="1"/>
  <c r="Q1069" i="40" a="1"/>
  <c r="Q1069" i="40" s="1"/>
  <c r="U1069" i="40" s="1"/>
  <c r="Q1073" i="40" a="1"/>
  <c r="Q1073" i="40" s="1"/>
  <c r="U1073" i="40" s="1"/>
  <c r="Q1077" i="40" a="1"/>
  <c r="Q1077" i="40" s="1"/>
  <c r="U1077" i="40" s="1"/>
  <c r="Q1081" i="40" a="1"/>
  <c r="Q1081" i="40" s="1"/>
  <c r="U1081" i="40" s="1"/>
  <c r="J190" i="42"/>
  <c r="J182" i="42"/>
  <c r="M246" i="40" a="1"/>
  <c r="M246" i="40" s="1"/>
  <c r="S246" i="40" s="1"/>
  <c r="M940" i="40" a="1"/>
  <c r="M940" i="40" s="1"/>
  <c r="S940" i="40" s="1"/>
  <c r="M941" i="40" a="1"/>
  <c r="M941" i="40" s="1"/>
  <c r="S941" i="40" s="1"/>
  <c r="M942" i="40" a="1"/>
  <c r="M942" i="40" s="1"/>
  <c r="S942" i="40" s="1"/>
  <c r="M943" i="40" a="1"/>
  <c r="M943" i="40" s="1"/>
  <c r="S943" i="40" s="1"/>
  <c r="M944" i="40" a="1"/>
  <c r="M944" i="40" s="1"/>
  <c r="S944" i="40" s="1"/>
  <c r="M945" i="40" a="1"/>
  <c r="M945" i="40" s="1"/>
  <c r="M946" i="40" a="1"/>
  <c r="M946" i="40" s="1"/>
  <c r="S946" i="40" s="1"/>
  <c r="M947" i="40" a="1"/>
  <c r="M947" i="40" s="1"/>
  <c r="S947" i="40" s="1"/>
  <c r="M948" i="40" a="1"/>
  <c r="M948" i="40" s="1"/>
  <c r="S948" i="40" s="1"/>
  <c r="M949" i="40" a="1"/>
  <c r="M949" i="40" s="1"/>
  <c r="S949" i="40" s="1"/>
  <c r="M950" i="40" a="1"/>
  <c r="M950" i="40" s="1"/>
  <c r="S950" i="40" s="1"/>
  <c r="J128" i="42"/>
  <c r="R1086" i="40" a="1"/>
  <c r="R1086" i="40" s="1"/>
  <c r="V1086" i="40" s="1"/>
  <c r="R1090" i="40" a="1"/>
  <c r="R1090" i="40" s="1"/>
  <c r="V1090" i="40" s="1"/>
  <c r="R1094" i="40" a="1"/>
  <c r="R1094" i="40" s="1"/>
  <c r="V1094" i="40" s="1"/>
  <c r="R1098" i="40" a="1"/>
  <c r="R1098" i="40" s="1"/>
  <c r="V1098" i="40" s="1"/>
  <c r="R1102" i="40" a="1"/>
  <c r="R1102" i="40" s="1"/>
  <c r="V1102" i="40" s="1"/>
  <c r="R1106" i="40" a="1"/>
  <c r="R1106" i="40" s="1"/>
  <c r="V1106" i="40" s="1"/>
  <c r="R1110" i="40" a="1"/>
  <c r="R1110" i="40" s="1"/>
  <c r="V1110" i="40" s="1"/>
  <c r="R1114" i="40" a="1"/>
  <c r="R1114" i="40" s="1"/>
  <c r="V1114" i="40" s="1"/>
  <c r="R1118" i="40" a="1"/>
  <c r="R1118" i="40" s="1"/>
  <c r="V1118" i="40" s="1"/>
  <c r="R1122" i="40" a="1"/>
  <c r="R1122" i="40" s="1"/>
  <c r="V1122" i="40" s="1"/>
  <c r="R1126" i="40" a="1"/>
  <c r="R1126" i="40" s="1"/>
  <c r="V1126" i="40" s="1"/>
  <c r="M1182" i="40" a="1"/>
  <c r="M1182" i="40" s="1"/>
  <c r="S1182" i="40" s="1"/>
  <c r="M1184" i="40" a="1"/>
  <c r="M1184" i="40" s="1"/>
  <c r="S1184" i="40" s="1"/>
  <c r="M1186" i="40" a="1"/>
  <c r="M1186" i="40" s="1"/>
  <c r="S1186" i="40" s="1"/>
  <c r="M1188" i="40" a="1"/>
  <c r="M1188" i="40" s="1"/>
  <c r="S1188" i="40" s="1"/>
  <c r="M1190" i="40" a="1"/>
  <c r="M1190" i="40" s="1"/>
  <c r="S1190" i="40" s="1"/>
  <c r="M1192" i="40" a="1"/>
  <c r="M1192" i="40" s="1"/>
  <c r="S1192" i="40" s="1"/>
  <c r="M1194" i="40" a="1"/>
  <c r="M1194" i="40" s="1"/>
  <c r="S1194" i="40" s="1"/>
  <c r="M1196" i="40" a="1"/>
  <c r="M1196" i="40" s="1"/>
  <c r="S1196" i="40" s="1"/>
  <c r="M1198" i="40" a="1"/>
  <c r="M1198" i="40" s="1"/>
  <c r="S1198" i="40" s="1"/>
  <c r="M1200" i="40" a="1"/>
  <c r="M1200" i="40" s="1"/>
  <c r="S1200" i="40" s="1"/>
  <c r="M1202" i="40" a="1"/>
  <c r="M1202" i="40" s="1"/>
  <c r="S1202" i="40" s="1"/>
  <c r="N1260" i="40" a="1"/>
  <c r="N1260" i="40" s="1"/>
  <c r="N1262" i="40" a="1"/>
  <c r="N1262" i="40" s="1"/>
  <c r="N1264" i="40" a="1"/>
  <c r="N1264" i="40" s="1"/>
  <c r="N1266" i="40" a="1"/>
  <c r="N1266" i="40" s="1"/>
  <c r="N1270" i="40" a="1"/>
  <c r="N1270" i="40" s="1"/>
  <c r="N1268" i="40" a="1"/>
  <c r="N1268" i="40" s="1"/>
  <c r="N1272" i="40" a="1"/>
  <c r="N1272" i="40" s="1"/>
  <c r="N1274" i="40" a="1"/>
  <c r="N1274" i="40" s="1"/>
  <c r="N1276" i="40" a="1"/>
  <c r="N1276" i="40" s="1"/>
  <c r="N1278" i="40" a="1"/>
  <c r="N1278" i="40" s="1"/>
  <c r="N1280" i="40" a="1"/>
  <c r="N1280" i="40" s="1"/>
  <c r="Q1281" i="40" a="1"/>
  <c r="Q1281" i="40" s="1"/>
  <c r="U1281" i="40" s="1"/>
  <c r="Q1282" i="40" a="1"/>
  <c r="Q1282" i="40" s="1"/>
  <c r="U1282" i="40" s="1"/>
  <c r="Q1283" i="40" a="1"/>
  <c r="Q1283" i="40" s="1"/>
  <c r="U1283" i="40" s="1"/>
  <c r="Q1284" i="40" a="1"/>
  <c r="Q1284" i="40" s="1"/>
  <c r="U1284" i="40" s="1"/>
  <c r="Q1285" i="40" a="1"/>
  <c r="Q1285" i="40" s="1"/>
  <c r="U1285" i="40" s="1"/>
  <c r="Q1286" i="40" a="1"/>
  <c r="Q1286" i="40" s="1"/>
  <c r="U1286" i="40" s="1"/>
  <c r="Q1287" i="40" a="1"/>
  <c r="Q1287" i="40" s="1"/>
  <c r="U1287" i="40" s="1"/>
  <c r="Q1288" i="40" a="1"/>
  <c r="Q1288" i="40" s="1"/>
  <c r="U1288" i="40" s="1"/>
  <c r="Q1289" i="40" a="1"/>
  <c r="Q1289" i="40" s="1"/>
  <c r="U1289" i="40" s="1"/>
  <c r="Q1290" i="40" a="1"/>
  <c r="Q1290" i="40" s="1"/>
  <c r="U1290" i="40" s="1"/>
  <c r="Q1291" i="40" a="1"/>
  <c r="Q1291" i="40" s="1"/>
  <c r="U1291" i="40" s="1"/>
  <c r="Q951" i="40" a="1"/>
  <c r="Q951" i="40" s="1"/>
  <c r="U951" i="40" s="1"/>
  <c r="Q952" i="40" a="1"/>
  <c r="Q952" i="40" s="1"/>
  <c r="U952" i="40" s="1"/>
  <c r="Q953" i="40" a="1"/>
  <c r="Q953" i="40" s="1"/>
  <c r="U953" i="40" s="1"/>
  <c r="Q954" i="40" a="1"/>
  <c r="Q954" i="40" s="1"/>
  <c r="U954" i="40" s="1"/>
  <c r="Q955" i="40" a="1"/>
  <c r="Q955" i="40" s="1"/>
  <c r="U955" i="40" s="1"/>
  <c r="Q956" i="40" a="1"/>
  <c r="Q956" i="40" s="1"/>
  <c r="U956" i="40" s="1"/>
  <c r="Q957" i="40" a="1"/>
  <c r="Q957" i="40" s="1"/>
  <c r="U957" i="40" s="1"/>
  <c r="Q958" i="40" a="1"/>
  <c r="Q958" i="40" s="1"/>
  <c r="U958" i="40" s="1"/>
  <c r="Q959" i="40" a="1"/>
  <c r="Q959" i="40" s="1"/>
  <c r="U959" i="40" s="1"/>
  <c r="Q960" i="40" a="1"/>
  <c r="Q960" i="40" s="1"/>
  <c r="U960" i="40" s="1"/>
  <c r="Q961" i="40" a="1"/>
  <c r="Q961" i="40" s="1"/>
  <c r="U961" i="40" s="1"/>
  <c r="N474" i="40" a="1"/>
  <c r="N474" i="40" s="1"/>
  <c r="N1160" i="40" a="1"/>
  <c r="N1160" i="40" s="1"/>
  <c r="N1162" i="40" a="1"/>
  <c r="N1162" i="40" s="1"/>
  <c r="N1164" i="40" a="1"/>
  <c r="N1164" i="40" s="1"/>
  <c r="N1166" i="40" a="1"/>
  <c r="N1166" i="40" s="1"/>
  <c r="N1168" i="40" a="1"/>
  <c r="N1168" i="40" s="1"/>
  <c r="N1170" i="40" a="1"/>
  <c r="N1170" i="40" s="1"/>
  <c r="N1172" i="40" a="1"/>
  <c r="N1172" i="40" s="1"/>
  <c r="N1174" i="40" a="1"/>
  <c r="N1174" i="40" s="1"/>
  <c r="N1176" i="40" a="1"/>
  <c r="N1176" i="40" s="1"/>
  <c r="N1178" i="40" a="1"/>
  <c r="N1178" i="40" s="1"/>
  <c r="N1180" i="40" a="1"/>
  <c r="N1180" i="40" s="1"/>
  <c r="N709" i="40" a="1"/>
  <c r="N709" i="40" s="1"/>
  <c r="N710" i="40" a="1"/>
  <c r="N710" i="40" s="1"/>
  <c r="N711" i="40" a="1"/>
  <c r="N711" i="40" s="1"/>
  <c r="N712" i="40" a="1"/>
  <c r="N712" i="40" s="1"/>
  <c r="N713" i="40" a="1"/>
  <c r="N713" i="40" s="1"/>
  <c r="N714" i="40" a="1"/>
  <c r="N714" i="40" s="1"/>
  <c r="N715" i="40" a="1"/>
  <c r="N715" i="40" s="1"/>
  <c r="N716" i="40" a="1"/>
  <c r="N716" i="40" s="1"/>
  <c r="N717" i="40" a="1"/>
  <c r="N717" i="40" s="1"/>
  <c r="N718" i="40" a="1"/>
  <c r="N718" i="40" s="1"/>
  <c r="N719" i="40" a="1"/>
  <c r="N719" i="40" s="1"/>
  <c r="O1040" i="40" a="1"/>
  <c r="O1040" i="40" s="1"/>
  <c r="T1040" i="40" s="1"/>
  <c r="O1044" i="40" a="1"/>
  <c r="O1044" i="40" s="1"/>
  <c r="T1044" i="40" s="1"/>
  <c r="O1048" i="40" a="1"/>
  <c r="O1048" i="40" s="1"/>
  <c r="T1048" i="40" s="1"/>
  <c r="O1052" i="40" a="1"/>
  <c r="O1052" i="40" s="1"/>
  <c r="T1052" i="40" s="1"/>
  <c r="O1056" i="40" a="1"/>
  <c r="O1056" i="40" s="1"/>
  <c r="T1056" i="40" s="1"/>
  <c r="O1060" i="40" a="1"/>
  <c r="O1060" i="40" s="1"/>
  <c r="T1060" i="40" s="1"/>
  <c r="O1064" i="40" a="1"/>
  <c r="O1064" i="40" s="1"/>
  <c r="T1064" i="40" s="1"/>
  <c r="O1068" i="40" a="1"/>
  <c r="O1068" i="40" s="1"/>
  <c r="T1068" i="40" s="1"/>
  <c r="O1072" i="40" a="1"/>
  <c r="O1072" i="40" s="1"/>
  <c r="T1072" i="40" s="1"/>
  <c r="O1076" i="40" a="1"/>
  <c r="O1076" i="40" s="1"/>
  <c r="T1076" i="40" s="1"/>
  <c r="O1080" i="40" a="1"/>
  <c r="O1080" i="40" s="1"/>
  <c r="T1080" i="40" s="1"/>
  <c r="R1028" i="40" a="1"/>
  <c r="R1028" i="40" s="1"/>
  <c r="V1028" i="40" s="1"/>
  <c r="R1029" i="40" a="1"/>
  <c r="R1029" i="40" s="1"/>
  <c r="V1029" i="40" s="1"/>
  <c r="R1030" i="40" a="1"/>
  <c r="R1030" i="40" s="1"/>
  <c r="V1030" i="40" s="1"/>
  <c r="R1031" i="40" a="1"/>
  <c r="R1031" i="40" s="1"/>
  <c r="V1031" i="40" s="1"/>
  <c r="R1032" i="40" a="1"/>
  <c r="R1032" i="40" s="1"/>
  <c r="V1032" i="40" s="1"/>
  <c r="R1033" i="40" a="1"/>
  <c r="R1033" i="40" s="1"/>
  <c r="V1033" i="40" s="1"/>
  <c r="R1034" i="40" a="1"/>
  <c r="R1034" i="40" s="1"/>
  <c r="V1034" i="40" s="1"/>
  <c r="R1035" i="40" a="1"/>
  <c r="R1035" i="40" s="1"/>
  <c r="V1035" i="40" s="1"/>
  <c r="R1036" i="40" a="1"/>
  <c r="R1036" i="40" s="1"/>
  <c r="V1036" i="40" s="1"/>
  <c r="R1037" i="40" a="1"/>
  <c r="R1037" i="40" s="1"/>
  <c r="V1037" i="40" s="1"/>
  <c r="R1038" i="40" a="1"/>
  <c r="R1038" i="40" s="1"/>
  <c r="V1038" i="40" s="1"/>
  <c r="N984" i="40" a="1"/>
  <c r="N984" i="40" s="1"/>
  <c r="N985" i="40" a="1"/>
  <c r="N985" i="40" s="1"/>
  <c r="N986" i="40" a="1"/>
  <c r="N986" i="40" s="1"/>
  <c r="N987" i="40" a="1"/>
  <c r="N987" i="40" s="1"/>
  <c r="N988" i="40" a="1"/>
  <c r="N988" i="40" s="1"/>
  <c r="N989" i="40" a="1"/>
  <c r="N989" i="40" s="1"/>
  <c r="N990" i="40" a="1"/>
  <c r="N990" i="40" s="1"/>
  <c r="N991" i="40" a="1"/>
  <c r="N991" i="40" s="1"/>
  <c r="N992" i="40" a="1"/>
  <c r="N992" i="40" s="1"/>
  <c r="N993" i="40" a="1"/>
  <c r="N993" i="40" s="1"/>
  <c r="N994" i="40" a="1"/>
  <c r="N994" i="40" s="1"/>
  <c r="R1006" i="40" a="1"/>
  <c r="R1006" i="40" s="1"/>
  <c r="V1006" i="40" s="1"/>
  <c r="R1007" i="40" a="1"/>
  <c r="R1007" i="40" s="1"/>
  <c r="V1007" i="40" s="1"/>
  <c r="R1008" i="40" a="1"/>
  <c r="R1008" i="40" s="1"/>
  <c r="V1008" i="40" s="1"/>
  <c r="R1009" i="40" a="1"/>
  <c r="R1009" i="40" s="1"/>
  <c r="V1009" i="40" s="1"/>
  <c r="R1010" i="40" a="1"/>
  <c r="R1010" i="40" s="1"/>
  <c r="V1010" i="40" s="1"/>
  <c r="R1011" i="40" a="1"/>
  <c r="R1011" i="40" s="1"/>
  <c r="V1011" i="40" s="1"/>
  <c r="R1012" i="40" a="1"/>
  <c r="R1012" i="40" s="1"/>
  <c r="V1012" i="40" s="1"/>
  <c r="R1013" i="40" a="1"/>
  <c r="R1013" i="40" s="1"/>
  <c r="V1013" i="40" s="1"/>
  <c r="R1014" i="40" a="1"/>
  <c r="R1014" i="40" s="1"/>
  <c r="V1014" i="40" s="1"/>
  <c r="R1016" i="40" a="1"/>
  <c r="R1016" i="40" s="1"/>
  <c r="V1016" i="40" s="1"/>
  <c r="R1015" i="40" a="1"/>
  <c r="R1015" i="40" s="1"/>
  <c r="V1015" i="40" s="1"/>
  <c r="R810" i="40" a="1"/>
  <c r="R810" i="40" s="1"/>
  <c r="V810" i="40" s="1"/>
  <c r="R813" i="40" a="1"/>
  <c r="R813" i="40" s="1"/>
  <c r="V813" i="40" s="1"/>
  <c r="R816" i="40" a="1"/>
  <c r="R816" i="40" s="1"/>
  <c r="V816" i="40" s="1"/>
  <c r="R822" i="40" a="1"/>
  <c r="R822" i="40" s="1"/>
  <c r="V822" i="40" s="1"/>
  <c r="R819" i="40" a="1"/>
  <c r="R819" i="40" s="1"/>
  <c r="V819" i="40" s="1"/>
  <c r="R825" i="40" a="1"/>
  <c r="R825" i="40" s="1"/>
  <c r="V825" i="40" s="1"/>
  <c r="R828" i="40" a="1"/>
  <c r="R828" i="40" s="1"/>
  <c r="V828" i="40" s="1"/>
  <c r="R831" i="40" a="1"/>
  <c r="R831" i="40" s="1"/>
  <c r="V831" i="40" s="1"/>
  <c r="R834" i="40" a="1"/>
  <c r="R834" i="40" s="1"/>
  <c r="V834" i="40" s="1"/>
  <c r="R837" i="40" a="1"/>
  <c r="R837" i="40" s="1"/>
  <c r="V837" i="40" s="1"/>
  <c r="R840" i="40" a="1"/>
  <c r="R840" i="40" s="1"/>
  <c r="V840" i="40" s="1"/>
  <c r="M962" i="40" a="1"/>
  <c r="M962" i="40" s="1"/>
  <c r="S962" i="40" s="1"/>
  <c r="M963" i="40" a="1"/>
  <c r="M963" i="40" s="1"/>
  <c r="S963" i="40" s="1"/>
  <c r="M964" i="40" a="1"/>
  <c r="M964" i="40" s="1"/>
  <c r="S964" i="40" s="1"/>
  <c r="M965" i="40" a="1"/>
  <c r="M965" i="40" s="1"/>
  <c r="S965" i="40" s="1"/>
  <c r="M966" i="40" a="1"/>
  <c r="M966" i="40" s="1"/>
  <c r="S966" i="40" s="1"/>
  <c r="M967" i="40" a="1"/>
  <c r="M967" i="40" s="1"/>
  <c r="S967" i="40" s="1"/>
  <c r="M968" i="40" a="1"/>
  <c r="M968" i="40" s="1"/>
  <c r="S968" i="40" s="1"/>
  <c r="M969" i="40" a="1"/>
  <c r="M969" i="40" s="1"/>
  <c r="S969" i="40" s="1"/>
  <c r="M970" i="40" a="1"/>
  <c r="M970" i="40" s="1"/>
  <c r="S970" i="40" s="1"/>
  <c r="M971" i="40" a="1"/>
  <c r="M971" i="40" s="1"/>
  <c r="S971" i="40" s="1"/>
  <c r="M972" i="40" a="1"/>
  <c r="M972" i="40" s="1"/>
  <c r="S972" i="40" s="1"/>
  <c r="N951" i="40" a="1"/>
  <c r="N951" i="40" s="1"/>
  <c r="N952" i="40" a="1"/>
  <c r="N952" i="40" s="1"/>
  <c r="N953" i="40" a="1"/>
  <c r="N953" i="40" s="1"/>
  <c r="N954" i="40" a="1"/>
  <c r="N954" i="40" s="1"/>
  <c r="N955" i="40" a="1"/>
  <c r="N955" i="40" s="1"/>
  <c r="N956" i="40" a="1"/>
  <c r="N956" i="40" s="1"/>
  <c r="N957" i="40" a="1"/>
  <c r="N957" i="40" s="1"/>
  <c r="N958" i="40" a="1"/>
  <c r="N958" i="40" s="1"/>
  <c r="N959" i="40" a="1"/>
  <c r="N959" i="40" s="1"/>
  <c r="N960" i="40" a="1"/>
  <c r="N960" i="40" s="1"/>
  <c r="N961" i="40" a="1"/>
  <c r="N961" i="40" s="1"/>
  <c r="O125" i="40" a="1"/>
  <c r="O125" i="40" s="1"/>
  <c r="T125" i="40" s="1"/>
  <c r="O808" i="40" a="1"/>
  <c r="O808" i="40" s="1"/>
  <c r="T808" i="40" s="1"/>
  <c r="O811" i="40" a="1"/>
  <c r="O811" i="40" s="1"/>
  <c r="T811" i="40" s="1"/>
  <c r="O814" i="40" a="1"/>
  <c r="O814" i="40" s="1"/>
  <c r="T814" i="40" s="1"/>
  <c r="O817" i="40" a="1"/>
  <c r="O817" i="40" s="1"/>
  <c r="T817" i="40" s="1"/>
  <c r="O823" i="40" a="1"/>
  <c r="O823" i="40" s="1"/>
  <c r="T823" i="40" s="1"/>
  <c r="O820" i="40" a="1"/>
  <c r="O820" i="40" s="1"/>
  <c r="T820" i="40" s="1"/>
  <c r="O826" i="40" a="1"/>
  <c r="O826" i="40" s="1"/>
  <c r="T826" i="40" s="1"/>
  <c r="O829" i="40" a="1"/>
  <c r="O829" i="40" s="1"/>
  <c r="T829" i="40" s="1"/>
  <c r="O832" i="40" a="1"/>
  <c r="O832" i="40" s="1"/>
  <c r="T832" i="40" s="1"/>
  <c r="O835" i="40" a="1"/>
  <c r="O835" i="40" s="1"/>
  <c r="T835" i="40" s="1"/>
  <c r="O838" i="40" a="1"/>
  <c r="O838" i="40" s="1"/>
  <c r="T838" i="40" s="1"/>
  <c r="N1042" i="40" a="1"/>
  <c r="N1042" i="40" s="1"/>
  <c r="N1046" i="40" a="1"/>
  <c r="N1046" i="40" s="1"/>
  <c r="N1050" i="40" a="1"/>
  <c r="N1050" i="40" s="1"/>
  <c r="N1054" i="40" a="1"/>
  <c r="N1054" i="40" s="1"/>
  <c r="N1062" i="40" a="1"/>
  <c r="N1062" i="40" s="1"/>
  <c r="N1058" i="40" a="1"/>
  <c r="N1058" i="40" s="1"/>
  <c r="N1066" i="40" a="1"/>
  <c r="N1066" i="40" s="1"/>
  <c r="N1070" i="40" a="1"/>
  <c r="N1070" i="40" s="1"/>
  <c r="N1074" i="40" a="1"/>
  <c r="N1074" i="40" s="1"/>
  <c r="N1078" i="40" a="1"/>
  <c r="N1078" i="40" s="1"/>
  <c r="N1082" i="40" a="1"/>
  <c r="N1082" i="40" s="1"/>
  <c r="N430" i="40" a="1"/>
  <c r="N430" i="40" s="1"/>
  <c r="N1127" i="40" a="1"/>
  <c r="N1127" i="40" s="1"/>
  <c r="N1128" i="40" a="1"/>
  <c r="N1128" i="40" s="1"/>
  <c r="N1129" i="40" a="1"/>
  <c r="N1129" i="40" s="1"/>
  <c r="N1130" i="40" a="1"/>
  <c r="N1130" i="40" s="1"/>
  <c r="N1131" i="40" a="1"/>
  <c r="N1131" i="40" s="1"/>
  <c r="N1132" i="40" a="1"/>
  <c r="N1132" i="40" s="1"/>
  <c r="N1133" i="40" a="1"/>
  <c r="N1133" i="40" s="1"/>
  <c r="N1134" i="40" a="1"/>
  <c r="N1134" i="40" s="1"/>
  <c r="N1135" i="40" a="1"/>
  <c r="N1135" i="40" s="1"/>
  <c r="N1136" i="40" a="1"/>
  <c r="N1136" i="40" s="1"/>
  <c r="N1137" i="40" a="1"/>
  <c r="N1137" i="40" s="1"/>
  <c r="G6" i="41"/>
  <c r="Q1292" i="40" a="1"/>
  <c r="Q1292" i="40" s="1"/>
  <c r="U1292" i="40" s="1"/>
  <c r="Q1295" i="40" a="1"/>
  <c r="Q1295" i="40" s="1"/>
  <c r="U1295" i="40" s="1"/>
  <c r="Q1298" i="40" a="1"/>
  <c r="Q1298" i="40" s="1"/>
  <c r="U1298" i="40" s="1"/>
  <c r="Q1301" i="40" a="1"/>
  <c r="Q1301" i="40" s="1"/>
  <c r="U1301" i="40" s="1"/>
  <c r="Q1307" i="40" a="1"/>
  <c r="Q1307" i="40" s="1"/>
  <c r="U1307" i="40" s="1"/>
  <c r="Q1304" i="40" a="1"/>
  <c r="Q1304" i="40" s="1"/>
  <c r="U1304" i="40" s="1"/>
  <c r="Q1310" i="40" a="1"/>
  <c r="Q1310" i="40" s="1"/>
  <c r="U1310" i="40" s="1"/>
  <c r="Q1313" i="40" a="1"/>
  <c r="Q1313" i="40" s="1"/>
  <c r="U1313" i="40" s="1"/>
  <c r="Q1316" i="40" a="1"/>
  <c r="Q1316" i="40" s="1"/>
  <c r="U1316" i="40" s="1"/>
  <c r="Q1319" i="40" a="1"/>
  <c r="Q1319" i="40" s="1"/>
  <c r="U1319" i="40" s="1"/>
  <c r="Q1322" i="40" a="1"/>
  <c r="Q1322" i="40" s="1"/>
  <c r="U1322" i="40" s="1"/>
  <c r="N1402" i="40" a="1"/>
  <c r="N1402" i="40" s="1"/>
  <c r="N1403" i="40" a="1"/>
  <c r="N1403" i="40" s="1"/>
  <c r="N1404" i="40" a="1"/>
  <c r="N1404" i="40" s="1"/>
  <c r="N1405" i="40" a="1"/>
  <c r="N1405" i="40" s="1"/>
  <c r="N1406" i="40" a="1"/>
  <c r="N1406" i="40" s="1"/>
  <c r="N1407" i="40" a="1"/>
  <c r="N1407" i="40" s="1"/>
  <c r="N1408" i="40" a="1"/>
  <c r="N1408" i="40" s="1"/>
  <c r="N1409" i="40" a="1"/>
  <c r="N1409" i="40" s="1"/>
  <c r="N1410" i="40" a="1"/>
  <c r="N1410" i="40" s="1"/>
  <c r="N1411" i="40" a="1"/>
  <c r="N1411" i="40" s="1"/>
  <c r="N1412" i="40" a="1"/>
  <c r="N1412" i="40" s="1"/>
  <c r="O1227" i="40" a="1"/>
  <c r="O1227" i="40" s="1"/>
  <c r="T1227" i="40" s="1"/>
  <c r="O1230" i="40" a="1"/>
  <c r="O1230" i="40" s="1"/>
  <c r="T1230" i="40" s="1"/>
  <c r="O1233" i="40" a="1"/>
  <c r="O1233" i="40" s="1"/>
  <c r="T1233" i="40" s="1"/>
  <c r="O1236" i="40" a="1"/>
  <c r="O1236" i="40" s="1"/>
  <c r="T1236" i="40" s="1"/>
  <c r="O1239" i="40" a="1"/>
  <c r="O1239" i="40" s="1"/>
  <c r="T1239" i="40" s="1"/>
  <c r="O1242" i="40" a="1"/>
  <c r="O1242" i="40" s="1"/>
  <c r="T1242" i="40" s="1"/>
  <c r="O1245" i="40" a="1"/>
  <c r="O1245" i="40" s="1"/>
  <c r="T1245" i="40" s="1"/>
  <c r="O1248" i="40" a="1"/>
  <c r="O1248" i="40" s="1"/>
  <c r="T1248" i="40" s="1"/>
  <c r="O1251" i="40" a="1"/>
  <c r="O1251" i="40" s="1"/>
  <c r="T1251" i="40" s="1"/>
  <c r="O1254" i="40" a="1"/>
  <c r="O1254" i="40" s="1"/>
  <c r="T1254" i="40" s="1"/>
  <c r="O1257" i="40" a="1"/>
  <c r="O1257" i="40" s="1"/>
  <c r="T1257" i="40" s="1"/>
  <c r="O1041" i="40" a="1"/>
  <c r="O1041" i="40" s="1"/>
  <c r="T1041" i="40" s="1"/>
  <c r="O1049" i="40" a="1"/>
  <c r="O1049" i="40" s="1"/>
  <c r="T1049" i="40" s="1"/>
  <c r="O1045" i="40" a="1"/>
  <c r="O1045" i="40" s="1"/>
  <c r="T1045" i="40" s="1"/>
  <c r="O1053" i="40" a="1"/>
  <c r="O1053" i="40" s="1"/>
  <c r="T1053" i="40" s="1"/>
  <c r="O1061" i="40" a="1"/>
  <c r="O1061" i="40" s="1"/>
  <c r="T1061" i="40" s="1"/>
  <c r="O1057" i="40" a="1"/>
  <c r="O1057" i="40" s="1"/>
  <c r="T1057" i="40" s="1"/>
  <c r="O1065" i="40" a="1"/>
  <c r="O1065" i="40" s="1"/>
  <c r="T1065" i="40" s="1"/>
  <c r="O1069" i="40" a="1"/>
  <c r="O1069" i="40" s="1"/>
  <c r="T1069" i="40" s="1"/>
  <c r="O1073" i="40" a="1"/>
  <c r="O1073" i="40" s="1"/>
  <c r="T1073" i="40" s="1"/>
  <c r="O1077" i="40" a="1"/>
  <c r="O1077" i="40" s="1"/>
  <c r="T1077" i="40" s="1"/>
  <c r="O1081" i="40" a="1"/>
  <c r="O1081" i="40" s="1"/>
  <c r="T1081" i="40" s="1"/>
  <c r="R295" i="40" a="1"/>
  <c r="R295" i="40" s="1"/>
  <c r="V295" i="40" s="1"/>
  <c r="R995" i="40" a="1"/>
  <c r="R995" i="40" s="1"/>
  <c r="V995" i="40" s="1"/>
  <c r="R996" i="40" a="1"/>
  <c r="R996" i="40" s="1"/>
  <c r="V996" i="40" s="1"/>
  <c r="R997" i="40" a="1"/>
  <c r="R997" i="40" s="1"/>
  <c r="V997" i="40" s="1"/>
  <c r="R998" i="40" a="1"/>
  <c r="R998" i="40" s="1"/>
  <c r="V998" i="40" s="1"/>
  <c r="R999" i="40" a="1"/>
  <c r="R999" i="40" s="1"/>
  <c r="V999" i="40" s="1"/>
  <c r="R1000" i="40" a="1"/>
  <c r="R1000" i="40" s="1"/>
  <c r="V1000" i="40" s="1"/>
  <c r="R1001" i="40" a="1"/>
  <c r="R1001" i="40" s="1"/>
  <c r="V1001" i="40" s="1"/>
  <c r="R1002" i="40" a="1"/>
  <c r="R1002" i="40" s="1"/>
  <c r="V1002" i="40" s="1"/>
  <c r="R1003" i="40" a="1"/>
  <c r="R1003" i="40" s="1"/>
  <c r="V1003" i="40" s="1"/>
  <c r="R1005" i="40" a="1"/>
  <c r="R1005" i="40" s="1"/>
  <c r="V1005" i="40" s="1"/>
  <c r="R1004" i="40" a="1"/>
  <c r="R1004" i="40" s="1"/>
  <c r="V1004" i="40" s="1"/>
  <c r="R1259" i="40" a="1"/>
  <c r="R1259" i="40" s="1"/>
  <c r="V1259" i="40" s="1"/>
  <c r="R1261" i="40" a="1"/>
  <c r="R1261" i="40" s="1"/>
  <c r="V1261" i="40" s="1"/>
  <c r="R1263" i="40" a="1"/>
  <c r="R1263" i="40" s="1"/>
  <c r="V1263" i="40" s="1"/>
  <c r="R1265" i="40" a="1"/>
  <c r="R1265" i="40" s="1"/>
  <c r="V1265" i="40" s="1"/>
  <c r="R1267" i="40" a="1"/>
  <c r="R1267" i="40" s="1"/>
  <c r="V1267" i="40" s="1"/>
  <c r="R1269" i="40" a="1"/>
  <c r="R1269" i="40" s="1"/>
  <c r="V1269" i="40" s="1"/>
  <c r="R1271" i="40" a="1"/>
  <c r="R1271" i="40" s="1"/>
  <c r="V1271" i="40" s="1"/>
  <c r="R1273" i="40" a="1"/>
  <c r="R1273" i="40" s="1"/>
  <c r="V1273" i="40" s="1"/>
  <c r="R1275" i="40" a="1"/>
  <c r="R1275" i="40" s="1"/>
  <c r="V1275" i="40" s="1"/>
  <c r="R1277" i="40" a="1"/>
  <c r="R1277" i="40" s="1"/>
  <c r="V1277" i="40" s="1"/>
  <c r="R1279" i="40" a="1"/>
  <c r="R1279" i="40" s="1"/>
  <c r="V1279" i="40" s="1"/>
  <c r="O504" i="40" a="1"/>
  <c r="O504" i="40" s="1"/>
  <c r="T504" i="40" s="1"/>
  <c r="O1204" i="40" a="1"/>
  <c r="O1204" i="40" s="1"/>
  <c r="T1204" i="40" s="1"/>
  <c r="O1206" i="40" a="1"/>
  <c r="O1206" i="40" s="1"/>
  <c r="T1206" i="40" s="1"/>
  <c r="O1208" i="40" a="1"/>
  <c r="O1208" i="40" s="1"/>
  <c r="T1208" i="40" s="1"/>
  <c r="O1210" i="40" a="1"/>
  <c r="O1210" i="40" s="1"/>
  <c r="T1210" i="40" s="1"/>
  <c r="O1212" i="40" a="1"/>
  <c r="O1212" i="40" s="1"/>
  <c r="T1212" i="40" s="1"/>
  <c r="O1214" i="40" a="1"/>
  <c r="O1214" i="40" s="1"/>
  <c r="T1214" i="40" s="1"/>
  <c r="O1216" i="40" a="1"/>
  <c r="O1216" i="40" s="1"/>
  <c r="T1216" i="40" s="1"/>
  <c r="O1218" i="40" a="1"/>
  <c r="O1218" i="40" s="1"/>
  <c r="T1218" i="40" s="1"/>
  <c r="O1220" i="40" a="1"/>
  <c r="O1220" i="40" s="1"/>
  <c r="T1220" i="40" s="1"/>
  <c r="O1222" i="40" a="1"/>
  <c r="O1222" i="40" s="1"/>
  <c r="T1222" i="40" s="1"/>
  <c r="O1224" i="40" a="1"/>
  <c r="O1224" i="40" s="1"/>
  <c r="T1224" i="40" s="1"/>
  <c r="M786" i="40" a="1"/>
  <c r="M786" i="40" s="1"/>
  <c r="S786" i="40" s="1"/>
  <c r="M787" i="40" a="1"/>
  <c r="M787" i="40" s="1"/>
  <c r="S787" i="40" s="1"/>
  <c r="M788" i="40" a="1"/>
  <c r="M788" i="40" s="1"/>
  <c r="S788" i="40" s="1"/>
  <c r="M789" i="40" a="1"/>
  <c r="M789" i="40" s="1"/>
  <c r="S789" i="40" s="1"/>
  <c r="M791" i="40" a="1"/>
  <c r="M791" i="40" s="1"/>
  <c r="S791" i="40" s="1"/>
  <c r="M790" i="40" a="1"/>
  <c r="M790" i="40" s="1"/>
  <c r="S790" i="40" s="1"/>
  <c r="M792" i="40" a="1"/>
  <c r="M792" i="40" s="1"/>
  <c r="S792" i="40" s="1"/>
  <c r="M793" i="40" a="1"/>
  <c r="M793" i="40" s="1"/>
  <c r="S793" i="40" s="1"/>
  <c r="M794" i="40" a="1"/>
  <c r="M794" i="40" s="1"/>
  <c r="S794" i="40" s="1"/>
  <c r="M795" i="40" a="1"/>
  <c r="M795" i="40" s="1"/>
  <c r="S795" i="40" s="1"/>
  <c r="M796" i="40" a="1"/>
  <c r="M796" i="40" s="1"/>
  <c r="S796" i="40" s="1"/>
  <c r="N1336" i="40" a="1"/>
  <c r="N1336" i="40" s="1"/>
  <c r="N1337" i="40" a="1"/>
  <c r="N1337" i="40" s="1"/>
  <c r="N1338" i="40" a="1"/>
  <c r="N1338" i="40" s="1"/>
  <c r="N1339" i="40" a="1"/>
  <c r="N1339" i="40" s="1"/>
  <c r="N1340" i="40" a="1"/>
  <c r="N1340" i="40" s="1"/>
  <c r="N1341" i="40" a="1"/>
  <c r="N1341" i="40" s="1"/>
  <c r="N1342" i="40" a="1"/>
  <c r="N1342" i="40" s="1"/>
  <c r="N1343" i="40" a="1"/>
  <c r="N1343" i="40" s="1"/>
  <c r="N1344" i="40" a="1"/>
  <c r="N1344" i="40" s="1"/>
  <c r="N1345" i="40" a="1"/>
  <c r="N1345" i="40" s="1"/>
  <c r="N1346" i="40" a="1"/>
  <c r="N1346" i="40" s="1"/>
  <c r="Q1085" i="40" a="1"/>
  <c r="Q1085" i="40" s="1"/>
  <c r="U1085" i="40" s="1"/>
  <c r="Q1089" i="40" a="1"/>
  <c r="Q1089" i="40" s="1"/>
  <c r="U1089" i="40" s="1"/>
  <c r="Q1093" i="40" a="1"/>
  <c r="Q1093" i="40" s="1"/>
  <c r="U1093" i="40" s="1"/>
  <c r="Q1097" i="40" a="1"/>
  <c r="Q1097" i="40" s="1"/>
  <c r="U1097" i="40" s="1"/>
  <c r="Q1101" i="40" a="1"/>
  <c r="Q1101" i="40" s="1"/>
  <c r="U1101" i="40" s="1"/>
  <c r="Q1105" i="40" a="1"/>
  <c r="Q1105" i="40" s="1"/>
  <c r="U1105" i="40" s="1"/>
  <c r="Q1109" i="40" a="1"/>
  <c r="Q1109" i="40" s="1"/>
  <c r="U1109" i="40" s="1"/>
  <c r="Q1113" i="40" a="1"/>
  <c r="Q1113" i="40" s="1"/>
  <c r="U1113" i="40" s="1"/>
  <c r="Q1117" i="40" a="1"/>
  <c r="Q1117" i="40" s="1"/>
  <c r="U1117" i="40" s="1"/>
  <c r="Q1121" i="40" a="1"/>
  <c r="Q1121" i="40" s="1"/>
  <c r="U1121" i="40" s="1"/>
  <c r="Q1125" i="40" a="1"/>
  <c r="Q1125" i="40" s="1"/>
  <c r="U1125" i="40" s="1"/>
  <c r="N1006" i="40" a="1"/>
  <c r="N1006" i="40" s="1"/>
  <c r="N1007" i="40" a="1"/>
  <c r="N1007" i="40" s="1"/>
  <c r="N1008" i="40" a="1"/>
  <c r="N1008" i="40" s="1"/>
  <c r="N1009" i="40" a="1"/>
  <c r="N1009" i="40" s="1"/>
  <c r="N1010" i="40" a="1"/>
  <c r="N1010" i="40" s="1"/>
  <c r="N1011" i="40" a="1"/>
  <c r="N1011" i="40" s="1"/>
  <c r="N1012" i="40" a="1"/>
  <c r="N1012" i="40" s="1"/>
  <c r="N1013" i="40" a="1"/>
  <c r="N1013" i="40" s="1"/>
  <c r="N1014" i="40" a="1"/>
  <c r="N1014" i="40" s="1"/>
  <c r="N1015" i="40" a="1"/>
  <c r="N1015" i="40" s="1"/>
  <c r="N1016" i="40" a="1"/>
  <c r="N1016" i="40" s="1"/>
  <c r="N863" i="40" a="1"/>
  <c r="N863" i="40" s="1"/>
  <c r="N865" i="40" a="1"/>
  <c r="N865" i="40" s="1"/>
  <c r="N867" i="40" a="1"/>
  <c r="N867" i="40" s="1"/>
  <c r="N869" i="40" a="1"/>
  <c r="N869" i="40" s="1"/>
  <c r="N871" i="40" a="1"/>
  <c r="N871" i="40" s="1"/>
  <c r="N873" i="40" a="1"/>
  <c r="N873" i="40" s="1"/>
  <c r="N875" i="40" a="1"/>
  <c r="N875" i="40" s="1"/>
  <c r="N877" i="40" a="1"/>
  <c r="N877" i="40" s="1"/>
  <c r="N879" i="40" a="1"/>
  <c r="N879" i="40" s="1"/>
  <c r="N881" i="40" a="1"/>
  <c r="N881" i="40" s="1"/>
  <c r="N883" i="40" a="1"/>
  <c r="N883" i="40" s="1"/>
  <c r="Q962" i="40" a="1"/>
  <c r="Q962" i="40" s="1"/>
  <c r="U962" i="40" s="1"/>
  <c r="Q963" i="40" a="1"/>
  <c r="Q963" i="40" s="1"/>
  <c r="U963" i="40" s="1"/>
  <c r="Q964" i="40" a="1"/>
  <c r="Q964" i="40" s="1"/>
  <c r="U964" i="40" s="1"/>
  <c r="Q965" i="40" a="1"/>
  <c r="Q965" i="40" s="1"/>
  <c r="U965" i="40" s="1"/>
  <c r="Q966" i="40" a="1"/>
  <c r="Q966" i="40" s="1"/>
  <c r="U966" i="40" s="1"/>
  <c r="Q967" i="40" a="1"/>
  <c r="Q967" i="40" s="1"/>
  <c r="U967" i="40" s="1"/>
  <c r="Q968" i="40" a="1"/>
  <c r="Q968" i="40" s="1"/>
  <c r="U968" i="40" s="1"/>
  <c r="Q969" i="40" a="1"/>
  <c r="Q969" i="40" s="1"/>
  <c r="U969" i="40" s="1"/>
  <c r="Q970" i="40" a="1"/>
  <c r="Q970" i="40" s="1"/>
  <c r="U970" i="40" s="1"/>
  <c r="Q971" i="40" a="1"/>
  <c r="Q971" i="40" s="1"/>
  <c r="U971" i="40" s="1"/>
  <c r="Q972" i="40" a="1"/>
  <c r="Q972" i="40" s="1"/>
  <c r="U972" i="40" s="1"/>
  <c r="O1293" i="40" a="1"/>
  <c r="O1293" i="40" s="1"/>
  <c r="T1293" i="40" s="1"/>
  <c r="O1296" i="40" a="1"/>
  <c r="O1296" i="40" s="1"/>
  <c r="T1296" i="40" s="1"/>
  <c r="O1299" i="40" a="1"/>
  <c r="O1299" i="40" s="1"/>
  <c r="T1299" i="40" s="1"/>
  <c r="O1302" i="40" a="1"/>
  <c r="O1302" i="40" s="1"/>
  <c r="T1302" i="40" s="1"/>
  <c r="O1305" i="40" a="1"/>
  <c r="O1305" i="40" s="1"/>
  <c r="T1305" i="40" s="1"/>
  <c r="O1308" i="40" a="1"/>
  <c r="O1308" i="40" s="1"/>
  <c r="T1308" i="40" s="1"/>
  <c r="O1311" i="40" a="1"/>
  <c r="O1311" i="40" s="1"/>
  <c r="T1311" i="40" s="1"/>
  <c r="O1314" i="40" a="1"/>
  <c r="O1314" i="40" s="1"/>
  <c r="T1314" i="40" s="1"/>
  <c r="O1317" i="40" a="1"/>
  <c r="O1317" i="40" s="1"/>
  <c r="T1317" i="40" s="1"/>
  <c r="O1320" i="40" a="1"/>
  <c r="O1320" i="40" s="1"/>
  <c r="T1320" i="40" s="1"/>
  <c r="O1323" i="40" a="1"/>
  <c r="O1323" i="40" s="1"/>
  <c r="T1323" i="40" s="1"/>
  <c r="N1161" i="40" a="1"/>
  <c r="N1161" i="40" s="1"/>
  <c r="N1163" i="40" a="1"/>
  <c r="N1163" i="40" s="1"/>
  <c r="N1165" i="40" a="1"/>
  <c r="N1165" i="40" s="1"/>
  <c r="N1167" i="40" a="1"/>
  <c r="N1167" i="40" s="1"/>
  <c r="N1171" i="40" a="1"/>
  <c r="N1171" i="40" s="1"/>
  <c r="N1169" i="40" a="1"/>
  <c r="N1169" i="40" s="1"/>
  <c r="N1173" i="40" a="1"/>
  <c r="N1173" i="40" s="1"/>
  <c r="N1175" i="40" a="1"/>
  <c r="N1175" i="40" s="1"/>
  <c r="N1177" i="40" a="1"/>
  <c r="N1177" i="40" s="1"/>
  <c r="N1179" i="40" a="1"/>
  <c r="N1179" i="40" s="1"/>
  <c r="N1181" i="40" a="1"/>
  <c r="N1181" i="40" s="1"/>
  <c r="O1294" i="40" a="1"/>
  <c r="O1294" i="40" s="1"/>
  <c r="T1294" i="40" s="1"/>
  <c r="O1297" i="40" a="1"/>
  <c r="O1297" i="40" s="1"/>
  <c r="T1297" i="40" s="1"/>
  <c r="O1300" i="40" a="1"/>
  <c r="O1300" i="40" s="1"/>
  <c r="T1300" i="40" s="1"/>
  <c r="O1303" i="40" a="1"/>
  <c r="O1303" i="40" s="1"/>
  <c r="T1303" i="40" s="1"/>
  <c r="O1306" i="40" a="1"/>
  <c r="O1306" i="40" s="1"/>
  <c r="T1306" i="40" s="1"/>
  <c r="O1309" i="40" a="1"/>
  <c r="O1309" i="40" s="1"/>
  <c r="T1309" i="40" s="1"/>
  <c r="O1312" i="40" a="1"/>
  <c r="O1312" i="40" s="1"/>
  <c r="T1312" i="40" s="1"/>
  <c r="O1315" i="40" a="1"/>
  <c r="O1315" i="40" s="1"/>
  <c r="T1315" i="40" s="1"/>
  <c r="O1318" i="40" a="1"/>
  <c r="O1318" i="40" s="1"/>
  <c r="T1318" i="40" s="1"/>
  <c r="O1321" i="40" a="1"/>
  <c r="O1321" i="40" s="1"/>
  <c r="T1321" i="40" s="1"/>
  <c r="O1324" i="40" a="1"/>
  <c r="O1324" i="40" s="1"/>
  <c r="T1324" i="40" s="1"/>
  <c r="Q797" i="40" a="1"/>
  <c r="Q797" i="40" s="1"/>
  <c r="U797" i="40" s="1"/>
  <c r="Q798" i="40" a="1"/>
  <c r="Q798" i="40" s="1"/>
  <c r="U798" i="40" s="1"/>
  <c r="Q799" i="40" a="1"/>
  <c r="Q799" i="40" s="1"/>
  <c r="U799" i="40" s="1"/>
  <c r="Q800" i="40" a="1"/>
  <c r="Q800" i="40" s="1"/>
  <c r="U800" i="40" s="1"/>
  <c r="Q801" i="40" a="1"/>
  <c r="Q801" i="40" s="1"/>
  <c r="U801" i="40" s="1"/>
  <c r="Q802" i="40" a="1"/>
  <c r="Q802" i="40" s="1"/>
  <c r="U802" i="40" s="1"/>
  <c r="Q803" i="40" a="1"/>
  <c r="Q803" i="40" s="1"/>
  <c r="U803" i="40" s="1"/>
  <c r="Q804" i="40" a="1"/>
  <c r="Q804" i="40" s="1"/>
  <c r="U804" i="40" s="1"/>
  <c r="Q805" i="40" a="1"/>
  <c r="Q805" i="40" s="1"/>
  <c r="U805" i="40" s="1"/>
  <c r="Q806" i="40" a="1"/>
  <c r="Q806" i="40" s="1"/>
  <c r="U806" i="40" s="1"/>
  <c r="Q807" i="40" a="1"/>
  <c r="Q807" i="40" s="1"/>
  <c r="U807" i="40" s="1"/>
  <c r="N842" i="40" a="1"/>
  <c r="N842" i="40" s="1"/>
  <c r="N844" i="40" a="1"/>
  <c r="N844" i="40" s="1"/>
  <c r="N846" i="40" a="1"/>
  <c r="N846" i="40" s="1"/>
  <c r="N848" i="40" a="1"/>
  <c r="N848" i="40" s="1"/>
  <c r="N850" i="40" a="1"/>
  <c r="N850" i="40" s="1"/>
  <c r="N852" i="40" a="1"/>
  <c r="N852" i="40" s="1"/>
  <c r="N854" i="40" a="1"/>
  <c r="N854" i="40" s="1"/>
  <c r="N856" i="40" a="1"/>
  <c r="N856" i="40" s="1"/>
  <c r="N858" i="40" a="1"/>
  <c r="N858" i="40" s="1"/>
  <c r="N860" i="40" a="1"/>
  <c r="N860" i="40" s="1"/>
  <c r="N862" i="40" a="1"/>
  <c r="N862" i="40" s="1"/>
  <c r="M841" i="40" a="1"/>
  <c r="M841" i="40" s="1"/>
  <c r="S841" i="40" s="1"/>
  <c r="M843" i="40" a="1"/>
  <c r="M843" i="40" s="1"/>
  <c r="S843" i="40" s="1"/>
  <c r="M845" i="40" a="1"/>
  <c r="M845" i="40" s="1"/>
  <c r="S845" i="40" s="1"/>
  <c r="M847" i="40" a="1"/>
  <c r="M847" i="40" s="1"/>
  <c r="S847" i="40" s="1"/>
  <c r="M849" i="40" a="1"/>
  <c r="M849" i="40" s="1"/>
  <c r="S849" i="40" s="1"/>
  <c r="M851" i="40" a="1"/>
  <c r="M851" i="40" s="1"/>
  <c r="S851" i="40" s="1"/>
  <c r="M853" i="40" a="1"/>
  <c r="M853" i="40" s="1"/>
  <c r="S853" i="40" s="1"/>
  <c r="M855" i="40" a="1"/>
  <c r="M855" i="40" s="1"/>
  <c r="S855" i="40" s="1"/>
  <c r="M857" i="40" a="1"/>
  <c r="M857" i="40" s="1"/>
  <c r="S857" i="40" s="1"/>
  <c r="M859" i="40" a="1"/>
  <c r="M859" i="40" s="1"/>
  <c r="S859" i="40" s="1"/>
  <c r="M861" i="40" a="1"/>
  <c r="M861" i="40" s="1"/>
  <c r="S861" i="40" s="1"/>
  <c r="M709" i="40" a="1"/>
  <c r="M709" i="40" s="1"/>
  <c r="S709" i="40" s="1"/>
  <c r="M710" i="40" a="1"/>
  <c r="M710" i="40" s="1"/>
  <c r="S710" i="40" s="1"/>
  <c r="M711" i="40" a="1"/>
  <c r="M711" i="40" s="1"/>
  <c r="S711" i="40" s="1"/>
  <c r="M712" i="40" a="1"/>
  <c r="M712" i="40" s="1"/>
  <c r="S712" i="40" s="1"/>
  <c r="M713" i="40" a="1"/>
  <c r="M713" i="40" s="1"/>
  <c r="S713" i="40" s="1"/>
  <c r="M714" i="40" a="1"/>
  <c r="M714" i="40" s="1"/>
  <c r="S714" i="40" s="1"/>
  <c r="M715" i="40" a="1"/>
  <c r="M715" i="40" s="1"/>
  <c r="S715" i="40" s="1"/>
  <c r="M717" i="40" a="1"/>
  <c r="M717" i="40" s="1"/>
  <c r="S717" i="40" s="1"/>
  <c r="M716" i="40" a="1"/>
  <c r="M716" i="40" s="1"/>
  <c r="S716" i="40" s="1"/>
  <c r="M718" i="40" a="1"/>
  <c r="M718" i="40" s="1"/>
  <c r="S718" i="40" s="1"/>
  <c r="M719" i="40" a="1"/>
  <c r="M719" i="40" s="1"/>
  <c r="S719" i="40" s="1"/>
  <c r="M864" i="40" a="1"/>
  <c r="M864" i="40" s="1"/>
  <c r="S864" i="40" s="1"/>
  <c r="M866" i="40" a="1"/>
  <c r="M866" i="40" s="1"/>
  <c r="S866" i="40" s="1"/>
  <c r="M868" i="40" a="1"/>
  <c r="M868" i="40" s="1"/>
  <c r="S868" i="40" s="1"/>
  <c r="M870" i="40" a="1"/>
  <c r="M870" i="40" s="1"/>
  <c r="S870" i="40" s="1"/>
  <c r="M872" i="40" a="1"/>
  <c r="M872" i="40" s="1"/>
  <c r="S872" i="40" s="1"/>
  <c r="M874" i="40" a="1"/>
  <c r="M874" i="40" s="1"/>
  <c r="S874" i="40" s="1"/>
  <c r="M876" i="40" a="1"/>
  <c r="M876" i="40" s="1"/>
  <c r="S876" i="40" s="1"/>
  <c r="M878" i="40" a="1"/>
  <c r="M878" i="40" s="1"/>
  <c r="S878" i="40" s="1"/>
  <c r="M880" i="40" a="1"/>
  <c r="M880" i="40" s="1"/>
  <c r="S880" i="40" s="1"/>
  <c r="M882" i="40" a="1"/>
  <c r="M882" i="40" s="1"/>
  <c r="S882" i="40" s="1"/>
  <c r="M884" i="40" a="1"/>
  <c r="M884" i="40" s="1"/>
  <c r="S884" i="40" s="1"/>
  <c r="Q1127" i="40" a="1"/>
  <c r="Q1127" i="40" s="1"/>
  <c r="U1127" i="40" s="1"/>
  <c r="Q1128" i="40" a="1"/>
  <c r="Q1128" i="40" s="1"/>
  <c r="U1128" i="40" s="1"/>
  <c r="Q1129" i="40" a="1"/>
  <c r="Q1129" i="40" s="1"/>
  <c r="U1129" i="40" s="1"/>
  <c r="Q1130" i="40" a="1"/>
  <c r="Q1130" i="40" s="1"/>
  <c r="U1130" i="40" s="1"/>
  <c r="Q1131" i="40" a="1"/>
  <c r="Q1131" i="40" s="1"/>
  <c r="U1131" i="40" s="1"/>
  <c r="Q1132" i="40" a="1"/>
  <c r="Q1132" i="40" s="1"/>
  <c r="U1132" i="40" s="1"/>
  <c r="Q1133" i="40" a="1"/>
  <c r="Q1133" i="40" s="1"/>
  <c r="U1133" i="40" s="1"/>
  <c r="Q1134" i="40" a="1"/>
  <c r="Q1134" i="40" s="1"/>
  <c r="U1134" i="40" s="1"/>
  <c r="Q1135" i="40" a="1"/>
  <c r="Q1135" i="40" s="1"/>
  <c r="U1135" i="40" s="1"/>
  <c r="Q1136" i="40" a="1"/>
  <c r="Q1136" i="40" s="1"/>
  <c r="U1136" i="40" s="1"/>
  <c r="Q1137" i="40" a="1"/>
  <c r="Q1137" i="40" s="1"/>
  <c r="U1137" i="40" s="1"/>
  <c r="Q709" i="40" a="1"/>
  <c r="Q709" i="40" s="1"/>
  <c r="U709" i="40" s="1"/>
  <c r="Q711" i="40" a="1"/>
  <c r="Q711" i="40" s="1"/>
  <c r="U711" i="40" s="1"/>
  <c r="Q710" i="40" a="1"/>
  <c r="Q710" i="40" s="1"/>
  <c r="U710" i="40" s="1"/>
  <c r="Q712" i="40" a="1"/>
  <c r="Q712" i="40" s="1"/>
  <c r="U712" i="40" s="1"/>
  <c r="Q713" i="40" a="1"/>
  <c r="Q713" i="40" s="1"/>
  <c r="U713" i="40" s="1"/>
  <c r="Q714" i="40" a="1"/>
  <c r="Q714" i="40" s="1"/>
  <c r="U714" i="40" s="1"/>
  <c r="Q715" i="40" a="1"/>
  <c r="Q715" i="40" s="1"/>
  <c r="U715" i="40" s="1"/>
  <c r="Q717" i="40" a="1"/>
  <c r="Q717" i="40" s="1"/>
  <c r="U717" i="40" s="1"/>
  <c r="Q716" i="40" a="1"/>
  <c r="Q716" i="40" s="1"/>
  <c r="U716" i="40" s="1"/>
  <c r="Q718" i="40" a="1"/>
  <c r="Q718" i="40" s="1"/>
  <c r="U718" i="40" s="1"/>
  <c r="Q719" i="40" a="1"/>
  <c r="Q719" i="40" s="1"/>
  <c r="U719" i="40" s="1"/>
  <c r="M842" i="40" a="1"/>
  <c r="M842" i="40" s="1"/>
  <c r="S842" i="40" s="1"/>
  <c r="M844" i="40" a="1"/>
  <c r="M844" i="40" s="1"/>
  <c r="S844" i="40" s="1"/>
  <c r="M846" i="40" a="1"/>
  <c r="M846" i="40" s="1"/>
  <c r="S846" i="40" s="1"/>
  <c r="M848" i="40" a="1"/>
  <c r="M848" i="40" s="1"/>
  <c r="S848" i="40" s="1"/>
  <c r="M852" i="40" a="1"/>
  <c r="M852" i="40" s="1"/>
  <c r="S852" i="40" s="1"/>
  <c r="M850" i="40" a="1"/>
  <c r="M850" i="40" s="1"/>
  <c r="S850" i="40" s="1"/>
  <c r="M854" i="40" a="1"/>
  <c r="M854" i="40" s="1"/>
  <c r="S854" i="40" s="1"/>
  <c r="M856" i="40" a="1"/>
  <c r="M856" i="40" s="1"/>
  <c r="S856" i="40" s="1"/>
  <c r="M858" i="40" a="1"/>
  <c r="M858" i="40" s="1"/>
  <c r="S858" i="40" s="1"/>
  <c r="M860" i="40" a="1"/>
  <c r="M860" i="40" s="1"/>
  <c r="S860" i="40" s="1"/>
  <c r="M862" i="40" a="1"/>
  <c r="M862" i="40" s="1"/>
  <c r="S862" i="40" s="1"/>
  <c r="M929" i="40" a="1"/>
  <c r="M929" i="40" s="1"/>
  <c r="S929" i="40" s="1"/>
  <c r="M930" i="40" a="1"/>
  <c r="M930" i="40" s="1"/>
  <c r="S930" i="40" s="1"/>
  <c r="M931" i="40" a="1"/>
  <c r="M931" i="40" s="1"/>
  <c r="S931" i="40" s="1"/>
  <c r="M932" i="40" a="1"/>
  <c r="M932" i="40" s="1"/>
  <c r="S932" i="40" s="1"/>
  <c r="M933" i="40" a="1"/>
  <c r="M933" i="40" s="1"/>
  <c r="S933" i="40" s="1"/>
  <c r="M934" i="40" a="1"/>
  <c r="M934" i="40" s="1"/>
  <c r="S934" i="40" s="1"/>
  <c r="M935" i="40" a="1"/>
  <c r="M935" i="40" s="1"/>
  <c r="S935" i="40" s="1"/>
  <c r="M936" i="40" a="1"/>
  <c r="M936" i="40" s="1"/>
  <c r="S936" i="40" s="1"/>
  <c r="M937" i="40" a="1"/>
  <c r="M937" i="40" s="1"/>
  <c r="S937" i="40" s="1"/>
  <c r="M938" i="40" a="1"/>
  <c r="M938" i="40" s="1"/>
  <c r="S938" i="40" s="1"/>
  <c r="M939" i="40" a="1"/>
  <c r="M939" i="40" s="1"/>
  <c r="S939" i="40" s="1"/>
  <c r="R731" i="40" a="1"/>
  <c r="R731" i="40" s="1"/>
  <c r="V731" i="40" s="1"/>
  <c r="R732" i="40" a="1"/>
  <c r="R732" i="40" s="1"/>
  <c r="V732" i="40" s="1"/>
  <c r="R733" i="40" a="1"/>
  <c r="R733" i="40" s="1"/>
  <c r="V733" i="40" s="1"/>
  <c r="R734" i="40" a="1"/>
  <c r="R734" i="40" s="1"/>
  <c r="V734" i="40" s="1"/>
  <c r="R735" i="40" a="1"/>
  <c r="R735" i="40" s="1"/>
  <c r="V735" i="40" s="1"/>
  <c r="R736" i="40" a="1"/>
  <c r="R736" i="40" s="1"/>
  <c r="V736" i="40" s="1"/>
  <c r="R737" i="40" a="1"/>
  <c r="R737" i="40" s="1"/>
  <c r="V737" i="40" s="1"/>
  <c r="R738" i="40" a="1"/>
  <c r="R738" i="40" s="1"/>
  <c r="V738" i="40" s="1"/>
  <c r="R739" i="40" a="1"/>
  <c r="R739" i="40" s="1"/>
  <c r="V739" i="40" s="1"/>
  <c r="R741" i="40" a="1"/>
  <c r="R741" i="40" s="1"/>
  <c r="V741" i="40" s="1"/>
  <c r="R740" i="40" a="1"/>
  <c r="R740" i="40" s="1"/>
  <c r="V740" i="40" s="1"/>
  <c r="Q1259" i="40" a="1"/>
  <c r="Q1259" i="40" s="1"/>
  <c r="U1259" i="40" s="1"/>
  <c r="Q1261" i="40" a="1"/>
  <c r="Q1261" i="40" s="1"/>
  <c r="U1261" i="40" s="1"/>
  <c r="Q1263" i="40" a="1"/>
  <c r="Q1263" i="40" s="1"/>
  <c r="U1263" i="40" s="1"/>
  <c r="Q1265" i="40" a="1"/>
  <c r="Q1265" i="40" s="1"/>
  <c r="U1265" i="40" s="1"/>
  <c r="Q1267" i="40" a="1"/>
  <c r="Q1267" i="40" s="1"/>
  <c r="U1267" i="40" s="1"/>
  <c r="Q1269" i="40" a="1"/>
  <c r="Q1269" i="40" s="1"/>
  <c r="U1269" i="40" s="1"/>
  <c r="Q1271" i="40" a="1"/>
  <c r="Q1271" i="40" s="1"/>
  <c r="U1271" i="40" s="1"/>
  <c r="Q1273" i="40" a="1"/>
  <c r="Q1273" i="40" s="1"/>
  <c r="U1273" i="40" s="1"/>
  <c r="Q1275" i="40" a="1"/>
  <c r="Q1275" i="40" s="1"/>
  <c r="U1275" i="40" s="1"/>
  <c r="Q1277" i="40" a="1"/>
  <c r="Q1277" i="40" s="1"/>
  <c r="U1277" i="40" s="1"/>
  <c r="Q1279" i="40" a="1"/>
  <c r="Q1279" i="40" s="1"/>
  <c r="U1279" i="40" s="1"/>
  <c r="R898" i="40" a="1"/>
  <c r="R898" i="40" s="1"/>
  <c r="V898" i="40" s="1"/>
  <c r="R896" i="40" a="1"/>
  <c r="R896" i="40" s="1"/>
  <c r="V896" i="40" s="1"/>
  <c r="R900" i="40" a="1"/>
  <c r="R900" i="40" s="1"/>
  <c r="V900" i="40" s="1"/>
  <c r="R902" i="40" a="1"/>
  <c r="R902" i="40" s="1"/>
  <c r="V902" i="40" s="1"/>
  <c r="R904" i="40" a="1"/>
  <c r="R904" i="40" s="1"/>
  <c r="V904" i="40" s="1"/>
  <c r="R906" i="40" a="1"/>
  <c r="R906" i="40" s="1"/>
  <c r="V906" i="40" s="1"/>
  <c r="R908" i="40" a="1"/>
  <c r="R908" i="40" s="1"/>
  <c r="V908" i="40" s="1"/>
  <c r="R910" i="40" a="1"/>
  <c r="R910" i="40" s="1"/>
  <c r="V910" i="40" s="1"/>
  <c r="R912" i="40" a="1"/>
  <c r="R912" i="40" s="1"/>
  <c r="V912" i="40" s="1"/>
  <c r="R916" i="40" a="1"/>
  <c r="R916" i="40" s="1"/>
  <c r="V916" i="40" s="1"/>
  <c r="R914" i="40" a="1"/>
  <c r="R914" i="40" s="1"/>
  <c r="V914" i="40" s="1"/>
  <c r="M731" i="40" a="1"/>
  <c r="M731" i="40" s="1"/>
  <c r="S731" i="40" s="1"/>
  <c r="M732" i="40" a="1"/>
  <c r="M732" i="40" s="1"/>
  <c r="S732" i="40" s="1"/>
  <c r="M733" i="40" a="1"/>
  <c r="M733" i="40" s="1"/>
  <c r="S733" i="40" s="1"/>
  <c r="M734" i="40" a="1"/>
  <c r="M734" i="40" s="1"/>
  <c r="S734" i="40" s="1"/>
  <c r="M735" i="40" a="1"/>
  <c r="M735" i="40" s="1"/>
  <c r="S735" i="40" s="1"/>
  <c r="M736" i="40" a="1"/>
  <c r="M736" i="40" s="1"/>
  <c r="S736" i="40" s="1"/>
  <c r="M737" i="40" a="1"/>
  <c r="M737" i="40" s="1"/>
  <c r="S737" i="40" s="1"/>
  <c r="M738" i="40" a="1"/>
  <c r="M738" i="40" s="1"/>
  <c r="S738" i="40" s="1"/>
  <c r="M739" i="40" a="1"/>
  <c r="M739" i="40" s="1"/>
  <c r="S739" i="40" s="1"/>
  <c r="M740" i="40" a="1"/>
  <c r="M740" i="40" s="1"/>
  <c r="S740" i="40" s="1"/>
  <c r="M741" i="40" a="1"/>
  <c r="M741" i="40" s="1"/>
  <c r="S741" i="40" s="1"/>
  <c r="Q1028" i="40" a="1"/>
  <c r="Q1028" i="40" s="1"/>
  <c r="U1028" i="40" s="1"/>
  <c r="Q1029" i="40" a="1"/>
  <c r="Q1029" i="40" s="1"/>
  <c r="U1029" i="40" s="1"/>
  <c r="Q1030" i="40" a="1"/>
  <c r="Q1030" i="40" s="1"/>
  <c r="U1030" i="40" s="1"/>
  <c r="Q1031" i="40" a="1"/>
  <c r="Q1031" i="40" s="1"/>
  <c r="U1031" i="40" s="1"/>
  <c r="Q1032" i="40" a="1"/>
  <c r="Q1032" i="40" s="1"/>
  <c r="U1032" i="40" s="1"/>
  <c r="Q1033" i="40" a="1"/>
  <c r="Q1033" i="40" s="1"/>
  <c r="U1033" i="40" s="1"/>
  <c r="Q1034" i="40" a="1"/>
  <c r="Q1034" i="40" s="1"/>
  <c r="U1034" i="40" s="1"/>
  <c r="Q1035" i="40" a="1"/>
  <c r="Q1035" i="40" s="1"/>
  <c r="U1035" i="40" s="1"/>
  <c r="Q1036" i="40" a="1"/>
  <c r="Q1036" i="40" s="1"/>
  <c r="U1036" i="40" s="1"/>
  <c r="Q1037" i="40" a="1"/>
  <c r="Q1037" i="40" s="1"/>
  <c r="U1037" i="40" s="1"/>
  <c r="Q1038" i="40" a="1"/>
  <c r="Q1038" i="40" s="1"/>
  <c r="U1038" i="40" s="1"/>
  <c r="Q1402" i="40" a="1"/>
  <c r="Q1402" i="40" s="1"/>
  <c r="U1402" i="40" s="1"/>
  <c r="Q1403" i="40" a="1"/>
  <c r="Q1403" i="40" s="1"/>
  <c r="U1403" i="40" s="1"/>
  <c r="Q1404" i="40" a="1"/>
  <c r="Q1404" i="40" s="1"/>
  <c r="U1404" i="40" s="1"/>
  <c r="Q1405" i="40" a="1"/>
  <c r="Q1405" i="40" s="1"/>
  <c r="U1405" i="40" s="1"/>
  <c r="Q1406" i="40" a="1"/>
  <c r="Q1406" i="40" s="1"/>
  <c r="U1406" i="40" s="1"/>
  <c r="Q1407" i="40" a="1"/>
  <c r="Q1407" i="40" s="1"/>
  <c r="U1407" i="40" s="1"/>
  <c r="Q1408" i="40" a="1"/>
  <c r="Q1408" i="40" s="1"/>
  <c r="U1408" i="40" s="1"/>
  <c r="Q1409" i="40" a="1"/>
  <c r="Q1409" i="40" s="1"/>
  <c r="U1409" i="40" s="1"/>
  <c r="Q1410" i="40" a="1"/>
  <c r="Q1410" i="40" s="1"/>
  <c r="U1410" i="40" s="1"/>
  <c r="Q1411" i="40" a="1"/>
  <c r="Q1411" i="40" s="1"/>
  <c r="U1411" i="40" s="1"/>
  <c r="Q1412" i="40" a="1"/>
  <c r="Q1412" i="40" s="1"/>
  <c r="U1412" i="40" s="1"/>
  <c r="M742" i="40" a="1"/>
  <c r="M742" i="40" s="1"/>
  <c r="S742" i="40" s="1"/>
  <c r="M744" i="40" a="1"/>
  <c r="M744" i="40" s="1"/>
  <c r="S744" i="40" s="1"/>
  <c r="M745" i="40" a="1"/>
  <c r="M745" i="40" s="1"/>
  <c r="S745" i="40" s="1"/>
  <c r="M743" i="40" a="1"/>
  <c r="M743" i="40" s="1"/>
  <c r="S743" i="40" s="1"/>
  <c r="M746" i="40" a="1"/>
  <c r="M746" i="40" s="1"/>
  <c r="S746" i="40" s="1"/>
  <c r="M747" i="40" a="1"/>
  <c r="M747" i="40" s="1"/>
  <c r="S747" i="40" s="1"/>
  <c r="M748" i="40" a="1"/>
  <c r="M748" i="40" s="1"/>
  <c r="S748" i="40" s="1"/>
  <c r="M749" i="40" a="1"/>
  <c r="M749" i="40" s="1"/>
  <c r="S749" i="40" s="1"/>
  <c r="M750" i="40" a="1"/>
  <c r="M750" i="40" s="1"/>
  <c r="S750" i="40" s="1"/>
  <c r="M751" i="40" a="1"/>
  <c r="M751" i="40" s="1"/>
  <c r="S751" i="40" s="1"/>
  <c r="M752" i="40" a="1"/>
  <c r="M752" i="40" s="1"/>
  <c r="S752" i="40" s="1"/>
  <c r="N962" i="40" a="1"/>
  <c r="N962" i="40" s="1"/>
  <c r="N963" i="40" a="1"/>
  <c r="N963" i="40" s="1"/>
  <c r="N964" i="40" a="1"/>
  <c r="N964" i="40" s="1"/>
  <c r="N965" i="40" a="1"/>
  <c r="N965" i="40" s="1"/>
  <c r="N966" i="40" a="1"/>
  <c r="N966" i="40" s="1"/>
  <c r="N967" i="40" a="1"/>
  <c r="N967" i="40" s="1"/>
  <c r="N968" i="40" a="1"/>
  <c r="N968" i="40" s="1"/>
  <c r="N969" i="40" a="1"/>
  <c r="N969" i="40" s="1"/>
  <c r="N970" i="40" a="1"/>
  <c r="N970" i="40" s="1"/>
  <c r="N971" i="40" a="1"/>
  <c r="N971" i="40" s="1"/>
  <c r="N972" i="40" a="1"/>
  <c r="N972" i="40" s="1"/>
  <c r="M951" i="40" a="1"/>
  <c r="M951" i="40" s="1"/>
  <c r="S951" i="40" s="1"/>
  <c r="M952" i="40" a="1"/>
  <c r="M952" i="40" s="1"/>
  <c r="S952" i="40" s="1"/>
  <c r="M953" i="40" a="1"/>
  <c r="M953" i="40" s="1"/>
  <c r="S953" i="40" s="1"/>
  <c r="M954" i="40" a="1"/>
  <c r="M954" i="40" s="1"/>
  <c r="S954" i="40" s="1"/>
  <c r="M955" i="40" a="1"/>
  <c r="M955" i="40" s="1"/>
  <c r="S955" i="40" s="1"/>
  <c r="M956" i="40" a="1"/>
  <c r="M956" i="40" s="1"/>
  <c r="S956" i="40" s="1"/>
  <c r="M957" i="40" a="1"/>
  <c r="M957" i="40" s="1"/>
  <c r="S957" i="40" s="1"/>
  <c r="M958" i="40" a="1"/>
  <c r="M958" i="40" s="1"/>
  <c r="S958" i="40" s="1"/>
  <c r="M959" i="40" a="1"/>
  <c r="M959" i="40" s="1"/>
  <c r="S959" i="40" s="1"/>
  <c r="M960" i="40" a="1"/>
  <c r="M960" i="40" s="1"/>
  <c r="S960" i="40" s="1"/>
  <c r="M961" i="40" a="1"/>
  <c r="M961" i="40" s="1"/>
  <c r="S961" i="40" s="1"/>
  <c r="R710" i="40" a="1"/>
  <c r="R710" i="40" s="1"/>
  <c r="V710" i="40" s="1"/>
  <c r="R709" i="40" a="1"/>
  <c r="R709" i="40" s="1"/>
  <c r="V709" i="40" s="1"/>
  <c r="R711" i="40" a="1"/>
  <c r="R711" i="40" s="1"/>
  <c r="V711" i="40" s="1"/>
  <c r="R712" i="40" a="1"/>
  <c r="R712" i="40" s="1"/>
  <c r="V712" i="40" s="1"/>
  <c r="R713" i="40" a="1"/>
  <c r="R713" i="40" s="1"/>
  <c r="V713" i="40" s="1"/>
  <c r="R714" i="40" a="1"/>
  <c r="R714" i="40" s="1"/>
  <c r="V714" i="40" s="1"/>
  <c r="R715" i="40" a="1"/>
  <c r="R715" i="40" s="1"/>
  <c r="V715" i="40" s="1"/>
  <c r="R716" i="40" a="1"/>
  <c r="R716" i="40" s="1"/>
  <c r="V716" i="40" s="1"/>
  <c r="R717" i="40" a="1"/>
  <c r="R717" i="40" s="1"/>
  <c r="V717" i="40" s="1"/>
  <c r="R718" i="40" a="1"/>
  <c r="R718" i="40" s="1"/>
  <c r="V718" i="40" s="1"/>
  <c r="R719" i="40" a="1"/>
  <c r="R719" i="40" s="1"/>
  <c r="V719" i="40" s="1"/>
  <c r="O1226" i="40" a="1"/>
  <c r="O1226" i="40" s="1"/>
  <c r="T1226" i="40" s="1"/>
  <c r="O1229" i="40" a="1"/>
  <c r="O1229" i="40" s="1"/>
  <c r="T1229" i="40" s="1"/>
  <c r="O1232" i="40" a="1"/>
  <c r="O1232" i="40" s="1"/>
  <c r="T1232" i="40" s="1"/>
  <c r="O1235" i="40" a="1"/>
  <c r="O1235" i="40" s="1"/>
  <c r="T1235" i="40" s="1"/>
  <c r="O1238" i="40" a="1"/>
  <c r="O1238" i="40" s="1"/>
  <c r="T1238" i="40" s="1"/>
  <c r="O1241" i="40" a="1"/>
  <c r="O1241" i="40" s="1"/>
  <c r="T1241" i="40" s="1"/>
  <c r="O1244" i="40" a="1"/>
  <c r="O1244" i="40" s="1"/>
  <c r="T1244" i="40" s="1"/>
  <c r="O1247" i="40" a="1"/>
  <c r="O1247" i="40" s="1"/>
  <c r="T1247" i="40" s="1"/>
  <c r="O1250" i="40" a="1"/>
  <c r="O1250" i="40" s="1"/>
  <c r="T1250" i="40" s="1"/>
  <c r="O1253" i="40" a="1"/>
  <c r="O1253" i="40" s="1"/>
  <c r="T1253" i="40" s="1"/>
  <c r="O1256" i="40" a="1"/>
  <c r="O1256" i="40" s="1"/>
  <c r="T1256" i="40" s="1"/>
  <c r="M1017" i="40" a="1"/>
  <c r="M1017" i="40" s="1"/>
  <c r="S1017" i="40" s="1"/>
  <c r="M1018" i="40" a="1"/>
  <c r="M1018" i="40" s="1"/>
  <c r="S1018" i="40" s="1"/>
  <c r="M1019" i="40" a="1"/>
  <c r="M1019" i="40" s="1"/>
  <c r="S1019" i="40" s="1"/>
  <c r="M1020" i="40" a="1"/>
  <c r="M1020" i="40" s="1"/>
  <c r="S1020" i="40" s="1"/>
  <c r="M1022" i="40" a="1"/>
  <c r="M1022" i="40" s="1"/>
  <c r="S1022" i="40" s="1"/>
  <c r="M1021" i="40" a="1"/>
  <c r="M1021" i="40" s="1"/>
  <c r="S1021" i="40" s="1"/>
  <c r="M1023" i="40" a="1"/>
  <c r="M1023" i="40" s="1"/>
  <c r="S1023" i="40" s="1"/>
  <c r="M1024" i="40" a="1"/>
  <c r="M1024" i="40" s="1"/>
  <c r="S1024" i="40" s="1"/>
  <c r="M1025" i="40" a="1"/>
  <c r="M1025" i="40" s="1"/>
  <c r="S1025" i="40" s="1"/>
  <c r="M1026" i="40" a="1"/>
  <c r="M1026" i="40" s="1"/>
  <c r="S1026" i="40" s="1"/>
  <c r="M1027" i="40" a="1"/>
  <c r="M1027" i="40" s="1"/>
  <c r="S1027" i="40" s="1"/>
  <c r="N1293" i="40" a="1"/>
  <c r="N1293" i="40" s="1"/>
  <c r="N1296" i="40" a="1"/>
  <c r="N1296" i="40" s="1"/>
  <c r="N1299" i="40" a="1"/>
  <c r="N1299" i="40" s="1"/>
  <c r="N1302" i="40" a="1"/>
  <c r="N1302" i="40" s="1"/>
  <c r="N1305" i="40" a="1"/>
  <c r="N1305" i="40" s="1"/>
  <c r="N1308" i="40" a="1"/>
  <c r="N1308" i="40" s="1"/>
  <c r="N1311" i="40" a="1"/>
  <c r="N1311" i="40" s="1"/>
  <c r="N1314" i="40" a="1"/>
  <c r="N1314" i="40" s="1"/>
  <c r="N1317" i="40" a="1"/>
  <c r="N1317" i="40" s="1"/>
  <c r="N1320" i="40" a="1"/>
  <c r="N1320" i="40" s="1"/>
  <c r="N1323" i="40" a="1"/>
  <c r="N1323" i="40" s="1"/>
  <c r="R1294" i="40" a="1"/>
  <c r="R1294" i="40" s="1"/>
  <c r="V1294" i="40" s="1"/>
  <c r="R1297" i="40" a="1"/>
  <c r="R1297" i="40" s="1"/>
  <c r="V1297" i="40" s="1"/>
  <c r="R1300" i="40" a="1"/>
  <c r="R1300" i="40" s="1"/>
  <c r="V1300" i="40" s="1"/>
  <c r="R1306" i="40" a="1"/>
  <c r="R1306" i="40" s="1"/>
  <c r="V1306" i="40" s="1"/>
  <c r="R1303" i="40" a="1"/>
  <c r="R1303" i="40" s="1"/>
  <c r="V1303" i="40" s="1"/>
  <c r="R1309" i="40" a="1"/>
  <c r="R1309" i="40" s="1"/>
  <c r="V1309" i="40" s="1"/>
  <c r="R1312" i="40" a="1"/>
  <c r="R1312" i="40" s="1"/>
  <c r="V1312" i="40" s="1"/>
  <c r="R1315" i="40" a="1"/>
  <c r="R1315" i="40" s="1"/>
  <c r="V1315" i="40" s="1"/>
  <c r="R1318" i="40" a="1"/>
  <c r="R1318" i="40" s="1"/>
  <c r="V1318" i="40" s="1"/>
  <c r="R1321" i="40" a="1"/>
  <c r="R1321" i="40" s="1"/>
  <c r="V1321" i="40" s="1"/>
  <c r="R1324" i="40" a="1"/>
  <c r="R1324" i="40" s="1"/>
  <c r="V1324" i="40" s="1"/>
  <c r="O1084" i="40" a="1"/>
  <c r="O1084" i="40" s="1"/>
  <c r="T1084" i="40" s="1"/>
  <c r="O1088" i="40" a="1"/>
  <c r="O1088" i="40" s="1"/>
  <c r="T1088" i="40" s="1"/>
  <c r="O1092" i="40" a="1"/>
  <c r="O1092" i="40" s="1"/>
  <c r="T1092" i="40" s="1"/>
  <c r="O1096" i="40" a="1"/>
  <c r="O1096" i="40" s="1"/>
  <c r="T1096" i="40" s="1"/>
  <c r="O1104" i="40" a="1"/>
  <c r="O1104" i="40" s="1"/>
  <c r="T1104" i="40" s="1"/>
  <c r="O1100" i="40" a="1"/>
  <c r="O1100" i="40" s="1"/>
  <c r="T1100" i="40" s="1"/>
  <c r="O1108" i="40" a="1"/>
  <c r="O1108" i="40" s="1"/>
  <c r="T1108" i="40" s="1"/>
  <c r="O1112" i="40" a="1"/>
  <c r="O1112" i="40" s="1"/>
  <c r="T1112" i="40" s="1"/>
  <c r="O1116" i="40" a="1"/>
  <c r="O1116" i="40" s="1"/>
  <c r="T1116" i="40" s="1"/>
  <c r="O1120" i="40" a="1"/>
  <c r="O1120" i="40" s="1"/>
  <c r="T1120" i="40" s="1"/>
  <c r="O1124" i="40" a="1"/>
  <c r="O1124" i="40" s="1"/>
  <c r="T1124" i="40" s="1"/>
  <c r="N753" i="40" a="1"/>
  <c r="N753" i="40" s="1"/>
  <c r="N754" i="40" a="1"/>
  <c r="N754" i="40" s="1"/>
  <c r="N755" i="40" a="1"/>
  <c r="N755" i="40" s="1"/>
  <c r="N756" i="40" a="1"/>
  <c r="N756" i="40" s="1"/>
  <c r="N757" i="40" a="1"/>
  <c r="N757" i="40" s="1"/>
  <c r="N758" i="40" a="1"/>
  <c r="N758" i="40" s="1"/>
  <c r="N759" i="40" a="1"/>
  <c r="N759" i="40" s="1"/>
  <c r="N760" i="40" a="1"/>
  <c r="N760" i="40" s="1"/>
  <c r="N761" i="40" a="1"/>
  <c r="N761" i="40" s="1"/>
  <c r="N762" i="40" a="1"/>
  <c r="N762" i="40" s="1"/>
  <c r="N763" i="40" a="1"/>
  <c r="N763" i="40" s="1"/>
  <c r="N1028" i="40" a="1"/>
  <c r="N1028" i="40" s="1"/>
  <c r="N1029" i="40" a="1"/>
  <c r="N1029" i="40" s="1"/>
  <c r="N1030" i="40" a="1"/>
  <c r="N1030" i="40" s="1"/>
  <c r="N1031" i="40" a="1"/>
  <c r="N1031" i="40" s="1"/>
  <c r="N1032" i="40" a="1"/>
  <c r="N1032" i="40" s="1"/>
  <c r="N1033" i="40" a="1"/>
  <c r="N1033" i="40" s="1"/>
  <c r="N1034" i="40" a="1"/>
  <c r="N1034" i="40" s="1"/>
  <c r="N1035" i="40" a="1"/>
  <c r="N1035" i="40" s="1"/>
  <c r="N1036" i="40" a="1"/>
  <c r="N1036" i="40" s="1"/>
  <c r="N1037" i="40" a="1"/>
  <c r="N1037" i="40" s="1"/>
  <c r="N1038" i="40" a="1"/>
  <c r="N1038" i="40" s="1"/>
  <c r="N1149" i="40" a="1"/>
  <c r="N1149" i="40" s="1"/>
  <c r="N1150" i="40" a="1"/>
  <c r="N1150" i="40" s="1"/>
  <c r="N1151" i="40" a="1"/>
  <c r="N1151" i="40" s="1"/>
  <c r="N1152" i="40" a="1"/>
  <c r="N1152" i="40" s="1"/>
  <c r="N1153" i="40" a="1"/>
  <c r="N1153" i="40" s="1"/>
  <c r="N1154" i="40" a="1"/>
  <c r="N1154" i="40" s="1"/>
  <c r="N1155" i="40" a="1"/>
  <c r="N1155" i="40" s="1"/>
  <c r="N1156" i="40" a="1"/>
  <c r="N1156" i="40" s="1"/>
  <c r="N1157" i="40" a="1"/>
  <c r="N1157" i="40" s="1"/>
  <c r="N1158" i="40" a="1"/>
  <c r="N1158" i="40" s="1"/>
  <c r="N1159" i="40" a="1"/>
  <c r="N1159" i="40" s="1"/>
  <c r="M1380" i="40" a="1"/>
  <c r="M1380" i="40" s="1"/>
  <c r="S1380" i="40" s="1"/>
  <c r="M1381" i="40" a="1"/>
  <c r="M1381" i="40" s="1"/>
  <c r="S1381" i="40" s="1"/>
  <c r="M1382" i="40" a="1"/>
  <c r="M1382" i="40" s="1"/>
  <c r="S1382" i="40" s="1"/>
  <c r="M1383" i="40" a="1"/>
  <c r="M1383" i="40" s="1"/>
  <c r="S1383" i="40" s="1"/>
  <c r="M1384" i="40" a="1"/>
  <c r="M1384" i="40" s="1"/>
  <c r="S1384" i="40" s="1"/>
  <c r="M1385" i="40" a="1"/>
  <c r="M1385" i="40" s="1"/>
  <c r="S1385" i="40" s="1"/>
  <c r="M1386" i="40" a="1"/>
  <c r="M1386" i="40" s="1"/>
  <c r="S1386" i="40" s="1"/>
  <c r="M1387" i="40" a="1"/>
  <c r="M1387" i="40" s="1"/>
  <c r="S1387" i="40" s="1"/>
  <c r="M1388" i="40" a="1"/>
  <c r="M1388" i="40" s="1"/>
  <c r="S1388" i="40" s="1"/>
  <c r="M1389" i="40" a="1"/>
  <c r="M1389" i="40" s="1"/>
  <c r="S1389" i="40" s="1"/>
  <c r="M1390" i="40" a="1"/>
  <c r="M1390" i="40" s="1"/>
  <c r="S1390" i="40" s="1"/>
  <c r="J505" i="42"/>
  <c r="O1183" i="40" a="1"/>
  <c r="O1183" i="40" s="1"/>
  <c r="T1183" i="40" s="1"/>
  <c r="O1185" i="40" a="1"/>
  <c r="O1185" i="40" s="1"/>
  <c r="T1185" i="40" s="1"/>
  <c r="O1187" i="40" a="1"/>
  <c r="O1187" i="40" s="1"/>
  <c r="T1187" i="40" s="1"/>
  <c r="O1189" i="40" a="1"/>
  <c r="O1189" i="40" s="1"/>
  <c r="T1189" i="40" s="1"/>
  <c r="O1191" i="40" a="1"/>
  <c r="O1191" i="40" s="1"/>
  <c r="T1191" i="40" s="1"/>
  <c r="O1193" i="40" a="1"/>
  <c r="O1193" i="40" s="1"/>
  <c r="T1193" i="40" s="1"/>
  <c r="O1195" i="40" a="1"/>
  <c r="O1195" i="40" s="1"/>
  <c r="T1195" i="40" s="1"/>
  <c r="O1197" i="40" a="1"/>
  <c r="O1197" i="40" s="1"/>
  <c r="T1197" i="40" s="1"/>
  <c r="O1199" i="40" a="1"/>
  <c r="O1199" i="40" s="1"/>
  <c r="T1199" i="40" s="1"/>
  <c r="O1201" i="40" a="1"/>
  <c r="O1201" i="40" s="1"/>
  <c r="T1201" i="40" s="1"/>
  <c r="O1203" i="40" a="1"/>
  <c r="O1203" i="40" s="1"/>
  <c r="T1203" i="40" s="1"/>
  <c r="O1228" i="40" a="1"/>
  <c r="O1228" i="40" s="1"/>
  <c r="T1228" i="40" s="1"/>
  <c r="O1231" i="40" a="1"/>
  <c r="O1231" i="40" s="1"/>
  <c r="T1231" i="40" s="1"/>
  <c r="O1234" i="40" a="1"/>
  <c r="O1234" i="40" s="1"/>
  <c r="T1234" i="40" s="1"/>
  <c r="O1237" i="40" a="1"/>
  <c r="O1237" i="40" s="1"/>
  <c r="T1237" i="40" s="1"/>
  <c r="O1243" i="40" a="1"/>
  <c r="O1243" i="40" s="1"/>
  <c r="T1243" i="40" s="1"/>
  <c r="O1240" i="40" a="1"/>
  <c r="O1240" i="40" s="1"/>
  <c r="T1240" i="40" s="1"/>
  <c r="O1246" i="40" a="1"/>
  <c r="O1246" i="40" s="1"/>
  <c r="T1246" i="40" s="1"/>
  <c r="O1249" i="40" a="1"/>
  <c r="O1249" i="40" s="1"/>
  <c r="T1249" i="40" s="1"/>
  <c r="O1252" i="40" a="1"/>
  <c r="O1252" i="40" s="1"/>
  <c r="T1252" i="40" s="1"/>
  <c r="O1255" i="40" a="1"/>
  <c r="O1255" i="40" s="1"/>
  <c r="T1255" i="40" s="1"/>
  <c r="O1258" i="40" a="1"/>
  <c r="O1258" i="40" s="1"/>
  <c r="T1258" i="40" s="1"/>
  <c r="O1017" i="40" a="1"/>
  <c r="O1017" i="40" s="1"/>
  <c r="T1017" i="40" s="1"/>
  <c r="O1018" i="40" a="1"/>
  <c r="O1018" i="40" s="1"/>
  <c r="T1018" i="40" s="1"/>
  <c r="O1019" i="40" a="1"/>
  <c r="O1019" i="40" s="1"/>
  <c r="T1019" i="40" s="1"/>
  <c r="O1020" i="40" a="1"/>
  <c r="O1020" i="40" s="1"/>
  <c r="T1020" i="40" s="1"/>
  <c r="O1021" i="40" a="1"/>
  <c r="O1021" i="40" s="1"/>
  <c r="T1021" i="40" s="1"/>
  <c r="O1022" i="40" a="1"/>
  <c r="O1022" i="40" s="1"/>
  <c r="T1022" i="40" s="1"/>
  <c r="O1023" i="40" a="1"/>
  <c r="O1023" i="40" s="1"/>
  <c r="T1023" i="40" s="1"/>
  <c r="O1024" i="40" a="1"/>
  <c r="O1024" i="40" s="1"/>
  <c r="T1024" i="40" s="1"/>
  <c r="O1025" i="40" a="1"/>
  <c r="O1025" i="40" s="1"/>
  <c r="T1025" i="40" s="1"/>
  <c r="O1026" i="40" a="1"/>
  <c r="O1026" i="40" s="1"/>
  <c r="T1026" i="40" s="1"/>
  <c r="O1027" i="40" a="1"/>
  <c r="O1027" i="40" s="1"/>
  <c r="T1027" i="40" s="1"/>
  <c r="R1336" i="40" a="1"/>
  <c r="R1336" i="40" s="1"/>
  <c r="V1336" i="40" s="1"/>
  <c r="R1337" i="40" a="1"/>
  <c r="R1337" i="40" s="1"/>
  <c r="V1337" i="40" s="1"/>
  <c r="R1338" i="40" a="1"/>
  <c r="R1338" i="40" s="1"/>
  <c r="V1338" i="40" s="1"/>
  <c r="R1339" i="40" a="1"/>
  <c r="R1339" i="40" s="1"/>
  <c r="V1339" i="40" s="1"/>
  <c r="R1340" i="40" a="1"/>
  <c r="R1340" i="40" s="1"/>
  <c r="V1340" i="40" s="1"/>
  <c r="R1341" i="40" a="1"/>
  <c r="R1341" i="40" s="1"/>
  <c r="V1341" i="40" s="1"/>
  <c r="R1342" i="40" a="1"/>
  <c r="R1342" i="40" s="1"/>
  <c r="V1342" i="40" s="1"/>
  <c r="R1343" i="40" a="1"/>
  <c r="R1343" i="40" s="1"/>
  <c r="V1343" i="40" s="1"/>
  <c r="R1344" i="40" a="1"/>
  <c r="R1344" i="40" s="1"/>
  <c r="V1344" i="40" s="1"/>
  <c r="R1345" i="40" a="1"/>
  <c r="R1345" i="40" s="1"/>
  <c r="V1345" i="40" s="1"/>
  <c r="R1346" i="40" a="1"/>
  <c r="R1346" i="40" s="1"/>
  <c r="V1346" i="40" s="1"/>
  <c r="N864" i="40" a="1"/>
  <c r="N864" i="40" s="1"/>
  <c r="N866" i="40" a="1"/>
  <c r="N866" i="40" s="1"/>
  <c r="N868" i="40" a="1"/>
  <c r="N868" i="40" s="1"/>
  <c r="N870" i="40" a="1"/>
  <c r="N870" i="40" s="1"/>
  <c r="N872" i="40" a="1"/>
  <c r="N872" i="40" s="1"/>
  <c r="N874" i="40" a="1"/>
  <c r="N874" i="40" s="1"/>
  <c r="N876" i="40" a="1"/>
  <c r="N876" i="40" s="1"/>
  <c r="N878" i="40" a="1"/>
  <c r="N878" i="40" s="1"/>
  <c r="N880" i="40" a="1"/>
  <c r="N880" i="40" s="1"/>
  <c r="N882" i="40" a="1"/>
  <c r="N882" i="40" s="1"/>
  <c r="N884" i="40" a="1"/>
  <c r="N884" i="40" s="1"/>
  <c r="M896" i="40" a="1"/>
  <c r="M896" i="40" s="1"/>
  <c r="S896" i="40" s="1"/>
  <c r="M898" i="40" a="1"/>
  <c r="M898" i="40" s="1"/>
  <c r="S898" i="40" s="1"/>
  <c r="M900" i="40" a="1"/>
  <c r="M900" i="40" s="1"/>
  <c r="S900" i="40" s="1"/>
  <c r="M902" i="40" a="1"/>
  <c r="M902" i="40" s="1"/>
  <c r="S902" i="40" s="1"/>
  <c r="M904" i="40" a="1"/>
  <c r="M904" i="40" s="1"/>
  <c r="S904" i="40" s="1"/>
  <c r="M906" i="40" a="1"/>
  <c r="M906" i="40" s="1"/>
  <c r="S906" i="40" s="1"/>
  <c r="M908" i="40" a="1"/>
  <c r="M908" i="40" s="1"/>
  <c r="S908" i="40" s="1"/>
  <c r="M910" i="40" a="1"/>
  <c r="M910" i="40" s="1"/>
  <c r="S910" i="40" s="1"/>
  <c r="M912" i="40" a="1"/>
  <c r="M912" i="40" s="1"/>
  <c r="S912" i="40" s="1"/>
  <c r="M914" i="40" a="1"/>
  <c r="M914" i="40" s="1"/>
  <c r="S914" i="40" s="1"/>
  <c r="M916" i="40" a="1"/>
  <c r="M916" i="40" s="1"/>
  <c r="S916" i="40" s="1"/>
  <c r="R1347" i="40" a="1"/>
  <c r="R1347" i="40" s="1"/>
  <c r="R1348" i="40" a="1"/>
  <c r="R1348" i="40" s="1"/>
  <c r="R1349" i="40" a="1"/>
  <c r="R1349" i="40" s="1"/>
  <c r="R1351" i="40" a="1"/>
  <c r="R1351" i="40" s="1"/>
  <c r="R1350" i="40" a="1"/>
  <c r="R1350" i="40" s="1"/>
  <c r="R1352" i="40" a="1"/>
  <c r="R1352" i="40" s="1"/>
  <c r="V1352" i="40" s="1"/>
  <c r="R1353" i="40" a="1"/>
  <c r="R1353" i="40" s="1"/>
  <c r="R1354" i="40" a="1"/>
  <c r="R1354" i="40" s="1"/>
  <c r="R1355" i="40" a="1"/>
  <c r="R1355" i="40" s="1"/>
  <c r="R1357" i="40" a="1"/>
  <c r="R1357" i="40" s="1"/>
  <c r="R1356" i="40" a="1"/>
  <c r="R1356" i="40" s="1"/>
  <c r="Q1336" i="40" a="1"/>
  <c r="Q1336" i="40" s="1"/>
  <c r="U1336" i="40" s="1"/>
  <c r="Q1337" i="40" a="1"/>
  <c r="Q1337" i="40" s="1"/>
  <c r="U1337" i="40" s="1"/>
  <c r="Q1338" i="40" a="1"/>
  <c r="Q1338" i="40" s="1"/>
  <c r="U1338" i="40" s="1"/>
  <c r="Q1339" i="40" a="1"/>
  <c r="Q1339" i="40" s="1"/>
  <c r="U1339" i="40" s="1"/>
  <c r="Q1340" i="40" a="1"/>
  <c r="Q1340" i="40" s="1"/>
  <c r="U1340" i="40" s="1"/>
  <c r="Q1341" i="40" a="1"/>
  <c r="Q1341" i="40" s="1"/>
  <c r="U1341" i="40" s="1"/>
  <c r="Q1342" i="40" a="1"/>
  <c r="Q1342" i="40" s="1"/>
  <c r="U1342" i="40" s="1"/>
  <c r="Q1343" i="40" a="1"/>
  <c r="Q1343" i="40" s="1"/>
  <c r="U1343" i="40" s="1"/>
  <c r="Q1344" i="40" a="1"/>
  <c r="Q1344" i="40" s="1"/>
  <c r="U1344" i="40" s="1"/>
  <c r="Q1345" i="40" a="1"/>
  <c r="Q1345" i="40" s="1"/>
  <c r="U1345" i="40" s="1"/>
  <c r="Q1346" i="40" a="1"/>
  <c r="Q1346" i="40" s="1"/>
  <c r="U1346" i="40" s="1"/>
  <c r="M1402" i="40" a="1"/>
  <c r="M1402" i="40" s="1"/>
  <c r="S1402" i="40" s="1"/>
  <c r="M1403" i="40" a="1"/>
  <c r="M1403" i="40" s="1"/>
  <c r="S1403" i="40" s="1"/>
  <c r="M1404" i="40" a="1"/>
  <c r="M1404" i="40" s="1"/>
  <c r="S1404" i="40" s="1"/>
  <c r="M1405" i="40" a="1"/>
  <c r="M1405" i="40" s="1"/>
  <c r="S1405" i="40" s="1"/>
  <c r="M1406" i="40" a="1"/>
  <c r="M1406" i="40" s="1"/>
  <c r="S1406" i="40" s="1"/>
  <c r="M1407" i="40" a="1"/>
  <c r="M1407" i="40" s="1"/>
  <c r="S1407" i="40" s="1"/>
  <c r="M1408" i="40" a="1"/>
  <c r="M1408" i="40" s="1"/>
  <c r="S1408" i="40" s="1"/>
  <c r="M1409" i="40" a="1"/>
  <c r="M1409" i="40" s="1"/>
  <c r="S1409" i="40" s="1"/>
  <c r="M1410" i="40" a="1"/>
  <c r="M1410" i="40" s="1"/>
  <c r="S1410" i="40" s="1"/>
  <c r="M1411" i="40" a="1"/>
  <c r="M1411" i="40" s="1"/>
  <c r="S1411" i="40" s="1"/>
  <c r="M1412" i="40" a="1"/>
  <c r="M1412" i="40" s="1"/>
  <c r="S1412" i="40" s="1"/>
  <c r="M797" i="40" a="1"/>
  <c r="M797" i="40" s="1"/>
  <c r="S797" i="40" s="1"/>
  <c r="M798" i="40" a="1"/>
  <c r="M798" i="40" s="1"/>
  <c r="S798" i="40" s="1"/>
  <c r="M799" i="40" a="1"/>
  <c r="M799" i="40" s="1"/>
  <c r="S799" i="40" s="1"/>
  <c r="M800" i="40" a="1"/>
  <c r="M800" i="40" s="1"/>
  <c r="S800" i="40" s="1"/>
  <c r="M801" i="40" a="1"/>
  <c r="M801" i="40" s="1"/>
  <c r="S801" i="40" s="1"/>
  <c r="M802" i="40" a="1"/>
  <c r="M802" i="40" s="1"/>
  <c r="S802" i="40" s="1"/>
  <c r="M803" i="40" a="1"/>
  <c r="M803" i="40" s="1"/>
  <c r="S803" i="40" s="1"/>
  <c r="M804" i="40" a="1"/>
  <c r="M804" i="40" s="1"/>
  <c r="S804" i="40" s="1"/>
  <c r="M805" i="40" a="1"/>
  <c r="M805" i="40" s="1"/>
  <c r="S805" i="40" s="1"/>
  <c r="M806" i="40" a="1"/>
  <c r="M806" i="40" s="1"/>
  <c r="S806" i="40" s="1"/>
  <c r="M807" i="40" a="1"/>
  <c r="M807" i="40" s="1"/>
  <c r="S807" i="40" s="1"/>
  <c r="O810" i="40" a="1"/>
  <c r="O810" i="40" s="1"/>
  <c r="T810" i="40" s="1"/>
  <c r="O813" i="40" a="1"/>
  <c r="O813" i="40" s="1"/>
  <c r="T813" i="40" s="1"/>
  <c r="O816" i="40" a="1"/>
  <c r="O816" i="40" s="1"/>
  <c r="T816" i="40" s="1"/>
  <c r="O819" i="40" a="1"/>
  <c r="O819" i="40" s="1"/>
  <c r="T819" i="40" s="1"/>
  <c r="O825" i="40" a="1"/>
  <c r="O825" i="40" s="1"/>
  <c r="T825" i="40" s="1"/>
  <c r="O822" i="40" a="1"/>
  <c r="O822" i="40" s="1"/>
  <c r="T822" i="40" s="1"/>
  <c r="O828" i="40" a="1"/>
  <c r="O828" i="40" s="1"/>
  <c r="T828" i="40" s="1"/>
  <c r="O831" i="40" a="1"/>
  <c r="O831" i="40" s="1"/>
  <c r="T831" i="40" s="1"/>
  <c r="O834" i="40" a="1"/>
  <c r="O834" i="40" s="1"/>
  <c r="T834" i="40" s="1"/>
  <c r="O837" i="40" a="1"/>
  <c r="O837" i="40" s="1"/>
  <c r="T837" i="40" s="1"/>
  <c r="O840" i="40" a="1"/>
  <c r="O840" i="40" s="1"/>
  <c r="T840" i="40" s="1"/>
  <c r="N929" i="40" a="1"/>
  <c r="N929" i="40" s="1"/>
  <c r="N930" i="40" a="1"/>
  <c r="N930" i="40" s="1"/>
  <c r="N931" i="40" a="1"/>
  <c r="N931" i="40" s="1"/>
  <c r="N932" i="40" a="1"/>
  <c r="N932" i="40" s="1"/>
  <c r="N933" i="40" a="1"/>
  <c r="N933" i="40" s="1"/>
  <c r="N934" i="40" a="1"/>
  <c r="N934" i="40" s="1"/>
  <c r="N935" i="40" a="1"/>
  <c r="N935" i="40" s="1"/>
  <c r="N936" i="40" a="1"/>
  <c r="N936" i="40" s="1"/>
  <c r="N937" i="40" a="1"/>
  <c r="N937" i="40" s="1"/>
  <c r="N938" i="40" a="1"/>
  <c r="N938" i="40" s="1"/>
  <c r="N939" i="40" a="1"/>
  <c r="N939" i="40" s="1"/>
  <c r="N731" i="40" a="1"/>
  <c r="N731" i="40" s="1"/>
  <c r="N732" i="40" a="1"/>
  <c r="N732" i="40" s="1"/>
  <c r="N733" i="40" a="1"/>
  <c r="N733" i="40" s="1"/>
  <c r="N734" i="40" a="1"/>
  <c r="N734" i="40" s="1"/>
  <c r="N735" i="40" a="1"/>
  <c r="N735" i="40" s="1"/>
  <c r="N736" i="40" a="1"/>
  <c r="N736" i="40" s="1"/>
  <c r="N737" i="40" a="1"/>
  <c r="N737" i="40" s="1"/>
  <c r="N738" i="40" a="1"/>
  <c r="N738" i="40" s="1"/>
  <c r="N739" i="40" a="1"/>
  <c r="N739" i="40" s="1"/>
  <c r="N740" i="40" a="1"/>
  <c r="N740" i="40" s="1"/>
  <c r="N741" i="40" a="1"/>
  <c r="N741" i="40" s="1"/>
  <c r="R1281" i="40" a="1"/>
  <c r="R1281" i="40" s="1"/>
  <c r="V1281" i="40" s="1"/>
  <c r="R1282" i="40" a="1"/>
  <c r="R1282" i="40" s="1"/>
  <c r="V1282" i="40" s="1"/>
  <c r="R1283" i="40" a="1"/>
  <c r="R1283" i="40" s="1"/>
  <c r="V1283" i="40" s="1"/>
  <c r="R1284" i="40" a="1"/>
  <c r="R1284" i="40" s="1"/>
  <c r="V1284" i="40" s="1"/>
  <c r="R1285" i="40" a="1"/>
  <c r="R1285" i="40" s="1"/>
  <c r="V1285" i="40" s="1"/>
  <c r="R1286" i="40" a="1"/>
  <c r="R1286" i="40" s="1"/>
  <c r="V1286" i="40" s="1"/>
  <c r="R1287" i="40" a="1"/>
  <c r="R1287" i="40" s="1"/>
  <c r="V1287" i="40" s="1"/>
  <c r="R1288" i="40" a="1"/>
  <c r="R1288" i="40" s="1"/>
  <c r="V1288" i="40" s="1"/>
  <c r="R1289" i="40" a="1"/>
  <c r="R1289" i="40" s="1"/>
  <c r="V1289" i="40" s="1"/>
  <c r="R1291" i="40" a="1"/>
  <c r="R1291" i="40" s="1"/>
  <c r="V1291" i="40" s="1"/>
  <c r="R1290" i="40" a="1"/>
  <c r="R1290" i="40" s="1"/>
  <c r="V1290" i="40" s="1"/>
  <c r="N742" i="40" a="1"/>
  <c r="N742" i="40" s="1"/>
  <c r="N744" i="40" a="1"/>
  <c r="N744" i="40" s="1"/>
  <c r="N745" i="40" a="1"/>
  <c r="N745" i="40" s="1"/>
  <c r="N743" i="40" a="1"/>
  <c r="N743" i="40" s="1"/>
  <c r="N746" i="40" a="1"/>
  <c r="N746" i="40" s="1"/>
  <c r="N747" i="40" a="1"/>
  <c r="N747" i="40" s="1"/>
  <c r="N748" i="40" a="1"/>
  <c r="N748" i="40" s="1"/>
  <c r="N749" i="40" a="1"/>
  <c r="N749" i="40" s="1"/>
  <c r="N750" i="40" a="1"/>
  <c r="N750" i="40" s="1"/>
  <c r="N751" i="40" a="1"/>
  <c r="N751" i="40" s="1"/>
  <c r="N752" i="40" a="1"/>
  <c r="N752" i="40" s="1"/>
  <c r="Q1006" i="40" a="1"/>
  <c r="Q1006" i="40" s="1"/>
  <c r="U1006" i="40" s="1"/>
  <c r="Q1007" i="40" a="1"/>
  <c r="Q1007" i="40" s="1"/>
  <c r="U1007" i="40" s="1"/>
  <c r="Q1008" i="40" a="1"/>
  <c r="Q1008" i="40" s="1"/>
  <c r="U1008" i="40" s="1"/>
  <c r="Q1009" i="40" a="1"/>
  <c r="Q1009" i="40" s="1"/>
  <c r="U1009" i="40" s="1"/>
  <c r="Q1010" i="40" a="1"/>
  <c r="Q1010" i="40" s="1"/>
  <c r="U1010" i="40" s="1"/>
  <c r="Q1011" i="40" a="1"/>
  <c r="Q1011" i="40" s="1"/>
  <c r="U1011" i="40" s="1"/>
  <c r="Q1012" i="40" a="1"/>
  <c r="Q1012" i="40" s="1"/>
  <c r="U1012" i="40" s="1"/>
  <c r="Q1013" i="40" a="1"/>
  <c r="Q1013" i="40" s="1"/>
  <c r="U1013" i="40" s="1"/>
  <c r="Q1014" i="40" a="1"/>
  <c r="Q1014" i="40" s="1"/>
  <c r="U1014" i="40" s="1"/>
  <c r="Q1015" i="40" a="1"/>
  <c r="Q1015" i="40" s="1"/>
  <c r="U1015" i="40" s="1"/>
  <c r="Q1016" i="40" a="1"/>
  <c r="Q1016" i="40" s="1"/>
  <c r="U1016" i="40" s="1"/>
  <c r="N885" i="40" a="1"/>
  <c r="N885" i="40" s="1"/>
  <c r="N886" i="40" a="1"/>
  <c r="N886" i="40" s="1"/>
  <c r="N887" i="40" a="1"/>
  <c r="N887" i="40" s="1"/>
  <c r="N888" i="40" a="1"/>
  <c r="N888" i="40" s="1"/>
  <c r="N889" i="40" a="1"/>
  <c r="N889" i="40" s="1"/>
  <c r="N890" i="40" a="1"/>
  <c r="N890" i="40" s="1"/>
  <c r="N891" i="40" a="1"/>
  <c r="N891" i="40" s="1"/>
  <c r="N892" i="40" a="1"/>
  <c r="N892" i="40" s="1"/>
  <c r="N893" i="40" a="1"/>
  <c r="N893" i="40" s="1"/>
  <c r="N894" i="40" a="1"/>
  <c r="N894" i="40" s="1"/>
  <c r="N895" i="40" a="1"/>
  <c r="N895" i="40" s="1"/>
  <c r="N897" i="40" a="1"/>
  <c r="N897" i="40" s="1"/>
  <c r="N899" i="40" a="1"/>
  <c r="N899" i="40" s="1"/>
  <c r="N901" i="40" a="1"/>
  <c r="N901" i="40" s="1"/>
  <c r="N903" i="40" a="1"/>
  <c r="N903" i="40" s="1"/>
  <c r="N905" i="40" a="1"/>
  <c r="N905" i="40" s="1"/>
  <c r="N907" i="40" a="1"/>
  <c r="N907" i="40" s="1"/>
  <c r="N909" i="40" a="1"/>
  <c r="N909" i="40" s="1"/>
  <c r="N911" i="40" a="1"/>
  <c r="N911" i="40" s="1"/>
  <c r="N913" i="40" a="1"/>
  <c r="N913" i="40" s="1"/>
  <c r="N915" i="40" a="1"/>
  <c r="N915" i="40" s="1"/>
  <c r="N917" i="40" a="1"/>
  <c r="N917" i="40" s="1"/>
  <c r="Q809" i="40" a="1"/>
  <c r="Q809" i="40" s="1"/>
  <c r="U809" i="40" s="1"/>
  <c r="Q812" i="40" a="1"/>
  <c r="Q812" i="40" s="1"/>
  <c r="U812" i="40" s="1"/>
  <c r="Q815" i="40" a="1"/>
  <c r="Q815" i="40" s="1"/>
  <c r="U815" i="40" s="1"/>
  <c r="Q818" i="40" a="1"/>
  <c r="Q818" i="40" s="1"/>
  <c r="U818" i="40" s="1"/>
  <c r="Q821" i="40" a="1"/>
  <c r="Q821" i="40" s="1"/>
  <c r="U821" i="40" s="1"/>
  <c r="Q824" i="40" a="1"/>
  <c r="Q824" i="40" s="1"/>
  <c r="U824" i="40" s="1"/>
  <c r="Q827" i="40" a="1"/>
  <c r="Q827" i="40" s="1"/>
  <c r="U827" i="40" s="1"/>
  <c r="Q830" i="40" a="1"/>
  <c r="Q830" i="40" s="1"/>
  <c r="U830" i="40" s="1"/>
  <c r="Q833" i="40" a="1"/>
  <c r="Q833" i="40" s="1"/>
  <c r="U833" i="40" s="1"/>
  <c r="Q836" i="40" a="1"/>
  <c r="Q836" i="40" s="1"/>
  <c r="U836" i="40" s="1"/>
  <c r="Q839" i="40" a="1"/>
  <c r="Q839" i="40" s="1"/>
  <c r="U839" i="40" s="1"/>
  <c r="O367" i="40" a="1"/>
  <c r="O367" i="40" s="1"/>
  <c r="T367" i="40" s="1"/>
  <c r="O1039" i="40" a="1"/>
  <c r="O1039" i="40" s="1"/>
  <c r="T1039" i="40" s="1"/>
  <c r="O1043" i="40" a="1"/>
  <c r="O1043" i="40" s="1"/>
  <c r="T1043" i="40" s="1"/>
  <c r="O1047" i="40" a="1"/>
  <c r="O1047" i="40" s="1"/>
  <c r="T1047" i="40" s="1"/>
  <c r="O1051" i="40" a="1"/>
  <c r="O1051" i="40" s="1"/>
  <c r="T1051" i="40" s="1"/>
  <c r="O1055" i="40" a="1"/>
  <c r="O1055" i="40" s="1"/>
  <c r="T1055" i="40" s="1"/>
  <c r="O1059" i="40" a="1"/>
  <c r="O1059" i="40" s="1"/>
  <c r="T1059" i="40" s="1"/>
  <c r="O1063" i="40" a="1"/>
  <c r="O1063" i="40" s="1"/>
  <c r="T1063" i="40" s="1"/>
  <c r="O1067" i="40" a="1"/>
  <c r="O1067" i="40" s="1"/>
  <c r="T1067" i="40" s="1"/>
  <c r="O1071" i="40" a="1"/>
  <c r="O1071" i="40" s="1"/>
  <c r="T1071" i="40" s="1"/>
  <c r="O1075" i="40" a="1"/>
  <c r="O1075" i="40" s="1"/>
  <c r="T1075" i="40" s="1"/>
  <c r="O1079" i="40" a="1"/>
  <c r="O1079" i="40" s="1"/>
  <c r="T1079" i="40" s="1"/>
  <c r="M1084" i="40" a="1"/>
  <c r="M1084" i="40" s="1"/>
  <c r="S1084" i="40" s="1"/>
  <c r="M1088" i="40" a="1"/>
  <c r="M1088" i="40" s="1"/>
  <c r="S1088" i="40" s="1"/>
  <c r="M1092" i="40" a="1"/>
  <c r="M1092" i="40" s="1"/>
  <c r="S1092" i="40" s="1"/>
  <c r="M1096" i="40" a="1"/>
  <c r="M1096" i="40" s="1"/>
  <c r="S1096" i="40" s="1"/>
  <c r="M1100" i="40" a="1"/>
  <c r="M1100" i="40" s="1"/>
  <c r="S1100" i="40" s="1"/>
  <c r="M1104" i="40" a="1"/>
  <c r="M1104" i="40" s="1"/>
  <c r="S1104" i="40" s="1"/>
  <c r="M1108" i="40" a="1"/>
  <c r="M1108" i="40" s="1"/>
  <c r="S1108" i="40" s="1"/>
  <c r="M1112" i="40" a="1"/>
  <c r="M1112" i="40" s="1"/>
  <c r="S1112" i="40" s="1"/>
  <c r="M1116" i="40" a="1"/>
  <c r="M1116" i="40" s="1"/>
  <c r="S1116" i="40" s="1"/>
  <c r="M1120" i="40" a="1"/>
  <c r="M1120" i="40" s="1"/>
  <c r="S1120" i="40" s="1"/>
  <c r="M1124" i="40" a="1"/>
  <c r="M1124" i="40" s="1"/>
  <c r="S1124" i="40" s="1"/>
  <c r="N237" i="40" a="1"/>
  <c r="N237" i="40" s="1"/>
  <c r="N940" i="40" a="1"/>
  <c r="N940" i="40" s="1"/>
  <c r="N941" i="40" a="1"/>
  <c r="N941" i="40" s="1"/>
  <c r="N942" i="40" a="1"/>
  <c r="N942" i="40" s="1"/>
  <c r="N943" i="40" a="1"/>
  <c r="N943" i="40" s="1"/>
  <c r="N944" i="40" a="1"/>
  <c r="N944" i="40" s="1"/>
  <c r="N945" i="40" a="1"/>
  <c r="N945" i="40" s="1"/>
  <c r="N946" i="40" a="1"/>
  <c r="N946" i="40" s="1"/>
  <c r="N947" i="40" a="1"/>
  <c r="N947" i="40" s="1"/>
  <c r="N948" i="40" a="1"/>
  <c r="N948" i="40" s="1"/>
  <c r="N949" i="40" a="1"/>
  <c r="N949" i="40" s="1"/>
  <c r="N950" i="40" a="1"/>
  <c r="N950" i="40" s="1"/>
  <c r="Q1226" i="40" a="1"/>
  <c r="Q1226" i="40" s="1"/>
  <c r="U1226" i="40" s="1"/>
  <c r="Q1229" i="40" a="1"/>
  <c r="Q1229" i="40" s="1"/>
  <c r="U1229" i="40" s="1"/>
  <c r="Q1232" i="40" a="1"/>
  <c r="Q1232" i="40" s="1"/>
  <c r="U1232" i="40" s="1"/>
  <c r="Q1235" i="40" a="1"/>
  <c r="Q1235" i="40" s="1"/>
  <c r="U1235" i="40" s="1"/>
  <c r="Q1238" i="40" a="1"/>
  <c r="Q1238" i="40" s="1"/>
  <c r="U1238" i="40" s="1"/>
  <c r="Q1241" i="40" a="1"/>
  <c r="Q1241" i="40" s="1"/>
  <c r="U1241" i="40" s="1"/>
  <c r="Q1244" i="40" a="1"/>
  <c r="Q1244" i="40" s="1"/>
  <c r="U1244" i="40" s="1"/>
  <c r="Q1247" i="40" a="1"/>
  <c r="Q1247" i="40" s="1"/>
  <c r="U1247" i="40" s="1"/>
  <c r="Q1250" i="40" a="1"/>
  <c r="Q1250" i="40" s="1"/>
  <c r="U1250" i="40" s="1"/>
  <c r="Q1253" i="40" a="1"/>
  <c r="Q1253" i="40" s="1"/>
  <c r="U1253" i="40" s="1"/>
  <c r="Q1256" i="40" a="1"/>
  <c r="Q1256" i="40" s="1"/>
  <c r="U1256" i="40" s="1"/>
  <c r="N1380" i="40" a="1"/>
  <c r="N1380" i="40" s="1"/>
  <c r="N1381" i="40" a="1"/>
  <c r="N1381" i="40" s="1"/>
  <c r="N1382" i="40" a="1"/>
  <c r="N1382" i="40" s="1"/>
  <c r="N1383" i="40" a="1"/>
  <c r="N1383" i="40" s="1"/>
  <c r="N1384" i="40" a="1"/>
  <c r="N1384" i="40" s="1"/>
  <c r="N1385" i="40" a="1"/>
  <c r="N1385" i="40" s="1"/>
  <c r="N1386" i="40" a="1"/>
  <c r="N1386" i="40" s="1"/>
  <c r="N1387" i="40" a="1"/>
  <c r="N1387" i="40" s="1"/>
  <c r="N1388" i="40" a="1"/>
  <c r="N1388" i="40" s="1"/>
  <c r="N1389" i="40" a="1"/>
  <c r="N1389" i="40" s="1"/>
  <c r="N1390" i="40" a="1"/>
  <c r="N1390" i="40" s="1"/>
  <c r="N973" i="40" a="1"/>
  <c r="N973" i="40" s="1"/>
  <c r="N974" i="40" a="1"/>
  <c r="N974" i="40" s="1"/>
  <c r="N975" i="40" a="1"/>
  <c r="N975" i="40" s="1"/>
  <c r="N976" i="40" a="1"/>
  <c r="N976" i="40" s="1"/>
  <c r="N977" i="40" a="1"/>
  <c r="N977" i="40" s="1"/>
  <c r="N978" i="40" a="1"/>
  <c r="N978" i="40" s="1"/>
  <c r="N979" i="40" a="1"/>
  <c r="N979" i="40" s="1"/>
  <c r="N980" i="40" a="1"/>
  <c r="N980" i="40" s="1"/>
  <c r="N981" i="40" a="1"/>
  <c r="N981" i="40" s="1"/>
  <c r="N982" i="40" a="1"/>
  <c r="N982" i="40" s="1"/>
  <c r="N983" i="40" a="1"/>
  <c r="N983" i="40" s="1"/>
  <c r="G32" i="41"/>
  <c r="G96" i="41"/>
  <c r="G14" i="41"/>
  <c r="G72" i="41"/>
  <c r="G95" i="41"/>
  <c r="G78" i="41"/>
  <c r="G30" i="41"/>
  <c r="G80" i="41"/>
  <c r="G29" i="41"/>
  <c r="G100" i="41"/>
  <c r="J348" i="42"/>
  <c r="G11" i="41"/>
  <c r="G77" i="41"/>
  <c r="J350" i="42"/>
  <c r="J615" i="42"/>
  <c r="G97" i="41"/>
  <c r="J726" i="42"/>
  <c r="J718" i="42"/>
  <c r="J238" i="42"/>
  <c r="G31" i="41"/>
  <c r="G103" i="41"/>
  <c r="G34" i="41"/>
  <c r="J239" i="42"/>
  <c r="J351" i="42"/>
  <c r="J613" i="42"/>
  <c r="G37" i="41"/>
  <c r="J725" i="42"/>
  <c r="J717" i="42"/>
  <c r="J245" i="42"/>
  <c r="J237" i="42"/>
  <c r="J719" i="42"/>
  <c r="J244" i="42"/>
  <c r="J236" i="42"/>
  <c r="J349" i="42"/>
  <c r="J614" i="42"/>
  <c r="J612" i="42"/>
  <c r="J724" i="42"/>
  <c r="I406" i="42"/>
  <c r="I34" i="42"/>
  <c r="L112" i="42"/>
  <c r="L484" i="42"/>
  <c r="L113" i="42"/>
  <c r="L485" i="42"/>
  <c r="I383" i="42"/>
  <c r="I11" i="42"/>
  <c r="I466" i="42"/>
  <c r="I94" i="42"/>
  <c r="I409" i="42"/>
  <c r="I37" i="42"/>
  <c r="I403" i="42"/>
  <c r="I31" i="42"/>
  <c r="G591" i="42"/>
  <c r="G219" i="42"/>
  <c r="G590" i="42"/>
  <c r="G218" i="42"/>
  <c r="I548" i="42"/>
  <c r="I176" i="42"/>
  <c r="I484" i="42"/>
  <c r="I112" i="42"/>
  <c r="I458" i="42"/>
  <c r="I86" i="42"/>
  <c r="I422" i="42"/>
  <c r="I50" i="42"/>
  <c r="I505" i="42"/>
  <c r="I133" i="42"/>
  <c r="L360" i="42"/>
  <c r="M30" i="44" s="1"/>
  <c r="L732" i="42"/>
  <c r="G361" i="42"/>
  <c r="G733" i="42"/>
  <c r="G360" i="42"/>
  <c r="G732" i="42"/>
  <c r="I581" i="42"/>
  <c r="I209" i="42"/>
  <c r="I578" i="42"/>
  <c r="I206" i="42"/>
  <c r="I564" i="42"/>
  <c r="I192" i="42"/>
  <c r="L466" i="42"/>
  <c r="L94" i="42"/>
  <c r="I523" i="42"/>
  <c r="I151" i="42"/>
  <c r="I452" i="42"/>
  <c r="I80" i="42"/>
  <c r="I451" i="42"/>
  <c r="I79" i="42"/>
  <c r="I643" i="42"/>
  <c r="I271" i="42"/>
  <c r="I650" i="42"/>
  <c r="I278" i="42"/>
  <c r="I747" i="42"/>
  <c r="I375" i="42"/>
  <c r="I67" i="42"/>
  <c r="I439" i="42"/>
  <c r="I433" i="42"/>
  <c r="I61" i="42"/>
  <c r="L517" i="42"/>
  <c r="L145" i="42"/>
  <c r="I624" i="42"/>
  <c r="I252" i="42"/>
  <c r="H357" i="42"/>
  <c r="H729" i="42"/>
  <c r="H360" i="42"/>
  <c r="H30" i="44" s="1"/>
  <c r="H732" i="42"/>
  <c r="H736" i="42"/>
  <c r="H364" i="42"/>
  <c r="I515" i="42"/>
  <c r="I143" i="42"/>
  <c r="I730" i="42"/>
  <c r="I358" i="42"/>
  <c r="I595" i="42"/>
  <c r="I223" i="42"/>
  <c r="J172" i="42"/>
  <c r="J544" i="42"/>
  <c r="J525" i="42"/>
  <c r="J153" i="42"/>
  <c r="J220" i="42"/>
  <c r="G45" i="41" s="1"/>
  <c r="J592" i="42"/>
  <c r="G111" i="41" s="1"/>
  <c r="J141" i="42"/>
  <c r="J513" i="42"/>
  <c r="J562" i="42"/>
  <c r="J611" i="42"/>
  <c r="J345" i="42"/>
  <c r="J240" i="42"/>
  <c r="J51" i="42"/>
  <c r="J352" i="42"/>
  <c r="J561" i="42"/>
  <c r="J346" i="42"/>
  <c r="J426" i="42"/>
  <c r="G131" i="41" s="1"/>
  <c r="G94" i="41"/>
  <c r="J610" i="42"/>
  <c r="J554" i="42"/>
  <c r="L362" i="42"/>
  <c r="L734" i="42"/>
  <c r="I379" i="42"/>
  <c r="I7" i="42"/>
  <c r="L107" i="42"/>
  <c r="L479" i="42"/>
  <c r="I380" i="42"/>
  <c r="I8" i="42"/>
  <c r="L109" i="42"/>
  <c r="L481" i="42"/>
  <c r="L108" i="42"/>
  <c r="L480" i="42"/>
  <c r="I387" i="42"/>
  <c r="I15" i="42"/>
  <c r="I474" i="42"/>
  <c r="I102" i="42"/>
  <c r="I400" i="42"/>
  <c r="I28" i="42"/>
  <c r="G223" i="42"/>
  <c r="G595" i="42"/>
  <c r="I549" i="42"/>
  <c r="I177" i="42"/>
  <c r="I485" i="42"/>
  <c r="I113" i="42"/>
  <c r="I459" i="42"/>
  <c r="I87" i="42"/>
  <c r="I26" i="44" s="1"/>
  <c r="I51" i="42"/>
  <c r="I423" i="42"/>
  <c r="I426" i="42"/>
  <c r="I54" i="42"/>
  <c r="I506" i="42"/>
  <c r="I134" i="42"/>
  <c r="L730" i="42"/>
  <c r="L358" i="42"/>
  <c r="G362" i="42"/>
  <c r="G734" i="42"/>
  <c r="G357" i="42"/>
  <c r="G729" i="42"/>
  <c r="I579" i="42"/>
  <c r="I207" i="42"/>
  <c r="I29" i="44" s="1"/>
  <c r="I571" i="42"/>
  <c r="I199" i="42"/>
  <c r="L467" i="42"/>
  <c r="L95" i="42"/>
  <c r="I453" i="42"/>
  <c r="I81" i="42"/>
  <c r="I445" i="42"/>
  <c r="I73" i="42"/>
  <c r="I648" i="42"/>
  <c r="I276" i="42"/>
  <c r="I649" i="42"/>
  <c r="I277" i="42"/>
  <c r="I746" i="42"/>
  <c r="I374" i="42"/>
  <c r="I442" i="42"/>
  <c r="I70" i="42"/>
  <c r="L141" i="42"/>
  <c r="L513" i="42"/>
  <c r="I259" i="42"/>
  <c r="I631" i="42"/>
  <c r="I630" i="42"/>
  <c r="I258" i="42"/>
  <c r="I625" i="42"/>
  <c r="I253" i="42"/>
  <c r="I517" i="42"/>
  <c r="I145" i="42"/>
  <c r="I731" i="42"/>
  <c r="I359" i="42"/>
  <c r="I586" i="42"/>
  <c r="I214" i="42"/>
  <c r="I593" i="42"/>
  <c r="I221" i="42"/>
  <c r="J551" i="42"/>
  <c r="J179" i="42"/>
  <c r="J542" i="42"/>
  <c r="J170" i="42"/>
  <c r="J524" i="42"/>
  <c r="J152" i="42"/>
  <c r="J591" i="42"/>
  <c r="J219" i="42"/>
  <c r="G44" i="41" s="1"/>
  <c r="J140" i="42"/>
  <c r="J512" i="42"/>
  <c r="J427" i="42"/>
  <c r="J608" i="42"/>
  <c r="G99" i="41"/>
  <c r="G28" i="41"/>
  <c r="L482" i="42"/>
  <c r="L110" i="42"/>
  <c r="I475" i="42"/>
  <c r="I103" i="42"/>
  <c r="G222" i="42"/>
  <c r="G594" i="42"/>
  <c r="G363" i="42"/>
  <c r="G735" i="42"/>
  <c r="I580" i="42"/>
  <c r="I208" i="42"/>
  <c r="I569" i="42"/>
  <c r="I197" i="42"/>
  <c r="I570" i="42"/>
  <c r="I198" i="42"/>
  <c r="L96" i="42"/>
  <c r="L468" i="42"/>
  <c r="I529" i="42"/>
  <c r="I157" i="42"/>
  <c r="I446" i="42"/>
  <c r="I74" i="42"/>
  <c r="I645" i="42"/>
  <c r="I273" i="42"/>
  <c r="I745" i="42"/>
  <c r="I373" i="42"/>
  <c r="I436" i="42"/>
  <c r="I64" i="42"/>
  <c r="L139" i="42"/>
  <c r="L511" i="42"/>
  <c r="I123" i="42"/>
  <c r="I495" i="42"/>
  <c r="I639" i="42"/>
  <c r="I267" i="42"/>
  <c r="I489" i="42"/>
  <c r="I117" i="42"/>
  <c r="I635" i="42"/>
  <c r="I263" i="42"/>
  <c r="I627" i="42"/>
  <c r="I255" i="42"/>
  <c r="I363" i="42"/>
  <c r="I735" i="42"/>
  <c r="I513" i="42"/>
  <c r="I141" i="42"/>
  <c r="I589" i="42"/>
  <c r="I217" i="42"/>
  <c r="I594" i="42"/>
  <c r="I222" i="42"/>
  <c r="I737" i="42"/>
  <c r="I365" i="42"/>
  <c r="J550" i="42"/>
  <c r="J178" i="42"/>
  <c r="J543" i="42"/>
  <c r="J171" i="42"/>
  <c r="J151" i="42"/>
  <c r="J523" i="42"/>
  <c r="J590" i="42"/>
  <c r="G109" i="41" s="1"/>
  <c r="J218" i="42"/>
  <c r="G43" i="41" s="1"/>
  <c r="J519" i="42"/>
  <c r="J147" i="42"/>
  <c r="J511" i="42"/>
  <c r="J139" i="42"/>
  <c r="J57" i="42"/>
  <c r="J721" i="42"/>
  <c r="J425" i="42"/>
  <c r="J723" i="42"/>
  <c r="J59" i="42"/>
  <c r="G7" i="41"/>
  <c r="J353" i="42"/>
  <c r="J555" i="42"/>
  <c r="G102" i="41"/>
  <c r="J616" i="42"/>
  <c r="I385" i="42"/>
  <c r="I13" i="42"/>
  <c r="I477" i="42"/>
  <c r="I105" i="42"/>
  <c r="I467" i="42"/>
  <c r="I95" i="42"/>
  <c r="I407" i="42"/>
  <c r="I35" i="42"/>
  <c r="G589" i="42"/>
  <c r="G217" i="42"/>
  <c r="I179" i="42"/>
  <c r="I551" i="42"/>
  <c r="I482" i="42"/>
  <c r="I110" i="42"/>
  <c r="I478" i="42"/>
  <c r="I106" i="42"/>
  <c r="I462" i="42"/>
  <c r="I90" i="42"/>
  <c r="I425" i="42"/>
  <c r="I53" i="42"/>
  <c r="I430" i="42"/>
  <c r="I58" i="42"/>
  <c r="I502" i="42"/>
  <c r="I130" i="42"/>
  <c r="L361" i="42"/>
  <c r="L733" i="42"/>
  <c r="L363" i="42"/>
  <c r="L735" i="42"/>
  <c r="G365" i="42"/>
  <c r="G737" i="42"/>
  <c r="I583" i="42"/>
  <c r="I211" i="42"/>
  <c r="I195" i="42"/>
  <c r="I567" i="42"/>
  <c r="I573" i="42"/>
  <c r="I201" i="42"/>
  <c r="L474" i="42"/>
  <c r="L102" i="42"/>
  <c r="I525" i="42"/>
  <c r="I153" i="42"/>
  <c r="I444" i="42"/>
  <c r="I72" i="42"/>
  <c r="I641" i="42"/>
  <c r="I269" i="42"/>
  <c r="I741" i="42"/>
  <c r="I369" i="42"/>
  <c r="I740" i="42"/>
  <c r="I368" i="42"/>
  <c r="I434" i="42"/>
  <c r="I62" i="42"/>
  <c r="L515" i="42"/>
  <c r="L143" i="42"/>
  <c r="I496" i="42"/>
  <c r="I124" i="42"/>
  <c r="I490" i="42"/>
  <c r="I118" i="42"/>
  <c r="I632" i="42"/>
  <c r="I260" i="42"/>
  <c r="I251" i="42"/>
  <c r="I623" i="42"/>
  <c r="I620" i="42"/>
  <c r="I248" i="42"/>
  <c r="H734" i="42"/>
  <c r="H362" i="42"/>
  <c r="I733" i="42"/>
  <c r="I361" i="42"/>
  <c r="I518" i="42"/>
  <c r="I146" i="42"/>
  <c r="I588" i="42"/>
  <c r="I216" i="42"/>
  <c r="J549" i="42"/>
  <c r="J177" i="42"/>
  <c r="J158" i="42"/>
  <c r="J530" i="42"/>
  <c r="J150" i="42"/>
  <c r="J522" i="42"/>
  <c r="J589" i="42"/>
  <c r="G108" i="41" s="1"/>
  <c r="J217" i="42"/>
  <c r="G42" i="41" s="1"/>
  <c r="J518" i="42"/>
  <c r="J146" i="42"/>
  <c r="J510" i="42"/>
  <c r="J138" i="42"/>
  <c r="J184" i="42"/>
  <c r="J617" i="42"/>
  <c r="J56" i="42"/>
  <c r="J609" i="42"/>
  <c r="G73" i="41"/>
  <c r="G9" i="41"/>
  <c r="G36" i="41"/>
  <c r="I429" i="42"/>
  <c r="I57" i="42"/>
  <c r="I468" i="42"/>
  <c r="I96" i="42"/>
  <c r="I473" i="42"/>
  <c r="I101" i="42"/>
  <c r="I402" i="42"/>
  <c r="I30" i="42"/>
  <c r="G221" i="42"/>
  <c r="G593" i="42"/>
  <c r="I547" i="42"/>
  <c r="I175" i="42"/>
  <c r="I544" i="42"/>
  <c r="I172" i="42"/>
  <c r="I479" i="42"/>
  <c r="I107" i="42"/>
  <c r="I483" i="42"/>
  <c r="I111" i="42"/>
  <c r="I464" i="42"/>
  <c r="I92" i="42"/>
  <c r="I424" i="42"/>
  <c r="I52" i="42"/>
  <c r="I501" i="42"/>
  <c r="I129" i="42"/>
  <c r="L356" i="42"/>
  <c r="L728" i="42"/>
  <c r="L731" i="42"/>
  <c r="L359" i="42"/>
  <c r="G359" i="42"/>
  <c r="G731" i="42"/>
  <c r="I576" i="42"/>
  <c r="I204" i="42"/>
  <c r="I566" i="42"/>
  <c r="I194" i="42"/>
  <c r="L475" i="42"/>
  <c r="L103" i="42"/>
  <c r="I528" i="42"/>
  <c r="I156" i="42"/>
  <c r="I75" i="42"/>
  <c r="I447" i="42"/>
  <c r="I644" i="42"/>
  <c r="I272" i="42"/>
  <c r="I748" i="42"/>
  <c r="I376" i="42"/>
  <c r="I744" i="42"/>
  <c r="I372" i="42"/>
  <c r="I437" i="42"/>
  <c r="I65" i="42"/>
  <c r="I25" i="44" s="1"/>
  <c r="L138" i="42"/>
  <c r="L510" i="42"/>
  <c r="I494" i="42"/>
  <c r="I122" i="42"/>
  <c r="I622" i="42"/>
  <c r="I250" i="42"/>
  <c r="I139" i="42"/>
  <c r="I511" i="42"/>
  <c r="I512" i="42"/>
  <c r="I140" i="42"/>
  <c r="I591" i="42"/>
  <c r="I219" i="42"/>
  <c r="I729" i="42"/>
  <c r="I357" i="42"/>
  <c r="I732" i="42"/>
  <c r="I360" i="42"/>
  <c r="I30" i="44" s="1"/>
  <c r="J548" i="42"/>
  <c r="J176" i="42"/>
  <c r="J157" i="42"/>
  <c r="J529" i="42"/>
  <c r="J149" i="42"/>
  <c r="J521" i="42"/>
  <c r="J588" i="42"/>
  <c r="G107" i="41" s="1"/>
  <c r="J216" i="42"/>
  <c r="G41" i="41" s="1"/>
  <c r="J517" i="42"/>
  <c r="J145" i="42"/>
  <c r="J243" i="42"/>
  <c r="J186" i="42"/>
  <c r="J58" i="42"/>
  <c r="J560" i="42"/>
  <c r="G15" i="41"/>
  <c r="G75" i="41"/>
  <c r="J50" i="42"/>
  <c r="G8" i="41"/>
  <c r="J347" i="42"/>
  <c r="I408" i="42"/>
  <c r="I36" i="42"/>
  <c r="I499" i="42"/>
  <c r="I127" i="42"/>
  <c r="I384" i="42"/>
  <c r="I12" i="42"/>
  <c r="I469" i="42"/>
  <c r="I97" i="42"/>
  <c r="I405" i="42"/>
  <c r="I33" i="42"/>
  <c r="G214" i="42"/>
  <c r="G586" i="42"/>
  <c r="I546" i="42"/>
  <c r="I174" i="42"/>
  <c r="I171" i="42"/>
  <c r="I543" i="42"/>
  <c r="I480" i="42"/>
  <c r="I108" i="42"/>
  <c r="I457" i="42"/>
  <c r="I85" i="42"/>
  <c r="I427" i="42"/>
  <c r="I55" i="42"/>
  <c r="I508" i="42"/>
  <c r="I136" i="42"/>
  <c r="I131" i="42"/>
  <c r="I503" i="42"/>
  <c r="L364" i="42"/>
  <c r="L736" i="42"/>
  <c r="G358" i="42"/>
  <c r="G730" i="42"/>
  <c r="I575" i="42"/>
  <c r="I203" i="42"/>
  <c r="I565" i="42"/>
  <c r="I193" i="42"/>
  <c r="L98" i="42"/>
  <c r="M27" i="44" s="1"/>
  <c r="L470" i="42"/>
  <c r="I522" i="42"/>
  <c r="I150" i="42"/>
  <c r="I527" i="42"/>
  <c r="I155" i="42"/>
  <c r="I450" i="42"/>
  <c r="I78" i="42"/>
  <c r="I647" i="42"/>
  <c r="I275" i="42"/>
  <c r="I371" i="42"/>
  <c r="I743" i="42"/>
  <c r="I435" i="42"/>
  <c r="I63" i="42"/>
  <c r="L514" i="42"/>
  <c r="L142" i="42"/>
  <c r="L146" i="42"/>
  <c r="L518" i="42"/>
  <c r="I492" i="42"/>
  <c r="I120" i="42"/>
  <c r="I488" i="42"/>
  <c r="I116" i="42"/>
  <c r="I634" i="42"/>
  <c r="I262" i="42"/>
  <c r="I637" i="42"/>
  <c r="I265" i="42"/>
  <c r="I619" i="42"/>
  <c r="I247" i="42"/>
  <c r="I626" i="42"/>
  <c r="I254" i="42"/>
  <c r="H358" i="42"/>
  <c r="H730" i="42"/>
  <c r="J175" i="42"/>
  <c r="J547" i="42"/>
  <c r="J156" i="42"/>
  <c r="J528" i="42"/>
  <c r="J223" i="42"/>
  <c r="G48" i="41" s="1"/>
  <c r="J595" i="42"/>
  <c r="G114" i="41" s="1"/>
  <c r="J214" i="42"/>
  <c r="G39" i="41" s="1"/>
  <c r="J586" i="42"/>
  <c r="G105" i="41" s="1"/>
  <c r="J516" i="42"/>
  <c r="J144" i="42"/>
  <c r="I514" i="42"/>
  <c r="I142" i="42"/>
  <c r="J720" i="42"/>
  <c r="J185" i="42"/>
  <c r="J722" i="42"/>
  <c r="G101" i="41"/>
  <c r="G81" i="41"/>
  <c r="J354" i="42"/>
  <c r="G74" i="41"/>
  <c r="I463" i="42"/>
  <c r="I91" i="42"/>
  <c r="I6" i="42"/>
  <c r="I378" i="42"/>
  <c r="I471" i="42"/>
  <c r="I99" i="42"/>
  <c r="I386" i="42"/>
  <c r="I14" i="42"/>
  <c r="L483" i="42"/>
  <c r="L111" i="42"/>
  <c r="I470" i="42"/>
  <c r="I98" i="42"/>
  <c r="I27" i="44" s="1"/>
  <c r="I404" i="42"/>
  <c r="I32" i="42"/>
  <c r="G215" i="42"/>
  <c r="G587" i="42"/>
  <c r="I545" i="42"/>
  <c r="I173" i="42"/>
  <c r="I481" i="42"/>
  <c r="I109" i="42"/>
  <c r="I460" i="42"/>
  <c r="I88" i="42"/>
  <c r="I455" i="42"/>
  <c r="I83" i="42"/>
  <c r="I428" i="42"/>
  <c r="I56" i="42"/>
  <c r="I504" i="42"/>
  <c r="I132" i="42"/>
  <c r="I507" i="42"/>
  <c r="I135" i="42"/>
  <c r="L357" i="42"/>
  <c r="L729" i="42"/>
  <c r="G364" i="42"/>
  <c r="G736" i="42"/>
  <c r="I584" i="42"/>
  <c r="I212" i="42"/>
  <c r="I568" i="42"/>
  <c r="I196" i="42"/>
  <c r="I28" i="44" s="1"/>
  <c r="L99" i="42"/>
  <c r="L471" i="42"/>
  <c r="L101" i="42"/>
  <c r="L473" i="42"/>
  <c r="I524" i="42"/>
  <c r="I152" i="42"/>
  <c r="I521" i="42"/>
  <c r="I149" i="42"/>
  <c r="I448" i="42"/>
  <c r="I76" i="42"/>
  <c r="I642" i="42"/>
  <c r="I270" i="42"/>
  <c r="I739" i="42"/>
  <c r="I367" i="42"/>
  <c r="I440" i="42"/>
  <c r="I68" i="42"/>
  <c r="L516" i="42"/>
  <c r="L144" i="42"/>
  <c r="L147" i="42"/>
  <c r="L519" i="42"/>
  <c r="I493" i="42"/>
  <c r="I121" i="42"/>
  <c r="I633" i="42"/>
  <c r="I261" i="42"/>
  <c r="I621" i="42"/>
  <c r="I249" i="42"/>
  <c r="H365" i="42"/>
  <c r="H737" i="42"/>
  <c r="H728" i="42"/>
  <c r="H356" i="42"/>
  <c r="I736" i="42"/>
  <c r="I364" i="42"/>
  <c r="I734" i="42"/>
  <c r="I362" i="42"/>
  <c r="I516" i="42"/>
  <c r="I144" i="42"/>
  <c r="I510" i="42"/>
  <c r="I138" i="42"/>
  <c r="I587" i="42"/>
  <c r="I215" i="42"/>
  <c r="J174" i="42"/>
  <c r="J546" i="42"/>
  <c r="J527" i="42"/>
  <c r="J155" i="42"/>
  <c r="J222" i="42"/>
  <c r="G47" i="41" s="1"/>
  <c r="J594" i="42"/>
  <c r="G113" i="41" s="1"/>
  <c r="J215" i="42"/>
  <c r="G40" i="41" s="1"/>
  <c r="J587" i="42"/>
  <c r="G106" i="41" s="1"/>
  <c r="J143" i="42"/>
  <c r="J515" i="42"/>
  <c r="J424" i="42"/>
  <c r="G79" i="41"/>
  <c r="J187" i="42"/>
  <c r="G35" i="41"/>
  <c r="J241" i="42"/>
  <c r="J553" i="42"/>
  <c r="J242" i="42"/>
  <c r="G10" i="41"/>
  <c r="I382" i="42"/>
  <c r="I10" i="42"/>
  <c r="I550" i="42"/>
  <c r="I178" i="42"/>
  <c r="L105" i="42"/>
  <c r="L477" i="42"/>
  <c r="L478" i="42"/>
  <c r="L106" i="42"/>
  <c r="L114" i="42"/>
  <c r="L486" i="42"/>
  <c r="I381" i="42"/>
  <c r="I9" i="42"/>
  <c r="I472" i="42"/>
  <c r="I100" i="42"/>
  <c r="I401" i="42"/>
  <c r="I29" i="42"/>
  <c r="G216" i="42"/>
  <c r="G588" i="42"/>
  <c r="G592" i="42"/>
  <c r="G220" i="42"/>
  <c r="I542" i="42"/>
  <c r="I170" i="42"/>
  <c r="I486" i="42"/>
  <c r="I114" i="42"/>
  <c r="I461" i="42"/>
  <c r="I89" i="42"/>
  <c r="I456" i="42"/>
  <c r="I84" i="42"/>
  <c r="I59" i="42"/>
  <c r="I431" i="42"/>
  <c r="I500" i="42"/>
  <c r="I128" i="42"/>
  <c r="L365" i="42"/>
  <c r="L737" i="42"/>
  <c r="G356" i="42"/>
  <c r="G728" i="42"/>
  <c r="I582" i="42"/>
  <c r="I210" i="42"/>
  <c r="I577" i="42"/>
  <c r="I205" i="42"/>
  <c r="I572" i="42"/>
  <c r="I200" i="42"/>
  <c r="L100" i="42"/>
  <c r="L472" i="42"/>
  <c r="L97" i="42"/>
  <c r="L469" i="42"/>
  <c r="I530" i="42"/>
  <c r="I158" i="42"/>
  <c r="I526" i="42"/>
  <c r="I154" i="42"/>
  <c r="I449" i="42"/>
  <c r="I77" i="42"/>
  <c r="I646" i="42"/>
  <c r="I274" i="42"/>
  <c r="I742" i="42"/>
  <c r="I370" i="42"/>
  <c r="I438" i="42"/>
  <c r="I66" i="42"/>
  <c r="I441" i="42"/>
  <c r="I69" i="42"/>
  <c r="L140" i="42"/>
  <c r="L512" i="42"/>
  <c r="I497" i="42"/>
  <c r="I125" i="42"/>
  <c r="I491" i="42"/>
  <c r="I119" i="42"/>
  <c r="I636" i="42"/>
  <c r="I264" i="42"/>
  <c r="I638" i="42"/>
  <c r="I266" i="42"/>
  <c r="I628" i="42"/>
  <c r="I256" i="42"/>
  <c r="H735" i="42"/>
  <c r="H363" i="42"/>
  <c r="H733" i="42"/>
  <c r="H361" i="42"/>
  <c r="H359" i="42"/>
  <c r="H731" i="42"/>
  <c r="I519" i="42"/>
  <c r="I147" i="42"/>
  <c r="I590" i="42"/>
  <c r="I218" i="42"/>
  <c r="J173" i="42"/>
  <c r="J545" i="42"/>
  <c r="J526" i="42"/>
  <c r="J154" i="42"/>
  <c r="J221" i="42"/>
  <c r="G46" i="41" s="1"/>
  <c r="J593" i="42"/>
  <c r="G112" i="41" s="1"/>
  <c r="J142" i="42"/>
  <c r="J514" i="42"/>
  <c r="G13" i="41"/>
  <c r="G98" i="41"/>
  <c r="G76" i="41"/>
  <c r="J21" i="42"/>
  <c r="M237" i="40" a="1"/>
  <c r="M237" i="40" s="1"/>
  <c r="S237" i="40" s="1"/>
  <c r="M243" i="40" a="1"/>
  <c r="M243" i="40" s="1"/>
  <c r="S243" i="40" s="1"/>
  <c r="M238" i="40" a="1"/>
  <c r="M238" i="40" s="1"/>
  <c r="S238" i="40" s="1"/>
  <c r="F14" i="33"/>
  <c r="M240" i="40" a="1"/>
  <c r="M240" i="40" s="1"/>
  <c r="S240" i="40" s="1"/>
  <c r="M242" i="40" a="1"/>
  <c r="M242" i="40" s="1"/>
  <c r="S242" i="40" s="1"/>
  <c r="M245" i="40" a="1"/>
  <c r="M245" i="40" s="1"/>
  <c r="S245" i="40" s="1"/>
  <c r="M244" i="40" a="1"/>
  <c r="M244" i="40" s="1"/>
  <c r="S244" i="40" s="1"/>
  <c r="E7" i="31"/>
  <c r="N272" i="40" a="1"/>
  <c r="N272" i="40" s="1"/>
  <c r="R301" i="40" a="1"/>
  <c r="R301" i="40" s="1"/>
  <c r="V301" i="40" s="1"/>
  <c r="M83" i="40" a="1"/>
  <c r="M83" i="40" s="1"/>
  <c r="S83" i="40" s="1"/>
  <c r="M85" i="40" a="1"/>
  <c r="M85" i="40" s="1"/>
  <c r="S85" i="40" s="1"/>
  <c r="N278" i="40" a="1"/>
  <c r="N278" i="40" s="1"/>
  <c r="N270" i="40" a="1"/>
  <c r="N270" i="40" s="1"/>
  <c r="N271" i="40" a="1"/>
  <c r="N271" i="40" s="1"/>
  <c r="N275" i="40" a="1"/>
  <c r="N275" i="40" s="1"/>
  <c r="G17" i="33"/>
  <c r="N276" i="40" a="1"/>
  <c r="N276" i="40" s="1"/>
  <c r="N279" i="40" a="1"/>
  <c r="N279" i="40" s="1"/>
  <c r="N273" i="40" a="1"/>
  <c r="N273" i="40" s="1"/>
  <c r="N277" i="40" a="1"/>
  <c r="N277" i="40" s="1"/>
  <c r="N274" i="40" a="1"/>
  <c r="N274" i="40" s="1"/>
  <c r="Q274" i="40" a="1"/>
  <c r="Q274" i="40" s="1"/>
  <c r="U274" i="40" s="1"/>
  <c r="Q276" i="40" a="1"/>
  <c r="Q276" i="40" s="1"/>
  <c r="U276" i="40" s="1"/>
  <c r="M278" i="40" a="1"/>
  <c r="M278" i="40" s="1"/>
  <c r="S278" i="40" s="1"/>
  <c r="F17" i="33"/>
  <c r="C88" i="52" s="1"/>
  <c r="M276" i="40" a="1"/>
  <c r="M276" i="40" s="1"/>
  <c r="S276" i="40" s="1"/>
  <c r="Q271" i="40" a="1"/>
  <c r="Q271" i="40" s="1"/>
  <c r="U271" i="40" s="1"/>
  <c r="Q273" i="40" a="1"/>
  <c r="Q273" i="40" s="1"/>
  <c r="U273" i="40" s="1"/>
  <c r="M279" i="40" a="1"/>
  <c r="M279" i="40" s="1"/>
  <c r="S279" i="40" s="1"/>
  <c r="M277" i="40" a="1"/>
  <c r="M277" i="40" s="1"/>
  <c r="S277" i="40" s="1"/>
  <c r="M271" i="40" a="1"/>
  <c r="M271" i="40" s="1"/>
  <c r="S271" i="40" s="1"/>
  <c r="Q278" i="40" a="1"/>
  <c r="Q278" i="40" s="1"/>
  <c r="U278" i="40" s="1"/>
  <c r="M270" i="40" a="1"/>
  <c r="M270" i="40" s="1"/>
  <c r="S270" i="40" s="1"/>
  <c r="Q277" i="40" a="1"/>
  <c r="Q277" i="40" s="1"/>
  <c r="U277" i="40" s="1"/>
  <c r="M273" i="40" a="1"/>
  <c r="M273" i="40" s="1"/>
  <c r="S273" i="40" s="1"/>
  <c r="Q270" i="40" a="1"/>
  <c r="Q270" i="40" s="1"/>
  <c r="U270" i="40" s="1"/>
  <c r="Q279" i="40" a="1"/>
  <c r="Q279" i="40" s="1"/>
  <c r="U279" i="40" s="1"/>
  <c r="Q272" i="40" a="1"/>
  <c r="Q272" i="40" s="1"/>
  <c r="U272" i="40" s="1"/>
  <c r="Q275" i="40" a="1"/>
  <c r="Q275" i="40" s="1"/>
  <c r="U275" i="40" s="1"/>
  <c r="R299" i="40" a="1"/>
  <c r="R299" i="40" s="1"/>
  <c r="V299" i="40" s="1"/>
  <c r="M84" i="40" a="1"/>
  <c r="M84" i="40" s="1"/>
  <c r="S84" i="40" s="1"/>
  <c r="M87" i="40" a="1"/>
  <c r="M87" i="40" s="1"/>
  <c r="S87" i="40" s="1"/>
  <c r="R297" i="40" a="1"/>
  <c r="R297" i="40" s="1"/>
  <c r="V297" i="40" s="1"/>
  <c r="M86" i="40" a="1"/>
  <c r="M86" i="40" s="1"/>
  <c r="S86" i="40" s="1"/>
  <c r="R292" i="40" a="1"/>
  <c r="R292" i="40" s="1"/>
  <c r="V292" i="40" s="1"/>
  <c r="M91" i="40" a="1"/>
  <c r="M91" i="40" s="1"/>
  <c r="S91" i="40" s="1"/>
  <c r="R294" i="40" a="1"/>
  <c r="R294" i="40" s="1"/>
  <c r="V294" i="40" s="1"/>
  <c r="R298" i="40" a="1"/>
  <c r="R298" i="40" s="1"/>
  <c r="V298" i="40" s="1"/>
  <c r="M659" i="40" a="1"/>
  <c r="M659" i="40" s="1"/>
  <c r="S659" i="40" s="1"/>
  <c r="R296" i="40" a="1"/>
  <c r="R296" i="40" s="1"/>
  <c r="V296" i="40" s="1"/>
  <c r="M90" i="40" a="1"/>
  <c r="M90" i="40" s="1"/>
  <c r="S90" i="40" s="1"/>
  <c r="M89" i="40" a="1"/>
  <c r="M89" i="40" s="1"/>
  <c r="S89" i="40" s="1"/>
  <c r="R293" i="40" a="1"/>
  <c r="R293" i="40" s="1"/>
  <c r="V293" i="40" s="1"/>
  <c r="M92" i="40" a="1"/>
  <c r="M92" i="40" s="1"/>
  <c r="S92" i="40" s="1"/>
  <c r="M88" i="40" a="1"/>
  <c r="M88" i="40" s="1"/>
  <c r="S88" i="40" s="1"/>
  <c r="R300" i="40" a="1"/>
  <c r="R300" i="40" s="1"/>
  <c r="V300" i="40" s="1"/>
  <c r="M661" i="40" a="1"/>
  <c r="M661" i="40" s="1"/>
  <c r="S661" i="40" s="1"/>
  <c r="M658" i="40" a="1"/>
  <c r="M658" i="40" s="1"/>
  <c r="S658" i="40" s="1"/>
  <c r="M274" i="40" a="1"/>
  <c r="M274" i="40" s="1"/>
  <c r="S274" i="40" s="1"/>
  <c r="M655" i="40" a="1"/>
  <c r="M655" i="40" s="1"/>
  <c r="S655" i="40" s="1"/>
  <c r="M272" i="40" a="1"/>
  <c r="M272" i="40" s="1"/>
  <c r="S272" i="40" s="1"/>
  <c r="M657" i="40" a="1"/>
  <c r="M657" i="40" s="1"/>
  <c r="S657" i="40" s="1"/>
  <c r="M662" i="40" a="1"/>
  <c r="M662" i="40" s="1"/>
  <c r="S662" i="40" s="1"/>
  <c r="M656" i="40" a="1"/>
  <c r="M656" i="40" s="1"/>
  <c r="S656" i="40" s="1"/>
  <c r="M664" i="40" a="1"/>
  <c r="M664" i="40" s="1"/>
  <c r="S664" i="40" s="1"/>
  <c r="M660" i="40" a="1"/>
  <c r="M660" i="40" s="1"/>
  <c r="S660" i="40" s="1"/>
  <c r="R644" i="40" a="1"/>
  <c r="R644" i="40" s="1"/>
  <c r="R645" i="40" a="1"/>
  <c r="R645" i="40" s="1"/>
  <c r="R646" i="40" a="1"/>
  <c r="R646" i="40" s="1"/>
  <c r="R647" i="40" a="1"/>
  <c r="R647" i="40" s="1"/>
  <c r="R648" i="40" a="1"/>
  <c r="R648" i="40" s="1"/>
  <c r="R649" i="40" a="1"/>
  <c r="R649" i="40" s="1"/>
  <c r="R650" i="40" a="1"/>
  <c r="R650" i="40" s="1"/>
  <c r="R651" i="40" a="1"/>
  <c r="R651" i="40" s="1"/>
  <c r="R653" i="40" a="1"/>
  <c r="R653" i="40" s="1"/>
  <c r="R652" i="40" a="1"/>
  <c r="R652" i="40" s="1"/>
  <c r="O50" i="40" a="1"/>
  <c r="O50" i="40" s="1"/>
  <c r="T50" i="40" s="1"/>
  <c r="O51" i="40" a="1"/>
  <c r="O51" i="40" s="1"/>
  <c r="T51" i="40" s="1"/>
  <c r="O52" i="40" a="1"/>
  <c r="O52" i="40" s="1"/>
  <c r="T52" i="40" s="1"/>
  <c r="O53" i="40" a="1"/>
  <c r="O53" i="40" s="1"/>
  <c r="T53" i="40" s="1"/>
  <c r="O54" i="40" a="1"/>
  <c r="O54" i="40" s="1"/>
  <c r="T54" i="40" s="1"/>
  <c r="O55" i="40" a="1"/>
  <c r="O55" i="40" s="1"/>
  <c r="T55" i="40" s="1"/>
  <c r="O56" i="40" a="1"/>
  <c r="O56" i="40" s="1"/>
  <c r="T56" i="40" s="1"/>
  <c r="O57" i="40" a="1"/>
  <c r="O57" i="40" s="1"/>
  <c r="T57" i="40" s="1"/>
  <c r="O58" i="40" a="1"/>
  <c r="O58" i="40" s="1"/>
  <c r="T58" i="40" s="1"/>
  <c r="O59" i="40" a="1"/>
  <c r="O59" i="40" s="1"/>
  <c r="T59" i="40" s="1"/>
  <c r="N50" i="40" a="1"/>
  <c r="N50" i="40" s="1"/>
  <c r="N51" i="40" a="1"/>
  <c r="N51" i="40" s="1"/>
  <c r="N52" i="40" a="1"/>
  <c r="N52" i="40" s="1"/>
  <c r="N53" i="40" a="1"/>
  <c r="N53" i="40" s="1"/>
  <c r="N54" i="40" a="1"/>
  <c r="N54" i="40" s="1"/>
  <c r="N55" i="40" a="1"/>
  <c r="N55" i="40" s="1"/>
  <c r="N56" i="40" a="1"/>
  <c r="N56" i="40" s="1"/>
  <c r="N57" i="40" a="1"/>
  <c r="N57" i="40" s="1"/>
  <c r="N58" i="40" a="1"/>
  <c r="N58" i="40" s="1"/>
  <c r="N59" i="40" a="1"/>
  <c r="N59" i="40" s="1"/>
  <c r="N447" i="40" a="1"/>
  <c r="N447" i="40" s="1"/>
  <c r="N446" i="40" a="1"/>
  <c r="N446" i="40" s="1"/>
  <c r="N448" i="40" a="1"/>
  <c r="N448" i="40" s="1"/>
  <c r="N449" i="40" a="1"/>
  <c r="N449" i="40" s="1"/>
  <c r="N450" i="40" a="1"/>
  <c r="N450" i="40" s="1"/>
  <c r="N451" i="40" a="1"/>
  <c r="N451" i="40" s="1"/>
  <c r="N452" i="40" a="1"/>
  <c r="N452" i="40" s="1"/>
  <c r="N453" i="40" a="1"/>
  <c r="N453" i="40" s="1"/>
  <c r="N454" i="40" a="1"/>
  <c r="N454" i="40" s="1"/>
  <c r="N455" i="40" a="1"/>
  <c r="N455" i="40" s="1"/>
  <c r="O61" i="40" a="1"/>
  <c r="O61" i="40" s="1"/>
  <c r="T61" i="40" s="1"/>
  <c r="O62" i="40" a="1"/>
  <c r="O62" i="40" s="1"/>
  <c r="T62" i="40" s="1"/>
  <c r="O63" i="40" a="1"/>
  <c r="O63" i="40" s="1"/>
  <c r="T63" i="40" s="1"/>
  <c r="O65" i="40" a="1"/>
  <c r="O65" i="40" s="1"/>
  <c r="T65" i="40" s="1"/>
  <c r="O66" i="40" a="1"/>
  <c r="O66" i="40" s="1"/>
  <c r="T66" i="40" s="1"/>
  <c r="O64" i="40" a="1"/>
  <c r="O64" i="40" s="1"/>
  <c r="T64" i="40" s="1"/>
  <c r="O67" i="40" a="1"/>
  <c r="O67" i="40" s="1"/>
  <c r="T67" i="40" s="1"/>
  <c r="O68" i="40" a="1"/>
  <c r="O68" i="40" s="1"/>
  <c r="T68" i="40" s="1"/>
  <c r="O69" i="40" a="1"/>
  <c r="O69" i="40" s="1"/>
  <c r="T69" i="40" s="1"/>
  <c r="O70" i="40" a="1"/>
  <c r="O70" i="40" s="1"/>
  <c r="T70" i="40" s="1"/>
  <c r="R704" i="40" a="1"/>
  <c r="R704" i="40" s="1"/>
  <c r="V704" i="40" s="1"/>
  <c r="R699" i="40" a="1"/>
  <c r="R699" i="40" s="1"/>
  <c r="V699" i="40" s="1"/>
  <c r="R703" i="40" a="1"/>
  <c r="R703" i="40" s="1"/>
  <c r="V703" i="40" s="1"/>
  <c r="R705" i="40" a="1"/>
  <c r="R705" i="40" s="1"/>
  <c r="V705" i="40" s="1"/>
  <c r="R701" i="40" a="1"/>
  <c r="R701" i="40" s="1"/>
  <c r="V701" i="40" s="1"/>
  <c r="R706" i="40" a="1"/>
  <c r="R706" i="40" s="1"/>
  <c r="V706" i="40" s="1"/>
  <c r="R702" i="40" a="1"/>
  <c r="R702" i="40" s="1"/>
  <c r="V702" i="40" s="1"/>
  <c r="R708" i="40" a="1"/>
  <c r="R708" i="40" s="1"/>
  <c r="V708" i="40" s="1"/>
  <c r="R700" i="40" a="1"/>
  <c r="R700" i="40" s="1"/>
  <c r="V700" i="40" s="1"/>
  <c r="R707" i="40" a="1"/>
  <c r="R707" i="40" s="1"/>
  <c r="V707" i="40" s="1"/>
  <c r="Q699" i="40" a="1"/>
  <c r="Q699" i="40" s="1"/>
  <c r="U699" i="40" s="1"/>
  <c r="Q706" i="40" a="1"/>
  <c r="Q706" i="40" s="1"/>
  <c r="U706" i="40" s="1"/>
  <c r="Q704" i="40" a="1"/>
  <c r="Q704" i="40" s="1"/>
  <c r="U704" i="40" s="1"/>
  <c r="Q708" i="40" a="1"/>
  <c r="Q708" i="40" s="1"/>
  <c r="U708" i="40" s="1"/>
  <c r="Q700" i="40" a="1"/>
  <c r="Q700" i="40" s="1"/>
  <c r="U700" i="40" s="1"/>
  <c r="Q707" i="40" a="1"/>
  <c r="Q707" i="40" s="1"/>
  <c r="U707" i="40" s="1"/>
  <c r="Q703" i="40" a="1"/>
  <c r="Q703" i="40" s="1"/>
  <c r="U703" i="40" s="1"/>
  <c r="Q701" i="40" a="1"/>
  <c r="Q701" i="40" s="1"/>
  <c r="U701" i="40" s="1"/>
  <c r="Q702" i="40" a="1"/>
  <c r="Q702" i="40" s="1"/>
  <c r="U702" i="40" s="1"/>
  <c r="Q705" i="40" a="1"/>
  <c r="Q705" i="40" s="1"/>
  <c r="U705" i="40" s="1"/>
  <c r="N699" i="40" a="1"/>
  <c r="N699" i="40" s="1"/>
  <c r="N706" i="40" a="1"/>
  <c r="N706" i="40" s="1"/>
  <c r="N704" i="40" a="1"/>
  <c r="N704" i="40" s="1"/>
  <c r="N707" i="40" a="1"/>
  <c r="N707" i="40" s="1"/>
  <c r="N701" i="40" a="1"/>
  <c r="N701" i="40" s="1"/>
  <c r="N700" i="40" a="1"/>
  <c r="N700" i="40" s="1"/>
  <c r="N708" i="40" a="1"/>
  <c r="N708" i="40" s="1"/>
  <c r="N705" i="40" a="1"/>
  <c r="N705" i="40" s="1"/>
  <c r="N703" i="40" a="1"/>
  <c r="N703" i="40" s="1"/>
  <c r="N702" i="40" a="1"/>
  <c r="N702" i="40" s="1"/>
  <c r="M706" i="40" a="1"/>
  <c r="M706" i="40" s="1"/>
  <c r="S706" i="40" s="1"/>
  <c r="M699" i="40" a="1"/>
  <c r="M699" i="40" s="1"/>
  <c r="S699" i="40" s="1"/>
  <c r="M704" i="40" a="1"/>
  <c r="M704" i="40" s="1"/>
  <c r="S704" i="40" s="1"/>
  <c r="M708" i="40" a="1"/>
  <c r="M708" i="40" s="1"/>
  <c r="S708" i="40" s="1"/>
  <c r="M702" i="40" a="1"/>
  <c r="M702" i="40" s="1"/>
  <c r="S702" i="40" s="1"/>
  <c r="M703" i="40" a="1"/>
  <c r="M703" i="40" s="1"/>
  <c r="S703" i="40" s="1"/>
  <c r="M705" i="40" a="1"/>
  <c r="M705" i="40" s="1"/>
  <c r="S705" i="40" s="1"/>
  <c r="M700" i="40" a="1"/>
  <c r="M700" i="40" s="1"/>
  <c r="S700" i="40" s="1"/>
  <c r="M701" i="40" a="1"/>
  <c r="M701" i="40" s="1"/>
  <c r="S701" i="40" s="1"/>
  <c r="M707" i="40" a="1"/>
  <c r="M707" i="40" s="1"/>
  <c r="S707" i="40" s="1"/>
  <c r="O378" i="40" a="1"/>
  <c r="O378" i="40" s="1"/>
  <c r="T378" i="40" s="1"/>
  <c r="N678" i="40" a="1"/>
  <c r="N678" i="40" s="1"/>
  <c r="N680" i="40" a="1"/>
  <c r="N680" i="40" s="1"/>
  <c r="N657" i="40" a="1"/>
  <c r="N657" i="40" s="1"/>
  <c r="N658" i="40" a="1"/>
  <c r="N658" i="40" s="1"/>
  <c r="N656" i="40" a="1"/>
  <c r="N656" i="40" s="1"/>
  <c r="N659" i="40" a="1"/>
  <c r="N659" i="40" s="1"/>
  <c r="N662" i="40" a="1"/>
  <c r="N662" i="40" s="1"/>
  <c r="N655" i="40" a="1"/>
  <c r="N655" i="40" s="1"/>
  <c r="M431" i="40" a="1"/>
  <c r="M431" i="40" s="1"/>
  <c r="S431" i="40" s="1"/>
  <c r="M430" i="40" a="1"/>
  <c r="M430" i="40" s="1"/>
  <c r="S430" i="40" s="1"/>
  <c r="M426" i="40" a="1"/>
  <c r="M426" i="40" s="1"/>
  <c r="S426" i="40" s="1"/>
  <c r="M429" i="40" a="1"/>
  <c r="M429" i="40" s="1"/>
  <c r="S429" i="40" s="1"/>
  <c r="M424" i="40" a="1"/>
  <c r="M424" i="40" s="1"/>
  <c r="S424" i="40" s="1"/>
  <c r="M427" i="40" a="1"/>
  <c r="M427" i="40" s="1"/>
  <c r="S427" i="40" s="1"/>
  <c r="M428" i="40" a="1"/>
  <c r="M428" i="40" s="1"/>
  <c r="S428" i="40" s="1"/>
  <c r="F24" i="33"/>
  <c r="M432" i="40" a="1"/>
  <c r="M432" i="40" s="1"/>
  <c r="S432" i="40" s="1"/>
  <c r="M433" i="40" a="1"/>
  <c r="M433" i="40" s="1"/>
  <c r="S433" i="40" s="1"/>
  <c r="Q514" i="40" a="1"/>
  <c r="Q514" i="40" s="1"/>
  <c r="U514" i="40" s="1"/>
  <c r="M425" i="40" a="1"/>
  <c r="M425" i="40" s="1"/>
  <c r="S425" i="40" s="1"/>
  <c r="N685" i="40" a="1"/>
  <c r="N685" i="40" s="1"/>
  <c r="N679" i="40" a="1"/>
  <c r="N679" i="40" s="1"/>
  <c r="N677" i="40" a="1"/>
  <c r="N677" i="40" s="1"/>
  <c r="O510" i="40" a="1"/>
  <c r="O510" i="40" s="1"/>
  <c r="T510" i="40" s="1"/>
  <c r="M682" i="40" a="1"/>
  <c r="M682" i="40" s="1"/>
  <c r="S682" i="40" s="1"/>
  <c r="R346" i="40" a="1"/>
  <c r="R346" i="40" s="1"/>
  <c r="V346" i="40" s="1"/>
  <c r="R378" i="40" a="1"/>
  <c r="R378" i="40" s="1"/>
  <c r="V378" i="40" s="1"/>
  <c r="N681" i="40" a="1"/>
  <c r="N681" i="40" s="1"/>
  <c r="M686" i="40" a="1"/>
  <c r="M686" i="40" s="1"/>
  <c r="S686" i="40" s="1"/>
  <c r="M679" i="40" a="1"/>
  <c r="M679" i="40" s="1"/>
  <c r="S679" i="40" s="1"/>
  <c r="M677" i="40" a="1"/>
  <c r="M677" i="40" s="1"/>
  <c r="S677" i="40" s="1"/>
  <c r="R370" i="40" a="1"/>
  <c r="R370" i="40" s="1"/>
  <c r="V370" i="40" s="1"/>
  <c r="R366" i="40" a="1"/>
  <c r="R366" i="40" s="1"/>
  <c r="V366" i="40" s="1"/>
  <c r="N683" i="40" a="1"/>
  <c r="N683" i="40" s="1"/>
  <c r="N684" i="40" a="1"/>
  <c r="N684" i="40" s="1"/>
  <c r="M678" i="40" a="1"/>
  <c r="M678" i="40" s="1"/>
  <c r="S678" i="40" s="1"/>
  <c r="M685" i="40" a="1"/>
  <c r="M685" i="40" s="1"/>
  <c r="S685" i="40" s="1"/>
  <c r="R354" i="40" a="1"/>
  <c r="R354" i="40" s="1"/>
  <c r="V354" i="40" s="1"/>
  <c r="N686" i="40" a="1"/>
  <c r="N686" i="40" s="1"/>
  <c r="M683" i="40" a="1"/>
  <c r="M683" i="40" s="1"/>
  <c r="S683" i="40" s="1"/>
  <c r="R374" i="40" a="1"/>
  <c r="R374" i="40" s="1"/>
  <c r="V374" i="40" s="1"/>
  <c r="R358" i="40" a="1"/>
  <c r="R358" i="40" s="1"/>
  <c r="V358" i="40" s="1"/>
  <c r="O350" i="40" a="1"/>
  <c r="O350" i="40" s="1"/>
  <c r="T350" i="40" s="1"/>
  <c r="N682" i="40" a="1"/>
  <c r="N682" i="40" s="1"/>
  <c r="M684" i="40" a="1"/>
  <c r="M684" i="40" s="1"/>
  <c r="S684" i="40" s="1"/>
  <c r="M681" i="40" a="1"/>
  <c r="M681" i="40" s="1"/>
  <c r="S681" i="40" s="1"/>
  <c r="M680" i="40" a="1"/>
  <c r="M680" i="40" s="1"/>
  <c r="S680" i="40" s="1"/>
  <c r="O342" i="40" a="1"/>
  <c r="O342" i="40" s="1"/>
  <c r="T342" i="40" s="1"/>
  <c r="O370" i="40" a="1"/>
  <c r="O370" i="40" s="1"/>
  <c r="T370" i="40" s="1"/>
  <c r="O374" i="40" a="1"/>
  <c r="O374" i="40" s="1"/>
  <c r="T374" i="40" s="1"/>
  <c r="O346" i="40" a="1"/>
  <c r="O346" i="40" s="1"/>
  <c r="T346" i="40" s="1"/>
  <c r="O354" i="40" a="1"/>
  <c r="O354" i="40" s="1"/>
  <c r="T354" i="40" s="1"/>
  <c r="O366" i="40" a="1"/>
  <c r="O366" i="40" s="1"/>
  <c r="T366" i="40" s="1"/>
  <c r="O358" i="40" a="1"/>
  <c r="O358" i="40" s="1"/>
  <c r="T358" i="40" s="1"/>
  <c r="R350" i="40" a="1"/>
  <c r="R350" i="40" s="1"/>
  <c r="V350" i="40" s="1"/>
  <c r="R342" i="40" a="1"/>
  <c r="R342" i="40" s="1"/>
  <c r="V342" i="40" s="1"/>
  <c r="Q21" i="8"/>
  <c r="M29" i="8"/>
  <c r="Y29" i="8" s="1"/>
  <c r="O388" i="40" a="1"/>
  <c r="O388" i="40" s="1"/>
  <c r="T388" i="40" s="1"/>
  <c r="O528" i="40" a="1"/>
  <c r="O528" i="40" s="1"/>
  <c r="T528" i="40" s="1"/>
  <c r="O543" i="40" a="1"/>
  <c r="O543" i="40" s="1"/>
  <c r="T543" i="40" s="1"/>
  <c r="Q44" i="40" a="1"/>
  <c r="Q44" i="40" s="1"/>
  <c r="U44" i="40" s="1"/>
  <c r="G27" i="33"/>
  <c r="Q46" i="40" a="1"/>
  <c r="Q46" i="40" s="1"/>
  <c r="U46" i="40" s="1"/>
  <c r="Q365" i="40" a="1"/>
  <c r="Q365" i="40" s="1"/>
  <c r="U365" i="40" s="1"/>
  <c r="Q43" i="40" a="1"/>
  <c r="Q43" i="40" s="1"/>
  <c r="U43" i="40" s="1"/>
  <c r="Q508" i="40" a="1"/>
  <c r="Q508" i="40" s="1"/>
  <c r="U508" i="40" s="1"/>
  <c r="L23" i="8"/>
  <c r="N663" i="40" a="1"/>
  <c r="N663" i="40" s="1"/>
  <c r="N664" i="40" a="1"/>
  <c r="N664" i="40" s="1"/>
  <c r="H7" i="33"/>
  <c r="N660" i="40" a="1"/>
  <c r="N660" i="40" s="1"/>
  <c r="N661" i="40" a="1"/>
  <c r="N661" i="40" s="1"/>
  <c r="L11" i="8"/>
  <c r="O107" i="40" a="1"/>
  <c r="O107" i="40" s="1"/>
  <c r="T107" i="40" s="1"/>
  <c r="Q341" i="40" a="1"/>
  <c r="Q341" i="40" s="1"/>
  <c r="U341" i="40" s="1"/>
  <c r="Q353" i="40" a="1"/>
  <c r="Q353" i="40" s="1"/>
  <c r="U353" i="40" s="1"/>
  <c r="O119" i="40" a="1"/>
  <c r="O119" i="40" s="1"/>
  <c r="T119" i="40" s="1"/>
  <c r="N464" i="40" a="1"/>
  <c r="N464" i="40" s="1"/>
  <c r="M43" i="8"/>
  <c r="Y43" i="8" s="1"/>
  <c r="N326" i="40" a="1"/>
  <c r="N326" i="40" s="1"/>
  <c r="Q510" i="40" a="1"/>
  <c r="Q510" i="40" s="1"/>
  <c r="U510" i="40" s="1"/>
  <c r="R620" i="40" a="1"/>
  <c r="R620" i="40" s="1"/>
  <c r="V620" i="40" s="1"/>
  <c r="Q516" i="40" a="1"/>
  <c r="Q516" i="40" s="1"/>
  <c r="U516" i="40" s="1"/>
  <c r="Q520" i="40" a="1"/>
  <c r="Q520" i="40" s="1"/>
  <c r="U520" i="40" s="1"/>
  <c r="R602" i="40" a="1"/>
  <c r="R602" i="40" s="1"/>
  <c r="V602" i="40" s="1"/>
  <c r="R617" i="40" a="1"/>
  <c r="R617" i="40" s="1"/>
  <c r="V617" i="40" s="1"/>
  <c r="Q502" i="40" a="1"/>
  <c r="Q502" i="40" s="1"/>
  <c r="U502" i="40" s="1"/>
  <c r="Q504" i="40" a="1"/>
  <c r="Q504" i="40" s="1"/>
  <c r="U504" i="40" s="1"/>
  <c r="L18" i="8"/>
  <c r="R593" i="40" a="1"/>
  <c r="R593" i="40" s="1"/>
  <c r="V593" i="40" s="1"/>
  <c r="Q518" i="40" a="1"/>
  <c r="Q518" i="40" s="1"/>
  <c r="U518" i="40" s="1"/>
  <c r="Q506" i="40" a="1"/>
  <c r="Q506" i="40" s="1"/>
  <c r="U506" i="40" s="1"/>
  <c r="O536" i="40" a="1"/>
  <c r="O536" i="40" s="1"/>
  <c r="T536" i="40" s="1"/>
  <c r="O530" i="40" a="1"/>
  <c r="O530" i="40" s="1"/>
  <c r="T530" i="40" s="1"/>
  <c r="O545" i="40" a="1"/>
  <c r="O545" i="40" s="1"/>
  <c r="T545" i="40" s="1"/>
  <c r="O548" i="40" a="1"/>
  <c r="O548" i="40" s="1"/>
  <c r="T548" i="40" s="1"/>
  <c r="S32" i="8"/>
  <c r="O527" i="40" a="1"/>
  <c r="O527" i="40" s="1"/>
  <c r="T527" i="40" s="1"/>
  <c r="N466" i="40" a="1"/>
  <c r="N466" i="40" s="1"/>
  <c r="N329" i="40" a="1"/>
  <c r="N329" i="40" s="1"/>
  <c r="Q538" i="40" a="1"/>
  <c r="Q538" i="40" s="1"/>
  <c r="U538" i="40" s="1"/>
  <c r="N427" i="40" a="1"/>
  <c r="N427" i="40" s="1"/>
  <c r="R605" i="40" a="1"/>
  <c r="R605" i="40" s="1"/>
  <c r="V605" i="40" s="1"/>
  <c r="R608" i="40" a="1"/>
  <c r="R608" i="40" s="1"/>
  <c r="V608" i="40" s="1"/>
  <c r="R614" i="40" a="1"/>
  <c r="R614" i="40" s="1"/>
  <c r="V614" i="40" s="1"/>
  <c r="R596" i="40" a="1"/>
  <c r="R596" i="40" s="1"/>
  <c r="V596" i="40" s="1"/>
  <c r="R599" i="40" a="1"/>
  <c r="R599" i="40" s="1"/>
  <c r="V599" i="40" s="1"/>
  <c r="R611" i="40" a="1"/>
  <c r="R611" i="40" s="1"/>
  <c r="V611" i="40" s="1"/>
  <c r="H22" i="33"/>
  <c r="N426" i="40" a="1"/>
  <c r="N426" i="40" s="1"/>
  <c r="N433" i="40" a="1"/>
  <c r="N433" i="40" s="1"/>
  <c r="O357" i="40" a="1"/>
  <c r="O357" i="40" s="1"/>
  <c r="T357" i="40" s="1"/>
  <c r="O484" i="40" a="1"/>
  <c r="O484" i="40" s="1"/>
  <c r="T484" i="40" s="1"/>
  <c r="G24" i="33"/>
  <c r="O353" i="40" a="1"/>
  <c r="O353" i="40" s="1"/>
  <c r="T353" i="40" s="1"/>
  <c r="O542" i="40" a="1"/>
  <c r="O542" i="40" s="1"/>
  <c r="T542" i="40" s="1"/>
  <c r="N424" i="40" a="1"/>
  <c r="N424" i="40" s="1"/>
  <c r="O377" i="40" a="1"/>
  <c r="O377" i="40" s="1"/>
  <c r="T377" i="40" s="1"/>
  <c r="O347" i="40" a="1"/>
  <c r="O347" i="40" s="1"/>
  <c r="T347" i="40" s="1"/>
  <c r="O486" i="40" a="1"/>
  <c r="O486" i="40" s="1"/>
  <c r="T486" i="40" s="1"/>
  <c r="N428" i="40" a="1"/>
  <c r="N428" i="40" s="1"/>
  <c r="N431" i="40" a="1"/>
  <c r="N431" i="40" s="1"/>
  <c r="O539" i="40" a="1"/>
  <c r="O539" i="40" s="1"/>
  <c r="T539" i="40" s="1"/>
  <c r="O494" i="40" a="1"/>
  <c r="O494" i="40" s="1"/>
  <c r="T494" i="40" s="1"/>
  <c r="N432" i="40" a="1"/>
  <c r="N432" i="40" s="1"/>
  <c r="O480" i="40" a="1"/>
  <c r="O480" i="40" s="1"/>
  <c r="T480" i="40" s="1"/>
  <c r="N429" i="40" a="1"/>
  <c r="N429" i="40" s="1"/>
  <c r="O369" i="40" a="1"/>
  <c r="O369" i="40" s="1"/>
  <c r="T369" i="40" s="1"/>
  <c r="O533" i="40" a="1"/>
  <c r="O533" i="40" s="1"/>
  <c r="T533" i="40" s="1"/>
  <c r="O554" i="40" a="1"/>
  <c r="O554" i="40" s="1"/>
  <c r="T554" i="40" s="1"/>
  <c r="O490" i="40" a="1"/>
  <c r="O490" i="40" s="1"/>
  <c r="T490" i="40" s="1"/>
  <c r="N425" i="40" a="1"/>
  <c r="N425" i="40" s="1"/>
  <c r="O116" i="40" a="1"/>
  <c r="O116" i="40" s="1"/>
  <c r="T116" i="40" s="1"/>
  <c r="O122" i="40" a="1"/>
  <c r="O122" i="40" s="1"/>
  <c r="T122" i="40" s="1"/>
  <c r="O392" i="40" a="1"/>
  <c r="O392" i="40" s="1"/>
  <c r="T392" i="40" s="1"/>
  <c r="Q39" i="40" a="1"/>
  <c r="Q39" i="40" s="1"/>
  <c r="U39" i="40" s="1"/>
  <c r="O534" i="40" a="1"/>
  <c r="O534" i="40" s="1"/>
  <c r="T534" i="40" s="1"/>
  <c r="O531" i="40" a="1"/>
  <c r="O531" i="40" s="1"/>
  <c r="T531" i="40" s="1"/>
  <c r="O525" i="40" a="1"/>
  <c r="O525" i="40" s="1"/>
  <c r="T525" i="40" s="1"/>
  <c r="Q357" i="40" a="1"/>
  <c r="Q357" i="40" s="1"/>
  <c r="U357" i="40" s="1"/>
  <c r="Q345" i="40" a="1"/>
  <c r="Q345" i="40" s="1"/>
  <c r="U345" i="40" s="1"/>
  <c r="Q349" i="40" a="1"/>
  <c r="Q349" i="40" s="1"/>
  <c r="U349" i="40" s="1"/>
  <c r="O420" i="40" a="1"/>
  <c r="O420" i="40" s="1"/>
  <c r="T420" i="40" s="1"/>
  <c r="O408" i="40" a="1"/>
  <c r="O408" i="40" s="1"/>
  <c r="T408" i="40" s="1"/>
  <c r="N325" i="40" a="1"/>
  <c r="N325" i="40" s="1"/>
  <c r="G21" i="33"/>
  <c r="N331" i="40" a="1"/>
  <c r="N331" i="40" s="1"/>
  <c r="Q47" i="40" a="1"/>
  <c r="Q47" i="40" s="1"/>
  <c r="U47" i="40" s="1"/>
  <c r="Q48" i="40" a="1"/>
  <c r="Q48" i="40" s="1"/>
  <c r="U48" i="40" s="1"/>
  <c r="Q369" i="40" a="1"/>
  <c r="Q369" i="40" s="1"/>
  <c r="U369" i="40" s="1"/>
  <c r="O416" i="40" a="1"/>
  <c r="O416" i="40" s="1"/>
  <c r="T416" i="40" s="1"/>
  <c r="N328" i="40" a="1"/>
  <c r="N328" i="40" s="1"/>
  <c r="N334" i="40" a="1"/>
  <c r="N334" i="40" s="1"/>
  <c r="N476" i="40" a="1"/>
  <c r="N476" i="40" s="1"/>
  <c r="N458" i="40" a="1"/>
  <c r="N458" i="40" s="1"/>
  <c r="N327" i="40" a="1"/>
  <c r="N327" i="40" s="1"/>
  <c r="N462" i="40" a="1"/>
  <c r="N462" i="40" s="1"/>
  <c r="S21" i="8"/>
  <c r="Q40" i="40" a="1"/>
  <c r="Q40" i="40" s="1"/>
  <c r="U40" i="40" s="1"/>
  <c r="Q377" i="40" a="1"/>
  <c r="Q377" i="40" s="1"/>
  <c r="U377" i="40" s="1"/>
  <c r="N330" i="40" a="1"/>
  <c r="N330" i="40" s="1"/>
  <c r="N472" i="40" a="1"/>
  <c r="N472" i="40" s="1"/>
  <c r="N460" i="40" a="1"/>
  <c r="N460" i="40" s="1"/>
  <c r="Q42" i="40" a="1"/>
  <c r="Q42" i="40" s="1"/>
  <c r="U42" i="40" s="1"/>
  <c r="Q45" i="40" a="1"/>
  <c r="Q45" i="40" s="1"/>
  <c r="U45" i="40" s="1"/>
  <c r="O549" i="40" a="1"/>
  <c r="O549" i="40" s="1"/>
  <c r="T549" i="40" s="1"/>
  <c r="Q361" i="40" a="1"/>
  <c r="Q361" i="40" s="1"/>
  <c r="U361" i="40" s="1"/>
  <c r="O384" i="40" a="1"/>
  <c r="O384" i="40" s="1"/>
  <c r="T384" i="40" s="1"/>
  <c r="N332" i="40" a="1"/>
  <c r="N332" i="40" s="1"/>
  <c r="N470" i="40" a="1"/>
  <c r="N470" i="40" s="1"/>
  <c r="O540" i="40" a="1"/>
  <c r="O540" i="40" s="1"/>
  <c r="T540" i="40" s="1"/>
  <c r="O552" i="40" a="1"/>
  <c r="O552" i="40" s="1"/>
  <c r="T552" i="40" s="1"/>
  <c r="Q373" i="40" a="1"/>
  <c r="Q373" i="40" s="1"/>
  <c r="U373" i="40" s="1"/>
  <c r="N333" i="40" a="1"/>
  <c r="N333" i="40" s="1"/>
  <c r="N468" i="40" a="1"/>
  <c r="N468" i="40" s="1"/>
  <c r="Q532" i="40" a="1"/>
  <c r="Q532" i="40" s="1"/>
  <c r="U532" i="40" s="1"/>
  <c r="Q535" i="40" a="1"/>
  <c r="Q535" i="40" s="1"/>
  <c r="U535" i="40" s="1"/>
  <c r="L31" i="8"/>
  <c r="Q526" i="40" a="1"/>
  <c r="Q526" i="40" s="1"/>
  <c r="U526" i="40" s="1"/>
  <c r="Q550" i="40" a="1"/>
  <c r="Q550" i="40" s="1"/>
  <c r="U550" i="40" s="1"/>
  <c r="Q541" i="40" a="1"/>
  <c r="Q541" i="40" s="1"/>
  <c r="U541" i="40" s="1"/>
  <c r="Q547" i="40" a="1"/>
  <c r="Q547" i="40" s="1"/>
  <c r="U547" i="40" s="1"/>
  <c r="Q544" i="40" a="1"/>
  <c r="Q544" i="40" s="1"/>
  <c r="U544" i="40" s="1"/>
  <c r="Q529" i="40" a="1"/>
  <c r="Q529" i="40" s="1"/>
  <c r="U529" i="40" s="1"/>
  <c r="Q553" i="40" a="1"/>
  <c r="Q553" i="40" s="1"/>
  <c r="U553" i="40" s="1"/>
  <c r="O412" i="40" a="1"/>
  <c r="O412" i="40" s="1"/>
  <c r="T412" i="40" s="1"/>
  <c r="O113" i="40" a="1"/>
  <c r="O113" i="40" s="1"/>
  <c r="T113" i="40" s="1"/>
  <c r="L19" i="8"/>
  <c r="R9" i="31" s="1"/>
  <c r="O128" i="40" a="1"/>
  <c r="O128" i="40" s="1"/>
  <c r="T128" i="40" s="1"/>
  <c r="O131" i="40" a="1"/>
  <c r="O131" i="40" s="1"/>
  <c r="T131" i="40" s="1"/>
  <c r="O396" i="40" a="1"/>
  <c r="O396" i="40" s="1"/>
  <c r="T396" i="40" s="1"/>
  <c r="O110" i="40" a="1"/>
  <c r="O110" i="40" s="1"/>
  <c r="T110" i="40" s="1"/>
  <c r="O404" i="40" a="1"/>
  <c r="O404" i="40" s="1"/>
  <c r="T404" i="40" s="1"/>
  <c r="O400" i="40" a="1"/>
  <c r="O400" i="40" s="1"/>
  <c r="T400" i="40" s="1"/>
  <c r="O134" i="40" a="1"/>
  <c r="O134" i="40" s="1"/>
  <c r="T134" i="40" s="1"/>
  <c r="O512" i="40" a="1"/>
  <c r="O512" i="40" s="1"/>
  <c r="T512" i="40" s="1"/>
  <c r="M50" i="8"/>
  <c r="Y50" i="8" s="1"/>
  <c r="R529" i="40" a="1"/>
  <c r="R529" i="40" s="1"/>
  <c r="V529" i="40" s="1"/>
  <c r="O514" i="40" a="1"/>
  <c r="O514" i="40" s="1"/>
  <c r="T514" i="40" s="1"/>
  <c r="O518" i="40" a="1"/>
  <c r="O518" i="40" s="1"/>
  <c r="T518" i="40" s="1"/>
  <c r="R535" i="40" a="1"/>
  <c r="R535" i="40" s="1"/>
  <c r="V535" i="40" s="1"/>
  <c r="R541" i="40" a="1"/>
  <c r="R541" i="40" s="1"/>
  <c r="V541" i="40" s="1"/>
  <c r="R544" i="40" a="1"/>
  <c r="R544" i="40" s="1"/>
  <c r="V544" i="40" s="1"/>
  <c r="O516" i="40" a="1"/>
  <c r="O516" i="40" s="1"/>
  <c r="T516" i="40" s="1"/>
  <c r="R526" i="40" a="1"/>
  <c r="R526" i="40" s="1"/>
  <c r="V526" i="40" s="1"/>
  <c r="R538" i="40" a="1"/>
  <c r="R538" i="40" s="1"/>
  <c r="V538" i="40" s="1"/>
  <c r="O502" i="40" a="1"/>
  <c r="O502" i="40" s="1"/>
  <c r="T502" i="40" s="1"/>
  <c r="R547" i="40" a="1"/>
  <c r="R547" i="40" s="1"/>
  <c r="V547" i="40" s="1"/>
  <c r="N246" i="40" a="1"/>
  <c r="N246" i="40" s="1"/>
  <c r="R553" i="40" a="1"/>
  <c r="R553" i="40" s="1"/>
  <c r="V553" i="40" s="1"/>
  <c r="O506" i="40" a="1"/>
  <c r="O506" i="40" s="1"/>
  <c r="T506" i="40" s="1"/>
  <c r="O520" i="40" a="1"/>
  <c r="O520" i="40" s="1"/>
  <c r="T520" i="40" s="1"/>
  <c r="Q32" i="8"/>
  <c r="R532" i="40" a="1"/>
  <c r="R532" i="40" s="1"/>
  <c r="V532" i="40" s="1"/>
  <c r="O508" i="40" a="1"/>
  <c r="O508" i="40" s="1"/>
  <c r="T508" i="40" s="1"/>
  <c r="R550" i="40" a="1"/>
  <c r="R550" i="40" s="1"/>
  <c r="V550" i="40" s="1"/>
  <c r="N241" i="40" a="1"/>
  <c r="N241" i="40" s="1"/>
  <c r="L55" i="8"/>
  <c r="O551" i="40" a="1"/>
  <c r="O551" i="40" s="1"/>
  <c r="T551" i="40" s="1"/>
  <c r="O345" i="40" a="1"/>
  <c r="O345" i="40" s="1"/>
  <c r="T345" i="40" s="1"/>
  <c r="O359" i="40" a="1"/>
  <c r="O359" i="40" s="1"/>
  <c r="T359" i="40" s="1"/>
  <c r="O482" i="40" a="1"/>
  <c r="O482" i="40" s="1"/>
  <c r="T482" i="40" s="1"/>
  <c r="O488" i="40" a="1"/>
  <c r="O488" i="40" s="1"/>
  <c r="T488" i="40" s="1"/>
  <c r="O365" i="40" a="1"/>
  <c r="O365" i="40" s="1"/>
  <c r="T365" i="40" s="1"/>
  <c r="O355" i="40" a="1"/>
  <c r="O355" i="40" s="1"/>
  <c r="T355" i="40" s="1"/>
  <c r="N243" i="40" a="1"/>
  <c r="N243" i="40" s="1"/>
  <c r="O492" i="40" a="1"/>
  <c r="O492" i="40" s="1"/>
  <c r="T492" i="40" s="1"/>
  <c r="O498" i="40" a="1"/>
  <c r="O498" i="40" s="1"/>
  <c r="T498" i="40" s="1"/>
  <c r="O361" i="40" a="1"/>
  <c r="O361" i="40" s="1"/>
  <c r="T361" i="40" s="1"/>
  <c r="O373" i="40" a="1"/>
  <c r="O373" i="40" s="1"/>
  <c r="T373" i="40" s="1"/>
  <c r="O343" i="40" a="1"/>
  <c r="O343" i="40" s="1"/>
  <c r="T343" i="40" s="1"/>
  <c r="L8" i="8"/>
  <c r="M54" i="8"/>
  <c r="Q366" i="40" a="1"/>
  <c r="Q366" i="40" s="1"/>
  <c r="U366" i="40" s="1"/>
  <c r="O341" i="40" a="1"/>
  <c r="O341" i="40" s="1"/>
  <c r="T341" i="40" s="1"/>
  <c r="Q350" i="40" a="1"/>
  <c r="Q350" i="40" s="1"/>
  <c r="U350" i="40" s="1"/>
  <c r="O349" i="40" a="1"/>
  <c r="O349" i="40" s="1"/>
  <c r="T349" i="40" s="1"/>
  <c r="O339" i="40" a="1"/>
  <c r="O339" i="40" s="1"/>
  <c r="T339" i="40" s="1"/>
  <c r="O351" i="40" a="1"/>
  <c r="O351" i="40" s="1"/>
  <c r="T351" i="40" s="1"/>
  <c r="O363" i="40" a="1"/>
  <c r="O363" i="40" s="1"/>
  <c r="T363" i="40" s="1"/>
  <c r="N245" i="40" a="1"/>
  <c r="N245" i="40" s="1"/>
  <c r="N242" i="40" a="1"/>
  <c r="N242" i="40" s="1"/>
  <c r="O375" i="40" a="1"/>
  <c r="O375" i="40" s="1"/>
  <c r="T375" i="40" s="1"/>
  <c r="N238" i="40" a="1"/>
  <c r="N238" i="40" s="1"/>
  <c r="G14" i="33"/>
  <c r="H15" i="44" s="1"/>
  <c r="N244" i="40" a="1"/>
  <c r="N244" i="40" s="1"/>
  <c r="N240" i="40" a="1"/>
  <c r="N240" i="40" s="1"/>
  <c r="O371" i="40" a="1"/>
  <c r="O371" i="40" s="1"/>
  <c r="T371" i="40" s="1"/>
  <c r="N239" i="40" a="1"/>
  <c r="N239" i="40" s="1"/>
  <c r="O546" i="40" a="1"/>
  <c r="O546" i="40" s="1"/>
  <c r="T546" i="40" s="1"/>
  <c r="Q374" i="40" a="1"/>
  <c r="Q374" i="40" s="1"/>
  <c r="U374" i="40" s="1"/>
  <c r="Q378" i="40" a="1"/>
  <c r="Q378" i="40" s="1"/>
  <c r="U378" i="40" s="1"/>
  <c r="H31" i="33"/>
  <c r="E9" i="31" s="1"/>
  <c r="O537" i="40" a="1"/>
  <c r="O537" i="40" s="1"/>
  <c r="T537" i="40" s="1"/>
  <c r="Q342" i="40" a="1"/>
  <c r="Q342" i="40" s="1"/>
  <c r="U342" i="40" s="1"/>
  <c r="Q346" i="40" a="1"/>
  <c r="Q346" i="40" s="1"/>
  <c r="U346" i="40" s="1"/>
  <c r="M17" i="8"/>
  <c r="Y17" i="8" s="1"/>
  <c r="Q354" i="40" a="1"/>
  <c r="Q354" i="40" s="1"/>
  <c r="U354" i="40" s="1"/>
  <c r="Q362" i="40" a="1"/>
  <c r="Q362" i="40" s="1"/>
  <c r="U362" i="40" s="1"/>
  <c r="Q370" i="40" a="1"/>
  <c r="Q370" i="40" s="1"/>
  <c r="U370" i="40" s="1"/>
  <c r="Q358" i="40" a="1"/>
  <c r="Q358" i="40" s="1"/>
  <c r="U358" i="40" s="1"/>
  <c r="M396" i="40" a="1"/>
  <c r="M396" i="40" s="1"/>
  <c r="S396" i="40" s="1"/>
  <c r="M420" i="40" a="1"/>
  <c r="M420" i="40" s="1"/>
  <c r="S420" i="40" s="1"/>
  <c r="M404" i="40" a="1"/>
  <c r="M404" i="40" s="1"/>
  <c r="S404" i="40" s="1"/>
  <c r="M392" i="40" a="1"/>
  <c r="M392" i="40" s="1"/>
  <c r="S392" i="40" s="1"/>
  <c r="M388" i="40" a="1"/>
  <c r="M388" i="40" s="1"/>
  <c r="S388" i="40" s="1"/>
  <c r="M416" i="40" a="1"/>
  <c r="M416" i="40" s="1"/>
  <c r="S416" i="40" s="1"/>
  <c r="M384" i="40" a="1"/>
  <c r="M384" i="40" s="1"/>
  <c r="S384" i="40" s="1"/>
  <c r="M400" i="40" a="1"/>
  <c r="M400" i="40" s="1"/>
  <c r="S400" i="40" s="1"/>
  <c r="M412" i="40" a="1"/>
  <c r="M412" i="40" s="1"/>
  <c r="S412" i="40" s="1"/>
  <c r="M408" i="40" a="1"/>
  <c r="M408" i="40" s="1"/>
  <c r="S408" i="40" s="1"/>
  <c r="M9" i="40" a="1"/>
  <c r="M9" i="40" s="1"/>
  <c r="S9" i="40" s="1"/>
  <c r="M15" i="40" a="1"/>
  <c r="M15" i="40" s="1"/>
  <c r="M13" i="40" a="1"/>
  <c r="M13" i="40" s="1"/>
  <c r="S13" i="40" s="1"/>
  <c r="M6" i="40" a="1"/>
  <c r="M6" i="40" s="1"/>
  <c r="S6" i="40" s="1"/>
  <c r="M14" i="40" a="1"/>
  <c r="M14" i="40" s="1"/>
  <c r="S14" i="40" s="1"/>
  <c r="M12" i="40" a="1"/>
  <c r="M12" i="40" s="1"/>
  <c r="S12" i="40" s="1"/>
  <c r="M11" i="40" a="1"/>
  <c r="M11" i="40" s="1"/>
  <c r="S11" i="40" s="1"/>
  <c r="M10" i="40" a="1"/>
  <c r="M10" i="40" s="1"/>
  <c r="S10" i="40" s="1"/>
  <c r="M7" i="40" a="1"/>
  <c r="M7" i="40" s="1"/>
  <c r="S7" i="40" s="1"/>
  <c r="F26" i="33"/>
  <c r="C94" i="52" s="1"/>
  <c r="M8" i="40" a="1"/>
  <c r="M8" i="40" s="1"/>
  <c r="S8" i="40" s="1"/>
  <c r="Q191" i="40" a="1"/>
  <c r="Q191" i="40" s="1"/>
  <c r="U191" i="40" s="1"/>
  <c r="Q183" i="40" a="1"/>
  <c r="Q183" i="40" s="1"/>
  <c r="U183" i="40" s="1"/>
  <c r="Q186" i="40" a="1"/>
  <c r="Q186" i="40" s="1"/>
  <c r="U186" i="40" s="1"/>
  <c r="Q184" i="40" a="1"/>
  <c r="Q184" i="40" s="1"/>
  <c r="U184" i="40" s="1"/>
  <c r="Q182" i="40" a="1"/>
  <c r="Q182" i="40" s="1"/>
  <c r="U182" i="40" s="1"/>
  <c r="Q185" i="40" a="1"/>
  <c r="Q185" i="40" s="1"/>
  <c r="U185" i="40" s="1"/>
  <c r="Q189" i="40" a="1"/>
  <c r="Q189" i="40" s="1"/>
  <c r="U189" i="40" s="1"/>
  <c r="Q190" i="40" a="1"/>
  <c r="Q190" i="40" s="1"/>
  <c r="U190" i="40" s="1"/>
  <c r="Q187" i="40" a="1"/>
  <c r="Q187" i="40" s="1"/>
  <c r="U187" i="40" s="1"/>
  <c r="Q188" i="40" a="1"/>
  <c r="Q188" i="40" s="1"/>
  <c r="U188" i="40" s="1"/>
  <c r="H30" i="33"/>
  <c r="O505" i="40" a="1"/>
  <c r="O505" i="40" s="1"/>
  <c r="T505" i="40" s="1"/>
  <c r="O509" i="40" a="1"/>
  <c r="O509" i="40" s="1"/>
  <c r="T509" i="40" s="1"/>
  <c r="O513" i="40" a="1"/>
  <c r="O513" i="40" s="1"/>
  <c r="T513" i="40" s="1"/>
  <c r="O521" i="40" a="1"/>
  <c r="O521" i="40" s="1"/>
  <c r="T521" i="40" s="1"/>
  <c r="O503" i="40" a="1"/>
  <c r="O503" i="40" s="1"/>
  <c r="T503" i="40" s="1"/>
  <c r="O511" i="40" a="1"/>
  <c r="O511" i="40" s="1"/>
  <c r="T511" i="40" s="1"/>
  <c r="O517" i="40" a="1"/>
  <c r="O517" i="40" s="1"/>
  <c r="T517" i="40" s="1"/>
  <c r="O515" i="40" a="1"/>
  <c r="O515" i="40" s="1"/>
  <c r="T515" i="40" s="1"/>
  <c r="O507" i="40" a="1"/>
  <c r="O507" i="40" s="1"/>
  <c r="T507" i="40" s="1"/>
  <c r="O519" i="40" a="1"/>
  <c r="O519" i="40" s="1"/>
  <c r="T519" i="40" s="1"/>
  <c r="I13" i="33"/>
  <c r="O411" i="40" a="1"/>
  <c r="O411" i="40" s="1"/>
  <c r="T411" i="40" s="1"/>
  <c r="O415" i="40" a="1"/>
  <c r="O415" i="40" s="1"/>
  <c r="T415" i="40" s="1"/>
  <c r="O395" i="40" a="1"/>
  <c r="O395" i="40" s="1"/>
  <c r="T395" i="40" s="1"/>
  <c r="O383" i="40" a="1"/>
  <c r="O383" i="40" s="1"/>
  <c r="T383" i="40" s="1"/>
  <c r="O407" i="40" a="1"/>
  <c r="O407" i="40" s="1"/>
  <c r="T407" i="40" s="1"/>
  <c r="O387" i="40" a="1"/>
  <c r="O387" i="40" s="1"/>
  <c r="T387" i="40" s="1"/>
  <c r="O419" i="40" a="1"/>
  <c r="O419" i="40" s="1"/>
  <c r="T419" i="40" s="1"/>
  <c r="O391" i="40" a="1"/>
  <c r="O391" i="40" s="1"/>
  <c r="T391" i="40" s="1"/>
  <c r="O403" i="40" a="1"/>
  <c r="O403" i="40" s="1"/>
  <c r="T403" i="40" s="1"/>
  <c r="O399" i="40" a="1"/>
  <c r="O399" i="40" s="1"/>
  <c r="T399" i="40" s="1"/>
  <c r="H23" i="33"/>
  <c r="R444" i="40" a="1"/>
  <c r="R444" i="40" s="1"/>
  <c r="V444" i="40" s="1"/>
  <c r="R439" i="40" a="1"/>
  <c r="R439" i="40" s="1"/>
  <c r="V439" i="40" s="1"/>
  <c r="R438" i="40" a="1"/>
  <c r="R438" i="40" s="1"/>
  <c r="V438" i="40" s="1"/>
  <c r="R442" i="40" a="1"/>
  <c r="R442" i="40" s="1"/>
  <c r="V442" i="40" s="1"/>
  <c r="R436" i="40" a="1"/>
  <c r="R436" i="40" s="1"/>
  <c r="V436" i="40" s="1"/>
  <c r="R435" i="40" a="1"/>
  <c r="R435" i="40" s="1"/>
  <c r="V435" i="40" s="1"/>
  <c r="R437" i="40" a="1"/>
  <c r="R437" i="40" s="1"/>
  <c r="V437" i="40" s="1"/>
  <c r="R443" i="40" a="1"/>
  <c r="R443" i="40" s="1"/>
  <c r="V443" i="40" s="1"/>
  <c r="R441" i="40" a="1"/>
  <c r="R441" i="40" s="1"/>
  <c r="V441" i="40" s="1"/>
  <c r="R440" i="40" a="1"/>
  <c r="R440" i="40" s="1"/>
  <c r="V440" i="40" s="1"/>
  <c r="L12" i="8"/>
  <c r="M12" i="8"/>
  <c r="Y12" i="8" s="1"/>
  <c r="Q639" i="40" a="1"/>
  <c r="Q639" i="40" s="1"/>
  <c r="U639" i="40" s="1"/>
  <c r="Q635" i="40" a="1"/>
  <c r="Q635" i="40" s="1"/>
  <c r="U635" i="40" s="1"/>
  <c r="Q640" i="40" a="1"/>
  <c r="Q640" i="40" s="1"/>
  <c r="U640" i="40" s="1"/>
  <c r="Q634" i="40" a="1"/>
  <c r="Q634" i="40" s="1"/>
  <c r="U634" i="40" s="1"/>
  <c r="Q642" i="40" a="1"/>
  <c r="Q642" i="40" s="1"/>
  <c r="U642" i="40" s="1"/>
  <c r="Q636" i="40" a="1"/>
  <c r="Q636" i="40" s="1"/>
  <c r="U636" i="40" s="1"/>
  <c r="Q641" i="40" a="1"/>
  <c r="Q641" i="40" s="1"/>
  <c r="U641" i="40" s="1"/>
  <c r="Q638" i="40" a="1"/>
  <c r="Q638" i="40" s="1"/>
  <c r="U638" i="40" s="1"/>
  <c r="Q637" i="40" a="1"/>
  <c r="Q637" i="40" s="1"/>
  <c r="U637" i="40" s="1"/>
  <c r="Q633" i="40" a="1"/>
  <c r="Q633" i="40" s="1"/>
  <c r="U633" i="40" s="1"/>
  <c r="N574" i="40" a="1"/>
  <c r="N574" i="40" s="1"/>
  <c r="N572" i="40" a="1"/>
  <c r="N572" i="40" s="1"/>
  <c r="N562" i="40" a="1"/>
  <c r="N562" i="40" s="1"/>
  <c r="N566" i="40" a="1"/>
  <c r="N566" i="40" s="1"/>
  <c r="N576" i="40" a="1"/>
  <c r="N576" i="40" s="1"/>
  <c r="N568" i="40" a="1"/>
  <c r="N568" i="40" s="1"/>
  <c r="N570" i="40" a="1"/>
  <c r="N570" i="40" s="1"/>
  <c r="N564" i="40" a="1"/>
  <c r="N564" i="40" s="1"/>
  <c r="N558" i="40" a="1"/>
  <c r="N558" i="40" s="1"/>
  <c r="N560" i="40" a="1"/>
  <c r="N560" i="40" s="1"/>
  <c r="M441" i="40" a="1"/>
  <c r="M441" i="40" s="1"/>
  <c r="S441" i="40" s="1"/>
  <c r="M437" i="40" a="1"/>
  <c r="M437" i="40" s="1"/>
  <c r="S437" i="40" s="1"/>
  <c r="M439" i="40" a="1"/>
  <c r="M439" i="40" s="1"/>
  <c r="S439" i="40" s="1"/>
  <c r="M438" i="40" a="1"/>
  <c r="M438" i="40" s="1"/>
  <c r="S438" i="40" s="1"/>
  <c r="M436" i="40" a="1"/>
  <c r="M436" i="40" s="1"/>
  <c r="S436" i="40" s="1"/>
  <c r="M440" i="40" a="1"/>
  <c r="M440" i="40" s="1"/>
  <c r="S440" i="40" s="1"/>
  <c r="M442" i="40" a="1"/>
  <c r="M442" i="40" s="1"/>
  <c r="S442" i="40" s="1"/>
  <c r="M435" i="40" a="1"/>
  <c r="M435" i="40" s="1"/>
  <c r="S435" i="40" s="1"/>
  <c r="M443" i="40" a="1"/>
  <c r="M443" i="40" s="1"/>
  <c r="S443" i="40" s="1"/>
  <c r="M444" i="40" a="1"/>
  <c r="M444" i="40" s="1"/>
  <c r="S444" i="40" s="1"/>
  <c r="F25" i="33"/>
  <c r="C90" i="52" s="1"/>
  <c r="L24" i="8"/>
  <c r="M24" i="8"/>
  <c r="Q583" i="40" a="1"/>
  <c r="Q583" i="40" s="1"/>
  <c r="U583" i="40" s="1"/>
  <c r="Q578" i="40" a="1"/>
  <c r="Q578" i="40" s="1"/>
  <c r="U578" i="40" s="1"/>
  <c r="Q580" i="40" a="1"/>
  <c r="Q580" i="40" s="1"/>
  <c r="U580" i="40" s="1"/>
  <c r="Q581" i="40" a="1"/>
  <c r="Q581" i="40" s="1"/>
  <c r="U581" i="40" s="1"/>
  <c r="Q585" i="40" a="1"/>
  <c r="Q585" i="40" s="1"/>
  <c r="U585" i="40" s="1"/>
  <c r="Q584" i="40" a="1"/>
  <c r="Q584" i="40" s="1"/>
  <c r="U584" i="40" s="1"/>
  <c r="Q582" i="40" a="1"/>
  <c r="Q582" i="40" s="1"/>
  <c r="U582" i="40" s="1"/>
  <c r="Q587" i="40" a="1"/>
  <c r="Q587" i="40" s="1"/>
  <c r="U587" i="40" s="1"/>
  <c r="Q586" i="40" a="1"/>
  <c r="Q586" i="40" s="1"/>
  <c r="U586" i="40" s="1"/>
  <c r="Q579" i="40" a="1"/>
  <c r="Q579" i="40" s="1"/>
  <c r="U579" i="40" s="1"/>
  <c r="Q134" i="40" a="1"/>
  <c r="Q134" i="40" s="1"/>
  <c r="U134" i="40" s="1"/>
  <c r="Q110" i="40" a="1"/>
  <c r="Q110" i="40" s="1"/>
  <c r="U110" i="40" s="1"/>
  <c r="Q113" i="40" a="1"/>
  <c r="Q113" i="40" s="1"/>
  <c r="U113" i="40" s="1"/>
  <c r="Q122" i="40" a="1"/>
  <c r="Q122" i="40" s="1"/>
  <c r="U122" i="40" s="1"/>
  <c r="Q128" i="40" a="1"/>
  <c r="Q128" i="40" s="1"/>
  <c r="U128" i="40" s="1"/>
  <c r="Q131" i="40" a="1"/>
  <c r="Q131" i="40" s="1"/>
  <c r="U131" i="40" s="1"/>
  <c r="Q119" i="40" a="1"/>
  <c r="Q119" i="40" s="1"/>
  <c r="U119" i="40" s="1"/>
  <c r="Q116" i="40" a="1"/>
  <c r="Q116" i="40" s="1"/>
  <c r="U116" i="40" s="1"/>
  <c r="Q125" i="40" a="1"/>
  <c r="Q125" i="40" s="1"/>
  <c r="U125" i="40" s="1"/>
  <c r="Q107" i="40" a="1"/>
  <c r="Q107" i="40" s="1"/>
  <c r="U107" i="40" s="1"/>
  <c r="R262" i="40" a="1"/>
  <c r="R262" i="40" s="1"/>
  <c r="V262" i="40" s="1"/>
  <c r="R265" i="40" a="1"/>
  <c r="R265" i="40" s="1"/>
  <c r="V265" i="40" s="1"/>
  <c r="R260" i="40" a="1"/>
  <c r="R260" i="40" s="1"/>
  <c r="V260" i="40" s="1"/>
  <c r="R266" i="40" a="1"/>
  <c r="R266" i="40" s="1"/>
  <c r="V266" i="40" s="1"/>
  <c r="R259" i="40" a="1"/>
  <c r="R259" i="40" s="1"/>
  <c r="V259" i="40" s="1"/>
  <c r="R263" i="40" a="1"/>
  <c r="R263" i="40" s="1"/>
  <c r="V263" i="40" s="1"/>
  <c r="R268" i="40" a="1"/>
  <c r="R268" i="40" s="1"/>
  <c r="V268" i="40" s="1"/>
  <c r="R264" i="40" a="1"/>
  <c r="R264" i="40" s="1"/>
  <c r="V264" i="40" s="1"/>
  <c r="R267" i="40" a="1"/>
  <c r="R267" i="40" s="1"/>
  <c r="V267" i="40" s="1"/>
  <c r="R261" i="40" a="1"/>
  <c r="R261" i="40" s="1"/>
  <c r="V261" i="40" s="1"/>
  <c r="R573" i="40" a="1"/>
  <c r="R573" i="40" s="1"/>
  <c r="V573" i="40" s="1"/>
  <c r="R563" i="40" a="1"/>
  <c r="R563" i="40" s="1"/>
  <c r="V563" i="40" s="1"/>
  <c r="R557" i="40" a="1"/>
  <c r="R557" i="40" s="1"/>
  <c r="V557" i="40" s="1"/>
  <c r="R559" i="40" a="1"/>
  <c r="R559" i="40" s="1"/>
  <c r="V559" i="40" s="1"/>
  <c r="R571" i="40" a="1"/>
  <c r="R571" i="40" s="1"/>
  <c r="V571" i="40" s="1"/>
  <c r="R561" i="40" a="1"/>
  <c r="R561" i="40" s="1"/>
  <c r="V561" i="40" s="1"/>
  <c r="R569" i="40" a="1"/>
  <c r="R569" i="40" s="1"/>
  <c r="V569" i="40" s="1"/>
  <c r="R565" i="40" a="1"/>
  <c r="R565" i="40" s="1"/>
  <c r="V565" i="40" s="1"/>
  <c r="R567" i="40" a="1"/>
  <c r="R567" i="40" s="1"/>
  <c r="V567" i="40" s="1"/>
  <c r="R575" i="40" a="1"/>
  <c r="R575" i="40" s="1"/>
  <c r="V575" i="40" s="1"/>
  <c r="N268" i="40" a="1"/>
  <c r="N268" i="40" s="1"/>
  <c r="N266" i="40" a="1"/>
  <c r="N266" i="40" s="1"/>
  <c r="N265" i="40" a="1"/>
  <c r="N265" i="40" s="1"/>
  <c r="N262" i="40" a="1"/>
  <c r="N262" i="40" s="1"/>
  <c r="N267" i="40" a="1"/>
  <c r="N267" i="40" s="1"/>
  <c r="N260" i="40" a="1"/>
  <c r="N260" i="40" s="1"/>
  <c r="N261" i="40" a="1"/>
  <c r="N261" i="40" s="1"/>
  <c r="N263" i="40" a="1"/>
  <c r="N263" i="40" s="1"/>
  <c r="N259" i="40" a="1"/>
  <c r="N259" i="40" s="1"/>
  <c r="N264" i="40" a="1"/>
  <c r="N264" i="40" s="1"/>
  <c r="G16" i="33"/>
  <c r="H14" i="44" s="1"/>
  <c r="N610" i="40" a="1"/>
  <c r="N610" i="40" s="1"/>
  <c r="N613" i="40" a="1"/>
  <c r="N613" i="40" s="1"/>
  <c r="N607" i="40" a="1"/>
  <c r="N607" i="40" s="1"/>
  <c r="N595" i="40" a="1"/>
  <c r="N595" i="40" s="1"/>
  <c r="N619" i="40" a="1"/>
  <c r="N619" i="40" s="1"/>
  <c r="N616" i="40" a="1"/>
  <c r="N616" i="40" s="1"/>
  <c r="N604" i="40" a="1"/>
  <c r="N604" i="40" s="1"/>
  <c r="N601" i="40" a="1"/>
  <c r="N601" i="40" s="1"/>
  <c r="N598" i="40" a="1"/>
  <c r="N598" i="40" s="1"/>
  <c r="N592" i="40" a="1"/>
  <c r="N592" i="40" s="1"/>
  <c r="Q300" i="40" a="1"/>
  <c r="Q300" i="40" s="1"/>
  <c r="U300" i="40" s="1"/>
  <c r="Q298" i="40" a="1"/>
  <c r="Q298" i="40" s="1"/>
  <c r="U298" i="40" s="1"/>
  <c r="Q299" i="40" a="1"/>
  <c r="Q299" i="40" s="1"/>
  <c r="U299" i="40" s="1"/>
  <c r="Q296" i="40" a="1"/>
  <c r="Q296" i="40" s="1"/>
  <c r="U296" i="40" s="1"/>
  <c r="Q294" i="40" a="1"/>
  <c r="Q294" i="40" s="1"/>
  <c r="U294" i="40" s="1"/>
  <c r="Q297" i="40" a="1"/>
  <c r="Q297" i="40" s="1"/>
  <c r="U297" i="40" s="1"/>
  <c r="Q292" i="40" a="1"/>
  <c r="Q292" i="40" s="1"/>
  <c r="U292" i="40" s="1"/>
  <c r="Q295" i="40" a="1"/>
  <c r="Q295" i="40" s="1"/>
  <c r="U295" i="40" s="1"/>
  <c r="Q293" i="40" a="1"/>
  <c r="Q293" i="40" s="1"/>
  <c r="U293" i="40" s="1"/>
  <c r="Q301" i="40" a="1"/>
  <c r="Q301" i="40" s="1"/>
  <c r="U301" i="40" s="1"/>
  <c r="M213" i="40" a="1"/>
  <c r="M213" i="40" s="1"/>
  <c r="S213" i="40" s="1"/>
  <c r="M209" i="40" a="1"/>
  <c r="M209" i="40" s="1"/>
  <c r="S209" i="40" s="1"/>
  <c r="M203" i="40" a="1"/>
  <c r="M203" i="40" s="1"/>
  <c r="S203" i="40" s="1"/>
  <c r="M197" i="40" a="1"/>
  <c r="M197" i="40" s="1"/>
  <c r="S197" i="40" s="1"/>
  <c r="M201" i="40" a="1"/>
  <c r="M201" i="40" s="1"/>
  <c r="S201" i="40" s="1"/>
  <c r="M195" i="40" a="1"/>
  <c r="M195" i="40" s="1"/>
  <c r="S195" i="40" s="1"/>
  <c r="M199" i="40" a="1"/>
  <c r="M199" i="40" s="1"/>
  <c r="S199" i="40" s="1"/>
  <c r="M207" i="40" a="1"/>
  <c r="M207" i="40" s="1"/>
  <c r="S207" i="40" s="1"/>
  <c r="M211" i="40" a="1"/>
  <c r="M211" i="40" s="1"/>
  <c r="S211" i="40" s="1"/>
  <c r="M205" i="40" a="1"/>
  <c r="M205" i="40" s="1"/>
  <c r="S205" i="40" s="1"/>
  <c r="N116" i="40" a="1"/>
  <c r="N116" i="40" s="1"/>
  <c r="N107" i="40" a="1"/>
  <c r="N107" i="40" s="1"/>
  <c r="N125" i="40" a="1"/>
  <c r="N125" i="40" s="1"/>
  <c r="N128" i="40" a="1"/>
  <c r="N128" i="40" s="1"/>
  <c r="N131" i="40" a="1"/>
  <c r="N131" i="40" s="1"/>
  <c r="N110" i="40" a="1"/>
  <c r="N110" i="40" s="1"/>
  <c r="N122" i="40" a="1"/>
  <c r="N122" i="40" s="1"/>
  <c r="N119" i="40" a="1"/>
  <c r="N119" i="40" s="1"/>
  <c r="N134" i="40" a="1"/>
  <c r="N134" i="40" s="1"/>
  <c r="N113" i="40" a="1"/>
  <c r="N113" i="40" s="1"/>
  <c r="S11" i="8"/>
  <c r="O598" i="40" a="1"/>
  <c r="O598" i="40" s="1"/>
  <c r="T598" i="40" s="1"/>
  <c r="O595" i="40" a="1"/>
  <c r="O595" i="40" s="1"/>
  <c r="T595" i="40" s="1"/>
  <c r="O613" i="40" a="1"/>
  <c r="O613" i="40" s="1"/>
  <c r="T613" i="40" s="1"/>
  <c r="H34" i="33"/>
  <c r="I11" i="44" s="1"/>
  <c r="O604" i="40" a="1"/>
  <c r="O604" i="40" s="1"/>
  <c r="T604" i="40" s="1"/>
  <c r="O607" i="40" a="1"/>
  <c r="O607" i="40" s="1"/>
  <c r="T607" i="40" s="1"/>
  <c r="O610" i="40" a="1"/>
  <c r="O610" i="40" s="1"/>
  <c r="T610" i="40" s="1"/>
  <c r="O616" i="40" a="1"/>
  <c r="O616" i="40" s="1"/>
  <c r="T616" i="40" s="1"/>
  <c r="O601" i="40" a="1"/>
  <c r="O601" i="40" s="1"/>
  <c r="T601" i="40" s="1"/>
  <c r="O592" i="40" a="1"/>
  <c r="O592" i="40" s="1"/>
  <c r="T592" i="40" s="1"/>
  <c r="O619" i="40" a="1"/>
  <c r="O619" i="40" s="1"/>
  <c r="T619" i="40" s="1"/>
  <c r="M477" i="40" a="1"/>
  <c r="M477" i="40" s="1"/>
  <c r="S477" i="40" s="1"/>
  <c r="M473" i="40" a="1"/>
  <c r="M473" i="40" s="1"/>
  <c r="S473" i="40" s="1"/>
  <c r="M469" i="40" a="1"/>
  <c r="M469" i="40" s="1"/>
  <c r="S469" i="40" s="1"/>
  <c r="M461" i="40" a="1"/>
  <c r="M461" i="40" s="1"/>
  <c r="S461" i="40" s="1"/>
  <c r="M465" i="40" a="1"/>
  <c r="M465" i="40" s="1"/>
  <c r="S465" i="40" s="1"/>
  <c r="M475" i="40" a="1"/>
  <c r="M475" i="40" s="1"/>
  <c r="S475" i="40" s="1"/>
  <c r="M471" i="40" a="1"/>
  <c r="M471" i="40" s="1"/>
  <c r="S471" i="40" s="1"/>
  <c r="M463" i="40" a="1"/>
  <c r="M463" i="40" s="1"/>
  <c r="S463" i="40" s="1"/>
  <c r="M459" i="40" a="1"/>
  <c r="M459" i="40" s="1"/>
  <c r="S459" i="40" s="1"/>
  <c r="M467" i="40" a="1"/>
  <c r="M467" i="40" s="1"/>
  <c r="S467" i="40" s="1"/>
  <c r="L13" i="8"/>
  <c r="M13" i="8"/>
  <c r="Y13" i="8" s="1"/>
  <c r="M558" i="40" a="1"/>
  <c r="M558" i="40" s="1"/>
  <c r="S558" i="40" s="1"/>
  <c r="M572" i="40" a="1"/>
  <c r="M572" i="40" s="1"/>
  <c r="S572" i="40" s="1"/>
  <c r="M570" i="40" a="1"/>
  <c r="M570" i="40" s="1"/>
  <c r="S570" i="40" s="1"/>
  <c r="M566" i="40" a="1"/>
  <c r="M566" i="40" s="1"/>
  <c r="S566" i="40" s="1"/>
  <c r="M560" i="40" a="1"/>
  <c r="M560" i="40" s="1"/>
  <c r="S560" i="40" s="1"/>
  <c r="M568" i="40" a="1"/>
  <c r="M568" i="40" s="1"/>
  <c r="S568" i="40" s="1"/>
  <c r="M574" i="40" a="1"/>
  <c r="M574" i="40" s="1"/>
  <c r="S574" i="40" s="1"/>
  <c r="M576" i="40" a="1"/>
  <c r="M576" i="40" s="1"/>
  <c r="S576" i="40" s="1"/>
  <c r="M562" i="40" a="1"/>
  <c r="M562" i="40" s="1"/>
  <c r="S562" i="40" s="1"/>
  <c r="M564" i="40" a="1"/>
  <c r="M564" i="40" s="1"/>
  <c r="S564" i="40" s="1"/>
  <c r="N440" i="40" a="1"/>
  <c r="N440" i="40" s="1"/>
  <c r="N442" i="40" a="1"/>
  <c r="N442" i="40" s="1"/>
  <c r="N441" i="40" a="1"/>
  <c r="N441" i="40" s="1"/>
  <c r="N436" i="40" a="1"/>
  <c r="N436" i="40" s="1"/>
  <c r="N435" i="40" a="1"/>
  <c r="N435" i="40" s="1"/>
  <c r="N443" i="40" a="1"/>
  <c r="N443" i="40" s="1"/>
  <c r="N444" i="40" a="1"/>
  <c r="N444" i="40" s="1"/>
  <c r="N438" i="40" a="1"/>
  <c r="N438" i="40" s="1"/>
  <c r="N437" i="40" a="1"/>
  <c r="N437" i="40" s="1"/>
  <c r="G25" i="33"/>
  <c r="N439" i="40" a="1"/>
  <c r="N439" i="40" s="1"/>
  <c r="M377" i="40" a="1"/>
  <c r="M377" i="40" s="1"/>
  <c r="S377" i="40" s="1"/>
  <c r="M373" i="40" a="1"/>
  <c r="M373" i="40" s="1"/>
  <c r="S373" i="40" s="1"/>
  <c r="M361" i="40" a="1"/>
  <c r="M361" i="40" s="1"/>
  <c r="S361" i="40" s="1"/>
  <c r="M357" i="40" a="1"/>
  <c r="M357" i="40" s="1"/>
  <c r="S357" i="40" s="1"/>
  <c r="M369" i="40" a="1"/>
  <c r="M369" i="40" s="1"/>
  <c r="S369" i="40" s="1"/>
  <c r="M345" i="40" a="1"/>
  <c r="M345" i="40" s="1"/>
  <c r="S345" i="40" s="1"/>
  <c r="M349" i="40" a="1"/>
  <c r="M349" i="40" s="1"/>
  <c r="S349" i="40" s="1"/>
  <c r="M365" i="40" a="1"/>
  <c r="M365" i="40" s="1"/>
  <c r="S365" i="40" s="1"/>
  <c r="M341" i="40" a="1"/>
  <c r="M341" i="40" s="1"/>
  <c r="S341" i="40" s="1"/>
  <c r="M353" i="40" a="1"/>
  <c r="M353" i="40" s="1"/>
  <c r="S353" i="40" s="1"/>
  <c r="M111" i="40" a="1"/>
  <c r="M111" i="40" s="1"/>
  <c r="S111" i="40" s="1"/>
  <c r="M117" i="40" a="1"/>
  <c r="M117" i="40" s="1"/>
  <c r="S117" i="40" s="1"/>
  <c r="M108" i="40" a="1"/>
  <c r="M108" i="40" s="1"/>
  <c r="S108" i="40" s="1"/>
  <c r="M114" i="40" a="1"/>
  <c r="M114" i="40" s="1"/>
  <c r="S114" i="40" s="1"/>
  <c r="M120" i="40" a="1"/>
  <c r="M120" i="40" s="1"/>
  <c r="S120" i="40" s="1"/>
  <c r="M126" i="40" a="1"/>
  <c r="M126" i="40" s="1"/>
  <c r="S126" i="40" s="1"/>
  <c r="M135" i="40" a="1"/>
  <c r="M135" i="40" s="1"/>
  <c r="S135" i="40" s="1"/>
  <c r="M132" i="40" a="1"/>
  <c r="M132" i="40" s="1"/>
  <c r="S132" i="40" s="1"/>
  <c r="M129" i="40" a="1"/>
  <c r="M129" i="40" s="1"/>
  <c r="S129" i="40" s="1"/>
  <c r="M123" i="40" a="1"/>
  <c r="M123" i="40" s="1"/>
  <c r="S123" i="40" s="1"/>
  <c r="M229" i="40" a="1"/>
  <c r="M229" i="40" s="1"/>
  <c r="S229" i="40" s="1"/>
  <c r="M234" i="40" a="1"/>
  <c r="M234" i="40" s="1"/>
  <c r="S234" i="40" s="1"/>
  <c r="M235" i="40" a="1"/>
  <c r="M235" i="40" s="1"/>
  <c r="S235" i="40" s="1"/>
  <c r="M231" i="40" a="1"/>
  <c r="M231" i="40" s="1"/>
  <c r="S231" i="40" s="1"/>
  <c r="M226" i="40" a="1"/>
  <c r="M226" i="40" s="1"/>
  <c r="S226" i="40" s="1"/>
  <c r="M232" i="40" a="1"/>
  <c r="M232" i="40" s="1"/>
  <c r="S232" i="40" s="1"/>
  <c r="M233" i="40" a="1"/>
  <c r="M233" i="40" s="1"/>
  <c r="S233" i="40" s="1"/>
  <c r="M230" i="40" a="1"/>
  <c r="M230" i="40" s="1"/>
  <c r="S230" i="40" s="1"/>
  <c r="M227" i="40" a="1"/>
  <c r="M227" i="40" s="1"/>
  <c r="S227" i="40" s="1"/>
  <c r="M228" i="40" a="1"/>
  <c r="M228" i="40" s="1"/>
  <c r="S228" i="40" s="1"/>
  <c r="F37" i="33"/>
  <c r="C95" i="52" s="1"/>
  <c r="M290" i="40" a="1"/>
  <c r="M290" i="40" s="1"/>
  <c r="S290" i="40" s="1"/>
  <c r="M286" i="40" a="1"/>
  <c r="M286" i="40" s="1"/>
  <c r="S286" i="40" s="1"/>
  <c r="M284" i="40" a="1"/>
  <c r="M284" i="40" s="1"/>
  <c r="S284" i="40" s="1"/>
  <c r="M287" i="40" a="1"/>
  <c r="M287" i="40" s="1"/>
  <c r="S287" i="40" s="1"/>
  <c r="M283" i="40" a="1"/>
  <c r="M283" i="40" s="1"/>
  <c r="S283" i="40" s="1"/>
  <c r="M281" i="40" a="1"/>
  <c r="M281" i="40" s="1"/>
  <c r="S281" i="40" s="1"/>
  <c r="M288" i="40" a="1"/>
  <c r="M288" i="40" s="1"/>
  <c r="S288" i="40" s="1"/>
  <c r="M282" i="40" a="1"/>
  <c r="M282" i="40" s="1"/>
  <c r="S282" i="40" s="1"/>
  <c r="M285" i="40" a="1"/>
  <c r="M285" i="40" s="1"/>
  <c r="S285" i="40" s="1"/>
  <c r="M289" i="40" a="1"/>
  <c r="M289" i="40" s="1"/>
  <c r="S289" i="40" s="1"/>
  <c r="Q563" i="40" a="1"/>
  <c r="Q563" i="40" s="1"/>
  <c r="U563" i="40" s="1"/>
  <c r="Q557" i="40" a="1"/>
  <c r="Q557" i="40" s="1"/>
  <c r="U557" i="40" s="1"/>
  <c r="Q575" i="40" a="1"/>
  <c r="Q575" i="40" s="1"/>
  <c r="U575" i="40" s="1"/>
  <c r="Q561" i="40" a="1"/>
  <c r="Q561" i="40" s="1"/>
  <c r="U561" i="40" s="1"/>
  <c r="Q559" i="40" a="1"/>
  <c r="Q559" i="40" s="1"/>
  <c r="U559" i="40" s="1"/>
  <c r="Q571" i="40" a="1"/>
  <c r="Q571" i="40" s="1"/>
  <c r="U571" i="40" s="1"/>
  <c r="Q569" i="40" a="1"/>
  <c r="Q569" i="40" s="1"/>
  <c r="U569" i="40" s="1"/>
  <c r="Q567" i="40" a="1"/>
  <c r="Q567" i="40" s="1"/>
  <c r="U567" i="40" s="1"/>
  <c r="Q573" i="40" a="1"/>
  <c r="Q573" i="40" s="1"/>
  <c r="U573" i="40" s="1"/>
  <c r="Q565" i="40" a="1"/>
  <c r="Q565" i="40" s="1"/>
  <c r="U565" i="40" s="1"/>
  <c r="J10" i="8"/>
  <c r="Q325" i="40" a="1"/>
  <c r="Q325" i="40" s="1"/>
  <c r="U325" i="40" s="1"/>
  <c r="Q329" i="40" a="1"/>
  <c r="Q329" i="40" s="1"/>
  <c r="U329" i="40" s="1"/>
  <c r="Q332" i="40" a="1"/>
  <c r="Q332" i="40" s="1"/>
  <c r="U332" i="40" s="1"/>
  <c r="Q334" i="40" a="1"/>
  <c r="Q334" i="40" s="1"/>
  <c r="U334" i="40" s="1"/>
  <c r="Q331" i="40" a="1"/>
  <c r="Q331" i="40" s="1"/>
  <c r="U331" i="40" s="1"/>
  <c r="Q328" i="40" a="1"/>
  <c r="Q328" i="40" s="1"/>
  <c r="U328" i="40" s="1"/>
  <c r="Q327" i="40" a="1"/>
  <c r="Q327" i="40" s="1"/>
  <c r="U327" i="40" s="1"/>
  <c r="Q326" i="40" a="1"/>
  <c r="Q326" i="40" s="1"/>
  <c r="U326" i="40" s="1"/>
  <c r="Q330" i="40" a="1"/>
  <c r="Q330" i="40" s="1"/>
  <c r="U330" i="40" s="1"/>
  <c r="Q333" i="40" a="1"/>
  <c r="Q333" i="40" s="1"/>
  <c r="U333" i="40" s="1"/>
  <c r="M39" i="8"/>
  <c r="Y39" i="8" s="1"/>
  <c r="L39" i="8"/>
  <c r="N292" i="40" a="1"/>
  <c r="N292" i="40" s="1"/>
  <c r="N296" i="40" a="1"/>
  <c r="N296" i="40" s="1"/>
  <c r="N295" i="40" a="1"/>
  <c r="N295" i="40" s="1"/>
  <c r="N301" i="40" a="1"/>
  <c r="N301" i="40" s="1"/>
  <c r="N297" i="40" a="1"/>
  <c r="N297" i="40" s="1"/>
  <c r="N298" i="40" a="1"/>
  <c r="N298" i="40" s="1"/>
  <c r="N299" i="40" a="1"/>
  <c r="N299" i="40" s="1"/>
  <c r="G18" i="33"/>
  <c r="N300" i="40" a="1"/>
  <c r="N300" i="40" s="1"/>
  <c r="N293" i="40" a="1"/>
  <c r="N293" i="40" s="1"/>
  <c r="N294" i="40" a="1"/>
  <c r="N294" i="40" s="1"/>
  <c r="Q311" i="40" a="1"/>
  <c r="Q311" i="40" s="1"/>
  <c r="U311" i="40" s="1"/>
  <c r="Q304" i="40" a="1"/>
  <c r="Q304" i="40" s="1"/>
  <c r="U304" i="40" s="1"/>
  <c r="Q312" i="40" a="1"/>
  <c r="Q312" i="40" s="1"/>
  <c r="U312" i="40" s="1"/>
  <c r="Q309" i="40" a="1"/>
  <c r="Q309" i="40" s="1"/>
  <c r="U309" i="40" s="1"/>
  <c r="Q303" i="40" a="1"/>
  <c r="Q303" i="40" s="1"/>
  <c r="U303" i="40" s="1"/>
  <c r="Q307" i="40" a="1"/>
  <c r="Q307" i="40" s="1"/>
  <c r="U307" i="40" s="1"/>
  <c r="Q310" i="40" a="1"/>
  <c r="Q310" i="40" s="1"/>
  <c r="U310" i="40" s="1"/>
  <c r="Q308" i="40" a="1"/>
  <c r="Q308" i="40" s="1"/>
  <c r="U308" i="40" s="1"/>
  <c r="Q305" i="40" a="1"/>
  <c r="Q305" i="40" s="1"/>
  <c r="U305" i="40" s="1"/>
  <c r="Q306" i="40" a="1"/>
  <c r="Q306" i="40" s="1"/>
  <c r="U306" i="40" s="1"/>
  <c r="R162" i="40" a="1"/>
  <c r="R162" i="40" s="1"/>
  <c r="V162" i="40" s="1"/>
  <c r="R170" i="40" a="1"/>
  <c r="R170" i="40" s="1"/>
  <c r="V170" i="40" s="1"/>
  <c r="R166" i="40" a="1"/>
  <c r="R166" i="40" s="1"/>
  <c r="V166" i="40" s="1"/>
  <c r="R174" i="40" a="1"/>
  <c r="R174" i="40" s="1"/>
  <c r="V174" i="40" s="1"/>
  <c r="R176" i="40" a="1"/>
  <c r="R176" i="40" s="1"/>
  <c r="V176" i="40" s="1"/>
  <c r="R172" i="40" a="1"/>
  <c r="R172" i="40" s="1"/>
  <c r="V172" i="40" s="1"/>
  <c r="R180" i="40" a="1"/>
  <c r="R180" i="40" s="1"/>
  <c r="V180" i="40" s="1"/>
  <c r="R178" i="40" a="1"/>
  <c r="R178" i="40" s="1"/>
  <c r="V178" i="40" s="1"/>
  <c r="R168" i="40" a="1"/>
  <c r="R168" i="40" s="1"/>
  <c r="V168" i="40" s="1"/>
  <c r="R164" i="40" a="1"/>
  <c r="R164" i="40" s="1"/>
  <c r="V164" i="40" s="1"/>
  <c r="Q251" i="40" a="1"/>
  <c r="Q251" i="40" s="1"/>
  <c r="U251" i="40" s="1"/>
  <c r="Q248" i="40" a="1"/>
  <c r="Q248" i="40" s="1"/>
  <c r="U248" i="40" s="1"/>
  <c r="Q250" i="40" a="1"/>
  <c r="Q250" i="40" s="1"/>
  <c r="U250" i="40" s="1"/>
  <c r="Q257" i="40" a="1"/>
  <c r="Q257" i="40" s="1"/>
  <c r="U257" i="40" s="1"/>
  <c r="Q255" i="40" a="1"/>
  <c r="Q255" i="40" s="1"/>
  <c r="U255" i="40" s="1"/>
  <c r="Q249" i="40" a="1"/>
  <c r="Q249" i="40" s="1"/>
  <c r="U249" i="40" s="1"/>
  <c r="Q252" i="40" a="1"/>
  <c r="Q252" i="40" s="1"/>
  <c r="U252" i="40" s="1"/>
  <c r="Q256" i="40" a="1"/>
  <c r="Q256" i="40" s="1"/>
  <c r="U256" i="40" s="1"/>
  <c r="Q254" i="40" a="1"/>
  <c r="Q254" i="40" s="1"/>
  <c r="U254" i="40" s="1"/>
  <c r="Q253" i="40" a="1"/>
  <c r="Q253" i="40" s="1"/>
  <c r="U253" i="40" s="1"/>
  <c r="R11" i="40" a="1"/>
  <c r="R11" i="40" s="1"/>
  <c r="V11" i="40" s="1"/>
  <c r="R6" i="40" a="1"/>
  <c r="R6" i="40" s="1"/>
  <c r="V6" i="40" s="1"/>
  <c r="R15" i="40" a="1"/>
  <c r="R15" i="40" s="1"/>
  <c r="V15" i="40" s="1"/>
  <c r="R7" i="40" a="1"/>
  <c r="R7" i="40" s="1"/>
  <c r="V7" i="40" s="1"/>
  <c r="R13" i="40" a="1"/>
  <c r="R13" i="40" s="1"/>
  <c r="V13" i="40" s="1"/>
  <c r="R12" i="40" a="1"/>
  <c r="R12" i="40" s="1"/>
  <c r="V12" i="40" s="1"/>
  <c r="R14" i="40" a="1"/>
  <c r="R14" i="40" s="1"/>
  <c r="V14" i="40" s="1"/>
  <c r="R9" i="40" a="1"/>
  <c r="R9" i="40" s="1"/>
  <c r="V9" i="40" s="1"/>
  <c r="R8" i="40" a="1"/>
  <c r="R8" i="40" s="1"/>
  <c r="V8" i="40" s="1"/>
  <c r="R10" i="40" a="1"/>
  <c r="R10" i="40" s="1"/>
  <c r="V10" i="40" s="1"/>
  <c r="M44" i="8"/>
  <c r="Y44" i="8" s="1"/>
  <c r="L44" i="8"/>
  <c r="N10" i="31" s="1"/>
  <c r="Q17" i="8"/>
  <c r="Q534" i="40" a="1"/>
  <c r="Q534" i="40" s="1"/>
  <c r="U534" i="40" s="1"/>
  <c r="Q537" i="40" a="1"/>
  <c r="Q537" i="40" s="1"/>
  <c r="U537" i="40" s="1"/>
  <c r="Q540" i="40" a="1"/>
  <c r="Q540" i="40" s="1"/>
  <c r="U540" i="40" s="1"/>
  <c r="Q549" i="40" a="1"/>
  <c r="Q549" i="40" s="1"/>
  <c r="U549" i="40" s="1"/>
  <c r="Q546" i="40" a="1"/>
  <c r="Q546" i="40" s="1"/>
  <c r="U546" i="40" s="1"/>
  <c r="Q531" i="40" a="1"/>
  <c r="Q531" i="40" s="1"/>
  <c r="U531" i="40" s="1"/>
  <c r="Q525" i="40" a="1"/>
  <c r="Q525" i="40" s="1"/>
  <c r="U525" i="40" s="1"/>
  <c r="Q543" i="40" a="1"/>
  <c r="Q543" i="40" s="1"/>
  <c r="U543" i="40" s="1"/>
  <c r="Q528" i="40" a="1"/>
  <c r="Q528" i="40" s="1"/>
  <c r="U528" i="40" s="1"/>
  <c r="Q552" i="40" a="1"/>
  <c r="Q552" i="40" s="1"/>
  <c r="U552" i="40" s="1"/>
  <c r="N471" i="40" a="1"/>
  <c r="N471" i="40" s="1"/>
  <c r="N463" i="40" a="1"/>
  <c r="N463" i="40" s="1"/>
  <c r="N459" i="40" a="1"/>
  <c r="N459" i="40" s="1"/>
  <c r="N477" i="40" a="1"/>
  <c r="N477" i="40" s="1"/>
  <c r="N473" i="40" a="1"/>
  <c r="N473" i="40" s="1"/>
  <c r="N467" i="40" a="1"/>
  <c r="N467" i="40" s="1"/>
  <c r="N469" i="40" a="1"/>
  <c r="N469" i="40" s="1"/>
  <c r="N461" i="40" a="1"/>
  <c r="N461" i="40" s="1"/>
  <c r="N475" i="40" a="1"/>
  <c r="N475" i="40" s="1"/>
  <c r="N465" i="40" a="1"/>
  <c r="N465" i="40" s="1"/>
  <c r="R543" i="40" a="1"/>
  <c r="R543" i="40" s="1"/>
  <c r="V543" i="40" s="1"/>
  <c r="R528" i="40" a="1"/>
  <c r="R528" i="40" s="1"/>
  <c r="V528" i="40" s="1"/>
  <c r="R552" i="40" a="1"/>
  <c r="R552" i="40" s="1"/>
  <c r="V552" i="40" s="1"/>
  <c r="R540" i="40" a="1"/>
  <c r="R540" i="40" s="1"/>
  <c r="V540" i="40" s="1"/>
  <c r="R549" i="40" a="1"/>
  <c r="R549" i="40" s="1"/>
  <c r="V549" i="40" s="1"/>
  <c r="R534" i="40" a="1"/>
  <c r="R534" i="40" s="1"/>
  <c r="V534" i="40" s="1"/>
  <c r="R546" i="40" a="1"/>
  <c r="R546" i="40" s="1"/>
  <c r="V546" i="40" s="1"/>
  <c r="R537" i="40" a="1"/>
  <c r="R537" i="40" s="1"/>
  <c r="V537" i="40" s="1"/>
  <c r="R525" i="40" a="1"/>
  <c r="R525" i="40" s="1"/>
  <c r="V525" i="40" s="1"/>
  <c r="R531" i="40" a="1"/>
  <c r="R531" i="40" s="1"/>
  <c r="V531" i="40" s="1"/>
  <c r="N307" i="40" a="1"/>
  <c r="N307" i="40" s="1"/>
  <c r="N310" i="40" a="1"/>
  <c r="N310" i="40" s="1"/>
  <c r="N309" i="40" a="1"/>
  <c r="N309" i="40" s="1"/>
  <c r="N304" i="40" a="1"/>
  <c r="N304" i="40" s="1"/>
  <c r="N303" i="40" a="1"/>
  <c r="N303" i="40" s="1"/>
  <c r="N312" i="40" a="1"/>
  <c r="N312" i="40" s="1"/>
  <c r="N311" i="40" a="1"/>
  <c r="N311" i="40" s="1"/>
  <c r="N305" i="40" a="1"/>
  <c r="N305" i="40" s="1"/>
  <c r="G19" i="33"/>
  <c r="N306" i="40" a="1"/>
  <c r="N306" i="40" s="1"/>
  <c r="N308" i="40" a="1"/>
  <c r="N308" i="40" s="1"/>
  <c r="O130" i="40" a="1"/>
  <c r="O130" i="40" s="1"/>
  <c r="T130" i="40" s="1"/>
  <c r="O118" i="40" a="1"/>
  <c r="O118" i="40" s="1"/>
  <c r="T118" i="40" s="1"/>
  <c r="O115" i="40" a="1"/>
  <c r="O115" i="40" s="1"/>
  <c r="T115" i="40" s="1"/>
  <c r="O124" i="40" a="1"/>
  <c r="O124" i="40" s="1"/>
  <c r="T124" i="40" s="1"/>
  <c r="O127" i="40" a="1"/>
  <c r="O127" i="40" s="1"/>
  <c r="T127" i="40" s="1"/>
  <c r="O133" i="40" a="1"/>
  <c r="O133" i="40" s="1"/>
  <c r="T133" i="40" s="1"/>
  <c r="O109" i="40" a="1"/>
  <c r="O109" i="40" s="1"/>
  <c r="T109" i="40" s="1"/>
  <c r="O136" i="40" a="1"/>
  <c r="O136" i="40" s="1"/>
  <c r="T136" i="40" s="1"/>
  <c r="O121" i="40" a="1"/>
  <c r="O121" i="40" s="1"/>
  <c r="T121" i="40" s="1"/>
  <c r="O112" i="40" a="1"/>
  <c r="O112" i="40" s="1"/>
  <c r="T112" i="40" s="1"/>
  <c r="N126" i="40" a="1"/>
  <c r="N126" i="40" s="1"/>
  <c r="N135" i="40" a="1"/>
  <c r="N135" i="40" s="1"/>
  <c r="N117" i="40" a="1"/>
  <c r="N117" i="40" s="1"/>
  <c r="N129" i="40" a="1"/>
  <c r="N129" i="40" s="1"/>
  <c r="N123" i="40" a="1"/>
  <c r="N123" i="40" s="1"/>
  <c r="N108" i="40" a="1"/>
  <c r="N108" i="40" s="1"/>
  <c r="N114" i="40" a="1"/>
  <c r="N114" i="40" s="1"/>
  <c r="N132" i="40" a="1"/>
  <c r="N132" i="40" s="1"/>
  <c r="N111" i="40" a="1"/>
  <c r="N111" i="40" s="1"/>
  <c r="N120" i="40" a="1"/>
  <c r="N120" i="40" s="1"/>
  <c r="N226" i="40" a="1"/>
  <c r="N226" i="40" s="1"/>
  <c r="N234" i="40" a="1"/>
  <c r="N234" i="40" s="1"/>
  <c r="N229" i="40" a="1"/>
  <c r="N229" i="40" s="1"/>
  <c r="N228" i="40" a="1"/>
  <c r="N228" i="40" s="1"/>
  <c r="N233" i="40" a="1"/>
  <c r="N233" i="40" s="1"/>
  <c r="N235" i="40" a="1"/>
  <c r="N235" i="40" s="1"/>
  <c r="N227" i="40" a="1"/>
  <c r="N227" i="40" s="1"/>
  <c r="N231" i="40" a="1"/>
  <c r="N231" i="40" s="1"/>
  <c r="N230" i="40" a="1"/>
  <c r="N230" i="40" s="1"/>
  <c r="N232" i="40" a="1"/>
  <c r="N232" i="40" s="1"/>
  <c r="G37" i="33"/>
  <c r="O493" i="40" a="1"/>
  <c r="O493" i="40" s="1"/>
  <c r="T493" i="40" s="1"/>
  <c r="O481" i="40" a="1"/>
  <c r="O481" i="40" s="1"/>
  <c r="T481" i="40" s="1"/>
  <c r="O495" i="40" a="1"/>
  <c r="O495" i="40" s="1"/>
  <c r="T495" i="40" s="1"/>
  <c r="O499" i="40" a="1"/>
  <c r="O499" i="40" s="1"/>
  <c r="T499" i="40" s="1"/>
  <c r="O483" i="40" a="1"/>
  <c r="O483" i="40" s="1"/>
  <c r="T483" i="40" s="1"/>
  <c r="O489" i="40" a="1"/>
  <c r="O489" i="40" s="1"/>
  <c r="T489" i="40" s="1"/>
  <c r="O491" i="40" a="1"/>
  <c r="O491" i="40" s="1"/>
  <c r="T491" i="40" s="1"/>
  <c r="H29" i="33"/>
  <c r="O485" i="40" a="1"/>
  <c r="O485" i="40" s="1"/>
  <c r="T485" i="40" s="1"/>
  <c r="O497" i="40" a="1"/>
  <c r="O497" i="40" s="1"/>
  <c r="T497" i="40" s="1"/>
  <c r="O487" i="40" a="1"/>
  <c r="O487" i="40" s="1"/>
  <c r="T487" i="40" s="1"/>
  <c r="N141" i="40" a="1"/>
  <c r="N141" i="40" s="1"/>
  <c r="N153" i="40" a="1"/>
  <c r="N153" i="40" s="1"/>
  <c r="N147" i="40" a="1"/>
  <c r="N147" i="40" s="1"/>
  <c r="N155" i="40" a="1"/>
  <c r="N155" i="40" s="1"/>
  <c r="N149" i="40" a="1"/>
  <c r="N149" i="40" s="1"/>
  <c r="N139" i="40" a="1"/>
  <c r="N139" i="40" s="1"/>
  <c r="N157" i="40" a="1"/>
  <c r="N157" i="40" s="1"/>
  <c r="N143" i="40" a="1"/>
  <c r="N143" i="40" s="1"/>
  <c r="N145" i="40" a="1"/>
  <c r="N145" i="40" s="1"/>
  <c r="N151" i="40" a="1"/>
  <c r="N151" i="40" s="1"/>
  <c r="G8" i="33"/>
  <c r="R34" i="40" a="1"/>
  <c r="R34" i="40" s="1"/>
  <c r="V34" i="40" s="1"/>
  <c r="R35" i="40" a="1"/>
  <c r="R35" i="40" s="1"/>
  <c r="V35" i="40" s="1"/>
  <c r="R30" i="40" a="1"/>
  <c r="R30" i="40" s="1"/>
  <c r="V30" i="40" s="1"/>
  <c r="R29" i="40" a="1"/>
  <c r="R29" i="40" s="1"/>
  <c r="V29" i="40" s="1"/>
  <c r="R31" i="40" a="1"/>
  <c r="R31" i="40" s="1"/>
  <c r="V31" i="40" s="1"/>
  <c r="R36" i="40" a="1"/>
  <c r="R36" i="40" s="1"/>
  <c r="V36" i="40" s="1"/>
  <c r="R33" i="40" a="1"/>
  <c r="R33" i="40" s="1"/>
  <c r="V33" i="40" s="1"/>
  <c r="R37" i="40" a="1"/>
  <c r="R37" i="40" s="1"/>
  <c r="V37" i="40" s="1"/>
  <c r="R32" i="40" a="1"/>
  <c r="R32" i="40" s="1"/>
  <c r="V32" i="40" s="1"/>
  <c r="R28" i="40" a="1"/>
  <c r="R28" i="40" s="1"/>
  <c r="V28" i="40" s="1"/>
  <c r="N285" i="40" a="1"/>
  <c r="N285" i="40" s="1"/>
  <c r="N288" i="40" a="1"/>
  <c r="N288" i="40" s="1"/>
  <c r="N281" i="40" a="1"/>
  <c r="N281" i="40" s="1"/>
  <c r="N283" i="40" a="1"/>
  <c r="N283" i="40" s="1"/>
  <c r="N290" i="40" a="1"/>
  <c r="N290" i="40" s="1"/>
  <c r="N282" i="40" a="1"/>
  <c r="N282" i="40" s="1"/>
  <c r="N289" i="40" a="1"/>
  <c r="N289" i="40" s="1"/>
  <c r="N284" i="40" a="1"/>
  <c r="N284" i="40" s="1"/>
  <c r="N286" i="40" a="1"/>
  <c r="N286" i="40" s="1"/>
  <c r="N287" i="40" a="1"/>
  <c r="N287" i="40" s="1"/>
  <c r="N10" i="8"/>
  <c r="Z10" i="8" s="1"/>
  <c r="Q34" i="8"/>
  <c r="M301" i="40" a="1"/>
  <c r="M301" i="40" s="1"/>
  <c r="S301" i="40" s="1"/>
  <c r="M293" i="40" a="1"/>
  <c r="M293" i="40" s="1"/>
  <c r="S293" i="40" s="1"/>
  <c r="M295" i="40" a="1"/>
  <c r="M295" i="40" s="1"/>
  <c r="S295" i="40" s="1"/>
  <c r="M299" i="40" a="1"/>
  <c r="M299" i="40" s="1"/>
  <c r="S299" i="40" s="1"/>
  <c r="M298" i="40" a="1"/>
  <c r="M298" i="40" s="1"/>
  <c r="S298" i="40" s="1"/>
  <c r="M300" i="40" a="1"/>
  <c r="M300" i="40" s="1"/>
  <c r="S300" i="40" s="1"/>
  <c r="M292" i="40" a="1"/>
  <c r="M292" i="40" s="1"/>
  <c r="S292" i="40" s="1"/>
  <c r="F18" i="33"/>
  <c r="C91" i="52" s="1"/>
  <c r="M294" i="40" a="1"/>
  <c r="M294" i="40" s="1"/>
  <c r="S294" i="40" s="1"/>
  <c r="M296" i="40" a="1"/>
  <c r="M296" i="40" s="1"/>
  <c r="S296" i="40" s="1"/>
  <c r="M297" i="40" a="1"/>
  <c r="M297" i="40" s="1"/>
  <c r="S297" i="40" s="1"/>
  <c r="O620" i="40" a="1"/>
  <c r="O620" i="40" s="1"/>
  <c r="T620" i="40" s="1"/>
  <c r="O611" i="40" a="1"/>
  <c r="O611" i="40" s="1"/>
  <c r="T611" i="40" s="1"/>
  <c r="O605" i="40" a="1"/>
  <c r="O605" i="40" s="1"/>
  <c r="T605" i="40" s="1"/>
  <c r="O602" i="40" a="1"/>
  <c r="O602" i="40" s="1"/>
  <c r="T602" i="40" s="1"/>
  <c r="O614" i="40" a="1"/>
  <c r="O614" i="40" s="1"/>
  <c r="T614" i="40" s="1"/>
  <c r="O593" i="40" a="1"/>
  <c r="O593" i="40" s="1"/>
  <c r="T593" i="40" s="1"/>
  <c r="O596" i="40" a="1"/>
  <c r="O596" i="40" s="1"/>
  <c r="T596" i="40" s="1"/>
  <c r="O617" i="40" a="1"/>
  <c r="O617" i="40" s="1"/>
  <c r="T617" i="40" s="1"/>
  <c r="O608" i="40" a="1"/>
  <c r="O608" i="40" s="1"/>
  <c r="T608" i="40" s="1"/>
  <c r="O599" i="40" a="1"/>
  <c r="O599" i="40" s="1"/>
  <c r="T599" i="40" s="1"/>
  <c r="M202" i="40" a="1"/>
  <c r="M202" i="40" s="1"/>
  <c r="S202" i="40" s="1"/>
  <c r="M212" i="40" a="1"/>
  <c r="M212" i="40" s="1"/>
  <c r="S212" i="40" s="1"/>
  <c r="M196" i="40" a="1"/>
  <c r="M196" i="40" s="1"/>
  <c r="S196" i="40" s="1"/>
  <c r="M200" i="40" a="1"/>
  <c r="M200" i="40" s="1"/>
  <c r="S200" i="40" s="1"/>
  <c r="M206" i="40" a="1"/>
  <c r="M206" i="40" s="1"/>
  <c r="S206" i="40" s="1"/>
  <c r="M194" i="40" a="1"/>
  <c r="M194" i="40" s="1"/>
  <c r="S194" i="40" s="1"/>
  <c r="M208" i="40" a="1"/>
  <c r="M208" i="40" s="1"/>
  <c r="S208" i="40" s="1"/>
  <c r="M204" i="40" a="1"/>
  <c r="M204" i="40" s="1"/>
  <c r="S204" i="40" s="1"/>
  <c r="M210" i="40" a="1"/>
  <c r="M210" i="40" s="1"/>
  <c r="S210" i="40" s="1"/>
  <c r="M198" i="40" a="1"/>
  <c r="M198" i="40" s="1"/>
  <c r="S198" i="40" s="1"/>
  <c r="F11" i="33"/>
  <c r="C101" i="52" s="1"/>
  <c r="M310" i="40" a="1"/>
  <c r="M310" i="40" s="1"/>
  <c r="S310" i="40" s="1"/>
  <c r="M312" i="40" a="1"/>
  <c r="M312" i="40" s="1"/>
  <c r="S312" i="40" s="1"/>
  <c r="M303" i="40" a="1"/>
  <c r="M303" i="40" s="1"/>
  <c r="S303" i="40" s="1"/>
  <c r="M305" i="40" a="1"/>
  <c r="M305" i="40" s="1"/>
  <c r="S305" i="40" s="1"/>
  <c r="M304" i="40" a="1"/>
  <c r="M304" i="40" s="1"/>
  <c r="S304" i="40" s="1"/>
  <c r="M308" i="40" a="1"/>
  <c r="M308" i="40" s="1"/>
  <c r="S308" i="40" s="1"/>
  <c r="M311" i="40" a="1"/>
  <c r="M311" i="40" s="1"/>
  <c r="S311" i="40" s="1"/>
  <c r="M309" i="40" a="1"/>
  <c r="M309" i="40" s="1"/>
  <c r="S309" i="40" s="1"/>
  <c r="M307" i="40" a="1"/>
  <c r="M307" i="40" s="1"/>
  <c r="S307" i="40" s="1"/>
  <c r="M306" i="40" a="1"/>
  <c r="M306" i="40" s="1"/>
  <c r="S306" i="40" s="1"/>
  <c r="F19" i="33"/>
  <c r="C100" i="52" s="1"/>
  <c r="R94" i="40" a="1"/>
  <c r="R94" i="40" s="1"/>
  <c r="V94" i="40" s="1"/>
  <c r="R97" i="40" a="1"/>
  <c r="R97" i="40" s="1"/>
  <c r="V97" i="40" s="1"/>
  <c r="R98" i="40" a="1"/>
  <c r="R98" i="40" s="1"/>
  <c r="V98" i="40" s="1"/>
  <c r="R99" i="40" a="1"/>
  <c r="R99" i="40" s="1"/>
  <c r="V99" i="40" s="1"/>
  <c r="R102" i="40" a="1"/>
  <c r="R102" i="40" s="1"/>
  <c r="V102" i="40" s="1"/>
  <c r="R96" i="40" a="1"/>
  <c r="R96" i="40" s="1"/>
  <c r="V96" i="40" s="1"/>
  <c r="R100" i="40" a="1"/>
  <c r="R100" i="40" s="1"/>
  <c r="V100" i="40" s="1"/>
  <c r="R101" i="40" a="1"/>
  <c r="R101" i="40" s="1"/>
  <c r="V101" i="40" s="1"/>
  <c r="R103" i="40" a="1"/>
  <c r="R103" i="40" s="1"/>
  <c r="V103" i="40" s="1"/>
  <c r="R95" i="40" a="1"/>
  <c r="R95" i="40" s="1"/>
  <c r="V95" i="40" s="1"/>
  <c r="M155" i="40" a="1"/>
  <c r="M155" i="40" s="1"/>
  <c r="S155" i="40" s="1"/>
  <c r="M147" i="40" a="1"/>
  <c r="M147" i="40" s="1"/>
  <c r="S147" i="40" s="1"/>
  <c r="M145" i="40" a="1"/>
  <c r="M145" i="40" s="1"/>
  <c r="S145" i="40" s="1"/>
  <c r="M139" i="40" a="1"/>
  <c r="M139" i="40" s="1"/>
  <c r="S139" i="40" s="1"/>
  <c r="M153" i="40" a="1"/>
  <c r="M153" i="40" s="1"/>
  <c r="S153" i="40" s="1"/>
  <c r="M151" i="40" a="1"/>
  <c r="M151" i="40" s="1"/>
  <c r="S151" i="40" s="1"/>
  <c r="M157" i="40" a="1"/>
  <c r="M157" i="40" s="1"/>
  <c r="S157" i="40" s="1"/>
  <c r="M143" i="40" a="1"/>
  <c r="M143" i="40" s="1"/>
  <c r="S143" i="40" s="1"/>
  <c r="M141" i="40" a="1"/>
  <c r="M141" i="40" s="1"/>
  <c r="S141" i="40" s="1"/>
  <c r="F8" i="33"/>
  <c r="C92" i="52" s="1"/>
  <c r="M149" i="40" a="1"/>
  <c r="M149" i="40" s="1"/>
  <c r="S149" i="40" s="1"/>
  <c r="O615" i="40" a="1"/>
  <c r="O615" i="40" s="1"/>
  <c r="T615" i="40" s="1"/>
  <c r="O609" i="40" a="1"/>
  <c r="O609" i="40" s="1"/>
  <c r="T609" i="40" s="1"/>
  <c r="O603" i="40" a="1"/>
  <c r="O603" i="40" s="1"/>
  <c r="T603" i="40" s="1"/>
  <c r="O600" i="40" a="1"/>
  <c r="O600" i="40" s="1"/>
  <c r="T600" i="40" s="1"/>
  <c r="O612" i="40" a="1"/>
  <c r="O612" i="40" s="1"/>
  <c r="T612" i="40" s="1"/>
  <c r="O591" i="40" a="1"/>
  <c r="O591" i="40" s="1"/>
  <c r="T591" i="40" s="1"/>
  <c r="O618" i="40" a="1"/>
  <c r="O618" i="40" s="1"/>
  <c r="T618" i="40" s="1"/>
  <c r="O606" i="40" a="1"/>
  <c r="O606" i="40" s="1"/>
  <c r="T606" i="40" s="1"/>
  <c r="O597" i="40" a="1"/>
  <c r="O597" i="40" s="1"/>
  <c r="T597" i="40" s="1"/>
  <c r="O594" i="40" a="1"/>
  <c r="O594" i="40" s="1"/>
  <c r="T594" i="40" s="1"/>
  <c r="P10" i="8"/>
  <c r="C8" i="34" s="1"/>
  <c r="M28" i="40" a="1"/>
  <c r="M28" i="40" s="1"/>
  <c r="S28" i="40" s="1"/>
  <c r="M31" i="40" a="1"/>
  <c r="M31" i="40" s="1"/>
  <c r="S31" i="40" s="1"/>
  <c r="M37" i="40" a="1"/>
  <c r="M37" i="40" s="1"/>
  <c r="S37" i="40" s="1"/>
  <c r="M32" i="40" a="1"/>
  <c r="M32" i="40" s="1"/>
  <c r="S32" i="40" s="1"/>
  <c r="M29" i="40" a="1"/>
  <c r="M29" i="40" s="1"/>
  <c r="S29" i="40" s="1"/>
  <c r="M34" i="40" a="1"/>
  <c r="M34" i="40" s="1"/>
  <c r="S34" i="40" s="1"/>
  <c r="M33" i="40" a="1"/>
  <c r="M33" i="40" s="1"/>
  <c r="S33" i="40" s="1"/>
  <c r="M36" i="40" a="1"/>
  <c r="M36" i="40" s="1"/>
  <c r="S36" i="40" s="1"/>
  <c r="M35" i="40" a="1"/>
  <c r="M35" i="40" s="1"/>
  <c r="S35" i="40" s="1"/>
  <c r="F28" i="33"/>
  <c r="C85" i="52" s="1"/>
  <c r="M30" i="40" a="1"/>
  <c r="M30" i="40" s="1"/>
  <c r="S30" i="40" s="1"/>
  <c r="R311" i="40" a="1"/>
  <c r="R311" i="40" s="1"/>
  <c r="V311" i="40" s="1"/>
  <c r="R310" i="40" a="1"/>
  <c r="R310" i="40" s="1"/>
  <c r="V310" i="40" s="1"/>
  <c r="R309" i="40" a="1"/>
  <c r="R309" i="40" s="1"/>
  <c r="V309" i="40" s="1"/>
  <c r="R305" i="40" a="1"/>
  <c r="R305" i="40" s="1"/>
  <c r="V305" i="40" s="1"/>
  <c r="R307" i="40" a="1"/>
  <c r="R307" i="40" s="1"/>
  <c r="V307" i="40" s="1"/>
  <c r="R306" i="40" a="1"/>
  <c r="R306" i="40" s="1"/>
  <c r="V306" i="40" s="1"/>
  <c r="R308" i="40" a="1"/>
  <c r="R308" i="40" s="1"/>
  <c r="V308" i="40" s="1"/>
  <c r="R304" i="40" a="1"/>
  <c r="R304" i="40" s="1"/>
  <c r="V304" i="40" s="1"/>
  <c r="R312" i="40" a="1"/>
  <c r="R312" i="40" s="1"/>
  <c r="V312" i="40" s="1"/>
  <c r="R303" i="40" a="1"/>
  <c r="R303" i="40" s="1"/>
  <c r="V303" i="40" s="1"/>
  <c r="Q437" i="40" a="1"/>
  <c r="Q437" i="40" s="1"/>
  <c r="U437" i="40" s="1"/>
  <c r="Q443" i="40" a="1"/>
  <c r="Q443" i="40" s="1"/>
  <c r="U443" i="40" s="1"/>
  <c r="Q442" i="40" a="1"/>
  <c r="Q442" i="40" s="1"/>
  <c r="U442" i="40" s="1"/>
  <c r="Q438" i="40" a="1"/>
  <c r="Q438" i="40" s="1"/>
  <c r="U438" i="40" s="1"/>
  <c r="Q435" i="40" a="1"/>
  <c r="Q435" i="40" s="1"/>
  <c r="U435" i="40" s="1"/>
  <c r="Q444" i="40" a="1"/>
  <c r="Q444" i="40" s="1"/>
  <c r="U444" i="40" s="1"/>
  <c r="Q440" i="40" a="1"/>
  <c r="Q440" i="40" s="1"/>
  <c r="U440" i="40" s="1"/>
  <c r="Q439" i="40" a="1"/>
  <c r="Q439" i="40" s="1"/>
  <c r="U439" i="40" s="1"/>
  <c r="Q441" i="40" a="1"/>
  <c r="Q441" i="40" s="1"/>
  <c r="U441" i="40" s="1"/>
  <c r="Q436" i="40" a="1"/>
  <c r="Q436" i="40" s="1"/>
  <c r="U436" i="40" s="1"/>
  <c r="Q126" i="40" a="1"/>
  <c r="Q126" i="40" s="1"/>
  <c r="U126" i="40" s="1"/>
  <c r="Q108" i="40" a="1"/>
  <c r="Q108" i="40" s="1"/>
  <c r="U108" i="40" s="1"/>
  <c r="Q120" i="40" a="1"/>
  <c r="Q120" i="40" s="1"/>
  <c r="U120" i="40" s="1"/>
  <c r="Q132" i="40" a="1"/>
  <c r="Q132" i="40" s="1"/>
  <c r="U132" i="40" s="1"/>
  <c r="Q123" i="40" a="1"/>
  <c r="Q123" i="40" s="1"/>
  <c r="U123" i="40" s="1"/>
  <c r="Q117" i="40" a="1"/>
  <c r="Q117" i="40" s="1"/>
  <c r="U117" i="40" s="1"/>
  <c r="Q135" i="40" a="1"/>
  <c r="Q135" i="40" s="1"/>
  <c r="U135" i="40" s="1"/>
  <c r="Q129" i="40" a="1"/>
  <c r="Q129" i="40" s="1"/>
  <c r="U129" i="40" s="1"/>
  <c r="Q111" i="40" a="1"/>
  <c r="Q111" i="40" s="1"/>
  <c r="U111" i="40" s="1"/>
  <c r="Q114" i="40" a="1"/>
  <c r="Q114" i="40" s="1"/>
  <c r="U114" i="40" s="1"/>
  <c r="R133" i="40" a="1"/>
  <c r="R133" i="40" s="1"/>
  <c r="V133" i="40" s="1"/>
  <c r="R127" i="40" a="1"/>
  <c r="R127" i="40" s="1"/>
  <c r="V127" i="40" s="1"/>
  <c r="R115" i="40" a="1"/>
  <c r="R115" i="40" s="1"/>
  <c r="V115" i="40" s="1"/>
  <c r="R118" i="40" a="1"/>
  <c r="R118" i="40" s="1"/>
  <c r="V118" i="40" s="1"/>
  <c r="R121" i="40" a="1"/>
  <c r="R121" i="40" s="1"/>
  <c r="V121" i="40" s="1"/>
  <c r="R136" i="40" a="1"/>
  <c r="R136" i="40" s="1"/>
  <c r="V136" i="40" s="1"/>
  <c r="R112" i="40" a="1"/>
  <c r="R112" i="40" s="1"/>
  <c r="V112" i="40" s="1"/>
  <c r="R124" i="40" a="1"/>
  <c r="R124" i="40" s="1"/>
  <c r="V124" i="40" s="1"/>
  <c r="R109" i="40" a="1"/>
  <c r="R109" i="40" s="1"/>
  <c r="V109" i="40" s="1"/>
  <c r="R130" i="40" a="1"/>
  <c r="R130" i="40" s="1"/>
  <c r="V130" i="40" s="1"/>
  <c r="M322" i="40" a="1"/>
  <c r="M322" i="40" s="1"/>
  <c r="S322" i="40" s="1"/>
  <c r="M320" i="40" a="1"/>
  <c r="M320" i="40" s="1"/>
  <c r="S320" i="40" s="1"/>
  <c r="M323" i="40" a="1"/>
  <c r="M323" i="40" s="1"/>
  <c r="S323" i="40" s="1"/>
  <c r="M318" i="40" a="1"/>
  <c r="M318" i="40" s="1"/>
  <c r="S318" i="40" s="1"/>
  <c r="M321" i="40" a="1"/>
  <c r="M321" i="40" s="1"/>
  <c r="S321" i="40" s="1"/>
  <c r="M315" i="40" a="1"/>
  <c r="M315" i="40" s="1"/>
  <c r="S315" i="40" s="1"/>
  <c r="M314" i="40" a="1"/>
  <c r="M314" i="40" s="1"/>
  <c r="S314" i="40" s="1"/>
  <c r="M317" i="40" a="1"/>
  <c r="M317" i="40" s="1"/>
  <c r="S317" i="40" s="1"/>
  <c r="M316" i="40" a="1"/>
  <c r="M316" i="40" s="1"/>
  <c r="S316" i="40" s="1"/>
  <c r="F20" i="33"/>
  <c r="M319" i="40" a="1"/>
  <c r="M319" i="40" s="1"/>
  <c r="S319" i="40" s="1"/>
  <c r="N255" i="40" a="1"/>
  <c r="N255" i="40" s="1"/>
  <c r="N256" i="40" a="1"/>
  <c r="N256" i="40" s="1"/>
  <c r="N251" i="40" a="1"/>
  <c r="N251" i="40" s="1"/>
  <c r="N248" i="40" a="1"/>
  <c r="N248" i="40" s="1"/>
  <c r="N252" i="40" a="1"/>
  <c r="N252" i="40" s="1"/>
  <c r="N254" i="40" a="1"/>
  <c r="N254" i="40" s="1"/>
  <c r="N249" i="40" a="1"/>
  <c r="N249" i="40" s="1"/>
  <c r="N250" i="40" a="1"/>
  <c r="N250" i="40" s="1"/>
  <c r="N257" i="40" a="1"/>
  <c r="N257" i="40" s="1"/>
  <c r="G15" i="33"/>
  <c r="H13" i="44" s="1"/>
  <c r="N253" i="40" a="1"/>
  <c r="N253" i="40" s="1"/>
  <c r="N561" i="40" a="1"/>
  <c r="N561" i="40" s="1"/>
  <c r="N575" i="40" a="1"/>
  <c r="N575" i="40" s="1"/>
  <c r="N563" i="40" a="1"/>
  <c r="N563" i="40" s="1"/>
  <c r="N569" i="40" a="1"/>
  <c r="N569" i="40" s="1"/>
  <c r="N557" i="40" a="1"/>
  <c r="N557" i="40" s="1"/>
  <c r="N573" i="40" a="1"/>
  <c r="N573" i="40" s="1"/>
  <c r="N567" i="40" a="1"/>
  <c r="N567" i="40" s="1"/>
  <c r="N565" i="40" a="1"/>
  <c r="N565" i="40" s="1"/>
  <c r="N559" i="40" a="1"/>
  <c r="N559" i="40" s="1"/>
  <c r="N571" i="40" a="1"/>
  <c r="N571" i="40" s="1"/>
  <c r="G32" i="33"/>
  <c r="Q259" i="40" a="1"/>
  <c r="Q259" i="40" s="1"/>
  <c r="U259" i="40" s="1"/>
  <c r="Q261" i="40" a="1"/>
  <c r="Q261" i="40" s="1"/>
  <c r="U261" i="40" s="1"/>
  <c r="Q265" i="40" a="1"/>
  <c r="Q265" i="40" s="1"/>
  <c r="U265" i="40" s="1"/>
  <c r="Q267" i="40" a="1"/>
  <c r="Q267" i="40" s="1"/>
  <c r="U267" i="40" s="1"/>
  <c r="Q262" i="40" a="1"/>
  <c r="Q262" i="40" s="1"/>
  <c r="U262" i="40" s="1"/>
  <c r="Q263" i="40" a="1"/>
  <c r="Q263" i="40" s="1"/>
  <c r="U263" i="40" s="1"/>
  <c r="Q268" i="40" a="1"/>
  <c r="Q268" i="40" s="1"/>
  <c r="U268" i="40" s="1"/>
  <c r="Q260" i="40" a="1"/>
  <c r="Q260" i="40" s="1"/>
  <c r="U260" i="40" s="1"/>
  <c r="Q266" i="40" a="1"/>
  <c r="Q266" i="40" s="1"/>
  <c r="U266" i="40" s="1"/>
  <c r="Q264" i="40" a="1"/>
  <c r="Q264" i="40" s="1"/>
  <c r="U264" i="40" s="1"/>
  <c r="M30" i="8"/>
  <c r="Y30" i="8" s="1"/>
  <c r="L30" i="8"/>
  <c r="N637" i="40" a="1"/>
  <c r="N637" i="40" s="1"/>
  <c r="N635" i="40" a="1"/>
  <c r="N635" i="40" s="1"/>
  <c r="N642" i="40" a="1"/>
  <c r="N642" i="40" s="1"/>
  <c r="N634" i="40" a="1"/>
  <c r="N634" i="40" s="1"/>
  <c r="N641" i="40" a="1"/>
  <c r="N641" i="40" s="1"/>
  <c r="N638" i="40" a="1"/>
  <c r="N638" i="40" s="1"/>
  <c r="N636" i="40" a="1"/>
  <c r="N636" i="40" s="1"/>
  <c r="N640" i="40" a="1"/>
  <c r="N640" i="40" s="1"/>
  <c r="N633" i="40" a="1"/>
  <c r="N633" i="40" s="1"/>
  <c r="N639" i="40" a="1"/>
  <c r="N639" i="40" s="1"/>
  <c r="G36" i="33"/>
  <c r="R413" i="40" a="1"/>
  <c r="R413" i="40" s="1"/>
  <c r="V413" i="40" s="1"/>
  <c r="R397" i="40" a="1"/>
  <c r="R397" i="40" s="1"/>
  <c r="V397" i="40" s="1"/>
  <c r="R409" i="40" a="1"/>
  <c r="R409" i="40" s="1"/>
  <c r="V409" i="40" s="1"/>
  <c r="R417" i="40" a="1"/>
  <c r="R417" i="40" s="1"/>
  <c r="V417" i="40" s="1"/>
  <c r="R401" i="40" a="1"/>
  <c r="R401" i="40" s="1"/>
  <c r="V401" i="40" s="1"/>
  <c r="R393" i="40" a="1"/>
  <c r="R393" i="40" s="1"/>
  <c r="V393" i="40" s="1"/>
  <c r="R385" i="40" a="1"/>
  <c r="R385" i="40" s="1"/>
  <c r="V385" i="40" s="1"/>
  <c r="R389" i="40" a="1"/>
  <c r="R389" i="40" s="1"/>
  <c r="V389" i="40" s="1"/>
  <c r="R405" i="40" a="1"/>
  <c r="R405" i="40" s="1"/>
  <c r="V405" i="40" s="1"/>
  <c r="R421" i="40" a="1"/>
  <c r="R421" i="40" s="1"/>
  <c r="V421" i="40" s="1"/>
  <c r="R433" i="40" a="1"/>
  <c r="R433" i="40" s="1"/>
  <c r="V433" i="40" s="1"/>
  <c r="R431" i="40" a="1"/>
  <c r="R431" i="40" s="1"/>
  <c r="V431" i="40" s="1"/>
  <c r="R428" i="40" a="1"/>
  <c r="R428" i="40" s="1"/>
  <c r="V428" i="40" s="1"/>
  <c r="R425" i="40" a="1"/>
  <c r="R425" i="40" s="1"/>
  <c r="V425" i="40" s="1"/>
  <c r="R430" i="40" a="1"/>
  <c r="R430" i="40" s="1"/>
  <c r="V430" i="40" s="1"/>
  <c r="R426" i="40" a="1"/>
  <c r="R426" i="40" s="1"/>
  <c r="V426" i="40" s="1"/>
  <c r="R432" i="40" a="1"/>
  <c r="R432" i="40" s="1"/>
  <c r="V432" i="40" s="1"/>
  <c r="R424" i="40" a="1"/>
  <c r="R424" i="40" s="1"/>
  <c r="V424" i="40" s="1"/>
  <c r="R429" i="40" a="1"/>
  <c r="R429" i="40" s="1"/>
  <c r="V429" i="40" s="1"/>
  <c r="R427" i="40" a="1"/>
  <c r="R427" i="40" s="1"/>
  <c r="V427" i="40" s="1"/>
  <c r="M172" i="40" a="1"/>
  <c r="M172" i="40" s="1"/>
  <c r="S172" i="40" s="1"/>
  <c r="M166" i="40" a="1"/>
  <c r="M166" i="40" s="1"/>
  <c r="S166" i="40" s="1"/>
  <c r="M162" i="40" a="1"/>
  <c r="M162" i="40" s="1"/>
  <c r="S162" i="40" s="1"/>
  <c r="M178" i="40" a="1"/>
  <c r="M178" i="40" s="1"/>
  <c r="S178" i="40" s="1"/>
  <c r="M176" i="40" a="1"/>
  <c r="M176" i="40" s="1"/>
  <c r="S176" i="40" s="1"/>
  <c r="M180" i="40" a="1"/>
  <c r="M180" i="40" s="1"/>
  <c r="S180" i="40" s="1"/>
  <c r="M168" i="40" a="1"/>
  <c r="M168" i="40" s="1"/>
  <c r="S168" i="40" s="1"/>
  <c r="M164" i="40" a="1"/>
  <c r="M164" i="40" s="1"/>
  <c r="S164" i="40" s="1"/>
  <c r="M170" i="40" a="1"/>
  <c r="M170" i="40" s="1"/>
  <c r="S170" i="40" s="1"/>
  <c r="M174" i="40" a="1"/>
  <c r="M174" i="40" s="1"/>
  <c r="S174" i="40" s="1"/>
  <c r="F9" i="33"/>
  <c r="C102" i="52" s="1"/>
  <c r="Q432" i="40" a="1"/>
  <c r="Q432" i="40" s="1"/>
  <c r="U432" i="40" s="1"/>
  <c r="Q428" i="40" a="1"/>
  <c r="Q428" i="40" s="1"/>
  <c r="U428" i="40" s="1"/>
  <c r="Q426" i="40" a="1"/>
  <c r="Q426" i="40" s="1"/>
  <c r="U426" i="40" s="1"/>
  <c r="Q427" i="40" a="1"/>
  <c r="Q427" i="40" s="1"/>
  <c r="U427" i="40" s="1"/>
  <c r="Q424" i="40" a="1"/>
  <c r="Q424" i="40" s="1"/>
  <c r="U424" i="40" s="1"/>
  <c r="Q433" i="40" a="1"/>
  <c r="Q433" i="40" s="1"/>
  <c r="U433" i="40" s="1"/>
  <c r="Q430" i="40" a="1"/>
  <c r="Q430" i="40" s="1"/>
  <c r="U430" i="40" s="1"/>
  <c r="Q425" i="40" a="1"/>
  <c r="Q425" i="40" s="1"/>
  <c r="U425" i="40" s="1"/>
  <c r="Q431" i="40" a="1"/>
  <c r="Q431" i="40" s="1"/>
  <c r="U431" i="40" s="1"/>
  <c r="Q429" i="40" a="1"/>
  <c r="Q429" i="40" s="1"/>
  <c r="U429" i="40" s="1"/>
  <c r="Q389" i="40" a="1"/>
  <c r="Q389" i="40" s="1"/>
  <c r="U389" i="40" s="1"/>
  <c r="Q393" i="40" a="1"/>
  <c r="Q393" i="40" s="1"/>
  <c r="U393" i="40" s="1"/>
  <c r="Q397" i="40" a="1"/>
  <c r="Q397" i="40" s="1"/>
  <c r="U397" i="40" s="1"/>
  <c r="Q401" i="40" a="1"/>
  <c r="Q401" i="40" s="1"/>
  <c r="U401" i="40" s="1"/>
  <c r="Q409" i="40" a="1"/>
  <c r="Q409" i="40" s="1"/>
  <c r="U409" i="40" s="1"/>
  <c r="Q421" i="40" a="1"/>
  <c r="Q421" i="40" s="1"/>
  <c r="U421" i="40" s="1"/>
  <c r="Q385" i="40" a="1"/>
  <c r="Q385" i="40" s="1"/>
  <c r="U385" i="40" s="1"/>
  <c r="Q417" i="40" a="1"/>
  <c r="Q417" i="40" s="1"/>
  <c r="U417" i="40" s="1"/>
  <c r="Q405" i="40" a="1"/>
  <c r="Q405" i="40" s="1"/>
  <c r="U405" i="40" s="1"/>
  <c r="Q413" i="40" a="1"/>
  <c r="Q413" i="40" s="1"/>
  <c r="U413" i="40" s="1"/>
  <c r="N212" i="40" a="1"/>
  <c r="N212" i="40" s="1"/>
  <c r="N208" i="40" a="1"/>
  <c r="N208" i="40" s="1"/>
  <c r="N194" i="40" a="1"/>
  <c r="N194" i="40" s="1"/>
  <c r="N196" i="40" a="1"/>
  <c r="N196" i="40" s="1"/>
  <c r="G11" i="33"/>
  <c r="N200" i="40" a="1"/>
  <c r="N200" i="40" s="1"/>
  <c r="N202" i="40" a="1"/>
  <c r="N202" i="40" s="1"/>
  <c r="N210" i="40" a="1"/>
  <c r="N210" i="40" s="1"/>
  <c r="N206" i="40" a="1"/>
  <c r="N206" i="40" s="1"/>
  <c r="N204" i="40" a="1"/>
  <c r="N204" i="40" s="1"/>
  <c r="N198" i="40" a="1"/>
  <c r="N198" i="40" s="1"/>
  <c r="N217" i="40" a="1"/>
  <c r="N217" i="40" s="1"/>
  <c r="N219" i="40" a="1"/>
  <c r="N219" i="40" s="1"/>
  <c r="N223" i="40" a="1"/>
  <c r="N223" i="40" s="1"/>
  <c r="N224" i="40" a="1"/>
  <c r="N224" i="40" s="1"/>
  <c r="N221" i="40" a="1"/>
  <c r="N221" i="40" s="1"/>
  <c r="N218" i="40" a="1"/>
  <c r="N218" i="40" s="1"/>
  <c r="N215" i="40" a="1"/>
  <c r="N215" i="40" s="1"/>
  <c r="N216" i="40" a="1"/>
  <c r="N216" i="40" s="1"/>
  <c r="N222" i="40" a="1"/>
  <c r="N222" i="40" s="1"/>
  <c r="G12" i="33"/>
  <c r="N220" i="40" a="1"/>
  <c r="N220" i="40" s="1"/>
  <c r="Q94" i="40" a="1"/>
  <c r="Q94" i="40" s="1"/>
  <c r="U94" i="40" s="1"/>
  <c r="Q100" i="40" a="1"/>
  <c r="Q100" i="40" s="1"/>
  <c r="U100" i="40" s="1"/>
  <c r="Q95" i="40" a="1"/>
  <c r="Q95" i="40" s="1"/>
  <c r="U95" i="40" s="1"/>
  <c r="Q102" i="40" a="1"/>
  <c r="Q102" i="40" s="1"/>
  <c r="U102" i="40" s="1"/>
  <c r="Q96" i="40" a="1"/>
  <c r="Q96" i="40" s="1"/>
  <c r="U96" i="40" s="1"/>
  <c r="Q98" i="40" a="1"/>
  <c r="Q98" i="40" s="1"/>
  <c r="U98" i="40" s="1"/>
  <c r="Q97" i="40" a="1"/>
  <c r="Q97" i="40" s="1"/>
  <c r="U97" i="40" s="1"/>
  <c r="Q99" i="40" a="1"/>
  <c r="Q99" i="40" s="1"/>
  <c r="U99" i="40" s="1"/>
  <c r="Q101" i="40" a="1"/>
  <c r="Q101" i="40" s="1"/>
  <c r="U101" i="40" s="1"/>
  <c r="Q103" i="40" a="1"/>
  <c r="Q103" i="40" s="1"/>
  <c r="U103" i="40" s="1"/>
  <c r="R238" i="40" a="1"/>
  <c r="R238" i="40" s="1"/>
  <c r="V238" i="40" s="1"/>
  <c r="R237" i="40" a="1"/>
  <c r="R237" i="40" s="1"/>
  <c r="V237" i="40" s="1"/>
  <c r="R244" i="40" a="1"/>
  <c r="R244" i="40" s="1"/>
  <c r="V244" i="40" s="1"/>
  <c r="R246" i="40" a="1"/>
  <c r="R246" i="40" s="1"/>
  <c r="V246" i="40" s="1"/>
  <c r="R245" i="40" a="1"/>
  <c r="R245" i="40" s="1"/>
  <c r="V245" i="40" s="1"/>
  <c r="R243" i="40" a="1"/>
  <c r="R243" i="40" s="1"/>
  <c r="V243" i="40" s="1"/>
  <c r="R239" i="40" a="1"/>
  <c r="R239" i="40" s="1"/>
  <c r="V239" i="40" s="1"/>
  <c r="R241" i="40" a="1"/>
  <c r="R241" i="40" s="1"/>
  <c r="V241" i="40" s="1"/>
  <c r="R240" i="40" a="1"/>
  <c r="R240" i="40" s="1"/>
  <c r="V240" i="40" s="1"/>
  <c r="R242" i="40" a="1"/>
  <c r="R242" i="40" s="1"/>
  <c r="V242" i="40" s="1"/>
  <c r="M552" i="40" a="1"/>
  <c r="M552" i="40" s="1"/>
  <c r="S552" i="40" s="1"/>
  <c r="M549" i="40" a="1"/>
  <c r="M549" i="40" s="1"/>
  <c r="S549" i="40" s="1"/>
  <c r="M543" i="40" a="1"/>
  <c r="M543" i="40" s="1"/>
  <c r="S543" i="40" s="1"/>
  <c r="M528" i="40" a="1"/>
  <c r="M528" i="40" s="1"/>
  <c r="S528" i="40" s="1"/>
  <c r="M534" i="40" a="1"/>
  <c r="M534" i="40" s="1"/>
  <c r="S534" i="40" s="1"/>
  <c r="M540" i="40" a="1"/>
  <c r="M540" i="40" s="1"/>
  <c r="S540" i="40" s="1"/>
  <c r="M546" i="40" a="1"/>
  <c r="M546" i="40" s="1"/>
  <c r="S546" i="40" s="1"/>
  <c r="M525" i="40" a="1"/>
  <c r="M525" i="40" s="1"/>
  <c r="S525" i="40" s="1"/>
  <c r="M537" i="40" a="1"/>
  <c r="M537" i="40" s="1"/>
  <c r="S537" i="40" s="1"/>
  <c r="M531" i="40" a="1"/>
  <c r="M531" i="40" s="1"/>
  <c r="S531" i="40" s="1"/>
  <c r="R187" i="40" a="1"/>
  <c r="R187" i="40" s="1"/>
  <c r="V187" i="40" s="1"/>
  <c r="R189" i="40" a="1"/>
  <c r="R189" i="40" s="1"/>
  <c r="V189" i="40" s="1"/>
  <c r="R183" i="40" a="1"/>
  <c r="R183" i="40" s="1"/>
  <c r="V183" i="40" s="1"/>
  <c r="R191" i="40" a="1"/>
  <c r="R191" i="40" s="1"/>
  <c r="V191" i="40" s="1"/>
  <c r="R190" i="40" a="1"/>
  <c r="R190" i="40" s="1"/>
  <c r="V190" i="40" s="1"/>
  <c r="R188" i="40" a="1"/>
  <c r="R188" i="40" s="1"/>
  <c r="V188" i="40" s="1"/>
  <c r="R185" i="40" a="1"/>
  <c r="R185" i="40" s="1"/>
  <c r="V185" i="40" s="1"/>
  <c r="R186" i="40" a="1"/>
  <c r="R186" i="40" s="1"/>
  <c r="V186" i="40" s="1"/>
  <c r="R184" i="40" a="1"/>
  <c r="R184" i="40" s="1"/>
  <c r="V184" i="40" s="1"/>
  <c r="R182" i="40" a="1"/>
  <c r="R182" i="40" s="1"/>
  <c r="V182" i="40" s="1"/>
  <c r="R212" i="40" a="1"/>
  <c r="R212" i="40" s="1"/>
  <c r="V212" i="40" s="1"/>
  <c r="R198" i="40" a="1"/>
  <c r="R198" i="40" s="1"/>
  <c r="V198" i="40" s="1"/>
  <c r="R194" i="40" a="1"/>
  <c r="R194" i="40" s="1"/>
  <c r="V194" i="40" s="1"/>
  <c r="R202" i="40" a="1"/>
  <c r="R202" i="40" s="1"/>
  <c r="V202" i="40" s="1"/>
  <c r="R210" i="40" a="1"/>
  <c r="R210" i="40" s="1"/>
  <c r="V210" i="40" s="1"/>
  <c r="R208" i="40" a="1"/>
  <c r="R208" i="40" s="1"/>
  <c r="V208" i="40" s="1"/>
  <c r="R204" i="40" a="1"/>
  <c r="R204" i="40" s="1"/>
  <c r="V204" i="40" s="1"/>
  <c r="R196" i="40" a="1"/>
  <c r="R196" i="40" s="1"/>
  <c r="V196" i="40" s="1"/>
  <c r="R206" i="40" a="1"/>
  <c r="R206" i="40" s="1"/>
  <c r="V206" i="40" s="1"/>
  <c r="R200" i="40" a="1"/>
  <c r="R200" i="40" s="1"/>
  <c r="V200" i="40" s="1"/>
  <c r="N28" i="40" a="1"/>
  <c r="N28" i="40" s="1"/>
  <c r="N37" i="40" a="1"/>
  <c r="N37" i="40" s="1"/>
  <c r="N29" i="40" a="1"/>
  <c r="N29" i="40" s="1"/>
  <c r="N36" i="40" a="1"/>
  <c r="N36" i="40" s="1"/>
  <c r="N34" i="40" a="1"/>
  <c r="N34" i="40" s="1"/>
  <c r="N30" i="40" a="1"/>
  <c r="N30" i="40" s="1"/>
  <c r="N35" i="40" a="1"/>
  <c r="N35" i="40" s="1"/>
  <c r="N32" i="40" a="1"/>
  <c r="N32" i="40" s="1"/>
  <c r="G28" i="33"/>
  <c r="N31" i="40" a="1"/>
  <c r="N31" i="40" s="1"/>
  <c r="N33" i="40" a="1"/>
  <c r="N33" i="40" s="1"/>
  <c r="Q30" i="8"/>
  <c r="M43" i="40" a="1"/>
  <c r="M43" i="40" s="1"/>
  <c r="S43" i="40" s="1"/>
  <c r="M42" i="40" a="1"/>
  <c r="M42" i="40" s="1"/>
  <c r="S42" i="40" s="1"/>
  <c r="M46" i="40" a="1"/>
  <c r="M46" i="40" s="1"/>
  <c r="S46" i="40" s="1"/>
  <c r="M47" i="40" a="1"/>
  <c r="M47" i="40" s="1"/>
  <c r="S47" i="40" s="1"/>
  <c r="M39" i="40" a="1"/>
  <c r="M39" i="40" s="1"/>
  <c r="S39" i="40" s="1"/>
  <c r="M41" i="40" a="1"/>
  <c r="M41" i="40" s="1"/>
  <c r="S41" i="40" s="1"/>
  <c r="M45" i="40" a="1"/>
  <c r="M45" i="40" s="1"/>
  <c r="S45" i="40" s="1"/>
  <c r="M40" i="40" a="1"/>
  <c r="M40" i="40" s="1"/>
  <c r="S40" i="40" s="1"/>
  <c r="M48" i="40" a="1"/>
  <c r="M48" i="40" s="1"/>
  <c r="S48" i="40" s="1"/>
  <c r="M44" i="40" a="1"/>
  <c r="M44" i="40" s="1"/>
  <c r="S44" i="40" s="1"/>
  <c r="N191" i="40" a="1"/>
  <c r="N191" i="40" s="1"/>
  <c r="N184" i="40" a="1"/>
  <c r="N184" i="40" s="1"/>
  <c r="N185" i="40" a="1"/>
  <c r="N185" i="40" s="1"/>
  <c r="N183" i="40" a="1"/>
  <c r="N183" i="40" s="1"/>
  <c r="N182" i="40" a="1"/>
  <c r="N182" i="40" s="1"/>
  <c r="N189" i="40" a="1"/>
  <c r="N189" i="40" s="1"/>
  <c r="N190" i="40" a="1"/>
  <c r="N190" i="40" s="1"/>
  <c r="N187" i="40" a="1"/>
  <c r="N187" i="40" s="1"/>
  <c r="N188" i="40" a="1"/>
  <c r="N188" i="40" s="1"/>
  <c r="N186" i="40" a="1"/>
  <c r="N186" i="40" s="1"/>
  <c r="G10" i="33"/>
  <c r="M257" i="40" a="1"/>
  <c r="M257" i="40" s="1"/>
  <c r="S257" i="40" s="1"/>
  <c r="M251" i="40" a="1"/>
  <c r="M251" i="40" s="1"/>
  <c r="S251" i="40" s="1"/>
  <c r="M255" i="40" a="1"/>
  <c r="M255" i="40" s="1"/>
  <c r="S255" i="40" s="1"/>
  <c r="M248" i="40" a="1"/>
  <c r="M248" i="40" s="1"/>
  <c r="S248" i="40" s="1"/>
  <c r="M249" i="40" a="1"/>
  <c r="M249" i="40" s="1"/>
  <c r="S249" i="40" s="1"/>
  <c r="M252" i="40" a="1"/>
  <c r="M252" i="40" s="1"/>
  <c r="S252" i="40" s="1"/>
  <c r="M254" i="40" a="1"/>
  <c r="M254" i="40" s="1"/>
  <c r="S254" i="40" s="1"/>
  <c r="M256" i="40" a="1"/>
  <c r="M256" i="40" s="1"/>
  <c r="S256" i="40" s="1"/>
  <c r="M253" i="40" a="1"/>
  <c r="M253" i="40" s="1"/>
  <c r="S253" i="40" s="1"/>
  <c r="F15" i="33"/>
  <c r="M250" i="40" a="1"/>
  <c r="M250" i="40" s="1"/>
  <c r="S250" i="40" s="1"/>
  <c r="R149" i="40" a="1"/>
  <c r="R149" i="40" s="1"/>
  <c r="V149" i="40" s="1"/>
  <c r="R147" i="40" a="1"/>
  <c r="R147" i="40" s="1"/>
  <c r="V147" i="40" s="1"/>
  <c r="R141" i="40" a="1"/>
  <c r="R141" i="40" s="1"/>
  <c r="V141" i="40" s="1"/>
  <c r="R145" i="40" a="1"/>
  <c r="R145" i="40" s="1"/>
  <c r="V145" i="40" s="1"/>
  <c r="R153" i="40" a="1"/>
  <c r="R153" i="40" s="1"/>
  <c r="V153" i="40" s="1"/>
  <c r="R151" i="40" a="1"/>
  <c r="R151" i="40" s="1"/>
  <c r="V151" i="40" s="1"/>
  <c r="R139" i="40" a="1"/>
  <c r="R139" i="40" s="1"/>
  <c r="V139" i="40" s="1"/>
  <c r="R157" i="40" a="1"/>
  <c r="R157" i="40" s="1"/>
  <c r="V157" i="40" s="1"/>
  <c r="R143" i="40" a="1"/>
  <c r="R143" i="40" s="1"/>
  <c r="V143" i="40" s="1"/>
  <c r="R155" i="40" a="1"/>
  <c r="R155" i="40" s="1"/>
  <c r="V155" i="40" s="1"/>
  <c r="M536" i="40" a="1"/>
  <c r="M536" i="40" s="1"/>
  <c r="S536" i="40" s="1"/>
  <c r="M539" i="40" a="1"/>
  <c r="M539" i="40" s="1"/>
  <c r="S539" i="40" s="1"/>
  <c r="M554" i="40" a="1"/>
  <c r="M554" i="40" s="1"/>
  <c r="S554" i="40" s="1"/>
  <c r="M542" i="40" a="1"/>
  <c r="M542" i="40" s="1"/>
  <c r="S542" i="40" s="1"/>
  <c r="M527" i="40" a="1"/>
  <c r="M527" i="40" s="1"/>
  <c r="S527" i="40" s="1"/>
  <c r="M530" i="40" a="1"/>
  <c r="M530" i="40" s="1"/>
  <c r="S530" i="40" s="1"/>
  <c r="M548" i="40" a="1"/>
  <c r="M548" i="40" s="1"/>
  <c r="S548" i="40" s="1"/>
  <c r="M533" i="40" a="1"/>
  <c r="M533" i="40" s="1"/>
  <c r="S533" i="40" s="1"/>
  <c r="M545" i="40" a="1"/>
  <c r="M545" i="40" s="1"/>
  <c r="S545" i="40" s="1"/>
  <c r="M551" i="40" a="1"/>
  <c r="M551" i="40" s="1"/>
  <c r="S551" i="40" s="1"/>
  <c r="M641" i="40" a="1"/>
  <c r="M641" i="40" s="1"/>
  <c r="S641" i="40" s="1"/>
  <c r="M638" i="40" a="1"/>
  <c r="M638" i="40" s="1"/>
  <c r="S638" i="40" s="1"/>
  <c r="M633" i="40" a="1"/>
  <c r="M633" i="40" s="1"/>
  <c r="S633" i="40" s="1"/>
  <c r="M636" i="40" a="1"/>
  <c r="M636" i="40" s="1"/>
  <c r="S636" i="40" s="1"/>
  <c r="M634" i="40" a="1"/>
  <c r="M634" i="40" s="1"/>
  <c r="S634" i="40" s="1"/>
  <c r="M640" i="40" a="1"/>
  <c r="M640" i="40" s="1"/>
  <c r="S640" i="40" s="1"/>
  <c r="M637" i="40" a="1"/>
  <c r="M637" i="40" s="1"/>
  <c r="S637" i="40" s="1"/>
  <c r="M639" i="40" a="1"/>
  <c r="M639" i="40" s="1"/>
  <c r="S639" i="40" s="1"/>
  <c r="M642" i="40" a="1"/>
  <c r="M642" i="40" s="1"/>
  <c r="S642" i="40" s="1"/>
  <c r="F36" i="33"/>
  <c r="C84" i="52" s="1"/>
  <c r="M635" i="40" a="1"/>
  <c r="M635" i="40" s="1"/>
  <c r="S635" i="40" s="1"/>
  <c r="L34" i="8"/>
  <c r="M34" i="8"/>
  <c r="Y34" i="8" s="1"/>
  <c r="M167" i="40" a="1"/>
  <c r="M167" i="40" s="1"/>
  <c r="S167" i="40" s="1"/>
  <c r="M179" i="40" a="1"/>
  <c r="M179" i="40" s="1"/>
  <c r="S179" i="40" s="1"/>
  <c r="M177" i="40" a="1"/>
  <c r="M177" i="40" s="1"/>
  <c r="S177" i="40" s="1"/>
  <c r="M173" i="40" a="1"/>
  <c r="M173" i="40" s="1"/>
  <c r="S173" i="40" s="1"/>
  <c r="M163" i="40" a="1"/>
  <c r="M163" i="40" s="1"/>
  <c r="S163" i="40" s="1"/>
  <c r="M161" i="40" a="1"/>
  <c r="M161" i="40" s="1"/>
  <c r="S161" i="40" s="1"/>
  <c r="M175" i="40" a="1"/>
  <c r="M175" i="40" s="1"/>
  <c r="S175" i="40" s="1"/>
  <c r="M169" i="40" a="1"/>
  <c r="M169" i="40" s="1"/>
  <c r="S169" i="40" s="1"/>
  <c r="M165" i="40" a="1"/>
  <c r="M165" i="40" s="1"/>
  <c r="S165" i="40" s="1"/>
  <c r="M171" i="40" a="1"/>
  <c r="M171" i="40" s="1"/>
  <c r="S171" i="40" s="1"/>
  <c r="O319" i="40" a="1"/>
  <c r="O319" i="40" s="1"/>
  <c r="T319" i="40" s="1"/>
  <c r="O317" i="40" a="1"/>
  <c r="O317" i="40" s="1"/>
  <c r="T317" i="40" s="1"/>
  <c r="O320" i="40" a="1"/>
  <c r="O320" i="40" s="1"/>
  <c r="T320" i="40" s="1"/>
  <c r="O315" i="40" a="1"/>
  <c r="O315" i="40" s="1"/>
  <c r="T315" i="40" s="1"/>
  <c r="O316" i="40" a="1"/>
  <c r="O316" i="40" s="1"/>
  <c r="T316" i="40" s="1"/>
  <c r="O318" i="40" a="1"/>
  <c r="O318" i="40" s="1"/>
  <c r="T318" i="40" s="1"/>
  <c r="O322" i="40" a="1"/>
  <c r="O322" i="40" s="1"/>
  <c r="T322" i="40" s="1"/>
  <c r="O321" i="40" a="1"/>
  <c r="O321" i="40" s="1"/>
  <c r="T321" i="40" s="1"/>
  <c r="O314" i="40" a="1"/>
  <c r="O314" i="40" s="1"/>
  <c r="T314" i="40" s="1"/>
  <c r="O323" i="40" a="1"/>
  <c r="O323" i="40" s="1"/>
  <c r="T323" i="40" s="1"/>
  <c r="H20" i="33"/>
  <c r="N168" i="40" a="1"/>
  <c r="N168" i="40" s="1"/>
  <c r="N164" i="40" a="1"/>
  <c r="N164" i="40" s="1"/>
  <c r="N172" i="40" a="1"/>
  <c r="N172" i="40" s="1"/>
  <c r="N166" i="40" a="1"/>
  <c r="N166" i="40" s="1"/>
  <c r="N170" i="40" a="1"/>
  <c r="N170" i="40" s="1"/>
  <c r="N174" i="40" a="1"/>
  <c r="N174" i="40" s="1"/>
  <c r="G9" i="33"/>
  <c r="N178" i="40" a="1"/>
  <c r="N178" i="40" s="1"/>
  <c r="N180" i="40" a="1"/>
  <c r="N180" i="40" s="1"/>
  <c r="N162" i="40" a="1"/>
  <c r="N162" i="40" s="1"/>
  <c r="N176" i="40" a="1"/>
  <c r="N176" i="40" s="1"/>
  <c r="Q141" i="40" a="1"/>
  <c r="Q141" i="40" s="1"/>
  <c r="U141" i="40" s="1"/>
  <c r="Q143" i="40" a="1"/>
  <c r="Q143" i="40" s="1"/>
  <c r="U143" i="40" s="1"/>
  <c r="Q157" i="40" a="1"/>
  <c r="Q157" i="40" s="1"/>
  <c r="U157" i="40" s="1"/>
  <c r="Q151" i="40" a="1"/>
  <c r="Q151" i="40" s="1"/>
  <c r="U151" i="40" s="1"/>
  <c r="Q139" i="40" a="1"/>
  <c r="Q139" i="40" s="1"/>
  <c r="U139" i="40" s="1"/>
  <c r="Q147" i="40" a="1"/>
  <c r="Q147" i="40" s="1"/>
  <c r="U147" i="40" s="1"/>
  <c r="Q149" i="40" a="1"/>
  <c r="Q149" i="40" s="1"/>
  <c r="U149" i="40" s="1"/>
  <c r="Q145" i="40" a="1"/>
  <c r="Q145" i="40" s="1"/>
  <c r="U145" i="40" s="1"/>
  <c r="Q155" i="40" a="1"/>
  <c r="Q155" i="40" s="1"/>
  <c r="U155" i="40" s="1"/>
  <c r="Q153" i="40" a="1"/>
  <c r="Q153" i="40" s="1"/>
  <c r="U153" i="40" s="1"/>
  <c r="M217" i="40" a="1"/>
  <c r="M217" i="40" s="1"/>
  <c r="S217" i="40" s="1"/>
  <c r="M222" i="40" a="1"/>
  <c r="M222" i="40" s="1"/>
  <c r="S222" i="40" s="1"/>
  <c r="M219" i="40" a="1"/>
  <c r="M219" i="40" s="1"/>
  <c r="S219" i="40" s="1"/>
  <c r="M216" i="40" a="1"/>
  <c r="M216" i="40" s="1"/>
  <c r="S216" i="40" s="1"/>
  <c r="M221" i="40" a="1"/>
  <c r="M221" i="40" s="1"/>
  <c r="S221" i="40" s="1"/>
  <c r="M215" i="40" a="1"/>
  <c r="M215" i="40" s="1"/>
  <c r="S215" i="40" s="1"/>
  <c r="M224" i="40" a="1"/>
  <c r="M224" i="40" s="1"/>
  <c r="S224" i="40" s="1"/>
  <c r="M223" i="40" a="1"/>
  <c r="M223" i="40" s="1"/>
  <c r="S223" i="40" s="1"/>
  <c r="M218" i="40" a="1"/>
  <c r="M218" i="40" s="1"/>
  <c r="S218" i="40" s="1"/>
  <c r="F12" i="33"/>
  <c r="C99" i="52" s="1"/>
  <c r="M220" i="40" a="1"/>
  <c r="M220" i="40" s="1"/>
  <c r="Q6" i="40" a="1"/>
  <c r="Q6" i="40" s="1"/>
  <c r="U6" i="40" s="1"/>
  <c r="Q13" i="40" a="1"/>
  <c r="Q13" i="40" s="1"/>
  <c r="U13" i="40" s="1"/>
  <c r="Q11" i="40" a="1"/>
  <c r="Q11" i="40" s="1"/>
  <c r="U11" i="40" s="1"/>
  <c r="Q9" i="40" a="1"/>
  <c r="Q9" i="40" s="1"/>
  <c r="U9" i="40" s="1"/>
  <c r="Q12" i="40" a="1"/>
  <c r="Q12" i="40" s="1"/>
  <c r="U12" i="40" s="1"/>
  <c r="Q15" i="40" a="1"/>
  <c r="Q15" i="40" s="1"/>
  <c r="U15" i="40" s="1"/>
  <c r="Q10" i="40" a="1"/>
  <c r="Q10" i="40" s="1"/>
  <c r="U10" i="40" s="1"/>
  <c r="Q14" i="40" a="1"/>
  <c r="Q14" i="40" s="1"/>
  <c r="U14" i="40" s="1"/>
  <c r="Q7" i="40" a="1"/>
  <c r="Q7" i="40" s="1"/>
  <c r="U7" i="40" s="1"/>
  <c r="Q8" i="40" a="1"/>
  <c r="Q8" i="40" s="1"/>
  <c r="U8" i="40" s="1"/>
  <c r="Q600" i="40" a="1"/>
  <c r="Q600" i="40" s="1"/>
  <c r="U600" i="40" s="1"/>
  <c r="Q609" i="40" a="1"/>
  <c r="Q609" i="40" s="1"/>
  <c r="U609" i="40" s="1"/>
  <c r="Q612" i="40" a="1"/>
  <c r="Q612" i="40" s="1"/>
  <c r="U612" i="40" s="1"/>
  <c r="Q618" i="40" a="1"/>
  <c r="Q618" i="40" s="1"/>
  <c r="U618" i="40" s="1"/>
  <c r="Q603" i="40" a="1"/>
  <c r="Q603" i="40" s="1"/>
  <c r="U603" i="40" s="1"/>
  <c r="Q597" i="40" a="1"/>
  <c r="Q597" i="40" s="1"/>
  <c r="U597" i="40" s="1"/>
  <c r="Q594" i="40" a="1"/>
  <c r="Q594" i="40" s="1"/>
  <c r="U594" i="40" s="1"/>
  <c r="Q615" i="40" a="1"/>
  <c r="Q615" i="40" s="1"/>
  <c r="U615" i="40" s="1"/>
  <c r="Q606" i="40" a="1"/>
  <c r="Q606" i="40" s="1"/>
  <c r="U606" i="40" s="1"/>
  <c r="Q591" i="40" a="1"/>
  <c r="Q591" i="40" s="1"/>
  <c r="U591" i="40" s="1"/>
  <c r="Q408" i="40" a="1"/>
  <c r="Q408" i="40" s="1"/>
  <c r="U408" i="40" s="1"/>
  <c r="Q420" i="40" a="1"/>
  <c r="Q420" i="40" s="1"/>
  <c r="U420" i="40" s="1"/>
  <c r="Q384" i="40" a="1"/>
  <c r="Q384" i="40" s="1"/>
  <c r="U384" i="40" s="1"/>
  <c r="Q388" i="40" a="1"/>
  <c r="Q388" i="40" s="1"/>
  <c r="U388" i="40" s="1"/>
  <c r="Q396" i="40" a="1"/>
  <c r="Q396" i="40" s="1"/>
  <c r="U396" i="40" s="1"/>
  <c r="Q416" i="40" a="1"/>
  <c r="Q416" i="40" s="1"/>
  <c r="U416" i="40" s="1"/>
  <c r="Q404" i="40" a="1"/>
  <c r="Q404" i="40" s="1"/>
  <c r="U404" i="40" s="1"/>
  <c r="Q392" i="40" a="1"/>
  <c r="Q392" i="40" s="1"/>
  <c r="U392" i="40" s="1"/>
  <c r="Q400" i="40" a="1"/>
  <c r="Q400" i="40" s="1"/>
  <c r="U400" i="40" s="1"/>
  <c r="Q412" i="40" a="1"/>
  <c r="Q412" i="40" s="1"/>
  <c r="U412" i="40" s="1"/>
  <c r="M98" i="40" a="1"/>
  <c r="M98" i="40" s="1"/>
  <c r="S98" i="40" s="1"/>
  <c r="M94" i="40" a="1"/>
  <c r="M94" i="40" s="1"/>
  <c r="S94" i="40" s="1"/>
  <c r="M95" i="40" a="1"/>
  <c r="M95" i="40" s="1"/>
  <c r="S95" i="40" s="1"/>
  <c r="F6" i="33"/>
  <c r="C97" i="52" s="1"/>
  <c r="M100" i="40" a="1"/>
  <c r="M100" i="40" s="1"/>
  <c r="S100" i="40" s="1"/>
  <c r="M97" i="40" a="1"/>
  <c r="M97" i="40" s="1"/>
  <c r="M102" i="40" a="1"/>
  <c r="M102" i="40" s="1"/>
  <c r="S102" i="40" s="1"/>
  <c r="M101" i="40" a="1"/>
  <c r="M101" i="40" s="1"/>
  <c r="M103" i="40" a="1"/>
  <c r="M103" i="40" s="1"/>
  <c r="S103" i="40" s="1"/>
  <c r="M99" i="40" a="1"/>
  <c r="M99" i="40" s="1"/>
  <c r="S99" i="40" s="1"/>
  <c r="M96" i="40" a="1"/>
  <c r="M96" i="40" s="1"/>
  <c r="S96" i="40" s="1"/>
  <c r="N158" i="40" a="1"/>
  <c r="N158" i="40" s="1"/>
  <c r="N156" i="40" a="1"/>
  <c r="N156" i="40" s="1"/>
  <c r="N148" i="40" a="1"/>
  <c r="N148" i="40" s="1"/>
  <c r="N150" i="40" a="1"/>
  <c r="N150" i="40" s="1"/>
  <c r="N154" i="40" a="1"/>
  <c r="N154" i="40" s="1"/>
  <c r="N152" i="40" a="1"/>
  <c r="N152" i="40" s="1"/>
  <c r="N140" i="40" a="1"/>
  <c r="N140" i="40" s="1"/>
  <c r="N142" i="40" a="1"/>
  <c r="N142" i="40" s="1"/>
  <c r="N144" i="40" a="1"/>
  <c r="N144" i="40" s="1"/>
  <c r="N146" i="40" a="1"/>
  <c r="N146" i="40" s="1"/>
  <c r="L16" i="8"/>
  <c r="M16" i="8"/>
  <c r="Y16" i="8" s="1"/>
  <c r="R390" i="40" a="1"/>
  <c r="R390" i="40" s="1"/>
  <c r="V390" i="40" s="1"/>
  <c r="R394" i="40" a="1"/>
  <c r="R394" i="40" s="1"/>
  <c r="V394" i="40" s="1"/>
  <c r="R422" i="40" a="1"/>
  <c r="R422" i="40" s="1"/>
  <c r="V422" i="40" s="1"/>
  <c r="R418" i="40" a="1"/>
  <c r="R418" i="40" s="1"/>
  <c r="V418" i="40" s="1"/>
  <c r="R406" i="40" a="1"/>
  <c r="R406" i="40" s="1"/>
  <c r="V406" i="40" s="1"/>
  <c r="R410" i="40" a="1"/>
  <c r="R410" i="40" s="1"/>
  <c r="V410" i="40" s="1"/>
  <c r="R386" i="40" a="1"/>
  <c r="R386" i="40" s="1"/>
  <c r="V386" i="40" s="1"/>
  <c r="R402" i="40" a="1"/>
  <c r="R402" i="40" s="1"/>
  <c r="V402" i="40" s="1"/>
  <c r="R414" i="40" a="1"/>
  <c r="R414" i="40" s="1"/>
  <c r="V414" i="40" s="1"/>
  <c r="R398" i="40" a="1"/>
  <c r="R398" i="40" s="1"/>
  <c r="V398" i="40" s="1"/>
  <c r="R533" i="40" a="1"/>
  <c r="R533" i="40" s="1"/>
  <c r="V533" i="40" s="1"/>
  <c r="R539" i="40" a="1"/>
  <c r="R539" i="40" s="1"/>
  <c r="V539" i="40" s="1"/>
  <c r="R551" i="40" a="1"/>
  <c r="R551" i="40" s="1"/>
  <c r="V551" i="40" s="1"/>
  <c r="R530" i="40" a="1"/>
  <c r="R530" i="40" s="1"/>
  <c r="V530" i="40" s="1"/>
  <c r="R536" i="40" a="1"/>
  <c r="R536" i="40" s="1"/>
  <c r="V536" i="40" s="1"/>
  <c r="R548" i="40" a="1"/>
  <c r="R548" i="40" s="1"/>
  <c r="V548" i="40" s="1"/>
  <c r="R542" i="40" a="1"/>
  <c r="R542" i="40" s="1"/>
  <c r="V542" i="40" s="1"/>
  <c r="R527" i="40" a="1"/>
  <c r="R527" i="40" s="1"/>
  <c r="V527" i="40" s="1"/>
  <c r="R554" i="40" a="1"/>
  <c r="R554" i="40" s="1"/>
  <c r="V554" i="40" s="1"/>
  <c r="R545" i="40" a="1"/>
  <c r="R545" i="40" s="1"/>
  <c r="V545" i="40" s="1"/>
  <c r="Q418" i="40" a="1"/>
  <c r="Q418" i="40" s="1"/>
  <c r="U418" i="40" s="1"/>
  <c r="Q394" i="40" a="1"/>
  <c r="Q394" i="40" s="1"/>
  <c r="U394" i="40" s="1"/>
  <c r="Q406" i="40" a="1"/>
  <c r="Q406" i="40" s="1"/>
  <c r="U406" i="40" s="1"/>
  <c r="Q422" i="40" a="1"/>
  <c r="Q422" i="40" s="1"/>
  <c r="U422" i="40" s="1"/>
  <c r="Q414" i="40" a="1"/>
  <c r="Q414" i="40" s="1"/>
  <c r="U414" i="40" s="1"/>
  <c r="Q410" i="40" a="1"/>
  <c r="Q410" i="40" s="1"/>
  <c r="U410" i="40" s="1"/>
  <c r="Q390" i="40" a="1"/>
  <c r="Q390" i="40" s="1"/>
  <c r="U390" i="40" s="1"/>
  <c r="Q398" i="40" a="1"/>
  <c r="Q398" i="40" s="1"/>
  <c r="U398" i="40" s="1"/>
  <c r="Q402" i="40" a="1"/>
  <c r="Q402" i="40" s="1"/>
  <c r="U402" i="40" s="1"/>
  <c r="Q386" i="40" a="1"/>
  <c r="Q386" i="40" s="1"/>
  <c r="U386" i="40" s="1"/>
  <c r="N506" i="40" a="1"/>
  <c r="N506" i="40" s="1"/>
  <c r="N504" i="40" a="1"/>
  <c r="N504" i="40" s="1"/>
  <c r="N514" i="40" a="1"/>
  <c r="N514" i="40" s="1"/>
  <c r="N510" i="40" a="1"/>
  <c r="N510" i="40" s="1"/>
  <c r="N502" i="40" a="1"/>
  <c r="N502" i="40" s="1"/>
  <c r="N516" i="40" a="1"/>
  <c r="N516" i="40" s="1"/>
  <c r="N508" i="40" a="1"/>
  <c r="N508" i="40" s="1"/>
  <c r="N520" i="40" a="1"/>
  <c r="N520" i="40" s="1"/>
  <c r="N518" i="40" a="1"/>
  <c r="N518" i="40" s="1"/>
  <c r="N512" i="40" a="1"/>
  <c r="N512" i="40" s="1"/>
  <c r="S8" i="8"/>
  <c r="S17" i="8"/>
  <c r="R586" i="40" a="1"/>
  <c r="R586" i="40" s="1"/>
  <c r="V586" i="40" s="1"/>
  <c r="R580" i="40" a="1"/>
  <c r="R580" i="40" s="1"/>
  <c r="V580" i="40" s="1"/>
  <c r="R579" i="40" a="1"/>
  <c r="R579" i="40" s="1"/>
  <c r="V579" i="40" s="1"/>
  <c r="R582" i="40" a="1"/>
  <c r="R582" i="40" s="1"/>
  <c r="V582" i="40" s="1"/>
  <c r="R581" i="40" a="1"/>
  <c r="R581" i="40" s="1"/>
  <c r="V581" i="40" s="1"/>
  <c r="R585" i="40" a="1"/>
  <c r="R585" i="40" s="1"/>
  <c r="V585" i="40" s="1"/>
  <c r="R587" i="40" a="1"/>
  <c r="R587" i="40" s="1"/>
  <c r="V587" i="40" s="1"/>
  <c r="R583" i="40" a="1"/>
  <c r="R583" i="40" s="1"/>
  <c r="V583" i="40" s="1"/>
  <c r="R584" i="40" a="1"/>
  <c r="R584" i="40" s="1"/>
  <c r="V584" i="40" s="1"/>
  <c r="R578" i="40" a="1"/>
  <c r="R578" i="40" s="1"/>
  <c r="V578" i="40" s="1"/>
  <c r="N42" i="40" a="1"/>
  <c r="N42" i="40" s="1"/>
  <c r="N41" i="40" a="1"/>
  <c r="N41" i="40" s="1"/>
  <c r="N45" i="40" a="1"/>
  <c r="N45" i="40" s="1"/>
  <c r="N48" i="40" a="1"/>
  <c r="N48" i="40" s="1"/>
  <c r="N44" i="40" a="1"/>
  <c r="N44" i="40" s="1"/>
  <c r="N47" i="40" a="1"/>
  <c r="N47" i="40" s="1"/>
  <c r="N39" i="40" a="1"/>
  <c r="N39" i="40" s="1"/>
  <c r="N40" i="40" a="1"/>
  <c r="N40" i="40" s="1"/>
  <c r="N43" i="40" a="1"/>
  <c r="N43" i="40" s="1"/>
  <c r="N46" i="40" a="1"/>
  <c r="N46" i="40" s="1"/>
  <c r="M602" i="40" a="1"/>
  <c r="M602" i="40" s="1"/>
  <c r="S602" i="40" s="1"/>
  <c r="M614" i="40" a="1"/>
  <c r="M614" i="40" s="1"/>
  <c r="S614" i="40" s="1"/>
  <c r="M611" i="40" a="1"/>
  <c r="M611" i="40" s="1"/>
  <c r="S611" i="40" s="1"/>
  <c r="M617" i="40" a="1"/>
  <c r="M617" i="40" s="1"/>
  <c r="S617" i="40" s="1"/>
  <c r="M596" i="40" a="1"/>
  <c r="M596" i="40" s="1"/>
  <c r="S596" i="40" s="1"/>
  <c r="M608" i="40" a="1"/>
  <c r="M608" i="40" s="1"/>
  <c r="S608" i="40" s="1"/>
  <c r="M599" i="40" a="1"/>
  <c r="M599" i="40" s="1"/>
  <c r="S599" i="40" s="1"/>
  <c r="M620" i="40" a="1"/>
  <c r="M620" i="40" s="1"/>
  <c r="S620" i="40" s="1"/>
  <c r="M593" i="40" a="1"/>
  <c r="M593" i="40" s="1"/>
  <c r="S593" i="40" s="1"/>
  <c r="M605" i="40" a="1"/>
  <c r="M605" i="40" s="1"/>
  <c r="S605" i="40" s="1"/>
  <c r="M187" i="40" a="1"/>
  <c r="M187" i="40" s="1"/>
  <c r="S187" i="40" s="1"/>
  <c r="M185" i="40" a="1"/>
  <c r="M185" i="40" s="1"/>
  <c r="M190" i="40" a="1"/>
  <c r="M190" i="40" s="1"/>
  <c r="S190" i="40" s="1"/>
  <c r="M189" i="40" a="1"/>
  <c r="M189" i="40" s="1"/>
  <c r="M188" i="40" a="1"/>
  <c r="M188" i="40" s="1"/>
  <c r="S188" i="40" s="1"/>
  <c r="M186" i="40" a="1"/>
  <c r="M186" i="40" s="1"/>
  <c r="S186" i="40" s="1"/>
  <c r="M182" i="40" a="1"/>
  <c r="M182" i="40" s="1"/>
  <c r="S182" i="40" s="1"/>
  <c r="M191" i="40" a="1"/>
  <c r="M191" i="40" s="1"/>
  <c r="S191" i="40" s="1"/>
  <c r="M183" i="40" a="1"/>
  <c r="M183" i="40" s="1"/>
  <c r="S183" i="40" s="1"/>
  <c r="M184" i="40" a="1"/>
  <c r="M184" i="40" s="1"/>
  <c r="S184" i="40" s="1"/>
  <c r="F10" i="33"/>
  <c r="C103" i="52" s="1"/>
  <c r="N177" i="40" a="1"/>
  <c r="N177" i="40" s="1"/>
  <c r="N161" i="40" a="1"/>
  <c r="N161" i="40" s="1"/>
  <c r="N175" i="40" a="1"/>
  <c r="N175" i="40" s="1"/>
  <c r="N173" i="40" a="1"/>
  <c r="N173" i="40" s="1"/>
  <c r="N167" i="40" a="1"/>
  <c r="N167" i="40" s="1"/>
  <c r="N165" i="40" a="1"/>
  <c r="N165" i="40" s="1"/>
  <c r="N163" i="40" a="1"/>
  <c r="N163" i="40" s="1"/>
  <c r="N169" i="40" a="1"/>
  <c r="N169" i="40" s="1"/>
  <c r="N179" i="40" a="1"/>
  <c r="N179" i="40" s="1"/>
  <c r="N171" i="40" a="1"/>
  <c r="N171" i="40" s="1"/>
  <c r="M573" i="40" a="1"/>
  <c r="M573" i="40" s="1"/>
  <c r="S573" i="40" s="1"/>
  <c r="M563" i="40" a="1"/>
  <c r="M563" i="40" s="1"/>
  <c r="S563" i="40" s="1"/>
  <c r="M557" i="40" a="1"/>
  <c r="M557" i="40" s="1"/>
  <c r="S557" i="40" s="1"/>
  <c r="M565" i="40" a="1"/>
  <c r="M565" i="40" s="1"/>
  <c r="S565" i="40" s="1"/>
  <c r="M567" i="40" a="1"/>
  <c r="M567" i="40" s="1"/>
  <c r="S567" i="40" s="1"/>
  <c r="M575" i="40" a="1"/>
  <c r="M575" i="40" s="1"/>
  <c r="S575" i="40" s="1"/>
  <c r="M569" i="40" a="1"/>
  <c r="M569" i="40" s="1"/>
  <c r="S569" i="40" s="1"/>
  <c r="M571" i="40" a="1"/>
  <c r="M571" i="40" s="1"/>
  <c r="S571" i="40" s="1"/>
  <c r="M559" i="40" a="1"/>
  <c r="M559" i="40" s="1"/>
  <c r="S559" i="40" s="1"/>
  <c r="F32" i="33"/>
  <c r="M561" i="40" a="1"/>
  <c r="M561" i="40" s="1"/>
  <c r="S561" i="40" s="1"/>
  <c r="R636" i="40" a="1"/>
  <c r="R636" i="40" s="1"/>
  <c r="V636" i="40" s="1"/>
  <c r="R635" i="40" a="1"/>
  <c r="R635" i="40" s="1"/>
  <c r="V635" i="40" s="1"/>
  <c r="R638" i="40" a="1"/>
  <c r="R638" i="40" s="1"/>
  <c r="V638" i="40" s="1"/>
  <c r="R637" i="40" a="1"/>
  <c r="R637" i="40" s="1"/>
  <c r="V637" i="40" s="1"/>
  <c r="R639" i="40" a="1"/>
  <c r="R639" i="40" s="1"/>
  <c r="V639" i="40" s="1"/>
  <c r="R641" i="40" a="1"/>
  <c r="R641" i="40" s="1"/>
  <c r="V641" i="40" s="1"/>
  <c r="R634" i="40" a="1"/>
  <c r="R634" i="40" s="1"/>
  <c r="V634" i="40" s="1"/>
  <c r="R640" i="40" a="1"/>
  <c r="R640" i="40" s="1"/>
  <c r="V640" i="40" s="1"/>
  <c r="R633" i="40" a="1"/>
  <c r="R633" i="40" s="1"/>
  <c r="V633" i="40" s="1"/>
  <c r="R642" i="40" a="1"/>
  <c r="R642" i="40" s="1"/>
  <c r="V642" i="40" s="1"/>
  <c r="L35" i="8"/>
  <c r="M35" i="8"/>
  <c r="Y35" i="8" s="1"/>
  <c r="L25" i="8"/>
  <c r="M25" i="8"/>
  <c r="Y25" i="8" s="1"/>
  <c r="O340" i="40" a="1"/>
  <c r="O340" i="40" s="1"/>
  <c r="T340" i="40" s="1"/>
  <c r="O368" i="40" a="1"/>
  <c r="O368" i="40" s="1"/>
  <c r="T368" i="40" s="1"/>
  <c r="O360" i="40" a="1"/>
  <c r="O360" i="40" s="1"/>
  <c r="T360" i="40" s="1"/>
  <c r="O372" i="40" a="1"/>
  <c r="O372" i="40" s="1"/>
  <c r="T372" i="40" s="1"/>
  <c r="O376" i="40" a="1"/>
  <c r="O376" i="40" s="1"/>
  <c r="T376" i="40" s="1"/>
  <c r="O348" i="40" a="1"/>
  <c r="O348" i="40" s="1"/>
  <c r="T348" i="40" s="1"/>
  <c r="O352" i="40" a="1"/>
  <c r="O352" i="40" s="1"/>
  <c r="T352" i="40" s="1"/>
  <c r="O356" i="40" a="1"/>
  <c r="O356" i="40" s="1"/>
  <c r="T356" i="40" s="1"/>
  <c r="O364" i="40" a="1"/>
  <c r="O364" i="40" s="1"/>
  <c r="T364" i="40" s="1"/>
  <c r="O344" i="40" a="1"/>
  <c r="O344" i="40" s="1"/>
  <c r="T344" i="40" s="1"/>
  <c r="C13" i="34"/>
  <c r="R326" i="40" a="1"/>
  <c r="R326" i="40" s="1"/>
  <c r="V326" i="40" s="1"/>
  <c r="R331" i="40" a="1"/>
  <c r="R331" i="40" s="1"/>
  <c r="V331" i="40" s="1"/>
  <c r="R332" i="40" a="1"/>
  <c r="R332" i="40" s="1"/>
  <c r="V332" i="40" s="1"/>
  <c r="R333" i="40" a="1"/>
  <c r="R333" i="40" s="1"/>
  <c r="V333" i="40" s="1"/>
  <c r="R327" i="40" a="1"/>
  <c r="R327" i="40" s="1"/>
  <c r="V327" i="40" s="1"/>
  <c r="R330" i="40" a="1"/>
  <c r="R330" i="40" s="1"/>
  <c r="V330" i="40" s="1"/>
  <c r="R329" i="40" a="1"/>
  <c r="R329" i="40" s="1"/>
  <c r="V329" i="40" s="1"/>
  <c r="R325" i="40" a="1"/>
  <c r="R325" i="40" s="1"/>
  <c r="V325" i="40" s="1"/>
  <c r="R334" i="40" a="1"/>
  <c r="R334" i="40" s="1"/>
  <c r="V334" i="40" s="1"/>
  <c r="R328" i="40" a="1"/>
  <c r="R328" i="40" s="1"/>
  <c r="V328" i="40" s="1"/>
  <c r="N97" i="40" a="1"/>
  <c r="N97" i="40" s="1"/>
  <c r="N94" i="40" a="1"/>
  <c r="N94" i="40" s="1"/>
  <c r="N98" i="40" a="1"/>
  <c r="N98" i="40" s="1"/>
  <c r="N95" i="40" a="1"/>
  <c r="N95" i="40" s="1"/>
  <c r="G6" i="33"/>
  <c r="N99" i="40" a="1"/>
  <c r="N99" i="40" s="1"/>
  <c r="N102" i="40" a="1"/>
  <c r="N102" i="40" s="1"/>
  <c r="N96" i="40" a="1"/>
  <c r="N96" i="40" s="1"/>
  <c r="N103" i="40" a="1"/>
  <c r="N103" i="40" s="1"/>
  <c r="N100" i="40" a="1"/>
  <c r="N100" i="40" s="1"/>
  <c r="N101" i="40" a="1"/>
  <c r="N101" i="40" s="1"/>
  <c r="M148" i="40" a="1"/>
  <c r="M148" i="40" s="1"/>
  <c r="S148" i="40" s="1"/>
  <c r="M152" i="40" a="1"/>
  <c r="M152" i="40" s="1"/>
  <c r="S152" i="40" s="1"/>
  <c r="M142" i="40" a="1"/>
  <c r="M142" i="40" s="1"/>
  <c r="S142" i="40" s="1"/>
  <c r="M146" i="40" a="1"/>
  <c r="M146" i="40" s="1"/>
  <c r="S146" i="40" s="1"/>
  <c r="M156" i="40" a="1"/>
  <c r="M156" i="40" s="1"/>
  <c r="S156" i="40" s="1"/>
  <c r="M140" i="40" a="1"/>
  <c r="M140" i="40" s="1"/>
  <c r="S140" i="40" s="1"/>
  <c r="M154" i="40" a="1"/>
  <c r="M154" i="40" s="1"/>
  <c r="S154" i="40" s="1"/>
  <c r="M150" i="40" a="1"/>
  <c r="M150" i="40" s="1"/>
  <c r="S150" i="40" s="1"/>
  <c r="M144" i="40" a="1"/>
  <c r="M144" i="40" s="1"/>
  <c r="S144" i="40" s="1"/>
  <c r="M158" i="40" a="1"/>
  <c r="M158" i="40" s="1"/>
  <c r="S158" i="40" s="1"/>
  <c r="O78" i="3"/>
  <c r="O389" i="40" a="1"/>
  <c r="O389" i="40" s="1"/>
  <c r="T389" i="40" s="1"/>
  <c r="O409" i="40" a="1"/>
  <c r="O409" i="40" s="1"/>
  <c r="T409" i="40" s="1"/>
  <c r="O413" i="40" a="1"/>
  <c r="O413" i="40" s="1"/>
  <c r="T413" i="40" s="1"/>
  <c r="O417" i="40" a="1"/>
  <c r="O417" i="40" s="1"/>
  <c r="T417" i="40" s="1"/>
  <c r="O393" i="40" a="1"/>
  <c r="O393" i="40" s="1"/>
  <c r="T393" i="40" s="1"/>
  <c r="O401" i="40" a="1"/>
  <c r="O401" i="40" s="1"/>
  <c r="T401" i="40" s="1"/>
  <c r="O421" i="40" a="1"/>
  <c r="O421" i="40" s="1"/>
  <c r="T421" i="40" s="1"/>
  <c r="O385" i="40" a="1"/>
  <c r="O385" i="40" s="1"/>
  <c r="T385" i="40" s="1"/>
  <c r="O397" i="40" a="1"/>
  <c r="O397" i="40" s="1"/>
  <c r="T397" i="40" s="1"/>
  <c r="O405" i="40" a="1"/>
  <c r="O405" i="40" s="1"/>
  <c r="T405" i="40" s="1"/>
  <c r="M32" i="8"/>
  <c r="Y32" i="8" s="1"/>
  <c r="L32" i="8"/>
  <c r="O532" i="40" a="1"/>
  <c r="O532" i="40" s="1"/>
  <c r="T532" i="40" s="1"/>
  <c r="O544" i="40" a="1"/>
  <c r="O544" i="40" s="1"/>
  <c r="T544" i="40" s="1"/>
  <c r="O553" i="40" a="1"/>
  <c r="O553" i="40" s="1"/>
  <c r="T553" i="40" s="1"/>
  <c r="O529" i="40" a="1"/>
  <c r="O529" i="40" s="1"/>
  <c r="T529" i="40" s="1"/>
  <c r="O550" i="40" a="1"/>
  <c r="O550" i="40" s="1"/>
  <c r="T550" i="40" s="1"/>
  <c r="O526" i="40" a="1"/>
  <c r="O526" i="40" s="1"/>
  <c r="T526" i="40" s="1"/>
  <c r="O541" i="40" a="1"/>
  <c r="O541" i="40" s="1"/>
  <c r="T541" i="40" s="1"/>
  <c r="O538" i="40" a="1"/>
  <c r="O538" i="40" s="1"/>
  <c r="T538" i="40" s="1"/>
  <c r="O535" i="40" a="1"/>
  <c r="O535" i="40" s="1"/>
  <c r="T535" i="40" s="1"/>
  <c r="O547" i="40" a="1"/>
  <c r="O547" i="40" s="1"/>
  <c r="T547" i="40" s="1"/>
  <c r="Q355" i="40" a="1"/>
  <c r="Q355" i="40" s="1"/>
  <c r="U355" i="40" s="1"/>
  <c r="Q375" i="40" a="1"/>
  <c r="Q375" i="40" s="1"/>
  <c r="U375" i="40" s="1"/>
  <c r="Q367" i="40" a="1"/>
  <c r="Q367" i="40" s="1"/>
  <c r="U367" i="40" s="1"/>
  <c r="Q371" i="40" a="1"/>
  <c r="Q371" i="40" s="1"/>
  <c r="U371" i="40" s="1"/>
  <c r="Q359" i="40" a="1"/>
  <c r="Q359" i="40" s="1"/>
  <c r="U359" i="40" s="1"/>
  <c r="Q339" i="40" a="1"/>
  <c r="Q339" i="40" s="1"/>
  <c r="U339" i="40" s="1"/>
  <c r="Q351" i="40" a="1"/>
  <c r="Q351" i="40" s="1"/>
  <c r="U351" i="40" s="1"/>
  <c r="Q347" i="40" a="1"/>
  <c r="Q347" i="40" s="1"/>
  <c r="U347" i="40" s="1"/>
  <c r="Q343" i="40" a="1"/>
  <c r="Q343" i="40" s="1"/>
  <c r="U343" i="40" s="1"/>
  <c r="Q363" i="40" a="1"/>
  <c r="Q363" i="40" s="1"/>
  <c r="U363" i="40" s="1"/>
  <c r="Q599" i="40" a="1"/>
  <c r="Q599" i="40" s="1"/>
  <c r="U599" i="40" s="1"/>
  <c r="Q611" i="40" a="1"/>
  <c r="Q611" i="40" s="1"/>
  <c r="U611" i="40" s="1"/>
  <c r="Q608" i="40" a="1"/>
  <c r="Q608" i="40" s="1"/>
  <c r="U608" i="40" s="1"/>
  <c r="Q593" i="40" a="1"/>
  <c r="Q593" i="40" s="1"/>
  <c r="U593" i="40" s="1"/>
  <c r="Q596" i="40" a="1"/>
  <c r="Q596" i="40" s="1"/>
  <c r="U596" i="40" s="1"/>
  <c r="Q620" i="40" a="1"/>
  <c r="Q620" i="40" s="1"/>
  <c r="U620" i="40" s="1"/>
  <c r="Q605" i="40" a="1"/>
  <c r="Q605" i="40" s="1"/>
  <c r="U605" i="40" s="1"/>
  <c r="Q614" i="40" a="1"/>
  <c r="Q614" i="40" s="1"/>
  <c r="U614" i="40" s="1"/>
  <c r="Q602" i="40" a="1"/>
  <c r="Q602" i="40" s="1"/>
  <c r="U602" i="40" s="1"/>
  <c r="Q617" i="40" a="1"/>
  <c r="Q617" i="40" s="1"/>
  <c r="U617" i="40" s="1"/>
  <c r="M482" i="40" a="1"/>
  <c r="M482" i="40" s="1"/>
  <c r="S482" i="40" s="1"/>
  <c r="M490" i="40" a="1"/>
  <c r="M490" i="40" s="1"/>
  <c r="S490" i="40" s="1"/>
  <c r="M496" i="40" a="1"/>
  <c r="M496" i="40" s="1"/>
  <c r="S496" i="40" s="1"/>
  <c r="M498" i="40" a="1"/>
  <c r="M498" i="40" s="1"/>
  <c r="S498" i="40" s="1"/>
  <c r="M492" i="40" a="1"/>
  <c r="M492" i="40" s="1"/>
  <c r="S492" i="40" s="1"/>
  <c r="M480" i="40" a="1"/>
  <c r="M480" i="40" s="1"/>
  <c r="S480" i="40" s="1"/>
  <c r="M488" i="40" a="1"/>
  <c r="M488" i="40" s="1"/>
  <c r="S488" i="40" s="1"/>
  <c r="M484" i="40" a="1"/>
  <c r="M484" i="40" s="1"/>
  <c r="S484" i="40" s="1"/>
  <c r="M494" i="40" a="1"/>
  <c r="M494" i="40" s="1"/>
  <c r="S494" i="40" s="1"/>
  <c r="M486" i="40" a="1"/>
  <c r="M486" i="40" s="1"/>
  <c r="S486" i="40" s="1"/>
  <c r="N10" i="40" a="1"/>
  <c r="N10" i="40" s="1"/>
  <c r="N9" i="40" a="1"/>
  <c r="N9" i="40" s="1"/>
  <c r="N12" i="40" a="1"/>
  <c r="N12" i="40" s="1"/>
  <c r="N7" i="40" a="1"/>
  <c r="N7" i="40" s="1"/>
  <c r="N15" i="40" a="1"/>
  <c r="N15" i="40" s="1"/>
  <c r="N13" i="40" a="1"/>
  <c r="N13" i="40" s="1"/>
  <c r="N11" i="40" a="1"/>
  <c r="N11" i="40" s="1"/>
  <c r="N6" i="40" a="1"/>
  <c r="N6" i="40" s="1"/>
  <c r="N14" i="40" a="1"/>
  <c r="N14" i="40" s="1"/>
  <c r="G26" i="33"/>
  <c r="N8" i="40" a="1"/>
  <c r="N8" i="40" s="1"/>
  <c r="N370" i="40" a="1"/>
  <c r="N370" i="40" s="1"/>
  <c r="N346" i="40" a="1"/>
  <c r="N346" i="40" s="1"/>
  <c r="N378" i="40" a="1"/>
  <c r="N378" i="40" s="1"/>
  <c r="N354" i="40" a="1"/>
  <c r="N354" i="40" s="1"/>
  <c r="N358" i="40" a="1"/>
  <c r="N358" i="40" s="1"/>
  <c r="N374" i="40" a="1"/>
  <c r="N374" i="40" s="1"/>
  <c r="N366" i="40" a="1"/>
  <c r="N366" i="40" s="1"/>
  <c r="N362" i="40" a="1"/>
  <c r="N362" i="40" s="1"/>
  <c r="N350" i="40" a="1"/>
  <c r="N350" i="40" s="1"/>
  <c r="N342" i="40" a="1"/>
  <c r="N342" i="40" s="1"/>
  <c r="M53" i="8"/>
  <c r="L53" i="8"/>
  <c r="N8" i="31" s="1"/>
  <c r="O584" i="40" a="1"/>
  <c r="O584" i="40" s="1"/>
  <c r="T584" i="40" s="1"/>
  <c r="O582" i="40" a="1"/>
  <c r="O582" i="40" s="1"/>
  <c r="T582" i="40" s="1"/>
  <c r="O581" i="40" a="1"/>
  <c r="O581" i="40" s="1"/>
  <c r="T581" i="40" s="1"/>
  <c r="O583" i="40" a="1"/>
  <c r="O583" i="40" s="1"/>
  <c r="T583" i="40" s="1"/>
  <c r="O587" i="40" a="1"/>
  <c r="O587" i="40" s="1"/>
  <c r="T587" i="40" s="1"/>
  <c r="O585" i="40" a="1"/>
  <c r="O585" i="40" s="1"/>
  <c r="T585" i="40" s="1"/>
  <c r="O580" i="40" a="1"/>
  <c r="O580" i="40" s="1"/>
  <c r="T580" i="40" s="1"/>
  <c r="O586" i="40" a="1"/>
  <c r="O586" i="40" s="1"/>
  <c r="T586" i="40" s="1"/>
  <c r="O579" i="40" a="1"/>
  <c r="O579" i="40" s="1"/>
  <c r="T579" i="40" s="1"/>
  <c r="O578" i="40" a="1"/>
  <c r="O578" i="40" s="1"/>
  <c r="T578" i="40" s="1"/>
  <c r="H33" i="33"/>
  <c r="I10" i="44" s="1"/>
  <c r="R129" i="40" a="1"/>
  <c r="R129" i="40" s="1"/>
  <c r="V129" i="40" s="1"/>
  <c r="R132" i="40" a="1"/>
  <c r="R132" i="40" s="1"/>
  <c r="V132" i="40" s="1"/>
  <c r="R123" i="40" a="1"/>
  <c r="R123" i="40" s="1"/>
  <c r="V123" i="40" s="1"/>
  <c r="R114" i="40" a="1"/>
  <c r="R114" i="40" s="1"/>
  <c r="V114" i="40" s="1"/>
  <c r="R120" i="40" a="1"/>
  <c r="R120" i="40" s="1"/>
  <c r="V120" i="40" s="1"/>
  <c r="R108" i="40" a="1"/>
  <c r="R108" i="40" s="1"/>
  <c r="V108" i="40" s="1"/>
  <c r="R135" i="40" a="1"/>
  <c r="R135" i="40" s="1"/>
  <c r="V135" i="40" s="1"/>
  <c r="R126" i="40" a="1"/>
  <c r="R126" i="40" s="1"/>
  <c r="V126" i="40" s="1"/>
  <c r="R111" i="40" a="1"/>
  <c r="R111" i="40" s="1"/>
  <c r="V111" i="40" s="1"/>
  <c r="R117" i="40" a="1"/>
  <c r="R117" i="40" s="1"/>
  <c r="V117" i="40" s="1"/>
  <c r="Q38" i="8"/>
  <c r="Q8" i="8"/>
  <c r="AA8" i="8" s="1"/>
  <c r="Q109" i="40" a="1"/>
  <c r="Q109" i="40" s="1"/>
  <c r="U109" i="40" s="1"/>
  <c r="Q124" i="40" a="1"/>
  <c r="Q124" i="40" s="1"/>
  <c r="U124" i="40" s="1"/>
  <c r="Q130" i="40" a="1"/>
  <c r="Q130" i="40" s="1"/>
  <c r="U130" i="40" s="1"/>
  <c r="Q136" i="40" a="1"/>
  <c r="Q136" i="40" s="1"/>
  <c r="U136" i="40" s="1"/>
  <c r="Q133" i="40" a="1"/>
  <c r="Q133" i="40" s="1"/>
  <c r="U133" i="40" s="1"/>
  <c r="Q121" i="40" a="1"/>
  <c r="Q121" i="40" s="1"/>
  <c r="U121" i="40" s="1"/>
  <c r="Q118" i="40" a="1"/>
  <c r="Q118" i="40" s="1"/>
  <c r="U118" i="40" s="1"/>
  <c r="Q112" i="40" a="1"/>
  <c r="Q112" i="40" s="1"/>
  <c r="U112" i="40" s="1"/>
  <c r="Q127" i="40" a="1"/>
  <c r="Q127" i="40" s="1"/>
  <c r="U127" i="40" s="1"/>
  <c r="Q115" i="40" a="1"/>
  <c r="Q115" i="40" s="1"/>
  <c r="U115" i="40" s="1"/>
  <c r="O398" i="40" a="1"/>
  <c r="O398" i="40" s="1"/>
  <c r="T398" i="40" s="1"/>
  <c r="O386" i="40" a="1"/>
  <c r="O386" i="40" s="1"/>
  <c r="T386" i="40" s="1"/>
  <c r="O394" i="40" a="1"/>
  <c r="O394" i="40" s="1"/>
  <c r="T394" i="40" s="1"/>
  <c r="O422" i="40" a="1"/>
  <c r="O422" i="40" s="1"/>
  <c r="T422" i="40" s="1"/>
  <c r="O414" i="40" a="1"/>
  <c r="O414" i="40" s="1"/>
  <c r="T414" i="40" s="1"/>
  <c r="O410" i="40" a="1"/>
  <c r="O410" i="40" s="1"/>
  <c r="T410" i="40" s="1"/>
  <c r="O418" i="40" a="1"/>
  <c r="O418" i="40" s="1"/>
  <c r="T418" i="40" s="1"/>
  <c r="O390" i="40" a="1"/>
  <c r="O390" i="40" s="1"/>
  <c r="T390" i="40" s="1"/>
  <c r="O402" i="40" a="1"/>
  <c r="O402" i="40" s="1"/>
  <c r="T402" i="40" s="1"/>
  <c r="O406" i="40" a="1"/>
  <c r="O406" i="40" s="1"/>
  <c r="T406" i="40" s="1"/>
  <c r="M261" i="40" a="1"/>
  <c r="M261" i="40" s="1"/>
  <c r="S261" i="40" s="1"/>
  <c r="M267" i="40" a="1"/>
  <c r="M267" i="40" s="1"/>
  <c r="S267" i="40" s="1"/>
  <c r="M266" i="40" a="1"/>
  <c r="M266" i="40" s="1"/>
  <c r="S266" i="40" s="1"/>
  <c r="M265" i="40" a="1"/>
  <c r="M265" i="40" s="1"/>
  <c r="S265" i="40" s="1"/>
  <c r="M260" i="40" a="1"/>
  <c r="M260" i="40" s="1"/>
  <c r="S260" i="40" s="1"/>
  <c r="M263" i="40" a="1"/>
  <c r="M263" i="40" s="1"/>
  <c r="S263" i="40" s="1"/>
  <c r="M259" i="40" a="1"/>
  <c r="M259" i="40" s="1"/>
  <c r="S259" i="40" s="1"/>
  <c r="M268" i="40" a="1"/>
  <c r="M268" i="40" s="1"/>
  <c r="S268" i="40" s="1"/>
  <c r="M262" i="40" a="1"/>
  <c r="M262" i="40" s="1"/>
  <c r="S262" i="40" s="1"/>
  <c r="F16" i="33"/>
  <c r="M264" i="40" a="1"/>
  <c r="M264" i="40" s="1"/>
  <c r="S264" i="40" s="1"/>
  <c r="R503" i="40" a="1"/>
  <c r="R503" i="40" s="1"/>
  <c r="V503" i="40" s="1"/>
  <c r="R505" i="40" a="1"/>
  <c r="R505" i="40" s="1"/>
  <c r="V505" i="40" s="1"/>
  <c r="R517" i="40" a="1"/>
  <c r="R517" i="40" s="1"/>
  <c r="V517" i="40" s="1"/>
  <c r="R509" i="40" a="1"/>
  <c r="R509" i="40" s="1"/>
  <c r="V509" i="40" s="1"/>
  <c r="R521" i="40" a="1"/>
  <c r="R521" i="40" s="1"/>
  <c r="V521" i="40" s="1"/>
  <c r="R513" i="40" a="1"/>
  <c r="R513" i="40" s="1"/>
  <c r="V513" i="40" s="1"/>
  <c r="R519" i="40" a="1"/>
  <c r="R519" i="40" s="1"/>
  <c r="V519" i="40" s="1"/>
  <c r="R511" i="40" a="1"/>
  <c r="R511" i="40" s="1"/>
  <c r="V511" i="40" s="1"/>
  <c r="R507" i="40" a="1"/>
  <c r="R507" i="40" s="1"/>
  <c r="V507" i="40" s="1"/>
  <c r="R515" i="40" a="1"/>
  <c r="R515" i="40" s="1"/>
  <c r="V515" i="40" s="1"/>
  <c r="N197" i="40" a="1"/>
  <c r="N197" i="40" s="1"/>
  <c r="N195" i="40" a="1"/>
  <c r="N195" i="40" s="1"/>
  <c r="N209" i="40" a="1"/>
  <c r="N209" i="40" s="1"/>
  <c r="N199" i="40" a="1"/>
  <c r="N199" i="40" s="1"/>
  <c r="N205" i="40" a="1"/>
  <c r="N205" i="40" s="1"/>
  <c r="N213" i="40" a="1"/>
  <c r="N213" i="40" s="1"/>
  <c r="N211" i="40" a="1"/>
  <c r="N211" i="40" s="1"/>
  <c r="N201" i="40" a="1"/>
  <c r="N201" i="40" s="1"/>
  <c r="N203" i="40" a="1"/>
  <c r="N203" i="40" s="1"/>
  <c r="N207" i="40" a="1"/>
  <c r="N207" i="40" s="1"/>
  <c r="I21" i="44" l="1"/>
  <c r="G52" i="41"/>
  <c r="G136" i="41"/>
  <c r="G110" i="41"/>
  <c r="G64" i="41"/>
  <c r="G134" i="41"/>
  <c r="G62" i="41"/>
  <c r="G133" i="41"/>
  <c r="G69" i="41"/>
  <c r="G65" i="41"/>
  <c r="G132" i="41"/>
  <c r="G66" i="41"/>
  <c r="G135" i="41"/>
  <c r="G63" i="41"/>
  <c r="G128" i="41"/>
  <c r="G130" i="41"/>
  <c r="G61" i="41"/>
  <c r="G67" i="41"/>
  <c r="G129" i="41"/>
  <c r="G68" i="41"/>
  <c r="G70" i="41"/>
  <c r="H7" i="31"/>
  <c r="I7" i="31"/>
  <c r="U9" i="31"/>
  <c r="K20" i="33"/>
  <c r="AB8" i="8"/>
  <c r="K23" i="33"/>
  <c r="M9" i="44" s="1"/>
  <c r="AB11" i="8"/>
  <c r="J29" i="33"/>
  <c r="AA32" i="8"/>
  <c r="J30" i="33"/>
  <c r="AA34" i="8"/>
  <c r="J31" i="33"/>
  <c r="AA19" i="8"/>
  <c r="S8" i="31"/>
  <c r="U8" i="31" s="1"/>
  <c r="Y54" i="8"/>
  <c r="J22" i="33"/>
  <c r="AA25" i="8"/>
  <c r="B6" i="34"/>
  <c r="Y24" i="8"/>
  <c r="K29" i="33"/>
  <c r="I12" i="31" s="1"/>
  <c r="AB32" i="8"/>
  <c r="J27" i="33"/>
  <c r="AA21" i="8"/>
  <c r="O8" i="31"/>
  <c r="Q8" i="31" s="1"/>
  <c r="Y53" i="8"/>
  <c r="J34" i="33"/>
  <c r="AA17" i="8"/>
  <c r="J23" i="33"/>
  <c r="AA30" i="8"/>
  <c r="J28" i="33"/>
  <c r="AA38" i="8"/>
  <c r="K34" i="33"/>
  <c r="M11" i="44" s="1"/>
  <c r="AB17" i="8"/>
  <c r="K27" i="33"/>
  <c r="M6" i="44" s="1"/>
  <c r="AB21" i="8"/>
  <c r="L21" i="42"/>
  <c r="V648" i="40"/>
  <c r="L392" i="42"/>
  <c r="V1351" i="40"/>
  <c r="F35" i="42"/>
  <c r="S101" i="40"/>
  <c r="F79" i="42"/>
  <c r="S189" i="40"/>
  <c r="L20" i="42"/>
  <c r="V647" i="40"/>
  <c r="L397" i="42"/>
  <c r="V1356" i="40"/>
  <c r="L390" i="42"/>
  <c r="V1349" i="40"/>
  <c r="F99" i="42"/>
  <c r="S220" i="40"/>
  <c r="L19" i="42"/>
  <c r="V646" i="40"/>
  <c r="L398" i="42"/>
  <c r="V1357" i="40"/>
  <c r="L389" i="42"/>
  <c r="V1348" i="40"/>
  <c r="G120" i="42"/>
  <c r="D96" i="52" s="1"/>
  <c r="S945" i="40"/>
  <c r="F75" i="42"/>
  <c r="S185" i="40"/>
  <c r="L25" i="42"/>
  <c r="V652" i="40"/>
  <c r="L18" i="42"/>
  <c r="V645" i="40"/>
  <c r="L396" i="42"/>
  <c r="V1355" i="40"/>
  <c r="L388" i="42"/>
  <c r="V1347" i="40"/>
  <c r="L395" i="42"/>
  <c r="V1354" i="40"/>
  <c r="L17" i="42"/>
  <c r="V644" i="40"/>
  <c r="L24" i="42"/>
  <c r="V651" i="40"/>
  <c r="L394" i="42"/>
  <c r="V1353" i="40"/>
  <c r="L26" i="42"/>
  <c r="V653" i="40"/>
  <c r="F31" i="42"/>
  <c r="S97" i="40"/>
  <c r="L23" i="42"/>
  <c r="V650" i="40"/>
  <c r="F15" i="42"/>
  <c r="S15" i="40"/>
  <c r="L22" i="42"/>
  <c r="V649" i="40"/>
  <c r="L391" i="42"/>
  <c r="V1350" i="40"/>
  <c r="F91" i="42"/>
  <c r="F83" i="42"/>
  <c r="F111" i="42"/>
  <c r="F11" i="42"/>
  <c r="F103" i="42"/>
  <c r="F95" i="42"/>
  <c r="F63" i="42"/>
  <c r="F87" i="42"/>
  <c r="F7" i="42"/>
  <c r="F123" i="42"/>
  <c r="F107" i="42"/>
  <c r="F67" i="42"/>
  <c r="F207" i="42"/>
  <c r="F579" i="42"/>
  <c r="F106" i="52" s="1"/>
  <c r="F330" i="42"/>
  <c r="F702" i="42"/>
  <c r="F78" i="42"/>
  <c r="F450" i="42"/>
  <c r="F100" i="42"/>
  <c r="F472" i="42"/>
  <c r="F65" i="42"/>
  <c r="F437" i="42"/>
  <c r="F102" i="52" s="1"/>
  <c r="F368" i="42"/>
  <c r="F740" i="42"/>
  <c r="F192" i="42"/>
  <c r="F564" i="42"/>
  <c r="F556" i="42"/>
  <c r="F184" i="42"/>
  <c r="F129" i="42"/>
  <c r="F501" i="42"/>
  <c r="F508" i="42"/>
  <c r="F136" i="42"/>
  <c r="F51" i="42"/>
  <c r="F430" i="42"/>
  <c r="F58" i="42"/>
  <c r="F175" i="42"/>
  <c r="F547" i="42"/>
  <c r="F529" i="42"/>
  <c r="F157" i="42"/>
  <c r="F110" i="42"/>
  <c r="F482" i="42"/>
  <c r="F631" i="42"/>
  <c r="F259" i="42"/>
  <c r="F9" i="42"/>
  <c r="F381" i="42"/>
  <c r="F256" i="42"/>
  <c r="F628" i="42"/>
  <c r="F253" i="42"/>
  <c r="F625" i="42"/>
  <c r="F511" i="42"/>
  <c r="F139" i="42"/>
  <c r="F116" i="42"/>
  <c r="F488" i="42"/>
  <c r="F497" i="42"/>
  <c r="F125" i="42"/>
  <c r="F648" i="42"/>
  <c r="F276" i="42"/>
  <c r="F30" i="42"/>
  <c r="F402" i="42"/>
  <c r="F68" i="42"/>
  <c r="F440" i="42"/>
  <c r="F181" i="42"/>
  <c r="F553" i="42"/>
  <c r="F52" i="42"/>
  <c r="F424" i="42"/>
  <c r="F88" i="42"/>
  <c r="F460" i="42"/>
  <c r="F527" i="42"/>
  <c r="F155" i="42"/>
  <c r="F459" i="42"/>
  <c r="F101" i="52" s="1"/>
  <c r="F451" i="42"/>
  <c r="F199" i="42"/>
  <c r="F571" i="42"/>
  <c r="F261" i="42"/>
  <c r="F633" i="42"/>
  <c r="F255" i="42"/>
  <c r="F627" i="42"/>
  <c r="F332" i="42"/>
  <c r="F704" i="42"/>
  <c r="F33" i="42"/>
  <c r="F405" i="42"/>
  <c r="F98" i="42"/>
  <c r="F470" i="42"/>
  <c r="F99" i="52" s="1"/>
  <c r="F367" i="42"/>
  <c r="F739" i="42"/>
  <c r="F554" i="42"/>
  <c r="F182" i="42"/>
  <c r="F134" i="42"/>
  <c r="F506" i="42"/>
  <c r="F127" i="42"/>
  <c r="F499" i="42"/>
  <c r="F544" i="42"/>
  <c r="F172" i="42"/>
  <c r="F528" i="42"/>
  <c r="F156" i="42"/>
  <c r="F113" i="42"/>
  <c r="F485" i="42"/>
  <c r="F262" i="42"/>
  <c r="F634" i="42"/>
  <c r="F90" i="52" s="1"/>
  <c r="F140" i="42"/>
  <c r="F512" i="42"/>
  <c r="F519" i="42"/>
  <c r="F147" i="42"/>
  <c r="F496" i="42"/>
  <c r="F124" i="42"/>
  <c r="F407" i="42"/>
  <c r="F431" i="42"/>
  <c r="F423" i="42"/>
  <c r="F273" i="42"/>
  <c r="F645" i="42"/>
  <c r="F87" i="52" s="1"/>
  <c r="F370" i="42"/>
  <c r="F742" i="42"/>
  <c r="F194" i="42"/>
  <c r="F566" i="42"/>
  <c r="F130" i="42"/>
  <c r="F502" i="42"/>
  <c r="F543" i="42"/>
  <c r="F171" i="42"/>
  <c r="F114" i="42"/>
  <c r="F486" i="42"/>
  <c r="F382" i="42"/>
  <c r="F94" i="52" s="1"/>
  <c r="F10" i="42"/>
  <c r="F254" i="42"/>
  <c r="F626" i="42"/>
  <c r="F145" i="42"/>
  <c r="F517" i="42"/>
  <c r="F209" i="42"/>
  <c r="F581" i="42"/>
  <c r="F80" i="42"/>
  <c r="F452" i="42"/>
  <c r="F28" i="42"/>
  <c r="F400" i="42"/>
  <c r="F433" i="42"/>
  <c r="F61" i="42"/>
  <c r="F369" i="42"/>
  <c r="F741" i="42"/>
  <c r="F567" i="42"/>
  <c r="F195" i="42"/>
  <c r="F59" i="42"/>
  <c r="F462" i="42"/>
  <c r="F90" i="42"/>
  <c r="F208" i="42"/>
  <c r="F580" i="42"/>
  <c r="F210" i="42"/>
  <c r="F582" i="42"/>
  <c r="F328" i="42"/>
  <c r="F700" i="42"/>
  <c r="F74" i="42"/>
  <c r="F446" i="42"/>
  <c r="F409" i="42"/>
  <c r="F37" i="42"/>
  <c r="F32" i="42"/>
  <c r="F404" i="42"/>
  <c r="F97" i="52" s="1"/>
  <c r="F473" i="42"/>
  <c r="F101" i="42"/>
  <c r="F62" i="42"/>
  <c r="F434" i="42"/>
  <c r="F372" i="42"/>
  <c r="F744" i="42"/>
  <c r="F197" i="42"/>
  <c r="F569" i="42"/>
  <c r="F201" i="42"/>
  <c r="F573" i="42"/>
  <c r="F188" i="42"/>
  <c r="F560" i="42"/>
  <c r="F135" i="42"/>
  <c r="F507" i="42"/>
  <c r="F56" i="42"/>
  <c r="F428" i="42"/>
  <c r="F170" i="42"/>
  <c r="F542" i="42"/>
  <c r="F526" i="42"/>
  <c r="F154" i="42"/>
  <c r="F152" i="42"/>
  <c r="F524" i="42"/>
  <c r="F478" i="42"/>
  <c r="F106" i="42"/>
  <c r="F480" i="42"/>
  <c r="F108" i="42"/>
  <c r="F267" i="42"/>
  <c r="F639" i="42"/>
  <c r="F260" i="42"/>
  <c r="F632" i="42"/>
  <c r="F384" i="42"/>
  <c r="F12" i="42"/>
  <c r="F623" i="42"/>
  <c r="F93" i="52" s="1"/>
  <c r="F251" i="42"/>
  <c r="F121" i="42"/>
  <c r="F493" i="42"/>
  <c r="F483" i="42"/>
  <c r="F383" i="42"/>
  <c r="F435" i="42"/>
  <c r="F471" i="42"/>
  <c r="F270" i="42"/>
  <c r="F642" i="42"/>
  <c r="F650" i="42"/>
  <c r="F278" i="42"/>
  <c r="F583" i="42"/>
  <c r="F211" i="42"/>
  <c r="F77" i="42"/>
  <c r="F449" i="42"/>
  <c r="F97" i="42"/>
  <c r="F469" i="42"/>
  <c r="F96" i="42"/>
  <c r="F468" i="42"/>
  <c r="F748" i="42"/>
  <c r="F376" i="42"/>
  <c r="F375" i="42"/>
  <c r="F747" i="42"/>
  <c r="F200" i="42"/>
  <c r="F572" i="42"/>
  <c r="F185" i="42"/>
  <c r="F557" i="42"/>
  <c r="F89" i="52" s="1"/>
  <c r="F132" i="42"/>
  <c r="F504" i="42"/>
  <c r="F57" i="42"/>
  <c r="F429" i="42"/>
  <c r="F545" i="42"/>
  <c r="F173" i="42"/>
  <c r="F551" i="42"/>
  <c r="F179" i="42"/>
  <c r="F89" i="42"/>
  <c r="F461" i="42"/>
  <c r="F153" i="42"/>
  <c r="F525" i="42"/>
  <c r="F91" i="52" s="1"/>
  <c r="F150" i="42"/>
  <c r="F522" i="42"/>
  <c r="F481" i="42"/>
  <c r="F95" i="52" s="1"/>
  <c r="F109" i="42"/>
  <c r="F266" i="42"/>
  <c r="F638" i="42"/>
  <c r="F264" i="42"/>
  <c r="F636" i="42"/>
  <c r="F14" i="42"/>
  <c r="F386" i="42"/>
  <c r="F250" i="42"/>
  <c r="F622" i="42"/>
  <c r="F142" i="42"/>
  <c r="F514" i="42"/>
  <c r="F88" i="52" s="1"/>
  <c r="F141" i="42"/>
  <c r="F513" i="42"/>
  <c r="F119" i="42"/>
  <c r="F491" i="42"/>
  <c r="F118" i="42"/>
  <c r="F490" i="42"/>
  <c r="F272" i="42"/>
  <c r="F644" i="42"/>
  <c r="F641" i="42"/>
  <c r="F269" i="42"/>
  <c r="F271" i="42"/>
  <c r="F643" i="42"/>
  <c r="F492" i="42"/>
  <c r="F576" i="42"/>
  <c r="F204" i="42"/>
  <c r="F329" i="42"/>
  <c r="F701" i="42"/>
  <c r="F401" i="42"/>
  <c r="F29" i="42"/>
  <c r="F327" i="42"/>
  <c r="F699" i="42"/>
  <c r="F77" i="52" s="1"/>
  <c r="F577" i="42"/>
  <c r="F205" i="42"/>
  <c r="F697" i="42"/>
  <c r="F325" i="42"/>
  <c r="F323" i="42"/>
  <c r="F695" i="42"/>
  <c r="F81" i="42"/>
  <c r="F453" i="42"/>
  <c r="F408" i="42"/>
  <c r="F36" i="42"/>
  <c r="F102" i="42"/>
  <c r="F474" i="42"/>
  <c r="F69" i="42"/>
  <c r="F441" i="42"/>
  <c r="F373" i="42"/>
  <c r="F745" i="42"/>
  <c r="F198" i="42"/>
  <c r="F570" i="42"/>
  <c r="F186" i="42"/>
  <c r="F558" i="42"/>
  <c r="F190" i="42"/>
  <c r="F562" i="42"/>
  <c r="F505" i="42"/>
  <c r="F133" i="42"/>
  <c r="F50" i="42"/>
  <c r="F422" i="42"/>
  <c r="F546" i="42"/>
  <c r="F174" i="42"/>
  <c r="F177" i="42"/>
  <c r="F549" i="42"/>
  <c r="F86" i="42"/>
  <c r="F458" i="42"/>
  <c r="F151" i="42"/>
  <c r="F523" i="42"/>
  <c r="F158" i="42"/>
  <c r="F530" i="42"/>
  <c r="F112" i="42"/>
  <c r="F484" i="42"/>
  <c r="F258" i="42"/>
  <c r="F630" i="42"/>
  <c r="F6" i="42"/>
  <c r="F378" i="42"/>
  <c r="F247" i="42"/>
  <c r="F619" i="42"/>
  <c r="F516" i="42"/>
  <c r="F144" i="42"/>
  <c r="F463" i="42"/>
  <c r="F455" i="42"/>
  <c r="F447" i="42"/>
  <c r="F120" i="42"/>
  <c r="F206" i="42"/>
  <c r="F578" i="42"/>
  <c r="F212" i="42"/>
  <c r="F584" i="42"/>
  <c r="F698" i="42"/>
  <c r="F326" i="42"/>
  <c r="F72" i="42"/>
  <c r="F444" i="42"/>
  <c r="F66" i="42"/>
  <c r="F438" i="42"/>
  <c r="F70" i="42"/>
  <c r="F442" i="42"/>
  <c r="F371" i="42"/>
  <c r="F743" i="42"/>
  <c r="F84" i="52" s="1"/>
  <c r="F196" i="42"/>
  <c r="F568" i="42"/>
  <c r="F105" i="52" s="1"/>
  <c r="F559" i="42"/>
  <c r="F187" i="42"/>
  <c r="F500" i="42"/>
  <c r="F128" i="42"/>
  <c r="F55" i="42"/>
  <c r="F53" i="42"/>
  <c r="F425" i="42"/>
  <c r="F548" i="42"/>
  <c r="F176" i="42"/>
  <c r="F456" i="42"/>
  <c r="F84" i="42"/>
  <c r="F265" i="42"/>
  <c r="F637" i="42"/>
  <c r="F8" i="42"/>
  <c r="F380" i="42"/>
  <c r="F385" i="42"/>
  <c r="F13" i="42"/>
  <c r="F620" i="42"/>
  <c r="F248" i="42"/>
  <c r="F252" i="42"/>
  <c r="F624" i="42"/>
  <c r="F138" i="42"/>
  <c r="F510" i="42"/>
  <c r="F117" i="42"/>
  <c r="F489" i="42"/>
  <c r="F403" i="42"/>
  <c r="F427" i="42"/>
  <c r="F143" i="42"/>
  <c r="F515" i="42"/>
  <c r="F649" i="42"/>
  <c r="F277" i="42"/>
  <c r="F275" i="42"/>
  <c r="F647" i="42"/>
  <c r="F73" i="42"/>
  <c r="F445" i="42"/>
  <c r="F575" i="42"/>
  <c r="F203" i="42"/>
  <c r="F696" i="42"/>
  <c r="F324" i="42"/>
  <c r="F331" i="42"/>
  <c r="F703" i="42"/>
  <c r="F76" i="42"/>
  <c r="F448" i="42"/>
  <c r="F103" i="52" s="1"/>
  <c r="F406" i="42"/>
  <c r="F34" i="42"/>
  <c r="F94" i="42"/>
  <c r="F466" i="42"/>
  <c r="F64" i="42"/>
  <c r="F436" i="42"/>
  <c r="F374" i="42"/>
  <c r="F746" i="42"/>
  <c r="F193" i="42"/>
  <c r="F565" i="42"/>
  <c r="F183" i="42"/>
  <c r="F555" i="42"/>
  <c r="F189" i="42"/>
  <c r="F561" i="42"/>
  <c r="F503" i="42"/>
  <c r="F85" i="52" s="1"/>
  <c r="F131" i="42"/>
  <c r="F54" i="42"/>
  <c r="F426" i="42"/>
  <c r="F92" i="52" s="1"/>
  <c r="F550" i="42"/>
  <c r="F178" i="42"/>
  <c r="F457" i="42"/>
  <c r="F85" i="42"/>
  <c r="F92" i="42"/>
  <c r="F464" i="42"/>
  <c r="F149" i="42"/>
  <c r="F521" i="42"/>
  <c r="F105" i="42"/>
  <c r="F477" i="42"/>
  <c r="F263" i="42"/>
  <c r="F635" i="42"/>
  <c r="F249" i="42"/>
  <c r="F621" i="42"/>
  <c r="F146" i="42"/>
  <c r="F518" i="42"/>
  <c r="F494" i="42"/>
  <c r="F122" i="42"/>
  <c r="F479" i="42"/>
  <c r="F387" i="42"/>
  <c r="F379" i="42"/>
  <c r="F495" i="42"/>
  <c r="F439" i="42"/>
  <c r="F475" i="42"/>
  <c r="F467" i="42"/>
  <c r="F274" i="42"/>
  <c r="F646" i="42"/>
  <c r="R11" i="31"/>
  <c r="T10" i="31"/>
  <c r="T13" i="31" s="1"/>
  <c r="C93" i="52"/>
  <c r="C7" i="31"/>
  <c r="G7" i="31" s="1"/>
  <c r="S11" i="31"/>
  <c r="U11" i="31" s="1"/>
  <c r="N12" i="31"/>
  <c r="R12" i="31"/>
  <c r="N9" i="31"/>
  <c r="S12" i="31"/>
  <c r="U12" i="31" s="1"/>
  <c r="N11" i="31"/>
  <c r="O11" i="31"/>
  <c r="Q11" i="31" s="1"/>
  <c r="O10" i="31"/>
  <c r="O12" i="31"/>
  <c r="Q12" i="31" s="1"/>
  <c r="G13" i="44"/>
  <c r="K13" i="44" s="1"/>
  <c r="C105" i="52"/>
  <c r="O9" i="31"/>
  <c r="Q9" i="31" s="1"/>
  <c r="G14" i="44"/>
  <c r="K14" i="44" s="1"/>
  <c r="N14" i="44" s="1"/>
  <c r="C106" i="52"/>
  <c r="G15" i="44"/>
  <c r="K15" i="44" s="1"/>
  <c r="C96" i="52"/>
  <c r="G6" i="44"/>
  <c r="C89" i="52"/>
  <c r="D86" i="52"/>
  <c r="D104" i="52"/>
  <c r="G30" i="44"/>
  <c r="K30" i="44" s="1"/>
  <c r="O30" i="44" s="1"/>
  <c r="B7" i="34"/>
  <c r="B9" i="34"/>
  <c r="B10" i="34"/>
  <c r="F10" i="31" a="1"/>
  <c r="F10" i="31" s="1"/>
  <c r="F13" i="31" s="1"/>
  <c r="J6" i="44" a="1"/>
  <c r="J6" i="44" s="1"/>
  <c r="J16" i="44" s="1"/>
  <c r="Q376" i="40" a="1"/>
  <c r="Q376" i="40" s="1"/>
  <c r="U376" i="40" s="1"/>
  <c r="Q344" i="40" a="1"/>
  <c r="Q344" i="40" s="1"/>
  <c r="U344" i="40" s="1"/>
  <c r="Q1072" i="40" a="1"/>
  <c r="Q1072" i="40" s="1"/>
  <c r="U1072" i="40" s="1"/>
  <c r="Q372" i="40" a="1"/>
  <c r="Q372" i="40" s="1"/>
  <c r="U372" i="40" s="1"/>
  <c r="Q1068" i="40" a="1"/>
  <c r="Q1068" i="40" s="1"/>
  <c r="U1068" i="40" s="1"/>
  <c r="Q356" i="40" a="1"/>
  <c r="Q356" i="40" s="1"/>
  <c r="U356" i="40" s="1"/>
  <c r="Q1064" i="40" a="1"/>
  <c r="Q1064" i="40" s="1"/>
  <c r="U1064" i="40" s="1"/>
  <c r="Q348" i="40" a="1"/>
  <c r="Q348" i="40" s="1"/>
  <c r="U348" i="40" s="1"/>
  <c r="Q1076" i="40" a="1"/>
  <c r="Q1076" i="40" s="1"/>
  <c r="U1076" i="40" s="1"/>
  <c r="Q1056" i="40" a="1"/>
  <c r="Q1056" i="40" s="1"/>
  <c r="U1056" i="40" s="1"/>
  <c r="Q1060" i="40" a="1"/>
  <c r="Q1060" i="40" s="1"/>
  <c r="U1060" i="40" s="1"/>
  <c r="Q1052" i="40" a="1"/>
  <c r="Q1052" i="40" s="1"/>
  <c r="U1052" i="40" s="1"/>
  <c r="Q539" i="40" a="1"/>
  <c r="Q539" i="40" s="1"/>
  <c r="U539" i="40" s="1"/>
  <c r="Q536" i="40" a="1"/>
  <c r="Q536" i="40" s="1"/>
  <c r="U536" i="40" s="1"/>
  <c r="Q360" i="40" a="1"/>
  <c r="Q360" i="40" s="1"/>
  <c r="U360" i="40" s="1"/>
  <c r="Q1048" i="40" a="1"/>
  <c r="Q1048" i="40" s="1"/>
  <c r="U1048" i="40" s="1"/>
  <c r="Q364" i="40" a="1"/>
  <c r="Q364" i="40" s="1"/>
  <c r="U364" i="40" s="1"/>
  <c r="Q1044" i="40" a="1"/>
  <c r="Q1044" i="40" s="1"/>
  <c r="U1044" i="40" s="1"/>
  <c r="Q368" i="40" a="1"/>
  <c r="Q368" i="40" s="1"/>
  <c r="U368" i="40" s="1"/>
  <c r="Q1040" i="40" a="1"/>
  <c r="Q1040" i="40" s="1"/>
  <c r="U1040" i="40" s="1"/>
  <c r="Q352" i="40" a="1"/>
  <c r="Q352" i="40" s="1"/>
  <c r="U352" i="40" s="1"/>
  <c r="Q340" i="40" a="1"/>
  <c r="Q340" i="40" s="1"/>
  <c r="U340" i="40" s="1"/>
  <c r="Q1080" i="40" a="1"/>
  <c r="Q1080" i="40" s="1"/>
  <c r="U1080" i="40" s="1"/>
  <c r="Q530" i="40" a="1"/>
  <c r="Q530" i="40" s="1"/>
  <c r="U530" i="40" s="1"/>
  <c r="Q1237" i="40" a="1"/>
  <c r="Q1237" i="40" s="1"/>
  <c r="U1237" i="40" s="1"/>
  <c r="Q533" i="40" a="1"/>
  <c r="Q533" i="40" s="1"/>
  <c r="U533" i="40" s="1"/>
  <c r="Q548" i="40" a="1"/>
  <c r="Q548" i="40" s="1"/>
  <c r="U548" i="40" s="1"/>
  <c r="G57" i="41"/>
  <c r="Q554" i="40" a="1"/>
  <c r="Q554" i="40" s="1"/>
  <c r="U554" i="40" s="1"/>
  <c r="Q527" i="40" a="1"/>
  <c r="Q527" i="40" s="1"/>
  <c r="U527" i="40" s="1"/>
  <c r="Q545" i="40" a="1"/>
  <c r="Q545" i="40" s="1"/>
  <c r="U545" i="40" s="1"/>
  <c r="Q551" i="40" a="1"/>
  <c r="Q551" i="40" s="1"/>
  <c r="U551" i="40" s="1"/>
  <c r="Q542" i="40" a="1"/>
  <c r="Q542" i="40" s="1"/>
  <c r="U542" i="40" s="1"/>
  <c r="Q1231" i="40" a="1"/>
  <c r="Q1231" i="40" s="1"/>
  <c r="U1231" i="40" s="1"/>
  <c r="Q1255" i="40" a="1"/>
  <c r="Q1255" i="40" s="1"/>
  <c r="U1255" i="40" s="1"/>
  <c r="Q1240" i="40" a="1"/>
  <c r="Q1240" i="40" s="1"/>
  <c r="U1240" i="40" s="1"/>
  <c r="Q1252" i="40" a="1"/>
  <c r="Q1252" i="40" s="1"/>
  <c r="U1252" i="40" s="1"/>
  <c r="Q1228" i="40" a="1"/>
  <c r="Q1228" i="40" s="1"/>
  <c r="U1228" i="40" s="1"/>
  <c r="Q1249" i="40" a="1"/>
  <c r="Q1249" i="40" s="1"/>
  <c r="U1249" i="40" s="1"/>
  <c r="Q1246" i="40" a="1"/>
  <c r="Q1246" i="40" s="1"/>
  <c r="U1246" i="40" s="1"/>
  <c r="Q1243" i="40" a="1"/>
  <c r="Q1243" i="40" s="1"/>
  <c r="U1243" i="40" s="1"/>
  <c r="Q1258" i="40" a="1"/>
  <c r="Q1258" i="40" s="1"/>
  <c r="U1258" i="40" s="1"/>
  <c r="Q1234" i="40" a="1"/>
  <c r="Q1234" i="40" s="1"/>
  <c r="U1234" i="40" s="1"/>
  <c r="J20" i="33"/>
  <c r="G125" i="41"/>
  <c r="M7" i="44"/>
  <c r="G56" i="41"/>
  <c r="I7" i="44"/>
  <c r="L393" i="42"/>
  <c r="G118" i="41"/>
  <c r="G58" i="41"/>
  <c r="G118" i="42"/>
  <c r="L601" i="42"/>
  <c r="G117" i="41"/>
  <c r="L7" i="44"/>
  <c r="M8" i="44"/>
  <c r="G55" i="41"/>
  <c r="G12" i="44"/>
  <c r="K12" i="44" s="1"/>
  <c r="H12" i="44"/>
  <c r="L9" i="44"/>
  <c r="I8" i="44"/>
  <c r="G645" i="42"/>
  <c r="L603" i="42"/>
  <c r="G492" i="42"/>
  <c r="G274" i="42"/>
  <c r="G271" i="42"/>
  <c r="L604" i="42"/>
  <c r="I660" i="42"/>
  <c r="G50" i="41"/>
  <c r="G272" i="42"/>
  <c r="G120" i="41"/>
  <c r="G270" i="42"/>
  <c r="H253" i="42"/>
  <c r="G59" i="41"/>
  <c r="H625" i="42"/>
  <c r="G124" i="41"/>
  <c r="L233" i="42"/>
  <c r="G647" i="42"/>
  <c r="L597" i="42"/>
  <c r="G490" i="42"/>
  <c r="G278" i="42"/>
  <c r="I664" i="42"/>
  <c r="L227" i="42"/>
  <c r="G269" i="42"/>
  <c r="L602" i="42"/>
  <c r="G53" i="41"/>
  <c r="G51" i="41"/>
  <c r="L230" i="42"/>
  <c r="L524" i="42"/>
  <c r="G125" i="42"/>
  <c r="G277" i="42"/>
  <c r="L228" i="42"/>
  <c r="G143" i="42"/>
  <c r="H488" i="42"/>
  <c r="H649" i="42"/>
  <c r="I417" i="42"/>
  <c r="F133" i="41" s="1"/>
  <c r="G648" i="42"/>
  <c r="L234" i="42"/>
  <c r="L226" i="42"/>
  <c r="H116" i="42"/>
  <c r="G497" i="42"/>
  <c r="G122" i="41"/>
  <c r="L152" i="42"/>
  <c r="Q1017" i="40" a="1"/>
  <c r="Q1017" i="40" s="1"/>
  <c r="U1017" i="40" s="1"/>
  <c r="Q1018" i="40" a="1"/>
  <c r="Q1018" i="40" s="1"/>
  <c r="U1018" i="40" s="1"/>
  <c r="Q1019" i="40" a="1"/>
  <c r="Q1019" i="40" s="1"/>
  <c r="U1019" i="40" s="1"/>
  <c r="Q1020" i="40" a="1"/>
  <c r="Q1020" i="40" s="1"/>
  <c r="U1020" i="40" s="1"/>
  <c r="Q1022" i="40" a="1"/>
  <c r="Q1022" i="40" s="1"/>
  <c r="U1022" i="40" s="1"/>
  <c r="Q1021" i="40" a="1"/>
  <c r="Q1021" i="40" s="1"/>
  <c r="U1021" i="40" s="1"/>
  <c r="Q1023" i="40" a="1"/>
  <c r="Q1023" i="40" s="1"/>
  <c r="U1023" i="40" s="1"/>
  <c r="Q1024" i="40" a="1"/>
  <c r="Q1024" i="40" s="1"/>
  <c r="U1024" i="40" s="1"/>
  <c r="Q1025" i="40" a="1"/>
  <c r="Q1025" i="40" s="1"/>
  <c r="U1025" i="40" s="1"/>
  <c r="Q1026" i="40" a="1"/>
  <c r="Q1026" i="40" s="1"/>
  <c r="U1026" i="40" s="1"/>
  <c r="Q1027" i="40" a="1"/>
  <c r="Q1027" i="40" s="1"/>
  <c r="U1027" i="40" s="1"/>
  <c r="N1183" i="40" a="1"/>
  <c r="N1183" i="40" s="1"/>
  <c r="N1185" i="40" a="1"/>
  <c r="N1185" i="40" s="1"/>
  <c r="N1187" i="40" a="1"/>
  <c r="N1187" i="40" s="1"/>
  <c r="N1189" i="40" a="1"/>
  <c r="N1189" i="40" s="1"/>
  <c r="N1191" i="40" a="1"/>
  <c r="N1191" i="40" s="1"/>
  <c r="N1193" i="40" a="1"/>
  <c r="N1193" i="40" s="1"/>
  <c r="N1195" i="40" a="1"/>
  <c r="N1195" i="40" s="1"/>
  <c r="N1197" i="40" a="1"/>
  <c r="N1197" i="40" s="1"/>
  <c r="N1199" i="40" a="1"/>
  <c r="N1199" i="40" s="1"/>
  <c r="N1201" i="40" a="1"/>
  <c r="N1201" i="40" s="1"/>
  <c r="N1203" i="40" a="1"/>
  <c r="N1203" i="40" s="1"/>
  <c r="M1040" i="40" a="1"/>
  <c r="M1040" i="40" s="1"/>
  <c r="S1040" i="40" s="1"/>
  <c r="M1044" i="40" a="1"/>
  <c r="M1044" i="40" s="1"/>
  <c r="S1044" i="40" s="1"/>
  <c r="M1048" i="40" a="1"/>
  <c r="M1048" i="40" s="1"/>
  <c r="S1048" i="40" s="1"/>
  <c r="M1052" i="40" a="1"/>
  <c r="M1052" i="40" s="1"/>
  <c r="S1052" i="40" s="1"/>
  <c r="M1056" i="40" a="1"/>
  <c r="M1056" i="40" s="1"/>
  <c r="S1056" i="40" s="1"/>
  <c r="M1060" i="40" a="1"/>
  <c r="M1060" i="40" s="1"/>
  <c r="S1060" i="40" s="1"/>
  <c r="M1064" i="40" a="1"/>
  <c r="M1064" i="40" s="1"/>
  <c r="S1064" i="40" s="1"/>
  <c r="M1068" i="40" a="1"/>
  <c r="M1068" i="40" s="1"/>
  <c r="S1068" i="40" s="1"/>
  <c r="M1072" i="40" a="1"/>
  <c r="M1072" i="40" s="1"/>
  <c r="S1072" i="40" s="1"/>
  <c r="M1076" i="40" a="1"/>
  <c r="M1076" i="40" s="1"/>
  <c r="S1076" i="40" s="1"/>
  <c r="M1080" i="40" a="1"/>
  <c r="M1080" i="40" s="1"/>
  <c r="S1080" i="40" s="1"/>
  <c r="N1281" i="40" a="1"/>
  <c r="N1281" i="40" s="1"/>
  <c r="N1282" i="40" a="1"/>
  <c r="N1282" i="40" s="1"/>
  <c r="N1283" i="40" a="1"/>
  <c r="N1283" i="40" s="1"/>
  <c r="N1284" i="40" a="1"/>
  <c r="N1284" i="40" s="1"/>
  <c r="N1285" i="40" a="1"/>
  <c r="N1285" i="40" s="1"/>
  <c r="N1286" i="40" a="1"/>
  <c r="N1286" i="40" s="1"/>
  <c r="N1287" i="40" a="1"/>
  <c r="N1287" i="40" s="1"/>
  <c r="N1288" i="40" a="1"/>
  <c r="N1288" i="40" s="1"/>
  <c r="N1289" i="40" a="1"/>
  <c r="N1289" i="40" s="1"/>
  <c r="N1290" i="40" a="1"/>
  <c r="N1290" i="40" s="1"/>
  <c r="N1291" i="40" a="1"/>
  <c r="N1291" i="40" s="1"/>
  <c r="Q1205" i="40" a="1"/>
  <c r="Q1205" i="40" s="1"/>
  <c r="U1205" i="40" s="1"/>
  <c r="Q1207" i="40" a="1"/>
  <c r="Q1207" i="40" s="1"/>
  <c r="U1207" i="40" s="1"/>
  <c r="Q1209" i="40" a="1"/>
  <c r="Q1209" i="40" s="1"/>
  <c r="U1209" i="40" s="1"/>
  <c r="Q1211" i="40" a="1"/>
  <c r="Q1211" i="40" s="1"/>
  <c r="U1211" i="40" s="1"/>
  <c r="Q1213" i="40" a="1"/>
  <c r="Q1213" i="40" s="1"/>
  <c r="U1213" i="40" s="1"/>
  <c r="Q1215" i="40" a="1"/>
  <c r="Q1215" i="40" s="1"/>
  <c r="U1215" i="40" s="1"/>
  <c r="Q1217" i="40" a="1"/>
  <c r="Q1217" i="40" s="1"/>
  <c r="U1217" i="40" s="1"/>
  <c r="Q1219" i="40" a="1"/>
  <c r="Q1219" i="40" s="1"/>
  <c r="U1219" i="40" s="1"/>
  <c r="Q1221" i="40" a="1"/>
  <c r="Q1221" i="40" s="1"/>
  <c r="U1221" i="40" s="1"/>
  <c r="Q1223" i="40" a="1"/>
  <c r="Q1223" i="40" s="1"/>
  <c r="U1223" i="40" s="1"/>
  <c r="Q1225" i="40" a="1"/>
  <c r="Q1225" i="40" s="1"/>
  <c r="U1225" i="40" s="1"/>
  <c r="N764" i="40" a="1"/>
  <c r="N764" i="40" s="1"/>
  <c r="N765" i="40" a="1"/>
  <c r="N765" i="40" s="1"/>
  <c r="N766" i="40" a="1"/>
  <c r="N766" i="40" s="1"/>
  <c r="N767" i="40" a="1"/>
  <c r="N767" i="40" s="1"/>
  <c r="N768" i="40" a="1"/>
  <c r="N768" i="40" s="1"/>
  <c r="N769" i="40" a="1"/>
  <c r="N769" i="40" s="1"/>
  <c r="N770" i="40" a="1"/>
  <c r="N770" i="40" s="1"/>
  <c r="N771" i="40" a="1"/>
  <c r="N771" i="40" s="1"/>
  <c r="N772" i="40" a="1"/>
  <c r="N772" i="40" s="1"/>
  <c r="N773" i="40" a="1"/>
  <c r="N773" i="40" s="1"/>
  <c r="N774" i="40" a="1"/>
  <c r="N774" i="40" s="1"/>
  <c r="M1293" i="40" a="1"/>
  <c r="M1293" i="40" s="1"/>
  <c r="S1293" i="40" s="1"/>
  <c r="M1296" i="40" a="1"/>
  <c r="M1296" i="40" s="1"/>
  <c r="S1296" i="40" s="1"/>
  <c r="M1299" i="40" a="1"/>
  <c r="M1299" i="40" s="1"/>
  <c r="S1299" i="40" s="1"/>
  <c r="M1302" i="40" a="1"/>
  <c r="M1302" i="40" s="1"/>
  <c r="S1302" i="40" s="1"/>
  <c r="M1305" i="40" a="1"/>
  <c r="M1305" i="40" s="1"/>
  <c r="S1305" i="40" s="1"/>
  <c r="M1308" i="40" a="1"/>
  <c r="M1308" i="40" s="1"/>
  <c r="S1308" i="40" s="1"/>
  <c r="M1311" i="40" a="1"/>
  <c r="M1311" i="40" s="1"/>
  <c r="S1311" i="40" s="1"/>
  <c r="M1314" i="40" a="1"/>
  <c r="M1314" i="40" s="1"/>
  <c r="S1314" i="40" s="1"/>
  <c r="M1317" i="40" a="1"/>
  <c r="M1317" i="40" s="1"/>
  <c r="S1317" i="40" s="1"/>
  <c r="M1320" i="40" a="1"/>
  <c r="M1320" i="40" s="1"/>
  <c r="S1320" i="40" s="1"/>
  <c r="M1323" i="40" a="1"/>
  <c r="M1323" i="40" s="1"/>
  <c r="S1323" i="40" s="1"/>
  <c r="R466" i="40" a="1"/>
  <c r="R466" i="40" s="1"/>
  <c r="V466" i="40" s="1"/>
  <c r="R1160" i="40" a="1"/>
  <c r="R1160" i="40" s="1"/>
  <c r="V1160" i="40" s="1"/>
  <c r="R1162" i="40" a="1"/>
  <c r="R1162" i="40" s="1"/>
  <c r="V1162" i="40" s="1"/>
  <c r="R1164" i="40" a="1"/>
  <c r="R1164" i="40" s="1"/>
  <c r="V1164" i="40" s="1"/>
  <c r="R1166" i="40" a="1"/>
  <c r="R1166" i="40" s="1"/>
  <c r="V1166" i="40" s="1"/>
  <c r="R1168" i="40" a="1"/>
  <c r="R1168" i="40" s="1"/>
  <c r="V1168" i="40" s="1"/>
  <c r="R1170" i="40" a="1"/>
  <c r="R1170" i="40" s="1"/>
  <c r="V1170" i="40" s="1"/>
  <c r="R1172" i="40" a="1"/>
  <c r="R1172" i="40" s="1"/>
  <c r="V1172" i="40" s="1"/>
  <c r="R1174" i="40" a="1"/>
  <c r="R1174" i="40" s="1"/>
  <c r="V1174" i="40" s="1"/>
  <c r="R1176" i="40" a="1"/>
  <c r="R1176" i="40" s="1"/>
  <c r="V1176" i="40" s="1"/>
  <c r="R1178" i="40" a="1"/>
  <c r="R1178" i="40" s="1"/>
  <c r="V1178" i="40" s="1"/>
  <c r="R1180" i="40" a="1"/>
  <c r="R1180" i="40" s="1"/>
  <c r="V1180" i="40" s="1"/>
  <c r="M753" i="40" a="1"/>
  <c r="M753" i="40" s="1"/>
  <c r="S753" i="40" s="1"/>
  <c r="M754" i="40" a="1"/>
  <c r="M754" i="40" s="1"/>
  <c r="S754" i="40" s="1"/>
  <c r="M755" i="40" a="1"/>
  <c r="M755" i="40" s="1"/>
  <c r="S755" i="40" s="1"/>
  <c r="M756" i="40" a="1"/>
  <c r="M756" i="40" s="1"/>
  <c r="S756" i="40" s="1"/>
  <c r="M757" i="40" a="1"/>
  <c r="M757" i="40" s="1"/>
  <c r="S757" i="40" s="1"/>
  <c r="M758" i="40" a="1"/>
  <c r="M758" i="40" s="1"/>
  <c r="S758" i="40" s="1"/>
  <c r="M759" i="40" a="1"/>
  <c r="M759" i="40" s="1"/>
  <c r="S759" i="40" s="1"/>
  <c r="M760" i="40" a="1"/>
  <c r="M760" i="40" s="1"/>
  <c r="S760" i="40" s="1"/>
  <c r="M761" i="40" a="1"/>
  <c r="M761" i="40" s="1"/>
  <c r="S761" i="40" s="1"/>
  <c r="M762" i="40" a="1"/>
  <c r="M762" i="40" s="1"/>
  <c r="S762" i="40" s="1"/>
  <c r="M763" i="40" a="1"/>
  <c r="M763" i="40" s="1"/>
  <c r="S763" i="40" s="1"/>
  <c r="Q464" i="40" a="1"/>
  <c r="Q464" i="40" s="1"/>
  <c r="U464" i="40" s="1"/>
  <c r="Q1160" i="40" a="1"/>
  <c r="Q1160" i="40" s="1"/>
  <c r="U1160" i="40" s="1"/>
  <c r="Q1162" i="40" a="1"/>
  <c r="Q1162" i="40" s="1"/>
  <c r="U1162" i="40" s="1"/>
  <c r="Q1164" i="40" a="1"/>
  <c r="Q1164" i="40" s="1"/>
  <c r="U1164" i="40" s="1"/>
  <c r="Q1166" i="40" a="1"/>
  <c r="Q1166" i="40" s="1"/>
  <c r="U1166" i="40" s="1"/>
  <c r="Q1168" i="40" a="1"/>
  <c r="Q1168" i="40" s="1"/>
  <c r="U1168" i="40" s="1"/>
  <c r="Q1170" i="40" a="1"/>
  <c r="Q1170" i="40" s="1"/>
  <c r="U1170" i="40" s="1"/>
  <c r="Q1172" i="40" a="1"/>
  <c r="Q1172" i="40" s="1"/>
  <c r="U1172" i="40" s="1"/>
  <c r="Q1174" i="40" a="1"/>
  <c r="Q1174" i="40" s="1"/>
  <c r="U1174" i="40" s="1"/>
  <c r="Q1176" i="40" a="1"/>
  <c r="Q1176" i="40" s="1"/>
  <c r="U1176" i="40" s="1"/>
  <c r="Q1178" i="40" a="1"/>
  <c r="Q1178" i="40" s="1"/>
  <c r="U1178" i="40" s="1"/>
  <c r="Q1180" i="40" a="1"/>
  <c r="Q1180" i="40" s="1"/>
  <c r="U1180" i="40" s="1"/>
  <c r="M1227" i="40" a="1"/>
  <c r="M1227" i="40" s="1"/>
  <c r="S1227" i="40" s="1"/>
  <c r="M1230" i="40" a="1"/>
  <c r="M1230" i="40" s="1"/>
  <c r="S1230" i="40" s="1"/>
  <c r="M1233" i="40" a="1"/>
  <c r="M1233" i="40" s="1"/>
  <c r="S1233" i="40" s="1"/>
  <c r="M1236" i="40" a="1"/>
  <c r="M1236" i="40" s="1"/>
  <c r="S1236" i="40" s="1"/>
  <c r="M1239" i="40" a="1"/>
  <c r="M1239" i="40" s="1"/>
  <c r="S1239" i="40" s="1"/>
  <c r="M1242" i="40" a="1"/>
  <c r="M1242" i="40" s="1"/>
  <c r="S1242" i="40" s="1"/>
  <c r="M1245" i="40" a="1"/>
  <c r="M1245" i="40" s="1"/>
  <c r="S1245" i="40" s="1"/>
  <c r="M1248" i="40" a="1"/>
  <c r="M1248" i="40" s="1"/>
  <c r="S1248" i="40" s="1"/>
  <c r="M1251" i="40" a="1"/>
  <c r="M1251" i="40" s="1"/>
  <c r="S1251" i="40" s="1"/>
  <c r="M1254" i="40" a="1"/>
  <c r="M1254" i="40" s="1"/>
  <c r="S1254" i="40" s="1"/>
  <c r="M1257" i="40" a="1"/>
  <c r="M1257" i="40" s="1"/>
  <c r="S1257" i="40" s="1"/>
  <c r="Q483" i="40" a="1"/>
  <c r="Q483" i="40" s="1"/>
  <c r="U483" i="40" s="1"/>
  <c r="Q1183" i="40" a="1"/>
  <c r="Q1183" i="40" s="1"/>
  <c r="U1183" i="40" s="1"/>
  <c r="Q1185" i="40" a="1"/>
  <c r="Q1185" i="40" s="1"/>
  <c r="U1185" i="40" s="1"/>
  <c r="Q1187" i="40" a="1"/>
  <c r="Q1187" i="40" s="1"/>
  <c r="U1187" i="40" s="1"/>
  <c r="Q1189" i="40" a="1"/>
  <c r="Q1189" i="40" s="1"/>
  <c r="U1189" i="40" s="1"/>
  <c r="Q1191" i="40" a="1"/>
  <c r="Q1191" i="40" s="1"/>
  <c r="U1191" i="40" s="1"/>
  <c r="Q1193" i="40" a="1"/>
  <c r="Q1193" i="40" s="1"/>
  <c r="U1193" i="40" s="1"/>
  <c r="Q1195" i="40" a="1"/>
  <c r="Q1195" i="40" s="1"/>
  <c r="U1195" i="40" s="1"/>
  <c r="Q1197" i="40" a="1"/>
  <c r="Q1197" i="40" s="1"/>
  <c r="U1197" i="40" s="1"/>
  <c r="Q1199" i="40" a="1"/>
  <c r="Q1199" i="40" s="1"/>
  <c r="U1199" i="40" s="1"/>
  <c r="Q1201" i="40" a="1"/>
  <c r="Q1201" i="40" s="1"/>
  <c r="U1201" i="40" s="1"/>
  <c r="Q1203" i="40" a="1"/>
  <c r="Q1203" i="40" s="1"/>
  <c r="U1203" i="40" s="1"/>
  <c r="M1204" i="40" a="1"/>
  <c r="M1204" i="40" s="1"/>
  <c r="S1204" i="40" s="1"/>
  <c r="M1206" i="40" a="1"/>
  <c r="M1206" i="40" s="1"/>
  <c r="S1206" i="40" s="1"/>
  <c r="M1208" i="40" a="1"/>
  <c r="M1208" i="40" s="1"/>
  <c r="S1208" i="40" s="1"/>
  <c r="M1210" i="40" a="1"/>
  <c r="M1210" i="40" s="1"/>
  <c r="S1210" i="40" s="1"/>
  <c r="M1214" i="40" a="1"/>
  <c r="M1214" i="40" s="1"/>
  <c r="S1214" i="40" s="1"/>
  <c r="M1212" i="40" a="1"/>
  <c r="M1212" i="40" s="1"/>
  <c r="S1212" i="40" s="1"/>
  <c r="M1216" i="40" a="1"/>
  <c r="M1216" i="40" s="1"/>
  <c r="S1216" i="40" s="1"/>
  <c r="M1218" i="40" a="1"/>
  <c r="M1218" i="40" s="1"/>
  <c r="S1218" i="40" s="1"/>
  <c r="M1220" i="40" a="1"/>
  <c r="M1220" i="40" s="1"/>
  <c r="S1220" i="40" s="1"/>
  <c r="M1222" i="40" a="1"/>
  <c r="M1222" i="40" s="1"/>
  <c r="S1222" i="40" s="1"/>
  <c r="M1224" i="40" a="1"/>
  <c r="M1224" i="40" s="1"/>
  <c r="S1224" i="40" s="1"/>
  <c r="M764" i="40" a="1"/>
  <c r="M764" i="40" s="1"/>
  <c r="S764" i="40" s="1"/>
  <c r="M765" i="40" a="1"/>
  <c r="M765" i="40" s="1"/>
  <c r="S765" i="40" s="1"/>
  <c r="M766" i="40" a="1"/>
  <c r="M766" i="40" s="1"/>
  <c r="S766" i="40" s="1"/>
  <c r="M767" i="40" a="1"/>
  <c r="M767" i="40" s="1"/>
  <c r="S767" i="40" s="1"/>
  <c r="M768" i="40" a="1"/>
  <c r="M768" i="40" s="1"/>
  <c r="S768" i="40" s="1"/>
  <c r="M769" i="40" a="1"/>
  <c r="M769" i="40" s="1"/>
  <c r="S769" i="40" s="1"/>
  <c r="M770" i="40" a="1"/>
  <c r="M770" i="40" s="1"/>
  <c r="S770" i="40" s="1"/>
  <c r="M771" i="40" a="1"/>
  <c r="M771" i="40" s="1"/>
  <c r="S771" i="40" s="1"/>
  <c r="M772" i="40" a="1"/>
  <c r="M772" i="40" s="1"/>
  <c r="S772" i="40" s="1"/>
  <c r="M773" i="40" a="1"/>
  <c r="M773" i="40" s="1"/>
  <c r="S773" i="40" s="1"/>
  <c r="M774" i="40" a="1"/>
  <c r="M774" i="40" s="1"/>
  <c r="S774" i="40" s="1"/>
  <c r="R1293" i="40" a="1"/>
  <c r="R1293" i="40" s="1"/>
  <c r="V1293" i="40" s="1"/>
  <c r="R1296" i="40" a="1"/>
  <c r="R1296" i="40" s="1"/>
  <c r="V1296" i="40" s="1"/>
  <c r="R1299" i="40" a="1"/>
  <c r="R1299" i="40" s="1"/>
  <c r="V1299" i="40" s="1"/>
  <c r="R1302" i="40" a="1"/>
  <c r="R1302" i="40" s="1"/>
  <c r="V1302" i="40" s="1"/>
  <c r="R1305" i="40" a="1"/>
  <c r="R1305" i="40" s="1"/>
  <c r="V1305" i="40" s="1"/>
  <c r="R1308" i="40" a="1"/>
  <c r="R1308" i="40" s="1"/>
  <c r="V1308" i="40" s="1"/>
  <c r="R1311" i="40" a="1"/>
  <c r="R1311" i="40" s="1"/>
  <c r="V1311" i="40" s="1"/>
  <c r="R1314" i="40" a="1"/>
  <c r="R1314" i="40" s="1"/>
  <c r="V1314" i="40" s="1"/>
  <c r="R1317" i="40" a="1"/>
  <c r="R1317" i="40" s="1"/>
  <c r="V1317" i="40" s="1"/>
  <c r="R1320" i="40" a="1"/>
  <c r="R1320" i="40" s="1"/>
  <c r="V1320" i="40" s="1"/>
  <c r="R1323" i="40" a="1"/>
  <c r="R1323" i="40" s="1"/>
  <c r="V1323" i="40" s="1"/>
  <c r="N1083" i="40" a="1"/>
  <c r="N1083" i="40" s="1"/>
  <c r="N1087" i="40" a="1"/>
  <c r="N1087" i="40" s="1"/>
  <c r="N1091" i="40" a="1"/>
  <c r="N1091" i="40" s="1"/>
  <c r="N1095" i="40" a="1"/>
  <c r="N1095" i="40" s="1"/>
  <c r="N1099" i="40" a="1"/>
  <c r="N1099" i="40" s="1"/>
  <c r="N1103" i="40" a="1"/>
  <c r="N1103" i="40" s="1"/>
  <c r="N1107" i="40" a="1"/>
  <c r="N1107" i="40" s="1"/>
  <c r="N1111" i="40" a="1"/>
  <c r="N1111" i="40" s="1"/>
  <c r="N1115" i="40" a="1"/>
  <c r="N1115" i="40" s="1"/>
  <c r="N1119" i="40" a="1"/>
  <c r="N1119" i="40" s="1"/>
  <c r="N1123" i="40" a="1"/>
  <c r="N1123" i="40" s="1"/>
  <c r="O1347" i="40" a="1"/>
  <c r="O1347" i="40" s="1"/>
  <c r="O1349" i="40" a="1"/>
  <c r="O1349" i="40" s="1"/>
  <c r="O1348" i="40" a="1"/>
  <c r="O1348" i="40" s="1"/>
  <c r="O1350" i="40" a="1"/>
  <c r="O1350" i="40" s="1"/>
  <c r="O1352" i="40" a="1"/>
  <c r="O1352" i="40" s="1"/>
  <c r="O1351" i="40" a="1"/>
  <c r="O1351" i="40" s="1"/>
  <c r="O1353" i="40" a="1"/>
  <c r="O1353" i="40" s="1"/>
  <c r="O1354" i="40" a="1"/>
  <c r="O1354" i="40" s="1"/>
  <c r="O1355" i="40" a="1"/>
  <c r="O1355" i="40" s="1"/>
  <c r="O1356" i="40" a="1"/>
  <c r="O1356" i="40" s="1"/>
  <c r="O1357" i="40" a="1"/>
  <c r="O1357" i="40" s="1"/>
  <c r="N1227" i="40" a="1"/>
  <c r="N1227" i="40" s="1"/>
  <c r="N1230" i="40" a="1"/>
  <c r="N1230" i="40" s="1"/>
  <c r="N1233" i="40" a="1"/>
  <c r="N1233" i="40" s="1"/>
  <c r="N1236" i="40" a="1"/>
  <c r="N1236" i="40" s="1"/>
  <c r="N1239" i="40" a="1"/>
  <c r="N1239" i="40" s="1"/>
  <c r="N1242" i="40" a="1"/>
  <c r="N1242" i="40" s="1"/>
  <c r="N1245" i="40" a="1"/>
  <c r="N1245" i="40" s="1"/>
  <c r="N1248" i="40" a="1"/>
  <c r="N1248" i="40" s="1"/>
  <c r="N1251" i="40" a="1"/>
  <c r="N1251" i="40" s="1"/>
  <c r="N1254" i="40" a="1"/>
  <c r="N1254" i="40" s="1"/>
  <c r="N1257" i="40" a="1"/>
  <c r="N1257" i="40" s="1"/>
  <c r="M1085" i="40" a="1"/>
  <c r="M1085" i="40" s="1"/>
  <c r="S1085" i="40" s="1"/>
  <c r="M1089" i="40" a="1"/>
  <c r="M1089" i="40" s="1"/>
  <c r="S1089" i="40" s="1"/>
  <c r="M1093" i="40" a="1"/>
  <c r="M1093" i="40" s="1"/>
  <c r="S1093" i="40" s="1"/>
  <c r="M1097" i="40" a="1"/>
  <c r="M1097" i="40" s="1"/>
  <c r="S1097" i="40" s="1"/>
  <c r="M1101" i="40" a="1"/>
  <c r="M1101" i="40" s="1"/>
  <c r="S1101" i="40" s="1"/>
  <c r="M1105" i="40" a="1"/>
  <c r="M1105" i="40" s="1"/>
  <c r="S1105" i="40" s="1"/>
  <c r="M1109" i="40" a="1"/>
  <c r="M1109" i="40" s="1"/>
  <c r="S1109" i="40" s="1"/>
  <c r="M1113" i="40" a="1"/>
  <c r="M1113" i="40" s="1"/>
  <c r="S1113" i="40" s="1"/>
  <c r="M1117" i="40" a="1"/>
  <c r="M1117" i="40" s="1"/>
  <c r="S1117" i="40" s="1"/>
  <c r="M1121" i="40" a="1"/>
  <c r="M1121" i="40" s="1"/>
  <c r="S1121" i="40" s="1"/>
  <c r="M1125" i="40" a="1"/>
  <c r="M1125" i="40" s="1"/>
  <c r="S1125" i="40" s="1"/>
  <c r="N1228" i="40" a="1"/>
  <c r="N1228" i="40" s="1"/>
  <c r="N1231" i="40" a="1"/>
  <c r="N1231" i="40" s="1"/>
  <c r="N1234" i="40" a="1"/>
  <c r="N1234" i="40" s="1"/>
  <c r="N1237" i="40" a="1"/>
  <c r="N1237" i="40" s="1"/>
  <c r="N1243" i="40" a="1"/>
  <c r="N1243" i="40" s="1"/>
  <c r="N1240" i="40" a="1"/>
  <c r="N1240" i="40" s="1"/>
  <c r="N1246" i="40" a="1"/>
  <c r="N1246" i="40" s="1"/>
  <c r="N1249" i="40" a="1"/>
  <c r="N1249" i="40" s="1"/>
  <c r="N1252" i="40" a="1"/>
  <c r="N1252" i="40" s="1"/>
  <c r="N1255" i="40" a="1"/>
  <c r="N1255" i="40" s="1"/>
  <c r="N1258" i="40" a="1"/>
  <c r="N1258" i="40" s="1"/>
  <c r="M1205" i="40" a="1"/>
  <c r="M1205" i="40" s="1"/>
  <c r="S1205" i="40" s="1"/>
  <c r="M1207" i="40" a="1"/>
  <c r="M1207" i="40" s="1"/>
  <c r="S1207" i="40" s="1"/>
  <c r="M1209" i="40" a="1"/>
  <c r="M1209" i="40" s="1"/>
  <c r="S1209" i="40" s="1"/>
  <c r="M1211" i="40" a="1"/>
  <c r="M1211" i="40" s="1"/>
  <c r="S1211" i="40" s="1"/>
  <c r="M1213" i="40" a="1"/>
  <c r="M1213" i="40" s="1"/>
  <c r="S1213" i="40" s="1"/>
  <c r="M1215" i="40" a="1"/>
  <c r="M1215" i="40" s="1"/>
  <c r="S1215" i="40" s="1"/>
  <c r="M1217" i="40" a="1"/>
  <c r="M1217" i="40" s="1"/>
  <c r="S1217" i="40" s="1"/>
  <c r="M1219" i="40" a="1"/>
  <c r="M1219" i="40" s="1"/>
  <c r="S1219" i="40" s="1"/>
  <c r="M1221" i="40" a="1"/>
  <c r="M1221" i="40" s="1"/>
  <c r="S1221" i="40" s="1"/>
  <c r="M1223" i="40" a="1"/>
  <c r="M1223" i="40" s="1"/>
  <c r="S1223" i="40" s="1"/>
  <c r="M1225" i="40" a="1"/>
  <c r="M1225" i="40" s="1"/>
  <c r="S1225" i="40" s="1"/>
  <c r="M1083" i="40" a="1"/>
  <c r="M1083" i="40" s="1"/>
  <c r="S1083" i="40" s="1"/>
  <c r="M1087" i="40" a="1"/>
  <c r="M1087" i="40" s="1"/>
  <c r="S1087" i="40" s="1"/>
  <c r="M1091" i="40" a="1"/>
  <c r="M1091" i="40" s="1"/>
  <c r="S1091" i="40" s="1"/>
  <c r="M1095" i="40" a="1"/>
  <c r="M1095" i="40" s="1"/>
  <c r="S1095" i="40" s="1"/>
  <c r="M1099" i="40" a="1"/>
  <c r="M1099" i="40" s="1"/>
  <c r="S1099" i="40" s="1"/>
  <c r="M1103" i="40" a="1"/>
  <c r="M1103" i="40" s="1"/>
  <c r="S1103" i="40" s="1"/>
  <c r="M1107" i="40" a="1"/>
  <c r="M1107" i="40" s="1"/>
  <c r="S1107" i="40" s="1"/>
  <c r="M1111" i="40" a="1"/>
  <c r="M1111" i="40" s="1"/>
  <c r="S1111" i="40" s="1"/>
  <c r="M1115" i="40" a="1"/>
  <c r="M1115" i="40" s="1"/>
  <c r="S1115" i="40" s="1"/>
  <c r="M1119" i="40" a="1"/>
  <c r="M1119" i="40" s="1"/>
  <c r="S1119" i="40" s="1"/>
  <c r="M1123" i="40" a="1"/>
  <c r="M1123" i="40" s="1"/>
  <c r="S1123" i="40" s="1"/>
  <c r="N1085" i="40" a="1"/>
  <c r="N1085" i="40" s="1"/>
  <c r="N1089" i="40" a="1"/>
  <c r="N1089" i="40" s="1"/>
  <c r="N1093" i="40" a="1"/>
  <c r="N1093" i="40" s="1"/>
  <c r="N1097" i="40" a="1"/>
  <c r="N1097" i="40" s="1"/>
  <c r="N1105" i="40" a="1"/>
  <c r="N1105" i="40" s="1"/>
  <c r="N1101" i="40" a="1"/>
  <c r="N1101" i="40" s="1"/>
  <c r="N1109" i="40" a="1"/>
  <c r="N1109" i="40" s="1"/>
  <c r="N1113" i="40" a="1"/>
  <c r="N1113" i="40" s="1"/>
  <c r="N1117" i="40" a="1"/>
  <c r="N1117" i="40" s="1"/>
  <c r="N1121" i="40" a="1"/>
  <c r="N1121" i="40" s="1"/>
  <c r="N1125" i="40" a="1"/>
  <c r="N1125" i="40" s="1"/>
  <c r="Q1083" i="40" a="1"/>
  <c r="Q1083" i="40" s="1"/>
  <c r="U1083" i="40" s="1"/>
  <c r="Q1087" i="40" a="1"/>
  <c r="Q1087" i="40" s="1"/>
  <c r="U1087" i="40" s="1"/>
  <c r="Q1091" i="40" a="1"/>
  <c r="Q1091" i="40" s="1"/>
  <c r="U1091" i="40" s="1"/>
  <c r="Q1095" i="40" a="1"/>
  <c r="Q1095" i="40" s="1"/>
  <c r="U1095" i="40" s="1"/>
  <c r="Q1099" i="40" a="1"/>
  <c r="Q1099" i="40" s="1"/>
  <c r="U1099" i="40" s="1"/>
  <c r="Q1103" i="40" a="1"/>
  <c r="Q1103" i="40" s="1"/>
  <c r="U1103" i="40" s="1"/>
  <c r="Q1107" i="40" a="1"/>
  <c r="Q1107" i="40" s="1"/>
  <c r="U1107" i="40" s="1"/>
  <c r="Q1111" i="40" a="1"/>
  <c r="Q1111" i="40" s="1"/>
  <c r="U1111" i="40" s="1"/>
  <c r="Q1115" i="40" a="1"/>
  <c r="Q1115" i="40" s="1"/>
  <c r="U1115" i="40" s="1"/>
  <c r="Q1119" i="40" a="1"/>
  <c r="Q1119" i="40" s="1"/>
  <c r="U1119" i="40" s="1"/>
  <c r="Q1123" i="40" a="1"/>
  <c r="Q1123" i="40" s="1"/>
  <c r="U1123" i="40" s="1"/>
  <c r="M808" i="40" a="1"/>
  <c r="M808" i="40" s="1"/>
  <c r="S808" i="40" s="1"/>
  <c r="M814" i="40" a="1"/>
  <c r="M814" i="40" s="1"/>
  <c r="S814" i="40" s="1"/>
  <c r="M811" i="40" a="1"/>
  <c r="M811" i="40" s="1"/>
  <c r="S811" i="40" s="1"/>
  <c r="M817" i="40" a="1"/>
  <c r="M817" i="40" s="1"/>
  <c r="S817" i="40" s="1"/>
  <c r="M820" i="40" a="1"/>
  <c r="M820" i="40" s="1"/>
  <c r="S820" i="40" s="1"/>
  <c r="M823" i="40" a="1"/>
  <c r="M823" i="40" s="1"/>
  <c r="S823" i="40" s="1"/>
  <c r="M826" i="40" a="1"/>
  <c r="M826" i="40" s="1"/>
  <c r="S826" i="40" s="1"/>
  <c r="M829" i="40" a="1"/>
  <c r="M829" i="40" s="1"/>
  <c r="S829" i="40" s="1"/>
  <c r="M832" i="40" a="1"/>
  <c r="M832" i="40" s="1"/>
  <c r="S832" i="40" s="1"/>
  <c r="M835" i="40" a="1"/>
  <c r="M835" i="40" s="1"/>
  <c r="S835" i="40" s="1"/>
  <c r="M838" i="40" a="1"/>
  <c r="M838" i="40" s="1"/>
  <c r="S838" i="40" s="1"/>
  <c r="N1182" i="40" a="1"/>
  <c r="N1182" i="40" s="1"/>
  <c r="N1184" i="40" a="1"/>
  <c r="N1184" i="40" s="1"/>
  <c r="N1186" i="40" a="1"/>
  <c r="N1186" i="40" s="1"/>
  <c r="N1188" i="40" a="1"/>
  <c r="N1188" i="40" s="1"/>
  <c r="N1190" i="40" a="1"/>
  <c r="N1190" i="40" s="1"/>
  <c r="N1192" i="40" a="1"/>
  <c r="N1192" i="40" s="1"/>
  <c r="N1194" i="40" a="1"/>
  <c r="N1194" i="40" s="1"/>
  <c r="N1196" i="40" a="1"/>
  <c r="N1196" i="40" s="1"/>
  <c r="N1198" i="40" a="1"/>
  <c r="N1198" i="40" s="1"/>
  <c r="N1200" i="40" a="1"/>
  <c r="N1200" i="40" s="1"/>
  <c r="N1202" i="40" a="1"/>
  <c r="N1202" i="40" s="1"/>
  <c r="N361" i="40" a="1"/>
  <c r="N361" i="40" s="1"/>
  <c r="N1041" i="40" a="1"/>
  <c r="N1041" i="40" s="1"/>
  <c r="N1045" i="40" a="1"/>
  <c r="N1045" i="40" s="1"/>
  <c r="N1049" i="40" a="1"/>
  <c r="N1049" i="40" s="1"/>
  <c r="N1053" i="40" a="1"/>
  <c r="N1053" i="40" s="1"/>
  <c r="N1061" i="40" a="1"/>
  <c r="N1061" i="40" s="1"/>
  <c r="N1057" i="40" a="1"/>
  <c r="N1057" i="40" s="1"/>
  <c r="N1065" i="40" a="1"/>
  <c r="N1065" i="40" s="1"/>
  <c r="N1069" i="40" a="1"/>
  <c r="N1069" i="40" s="1"/>
  <c r="N1073" i="40" a="1"/>
  <c r="N1073" i="40" s="1"/>
  <c r="N1077" i="40" a="1"/>
  <c r="N1077" i="40" s="1"/>
  <c r="N1081" i="40" a="1"/>
  <c r="N1081" i="40" s="1"/>
  <c r="N1205" i="40" a="1"/>
  <c r="N1205" i="40" s="1"/>
  <c r="N1207" i="40" a="1"/>
  <c r="N1207" i="40" s="1"/>
  <c r="N1209" i="40" a="1"/>
  <c r="N1209" i="40" s="1"/>
  <c r="N1211" i="40" a="1"/>
  <c r="N1211" i="40" s="1"/>
  <c r="N1213" i="40" a="1"/>
  <c r="N1213" i="40" s="1"/>
  <c r="N1215" i="40" a="1"/>
  <c r="N1215" i="40" s="1"/>
  <c r="N1217" i="40" a="1"/>
  <c r="N1217" i="40" s="1"/>
  <c r="N1219" i="40" a="1"/>
  <c r="N1219" i="40" s="1"/>
  <c r="N1221" i="40" a="1"/>
  <c r="N1221" i="40" s="1"/>
  <c r="N1223" i="40" a="1"/>
  <c r="N1223" i="40" s="1"/>
  <c r="N1225" i="40" a="1"/>
  <c r="N1225" i="40" s="1"/>
  <c r="N810" i="40" a="1"/>
  <c r="N810" i="40" s="1"/>
  <c r="N813" i="40" a="1"/>
  <c r="N813" i="40" s="1"/>
  <c r="N816" i="40" a="1"/>
  <c r="N816" i="40" s="1"/>
  <c r="N819" i="40" a="1"/>
  <c r="N819" i="40" s="1"/>
  <c r="N822" i="40" a="1"/>
  <c r="N822" i="40" s="1"/>
  <c r="N825" i="40" a="1"/>
  <c r="N825" i="40" s="1"/>
  <c r="N828" i="40" a="1"/>
  <c r="N828" i="40" s="1"/>
  <c r="N831" i="40" a="1"/>
  <c r="N831" i="40" s="1"/>
  <c r="N834" i="40" a="1"/>
  <c r="N834" i="40" s="1"/>
  <c r="N837" i="40" a="1"/>
  <c r="N837" i="40" s="1"/>
  <c r="N840" i="40" a="1"/>
  <c r="N840" i="40" s="1"/>
  <c r="M1183" i="40" a="1"/>
  <c r="M1183" i="40" s="1"/>
  <c r="S1183" i="40" s="1"/>
  <c r="M1185" i="40" a="1"/>
  <c r="M1185" i="40" s="1"/>
  <c r="S1185" i="40" s="1"/>
  <c r="M1187" i="40" a="1"/>
  <c r="M1187" i="40" s="1"/>
  <c r="S1187" i="40" s="1"/>
  <c r="M1189" i="40" a="1"/>
  <c r="M1189" i="40" s="1"/>
  <c r="S1189" i="40" s="1"/>
  <c r="M1191" i="40" a="1"/>
  <c r="M1191" i="40" s="1"/>
  <c r="S1191" i="40" s="1"/>
  <c r="M1193" i="40" a="1"/>
  <c r="M1193" i="40" s="1"/>
  <c r="S1193" i="40" s="1"/>
  <c r="M1195" i="40" a="1"/>
  <c r="M1195" i="40" s="1"/>
  <c r="S1195" i="40" s="1"/>
  <c r="M1197" i="40" a="1"/>
  <c r="M1197" i="40" s="1"/>
  <c r="S1197" i="40" s="1"/>
  <c r="M1199" i="40" a="1"/>
  <c r="M1199" i="40" s="1"/>
  <c r="S1199" i="40" s="1"/>
  <c r="M1201" i="40" a="1"/>
  <c r="M1201" i="40" s="1"/>
  <c r="S1201" i="40" s="1"/>
  <c r="M1203" i="40" a="1"/>
  <c r="M1203" i="40" s="1"/>
  <c r="S1203" i="40" s="1"/>
  <c r="N1040" i="40" a="1"/>
  <c r="N1040" i="40" s="1"/>
  <c r="N1044" i="40" a="1"/>
  <c r="N1044" i="40" s="1"/>
  <c r="N1048" i="40" a="1"/>
  <c r="N1048" i="40" s="1"/>
  <c r="N1052" i="40" a="1"/>
  <c r="N1052" i="40" s="1"/>
  <c r="N1060" i="40" a="1"/>
  <c r="N1060" i="40" s="1"/>
  <c r="N1056" i="40" a="1"/>
  <c r="N1056" i="40" s="1"/>
  <c r="N1064" i="40" a="1"/>
  <c r="N1064" i="40" s="1"/>
  <c r="N1068" i="40" a="1"/>
  <c r="N1068" i="40" s="1"/>
  <c r="N1072" i="40" a="1"/>
  <c r="N1072" i="40" s="1"/>
  <c r="N1076" i="40" a="1"/>
  <c r="N1076" i="40" s="1"/>
  <c r="N1080" i="40" a="1"/>
  <c r="N1080" i="40" s="1"/>
  <c r="M1086" i="40" a="1"/>
  <c r="M1086" i="40" s="1"/>
  <c r="S1086" i="40" s="1"/>
  <c r="M1090" i="40" a="1"/>
  <c r="M1090" i="40" s="1"/>
  <c r="S1090" i="40" s="1"/>
  <c r="M1094" i="40" a="1"/>
  <c r="M1094" i="40" s="1"/>
  <c r="S1094" i="40" s="1"/>
  <c r="M1098" i="40" a="1"/>
  <c r="M1098" i="40" s="1"/>
  <c r="S1098" i="40" s="1"/>
  <c r="M1102" i="40" a="1"/>
  <c r="M1102" i="40" s="1"/>
  <c r="S1102" i="40" s="1"/>
  <c r="M1106" i="40" a="1"/>
  <c r="M1106" i="40" s="1"/>
  <c r="S1106" i="40" s="1"/>
  <c r="M1110" i="40" a="1"/>
  <c r="M1110" i="40" s="1"/>
  <c r="S1110" i="40" s="1"/>
  <c r="M1114" i="40" a="1"/>
  <c r="M1114" i="40" s="1"/>
  <c r="S1114" i="40" s="1"/>
  <c r="M1118" i="40" a="1"/>
  <c r="M1118" i="40" s="1"/>
  <c r="S1118" i="40" s="1"/>
  <c r="M1122" i="40" a="1"/>
  <c r="M1122" i="40" s="1"/>
  <c r="S1122" i="40" s="1"/>
  <c r="M1126" i="40" a="1"/>
  <c r="M1126" i="40" s="1"/>
  <c r="S1126" i="40" s="1"/>
  <c r="R1084" i="40" a="1"/>
  <c r="R1084" i="40" s="1"/>
  <c r="V1084" i="40" s="1"/>
  <c r="R1088" i="40" a="1"/>
  <c r="R1088" i="40" s="1"/>
  <c r="V1088" i="40" s="1"/>
  <c r="R1092" i="40" a="1"/>
  <c r="R1092" i="40" s="1"/>
  <c r="V1092" i="40" s="1"/>
  <c r="R1100" i="40" a="1"/>
  <c r="R1100" i="40" s="1"/>
  <c r="V1100" i="40" s="1"/>
  <c r="R1096" i="40" a="1"/>
  <c r="R1096" i="40" s="1"/>
  <c r="V1096" i="40" s="1"/>
  <c r="R1104" i="40" a="1"/>
  <c r="R1104" i="40" s="1"/>
  <c r="V1104" i="40" s="1"/>
  <c r="R1108" i="40" a="1"/>
  <c r="R1108" i="40" s="1"/>
  <c r="V1108" i="40" s="1"/>
  <c r="R1112" i="40" a="1"/>
  <c r="R1112" i="40" s="1"/>
  <c r="V1112" i="40" s="1"/>
  <c r="R1116" i="40" a="1"/>
  <c r="R1116" i="40" s="1"/>
  <c r="V1116" i="40" s="1"/>
  <c r="R1120" i="40" a="1"/>
  <c r="R1120" i="40" s="1"/>
  <c r="V1120" i="40" s="1"/>
  <c r="R1124" i="40" a="1"/>
  <c r="R1124" i="40" s="1"/>
  <c r="V1124" i="40" s="1"/>
  <c r="N1017" i="40" a="1"/>
  <c r="N1017" i="40" s="1"/>
  <c r="N1018" i="40" a="1"/>
  <c r="N1018" i="40" s="1"/>
  <c r="N1019" i="40" a="1"/>
  <c r="N1019" i="40" s="1"/>
  <c r="N1020" i="40" a="1"/>
  <c r="N1020" i="40" s="1"/>
  <c r="N1022" i="40" a="1"/>
  <c r="N1022" i="40" s="1"/>
  <c r="N1021" i="40" a="1"/>
  <c r="N1021" i="40" s="1"/>
  <c r="N1023" i="40" a="1"/>
  <c r="N1023" i="40" s="1"/>
  <c r="N1024" i="40" a="1"/>
  <c r="N1024" i="40" s="1"/>
  <c r="N1025" i="40" a="1"/>
  <c r="N1025" i="40" s="1"/>
  <c r="N1026" i="40" a="1"/>
  <c r="N1026" i="40" s="1"/>
  <c r="N1027" i="40" a="1"/>
  <c r="N1027" i="40" s="1"/>
  <c r="N528" i="40" a="1"/>
  <c r="N528" i="40" s="1"/>
  <c r="N1226" i="40" a="1"/>
  <c r="N1226" i="40" s="1"/>
  <c r="N1229" i="40" a="1"/>
  <c r="N1229" i="40" s="1"/>
  <c r="N1232" i="40" a="1"/>
  <c r="N1232" i="40" s="1"/>
  <c r="N1235" i="40" a="1"/>
  <c r="N1235" i="40" s="1"/>
  <c r="N1238" i="40" a="1"/>
  <c r="N1238" i="40" s="1"/>
  <c r="N1241" i="40" a="1"/>
  <c r="N1241" i="40" s="1"/>
  <c r="N1244" i="40" a="1"/>
  <c r="N1244" i="40" s="1"/>
  <c r="N1247" i="40" a="1"/>
  <c r="N1247" i="40" s="1"/>
  <c r="N1250" i="40" a="1"/>
  <c r="N1250" i="40" s="1"/>
  <c r="N1253" i="40" a="1"/>
  <c r="N1253" i="40" s="1"/>
  <c r="N1256" i="40" a="1"/>
  <c r="N1256" i="40" s="1"/>
  <c r="R1017" i="40" a="1"/>
  <c r="R1017" i="40" s="1"/>
  <c r="V1017" i="40" s="1"/>
  <c r="R1018" i="40" a="1"/>
  <c r="R1018" i="40" s="1"/>
  <c r="V1018" i="40" s="1"/>
  <c r="R1019" i="40" a="1"/>
  <c r="R1019" i="40" s="1"/>
  <c r="V1019" i="40" s="1"/>
  <c r="R1020" i="40" a="1"/>
  <c r="R1020" i="40" s="1"/>
  <c r="V1020" i="40" s="1"/>
  <c r="R1021" i="40" a="1"/>
  <c r="R1021" i="40" s="1"/>
  <c r="V1021" i="40" s="1"/>
  <c r="R1022" i="40" a="1"/>
  <c r="R1022" i="40" s="1"/>
  <c r="V1022" i="40" s="1"/>
  <c r="R1023" i="40" a="1"/>
  <c r="R1023" i="40" s="1"/>
  <c r="V1023" i="40" s="1"/>
  <c r="R1024" i="40" a="1"/>
  <c r="R1024" i="40" s="1"/>
  <c r="V1024" i="40" s="1"/>
  <c r="R1025" i="40" a="1"/>
  <c r="R1025" i="40" s="1"/>
  <c r="V1025" i="40" s="1"/>
  <c r="R1026" i="40" a="1"/>
  <c r="R1026" i="40" s="1"/>
  <c r="V1026" i="40" s="1"/>
  <c r="R1027" i="40" a="1"/>
  <c r="R1027" i="40" s="1"/>
  <c r="V1027" i="40" s="1"/>
  <c r="Q731" i="40" a="1"/>
  <c r="Q731" i="40" s="1"/>
  <c r="U731" i="40" s="1"/>
  <c r="Q732" i="40" a="1"/>
  <c r="Q732" i="40" s="1"/>
  <c r="U732" i="40" s="1"/>
  <c r="Q733" i="40" a="1"/>
  <c r="Q733" i="40" s="1"/>
  <c r="U733" i="40" s="1"/>
  <c r="Q734" i="40" a="1"/>
  <c r="Q734" i="40" s="1"/>
  <c r="U734" i="40" s="1"/>
  <c r="Q735" i="40" a="1"/>
  <c r="Q735" i="40" s="1"/>
  <c r="U735" i="40" s="1"/>
  <c r="Q736" i="40" a="1"/>
  <c r="Q736" i="40" s="1"/>
  <c r="U736" i="40" s="1"/>
  <c r="Q737" i="40" a="1"/>
  <c r="Q737" i="40" s="1"/>
  <c r="U737" i="40" s="1"/>
  <c r="Q738" i="40" a="1"/>
  <c r="Q738" i="40" s="1"/>
  <c r="U738" i="40" s="1"/>
  <c r="Q739" i="40" a="1"/>
  <c r="Q739" i="40" s="1"/>
  <c r="U739" i="40" s="1"/>
  <c r="Q740" i="40" a="1"/>
  <c r="Q740" i="40" s="1"/>
  <c r="U740" i="40" s="1"/>
  <c r="Q741" i="40" a="1"/>
  <c r="Q741" i="40" s="1"/>
  <c r="U741" i="40" s="1"/>
  <c r="M810" i="40" a="1"/>
  <c r="M810" i="40" s="1"/>
  <c r="S810" i="40" s="1"/>
  <c r="M813" i="40" a="1"/>
  <c r="M813" i="40" s="1"/>
  <c r="S813" i="40" s="1"/>
  <c r="M816" i="40" a="1"/>
  <c r="M816" i="40" s="1"/>
  <c r="S816" i="40" s="1"/>
  <c r="M819" i="40" a="1"/>
  <c r="M819" i="40" s="1"/>
  <c r="S819" i="40" s="1"/>
  <c r="M825" i="40" a="1"/>
  <c r="M825" i="40" s="1"/>
  <c r="S825" i="40" s="1"/>
  <c r="M822" i="40" a="1"/>
  <c r="M822" i="40" s="1"/>
  <c r="S822" i="40" s="1"/>
  <c r="M828" i="40" a="1"/>
  <c r="M828" i="40" s="1"/>
  <c r="S828" i="40" s="1"/>
  <c r="M831" i="40" a="1"/>
  <c r="M831" i="40" s="1"/>
  <c r="S831" i="40" s="1"/>
  <c r="M834" i="40" a="1"/>
  <c r="M834" i="40" s="1"/>
  <c r="S834" i="40" s="1"/>
  <c r="M837" i="40" a="1"/>
  <c r="M837" i="40" s="1"/>
  <c r="S837" i="40" s="1"/>
  <c r="M840" i="40" a="1"/>
  <c r="M840" i="40" s="1"/>
  <c r="S840" i="40" s="1"/>
  <c r="Q1293" i="40" a="1"/>
  <c r="Q1293" i="40" s="1"/>
  <c r="U1293" i="40" s="1"/>
  <c r="Q1296" i="40" a="1"/>
  <c r="Q1296" i="40" s="1"/>
  <c r="U1296" i="40" s="1"/>
  <c r="Q1299" i="40" a="1"/>
  <c r="Q1299" i="40" s="1"/>
  <c r="U1299" i="40" s="1"/>
  <c r="Q1302" i="40" a="1"/>
  <c r="Q1302" i="40" s="1"/>
  <c r="U1302" i="40" s="1"/>
  <c r="Q1305" i="40" a="1"/>
  <c r="Q1305" i="40" s="1"/>
  <c r="U1305" i="40" s="1"/>
  <c r="Q1308" i="40" a="1"/>
  <c r="Q1308" i="40" s="1"/>
  <c r="U1308" i="40" s="1"/>
  <c r="Q1311" i="40" a="1"/>
  <c r="Q1311" i="40" s="1"/>
  <c r="U1311" i="40" s="1"/>
  <c r="Q1314" i="40" a="1"/>
  <c r="Q1314" i="40" s="1"/>
  <c r="U1314" i="40" s="1"/>
  <c r="Q1317" i="40" a="1"/>
  <c r="Q1317" i="40" s="1"/>
  <c r="U1317" i="40" s="1"/>
  <c r="Q1320" i="40" a="1"/>
  <c r="Q1320" i="40" s="1"/>
  <c r="U1320" i="40" s="1"/>
  <c r="Q1323" i="40" a="1"/>
  <c r="Q1323" i="40" s="1"/>
  <c r="U1323" i="40" s="1"/>
  <c r="N1292" i="40" a="1"/>
  <c r="N1292" i="40" s="1"/>
  <c r="N1295" i="40" a="1"/>
  <c r="N1295" i="40" s="1"/>
  <c r="N1298" i="40" a="1"/>
  <c r="N1298" i="40" s="1"/>
  <c r="N1301" i="40" a="1"/>
  <c r="N1301" i="40" s="1"/>
  <c r="N1304" i="40" a="1"/>
  <c r="N1304" i="40" s="1"/>
  <c r="N1307" i="40" a="1"/>
  <c r="N1307" i="40" s="1"/>
  <c r="N1310" i="40" a="1"/>
  <c r="N1310" i="40" s="1"/>
  <c r="N1313" i="40" a="1"/>
  <c r="N1313" i="40" s="1"/>
  <c r="N1316" i="40" a="1"/>
  <c r="N1316" i="40" s="1"/>
  <c r="N1319" i="40" a="1"/>
  <c r="N1319" i="40" s="1"/>
  <c r="N1322" i="40" a="1"/>
  <c r="N1322" i="40" s="1"/>
  <c r="N1086" i="40" a="1"/>
  <c r="N1086" i="40" s="1"/>
  <c r="N1090" i="40" a="1"/>
  <c r="N1090" i="40" s="1"/>
  <c r="N1094" i="40" a="1"/>
  <c r="N1094" i="40" s="1"/>
  <c r="N1098" i="40" a="1"/>
  <c r="N1098" i="40" s="1"/>
  <c r="N1106" i="40" a="1"/>
  <c r="N1106" i="40" s="1"/>
  <c r="N1102" i="40" a="1"/>
  <c r="N1102" i="40" s="1"/>
  <c r="N1110" i="40" a="1"/>
  <c r="N1110" i="40" s="1"/>
  <c r="N1114" i="40" a="1"/>
  <c r="N1114" i="40" s="1"/>
  <c r="N1118" i="40" a="1"/>
  <c r="N1118" i="40" s="1"/>
  <c r="N1122" i="40" a="1"/>
  <c r="N1122" i="40" s="1"/>
  <c r="N1126" i="40" a="1"/>
  <c r="N1126" i="40" s="1"/>
  <c r="R1183" i="40" a="1"/>
  <c r="R1183" i="40" s="1"/>
  <c r="V1183" i="40" s="1"/>
  <c r="R1185" i="40" a="1"/>
  <c r="R1185" i="40" s="1"/>
  <c r="V1185" i="40" s="1"/>
  <c r="R1187" i="40" a="1"/>
  <c r="R1187" i="40" s="1"/>
  <c r="V1187" i="40" s="1"/>
  <c r="R1189" i="40" a="1"/>
  <c r="R1189" i="40" s="1"/>
  <c r="V1189" i="40" s="1"/>
  <c r="R1191" i="40" a="1"/>
  <c r="R1191" i="40" s="1"/>
  <c r="V1191" i="40" s="1"/>
  <c r="R1193" i="40" a="1"/>
  <c r="R1193" i="40" s="1"/>
  <c r="V1193" i="40" s="1"/>
  <c r="R1195" i="40" a="1"/>
  <c r="R1195" i="40" s="1"/>
  <c r="V1195" i="40" s="1"/>
  <c r="R1197" i="40" a="1"/>
  <c r="R1197" i="40" s="1"/>
  <c r="V1197" i="40" s="1"/>
  <c r="R1199" i="40" a="1"/>
  <c r="R1199" i="40" s="1"/>
  <c r="V1199" i="40" s="1"/>
  <c r="R1203" i="40" a="1"/>
  <c r="R1203" i="40" s="1"/>
  <c r="V1203" i="40" s="1"/>
  <c r="R1201" i="40" a="1"/>
  <c r="R1201" i="40" s="1"/>
  <c r="V1201" i="40" s="1"/>
  <c r="N1294" i="40" a="1"/>
  <c r="N1294" i="40" s="1"/>
  <c r="N1297" i="40" a="1"/>
  <c r="N1297" i="40" s="1"/>
  <c r="N1300" i="40" a="1"/>
  <c r="N1300" i="40" s="1"/>
  <c r="N1303" i="40" a="1"/>
  <c r="N1303" i="40" s="1"/>
  <c r="N1309" i="40" a="1"/>
  <c r="N1309" i="40" s="1"/>
  <c r="N1306" i="40" a="1"/>
  <c r="N1306" i="40" s="1"/>
  <c r="N1312" i="40" a="1"/>
  <c r="N1312" i="40" s="1"/>
  <c r="N1315" i="40" a="1"/>
  <c r="N1315" i="40" s="1"/>
  <c r="N1318" i="40" a="1"/>
  <c r="N1318" i="40" s="1"/>
  <c r="N1321" i="40" a="1"/>
  <c r="N1321" i="40" s="1"/>
  <c r="N1324" i="40" a="1"/>
  <c r="N1324" i="40" s="1"/>
  <c r="M1039" i="40" a="1"/>
  <c r="M1039" i="40" s="1"/>
  <c r="S1039" i="40" s="1"/>
  <c r="M1043" i="40" a="1"/>
  <c r="M1043" i="40" s="1"/>
  <c r="S1043" i="40" s="1"/>
  <c r="M1047" i="40" a="1"/>
  <c r="M1047" i="40" s="1"/>
  <c r="S1047" i="40" s="1"/>
  <c r="M1051" i="40" a="1"/>
  <c r="M1051" i="40" s="1"/>
  <c r="S1051" i="40" s="1"/>
  <c r="M1055" i="40" a="1"/>
  <c r="M1055" i="40" s="1"/>
  <c r="S1055" i="40" s="1"/>
  <c r="M1059" i="40" a="1"/>
  <c r="M1059" i="40" s="1"/>
  <c r="S1059" i="40" s="1"/>
  <c r="M1063" i="40" a="1"/>
  <c r="M1063" i="40" s="1"/>
  <c r="S1063" i="40" s="1"/>
  <c r="M1067" i="40" a="1"/>
  <c r="M1067" i="40" s="1"/>
  <c r="S1067" i="40" s="1"/>
  <c r="M1071" i="40" a="1"/>
  <c r="M1071" i="40" s="1"/>
  <c r="S1071" i="40" s="1"/>
  <c r="M1075" i="40" a="1"/>
  <c r="M1075" i="40" s="1"/>
  <c r="S1075" i="40" s="1"/>
  <c r="M1079" i="40" a="1"/>
  <c r="M1079" i="40" s="1"/>
  <c r="S1079" i="40" s="1"/>
  <c r="N1039" i="40" a="1"/>
  <c r="N1039" i="40" s="1"/>
  <c r="N1043" i="40" a="1"/>
  <c r="N1043" i="40" s="1"/>
  <c r="N1047" i="40" a="1"/>
  <c r="N1047" i="40" s="1"/>
  <c r="N1051" i="40" a="1"/>
  <c r="N1051" i="40" s="1"/>
  <c r="N1055" i="40" a="1"/>
  <c r="N1055" i="40" s="1"/>
  <c r="N1059" i="40" a="1"/>
  <c r="N1059" i="40" s="1"/>
  <c r="N1063" i="40" a="1"/>
  <c r="N1063" i="40" s="1"/>
  <c r="N1067" i="40" a="1"/>
  <c r="N1067" i="40" s="1"/>
  <c r="N1071" i="40" a="1"/>
  <c r="N1071" i="40" s="1"/>
  <c r="N1075" i="40" a="1"/>
  <c r="N1075" i="40" s="1"/>
  <c r="N1079" i="40" a="1"/>
  <c r="N1079" i="40" s="1"/>
  <c r="M1281" i="40" a="1"/>
  <c r="M1281" i="40" s="1"/>
  <c r="S1281" i="40" s="1"/>
  <c r="M1282" i="40" a="1"/>
  <c r="M1282" i="40" s="1"/>
  <c r="S1282" i="40" s="1"/>
  <c r="M1283" i="40" a="1"/>
  <c r="M1283" i="40" s="1"/>
  <c r="S1283" i="40" s="1"/>
  <c r="M1284" i="40" a="1"/>
  <c r="M1284" i="40" s="1"/>
  <c r="S1284" i="40" s="1"/>
  <c r="M1285" i="40" a="1"/>
  <c r="M1285" i="40" s="1"/>
  <c r="S1285" i="40" s="1"/>
  <c r="M1286" i="40" a="1"/>
  <c r="M1286" i="40" s="1"/>
  <c r="S1286" i="40" s="1"/>
  <c r="M1287" i="40" a="1"/>
  <c r="M1287" i="40" s="1"/>
  <c r="S1287" i="40" s="1"/>
  <c r="M1288" i="40" a="1"/>
  <c r="M1288" i="40" s="1"/>
  <c r="S1288" i="40" s="1"/>
  <c r="M1289" i="40" a="1"/>
  <c r="M1289" i="40" s="1"/>
  <c r="S1289" i="40" s="1"/>
  <c r="M1290" i="40" a="1"/>
  <c r="M1290" i="40" s="1"/>
  <c r="S1290" i="40" s="1"/>
  <c r="M1291" i="40" a="1"/>
  <c r="M1291" i="40" s="1"/>
  <c r="S1291" i="40" s="1"/>
  <c r="M1292" i="40" a="1"/>
  <c r="M1292" i="40" s="1"/>
  <c r="S1292" i="40" s="1"/>
  <c r="M1295" i="40" a="1"/>
  <c r="M1295" i="40" s="1"/>
  <c r="S1295" i="40" s="1"/>
  <c r="M1298" i="40" a="1"/>
  <c r="M1298" i="40" s="1"/>
  <c r="S1298" i="40" s="1"/>
  <c r="M1301" i="40" a="1"/>
  <c r="M1301" i="40" s="1"/>
  <c r="S1301" i="40" s="1"/>
  <c r="M1304" i="40" a="1"/>
  <c r="M1304" i="40" s="1"/>
  <c r="S1304" i="40" s="1"/>
  <c r="M1307" i="40" a="1"/>
  <c r="M1307" i="40" s="1"/>
  <c r="S1307" i="40" s="1"/>
  <c r="M1310" i="40" a="1"/>
  <c r="M1310" i="40" s="1"/>
  <c r="S1310" i="40" s="1"/>
  <c r="M1313" i="40" a="1"/>
  <c r="M1313" i="40" s="1"/>
  <c r="S1313" i="40" s="1"/>
  <c r="M1316" i="40" a="1"/>
  <c r="M1316" i="40" s="1"/>
  <c r="S1316" i="40" s="1"/>
  <c r="M1319" i="40" a="1"/>
  <c r="M1319" i="40" s="1"/>
  <c r="S1319" i="40" s="1"/>
  <c r="M1322" i="40" a="1"/>
  <c r="M1322" i="40" s="1"/>
  <c r="S1322" i="40" s="1"/>
  <c r="N1084" i="40" a="1"/>
  <c r="N1084" i="40" s="1"/>
  <c r="N1088" i="40" a="1"/>
  <c r="N1088" i="40" s="1"/>
  <c r="N1092" i="40" a="1"/>
  <c r="N1092" i="40" s="1"/>
  <c r="N1096" i="40" a="1"/>
  <c r="N1096" i="40" s="1"/>
  <c r="N1100" i="40" a="1"/>
  <c r="N1100" i="40" s="1"/>
  <c r="N1104" i="40" a="1"/>
  <c r="N1104" i="40" s="1"/>
  <c r="N1108" i="40" a="1"/>
  <c r="N1108" i="40" s="1"/>
  <c r="N1112" i="40" a="1"/>
  <c r="N1112" i="40" s="1"/>
  <c r="N1116" i="40" a="1"/>
  <c r="N1116" i="40" s="1"/>
  <c r="N1120" i="40" a="1"/>
  <c r="N1120" i="40" s="1"/>
  <c r="N1124" i="40" a="1"/>
  <c r="N1124" i="40" s="1"/>
  <c r="M1042" i="40" a="1"/>
  <c r="M1042" i="40" s="1"/>
  <c r="S1042" i="40" s="1"/>
  <c r="M1046" i="40" a="1"/>
  <c r="M1046" i="40" s="1"/>
  <c r="S1046" i="40" s="1"/>
  <c r="M1050" i="40" a="1"/>
  <c r="M1050" i="40" s="1"/>
  <c r="S1050" i="40" s="1"/>
  <c r="M1054" i="40" a="1"/>
  <c r="M1054" i="40" s="1"/>
  <c r="S1054" i="40" s="1"/>
  <c r="M1058" i="40" a="1"/>
  <c r="M1058" i="40" s="1"/>
  <c r="S1058" i="40" s="1"/>
  <c r="M1062" i="40" a="1"/>
  <c r="M1062" i="40" s="1"/>
  <c r="S1062" i="40" s="1"/>
  <c r="M1066" i="40" a="1"/>
  <c r="M1066" i="40" s="1"/>
  <c r="S1066" i="40" s="1"/>
  <c r="M1070" i="40" a="1"/>
  <c r="M1070" i="40" s="1"/>
  <c r="S1070" i="40" s="1"/>
  <c r="M1074" i="40" a="1"/>
  <c r="M1074" i="40" s="1"/>
  <c r="S1074" i="40" s="1"/>
  <c r="M1078" i="40" a="1"/>
  <c r="M1078" i="40" s="1"/>
  <c r="S1078" i="40" s="1"/>
  <c r="M1082" i="40" a="1"/>
  <c r="M1082" i="40" s="1"/>
  <c r="S1082" i="40" s="1"/>
  <c r="F6" i="41"/>
  <c r="F8" i="41"/>
  <c r="G89" i="41"/>
  <c r="F73" i="41"/>
  <c r="G91" i="41"/>
  <c r="I232" i="42"/>
  <c r="G25" i="41"/>
  <c r="G88" i="41"/>
  <c r="F7" i="41"/>
  <c r="F74" i="41"/>
  <c r="G18" i="41"/>
  <c r="F72" i="41"/>
  <c r="G17" i="41"/>
  <c r="F81" i="41"/>
  <c r="G22" i="41"/>
  <c r="G24" i="41"/>
  <c r="G90" i="41"/>
  <c r="F15" i="41"/>
  <c r="L292" i="42"/>
  <c r="L664" i="42"/>
  <c r="I706" i="42"/>
  <c r="I334" i="42"/>
  <c r="L291" i="42"/>
  <c r="L663" i="42"/>
  <c r="I707" i="42"/>
  <c r="I335" i="42"/>
  <c r="G453" i="42"/>
  <c r="G81" i="42"/>
  <c r="L667" i="42"/>
  <c r="L295" i="42"/>
  <c r="G208" i="42"/>
  <c r="G580" i="42"/>
  <c r="G582" i="42"/>
  <c r="G210" i="42"/>
  <c r="L43" i="42"/>
  <c r="L415" i="42"/>
  <c r="I714" i="42"/>
  <c r="I342" i="42"/>
  <c r="H11" i="42"/>
  <c r="H383" i="42"/>
  <c r="H406" i="42"/>
  <c r="H34" i="42"/>
  <c r="H28" i="42"/>
  <c r="H400" i="42"/>
  <c r="L594" i="42"/>
  <c r="L222" i="42"/>
  <c r="L373" i="42"/>
  <c r="L745" i="42"/>
  <c r="G696" i="42"/>
  <c r="G324" i="42"/>
  <c r="G703" i="42"/>
  <c r="G331" i="42"/>
  <c r="H68" i="42"/>
  <c r="H440" i="42"/>
  <c r="G72" i="42"/>
  <c r="G444" i="42"/>
  <c r="L337" i="42"/>
  <c r="L709" i="42"/>
  <c r="G37" i="42"/>
  <c r="G409" i="42"/>
  <c r="G32" i="42"/>
  <c r="G404" i="42"/>
  <c r="K10" i="42"/>
  <c r="K382" i="42"/>
  <c r="G101" i="42"/>
  <c r="G473" i="42"/>
  <c r="K56" i="42"/>
  <c r="K428" i="42"/>
  <c r="I554" i="42"/>
  <c r="I182" i="42"/>
  <c r="G61" i="42"/>
  <c r="G433" i="42"/>
  <c r="G369" i="42"/>
  <c r="G741" i="42"/>
  <c r="G367" i="42"/>
  <c r="G739" i="42"/>
  <c r="L50" i="42"/>
  <c r="L422" i="42"/>
  <c r="G567" i="42"/>
  <c r="G195" i="42"/>
  <c r="H72" i="42"/>
  <c r="H444" i="42"/>
  <c r="H135" i="42"/>
  <c r="H507" i="42"/>
  <c r="L462" i="42"/>
  <c r="L90" i="42"/>
  <c r="L76" i="42"/>
  <c r="L448" i="42"/>
  <c r="L125" i="42"/>
  <c r="L497" i="42"/>
  <c r="K35" i="42"/>
  <c r="K407" i="42"/>
  <c r="K400" i="42"/>
  <c r="K28" i="42"/>
  <c r="H103" i="42"/>
  <c r="H475" i="42"/>
  <c r="H87" i="42"/>
  <c r="H26" i="44" s="1"/>
  <c r="H459" i="42"/>
  <c r="K249" i="42"/>
  <c r="K621" i="42"/>
  <c r="L619" i="42"/>
  <c r="L247" i="42"/>
  <c r="H375" i="42"/>
  <c r="H747" i="42"/>
  <c r="K210" i="42"/>
  <c r="K582" i="42"/>
  <c r="K203" i="42"/>
  <c r="K575" i="42"/>
  <c r="H701" i="42"/>
  <c r="H329" i="42"/>
  <c r="H565" i="42"/>
  <c r="H193" i="42"/>
  <c r="G559" i="42"/>
  <c r="G187" i="42"/>
  <c r="K262" i="42"/>
  <c r="K634" i="42"/>
  <c r="L170" i="42"/>
  <c r="L542" i="42"/>
  <c r="L177" i="42"/>
  <c r="L549" i="42"/>
  <c r="G128" i="42"/>
  <c r="G500" i="42"/>
  <c r="I722" i="42"/>
  <c r="I350" i="42"/>
  <c r="G55" i="42"/>
  <c r="G427" i="42"/>
  <c r="G53" i="42"/>
  <c r="G425" i="42"/>
  <c r="L30" i="42"/>
  <c r="L402" i="42"/>
  <c r="G174" i="42"/>
  <c r="D100" i="52" s="1"/>
  <c r="G546" i="42"/>
  <c r="G549" i="42"/>
  <c r="G177" i="42"/>
  <c r="G86" i="42"/>
  <c r="G458" i="42"/>
  <c r="G151" i="42"/>
  <c r="G523" i="42"/>
  <c r="G158" i="42"/>
  <c r="G530" i="42"/>
  <c r="L499" i="42"/>
  <c r="L127" i="42"/>
  <c r="L506" i="42"/>
  <c r="L134" i="42"/>
  <c r="H55" i="42"/>
  <c r="H427" i="42"/>
  <c r="H480" i="42"/>
  <c r="H108" i="42"/>
  <c r="H173" i="42"/>
  <c r="H545" i="42"/>
  <c r="H549" i="42"/>
  <c r="H177" i="42"/>
  <c r="L692" i="42"/>
  <c r="L320" i="42"/>
  <c r="L14" i="42"/>
  <c r="L386" i="42"/>
  <c r="K198" i="42"/>
  <c r="K570" i="42"/>
  <c r="K195" i="42"/>
  <c r="K567" i="42"/>
  <c r="L67" i="42"/>
  <c r="L439" i="42"/>
  <c r="K174" i="42"/>
  <c r="K546" i="42"/>
  <c r="H157" i="42"/>
  <c r="H529" i="42"/>
  <c r="H149" i="42"/>
  <c r="H521" i="42"/>
  <c r="K220" i="42"/>
  <c r="K592" i="42"/>
  <c r="K328" i="42"/>
  <c r="K700" i="42"/>
  <c r="G477" i="42"/>
  <c r="G105" i="42"/>
  <c r="H638" i="42"/>
  <c r="H266" i="42"/>
  <c r="K149" i="42"/>
  <c r="K521" i="42"/>
  <c r="H206" i="42"/>
  <c r="H578" i="42"/>
  <c r="L697" i="42"/>
  <c r="L325" i="42"/>
  <c r="L580" i="42"/>
  <c r="L208" i="42"/>
  <c r="K411" i="42"/>
  <c r="K39" i="42"/>
  <c r="K40" i="42"/>
  <c r="K412" i="42"/>
  <c r="K337" i="42"/>
  <c r="K709" i="42"/>
  <c r="G638" i="42"/>
  <c r="G266" i="42"/>
  <c r="G264" i="42"/>
  <c r="G636" i="42"/>
  <c r="K376" i="42"/>
  <c r="K748" i="42"/>
  <c r="L636" i="42"/>
  <c r="L264" i="42"/>
  <c r="L267" i="42"/>
  <c r="L639" i="42"/>
  <c r="I608" i="42"/>
  <c r="I236" i="42"/>
  <c r="K450" i="42"/>
  <c r="K78" i="42"/>
  <c r="K73" i="42"/>
  <c r="K445" i="42"/>
  <c r="G14" i="42"/>
  <c r="G386" i="42"/>
  <c r="I605" i="42"/>
  <c r="I233" i="42"/>
  <c r="I603" i="42"/>
  <c r="I231" i="42"/>
  <c r="I601" i="42"/>
  <c r="I229" i="42"/>
  <c r="I22" i="44" s="1"/>
  <c r="H120" i="42"/>
  <c r="H492" i="42"/>
  <c r="H125" i="42"/>
  <c r="H497" i="42"/>
  <c r="H221" i="42"/>
  <c r="H593" i="42"/>
  <c r="H591" i="42"/>
  <c r="H219" i="42"/>
  <c r="H223" i="42"/>
  <c r="H595" i="42"/>
  <c r="H214" i="42"/>
  <c r="H586" i="42"/>
  <c r="I315" i="42"/>
  <c r="F31" i="41" s="1"/>
  <c r="I687" i="42"/>
  <c r="F97" i="41" s="1"/>
  <c r="H623" i="42"/>
  <c r="H251" i="42"/>
  <c r="I654" i="42"/>
  <c r="I282" i="42"/>
  <c r="I685" i="42"/>
  <c r="F95" i="41" s="1"/>
  <c r="I313" i="42"/>
  <c r="F29" i="41" s="1"/>
  <c r="G247" i="42"/>
  <c r="G619" i="42"/>
  <c r="G142" i="42"/>
  <c r="D88" i="52" s="1"/>
  <c r="G514" i="42"/>
  <c r="L154" i="42"/>
  <c r="L526" i="42"/>
  <c r="G141" i="42"/>
  <c r="G513" i="42"/>
  <c r="H141" i="42"/>
  <c r="H513" i="42"/>
  <c r="G117" i="42"/>
  <c r="G489" i="42"/>
  <c r="G276" i="42"/>
  <c r="H277" i="42"/>
  <c r="G86" i="41"/>
  <c r="I604" i="42"/>
  <c r="G646" i="42"/>
  <c r="L225" i="42"/>
  <c r="L417" i="42"/>
  <c r="L45" i="42"/>
  <c r="G576" i="42"/>
  <c r="G204" i="42"/>
  <c r="I710" i="42"/>
  <c r="I338" i="42"/>
  <c r="H29" i="42"/>
  <c r="H401" i="42"/>
  <c r="G581" i="42"/>
  <c r="G209" i="42"/>
  <c r="I712" i="42"/>
  <c r="I340" i="42"/>
  <c r="H32" i="42"/>
  <c r="H404" i="42"/>
  <c r="L375" i="42"/>
  <c r="L747" i="42"/>
  <c r="L299" i="42"/>
  <c r="L671" i="42"/>
  <c r="G583" i="42"/>
  <c r="G211" i="42"/>
  <c r="L413" i="42"/>
  <c r="L41" i="42"/>
  <c r="I708" i="42"/>
  <c r="I336" i="42"/>
  <c r="H13" i="42"/>
  <c r="H385" i="42"/>
  <c r="H37" i="42"/>
  <c r="H409" i="42"/>
  <c r="H31" i="42"/>
  <c r="H403" i="42"/>
  <c r="L593" i="42"/>
  <c r="L221" i="42"/>
  <c r="L371" i="42"/>
  <c r="L743" i="42"/>
  <c r="G330" i="42"/>
  <c r="G702" i="42"/>
  <c r="H438" i="42"/>
  <c r="H66" i="42"/>
  <c r="H61" i="42"/>
  <c r="H433" i="42"/>
  <c r="G448" i="42"/>
  <c r="G76" i="42"/>
  <c r="D103" i="52" s="1"/>
  <c r="L338" i="42"/>
  <c r="L710" i="42"/>
  <c r="G407" i="42"/>
  <c r="G35" i="42"/>
  <c r="K15" i="42"/>
  <c r="K387" i="42"/>
  <c r="G469" i="42"/>
  <c r="G97" i="42"/>
  <c r="G96" i="42"/>
  <c r="G468" i="42"/>
  <c r="K59" i="42"/>
  <c r="K431" i="42"/>
  <c r="I187" i="42"/>
  <c r="I559" i="42"/>
  <c r="G62" i="42"/>
  <c r="G434" i="42"/>
  <c r="G372" i="42"/>
  <c r="G744" i="42"/>
  <c r="L56" i="42"/>
  <c r="L428" i="42"/>
  <c r="G197" i="42"/>
  <c r="G569" i="42"/>
  <c r="G573" i="42"/>
  <c r="G201" i="42"/>
  <c r="H73" i="42"/>
  <c r="H445" i="42"/>
  <c r="H132" i="42"/>
  <c r="H504" i="42"/>
  <c r="H128" i="42"/>
  <c r="H500" i="42"/>
  <c r="L91" i="42"/>
  <c r="L463" i="42"/>
  <c r="L75" i="42"/>
  <c r="L447" i="42"/>
  <c r="L123" i="42"/>
  <c r="L495" i="42"/>
  <c r="K33" i="42"/>
  <c r="K405" i="42"/>
  <c r="H99" i="42"/>
  <c r="H471" i="42"/>
  <c r="H102" i="42"/>
  <c r="H474" i="42"/>
  <c r="H86" i="42"/>
  <c r="H458" i="42"/>
  <c r="K252" i="42"/>
  <c r="K624" i="42"/>
  <c r="K251" i="42"/>
  <c r="K623" i="42"/>
  <c r="L627" i="42"/>
  <c r="L255" i="42"/>
  <c r="H368" i="42"/>
  <c r="H740" i="42"/>
  <c r="K204" i="42"/>
  <c r="K576" i="42"/>
  <c r="H326" i="42"/>
  <c r="H698" i="42"/>
  <c r="H198" i="42"/>
  <c r="H570" i="42"/>
  <c r="G183" i="42"/>
  <c r="G555" i="42"/>
  <c r="G189" i="42"/>
  <c r="G561" i="42"/>
  <c r="K263" i="42"/>
  <c r="K635" i="42"/>
  <c r="L179" i="42"/>
  <c r="L551" i="42"/>
  <c r="L178" i="42"/>
  <c r="L550" i="42"/>
  <c r="G503" i="42"/>
  <c r="G131" i="42"/>
  <c r="D85" i="52" s="1"/>
  <c r="I726" i="42"/>
  <c r="I354" i="42"/>
  <c r="G54" i="42"/>
  <c r="G426" i="42"/>
  <c r="L36" i="42"/>
  <c r="L408" i="42"/>
  <c r="G176" i="42"/>
  <c r="G548" i="42"/>
  <c r="G456" i="42"/>
  <c r="G84" i="42"/>
  <c r="L131" i="42"/>
  <c r="L503" i="42"/>
  <c r="L133" i="42"/>
  <c r="L505" i="42"/>
  <c r="H430" i="42"/>
  <c r="H58" i="42"/>
  <c r="H111" i="42"/>
  <c r="H483" i="42"/>
  <c r="H113" i="42"/>
  <c r="H485" i="42"/>
  <c r="H174" i="42"/>
  <c r="H546" i="42"/>
  <c r="L689" i="42"/>
  <c r="L317" i="42"/>
  <c r="L12" i="42"/>
  <c r="L384" i="42"/>
  <c r="K200" i="42"/>
  <c r="K572" i="42"/>
  <c r="L63" i="42"/>
  <c r="L435" i="42"/>
  <c r="K170" i="42"/>
  <c r="K542" i="42"/>
  <c r="K223" i="42"/>
  <c r="K595" i="42"/>
  <c r="K329" i="42"/>
  <c r="K701" i="42"/>
  <c r="G110" i="42"/>
  <c r="G482" i="42"/>
  <c r="H630" i="42"/>
  <c r="H258" i="42"/>
  <c r="K154" i="42"/>
  <c r="K526" i="42"/>
  <c r="H581" i="42"/>
  <c r="H209" i="42"/>
  <c r="L330" i="42"/>
  <c r="L702" i="42"/>
  <c r="L212" i="42"/>
  <c r="L584" i="42"/>
  <c r="K417" i="42"/>
  <c r="K45" i="42"/>
  <c r="K48" i="42"/>
  <c r="K420" i="42"/>
  <c r="K336" i="42"/>
  <c r="K708" i="42"/>
  <c r="G630" i="42"/>
  <c r="G258" i="42"/>
  <c r="K368" i="42"/>
  <c r="K740" i="42"/>
  <c r="L266" i="42"/>
  <c r="L638" i="42"/>
  <c r="I611" i="42"/>
  <c r="I239" i="42"/>
  <c r="K449" i="42"/>
  <c r="K77" i="42"/>
  <c r="K81" i="42"/>
  <c r="K453" i="42"/>
  <c r="G6" i="42"/>
  <c r="G378" i="42"/>
  <c r="H491" i="42"/>
  <c r="H119" i="42"/>
  <c r="I600" i="42"/>
  <c r="I228" i="42"/>
  <c r="I598" i="42"/>
  <c r="I226" i="42"/>
  <c r="I299" i="42"/>
  <c r="I671" i="42"/>
  <c r="I412" i="42"/>
  <c r="F128" i="41" s="1"/>
  <c r="I40" i="42"/>
  <c r="F62" i="41" s="1"/>
  <c r="H589" i="42"/>
  <c r="H217" i="42"/>
  <c r="I655" i="42"/>
  <c r="I283" i="42"/>
  <c r="I411" i="42"/>
  <c r="F127" i="41" s="1"/>
  <c r="I39" i="42"/>
  <c r="F61" i="41" s="1"/>
  <c r="G248" i="42"/>
  <c r="G620" i="42"/>
  <c r="G624" i="42"/>
  <c r="G252" i="42"/>
  <c r="L153" i="42"/>
  <c r="L525" i="42"/>
  <c r="G144" i="42"/>
  <c r="G516" i="42"/>
  <c r="H519" i="42"/>
  <c r="H147" i="42"/>
  <c r="G494" i="42"/>
  <c r="G122" i="42"/>
  <c r="I45" i="42"/>
  <c r="F67" i="41" s="1"/>
  <c r="L600" i="42"/>
  <c r="G23" i="41"/>
  <c r="G84" i="41"/>
  <c r="G650" i="42"/>
  <c r="L598" i="42"/>
  <c r="G273" i="42"/>
  <c r="D87" i="52" s="1"/>
  <c r="I709" i="42"/>
  <c r="I337" i="42"/>
  <c r="L219" i="42"/>
  <c r="L591" i="42"/>
  <c r="H35" i="42"/>
  <c r="H407" i="42"/>
  <c r="G326" i="42"/>
  <c r="G698" i="42"/>
  <c r="L668" i="42"/>
  <c r="L296" i="42"/>
  <c r="G206" i="42"/>
  <c r="G578" i="42"/>
  <c r="G205" i="42"/>
  <c r="G577" i="42"/>
  <c r="L44" i="42"/>
  <c r="L416" i="42"/>
  <c r="I713" i="42"/>
  <c r="I341" i="42"/>
  <c r="H15" i="42"/>
  <c r="H387" i="42"/>
  <c r="H30" i="42"/>
  <c r="H402" i="42"/>
  <c r="L217" i="42"/>
  <c r="L589" i="42"/>
  <c r="L220" i="42"/>
  <c r="L592" i="42"/>
  <c r="L372" i="42"/>
  <c r="L744" i="42"/>
  <c r="G329" i="42"/>
  <c r="G701" i="42"/>
  <c r="H70" i="42"/>
  <c r="H442" i="42"/>
  <c r="H69" i="42"/>
  <c r="H441" i="42"/>
  <c r="G78" i="42"/>
  <c r="G450" i="42"/>
  <c r="L707" i="42"/>
  <c r="L335" i="42"/>
  <c r="G408" i="42"/>
  <c r="G36" i="42"/>
  <c r="K384" i="42"/>
  <c r="K12" i="42"/>
  <c r="G102" i="42"/>
  <c r="G474" i="42"/>
  <c r="K57" i="42"/>
  <c r="K429" i="42"/>
  <c r="K424" i="42"/>
  <c r="K52" i="42"/>
  <c r="I562" i="42"/>
  <c r="I190" i="42"/>
  <c r="I556" i="42"/>
  <c r="I184" i="42"/>
  <c r="G439" i="42"/>
  <c r="G67" i="42"/>
  <c r="G376" i="42"/>
  <c r="G748" i="42"/>
  <c r="G375" i="42"/>
  <c r="G747" i="42"/>
  <c r="L57" i="42"/>
  <c r="L429" i="42"/>
  <c r="G200" i="42"/>
  <c r="G572" i="42"/>
  <c r="H75" i="42"/>
  <c r="H447" i="42"/>
  <c r="H130" i="42"/>
  <c r="H502" i="42"/>
  <c r="H136" i="42"/>
  <c r="H508" i="42"/>
  <c r="L459" i="42"/>
  <c r="L87" i="42"/>
  <c r="M26" i="44" s="1"/>
  <c r="L450" i="42"/>
  <c r="L78" i="42"/>
  <c r="L121" i="42"/>
  <c r="L493" i="42"/>
  <c r="L116" i="42"/>
  <c r="L488" i="42"/>
  <c r="K403" i="42"/>
  <c r="K31" i="42"/>
  <c r="H470" i="42"/>
  <c r="H98" i="42"/>
  <c r="H27" i="44" s="1"/>
  <c r="K254" i="42"/>
  <c r="K626" i="42"/>
  <c r="K255" i="42"/>
  <c r="K627" i="42"/>
  <c r="L249" i="42"/>
  <c r="L621" i="42"/>
  <c r="H376" i="42"/>
  <c r="H748" i="42"/>
  <c r="K212" i="42"/>
  <c r="K584" i="42"/>
  <c r="H702" i="42"/>
  <c r="H330" i="42"/>
  <c r="H704" i="42"/>
  <c r="H332" i="42"/>
  <c r="H568" i="42"/>
  <c r="H196" i="42"/>
  <c r="H28" i="44" s="1"/>
  <c r="G184" i="42"/>
  <c r="G556" i="42"/>
  <c r="K267" i="42"/>
  <c r="K639" i="42"/>
  <c r="L171" i="42"/>
  <c r="L543" i="42"/>
  <c r="G501" i="42"/>
  <c r="G129" i="42"/>
  <c r="G136" i="42"/>
  <c r="G508" i="42"/>
  <c r="I717" i="42"/>
  <c r="I345" i="42"/>
  <c r="G423" i="42"/>
  <c r="G51" i="42"/>
  <c r="G430" i="42"/>
  <c r="G58" i="42"/>
  <c r="L33" i="42"/>
  <c r="L405" i="42"/>
  <c r="G550" i="42"/>
  <c r="G178" i="42"/>
  <c r="G85" i="42"/>
  <c r="G457" i="42"/>
  <c r="G464" i="42"/>
  <c r="G92" i="42"/>
  <c r="G149" i="42"/>
  <c r="G521" i="42"/>
  <c r="L508" i="42"/>
  <c r="L136" i="42"/>
  <c r="H54" i="42"/>
  <c r="H426" i="42"/>
  <c r="H109" i="42"/>
  <c r="H481" i="42"/>
  <c r="H105" i="42"/>
  <c r="H477" i="42"/>
  <c r="H544" i="42"/>
  <c r="H172" i="42"/>
  <c r="L321" i="42"/>
  <c r="L693" i="42"/>
  <c r="L13" i="42"/>
  <c r="L385" i="42"/>
  <c r="K196" i="42"/>
  <c r="L28" i="44" s="1"/>
  <c r="K568" i="42"/>
  <c r="L62" i="42"/>
  <c r="L434" i="42"/>
  <c r="L65" i="42"/>
  <c r="M25" i="44" s="1"/>
  <c r="L437" i="42"/>
  <c r="K176" i="42"/>
  <c r="K548" i="42"/>
  <c r="H528" i="42"/>
  <c r="H156" i="42"/>
  <c r="K221" i="42"/>
  <c r="K593" i="42"/>
  <c r="K330" i="42"/>
  <c r="K702" i="42"/>
  <c r="G486" i="42"/>
  <c r="G114" i="42"/>
  <c r="H631" i="42"/>
  <c r="H259" i="42"/>
  <c r="K523" i="42"/>
  <c r="K151" i="42"/>
  <c r="H208" i="42"/>
  <c r="H580" i="42"/>
  <c r="H582" i="42"/>
  <c r="H210" i="42"/>
  <c r="L324" i="42"/>
  <c r="L696" i="42"/>
  <c r="L579" i="42"/>
  <c r="L207" i="42"/>
  <c r="M29" i="44" s="1"/>
  <c r="K42" i="42"/>
  <c r="K414" i="42"/>
  <c r="K335" i="42"/>
  <c r="K707" i="42"/>
  <c r="K334" i="42"/>
  <c r="K706" i="42"/>
  <c r="G637" i="42"/>
  <c r="G265" i="42"/>
  <c r="K374" i="42"/>
  <c r="K746" i="42"/>
  <c r="L260" i="42"/>
  <c r="L632" i="42"/>
  <c r="I612" i="42"/>
  <c r="I240" i="42"/>
  <c r="I616" i="42"/>
  <c r="I244" i="42"/>
  <c r="K80" i="42"/>
  <c r="K452" i="42"/>
  <c r="G8" i="42"/>
  <c r="G380" i="42"/>
  <c r="G13" i="42"/>
  <c r="G385" i="42"/>
  <c r="H123" i="42"/>
  <c r="H495" i="42"/>
  <c r="I597" i="42"/>
  <c r="I225" i="42"/>
  <c r="I656" i="42"/>
  <c r="I284" i="42"/>
  <c r="I666" i="42"/>
  <c r="I294" i="42"/>
  <c r="I663" i="42"/>
  <c r="I291" i="42"/>
  <c r="I669" i="42"/>
  <c r="I297" i="42"/>
  <c r="H646" i="42"/>
  <c r="H274" i="42"/>
  <c r="H624" i="42"/>
  <c r="H252" i="42"/>
  <c r="I599" i="42"/>
  <c r="I227" i="42"/>
  <c r="H256" i="42"/>
  <c r="H628" i="42"/>
  <c r="H215" i="42"/>
  <c r="H587" i="42"/>
  <c r="G621" i="42"/>
  <c r="G249" i="42"/>
  <c r="G510" i="42"/>
  <c r="G138" i="42"/>
  <c r="H144" i="42"/>
  <c r="H516" i="42"/>
  <c r="L530" i="42"/>
  <c r="L158" i="42"/>
  <c r="G488" i="42"/>
  <c r="G116" i="42"/>
  <c r="F13" i="41"/>
  <c r="F76" i="41"/>
  <c r="G85" i="41"/>
  <c r="G642" i="42"/>
  <c r="L297" i="42"/>
  <c r="L669" i="42"/>
  <c r="L420" i="42"/>
  <c r="L48" i="42"/>
  <c r="L665" i="42"/>
  <c r="L293" i="42"/>
  <c r="L39" i="42"/>
  <c r="L411" i="42"/>
  <c r="L300" i="42"/>
  <c r="L672" i="42"/>
  <c r="G584" i="42"/>
  <c r="G212" i="42"/>
  <c r="L42" i="42"/>
  <c r="L414" i="42"/>
  <c r="L419" i="42"/>
  <c r="L47" i="42"/>
  <c r="I715" i="42"/>
  <c r="I343" i="42"/>
  <c r="H7" i="42"/>
  <c r="H379" i="42"/>
  <c r="H408" i="42"/>
  <c r="H36" i="42"/>
  <c r="L595" i="42"/>
  <c r="L223" i="42"/>
  <c r="L587" i="42"/>
  <c r="L215" i="42"/>
  <c r="L376" i="42"/>
  <c r="L748" i="42"/>
  <c r="L369" i="42"/>
  <c r="L741" i="42"/>
  <c r="G332" i="42"/>
  <c r="G704" i="42"/>
  <c r="H65" i="42"/>
  <c r="H25" i="44" s="1"/>
  <c r="H437" i="42"/>
  <c r="G79" i="42"/>
  <c r="G451" i="42"/>
  <c r="L706" i="42"/>
  <c r="L334" i="42"/>
  <c r="L708" i="42"/>
  <c r="L336" i="42"/>
  <c r="G31" i="42"/>
  <c r="G403" i="42"/>
  <c r="K9" i="42"/>
  <c r="K381" i="42"/>
  <c r="G103" i="42"/>
  <c r="G475" i="42"/>
  <c r="K58" i="42"/>
  <c r="K430" i="42"/>
  <c r="K51" i="42"/>
  <c r="K423" i="42"/>
  <c r="I553" i="42"/>
  <c r="I181" i="42"/>
  <c r="I558" i="42"/>
  <c r="I186" i="42"/>
  <c r="G69" i="42"/>
  <c r="G441" i="42"/>
  <c r="G373" i="42"/>
  <c r="G745" i="42"/>
  <c r="L53" i="42"/>
  <c r="L425" i="42"/>
  <c r="G198" i="42"/>
  <c r="G570" i="42"/>
  <c r="H76" i="42"/>
  <c r="H448" i="42"/>
  <c r="H446" i="42"/>
  <c r="H74" i="42"/>
  <c r="H127" i="42"/>
  <c r="H499" i="42"/>
  <c r="L83" i="42"/>
  <c r="L455" i="42"/>
  <c r="L80" i="42"/>
  <c r="L452" i="42"/>
  <c r="L491" i="42"/>
  <c r="L119" i="42"/>
  <c r="L117" i="42"/>
  <c r="L489" i="42"/>
  <c r="K32" i="42"/>
  <c r="K404" i="42"/>
  <c r="H101" i="42"/>
  <c r="H473" i="42"/>
  <c r="H96" i="42"/>
  <c r="H468" i="42"/>
  <c r="H456" i="42"/>
  <c r="H84" i="42"/>
  <c r="K248" i="42"/>
  <c r="K620" i="42"/>
  <c r="L625" i="42"/>
  <c r="L253" i="42"/>
  <c r="H373" i="42"/>
  <c r="H745" i="42"/>
  <c r="H741" i="42"/>
  <c r="H369" i="42"/>
  <c r="K207" i="42"/>
  <c r="L29" i="44" s="1"/>
  <c r="K579" i="42"/>
  <c r="H696" i="42"/>
  <c r="H324" i="42"/>
  <c r="H325" i="42"/>
  <c r="H697" i="42"/>
  <c r="H192" i="42"/>
  <c r="H564" i="42"/>
  <c r="G181" i="42"/>
  <c r="G553" i="42"/>
  <c r="K258" i="42"/>
  <c r="K630" i="42"/>
  <c r="L547" i="42"/>
  <c r="L175" i="42"/>
  <c r="G502" i="42"/>
  <c r="G130" i="42"/>
  <c r="I724" i="42"/>
  <c r="I352" i="42"/>
  <c r="G424" i="42"/>
  <c r="G52" i="42"/>
  <c r="L404" i="42"/>
  <c r="L32" i="42"/>
  <c r="G175" i="42"/>
  <c r="G547" i="42"/>
  <c r="G463" i="42"/>
  <c r="G91" i="42"/>
  <c r="G87" i="42"/>
  <c r="G459" i="42"/>
  <c r="G157" i="42"/>
  <c r="G529" i="42"/>
  <c r="L132" i="42"/>
  <c r="L504" i="42"/>
  <c r="H56" i="42"/>
  <c r="H428" i="42"/>
  <c r="H57" i="42"/>
  <c r="H429" i="42"/>
  <c r="H482" i="42"/>
  <c r="H110" i="42"/>
  <c r="H550" i="42"/>
  <c r="H178" i="42"/>
  <c r="L314" i="42"/>
  <c r="L686" i="42"/>
  <c r="L313" i="42"/>
  <c r="L685" i="42"/>
  <c r="L7" i="42"/>
  <c r="L379" i="42"/>
  <c r="K193" i="42"/>
  <c r="K565" i="42"/>
  <c r="L436" i="42"/>
  <c r="L64" i="42"/>
  <c r="L61" i="42"/>
  <c r="L433" i="42"/>
  <c r="K179" i="42"/>
  <c r="K551" i="42"/>
  <c r="H527" i="42"/>
  <c r="H155" i="42"/>
  <c r="K222" i="42"/>
  <c r="K594" i="42"/>
  <c r="K218" i="42"/>
  <c r="K590" i="42"/>
  <c r="K324" i="42"/>
  <c r="K696" i="42"/>
  <c r="G479" i="42"/>
  <c r="G107" i="42"/>
  <c r="G485" i="42"/>
  <c r="G113" i="42"/>
  <c r="H262" i="42"/>
  <c r="H634" i="42"/>
  <c r="H264" i="42"/>
  <c r="H636" i="42"/>
  <c r="K153" i="42"/>
  <c r="K525" i="42"/>
  <c r="H575" i="42"/>
  <c r="H203" i="42"/>
  <c r="H584" i="42"/>
  <c r="H212" i="42"/>
  <c r="L323" i="42"/>
  <c r="L695" i="42"/>
  <c r="L203" i="42"/>
  <c r="L575" i="42"/>
  <c r="K43" i="42"/>
  <c r="K415" i="42"/>
  <c r="K342" i="42"/>
  <c r="K714" i="42"/>
  <c r="K339" i="42"/>
  <c r="K711" i="42"/>
  <c r="G263" i="42"/>
  <c r="G635" i="42"/>
  <c r="K367" i="42"/>
  <c r="K739" i="42"/>
  <c r="K369" i="42"/>
  <c r="K741" i="42"/>
  <c r="L258" i="42"/>
  <c r="L630" i="42"/>
  <c r="I613" i="42"/>
  <c r="I241" i="42"/>
  <c r="I243" i="42"/>
  <c r="I615" i="42"/>
  <c r="K451" i="42"/>
  <c r="K79" i="42"/>
  <c r="G15" i="42"/>
  <c r="G387" i="42"/>
  <c r="I653" i="42"/>
  <c r="I281" i="42"/>
  <c r="I419" i="42"/>
  <c r="F135" i="41" s="1"/>
  <c r="I47" i="42"/>
  <c r="F69" i="41" s="1"/>
  <c r="H222" i="42"/>
  <c r="H594" i="42"/>
  <c r="I692" i="42"/>
  <c r="F102" i="41" s="1"/>
  <c r="I320" i="42"/>
  <c r="F36" i="41" s="1"/>
  <c r="I416" i="42"/>
  <c r="F132" i="41" s="1"/>
  <c r="I44" i="42"/>
  <c r="F66" i="41" s="1"/>
  <c r="I652" i="42"/>
  <c r="I280" i="42"/>
  <c r="H621" i="42"/>
  <c r="H249" i="42"/>
  <c r="H622" i="42"/>
  <c r="H250" i="42"/>
  <c r="G256" i="42"/>
  <c r="G628" i="42"/>
  <c r="G253" i="42"/>
  <c r="G625" i="42"/>
  <c r="L157" i="42"/>
  <c r="L529" i="42"/>
  <c r="L155" i="42"/>
  <c r="L527" i="42"/>
  <c r="L156" i="42"/>
  <c r="L528" i="42"/>
  <c r="G518" i="42"/>
  <c r="G146" i="42"/>
  <c r="H140" i="42"/>
  <c r="H512" i="42"/>
  <c r="G495" i="42"/>
  <c r="G123" i="42"/>
  <c r="G54" i="41"/>
  <c r="L232" i="42"/>
  <c r="L231" i="42"/>
  <c r="G641" i="42"/>
  <c r="F79" i="41"/>
  <c r="G92" i="41"/>
  <c r="F10" i="41"/>
  <c r="I292" i="42"/>
  <c r="G19" i="41"/>
  <c r="L606" i="42"/>
  <c r="L666" i="42"/>
  <c r="L294" i="42"/>
  <c r="G575" i="42"/>
  <c r="G203" i="42"/>
  <c r="L40" i="42"/>
  <c r="L412" i="42"/>
  <c r="L46" i="42"/>
  <c r="L418" i="42"/>
  <c r="I711" i="42"/>
  <c r="I339" i="42"/>
  <c r="H8" i="42"/>
  <c r="H380" i="42"/>
  <c r="H12" i="42"/>
  <c r="H384" i="42"/>
  <c r="H33" i="42"/>
  <c r="H405" i="42"/>
  <c r="L586" i="42"/>
  <c r="L214" i="42"/>
  <c r="L367" i="42"/>
  <c r="L739" i="42"/>
  <c r="L370" i="42"/>
  <c r="L742" i="42"/>
  <c r="G328" i="42"/>
  <c r="G700" i="42"/>
  <c r="H62" i="42"/>
  <c r="H434" i="42"/>
  <c r="G80" i="42"/>
  <c r="G452" i="42"/>
  <c r="L340" i="42"/>
  <c r="L712" i="42"/>
  <c r="L714" i="42"/>
  <c r="L342" i="42"/>
  <c r="G406" i="42"/>
  <c r="G34" i="42"/>
  <c r="K11" i="42"/>
  <c r="K383" i="42"/>
  <c r="G94" i="42"/>
  <c r="G466" i="42"/>
  <c r="K425" i="42"/>
  <c r="K53" i="42"/>
  <c r="I560" i="42"/>
  <c r="I188" i="42"/>
  <c r="G438" i="42"/>
  <c r="G66" i="42"/>
  <c r="G70" i="42"/>
  <c r="G442" i="42"/>
  <c r="G371" i="42"/>
  <c r="D84" i="52" s="1"/>
  <c r="G743" i="42"/>
  <c r="L51" i="42"/>
  <c r="L423" i="42"/>
  <c r="G568" i="42"/>
  <c r="G196" i="42"/>
  <c r="H78" i="42"/>
  <c r="H450" i="42"/>
  <c r="H81" i="42"/>
  <c r="H453" i="42"/>
  <c r="H131" i="42"/>
  <c r="H503" i="42"/>
  <c r="L458" i="42"/>
  <c r="L86" i="42"/>
  <c r="L85" i="42"/>
  <c r="L457" i="42"/>
  <c r="L81" i="42"/>
  <c r="L453" i="42"/>
  <c r="L492" i="42"/>
  <c r="L120" i="42"/>
  <c r="K402" i="42"/>
  <c r="K30" i="42"/>
  <c r="H95" i="42"/>
  <c r="H467" i="42"/>
  <c r="H85" i="42"/>
  <c r="H457" i="42"/>
  <c r="H455" i="42"/>
  <c r="H83" i="42"/>
  <c r="K253" i="42"/>
  <c r="K625" i="42"/>
  <c r="L620" i="42"/>
  <c r="L248" i="42"/>
  <c r="H367" i="42"/>
  <c r="H739" i="42"/>
  <c r="H743" i="42"/>
  <c r="H371" i="42"/>
  <c r="K206" i="42"/>
  <c r="K578" i="42"/>
  <c r="H327" i="42"/>
  <c r="H699" i="42"/>
  <c r="H197" i="42"/>
  <c r="H569" i="42"/>
  <c r="H567" i="42"/>
  <c r="H195" i="42"/>
  <c r="G182" i="42"/>
  <c r="G554" i="42"/>
  <c r="K261" i="42"/>
  <c r="K633" i="42"/>
  <c r="L173" i="42"/>
  <c r="L545" i="42"/>
  <c r="G134" i="42"/>
  <c r="G506" i="42"/>
  <c r="G127" i="42"/>
  <c r="G499" i="42"/>
  <c r="I720" i="42"/>
  <c r="I348" i="42"/>
  <c r="G431" i="42"/>
  <c r="G59" i="42"/>
  <c r="L29" i="42"/>
  <c r="L401" i="42"/>
  <c r="L403" i="42"/>
  <c r="L31" i="42"/>
  <c r="G543" i="42"/>
  <c r="G171" i="42"/>
  <c r="G88" i="42"/>
  <c r="G460" i="42"/>
  <c r="G527" i="42"/>
  <c r="G155" i="42"/>
  <c r="L507" i="42"/>
  <c r="L135" i="42"/>
  <c r="H53" i="42"/>
  <c r="H425" i="42"/>
  <c r="H51" i="42"/>
  <c r="H423" i="42"/>
  <c r="H478" i="42"/>
  <c r="H106" i="42"/>
  <c r="H551" i="42"/>
  <c r="H179" i="42"/>
  <c r="L684" i="42"/>
  <c r="L312" i="42"/>
  <c r="L690" i="42"/>
  <c r="L318" i="42"/>
  <c r="L15" i="42"/>
  <c r="L387" i="42"/>
  <c r="K199" i="42"/>
  <c r="K571" i="42"/>
  <c r="L69" i="42"/>
  <c r="L441" i="42"/>
  <c r="K173" i="42"/>
  <c r="K545" i="42"/>
  <c r="K171" i="42"/>
  <c r="K543" i="42"/>
  <c r="H526" i="42"/>
  <c r="H154" i="42"/>
  <c r="K219" i="42"/>
  <c r="K591" i="42"/>
  <c r="K214" i="42"/>
  <c r="K586" i="42"/>
  <c r="K325" i="42"/>
  <c r="K697" i="42"/>
  <c r="G478" i="42"/>
  <c r="G106" i="42"/>
  <c r="G480" i="42"/>
  <c r="G108" i="42"/>
  <c r="H637" i="42"/>
  <c r="H265" i="42"/>
  <c r="K156" i="42"/>
  <c r="K528" i="42"/>
  <c r="H207" i="42"/>
  <c r="H29" i="44" s="1"/>
  <c r="H579" i="42"/>
  <c r="L332" i="42"/>
  <c r="L704" i="42"/>
  <c r="L698" i="42"/>
  <c r="L326" i="42"/>
  <c r="L210" i="42"/>
  <c r="L582" i="42"/>
  <c r="K419" i="42"/>
  <c r="K47" i="42"/>
  <c r="K343" i="42"/>
  <c r="K715" i="42"/>
  <c r="G631" i="42"/>
  <c r="G259" i="42"/>
  <c r="K371" i="42"/>
  <c r="K743" i="42"/>
  <c r="K373" i="42"/>
  <c r="K745" i="42"/>
  <c r="L259" i="42"/>
  <c r="L631" i="42"/>
  <c r="I610" i="42"/>
  <c r="I238" i="42"/>
  <c r="K75" i="42"/>
  <c r="K447" i="42"/>
  <c r="G7" i="42"/>
  <c r="G379" i="42"/>
  <c r="G381" i="42"/>
  <c r="G9" i="42"/>
  <c r="H489" i="42"/>
  <c r="H117" i="42"/>
  <c r="I661" i="42"/>
  <c r="I289" i="42"/>
  <c r="I602" i="42"/>
  <c r="I230" i="42"/>
  <c r="I418" i="42"/>
  <c r="F134" i="41" s="1"/>
  <c r="I46" i="42"/>
  <c r="F68" i="41" s="1"/>
  <c r="H271" i="42"/>
  <c r="H643" i="42"/>
  <c r="I414" i="42"/>
  <c r="F130" i="41" s="1"/>
  <c r="I42" i="42"/>
  <c r="F64" i="41" s="1"/>
  <c r="H255" i="42"/>
  <c r="H627" i="42"/>
  <c r="H247" i="42"/>
  <c r="H619" i="42"/>
  <c r="H272" i="42"/>
  <c r="H644" i="42"/>
  <c r="G255" i="42"/>
  <c r="G627" i="42"/>
  <c r="L151" i="42"/>
  <c r="L523" i="42"/>
  <c r="G511" i="42"/>
  <c r="G139" i="42"/>
  <c r="H143" i="42"/>
  <c r="H515" i="42"/>
  <c r="G496" i="42"/>
  <c r="G124" i="42"/>
  <c r="G83" i="41"/>
  <c r="L229" i="42"/>
  <c r="G643" i="42"/>
  <c r="G26" i="41"/>
  <c r="F14" i="41"/>
  <c r="L605" i="42"/>
  <c r="G644" i="42"/>
  <c r="G21" i="41"/>
  <c r="H9" i="42"/>
  <c r="H381" i="42"/>
  <c r="L218" i="42"/>
  <c r="L590" i="42"/>
  <c r="L746" i="42"/>
  <c r="L374" i="42"/>
  <c r="G327" i="42"/>
  <c r="G699" i="42"/>
  <c r="H63" i="42"/>
  <c r="H435" i="42"/>
  <c r="G446" i="42"/>
  <c r="G74" i="42"/>
  <c r="G447" i="42"/>
  <c r="G75" i="42"/>
  <c r="L339" i="42"/>
  <c r="L711" i="42"/>
  <c r="K8" i="42"/>
  <c r="K380" i="42"/>
  <c r="K13" i="42"/>
  <c r="K385" i="42"/>
  <c r="G472" i="42"/>
  <c r="G100" i="42"/>
  <c r="K427" i="42"/>
  <c r="K55" i="42"/>
  <c r="I561" i="42"/>
  <c r="I189" i="42"/>
  <c r="G63" i="42"/>
  <c r="G435" i="42"/>
  <c r="G64" i="42"/>
  <c r="G436" i="42"/>
  <c r="G374" i="42"/>
  <c r="G746" i="42"/>
  <c r="L58" i="42"/>
  <c r="L430" i="42"/>
  <c r="L426" i="42"/>
  <c r="L54" i="42"/>
  <c r="M24" i="44" s="1"/>
  <c r="G565" i="42"/>
  <c r="G193" i="42"/>
  <c r="H77" i="42"/>
  <c r="H449" i="42"/>
  <c r="H134" i="42"/>
  <c r="H506" i="42"/>
  <c r="L89" i="42"/>
  <c r="L461" i="42"/>
  <c r="L92" i="42"/>
  <c r="L464" i="42"/>
  <c r="L73" i="42"/>
  <c r="L445" i="42"/>
  <c r="L490" i="42"/>
  <c r="L118" i="42"/>
  <c r="K408" i="42"/>
  <c r="K36" i="42"/>
  <c r="H94" i="42"/>
  <c r="H466" i="42"/>
  <c r="H88" i="42"/>
  <c r="H460" i="42"/>
  <c r="H462" i="42"/>
  <c r="H90" i="42"/>
  <c r="K256" i="42"/>
  <c r="K628" i="42"/>
  <c r="L251" i="42"/>
  <c r="L623" i="42"/>
  <c r="H374" i="42"/>
  <c r="H746" i="42"/>
  <c r="K211" i="42"/>
  <c r="K583" i="42"/>
  <c r="H328" i="42"/>
  <c r="H700" i="42"/>
  <c r="H200" i="42"/>
  <c r="H572" i="42"/>
  <c r="G560" i="42"/>
  <c r="G188" i="42"/>
  <c r="K265" i="42"/>
  <c r="K637" i="42"/>
  <c r="L546" i="42"/>
  <c r="L174" i="42"/>
  <c r="G135" i="42"/>
  <c r="G507" i="42"/>
  <c r="I721" i="42"/>
  <c r="I349" i="42"/>
  <c r="G56" i="42"/>
  <c r="G428" i="42"/>
  <c r="L37" i="42"/>
  <c r="L409" i="42"/>
  <c r="L28" i="42"/>
  <c r="L400" i="42"/>
  <c r="G544" i="42"/>
  <c r="G172" i="42"/>
  <c r="G462" i="42"/>
  <c r="G90" i="42"/>
  <c r="G528" i="42"/>
  <c r="G156" i="42"/>
  <c r="L130" i="42"/>
  <c r="L502" i="42"/>
  <c r="H52" i="42"/>
  <c r="H424" i="42"/>
  <c r="H486" i="42"/>
  <c r="H114" i="42"/>
  <c r="H542" i="42"/>
  <c r="H170" i="42"/>
  <c r="L316" i="42"/>
  <c r="L688" i="42"/>
  <c r="L10" i="42"/>
  <c r="L382" i="42"/>
  <c r="L6" i="42"/>
  <c r="L378" i="42"/>
  <c r="K201" i="42"/>
  <c r="K573" i="42"/>
  <c r="L442" i="42"/>
  <c r="L70" i="42"/>
  <c r="K172" i="42"/>
  <c r="K544" i="42"/>
  <c r="K178" i="42"/>
  <c r="K550" i="42"/>
  <c r="H158" i="42"/>
  <c r="H530" i="42"/>
  <c r="K215" i="42"/>
  <c r="K587" i="42"/>
  <c r="K332" i="42"/>
  <c r="K704" i="42"/>
  <c r="G109" i="42"/>
  <c r="D95" i="52" s="1"/>
  <c r="G481" i="42"/>
  <c r="H632" i="42"/>
  <c r="H260" i="42"/>
  <c r="H263" i="42"/>
  <c r="H635" i="42"/>
  <c r="K158" i="42"/>
  <c r="K530" i="42"/>
  <c r="K155" i="42"/>
  <c r="K527" i="42"/>
  <c r="H205" i="42"/>
  <c r="H577" i="42"/>
  <c r="L700" i="42"/>
  <c r="L328" i="42"/>
  <c r="L331" i="42"/>
  <c r="L703" i="42"/>
  <c r="L204" i="42"/>
  <c r="L576" i="42"/>
  <c r="K418" i="42"/>
  <c r="K46" i="42"/>
  <c r="K338" i="42"/>
  <c r="K710" i="42"/>
  <c r="G261" i="42"/>
  <c r="G633" i="42"/>
  <c r="K372" i="42"/>
  <c r="K744" i="42"/>
  <c r="L265" i="42"/>
  <c r="L637" i="42"/>
  <c r="I617" i="42"/>
  <c r="I245" i="42"/>
  <c r="K72" i="42"/>
  <c r="K444" i="42"/>
  <c r="G382" i="42"/>
  <c r="G10" i="42"/>
  <c r="D94" i="52" s="1"/>
  <c r="I606" i="42"/>
  <c r="I234" i="42"/>
  <c r="I658" i="42"/>
  <c r="I286" i="42"/>
  <c r="I672" i="42"/>
  <c r="I300" i="42"/>
  <c r="I670" i="42"/>
  <c r="I298" i="42"/>
  <c r="I668" i="42"/>
  <c r="I296" i="42"/>
  <c r="I693" i="42"/>
  <c r="F103" i="41" s="1"/>
  <c r="I321" i="42"/>
  <c r="F37" i="41" s="1"/>
  <c r="H216" i="42"/>
  <c r="H588" i="42"/>
  <c r="H248" i="42"/>
  <c r="H620" i="42"/>
  <c r="I659" i="42"/>
  <c r="I287" i="42"/>
  <c r="H590" i="42"/>
  <c r="H218" i="42"/>
  <c r="I667" i="42"/>
  <c r="I295" i="42"/>
  <c r="I24" i="44" s="1"/>
  <c r="G254" i="42"/>
  <c r="G626" i="42"/>
  <c r="G517" i="42"/>
  <c r="G145" i="42"/>
  <c r="H139" i="42"/>
  <c r="H511" i="42"/>
  <c r="G493" i="42"/>
  <c r="G121" i="42"/>
  <c r="G649" i="42"/>
  <c r="L599" i="42"/>
  <c r="F80" i="41"/>
  <c r="I288" i="42"/>
  <c r="F12" i="41"/>
  <c r="G87" i="41"/>
  <c r="F11" i="41"/>
  <c r="L298" i="42"/>
  <c r="L670" i="42"/>
  <c r="H14" i="42"/>
  <c r="H386" i="42"/>
  <c r="L368" i="42"/>
  <c r="L740" i="42"/>
  <c r="G325" i="42"/>
  <c r="G697" i="42"/>
  <c r="G695" i="42"/>
  <c r="G323" i="42"/>
  <c r="H64" i="42"/>
  <c r="H436" i="42"/>
  <c r="G445" i="42"/>
  <c r="G73" i="42"/>
  <c r="G77" i="42"/>
  <c r="G449" i="42"/>
  <c r="L343" i="42"/>
  <c r="L715" i="42"/>
  <c r="G30" i="42"/>
  <c r="G402" i="42"/>
  <c r="G29" i="42"/>
  <c r="G401" i="42"/>
  <c r="K7" i="42"/>
  <c r="K379" i="42"/>
  <c r="K6" i="42"/>
  <c r="K378" i="42"/>
  <c r="G95" i="42"/>
  <c r="G467" i="42"/>
  <c r="K426" i="42"/>
  <c r="K54" i="42"/>
  <c r="I557" i="42"/>
  <c r="I185" i="42"/>
  <c r="G437" i="42"/>
  <c r="G65" i="42"/>
  <c r="G368" i="42"/>
  <c r="G740" i="42"/>
  <c r="L52" i="42"/>
  <c r="L424" i="42"/>
  <c r="L427" i="42"/>
  <c r="L55" i="42"/>
  <c r="G192" i="42"/>
  <c r="G564" i="42"/>
  <c r="H80" i="42"/>
  <c r="H452" i="42"/>
  <c r="H129" i="42"/>
  <c r="H501" i="42"/>
  <c r="L84" i="42"/>
  <c r="L456" i="42"/>
  <c r="L444" i="42"/>
  <c r="L72" i="42"/>
  <c r="L79" i="42"/>
  <c r="L451" i="42"/>
  <c r="L122" i="42"/>
  <c r="L494" i="42"/>
  <c r="K401" i="42"/>
  <c r="K29" i="42"/>
  <c r="H97" i="42"/>
  <c r="H469" i="42"/>
  <c r="H89" i="42"/>
  <c r="H461" i="42"/>
  <c r="H464" i="42"/>
  <c r="H92" i="42"/>
  <c r="K247" i="42"/>
  <c r="K619" i="42"/>
  <c r="L250" i="42"/>
  <c r="L622" i="42"/>
  <c r="L626" i="42"/>
  <c r="L254" i="42"/>
  <c r="H742" i="42"/>
  <c r="H370" i="42"/>
  <c r="K209" i="42"/>
  <c r="K581" i="42"/>
  <c r="H703" i="42"/>
  <c r="H331" i="42"/>
  <c r="H573" i="42"/>
  <c r="H201" i="42"/>
  <c r="H199" i="42"/>
  <c r="H571" i="42"/>
  <c r="G557" i="42"/>
  <c r="G185" i="42"/>
  <c r="D89" i="52" s="1"/>
  <c r="K259" i="42"/>
  <c r="K631" i="42"/>
  <c r="K266" i="42"/>
  <c r="K638" i="42"/>
  <c r="L172" i="42"/>
  <c r="L544" i="42"/>
  <c r="G504" i="42"/>
  <c r="G132" i="42"/>
  <c r="I718" i="42"/>
  <c r="I346" i="42"/>
  <c r="I723" i="42"/>
  <c r="I351" i="42"/>
  <c r="G429" i="42"/>
  <c r="G57" i="42"/>
  <c r="L35" i="42"/>
  <c r="L407" i="42"/>
  <c r="G542" i="42"/>
  <c r="G170" i="42"/>
  <c r="G455" i="42"/>
  <c r="G83" i="42"/>
  <c r="G526" i="42"/>
  <c r="G154" i="42"/>
  <c r="G152" i="42"/>
  <c r="G524" i="42"/>
  <c r="L128" i="42"/>
  <c r="L500" i="42"/>
  <c r="H59" i="42"/>
  <c r="H431" i="42"/>
  <c r="H112" i="42"/>
  <c r="H484" i="42"/>
  <c r="H543" i="42"/>
  <c r="H171" i="42"/>
  <c r="L691" i="42"/>
  <c r="L319" i="42"/>
  <c r="L8" i="42"/>
  <c r="L380" i="42"/>
  <c r="L11" i="42"/>
  <c r="L383" i="42"/>
  <c r="K194" i="42"/>
  <c r="K566" i="42"/>
  <c r="L66" i="42"/>
  <c r="L438" i="42"/>
  <c r="K175" i="42"/>
  <c r="K547" i="42"/>
  <c r="H151" i="42"/>
  <c r="H523" i="42"/>
  <c r="H152" i="42"/>
  <c r="H524" i="42"/>
  <c r="K216" i="42"/>
  <c r="K588" i="42"/>
  <c r="K327" i="42"/>
  <c r="K699" i="42"/>
  <c r="K323" i="42"/>
  <c r="K695" i="42"/>
  <c r="G112" i="42"/>
  <c r="G484" i="42"/>
  <c r="H261" i="42"/>
  <c r="H633" i="42"/>
  <c r="K150" i="42"/>
  <c r="K522" i="42"/>
  <c r="K157" i="42"/>
  <c r="K529" i="42"/>
  <c r="H576" i="42"/>
  <c r="H204" i="42"/>
  <c r="L699" i="42"/>
  <c r="L327" i="42"/>
  <c r="L577" i="42"/>
  <c r="L205" i="42"/>
  <c r="L209" i="42"/>
  <c r="L581" i="42"/>
  <c r="K416" i="42"/>
  <c r="K44" i="42"/>
  <c r="K340" i="42"/>
  <c r="K712" i="42"/>
  <c r="G262" i="42"/>
  <c r="D90" i="52" s="1"/>
  <c r="G634" i="42"/>
  <c r="K375" i="42"/>
  <c r="K747" i="42"/>
  <c r="L633" i="42"/>
  <c r="L261" i="42"/>
  <c r="I609" i="42"/>
  <c r="I237" i="42"/>
  <c r="K74" i="42"/>
  <c r="K446" i="42"/>
  <c r="G383" i="42"/>
  <c r="G11" i="42"/>
  <c r="I691" i="42"/>
  <c r="F101" i="41" s="1"/>
  <c r="I319" i="42"/>
  <c r="F35" i="41" s="1"/>
  <c r="H121" i="42"/>
  <c r="H493" i="42"/>
  <c r="I665" i="42"/>
  <c r="I293" i="42"/>
  <c r="I420" i="42"/>
  <c r="F136" i="41" s="1"/>
  <c r="I48" i="42"/>
  <c r="F70" i="41" s="1"/>
  <c r="I413" i="42"/>
  <c r="F129" i="41" s="1"/>
  <c r="I41" i="42"/>
  <c r="F63" i="41" s="1"/>
  <c r="I689" i="42"/>
  <c r="F99" i="41" s="1"/>
  <c r="I317" i="42"/>
  <c r="F33" i="41" s="1"/>
  <c r="H270" i="42"/>
  <c r="H642" i="42"/>
  <c r="H269" i="42"/>
  <c r="H641" i="42"/>
  <c r="H592" i="42"/>
  <c r="H220" i="42"/>
  <c r="I684" i="42"/>
  <c r="F94" i="41" s="1"/>
  <c r="I312" i="42"/>
  <c r="F28" i="41" s="1"/>
  <c r="I657" i="42"/>
  <c r="I285" i="42"/>
  <c r="H645" i="42"/>
  <c r="H273" i="42"/>
  <c r="I415" i="42"/>
  <c r="F131" i="41" s="1"/>
  <c r="I43" i="42"/>
  <c r="G623" i="42"/>
  <c r="G251" i="42"/>
  <c r="D93" i="52" s="1"/>
  <c r="G512" i="42"/>
  <c r="G140" i="42"/>
  <c r="L150" i="42"/>
  <c r="L522" i="42"/>
  <c r="L149" i="42"/>
  <c r="L521" i="42"/>
  <c r="G519" i="42"/>
  <c r="G147" i="42"/>
  <c r="H142" i="42"/>
  <c r="H514" i="42"/>
  <c r="H510" i="42"/>
  <c r="H138" i="42"/>
  <c r="G119" i="42"/>
  <c r="G491" i="42"/>
  <c r="G515" i="42"/>
  <c r="F9" i="41"/>
  <c r="F78" i="41"/>
  <c r="G275" i="42"/>
  <c r="F77" i="41"/>
  <c r="G207" i="42"/>
  <c r="G579" i="42"/>
  <c r="H382" i="42"/>
  <c r="H10" i="42"/>
  <c r="H6" i="42"/>
  <c r="H378" i="42"/>
  <c r="L588" i="42"/>
  <c r="L216" i="42"/>
  <c r="H67" i="42"/>
  <c r="H439" i="42"/>
  <c r="L341" i="42"/>
  <c r="L713" i="42"/>
  <c r="G405" i="42"/>
  <c r="G33" i="42"/>
  <c r="G400" i="42"/>
  <c r="G28" i="42"/>
  <c r="K386" i="42"/>
  <c r="K14" i="42"/>
  <c r="G471" i="42"/>
  <c r="G99" i="42"/>
  <c r="G470" i="42"/>
  <c r="G98" i="42"/>
  <c r="K50" i="42"/>
  <c r="K422" i="42"/>
  <c r="I555" i="42"/>
  <c r="I183" i="42"/>
  <c r="G440" i="42"/>
  <c r="G68" i="42"/>
  <c r="G370" i="42"/>
  <c r="G742" i="42"/>
  <c r="L59" i="42"/>
  <c r="L431" i="42"/>
  <c r="G566" i="42"/>
  <c r="G194" i="42"/>
  <c r="G199" i="42"/>
  <c r="G571" i="42"/>
  <c r="H79" i="42"/>
  <c r="H451" i="42"/>
  <c r="H133" i="42"/>
  <c r="H505" i="42"/>
  <c r="L460" i="42"/>
  <c r="L88" i="42"/>
  <c r="L74" i="42"/>
  <c r="L446" i="42"/>
  <c r="L77" i="42"/>
  <c r="L449" i="42"/>
  <c r="L124" i="42"/>
  <c r="L496" i="42"/>
  <c r="K409" i="42"/>
  <c r="K37" i="42"/>
  <c r="K34" i="42"/>
  <c r="K406" i="42"/>
  <c r="H100" i="42"/>
  <c r="H472" i="42"/>
  <c r="H463" i="42"/>
  <c r="H91" i="42"/>
  <c r="K250" i="42"/>
  <c r="K622" i="42"/>
  <c r="L252" i="42"/>
  <c r="L624" i="42"/>
  <c r="L628" i="42"/>
  <c r="L256" i="42"/>
  <c r="H744" i="42"/>
  <c r="H372" i="42"/>
  <c r="K208" i="42"/>
  <c r="K580" i="42"/>
  <c r="K205" i="42"/>
  <c r="K577" i="42"/>
  <c r="H695" i="42"/>
  <c r="H323" i="42"/>
  <c r="H566" i="42"/>
  <c r="H194" i="42"/>
  <c r="G558" i="42"/>
  <c r="G186" i="42"/>
  <c r="G190" i="42"/>
  <c r="G562" i="42"/>
  <c r="K264" i="42"/>
  <c r="K636" i="42"/>
  <c r="K260" i="42"/>
  <c r="K632" i="42"/>
  <c r="L548" i="42"/>
  <c r="L176" i="42"/>
  <c r="G133" i="42"/>
  <c r="G505" i="42"/>
  <c r="I719" i="42"/>
  <c r="I347" i="42"/>
  <c r="I725" i="42"/>
  <c r="I353" i="42"/>
  <c r="G422" i="42"/>
  <c r="G50" i="42"/>
  <c r="L34" i="42"/>
  <c r="L406" i="42"/>
  <c r="G173" i="42"/>
  <c r="G545" i="42"/>
  <c r="G551" i="42"/>
  <c r="G179" i="42"/>
  <c r="G461" i="42"/>
  <c r="G89" i="42"/>
  <c r="G525" i="42"/>
  <c r="G153" i="42"/>
  <c r="D91" i="52" s="1"/>
  <c r="G150" i="42"/>
  <c r="G522" i="42"/>
  <c r="L129" i="42"/>
  <c r="L501" i="42"/>
  <c r="H50" i="42"/>
  <c r="H422" i="42"/>
  <c r="H479" i="42"/>
  <c r="H107" i="42"/>
  <c r="H175" i="42"/>
  <c r="H547" i="42"/>
  <c r="H176" i="42"/>
  <c r="H548" i="42"/>
  <c r="L315" i="42"/>
  <c r="L687" i="42"/>
  <c r="L9" i="42"/>
  <c r="L381" i="42"/>
  <c r="K197" i="42"/>
  <c r="K569" i="42"/>
  <c r="K192" i="42"/>
  <c r="K564" i="42"/>
  <c r="L68" i="42"/>
  <c r="L440" i="42"/>
  <c r="K177" i="42"/>
  <c r="K549" i="42"/>
  <c r="H150" i="42"/>
  <c r="H522" i="42"/>
  <c r="H153" i="42"/>
  <c r="H525" i="42"/>
  <c r="K217" i="42"/>
  <c r="K589" i="42"/>
  <c r="K331" i="42"/>
  <c r="K703" i="42"/>
  <c r="K326" i="42"/>
  <c r="K698" i="42"/>
  <c r="G111" i="42"/>
  <c r="G483" i="42"/>
  <c r="H639" i="42"/>
  <c r="H267" i="42"/>
  <c r="K152" i="42"/>
  <c r="K524" i="42"/>
  <c r="H583" i="42"/>
  <c r="H211" i="42"/>
  <c r="L329" i="42"/>
  <c r="L701" i="42"/>
  <c r="L211" i="42"/>
  <c r="L583" i="42"/>
  <c r="L578" i="42"/>
  <c r="L206" i="42"/>
  <c r="K41" i="42"/>
  <c r="K413" i="42"/>
  <c r="K341" i="42"/>
  <c r="K713" i="42"/>
  <c r="G639" i="42"/>
  <c r="G267" i="42"/>
  <c r="G632" i="42"/>
  <c r="G260" i="42"/>
  <c r="K370" i="42"/>
  <c r="K742" i="42"/>
  <c r="L635" i="42"/>
  <c r="L263" i="42"/>
  <c r="L634" i="42"/>
  <c r="L262" i="42"/>
  <c r="I614" i="42"/>
  <c r="I242" i="42"/>
  <c r="K448" i="42"/>
  <c r="K76" i="42"/>
  <c r="G384" i="42"/>
  <c r="G12" i="42"/>
  <c r="I688" i="42"/>
  <c r="F98" i="41" s="1"/>
  <c r="I316" i="42"/>
  <c r="F32" i="41" s="1"/>
  <c r="H490" i="42"/>
  <c r="H118" i="42"/>
  <c r="H124" i="42"/>
  <c r="H496" i="42"/>
  <c r="H122" i="42"/>
  <c r="H494" i="42"/>
  <c r="H647" i="42"/>
  <c r="H275" i="42"/>
  <c r="H648" i="42"/>
  <c r="H276" i="42"/>
  <c r="H278" i="42"/>
  <c r="H650" i="42"/>
  <c r="I686" i="42"/>
  <c r="F96" i="41" s="1"/>
  <c r="I314" i="42"/>
  <c r="F30" i="41" s="1"/>
  <c r="H254" i="42"/>
  <c r="H626" i="42"/>
  <c r="I690" i="42"/>
  <c r="F100" i="41" s="1"/>
  <c r="I318" i="42"/>
  <c r="F34" i="41" s="1"/>
  <c r="G622" i="42"/>
  <c r="G250" i="42"/>
  <c r="H145" i="42"/>
  <c r="H517" i="42"/>
  <c r="H518" i="42"/>
  <c r="H146" i="42"/>
  <c r="F75" i="41"/>
  <c r="G20" i="41"/>
  <c r="M128" i="40" a="1"/>
  <c r="M128" i="40" s="1"/>
  <c r="S128" i="40" s="1"/>
  <c r="M342" i="40" a="1"/>
  <c r="M342" i="40" s="1"/>
  <c r="S342" i="40" s="1"/>
  <c r="M610" i="40" a="1"/>
  <c r="M610" i="40" s="1"/>
  <c r="S610" i="40" s="1"/>
  <c r="M592" i="40" a="1"/>
  <c r="M592" i="40" s="1"/>
  <c r="S592" i="40" s="1"/>
  <c r="M607" i="40" a="1"/>
  <c r="M607" i="40" s="1"/>
  <c r="S607" i="40" s="1"/>
  <c r="M604" i="40" a="1"/>
  <c r="M604" i="40" s="1"/>
  <c r="S604" i="40" s="1"/>
  <c r="M595" i="40" a="1"/>
  <c r="M595" i="40" s="1"/>
  <c r="S595" i="40" s="1"/>
  <c r="M619" i="40" a="1"/>
  <c r="M619" i="40" s="1"/>
  <c r="S619" i="40" s="1"/>
  <c r="M601" i="40" a="1"/>
  <c r="M601" i="40" s="1"/>
  <c r="S601" i="40" s="1"/>
  <c r="M613" i="40" a="1"/>
  <c r="M613" i="40" s="1"/>
  <c r="S613" i="40" s="1"/>
  <c r="M598" i="40" a="1"/>
  <c r="M598" i="40" s="1"/>
  <c r="S598" i="40" s="1"/>
  <c r="M616" i="40" a="1"/>
  <c r="M616" i="40" s="1"/>
  <c r="S616" i="40" s="1"/>
  <c r="F31" i="33"/>
  <c r="C80" i="52" s="1"/>
  <c r="M354" i="40" a="1"/>
  <c r="M354" i="40" s="1"/>
  <c r="S354" i="40" s="1"/>
  <c r="M358" i="40" a="1"/>
  <c r="M358" i="40" s="1"/>
  <c r="S358" i="40" s="1"/>
  <c r="M378" i="40" a="1"/>
  <c r="M378" i="40" s="1"/>
  <c r="S378" i="40" s="1"/>
  <c r="M107" i="40" a="1"/>
  <c r="M107" i="40" s="1"/>
  <c r="S107" i="40" s="1"/>
  <c r="N61" i="40" a="1"/>
  <c r="N61" i="40" s="1"/>
  <c r="N62" i="40" a="1"/>
  <c r="N62" i="40" s="1"/>
  <c r="N63" i="40" a="1"/>
  <c r="N63" i="40" s="1"/>
  <c r="N65" i="40" a="1"/>
  <c r="N65" i="40" s="1"/>
  <c r="N64" i="40" a="1"/>
  <c r="N64" i="40" s="1"/>
  <c r="N66" i="40" a="1"/>
  <c r="N66" i="40" s="1"/>
  <c r="N67" i="40" a="1"/>
  <c r="N67" i="40" s="1"/>
  <c r="N68" i="40" a="1"/>
  <c r="N68" i="40" s="1"/>
  <c r="N69" i="40" a="1"/>
  <c r="N69" i="40" s="1"/>
  <c r="N70" i="40" a="1"/>
  <c r="N70" i="40" s="1"/>
  <c r="M61" i="40" a="1"/>
  <c r="M61" i="40" s="1"/>
  <c r="S61" i="40" s="1"/>
  <c r="M62" i="40" a="1"/>
  <c r="M62" i="40" s="1"/>
  <c r="S62" i="40" s="1"/>
  <c r="M63" i="40" a="1"/>
  <c r="M63" i="40" s="1"/>
  <c r="S63" i="40" s="1"/>
  <c r="M65" i="40" a="1"/>
  <c r="M65" i="40" s="1"/>
  <c r="S65" i="40" s="1"/>
  <c r="M66" i="40" a="1"/>
  <c r="M66" i="40" s="1"/>
  <c r="S66" i="40" s="1"/>
  <c r="M64" i="40" a="1"/>
  <c r="M64" i="40" s="1"/>
  <c r="S64" i="40" s="1"/>
  <c r="M67" i="40" a="1"/>
  <c r="M67" i="40" s="1"/>
  <c r="S67" i="40" s="1"/>
  <c r="M68" i="40" a="1"/>
  <c r="M68" i="40" s="1"/>
  <c r="S68" i="40" s="1"/>
  <c r="M69" i="40" a="1"/>
  <c r="M69" i="40" s="1"/>
  <c r="S69" i="40" s="1"/>
  <c r="M70" i="40" a="1"/>
  <c r="M70" i="40" s="1"/>
  <c r="S70" i="40" s="1"/>
  <c r="M50" i="40" a="1"/>
  <c r="M50" i="40" s="1"/>
  <c r="S50" i="40" s="1"/>
  <c r="M51" i="40" a="1"/>
  <c r="M51" i="40" s="1"/>
  <c r="S51" i="40" s="1"/>
  <c r="M52" i="40" a="1"/>
  <c r="M52" i="40" s="1"/>
  <c r="S52" i="40" s="1"/>
  <c r="M53" i="40" a="1"/>
  <c r="M53" i="40" s="1"/>
  <c r="S53" i="40" s="1"/>
  <c r="M54" i="40" a="1"/>
  <c r="M54" i="40" s="1"/>
  <c r="S54" i="40" s="1"/>
  <c r="M55" i="40" a="1"/>
  <c r="M55" i="40" s="1"/>
  <c r="S55" i="40" s="1"/>
  <c r="M56" i="40" a="1"/>
  <c r="M56" i="40" s="1"/>
  <c r="S56" i="40" s="1"/>
  <c r="M57" i="40" a="1"/>
  <c r="M57" i="40" s="1"/>
  <c r="S57" i="40" s="1"/>
  <c r="M58" i="40" a="1"/>
  <c r="M58" i="40" s="1"/>
  <c r="S58" i="40" s="1"/>
  <c r="M59" i="40" a="1"/>
  <c r="M59" i="40" s="1"/>
  <c r="S59" i="40" s="1"/>
  <c r="H13" i="33"/>
  <c r="I6" i="44" s="1"/>
  <c r="O644" i="40" a="1"/>
  <c r="O644" i="40" s="1"/>
  <c r="O646" i="40" a="1"/>
  <c r="O646" i="40" s="1"/>
  <c r="O645" i="40" a="1"/>
  <c r="O645" i="40" s="1"/>
  <c r="O647" i="40" a="1"/>
  <c r="O647" i="40" s="1"/>
  <c r="O648" i="40" a="1"/>
  <c r="O648" i="40" s="1"/>
  <c r="O649" i="40" a="1"/>
  <c r="O649" i="40" s="1"/>
  <c r="O650" i="40" a="1"/>
  <c r="O650" i="40" s="1"/>
  <c r="O651" i="40" a="1"/>
  <c r="O651" i="40" s="1"/>
  <c r="O652" i="40" a="1"/>
  <c r="O652" i="40" s="1"/>
  <c r="O653" i="40" a="1"/>
  <c r="O653" i="40" s="1"/>
  <c r="M346" i="40" a="1"/>
  <c r="M346" i="40" s="1"/>
  <c r="S346" i="40" s="1"/>
  <c r="M350" i="40" a="1"/>
  <c r="M350" i="40" s="1"/>
  <c r="S350" i="40" s="1"/>
  <c r="M366" i="40" a="1"/>
  <c r="M366" i="40" s="1"/>
  <c r="S366" i="40" s="1"/>
  <c r="M374" i="40" a="1"/>
  <c r="M374" i="40" s="1"/>
  <c r="S374" i="40" s="1"/>
  <c r="N608" i="40" a="1"/>
  <c r="N608" i="40" s="1"/>
  <c r="M362" i="40" a="1"/>
  <c r="M362" i="40" s="1"/>
  <c r="S362" i="40" s="1"/>
  <c r="M134" i="40" a="1"/>
  <c r="M134" i="40" s="1"/>
  <c r="S134" i="40" s="1"/>
  <c r="M370" i="40" a="1"/>
  <c r="M370" i="40" s="1"/>
  <c r="S370" i="40" s="1"/>
  <c r="N490" i="40" a="1"/>
  <c r="N490" i="40" s="1"/>
  <c r="R499" i="40" a="1"/>
  <c r="R499" i="40" s="1"/>
  <c r="V499" i="40" s="1"/>
  <c r="Q487" i="40" a="1"/>
  <c r="Q487" i="40" s="1"/>
  <c r="U487" i="40" s="1"/>
  <c r="Q481" i="40" a="1"/>
  <c r="Q481" i="40" s="1"/>
  <c r="U481" i="40" s="1"/>
  <c r="Q499" i="40" a="1"/>
  <c r="Q499" i="40" s="1"/>
  <c r="U499" i="40" s="1"/>
  <c r="N605" i="40" a="1"/>
  <c r="N605" i="40" s="1"/>
  <c r="N614" i="40" a="1"/>
  <c r="N614" i="40" s="1"/>
  <c r="N602" i="40" a="1"/>
  <c r="N602" i="40" s="1"/>
  <c r="N596" i="40" a="1"/>
  <c r="N596" i="40" s="1"/>
  <c r="N620" i="40" a="1"/>
  <c r="N620" i="40" s="1"/>
  <c r="D5" i="34"/>
  <c r="N323" i="40" a="1"/>
  <c r="N323" i="40" s="1"/>
  <c r="N525" i="40" a="1"/>
  <c r="N525" i="40" s="1"/>
  <c r="F34" i="33"/>
  <c r="Q458" i="40" a="1"/>
  <c r="Q458" i="40" s="1"/>
  <c r="U458" i="40" s="1"/>
  <c r="Q466" i="40" a="1"/>
  <c r="Q466" i="40" s="1"/>
  <c r="U466" i="40" s="1"/>
  <c r="N488" i="40" a="1"/>
  <c r="N488" i="40" s="1"/>
  <c r="N537" i="40" a="1"/>
  <c r="N537" i="40" s="1"/>
  <c r="N546" i="40" a="1"/>
  <c r="N546" i="40" s="1"/>
  <c r="N540" i="40" a="1"/>
  <c r="N540" i="40" s="1"/>
  <c r="N599" i="40" a="1"/>
  <c r="N599" i="40" s="1"/>
  <c r="N534" i="40" a="1"/>
  <c r="N534" i="40" s="1"/>
  <c r="N531" i="40" a="1"/>
  <c r="N531" i="40" s="1"/>
  <c r="Q468" i="40" a="1"/>
  <c r="Q468" i="40" s="1"/>
  <c r="U468" i="40" s="1"/>
  <c r="Q476" i="40" a="1"/>
  <c r="Q476" i="40" s="1"/>
  <c r="U476" i="40" s="1"/>
  <c r="Q462" i="40" a="1"/>
  <c r="Q462" i="40" s="1"/>
  <c r="U462" i="40" s="1"/>
  <c r="Q474" i="40" a="1"/>
  <c r="Q474" i="40" s="1"/>
  <c r="U474" i="40" s="1"/>
  <c r="N617" i="40" a="1"/>
  <c r="N617" i="40" s="1"/>
  <c r="N494" i="40" a="1"/>
  <c r="N494" i="40" s="1"/>
  <c r="Q460" i="40" a="1"/>
  <c r="Q460" i="40" s="1"/>
  <c r="U460" i="40" s="1"/>
  <c r="N593" i="40" a="1"/>
  <c r="N593" i="40" s="1"/>
  <c r="N482" i="40" a="1"/>
  <c r="N482" i="40" s="1"/>
  <c r="N543" i="40" a="1"/>
  <c r="N543" i="40" s="1"/>
  <c r="N549" i="40" a="1"/>
  <c r="N549" i="40" s="1"/>
  <c r="Q470" i="40" a="1"/>
  <c r="Q470" i="40" s="1"/>
  <c r="U470" i="40" s="1"/>
  <c r="N611" i="40" a="1"/>
  <c r="N611" i="40" s="1"/>
  <c r="N492" i="40" a="1"/>
  <c r="N492" i="40" s="1"/>
  <c r="N552" i="40" a="1"/>
  <c r="N552" i="40" s="1"/>
  <c r="N496" i="40" a="1"/>
  <c r="N496" i="40" s="1"/>
  <c r="N480" i="40" a="1"/>
  <c r="N480" i="40" s="1"/>
  <c r="N498" i="40" a="1"/>
  <c r="N498" i="40" s="1"/>
  <c r="N484" i="40" a="1"/>
  <c r="N484" i="40" s="1"/>
  <c r="N486" i="40" a="1"/>
  <c r="N486" i="40" s="1"/>
  <c r="N542" i="40" a="1"/>
  <c r="N542" i="40" s="1"/>
  <c r="M113" i="40" a="1"/>
  <c r="M113" i="40" s="1"/>
  <c r="S113" i="40" s="1"/>
  <c r="Q493" i="40" a="1"/>
  <c r="Q493" i="40" s="1"/>
  <c r="U493" i="40" s="1"/>
  <c r="Q489" i="40" a="1"/>
  <c r="Q489" i="40" s="1"/>
  <c r="U489" i="40" s="1"/>
  <c r="Q497" i="40" a="1"/>
  <c r="Q497" i="40" s="1"/>
  <c r="U497" i="40" s="1"/>
  <c r="N545" i="40" a="1"/>
  <c r="N545" i="40" s="1"/>
  <c r="N536" i="40" a="1"/>
  <c r="N536" i="40" s="1"/>
  <c r="N548" i="40" a="1"/>
  <c r="N548" i="40" s="1"/>
  <c r="N551" i="40" a="1"/>
  <c r="N551" i="40" s="1"/>
  <c r="N554" i="40" a="1"/>
  <c r="N554" i="40" s="1"/>
  <c r="N530" i="40" a="1"/>
  <c r="N530" i="40" s="1"/>
  <c r="N533" i="40" a="1"/>
  <c r="N533" i="40" s="1"/>
  <c r="N539" i="40" a="1"/>
  <c r="N539" i="40" s="1"/>
  <c r="Q472" i="40" a="1"/>
  <c r="Q472" i="40" s="1"/>
  <c r="U472" i="40" s="1"/>
  <c r="N527" i="40" a="1"/>
  <c r="N527" i="40" s="1"/>
  <c r="N388" i="40" a="1"/>
  <c r="N388" i="40" s="1"/>
  <c r="N384" i="40" a="1"/>
  <c r="N384" i="40" s="1"/>
  <c r="G31" i="33"/>
  <c r="D9" i="31" s="1"/>
  <c r="N412" i="40" a="1"/>
  <c r="N412" i="40" s="1"/>
  <c r="N400" i="40" a="1"/>
  <c r="N400" i="40" s="1"/>
  <c r="R495" i="40" a="1"/>
  <c r="R495" i="40" s="1"/>
  <c r="V495" i="40" s="1"/>
  <c r="M514" i="40" a="1"/>
  <c r="M514" i="40" s="1"/>
  <c r="S514" i="40" s="1"/>
  <c r="M502" i="40" a="1"/>
  <c r="M502" i="40" s="1"/>
  <c r="S502" i="40" s="1"/>
  <c r="R497" i="40" a="1"/>
  <c r="R497" i="40" s="1"/>
  <c r="V497" i="40" s="1"/>
  <c r="M510" i="40" a="1"/>
  <c r="M510" i="40" s="1"/>
  <c r="S510" i="40" s="1"/>
  <c r="M506" i="40" a="1"/>
  <c r="M506" i="40" s="1"/>
  <c r="S506" i="40" s="1"/>
  <c r="R483" i="40" a="1"/>
  <c r="R483" i="40" s="1"/>
  <c r="V483" i="40" s="1"/>
  <c r="R493" i="40" a="1"/>
  <c r="R493" i="40" s="1"/>
  <c r="V493" i="40" s="1"/>
  <c r="R481" i="40" a="1"/>
  <c r="R481" i="40" s="1"/>
  <c r="V481" i="40" s="1"/>
  <c r="M518" i="40" a="1"/>
  <c r="M518" i="40" s="1"/>
  <c r="S518" i="40" s="1"/>
  <c r="M508" i="40" a="1"/>
  <c r="M508" i="40" s="1"/>
  <c r="S508" i="40" s="1"/>
  <c r="R485" i="40" a="1"/>
  <c r="R485" i="40" s="1"/>
  <c r="V485" i="40" s="1"/>
  <c r="M504" i="40" a="1"/>
  <c r="M504" i="40" s="1"/>
  <c r="S504" i="40" s="1"/>
  <c r="R489" i="40" a="1"/>
  <c r="R489" i="40" s="1"/>
  <c r="V489" i="40" s="1"/>
  <c r="R491" i="40" a="1"/>
  <c r="R491" i="40" s="1"/>
  <c r="V491" i="40" s="1"/>
  <c r="M516" i="40" a="1"/>
  <c r="M516" i="40" s="1"/>
  <c r="S516" i="40" s="1"/>
  <c r="M520" i="40" a="1"/>
  <c r="M520" i="40" s="1"/>
  <c r="S520" i="40" s="1"/>
  <c r="R487" i="40" a="1"/>
  <c r="R487" i="40" s="1"/>
  <c r="V487" i="40" s="1"/>
  <c r="M512" i="40" a="1"/>
  <c r="M512" i="40" s="1"/>
  <c r="S512" i="40" s="1"/>
  <c r="I10" i="31"/>
  <c r="M110" i="40" a="1"/>
  <c r="M110" i="40" s="1"/>
  <c r="S110" i="40" s="1"/>
  <c r="M131" i="40" a="1"/>
  <c r="M131" i="40" s="1"/>
  <c r="S131" i="40" s="1"/>
  <c r="M116" i="40" a="1"/>
  <c r="M116" i="40" s="1"/>
  <c r="S116" i="40" s="1"/>
  <c r="M119" i="40" a="1"/>
  <c r="M119" i="40" s="1"/>
  <c r="S119" i="40" s="1"/>
  <c r="M122" i="40" a="1"/>
  <c r="M122" i="40" s="1"/>
  <c r="S122" i="40" s="1"/>
  <c r="M125" i="40" a="1"/>
  <c r="M125" i="40" s="1"/>
  <c r="S125" i="40" s="1"/>
  <c r="N404" i="40" a="1"/>
  <c r="N404" i="40" s="1"/>
  <c r="N392" i="40" a="1"/>
  <c r="N392" i="40" s="1"/>
  <c r="N408" i="40" a="1"/>
  <c r="N408" i="40" s="1"/>
  <c r="N420" i="40" a="1"/>
  <c r="N420" i="40" s="1"/>
  <c r="N396" i="40" a="1"/>
  <c r="N396" i="40" s="1"/>
  <c r="N416" i="40" a="1"/>
  <c r="N416" i="40" s="1"/>
  <c r="D7" i="31"/>
  <c r="Q491" i="40" a="1"/>
  <c r="Q491" i="40" s="1"/>
  <c r="U491" i="40" s="1"/>
  <c r="Q495" i="40" a="1"/>
  <c r="Q495" i="40" s="1"/>
  <c r="U495" i="40" s="1"/>
  <c r="Q485" i="40" a="1"/>
  <c r="Q485" i="40" s="1"/>
  <c r="U485" i="40" s="1"/>
  <c r="N319" i="40" a="1"/>
  <c r="N319" i="40" s="1"/>
  <c r="N322" i="40" a="1"/>
  <c r="N322" i="40" s="1"/>
  <c r="G20" i="33"/>
  <c r="N317" i="40" a="1"/>
  <c r="N317" i="40" s="1"/>
  <c r="N316" i="40" a="1"/>
  <c r="N316" i="40" s="1"/>
  <c r="N320" i="40" a="1"/>
  <c r="N320" i="40" s="1"/>
  <c r="N321" i="40" a="1"/>
  <c r="N321" i="40" s="1"/>
  <c r="N318" i="40" a="1"/>
  <c r="N318" i="40" s="1"/>
  <c r="N314" i="40" a="1"/>
  <c r="N314" i="40" s="1"/>
  <c r="N315" i="40" a="1"/>
  <c r="N315" i="40" s="1"/>
  <c r="E12" i="31"/>
  <c r="R462" i="40" a="1"/>
  <c r="R462" i="40" s="1"/>
  <c r="V462" i="40" s="1"/>
  <c r="N357" i="40" a="1"/>
  <c r="N357" i="40" s="1"/>
  <c r="N369" i="40" a="1"/>
  <c r="N369" i="40" s="1"/>
  <c r="N365" i="40" a="1"/>
  <c r="N365" i="40" s="1"/>
  <c r="N345" i="40" a="1"/>
  <c r="N345" i="40" s="1"/>
  <c r="N349" i="40" a="1"/>
  <c r="N349" i="40" s="1"/>
  <c r="N353" i="40" a="1"/>
  <c r="N353" i="40" s="1"/>
  <c r="N373" i="40" a="1"/>
  <c r="N373" i="40" s="1"/>
  <c r="N377" i="40" a="1"/>
  <c r="N377" i="40" s="1"/>
  <c r="N341" i="40" a="1"/>
  <c r="N341" i="40" s="1"/>
  <c r="R476" i="40" a="1"/>
  <c r="R476" i="40" s="1"/>
  <c r="V476" i="40" s="1"/>
  <c r="R474" i="40" a="1"/>
  <c r="R474" i="40" s="1"/>
  <c r="V474" i="40" s="1"/>
  <c r="R468" i="40" a="1"/>
  <c r="R468" i="40" s="1"/>
  <c r="V468" i="40" s="1"/>
  <c r="R460" i="40" a="1"/>
  <c r="R460" i="40" s="1"/>
  <c r="V460" i="40" s="1"/>
  <c r="R470" i="40" a="1"/>
  <c r="R470" i="40" s="1"/>
  <c r="V470" i="40" s="1"/>
  <c r="R464" i="40" a="1"/>
  <c r="R464" i="40" s="1"/>
  <c r="V464" i="40" s="1"/>
  <c r="R472" i="40" a="1"/>
  <c r="R472" i="40" s="1"/>
  <c r="V472" i="40" s="1"/>
  <c r="R458" i="40" a="1"/>
  <c r="R458" i="40" s="1"/>
  <c r="V458" i="40" s="1"/>
  <c r="E8" i="31"/>
  <c r="N115" i="40" a="1"/>
  <c r="N115" i="40" s="1"/>
  <c r="N124" i="40" a="1"/>
  <c r="N124" i="40" s="1"/>
  <c r="N133" i="40" a="1"/>
  <c r="N133" i="40" s="1"/>
  <c r="N118" i="40" a="1"/>
  <c r="N118" i="40" s="1"/>
  <c r="N121" i="40" a="1"/>
  <c r="N121" i="40" s="1"/>
  <c r="N112" i="40" a="1"/>
  <c r="N112" i="40" s="1"/>
  <c r="N109" i="40" a="1"/>
  <c r="N109" i="40" s="1"/>
  <c r="N136" i="40" a="1"/>
  <c r="N136" i="40" s="1"/>
  <c r="N127" i="40" a="1"/>
  <c r="N127" i="40" s="1"/>
  <c r="N130" i="40" a="1"/>
  <c r="N130" i="40" s="1"/>
  <c r="M485" i="40" a="1"/>
  <c r="M485" i="40" s="1"/>
  <c r="S485" i="40" s="1"/>
  <c r="M491" i="40" a="1"/>
  <c r="M491" i="40" s="1"/>
  <c r="S491" i="40" s="1"/>
  <c r="M495" i="40" a="1"/>
  <c r="M495" i="40" s="1"/>
  <c r="F29" i="33"/>
  <c r="C82" i="52" s="1"/>
  <c r="M483" i="40" a="1"/>
  <c r="M483" i="40" s="1"/>
  <c r="M481" i="40" a="1"/>
  <c r="M481" i="40" s="1"/>
  <c r="S481" i="40" s="1"/>
  <c r="M499" i="40" a="1"/>
  <c r="M499" i="40" s="1"/>
  <c r="M493" i="40" a="1"/>
  <c r="M493" i="40" s="1"/>
  <c r="S493" i="40" s="1"/>
  <c r="M489" i="40" a="1"/>
  <c r="M489" i="40" s="1"/>
  <c r="M487" i="40" a="1"/>
  <c r="M487" i="40" s="1"/>
  <c r="M497" i="40" a="1"/>
  <c r="M497" i="40" s="1"/>
  <c r="S497" i="40" s="1"/>
  <c r="N371" i="40" a="1"/>
  <c r="N371" i="40" s="1"/>
  <c r="N367" i="40" a="1"/>
  <c r="N367" i="40" s="1"/>
  <c r="N375" i="40" a="1"/>
  <c r="N375" i="40" s="1"/>
  <c r="N355" i="40" a="1"/>
  <c r="N355" i="40" s="1"/>
  <c r="N351" i="40" a="1"/>
  <c r="N351" i="40" s="1"/>
  <c r="N339" i="40" a="1"/>
  <c r="N339" i="40" s="1"/>
  <c r="N343" i="40" a="1"/>
  <c r="N343" i="40" s="1"/>
  <c r="N363" i="40" a="1"/>
  <c r="N363" i="40" s="1"/>
  <c r="N359" i="40" a="1"/>
  <c r="N359" i="40" s="1"/>
  <c r="N347" i="40" a="1"/>
  <c r="N347" i="40" s="1"/>
  <c r="G22" i="33"/>
  <c r="R400" i="40" a="1"/>
  <c r="R400" i="40" s="1"/>
  <c r="V400" i="40" s="1"/>
  <c r="R408" i="40" a="1"/>
  <c r="R408" i="40" s="1"/>
  <c r="V408" i="40" s="1"/>
  <c r="R396" i="40" a="1"/>
  <c r="R396" i="40" s="1"/>
  <c r="V396" i="40" s="1"/>
  <c r="R388" i="40" a="1"/>
  <c r="R388" i="40" s="1"/>
  <c r="V388" i="40" s="1"/>
  <c r="R420" i="40" a="1"/>
  <c r="R420" i="40" s="1"/>
  <c r="V420" i="40" s="1"/>
  <c r="R384" i="40" a="1"/>
  <c r="R384" i="40" s="1"/>
  <c r="V384" i="40" s="1"/>
  <c r="R416" i="40" a="1"/>
  <c r="R416" i="40" s="1"/>
  <c r="V416" i="40" s="1"/>
  <c r="R392" i="40" a="1"/>
  <c r="R392" i="40" s="1"/>
  <c r="V392" i="40" s="1"/>
  <c r="R412" i="40" a="1"/>
  <c r="R412" i="40" s="1"/>
  <c r="V412" i="40" s="1"/>
  <c r="R404" i="40" a="1"/>
  <c r="R404" i="40" s="1"/>
  <c r="V404" i="40" s="1"/>
  <c r="N401" i="40" a="1"/>
  <c r="N401" i="40" s="1"/>
  <c r="N409" i="40" a="1"/>
  <c r="N409" i="40" s="1"/>
  <c r="N397" i="40" a="1"/>
  <c r="N397" i="40" s="1"/>
  <c r="N405" i="40" a="1"/>
  <c r="N405" i="40" s="1"/>
  <c r="N389" i="40" a="1"/>
  <c r="N389" i="40" s="1"/>
  <c r="N413" i="40" a="1"/>
  <c r="N413" i="40" s="1"/>
  <c r="N417" i="40" a="1"/>
  <c r="N417" i="40" s="1"/>
  <c r="N385" i="40" a="1"/>
  <c r="N385" i="40" s="1"/>
  <c r="N393" i="40" a="1"/>
  <c r="N393" i="40" s="1"/>
  <c r="N421" i="40" a="1"/>
  <c r="N421" i="40" s="1"/>
  <c r="R613" i="40" a="1"/>
  <c r="R613" i="40" s="1"/>
  <c r="V613" i="40" s="1"/>
  <c r="R616" i="40" a="1"/>
  <c r="R616" i="40" s="1"/>
  <c r="V616" i="40" s="1"/>
  <c r="R607" i="40" a="1"/>
  <c r="R607" i="40" s="1"/>
  <c r="V607" i="40" s="1"/>
  <c r="R595" i="40" a="1"/>
  <c r="R595" i="40" s="1"/>
  <c r="V595" i="40" s="1"/>
  <c r="R610" i="40" a="1"/>
  <c r="R610" i="40" s="1"/>
  <c r="V610" i="40" s="1"/>
  <c r="R619" i="40" a="1"/>
  <c r="R619" i="40" s="1"/>
  <c r="V619" i="40" s="1"/>
  <c r="R592" i="40" a="1"/>
  <c r="R592" i="40" s="1"/>
  <c r="V592" i="40" s="1"/>
  <c r="R604" i="40" a="1"/>
  <c r="R604" i="40" s="1"/>
  <c r="V604" i="40" s="1"/>
  <c r="R601" i="40" a="1"/>
  <c r="R601" i="40" s="1"/>
  <c r="V601" i="40" s="1"/>
  <c r="R598" i="40" a="1"/>
  <c r="R598" i="40" s="1"/>
  <c r="V598" i="40" s="1"/>
  <c r="Q383" i="40" a="1"/>
  <c r="Q383" i="40" s="1"/>
  <c r="U383" i="40" s="1"/>
  <c r="Q391" i="40" a="1"/>
  <c r="Q391" i="40" s="1"/>
  <c r="U391" i="40" s="1"/>
  <c r="Q419" i="40" a="1"/>
  <c r="Q419" i="40" s="1"/>
  <c r="U419" i="40" s="1"/>
  <c r="Q407" i="40" a="1"/>
  <c r="Q407" i="40" s="1"/>
  <c r="U407" i="40" s="1"/>
  <c r="Q399" i="40" a="1"/>
  <c r="Q399" i="40" s="1"/>
  <c r="U399" i="40" s="1"/>
  <c r="Q415" i="40" a="1"/>
  <c r="Q415" i="40" s="1"/>
  <c r="U415" i="40" s="1"/>
  <c r="Q395" i="40" a="1"/>
  <c r="Q395" i="40" s="1"/>
  <c r="U395" i="40" s="1"/>
  <c r="Q411" i="40" a="1"/>
  <c r="Q411" i="40" s="1"/>
  <c r="U411" i="40" s="1"/>
  <c r="Q387" i="40" a="1"/>
  <c r="Q387" i="40" s="1"/>
  <c r="U387" i="40" s="1"/>
  <c r="Q403" i="40" a="1"/>
  <c r="Q403" i="40" s="1"/>
  <c r="U403" i="40" s="1"/>
  <c r="Q517" i="40" a="1"/>
  <c r="Q517" i="40" s="1"/>
  <c r="U517" i="40" s="1"/>
  <c r="Q515" i="40" a="1"/>
  <c r="Q515" i="40" s="1"/>
  <c r="U515" i="40" s="1"/>
  <c r="Q509" i="40" a="1"/>
  <c r="Q509" i="40" s="1"/>
  <c r="U509" i="40" s="1"/>
  <c r="Q503" i="40" a="1"/>
  <c r="Q503" i="40" s="1"/>
  <c r="U503" i="40" s="1"/>
  <c r="Q511" i="40" a="1"/>
  <c r="Q511" i="40" s="1"/>
  <c r="U511" i="40" s="1"/>
  <c r="Q521" i="40" a="1"/>
  <c r="Q521" i="40" s="1"/>
  <c r="U521" i="40" s="1"/>
  <c r="Q513" i="40" a="1"/>
  <c r="Q513" i="40" s="1"/>
  <c r="U513" i="40" s="1"/>
  <c r="Q519" i="40" a="1"/>
  <c r="Q519" i="40" s="1"/>
  <c r="U519" i="40" s="1"/>
  <c r="Q507" i="40" a="1"/>
  <c r="Q507" i="40" s="1"/>
  <c r="U507" i="40" s="1"/>
  <c r="Q505" i="40" a="1"/>
  <c r="Q505" i="40" s="1"/>
  <c r="U505" i="40" s="1"/>
  <c r="G7" i="33"/>
  <c r="L10" i="8"/>
  <c r="R10" i="31" s="1"/>
  <c r="M10" i="8"/>
  <c r="Y10" i="8" s="1"/>
  <c r="M112" i="40" a="1"/>
  <c r="M112" i="40" s="1"/>
  <c r="S112" i="40" s="1"/>
  <c r="M121" i="40" a="1"/>
  <c r="M121" i="40" s="1"/>
  <c r="M136" i="40" a="1"/>
  <c r="M136" i="40" s="1"/>
  <c r="S136" i="40" s="1"/>
  <c r="M118" i="40" a="1"/>
  <c r="M118" i="40" s="1"/>
  <c r="S118" i="40" s="1"/>
  <c r="M130" i="40" a="1"/>
  <c r="M130" i="40" s="1"/>
  <c r="S130" i="40" s="1"/>
  <c r="M124" i="40" a="1"/>
  <c r="M124" i="40" s="1"/>
  <c r="S124" i="40" s="1"/>
  <c r="M127" i="40" a="1"/>
  <c r="M127" i="40" s="1"/>
  <c r="S127" i="40" s="1"/>
  <c r="M133" i="40" a="1"/>
  <c r="M133" i="40" s="1"/>
  <c r="S133" i="40" s="1"/>
  <c r="M115" i="40" a="1"/>
  <c r="M115" i="40" s="1"/>
  <c r="S115" i="40" s="1"/>
  <c r="M109" i="40" a="1"/>
  <c r="M109" i="40" s="1"/>
  <c r="S109" i="40" s="1"/>
  <c r="N383" i="40" a="1"/>
  <c r="N383" i="40" s="1"/>
  <c r="N403" i="40" a="1"/>
  <c r="N403" i="40" s="1"/>
  <c r="N411" i="40" a="1"/>
  <c r="N411" i="40" s="1"/>
  <c r="N395" i="40" a="1"/>
  <c r="N395" i="40" s="1"/>
  <c r="N391" i="40" a="1"/>
  <c r="N391" i="40" s="1"/>
  <c r="N387" i="40" a="1"/>
  <c r="N387" i="40" s="1"/>
  <c r="N419" i="40" a="1"/>
  <c r="N419" i="40" s="1"/>
  <c r="N399" i="40" a="1"/>
  <c r="N399" i="40" s="1"/>
  <c r="G23" i="33"/>
  <c r="N407" i="40" a="1"/>
  <c r="N407" i="40" s="1"/>
  <c r="N415" i="40" a="1"/>
  <c r="N415" i="40" s="1"/>
  <c r="N606" i="40" a="1"/>
  <c r="N606" i="40" s="1"/>
  <c r="N609" i="40" a="1"/>
  <c r="N609" i="40" s="1"/>
  <c r="N600" i="40" a="1"/>
  <c r="N600" i="40" s="1"/>
  <c r="N597" i="40" a="1"/>
  <c r="N597" i="40" s="1"/>
  <c r="N591" i="40" a="1"/>
  <c r="N591" i="40" s="1"/>
  <c r="N594" i="40" a="1"/>
  <c r="N594" i="40" s="1"/>
  <c r="N603" i="40" a="1"/>
  <c r="N603" i="40" s="1"/>
  <c r="N618" i="40" a="1"/>
  <c r="N618" i="40" s="1"/>
  <c r="N615" i="40" a="1"/>
  <c r="N615" i="40" s="1"/>
  <c r="N612" i="40" a="1"/>
  <c r="N612" i="40" s="1"/>
  <c r="M406" i="40" a="1"/>
  <c r="M406" i="40" s="1"/>
  <c r="S406" i="40" s="1"/>
  <c r="M402" i="40" a="1"/>
  <c r="M402" i="40" s="1"/>
  <c r="S402" i="40" s="1"/>
  <c r="M410" i="40" a="1"/>
  <c r="M410" i="40" s="1"/>
  <c r="S410" i="40" s="1"/>
  <c r="M422" i="40" a="1"/>
  <c r="M422" i="40" s="1"/>
  <c r="S422" i="40" s="1"/>
  <c r="M386" i="40" a="1"/>
  <c r="M386" i="40" s="1"/>
  <c r="S386" i="40" s="1"/>
  <c r="M398" i="40" a="1"/>
  <c r="M398" i="40" s="1"/>
  <c r="S398" i="40" s="1"/>
  <c r="M390" i="40" a="1"/>
  <c r="M390" i="40" s="1"/>
  <c r="S390" i="40" s="1"/>
  <c r="M418" i="40" a="1"/>
  <c r="M418" i="40" s="1"/>
  <c r="S418" i="40" s="1"/>
  <c r="M394" i="40" a="1"/>
  <c r="M394" i="40" s="1"/>
  <c r="S394" i="40" s="1"/>
  <c r="M414" i="40" a="1"/>
  <c r="M414" i="40" s="1"/>
  <c r="S414" i="40" s="1"/>
  <c r="M586" i="40" a="1"/>
  <c r="M586" i="40" s="1"/>
  <c r="S586" i="40" s="1"/>
  <c r="M584" i="40" a="1"/>
  <c r="M584" i="40" s="1"/>
  <c r="S584" i="40" s="1"/>
  <c r="M585" i="40" a="1"/>
  <c r="M585" i="40" s="1"/>
  <c r="S585" i="40" s="1"/>
  <c r="M578" i="40" a="1"/>
  <c r="M578" i="40" s="1"/>
  <c r="S578" i="40" s="1"/>
  <c r="M587" i="40" a="1"/>
  <c r="M587" i="40" s="1"/>
  <c r="S587" i="40" s="1"/>
  <c r="M581" i="40" a="1"/>
  <c r="M581" i="40" s="1"/>
  <c r="S581" i="40" s="1"/>
  <c r="M583" i="40" a="1"/>
  <c r="M583" i="40" s="1"/>
  <c r="S583" i="40" s="1"/>
  <c r="M579" i="40" a="1"/>
  <c r="M579" i="40" s="1"/>
  <c r="S579" i="40" s="1"/>
  <c r="M582" i="40" a="1"/>
  <c r="M582" i="40" s="1"/>
  <c r="S582" i="40" s="1"/>
  <c r="M580" i="40" a="1"/>
  <c r="M580" i="40" s="1"/>
  <c r="S580" i="40" s="1"/>
  <c r="F33" i="33"/>
  <c r="M395" i="40" a="1"/>
  <c r="M395" i="40" s="1"/>
  <c r="S395" i="40" s="1"/>
  <c r="M419" i="40" a="1"/>
  <c r="M419" i="40" s="1"/>
  <c r="S419" i="40" s="1"/>
  <c r="M383" i="40" a="1"/>
  <c r="M383" i="40" s="1"/>
  <c r="S383" i="40" s="1"/>
  <c r="M415" i="40" a="1"/>
  <c r="M415" i="40" s="1"/>
  <c r="S415" i="40" s="1"/>
  <c r="M403" i="40" a="1"/>
  <c r="M403" i="40" s="1"/>
  <c r="S403" i="40" s="1"/>
  <c r="M407" i="40" a="1"/>
  <c r="M407" i="40" s="1"/>
  <c r="S407" i="40" s="1"/>
  <c r="M399" i="40" a="1"/>
  <c r="M399" i="40" s="1"/>
  <c r="S399" i="40" s="1"/>
  <c r="M387" i="40" a="1"/>
  <c r="M387" i="40" s="1"/>
  <c r="S387" i="40" s="1"/>
  <c r="M411" i="40" a="1"/>
  <c r="M411" i="40" s="1"/>
  <c r="S411" i="40" s="1"/>
  <c r="M391" i="40" a="1"/>
  <c r="M391" i="40" s="1"/>
  <c r="S391" i="40" s="1"/>
  <c r="F23" i="33"/>
  <c r="C75" i="52" s="1"/>
  <c r="M594" i="40" a="1"/>
  <c r="M594" i="40" s="1"/>
  <c r="S594" i="40" s="1"/>
  <c r="M591" i="40" a="1"/>
  <c r="M591" i="40" s="1"/>
  <c r="S591" i="40" s="1"/>
  <c r="M609" i="40" a="1"/>
  <c r="M609" i="40" s="1"/>
  <c r="S609" i="40" s="1"/>
  <c r="M615" i="40" a="1"/>
  <c r="M615" i="40" s="1"/>
  <c r="S615" i="40" s="1"/>
  <c r="M612" i="40" a="1"/>
  <c r="M612" i="40" s="1"/>
  <c r="S612" i="40" s="1"/>
  <c r="M600" i="40" a="1"/>
  <c r="M600" i="40" s="1"/>
  <c r="S600" i="40" s="1"/>
  <c r="M603" i="40" a="1"/>
  <c r="M603" i="40" s="1"/>
  <c r="S603" i="40" s="1"/>
  <c r="M597" i="40" a="1"/>
  <c r="M597" i="40" s="1"/>
  <c r="S597" i="40" s="1"/>
  <c r="M618" i="40" a="1"/>
  <c r="M618" i="40" s="1"/>
  <c r="S618" i="40" s="1"/>
  <c r="M606" i="40" a="1"/>
  <c r="M606" i="40" s="1"/>
  <c r="S606" i="40" s="1"/>
  <c r="N414" i="40" a="1"/>
  <c r="N414" i="40" s="1"/>
  <c r="N410" i="40" a="1"/>
  <c r="N410" i="40" s="1"/>
  <c r="N402" i="40" a="1"/>
  <c r="N402" i="40" s="1"/>
  <c r="N406" i="40" a="1"/>
  <c r="N406" i="40" s="1"/>
  <c r="N398" i="40" a="1"/>
  <c r="N398" i="40" s="1"/>
  <c r="N394" i="40" a="1"/>
  <c r="N394" i="40" s="1"/>
  <c r="N418" i="40" a="1"/>
  <c r="N418" i="40" s="1"/>
  <c r="N390" i="40" a="1"/>
  <c r="N390" i="40" s="1"/>
  <c r="N422" i="40" a="1"/>
  <c r="N422" i="40" s="1"/>
  <c r="N386" i="40" a="1"/>
  <c r="N386" i="40" s="1"/>
  <c r="G34" i="33"/>
  <c r="H11" i="44" s="1"/>
  <c r="Q34" i="40" a="1"/>
  <c r="Q34" i="40" s="1"/>
  <c r="U34" i="40" s="1"/>
  <c r="Q37" i="40" a="1"/>
  <c r="Q37" i="40" s="1"/>
  <c r="U37" i="40" s="1"/>
  <c r="Q30" i="40" a="1"/>
  <c r="Q30" i="40" s="1"/>
  <c r="U30" i="40" s="1"/>
  <c r="Q36" i="40" a="1"/>
  <c r="Q36" i="40" s="1"/>
  <c r="U36" i="40" s="1"/>
  <c r="Q31" i="40" a="1"/>
  <c r="Q31" i="40" s="1"/>
  <c r="U31" i="40" s="1"/>
  <c r="Q28" i="40" a="1"/>
  <c r="Q28" i="40" s="1"/>
  <c r="U28" i="40" s="1"/>
  <c r="Q33" i="40" a="1"/>
  <c r="Q33" i="40" s="1"/>
  <c r="U33" i="40" s="1"/>
  <c r="Q35" i="40" a="1"/>
  <c r="Q35" i="40" s="1"/>
  <c r="U35" i="40" s="1"/>
  <c r="Q29" i="40" a="1"/>
  <c r="Q29" i="40" s="1"/>
  <c r="U29" i="40" s="1"/>
  <c r="Q32" i="40" a="1"/>
  <c r="Q32" i="40" s="1"/>
  <c r="U32" i="40" s="1"/>
  <c r="R322" i="40" a="1"/>
  <c r="R322" i="40" s="1"/>
  <c r="V322" i="40" s="1"/>
  <c r="R314" i="40" a="1"/>
  <c r="R314" i="40" s="1"/>
  <c r="V314" i="40" s="1"/>
  <c r="R318" i="40" a="1"/>
  <c r="R318" i="40" s="1"/>
  <c r="V318" i="40" s="1"/>
  <c r="R319" i="40" a="1"/>
  <c r="R319" i="40" s="1"/>
  <c r="V319" i="40" s="1"/>
  <c r="R320" i="40" a="1"/>
  <c r="R320" i="40" s="1"/>
  <c r="V320" i="40" s="1"/>
  <c r="R321" i="40" a="1"/>
  <c r="R321" i="40" s="1"/>
  <c r="V321" i="40" s="1"/>
  <c r="R317" i="40" a="1"/>
  <c r="R317" i="40" s="1"/>
  <c r="V317" i="40" s="1"/>
  <c r="R315" i="40" a="1"/>
  <c r="R315" i="40" s="1"/>
  <c r="V315" i="40" s="1"/>
  <c r="R316" i="40" a="1"/>
  <c r="R316" i="40" s="1"/>
  <c r="V316" i="40" s="1"/>
  <c r="R323" i="40" a="1"/>
  <c r="R323" i="40" s="1"/>
  <c r="V323" i="40" s="1"/>
  <c r="N579" i="40" a="1"/>
  <c r="N579" i="40" s="1"/>
  <c r="N587" i="40" a="1"/>
  <c r="N587" i="40" s="1"/>
  <c r="N582" i="40" a="1"/>
  <c r="N582" i="40" s="1"/>
  <c r="N586" i="40" a="1"/>
  <c r="N586" i="40" s="1"/>
  <c r="N583" i="40" a="1"/>
  <c r="N583" i="40" s="1"/>
  <c r="N581" i="40" a="1"/>
  <c r="N581" i="40" s="1"/>
  <c r="N584" i="40" a="1"/>
  <c r="N584" i="40" s="1"/>
  <c r="N585" i="40" a="1"/>
  <c r="N585" i="40" s="1"/>
  <c r="N578" i="40" a="1"/>
  <c r="N578" i="40" s="1"/>
  <c r="N580" i="40" a="1"/>
  <c r="N580" i="40" s="1"/>
  <c r="G33" i="33"/>
  <c r="H10" i="44" s="1"/>
  <c r="R123" i="43" a="1"/>
  <c r="R123" i="43" s="1"/>
  <c r="W123" i="43" s="1"/>
  <c r="Z123" i="43" s="1"/>
  <c r="N48" i="8" s="1"/>
  <c r="M344" i="40" a="1"/>
  <c r="M344" i="40" s="1"/>
  <c r="S344" i="40" s="1"/>
  <c r="M348" i="40" a="1"/>
  <c r="M348" i="40" s="1"/>
  <c r="S348" i="40" s="1"/>
  <c r="M372" i="40" a="1"/>
  <c r="M372" i="40" s="1"/>
  <c r="S372" i="40" s="1"/>
  <c r="M376" i="40" a="1"/>
  <c r="M376" i="40" s="1"/>
  <c r="S376" i="40" s="1"/>
  <c r="M360" i="40" a="1"/>
  <c r="M360" i="40" s="1"/>
  <c r="S360" i="40" s="1"/>
  <c r="M340" i="40" a="1"/>
  <c r="M340" i="40" s="1"/>
  <c r="S340" i="40" s="1"/>
  <c r="M364" i="40" a="1"/>
  <c r="M364" i="40" s="1"/>
  <c r="S364" i="40" s="1"/>
  <c r="M356" i="40" a="1"/>
  <c r="M356" i="40" s="1"/>
  <c r="S356" i="40" s="1"/>
  <c r="M368" i="40" a="1"/>
  <c r="M368" i="40" s="1"/>
  <c r="S368" i="40" s="1"/>
  <c r="M352" i="40" a="1"/>
  <c r="M352" i="40" s="1"/>
  <c r="S352" i="40" s="1"/>
  <c r="M505" i="40" a="1"/>
  <c r="M505" i="40" s="1"/>
  <c r="S505" i="40" s="1"/>
  <c r="M515" i="40" a="1"/>
  <c r="M515" i="40" s="1"/>
  <c r="S515" i="40" s="1"/>
  <c r="M513" i="40" a="1"/>
  <c r="M513" i="40" s="1"/>
  <c r="S513" i="40" s="1"/>
  <c r="F30" i="33"/>
  <c r="C81" i="52" s="1"/>
  <c r="M517" i="40" a="1"/>
  <c r="M517" i="40" s="1"/>
  <c r="S517" i="40" s="1"/>
  <c r="M521" i="40" a="1"/>
  <c r="M521" i="40" s="1"/>
  <c r="S521" i="40" s="1"/>
  <c r="M503" i="40" a="1"/>
  <c r="M503" i="40" s="1"/>
  <c r="S503" i="40" s="1"/>
  <c r="M507" i="40" a="1"/>
  <c r="M507" i="40" s="1"/>
  <c r="S507" i="40" s="1"/>
  <c r="M511" i="40" a="1"/>
  <c r="M511" i="40" s="1"/>
  <c r="S511" i="40" s="1"/>
  <c r="M519" i="40" a="1"/>
  <c r="M519" i="40" s="1"/>
  <c r="S519" i="40" s="1"/>
  <c r="M509" i="40" a="1"/>
  <c r="M509" i="40" s="1"/>
  <c r="S509" i="40" s="1"/>
  <c r="N352" i="40" a="1"/>
  <c r="N352" i="40" s="1"/>
  <c r="N344" i="40" a="1"/>
  <c r="N344" i="40" s="1"/>
  <c r="N340" i="40" a="1"/>
  <c r="N340" i="40" s="1"/>
  <c r="N356" i="40" a="1"/>
  <c r="N356" i="40" s="1"/>
  <c r="N372" i="40" a="1"/>
  <c r="N372" i="40" s="1"/>
  <c r="N364" i="40" a="1"/>
  <c r="N364" i="40" s="1"/>
  <c r="N376" i="40" a="1"/>
  <c r="N376" i="40" s="1"/>
  <c r="N368" i="40" a="1"/>
  <c r="N368" i="40" s="1"/>
  <c r="N360" i="40" a="1"/>
  <c r="N360" i="40" s="1"/>
  <c r="N348" i="40" a="1"/>
  <c r="N348" i="40" s="1"/>
  <c r="N503" i="40" a="1"/>
  <c r="N503" i="40" s="1"/>
  <c r="N513" i="40" a="1"/>
  <c r="N513" i="40" s="1"/>
  <c r="N517" i="40" a="1"/>
  <c r="N517" i="40" s="1"/>
  <c r="N505" i="40" a="1"/>
  <c r="N505" i="40" s="1"/>
  <c r="G30" i="33"/>
  <c r="N511" i="40" a="1"/>
  <c r="N511" i="40" s="1"/>
  <c r="N521" i="40" a="1"/>
  <c r="N521" i="40" s="1"/>
  <c r="N519" i="40" a="1"/>
  <c r="N519" i="40" s="1"/>
  <c r="N507" i="40" a="1"/>
  <c r="N507" i="40" s="1"/>
  <c r="N509" i="40" a="1"/>
  <c r="N509" i="40" s="1"/>
  <c r="N515" i="40" a="1"/>
  <c r="N515" i="40" s="1"/>
  <c r="Q10" i="8"/>
  <c r="AA10" i="8" s="1"/>
  <c r="Q601" i="40" a="1"/>
  <c r="Q601" i="40" s="1"/>
  <c r="U601" i="40" s="1"/>
  <c r="Q604" i="40" a="1"/>
  <c r="Q604" i="40" s="1"/>
  <c r="U604" i="40" s="1"/>
  <c r="Q592" i="40" a="1"/>
  <c r="Q592" i="40" s="1"/>
  <c r="U592" i="40" s="1"/>
  <c r="Q595" i="40" a="1"/>
  <c r="Q595" i="40" s="1"/>
  <c r="U595" i="40" s="1"/>
  <c r="Q607" i="40" a="1"/>
  <c r="Q607" i="40" s="1"/>
  <c r="U607" i="40" s="1"/>
  <c r="Q610" i="40" a="1"/>
  <c r="Q610" i="40" s="1"/>
  <c r="U610" i="40" s="1"/>
  <c r="Q616" i="40" a="1"/>
  <c r="Q616" i="40" s="1"/>
  <c r="U616" i="40" s="1"/>
  <c r="Q613" i="40" a="1"/>
  <c r="Q613" i="40" s="1"/>
  <c r="U613" i="40" s="1"/>
  <c r="Q598" i="40" a="1"/>
  <c r="Q598" i="40" s="1"/>
  <c r="U598" i="40" s="1"/>
  <c r="Q619" i="40" a="1"/>
  <c r="Q619" i="40" s="1"/>
  <c r="U619" i="40" s="1"/>
  <c r="M538" i="40" a="1"/>
  <c r="M538" i="40" s="1"/>
  <c r="M532" i="40" a="1"/>
  <c r="M532" i="40" s="1"/>
  <c r="M547" i="40" a="1"/>
  <c r="M547" i="40" s="1"/>
  <c r="M550" i="40" a="1"/>
  <c r="M550" i="40" s="1"/>
  <c r="S550" i="40" s="1"/>
  <c r="M529" i="40" a="1"/>
  <c r="M529" i="40" s="1"/>
  <c r="S529" i="40" s="1"/>
  <c r="M526" i="40" a="1"/>
  <c r="M526" i="40" s="1"/>
  <c r="S526" i="40" s="1"/>
  <c r="M541" i="40" a="1"/>
  <c r="M541" i="40" s="1"/>
  <c r="S541" i="40" s="1"/>
  <c r="M544" i="40" a="1"/>
  <c r="M544" i="40" s="1"/>
  <c r="M535" i="40" a="1"/>
  <c r="M535" i="40" s="1"/>
  <c r="S535" i="40" s="1"/>
  <c r="M553" i="40" a="1"/>
  <c r="M553" i="40" s="1"/>
  <c r="S553" i="40" s="1"/>
  <c r="Q321" i="40" a="1"/>
  <c r="Q321" i="40" s="1"/>
  <c r="U321" i="40" s="1"/>
  <c r="Q320" i="40" a="1"/>
  <c r="Q320" i="40" s="1"/>
  <c r="U320" i="40" s="1"/>
  <c r="Q317" i="40" a="1"/>
  <c r="Q317" i="40" s="1"/>
  <c r="U317" i="40" s="1"/>
  <c r="Q322" i="40" a="1"/>
  <c r="Q322" i="40" s="1"/>
  <c r="U322" i="40" s="1"/>
  <c r="Q323" i="40" a="1"/>
  <c r="Q323" i="40" s="1"/>
  <c r="U323" i="40" s="1"/>
  <c r="Q318" i="40" a="1"/>
  <c r="Q318" i="40" s="1"/>
  <c r="U318" i="40" s="1"/>
  <c r="Q314" i="40" a="1"/>
  <c r="Q314" i="40" s="1"/>
  <c r="U314" i="40" s="1"/>
  <c r="Q315" i="40" a="1"/>
  <c r="Q315" i="40" s="1"/>
  <c r="U315" i="40" s="1"/>
  <c r="Q319" i="40" a="1"/>
  <c r="Q319" i="40" s="1"/>
  <c r="U319" i="40" s="1"/>
  <c r="Q316" i="40" a="1"/>
  <c r="Q316" i="40" s="1"/>
  <c r="U316" i="40" s="1"/>
  <c r="N493" i="40" a="1"/>
  <c r="N493" i="40" s="1"/>
  <c r="N487" i="40" a="1"/>
  <c r="N487" i="40" s="1"/>
  <c r="N483" i="40" a="1"/>
  <c r="N483" i="40" s="1"/>
  <c r="N499" i="40" a="1"/>
  <c r="N499" i="40" s="1"/>
  <c r="N481" i="40" a="1"/>
  <c r="N481" i="40" s="1"/>
  <c r="N497" i="40" a="1"/>
  <c r="N497" i="40" s="1"/>
  <c r="G29" i="33"/>
  <c r="N485" i="40" a="1"/>
  <c r="N485" i="40" s="1"/>
  <c r="N491" i="40" a="1"/>
  <c r="N491" i="40" s="1"/>
  <c r="N495" i="40" a="1"/>
  <c r="N495" i="40" s="1"/>
  <c r="N489" i="40" a="1"/>
  <c r="N489" i="40" s="1"/>
  <c r="M339" i="40" a="1"/>
  <c r="M339" i="40" s="1"/>
  <c r="S339" i="40" s="1"/>
  <c r="M351" i="40" a="1"/>
  <c r="M351" i="40" s="1"/>
  <c r="S351" i="40" s="1"/>
  <c r="M371" i="40" a="1"/>
  <c r="M371" i="40" s="1"/>
  <c r="S371" i="40" s="1"/>
  <c r="M355" i="40" a="1"/>
  <c r="M355" i="40" s="1"/>
  <c r="S355" i="40" s="1"/>
  <c r="M367" i="40" a="1"/>
  <c r="M367" i="40" s="1"/>
  <c r="S367" i="40" s="1"/>
  <c r="M363" i="40" a="1"/>
  <c r="M363" i="40" s="1"/>
  <c r="S363" i="40" s="1"/>
  <c r="M375" i="40" a="1"/>
  <c r="M375" i="40" s="1"/>
  <c r="S375" i="40" s="1"/>
  <c r="M343" i="40" a="1"/>
  <c r="M343" i="40" s="1"/>
  <c r="S343" i="40" s="1"/>
  <c r="M359" i="40" a="1"/>
  <c r="M359" i="40" s="1"/>
  <c r="S359" i="40" s="1"/>
  <c r="F22" i="33"/>
  <c r="C78" i="52" s="1"/>
  <c r="M347" i="40" a="1"/>
  <c r="M347" i="40" s="1"/>
  <c r="S347" i="40" s="1"/>
  <c r="B13" i="34"/>
  <c r="D13" i="34" s="1"/>
  <c r="W63" i="8" s="1"/>
  <c r="S63" i="8" s="1"/>
  <c r="F7" i="33"/>
  <c r="C98" i="52" s="1"/>
  <c r="N538" i="40" a="1"/>
  <c r="N538" i="40" s="1"/>
  <c r="N547" i="40" a="1"/>
  <c r="N547" i="40" s="1"/>
  <c r="N550" i="40" a="1"/>
  <c r="N550" i="40" s="1"/>
  <c r="N535" i="40" a="1"/>
  <c r="N535" i="40" s="1"/>
  <c r="N544" i="40" a="1"/>
  <c r="N544" i="40" s="1"/>
  <c r="N541" i="40" a="1"/>
  <c r="N541" i="40" s="1"/>
  <c r="N529" i="40" a="1"/>
  <c r="N529" i="40" s="1"/>
  <c r="N526" i="40" a="1"/>
  <c r="N526" i="40" s="1"/>
  <c r="N532" i="40" a="1"/>
  <c r="N532" i="40" s="1"/>
  <c r="N553" i="40" a="1"/>
  <c r="N553" i="40" s="1"/>
  <c r="M417" i="40" a="1"/>
  <c r="M417" i="40" s="1"/>
  <c r="S417" i="40" s="1"/>
  <c r="M421" i="40" a="1"/>
  <c r="M421" i="40" s="1"/>
  <c r="S421" i="40" s="1"/>
  <c r="M389" i="40" a="1"/>
  <c r="M389" i="40" s="1"/>
  <c r="S389" i="40" s="1"/>
  <c r="M409" i="40" a="1"/>
  <c r="M409" i="40" s="1"/>
  <c r="S409" i="40" s="1"/>
  <c r="M393" i="40" a="1"/>
  <c r="M393" i="40" s="1"/>
  <c r="S393" i="40" s="1"/>
  <c r="M385" i="40" a="1"/>
  <c r="M385" i="40" s="1"/>
  <c r="S385" i="40" s="1"/>
  <c r="M401" i="40" a="1"/>
  <c r="M401" i="40" s="1"/>
  <c r="S401" i="40" s="1"/>
  <c r="M413" i="40" a="1"/>
  <c r="M413" i="40" s="1"/>
  <c r="S413" i="40" s="1"/>
  <c r="M397" i="40" a="1"/>
  <c r="M397" i="40" s="1"/>
  <c r="S397" i="40" s="1"/>
  <c r="M405" i="40" a="1"/>
  <c r="M405" i="40" s="1"/>
  <c r="S405" i="40" s="1"/>
  <c r="M22" i="44" l="1"/>
  <c r="M21" i="44"/>
  <c r="H21" i="44"/>
  <c r="H9" i="31"/>
  <c r="J7" i="31"/>
  <c r="I11" i="31"/>
  <c r="G21" i="44"/>
  <c r="I9" i="31"/>
  <c r="K15" i="33"/>
  <c r="I8" i="31" s="1"/>
  <c r="AB63" i="8"/>
  <c r="P10" i="31"/>
  <c r="P13" i="31" s="1"/>
  <c r="Z48" i="8"/>
  <c r="I19" i="42"/>
  <c r="T646" i="40"/>
  <c r="F284" i="42"/>
  <c r="S489" i="40"/>
  <c r="I22" i="42"/>
  <c r="T649" i="40"/>
  <c r="I392" i="42"/>
  <c r="T1351" i="40"/>
  <c r="I26" i="42"/>
  <c r="T653" i="40"/>
  <c r="I23" i="42"/>
  <c r="T650" i="40"/>
  <c r="F319" i="42"/>
  <c r="S547" i="40"/>
  <c r="F289" i="42"/>
  <c r="S499" i="40"/>
  <c r="I21" i="42"/>
  <c r="T648" i="40"/>
  <c r="I393" i="42"/>
  <c r="T1352" i="40"/>
  <c r="F686" i="42"/>
  <c r="S532" i="40"/>
  <c r="I20" i="42"/>
  <c r="T647" i="40"/>
  <c r="I391" i="42"/>
  <c r="T1350" i="40"/>
  <c r="S538" i="40"/>
  <c r="S121" i="40"/>
  <c r="F281" i="42"/>
  <c r="S483" i="40"/>
  <c r="I18" i="42"/>
  <c r="T645" i="40"/>
  <c r="I398" i="42"/>
  <c r="T1357" i="40"/>
  <c r="I389" i="42"/>
  <c r="T1348" i="40"/>
  <c r="F318" i="42"/>
  <c r="S544" i="40"/>
  <c r="I397" i="42"/>
  <c r="T1356" i="40"/>
  <c r="I390" i="42"/>
  <c r="T1349" i="40"/>
  <c r="F287" i="42"/>
  <c r="S495" i="40"/>
  <c r="I25" i="42"/>
  <c r="T652" i="40"/>
  <c r="I17" i="42"/>
  <c r="T644" i="40"/>
  <c r="I396" i="42"/>
  <c r="T1355" i="40"/>
  <c r="I388" i="42"/>
  <c r="T1347" i="40"/>
  <c r="F283" i="42"/>
  <c r="S487" i="40"/>
  <c r="I24" i="42"/>
  <c r="T651" i="40"/>
  <c r="I395" i="42"/>
  <c r="T1354" i="40"/>
  <c r="I394" i="42"/>
  <c r="T1353" i="40"/>
  <c r="F685" i="42"/>
  <c r="F658" i="42"/>
  <c r="F321" i="42"/>
  <c r="F280" i="42"/>
  <c r="F315" i="42"/>
  <c r="F660" i="42"/>
  <c r="F317" i="42"/>
  <c r="F654" i="42"/>
  <c r="F47" i="42"/>
  <c r="F312" i="42"/>
  <c r="F657" i="42"/>
  <c r="F692" i="42"/>
  <c r="F231" i="42"/>
  <c r="F603" i="42"/>
  <c r="F334" i="42"/>
  <c r="F706" i="42"/>
  <c r="F600" i="42"/>
  <c r="F228" i="42"/>
  <c r="F602" i="42"/>
  <c r="F230" i="42"/>
  <c r="F722" i="42"/>
  <c r="F350" i="42"/>
  <c r="F345" i="42"/>
  <c r="F717" i="42"/>
  <c r="F241" i="42"/>
  <c r="F613" i="42"/>
  <c r="F335" i="42"/>
  <c r="F707" i="42"/>
  <c r="F416" i="42"/>
  <c r="F44" i="42"/>
  <c r="F300" i="42"/>
  <c r="F672" i="42"/>
  <c r="F419" i="42"/>
  <c r="F313" i="42"/>
  <c r="F652" i="42"/>
  <c r="F661" i="42"/>
  <c r="F689" i="42"/>
  <c r="F684" i="42"/>
  <c r="F282" i="42"/>
  <c r="F316" i="42"/>
  <c r="F320" i="42"/>
  <c r="F292" i="42"/>
  <c r="F664" i="42"/>
  <c r="F225" i="42"/>
  <c r="F597" i="42"/>
  <c r="F598" i="42"/>
  <c r="F226" i="42"/>
  <c r="F726" i="42"/>
  <c r="F354" i="42"/>
  <c r="F718" i="42"/>
  <c r="F346" i="42"/>
  <c r="F616" i="42"/>
  <c r="F244" i="42"/>
  <c r="F339" i="42"/>
  <c r="F711" i="42"/>
  <c r="F43" i="42"/>
  <c r="F298" i="42"/>
  <c r="F670" i="42"/>
  <c r="F48" i="42"/>
  <c r="F420" i="42"/>
  <c r="F39" i="42"/>
  <c r="F46" i="42"/>
  <c r="F418" i="42"/>
  <c r="F288" i="42"/>
  <c r="F688" i="42"/>
  <c r="F80" i="52" s="1"/>
  <c r="F234" i="42"/>
  <c r="F606" i="42"/>
  <c r="F347" i="42"/>
  <c r="F719" i="42"/>
  <c r="F608" i="42"/>
  <c r="F236" i="42"/>
  <c r="F337" i="42"/>
  <c r="F709" i="42"/>
  <c r="F414" i="42"/>
  <c r="F42" i="42"/>
  <c r="F687" i="42"/>
  <c r="F653" i="42"/>
  <c r="F285" i="42"/>
  <c r="F349" i="42"/>
  <c r="F721" i="42"/>
  <c r="F83" i="52" s="1"/>
  <c r="F610" i="42"/>
  <c r="F238" i="42"/>
  <c r="F245" i="42"/>
  <c r="F617" i="42"/>
  <c r="F343" i="42"/>
  <c r="F715" i="42"/>
  <c r="F293" i="42"/>
  <c r="F665" i="42"/>
  <c r="F41" i="42"/>
  <c r="F413" i="42"/>
  <c r="F656" i="42"/>
  <c r="F82" i="52" s="1"/>
  <c r="F239" i="42"/>
  <c r="F611" i="42"/>
  <c r="F415" i="42"/>
  <c r="F98" i="52" s="1"/>
  <c r="F286" i="42"/>
  <c r="F693" i="42"/>
  <c r="F659" i="42"/>
  <c r="F690" i="42"/>
  <c r="F655" i="42"/>
  <c r="F720" i="42"/>
  <c r="F348" i="42"/>
  <c r="F295" i="42"/>
  <c r="F667" i="42"/>
  <c r="F81" i="52" s="1"/>
  <c r="F601" i="42"/>
  <c r="F78" i="52" s="1"/>
  <c r="F229" i="42"/>
  <c r="F724" i="42"/>
  <c r="F352" i="42"/>
  <c r="F609" i="42"/>
  <c r="F237" i="42"/>
  <c r="F713" i="42"/>
  <c r="F341" i="42"/>
  <c r="F691" i="42"/>
  <c r="F232" i="42"/>
  <c r="F604" i="42"/>
  <c r="F40" i="42"/>
  <c r="F412" i="42"/>
  <c r="F599" i="42"/>
  <c r="F227" i="42"/>
  <c r="F233" i="42"/>
  <c r="F605" i="42"/>
  <c r="F353" i="42"/>
  <c r="F725" i="42"/>
  <c r="F612" i="42"/>
  <c r="F75" i="52" s="1"/>
  <c r="F240" i="42"/>
  <c r="F336" i="42"/>
  <c r="F708" i="42"/>
  <c r="F712" i="42"/>
  <c r="F340" i="42"/>
  <c r="F296" i="42"/>
  <c r="F668" i="42"/>
  <c r="F666" i="42"/>
  <c r="F294" i="42"/>
  <c r="F291" i="42"/>
  <c r="F663" i="42"/>
  <c r="F314" i="42"/>
  <c r="F615" i="42"/>
  <c r="F243" i="42"/>
  <c r="F351" i="42"/>
  <c r="F723" i="42"/>
  <c r="F614" i="42"/>
  <c r="F242" i="42"/>
  <c r="F710" i="42"/>
  <c r="F79" i="52" s="1"/>
  <c r="F338" i="42"/>
  <c r="F342" i="42"/>
  <c r="F714" i="42"/>
  <c r="F417" i="42"/>
  <c r="F45" i="42"/>
  <c r="F299" i="42"/>
  <c r="F671" i="42"/>
  <c r="F297" i="42"/>
  <c r="F669" i="42"/>
  <c r="F411" i="42"/>
  <c r="J13" i="33"/>
  <c r="S10" i="31"/>
  <c r="U10" i="31" s="1"/>
  <c r="U13" i="31" s="1"/>
  <c r="D11" i="52" s="1"/>
  <c r="R13" i="31"/>
  <c r="N13" i="31"/>
  <c r="G10" i="44"/>
  <c r="K10" i="44" s="1"/>
  <c r="C79" i="52"/>
  <c r="G11" i="44"/>
  <c r="K11" i="44" s="1"/>
  <c r="C83" i="52"/>
  <c r="D106" i="52"/>
  <c r="G29" i="44"/>
  <c r="K29" i="44" s="1"/>
  <c r="O29" i="44" s="1"/>
  <c r="D99" i="52"/>
  <c r="G27" i="44"/>
  <c r="K27" i="44" s="1"/>
  <c r="O27" i="44" s="1"/>
  <c r="D105" i="52"/>
  <c r="G28" i="44"/>
  <c r="K28" i="44" s="1"/>
  <c r="O28" i="44" s="1"/>
  <c r="D102" i="52"/>
  <c r="G25" i="44"/>
  <c r="D101" i="52"/>
  <c r="G26" i="44"/>
  <c r="D92" i="52"/>
  <c r="F65" i="41"/>
  <c r="I23" i="44"/>
  <c r="D97" i="52"/>
  <c r="B8" i="34"/>
  <c r="K606" i="42"/>
  <c r="K233" i="42"/>
  <c r="K603" i="42"/>
  <c r="K226" i="42"/>
  <c r="K315" i="42"/>
  <c r="K227" i="42"/>
  <c r="K321" i="42"/>
  <c r="K230" i="42"/>
  <c r="K229" i="42"/>
  <c r="L22" i="44" s="1"/>
  <c r="K599" i="42"/>
  <c r="K228" i="42"/>
  <c r="K601" i="42"/>
  <c r="K232" i="42"/>
  <c r="K600" i="42"/>
  <c r="K231" i="42"/>
  <c r="K605" i="42"/>
  <c r="K602" i="42"/>
  <c r="K316" i="42"/>
  <c r="K317" i="42"/>
  <c r="K314" i="42"/>
  <c r="K688" i="42"/>
  <c r="K598" i="42"/>
  <c r="K604" i="42"/>
  <c r="K319" i="42"/>
  <c r="K693" i="42"/>
  <c r="K320" i="42"/>
  <c r="K225" i="42"/>
  <c r="K234" i="42"/>
  <c r="K689" i="42"/>
  <c r="K686" i="42"/>
  <c r="K691" i="42"/>
  <c r="K313" i="42"/>
  <c r="K692" i="42"/>
  <c r="K597" i="42"/>
  <c r="K685" i="42"/>
  <c r="K687" i="42"/>
  <c r="K684" i="42"/>
  <c r="K312" i="42"/>
  <c r="K318" i="42"/>
  <c r="K690" i="42"/>
  <c r="K722" i="42"/>
  <c r="H7" i="44"/>
  <c r="G7" i="44"/>
  <c r="K7" i="44" s="1"/>
  <c r="N7" i="44" s="1"/>
  <c r="K351" i="42"/>
  <c r="G319" i="42"/>
  <c r="D35" i="41" s="1"/>
  <c r="G320" i="42"/>
  <c r="D36" i="41" s="1"/>
  <c r="D6" i="34"/>
  <c r="K354" i="42"/>
  <c r="H664" i="42"/>
  <c r="G285" i="42"/>
  <c r="H300" i="42"/>
  <c r="G684" i="42"/>
  <c r="D94" i="41" s="1"/>
  <c r="G283" i="42"/>
  <c r="H45" i="42"/>
  <c r="E67" i="41" s="1"/>
  <c r="G687" i="42"/>
  <c r="D97" i="41" s="1"/>
  <c r="K346" i="42"/>
  <c r="E78" i="41"/>
  <c r="K299" i="42"/>
  <c r="G287" i="42"/>
  <c r="K347" i="42"/>
  <c r="G318" i="42"/>
  <c r="D34" i="41" s="1"/>
  <c r="K349" i="42"/>
  <c r="G8" i="44"/>
  <c r="K8" i="44" s="1"/>
  <c r="G9" i="44"/>
  <c r="H9" i="44"/>
  <c r="H8" i="44"/>
  <c r="H419" i="42"/>
  <c r="E135" i="41" s="1"/>
  <c r="K670" i="42"/>
  <c r="G686" i="42"/>
  <c r="D96" i="41" s="1"/>
  <c r="H294" i="42"/>
  <c r="H39" i="42"/>
  <c r="E61" i="41" s="1"/>
  <c r="K272" i="42"/>
  <c r="H295" i="42"/>
  <c r="H24" i="44" s="1"/>
  <c r="K291" i="42"/>
  <c r="H40" i="42"/>
  <c r="E62" i="41" s="1"/>
  <c r="H299" i="42"/>
  <c r="E12" i="41"/>
  <c r="K295" i="42"/>
  <c r="L24" i="44" s="1"/>
  <c r="G654" i="42"/>
  <c r="H416" i="42"/>
  <c r="E132" i="41" s="1"/>
  <c r="H291" i="42"/>
  <c r="K644" i="42"/>
  <c r="H670" i="42"/>
  <c r="G661" i="42"/>
  <c r="G281" i="42"/>
  <c r="H43" i="42"/>
  <c r="K294" i="42"/>
  <c r="K297" i="42"/>
  <c r="H46" i="42"/>
  <c r="E68" i="41" s="1"/>
  <c r="G321" i="42"/>
  <c r="D37" i="41" s="1"/>
  <c r="H293" i="42"/>
  <c r="K352" i="42"/>
  <c r="K653" i="42"/>
  <c r="G685" i="42"/>
  <c r="D95" i="41" s="1"/>
  <c r="G656" i="42"/>
  <c r="L273" i="42"/>
  <c r="I32" i="41" s="1"/>
  <c r="G280" i="42"/>
  <c r="G317" i="42"/>
  <c r="D33" i="41" s="1"/>
  <c r="K348" i="42"/>
  <c r="G288" i="42"/>
  <c r="H42" i="42"/>
  <c r="E64" i="41" s="1"/>
  <c r="H669" i="42"/>
  <c r="K293" i="42"/>
  <c r="L645" i="42"/>
  <c r="I98" i="41" s="1"/>
  <c r="G286" i="42"/>
  <c r="H48" i="42"/>
  <c r="E70" i="41" s="1"/>
  <c r="K345" i="42"/>
  <c r="K725" i="42"/>
  <c r="K672" i="42"/>
  <c r="K292" i="42"/>
  <c r="H41" i="42"/>
  <c r="E63" i="41" s="1"/>
  <c r="H296" i="42"/>
  <c r="G688" i="42"/>
  <c r="D98" i="41" s="1"/>
  <c r="K281" i="42"/>
  <c r="O1260" i="40" a="1"/>
  <c r="O1260" i="40" s="1"/>
  <c r="T1260" i="40" s="1"/>
  <c r="O1262" i="40" a="1"/>
  <c r="O1262" i="40" s="1"/>
  <c r="T1262" i="40" s="1"/>
  <c r="O1264" i="40" a="1"/>
  <c r="O1264" i="40" s="1"/>
  <c r="T1264" i="40" s="1"/>
  <c r="O1266" i="40" a="1"/>
  <c r="O1266" i="40" s="1"/>
  <c r="T1266" i="40" s="1"/>
  <c r="O1270" i="40" a="1"/>
  <c r="O1270" i="40" s="1"/>
  <c r="T1270" i="40" s="1"/>
  <c r="O1268" i="40" a="1"/>
  <c r="O1268" i="40" s="1"/>
  <c r="T1268" i="40" s="1"/>
  <c r="O1272" i="40" a="1"/>
  <c r="O1272" i="40" s="1"/>
  <c r="T1272" i="40" s="1"/>
  <c r="O1274" i="40" a="1"/>
  <c r="O1274" i="40" s="1"/>
  <c r="T1274" i="40" s="1"/>
  <c r="O1276" i="40" a="1"/>
  <c r="O1276" i="40" s="1"/>
  <c r="T1276" i="40" s="1"/>
  <c r="O1278" i="40" a="1"/>
  <c r="O1278" i="40" s="1"/>
  <c r="T1278" i="40" s="1"/>
  <c r="O1280" i="40" a="1"/>
  <c r="O1280" i="40" s="1"/>
  <c r="T1280" i="40" s="1"/>
  <c r="M1347" i="40" a="1"/>
  <c r="M1347" i="40" s="1"/>
  <c r="M1349" i="40" a="1"/>
  <c r="M1349" i="40" s="1"/>
  <c r="M1348" i="40" a="1"/>
  <c r="M1348" i="40" s="1"/>
  <c r="M1350" i="40" a="1"/>
  <c r="M1350" i="40" s="1"/>
  <c r="M1352" i="40" a="1"/>
  <c r="M1352" i="40" s="1"/>
  <c r="M1351" i="40" a="1"/>
  <c r="M1351" i="40" s="1"/>
  <c r="M1353" i="40" a="1"/>
  <c r="M1353" i="40" s="1"/>
  <c r="M1354" i="40" a="1"/>
  <c r="M1354" i="40" s="1"/>
  <c r="M1355" i="40" a="1"/>
  <c r="M1355" i="40" s="1"/>
  <c r="M1356" i="40" a="1"/>
  <c r="M1356" i="40" s="1"/>
  <c r="M1357" i="40" a="1"/>
  <c r="M1357" i="40" s="1"/>
  <c r="N1347" i="40" a="1"/>
  <c r="N1347" i="40" s="1"/>
  <c r="N1348" i="40" a="1"/>
  <c r="N1348" i="40" s="1"/>
  <c r="H389" i="42" s="1"/>
  <c r="E116" i="41" s="1"/>
  <c r="N1349" i="40" a="1"/>
  <c r="N1349" i="40" s="1"/>
  <c r="H390" i="42" s="1"/>
  <c r="E117" i="41" s="1"/>
  <c r="N1350" i="40" a="1"/>
  <c r="N1350" i="40" s="1"/>
  <c r="N1351" i="40" a="1"/>
  <c r="N1351" i="40" s="1"/>
  <c r="N1352" i="40" a="1"/>
  <c r="N1352" i="40" s="1"/>
  <c r="N1353" i="40" a="1"/>
  <c r="N1353" i="40" s="1"/>
  <c r="N1354" i="40" a="1"/>
  <c r="N1354" i="40" s="1"/>
  <c r="N1355" i="40" a="1"/>
  <c r="N1355" i="40" s="1"/>
  <c r="N1356" i="40" a="1"/>
  <c r="N1356" i="40" s="1"/>
  <c r="H397" i="42" s="1"/>
  <c r="E124" i="41" s="1"/>
  <c r="N1357" i="40" a="1"/>
  <c r="N1357" i="40" s="1"/>
  <c r="Q1347" i="40" a="1"/>
  <c r="Q1347" i="40" s="1"/>
  <c r="Q1348" i="40" a="1"/>
  <c r="Q1348" i="40" s="1"/>
  <c r="Q1349" i="40" a="1"/>
  <c r="Q1349" i="40" s="1"/>
  <c r="Q1350" i="40" a="1"/>
  <c r="Q1350" i="40" s="1"/>
  <c r="Q1351" i="40" a="1"/>
  <c r="Q1351" i="40" s="1"/>
  <c r="Q1352" i="40" a="1"/>
  <c r="Q1352" i="40" s="1"/>
  <c r="Q1353" i="40" a="1"/>
  <c r="Q1353" i="40" s="1"/>
  <c r="Q1354" i="40" a="1"/>
  <c r="Q1354" i="40" s="1"/>
  <c r="Q1355" i="40" a="1"/>
  <c r="Q1355" i="40" s="1"/>
  <c r="Q1356" i="40" a="1"/>
  <c r="Q1356" i="40" s="1"/>
  <c r="Q1357" i="40" a="1"/>
  <c r="Q1357" i="40" s="1"/>
  <c r="R951" i="40" a="1"/>
  <c r="R951" i="40" s="1"/>
  <c r="V951" i="40" s="1"/>
  <c r="R952" i="40" a="1"/>
  <c r="R952" i="40" s="1"/>
  <c r="V952" i="40" s="1"/>
  <c r="R953" i="40" a="1"/>
  <c r="R953" i="40" s="1"/>
  <c r="V953" i="40" s="1"/>
  <c r="R954" i="40" a="1"/>
  <c r="R954" i="40" s="1"/>
  <c r="V954" i="40" s="1"/>
  <c r="R955" i="40" a="1"/>
  <c r="R955" i="40" s="1"/>
  <c r="V955" i="40" s="1"/>
  <c r="R956" i="40" a="1"/>
  <c r="R956" i="40" s="1"/>
  <c r="V956" i="40" s="1"/>
  <c r="R957" i="40" a="1"/>
  <c r="R957" i="40" s="1"/>
  <c r="V957" i="40" s="1"/>
  <c r="R958" i="40" a="1"/>
  <c r="R958" i="40" s="1"/>
  <c r="V958" i="40" s="1"/>
  <c r="R959" i="40" a="1"/>
  <c r="R959" i="40" s="1"/>
  <c r="V959" i="40" s="1"/>
  <c r="R961" i="40" a="1"/>
  <c r="R961" i="40" s="1"/>
  <c r="V961" i="40" s="1"/>
  <c r="R960" i="40" a="1"/>
  <c r="R960" i="40" s="1"/>
  <c r="V960" i="40" s="1"/>
  <c r="C9" i="31"/>
  <c r="G9" i="31" s="1"/>
  <c r="E14" i="41"/>
  <c r="I81" i="41"/>
  <c r="E72" i="41"/>
  <c r="D79" i="41"/>
  <c r="E79" i="41"/>
  <c r="F47" i="41"/>
  <c r="I123" i="41"/>
  <c r="D75" i="41"/>
  <c r="D80" i="41"/>
  <c r="I15" i="41"/>
  <c r="E73" i="41"/>
  <c r="H81" i="41"/>
  <c r="H6" i="41"/>
  <c r="E7" i="41"/>
  <c r="D78" i="41"/>
  <c r="H15" i="41"/>
  <c r="F113" i="41"/>
  <c r="D12" i="41"/>
  <c r="I57" i="41"/>
  <c r="F40" i="41"/>
  <c r="F41" i="41"/>
  <c r="F84" i="41"/>
  <c r="F39" i="41"/>
  <c r="I50" i="41"/>
  <c r="E13" i="41"/>
  <c r="I12" i="41"/>
  <c r="F20" i="41"/>
  <c r="I13" i="41"/>
  <c r="F46" i="41"/>
  <c r="I116" i="41"/>
  <c r="H75" i="41"/>
  <c r="D13" i="41"/>
  <c r="E6" i="41"/>
  <c r="F108" i="41"/>
  <c r="H685" i="42"/>
  <c r="E95" i="41" s="1"/>
  <c r="F106" i="41"/>
  <c r="F89" i="41"/>
  <c r="F86" i="41"/>
  <c r="I121" i="41"/>
  <c r="F112" i="41"/>
  <c r="F44" i="41"/>
  <c r="F26" i="41"/>
  <c r="F18" i="41"/>
  <c r="H10" i="41"/>
  <c r="I52" i="41"/>
  <c r="H9" i="41"/>
  <c r="F23" i="41"/>
  <c r="D14" i="41"/>
  <c r="F21" i="41"/>
  <c r="I55" i="41"/>
  <c r="F90" i="41"/>
  <c r="F19" i="41"/>
  <c r="F43" i="41"/>
  <c r="F17" i="41"/>
  <c r="F48" i="41"/>
  <c r="F83" i="41"/>
  <c r="F114" i="41"/>
  <c r="F24" i="41"/>
  <c r="F105" i="41"/>
  <c r="K665" i="42"/>
  <c r="F91" i="41"/>
  <c r="I59" i="41"/>
  <c r="G691" i="42"/>
  <c r="D101" i="41" s="1"/>
  <c r="F110" i="41"/>
  <c r="G312" i="42"/>
  <c r="D28" i="41" s="1"/>
  <c r="F92" i="41"/>
  <c r="H297" i="42"/>
  <c r="I11" i="41"/>
  <c r="I51" i="41"/>
  <c r="I73" i="41"/>
  <c r="I58" i="41"/>
  <c r="G652" i="42"/>
  <c r="I56" i="41"/>
  <c r="E76" i="41"/>
  <c r="F109" i="41"/>
  <c r="K718" i="42"/>
  <c r="F88" i="41"/>
  <c r="F107" i="41"/>
  <c r="H11" i="41"/>
  <c r="I120" i="41"/>
  <c r="I10" i="41"/>
  <c r="H44" i="42"/>
  <c r="E66" i="41" s="1"/>
  <c r="H414" i="42"/>
  <c r="E130" i="41" s="1"/>
  <c r="H671" i="42"/>
  <c r="I54" i="41"/>
  <c r="K671" i="42"/>
  <c r="D76" i="41"/>
  <c r="F85" i="41"/>
  <c r="K350" i="42"/>
  <c r="E77" i="41"/>
  <c r="F87" i="41"/>
  <c r="G657" i="42"/>
  <c r="I79" i="41"/>
  <c r="G659" i="42"/>
  <c r="F25" i="41"/>
  <c r="K723" i="42"/>
  <c r="F42" i="41"/>
  <c r="H411" i="42"/>
  <c r="E127" i="41" s="1"/>
  <c r="I53" i="41"/>
  <c r="F22" i="41"/>
  <c r="H74" i="41"/>
  <c r="H341" i="42"/>
  <c r="H713" i="42"/>
  <c r="G346" i="42"/>
  <c r="G718" i="42"/>
  <c r="H720" i="42"/>
  <c r="H348" i="42"/>
  <c r="L276" i="42"/>
  <c r="I35" i="41" s="1"/>
  <c r="L648" i="42"/>
  <c r="I101" i="41" s="1"/>
  <c r="K353" i="42"/>
  <c r="G229" i="42"/>
  <c r="D78" i="52" s="1"/>
  <c r="G601" i="42"/>
  <c r="G605" i="42"/>
  <c r="G233" i="42"/>
  <c r="G600" i="42"/>
  <c r="G228" i="42"/>
  <c r="G230" i="42"/>
  <c r="G602" i="42"/>
  <c r="K185" i="42"/>
  <c r="K557" i="42"/>
  <c r="G598" i="42"/>
  <c r="G226" i="42"/>
  <c r="H343" i="42"/>
  <c r="H715" i="42"/>
  <c r="K499" i="42"/>
  <c r="K127" i="42"/>
  <c r="G614" i="42"/>
  <c r="G242" i="42"/>
  <c r="G338" i="42"/>
  <c r="D79" i="52" s="1"/>
  <c r="G710" i="42"/>
  <c r="H616" i="42"/>
  <c r="H244" i="42"/>
  <c r="K239" i="42"/>
  <c r="K611" i="42"/>
  <c r="L352" i="42"/>
  <c r="L724" i="42"/>
  <c r="L617" i="42"/>
  <c r="L245" i="42"/>
  <c r="L650" i="42"/>
  <c r="I103" i="41" s="1"/>
  <c r="L278" i="42"/>
  <c r="I37" i="41" s="1"/>
  <c r="H559" i="42"/>
  <c r="H187" i="42"/>
  <c r="G40" i="42"/>
  <c r="G412" i="42"/>
  <c r="G295" i="42"/>
  <c r="D81" i="52" s="1"/>
  <c r="G667" i="42"/>
  <c r="H286" i="42"/>
  <c r="H658" i="42"/>
  <c r="G606" i="42"/>
  <c r="G234" i="42"/>
  <c r="K189" i="42"/>
  <c r="K561" i="42"/>
  <c r="H334" i="42"/>
  <c r="H706" i="42"/>
  <c r="H335" i="42"/>
  <c r="H707" i="42"/>
  <c r="L185" i="42"/>
  <c r="L557" i="42"/>
  <c r="K130" i="42"/>
  <c r="K502" i="42"/>
  <c r="G350" i="42"/>
  <c r="G722" i="42"/>
  <c r="G345" i="42"/>
  <c r="G717" i="42"/>
  <c r="G613" i="42"/>
  <c r="G241" i="42"/>
  <c r="G335" i="42"/>
  <c r="G707" i="42"/>
  <c r="H719" i="42"/>
  <c r="H347" i="42"/>
  <c r="H614" i="42"/>
  <c r="H242" i="42"/>
  <c r="H613" i="42"/>
  <c r="H241" i="42"/>
  <c r="K244" i="42"/>
  <c r="K616" i="42"/>
  <c r="L349" i="42"/>
  <c r="L721" i="42"/>
  <c r="L609" i="42"/>
  <c r="L237" i="42"/>
  <c r="H598" i="42"/>
  <c r="H226" i="42"/>
  <c r="L641" i="42"/>
  <c r="I94" i="41" s="1"/>
  <c r="L269" i="42"/>
  <c r="I28" i="41" s="1"/>
  <c r="H183" i="42"/>
  <c r="H555" i="42"/>
  <c r="L282" i="42"/>
  <c r="I41" i="41" s="1"/>
  <c r="L654" i="42"/>
  <c r="I107" i="41" s="1"/>
  <c r="L660" i="42"/>
  <c r="I113" i="41" s="1"/>
  <c r="L288" i="42"/>
  <c r="I47" i="41" s="1"/>
  <c r="H317" i="42"/>
  <c r="E33" i="41" s="1"/>
  <c r="H689" i="42"/>
  <c r="E99" i="41" s="1"/>
  <c r="H190" i="42"/>
  <c r="H562" i="42"/>
  <c r="K280" i="42"/>
  <c r="K652" i="42"/>
  <c r="K298" i="42"/>
  <c r="I77" i="41"/>
  <c r="K300" i="42"/>
  <c r="H47" i="42"/>
  <c r="E69" i="41" s="1"/>
  <c r="H663" i="42"/>
  <c r="I76" i="41"/>
  <c r="I117" i="41"/>
  <c r="I7" i="41"/>
  <c r="I125" i="41"/>
  <c r="E9" i="41"/>
  <c r="H672" i="42"/>
  <c r="G655" i="42"/>
  <c r="E11" i="41"/>
  <c r="D7" i="41"/>
  <c r="H77" i="41"/>
  <c r="I119" i="41"/>
  <c r="D72" i="41"/>
  <c r="E10" i="41"/>
  <c r="I72" i="41"/>
  <c r="G314" i="42"/>
  <c r="D30" i="41" s="1"/>
  <c r="G653" i="42"/>
  <c r="L562" i="42"/>
  <c r="L190" i="42"/>
  <c r="G339" i="42"/>
  <c r="G711" i="42"/>
  <c r="H597" i="42"/>
  <c r="H225" i="42"/>
  <c r="H184" i="42"/>
  <c r="H556" i="42"/>
  <c r="G294" i="42"/>
  <c r="G666" i="42"/>
  <c r="K277" i="42"/>
  <c r="K649" i="42"/>
  <c r="G313" i="42"/>
  <c r="E75" i="41"/>
  <c r="K666" i="42"/>
  <c r="G232" i="42"/>
  <c r="G604" i="42"/>
  <c r="K183" i="42"/>
  <c r="K555" i="42"/>
  <c r="K187" i="42"/>
  <c r="K559" i="42"/>
  <c r="H712" i="42"/>
  <c r="H340" i="42"/>
  <c r="L555" i="42"/>
  <c r="L183" i="42"/>
  <c r="L561" i="42"/>
  <c r="L189" i="42"/>
  <c r="K129" i="42"/>
  <c r="K501" i="42"/>
  <c r="G347" i="42"/>
  <c r="G719" i="42"/>
  <c r="G608" i="42"/>
  <c r="G236" i="42"/>
  <c r="G337" i="42"/>
  <c r="G709" i="42"/>
  <c r="H352" i="42"/>
  <c r="H724" i="42"/>
  <c r="H351" i="42"/>
  <c r="H723" i="42"/>
  <c r="H240" i="42"/>
  <c r="H612" i="42"/>
  <c r="K242" i="42"/>
  <c r="K614" i="42"/>
  <c r="L354" i="42"/>
  <c r="L726" i="42"/>
  <c r="L241" i="42"/>
  <c r="L613" i="42"/>
  <c r="L242" i="42"/>
  <c r="L614" i="42"/>
  <c r="H600" i="42"/>
  <c r="H228" i="42"/>
  <c r="L644" i="42"/>
  <c r="I97" i="41" s="1"/>
  <c r="L272" i="42"/>
  <c r="I31" i="41" s="1"/>
  <c r="K285" i="42"/>
  <c r="K657" i="42"/>
  <c r="G45" i="42"/>
  <c r="D67" i="41" s="1"/>
  <c r="G417" i="42"/>
  <c r="D133" i="41" s="1"/>
  <c r="L283" i="42"/>
  <c r="I42" i="41" s="1"/>
  <c r="L655" i="42"/>
  <c r="I108" i="41" s="1"/>
  <c r="G671" i="42"/>
  <c r="G299" i="42"/>
  <c r="G669" i="42"/>
  <c r="G297" i="42"/>
  <c r="K276" i="42"/>
  <c r="K648" i="42"/>
  <c r="H654" i="42"/>
  <c r="H282" i="42"/>
  <c r="H320" i="42"/>
  <c r="E36" i="41" s="1"/>
  <c r="H692" i="42"/>
  <c r="E102" i="41" s="1"/>
  <c r="K271" i="42"/>
  <c r="K643" i="42"/>
  <c r="H688" i="42"/>
  <c r="E98" i="41" s="1"/>
  <c r="H316" i="42"/>
  <c r="E32" i="41" s="1"/>
  <c r="L289" i="42"/>
  <c r="I48" i="41" s="1"/>
  <c r="L661" i="42"/>
  <c r="I114" i="41" s="1"/>
  <c r="I118" i="41"/>
  <c r="H298" i="42"/>
  <c r="H78" i="41"/>
  <c r="D81" i="41"/>
  <c r="E8" i="41"/>
  <c r="I78" i="41"/>
  <c r="K664" i="42"/>
  <c r="H420" i="42"/>
  <c r="E136" i="41" s="1"/>
  <c r="I74" i="41"/>
  <c r="K724" i="42"/>
  <c r="H292" i="42"/>
  <c r="F45" i="41"/>
  <c r="H8" i="41"/>
  <c r="L553" i="42"/>
  <c r="L181" i="42"/>
  <c r="K240" i="42"/>
  <c r="K612" i="42"/>
  <c r="K188" i="42"/>
  <c r="K560" i="42"/>
  <c r="H709" i="42"/>
  <c r="H337" i="42"/>
  <c r="L554" i="42"/>
  <c r="L182" i="42"/>
  <c r="K131" i="42"/>
  <c r="K503" i="42"/>
  <c r="K136" i="42"/>
  <c r="K508" i="42"/>
  <c r="G349" i="42"/>
  <c r="G721" i="42"/>
  <c r="G238" i="42"/>
  <c r="G610" i="42"/>
  <c r="G245" i="42"/>
  <c r="G617" i="42"/>
  <c r="G343" i="42"/>
  <c r="G715" i="42"/>
  <c r="H725" i="42"/>
  <c r="H353" i="42"/>
  <c r="H350" i="42"/>
  <c r="H722" i="42"/>
  <c r="H245" i="42"/>
  <c r="H617" i="42"/>
  <c r="K245" i="42"/>
  <c r="K617" i="42"/>
  <c r="L351" i="42"/>
  <c r="L723" i="42"/>
  <c r="L243" i="42"/>
  <c r="L615" i="42"/>
  <c r="L612" i="42"/>
  <c r="L240" i="42"/>
  <c r="H229" i="42"/>
  <c r="H22" i="44" s="1"/>
  <c r="H601" i="42"/>
  <c r="L275" i="42"/>
  <c r="I34" i="41" s="1"/>
  <c r="L647" i="42"/>
  <c r="I100" i="41" s="1"/>
  <c r="H182" i="42"/>
  <c r="H554" i="42"/>
  <c r="H189" i="42"/>
  <c r="H561" i="42"/>
  <c r="G416" i="42"/>
  <c r="D132" i="41" s="1"/>
  <c r="G44" i="42"/>
  <c r="D66" i="41" s="1"/>
  <c r="G672" i="42"/>
  <c r="G300" i="42"/>
  <c r="L652" i="42"/>
  <c r="I105" i="41" s="1"/>
  <c r="L280" i="42"/>
  <c r="I39" i="41" s="1"/>
  <c r="L287" i="42"/>
  <c r="I46" i="41" s="1"/>
  <c r="L659" i="42"/>
  <c r="I112" i="41" s="1"/>
  <c r="H661" i="42"/>
  <c r="H289" i="42"/>
  <c r="H318" i="42"/>
  <c r="E34" i="41" s="1"/>
  <c r="H690" i="42"/>
  <c r="E100" i="41" s="1"/>
  <c r="K278" i="42"/>
  <c r="K650" i="42"/>
  <c r="H656" i="42"/>
  <c r="H284" i="42"/>
  <c r="H285" i="42"/>
  <c r="H657" i="42"/>
  <c r="D9" i="41"/>
  <c r="H418" i="42"/>
  <c r="E134" i="41" s="1"/>
  <c r="D10" i="41"/>
  <c r="I75" i="41"/>
  <c r="H412" i="42"/>
  <c r="E128" i="41" s="1"/>
  <c r="H12" i="41"/>
  <c r="D15" i="41"/>
  <c r="E74" i="41"/>
  <c r="H415" i="42"/>
  <c r="E131" i="41" s="1"/>
  <c r="H73" i="41"/>
  <c r="I124" i="41"/>
  <c r="K717" i="42"/>
  <c r="I8" i="41"/>
  <c r="I122" i="41"/>
  <c r="H413" i="42"/>
  <c r="E129" i="41" s="1"/>
  <c r="F111" i="41"/>
  <c r="K721" i="42"/>
  <c r="G354" i="42"/>
  <c r="G726" i="42"/>
  <c r="H608" i="42"/>
  <c r="H236" i="42"/>
  <c r="G296" i="42"/>
  <c r="G668" i="42"/>
  <c r="K275" i="42"/>
  <c r="K647" i="42"/>
  <c r="K186" i="42"/>
  <c r="K558" i="42"/>
  <c r="K182" i="42"/>
  <c r="K554" i="42"/>
  <c r="H711" i="42"/>
  <c r="H339" i="42"/>
  <c r="L556" i="42"/>
  <c r="L184" i="42"/>
  <c r="K128" i="42"/>
  <c r="K500" i="42"/>
  <c r="K505" i="42"/>
  <c r="K133" i="42"/>
  <c r="G348" i="42"/>
  <c r="G720" i="42"/>
  <c r="G615" i="42"/>
  <c r="G243" i="42"/>
  <c r="G239" i="42"/>
  <c r="G611" i="42"/>
  <c r="G334" i="42"/>
  <c r="G706" i="42"/>
  <c r="H726" i="42"/>
  <c r="H354" i="42"/>
  <c r="H237" i="42"/>
  <c r="H609" i="42"/>
  <c r="K241" i="42"/>
  <c r="K613" i="42"/>
  <c r="K238" i="42"/>
  <c r="K610" i="42"/>
  <c r="L346" i="42"/>
  <c r="L718" i="42"/>
  <c r="L610" i="42"/>
  <c r="L238" i="42"/>
  <c r="H606" i="42"/>
  <c r="H234" i="42"/>
  <c r="L642" i="42"/>
  <c r="I95" i="41" s="1"/>
  <c r="L270" i="42"/>
  <c r="I29" i="41" s="1"/>
  <c r="H181" i="42"/>
  <c r="H553" i="42"/>
  <c r="H558" i="42"/>
  <c r="H186" i="42"/>
  <c r="G415" i="42"/>
  <c r="D131" i="41" s="1"/>
  <c r="G43" i="42"/>
  <c r="G298" i="42"/>
  <c r="G670" i="42"/>
  <c r="L658" i="42"/>
  <c r="I111" i="41" s="1"/>
  <c r="L286" i="42"/>
  <c r="I45" i="41" s="1"/>
  <c r="K288" i="42"/>
  <c r="K660" i="42"/>
  <c r="H280" i="42"/>
  <c r="H652" i="42"/>
  <c r="H653" i="42"/>
  <c r="H281" i="42"/>
  <c r="K274" i="42"/>
  <c r="K646" i="42"/>
  <c r="K273" i="42"/>
  <c r="K645" i="42"/>
  <c r="H667" i="42"/>
  <c r="I9" i="41"/>
  <c r="G289" i="42"/>
  <c r="E80" i="41"/>
  <c r="H666" i="42"/>
  <c r="G658" i="42"/>
  <c r="H7" i="41"/>
  <c r="D8" i="41"/>
  <c r="E81" i="41"/>
  <c r="H80" i="41"/>
  <c r="I14" i="41"/>
  <c r="G693" i="42"/>
  <c r="D103" i="41" s="1"/>
  <c r="H668" i="42"/>
  <c r="G282" i="42"/>
  <c r="H313" i="42"/>
  <c r="E29" i="41" s="1"/>
  <c r="K507" i="42"/>
  <c r="K135" i="42"/>
  <c r="K287" i="42"/>
  <c r="K659" i="42"/>
  <c r="H342" i="42"/>
  <c r="H714" i="42"/>
  <c r="L188" i="42"/>
  <c r="L560" i="42"/>
  <c r="K506" i="42"/>
  <c r="K134" i="42"/>
  <c r="G352" i="42"/>
  <c r="G724" i="42"/>
  <c r="G237" i="42"/>
  <c r="G609" i="42"/>
  <c r="G341" i="42"/>
  <c r="G713" i="42"/>
  <c r="H349" i="42"/>
  <c r="H721" i="42"/>
  <c r="H238" i="42"/>
  <c r="H610" i="42"/>
  <c r="K296" i="42"/>
  <c r="K668" i="42"/>
  <c r="K237" i="42"/>
  <c r="K609" i="42"/>
  <c r="K236" i="42"/>
  <c r="K608" i="42"/>
  <c r="L722" i="42"/>
  <c r="L350" i="42"/>
  <c r="L244" i="42"/>
  <c r="L616" i="42"/>
  <c r="H599" i="42"/>
  <c r="H227" i="42"/>
  <c r="H232" i="42"/>
  <c r="H604" i="42"/>
  <c r="L274" i="42"/>
  <c r="I33" i="41" s="1"/>
  <c r="L646" i="42"/>
  <c r="I99" i="41" s="1"/>
  <c r="H557" i="42"/>
  <c r="H185" i="42"/>
  <c r="G414" i="42"/>
  <c r="D130" i="41" s="1"/>
  <c r="G42" i="42"/>
  <c r="D64" i="41" s="1"/>
  <c r="L657" i="42"/>
  <c r="I110" i="41" s="1"/>
  <c r="L285" i="42"/>
  <c r="I44" i="41" s="1"/>
  <c r="L281" i="42"/>
  <c r="I40" i="41" s="1"/>
  <c r="L653" i="42"/>
  <c r="I106" i="41" s="1"/>
  <c r="K284" i="42"/>
  <c r="L23" i="44" s="1"/>
  <c r="K656" i="42"/>
  <c r="H288" i="42"/>
  <c r="H660" i="42"/>
  <c r="H686" i="42"/>
  <c r="E96" i="41" s="1"/>
  <c r="H314" i="42"/>
  <c r="E30" i="41" s="1"/>
  <c r="K269" i="42"/>
  <c r="K641" i="42"/>
  <c r="G48" i="42"/>
  <c r="D70" i="41" s="1"/>
  <c r="G420" i="42"/>
  <c r="D136" i="41" s="1"/>
  <c r="H72" i="41"/>
  <c r="G660" i="42"/>
  <c r="D74" i="41"/>
  <c r="E15" i="41"/>
  <c r="H14" i="41"/>
  <c r="D11" i="41"/>
  <c r="K667" i="42"/>
  <c r="I80" i="41"/>
  <c r="G692" i="42"/>
  <c r="D102" i="41" s="1"/>
  <c r="G231" i="42"/>
  <c r="G603" i="42"/>
  <c r="L345" i="42"/>
  <c r="L717" i="42"/>
  <c r="H655" i="42"/>
  <c r="H283" i="42"/>
  <c r="K283" i="42"/>
  <c r="K655" i="42"/>
  <c r="D6" i="41"/>
  <c r="G599" i="42"/>
  <c r="G227" i="42"/>
  <c r="L187" i="42"/>
  <c r="L559" i="42"/>
  <c r="K504" i="42"/>
  <c r="K132" i="42"/>
  <c r="G353" i="42"/>
  <c r="G725" i="42"/>
  <c r="G240" i="42"/>
  <c r="D75" i="52" s="1"/>
  <c r="G612" i="42"/>
  <c r="G336" i="42"/>
  <c r="G708" i="42"/>
  <c r="G340" i="42"/>
  <c r="G712" i="42"/>
  <c r="H718" i="42"/>
  <c r="H346" i="42"/>
  <c r="H239" i="42"/>
  <c r="H611" i="42"/>
  <c r="K243" i="42"/>
  <c r="K615" i="42"/>
  <c r="L347" i="42"/>
  <c r="L719" i="42"/>
  <c r="L353" i="42"/>
  <c r="L725" i="42"/>
  <c r="L236" i="42"/>
  <c r="L608" i="42"/>
  <c r="H230" i="42"/>
  <c r="H602" i="42"/>
  <c r="H605" i="42"/>
  <c r="H233" i="42"/>
  <c r="L649" i="42"/>
  <c r="I102" i="41" s="1"/>
  <c r="L277" i="42"/>
  <c r="I36" i="41" s="1"/>
  <c r="H560" i="42"/>
  <c r="H188" i="42"/>
  <c r="K282" i="42"/>
  <c r="K654" i="42"/>
  <c r="G47" i="42"/>
  <c r="D69" i="41" s="1"/>
  <c r="G419" i="42"/>
  <c r="D135" i="41" s="1"/>
  <c r="L284" i="42"/>
  <c r="I43" i="41" s="1"/>
  <c r="L656" i="42"/>
  <c r="I109" i="41" s="1"/>
  <c r="G293" i="42"/>
  <c r="G665" i="42"/>
  <c r="K658" i="42"/>
  <c r="K286" i="42"/>
  <c r="H693" i="42"/>
  <c r="E103" i="41" s="1"/>
  <c r="H321" i="42"/>
  <c r="E37" i="41" s="1"/>
  <c r="K270" i="42"/>
  <c r="K642" i="42"/>
  <c r="H687" i="42"/>
  <c r="E97" i="41" s="1"/>
  <c r="H315" i="42"/>
  <c r="E31" i="41" s="1"/>
  <c r="G39" i="42"/>
  <c r="D61" i="41" s="1"/>
  <c r="G411" i="42"/>
  <c r="D127" i="41" s="1"/>
  <c r="G46" i="42"/>
  <c r="D68" i="41" s="1"/>
  <c r="G418" i="42"/>
  <c r="D134" i="41" s="1"/>
  <c r="G690" i="42"/>
  <c r="D100" i="41" s="1"/>
  <c r="K719" i="42"/>
  <c r="G315" i="42"/>
  <c r="D31" i="41" s="1"/>
  <c r="G689" i="42"/>
  <c r="D99" i="41" s="1"/>
  <c r="K720" i="42"/>
  <c r="K663" i="42"/>
  <c r="K669" i="42"/>
  <c r="H79" i="41"/>
  <c r="H665" i="42"/>
  <c r="G284" i="42"/>
  <c r="D82" i="52" s="1"/>
  <c r="D77" i="41"/>
  <c r="H76" i="41"/>
  <c r="G316" i="42"/>
  <c r="D80" i="52" s="1"/>
  <c r="K726" i="42"/>
  <c r="H417" i="42"/>
  <c r="E133" i="41" s="1"/>
  <c r="K184" i="42"/>
  <c r="K556" i="42"/>
  <c r="G616" i="42"/>
  <c r="G244" i="42"/>
  <c r="L611" i="42"/>
  <c r="L239" i="42"/>
  <c r="L643" i="42"/>
  <c r="I96" i="41" s="1"/>
  <c r="L271" i="42"/>
  <c r="I30" i="41" s="1"/>
  <c r="G663" i="42"/>
  <c r="G291" i="42"/>
  <c r="H319" i="42"/>
  <c r="E35" i="41" s="1"/>
  <c r="H691" i="42"/>
  <c r="E101" i="41" s="1"/>
  <c r="K181" i="42"/>
  <c r="K553" i="42"/>
  <c r="G597" i="42"/>
  <c r="G225" i="42"/>
  <c r="H710" i="42"/>
  <c r="H338" i="42"/>
  <c r="K190" i="42"/>
  <c r="K562" i="42"/>
  <c r="H336" i="42"/>
  <c r="H708" i="42"/>
  <c r="L186" i="42"/>
  <c r="L558" i="42"/>
  <c r="G351" i="42"/>
  <c r="G723" i="42"/>
  <c r="G342" i="42"/>
  <c r="G714" i="42"/>
  <c r="H717" i="42"/>
  <c r="H345" i="42"/>
  <c r="H615" i="42"/>
  <c r="H243" i="42"/>
  <c r="L348" i="42"/>
  <c r="L720" i="42"/>
  <c r="H231" i="42"/>
  <c r="H603" i="42"/>
  <c r="G664" i="42"/>
  <c r="G292" i="42"/>
  <c r="G413" i="42"/>
  <c r="D129" i="41" s="1"/>
  <c r="G41" i="42"/>
  <c r="D63" i="41" s="1"/>
  <c r="H287" i="42"/>
  <c r="H659" i="42"/>
  <c r="H312" i="42"/>
  <c r="E28" i="41" s="1"/>
  <c r="H684" i="42"/>
  <c r="E94" i="41" s="1"/>
  <c r="K289" i="42"/>
  <c r="K661" i="42"/>
  <c r="H13" i="41"/>
  <c r="D73" i="41"/>
  <c r="I6" i="41"/>
  <c r="N644" i="40" a="1"/>
  <c r="N644" i="40" s="1"/>
  <c r="N646" i="40" a="1"/>
  <c r="N646" i="40" s="1"/>
  <c r="N645" i="40" a="1"/>
  <c r="N645" i="40" s="1"/>
  <c r="N647" i="40" a="1"/>
  <c r="N647" i="40" s="1"/>
  <c r="N648" i="40" a="1"/>
  <c r="N648" i="40" s="1"/>
  <c r="N649" i="40" a="1"/>
  <c r="N649" i="40" s="1"/>
  <c r="H22" i="42" s="1"/>
  <c r="E55" i="41" s="1"/>
  <c r="N650" i="40" a="1"/>
  <c r="N650" i="40" s="1"/>
  <c r="N651" i="40" a="1"/>
  <c r="N651" i="40" s="1"/>
  <c r="N652" i="40" a="1"/>
  <c r="N652" i="40" s="1"/>
  <c r="N653" i="40" a="1"/>
  <c r="N653" i="40" s="1"/>
  <c r="H26" i="42" s="1"/>
  <c r="E59" i="41" s="1"/>
  <c r="Q644" i="40" a="1"/>
  <c r="Q644" i="40" s="1"/>
  <c r="Q646" i="40" a="1"/>
  <c r="Q646" i="40" s="1"/>
  <c r="Q645" i="40" a="1"/>
  <c r="Q645" i="40" s="1"/>
  <c r="Q647" i="40" a="1"/>
  <c r="Q647" i="40" s="1"/>
  <c r="Q648" i="40" a="1"/>
  <c r="Q648" i="40" s="1"/>
  <c r="Q649" i="40" a="1"/>
  <c r="Q649" i="40" s="1"/>
  <c r="Q650" i="40" a="1"/>
  <c r="Q650" i="40" s="1"/>
  <c r="Q651" i="40" a="1"/>
  <c r="Q651" i="40" s="1"/>
  <c r="Q652" i="40" a="1"/>
  <c r="Q652" i="40" s="1"/>
  <c r="Q653" i="40" a="1"/>
  <c r="Q653" i="40" s="1"/>
  <c r="F13" i="33"/>
  <c r="C76" i="52" s="1"/>
  <c r="M644" i="40" a="1"/>
  <c r="M644" i="40" s="1"/>
  <c r="M646" i="40" a="1"/>
  <c r="M646" i="40" s="1"/>
  <c r="M645" i="40" a="1"/>
  <c r="M645" i="40" s="1"/>
  <c r="M647" i="40" a="1"/>
  <c r="M647" i="40" s="1"/>
  <c r="M648" i="40" a="1"/>
  <c r="M648" i="40" s="1"/>
  <c r="M649" i="40" a="1"/>
  <c r="M649" i="40" s="1"/>
  <c r="M650" i="40" a="1"/>
  <c r="M650" i="40" s="1"/>
  <c r="M651" i="40" a="1"/>
  <c r="M651" i="40" s="1"/>
  <c r="M652" i="40" a="1"/>
  <c r="M652" i="40" s="1"/>
  <c r="M653" i="40" a="1"/>
  <c r="M653" i="40" s="1"/>
  <c r="D12" i="31"/>
  <c r="G13" i="33"/>
  <c r="C8" i="31"/>
  <c r="G8" i="31" s="1"/>
  <c r="D8" i="31"/>
  <c r="R256" i="40" a="1"/>
  <c r="R256" i="40" s="1"/>
  <c r="V256" i="40" s="1"/>
  <c r="R249" i="40" a="1"/>
  <c r="R249" i="40" s="1"/>
  <c r="V249" i="40" s="1"/>
  <c r="R255" i="40" a="1"/>
  <c r="R255" i="40" s="1"/>
  <c r="V255" i="40" s="1"/>
  <c r="R257" i="40" a="1"/>
  <c r="R257" i="40" s="1"/>
  <c r="V257" i="40" s="1"/>
  <c r="R248" i="40" a="1"/>
  <c r="R248" i="40" s="1"/>
  <c r="V248" i="40" s="1"/>
  <c r="R252" i="40" a="1"/>
  <c r="R252" i="40" s="1"/>
  <c r="V252" i="40" s="1"/>
  <c r="R254" i="40" a="1"/>
  <c r="R254" i="40" s="1"/>
  <c r="V254" i="40" s="1"/>
  <c r="R253" i="40" a="1"/>
  <c r="R253" i="40" s="1"/>
  <c r="V253" i="40" s="1"/>
  <c r="R250" i="40" a="1"/>
  <c r="R250" i="40" s="1"/>
  <c r="V250" i="40" s="1"/>
  <c r="R251" i="40" a="1"/>
  <c r="R251" i="40" s="1"/>
  <c r="V251" i="40" s="1"/>
  <c r="O576" i="40" a="1"/>
  <c r="O576" i="40" s="1"/>
  <c r="T576" i="40" s="1"/>
  <c r="O572" i="40" a="1"/>
  <c r="O572" i="40" s="1"/>
  <c r="T572" i="40" s="1"/>
  <c r="O564" i="40" a="1"/>
  <c r="O564" i="40" s="1"/>
  <c r="T564" i="40" s="1"/>
  <c r="O562" i="40" a="1"/>
  <c r="O562" i="40" s="1"/>
  <c r="T562" i="40" s="1"/>
  <c r="O570" i="40" a="1"/>
  <c r="O570" i="40" s="1"/>
  <c r="T570" i="40" s="1"/>
  <c r="O568" i="40" a="1"/>
  <c r="O568" i="40" s="1"/>
  <c r="T568" i="40" s="1"/>
  <c r="O566" i="40" a="1"/>
  <c r="O566" i="40" s="1"/>
  <c r="T566" i="40" s="1"/>
  <c r="O558" i="40" a="1"/>
  <c r="O558" i="40" s="1"/>
  <c r="T558" i="40" s="1"/>
  <c r="O560" i="40" a="1"/>
  <c r="O560" i="40" s="1"/>
  <c r="T560" i="40" s="1"/>
  <c r="O574" i="40" a="1"/>
  <c r="O574" i="40" s="1"/>
  <c r="T574" i="40" s="1"/>
  <c r="H32" i="33"/>
  <c r="C77" i="52" s="1"/>
  <c r="C12" i="31"/>
  <c r="G12" i="31" s="1"/>
  <c r="D9" i="34"/>
  <c r="D10" i="34"/>
  <c r="G22" i="44" l="1"/>
  <c r="N22" i="44" s="1"/>
  <c r="M23" i="44"/>
  <c r="G24" i="44"/>
  <c r="M13" i="44"/>
  <c r="N13" i="44" s="1"/>
  <c r="J9" i="31"/>
  <c r="I13" i="31"/>
  <c r="I15" i="31" s="1"/>
  <c r="I14" i="31" s="1"/>
  <c r="Q10" i="31"/>
  <c r="Q13" i="31" s="1"/>
  <c r="G22" i="42"/>
  <c r="D55" i="41" s="1"/>
  <c r="S649" i="40"/>
  <c r="K391" i="42"/>
  <c r="U1350" i="40"/>
  <c r="G397" i="42"/>
  <c r="D124" i="41" s="1"/>
  <c r="S1356" i="40"/>
  <c r="G390" i="42"/>
  <c r="D117" i="41" s="1"/>
  <c r="S1349" i="40"/>
  <c r="K17" i="42"/>
  <c r="U644" i="40"/>
  <c r="K398" i="42"/>
  <c r="U1357" i="40"/>
  <c r="K390" i="42"/>
  <c r="U1349" i="40"/>
  <c r="G396" i="42"/>
  <c r="D123" i="41" s="1"/>
  <c r="S1355" i="40"/>
  <c r="G388" i="42"/>
  <c r="S1347" i="40"/>
  <c r="K20" i="42"/>
  <c r="U647" i="40"/>
  <c r="K24" i="42"/>
  <c r="U651" i="40"/>
  <c r="G20" i="42"/>
  <c r="D53" i="41" s="1"/>
  <c r="S647" i="40"/>
  <c r="K23" i="42"/>
  <c r="U650" i="40"/>
  <c r="K397" i="42"/>
  <c r="U1356" i="40"/>
  <c r="K389" i="42"/>
  <c r="U1348" i="40"/>
  <c r="G395" i="42"/>
  <c r="D122" i="41" s="1"/>
  <c r="S1354" i="40"/>
  <c r="K25" i="42"/>
  <c r="U652" i="40"/>
  <c r="F21" i="42"/>
  <c r="S648" i="40"/>
  <c r="G18" i="42"/>
  <c r="D51" i="41" s="1"/>
  <c r="S645" i="40"/>
  <c r="K22" i="42"/>
  <c r="U649" i="40"/>
  <c r="K396" i="42"/>
  <c r="U1355" i="40"/>
  <c r="K388" i="42"/>
  <c r="U1347" i="40"/>
  <c r="G394" i="42"/>
  <c r="D121" i="41" s="1"/>
  <c r="S1353" i="40"/>
  <c r="G19" i="42"/>
  <c r="D52" i="41" s="1"/>
  <c r="S646" i="40"/>
  <c r="K21" i="42"/>
  <c r="U648" i="40"/>
  <c r="K395" i="42"/>
  <c r="U1354" i="40"/>
  <c r="G392" i="42"/>
  <c r="D119" i="41" s="1"/>
  <c r="S1351" i="40"/>
  <c r="G17" i="42"/>
  <c r="D50" i="41" s="1"/>
  <c r="S644" i="40"/>
  <c r="K394" i="42"/>
  <c r="U1353" i="40"/>
  <c r="G393" i="42"/>
  <c r="D120" i="41" s="1"/>
  <c r="S1352" i="40"/>
  <c r="G26" i="42"/>
  <c r="D59" i="41" s="1"/>
  <c r="S653" i="40"/>
  <c r="G24" i="42"/>
  <c r="D57" i="41" s="1"/>
  <c r="S651" i="40"/>
  <c r="K18" i="42"/>
  <c r="U645" i="40"/>
  <c r="K393" i="42"/>
  <c r="U1352" i="40"/>
  <c r="G391" i="42"/>
  <c r="D118" i="41" s="1"/>
  <c r="S1350" i="40"/>
  <c r="G25" i="42"/>
  <c r="D58" i="41" s="1"/>
  <c r="S652" i="40"/>
  <c r="G23" i="42"/>
  <c r="D56" i="41" s="1"/>
  <c r="S650" i="40"/>
  <c r="K26" i="42"/>
  <c r="U653" i="40"/>
  <c r="K19" i="42"/>
  <c r="U646" i="40"/>
  <c r="K392" i="42"/>
  <c r="U1351" i="40"/>
  <c r="G398" i="42"/>
  <c r="D125" i="41" s="1"/>
  <c r="S1357" i="40"/>
  <c r="G389" i="42"/>
  <c r="D116" i="41" s="1"/>
  <c r="S1348" i="40"/>
  <c r="F22" i="42"/>
  <c r="F397" i="42"/>
  <c r="F391" i="42"/>
  <c r="F19" i="42"/>
  <c r="F393" i="42"/>
  <c r="F76" i="52" s="1"/>
  <c r="F20" i="42"/>
  <c r="F25" i="42"/>
  <c r="F23" i="42"/>
  <c r="F394" i="42"/>
  <c r="F388" i="42"/>
  <c r="F24" i="42"/>
  <c r="F396" i="42"/>
  <c r="F392" i="42"/>
  <c r="F18" i="42"/>
  <c r="F390" i="42"/>
  <c r="F17" i="42"/>
  <c r="F395" i="42"/>
  <c r="F26" i="42"/>
  <c r="F389" i="42"/>
  <c r="F398" i="42"/>
  <c r="S13" i="31"/>
  <c r="G21" i="42"/>
  <c r="D76" i="52" s="1"/>
  <c r="N29" i="44"/>
  <c r="K26" i="44"/>
  <c r="O26" i="44" s="1"/>
  <c r="D83" i="52"/>
  <c r="E65" i="41"/>
  <c r="H23" i="44"/>
  <c r="D65" i="41"/>
  <c r="D98" i="52"/>
  <c r="G23" i="44"/>
  <c r="K23" i="44" s="1"/>
  <c r="O23" i="44" s="1"/>
  <c r="E10" i="31"/>
  <c r="I9" i="44"/>
  <c r="K9" i="44" s="1"/>
  <c r="N9" i="44" s="1"/>
  <c r="D10" i="31"/>
  <c r="H6" i="44"/>
  <c r="H16" i="44" s="1"/>
  <c r="C10" i="31"/>
  <c r="K6" i="44"/>
  <c r="K21" i="44"/>
  <c r="O21" i="44" s="1"/>
  <c r="H31" i="41"/>
  <c r="H29" i="41"/>
  <c r="H37" i="41"/>
  <c r="H36" i="41"/>
  <c r="H94" i="41"/>
  <c r="H103" i="41"/>
  <c r="H35" i="41"/>
  <c r="H101" i="41"/>
  <c r="H98" i="41"/>
  <c r="H32" i="41"/>
  <c r="H33" i="41"/>
  <c r="H102" i="41"/>
  <c r="H96" i="41"/>
  <c r="H30" i="41"/>
  <c r="H99" i="41"/>
  <c r="H100" i="41"/>
  <c r="H95" i="41"/>
  <c r="H34" i="41"/>
  <c r="H97" i="41"/>
  <c r="H28" i="41"/>
  <c r="H47" i="41"/>
  <c r="H106" i="41"/>
  <c r="H112" i="41"/>
  <c r="H42" i="41"/>
  <c r="H40" i="41"/>
  <c r="H39" i="41"/>
  <c r="H43" i="41"/>
  <c r="H45" i="41"/>
  <c r="H395" i="42"/>
  <c r="E122" i="41" s="1"/>
  <c r="H41" i="41"/>
  <c r="H114" i="41"/>
  <c r="H398" i="42"/>
  <c r="E125" i="41" s="1"/>
  <c r="H396" i="42"/>
  <c r="E123" i="41" s="1"/>
  <c r="H391" i="42"/>
  <c r="E118" i="41" s="1"/>
  <c r="H392" i="42"/>
  <c r="E119" i="41" s="1"/>
  <c r="H394" i="42"/>
  <c r="E121" i="41" s="1"/>
  <c r="H393" i="42"/>
  <c r="E120" i="41" s="1"/>
  <c r="H113" i="41"/>
  <c r="D128" i="41"/>
  <c r="D29" i="41"/>
  <c r="D62" i="41"/>
  <c r="E111" i="41"/>
  <c r="D83" i="41"/>
  <c r="H20" i="41"/>
  <c r="H105" i="41"/>
  <c r="E106" i="41"/>
  <c r="H46" i="41"/>
  <c r="H48" i="41"/>
  <c r="H21" i="41"/>
  <c r="I18" i="41"/>
  <c r="D88" i="41"/>
  <c r="E48" i="41"/>
  <c r="D22" i="41"/>
  <c r="E86" i="41"/>
  <c r="H44" i="41"/>
  <c r="H17" i="41"/>
  <c r="E39" i="41"/>
  <c r="D19" i="41"/>
  <c r="I23" i="41"/>
  <c r="D21" i="41"/>
  <c r="I85" i="41"/>
  <c r="I21" i="41"/>
  <c r="H107" i="41"/>
  <c r="E45" i="41"/>
  <c r="I25" i="41"/>
  <c r="D17" i="41"/>
  <c r="I92" i="41"/>
  <c r="E85" i="41"/>
  <c r="E22" i="41"/>
  <c r="I19" i="41"/>
  <c r="H18" i="41"/>
  <c r="I24" i="41"/>
  <c r="I26" i="41"/>
  <c r="E92" i="41"/>
  <c r="D111" i="41"/>
  <c r="E41" i="41"/>
  <c r="H19" i="41"/>
  <c r="E113" i="41"/>
  <c r="I22" i="41"/>
  <c r="H83" i="41"/>
  <c r="D84" i="41"/>
  <c r="H111" i="41"/>
  <c r="I88" i="41"/>
  <c r="H86" i="41"/>
  <c r="E114" i="41"/>
  <c r="E19" i="41"/>
  <c r="E47" i="41"/>
  <c r="E89" i="41"/>
  <c r="H88" i="41"/>
  <c r="I91" i="41"/>
  <c r="D20" i="41"/>
  <c r="H91" i="41"/>
  <c r="D105" i="41"/>
  <c r="I83" i="41"/>
  <c r="D87" i="41"/>
  <c r="E109" i="41"/>
  <c r="E108" i="41"/>
  <c r="D18" i="41"/>
  <c r="H25" i="41"/>
  <c r="H109" i="41"/>
  <c r="D25" i="41"/>
  <c r="H110" i="41"/>
  <c r="I89" i="41"/>
  <c r="I90" i="41"/>
  <c r="E20" i="41"/>
  <c r="E88" i="41"/>
  <c r="I87" i="41"/>
  <c r="H92" i="41"/>
  <c r="E110" i="41"/>
  <c r="D85" i="41"/>
  <c r="D45" i="41"/>
  <c r="H89" i="41"/>
  <c r="H26" i="41"/>
  <c r="E44" i="41"/>
  <c r="H108" i="41"/>
  <c r="E107" i="41"/>
  <c r="E40" i="41"/>
  <c r="E21" i="41"/>
  <c r="H22" i="41"/>
  <c r="H23" i="41"/>
  <c r="D89" i="41"/>
  <c r="E87" i="41"/>
  <c r="D24" i="41"/>
  <c r="E42" i="41"/>
  <c r="D86" i="41"/>
  <c r="H85" i="41"/>
  <c r="D23" i="41"/>
  <c r="E18" i="41"/>
  <c r="D90" i="41"/>
  <c r="H90" i="41"/>
  <c r="I84" i="41"/>
  <c r="E23" i="41"/>
  <c r="E25" i="41"/>
  <c r="D42" i="41"/>
  <c r="D91" i="41"/>
  <c r="E83" i="41"/>
  <c r="E43" i="41"/>
  <c r="H24" i="41"/>
  <c r="E112" i="41"/>
  <c r="E17" i="41"/>
  <c r="E91" i="41"/>
  <c r="D92" i="41"/>
  <c r="E24" i="41"/>
  <c r="D41" i="41"/>
  <c r="E46" i="41"/>
  <c r="H84" i="41"/>
  <c r="E26" i="41"/>
  <c r="D26" i="41"/>
  <c r="E90" i="41"/>
  <c r="I17" i="41"/>
  <c r="E84" i="41"/>
  <c r="H87" i="41"/>
  <c r="E105" i="41"/>
  <c r="I695" i="42"/>
  <c r="F116" i="41" s="1"/>
  <c r="I323" i="42"/>
  <c r="F50" i="41" s="1"/>
  <c r="L193" i="42"/>
  <c r="I62" i="41" s="1"/>
  <c r="L565" i="42"/>
  <c r="I128" i="41" s="1"/>
  <c r="I699" i="42"/>
  <c r="I327" i="42"/>
  <c r="D77" i="52" s="1"/>
  <c r="L194" i="42"/>
  <c r="I63" i="41" s="1"/>
  <c r="L566" i="42"/>
  <c r="I129" i="41" s="1"/>
  <c r="L572" i="42"/>
  <c r="I135" i="41" s="1"/>
  <c r="L200" i="42"/>
  <c r="I69" i="41" s="1"/>
  <c r="D112" i="41"/>
  <c r="D40" i="41"/>
  <c r="D47" i="41"/>
  <c r="D46" i="41"/>
  <c r="D106" i="41"/>
  <c r="D113" i="41"/>
  <c r="I328" i="42"/>
  <c r="F55" i="41" s="1"/>
  <c r="I700" i="42"/>
  <c r="F121" i="41" s="1"/>
  <c r="I20" i="41"/>
  <c r="D109" i="41"/>
  <c r="I704" i="42"/>
  <c r="F125" i="41" s="1"/>
  <c r="I332" i="42"/>
  <c r="I701" i="42"/>
  <c r="F122" i="41" s="1"/>
  <c r="I329" i="42"/>
  <c r="F56" i="41" s="1"/>
  <c r="D39" i="41"/>
  <c r="I86" i="41"/>
  <c r="D43" i="41"/>
  <c r="L196" i="42"/>
  <c r="M28" i="44" s="1"/>
  <c r="L568" i="42"/>
  <c r="I131" i="41" s="1"/>
  <c r="I698" i="42"/>
  <c r="F119" i="41" s="1"/>
  <c r="I326" i="42"/>
  <c r="F53" i="41" s="1"/>
  <c r="L564" i="42"/>
  <c r="I127" i="41" s="1"/>
  <c r="L192" i="42"/>
  <c r="I61" i="41" s="1"/>
  <c r="D32" i="41"/>
  <c r="D48" i="41"/>
  <c r="D110" i="41"/>
  <c r="I696" i="42"/>
  <c r="I324" i="42"/>
  <c r="L569" i="42"/>
  <c r="I132" i="41" s="1"/>
  <c r="L197" i="42"/>
  <c r="I66" i="41" s="1"/>
  <c r="L570" i="42"/>
  <c r="I133" i="41" s="1"/>
  <c r="L198" i="42"/>
  <c r="I67" i="41" s="1"/>
  <c r="I325" i="42"/>
  <c r="F52" i="41" s="1"/>
  <c r="I697" i="42"/>
  <c r="F118" i="41" s="1"/>
  <c r="I703" i="42"/>
  <c r="F124" i="41" s="1"/>
  <c r="I331" i="42"/>
  <c r="F58" i="41" s="1"/>
  <c r="I702" i="42"/>
  <c r="F123" i="41" s="1"/>
  <c r="I330" i="42"/>
  <c r="F57" i="41" s="1"/>
  <c r="L201" i="42"/>
  <c r="I70" i="41" s="1"/>
  <c r="L573" i="42"/>
  <c r="I136" i="41" s="1"/>
  <c r="D114" i="41"/>
  <c r="D44" i="41"/>
  <c r="L571" i="42"/>
  <c r="I134" i="41" s="1"/>
  <c r="L199" i="42"/>
  <c r="I68" i="41" s="1"/>
  <c r="L195" i="42"/>
  <c r="I64" i="41" s="1"/>
  <c r="L567" i="42"/>
  <c r="I130" i="41" s="1"/>
  <c r="D107" i="41"/>
  <c r="D108" i="41"/>
  <c r="K25" i="44"/>
  <c r="O25" i="44" s="1"/>
  <c r="E11" i="31"/>
  <c r="D11" i="31"/>
  <c r="C11" i="31"/>
  <c r="M16" i="44" l="1"/>
  <c r="D58" i="46"/>
  <c r="E58" i="46" s="1"/>
  <c r="F58" i="46" s="1"/>
  <c r="D54" i="41"/>
  <c r="D13" i="31"/>
  <c r="G10" i="31"/>
  <c r="E13" i="31"/>
  <c r="E15" i="31" s="1"/>
  <c r="E14" i="31" s="1"/>
  <c r="F59" i="41"/>
  <c r="K24" i="44"/>
  <c r="O24" i="44" s="1"/>
  <c r="K22" i="44"/>
  <c r="O22" i="44" s="1"/>
  <c r="I65" i="41"/>
  <c r="N28" i="44"/>
  <c r="AB10" i="26"/>
  <c r="Y10" i="26"/>
  <c r="P10" i="26"/>
  <c r="G10" i="26"/>
  <c r="M10" i="26"/>
  <c r="J10" i="26"/>
  <c r="S10" i="26"/>
  <c r="V10" i="26"/>
  <c r="AH10" i="26"/>
  <c r="AE10" i="26"/>
  <c r="M19" i="26"/>
  <c r="F51" i="41"/>
  <c r="F117" i="41"/>
  <c r="AH19" i="26"/>
  <c r="Y19" i="26"/>
  <c r="AE19" i="26"/>
  <c r="V19" i="26"/>
  <c r="AB19" i="26"/>
  <c r="G19" i="26"/>
  <c r="J19" i="26"/>
  <c r="P19" i="26"/>
  <c r="S19" i="26"/>
  <c r="F54" i="41"/>
  <c r="F120" i="41"/>
  <c r="C13" i="31"/>
  <c r="C15" i="31" s="1"/>
  <c r="C14" i="31" s="1"/>
  <c r="G11" i="31"/>
  <c r="G31" i="44"/>
  <c r="G16" i="44"/>
  <c r="I16" i="44"/>
  <c r="H12" i="31"/>
  <c r="J12" i="31" s="1"/>
  <c r="N24" i="44" l="1"/>
  <c r="I31" i="44"/>
  <c r="K31" i="44"/>
  <c r="M31" i="44"/>
  <c r="G13" i="31"/>
  <c r="G15" i="31" s="1"/>
  <c r="G14" i="31" s="1"/>
  <c r="K16" i="44"/>
  <c r="J31" i="44" l="1"/>
  <c r="J556" i="40" l="1" a="1"/>
  <c r="J556" i="40" s="1"/>
  <c r="L556" i="40" s="1"/>
  <c r="J687" i="40" a="1"/>
  <c r="J687" i="40" s="1"/>
  <c r="L687" i="40" s="1"/>
  <c r="J82" i="40" a="1"/>
  <c r="J82" i="40" s="1"/>
  <c r="L82" i="40" s="1"/>
  <c r="J280" i="40" a="1"/>
  <c r="J280" i="40" s="1"/>
  <c r="L280" i="40" s="1"/>
  <c r="J665" i="40" a="1"/>
  <c r="J665" i="40" s="1"/>
  <c r="L665" i="40" s="1"/>
  <c r="J138" i="40" a="1"/>
  <c r="J138" i="40" s="1"/>
  <c r="L138" i="40" s="1"/>
  <c r="J337" i="40" a="1"/>
  <c r="J337" i="40" s="1"/>
  <c r="L337" i="40" s="1"/>
  <c r="J38" i="40" a="1"/>
  <c r="J38" i="40" s="1"/>
  <c r="L38" i="40" s="1"/>
  <c r="J160" i="40" a="1"/>
  <c r="J160" i="40" s="1"/>
  <c r="J457" i="40" a="1"/>
  <c r="J457" i="40" s="1"/>
  <c r="J336" i="40" a="1"/>
  <c r="J336" i="40" s="1"/>
  <c r="L336" i="40" s="1"/>
  <c r="J71" i="40" a="1"/>
  <c r="J71" i="40" s="1"/>
  <c r="J523" i="40" a="1"/>
  <c r="J523" i="40" s="1"/>
  <c r="J106" i="40" a="1"/>
  <c r="J106" i="40" s="1"/>
  <c r="L106" i="40" s="1"/>
  <c r="J445" i="40" a="1"/>
  <c r="J445" i="40" s="1"/>
  <c r="J49" i="40" a="1"/>
  <c r="J49" i="40" s="1"/>
  <c r="J193" i="40" a="1"/>
  <c r="J193" i="40" s="1"/>
  <c r="L193" i="40" s="1"/>
  <c r="J105" i="40" a="1"/>
  <c r="J105" i="40" s="1"/>
  <c r="L105" i="40" s="1"/>
  <c r="J524" i="40" a="1"/>
  <c r="J524" i="40" s="1"/>
  <c r="J338" i="40" a="1"/>
  <c r="J338" i="40" s="1"/>
  <c r="L338" i="40" s="1"/>
  <c r="J60" i="40" a="1"/>
  <c r="J60" i="40" s="1"/>
  <c r="L60" i="40" s="1"/>
  <c r="J479" i="40" a="1"/>
  <c r="J479" i="40" s="1"/>
  <c r="L479" i="40" s="1"/>
  <c r="J698" i="40" a="1"/>
  <c r="J698" i="40" s="1"/>
  <c r="J501" i="40" a="1"/>
  <c r="J501" i="40" s="1"/>
  <c r="L501" i="40" s="1"/>
  <c r="J500" i="40" a="1"/>
  <c r="J500" i="40" s="1"/>
  <c r="J643" i="40" a="1"/>
  <c r="J643" i="40" s="1"/>
  <c r="L643" i="40" s="1"/>
  <c r="J380" i="40" a="1"/>
  <c r="J380" i="40" s="1"/>
  <c r="L380" i="40" s="1"/>
  <c r="J236" i="40" a="1"/>
  <c r="J236" i="40" s="1"/>
  <c r="L236" i="40" s="1"/>
  <c r="J632" i="40" a="1"/>
  <c r="J632" i="40" s="1"/>
  <c r="J27" i="40" a="1"/>
  <c r="J27" i="40" s="1"/>
  <c r="J676" i="40" a="1"/>
  <c r="J676" i="40" s="1"/>
  <c r="L676" i="40" s="1"/>
  <c r="J621" i="40" a="1"/>
  <c r="J621" i="40" s="1"/>
  <c r="J214" i="40" a="1"/>
  <c r="J214" i="40" s="1"/>
  <c r="J225" i="40" a="1"/>
  <c r="J225" i="40" s="1"/>
  <c r="J654" i="40" a="1"/>
  <c r="J654" i="40" s="1"/>
  <c r="J382" i="40" a="1"/>
  <c r="J382" i="40" s="1"/>
  <c r="L382" i="40" s="1"/>
  <c r="J589" i="40" a="1"/>
  <c r="J589" i="40" s="1"/>
  <c r="L589" i="40" s="1"/>
  <c r="J456" i="40" a="1"/>
  <c r="J456" i="40" s="1"/>
  <c r="L456" i="40" s="1"/>
  <c r="J555" i="40" a="1"/>
  <c r="J555" i="40" s="1"/>
  <c r="J258" i="40" a="1"/>
  <c r="J258" i="40" s="1"/>
  <c r="J577" i="40" a="1"/>
  <c r="J577" i="40" s="1"/>
  <c r="L577" i="40" s="1"/>
  <c r="J192" i="40" a="1"/>
  <c r="J192" i="40" s="1"/>
  <c r="L192" i="40" s="1"/>
  <c r="J590" i="40" a="1"/>
  <c r="J590" i="40" s="1"/>
  <c r="L590" i="40" s="1"/>
  <c r="J137" i="40" a="1"/>
  <c r="J137" i="40" s="1"/>
  <c r="J247" i="40" a="1"/>
  <c r="J247" i="40" s="1"/>
  <c r="J302" i="40" a="1"/>
  <c r="J302" i="40" s="1"/>
  <c r="J269" i="40" a="1"/>
  <c r="J269" i="40" s="1"/>
  <c r="J181" i="40" a="1"/>
  <c r="J181" i="40" s="1"/>
  <c r="L181" i="40" s="1"/>
  <c r="J313" i="40" a="1"/>
  <c r="J313" i="40" s="1"/>
  <c r="J522" i="40" a="1"/>
  <c r="J522" i="40" s="1"/>
  <c r="J434" i="40" a="1"/>
  <c r="J434" i="40" s="1"/>
  <c r="J379" i="40" a="1"/>
  <c r="J379" i="40" s="1"/>
  <c r="J381" i="40" a="1"/>
  <c r="J381" i="40" s="1"/>
  <c r="J588" i="40" a="1"/>
  <c r="J588" i="40" s="1"/>
  <c r="L588" i="40" s="1"/>
  <c r="J104" i="40" a="1"/>
  <c r="J104" i="40" s="1"/>
  <c r="L104" i="40" s="1"/>
  <c r="J335" i="40" a="1"/>
  <c r="J335" i="40" s="1"/>
  <c r="L335" i="40" s="1"/>
  <c r="J478" i="40" a="1"/>
  <c r="J478" i="40" s="1"/>
  <c r="J5" i="40" a="1"/>
  <c r="J5" i="40" s="1"/>
  <c r="L5" i="40" s="1"/>
  <c r="J93" i="40" a="1"/>
  <c r="J93" i="40" s="1"/>
  <c r="J16" i="40" a="1"/>
  <c r="J16" i="40" s="1"/>
  <c r="J159" i="40" a="1"/>
  <c r="J159" i="40" s="1"/>
  <c r="L159" i="40" s="1"/>
  <c r="J324" i="40" a="1"/>
  <c r="J324" i="40" s="1"/>
  <c r="J291" i="40" a="1"/>
  <c r="J291" i="40" s="1"/>
  <c r="J423" i="40" a="1"/>
  <c r="J423" i="40" s="1"/>
  <c r="M698" i="40" l="1" a="1"/>
  <c r="M698" i="40" s="1"/>
  <c r="S698" i="40" s="1"/>
  <c r="L698" i="40"/>
  <c r="N423" i="40" a="1"/>
  <c r="N423" i="40" s="1"/>
  <c r="L423" i="40"/>
  <c r="P258" i="40" a="1"/>
  <c r="P258" i="40" s="1"/>
  <c r="J574" i="42" s="1"/>
  <c r="L258" i="40"/>
  <c r="M621" i="40" a="1"/>
  <c r="M621" i="40" s="1"/>
  <c r="L621" i="40"/>
  <c r="M49" i="40" a="1"/>
  <c r="M49" i="40" s="1"/>
  <c r="S49" i="40" s="1"/>
  <c r="L49" i="40"/>
  <c r="M302" i="40" a="1"/>
  <c r="M302" i="40" s="1"/>
  <c r="G169" i="42" s="1"/>
  <c r="L302" i="40"/>
  <c r="M27" i="40" a="1"/>
  <c r="M27" i="40" s="1"/>
  <c r="S27" i="40" s="1"/>
  <c r="L27" i="40"/>
  <c r="N555" i="40" a="1"/>
  <c r="N555" i="40" s="1"/>
  <c r="L555" i="40"/>
  <c r="Q381" i="40" a="1"/>
  <c r="Q381" i="40" s="1"/>
  <c r="U381" i="40" s="1"/>
  <c r="L381" i="40"/>
  <c r="M247" i="40" a="1"/>
  <c r="M247" i="40" s="1"/>
  <c r="L247" i="40"/>
  <c r="M632" i="40" a="1"/>
  <c r="M632" i="40" s="1"/>
  <c r="L632" i="40"/>
  <c r="M523" i="40" a="1"/>
  <c r="M523" i="40" s="1"/>
  <c r="S523" i="40" s="1"/>
  <c r="L523" i="40"/>
  <c r="M269" i="40" a="1"/>
  <c r="M269" i="40" s="1"/>
  <c r="S269" i="40" s="1"/>
  <c r="L269" i="40"/>
  <c r="P445" i="40" a="1"/>
  <c r="P445" i="40" s="1"/>
  <c r="L445" i="40"/>
  <c r="N324" i="40" a="1"/>
  <c r="N324" i="40" s="1"/>
  <c r="H213" i="42" s="1"/>
  <c r="L324" i="40"/>
  <c r="N16" i="40" a="1"/>
  <c r="N16" i="40" s="1"/>
  <c r="H388" i="42" s="1"/>
  <c r="L16" i="40"/>
  <c r="Q379" i="40" a="1"/>
  <c r="Q379" i="40" s="1"/>
  <c r="U379" i="40" s="1"/>
  <c r="L379" i="40"/>
  <c r="O137" i="40" a="1"/>
  <c r="O137" i="40" s="1"/>
  <c r="T137" i="40" s="1"/>
  <c r="L137" i="40"/>
  <c r="N71" i="40" a="1"/>
  <c r="N71" i="40" s="1"/>
  <c r="L71" i="40"/>
  <c r="O93" i="40" a="1"/>
  <c r="O93" i="40" s="1"/>
  <c r="L93" i="40"/>
  <c r="P654" i="40" a="1"/>
  <c r="P654" i="40" s="1"/>
  <c r="L654" i="40"/>
  <c r="P524" i="40" a="1"/>
  <c r="P524" i="40" s="1"/>
  <c r="L524" i="40"/>
  <c r="N291" i="40" a="1"/>
  <c r="N291" i="40" s="1"/>
  <c r="H520" i="42" s="1"/>
  <c r="L291" i="40"/>
  <c r="O522" i="40" a="1"/>
  <c r="O522" i="40" s="1"/>
  <c r="T522" i="40" s="1"/>
  <c r="L522" i="40"/>
  <c r="M225" i="40" a="1"/>
  <c r="M225" i="40" s="1"/>
  <c r="L225" i="40"/>
  <c r="N457" i="40" a="1"/>
  <c r="N457" i="40" s="1"/>
  <c r="L457" i="40"/>
  <c r="N434" i="40" a="1"/>
  <c r="N434" i="40" s="1"/>
  <c r="L434" i="40"/>
  <c r="O478" i="40" a="1"/>
  <c r="O478" i="40" s="1"/>
  <c r="T478" i="40" s="1"/>
  <c r="L478" i="40"/>
  <c r="N313" i="40" a="1"/>
  <c r="N313" i="40" s="1"/>
  <c r="L313" i="40"/>
  <c r="M214" i="40" a="1"/>
  <c r="M214" i="40" s="1"/>
  <c r="L214" i="40"/>
  <c r="R500" i="40" a="1"/>
  <c r="R500" i="40" s="1"/>
  <c r="V500" i="40" s="1"/>
  <c r="L500" i="40"/>
  <c r="O160" i="40" a="1"/>
  <c r="O160" i="40" s="1"/>
  <c r="T160" i="40" s="1"/>
  <c r="L160" i="40"/>
  <c r="J202" i="42"/>
  <c r="O379" i="40" a="1"/>
  <c r="O379" i="40" s="1"/>
  <c r="T379" i="40" s="1"/>
  <c r="N106" i="40" a="1"/>
  <c r="N106" i="40" s="1"/>
  <c r="P106" i="40" a="1"/>
  <c r="P106" i="40" s="1"/>
  <c r="O106" i="40" a="1"/>
  <c r="O106" i="40" s="1"/>
  <c r="T106" i="40" s="1"/>
  <c r="R106" i="40" a="1"/>
  <c r="R106" i="40" s="1"/>
  <c r="V106" i="40" s="1"/>
  <c r="Q106" i="40" a="1"/>
  <c r="Q106" i="40" s="1"/>
  <c r="U106" i="40" s="1"/>
  <c r="R665" i="40" a="1"/>
  <c r="R665" i="40" s="1"/>
  <c r="V665" i="40" s="1"/>
  <c r="Q665" i="40" a="1"/>
  <c r="Q665" i="40" s="1"/>
  <c r="U665" i="40" s="1"/>
  <c r="P687" i="40" a="1"/>
  <c r="P687" i="40" s="1"/>
  <c r="Q687" i="40" a="1"/>
  <c r="Q687" i="40" s="1"/>
  <c r="U687" i="40" s="1"/>
  <c r="P27" i="40" a="1"/>
  <c r="P27" i="40" s="1"/>
  <c r="N49" i="40" a="1"/>
  <c r="N49" i="40" s="1"/>
  <c r="M381" i="40" a="1"/>
  <c r="M381" i="40" s="1"/>
  <c r="S381" i="40" s="1"/>
  <c r="O434" i="40" a="1"/>
  <c r="O434" i="40" s="1"/>
  <c r="T434" i="40" s="1"/>
  <c r="R445" i="40" a="1"/>
  <c r="R445" i="40" s="1"/>
  <c r="V445" i="40" s="1"/>
  <c r="R71" i="40" a="1"/>
  <c r="R71" i="40" s="1"/>
  <c r="V71" i="40" s="1"/>
  <c r="Q501" i="40" a="1"/>
  <c r="Q501" i="40" s="1"/>
  <c r="U501" i="40" s="1"/>
  <c r="P501" i="40" a="1"/>
  <c r="P501" i="40" s="1"/>
  <c r="M501" i="40" a="1"/>
  <c r="M501" i="40" s="1"/>
  <c r="S501" i="40" s="1"/>
  <c r="N501" i="40" a="1"/>
  <c r="N501" i="40" s="1"/>
  <c r="R501" i="40" a="1"/>
  <c r="R501" i="40" s="1"/>
  <c r="V501" i="40" s="1"/>
  <c r="O105" i="40" a="1"/>
  <c r="O105" i="40" s="1"/>
  <c r="T105" i="40" s="1"/>
  <c r="R105" i="40" a="1"/>
  <c r="R105" i="40" s="1"/>
  <c r="V105" i="40" s="1"/>
  <c r="M105" i="40" a="1"/>
  <c r="M105" i="40" s="1"/>
  <c r="S105" i="40" s="1"/>
  <c r="Q138" i="40" a="1"/>
  <c r="Q138" i="40" s="1"/>
  <c r="U138" i="40" s="1"/>
  <c r="O138" i="40" a="1"/>
  <c r="O138" i="40" s="1"/>
  <c r="T138" i="40" s="1"/>
  <c r="R335" i="40" a="1"/>
  <c r="R335" i="40" s="1"/>
  <c r="V335" i="40" s="1"/>
  <c r="Q335" i="40" a="1"/>
  <c r="Q335" i="40" s="1"/>
  <c r="U335" i="40" s="1"/>
  <c r="M335" i="40" a="1"/>
  <c r="M335" i="40" s="1"/>
  <c r="P335" i="40" a="1"/>
  <c r="P335" i="40" s="1"/>
  <c r="N335" i="40" a="1"/>
  <c r="N335" i="40" s="1"/>
  <c r="M60" i="40" a="1"/>
  <c r="M60" i="40" s="1"/>
  <c r="S60" i="40" s="1"/>
  <c r="P60" i="40" a="1"/>
  <c r="P60" i="40" s="1"/>
  <c r="O60" i="40" a="1"/>
  <c r="O60" i="40" s="1"/>
  <c r="T60" i="40" s="1"/>
  <c r="Q82" i="40" a="1"/>
  <c r="Q82" i="40" s="1"/>
  <c r="U82" i="40" s="1"/>
  <c r="P82" i="40" a="1"/>
  <c r="P82" i="40" s="1"/>
  <c r="O82" i="40" a="1"/>
  <c r="O82" i="40" s="1"/>
  <c r="T82" i="40" s="1"/>
  <c r="Q38" i="40" a="1"/>
  <c r="Q38" i="40" s="1"/>
  <c r="U38" i="40" s="1"/>
  <c r="O38" i="40" a="1"/>
  <c r="O38" i="40" s="1"/>
  <c r="T38" i="40" s="1"/>
  <c r="P38" i="40" a="1"/>
  <c r="P38" i="40" s="1"/>
  <c r="Q522" i="40" a="1"/>
  <c r="Q522" i="40" s="1"/>
  <c r="U522" i="40" s="1"/>
  <c r="P49" i="40" a="1"/>
  <c r="P49" i="40" s="1"/>
  <c r="R49" i="40" a="1"/>
  <c r="R49" i="40" s="1"/>
  <c r="V49" i="40" s="1"/>
  <c r="M313" i="40" a="1"/>
  <c r="M313" i="40" s="1"/>
  <c r="S313" i="40" s="1"/>
  <c r="M258" i="40" a="1"/>
  <c r="M258" i="40" s="1"/>
  <c r="S258" i="40" s="1"/>
  <c r="M137" i="40" a="1"/>
  <c r="M137" i="40" s="1"/>
  <c r="S137" i="40" s="1"/>
  <c r="P193" i="40" a="1"/>
  <c r="P193" i="40" s="1"/>
  <c r="Q49" i="40" a="1"/>
  <c r="Q49" i="40" s="1"/>
  <c r="U49" i="40" s="1"/>
  <c r="M71" i="40" a="1"/>
  <c r="M71" i="40" s="1"/>
  <c r="S71" i="40" s="1"/>
  <c r="R159" i="40" a="1"/>
  <c r="R159" i="40" s="1"/>
  <c r="V159" i="40" s="1"/>
  <c r="N159" i="40" a="1"/>
  <c r="N159" i="40" s="1"/>
  <c r="P159" i="40" a="1"/>
  <c r="P159" i="40" s="1"/>
  <c r="O159" i="40" a="1"/>
  <c r="O159" i="40" s="1"/>
  <c r="T159" i="40" s="1"/>
  <c r="M159" i="40" a="1"/>
  <c r="M159" i="40" s="1"/>
  <c r="S159" i="40" s="1"/>
  <c r="O588" i="40" a="1"/>
  <c r="O588" i="40" s="1"/>
  <c r="T588" i="40" s="1"/>
  <c r="Q588" i="40" a="1"/>
  <c r="Q588" i="40" s="1"/>
  <c r="U588" i="40" s="1"/>
  <c r="M588" i="40" a="1"/>
  <c r="M588" i="40" s="1"/>
  <c r="S588" i="40" s="1"/>
  <c r="R588" i="40" a="1"/>
  <c r="R588" i="40" s="1"/>
  <c r="V588" i="40" s="1"/>
  <c r="N588" i="40" a="1"/>
  <c r="N588" i="40" s="1"/>
  <c r="P588" i="40" a="1"/>
  <c r="P588" i="40" s="1"/>
  <c r="O5" i="40" a="1"/>
  <c r="O5" i="40" s="1"/>
  <c r="T5" i="40" s="1"/>
  <c r="N5" i="40" a="1"/>
  <c r="N5" i="40" s="1"/>
  <c r="Q5" i="40" a="1"/>
  <c r="Q5" i="40" s="1"/>
  <c r="U5" i="40" s="1"/>
  <c r="M5" i="40" a="1"/>
  <c r="M5" i="40" s="1"/>
  <c r="P5" i="40" a="1"/>
  <c r="P5" i="40" s="1"/>
  <c r="R5" i="40" a="1"/>
  <c r="R5" i="40" s="1"/>
  <c r="V5" i="40" s="1"/>
  <c r="Q181" i="40" a="1"/>
  <c r="Q181" i="40" s="1"/>
  <c r="U181" i="40" s="1"/>
  <c r="O181" i="40" a="1"/>
  <c r="O181" i="40" s="1"/>
  <c r="T181" i="40" s="1"/>
  <c r="N181" i="40" a="1"/>
  <c r="N181" i="40" s="1"/>
  <c r="R181" i="40" a="1"/>
  <c r="R181" i="40" s="1"/>
  <c r="V181" i="40" s="1"/>
  <c r="P181" i="40" a="1"/>
  <c r="P181" i="40" s="1"/>
  <c r="M181" i="40" a="1"/>
  <c r="M181" i="40" s="1"/>
  <c r="S181" i="40" s="1"/>
  <c r="O590" i="40" a="1"/>
  <c r="O590" i="40" s="1"/>
  <c r="T590" i="40" s="1"/>
  <c r="M590" i="40" a="1"/>
  <c r="M590" i="40" s="1"/>
  <c r="S590" i="40" s="1"/>
  <c r="N590" i="40" a="1"/>
  <c r="N590" i="40" s="1"/>
  <c r="R590" i="40" a="1"/>
  <c r="R590" i="40" s="1"/>
  <c r="V590" i="40" s="1"/>
  <c r="P590" i="40" a="1"/>
  <c r="P590" i="40" s="1"/>
  <c r="Q590" i="40" a="1"/>
  <c r="Q590" i="40" s="1"/>
  <c r="U590" i="40" s="1"/>
  <c r="R382" i="40" a="1"/>
  <c r="R382" i="40" s="1"/>
  <c r="V382" i="40" s="1"/>
  <c r="N382" i="40" a="1"/>
  <c r="N382" i="40" s="1"/>
  <c r="P382" i="40" a="1"/>
  <c r="P382" i="40" s="1"/>
  <c r="M382" i="40" a="1"/>
  <c r="M382" i="40" s="1"/>
  <c r="S382" i="40" s="1"/>
  <c r="O382" i="40" a="1"/>
  <c r="O382" i="40" s="1"/>
  <c r="T382" i="40" s="1"/>
  <c r="R676" i="40" a="1"/>
  <c r="R676" i="40" s="1"/>
  <c r="V676" i="40" s="1"/>
  <c r="M676" i="40" a="1"/>
  <c r="M676" i="40" s="1"/>
  <c r="S676" i="40" s="1"/>
  <c r="Q676" i="40" a="1"/>
  <c r="Q676" i="40" s="1"/>
  <c r="U676" i="40" s="1"/>
  <c r="N676" i="40" a="1"/>
  <c r="N676" i="40" s="1"/>
  <c r="P676" i="40" a="1"/>
  <c r="P676" i="40" s="1"/>
  <c r="N280" i="40" a="1"/>
  <c r="N280" i="40" s="1"/>
  <c r="O280" i="40" a="1"/>
  <c r="O280" i="40" s="1"/>
  <c r="T280" i="40" s="1"/>
  <c r="R280" i="40" a="1"/>
  <c r="R280" i="40" s="1"/>
  <c r="V280" i="40" s="1"/>
  <c r="M280" i="40" a="1"/>
  <c r="M280" i="40" s="1"/>
  <c r="P280" i="40" a="1"/>
  <c r="P280" i="40" s="1"/>
  <c r="M556" i="40" a="1"/>
  <c r="M556" i="40" s="1"/>
  <c r="S556" i="40" s="1"/>
  <c r="Q556" i="40" a="1"/>
  <c r="Q556" i="40" s="1"/>
  <c r="U556" i="40" s="1"/>
  <c r="R556" i="40" a="1"/>
  <c r="R556" i="40" s="1"/>
  <c r="V556" i="40" s="1"/>
  <c r="N556" i="40" a="1"/>
  <c r="N556" i="40" s="1"/>
  <c r="P556" i="40" a="1"/>
  <c r="P556" i="40" s="1"/>
  <c r="O556" i="40" a="1"/>
  <c r="O556" i="40" s="1"/>
  <c r="T556" i="40" s="1"/>
  <c r="M291" i="40" a="1"/>
  <c r="M291" i="40" s="1"/>
  <c r="P478" i="40" a="1"/>
  <c r="P478" i="40" s="1"/>
  <c r="R478" i="40" a="1"/>
  <c r="R478" i="40" s="1"/>
  <c r="V478" i="40" s="1"/>
  <c r="Q478" i="40" a="1"/>
  <c r="Q478" i="40" s="1"/>
  <c r="U478" i="40" s="1"/>
  <c r="M478" i="40" a="1"/>
  <c r="M478" i="40" s="1"/>
  <c r="S478" i="40" s="1"/>
  <c r="N478" i="40" a="1"/>
  <c r="N478" i="40" s="1"/>
  <c r="N381" i="40" a="1"/>
  <c r="N381" i="40" s="1"/>
  <c r="Q93" i="40" a="1"/>
  <c r="Q93" i="40" s="1"/>
  <c r="U93" i="40" s="1"/>
  <c r="P522" i="40" a="1"/>
  <c r="P522" i="40" s="1"/>
  <c r="R522" i="40" a="1"/>
  <c r="R522" i="40" s="1"/>
  <c r="V522" i="40" s="1"/>
  <c r="M522" i="40" a="1"/>
  <c r="M522" i="40" s="1"/>
  <c r="S522" i="40" s="1"/>
  <c r="N522" i="40" a="1"/>
  <c r="N522" i="40" s="1"/>
  <c r="Q654" i="40" a="1"/>
  <c r="Q654" i="40" s="1"/>
  <c r="U654" i="40" s="1"/>
  <c r="M654" i="40" a="1"/>
  <c r="M654" i="40" s="1"/>
  <c r="S654" i="40" s="1"/>
  <c r="N654" i="40" a="1"/>
  <c r="N654" i="40" s="1"/>
  <c r="R654" i="40" a="1"/>
  <c r="R654" i="40" s="1"/>
  <c r="V654" i="40" s="1"/>
  <c r="O654" i="40" a="1"/>
  <c r="O654" i="40" s="1"/>
  <c r="T654" i="40" s="1"/>
  <c r="Q16" i="40" a="1"/>
  <c r="Q16" i="40" s="1"/>
  <c r="U16" i="40" s="1"/>
  <c r="O269" i="40" a="1"/>
  <c r="O269" i="40" s="1"/>
  <c r="T269" i="40" s="1"/>
  <c r="N104" i="40" a="1"/>
  <c r="N104" i="40" s="1"/>
  <c r="P104" i="40" a="1"/>
  <c r="P104" i="40" s="1"/>
  <c r="O104" i="40" a="1"/>
  <c r="O104" i="40" s="1"/>
  <c r="T104" i="40" s="1"/>
  <c r="Q104" i="40" a="1"/>
  <c r="Q104" i="40" s="1"/>
  <c r="U104" i="40" s="1"/>
  <c r="P423" i="40" a="1"/>
  <c r="P423" i="40" s="1"/>
  <c r="R423" i="40" a="1"/>
  <c r="R423" i="40" s="1"/>
  <c r="V423" i="40" s="1"/>
  <c r="O291" i="40" a="1"/>
  <c r="O291" i="40" s="1"/>
  <c r="T291" i="40" s="1"/>
  <c r="N247" i="40" a="1"/>
  <c r="N247" i="40" s="1"/>
  <c r="Q247" i="40" a="1"/>
  <c r="Q247" i="40" s="1"/>
  <c r="U247" i="40" s="1"/>
  <c r="P247" i="40" a="1"/>
  <c r="P247" i="40" s="1"/>
  <c r="R456" i="40" a="1"/>
  <c r="R456" i="40" s="1"/>
  <c r="V456" i="40" s="1"/>
  <c r="Q456" i="40" a="1"/>
  <c r="Q456" i="40" s="1"/>
  <c r="U456" i="40" s="1"/>
  <c r="O456" i="40" a="1"/>
  <c r="O456" i="40" s="1"/>
  <c r="T456" i="40" s="1"/>
  <c r="M456" i="40" a="1"/>
  <c r="M456" i="40" s="1"/>
  <c r="S456" i="40" s="1"/>
  <c r="N456" i="40" a="1"/>
  <c r="N456" i="40" s="1"/>
  <c r="P456" i="40" a="1"/>
  <c r="P456" i="40" s="1"/>
  <c r="P380" i="40" a="1"/>
  <c r="P380" i="40" s="1"/>
  <c r="R380" i="40" a="1"/>
  <c r="R380" i="40" s="1"/>
  <c r="V380" i="40" s="1"/>
  <c r="N380" i="40" a="1"/>
  <c r="N380" i="40" s="1"/>
  <c r="O380" i="40" a="1"/>
  <c r="O380" i="40" s="1"/>
  <c r="T380" i="40" s="1"/>
  <c r="Q380" i="40" a="1"/>
  <c r="Q380" i="40" s="1"/>
  <c r="U380" i="40" s="1"/>
  <c r="M380" i="40" a="1"/>
  <c r="M380" i="40" s="1"/>
  <c r="S380" i="40" s="1"/>
  <c r="R236" i="40" a="1"/>
  <c r="R236" i="40" s="1"/>
  <c r="V236" i="40" s="1"/>
  <c r="N236" i="40" a="1"/>
  <c r="N236" i="40" s="1"/>
  <c r="P236" i="40" a="1"/>
  <c r="P236" i="40" s="1"/>
  <c r="M236" i="40" a="1"/>
  <c r="M236" i="40" s="1"/>
  <c r="S236" i="40" s="1"/>
  <c r="O236" i="40" a="1"/>
  <c r="O236" i="40" s="1"/>
  <c r="T236" i="40" s="1"/>
  <c r="R247" i="40" a="1"/>
  <c r="R247" i="40" s="1"/>
  <c r="V247" i="40" s="1"/>
  <c r="M104" i="40" a="1"/>
  <c r="M104" i="40" s="1"/>
  <c r="Q269" i="40" a="1"/>
  <c r="Q269" i="40" s="1"/>
  <c r="U269" i="40" s="1"/>
  <c r="P269" i="40" a="1"/>
  <c r="P269" i="40" s="1"/>
  <c r="R269" i="40" a="1"/>
  <c r="R269" i="40" s="1"/>
  <c r="V269" i="40" s="1"/>
  <c r="N269" i="40" a="1"/>
  <c r="N269" i="40" s="1"/>
  <c r="R577" i="40" a="1"/>
  <c r="R577" i="40" s="1"/>
  <c r="V577" i="40" s="1"/>
  <c r="O577" i="40" a="1"/>
  <c r="O577" i="40" s="1"/>
  <c r="T577" i="40" s="1"/>
  <c r="N577" i="40" a="1"/>
  <c r="N577" i="40" s="1"/>
  <c r="P577" i="40" a="1"/>
  <c r="P577" i="40" s="1"/>
  <c r="Q577" i="40" a="1"/>
  <c r="Q577" i="40" s="1"/>
  <c r="U577" i="40" s="1"/>
  <c r="M577" i="40" a="1"/>
  <c r="M577" i="40" s="1"/>
  <c r="S577" i="40" s="1"/>
  <c r="Q423" i="40" a="1"/>
  <c r="Q423" i="40" s="1"/>
  <c r="U423" i="40" s="1"/>
  <c r="R381" i="40" a="1"/>
  <c r="R381" i="40" s="1"/>
  <c r="V381" i="40" s="1"/>
  <c r="R137" i="40" a="1"/>
  <c r="R137" i="40" s="1"/>
  <c r="V137" i="40" s="1"/>
  <c r="P137" i="40" a="1"/>
  <c r="P137" i="40" s="1"/>
  <c r="Q137" i="40" a="1"/>
  <c r="Q137" i="40" s="1"/>
  <c r="U137" i="40" s="1"/>
  <c r="N137" i="40" a="1"/>
  <c r="N137" i="40" s="1"/>
  <c r="R589" i="40" a="1"/>
  <c r="R589" i="40" s="1"/>
  <c r="V589" i="40" s="1"/>
  <c r="M589" i="40" a="1"/>
  <c r="M589" i="40" s="1"/>
  <c r="S589" i="40" s="1"/>
  <c r="Q589" i="40" a="1"/>
  <c r="Q589" i="40" s="1"/>
  <c r="U589" i="40" s="1"/>
  <c r="N589" i="40" a="1"/>
  <c r="N589" i="40" s="1"/>
  <c r="P589" i="40" a="1"/>
  <c r="P589" i="40" s="1"/>
  <c r="R643" i="40" a="1"/>
  <c r="R643" i="40" s="1"/>
  <c r="V643" i="40" s="1"/>
  <c r="Q643" i="40" a="1"/>
  <c r="Q643" i="40" s="1"/>
  <c r="U643" i="40" s="1"/>
  <c r="N643" i="40" a="1"/>
  <c r="N643" i="40" s="1"/>
  <c r="O643" i="40" a="1"/>
  <c r="O643" i="40" s="1"/>
  <c r="T643" i="40" s="1"/>
  <c r="M643" i="40" a="1"/>
  <c r="M643" i="40" s="1"/>
  <c r="S643" i="40" s="1"/>
  <c r="P643" i="40" a="1"/>
  <c r="P643" i="40" s="1"/>
  <c r="Q291" i="40" a="1"/>
  <c r="Q291" i="40" s="1"/>
  <c r="U291" i="40" s="1"/>
  <c r="M423" i="40" a="1"/>
  <c r="M423" i="40" s="1"/>
  <c r="P324" i="40" a="1"/>
  <c r="P324" i="40" s="1"/>
  <c r="Q324" i="40" a="1"/>
  <c r="Q324" i="40" s="1"/>
  <c r="U324" i="40" s="1"/>
  <c r="M324" i="40" a="1"/>
  <c r="M324" i="40" s="1"/>
  <c r="R324" i="40" a="1"/>
  <c r="R324" i="40" s="1"/>
  <c r="V324" i="40" s="1"/>
  <c r="O324" i="40" a="1"/>
  <c r="O324" i="40" s="1"/>
  <c r="T324" i="40" s="1"/>
  <c r="O423" i="40" a="1"/>
  <c r="O423" i="40" s="1"/>
  <c r="T423" i="40" s="1"/>
  <c r="O589" i="40" a="1"/>
  <c r="O589" i="40" s="1"/>
  <c r="T589" i="40" s="1"/>
  <c r="O313" i="40" a="1"/>
  <c r="O313" i="40" s="1"/>
  <c r="T313" i="40" s="1"/>
  <c r="P313" i="40" a="1"/>
  <c r="P313" i="40" s="1"/>
  <c r="R313" i="40" a="1"/>
  <c r="R313" i="40" s="1"/>
  <c r="V313" i="40" s="1"/>
  <c r="Q313" i="40" a="1"/>
  <c r="Q313" i="40" s="1"/>
  <c r="U313" i="40" s="1"/>
  <c r="M479" i="40" a="1"/>
  <c r="M479" i="40" s="1"/>
  <c r="S479" i="40" s="1"/>
  <c r="N479" i="40" a="1"/>
  <c r="N479" i="40" s="1"/>
  <c r="Q479" i="40" a="1"/>
  <c r="Q479" i="40" s="1"/>
  <c r="U479" i="40" s="1"/>
  <c r="P479" i="40" a="1"/>
  <c r="P479" i="40" s="1"/>
  <c r="R479" i="40" a="1"/>
  <c r="R479" i="40" s="1"/>
  <c r="V479" i="40" s="1"/>
  <c r="O479" i="40" a="1"/>
  <c r="O479" i="40" s="1"/>
  <c r="T479" i="40" s="1"/>
  <c r="P291" i="40" a="1"/>
  <c r="P291" i="40" s="1"/>
  <c r="R291" i="40" a="1"/>
  <c r="R291" i="40" s="1"/>
  <c r="V291" i="40" s="1"/>
  <c r="R192" i="40" a="1"/>
  <c r="R192" i="40" s="1"/>
  <c r="V192" i="40" s="1"/>
  <c r="P192" i="40" a="1"/>
  <c r="P192" i="40" s="1"/>
  <c r="M192" i="40" a="1"/>
  <c r="M192" i="40" s="1"/>
  <c r="S192" i="40" s="1"/>
  <c r="O192" i="40" a="1"/>
  <c r="O192" i="40" s="1"/>
  <c r="T192" i="40" s="1"/>
  <c r="N192" i="40" a="1"/>
  <c r="N192" i="40" s="1"/>
  <c r="O247" i="40" a="1"/>
  <c r="O247" i="40" s="1"/>
  <c r="T247" i="40" s="1"/>
  <c r="O16" i="40" a="1"/>
  <c r="O16" i="40" s="1"/>
  <c r="T16" i="40" s="1"/>
  <c r="P16" i="40" a="1"/>
  <c r="P16" i="40" s="1"/>
  <c r="R16" i="40" a="1"/>
  <c r="R16" i="40" s="1"/>
  <c r="V16" i="40" s="1"/>
  <c r="M16" i="40" a="1"/>
  <c r="M16" i="40" s="1"/>
  <c r="R93" i="40" a="1"/>
  <c r="R93" i="40" s="1"/>
  <c r="V93" i="40" s="1"/>
  <c r="M93" i="40" a="1"/>
  <c r="M93" i="40" s="1"/>
  <c r="P93" i="40" a="1"/>
  <c r="P93" i="40" s="1"/>
  <c r="N93" i="40" a="1"/>
  <c r="N93" i="40" s="1"/>
  <c r="R104" i="40" a="1"/>
  <c r="R104" i="40" s="1"/>
  <c r="V104" i="40" s="1"/>
  <c r="O381" i="40" a="1"/>
  <c r="O381" i="40" s="1"/>
  <c r="T381" i="40" s="1"/>
  <c r="P381" i="40" a="1"/>
  <c r="P381" i="40" s="1"/>
  <c r="Q382" i="40" a="1"/>
  <c r="Q382" i="40" s="1"/>
  <c r="U382" i="40" s="1"/>
  <c r="O676" i="40" a="1"/>
  <c r="O676" i="40" s="1"/>
  <c r="T676" i="40" s="1"/>
  <c r="P555" i="40" a="1"/>
  <c r="P555" i="40" s="1"/>
  <c r="R555" i="40" a="1"/>
  <c r="R555" i="40" s="1"/>
  <c r="V555" i="40" s="1"/>
  <c r="Q555" i="40" a="1"/>
  <c r="Q555" i="40" s="1"/>
  <c r="U555" i="40" s="1"/>
  <c r="O555" i="40" a="1"/>
  <c r="O555" i="40" s="1"/>
  <c r="T555" i="40" s="1"/>
  <c r="N225" i="40" a="1"/>
  <c r="N225" i="40" s="1"/>
  <c r="P225" i="40" a="1"/>
  <c r="P225" i="40" s="1"/>
  <c r="O225" i="40" a="1"/>
  <c r="O225" i="40" s="1"/>
  <c r="T225" i="40" s="1"/>
  <c r="R225" i="40" a="1"/>
  <c r="R225" i="40" s="1"/>
  <c r="V225" i="40" s="1"/>
  <c r="N302" i="40" a="1"/>
  <c r="N302" i="40" s="1"/>
  <c r="O302" i="40" a="1"/>
  <c r="O302" i="40" s="1"/>
  <c r="T302" i="40" s="1"/>
  <c r="Q302" i="40" a="1"/>
  <c r="Q302" i="40" s="1"/>
  <c r="U302" i="40" s="1"/>
  <c r="O698" i="40" a="1"/>
  <c r="O698" i="40" s="1"/>
  <c r="T698" i="40" s="1"/>
  <c r="P379" i="40" a="1"/>
  <c r="P379" i="40" s="1"/>
  <c r="M524" i="40" a="1"/>
  <c r="M524" i="40" s="1"/>
  <c r="O337" i="40" a="1"/>
  <c r="O337" i="40" s="1"/>
  <c r="T337" i="40" s="1"/>
  <c r="M337" i="40" a="1"/>
  <c r="M337" i="40" s="1"/>
  <c r="S337" i="40" s="1"/>
  <c r="R337" i="40" a="1"/>
  <c r="R337" i="40" s="1"/>
  <c r="V337" i="40" s="1"/>
  <c r="N337" i="40" a="1"/>
  <c r="N337" i="40" s="1"/>
  <c r="P337" i="40" a="1"/>
  <c r="P337" i="40" s="1"/>
  <c r="Q337" i="40" a="1"/>
  <c r="Q337" i="40" s="1"/>
  <c r="U337" i="40" s="1"/>
  <c r="M379" i="40" a="1"/>
  <c r="M379" i="40" s="1"/>
  <c r="Q434" i="40" a="1"/>
  <c r="Q434" i="40" s="1"/>
  <c r="U434" i="40" s="1"/>
  <c r="R302" i="40" a="1"/>
  <c r="R302" i="40" s="1"/>
  <c r="V302" i="40" s="1"/>
  <c r="P302" i="40" a="1"/>
  <c r="P302" i="40" s="1"/>
  <c r="M434" i="40" a="1"/>
  <c r="M434" i="40" s="1"/>
  <c r="S434" i="40" s="1"/>
  <c r="P500" i="40" a="1"/>
  <c r="P500" i="40" s="1"/>
  <c r="N160" i="40" a="1"/>
  <c r="N160" i="40" s="1"/>
  <c r="P160" i="40" a="1"/>
  <c r="P160" i="40" s="1"/>
  <c r="R160" i="40" a="1"/>
  <c r="R160" i="40" s="1"/>
  <c r="V160" i="40" s="1"/>
  <c r="M160" i="40" a="1"/>
  <c r="M160" i="40" s="1"/>
  <c r="S160" i="40" s="1"/>
  <c r="R434" i="40" a="1"/>
  <c r="R434" i="40" s="1"/>
  <c r="V434" i="40" s="1"/>
  <c r="R379" i="40" a="1"/>
  <c r="R379" i="40" s="1"/>
  <c r="V379" i="40" s="1"/>
  <c r="R632" i="40" a="1"/>
  <c r="R632" i="40" s="1"/>
  <c r="V632" i="40" s="1"/>
  <c r="N632" i="40" a="1"/>
  <c r="N632" i="40" s="1"/>
  <c r="Q632" i="40" a="1"/>
  <c r="Q632" i="40" s="1"/>
  <c r="U632" i="40" s="1"/>
  <c r="P632" i="40" a="1"/>
  <c r="P632" i="40" s="1"/>
  <c r="O632" i="40" a="1"/>
  <c r="O632" i="40" s="1"/>
  <c r="T632" i="40" s="1"/>
  <c r="N698" i="40" a="1"/>
  <c r="N698" i="40" s="1"/>
  <c r="H629" i="42" s="1"/>
  <c r="R698" i="40" a="1"/>
  <c r="R698" i="40" s="1"/>
  <c r="V698" i="40" s="1"/>
  <c r="O258" i="40" a="1"/>
  <c r="O258" i="40" s="1"/>
  <c r="T258" i="40" s="1"/>
  <c r="P434" i="40" a="1"/>
  <c r="P434" i="40" s="1"/>
  <c r="R524" i="40" a="1"/>
  <c r="R524" i="40" s="1"/>
  <c r="V524" i="40" s="1"/>
  <c r="Q524" i="40" a="1"/>
  <c r="Q524" i="40" s="1"/>
  <c r="U524" i="40" s="1"/>
  <c r="N524" i="40" a="1"/>
  <c r="N524" i="40" s="1"/>
  <c r="O524" i="40" a="1"/>
  <c r="O524" i="40" s="1"/>
  <c r="T524" i="40" s="1"/>
  <c r="N523" i="40" a="1"/>
  <c r="N523" i="40" s="1"/>
  <c r="Q523" i="40" a="1"/>
  <c r="Q523" i="40" s="1"/>
  <c r="U523" i="40" s="1"/>
  <c r="O523" i="40" a="1"/>
  <c r="O523" i="40" s="1"/>
  <c r="T523" i="40" s="1"/>
  <c r="P523" i="40" a="1"/>
  <c r="P523" i="40" s="1"/>
  <c r="R27" i="40" a="1"/>
  <c r="R27" i="40" s="1"/>
  <c r="V27" i="40" s="1"/>
  <c r="O27" i="40" a="1"/>
  <c r="O27" i="40" s="1"/>
  <c r="T27" i="40" s="1"/>
  <c r="Q27" i="40" a="1"/>
  <c r="Q27" i="40" s="1"/>
  <c r="U27" i="40" s="1"/>
  <c r="O338" i="40" a="1"/>
  <c r="O338" i="40" s="1"/>
  <c r="T338" i="40" s="1"/>
  <c r="Q338" i="40" a="1"/>
  <c r="Q338" i="40" s="1"/>
  <c r="U338" i="40" s="1"/>
  <c r="R338" i="40" a="1"/>
  <c r="R338" i="40" s="1"/>
  <c r="V338" i="40" s="1"/>
  <c r="M338" i="40" a="1"/>
  <c r="M338" i="40" s="1"/>
  <c r="S338" i="40" s="1"/>
  <c r="O445" i="40" a="1"/>
  <c r="O445" i="40" s="1"/>
  <c r="T445" i="40" s="1"/>
  <c r="N445" i="40" a="1"/>
  <c r="N445" i="40" s="1"/>
  <c r="Q445" i="40" a="1"/>
  <c r="Q445" i="40" s="1"/>
  <c r="U445" i="40" s="1"/>
  <c r="M445" i="40" a="1"/>
  <c r="M445" i="40" s="1"/>
  <c r="S445" i="40" s="1"/>
  <c r="M336" i="40" a="1"/>
  <c r="M336" i="40" s="1"/>
  <c r="S336" i="40" s="1"/>
  <c r="R336" i="40" a="1"/>
  <c r="R336" i="40" s="1"/>
  <c r="V336" i="40" s="1"/>
  <c r="Q336" i="40" a="1"/>
  <c r="Q336" i="40" s="1"/>
  <c r="U336" i="40" s="1"/>
  <c r="P336" i="40" a="1"/>
  <c r="P336" i="40" s="1"/>
  <c r="O336" i="40" a="1"/>
  <c r="O336" i="40" s="1"/>
  <c r="T336" i="40" s="1"/>
  <c r="P214" i="40" a="1"/>
  <c r="P214" i="40" s="1"/>
  <c r="N214" i="40" a="1"/>
  <c r="N214" i="40" s="1"/>
  <c r="O214" i="40" a="1"/>
  <c r="O214" i="40" s="1"/>
  <c r="T214" i="40" s="1"/>
  <c r="R214" i="40" a="1"/>
  <c r="R214" i="40" s="1"/>
  <c r="V214" i="40" s="1"/>
  <c r="N379" i="40" a="1"/>
  <c r="N379" i="40" s="1"/>
  <c r="Q698" i="40" a="1"/>
  <c r="Q698" i="40" s="1"/>
  <c r="U698" i="40" s="1"/>
  <c r="P338" i="40" a="1"/>
  <c r="P338" i="40" s="1"/>
  <c r="M193" i="40" a="1"/>
  <c r="M193" i="40" s="1"/>
  <c r="S193" i="40" s="1"/>
  <c r="R193" i="40" a="1"/>
  <c r="R193" i="40" s="1"/>
  <c r="V193" i="40" s="1"/>
  <c r="N193" i="40" a="1"/>
  <c r="N193" i="40" s="1"/>
  <c r="O193" i="40" a="1"/>
  <c r="O193" i="40" s="1"/>
  <c r="T193" i="40" s="1"/>
  <c r="N336" i="40" a="1"/>
  <c r="N336" i="40" s="1"/>
  <c r="N621" i="40" a="1"/>
  <c r="N621" i="40" s="1"/>
  <c r="P621" i="40" a="1"/>
  <c r="P621" i="40" s="1"/>
  <c r="O621" i="40" a="1"/>
  <c r="O621" i="40" s="1"/>
  <c r="T621" i="40" s="1"/>
  <c r="R621" i="40" a="1"/>
  <c r="R621" i="40" s="1"/>
  <c r="V621" i="40" s="1"/>
  <c r="M555" i="40" a="1"/>
  <c r="M555" i="40" s="1"/>
  <c r="S555" i="40" s="1"/>
  <c r="Q500" i="40" a="1"/>
  <c r="Q500" i="40" s="1"/>
  <c r="U500" i="40" s="1"/>
  <c r="O501" i="40" a="1"/>
  <c r="O501" i="40" s="1"/>
  <c r="T501" i="40" s="1"/>
  <c r="N60" i="40" a="1"/>
  <c r="N60" i="40" s="1"/>
  <c r="R60" i="40" a="1"/>
  <c r="R60" i="40" s="1"/>
  <c r="V60" i="40" s="1"/>
  <c r="Q60" i="40" a="1"/>
  <c r="Q60" i="40" s="1"/>
  <c r="U60" i="40" s="1"/>
  <c r="N338" i="40" a="1"/>
  <c r="N338" i="40" s="1"/>
  <c r="R523" i="40" a="1"/>
  <c r="R523" i="40" s="1"/>
  <c r="V523" i="40" s="1"/>
  <c r="O335" i="40" a="1"/>
  <c r="O335" i="40" s="1"/>
  <c r="T335" i="40" s="1"/>
  <c r="Q258" i="40" a="1"/>
  <c r="Q258" i="40" s="1"/>
  <c r="U258" i="40" s="1"/>
  <c r="R258" i="40" a="1"/>
  <c r="R258" i="40" s="1"/>
  <c r="V258" i="40" s="1"/>
  <c r="N27" i="40" a="1"/>
  <c r="N27" i="40" s="1"/>
  <c r="N500" i="40" a="1"/>
  <c r="N500" i="40" s="1"/>
  <c r="O500" i="40" a="1"/>
  <c r="O500" i="40" s="1"/>
  <c r="T500" i="40" s="1"/>
  <c r="M500" i="40" a="1"/>
  <c r="M500" i="40" s="1"/>
  <c r="S500" i="40" s="1"/>
  <c r="P698" i="40" a="1"/>
  <c r="P698" i="40" s="1"/>
  <c r="N258" i="40" a="1"/>
  <c r="N258" i="40" s="1"/>
  <c r="O457" i="40" a="1"/>
  <c r="O457" i="40" s="1"/>
  <c r="T457" i="40" s="1"/>
  <c r="P457" i="40" a="1"/>
  <c r="P457" i="40" s="1"/>
  <c r="M457" i="40" a="1"/>
  <c r="M457" i="40" s="1"/>
  <c r="S457" i="40" s="1"/>
  <c r="R457" i="40" a="1"/>
  <c r="R457" i="40" s="1"/>
  <c r="V457" i="40" s="1"/>
  <c r="Q457" i="40" a="1"/>
  <c r="Q457" i="40" s="1"/>
  <c r="U457" i="40" s="1"/>
  <c r="P71" i="40" a="1"/>
  <c r="P71" i="40" s="1"/>
  <c r="N38" i="40" a="1"/>
  <c r="N38" i="40" s="1"/>
  <c r="R138" i="40" a="1"/>
  <c r="R138" i="40" s="1"/>
  <c r="V138" i="40" s="1"/>
  <c r="P665" i="40" a="1"/>
  <c r="P665" i="40" s="1"/>
  <c r="M82" i="40" a="1"/>
  <c r="M82" i="40" s="1"/>
  <c r="S82" i="40" s="1"/>
  <c r="M687" i="40" a="1"/>
  <c r="M687" i="40" s="1"/>
  <c r="S687" i="40" s="1"/>
  <c r="N105" i="40" a="1"/>
  <c r="N105" i="40" s="1"/>
  <c r="O71" i="40" a="1"/>
  <c r="O71" i="40" s="1"/>
  <c r="T71" i="40" s="1"/>
  <c r="M38" i="40" a="1"/>
  <c r="M38" i="40" s="1"/>
  <c r="M138" i="40" a="1"/>
  <c r="M138" i="40" s="1"/>
  <c r="S138" i="40" s="1"/>
  <c r="M665" i="40" a="1"/>
  <c r="M665" i="40" s="1"/>
  <c r="S665" i="40" s="1"/>
  <c r="N82" i="40" a="1"/>
  <c r="N82" i="40" s="1"/>
  <c r="O687" i="40" a="1"/>
  <c r="O687" i="40" s="1"/>
  <c r="T687" i="40" s="1"/>
  <c r="P105" i="40" a="1"/>
  <c r="P105" i="40" s="1"/>
  <c r="O49" i="40" a="1"/>
  <c r="O49" i="40" s="1"/>
  <c r="T49" i="40" s="1"/>
  <c r="M106" i="40" a="1"/>
  <c r="M106" i="40" s="1"/>
  <c r="S106" i="40" s="1"/>
  <c r="P138" i="40" a="1"/>
  <c r="P138" i="40" s="1"/>
  <c r="O665" i="40" a="1"/>
  <c r="O665" i="40" s="1"/>
  <c r="T665" i="40" s="1"/>
  <c r="N687" i="40" a="1"/>
  <c r="N687" i="40" s="1"/>
  <c r="Q71" i="40" a="1"/>
  <c r="Q71" i="40" s="1"/>
  <c r="U71" i="40" s="1"/>
  <c r="R38" i="40" a="1"/>
  <c r="R38" i="40" s="1"/>
  <c r="V38" i="40" s="1"/>
  <c r="N138" i="40" a="1"/>
  <c r="N138" i="40" s="1"/>
  <c r="N665" i="40" a="1"/>
  <c r="N665" i="40" s="1"/>
  <c r="R82" i="40" a="1"/>
  <c r="R82" i="40" s="1"/>
  <c r="V82" i="40" s="1"/>
  <c r="R687" i="40" a="1"/>
  <c r="R687" i="40" s="1"/>
  <c r="V687" i="40" s="1"/>
  <c r="Q105" i="40" a="1"/>
  <c r="Q105" i="40" s="1"/>
  <c r="U105" i="40" s="1"/>
  <c r="H246" i="42" l="1"/>
  <c r="H180" i="42"/>
  <c r="S335" i="40"/>
  <c r="O60" i="31"/>
  <c r="S291" i="40"/>
  <c r="N59" i="31"/>
  <c r="I399" i="42"/>
  <c r="T93" i="40"/>
  <c r="G727" i="42"/>
  <c r="S621" i="40"/>
  <c r="S379" i="40"/>
  <c r="O59" i="31"/>
  <c r="S324" i="40"/>
  <c r="N60" i="31"/>
  <c r="S104" i="40"/>
  <c r="O56" i="31"/>
  <c r="S524" i="40"/>
  <c r="O57" i="31"/>
  <c r="G738" i="42"/>
  <c r="S632" i="40"/>
  <c r="G509" i="42"/>
  <c r="S280" i="40"/>
  <c r="S423" i="40"/>
  <c r="N55" i="31"/>
  <c r="S5" i="40"/>
  <c r="N57" i="31"/>
  <c r="G465" i="42"/>
  <c r="S214" i="40"/>
  <c r="G563" i="42"/>
  <c r="S247" i="40"/>
  <c r="G541" i="42"/>
  <c r="S302" i="40"/>
  <c r="S16" i="40"/>
  <c r="N58" i="31"/>
  <c r="S93" i="40"/>
  <c r="N56" i="31"/>
  <c r="G126" i="42"/>
  <c r="S38" i="40"/>
  <c r="O58" i="31"/>
  <c r="G104" i="42"/>
  <c r="S225" i="40"/>
  <c r="H585" i="42"/>
  <c r="G366" i="42"/>
  <c r="H148" i="42"/>
  <c r="L290" i="42"/>
  <c r="G93" i="42"/>
  <c r="I651" i="42"/>
  <c r="H694" i="42"/>
  <c r="I27" i="42"/>
  <c r="G191" i="42"/>
  <c r="F257" i="42"/>
  <c r="F629" i="42"/>
  <c r="F27" i="42"/>
  <c r="F399" i="42"/>
  <c r="F454" i="42"/>
  <c r="F82" i="42"/>
  <c r="F311" i="42"/>
  <c r="F683" i="42"/>
  <c r="F432" i="42"/>
  <c r="F60" i="42"/>
  <c r="F49" i="42"/>
  <c r="F421" i="42"/>
  <c r="G355" i="42"/>
  <c r="F355" i="42"/>
  <c r="F727" i="42"/>
  <c r="F16" i="42"/>
  <c r="F333" i="42"/>
  <c r="F705" i="42"/>
  <c r="F202" i="42"/>
  <c r="F574" i="42"/>
  <c r="F224" i="42"/>
  <c r="F596" i="42"/>
  <c r="F640" i="42"/>
  <c r="F268" i="42"/>
  <c r="F148" i="42"/>
  <c r="F520" i="42"/>
  <c r="F552" i="42"/>
  <c r="F180" i="42"/>
  <c r="F738" i="42"/>
  <c r="F366" i="42"/>
  <c r="F126" i="42"/>
  <c r="F498" i="42"/>
  <c r="F290" i="42"/>
  <c r="F662" i="42"/>
  <c r="F607" i="42"/>
  <c r="F235" i="42"/>
  <c r="F213" i="42"/>
  <c r="F585" i="42"/>
  <c r="F38" i="42"/>
  <c r="F410" i="42"/>
  <c r="F93" i="42"/>
  <c r="F465" i="42"/>
  <c r="F191" i="42"/>
  <c r="F563" i="42"/>
  <c r="F169" i="42"/>
  <c r="F541" i="42"/>
  <c r="F344" i="42"/>
  <c r="F716" i="42"/>
  <c r="F694" i="42"/>
  <c r="F322" i="42"/>
  <c r="F618" i="42"/>
  <c r="F246" i="42"/>
  <c r="F115" i="42"/>
  <c r="F487" i="42"/>
  <c r="F279" i="42"/>
  <c r="F651" i="42"/>
  <c r="F71" i="42"/>
  <c r="F443" i="42"/>
  <c r="F377" i="42"/>
  <c r="F5" i="42"/>
  <c r="G5" i="42"/>
  <c r="G476" i="42"/>
  <c r="F104" i="42"/>
  <c r="F476" i="42"/>
  <c r="F137" i="42"/>
  <c r="F509" i="42"/>
  <c r="I683" i="42"/>
  <c r="H16" i="42"/>
  <c r="I421" i="42"/>
  <c r="K607" i="42"/>
  <c r="I662" i="42"/>
  <c r="I290" i="42"/>
  <c r="I355" i="42"/>
  <c r="I727" i="42"/>
  <c r="J629" i="42"/>
  <c r="J257" i="42"/>
  <c r="L738" i="42"/>
  <c r="L366" i="42"/>
  <c r="J662" i="42"/>
  <c r="J290" i="42"/>
  <c r="I541" i="42"/>
  <c r="I169" i="42"/>
  <c r="D11" i="46" s="1"/>
  <c r="E11" i="46" s="1"/>
  <c r="F11" i="46" s="1"/>
  <c r="K322" i="42"/>
  <c r="K694" i="42"/>
  <c r="H27" i="42"/>
  <c r="H399" i="42"/>
  <c r="I563" i="42"/>
  <c r="I191" i="42"/>
  <c r="J148" i="42"/>
  <c r="J520" i="42"/>
  <c r="L180" i="42"/>
  <c r="L552" i="42"/>
  <c r="K213" i="42"/>
  <c r="K585" i="42"/>
  <c r="K49" i="42"/>
  <c r="K421" i="42"/>
  <c r="H333" i="42"/>
  <c r="H705" i="42"/>
  <c r="L563" i="42"/>
  <c r="L191" i="42"/>
  <c r="I640" i="42"/>
  <c r="I268" i="42"/>
  <c r="J246" i="42"/>
  <c r="J618" i="42"/>
  <c r="K27" i="42"/>
  <c r="K399" i="42"/>
  <c r="I443" i="42"/>
  <c r="I71" i="42"/>
  <c r="J716" i="42"/>
  <c r="J344" i="42"/>
  <c r="I432" i="42"/>
  <c r="I60" i="42"/>
  <c r="G574" i="42"/>
  <c r="G202" i="42"/>
  <c r="G224" i="42"/>
  <c r="G596" i="42"/>
  <c r="H552" i="42"/>
  <c r="K235" i="42"/>
  <c r="H322" i="42"/>
  <c r="H662" i="42"/>
  <c r="H290" i="42"/>
  <c r="J727" i="42"/>
  <c r="J355" i="42"/>
  <c r="I574" i="42"/>
  <c r="I202" i="42"/>
  <c r="L235" i="42"/>
  <c r="L607" i="42"/>
  <c r="G629" i="42"/>
  <c r="G257" i="42"/>
  <c r="H541" i="42"/>
  <c r="H169" i="42"/>
  <c r="L322" i="42"/>
  <c r="L694" i="42"/>
  <c r="J399" i="42"/>
  <c r="J27" i="42"/>
  <c r="J180" i="42"/>
  <c r="B15" i="52" s="1"/>
  <c r="J552" i="42"/>
  <c r="J213" i="42"/>
  <c r="J585" i="42"/>
  <c r="J421" i="42"/>
  <c r="J49" i="42"/>
  <c r="B21" i="52" s="1"/>
  <c r="C21" i="52" s="1" a="1"/>
  <c r="C21" i="52" s="1"/>
  <c r="I705" i="42"/>
  <c r="I333" i="42"/>
  <c r="I115" i="42"/>
  <c r="I487" i="42"/>
  <c r="K268" i="42"/>
  <c r="K640" i="42"/>
  <c r="K410" i="42"/>
  <c r="K38" i="42"/>
  <c r="K443" i="42"/>
  <c r="K71" i="42"/>
  <c r="H344" i="42"/>
  <c r="H716" i="42"/>
  <c r="J60" i="42"/>
  <c r="J432" i="42"/>
  <c r="G552" i="42"/>
  <c r="G180" i="42"/>
  <c r="K224" i="42"/>
  <c r="K596" i="42"/>
  <c r="H618" i="42"/>
  <c r="H257" i="42"/>
  <c r="E5" i="41" s="1"/>
  <c r="E55" i="31" s="1"/>
  <c r="H126" i="42"/>
  <c r="H498" i="42"/>
  <c r="H727" i="42"/>
  <c r="H355" i="42"/>
  <c r="H607" i="42"/>
  <c r="H235" i="42"/>
  <c r="L257" i="42"/>
  <c r="L629" i="42"/>
  <c r="J541" i="42"/>
  <c r="J169" i="42"/>
  <c r="L476" i="42"/>
  <c r="L104" i="42"/>
  <c r="J694" i="42"/>
  <c r="J322" i="42"/>
  <c r="G399" i="42"/>
  <c r="D62" i="46" s="1"/>
  <c r="E62" i="46" s="1"/>
  <c r="F62" i="46" s="1"/>
  <c r="G27" i="42"/>
  <c r="H454" i="42"/>
  <c r="H82" i="42"/>
  <c r="I552" i="42"/>
  <c r="I180" i="42"/>
  <c r="G246" i="42"/>
  <c r="G618" i="42"/>
  <c r="L49" i="42"/>
  <c r="L421" i="42"/>
  <c r="L705" i="42"/>
  <c r="L333" i="42"/>
  <c r="G487" i="42"/>
  <c r="D68" i="46" s="1"/>
  <c r="E68" i="46" s="1"/>
  <c r="F68" i="46" s="1"/>
  <c r="G115" i="42"/>
  <c r="L268" i="42"/>
  <c r="L640" i="42"/>
  <c r="I410" i="42"/>
  <c r="I38" i="42"/>
  <c r="H279" i="42"/>
  <c r="H651" i="42"/>
  <c r="L5" i="42"/>
  <c r="L377" i="42"/>
  <c r="L716" i="42"/>
  <c r="L344" i="42"/>
  <c r="H432" i="42"/>
  <c r="H60" i="42"/>
  <c r="L596" i="42"/>
  <c r="L224" i="42"/>
  <c r="J126" i="42"/>
  <c r="J498" i="42"/>
  <c r="G137" i="42"/>
  <c r="L202" i="42"/>
  <c r="L574" i="42"/>
  <c r="H18" i="42"/>
  <c r="E51" i="41" s="1"/>
  <c r="H21" i="42"/>
  <c r="H24" i="42"/>
  <c r="E57" i="41" s="1"/>
  <c r="H20" i="42"/>
  <c r="E53" i="41" s="1"/>
  <c r="H25" i="42"/>
  <c r="E58" i="41" s="1"/>
  <c r="H17" i="42"/>
  <c r="E50" i="41" s="1"/>
  <c r="H23" i="42"/>
  <c r="E56" i="41" s="1"/>
  <c r="H19" i="42"/>
  <c r="E52" i="41" s="1"/>
  <c r="L169" i="42"/>
  <c r="L541" i="42"/>
  <c r="I476" i="42"/>
  <c r="I104" i="42"/>
  <c r="L27" i="42"/>
  <c r="L399" i="42"/>
  <c r="I454" i="42"/>
  <c r="I82" i="42"/>
  <c r="K148" i="42"/>
  <c r="K520" i="42"/>
  <c r="H137" i="42"/>
  <c r="H509" i="42"/>
  <c r="J487" i="42"/>
  <c r="J115" i="42"/>
  <c r="J191" i="42"/>
  <c r="J563" i="42"/>
  <c r="J38" i="42"/>
  <c r="B20" i="52" s="1"/>
  <c r="C20" i="52" s="1" a="1"/>
  <c r="C20" i="52" s="1"/>
  <c r="J410" i="42"/>
  <c r="G279" i="42"/>
  <c r="G651" i="42"/>
  <c r="D54" i="46" s="1"/>
  <c r="E54" i="46" s="1"/>
  <c r="F54" i="46" s="1"/>
  <c r="J5" i="42"/>
  <c r="J377" i="42"/>
  <c r="G344" i="42"/>
  <c r="G716" i="42"/>
  <c r="L60" i="42"/>
  <c r="L432" i="42"/>
  <c r="L662" i="42"/>
  <c r="K202" i="42"/>
  <c r="K574" i="42"/>
  <c r="K290" i="42"/>
  <c r="K662" i="42"/>
  <c r="L93" i="42"/>
  <c r="L465" i="42"/>
  <c r="I738" i="42"/>
  <c r="I366" i="42"/>
  <c r="K257" i="42"/>
  <c r="K629" i="42"/>
  <c r="G16" i="42"/>
  <c r="G454" i="42"/>
  <c r="D66" i="46" s="1"/>
  <c r="E66" i="46" s="1"/>
  <c r="F66" i="46" s="1"/>
  <c r="G82" i="42"/>
  <c r="D34" i="46" s="1"/>
  <c r="E34" i="46" s="1"/>
  <c r="F34" i="46" s="1"/>
  <c r="I618" i="42"/>
  <c r="I246" i="42"/>
  <c r="K246" i="42"/>
  <c r="K618" i="42"/>
  <c r="L509" i="42"/>
  <c r="L137" i="42"/>
  <c r="K191" i="42"/>
  <c r="K563" i="42"/>
  <c r="H38" i="42"/>
  <c r="H410" i="42"/>
  <c r="H311" i="42"/>
  <c r="H683" i="42"/>
  <c r="K279" i="42"/>
  <c r="K651" i="42"/>
  <c r="G71" i="42"/>
  <c r="G443" i="42"/>
  <c r="D56" i="46" s="1"/>
  <c r="E56" i="46" s="1"/>
  <c r="F56" i="46" s="1"/>
  <c r="G377" i="42"/>
  <c r="K344" i="42"/>
  <c r="K716" i="42"/>
  <c r="K311" i="42"/>
  <c r="K683" i="42"/>
  <c r="I235" i="42"/>
  <c r="I607" i="42"/>
  <c r="H574" i="42"/>
  <c r="H202" i="42"/>
  <c r="I596" i="42"/>
  <c r="I224" i="42"/>
  <c r="G322" i="42"/>
  <c r="G694" i="42"/>
  <c r="I465" i="42"/>
  <c r="I93" i="42"/>
  <c r="K498" i="42"/>
  <c r="K126" i="42"/>
  <c r="J366" i="42"/>
  <c r="J738" i="42"/>
  <c r="G607" i="42"/>
  <c r="G235" i="42"/>
  <c r="J607" i="42"/>
  <c r="J235" i="42"/>
  <c r="J476" i="42"/>
  <c r="J104" i="42"/>
  <c r="L16" i="42"/>
  <c r="J454" i="42"/>
  <c r="J82" i="42"/>
  <c r="I585" i="42"/>
  <c r="I213" i="42"/>
  <c r="G333" i="42"/>
  <c r="D14" i="46" s="1"/>
  <c r="E14" i="46" s="1"/>
  <c r="F14" i="46" s="1"/>
  <c r="G705" i="42"/>
  <c r="D46" i="46" s="1"/>
  <c r="E46" i="46" s="1"/>
  <c r="F46" i="46" s="1"/>
  <c r="J509" i="42"/>
  <c r="J137" i="42"/>
  <c r="H487" i="42"/>
  <c r="H115" i="42"/>
  <c r="J268" i="42"/>
  <c r="B16" i="52" s="1"/>
  <c r="C16" i="52" s="1" a="1"/>
  <c r="C16" i="52" s="1"/>
  <c r="J640" i="42"/>
  <c r="H191" i="42"/>
  <c r="H563" i="42"/>
  <c r="I509" i="42"/>
  <c r="I137" i="42"/>
  <c r="G311" i="42"/>
  <c r="G683" i="42"/>
  <c r="D51" i="46" s="1"/>
  <c r="E51" i="46" s="1"/>
  <c r="F51" i="46" s="1"/>
  <c r="L651" i="42"/>
  <c r="L279" i="42"/>
  <c r="J71" i="42"/>
  <c r="B19" i="52" s="1"/>
  <c r="C19" i="52" s="1" a="1"/>
  <c r="C19" i="52" s="1"/>
  <c r="J443" i="42"/>
  <c r="K5" i="42"/>
  <c r="K377" i="42"/>
  <c r="I716" i="42"/>
  <c r="I344" i="42"/>
  <c r="I311" i="42"/>
  <c r="I49" i="42"/>
  <c r="L355" i="42"/>
  <c r="L727" i="42"/>
  <c r="H93" i="42"/>
  <c r="H465" i="42"/>
  <c r="I498" i="42"/>
  <c r="I126" i="42"/>
  <c r="K366" i="42"/>
  <c r="K738" i="42"/>
  <c r="H104" i="42"/>
  <c r="H476" i="42"/>
  <c r="J16" i="42"/>
  <c r="B17" i="52" s="1"/>
  <c r="C17" i="52" s="1" a="1"/>
  <c r="C17" i="52" s="1"/>
  <c r="L82" i="42"/>
  <c r="L454" i="42"/>
  <c r="L585" i="42"/>
  <c r="L213" i="42"/>
  <c r="K333" i="42"/>
  <c r="K705" i="42"/>
  <c r="L115" i="42"/>
  <c r="L487" i="42"/>
  <c r="H640" i="42"/>
  <c r="H268" i="42"/>
  <c r="I520" i="42"/>
  <c r="I148" i="42"/>
  <c r="K16" i="42"/>
  <c r="L683" i="42"/>
  <c r="L311" i="42"/>
  <c r="J279" i="42"/>
  <c r="J651" i="42"/>
  <c r="L443" i="42"/>
  <c r="L71" i="42"/>
  <c r="H5" i="42"/>
  <c r="H377" i="42"/>
  <c r="H224" i="42"/>
  <c r="H596" i="42"/>
  <c r="G498" i="42"/>
  <c r="I279" i="42"/>
  <c r="G290" i="42"/>
  <c r="G662" i="42"/>
  <c r="J93" i="42"/>
  <c r="J465" i="42"/>
  <c r="L498" i="42"/>
  <c r="L126" i="42"/>
  <c r="H366" i="42"/>
  <c r="H738" i="42"/>
  <c r="K169" i="42"/>
  <c r="K541" i="42"/>
  <c r="I694" i="42"/>
  <c r="I322" i="42"/>
  <c r="L38" i="42"/>
  <c r="L410" i="42"/>
  <c r="I16" i="42"/>
  <c r="L148" i="42"/>
  <c r="L520" i="42"/>
  <c r="K180" i="42"/>
  <c r="K552" i="42"/>
  <c r="G213" i="42"/>
  <c r="D20" i="46" s="1"/>
  <c r="E20" i="46" s="1"/>
  <c r="F20" i="46" s="1"/>
  <c r="G585" i="42"/>
  <c r="H49" i="42"/>
  <c r="H421" i="42"/>
  <c r="J333" i="42"/>
  <c r="J705" i="42"/>
  <c r="G38" i="42"/>
  <c r="D31" i="46" s="1"/>
  <c r="E31" i="46" s="1"/>
  <c r="F31" i="46" s="1"/>
  <c r="G410" i="42"/>
  <c r="G640" i="42"/>
  <c r="D50" i="46" s="1"/>
  <c r="E50" i="46" s="1"/>
  <c r="F50" i="46" s="1"/>
  <c r="G268" i="42"/>
  <c r="L618" i="42"/>
  <c r="L246" i="42"/>
  <c r="J311" i="42"/>
  <c r="B18" i="52" s="1"/>
  <c r="C18" i="52" s="1" a="1"/>
  <c r="C18" i="52" s="1"/>
  <c r="J683" i="42"/>
  <c r="G520" i="42"/>
  <c r="D42" i="46" s="1"/>
  <c r="E42" i="46" s="1"/>
  <c r="F42" i="46" s="1"/>
  <c r="G148" i="42"/>
  <c r="D10" i="46" s="1"/>
  <c r="E10" i="46" s="1"/>
  <c r="F10" i="46" s="1"/>
  <c r="H71" i="42"/>
  <c r="H443" i="42"/>
  <c r="I377" i="42"/>
  <c r="I5" i="42"/>
  <c r="G432" i="42"/>
  <c r="G60" i="42"/>
  <c r="G421" i="42"/>
  <c r="D64" i="46" s="1"/>
  <c r="E64" i="46" s="1"/>
  <c r="F64" i="46" s="1"/>
  <c r="G49" i="42"/>
  <c r="J596" i="42"/>
  <c r="J224" i="42"/>
  <c r="I629" i="42"/>
  <c r="I257" i="42"/>
  <c r="D55" i="46" l="1"/>
  <c r="E55" i="46" s="1"/>
  <c r="F55" i="46" s="1"/>
  <c r="D47" i="46"/>
  <c r="E47" i="46" s="1"/>
  <c r="F47" i="46" s="1"/>
  <c r="D18" i="46"/>
  <c r="E18" i="46" s="1"/>
  <c r="F18" i="46" s="1"/>
  <c r="D52" i="46"/>
  <c r="E52" i="46" s="1"/>
  <c r="F52" i="46" s="1"/>
  <c r="D53" i="46"/>
  <c r="E53" i="46" s="1"/>
  <c r="F53" i="46" s="1"/>
  <c r="D27" i="46"/>
  <c r="E27" i="46" s="1"/>
  <c r="F27" i="46" s="1"/>
  <c r="D45" i="46"/>
  <c r="E45" i="46" s="1"/>
  <c r="F45" i="46" s="1"/>
  <c r="D65" i="46"/>
  <c r="E65" i="46" s="1"/>
  <c r="F65" i="46" s="1"/>
  <c r="D32" i="46"/>
  <c r="E32" i="46" s="1"/>
  <c r="F32" i="46" s="1"/>
  <c r="D13" i="46"/>
  <c r="E13" i="46" s="1"/>
  <c r="F13" i="46" s="1"/>
  <c r="D61" i="46"/>
  <c r="E61" i="46" s="1"/>
  <c r="F61" i="46" s="1"/>
  <c r="D30" i="46"/>
  <c r="E30" i="46" s="1"/>
  <c r="F30" i="46" s="1"/>
  <c r="C15" i="52" a="1"/>
  <c r="C15" i="52" s="1"/>
  <c r="C22" i="52" s="1"/>
  <c r="B22" i="52"/>
  <c r="D24" i="46"/>
  <c r="E24" i="46" s="1"/>
  <c r="F24" i="46" s="1"/>
  <c r="D15" i="46"/>
  <c r="E15" i="46" s="1"/>
  <c r="F15" i="46" s="1"/>
  <c r="D40" i="46"/>
  <c r="E40" i="46" s="1"/>
  <c r="F40" i="46" s="1"/>
  <c r="N61" i="31"/>
  <c r="D26" i="46"/>
  <c r="E26" i="46" s="1"/>
  <c r="F26" i="46" s="1"/>
  <c r="D25" i="46"/>
  <c r="E25" i="46" s="1"/>
  <c r="F25" i="46" s="1"/>
  <c r="D8" i="46"/>
  <c r="E8" i="46" s="1"/>
  <c r="F8" i="46" s="1"/>
  <c r="D60" i="46"/>
  <c r="E60" i="46" s="1"/>
  <c r="F60" i="46" s="1"/>
  <c r="D28" i="46"/>
  <c r="E28" i="46" s="1"/>
  <c r="F28" i="46" s="1"/>
  <c r="D71" i="46"/>
  <c r="E71" i="46" s="1"/>
  <c r="F71" i="46" s="1"/>
  <c r="D63" i="46"/>
  <c r="E63" i="46" s="1"/>
  <c r="F63" i="46" s="1"/>
  <c r="D59" i="46"/>
  <c r="E59" i="46" s="1"/>
  <c r="F59" i="46" s="1"/>
  <c r="D36" i="46"/>
  <c r="E36" i="46" s="1"/>
  <c r="F36" i="46" s="1"/>
  <c r="D12" i="46"/>
  <c r="E12" i="46" s="1"/>
  <c r="F12" i="46" s="1"/>
  <c r="D17" i="46"/>
  <c r="E17" i="46" s="1"/>
  <c r="F17" i="46" s="1"/>
  <c r="D39" i="46"/>
  <c r="E39" i="46" s="1"/>
  <c r="F39" i="46" s="1"/>
  <c r="D44" i="46"/>
  <c r="E44" i="46" s="1"/>
  <c r="F44" i="46" s="1"/>
  <c r="D35" i="46"/>
  <c r="E35" i="46" s="1"/>
  <c r="F35" i="46" s="1"/>
  <c r="O61" i="31"/>
  <c r="D43" i="46"/>
  <c r="E43" i="46" s="1"/>
  <c r="F43" i="46" s="1"/>
  <c r="D33" i="46"/>
  <c r="E33" i="46" s="1"/>
  <c r="F33" i="46" s="1"/>
  <c r="D23" i="46"/>
  <c r="E23" i="46" s="1"/>
  <c r="F23" i="46" s="1"/>
  <c r="D19" i="46"/>
  <c r="E19" i="46" s="1"/>
  <c r="F19" i="46" s="1"/>
  <c r="D22" i="46"/>
  <c r="E22" i="46" s="1"/>
  <c r="F22" i="46" s="1"/>
  <c r="D21" i="46"/>
  <c r="E21" i="46" s="1"/>
  <c r="F21" i="46" s="1"/>
  <c r="D38" i="46"/>
  <c r="E38" i="46" s="1"/>
  <c r="F38" i="46" s="1"/>
  <c r="D29" i="46"/>
  <c r="E29" i="46" s="1"/>
  <c r="F29" i="46" s="1"/>
  <c r="D69" i="46"/>
  <c r="E69" i="46" s="1"/>
  <c r="F69" i="46" s="1"/>
  <c r="D57" i="46"/>
  <c r="E57" i="46" s="1"/>
  <c r="F57" i="46" s="1"/>
  <c r="D49" i="46"/>
  <c r="E49" i="46" s="1"/>
  <c r="F49" i="46" s="1"/>
  <c r="D9" i="46"/>
  <c r="E9" i="46" s="1"/>
  <c r="F9" i="46" s="1"/>
  <c r="D70" i="46"/>
  <c r="E70" i="46" s="1"/>
  <c r="F70" i="46" s="1"/>
  <c r="D16" i="46"/>
  <c r="E16" i="46" s="1"/>
  <c r="F16" i="46" s="1"/>
  <c r="D41" i="46"/>
  <c r="E41" i="46" s="1"/>
  <c r="F41" i="46" s="1"/>
  <c r="D37" i="46"/>
  <c r="E37" i="46" s="1"/>
  <c r="F37" i="46" s="1"/>
  <c r="D67" i="46"/>
  <c r="E67" i="46" s="1"/>
  <c r="F67" i="46" s="1"/>
  <c r="D48" i="46"/>
  <c r="E48" i="46" s="1"/>
  <c r="F48" i="46" s="1"/>
  <c r="E54" i="41"/>
  <c r="H31" i="44"/>
  <c r="F93" i="41"/>
  <c r="D49" i="41"/>
  <c r="D58" i="31" s="1"/>
  <c r="D16" i="41"/>
  <c r="D59" i="31" s="1"/>
  <c r="E38" i="41"/>
  <c r="E60" i="31" s="1"/>
  <c r="D71" i="41"/>
  <c r="E104" i="41"/>
  <c r="C27" i="26" s="1"/>
  <c r="K27" i="26" s="1"/>
  <c r="F27" i="41"/>
  <c r="F57" i="31" s="1"/>
  <c r="G71" i="41"/>
  <c r="I71" i="41"/>
  <c r="I16" i="41"/>
  <c r="J59" i="31" s="1"/>
  <c r="F49" i="41"/>
  <c r="F58" i="31" s="1"/>
  <c r="D38" i="41"/>
  <c r="D60" i="31" s="1"/>
  <c r="G49" i="41"/>
  <c r="G58" i="31" s="1" a="1"/>
  <c r="G58" i="31" s="1"/>
  <c r="G16" i="41"/>
  <c r="G59" i="31" s="1" a="1"/>
  <c r="G59" i="31" s="1"/>
  <c r="G82" i="41"/>
  <c r="G60" i="41"/>
  <c r="G56" i="31" s="1" a="1"/>
  <c r="G56" i="31" s="1"/>
  <c r="G115" i="41"/>
  <c r="E115" i="41"/>
  <c r="C28" i="26" s="1"/>
  <c r="G126" i="41"/>
  <c r="G93" i="41"/>
  <c r="G27" i="41"/>
  <c r="G57" i="31" s="1" a="1"/>
  <c r="G57" i="31" s="1"/>
  <c r="G104" i="41"/>
  <c r="G38" i="41"/>
  <c r="G60" i="31" s="1" a="1"/>
  <c r="G60" i="31" s="1"/>
  <c r="H93" i="41"/>
  <c r="I38" i="41"/>
  <c r="J60" i="31" s="1"/>
  <c r="H71" i="41"/>
  <c r="F126" i="41"/>
  <c r="E82" i="41"/>
  <c r="C25" i="26" s="1"/>
  <c r="M25" i="26" s="1"/>
  <c r="F104" i="41"/>
  <c r="F60" i="41"/>
  <c r="F56" i="31" s="1"/>
  <c r="E16" i="41"/>
  <c r="E59" i="31" s="1"/>
  <c r="E49" i="41"/>
  <c r="I49" i="41"/>
  <c r="J58" i="31" s="1"/>
  <c r="D60" i="41"/>
  <c r="D56" i="31" s="1"/>
  <c r="F115" i="41"/>
  <c r="I82" i="41"/>
  <c r="H27" i="41"/>
  <c r="I57" i="31" s="1"/>
  <c r="D93" i="41"/>
  <c r="I126" i="41"/>
  <c r="D126" i="41"/>
  <c r="E71" i="41"/>
  <c r="C24" i="26" s="1"/>
  <c r="D27" i="41"/>
  <c r="D57" i="31" s="1"/>
  <c r="I60" i="41"/>
  <c r="J56" i="31" s="1"/>
  <c r="E27" i="41"/>
  <c r="E57" i="31" s="1"/>
  <c r="F16" i="41"/>
  <c r="F59" i="31" s="1"/>
  <c r="D115" i="41"/>
  <c r="D82" i="41"/>
  <c r="F82" i="41"/>
  <c r="F38" i="41"/>
  <c r="F60" i="31" s="1"/>
  <c r="F71" i="41"/>
  <c r="I93" i="41"/>
  <c r="D104" i="41"/>
  <c r="I115" i="41"/>
  <c r="H82" i="41"/>
  <c r="I27" i="41"/>
  <c r="J57" i="31" s="1"/>
  <c r="H104" i="41"/>
  <c r="E126" i="41"/>
  <c r="C29" i="26" s="1"/>
  <c r="E93" i="41"/>
  <c r="C26" i="26" s="1"/>
  <c r="M26" i="26" s="1"/>
  <c r="I104" i="41"/>
  <c r="H16" i="41"/>
  <c r="I59" i="31" s="1"/>
  <c r="H38" i="41"/>
  <c r="I60" i="31" s="1"/>
  <c r="E60" i="41"/>
  <c r="E56" i="31" s="1"/>
  <c r="H5" i="41"/>
  <c r="I55" i="31" s="1"/>
  <c r="I5" i="41"/>
  <c r="J55" i="31" s="1"/>
  <c r="D5" i="41"/>
  <c r="D55" i="31" s="1"/>
  <c r="F5" i="41"/>
  <c r="F55" i="31" s="1"/>
  <c r="G123" i="41"/>
  <c r="G121" i="41"/>
  <c r="G119" i="41"/>
  <c r="G116" i="41"/>
  <c r="G5" i="41"/>
  <c r="G55" i="31" s="1" a="1"/>
  <c r="G55" i="31" s="1"/>
  <c r="H57" i="31" l="1"/>
  <c r="E35" i="52" s="1"/>
  <c r="G61" i="31"/>
  <c r="E68" i="52"/>
  <c r="E67" i="52"/>
  <c r="F61" i="31"/>
  <c r="F63" i="31" s="1"/>
  <c r="F62" i="31" s="1"/>
  <c r="E64" i="52"/>
  <c r="H60" i="31"/>
  <c r="E66" i="52"/>
  <c r="H59" i="31"/>
  <c r="H56" i="31"/>
  <c r="E37" i="52" s="1"/>
  <c r="H58" i="31"/>
  <c r="E33" i="52" s="1"/>
  <c r="H55" i="31"/>
  <c r="D61" i="31"/>
  <c r="D63" i="31" s="1"/>
  <c r="D62" i="31" s="1"/>
  <c r="J61" i="31"/>
  <c r="J63" i="31" s="1"/>
  <c r="J62" i="31" s="1"/>
  <c r="E58" i="31"/>
  <c r="E61" i="31" s="1"/>
  <c r="E65" i="52"/>
  <c r="E63" i="52"/>
  <c r="M10" i="31"/>
  <c r="M9" i="31"/>
  <c r="M8" i="31"/>
  <c r="M11" i="31"/>
  <c r="M7" i="31"/>
  <c r="M12" i="31"/>
  <c r="G24" i="26"/>
  <c r="D24" i="26"/>
  <c r="M24" i="26"/>
  <c r="J24" i="26"/>
  <c r="F24" i="26"/>
  <c r="E24" i="26"/>
  <c r="L24" i="26"/>
  <c r="I24" i="26"/>
  <c r="K24" i="26"/>
  <c r="H24" i="26"/>
  <c r="C58" i="31"/>
  <c r="C59" i="31"/>
  <c r="D10" i="26"/>
  <c r="C7" i="26"/>
  <c r="O7" i="26" s="1"/>
  <c r="I27" i="26"/>
  <c r="L27" i="26"/>
  <c r="C57" i="31"/>
  <c r="G27" i="26"/>
  <c r="C60" i="31"/>
  <c r="M27" i="26"/>
  <c r="E27" i="26"/>
  <c r="D27" i="26"/>
  <c r="F27" i="26"/>
  <c r="C6" i="26"/>
  <c r="I26" i="26"/>
  <c r="J26" i="26"/>
  <c r="G26" i="26"/>
  <c r="L26" i="26"/>
  <c r="D26" i="26"/>
  <c r="E26" i="26"/>
  <c r="F26" i="26"/>
  <c r="J27" i="26"/>
  <c r="K26" i="26"/>
  <c r="H27" i="26"/>
  <c r="C55" i="31"/>
  <c r="H26" i="26"/>
  <c r="C56" i="31"/>
  <c r="C16" i="26"/>
  <c r="O16" i="26" s="1"/>
  <c r="K25" i="26"/>
  <c r="J25" i="26"/>
  <c r="L25" i="26"/>
  <c r="F25" i="26"/>
  <c r="G25" i="26"/>
  <c r="I25" i="26"/>
  <c r="H25" i="26"/>
  <c r="E25" i="26"/>
  <c r="D25" i="26"/>
  <c r="M23" i="26"/>
  <c r="G28" i="26"/>
  <c r="J28" i="26"/>
  <c r="D28" i="26"/>
  <c r="H28" i="26"/>
  <c r="E28" i="26"/>
  <c r="I28" i="26"/>
  <c r="F28" i="26"/>
  <c r="K28" i="26"/>
  <c r="L28" i="26"/>
  <c r="M28" i="26"/>
  <c r="E23" i="26"/>
  <c r="D19" i="26"/>
  <c r="F23" i="26"/>
  <c r="H23" i="26"/>
  <c r="E29" i="26"/>
  <c r="H29" i="26"/>
  <c r="L29" i="26"/>
  <c r="M29" i="26"/>
  <c r="G29" i="26"/>
  <c r="J29" i="26"/>
  <c r="K29" i="26"/>
  <c r="F29" i="26"/>
  <c r="I29" i="26"/>
  <c r="D29" i="26"/>
  <c r="I23" i="26"/>
  <c r="D23" i="26"/>
  <c r="G23" i="26"/>
  <c r="C15" i="26"/>
  <c r="L23" i="26"/>
  <c r="J23" i="26"/>
  <c r="K23" i="26"/>
  <c r="K57" i="31" l="1"/>
  <c r="E36" i="52"/>
  <c r="H61" i="31"/>
  <c r="H63" i="31" s="1"/>
  <c r="H62" i="31" s="1"/>
  <c r="K55" i="31"/>
  <c r="E70" i="52"/>
  <c r="E32" i="52"/>
  <c r="D33" i="52" s="1"/>
  <c r="D34" i="52" s="1"/>
  <c r="K59" i="31"/>
  <c r="E34" i="52"/>
  <c r="K60" i="31"/>
  <c r="M13" i="31"/>
  <c r="AD7" i="26"/>
  <c r="AA7" i="26"/>
  <c r="R7" i="26"/>
  <c r="U5" i="26"/>
  <c r="F7" i="26"/>
  <c r="I7" i="26"/>
  <c r="X7" i="26"/>
  <c r="L7" i="26"/>
  <c r="AG7" i="26"/>
  <c r="U7" i="26"/>
  <c r="U6" i="26"/>
  <c r="F6" i="26"/>
  <c r="AA6" i="26"/>
  <c r="I5" i="26"/>
  <c r="I6" i="26"/>
  <c r="R6" i="26"/>
  <c r="L6" i="26"/>
  <c r="O6" i="26"/>
  <c r="AD5" i="26"/>
  <c r="F5" i="26"/>
  <c r="AG5" i="26"/>
  <c r="AD6" i="26"/>
  <c r="AA5" i="26"/>
  <c r="L5" i="26"/>
  <c r="AG6" i="26"/>
  <c r="X5" i="26"/>
  <c r="X6" i="26"/>
  <c r="O5" i="26"/>
  <c r="R5" i="26"/>
  <c r="F16" i="26"/>
  <c r="C61" i="31"/>
  <c r="F31" i="26"/>
  <c r="F33" i="26" s="1"/>
  <c r="AA16" i="26"/>
  <c r="U16" i="26"/>
  <c r="AG16" i="26"/>
  <c r="X16" i="26"/>
  <c r="I16" i="26"/>
  <c r="R16" i="26"/>
  <c r="AD16" i="26"/>
  <c r="L16" i="26"/>
  <c r="K31" i="26"/>
  <c r="K33" i="26" s="1"/>
  <c r="X15" i="26"/>
  <c r="U15" i="26"/>
  <c r="I15" i="26"/>
  <c r="F15" i="26"/>
  <c r="AD15" i="26"/>
  <c r="L15" i="26"/>
  <c r="AA15" i="26"/>
  <c r="O15" i="26"/>
  <c r="AG15" i="26"/>
  <c r="R15" i="26"/>
  <c r="I14" i="26"/>
  <c r="U14" i="26"/>
  <c r="O14" i="26"/>
  <c r="R14" i="26"/>
  <c r="AD14" i="26"/>
  <c r="AA14" i="26"/>
  <c r="L14" i="26"/>
  <c r="F14" i="26"/>
  <c r="X14" i="26"/>
  <c r="AG14" i="26"/>
  <c r="I31" i="26"/>
  <c r="I33" i="26" s="1"/>
  <c r="E31" i="26"/>
  <c r="E33" i="26" s="1"/>
  <c r="H31" i="26"/>
  <c r="H33" i="26" s="1"/>
  <c r="D31" i="26"/>
  <c r="D33" i="26" s="1"/>
  <c r="J31" i="26"/>
  <c r="J33" i="26" s="1"/>
  <c r="L31" i="26"/>
  <c r="L33" i="26" s="1"/>
  <c r="G31" i="26"/>
  <c r="G33" i="26" s="1"/>
  <c r="D35" i="52" l="1"/>
  <c r="D36" i="52" s="1"/>
  <c r="D37" i="52" s="1"/>
  <c r="C38" i="52"/>
  <c r="B62" i="52"/>
  <c r="B49" i="52"/>
  <c r="C49" i="52" s="1"/>
  <c r="B8" i="52"/>
  <c r="C9" i="52" s="1"/>
  <c r="D9" i="52" s="1"/>
  <c r="B51" i="52" l="1"/>
  <c r="C51" i="52" s="1"/>
  <c r="D50" i="52"/>
  <c r="E50" i="52" s="1"/>
  <c r="B69" i="52"/>
  <c r="C62" i="52"/>
  <c r="C69" i="52" s="1"/>
  <c r="F70" i="52" s="1"/>
  <c r="B10" i="52"/>
  <c r="D63" i="52" l="1"/>
  <c r="D64" i="52" s="1"/>
  <c r="D65" i="52" s="1"/>
  <c r="D66" i="52" s="1"/>
  <c r="D67" i="52" s="1"/>
  <c r="D68" i="52" s="1"/>
  <c r="C11" i="52"/>
  <c r="B12" i="52" s="1"/>
  <c r="H11" i="31"/>
  <c r="J11" i="31" s="1"/>
  <c r="D7" i="34"/>
  <c r="V61" i="8" s="1"/>
  <c r="Q61" i="8" s="1"/>
  <c r="D8" i="34"/>
  <c r="J12" i="33" l="1"/>
  <c r="L12" i="44" s="1"/>
  <c r="N12" i="44" s="1"/>
  <c r="AA61" i="8"/>
  <c r="V41" i="8"/>
  <c r="Q41" i="8" s="1"/>
  <c r="AA41" i="8" s="1"/>
  <c r="V49" i="8"/>
  <c r="Q49" i="8" s="1"/>
  <c r="Q923" i="40" a="1"/>
  <c r="Q923" i="40" s="1"/>
  <c r="U923" i="40" s="1"/>
  <c r="Q920" i="40" a="1"/>
  <c r="Q920" i="40" s="1"/>
  <c r="U920" i="40" s="1"/>
  <c r="Q921" i="40" a="1"/>
  <c r="Q921" i="40" s="1"/>
  <c r="U921" i="40" s="1"/>
  <c r="Q220" i="40" a="1"/>
  <c r="Q220" i="40" s="1"/>
  <c r="U220" i="40" s="1"/>
  <c r="Q223" i="40" a="1"/>
  <c r="Q223" i="40" s="1"/>
  <c r="U223" i="40" s="1"/>
  <c r="Q222" i="40" a="1"/>
  <c r="Q222" i="40" s="1"/>
  <c r="U222" i="40" s="1"/>
  <c r="Q216" i="40" a="1"/>
  <c r="Q216" i="40" s="1"/>
  <c r="U216" i="40" s="1"/>
  <c r="Q925" i="40" a="1"/>
  <c r="Q925" i="40" s="1"/>
  <c r="U925" i="40" s="1"/>
  <c r="Q918" i="40" a="1"/>
  <c r="Q918" i="40" s="1"/>
  <c r="U918" i="40" s="1"/>
  <c r="Q922" i="40" a="1"/>
  <c r="Q922" i="40" s="1"/>
  <c r="U922" i="40" s="1"/>
  <c r="Q928" i="40" a="1"/>
  <c r="Q928" i="40" s="1"/>
  <c r="U928" i="40" s="1"/>
  <c r="Q926" i="40" a="1"/>
  <c r="Q926" i="40" s="1"/>
  <c r="U926" i="40" s="1"/>
  <c r="Q218" i="40" a="1"/>
  <c r="Q218" i="40" s="1"/>
  <c r="U218" i="40" s="1"/>
  <c r="Q217" i="40" a="1"/>
  <c r="Q217" i="40" s="1"/>
  <c r="U217" i="40" s="1"/>
  <c r="Q221" i="40" a="1"/>
  <c r="Q221" i="40" s="1"/>
  <c r="U221" i="40" s="1"/>
  <c r="Q215" i="40" a="1"/>
  <c r="Q215" i="40" s="1"/>
  <c r="U215" i="40" s="1"/>
  <c r="Q219" i="40" a="1"/>
  <c r="Q219" i="40" s="1"/>
  <c r="U219" i="40" s="1"/>
  <c r="Q224" i="40" a="1"/>
  <c r="Q224" i="40" s="1"/>
  <c r="U224" i="40" s="1"/>
  <c r="Q919" i="40" a="1"/>
  <c r="Q919" i="40" s="1"/>
  <c r="U919" i="40" s="1"/>
  <c r="Q924" i="40" a="1"/>
  <c r="Q924" i="40" s="1"/>
  <c r="U924" i="40" s="1"/>
  <c r="Q927" i="40" a="1"/>
  <c r="Q927" i="40" s="1"/>
  <c r="U927" i="40" s="1"/>
  <c r="Q214" i="40" a="1"/>
  <c r="Q214" i="40" s="1"/>
  <c r="U214" i="40" s="1"/>
  <c r="V58" i="8"/>
  <c r="Q58" i="8" s="1"/>
  <c r="AA58" i="8" s="1"/>
  <c r="V60" i="8"/>
  <c r="Q60" i="8" s="1"/>
  <c r="AA60" i="8" s="1"/>
  <c r="V57" i="8"/>
  <c r="Q57" i="8" s="1"/>
  <c r="AA57" i="8" s="1"/>
  <c r="V65" i="8"/>
  <c r="Q65" i="8" s="1"/>
  <c r="V59" i="8"/>
  <c r="Q59" i="8" s="1"/>
  <c r="AA59" i="8" s="1"/>
  <c r="V62" i="8"/>
  <c r="Q62" i="8" s="1"/>
  <c r="J37" i="33" l="1"/>
  <c r="AA49" i="8"/>
  <c r="J14" i="33"/>
  <c r="L6" i="44" s="1"/>
  <c r="N6" i="44" s="1"/>
  <c r="AA62" i="8"/>
  <c r="J35" i="33"/>
  <c r="L15" i="44" s="1"/>
  <c r="N15" i="44" s="1"/>
  <c r="AA65" i="8"/>
  <c r="J17" i="33"/>
  <c r="L8" i="44" s="1"/>
  <c r="N8" i="44" s="1"/>
  <c r="J11" i="33"/>
  <c r="L11" i="44" s="1"/>
  <c r="N11" i="44" s="1"/>
  <c r="J9" i="33"/>
  <c r="L10" i="44" s="1"/>
  <c r="N10" i="44" s="1"/>
  <c r="K471" i="42"/>
  <c r="K99" i="42"/>
  <c r="Q876" i="40" a="1"/>
  <c r="Q876" i="40" s="1"/>
  <c r="U876" i="40" s="1"/>
  <c r="Q178" i="40" a="1"/>
  <c r="Q178" i="40" s="1"/>
  <c r="U178" i="40" s="1"/>
  <c r="Q866" i="40" a="1"/>
  <c r="Q866" i="40" s="1"/>
  <c r="U866" i="40" s="1"/>
  <c r="Q864" i="40" a="1"/>
  <c r="Q864" i="40" s="1"/>
  <c r="U864" i="40" s="1"/>
  <c r="Q170" i="40" a="1"/>
  <c r="Q170" i="40" s="1"/>
  <c r="U170" i="40" s="1"/>
  <c r="Q870" i="40" a="1"/>
  <c r="Q870" i="40" s="1"/>
  <c r="U870" i="40" s="1"/>
  <c r="Q166" i="40" a="1"/>
  <c r="Q166" i="40" s="1"/>
  <c r="U166" i="40" s="1"/>
  <c r="Q172" i="40" a="1"/>
  <c r="Q172" i="40" s="1"/>
  <c r="U172" i="40" s="1"/>
  <c r="Q174" i="40" a="1"/>
  <c r="Q174" i="40" s="1"/>
  <c r="U174" i="40" s="1"/>
  <c r="Q880" i="40" a="1"/>
  <c r="Q880" i="40" s="1"/>
  <c r="U880" i="40" s="1"/>
  <c r="Q872" i="40" a="1"/>
  <c r="Q872" i="40" s="1"/>
  <c r="U872" i="40" s="1"/>
  <c r="Q160" i="40" a="1"/>
  <c r="Q160" i="40" s="1"/>
  <c r="U160" i="40" s="1"/>
  <c r="Q176" i="40" a="1"/>
  <c r="Q176" i="40" s="1"/>
  <c r="U176" i="40" s="1"/>
  <c r="Q878" i="40" a="1"/>
  <c r="Q878" i="40" s="1"/>
  <c r="U878" i="40" s="1"/>
  <c r="Q162" i="40" a="1"/>
  <c r="Q162" i="40" s="1"/>
  <c r="U162" i="40" s="1"/>
  <c r="Q180" i="40" a="1"/>
  <c r="Q180" i="40" s="1"/>
  <c r="U180" i="40" s="1"/>
  <c r="Q868" i="40" a="1"/>
  <c r="Q868" i="40" s="1"/>
  <c r="U868" i="40" s="1"/>
  <c r="Q168" i="40" a="1"/>
  <c r="Q168" i="40" s="1"/>
  <c r="U168" i="40" s="1"/>
  <c r="Q164" i="40" a="1"/>
  <c r="Q164" i="40" s="1"/>
  <c r="U164" i="40" s="1"/>
  <c r="Q874" i="40" a="1"/>
  <c r="Q874" i="40" s="1"/>
  <c r="U874" i="40" s="1"/>
  <c r="Q882" i="40" a="1"/>
  <c r="Q882" i="40" s="1"/>
  <c r="U882" i="40" s="1"/>
  <c r="Q884" i="40" a="1"/>
  <c r="Q884" i="40" s="1"/>
  <c r="U884" i="40" s="1"/>
  <c r="Q907" i="40" a="1"/>
  <c r="Q907" i="40" s="1"/>
  <c r="U907" i="40" s="1"/>
  <c r="Q905" i="40" a="1"/>
  <c r="Q905" i="40" s="1"/>
  <c r="U905" i="40" s="1"/>
  <c r="Q899" i="40" a="1"/>
  <c r="Q899" i="40" s="1"/>
  <c r="U899" i="40" s="1"/>
  <c r="Q911" i="40" a="1"/>
  <c r="Q911" i="40" s="1"/>
  <c r="U911" i="40" s="1"/>
  <c r="Q199" i="40" a="1"/>
  <c r="Q199" i="40" s="1"/>
  <c r="U199" i="40" s="1"/>
  <c r="Q903" i="40" a="1"/>
  <c r="Q903" i="40" s="1"/>
  <c r="U903" i="40" s="1"/>
  <c r="Q205" i="40" a="1"/>
  <c r="Q205" i="40" s="1"/>
  <c r="U205" i="40" s="1"/>
  <c r="Q213" i="40" a="1"/>
  <c r="Q213" i="40" s="1"/>
  <c r="U213" i="40" s="1"/>
  <c r="Q917" i="40" a="1"/>
  <c r="Q917" i="40" s="1"/>
  <c r="U917" i="40" s="1"/>
  <c r="Q203" i="40" a="1"/>
  <c r="Q203" i="40" s="1"/>
  <c r="U203" i="40" s="1"/>
  <c r="Q901" i="40" a="1"/>
  <c r="Q901" i="40" s="1"/>
  <c r="U901" i="40" s="1"/>
  <c r="Q209" i="40" a="1"/>
  <c r="Q209" i="40" s="1"/>
  <c r="U209" i="40" s="1"/>
  <c r="Q909" i="40" a="1"/>
  <c r="Q909" i="40" s="1"/>
  <c r="U909" i="40" s="1"/>
  <c r="Q913" i="40" a="1"/>
  <c r="Q913" i="40" s="1"/>
  <c r="U913" i="40" s="1"/>
  <c r="Q195" i="40" a="1"/>
  <c r="Q195" i="40" s="1"/>
  <c r="U195" i="40" s="1"/>
  <c r="Q201" i="40" a="1"/>
  <c r="Q201" i="40" s="1"/>
  <c r="U201" i="40" s="1"/>
  <c r="Q207" i="40" a="1"/>
  <c r="Q207" i="40" s="1"/>
  <c r="U207" i="40" s="1"/>
  <c r="Q915" i="40" a="1"/>
  <c r="Q915" i="40" s="1"/>
  <c r="U915" i="40" s="1"/>
  <c r="Q211" i="40" a="1"/>
  <c r="Q211" i="40" s="1"/>
  <c r="U211" i="40" s="1"/>
  <c r="Q197" i="40" a="1"/>
  <c r="Q197" i="40" s="1"/>
  <c r="U197" i="40" s="1"/>
  <c r="Q897" i="40" a="1"/>
  <c r="Q897" i="40" s="1"/>
  <c r="U897" i="40" s="1"/>
  <c r="Q193" i="40" a="1"/>
  <c r="Q193" i="40" s="1"/>
  <c r="U193" i="40" s="1"/>
  <c r="Q1333" i="40" a="1"/>
  <c r="Q1333" i="40" s="1"/>
  <c r="U1333" i="40" s="1"/>
  <c r="Q1330" i="40" a="1"/>
  <c r="Q1330" i="40" s="1"/>
  <c r="U1330" i="40" s="1"/>
  <c r="Q1329" i="40" a="1"/>
  <c r="Q1329" i="40" s="1"/>
  <c r="U1329" i="40" s="1"/>
  <c r="Q628" i="40" a="1"/>
  <c r="Q628" i="40" s="1"/>
  <c r="U628" i="40" s="1"/>
  <c r="Q631" i="40" a="1"/>
  <c r="Q631" i="40" s="1"/>
  <c r="U631" i="40" s="1"/>
  <c r="Q626" i="40" a="1"/>
  <c r="Q626" i="40" s="1"/>
  <c r="U626" i="40" s="1"/>
  <c r="Q625" i="40" a="1"/>
  <c r="Q625" i="40" s="1"/>
  <c r="U625" i="40" s="1"/>
  <c r="Q627" i="40" a="1"/>
  <c r="Q627" i="40" s="1"/>
  <c r="U627" i="40" s="1"/>
  <c r="Q623" i="40" a="1"/>
  <c r="Q623" i="40" s="1"/>
  <c r="U623" i="40" s="1"/>
  <c r="Q1328" i="40" a="1"/>
  <c r="Q1328" i="40" s="1"/>
  <c r="U1328" i="40" s="1"/>
  <c r="Q1332" i="40" a="1"/>
  <c r="Q1332" i="40" s="1"/>
  <c r="U1332" i="40" s="1"/>
  <c r="Q1331" i="40" a="1"/>
  <c r="Q1331" i="40" s="1"/>
  <c r="U1331" i="40" s="1"/>
  <c r="Q1326" i="40" a="1"/>
  <c r="Q1326" i="40" s="1"/>
  <c r="U1326" i="40" s="1"/>
  <c r="Q1327" i="40" a="1"/>
  <c r="Q1327" i="40" s="1"/>
  <c r="U1327" i="40" s="1"/>
  <c r="Q622" i="40" a="1"/>
  <c r="Q622" i="40" s="1"/>
  <c r="U622" i="40" s="1"/>
  <c r="Q630" i="40" a="1"/>
  <c r="Q630" i="40" s="1"/>
  <c r="U630" i="40" s="1"/>
  <c r="Q629" i="40" a="1"/>
  <c r="Q629" i="40" s="1"/>
  <c r="U629" i="40" s="1"/>
  <c r="Q624" i="40" a="1"/>
  <c r="Q624" i="40" s="1"/>
  <c r="U624" i="40" s="1"/>
  <c r="Q1325" i="40" a="1"/>
  <c r="Q1325" i="40" s="1"/>
  <c r="U1325" i="40" s="1"/>
  <c r="Q1334" i="40" a="1"/>
  <c r="Q1334" i="40" s="1"/>
  <c r="U1334" i="40" s="1"/>
  <c r="Q1335" i="40" a="1"/>
  <c r="Q1335" i="40" s="1"/>
  <c r="U1335" i="40" s="1"/>
  <c r="Q621" i="40" a="1"/>
  <c r="Q621" i="40" s="1"/>
  <c r="U621" i="40" s="1"/>
  <c r="K96" i="42"/>
  <c r="K468" i="42"/>
  <c r="Q942" i="40" a="1"/>
  <c r="Q942" i="40" s="1"/>
  <c r="U942" i="40" s="1"/>
  <c r="Q947" i="40" a="1"/>
  <c r="Q947" i="40" s="1"/>
  <c r="U947" i="40" s="1"/>
  <c r="Q946" i="40" a="1"/>
  <c r="Q946" i="40" s="1"/>
  <c r="U946" i="40" s="1"/>
  <c r="Q237" i="40" a="1"/>
  <c r="Q237" i="40" s="1"/>
  <c r="U237" i="40" s="1"/>
  <c r="Q245" i="40" a="1"/>
  <c r="Q245" i="40" s="1"/>
  <c r="U245" i="40" s="1"/>
  <c r="Q244" i="40" a="1"/>
  <c r="Q244" i="40" s="1"/>
  <c r="U244" i="40" s="1"/>
  <c r="Q242" i="40" a="1"/>
  <c r="Q242" i="40" s="1"/>
  <c r="U242" i="40" s="1"/>
  <c r="Q246" i="40" a="1"/>
  <c r="Q246" i="40" s="1"/>
  <c r="U246" i="40" s="1"/>
  <c r="Q950" i="40" a="1"/>
  <c r="Q950" i="40" s="1"/>
  <c r="U950" i="40" s="1"/>
  <c r="Q948" i="40" a="1"/>
  <c r="Q948" i="40" s="1"/>
  <c r="U948" i="40" s="1"/>
  <c r="Q940" i="40" a="1"/>
  <c r="Q940" i="40" s="1"/>
  <c r="U940" i="40" s="1"/>
  <c r="Q943" i="40" a="1"/>
  <c r="Q943" i="40" s="1"/>
  <c r="U943" i="40" s="1"/>
  <c r="Q944" i="40" a="1"/>
  <c r="Q944" i="40" s="1"/>
  <c r="U944" i="40" s="1"/>
  <c r="Q949" i="40" a="1"/>
  <c r="Q949" i="40" s="1"/>
  <c r="U949" i="40" s="1"/>
  <c r="Q239" i="40" a="1"/>
  <c r="Q239" i="40" s="1"/>
  <c r="U239" i="40" s="1"/>
  <c r="Q243" i="40" a="1"/>
  <c r="Q243" i="40" s="1"/>
  <c r="U243" i="40" s="1"/>
  <c r="Q238" i="40" a="1"/>
  <c r="Q238" i="40" s="1"/>
  <c r="U238" i="40" s="1"/>
  <c r="Q241" i="40" a="1"/>
  <c r="Q241" i="40" s="1"/>
  <c r="U241" i="40" s="1"/>
  <c r="Q945" i="40" a="1"/>
  <c r="Q945" i="40" s="1"/>
  <c r="U945" i="40" s="1"/>
  <c r="Q941" i="40" a="1"/>
  <c r="Q941" i="40" s="1"/>
  <c r="U941" i="40" s="1"/>
  <c r="Q240" i="40" a="1"/>
  <c r="Q240" i="40" s="1"/>
  <c r="U240" i="40" s="1"/>
  <c r="Q236" i="40" a="1"/>
  <c r="Q236" i="40" s="1"/>
  <c r="U236" i="40" s="1"/>
  <c r="K465" i="42"/>
  <c r="K93" i="42"/>
  <c r="K470" i="42"/>
  <c r="K98" i="42"/>
  <c r="Q908" i="40" a="1"/>
  <c r="Q908" i="40" s="1"/>
  <c r="U908" i="40" s="1"/>
  <c r="Q914" i="40" a="1"/>
  <c r="Q914" i="40" s="1"/>
  <c r="U914" i="40" s="1"/>
  <c r="Q196" i="40" a="1"/>
  <c r="Q196" i="40" s="1"/>
  <c r="U196" i="40" s="1"/>
  <c r="Q202" i="40" a="1"/>
  <c r="Q202" i="40" s="1"/>
  <c r="U202" i="40" s="1"/>
  <c r="Q204" i="40" a="1"/>
  <c r="Q204" i="40" s="1"/>
  <c r="U204" i="40" s="1"/>
  <c r="Q210" i="40" a="1"/>
  <c r="Q210" i="40" s="1"/>
  <c r="U210" i="40" s="1"/>
  <c r="Q212" i="40" a="1"/>
  <c r="Q212" i="40" s="1"/>
  <c r="U212" i="40" s="1"/>
  <c r="Q910" i="40" a="1"/>
  <c r="Q910" i="40" s="1"/>
  <c r="U910" i="40" s="1"/>
  <c r="Q896" i="40" a="1"/>
  <c r="Q896" i="40" s="1"/>
  <c r="U896" i="40" s="1"/>
  <c r="Q916" i="40" a="1"/>
  <c r="Q916" i="40" s="1"/>
  <c r="U916" i="40" s="1"/>
  <c r="Q900" i="40" a="1"/>
  <c r="Q900" i="40" s="1"/>
  <c r="U900" i="40" s="1"/>
  <c r="Q912" i="40" a="1"/>
  <c r="Q912" i="40" s="1"/>
  <c r="U912" i="40" s="1"/>
  <c r="Q902" i="40" a="1"/>
  <c r="Q902" i="40" s="1"/>
  <c r="U902" i="40" s="1"/>
  <c r="Q206" i="40" a="1"/>
  <c r="Q206" i="40" s="1"/>
  <c r="U206" i="40" s="1"/>
  <c r="Q198" i="40" a="1"/>
  <c r="Q198" i="40" s="1"/>
  <c r="U198" i="40" s="1"/>
  <c r="Q194" i="40" a="1"/>
  <c r="Q194" i="40" s="1"/>
  <c r="U194" i="40" s="1"/>
  <c r="Q200" i="40" a="1"/>
  <c r="Q200" i="40" s="1"/>
  <c r="U200" i="40" s="1"/>
  <c r="Q208" i="40" a="1"/>
  <c r="Q208" i="40" s="1"/>
  <c r="U208" i="40" s="1"/>
  <c r="Q904" i="40" a="1"/>
  <c r="Q904" i="40" s="1"/>
  <c r="U904" i="40" s="1"/>
  <c r="Q898" i="40" a="1"/>
  <c r="Q898" i="40" s="1"/>
  <c r="U898" i="40" s="1"/>
  <c r="Q906" i="40" a="1"/>
  <c r="Q906" i="40" s="1"/>
  <c r="U906" i="40" s="1"/>
  <c r="Q192" i="40" a="1"/>
  <c r="Q192" i="40" s="1"/>
  <c r="U192" i="40" s="1"/>
  <c r="Q863" i="40" a="1"/>
  <c r="Q863" i="40" s="1"/>
  <c r="U863" i="40" s="1"/>
  <c r="Q881" i="40" a="1"/>
  <c r="Q881" i="40" s="1"/>
  <c r="U881" i="40" s="1"/>
  <c r="Q873" i="40" a="1"/>
  <c r="Q873" i="40" s="1"/>
  <c r="U873" i="40" s="1"/>
  <c r="Q175" i="40" a="1"/>
  <c r="Q175" i="40" s="1"/>
  <c r="U175" i="40" s="1"/>
  <c r="Q161" i="40" a="1"/>
  <c r="Q161" i="40" s="1"/>
  <c r="U161" i="40" s="1"/>
  <c r="Q879" i="40" a="1"/>
  <c r="Q879" i="40" s="1"/>
  <c r="U879" i="40" s="1"/>
  <c r="Q875" i="40" a="1"/>
  <c r="Q875" i="40" s="1"/>
  <c r="U875" i="40" s="1"/>
  <c r="Q871" i="40" a="1"/>
  <c r="Q871" i="40" s="1"/>
  <c r="U871" i="40" s="1"/>
  <c r="Q869" i="40" a="1"/>
  <c r="Q869" i="40" s="1"/>
  <c r="U869" i="40" s="1"/>
  <c r="Q867" i="40" a="1"/>
  <c r="Q867" i="40" s="1"/>
  <c r="U867" i="40" s="1"/>
  <c r="Q877" i="40" a="1"/>
  <c r="Q877" i="40" s="1"/>
  <c r="U877" i="40" s="1"/>
  <c r="Q165" i="40" a="1"/>
  <c r="Q165" i="40" s="1"/>
  <c r="U165" i="40" s="1"/>
  <c r="Q163" i="40" a="1"/>
  <c r="Q163" i="40" s="1"/>
  <c r="U163" i="40" s="1"/>
  <c r="Q171" i="40" a="1"/>
  <c r="Q171" i="40" s="1"/>
  <c r="U171" i="40" s="1"/>
  <c r="Q865" i="40" a="1"/>
  <c r="Q865" i="40" s="1"/>
  <c r="U865" i="40" s="1"/>
  <c r="Q883" i="40" a="1"/>
  <c r="Q883" i="40" s="1"/>
  <c r="U883" i="40" s="1"/>
  <c r="Q179" i="40" a="1"/>
  <c r="Q179" i="40" s="1"/>
  <c r="U179" i="40" s="1"/>
  <c r="Q169" i="40" a="1"/>
  <c r="Q169" i="40" s="1"/>
  <c r="U169" i="40" s="1"/>
  <c r="Q177" i="40" a="1"/>
  <c r="Q177" i="40" s="1"/>
  <c r="U177" i="40" s="1"/>
  <c r="Q167" i="40" a="1"/>
  <c r="Q167" i="40" s="1"/>
  <c r="U167" i="40" s="1"/>
  <c r="Q173" i="40" a="1"/>
  <c r="Q173" i="40" s="1"/>
  <c r="U173" i="40" s="1"/>
  <c r="Q159" i="40" a="1"/>
  <c r="Q159" i="40" s="1"/>
  <c r="U159" i="40" s="1"/>
  <c r="K466" i="42"/>
  <c r="K94" i="42"/>
  <c r="Q939" i="40" a="1"/>
  <c r="Q939" i="40" s="1"/>
  <c r="U939" i="40" s="1"/>
  <c r="Q935" i="40" a="1"/>
  <c r="Q935" i="40" s="1"/>
  <c r="U935" i="40" s="1"/>
  <c r="Q936" i="40" a="1"/>
  <c r="Q936" i="40" s="1"/>
  <c r="U936" i="40" s="1"/>
  <c r="Q933" i="40" a="1"/>
  <c r="Q933" i="40" s="1"/>
  <c r="U933" i="40" s="1"/>
  <c r="Q929" i="40" a="1"/>
  <c r="Q929" i="40" s="1"/>
  <c r="U929" i="40" s="1"/>
  <c r="Q932" i="40" a="1"/>
  <c r="Q932" i="40" s="1"/>
  <c r="U932" i="40" s="1"/>
  <c r="Q934" i="40" a="1"/>
  <c r="Q934" i="40" s="1"/>
  <c r="U934" i="40" s="1"/>
  <c r="Q938" i="40" a="1"/>
  <c r="Q938" i="40" s="1"/>
  <c r="U938" i="40" s="1"/>
  <c r="Q234" i="40" a="1"/>
  <c r="Q234" i="40" s="1"/>
  <c r="U234" i="40" s="1"/>
  <c r="Q930" i="40" a="1"/>
  <c r="Q930" i="40" s="1"/>
  <c r="U930" i="40" s="1"/>
  <c r="Q937" i="40" a="1"/>
  <c r="Q937" i="40" s="1"/>
  <c r="U937" i="40" s="1"/>
  <c r="Q931" i="40" a="1"/>
  <c r="Q931" i="40" s="1"/>
  <c r="U931" i="40" s="1"/>
  <c r="Q225" i="40" a="1"/>
  <c r="Q225" i="40" s="1"/>
  <c r="U225" i="40" s="1"/>
  <c r="Q230" i="40" a="1"/>
  <c r="Q230" i="40" s="1"/>
  <c r="U230" i="40" s="1"/>
  <c r="Q232" i="40" a="1"/>
  <c r="Q232" i="40" s="1"/>
  <c r="U232" i="40" s="1"/>
  <c r="Q235" i="40" a="1"/>
  <c r="Q235" i="40" s="1"/>
  <c r="U235" i="40" s="1"/>
  <c r="Q231" i="40" a="1"/>
  <c r="Q231" i="40" s="1"/>
  <c r="U231" i="40" s="1"/>
  <c r="Q229" i="40" a="1"/>
  <c r="Q229" i="40" s="1"/>
  <c r="U229" i="40" s="1"/>
  <c r="Q227" i="40" a="1"/>
  <c r="Q227" i="40" s="1"/>
  <c r="U227" i="40" s="1"/>
  <c r="Q228" i="40" a="1"/>
  <c r="Q228" i="40" s="1"/>
  <c r="U228" i="40" s="1"/>
  <c r="Q233" i="40" a="1"/>
  <c r="Q233" i="40" s="1"/>
  <c r="U233" i="40" s="1"/>
  <c r="Q226" i="40" a="1"/>
  <c r="Q226" i="40" s="1"/>
  <c r="U226" i="40" s="1"/>
  <c r="K103" i="42"/>
  <c r="K475" i="42"/>
  <c r="K100" i="42"/>
  <c r="K472" i="42"/>
  <c r="K467" i="42"/>
  <c r="K95" i="42"/>
  <c r="K101" i="42"/>
  <c r="K473" i="42"/>
  <c r="Q985" i="40" a="1"/>
  <c r="Q985" i="40" s="1"/>
  <c r="U985" i="40" s="1"/>
  <c r="Q991" i="40" a="1"/>
  <c r="Q991" i="40" s="1"/>
  <c r="U991" i="40" s="1"/>
  <c r="Q289" i="40" a="1"/>
  <c r="Q289" i="40" s="1"/>
  <c r="U289" i="40" s="1"/>
  <c r="Q288" i="40" a="1"/>
  <c r="Q288" i="40" s="1"/>
  <c r="U288" i="40" s="1"/>
  <c r="Q984" i="40" a="1"/>
  <c r="Q984" i="40" s="1"/>
  <c r="U984" i="40" s="1"/>
  <c r="Q993" i="40" a="1"/>
  <c r="Q993" i="40" s="1"/>
  <c r="U993" i="40" s="1"/>
  <c r="Q987" i="40" a="1"/>
  <c r="Q987" i="40" s="1"/>
  <c r="U987" i="40" s="1"/>
  <c r="Q287" i="40" a="1"/>
  <c r="Q287" i="40" s="1"/>
  <c r="U287" i="40" s="1"/>
  <c r="Q992" i="40" a="1"/>
  <c r="Q992" i="40" s="1"/>
  <c r="U992" i="40" s="1"/>
  <c r="Q986" i="40" a="1"/>
  <c r="Q986" i="40" s="1"/>
  <c r="U986" i="40" s="1"/>
  <c r="Q990" i="40" a="1"/>
  <c r="Q990" i="40" s="1"/>
  <c r="U990" i="40" s="1"/>
  <c r="Q282" i="40" a="1"/>
  <c r="Q282" i="40" s="1"/>
  <c r="U282" i="40" s="1"/>
  <c r="Q284" i="40" a="1"/>
  <c r="Q284" i="40" s="1"/>
  <c r="U284" i="40" s="1"/>
  <c r="Q281" i="40" a="1"/>
  <c r="Q281" i="40" s="1"/>
  <c r="U281" i="40" s="1"/>
  <c r="Q283" i="40" a="1"/>
  <c r="Q283" i="40" s="1"/>
  <c r="U283" i="40" s="1"/>
  <c r="Q988" i="40" a="1"/>
  <c r="Q988" i="40" s="1"/>
  <c r="U988" i="40" s="1"/>
  <c r="Q994" i="40" a="1"/>
  <c r="Q994" i="40" s="1"/>
  <c r="U994" i="40" s="1"/>
  <c r="Q989" i="40" a="1"/>
  <c r="Q989" i="40" s="1"/>
  <c r="U989" i="40" s="1"/>
  <c r="Q286" i="40" a="1"/>
  <c r="Q286" i="40" s="1"/>
  <c r="U286" i="40" s="1"/>
  <c r="Q290" i="40" a="1"/>
  <c r="Q290" i="40" s="1"/>
  <c r="U290" i="40" s="1"/>
  <c r="Q285" i="40" a="1"/>
  <c r="Q285" i="40" s="1"/>
  <c r="U285" i="40" s="1"/>
  <c r="Q280" i="40" a="1"/>
  <c r="Q280" i="40" s="1"/>
  <c r="U280" i="40" s="1"/>
  <c r="K469" i="42"/>
  <c r="K97" i="42"/>
  <c r="K474" i="42"/>
  <c r="K102" i="42"/>
  <c r="H10" i="31" l="1"/>
  <c r="J10" i="31" s="1"/>
  <c r="L27" i="44"/>
  <c r="N27" i="44" s="1"/>
  <c r="H8" i="31"/>
  <c r="J8" i="31" s="1"/>
  <c r="L16" i="44"/>
  <c r="N16" i="44" s="1"/>
  <c r="K515" i="42"/>
  <c r="K143" i="42"/>
  <c r="K146" i="42"/>
  <c r="K518" i="42"/>
  <c r="K108" i="42"/>
  <c r="K480" i="42"/>
  <c r="K437" i="42"/>
  <c r="K65" i="42"/>
  <c r="L25" i="44" s="1"/>
  <c r="K455" i="42"/>
  <c r="K83" i="42"/>
  <c r="K120" i="42"/>
  <c r="L21" i="44" s="1"/>
  <c r="K492" i="42"/>
  <c r="K730" i="42"/>
  <c r="K358" i="42"/>
  <c r="K519" i="42"/>
  <c r="K147" i="42"/>
  <c r="K139" i="42"/>
  <c r="K511" i="42"/>
  <c r="K478" i="42"/>
  <c r="K106" i="42"/>
  <c r="K441" i="42"/>
  <c r="K69" i="42"/>
  <c r="K110" i="42"/>
  <c r="K482" i="42"/>
  <c r="K113" i="42"/>
  <c r="K485" i="42"/>
  <c r="K442" i="42"/>
  <c r="K70" i="42"/>
  <c r="K457" i="42"/>
  <c r="K85" i="42"/>
  <c r="K92" i="42"/>
  <c r="K464" i="42"/>
  <c r="K489" i="42"/>
  <c r="K117" i="42"/>
  <c r="K735" i="42"/>
  <c r="K363" i="42"/>
  <c r="K357" i="42"/>
  <c r="K729" i="42"/>
  <c r="K114" i="42"/>
  <c r="K486" i="42"/>
  <c r="K454" i="42"/>
  <c r="K82" i="42"/>
  <c r="K461" i="42"/>
  <c r="K89" i="42"/>
  <c r="K91" i="42"/>
  <c r="K463" i="42"/>
  <c r="K122" i="42"/>
  <c r="K494" i="42"/>
  <c r="K125" i="42"/>
  <c r="K497" i="42"/>
  <c r="K364" i="42"/>
  <c r="K736" i="42"/>
  <c r="K361" i="42"/>
  <c r="K733" i="42"/>
  <c r="K88" i="42"/>
  <c r="K460" i="42"/>
  <c r="K490" i="42"/>
  <c r="K118" i="42"/>
  <c r="K493" i="42"/>
  <c r="K121" i="42"/>
  <c r="K356" i="42"/>
  <c r="K728" i="42"/>
  <c r="K359" i="42"/>
  <c r="K731" i="42"/>
  <c r="K111" i="42"/>
  <c r="K483" i="42"/>
  <c r="K140" i="42"/>
  <c r="K512" i="42"/>
  <c r="K477" i="42"/>
  <c r="K105" i="42"/>
  <c r="K109" i="42"/>
  <c r="K481" i="42"/>
  <c r="K432" i="42"/>
  <c r="K60" i="42"/>
  <c r="K438" i="42"/>
  <c r="K66" i="42"/>
  <c r="K87" i="42"/>
  <c r="K459" i="42"/>
  <c r="K115" i="42"/>
  <c r="K487" i="42"/>
  <c r="K123" i="42"/>
  <c r="K495" i="42"/>
  <c r="K355" i="42"/>
  <c r="K727" i="42"/>
  <c r="K732" i="42"/>
  <c r="K360" i="42"/>
  <c r="K144" i="42"/>
  <c r="K516" i="42"/>
  <c r="K509" i="42"/>
  <c r="K137" i="42"/>
  <c r="K510" i="42"/>
  <c r="K138" i="42"/>
  <c r="K484" i="42"/>
  <c r="K112" i="42"/>
  <c r="K104" i="42"/>
  <c r="K476" i="42"/>
  <c r="K439" i="42"/>
  <c r="K67" i="42"/>
  <c r="K434" i="42"/>
  <c r="K62" i="42"/>
  <c r="K61" i="42"/>
  <c r="K433" i="42"/>
  <c r="K84" i="42"/>
  <c r="K456" i="42"/>
  <c r="K491" i="42"/>
  <c r="K119" i="42"/>
  <c r="K124" i="42"/>
  <c r="K496" i="42"/>
  <c r="K365" i="42"/>
  <c r="K737" i="42"/>
  <c r="K514" i="42"/>
  <c r="K142" i="42"/>
  <c r="K141" i="42"/>
  <c r="K513" i="42"/>
  <c r="K479" i="42"/>
  <c r="K107" i="42"/>
  <c r="K64" i="42"/>
  <c r="K436" i="42"/>
  <c r="K63" i="42"/>
  <c r="K435" i="42"/>
  <c r="K68" i="42"/>
  <c r="K440" i="42"/>
  <c r="K90" i="42"/>
  <c r="K462" i="42"/>
  <c r="K488" i="42"/>
  <c r="K116" i="42"/>
  <c r="K362" i="42"/>
  <c r="K734" i="42"/>
  <c r="K145" i="42"/>
  <c r="K517" i="42"/>
  <c r="K458" i="42"/>
  <c r="K86" i="42"/>
  <c r="H13" i="31" l="1"/>
  <c r="L30" i="44"/>
  <c r="N30" i="44" s="1"/>
  <c r="L26" i="44"/>
  <c r="N26" i="44" s="1"/>
  <c r="N23" i="44"/>
  <c r="N25" i="44"/>
  <c r="H58" i="41"/>
  <c r="H124" i="41"/>
  <c r="N21" i="44"/>
  <c r="H55" i="41"/>
  <c r="H52" i="41"/>
  <c r="H121" i="41"/>
  <c r="H51" i="41"/>
  <c r="H118" i="41"/>
  <c r="H134" i="41"/>
  <c r="H129" i="41"/>
  <c r="H115" i="41"/>
  <c r="H127" i="41"/>
  <c r="H66" i="41"/>
  <c r="H128" i="41"/>
  <c r="H132" i="41"/>
  <c r="H125" i="41"/>
  <c r="H63" i="41"/>
  <c r="H49" i="41"/>
  <c r="H59" i="41"/>
  <c r="H130" i="41"/>
  <c r="H57" i="41"/>
  <c r="H50" i="41"/>
  <c r="H65" i="41"/>
  <c r="H64" i="41"/>
  <c r="H61" i="41"/>
  <c r="H123" i="41"/>
  <c r="H116" i="41"/>
  <c r="H131" i="41"/>
  <c r="H62" i="41"/>
  <c r="H70" i="41"/>
  <c r="H69" i="41"/>
  <c r="H119" i="41"/>
  <c r="H136" i="41"/>
  <c r="H135" i="41"/>
  <c r="H53" i="41"/>
  <c r="H67" i="41"/>
  <c r="H60" i="41"/>
  <c r="H122" i="41"/>
  <c r="H68" i="41"/>
  <c r="H133" i="41"/>
  <c r="H126" i="41"/>
  <c r="H56" i="41"/>
  <c r="H117" i="41"/>
  <c r="H120" i="41"/>
  <c r="H54" i="41"/>
  <c r="I58" i="31" s="1"/>
  <c r="K58" i="31" s="1"/>
  <c r="J13" i="31" l="1"/>
  <c r="J15" i="31" s="1"/>
  <c r="J14" i="31" s="1"/>
  <c r="H15" i="31"/>
  <c r="H14" i="31" s="1"/>
  <c r="I56" i="31"/>
  <c r="I61" i="31" s="1"/>
  <c r="I63" i="31" s="1"/>
  <c r="I62" i="31" s="1"/>
  <c r="L31" i="44"/>
  <c r="N31" i="44" s="1"/>
  <c r="D9" i="26"/>
  <c r="J8" i="26" s="1"/>
  <c r="D18" i="26"/>
  <c r="AE18" i="26" s="1"/>
  <c r="K56" i="31" l="1"/>
  <c r="K61" i="31"/>
  <c r="AE8" i="26"/>
  <c r="AB9" i="26"/>
  <c r="S8" i="26"/>
  <c r="G9" i="26"/>
  <c r="AH8" i="26"/>
  <c r="AE9" i="26"/>
  <c r="Y8" i="26"/>
  <c r="M9" i="26"/>
  <c r="Y9" i="26"/>
  <c r="AB8" i="26"/>
  <c r="P9" i="26"/>
  <c r="J9" i="26"/>
  <c r="P8" i="26"/>
  <c r="AH9" i="26"/>
  <c r="S9" i="26"/>
  <c r="V9" i="26"/>
  <c r="G8" i="26"/>
  <c r="M8" i="26"/>
  <c r="V8" i="26"/>
  <c r="Y18" i="26"/>
  <c r="AB17" i="26"/>
  <c r="P18" i="26"/>
  <c r="AH17" i="26"/>
  <c r="AH18" i="26"/>
  <c r="AE17" i="26"/>
  <c r="P17" i="26"/>
  <c r="J17" i="26"/>
  <c r="S17" i="26"/>
  <c r="M18" i="26"/>
  <c r="Y17" i="26"/>
  <c r="M17" i="26"/>
  <c r="V18" i="26"/>
  <c r="G18" i="26"/>
  <c r="G17" i="26"/>
  <c r="V17" i="26"/>
  <c r="AB18" i="26"/>
  <c r="J18" i="26"/>
  <c r="S18" i="26"/>
  <c r="O13" i="31"/>
  <c r="K63" i="31" l="1"/>
  <c r="K62"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Emma Brocken (SiRM)</author>
    <author>Marie Hiemstra (SiRM)</author>
  </authors>
  <commentList>
    <comment ref="M6" authorId="0" shapeId="0" xr:uid="{087A0ED0-11F6-4578-8CFE-FB714844BA9A}">
      <text>
        <r>
          <rPr>
            <sz val="9"/>
            <color indexed="81"/>
            <rFont val="Tahoma"/>
            <family val="2"/>
          </rPr>
          <t>Overgenomen uit bron, gecorrigeerd voor aandeel personeel en overige</t>
        </r>
      </text>
    </comment>
    <comment ref="P6" authorId="0" shapeId="0" xr:uid="{E82715D6-0F19-412E-B2CB-091DA7C03213}">
      <text>
        <r>
          <rPr>
            <sz val="9"/>
            <color indexed="81"/>
            <rFont val="Tahoma"/>
            <family val="2"/>
          </rPr>
          <t>Overgenomen uit bron, gecorrigeerd voor aandeel personeel en overige</t>
        </r>
      </text>
    </comment>
    <comment ref="W6" authorId="0" shapeId="0" xr:uid="{45FA7C39-5F96-4AEB-85A7-C3CB84D97EBE}">
      <text>
        <r>
          <rPr>
            <sz val="9"/>
            <color indexed="81"/>
            <rFont val="Tahoma"/>
            <family val="2"/>
          </rPr>
          <t>Rechtstreeks overgenomen uit bron</t>
        </r>
      </text>
    </comment>
    <comment ref="X7" authorId="0" shapeId="0" xr:uid="{3BB62B57-9D63-431C-9A1E-496884006659}">
      <text>
        <r>
          <rPr>
            <sz val="9"/>
            <color indexed="81"/>
            <rFont val="Tahoma"/>
            <family val="2"/>
          </rPr>
          <t>Rechtstreeks overgenomen uit bron</t>
        </r>
      </text>
    </comment>
    <comment ref="L8" authorId="1" shapeId="0" xr:uid="{F7EFD917-3AFB-4A1E-BD1B-267CEE37E3BD}">
      <text>
        <r>
          <rPr>
            <sz val="9"/>
            <color indexed="81"/>
            <rFont val="Tahoma"/>
            <family val="2"/>
          </rPr>
          <t>Waarde uit bron voor "Non-drug related healthcare cost"</t>
        </r>
      </text>
    </comment>
    <comment ref="P8" authorId="0" shapeId="0" xr:uid="{66316078-F445-45F7-A5C6-31D79BB17D67}">
      <text>
        <r>
          <rPr>
            <sz val="9"/>
            <color indexed="81"/>
            <rFont val="Tahoma"/>
            <family val="2"/>
          </rPr>
          <t>Waarde uit bron voor "drug costs"</t>
        </r>
      </text>
    </comment>
    <comment ref="S8" authorId="1" shapeId="0" xr:uid="{FE8746F0-9FF8-47DF-9CFB-A11231C98F7C}">
      <text>
        <r>
          <rPr>
            <sz val="9"/>
            <color indexed="81"/>
            <rFont val="Tahoma"/>
            <family val="2"/>
          </rPr>
          <t>Patients in the intervention group showed a mean gain in QALYs of 0.002 during 12-month study period -&gt; dus jaarlijks</t>
        </r>
      </text>
    </comment>
    <comment ref="W8" authorId="0" shapeId="0" xr:uid="{774776EA-5909-4C26-A33D-6276226DD0B1}">
      <text>
        <r>
          <rPr>
            <sz val="9"/>
            <color indexed="81"/>
            <rFont val="Tahoma"/>
            <family val="2"/>
          </rPr>
          <t>Rechtstreeks overgenomen uit bron</t>
        </r>
      </text>
    </comment>
    <comment ref="N9" authorId="0" shapeId="0" xr:uid="{F66C08A1-31D1-47E0-8620-D034D1CFA99C}">
      <text>
        <r>
          <rPr>
            <sz val="9"/>
            <color indexed="81"/>
            <rFont val="Tahoma"/>
            <family val="2"/>
          </rPr>
          <t>Bron: De afname van
ziekenhuisopnames gaat gepaard met lagere inzet van personeel van 0,57 FTE aan artsen en 1,58 FTE
aan verpleegkundigen.
Opbrengsten gedeeld door ondezocht patiënt aantal in bron (1200)</t>
        </r>
      </text>
    </comment>
    <comment ref="O9" authorId="1" shapeId="0" xr:uid="{7F09BDF7-DD91-4ED2-89F6-B050B8F12CE6}">
      <text>
        <r>
          <rPr>
            <sz val="9"/>
            <color indexed="81"/>
            <rFont val="Tahoma"/>
            <family val="2"/>
          </rPr>
          <t>Bron: geschatte kostenbesparingen van bijna 3 miljoen aan ziekenhuis-opnames.
Opbrengsten gedeeld door ondezocht patiënt aantal in bron (1200)</t>
        </r>
      </text>
    </comment>
    <comment ref="W9" authorId="0" shapeId="0" xr:uid="{3F5BD97E-ECD8-4E7C-B344-D3EE3425DBE0}">
      <text>
        <r>
          <rPr>
            <sz val="9"/>
            <color indexed="81"/>
            <rFont val="Tahoma"/>
            <family val="2"/>
          </rPr>
          <t>Rechtstreeks overgenomen uit bron</t>
        </r>
      </text>
    </comment>
    <comment ref="L10" authorId="1" shapeId="0" xr:uid="{B786D232-2B3B-4DAA-A2ED-81885DED20C7}">
      <text>
        <r>
          <rPr>
            <sz val="9"/>
            <color indexed="81"/>
            <rFont val="Tahoma"/>
            <family val="2"/>
          </rPr>
          <t>65% minder opnames
In nederland waren er in 2020 28.000 opnames voor hartfalen (https://www.vzinfo.nl/hartfalen)
In 2021 waren er ongeveer 240.000 mensen met hartfalen (https://www.vzinfo.nl/hartfalen)</t>
        </r>
      </text>
    </comment>
    <comment ref="O10" authorId="0" shapeId="0" xr:uid="{430BAAA9-7E83-440B-8236-306C56C21248}">
      <text>
        <r>
          <rPr>
            <sz val="9"/>
            <color indexed="81"/>
            <rFont val="Tahoma"/>
            <family val="2"/>
          </rPr>
          <t>65% minder opnames
In nederland waren er in 2020 28.000 opnames voor hartfalen (https://www.vzinfo.nl/hartfalen)
In 2021 waren er ongeveer 240.000 mensen met hartfalen (https://www.vzinfo.nl/hartfalen)</t>
        </r>
      </text>
    </comment>
    <comment ref="L11" authorId="0" shapeId="0" xr:uid="{7B67F84A-CA1E-40DA-9325-175BEE075B10}">
      <text>
        <r>
          <rPr>
            <sz val="9"/>
            <color indexed="81"/>
            <rFont val="Tahoma"/>
            <family val="2"/>
          </rPr>
          <t>Aantal patiënten met COPD ziekenhuisopname (opendisdata) * bespaarde ligdagen * kosten ligdag * toepasbaarheid o.b.v. Isala
Omgerekend naar per patiënt
In powerpoint van Isala (https://zorgvoorjump.nl/sites/default/files/2020-10/Programma%20Connected%20Care%20-%20Jan%20Gerard%20Maring.pdf) 500 mensen waarop monitoring toepasbaar is, totaal heeft Isalas 1500 mensen (https://www.isala.nl/nieuws/copd-patienten-pakken-zelf-de-regie/#:~:text=Kenmerkende%20klachten%20zijn%20kortademigheid%2C%20hoesten,Dat%20zijn%20ongeveer%201500%20pati%C3%ABnten.)</t>
        </r>
      </text>
    </comment>
    <comment ref="O11" authorId="1" shapeId="0" xr:uid="{8D5241C5-74A8-4634-88B5-81AABDA95D85}">
      <text>
        <r>
          <rPr>
            <sz val="9"/>
            <color indexed="81"/>
            <rFont val="Tahoma"/>
            <family val="2"/>
          </rPr>
          <t>Aantal patiënten met COPD ziekenhuisopname (opendisdata) * bespaarde ligdagen * kosten ligdag * toepasbaarheid o.b.v. Isala
In powerpoint van Isala (https://zorgvoorjump.nl/sites/default/files/2020-10/Programma%20Connected%20Care%20-%20Jan%20Gerard%20Maring.pdf) 500 mensen waarop monitoring toepasbaar is, totaal heeft Isalas 1500 mensen (https://www.isala.nl/nieuws/copd-patienten-pakken-zelf-de-regie/#:~:text=Kenmerkende%20klachten%20zijn%20kortademigheid%2C%20hoesten,Dat%20zijn%20ongeveer%201500%20pati%C3%ABnten.)</t>
        </r>
      </text>
    </comment>
    <comment ref="S12" authorId="1" shapeId="0" xr:uid="{09BD138D-400B-4403-9657-A4B8D43ACE92}">
      <text>
        <r>
          <rPr>
            <sz val="9"/>
            <color indexed="81"/>
            <rFont val="Tahoma"/>
            <family val="2"/>
          </rPr>
          <t>Rechstreeks overgenomen uit bron (is jaarlijks)</t>
        </r>
      </text>
    </comment>
    <comment ref="W12" authorId="1" shapeId="0" xr:uid="{50C70389-0761-4DE9-B58E-06D1D1410466}">
      <text>
        <r>
          <rPr>
            <sz val="9"/>
            <color indexed="81"/>
            <rFont val="Tahoma"/>
            <family val="2"/>
          </rPr>
          <t xml:space="preserve">Incremental costs 866 per patiënt </t>
        </r>
      </text>
    </comment>
    <comment ref="L13" authorId="0" shapeId="0" xr:uid="{A05E24FB-DFEB-476C-B661-B8802A42A371}">
      <text>
        <r>
          <rPr>
            <sz val="9"/>
            <color indexed="81"/>
            <rFont val="Tahoma"/>
            <family val="2"/>
          </rPr>
          <t>Overgenomen uit bron, gecorrigeerd voor aandeel personeel en overige. Gedeeld door aantal weken per jaar.</t>
        </r>
      </text>
    </comment>
    <comment ref="O13" authorId="0" shapeId="0" xr:uid="{AF1004B6-07E2-4C32-8BCD-623125F0E7F8}">
      <text>
        <r>
          <rPr>
            <sz val="9"/>
            <color indexed="81"/>
            <rFont val="Tahoma"/>
            <family val="2"/>
          </rPr>
          <t>Overgenomen uit bron, gecorrigeerd voor aandeel personeel en overige. Vermenigvuldigd met het aantal patiënten</t>
        </r>
      </text>
    </comment>
    <comment ref="L14" authorId="1" shapeId="0" xr:uid="{4B0DDC51-D772-4A16-BC16-9DC2D1CB3286}">
      <text>
        <r>
          <rPr>
            <sz val="9"/>
            <color indexed="81"/>
            <rFont val="Tahoma"/>
            <family val="2"/>
          </rPr>
          <t>Dit is over een lifetime horizon, daarom nog delen door 20 o.b.v. artikel. Canadion dollar naar euro (0,69). En in de opbrengsten zijn de jaarlijkse kosten er al afgehaald. Daarom hier corrigeren. Toedelen naar personeel/ overig.</t>
        </r>
      </text>
    </comment>
    <comment ref="P14" authorId="0" shapeId="0" xr:uid="{32F35B1E-8328-4BAC-9BFC-2DC78B1BFBAA}">
      <text>
        <r>
          <rPr>
            <sz val="9"/>
            <color indexed="81"/>
            <rFont val="Tahoma"/>
            <family val="2"/>
          </rPr>
          <t>Dit is over een lifetime horizon, daarom nog delen door 20 o.b.v. artikel. Canadion dollar naar euro (0,69). En in de opbrengsten zijn de jaarlijkse kosten er al afgehaald. Daarom hier corrigeren. Toedelen naar personeel/ overig.</t>
        </r>
      </text>
    </comment>
    <comment ref="S14" authorId="1" shapeId="0" xr:uid="{AA8F6B3B-BD34-4931-98FD-D2DEDAA18932}">
      <text>
        <r>
          <rPr>
            <sz val="9"/>
            <color indexed="81"/>
            <rFont val="Tahoma"/>
            <family val="2"/>
          </rPr>
          <t>Over een lifetime horizon -&gt; oftewel periode van 20 jaar -&gt; verdisconteren naar jaarlijks dooor te delen door 20</t>
        </r>
      </text>
    </comment>
    <comment ref="T14" authorId="1" shapeId="0" xr:uid="{DF95101C-8A9F-47FB-AEDF-6F5D8EB2FF53}">
      <text>
        <r>
          <rPr>
            <sz val="9"/>
            <color indexed="81"/>
            <rFont val="Tahoma"/>
            <family val="2"/>
          </rPr>
          <t>In the base case analysis, telemonitoring costs totaled $305 for the first 3 months -&gt; dat zien als investering</t>
        </r>
      </text>
    </comment>
    <comment ref="W14" authorId="1" shapeId="0" xr:uid="{7F6036DB-C43E-4BD1-AD45-5BEDA2209974}">
      <text>
        <r>
          <rPr>
            <sz val="9"/>
            <color indexed="81"/>
            <rFont val="Tahoma"/>
            <family val="2"/>
          </rPr>
          <t>Ervan uitgaan dat kosten hetzelfde zijn als voor monitoren van bloeddruk bij zwangere vrouwen, omdat dit ook Luscii betreft en de ziekenhuizen waarvan we konden vinden dat ze het gebruiken (Maasstad en ASZ) ook Luscii gebruiken</t>
        </r>
      </text>
    </comment>
    <comment ref="S15" authorId="1" shapeId="0" xr:uid="{825CFB05-EBE7-4FE6-9CC5-A7D2774C2267}">
      <text>
        <r>
          <rPr>
            <sz val="9"/>
            <color indexed="81"/>
            <rFont val="Tahoma"/>
            <family val="2"/>
          </rPr>
          <t>Gemiddelde genomen van de twee uitkomsten. Gedeeld door de leeftijdsverwachting om te komen tot  jaarlijks (MS diagnose tussen de 20 en 40 jaar en levensverwachting zelfde als bij andere mensen)</t>
        </r>
      </text>
    </comment>
    <comment ref="W15" authorId="1" shapeId="0" xr:uid="{D4B9B477-7161-4A7A-B620-EE7EB32F47CB}">
      <text>
        <r>
          <rPr>
            <sz val="9"/>
            <color indexed="81"/>
            <rFont val="Tahoma"/>
            <family val="2"/>
          </rPr>
          <t>Hier ook jaarlijkse extra kosten bij opgeteld gedeeld door gemiddelde resterende leeftijdsverwachting (MS diagnose tussen de 20 en 40 jaar en levensverwachting zelfde als bij andere mensen)</t>
        </r>
      </text>
    </comment>
    <comment ref="L16" authorId="0" shapeId="0" xr:uid="{E0220FE3-78B6-4BF6-BA55-D81C6A337854}">
      <text>
        <r>
          <rPr>
            <sz val="9"/>
            <color indexed="81"/>
            <rFont val="Tahoma"/>
            <family val="2"/>
          </rPr>
          <t>Verschil in directe kosten  (consistent met andere technologieën). Gecorrigeerd voor verhouding personeel/overig.</t>
        </r>
      </text>
    </comment>
    <comment ref="P16" authorId="1" shapeId="0" xr:uid="{4C1588A5-CAC8-4302-876D-FBFB2B1D1BDA}">
      <text>
        <r>
          <rPr>
            <sz val="9"/>
            <color indexed="81"/>
            <rFont val="Tahoma"/>
            <family val="2"/>
          </rPr>
          <t>Verschil in directe kosten  (consistent met andere technologieën). Gecorrigeerd voor verhouding personeel/overig.</t>
        </r>
      </text>
    </comment>
    <comment ref="W16" authorId="1" shapeId="0" xr:uid="{595243BD-50B6-4C64-8655-C9882614AB2A}">
      <text>
        <r>
          <rPr>
            <sz val="9"/>
            <color indexed="81"/>
            <rFont val="Tahoma"/>
            <family val="2"/>
          </rPr>
          <t>Geen kosten meegenomen omdat besparing al om verschil in kosten gaat</t>
        </r>
      </text>
    </comment>
    <comment ref="K17" authorId="1" shapeId="0" xr:uid="{A5A7B041-3857-4DEB-8B1C-6D56AD964721}">
      <text>
        <r>
          <rPr>
            <sz val="9"/>
            <color indexed="81"/>
            <rFont val="Tahoma"/>
            <family val="2"/>
          </rPr>
          <t>54% v.d. patiënten met een goedaardige plek obv de app komt niet meer naar de huisarts. Huisarts consult duurt tussen 10-20 minuten, dus gemiddeld 15 minuten* 54%= 8 min.</t>
        </r>
      </text>
    </comment>
    <comment ref="W18" authorId="1" shapeId="0" xr:uid="{206154E2-55CB-49D4-AB90-87B8D41C8F77}">
      <text>
        <r>
          <rPr>
            <sz val="9"/>
            <color indexed="81"/>
            <rFont val="Tahoma"/>
            <family val="2"/>
          </rPr>
          <t xml:space="preserve">Prijs voor een enkele huidcheck die gebruikt zou kunnen worden bij patiënten die anders daarvoor naar de HA zouden gaan. </t>
        </r>
      </text>
    </comment>
    <comment ref="K20" authorId="1" shapeId="0" xr:uid="{22CBC378-A39B-4B2D-8100-6FAD42C66FD6}">
      <text>
        <r>
          <rPr>
            <sz val="9"/>
            <color indexed="81"/>
            <rFont val="Tahoma"/>
            <family val="2"/>
          </rPr>
          <t>Radioloog 1 had 75,6 sec winst per patiënt
Radioloog 2 had 136,6 sec winst per patiënt</t>
        </r>
      </text>
    </comment>
    <comment ref="W21" authorId="1" shapeId="0" xr:uid="{FE60DB4D-0733-4B8A-933B-6A3A9E7EC80D}">
      <text>
        <r>
          <rPr>
            <sz val="9"/>
            <color indexed="81"/>
            <rFont val="Tahoma"/>
            <family val="2"/>
          </rPr>
          <t xml:space="preserve">Tussen de 5-7,5 pond per output </t>
        </r>
      </text>
    </comment>
    <comment ref="K22" authorId="1" shapeId="0" xr:uid="{3B33A54F-E52D-4ACF-8E43-3E10E0DC220F}">
      <text>
        <r>
          <rPr>
            <sz val="9"/>
            <color indexed="81"/>
            <rFont val="Tahoma"/>
            <family val="2"/>
          </rPr>
          <t>20% sneller, normaal 5 onderzoeken in een uur (=12 minuten per onderzoek), nu 6.</t>
        </r>
      </text>
    </comment>
    <comment ref="S23" authorId="1" shapeId="0" xr:uid="{F23D396F-F2FA-478E-A436-8E312F4AEE85}">
      <text>
        <r>
          <rPr>
            <sz val="9"/>
            <color indexed="81"/>
            <rFont val="Tahoma"/>
            <family val="2"/>
          </rPr>
          <t>In het geval van kanker, QALY van 6,43 door gebruik AI + CT, bij alleen CT QALY van 6,39 dus winst van 0,04 QALY</t>
        </r>
      </text>
    </comment>
    <comment ref="O24" authorId="1" shapeId="0" xr:uid="{7C0ACF54-E02D-4841-8C5E-9588BC766375}">
      <text>
        <r>
          <rPr>
            <sz val="9"/>
            <color indexed="81"/>
            <rFont val="Tahoma"/>
            <family val="2"/>
          </rPr>
          <t>Kosten per CT scan gemiddeld 150 euro x incidentie longkanker (14.000)</t>
        </r>
      </text>
    </comment>
    <comment ref="U25" authorId="1" shapeId="0" xr:uid="{CC2597B6-0563-467E-B746-A2A7FB5646A8}">
      <text>
        <r>
          <rPr>
            <sz val="9"/>
            <color indexed="81"/>
            <rFont val="Tahoma"/>
            <family val="2"/>
          </rPr>
          <t xml:space="preserve">Totale investering van 600.000 nodig voor heel Nederland (voor besluitvorming en inrichten IT en training radiologen), verdeeld over de 69 ziekenhuizen in NL. </t>
        </r>
      </text>
    </comment>
    <comment ref="W25" authorId="1" shapeId="0" xr:uid="{D73C0C11-3864-4128-B86D-26A05ADBB658}">
      <text>
        <r>
          <rPr>
            <sz val="9"/>
            <color indexed="81"/>
            <rFont val="Tahoma"/>
            <family val="2"/>
          </rPr>
          <t>17 euro meerkosten per MRI scan</t>
        </r>
      </text>
    </comment>
    <comment ref="S26" authorId="1" shapeId="0" xr:uid="{AA2C0510-82A1-459F-BBEF-C5FBC3F8F1C6}">
      <text>
        <r>
          <rPr>
            <sz val="9"/>
            <color indexed="81"/>
            <rFont val="Tahoma"/>
            <family val="2"/>
          </rPr>
          <t>Voorkomen van uitzaaiingen door meer nauwkeurige diagnose leidt tot QALY winst</t>
        </r>
      </text>
    </comment>
    <comment ref="K27" authorId="1" shapeId="0" xr:uid="{9D886ED4-C2F0-4112-86C8-8B4ECA6D3741}">
      <text>
        <r>
          <rPr>
            <sz val="9"/>
            <color indexed="81"/>
            <rFont val="Tahoma"/>
            <family val="2"/>
          </rPr>
          <t>10 seconde sneller met support van AI</t>
        </r>
      </text>
    </comment>
    <comment ref="M28" authorId="1" shapeId="0" xr:uid="{0B6CD8BB-A743-4D41-88F7-E43E9B1FA7CF}">
      <text>
        <r>
          <rPr>
            <sz val="9"/>
            <color indexed="81"/>
            <rFont val="Tahoma"/>
            <family val="2"/>
          </rPr>
          <t>Gecorrigeerd voor one-off costs, deze staan bij kosten. Gecorrigeerd voor verhouding personeel/overig.</t>
        </r>
      </text>
    </comment>
    <comment ref="P28" authorId="0" shapeId="0" xr:uid="{CAB60534-4F68-42C0-9DE7-773FC4354384}">
      <text>
        <r>
          <rPr>
            <sz val="9"/>
            <color indexed="81"/>
            <rFont val="Tahoma"/>
            <family val="2"/>
          </rPr>
          <t xml:space="preserve">Gecorrigeerd voor one-off costs, deze staan bij kosten. Gecorrigeerd voor verhouding personeel/overig.
</t>
        </r>
      </text>
    </comment>
    <comment ref="S28" authorId="1" shapeId="0" xr:uid="{6ADE7EEA-4EE5-4D00-874E-48450E51E3B5}">
      <text>
        <r>
          <rPr>
            <sz val="9"/>
            <color indexed="81"/>
            <rFont val="Tahoma"/>
            <family val="2"/>
          </rPr>
          <t>Indicates the incremental costs or QALYs of PC compared to SC. 
Oftewel per IC opname -&gt; dus jaarlijks o.b.v. incidentie in termen van aantal IC-opnames</t>
        </r>
      </text>
    </comment>
    <comment ref="W28" authorId="1" shapeId="0" xr:uid="{EB469B95-543C-46E4-909C-0A7F66598C72}">
      <text>
        <r>
          <rPr>
            <sz val="9"/>
            <color indexed="81"/>
            <rFont val="Tahoma"/>
            <family val="2"/>
          </rPr>
          <t>*Fixed costs (60.000 euro) for PC per 1000 patients for 1 year are included as one-off in cycle 0 in the PC group.</t>
        </r>
      </text>
    </comment>
    <comment ref="J32" authorId="1" shapeId="0" xr:uid="{56CBE749-E2D7-41E0-9C11-011C104E4523}">
      <text>
        <r>
          <rPr>
            <sz val="9"/>
            <color indexed="81"/>
            <rFont val="Tahoma"/>
            <family val="2"/>
          </rPr>
          <t>16 tot 20 sessies per exposure therapie. 30% minder sessies per behandeltraject, 33% op de tijdsduur van elke sessie</t>
        </r>
      </text>
    </comment>
    <comment ref="N33" authorId="1" shapeId="0" xr:uid="{88881873-2A6E-4D6D-8C77-F12F9E1553F9}">
      <text>
        <r>
          <rPr>
            <b/>
            <sz val="9"/>
            <color indexed="81"/>
            <rFont val="Tahoma"/>
            <family val="2"/>
          </rPr>
          <t>ONDERGRENS:</t>
        </r>
        <r>
          <rPr>
            <sz val="9"/>
            <color indexed="81"/>
            <rFont val="Tahoma"/>
            <family val="2"/>
          </rPr>
          <t xml:space="preserve">
1.000.000+1.000.000+800.000 = 2.800.000 onderzoeken per jaar
439 klinisch pathologen
ONDERGRENS = 15% toename in productiviteit 
2.800.000/439=6378 onderzoeken per patholoog per jaar
6378*1.15 = 7335 onderzoeken per patholoog per jaar met digitale pathologie
2.800.000/7335 = 382 klinisch pathologen als digitaal
Je bespaart 439-382 = 57 klinisch pathologen = 57 fte
</t>
        </r>
        <r>
          <rPr>
            <b/>
            <sz val="9"/>
            <color indexed="81"/>
            <rFont val="Tahoma"/>
            <family val="2"/>
          </rPr>
          <t xml:space="preserve">
BOVENGRENS:</t>
        </r>
        <r>
          <rPr>
            <sz val="9"/>
            <color indexed="81"/>
            <rFont val="Tahoma"/>
            <family val="2"/>
          </rPr>
          <t xml:space="preserve">
1.000.000+1.000.000+800.000 = 2.800.000 onderzoeken per jaar
439 klinisch pathologen
BOVENGRENS = 18% toename in productiviteit 
2.800.000/439=6378 onderzoeken per patholoog per jaar
6378*1.18 = 7526 onderzoeken per patholoog per jaar met digitale pathologie
2.800.000/7526 = 372 klinisch pathologen als digitaal
Je bespaart 439-372 = 67 klinisch pathologen = 67 fte
</t>
        </r>
      </text>
    </comment>
    <comment ref="J34" authorId="1" shapeId="0" xr:uid="{7AB7E4C8-9EE8-4F36-9D37-3CF6B6426AAF}">
      <text>
        <r>
          <rPr>
            <sz val="9"/>
            <color indexed="81"/>
            <rFont val="Tahoma"/>
            <family val="2"/>
          </rPr>
          <t>Patiëntversie-richtlijn-afasie (afasietherapie.nl) geeft aan dat logopedist ten minste meer dan 2 uur per week directe individuele therapie aanbieder, dat is dus 2*26 weken
Uit interview: ca. 50% van de sessies kan bespaard worden bij gebruik van afasietherapie.nl door digitale behandeling door patiënt zelf</t>
        </r>
      </text>
    </comment>
    <comment ref="W34" authorId="1" shapeId="0" xr:uid="{7E30E9D9-923D-40D7-89F2-36DB92B5D0C5}">
      <text>
        <r>
          <rPr>
            <sz val="9"/>
            <color indexed="81"/>
            <rFont val="Tahoma"/>
            <family val="2"/>
          </rPr>
          <t>Kosten van 35,95 per maand per logopedist.Omgezet van kosten per logopedist naar kosten per patient
Aantal kwaliteitsgeregistreerde logopedisten (https://www.nji.nl/cijfers/logopedie) en percentage logopedisten dat afasie behandelt (o.b.v. interview)</t>
        </r>
      </text>
    </comment>
    <comment ref="M35" authorId="0" shapeId="0" xr:uid="{B257151B-3F3F-4A01-AF81-17662C00620F}">
      <text>
        <r>
          <rPr>
            <sz val="9"/>
            <color indexed="81"/>
            <rFont val="Tahoma"/>
            <family val="2"/>
          </rPr>
          <t>Overgenomen uit bron, gecorrigeerd voor aandeel personeel en overige.</t>
        </r>
      </text>
    </comment>
    <comment ref="P35" authorId="0" shapeId="0" xr:uid="{5DF9FFC7-89DB-4BAE-B932-855FF34B739E}">
      <text>
        <r>
          <rPr>
            <sz val="9"/>
            <color indexed="81"/>
            <rFont val="Tahoma"/>
            <family val="2"/>
          </rPr>
          <t>Overgenomen uit bron, gecorrigeerd voor aandeel personeel en overige.</t>
        </r>
      </text>
    </comment>
    <comment ref="T35" authorId="1" shapeId="0" xr:uid="{90593D5E-D8F7-4837-8FCB-C5DB73B30EAA}">
      <text>
        <r>
          <rPr>
            <sz val="9"/>
            <color indexed="81"/>
            <rFont val="Tahoma"/>
            <family val="2"/>
          </rPr>
          <t>Het is een gratis app, die iedereen kan downloaden</t>
        </r>
      </text>
    </comment>
    <comment ref="W35" authorId="0" shapeId="0" xr:uid="{6A12E78D-03BB-4284-B36C-B98873FD2E36}">
      <text>
        <r>
          <rPr>
            <sz val="9"/>
            <color indexed="81"/>
            <rFont val="Tahoma"/>
            <family val="2"/>
          </rPr>
          <t>Het is een gratis app, die iedereen kan downloaden</t>
        </r>
      </text>
    </comment>
    <comment ref="K36" authorId="1" shapeId="0" xr:uid="{9EBFB9C3-CEFE-43D9-B1AD-7E93296DAF6C}">
      <text>
        <r>
          <rPr>
            <sz val="9"/>
            <color indexed="81"/>
            <rFont val="Tahoma"/>
            <family val="2"/>
          </rPr>
          <t>Herhaalpolikliniek duurt 20 minuten. Inschatting o.b.v. COPD: aantal fysieke contactmomenten nam met 10 tot 20% af</t>
        </r>
      </text>
    </comment>
    <comment ref="N40" authorId="1" shapeId="0" xr:uid="{3F5C59DC-6DD8-48D7-BA5B-72CF300D34B4}">
      <text>
        <r>
          <rPr>
            <sz val="9"/>
            <color indexed="81"/>
            <rFont val="Tahoma"/>
            <family val="2"/>
          </rPr>
          <t>Aantal verpleegkundigen VVT + verzorgenden =  105.200 + 31.600 = 136.800
Ziekteverzuim = 6,775%
Ziekteverzuim oorzaak = klachten wervelkolom: 1/3
Voorkomen door exoskelet: 20-60% (neem als onder- en bovengrens)
5-15% intramuraal = 10%
Gemiddeld aantal uur gewerkt per week in de zorg (gehele zorg) = 29,8 uur.</t>
        </r>
      </text>
    </comment>
    <comment ref="T41" authorId="1" shapeId="0" xr:uid="{9281ACD9-3293-4115-BD2E-81FECB43939A}">
      <text>
        <r>
          <rPr>
            <sz val="9"/>
            <color indexed="81"/>
            <rFont val="Tahoma"/>
            <family val="2"/>
          </rPr>
          <t>Per medewerker</t>
        </r>
      </text>
    </comment>
    <comment ref="O42" authorId="1" shapeId="0" xr:uid="{1EB0040B-830C-4C40-A1E7-C1011AD2B9E2}">
      <text>
        <r>
          <rPr>
            <sz val="9"/>
            <color indexed="81"/>
            <rFont val="Tahoma"/>
            <family val="2"/>
          </rPr>
          <t>Vilans - anders werken valimpacteductie factsheet
Op het moment dat een heupfractuur wordt voorkomen resulteert dit ook in een
besparing van de zorgkosten in het ziekenhuis van 6,97 miljoen
euro.</t>
        </r>
      </text>
    </comment>
    <comment ref="T42" authorId="1" shapeId="0" xr:uid="{A330ED62-187B-4FCF-A57B-48CCA75453D7}">
      <text>
        <r>
          <rPr>
            <sz val="9"/>
            <color indexed="81"/>
            <rFont val="Tahoma"/>
            <family val="2"/>
          </rPr>
          <t>Aanschaf 35 heupairbags was €23.123</t>
        </r>
      </text>
    </comment>
    <comment ref="W42" authorId="1" shapeId="0" xr:uid="{6594AE1D-3153-4B28-AEBE-2048544810D5}">
      <text>
        <r>
          <rPr>
            <sz val="9"/>
            <color indexed="81"/>
            <rFont val="Tahoma"/>
            <family val="2"/>
          </rPr>
          <t>Vervanging patronen = €6574 voor 35 heupairbags</t>
        </r>
      </text>
    </comment>
    <comment ref="T43" authorId="1" shapeId="0" xr:uid="{19CB6D65-1970-42E5-8BF3-21C84B4640BA}">
      <text>
        <r>
          <rPr>
            <sz val="9"/>
            <color indexed="81"/>
            <rFont val="Tahoma"/>
            <family val="2"/>
          </rPr>
          <t>€4422 voor inzet bij 8 tot 28 patiënten</t>
        </r>
      </text>
    </comment>
    <comment ref="W43" authorId="1" shapeId="0" xr:uid="{B7DE472E-8FEA-4DC9-BD60-AF6AC965D027}">
      <text>
        <r>
          <rPr>
            <sz val="9"/>
            <color indexed="81"/>
            <rFont val="Tahoma"/>
            <family val="2"/>
          </rPr>
          <t>Voor dagelijkse handelingen, borging kenns, monitoring, etc.</t>
        </r>
      </text>
    </comment>
    <comment ref="S44" authorId="1" shapeId="0" xr:uid="{D5F6B960-7E36-4C3E-97AC-CB434AE370E5}">
      <text>
        <r>
          <rPr>
            <sz val="9"/>
            <color indexed="81"/>
            <rFont val="Tahoma"/>
            <family val="2"/>
          </rPr>
          <t>On the QALY scale, where 1 represents perfect health and 0 represents death, mean QALY values were ... 0.63 (95% CI: 0.52, 0.74) among 67 with hip fracture compared with 0.91 (95% CI: 0.88, 0.94) among 201 women without fracture. 
0.91-0.63 = 0.28</t>
        </r>
      </text>
    </comment>
    <comment ref="L45" authorId="1" shapeId="0" xr:uid="{FA179916-2A93-47FC-BA5D-0FD2239805C6}">
      <text>
        <r>
          <rPr>
            <sz val="9"/>
            <color indexed="81"/>
            <rFont val="Tahoma"/>
            <family val="2"/>
          </rPr>
          <t>€112.500 voor 35 airbags</t>
        </r>
      </text>
    </comment>
    <comment ref="O45" authorId="1" shapeId="0" xr:uid="{459120C9-E093-49E3-B70A-027617379ED6}">
      <text>
        <r>
          <rPr>
            <sz val="9"/>
            <color indexed="81"/>
            <rFont val="Tahoma"/>
            <family val="2"/>
          </rPr>
          <t>Vilans - anders werken valimpacteductie factsheet
Op het moment dat een heupfractuur wordt voorkomen resulteert dit ook in een
besparing van de zorgkosten in het ziekenhuis van 6,97 miljoen
euro.</t>
        </r>
      </text>
    </comment>
    <comment ref="K47" authorId="1" shapeId="0" xr:uid="{2C7A63AD-9369-4ED7-BA87-8DE23F39A345}">
      <text>
        <r>
          <rPr>
            <sz val="9"/>
            <color indexed="81"/>
            <rFont val="Tahoma"/>
            <family val="2"/>
          </rPr>
          <t xml:space="preserve">Nu tijdsbesparing van halve minuut 
Tijdsbesparing kan verder oplopen, waarmee je de totale gesprekstijd terugbrengt van 8 naar 6 minuten (2 minuten besparing) 
</t>
        </r>
      </text>
    </comment>
    <comment ref="V47" authorId="1" shapeId="0" xr:uid="{966883C1-61C8-4F11-B818-C3358A58EABC}">
      <text>
        <r>
          <rPr>
            <sz val="9"/>
            <color indexed="81"/>
            <rFont val="Tahoma"/>
            <family val="2"/>
          </rPr>
          <t>4 cent per inwoner (x 17 miljoen inwoners in Nederland)</t>
        </r>
      </text>
    </comment>
    <comment ref="J48" authorId="1" shapeId="0" xr:uid="{A35145D2-E22E-40F5-88F6-88BBE9790CB7}">
      <text>
        <r>
          <rPr>
            <sz val="9"/>
            <color indexed="81"/>
            <rFont val="Tahoma"/>
            <family val="2"/>
          </rPr>
          <t xml:space="preserve">- Gemiddeld 1,5x per maand iemand kwijt buitenshuis waar 1,5 uur naar gezocht wordt met 8 personen. 
- Gemiddeld 9x per maand iemand kwijt binnenshuis waar 10 minuten naar gezocht wordt door 1 persoon. 
Besparing per maand voor totale groep: (8*1,5*1,5 = 18 uur besparing buitenshuis zoeken + 9*10 min = 90 min = 1,5 uur besparing binnenshuis). Totaal 19,5 uur per maand voor 33 cliënten. </t>
        </r>
      </text>
    </comment>
    <comment ref="L48" authorId="1" shapeId="0" xr:uid="{9EFD6ABD-4BCA-4BA3-A48E-31F367988EFA}">
      <text>
        <r>
          <rPr>
            <sz val="9"/>
            <color indexed="81"/>
            <rFont val="Tahoma"/>
            <family val="2"/>
          </rPr>
          <t>Besparing door minder inhuur derden (totaal periode 5 jaar: 27.800 euro), omgerekend naar per week per patiënt (33 patiënten totaal in dit onderzoek)</t>
        </r>
      </text>
    </comment>
    <comment ref="T48" authorId="1" shapeId="0" xr:uid="{1D2CABF1-826A-439F-ABF3-827B4464673B}">
      <text>
        <r>
          <rPr>
            <sz val="9"/>
            <color indexed="81"/>
            <rFont val="Tahoma"/>
            <family val="2"/>
          </rPr>
          <t>Smart watches: 242 euro hardware &amp; 91 euro software kosten per smart watch
+hardware en software kosten die nodig zijn om smartwatch technologie te ondersteunen (in onderzoek 20 stuks van nodig voor 12 smartwatches)</t>
        </r>
      </text>
    </comment>
    <comment ref="H50" authorId="1" shapeId="0" xr:uid="{A1748D76-97A9-42A5-9B50-B29BBE2E87A9}">
      <text>
        <r>
          <rPr>
            <sz val="9"/>
            <color indexed="81"/>
            <rFont val="Tahoma"/>
            <family val="2"/>
          </rPr>
          <t>De besparing vindt plaats bij intramurale verpleging (door uitstel opname)</t>
        </r>
      </text>
    </comment>
    <comment ref="H51" authorId="1" shapeId="0" xr:uid="{D4D4C2CF-4B38-4FED-B384-A82966C4E070}">
      <text>
        <r>
          <rPr>
            <sz val="9"/>
            <color indexed="81"/>
            <rFont val="Tahoma"/>
            <family val="2"/>
          </rPr>
          <t>De besparing vindt plaats bij intramurale verpleging (door uitstel opname)</t>
        </r>
      </text>
    </comment>
    <comment ref="J52" authorId="1" shapeId="0" xr:uid="{8213B1BE-B69A-4459-A831-EDBD5C061BDD}">
      <text>
        <r>
          <rPr>
            <sz val="9"/>
            <color indexed="81"/>
            <rFont val="Tahoma"/>
            <family val="2"/>
          </rPr>
          <t>10,1 uur per client per maand
Omgerekend naar minuten per week</t>
        </r>
      </text>
    </comment>
    <comment ref="W52" authorId="1" shapeId="0" xr:uid="{DBD8B41B-5900-4200-8992-FDCA6E900D20}">
      <text>
        <r>
          <rPr>
            <sz val="9"/>
            <color indexed="81"/>
            <rFont val="Tahoma"/>
            <family val="2"/>
          </rPr>
          <t>Maandelijkse kosten 110 euro</t>
        </r>
      </text>
    </comment>
    <comment ref="T53" authorId="1" shapeId="0" xr:uid="{2D2A0301-2848-4E46-8125-D8BEEAC5FA6D}">
      <text>
        <r>
          <rPr>
            <sz val="9"/>
            <color indexed="81"/>
            <rFont val="Tahoma"/>
            <family val="2"/>
          </rPr>
          <t>Installatie/ophalen per stuk = 52,02 euro</t>
        </r>
      </text>
    </comment>
    <comment ref="U53" authorId="1" shapeId="0" xr:uid="{40BDD65F-5BEA-4DFE-A336-E1D16F2367F9}">
      <text>
        <r>
          <rPr>
            <sz val="9"/>
            <color indexed="81"/>
            <rFont val="Tahoma"/>
            <family val="2"/>
          </rPr>
          <t xml:space="preserve">2500 implementatie door leverancier
800 training zorgteams
3000 koppeling zorgcentrale
</t>
        </r>
      </text>
    </comment>
    <comment ref="W53" authorId="1" shapeId="0" xr:uid="{EE8895BC-F6FA-426F-B1B2-36C7C729C4ED}">
      <text>
        <r>
          <rPr>
            <sz val="9"/>
            <color indexed="81"/>
            <rFont val="Tahoma"/>
            <family val="2"/>
          </rPr>
          <t>69,95 maandelijkse huur
9,95 kosten zorgcentrale per stuk</t>
        </r>
      </text>
    </comment>
    <comment ref="X53" authorId="1" shapeId="0" xr:uid="{D1F16BB2-FE65-4A82-A432-9A26C74533DF}">
      <text>
        <r>
          <rPr>
            <sz val="9"/>
            <color indexed="81"/>
            <rFont val="Tahoma"/>
            <family val="2"/>
          </rPr>
          <t>1000 euro jaarlijks aan onderhoud en beheer koppeling</t>
        </r>
      </text>
    </comment>
    <comment ref="T54" authorId="1" shapeId="0" xr:uid="{9D3B3568-E966-4FFC-8453-4AA3663739C8}">
      <text>
        <r>
          <rPr>
            <sz val="9"/>
            <color indexed="81"/>
            <rFont val="Tahoma"/>
            <family val="2"/>
          </rPr>
          <t>Installatie: €39 per stuk
Ophalen: €29 per stuk</t>
        </r>
      </text>
    </comment>
    <comment ref="W54" authorId="1" shapeId="0" xr:uid="{67B570E1-5944-4CDF-814A-C8C739CD6B22}">
      <text>
        <r>
          <rPr>
            <sz val="9"/>
            <color indexed="81"/>
            <rFont val="Tahoma"/>
            <family val="2"/>
          </rPr>
          <t>Maandelijkse huur: €62,40 per stuk 
Maandelijkse kosten zorgcentrale: €10-€15 per stuk</t>
        </r>
      </text>
    </comment>
    <comment ref="J56" authorId="1" shapeId="0" xr:uid="{FA76E21F-0CEA-4066-AC16-8D362CD5AF30}">
      <text>
        <r>
          <rPr>
            <sz val="9"/>
            <color indexed="81"/>
            <rFont val="Tahoma"/>
            <family val="2"/>
          </rPr>
          <t>Tussen 10-15 min per bezoek, 3 bezoeken per dag</t>
        </r>
      </text>
    </comment>
    <comment ref="X57" authorId="1" shapeId="0" xr:uid="{1AA7BB35-49DD-4031-80E4-91AFBC09B8E9}">
      <text>
        <r>
          <rPr>
            <sz val="9"/>
            <color indexed="81"/>
            <rFont val="Tahoma"/>
            <family val="2"/>
          </rPr>
          <t>121 per maand * 12 = 1452</t>
        </r>
      </text>
    </comment>
    <comment ref="K58" authorId="1" shapeId="0" xr:uid="{8EEF437A-0E06-4ED8-8021-57F33576BE04}">
      <text>
        <r>
          <rPr>
            <sz val="9"/>
            <color indexed="81"/>
            <rFont val="Tahoma"/>
            <family val="2"/>
          </rPr>
          <t>Echo duurt gemiddeld 5-20 minuten, 40% productiviteitswinst</t>
        </r>
      </text>
    </comment>
    <comment ref="M59" authorId="1" shapeId="0" xr:uid="{C97681E9-7022-4E1C-AE99-94B1FB6704D6}">
      <text>
        <r>
          <rPr>
            <sz val="9"/>
            <color indexed="81"/>
            <rFont val="Tahoma"/>
            <family val="2"/>
          </rPr>
          <t>350 euro kost een labaratoriumonderzoek, 40% minder verwijzingen, dus 0,4*350 = totaal (nog opsplitsen naar arbeid en overig)</t>
        </r>
      </text>
    </comment>
    <comment ref="W60" authorId="1" shapeId="0" xr:uid="{A94B4FD0-865A-41EB-8290-C86397107CCC}">
      <text>
        <r>
          <rPr>
            <sz val="9"/>
            <color indexed="81"/>
            <rFont val="Tahoma"/>
            <family val="2"/>
          </rPr>
          <t>17.04 pond per test ~ 20 euro
+ 4 minuten huisarts, (4/60) * gemiddelde kosten HA per uur</t>
        </r>
      </text>
    </comment>
    <comment ref="T61" authorId="0" shapeId="0" xr:uid="{B76DE5FB-4BF6-4191-83C2-A56ECB14FEF0}">
      <text>
        <r>
          <rPr>
            <sz val="9"/>
            <color indexed="81"/>
            <rFont val="Tahoma"/>
            <family val="2"/>
          </rPr>
          <t>Overgenomen uit bron: Kosten voor zorgproduct plaatsen sensor (RT-CGM) bij diabetes (suikerziekte)</t>
        </r>
      </text>
    </comment>
    <comment ref="L62" authorId="0" shapeId="0" xr:uid="{F17DA501-281C-4F36-8135-97FADB2AC7BB}">
      <text>
        <r>
          <rPr>
            <sz val="9"/>
            <color indexed="81"/>
            <rFont val="Tahoma"/>
            <family val="2"/>
          </rPr>
          <t>Totale kosten hypo's 40 miljoen, in België na vergoeding met 75% afgenomen. 
Kostenbesparing hypo's voleldig meegenomen bij msz -&gt; deel daarvan zal uit thuiszorg komen maar dat wordt uiteindelijk in berekening weer samengevoegd
Gecorrigeerd voor aandeel personeel/overige. Gedeeld door aantal patiënten.</t>
        </r>
      </text>
    </comment>
    <comment ref="O62" authorId="1" shapeId="0" xr:uid="{48F70AAD-7976-4A8E-85A1-7629175056FE}">
      <text>
        <r>
          <rPr>
            <sz val="9"/>
            <color indexed="81"/>
            <rFont val="Tahoma"/>
            <family val="2"/>
          </rPr>
          <t>Totale kosten hypo's 40 miljoen, in België na vergoeding met 75% afgenomen. 
Kostenbesparing hypo's voleldig meegenomen bij msz -&gt; deel daarvan zal uit thuiszorg komen maar dat wordt uiteindelijk in berekening weer samengevoegd
Gecorrigeerd voor aandeel personeel/overige</t>
        </r>
      </text>
    </comment>
    <comment ref="J64" authorId="1" shapeId="0" xr:uid="{A82B810E-1B20-4129-88E0-7351E8B87A28}">
      <text>
        <r>
          <rPr>
            <sz val="9"/>
            <color indexed="81"/>
            <rFont val="Tahoma"/>
            <family val="2"/>
          </rPr>
          <t>In dit praktijkvoorbeeld kan het gaan om 4 tot 7 zorgmomenten per dag waarbij alleen glucose wordt gemeten. Per voorkomen zorgmoment schat de respondent in dat het de organisatie 10 tot 15 minuten tijd bespaart. 
Ervan uitgegaan dat de helft van de zorgmomenten alleen om glucose meten gaat en daadwerkelijk wordt bespaard</t>
        </r>
      </text>
    </comment>
    <comment ref="W65" authorId="0" shapeId="0" xr:uid="{6E456111-AB81-4195-B556-514BF3438C2F}">
      <text>
        <r>
          <rPr>
            <sz val="9"/>
            <color indexed="81"/>
            <rFont val="Tahoma"/>
            <family val="2"/>
          </rPr>
          <t>Rechtstreeks overgenomen uit bron</t>
        </r>
      </text>
    </comment>
    <comment ref="L70" authorId="1" shapeId="0" xr:uid="{1862E829-1769-44C1-8E25-A3B5143FB51E}">
      <text>
        <r>
          <rPr>
            <sz val="9"/>
            <color indexed="81"/>
            <rFont val="Tahoma"/>
            <family val="2"/>
          </rPr>
          <t>Berekend door het totale bedrag arbeidsbesparing te delen door het aantal cliënten van de pilot</t>
        </r>
      </text>
    </comment>
    <comment ref="W70" authorId="1" shapeId="0" xr:uid="{1A3F08C3-AF63-4BCA-AE78-9A4F2E7D4EEA}">
      <text>
        <r>
          <rPr>
            <sz val="9"/>
            <color indexed="81"/>
            <rFont val="Tahoma"/>
            <family val="2"/>
          </rPr>
          <t>Verschil tussen rendement en netto rendement gedeeld door aantal patiënten onderzocht</t>
        </r>
      </text>
    </comment>
    <comment ref="J71" authorId="1" shapeId="0" xr:uid="{B6B0EF62-937A-4D64-9770-57E1BCA1AE2D}">
      <text>
        <r>
          <rPr>
            <sz val="9"/>
            <color indexed="81"/>
            <rFont val="Tahoma"/>
            <family val="2"/>
          </rPr>
          <t>Tijdsbesparing door minder rondes in de nacht, minder onnodige controles, minder valse alarmen, minder valincidenten (ondergrens 7*3,19 minuten) waarvan monitoring tijd eraf gehaald is (7*1,54 minuten per cliënt per dag)</t>
        </r>
      </text>
    </comment>
    <comment ref="W71" authorId="1" shapeId="0" xr:uid="{10E657F2-7C79-4609-A020-85889AF1652E}">
      <text>
        <r>
          <rPr>
            <sz val="9"/>
            <color indexed="81"/>
            <rFont val="Tahoma"/>
            <family val="2"/>
          </rPr>
          <t>42 euro per maand - voor langlopende en organisatie-brede inzet geldt een kortingstarief van 30 euro per cliënt per maand.</t>
        </r>
      </text>
    </comment>
    <comment ref="L73" authorId="0" shapeId="0" xr:uid="{6EA5D2C2-3FAE-4B86-9DEE-65A0B7767C05}">
      <text>
        <r>
          <rPr>
            <sz val="9"/>
            <color indexed="81"/>
            <rFont val="Tahoma"/>
            <family val="2"/>
          </rPr>
          <t>Overgenomen uit bron, gecorrigeerd voor aandeel personeel en overige. Gedeeld door aantal weken per jaar.</t>
        </r>
      </text>
    </comment>
    <comment ref="P73" authorId="0" shapeId="0" xr:uid="{33C6AA92-9678-4F59-8171-F02A78FC6A8C}">
      <text>
        <r>
          <rPr>
            <sz val="9"/>
            <color indexed="81"/>
            <rFont val="Tahoma"/>
            <family val="2"/>
          </rPr>
          <t xml:space="preserve">Overgenomen uit bron, gecorrigeerd voor aandeel personeel en overige. 
</t>
        </r>
      </text>
    </comment>
    <comment ref="W74" authorId="1" shapeId="0" xr:uid="{0EA367A8-BA2D-4083-8156-A47EBD82FD6A}">
      <text>
        <r>
          <rPr>
            <sz val="9"/>
            <color indexed="81"/>
            <rFont val="Tahoma"/>
            <family val="2"/>
          </rPr>
          <t>Kosten per pleister, overgenomen uit bron</t>
        </r>
      </text>
    </comment>
    <comment ref="L75" authorId="1" shapeId="0" xr:uid="{FC165504-4EA5-4F90-9647-2E58E98CE044}">
      <text>
        <r>
          <rPr>
            <sz val="9"/>
            <color indexed="81"/>
            <rFont val="Tahoma"/>
            <family val="2"/>
          </rPr>
          <t>Omgerekend vanaf pounds. Overgenomen uit bron, gecorrigeerd voor aandeel personeel/overig. Gedeeld door aantal patiënten.</t>
        </r>
      </text>
    </comment>
    <comment ref="P75" authorId="0" shapeId="0" xr:uid="{95C68E2A-EC03-4B03-A492-80541AE1F78F}">
      <text>
        <r>
          <rPr>
            <sz val="9"/>
            <color indexed="81"/>
            <rFont val="Tahoma"/>
            <family val="2"/>
          </rPr>
          <t>Omgerekend vanaf pounds. Overgenomen uit bron, gecorrigeerd voor aandeel personeel/overig</t>
        </r>
      </text>
    </comment>
    <comment ref="S75" authorId="0" shapeId="0" xr:uid="{EFB9DB60-957F-479C-9926-4AB6682523D2}">
      <text>
        <r>
          <rPr>
            <sz val="9"/>
            <color indexed="81"/>
            <rFont val="Tahoma"/>
            <family val="2"/>
          </rPr>
          <t>Rechtstreeks overgenomen uit bron</t>
        </r>
      </text>
    </comment>
    <comment ref="U75" authorId="1" shapeId="0" xr:uid="{E5DAAE4F-EFF9-41B5-8B8D-6921B91CB961}">
      <text>
        <r>
          <rPr>
            <sz val="9"/>
            <color indexed="81"/>
            <rFont val="Tahoma"/>
            <family val="2"/>
          </rPr>
          <t>Investeringen van pond naar euro. Rechtstreeks overgenomen uit bron.</t>
        </r>
      </text>
    </comment>
    <comment ref="W75" authorId="1" shapeId="0" xr:uid="{8C6264A8-0D18-49FD-A7FB-05155E4E4F86}">
      <text>
        <r>
          <rPr>
            <sz val="9"/>
            <color indexed="81"/>
            <rFont val="Tahoma"/>
            <family val="2"/>
          </rPr>
          <t>150 pond per pleister</t>
        </r>
      </text>
    </comment>
    <comment ref="X75" authorId="1" shapeId="0" xr:uid="{210AEA46-2287-4730-9380-8C0FB059EAE0}">
      <text>
        <r>
          <rPr>
            <sz val="9"/>
            <color indexed="81"/>
            <rFont val="Tahoma"/>
            <family val="2"/>
          </rPr>
          <t>50.000 pond per jaar aan licenses</t>
        </r>
      </text>
    </comment>
    <comment ref="J76" authorId="1" shapeId="0" xr:uid="{8F97218C-7DD0-4DD5-82DA-448893CE439E}">
      <text>
        <r>
          <rPr>
            <sz val="9"/>
            <color indexed="81"/>
            <rFont val="Tahoma"/>
            <family val="2"/>
          </rPr>
          <t>De gemiddelde tijdsbesparing
per rapportage is 4 minuten.
Gemiddeld rapporteert een
professional 3,6 verslagen per dag.</t>
        </r>
      </text>
    </comment>
    <comment ref="W77" authorId="1" shapeId="0" xr:uid="{D2671C11-0901-43DF-B02A-1D41DACA7AA8}">
      <text>
        <r>
          <rPr>
            <sz val="9"/>
            <color indexed="81"/>
            <rFont val="Tahoma"/>
            <family val="2"/>
          </rPr>
          <t>Zijn kosten per medewerker per maand, overal waar gesproken wordt over patiënten gaat het om zorgverleners</t>
        </r>
      </text>
    </comment>
    <comment ref="N78" authorId="0" shapeId="0" xr:uid="{9583095E-2F0D-408E-A93F-8DECDE798BB7}">
      <text>
        <r>
          <rPr>
            <sz val="9"/>
            <color indexed="81"/>
            <rFont val="Tahoma"/>
            <family val="2"/>
          </rPr>
          <t>Arbeidsbesparing gerapporteerd in factsheet (per mail ontvangen van aanbieder toepassing)</t>
        </r>
      </text>
    </comment>
    <comment ref="O78" authorId="0" shapeId="0" xr:uid="{DA9DA936-4C69-46AE-9D9D-7DF538511D77}">
      <text>
        <r>
          <rPr>
            <sz val="9"/>
            <color indexed="81"/>
            <rFont val="Tahoma"/>
            <family val="2"/>
          </rPr>
          <t xml:space="preserve">Overige kostenbesparing bepaald uit arbeidsbesparing gerapporteerd in factsheet </t>
        </r>
      </text>
    </comment>
    <comment ref="J79" authorId="1" shapeId="0" xr:uid="{1E797B21-5EBB-4EBC-B23E-30881744823F}">
      <text>
        <r>
          <rPr>
            <sz val="9"/>
            <color indexed="81"/>
            <rFont val="Tahoma"/>
            <family val="2"/>
          </rPr>
          <t>12 minuten per dag</t>
        </r>
      </text>
    </comment>
    <comment ref="T80" authorId="1" shapeId="0" xr:uid="{8AF29335-ED48-4E57-9519-DB497530B056}">
      <text>
        <r>
          <rPr>
            <sz val="9"/>
            <color indexed="81"/>
            <rFont val="Tahoma"/>
            <family val="2"/>
          </rPr>
          <t>Voor 1 exemplaar</t>
        </r>
      </text>
    </comment>
    <comment ref="J81" authorId="1" shapeId="0" xr:uid="{F793A55B-D0F1-452C-B952-3B079C71CF8D}">
      <text>
        <r>
          <rPr>
            <sz val="9"/>
            <color indexed="81"/>
            <rFont val="Tahoma"/>
            <family val="2"/>
          </rPr>
          <t>Scheelt 2x per dag 5-10 minuten</t>
        </r>
      </text>
    </comment>
    <comment ref="J82" authorId="1" shapeId="0" xr:uid="{5216C82C-29F9-428A-AFC4-FA4823093076}">
      <text>
        <r>
          <rPr>
            <sz val="9"/>
            <color indexed="81"/>
            <rFont val="Tahoma"/>
            <family val="2"/>
          </rPr>
          <t>Tijdsbesparing van 60 tot 120 minuen per week</t>
        </r>
      </text>
    </comment>
    <comment ref="U82" authorId="1" shapeId="0" xr:uid="{D10A249D-D90D-4729-B11F-EE88443CF16E}">
      <text>
        <r>
          <rPr>
            <sz val="9"/>
            <color indexed="81"/>
            <rFont val="Tahoma"/>
            <family val="2"/>
          </rPr>
          <t>Eenmalige implementatiekosten</t>
        </r>
      </text>
    </comment>
    <comment ref="W82" authorId="1" shapeId="0" xr:uid="{37B594F1-67F3-45A7-9C40-7654B244DFFF}">
      <text>
        <r>
          <rPr>
            <sz val="9"/>
            <color indexed="81"/>
            <rFont val="Tahoma"/>
            <family val="2"/>
          </rPr>
          <t xml:space="preserve">"In onze analyses gaan we uit van het ‘Tessa as a service’ (TaaS) model. Met dit model betalen zorginstellingen per Tessa een vast per bedrag (€ 76,- per maand), en wordt Tessa plug &amp; play, en met internet geleverd op afroep en krijgt de zorgaanbieder support, reparatie (binnen garantie), training, helpdesk, beheer en implementatie support vanuit Tinybots. Verder is er sprake van beheer- en logistieke kosten waar per beweging voor betaald moet worden; gemiddeld vindt er 1 beweging per 9 maanden plaats, wat neerkomt op € 163 per jaar. Binnen dit model wordt verder rekening gehouden met wijkverpleegkundige inzet van 45 minuten per beweging (dus ook eens in de 9 maanden) en 15 minuten per robot per maand voor introductie, en het instellen en het bijhouden van de agenda. Op basis van het uurtarief voor een wijkverpleegkundige (€ 59,13)97, komt dat uit op € 178 per jaar. Ten behoeve van de doelmatigheid, reviewt de wijkverpleegkundige tot slot 2 keer per jaar de inzet van Tessa, wat gemiddeld 15 minuten kost en neerkomt op € 29,57 per jaar."
</t>
        </r>
      </text>
    </comment>
    <comment ref="T84" authorId="1" shapeId="0" xr:uid="{0F856A4B-E65A-4F27-AE89-810B3F1EEE5A}">
      <text>
        <r>
          <rPr>
            <sz val="9"/>
            <color indexed="81"/>
            <rFont val="Tahoma"/>
            <family val="2"/>
          </rPr>
          <t>Aanschafkosten</t>
        </r>
      </text>
    </comment>
    <comment ref="W84" authorId="1" shapeId="0" xr:uid="{3BB9DA2C-DF28-4D61-A171-03E13E49E7EB}">
      <text>
        <r>
          <rPr>
            <sz val="9"/>
            <color indexed="81"/>
            <rFont val="Tahoma"/>
            <family val="2"/>
          </rPr>
          <t>Jaarlijkse licentie</t>
        </r>
      </text>
    </comment>
    <comment ref="T85" authorId="1" shapeId="0" xr:uid="{26B77353-1F10-42B2-BB5B-88B11077DD68}">
      <text>
        <r>
          <rPr>
            <sz val="9"/>
            <color indexed="81"/>
            <rFont val="Tahoma"/>
            <family val="2"/>
          </rPr>
          <t>€275 aanschafkosten
€80 eenmalige kosten plug &amp; play</t>
        </r>
      </text>
    </comment>
    <comment ref="W85" authorId="1" shapeId="0" xr:uid="{C2B4B56B-14B9-496F-AED9-93FA920D4D20}">
      <text>
        <r>
          <rPr>
            <sz val="9"/>
            <color indexed="81"/>
            <rFont val="Tahoma"/>
            <family val="2"/>
          </rPr>
          <t>€365 jaarlijkse kosten Tinybot systeem per robot
€5-€10 maandelijkse kosten plug en play = gemiddeld €7,50*12 per jaar</t>
        </r>
      </text>
    </comment>
    <comment ref="T86" authorId="1" shapeId="0" xr:uid="{A1821F91-68B4-452B-AA28-7D024B650276}">
      <text>
        <r>
          <rPr>
            <sz val="9"/>
            <color indexed="81"/>
            <rFont val="Tahoma"/>
            <family val="2"/>
          </rPr>
          <t>Aanschafkosten</t>
        </r>
      </text>
    </comment>
    <comment ref="K88" authorId="1" shapeId="0" xr:uid="{156EB2A2-C1CB-4078-B295-55D229C32FDD}">
      <text>
        <r>
          <rPr>
            <sz val="9"/>
            <color indexed="81"/>
            <rFont val="Tahoma"/>
            <family val="2"/>
          </rPr>
          <t>Gemiddelde tijdsduur MRI scan is 40 minuten. Ondergrens besparing is 2% laboranten. 
Bovengrens besparing is 10% laboranten (= 10% tijdswinst)</t>
        </r>
      </text>
    </comment>
    <comment ref="J89" authorId="1" shapeId="0" xr:uid="{28B30612-DF49-4EFA-8D6B-A921E80BDE12}">
      <text>
        <r>
          <rPr>
            <sz val="9"/>
            <color indexed="81"/>
            <rFont val="Tahoma"/>
            <family val="2"/>
          </rPr>
          <t>5,2 momenten per week, 7 minuten per moment = 5,2*7 = 46,4 minuten per week</t>
        </r>
      </text>
    </comment>
    <comment ref="T90" authorId="1" shapeId="0" xr:uid="{48CF8BBE-7BD0-48C0-9472-10DCF20DE486}">
      <text>
        <r>
          <rPr>
            <sz val="9"/>
            <color indexed="81"/>
            <rFont val="Tahoma"/>
            <family val="2"/>
          </rPr>
          <t>Wifi tablet:  €299,-
4G-tablet:    €359,-*
Gemiddeld = 329 euro</t>
        </r>
      </text>
    </comment>
    <comment ref="W90" authorId="1" shapeId="0" xr:uid="{B6DCEFD9-6800-465B-8862-C8FF9CC0F5C4}">
      <text>
        <r>
          <rPr>
            <sz val="9"/>
            <color indexed="81"/>
            <rFont val="Tahoma"/>
            <family val="2"/>
          </rPr>
          <t>4G = 27,50 of 35 per maand = gemiddeld 31,25 + 12,95 aan compaan per maand = 44,20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 Hiemstra (SiRM)</author>
  </authors>
  <commentList>
    <comment ref="A7" authorId="0" shapeId="0" xr:uid="{182E269D-D91D-4318-8D2B-F1A9CA4E21F8}">
      <text>
        <r>
          <rPr>
            <sz val="9"/>
            <color indexed="81"/>
            <rFont val="Tahoma"/>
            <family val="2"/>
          </rPr>
          <t xml:space="preserve">Richtlijn voor het uitvoeren van economische evaluaties in de gezondheidszorg - Bijlage 1: Kostenhandleiding:
Dit bestaat voor 8% uit vakantiegeld, 18% uit sociale lasten en pensioenpremies, 5% uit suppleties op WAO-uitkeringen, 2% uit gratificaties, tegemoetkoming ziektekosten en andere eenmalige uitkeringen en 6% uit andere personeelskosten 
</t>
        </r>
      </text>
    </comment>
    <comment ref="B12" authorId="0" shapeId="0" xr:uid="{8F94489C-2BB6-4E83-8051-D20450AFAEF1}">
      <text>
        <r>
          <rPr>
            <sz val="9"/>
            <color indexed="81"/>
            <rFont val="Tahoma"/>
            <family val="2"/>
          </rPr>
          <t xml:space="preserve">Het salaris Medisch specialisten (behandelend) ligt gemiddeld op € 11417 bruto per maand. </t>
        </r>
      </text>
    </comment>
    <comment ref="B14" authorId="0" shapeId="0" xr:uid="{2B420EF4-52B9-4A63-B950-CD60D2F7C4D7}">
      <text>
        <r>
          <rPr>
            <sz val="9"/>
            <color indexed="81"/>
            <rFont val="Tahoma"/>
            <family val="2"/>
          </rPr>
          <t xml:space="preserve">het beroep laborant magnetic resonance imaging (mri) onderzoek valt onder de beroepsfamilie Laboranten medische diagnostiek en therapie </t>
        </r>
      </text>
    </comment>
    <comment ref="B34" authorId="0" shapeId="0" xr:uid="{1A120049-9839-4D99-9DE1-B62652D95340}">
      <text>
        <r>
          <rPr>
            <sz val="9"/>
            <color indexed="81"/>
            <rFont val="Tahoma"/>
            <family val="2"/>
          </rPr>
          <t>Alle ziekenhuizen in NL</t>
        </r>
      </text>
    </comment>
    <comment ref="C46" authorId="0" shapeId="0" xr:uid="{79911651-4E85-4DD1-BA79-83BB3640F9C9}">
      <text>
        <r>
          <rPr>
            <sz val="9"/>
            <color indexed="81"/>
            <rFont val="Tahoma"/>
            <family val="2"/>
          </rPr>
          <t>Gelijk verondersteld aan verhouding voor het hele ziekenhuis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 Hiemstra (SiRM)</author>
  </authors>
  <commentList>
    <comment ref="J77" authorId="0" shapeId="0" xr:uid="{665398D3-553C-4922-AD61-AB2825AA1598}">
      <text>
        <r>
          <rPr>
            <sz val="9"/>
            <color indexed="81"/>
            <rFont val="Tahoma"/>
            <family val="2"/>
          </rPr>
          <t>Aantal exoskeletten dat aangeschaft moet worden</t>
        </r>
      </text>
    </comment>
    <comment ref="J78" authorId="0" shapeId="0" xr:uid="{CA2DC163-97B9-4BBB-B9C1-29D6C6B2CB77}">
      <text>
        <r>
          <rPr>
            <sz val="9"/>
            <color indexed="81"/>
            <rFont val="Tahoma"/>
            <family val="2"/>
          </rPr>
          <t>Aantal exoskeletten dat aangeschaft moet worden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 Hiemstra (SiRM)</author>
  </authors>
  <commentList>
    <comment ref="F37" authorId="0" shapeId="0" xr:uid="{6219CE37-94B0-4021-8AD3-ADBBF5A88BC9}">
      <text>
        <r>
          <rPr>
            <sz val="9"/>
            <color indexed="81"/>
            <rFont val="Tahoma"/>
            <family val="2"/>
          </rPr>
          <t>O.b.v. de Jong et al. (2017) Telemedicine for management of inflammatory bowel disease (myIBDcoach): a pragmatic, multicentre, randomised controlled trial, hierin zie je dat met name de tijd van de arts afneemt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 Hiemstra (SiRM)</author>
  </authors>
  <commentList>
    <comment ref="C19" authorId="0" shapeId="0" xr:uid="{87D2EE13-FE50-474C-B9F9-629F67432E8C}">
      <text>
        <r>
          <rPr>
            <sz val="9"/>
            <color indexed="81"/>
            <rFont val="Tahoma"/>
            <family val="2"/>
          </rPr>
          <t>Zorgverleners ipv patienten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<sst xmlns="http://schemas.openxmlformats.org/spreadsheetml/2006/main" count="11133" uniqueCount="1088">
  <si>
    <t>Zwart</t>
  </si>
  <si>
    <t>Groen</t>
  </si>
  <si>
    <t>Bruin</t>
  </si>
  <si>
    <t>Blauw</t>
  </si>
  <si>
    <t>Kosten</t>
  </si>
  <si>
    <t>Veld</t>
  </si>
  <si>
    <t>Initiële investering</t>
  </si>
  <si>
    <t>Digitale hulpmiddelen - Diagnose</t>
  </si>
  <si>
    <t>Digitale hulpmiddelen - Verpleging</t>
  </si>
  <si>
    <t>Sensoren - Behandeling</t>
  </si>
  <si>
    <t>Sensoren - Verpleging</t>
  </si>
  <si>
    <t>Software - Diagnose</t>
  </si>
  <si>
    <t>Software - Behandeling</t>
  </si>
  <si>
    <t>Opbrengsten</t>
  </si>
  <si>
    <t>Extra opbrengsten</t>
  </si>
  <si>
    <t>Zorgtechnologie</t>
  </si>
  <si>
    <t>Zoeksleutel</t>
  </si>
  <si>
    <t>Toepasbaarheid op groep in zorg</t>
  </si>
  <si>
    <t>Bron/onderbouwing</t>
  </si>
  <si>
    <t>Structuurrobot</t>
  </si>
  <si>
    <t>Dementie</t>
  </si>
  <si>
    <t>Huidige toepassing</t>
  </si>
  <si>
    <t>Mensen die samenwonen kunnen al een zwaardere vorm van dementie hebben dan alleenwonenden thuis (want de partner kan verzorgen), daarnaast profiteert deze groep er minder van door mantelzorgtaken partner dus minder toepasbaar op deze groep.</t>
  </si>
  <si>
    <t xml:space="preserve">"Voor mensen met lichte dementie of beginnende dementie is een robot als deze zeer geschikt. Voor cliënten met vergevorderde dementie zullen we deze natuurlijk niet inzetten" - https://www.vierstroom.nl/nieuws/139/zorgrobot-helpt-bij-de-structuur-van-de-dag. Wij nemen aan dat binnen de groep alleenwonenden met dementie een groter deel lichte dementie heeft (omdat ze anders niet alleen kunnen wonen) en daarom de robot met name binnen deze groep erg goed toepasbaar is. </t>
  </si>
  <si>
    <t>Cognitieve beperking</t>
  </si>
  <si>
    <t xml:space="preserve">Ook voor mensen met een cognitieve beperking zal de robot m.n. geschikt zijn voor de lichtere vormen, wij nemen voor nu aan dat dit ongeveer 50% van de thuiswonende groep is. </t>
  </si>
  <si>
    <t>Medicijndispenser</t>
  </si>
  <si>
    <t>Parkinson</t>
  </si>
  <si>
    <t>Bij dementie wordt 79% verzorgd door mantelzorgers, dus zelfde aanname voor parkinson dat overige 21% zorg ontvangt.</t>
  </si>
  <si>
    <t xml:space="preserve">Reumatische aandoening </t>
  </si>
  <si>
    <t>Bij dementie wordt 79% verzorgd door mantelzorgers, dus zelfde aanname voor reuma dat overige 21% zorg ontvangt.</t>
  </si>
  <si>
    <t>Onder de 75 jaar hebben patiënten waarschijnlijk nog vaker een partner of naaste familie, dus schatten hier de toepasbaarheid lager dan voor boven 75 jaar.</t>
  </si>
  <si>
    <t>Heupairbag</t>
  </si>
  <si>
    <t>Ouderen in verpleeghuis</t>
  </si>
  <si>
    <t>Vilans - Valimpactreductie rapportage (2021)</t>
  </si>
  <si>
    <t>Extrapolatie</t>
  </si>
  <si>
    <t>Leefstijlmonitoring</t>
  </si>
  <si>
    <t>Alleen vanaf middenstadium relevant om leefstijlmonitoring toe te gaan passen</t>
  </si>
  <si>
    <t>Parkinson wordt ook genoemd als doelgroep op https://hulpmiddelenwijzer.nl/hulpmiddelen/leefstijlmonitoring. Alleen toepasbaar voor alleenwonenden binnen de populatie thuiswonend, waarschijnlijk ook pas relevant bij een later stadium</t>
  </si>
  <si>
    <t>Verstandelijke beperking wordt ook genoemd als doelgroep op https://hulpmiddelenwijzer.nl/hulpmiddelen/leefstijlmonitoring. Alleen toepasbaar voor alleenwonenden binnen de populatie thuiswonend, waarschijnlijk ook pas relevant bij een later stadium</t>
  </si>
  <si>
    <t>Kwetsbare ouderen</t>
  </si>
  <si>
    <t>Als potentiële doelgroep genoemd in onderzoek "De meerwaarde van leefstijlmonitoring - de rol van de (wijk)verpleegkundigen" - HAN (2022)</t>
  </si>
  <si>
    <t>Slim incontinentiemateriaal</t>
  </si>
  <si>
    <t xml:space="preserve">Onderzoek in Anders werken binnen de zorg komt uit op totale toepasbaarheid binnen de Wlz instelling van 23-36%. De groep urine incontinent is 57% dus ongeveer 50% van deze doelgroep. </t>
  </si>
  <si>
    <t>Verstandelijk gehandicapten</t>
  </si>
  <si>
    <t>Onderzoek van van cooten et al. (2022) gaande om voor deze doelgroep de effecten te bepalen</t>
  </si>
  <si>
    <t>Leefcirkels</t>
  </si>
  <si>
    <t>Bij pilots passen ze het toe binnen gehele afdelingen voor cliënten met dementie (bron: Eindrapportage Tangenborgh)</t>
  </si>
  <si>
    <t>Steunkousen technologie</t>
  </si>
  <si>
    <t>Steunkousen</t>
  </si>
  <si>
    <t>https://helpsoq.com/demonstratie-professionals/ 
Aanname dat 50% hulp nodig heeft bij aanttrekken steunkousen, de rest kan het zelf?</t>
  </si>
  <si>
    <t>Hartfalen</t>
  </si>
  <si>
    <t>Nog onbekend bij hoeveel patiënten telemonitoring daadwerkelijk werkt, ziekenhuis in VWS MEVA studie pastte het toe bij 63 van de 1200 patiënten maar was ook een pilot
Als we uitgaan van 20% is het patiëntaantal met monitoring ongeveer 2 keer zo groot als jaarlijks aantal opnamen -&gt; dit lijk niet gek omdat je altijd meer patiënten zal monitoren omdat je risicogroep niet exact kan inschatten</t>
  </si>
  <si>
    <t>Slimme pleisters</t>
  </si>
  <si>
    <t>Heup</t>
  </si>
  <si>
    <t>Knie</t>
  </si>
  <si>
    <t>Virtual cockpit</t>
  </si>
  <si>
    <t>MRI-scans</t>
  </si>
  <si>
    <t>Elektromechanisch toegangsbeheer</t>
  </si>
  <si>
    <t>Alleenstaande thuiszorg cliënten</t>
  </si>
  <si>
    <t>Slimme bril</t>
  </si>
  <si>
    <t>Slimme bedsensoren</t>
  </si>
  <si>
    <t>Bewoners verzorgingshuis</t>
  </si>
  <si>
    <t>De gemiddelde inzetbaarheid van locaties in de pilot is 82% (Vilans - Anders werken in de zorg - Rapportage bedsensor)</t>
  </si>
  <si>
    <t>Epilepsie</t>
  </si>
  <si>
    <t xml:space="preserve">Studie van Van Poppel et al. (2013) - Prospective Study of the Emift Movement Monitor toont aan dat tonisch-clonische epilepsie aanvallen bij kinderen 's nachts ook voorspeld kunnen worden door bedsensoren, wat dit een mogelijke extra doelgroep maakt. Weinig extra bekend over bij welk deel van de kinderen dit gebruikt kan worden, kinderen hebben wel bijna allemaal tonisch-clonische aanvallen waarmee het aannemelijk lijkt dat het voor een groot deel van deze groep ingezet kan worden. </t>
  </si>
  <si>
    <t>Apps voor cognitieve testen</t>
  </si>
  <si>
    <t>Multiple Sclerosis</t>
  </si>
  <si>
    <t xml:space="preserve">Studie van Van Dongen et al. (2020) geeft aan dat 70% van de patiënten met MS problemen ervaart door cognitieve problemen die gemonitord zouden moeten worden. </t>
  </si>
  <si>
    <t>Mild Cognitive Impairment</t>
  </si>
  <si>
    <t xml:space="preserve">De studie van Björngrim et al. (2019) geeft aan dat de cognitieve testen gebruikt kunnen worden om de cognitieve achteruitgang te tracken voor de gehele populatie die al MCI laat zien. </t>
  </si>
  <si>
    <t>Prostaatkanker</t>
  </si>
  <si>
    <t xml:space="preserve">In de nieuwe richtlijn Prostaatcarcinoom (sinds jan '20) die is opgesteld door de NVU is vastgelegd dat er altijd een prostaat-MRI zou moeten worden gedaan voorafgaand aan een biopt waarmee de toepasbaarheid v.d. technologie voor de hele groep patiënten geldt. </t>
  </si>
  <si>
    <t>HAP triageconsulten_U4/U5</t>
  </si>
  <si>
    <t xml:space="preserve">Alle contacten gaan eerst via de digitale zelftriage om te bepalen of ze de huisartsenpost moeten bellen of niet </t>
  </si>
  <si>
    <t>Longkanker</t>
  </si>
  <si>
    <t>Deltascan voor delier opsporing</t>
  </si>
  <si>
    <t>Relevant voor iedereen met mogelijk delier</t>
  </si>
  <si>
    <t>Mobiele echo's</t>
  </si>
  <si>
    <t>Echo's bij zwangere vrouwen</t>
  </si>
  <si>
    <t>IC</t>
  </si>
  <si>
    <t>IBD</t>
  </si>
  <si>
    <t>Point-of-care (POC) testing</t>
  </si>
  <si>
    <t>Verpleeghuis</t>
  </si>
  <si>
    <t>Wijkverpleging</t>
  </si>
  <si>
    <t>Zorg op afstand met tablet</t>
  </si>
  <si>
    <t>Patiënten die thuiszorg krijgen</t>
  </si>
  <si>
    <t>Interview Compaan (01-06-2023)</t>
  </si>
  <si>
    <t>RT monitoring (glucosemeter)</t>
  </si>
  <si>
    <t>Diabetes</t>
  </si>
  <si>
    <t>ZIN - Standpunt Flash Glucose Monitoring (FGM) voor mensen met diabetes met een intensief insulineschema
FGM kosteneffectief, want vergoed, bij maximaal 115000 patiënten (alleen met intensief insuline schema)
Gecorrigeerd voor aantal mensen met thuiszorg</t>
  </si>
  <si>
    <t>Diabetes_thuiszorg</t>
  </si>
  <si>
    <t>Bij prevalentie is al rekening gehouden met aantal mensen voor wie het geschikt is</t>
  </si>
  <si>
    <t>Epilepsiedetectiesysteem</t>
  </si>
  <si>
    <t>Hypertensie</t>
  </si>
  <si>
    <t>COPD</t>
  </si>
  <si>
    <t>https://www.sciencedirect.com/science/article/pii/S2588914120300071
Aantal mensen deelname aan studie (83) in verhouding tot aantal mensen met COPD in Slingeland ziekenhuis (N=3147)</t>
  </si>
  <si>
    <t>Astma</t>
  </si>
  <si>
    <t>Opensdisdata 01_DBC_Astma COPD -&gt; in totaal 31.200 patiënten over alle zorgproducten, delen door totaal aantal patiënten met astma
Gaan ervan uit dat het alleen voor kinderen effectief is omdat voor volwassen geen kosteneffectiviteitsstudies met positief resultaat te vinden zijn
Komt ook overeen met studie: based on the ±30 000 children with asthma treated by paediatricians in The Netherlands. (https://erj.ersjournals.com/content/50/4/1701413)</t>
  </si>
  <si>
    <t>Huisartscontacten_</t>
  </si>
  <si>
    <t>Alle contacten gaan eerst via digitale zelftriage</t>
  </si>
  <si>
    <t>Spraak automatisch vastleggen</t>
  </si>
  <si>
    <t>Geldt voor alle werknemers die zorg leveren in verpleeghuis</t>
  </si>
  <si>
    <t>Geldt voor alle werknemers die zorg leveren in wijkverpleging</t>
  </si>
  <si>
    <t>Afasie</t>
  </si>
  <si>
    <t>Exoskelet</t>
  </si>
  <si>
    <t>NVT</t>
  </si>
  <si>
    <t>Simpele botbreuken</t>
  </si>
  <si>
    <t>Virtual fracture app alleen geschikt voor simpele botbreuken, dat is ca. 1/3e (Geerding et at. (2021) Cost- effectiveness of direct discharge from the emergency department of patients with simple stable injuries in the Netherlands)</t>
  </si>
  <si>
    <t>MS</t>
  </si>
  <si>
    <t>Geen reden om aan te nemen dat het niet om alle MS-patiënten gaat</t>
  </si>
  <si>
    <t>Huisartsconsult_Goedaardige huidplek</t>
  </si>
  <si>
    <t>44% van de deelnemers kon de app zelfstandig gebruiken (Smak Gregoor et al. (2023))</t>
  </si>
  <si>
    <t>Niet</t>
  </si>
  <si>
    <t>Nauwelijks</t>
  </si>
  <si>
    <t>Enigszins</t>
  </si>
  <si>
    <t>Veel</t>
  </si>
  <si>
    <t>Waarde gezond levensjaar</t>
  </si>
  <si>
    <t>Inschatting</t>
  </si>
  <si>
    <t>Huidige implementatiegraad</t>
  </si>
  <si>
    <t>Mate van innovatie</t>
  </si>
  <si>
    <t>Mate van innovatie - coëfficient p</t>
  </si>
  <si>
    <t>Mate van imitatie - coëfficient q</t>
  </si>
  <si>
    <t>Niet geïmplementeerd</t>
  </si>
  <si>
    <t>Zeer langzaam</t>
  </si>
  <si>
    <t>Nauwelijks geïmplementeerd</t>
  </si>
  <si>
    <t>Langzaam</t>
  </si>
  <si>
    <t>Enigszins geïmplementeerd</t>
  </si>
  <si>
    <t>Gemiddeld</t>
  </si>
  <si>
    <t>Substantieel geïmplementeerd</t>
  </si>
  <si>
    <t>Snel</t>
  </si>
  <si>
    <t>Veel geïmplementeerd</t>
  </si>
  <si>
    <t>Zeer snel</t>
  </si>
  <si>
    <t>Inschatting huidige implementatiegraad</t>
  </si>
  <si>
    <t>Inschatting implementatiesnelheid</t>
  </si>
  <si>
    <t>Coëfficient p</t>
  </si>
  <si>
    <t>Coëfficient q</t>
  </si>
  <si>
    <t>Vertraging (in jaren), alleen als niet geïmplementeerd</t>
  </si>
  <si>
    <t>Totaal vertraging</t>
  </si>
  <si>
    <t>Digitale pathologie</t>
  </si>
  <si>
    <t>Zorgverlener</t>
  </si>
  <si>
    <t>Uurtarief zorgpersoneel</t>
  </si>
  <si>
    <t>Thuiszorg - verpleging</t>
  </si>
  <si>
    <t>https://www.nationaleberoepengids.nl/salaris/wijkverpleegkundige</t>
  </si>
  <si>
    <t>VVT - verzorgende</t>
  </si>
  <si>
    <t>https://www.nationaleberoepengids.nl/salaris/verzorgende</t>
  </si>
  <si>
    <t>Medisch specialist</t>
  </si>
  <si>
    <t>https://www.nationaleberoepengids.nl/salaris/dermatoloog</t>
  </si>
  <si>
    <t>Verpleegkundige (ziekenhuis)</t>
  </si>
  <si>
    <t>https://www.nationaleberoepengids.nl/verpleegkundige-in-het-ziekenhuis#:~:text=Het%20startsalaris%20van%20een%20gediplomeerd,je%20werkervaring%20en%20CAO%20schalen.</t>
  </si>
  <si>
    <t>Laborant MRI onderzoek</t>
  </si>
  <si>
    <t>https://www.nationaleberoepengids.nl/salaris/laborant-magnetic-resonance-imaging-mri-onderzoek#:~:text=Salaris%20van%20de%20beroepsfamilie,%E2%82%AC%203575%20bruto%20per%20maand.</t>
  </si>
  <si>
    <t>Wondverpleegkundige</t>
  </si>
  <si>
    <t>https://nl.indeed.com/carrieregids/salaris/wondverpleegkundige-salaris#:~:text=Het%20gemiddelde%20brutomaandsalaris%20van%20een,dus%20nog%20niet%20bij%20opgeteld.</t>
  </si>
  <si>
    <t>Verzorgende (verzorgingshuis)</t>
  </si>
  <si>
    <t>https://www.nationaleberoepengids.nl/salaris/bejaardenverzorgende-verzorgingshuis</t>
  </si>
  <si>
    <t>Eerstelijns psycholoog</t>
  </si>
  <si>
    <t>https://www.nationaleberoepengids.nl/salaris/eerstelijnspsycholoog#:~:text=Het%20salaris%20van%20een%20Eerstelijnspsycholoog,%E2%82%AC%205.050%20bruto%20per%20maand.</t>
  </si>
  <si>
    <t>Huisarts</t>
  </si>
  <si>
    <t>https://www.nationaleberoepengids.nl/salaris/huisarts</t>
  </si>
  <si>
    <t>Klinisch patholoog</t>
  </si>
  <si>
    <t>https://www.nationaleberoepengids.nl/salaris/klinisch-patholoog#:~:text=Het%20salaris%20van%20een%20Klinisch,%E2%82%AC%2011.418%20bruto%20per%20maand.</t>
  </si>
  <si>
    <t>Huisarts, consult</t>
  </si>
  <si>
    <t>Verloskundige (ziekenhuis)</t>
  </si>
  <si>
    <t>https://www.nationaleberoepengids.nl/salaris/verpleegkundige-verloskunde-afdeling</t>
  </si>
  <si>
    <t>Verzorging gehandicaptenzorg</t>
  </si>
  <si>
    <t>https://www.nationaleberoepengids.nl/salaris/verzorgende-verstandelijk-gehandicapten#:~:text=Het%20salaris%20van%20een%20verzorgende,%E2%82%AC%202.440%20bruto%20per%20maand.</t>
  </si>
  <si>
    <t>Doktersassistent</t>
  </si>
  <si>
    <t>https://www.nationaleberoepengids.nl/salaris/doktersassistent</t>
  </si>
  <si>
    <t>Klinisch neurofysiologisch laborant</t>
  </si>
  <si>
    <t>https://www.nationaleberoepengids.nl/salaris/klinisch-neurolofysiologisch-knf-laborant</t>
  </si>
  <si>
    <t>Logopedist</t>
  </si>
  <si>
    <t>https://www.nationaleberoepengids.nl/logopedist</t>
  </si>
  <si>
    <t>Triage-assistent</t>
  </si>
  <si>
    <t>https://www.nationaleberoepengids.nl/salaris/triage-assistent</t>
  </si>
  <si>
    <t>Aantal organisaties waarop toepasbaar</t>
  </si>
  <si>
    <t xml:space="preserve"> 5% van de thuiszorginstellingen (150 instellingen) zijn verantwoordelijk voor ruim 89% van de declaraties voor wijkverpleging, kleine organisaties zullen niet snel investeren (Ecorys - Maatschappelijke kosten en baten van AI in de zorg).</t>
  </si>
  <si>
    <t>Aantal verpleeg- en verzorgingshuizen in Nederland (https://www.zorgkaartnederland.nl/verpleeghuis-en-verzorgingshuis#:~:text=Op%20dit%20moment%20zijn%20er,en%20verzorgingshuizen%20in%20Nederland%20bekend.)</t>
  </si>
  <si>
    <t>Aantal verpleeghuizen en woonzorgcentra met afdelingen voor mensen met dementie (bron: https://www.trimbos.nl/wp-content/uploads/2021/11/AF1758-Trends-in-de-verpleeghuiszorg-voor-mensen-met-dementie.pdf)</t>
  </si>
  <si>
    <t>Aantal ziekenhuis locaties (exclusief buitenpoli's) - https://www.vzinfo.nl/ziekenhuiszorg/aanbod/instellingen#:~:text=Nederland%20telt%2069%20ziekenhuisorganisaties,en%20kinderziekenhuizen)%20en%20147%20buitenpoliklinieken.</t>
  </si>
  <si>
    <t>Aantal huisartsenposten Nederland (https://www.nivel.nl/nl/panels-en-registraties/nivel-zorgregistraties-eerste-lijn/zorg-huisartsenpost#:~:text=De%20fysieke%20locatie%20waar%20deze,%C3%A9%C3%A9n%20of%20meerdere%20HAPs%20omvatten.)</t>
  </si>
  <si>
    <t>Impact gegevensuitwisseling</t>
  </si>
  <si>
    <t xml:space="preserve">Schaalfactor </t>
  </si>
  <si>
    <t>Laag</t>
  </si>
  <si>
    <t>Midden</t>
  </si>
  <si>
    <t>Hoog</t>
  </si>
  <si>
    <t>Schaalfactor opbrengsten</t>
  </si>
  <si>
    <t>Zorggebruik</t>
  </si>
  <si>
    <t>Kosten zorggebruik totaal</t>
  </si>
  <si>
    <t>Waarvan personeel</t>
  </si>
  <si>
    <t>Waarvan anders</t>
  </si>
  <si>
    <t>Indirect personeel</t>
  </si>
  <si>
    <t>Overige kosten</t>
  </si>
  <si>
    <t>SEH-bezoek</t>
  </si>
  <si>
    <t>Voor verdeling personeel/anders: https://puc.overheid.nl/nza/doc/PUC_301324_22/1/</t>
  </si>
  <si>
    <t>Opname_hartfalen</t>
  </si>
  <si>
    <t>Ziekenhuiskosten</t>
  </si>
  <si>
    <t>Ligdag_ziekenhuis</t>
  </si>
  <si>
    <t>Ligdag_IC</t>
  </si>
  <si>
    <t>Thuiszorg</t>
  </si>
  <si>
    <t>KPMG - Kostenonderzoek langdurige zorg 2018 (https://puc.overheid.nl/nza/doc/PUC_212521_22/1/)</t>
  </si>
  <si>
    <t>Intramurale verpleging</t>
  </si>
  <si>
    <t>Algemene informatie</t>
  </si>
  <si>
    <t>Patiëntaantallen</t>
  </si>
  <si>
    <t>Merknaam</t>
  </si>
  <si>
    <t>Toelichting</t>
  </si>
  <si>
    <t>Toelichting overige kostenbesparing</t>
  </si>
  <si>
    <t>Kwaliteit</t>
  </si>
  <si>
    <t>Initiële investering (p. patiënt)</t>
  </si>
  <si>
    <t>Initiële investering (p. organisatie)</t>
  </si>
  <si>
    <t>Jaarlijkse kosten (onafh. aantal patiënt/organisatie)</t>
  </si>
  <si>
    <t>Jaarlijkse kosten p. patiënt</t>
  </si>
  <si>
    <t>Jaarlijkse kosten p. organisatie</t>
  </si>
  <si>
    <t>Bron</t>
  </si>
  <si>
    <t>Toename productiviteit - https://www.philips.be/healthcare/sites/pathology/about/why-go-digital
Aantal onderzoeken - https://nl.wikipedia.org/wiki/Klinische_pathologie
Aantal pathologen - https://capaciteitsorgaan.nl/app/uploads/2019/03/190301_Prismant_Werkzame-specialisten-2019.pdf</t>
  </si>
  <si>
    <t>Lumify</t>
  </si>
  <si>
    <t>Zwangere vrouwen</t>
  </si>
  <si>
    <t>https://www.philips.nl/healthcare/sites/lumify/products-accessories</t>
  </si>
  <si>
    <t>Impact - Gupta - Uitweg uit de schaarste (2022)
Duur echo - https://www.pns.nl/13-wekenecho#:~:text=Het%20maken%20van%20een%20echo,echo%20duurt%20ongeveer%2030%20minuten.</t>
  </si>
  <si>
    <t>Impact - https://www.medischcontact.nl/nieuws/laatste-nieuws/artikel/diagnostische-sneltests-verdienen-brede-invoering
Kosten per SEH-bezoek - https://www.zorgverzekeringwijzer.nl/zorgverzekering-2023/spoedeisende-hulp-of-huisarts-bezoeken-wat-kost-dat/</t>
  </si>
  <si>
    <t>The projected programme cost is £180–£243 million/year at full implementation with estimated cost per quality adjusted life year (QALY) being £3000</t>
  </si>
  <si>
    <t>https://www.uwcompaan.nl/over-onze-tablets/bestellen/</t>
  </si>
  <si>
    <t>Impact - Significant Vilans - Tijdbesparende technologieën in de ouderenzorg (deel 1&amp;2) (incl. eerder werk verkenning maatschappelijke businesscase medicijndispenser)
Aantal bezoeken per dag - https://www.nivel.nl/sites/default/files/bestanden/Evaluatie_van_wijkverpleging.pdf</t>
  </si>
  <si>
    <t>Vilans - maatschappelijke business case slim toegangsbeheer</t>
  </si>
  <si>
    <t>Telelock</t>
  </si>
  <si>
    <t>https://www.telelock.nl/webshop/alle-producten/telelock/</t>
  </si>
  <si>
    <t>Ziekteverzuim door klachten wervelkolom - https://www.dorsoo.be/nl/blog/rugklachten-bij-verpleegkundigen-zorgkundigen
Ziekteverzuim totaal zorg - https://okeedo.nl/ziekteverzuim-zorg-percentages-oorzaken-en-aanpak/
Aantal verpleegkundigen en verzorgenden -https://prognosemodelzw.databank.nl/dashboard/dashboard-branches/verpleging-en-verzorging
Impact exoskelet - https://engineering.vanderbilt.edu/news/2021/new-study-reveals-breakthrough-tool-to-show-how-much-exoskeletons-reduce-back-injury-risk/
Gemiddelde werkweek zorg - https://www.cbs.nl/nl-nl/cijfers/detail/84778NED
%intramuraal - https://www.nivel.nl/sites/default/files/bestanden/Aantrekkelijkheid_van_de_intramurale_ouderenzorg_voor_de_hbo-opgeleide_verpleegkundige.pdf</t>
  </si>
  <si>
    <t>https://www.ad.nl/werk/robotpakken-maken-zwaar-werk-lichter-zo-voorkom-je-dat-mensen-al-op-hun-50e-fysiek-op-zijn~abc8ceb2/?referrer=https%3A%2F%2Fwww.google.com%2F</t>
  </si>
  <si>
    <t xml:space="preserve">Daling directe zorgkosten (medisch) &amp; revalidatiekosten </t>
  </si>
  <si>
    <t>46% afname heup-, bekken- en beenfracturen</t>
  </si>
  <si>
    <t>Wolk Airbag</t>
  </si>
  <si>
    <t>Significant Vilans - Tijdbesparende technologieën in de ouderenzorg (deel 1&amp;2) (incl. eerder werk verkenning maatschappelijke businesscase medicijndispenser)</t>
  </si>
  <si>
    <t>cMed plus</t>
  </si>
  <si>
    <t xml:space="preserve">Zilveren Kruis - Innovaties die Wlz zorg voor klanten in een passende woonomgeving mogelijk maken </t>
  </si>
  <si>
    <t>Medido</t>
  </si>
  <si>
    <t xml:space="preserve">96% patiënten houdt zich aan het medicatieschema </t>
  </si>
  <si>
    <t>Zilveren Kruis - Innovaties die Wlz zorg voor klanten in een passende woonomgeving mogelijk maken &amp; https://www.philips.nl/c-dam/corporate/newscenter/global/standard/resources/healthcare/2016/medido/Medido_infographic.pdf</t>
  </si>
  <si>
    <t>HelpSoq</t>
  </si>
  <si>
    <t>https://www.zorgvisie.nl/helpsoq-wint-nationale-zorginnovatieprijs/</t>
  </si>
  <si>
    <t>https://www.tvvtotaal.nl/wat-je-moet-weten-over-de-helpsoq/</t>
  </si>
  <si>
    <t>Gupta - Uitweg uit de schaarste (2022)</t>
  </si>
  <si>
    <t>Robot Tessa</t>
  </si>
  <si>
    <t>Toename zelfredzaamheid, verbeterde dagstructuur</t>
  </si>
  <si>
    <t>Ecorys - Maatschappelijke kosten en baten van toepassing van AI in de zorg (december 2021)</t>
  </si>
  <si>
    <t>Bij 96% patiënten vooruitgang op vooraf gestelde doelen</t>
  </si>
  <si>
    <t>https://icthealth.nl/online-magazine/editie-01-2023/impact-tinybot-tessa-op-zelfredzaamheid/?print=pdf</t>
  </si>
  <si>
    <t>Robot-maatje</t>
  </si>
  <si>
    <t>Tessa</t>
  </si>
  <si>
    <t>Billy-Billy</t>
  </si>
  <si>
    <t>Langer regelmaat vasthouden en zelfstandig dingen blijven doen</t>
  </si>
  <si>
    <t>Moonemans &amp; Tolenaars (2022) - Dagstructuurrobot bevordert zelfredzaamheid</t>
  </si>
  <si>
    <t>Besparing ziekenhuisopnames (totaal over alle patiënten)</t>
  </si>
  <si>
    <t xml:space="preserve">Eindrapport VWS MEVA - TU Twente - Digitalisering in de gezondheidszorg nader beschouwd (april 2022) </t>
  </si>
  <si>
    <t>9% kortere verblijfsduur / 45% afname heropname</t>
  </si>
  <si>
    <t>Sensium - Brochure</t>
  </si>
  <si>
    <t>Sensium</t>
  </si>
  <si>
    <t>Javanbakht et al. (2020) - Cost utility analysis of continuous and intermittent versus intermittent vital signs monitoring in patients admitted to surgical wards.</t>
  </si>
  <si>
    <t>Philips Healthdot</t>
  </si>
  <si>
    <t>Patiënt kan eerder naar huis, ziektes worden eerder opgespoord</t>
  </si>
  <si>
    <t>https://www.zorgvisie.nl/etz-koppelt-slimme-pleister-aan-epd/</t>
  </si>
  <si>
    <t>https://www.opendisdata.nl/msz/zorgproduct/040201021</t>
  </si>
  <si>
    <t>Significant Vilans - Tijdbesparende technologieën in de ouderenzorg deel 1</t>
  </si>
  <si>
    <t>ZIN - Standpunt Flash Glucose Monitoring (FGM) voor mensen met diabetes met een intensief insulineschema</t>
  </si>
  <si>
    <t>JDRF - De opbrengst van het vergoeden van de glucosesensor</t>
  </si>
  <si>
    <t>Wan W, Skandari MR, Minc A, Nathan AG, Winn A, Zarei P, O'Grady M, Huang ES. Cost-effectiveness of Continuous Glucose Monitoring for Adults With Type 1 Diabetes Compared With Self-Monitoring of Blood Glucose: The DIAMOND Randomized Trial. Diabetes Care. 2018</t>
  </si>
  <si>
    <t>0,83 QALY</t>
  </si>
  <si>
    <t>Padwal RS, So H, Wood PW, Mcalister FA, Siddiqui M, Norris CM, Jeerakathil T, Stone J, Valaire S, Mann B, Boulanger P, Klarenbach SW. Cost-effectiveness of home blood pressure telemonitoring and case management in the secondary prevention of cerebrovascular disease in Canada. J Clin Hypertens (Greenwich). 2019 Feb;21(2):159-168</t>
  </si>
  <si>
    <t>https://icthealth.nl/nieuws/telemonitoring-isala-voor-copd-krijgt-prijs-clientenraad/#:~:text=Telemonitoring%20van%20COPD%2Dpati%C3%ABnten%20heeft,ziekenhuis%20eerder%20deze%20week%20bekend.</t>
  </si>
  <si>
    <t>0,05 per patient</t>
  </si>
  <si>
    <t>https://pubmed.ncbi.nlm.nih.gov/27475635/</t>
  </si>
  <si>
    <t>Astma_kinderen</t>
  </si>
  <si>
    <t>Lara S. van den Wijngaart, Wietske Kievit, Jolt Roukema, Annemie L.M. Boehmer, Marianne L. Brouwer, Cindy A.C. Hugen, Laetitia E.M. Niers, Arwen J. Sprij, Eleonora R.V.M. Rikkers-Mutsaerts, Bart L. Rottier, Chris M. Verhaak, Mariëlle W. Pijnenburg, Peter J.F.M. Merkus European Respiratory Journal Oct 2017, 50 (4)</t>
  </si>
  <si>
    <t>Van der Burg et al. (2020) Long-term effects of telemonitoring on healthcare usage in patients with heart failure or COPD</t>
  </si>
  <si>
    <t>MS Sherpa</t>
  </si>
  <si>
    <t>o	€9183 meer zorgkosten bij 5% effectiviteit MS Sherpa voor 0,43 QALY
o	€8358 meer zorgkosten bij 20% effectiviteit MS Sherpa voor 1,78 QALY</t>
  </si>
  <si>
    <t>Cloosterman et al. (2021) The Potential Impact of Digital Biomarkers in Multiple Sclerosis in The Netherlands: An Early Health Technology Assessment of MS Sherpa</t>
  </si>
  <si>
    <t>Significant Vilans - Tijdbesparende technologieën in de ouderenzorg (deel 1)</t>
  </si>
  <si>
    <t>Avics</t>
  </si>
  <si>
    <t>Vermeden vervangingsinvesteringen (3.000 periode van 5 jaar)</t>
  </si>
  <si>
    <t>Ruimere leefruimte en buitenomgeving vermindert agressief gedrag en maakt gelukkiger</t>
  </si>
  <si>
    <t>Eindrapport - Leefcirkelverruimende technologie - Verpleeghuizen van de toekomst (2019)</t>
  </si>
  <si>
    <t>Per cliënt besparing kosten van 8919 euro door kosten VPT (gebruiksduur 14 maanden) i.p.v. intramurale opname voor 182 dagen (ingeschatte tijdsduur voor opname/overlijden in dit scenario is 6 maanden)</t>
  </si>
  <si>
    <t>Significant Vilans - Tijdbesparende technologieën in de ouderenzorg (deel 1&amp;2) - scenario 1</t>
  </si>
  <si>
    <t xml:space="preserve">Per cliënt besparing kosten van 8919+3400 euro door 2 maanden uitstel aanvraag indicatie intramurale opname &amp; 6 maanden zelfstandig blijven wonen met VPT/MPT </t>
  </si>
  <si>
    <t>Significant Vilans - Tijdbesparende technologieën in de ouderenzorg (deel 1&amp;2) - scenario 2</t>
  </si>
  <si>
    <t xml:space="preserve">Besparing (deel) lakenset + besparing overig personeel (50% van totale overige personeelskosten) door arbeidsbesparing </t>
  </si>
  <si>
    <t>Vilans - Anders werken in de zorg - Onderzoeksrapportage slim incontinentiemateriaal (november 2021)</t>
  </si>
  <si>
    <t>Abena Nova</t>
  </si>
  <si>
    <t xml:space="preserve">Vermijden van natte bedden en kleding (omgerekend naar per cliënt) + besparing overig personeel (50% van totale overige personeelskosten) door arbeidsbesparing </t>
  </si>
  <si>
    <t>Evean Oostergouw - Implementatie slim incontinentiemateriaal (2019)</t>
  </si>
  <si>
    <t xml:space="preserve">Besparing overig personeel (50% van totale overige personeelskosten) door arbeidsbesparing </t>
  </si>
  <si>
    <t>Significant Vilans - Tijdbesparende technologieën in de ouderenzorg (deel 2)</t>
  </si>
  <si>
    <t xml:space="preserve">Identifi </t>
  </si>
  <si>
    <t xml:space="preserve">Per bewoner per jaar, besparing productkosten + besparing overig personeel (50% van totale overige personeelskosten) door arbeidsbesparing </t>
  </si>
  <si>
    <t>van Baalen &amp; Brocken (2019) - Implementatie Identifi: incontinentie assessment</t>
  </si>
  <si>
    <t>Momo BedSense</t>
  </si>
  <si>
    <t>Preventie van valincidenten, decubitus en betere slaapkwaliteit cliënten</t>
  </si>
  <si>
    <t>Vilans - Anders werken in de zorg - Onderzoeksrapportage bedsensor (feb 2022)</t>
  </si>
  <si>
    <t xml:space="preserve">Kostenbesparing door afname valincidenten (verschil tussen aantal valincidenten mei-jul 2021 met BedSense en mei-jul 2020 zonder BedSense) + besparing overig personeel (50% van totale overige personeelskosten) door arbeidsbesparing </t>
  </si>
  <si>
    <t>28% minder valincidenten</t>
  </si>
  <si>
    <t>Laurens - Samenvatting Initiële Studieresultaten de Hofstee</t>
  </si>
  <si>
    <t>0.0018 QALY</t>
  </si>
  <si>
    <t>De Vos et al. (2021) - The Potential Cost-Effectiveness of a Machine Learning Tool That Can Prevent Untimely Intensive Care Unit Discharge</t>
  </si>
  <si>
    <t>mijnIBDcoach</t>
  </si>
  <si>
    <t>36% minder polibezoeken, 50% minder opnames en betere therapietrouw</t>
  </si>
  <si>
    <t>De Jong et al. (2020) Cost-effectiveness of Telemedicine-directed Specialized vs Standard Care for Patients With Inflammatory Bowel Diseases in a Randomized Trial</t>
  </si>
  <si>
    <t xml:space="preserve">VGZ factsheet spraakgestuurd rapporteren - Mijzo </t>
  </si>
  <si>
    <t>VGZ factsheet spraakgestuurd rapporteren - Buurtzorg</t>
  </si>
  <si>
    <t>Zwangeren met hoge bloeddruk</t>
  </si>
  <si>
    <t>Van den Heuvel et al (2021) SAFE@HOME: Cost analysis of a new care pathway including a digital health platform for women at increased risk of preeclampsia</t>
  </si>
  <si>
    <t>Virtual Fracture Care app</t>
  </si>
  <si>
    <t>Geerding et at. (2021) Cost- effectiveness of direct discharge from the emergency department of patients with simple stable injuries in the Netherlands (https://www.ncbi.nlm.nih.gov/pmc/articles/PMC8549675/)</t>
  </si>
  <si>
    <t>Afasietherapie.nl</t>
  </si>
  <si>
    <t>Quantib Prostate (QP)</t>
  </si>
  <si>
    <t>Veye Chest</t>
  </si>
  <si>
    <t>Minder variëteit tussen de beoordelaars bij gebruik AI, door betere analyse van de CT scans kan longkanker eerder gedetecteerd worden</t>
  </si>
  <si>
    <t>Hempel et al. (2022) - Higher agreement between readers with deep learning CAD software for reporting pulmonary nodules on CT</t>
  </si>
  <si>
    <t>NICE Guidance - Artificial Intelligence for analysing chest CT images (https://www.nice.org.uk/advice/mib243/chapter/Summary)</t>
  </si>
  <si>
    <t xml:space="preserve">Diagnostishe accuraatheid was ook hoger met gebruik van AI </t>
  </si>
  <si>
    <t xml:space="preserve">Röhrich et al. (2022) - Impact of a content-based image retrieval system on the interpretation of chest CTs of patients with diffuse parenchymal lung disease </t>
  </si>
  <si>
    <t>Multiple Screener</t>
  </si>
  <si>
    <t>Vroege detectie van cognitieve achteruitgang en veranderingen over tijd</t>
  </si>
  <si>
    <t>Van Dongen et al. (2020) - Introducing Multiple Screener: An unsupervised digital screening tool for cognitive deficits in MS</t>
  </si>
  <si>
    <t>Minnemera</t>
  </si>
  <si>
    <t xml:space="preserve">Vroege detectie van cognitieve achteruitgang richting Alzheimer/dementie </t>
  </si>
  <si>
    <t>Björngrim et al. (2019) - Comparing Traditional and Digitized Cognitive Tests Used in Standard Clinical Evaluation - A Study of the Digital Application Minnemera</t>
  </si>
  <si>
    <t>https://www.umcutrecht.nl/nieuws/deltascan-toont-kans-op-delirium</t>
  </si>
  <si>
    <t>moetiknaardedokter.nl</t>
  </si>
  <si>
    <t>syngo Virtual Cockpit (Siemens Healthineers)</t>
  </si>
  <si>
    <t>Skinvision</t>
  </si>
  <si>
    <t>Een aantal huisartsen hebben een ander behandelplan opgesteld obv de app uitkomsten.</t>
  </si>
  <si>
    <t>Smak Gregoor et al. (2023) - Artificial intelligence in mobile health for skin cancer diagnostics at home (AIM HIGH): a pilot feasibility study</t>
  </si>
  <si>
    <t>Agfa</t>
  </si>
  <si>
    <t xml:space="preserve">Tijdens behandeling van de longkanker nog maar 2 i.p.v. 3 CT-scans nodig, daarmee kostenbesparing van 1 CT scan per patiënt (kosten per CT scan ongeveer 100-200 euro: https://www.rtlnieuws.nl/nieuws/artikel/2154016/ct-scan-longkanker-kom-jij-aanmerking) </t>
  </si>
  <si>
    <t>Aandeel in subgroep</t>
  </si>
  <si>
    <t>% in zorg</t>
  </si>
  <si>
    <t>Prevalentie</t>
  </si>
  <si>
    <t>Nivel - Dementiemonitor Mantelzorg 2022 &amp; https://www.alzheimer-nederland.nl/factsheet-cijfers-en-feiten-over-dementie</t>
  </si>
  <si>
    <t>Nivel - Dementiemonitor Mantelzorg 2022</t>
  </si>
  <si>
    <t>RIVM - Overzicht cijfers hersenaandoeningen (2023): Cognitieve beperking/intellectuele achterstand (ICPC P85), Nivel - Factsheets over thuiswonende dementen (GINO-registraties obv prevalentiecijfers van Van Schrojenstein Lantman-de Valk e.a. (2002))</t>
  </si>
  <si>
    <t>RIVM - Overzicht cijfers hersenaandoeningen (2023): Cognitieve beperking/intellectuele achterstand (ICPC P85)</t>
  </si>
  <si>
    <t>RIVM - Overzicht cijfers hersenaandoeningen (2023): Parkinsonisme/ziekte van Parkinson (ICPC N87)</t>
  </si>
  <si>
    <t>RIVM - Overzicht cijfers hersenaandoeningen (2023): Parkinsonisme/ziekte van Parkinson (ICPC N87); https://www.parkinsonnet.nl/misverstanden/</t>
  </si>
  <si>
    <t>Nivel - Reumatische aandoeningen in Nederland: ervaringen en kerngetallen (2016)</t>
  </si>
  <si>
    <t>Actiz</t>
  </si>
  <si>
    <t>Nivel - Dementiemonitor Mantelzorg 2022 (87% van de alleenwonenden thuis maakt gebruik van een casemanager)</t>
  </si>
  <si>
    <t>Nivel - Dementiemonitor Mantelzorg 2022 &amp; Significant Vilans - Tijdbesparende technologieën in de ouderenzorg (deel 2, pagina 53) (21% van de alleenwonenden thuis heeft MPT/VPT thuis)</t>
  </si>
  <si>
    <t>Vektis - Factsheet kwetsbare ouderen (2020)</t>
  </si>
  <si>
    <t>Urine incontinent</t>
  </si>
  <si>
    <t xml:space="preserve">https://www.cbs.nl/nl-nl/maatwerk/2020/13/aantal-bewoners-van-verzorgings-en-verpleeghuizen-2019#:~:text=In%202019%20woonden%20ruim%20115,Amsterdam%20met%20ruim%203%20duizend. &amp; LPZ zorgproblemen - incontinentie (2017) </t>
  </si>
  <si>
    <t>Van Cooten et al. (2022), gegevens uit 2013</t>
  </si>
  <si>
    <t>https://projecten.zonmw.nl/nl/project/goed-gebruik-aan-en-uittrekhulpmiddelen-voor-therapeutisch-elastische-kousen</t>
  </si>
  <si>
    <t>vzinfo (2021) - 28.000 ziekenhuisopnames voor hartfalen in 2020 = 11% v.d. groep opgenomen</t>
  </si>
  <si>
    <t>Zorgkaart Nederland</t>
  </si>
  <si>
    <t>https://www.rijnlandorthopedie.nl/veelgestelde-vragen-over-een-knieprothese/</t>
  </si>
  <si>
    <t>https://www.rivm.nl/medische-stralingstoepassingen/trends-en-stand-van-zaken/diagnostiek/echografie-en-mri#:~:text=MRI%20magnetic%20resonance%20imaging%20(magnetic%20resonance%20imaging),-Het%20aantal%20MRI&amp;text=In%201993%20waren%20er%20ongeveer,stijging%20van%20bijna%205%20procent.</t>
  </si>
  <si>
    <t>200.000 - https://www.epine.nl/kluisshop/blog/toepassing-van-sleutelkluizen-in-de-zorg/
100.000 - Vilans</t>
  </si>
  <si>
    <t>https://www.cbs.nl/nl-nl/maatwerk/2020/13/aantal-bewoners-van-verzorgings-en-verpleeghuizen-2019#:~:text=In%202019%20woonden%20ruim%20115,Amsterdam%20met%20ruim%203%20duizend.</t>
  </si>
  <si>
    <t>https://www.epilepsie.nl/over-epilepsie/wie-krijgt-epilepsie-en-op-welke-leeftijd#:~:text=In%20Nederland%20hebben%20ongeveer%20200.000,je%20meer%20kans%20op%20epilepsie.&amp;text=Epilepsie%20komt%20vaak%20voor%20bij%20kinderen. &amp; https://www.kempenhaeghe.nl/epilepsie/mensen-met-epilepsie/#:~:text=In%20Nederland%20hebben%20ongeveer%2020.000,over%20bij%20het%20ouder%20worden.</t>
  </si>
  <si>
    <t>https://msvereniging.nl/over-ms/wat-is-ms/ &amp; Van Dongen et al. (2020)</t>
  </si>
  <si>
    <t>Incidentie van tussen de 14-111 per 1000 persoonsjaren (gebaseerd op 70+ers) - https://richtlijnendatabase.nl/richtlijn/mild_cognitive_impairment_mci/definitie_en_diagnose_mci.html &amp; https://opendata.cbs.nl/#/CBS/nl/dataset/03759ned/table?dl=39E0B (jaar 2020)</t>
  </si>
  <si>
    <t>InEen - Benchmark Huisartsenposten Bulletin 2021</t>
  </si>
  <si>
    <t>Jaarlijks hebben 300.000 ouderen een ongeplande ziekenhuisopname (https://www.vektis.nl/intelligence/publicaties/1-op-de-11-65-plussers-heeft-een-ongeplande-ziekenhuisopname), 40% van alle ouderen in het ziekenhuis krijgt een delier (https://www.innovationquarter.nl/item/delirium-eerder-herkennen-en-beter-behandelen-met-deltascan-van-prolira/)</t>
  </si>
  <si>
    <t>Zwangere vrouwen per jaar - https://www.vzinfo.nl/bevolking/geboorte#:~:text=Totaal%20aantal%20geboorten%20ruim%20177.000%20in%202021&amp;text=In%202021%20werden%20179.441%20levende,drie%2D%20of%20meerlingen%20zeer%20klein.
Echo's per zwangere - https://babyopkomst.nl/echo/#:~:text=Tijdens%20de%20zwangerschap%20krijg%20je%20standaard%20drie%20keer%20een%20echo%20aangeboden.&amp;text=Maar%20daarnaast%20kan%20je%20verloskundige,echo%20(rond%20de%2030%20weken)</t>
  </si>
  <si>
    <t>NICE aantal opnames op IC in 2022</t>
  </si>
  <si>
    <t>In Nederland heeft 1 op de 200 mensen IBD. (https://www.crohn-colitis.nl/over-crohn-colitis/ )</t>
  </si>
  <si>
    <t>In FTE, bron: Personeelssamenstelling verpleeghuizen 2021</t>
  </si>
  <si>
    <t>FTE, want dit is een besparing per fte zorgmedewerker, https://icthealth.nl/nieuws/virtuele-thuiszorg-12-meer-clienten-helpen-per-fte/#:~:text=Het%20aantal%20cli%C3%ABnten%20per%20voltijdbaan,naar%206%2C34%20in%202021.</t>
  </si>
  <si>
    <t>https://www.vektis.nl/intelligence/publicaties/factsheet-wijkverpleging-2022#:~:text=Het%20aantal%20mensen%20met%20wijkverpleging%20is%20sinds%202018%20redelijk%20stabiel,er%20293%20duizend%20per%20maand. + interview Compaan (01-06-2023)</t>
  </si>
  <si>
    <t>Vzinfo : 1,1 miljoen Nederlanders met diabetes</t>
  </si>
  <si>
    <t>In totaal 584 duizend mensen wijkverpleging (Vektis), in Vilans - arbeidsbesparende technologieën wordt bij organisatie met 3000 extramurale cliënten 9 glucosesensoren ingezet</t>
  </si>
  <si>
    <t>RiVM, 2020. Correctie voor in zorg vindt plaats onder toepasbaarheid</t>
  </si>
  <si>
    <t>https://www.vzinfo.nl/astma  aantal patiënten in zorg onderdeel van toepasbaarheid</t>
  </si>
  <si>
    <t>https://www.vzinfo.nl/copd  aantal patiënten in zorg onderdeel van toepasbaarheid</t>
  </si>
  <si>
    <t>https://www.trauma.nl/pub/botbreuken#:~:text=Botbreuken%20komen%20veel%20voor%20en,een%20botbreuk%20oploopt...!</t>
  </si>
  <si>
    <t>https://www.nvlf.nl/wetenschap/afasiebehandeling-bedrijfseconomisch-bekeken/</t>
  </si>
  <si>
    <t>https://msvereniging.nl/persbericht-twee-keer-zo-veel-mensen-met-ms-in-nederland/</t>
  </si>
  <si>
    <t>Aantal consulten jaarlijks per huisarts voor goedaardig huidplekje (Smak Gregoor et al. 2023) i.c.m. aantal huisartsen in Nederland (Vzinfo)</t>
  </si>
  <si>
    <t>Doelgroep</t>
  </si>
  <si>
    <t>Aantal direct toepasbaar - totaal</t>
  </si>
  <si>
    <t>Aantal extrapolatie</t>
  </si>
  <si>
    <t>Gemiddelde totale jaarlijkse arbeidsbesparing (€)</t>
  </si>
  <si>
    <t>Gemiddelde jaarlijkse arbeidsbesparing (FTE)</t>
  </si>
  <si>
    <t>Gemiddelde overige jaarlijkse kostenbesparing (€)</t>
  </si>
  <si>
    <t>Ouderen ziekenhuis delier</t>
  </si>
  <si>
    <t>Epilepsie Kinderen</t>
  </si>
  <si>
    <t>Gemiddelde jaarlijkse kosten (totaal) (€) incl schatting</t>
  </si>
  <si>
    <t>Kosten schatten?</t>
  </si>
  <si>
    <t>Schatting kosten (€)</t>
  </si>
  <si>
    <t>Investering schatten?</t>
  </si>
  <si>
    <t>Nee</t>
  </si>
  <si>
    <t>Ja</t>
  </si>
  <si>
    <t>Totale omzet</t>
  </si>
  <si>
    <t>Totale kosten</t>
  </si>
  <si>
    <t>Verhouding kosten/omzet</t>
  </si>
  <si>
    <t>Prevalentie/incidentie subgroep</t>
  </si>
  <si>
    <t>% toepasbaar</t>
  </si>
  <si>
    <t>Uurtarief</t>
  </si>
  <si>
    <t>Tijdsbesparing (min/week/patiënt)</t>
  </si>
  <si>
    <t>Tijdsbesparing (min/handeling)</t>
  </si>
  <si>
    <t>Kostenbesparing (personeel) per handeling (€)</t>
  </si>
  <si>
    <t>Kostenbesparing door arbeidsbesparing p. patiënt (€/week)</t>
  </si>
  <si>
    <t>Tijdsbesparing (min/week/patiënt) berekend</t>
  </si>
  <si>
    <t>Tijdsbesparing (min/handeling) berekend</t>
  </si>
  <si>
    <t>Tijdsbesparing totaal potentieel (uur/week) - prevalentie</t>
  </si>
  <si>
    <t>Totaal arbeidsbesparing (FTE/jaar)</t>
  </si>
  <si>
    <t>Totaal arbeidsbesparing (€/jaar)</t>
  </si>
  <si>
    <t>Overige kostenbesparing (Totaal €/jaar)</t>
  </si>
  <si>
    <t>Overige kostenbesparing (€/jaar/patiënt)</t>
  </si>
  <si>
    <t>Overige kostenbesparing (totaal/jaar totaal potentieel)</t>
  </si>
  <si>
    <t>Aantal organisaties</t>
  </si>
  <si>
    <t>Initiële investering per organisatie</t>
  </si>
  <si>
    <t>Jaarlijkse kosten (totaal)</t>
  </si>
  <si>
    <t>Vertraging</t>
  </si>
  <si>
    <t>Vertraging 12 jaar</t>
  </si>
  <si>
    <t>Vertraging 11 jaar</t>
  </si>
  <si>
    <t>Vertraging 10 jaar</t>
  </si>
  <si>
    <t>Vertraging 9 jaar</t>
  </si>
  <si>
    <t>Vertraging 8 jaar</t>
  </si>
  <si>
    <t>Vertraging 7 jaar</t>
  </si>
  <si>
    <t>Vertraging 6 jaar</t>
  </si>
  <si>
    <t>Vertraging 5 jaar</t>
  </si>
  <si>
    <t>Vertraging 4 jaar</t>
  </si>
  <si>
    <t>Vertraging 3 jaar</t>
  </si>
  <si>
    <t>Vertraging 2 jaar</t>
  </si>
  <si>
    <t>Vertraging 1 jaar</t>
  </si>
  <si>
    <t>2023</t>
  </si>
  <si>
    <t>2024</t>
  </si>
  <si>
    <t>2025</t>
  </si>
  <si>
    <t>2026</t>
  </si>
  <si>
    <t>2027</t>
  </si>
  <si>
    <t>2028</t>
  </si>
  <si>
    <t>2029</t>
  </si>
  <si>
    <t>2030</t>
  </si>
  <si>
    <t>2031</t>
  </si>
  <si>
    <t>2032</t>
  </si>
  <si>
    <t>2033</t>
  </si>
  <si>
    <t>2034</t>
  </si>
  <si>
    <t>Opbrengsten 2023 - totaal</t>
  </si>
  <si>
    <t>Structurele kosten 2023</t>
  </si>
  <si>
    <t>Percentage kostenbesparing indirect personeel</t>
  </si>
  <si>
    <t>Kostenbesparing indirect personeel</t>
  </si>
  <si>
    <t>MRI onderzoek_Prostaatkanker</t>
  </si>
  <si>
    <t>Schatting investering (€)</t>
  </si>
  <si>
    <t>Totale investering</t>
  </si>
  <si>
    <t>Verhouding investering/omzet</t>
  </si>
  <si>
    <t>Gemiddelde initiële investering (€) incl schatting</t>
  </si>
  <si>
    <t>QALY per patiënt</t>
  </si>
  <si>
    <t>QALY</t>
  </si>
  <si>
    <t>Opbrengsten door QALY's</t>
  </si>
  <si>
    <t>Aantal geregistreerde zorgactiviteiten "MRI prostaat" in 2022 voor diagnoses Prostaatcarcinoom &amp; BPH/BH Obstructie (OpenDIS data)</t>
  </si>
  <si>
    <t>CT scan_Longkanker</t>
  </si>
  <si>
    <t xml:space="preserve">Algoritme kan standaard toegepast worden om sneller de scans te kunnen beoordelen. </t>
  </si>
  <si>
    <t>Aantal geregistreerde zorgactiviteiten "CT onderzoek van de thorax, het hart en grote vaten incl. inbrengen contrastmiddel" (code 85042) bij diagnosecode 1601 (Interstitiële aandoeningen) in 2022 - OpenDIS data</t>
  </si>
  <si>
    <t xml:space="preserve">Aantal geregistreerde zorgactiviteiten "CT onderzoek van de thorax, het hart en grote vaten incl. inbrengen contrastmiddel" (code 85042) bij diagnoses 1303 (Tumoren NSCLC), 1304 (Tumoren SCLC), 1307 (Overige tumoren), 313 (neoplasma bronhus), 622 (maligniteit grootcellig carcinoom bronchus), 621 (maligniteit kleincellig carcinoom bronchus) in 2022 - OpenDIS data </t>
  </si>
  <si>
    <t>CT scan_Interstitiële longaandoening</t>
  </si>
  <si>
    <t>Ziegelmayer et al. (2022) - Cost-effectiveness of AI support in computed tomography-based lung cancer screening</t>
  </si>
  <si>
    <t>BoneView</t>
  </si>
  <si>
    <t xml:space="preserve">42% afname van vals positieve uitkomsten </t>
  </si>
  <si>
    <t>Duron et al. (2021) - Assessment of an AI Aid in Detection of Adult Appendicular Skeletal Fractures by Emergency Physicians and Radiologists: A Multicenter Cross-sectional Diagnostic Study</t>
  </si>
  <si>
    <t>Röntgenscan_Botbreuk</t>
  </si>
  <si>
    <t>Aantal geregistreerde zorgactiviteiten radiologisch onderzoek botten (ZA codes 84602, 89602, 89302, 89202, 89002, 86802, 84402, 89402, 84002) icm diagnosecode letsel (ZPD codes 199299012, 199299016, 199299119, 199299118, 199299017, 199299120, 199299018, 199299013, 199299028) in 2022 - OpenDIS data</t>
  </si>
  <si>
    <t>https://www.rivm.nl/medische-stralingstoepassingen/trends-en-stand-van-zaken/diagnostiek/echografie-en-mri</t>
  </si>
  <si>
    <t xml:space="preserve">De snelle ontwikkeling van nieuwe AI modellen zorgt ervoor dat waarschijnlijk voor alle scans uiteindelijk ondersteuning door AI kan plaatsvinden. </t>
  </si>
  <si>
    <t>CT scan_Overig</t>
  </si>
  <si>
    <t>MRI onderzoek_Overig</t>
  </si>
  <si>
    <t>https://www.rivm.nl/medische-stralingstoepassingen/trends-en-stand-van-zaken/diagnostiek/computer-tomografie/trends-in-aantal-ct-onderzoeken</t>
  </si>
  <si>
    <t>https://www.rivm.nl/medische-stralingstoepassingen/trends-en-stand-van-zaken/diagnostiek/r-ntgen-exclusief-ct/trend-in-aantal-r-ntgenonderzoeken</t>
  </si>
  <si>
    <t>Gemiddelde opbrengsten door QALY's</t>
  </si>
  <si>
    <t>Jaar</t>
  </si>
  <si>
    <t>Incidentie voor QALY</t>
  </si>
  <si>
    <t>CT_onderzoek_boven</t>
  </si>
  <si>
    <t>AI om diagnoses te stellen (MRI)</t>
  </si>
  <si>
    <t>AI om diagnoses te stellen (CT)</t>
  </si>
  <si>
    <t>AI om diagnoses te stellen (app)</t>
  </si>
  <si>
    <t>AI om diagnoses te stellen (röntgen)</t>
  </si>
  <si>
    <t>https://www.skinvision.com/nl/van-start/#pricingplans</t>
  </si>
  <si>
    <t>Tijdsbesparing p. patiënt (min/week)</t>
  </si>
  <si>
    <t>Tijdsbesparing per handeling (min)</t>
  </si>
  <si>
    <t>Kostenbesparing p. patiënt door arbeidsbesparing (€/week)</t>
  </si>
  <si>
    <t>Jaarlijkse besparing zorgpersoneel (FTE)</t>
  </si>
  <si>
    <t>Besparing overige kosten (€/jaar)</t>
  </si>
  <si>
    <t>Besparing overige kosten (€/patiënt/jaar)</t>
  </si>
  <si>
    <t>Tijdsbesparing (min/week/patiënt) - gegeven</t>
  </si>
  <si>
    <t>Tijdsbesparing (min/handeling) - gegeven</t>
  </si>
  <si>
    <t>Jaarlijkse kosten per patiënt</t>
  </si>
  <si>
    <t>Jaarlijkse kosten per organisatie</t>
  </si>
  <si>
    <t>Jaarlijkse kosten per patiënt berekend</t>
  </si>
  <si>
    <t>Jaarlijkse kosten per patiënt totaal</t>
  </si>
  <si>
    <t>Initiële investering per patiënt</t>
  </si>
  <si>
    <t>Initiële investering per patiënt berekend</t>
  </si>
  <si>
    <t>Intiële investering per patiënt totaal</t>
  </si>
  <si>
    <t>Röntgenscan_Overig</t>
  </si>
  <si>
    <t>Direct toepasbaar/extrapolatie</t>
  </si>
  <si>
    <t>Patiëntaantal (direct toepasbaar/extrapolatie)</t>
  </si>
  <si>
    <t>Overige kostenbesparing (€/jaar/patiënt) berekend</t>
  </si>
  <si>
    <t>Overige kostenbesparing (€/jaar/patiënt) - gegeven</t>
  </si>
  <si>
    <t>Input voor berekening impact</t>
  </si>
  <si>
    <t>Input voor berekening kosten</t>
  </si>
  <si>
    <t>Totaal arbeidsbesparing onafhankelijk van patiënt (FTE)</t>
  </si>
  <si>
    <t>Bron prevalentie/incidentie</t>
  </si>
  <si>
    <t>Bron/onderbouwing toepasbaarheid</t>
  </si>
  <si>
    <t>Arbeidsbesparing (€/jaar)</t>
  </si>
  <si>
    <t>Arbeidsbesparing (FTE/jaar)</t>
  </si>
  <si>
    <t>Overige besparingen</t>
  </si>
  <si>
    <t>Kosten (€)</t>
  </si>
  <si>
    <t>Implementatiegraad t = T</t>
  </si>
  <si>
    <t>Implementatiegraad t = T + 1</t>
  </si>
  <si>
    <t>Bronnummer</t>
  </si>
  <si>
    <t>Zoeksleutel bronnummer</t>
  </si>
  <si>
    <t>AI om diagnoses te stellen (app)_1</t>
  </si>
  <si>
    <t>AI om diagnoses te stellen (app)_2</t>
  </si>
  <si>
    <t>AI om diagnoses te stellen (CT)_1</t>
  </si>
  <si>
    <t>AI om diagnoses te stellen (CT)_2</t>
  </si>
  <si>
    <t>AI om diagnoses te stellen (CT)_3</t>
  </si>
  <si>
    <t>AI om diagnoses te stellen (CT)_4</t>
  </si>
  <si>
    <t>AI om diagnoses te stellen (CT)_6</t>
  </si>
  <si>
    <t>AI om diagnoses te stellen (MRI)_1</t>
  </si>
  <si>
    <t>AI om diagnoses te stellen (röntgen)_1</t>
  </si>
  <si>
    <t>Apps voor cognitieve testen_1</t>
  </si>
  <si>
    <t>Apps voor cognitieve testen_2</t>
  </si>
  <si>
    <t>Deltascan voor delier opsporing_1</t>
  </si>
  <si>
    <t>Digitale pathologie_1</t>
  </si>
  <si>
    <t>Elektromechanisch toegangsbeheer_1</t>
  </si>
  <si>
    <t>Elektromechanisch toegangsbeheer_3</t>
  </si>
  <si>
    <t>Exoskelet_1</t>
  </si>
  <si>
    <t>Exoskelet_2</t>
  </si>
  <si>
    <t>Heupairbag_1</t>
  </si>
  <si>
    <t>Heupairbag_2</t>
  </si>
  <si>
    <t>Leefcirkels_1</t>
  </si>
  <si>
    <t>Leefcirkels_2</t>
  </si>
  <si>
    <t>Leefstijlmonitoring_1</t>
  </si>
  <si>
    <t>Leefstijlmonitoring_2</t>
  </si>
  <si>
    <t>Medicijndispenser_1</t>
  </si>
  <si>
    <t>Medicijndispenser_2</t>
  </si>
  <si>
    <t>Medicijndispenser_3</t>
  </si>
  <si>
    <t>Mobiele echo's_1</t>
  </si>
  <si>
    <t>Mobiele echo's_2</t>
  </si>
  <si>
    <t>Point-of-care (POC) testing_1</t>
  </si>
  <si>
    <t>Point-of-care (POC) testing_2</t>
  </si>
  <si>
    <t>RT monitoring (glucosemeter)_2</t>
  </si>
  <si>
    <t>RT monitoring (glucosemeter)_3</t>
  </si>
  <si>
    <t>RT monitoring (glucosemeter)_5</t>
  </si>
  <si>
    <t>RT monitoring (glucosemeter)_6</t>
  </si>
  <si>
    <t>Slim incontinentiemateriaal_1</t>
  </si>
  <si>
    <t>Slim incontinentiemateriaal_2</t>
  </si>
  <si>
    <t>Slim incontinentiemateriaal_3</t>
  </si>
  <si>
    <t>Slim incontinentiemateriaal_4</t>
  </si>
  <si>
    <t>Slimme bedsensoren_2</t>
  </si>
  <si>
    <t>Slimme bedsensoren_3</t>
  </si>
  <si>
    <t>Slimme pleisters_1</t>
  </si>
  <si>
    <t>Slimme pleisters_2</t>
  </si>
  <si>
    <t>Slimme pleisters_3</t>
  </si>
  <si>
    <t>Spraak automatisch vastleggen_1</t>
  </si>
  <si>
    <t>Spraak automatisch vastleggen_2</t>
  </si>
  <si>
    <t>Spraak automatisch vastleggen_3</t>
  </si>
  <si>
    <t>Steunkousen technologie_1</t>
  </si>
  <si>
    <t>Steunkousen technologie_2</t>
  </si>
  <si>
    <t>Steunkousen technologie_3</t>
  </si>
  <si>
    <t>Structuurrobot_1</t>
  </si>
  <si>
    <t>Structuurrobot_2</t>
  </si>
  <si>
    <t>Structuurrobot_3</t>
  </si>
  <si>
    <t>Structuurrobot_4</t>
  </si>
  <si>
    <t>Structuurrobot_5</t>
  </si>
  <si>
    <t>Structuurrobot_6</t>
  </si>
  <si>
    <t>Virtual cockpit_1</t>
  </si>
  <si>
    <t>Zorg op afstand met tablet_1</t>
  </si>
  <si>
    <t>Zorg op afstand met tablet_2</t>
  </si>
  <si>
    <t>Bron gebruiken voor opbrengsten?</t>
  </si>
  <si>
    <t>Geen kosten</t>
  </si>
  <si>
    <t>Medicijndispenser_5</t>
  </si>
  <si>
    <t>40% voorkomen door exoskelet, maar 100% moet m dragen</t>
  </si>
  <si>
    <t>Zoeksleutel bron</t>
  </si>
  <si>
    <t>Selectie jaar</t>
  </si>
  <si>
    <t>Hulp</t>
  </si>
  <si>
    <t>Niets gelezen waardoor een IBD patient mijnIBDcoach niet zou kunnen gebruiken
Ook als we kijken naar jaarlijks aantal opnamen vergelijkbaar aantal (86 duizend in 2021, bron: CBD)</t>
  </si>
  <si>
    <t>Moovd</t>
  </si>
  <si>
    <t>PTSS</t>
  </si>
  <si>
    <t>Digitale exposure therapie</t>
  </si>
  <si>
    <t>Zinnige Zorg bij PTSS - verbetersignalement</t>
  </si>
  <si>
    <t>Digitale exposure therapie_1</t>
  </si>
  <si>
    <t>Health-economic evaluation of home telemonitoring for COPD in Germany: evidence from a large population-based cohort</t>
  </si>
  <si>
    <t>Aantal doelgroepen waarop toepasbaar</t>
  </si>
  <si>
    <t>Herhaalpoli's</t>
  </si>
  <si>
    <t>https://www.medischcontact.nl/actueel/laatste-nieuws/artikel/telemonitoring-verbetert-parkinsonzorg</t>
  </si>
  <si>
    <t>Digitale/slimme vervolgzorg</t>
  </si>
  <si>
    <t>Digitale/slimme vervolgzorg_2</t>
  </si>
  <si>
    <t>Digitale/slimme vervolgzorg_1</t>
  </si>
  <si>
    <t>Digitale zorg logopedie</t>
  </si>
  <si>
    <t>Overige_zittingen</t>
  </si>
  <si>
    <t>26 werken lang 2 uur per week logopedie voor afasie -&gt; 1 zitting is 0,5 uur. 10.000 afasie patienten -&gt; 1,04 miljoen zittingen voor afasie
In totaal 4,5 miljoen zittingen (https://www.zorgcijfersdatabank.nl/databank?infotype=zvw&amp;label=00-totaal&amp;tabel=B_volu&amp;geg=jjverdiepnew22&amp;item=207623)
Oftewel, bij extrapolatie 3,5 extra zittingen -&gt; impact van afasie * 3,5 -&gt; om dat te simuleren doen we hier aantal patienten * 3,5</t>
  </si>
  <si>
    <t>Zorgcijfersdatabank</t>
  </si>
  <si>
    <t>Digitale zorg logopedie_1</t>
  </si>
  <si>
    <t>(Zelf)monitoring hypertensie zwangeren</t>
  </si>
  <si>
    <t>(Zelf)monitoring hypertensie zwangeren_1</t>
  </si>
  <si>
    <t>(Zelf)monitoring hypertensie zwangeren_2</t>
  </si>
  <si>
    <t>Moovd website</t>
  </si>
  <si>
    <t>Overig_chronisch</t>
  </si>
  <si>
    <t>Ongeveer een op de vijf chronisch zieken werd in het ziekenhuis opgenomen: 18% vs. 7% voor algemene bevolking
Oftewel 11% extra door chronische ziekte -&gt; 11%*5,3 -&gt;jaarlijks 530.000 patienten ziekenhuisopname door chronische ziekte
In totaal 184 duizend opnames voor de onderzochte aandoeningen (bron: CBS), versus 530 duizend  totaal -&gt; * (540/184)-1=1,8
Daarvoor de patientaantallen nemen zoals ze er nu inzitten voor toegepast, die sommen en vermenigvuldigen met 1,8</t>
  </si>
  <si>
    <t>AI om diagnoses te stellen (CT)_5</t>
  </si>
  <si>
    <t>https://zorginnovatie.nl/innovaties/momo-bedsense-en-app</t>
  </si>
  <si>
    <t>Tosteson et al. (2001) - Impact of Hip and Vertebral Fractures on Quality-Adjusted Life Years</t>
  </si>
  <si>
    <t>Heupfracturen</t>
  </si>
  <si>
    <t>Significant Vilans - Tijdbesparende technologieën in de ouderenzorg (deel 1&amp;2) - 46% afname heup-, bekken- en beenfracturen</t>
  </si>
  <si>
    <t>Heupairbag_3</t>
  </si>
  <si>
    <t>Alle velden</t>
  </si>
  <si>
    <t>Jaarlijkse kosten (totaal) - incl. schatting</t>
  </si>
  <si>
    <t>Initiële investering (totaal) - incl. schatting</t>
  </si>
  <si>
    <t>Bron gebruiken voor kosten/investering?</t>
  </si>
  <si>
    <t>(Zelf)zorgplatform + telebegeleiding</t>
  </si>
  <si>
    <t>(Zelf)zorgplatform + telebegeleiding_1</t>
  </si>
  <si>
    <t>(Zelf)zorgplatform + telebegeleiding_10</t>
  </si>
  <si>
    <t>(Zelf)zorgplatform + telebegeleiding_5</t>
  </si>
  <si>
    <t>(Zelf)zorgplatform + telebegeleiding_6</t>
  </si>
  <si>
    <t>(Zelf)zorgplatform + telebegeleiding_3</t>
  </si>
  <si>
    <t>(Zelf)zorgplatform + telebegeleiding_4</t>
  </si>
  <si>
    <t>(Zelf)zorgplatform + telebegeleiding_8</t>
  </si>
  <si>
    <t>(Zelf)zorgplatform + telebegeleiding_9</t>
  </si>
  <si>
    <t>(Zelf)zorgplatform + telebegeleiding_7</t>
  </si>
  <si>
    <t>Direct toepasbaar/extrapolatie/incidentie voor QALY</t>
  </si>
  <si>
    <t>Jaarlijkse kosten algemeen (onafhankelijk van patiënt/organisatie)</t>
  </si>
  <si>
    <t>Heupairbag_4</t>
  </si>
  <si>
    <t>NKR cijfers (IKNL) - incidentie prostaatkanker 2022</t>
  </si>
  <si>
    <t>AI om diagnoses te stellen (MRI)_2</t>
  </si>
  <si>
    <t>NKR cijfers (IKNL) - incidentie longkanker 2022</t>
  </si>
  <si>
    <t>Kosten (miljoen €)</t>
  </si>
  <si>
    <t>Tijdsbesparing totaal potentieel (uur/jaar) - incidentie</t>
  </si>
  <si>
    <t>Totale opbrengsten</t>
  </si>
  <si>
    <t>Bestaand/nieuw beleid</t>
  </si>
  <si>
    <t>Nieuw</t>
  </si>
  <si>
    <t>Bestaand</t>
  </si>
  <si>
    <t>Substantieel</t>
  </si>
  <si>
    <t>p</t>
  </si>
  <si>
    <t>q</t>
  </si>
  <si>
    <t>Totaal</t>
  </si>
  <si>
    <t xml:space="preserve">Structurele kosten 2023 </t>
  </si>
  <si>
    <t>Structurele kosten</t>
  </si>
  <si>
    <t>FTE</t>
  </si>
  <si>
    <t>Totale opbrengsten (€)</t>
  </si>
  <si>
    <t>Totale opbrengsten bij behalen ambitie gegevensuitwisseling (€)</t>
  </si>
  <si>
    <t>Extra opbrengsten bij behalen ambitie gegevensuitwisseling (€)</t>
  </si>
  <si>
    <t>0</t>
  </si>
  <si>
    <t>1</t>
  </si>
  <si>
    <t>2</t>
  </si>
  <si>
    <t>3</t>
  </si>
  <si>
    <t>4</t>
  </si>
  <si>
    <t>5</t>
  </si>
  <si>
    <t>6</t>
  </si>
  <si>
    <t>7</t>
  </si>
  <si>
    <t>8</t>
  </si>
  <si>
    <t>9</t>
  </si>
  <si>
    <t>10</t>
  </si>
  <si>
    <t>11</t>
  </si>
  <si>
    <t>12</t>
  </si>
  <si>
    <t>13</t>
  </si>
  <si>
    <t>14</t>
  </si>
  <si>
    <t>15</t>
  </si>
  <si>
    <t>16</t>
  </si>
  <si>
    <t>17</t>
  </si>
  <si>
    <t>18</t>
  </si>
  <si>
    <t>19</t>
  </si>
  <si>
    <t>20</t>
  </si>
  <si>
    <t>Instellingen</t>
  </si>
  <si>
    <t>met sleutelkluis</t>
  </si>
  <si>
    <t>Thuiswonend</t>
  </si>
  <si>
    <t>Niet thuiswonend</t>
  </si>
  <si>
    <t>Woonzaam in een zorginstelling</t>
  </si>
  <si>
    <t>Alleenwonend thuis met casemanager</t>
  </si>
  <si>
    <t>Alleenwonend thuis VPT/MPT</t>
  </si>
  <si>
    <t>Samenwonend thuis</t>
  </si>
  <si>
    <t>Alleenwonend thuis</t>
  </si>
  <si>
    <t>Interstitiële longaandoening</t>
  </si>
  <si>
    <t>Goedaardige huidplek</t>
  </si>
  <si>
    <t xml:space="preserve">Overig </t>
  </si>
  <si>
    <t>Kinderen</t>
  </si>
  <si>
    <t>Hoofdgroep</t>
  </si>
  <si>
    <t>Doelgroep (zoeksleutel)</t>
  </si>
  <si>
    <t>CT scan</t>
  </si>
  <si>
    <t>HAP triageconsulten</t>
  </si>
  <si>
    <t>Huisartsconsult</t>
  </si>
  <si>
    <t>Huisartscontacten</t>
  </si>
  <si>
    <t>U4 en U5</t>
  </si>
  <si>
    <t>Reumatische aandoening</t>
  </si>
  <si>
    <t>MRI onderzoek</t>
  </si>
  <si>
    <t>IC-opnames</t>
  </si>
  <si>
    <t>Operatie knie</t>
  </si>
  <si>
    <t>Operatie heup</t>
  </si>
  <si>
    <t>Mild Cognitieve Impairment</t>
  </si>
  <si>
    <t>Ouderen ziekenhuis</t>
  </si>
  <si>
    <t>Delier</t>
  </si>
  <si>
    <t>Overige chronisch zieken</t>
  </si>
  <si>
    <t>Boven de 75 jaar</t>
  </si>
  <si>
    <t>Onder de 75 jaar</t>
  </si>
  <si>
    <t>Röntgenscan</t>
  </si>
  <si>
    <t>Botbreuk</t>
  </si>
  <si>
    <t>Zwangeren</t>
  </si>
  <si>
    <t>Met hoge bloeddruk</t>
  </si>
  <si>
    <t>Subgroep (optioneel)</t>
  </si>
  <si>
    <t>2e lijn</t>
  </si>
  <si>
    <t>Echo's 2e lijn</t>
  </si>
  <si>
    <t>Echografist</t>
  </si>
  <si>
    <t>https://www.nationaleberoepengids.nl/salaris/echografist</t>
  </si>
  <si>
    <t>Huisartscontacten met labaratoriumonderzoek</t>
  </si>
  <si>
    <t>HAP contacten met labaratoriumonderzoek</t>
  </si>
  <si>
    <t>Labaratoriumonderzoek</t>
  </si>
  <si>
    <t>https://www.nvkc.nl/files/ntkc/Rietjes.pdf
https://opendata.cbs.nl/statline/#/CBS/nl/dataset/81354ned/table?ts=1692216102235</t>
  </si>
  <si>
    <t>https://www.nivel.nl/sites/default/files/bestanden/1004418.pdf
https://www.nvkc.nl/files/Richtlijnen/POCTEL010515.pdf</t>
  </si>
  <si>
    <t>Laborant</t>
  </si>
  <si>
    <t>https://www.nationaleberoepengids.nl/salaris/laborant</t>
  </si>
  <si>
    <t>laborant</t>
  </si>
  <si>
    <t>89% van de vrouwen start haar zwangerschap in de eerste lijn onder verantwoordelijkheid van haar verloskundige.
https://deverloskundige.nl/bevalling/subtekstpagina/240/feiten-over-bevallen-in-nederland/
Aanname: 5% extra eraf omdat een aantal vrouwen misschien toch een echo in de 2e lijn krijgen</t>
  </si>
  <si>
    <t>https://bmjopen.bmj.com/content/7/8/e015494
Kosten HA - https://www.nza.nl/actueel/nieuws/2022/09/27/nza-verhoogt-en-differentieert-anw-uurtarief-huisarts#:~:text=Nieuwe%20tarieven,een%20feestdag%20%E2%82%AC%20131%2C87.
Tijd HA - https://www.medischcontact.nl/nieuws/laatste-nieuws/artikel/diagnostische-sneltests-verdienen-brede-invoering</t>
  </si>
  <si>
    <t>https://www.zorgkaartnederland.nl/verloskundepraktijk 
https://www.vzinfo.nl/ziekenhuiszorg/aanbod/instellingen#:~:text=Nederland%20telt%2069%20ziekenhuisorganisaties,en%20kinderziekenhuizen)%20en%20147%20buitenpoliklinieken.</t>
  </si>
  <si>
    <t>https://archief.panteia.nl/nieuws/onderzoek-overheadkosten-ziekenhuizen/</t>
  </si>
  <si>
    <t>Voorkomen door heupairbag</t>
  </si>
  <si>
    <t>https://dica.nl/jaarrapportage-2019/dhfa
45% voorkomen https://www.ncbi.nlm.nih.gov/pmc/articles/PMC9245388/
In theorie leidt voorkomen heupfractuur tot QALY winst over meerdere jaren. Als je kijkt naar Tosteson et al. (2001) - Impact of Hip and Vertebral Fractures on Quality-Adjusted Life Year dan is QALY winst door voorkomen heupfractuur 0.91-0.63=0.28. Loss of days per year is 23-65 years. Dat komt neer op gemiddeld aantal jaren voor de QALY winst van (0.28*365)/(23+65)/2=2,3 jaar. Omdat dit relatief weinig jaren betreft gaan we er in de berekening uit dat de gehele QALY-winst plaatsvindt op het moment dat de heupfractuur voorkomen wordt</t>
  </si>
  <si>
    <t>AI op de IC (ontslag beslissing)</t>
  </si>
  <si>
    <t>AI op de IC (ontslag beslissing)_1</t>
  </si>
  <si>
    <t>Voorkomen uitzaaiingen</t>
  </si>
  <si>
    <t xml:space="preserve">Het onderzoek van Ecorys gaat ervanuit dat door de inzet van AI in 3% van de gevallen prostaatkanker eerder ontdekt kan worden, waardoor uitzaaiingen kunnen worden voorkomen. </t>
  </si>
  <si>
    <t>Inzicht triagist digitale zelftriage HAP</t>
  </si>
  <si>
    <t>Inzicht triagist digitale zelftriage HAP_1</t>
  </si>
  <si>
    <t>Overige_aandoeningen</t>
  </si>
  <si>
    <t>Onderbouwing</t>
  </si>
  <si>
    <t>ZIN hanteert referentiewaarde afhankelijk van de ziektelast (zie tabel). Uitgaan van gemiddelde waarde. (Bron: ZIN - ziektelast in de praktijk)</t>
  </si>
  <si>
    <t>Inzicht assistent digitale zelftriage dagpraktijk</t>
  </si>
  <si>
    <t>Inzicht assistent digitale zelftriage dagpraktijk_1</t>
  </si>
  <si>
    <t xml:space="preserve">Radboud-UMC - Sjabloon kostenneutrale implementatie Beter uit Bed </t>
  </si>
  <si>
    <t>Passentenprijslijst Franciscus IC-dag type 2 (OZP nummer 190158)
https://www.franciscus.nl/uploads/2023-05/passantenprijslijst_2022_dotovp.pdf
Verhouding gelijk versteld aan SEH</t>
  </si>
  <si>
    <t>Toelichting huidige implementatiegraad</t>
  </si>
  <si>
    <t>Toelichting implementatiesnelheid</t>
  </si>
  <si>
    <t>Aantal verzekeraars vergoeden gebruik van de app (PZP, CZ, FBTO, Zilveren Kruis, Nationale Nederlanden)</t>
  </si>
  <si>
    <t>App bestaat en is bewezen, kan makkelijk breder binnen Nederland uitgerold worden</t>
  </si>
  <si>
    <t>Extrapolatie, dus nog niet geïmplementeerd</t>
  </si>
  <si>
    <t xml:space="preserve">Momenteel nog in ontwikkelfase, wordt nog niet buiten onderzoekssetting toegepast </t>
  </si>
  <si>
    <t>Na wetenschappelijke validatie kan het toegepast gaan worden, maar omdat het nu nog nergens echt toegepast wordt, verwachting gemiddelde snelheid.</t>
  </si>
  <si>
    <t xml:space="preserve">Wordt al bij meerdere ziekenhuizen in Nederland toegepast </t>
  </si>
  <si>
    <t>Wordt bij veel ziekenhuizen al gebruik van gemaakt (https://icthealth.nl/nieuws/digitale-pathologie-verdrijft-de-microscoop/#:~:text=Met%20digitale%20scanners%20kunnen%20glaasjes,een%20extra%20mening%20nodig%20is.)</t>
  </si>
  <si>
    <t>Techniek bestaat en is bewezen, dus kan zich naar andere ziekenhuizen gaan verspreiden. Wel training en procesaanpassingen nodig, dus niet meteen te implementeren voor ziekenhuizen, maar verwachting dat het wel snel gaat.</t>
  </si>
  <si>
    <t xml:space="preserve">Veel aanpassingen in infrastructuur van de organiastie nodig, waardoor dit niet heel snel te implementeren is. </t>
  </si>
  <si>
    <t>Vooral nog gegevens van een aantal pilots kunnen vinden, waarmee het lijkt dat het nog niet heel veel geïmplementeerd is</t>
  </si>
  <si>
    <t xml:space="preserve">Implementatie vereist trainingen en aanpassingen in het zorgproces, vandaar dat het niet heel snel zal gaan, maar het is technisch niet heel intwikkeld. </t>
  </si>
  <si>
    <t>Worden sinds 2016 pilots uitgevoerd, maar nog weinig te vinden in hoeverre het al structureel wordt toegepast.</t>
  </si>
  <si>
    <t xml:space="preserve">Pilotfase is voorbij en digitale zorgtoepassing wordt opgeschaald naar andere instellingen (middels anders werken in de zorg) </t>
  </si>
  <si>
    <t xml:space="preserve">Vanuit ervaringen anders werken in de zorg traject kan het relatief gemakkelijk verder geïmplementeerd worden, met een implementatieduur van rond de 3 maanden (ervaring in de pilots) </t>
  </si>
  <si>
    <t>In regio West-Brabant hebben al 10 van de 11 organisties  binnen anders werken in de zorg de bedsensor geïmplementeerd</t>
  </si>
  <si>
    <t>Om de digitale zorgtoepassing te implementeren moet o.a. de IT infrastructuur aangepast worden, waardoor het niet meteen geïmplementeerd kan worden maar verwachting met gemiddelde snelheid.</t>
  </si>
  <si>
    <t>In een aantal ziekenhuizen al geïmplementeerd maar verder weinig over te vinden</t>
  </si>
  <si>
    <t xml:space="preserve">Implementatie lijkt redelijk makkelijk omdat het software is die gewoon gebruikt kan worden, waardoor implementatie wel snel kan gaan. </t>
  </si>
  <si>
    <t>Aantal doelgroep-technologieën</t>
  </si>
  <si>
    <t>Totale besparingen (arbeid + overig) (miljoen €)</t>
  </si>
  <si>
    <t>Digitale zorgtoepassing</t>
  </si>
  <si>
    <t>Opslag p</t>
  </si>
  <si>
    <t>Opslag q</t>
  </si>
  <si>
    <t>Opnemen in richtlijnen/kwaliteitsstandaarden</t>
  </si>
  <si>
    <t>Stimuleren via contractering/ bekostiging/financiering</t>
  </si>
  <si>
    <t>Verbeteren vaardigheden en informeren burgers</t>
  </si>
  <si>
    <t>Factor p</t>
  </si>
  <si>
    <t>Factor q</t>
  </si>
  <si>
    <t>Impact afhankelijk van acceptatie burgers?</t>
  </si>
  <si>
    <t>Acceptatie burgers</t>
  </si>
  <si>
    <t>Impact afhankelijk van acceptatie burgers</t>
  </si>
  <si>
    <t>Gebruik door zorgverlener</t>
  </si>
  <si>
    <t>Uitgangssituatie (huidig beleid gehaald, geen nieuw beleid)</t>
  </si>
  <si>
    <t>Huidig beleid gehaald + 1 nieuwe beleidsmaatregel</t>
  </si>
  <si>
    <t>Huidig beleid gehaald + 2 nieuwe beleidsmaatregelen</t>
  </si>
  <si>
    <t>Huidig beleid gehaald + 3 nieuwe beleidsmaatregelen</t>
  </si>
  <si>
    <t>Opbrengsten 2023</t>
  </si>
  <si>
    <t>Jaarlijkse opbrengsten digitale zorg 2023</t>
  </si>
  <si>
    <t>Extra jaarlijkse opbrengsten bij volledige opschaling</t>
  </si>
  <si>
    <t>Extra jaarlijkse opbrengsten bij extrapolatie</t>
  </si>
  <si>
    <t>Potentiële jaarlijkse opbrengsten digitale zorgverlening</t>
  </si>
  <si>
    <t>Huidige t.o.v. potentiële opbrengsten</t>
  </si>
  <si>
    <t>Jaarlijkse opbrengsten digitale zorg bij volledige opschaling</t>
  </si>
  <si>
    <t>Extra opbrengsten t.o.v. 2023</t>
  </si>
  <si>
    <t>Meenemen in patiëntaantal?</t>
  </si>
  <si>
    <t>Nee (geen patiënten)</t>
  </si>
  <si>
    <t>Nee (echo's geen patiënten)</t>
  </si>
  <si>
    <t>Nee (contacten geen patiënten)</t>
  </si>
  <si>
    <t>Nee (dubbelop met voorgaande)</t>
  </si>
  <si>
    <t>Nee (dubbelop)</t>
  </si>
  <si>
    <t>Nee (scans, geen patiënten)</t>
  </si>
  <si>
    <t>Niet (implementatiegraad 0%)</t>
  </si>
  <si>
    <t>Veel (implementatiegraad 80%)</t>
  </si>
  <si>
    <t>Substantieel (implementatiegraad 60%)</t>
  </si>
  <si>
    <t>Enigszins (implementatiegraad 40%)</t>
  </si>
  <si>
    <t>Nauwelijks (implementatiegraad 20%)</t>
  </si>
  <si>
    <t>Totaal t.o.v. 2023</t>
  </si>
  <si>
    <t>bron: Prognosemodel zorg en welzijn (smal)</t>
  </si>
  <si>
    <t>%</t>
  </si>
  <si>
    <t>Potentiële opbrengsten/kosten onderzochte digitale zorgtoepassingen</t>
  </si>
  <si>
    <t>#</t>
  </si>
  <si>
    <t>Netto opbrengsten (miljoen €)</t>
  </si>
  <si>
    <t>Label grafiek (miljoen €)</t>
  </si>
  <si>
    <t>QALY (miljoen €)</t>
  </si>
  <si>
    <t>Jaarlijkse opbrengsten/kosten onderzochte digitale zorgtoepassingen</t>
  </si>
  <si>
    <t>Toename</t>
  </si>
  <si>
    <t>Totale toename</t>
  </si>
  <si>
    <t>Toename procentueel</t>
  </si>
  <si>
    <t>Verschil opbrengsten bij realiseren doelstellingen gegevensuitwisseling</t>
  </si>
  <si>
    <t>Verdeling huidige implementatiegraad digitale zorgtoepassingen</t>
  </si>
  <si>
    <t>Aantal digitale zorgtoepassingen in veld</t>
  </si>
  <si>
    <t>Kostenbesparing per handeling (€)</t>
  </si>
  <si>
    <t>Het model is als volgt opgebouwd:</t>
  </si>
  <si>
    <t>Betekenis kleuren</t>
  </si>
  <si>
    <t>Opmerkingen</t>
  </si>
  <si>
    <t>Gegevens opgehaald uit een ander veld</t>
  </si>
  <si>
    <t>Tussenresultaten van berekeningen</t>
  </si>
  <si>
    <t>Getal opgehaald uit een tabel</t>
  </si>
  <si>
    <t>Parameter/aanname die gewijzigd kan worden</t>
  </si>
  <si>
    <t>Situatie:</t>
  </si>
  <si>
    <t>Uitgangssituatie/effect beleid</t>
  </si>
  <si>
    <t>Effect beleid</t>
  </si>
  <si>
    <t>Uitgangssituatie</t>
  </si>
  <si>
    <t>1 van de 4 samenhangende beleidsmaatregelen niet gehaald: stimuleren (regionale) samenwerking, evalueren en prioriteren en ondersteunen van zorgaanbieders en zorgprofessionals</t>
  </si>
  <si>
    <t>'Opnemen in richtlijnen en kwaliteitsstandaarden' niet gehaald</t>
  </si>
  <si>
    <t>'Stimuleren via contractering/bekostiging/financiering' niet gehaald</t>
  </si>
  <si>
    <t>'Verbeteren vaardigheden en informeren burgers' niet gehaald</t>
  </si>
  <si>
    <t>Titels grafieken</t>
  </si>
  <si>
    <t>Filters</t>
  </si>
  <si>
    <t>Velden</t>
  </si>
  <si>
    <t>Jaartallen</t>
  </si>
  <si>
    <t>Beleidssituaties</t>
  </si>
  <si>
    <t>Afhankelijk van burgers</t>
  </si>
  <si>
    <t>Gegevensuitwisseling</t>
  </si>
  <si>
    <t>Beleid</t>
  </si>
  <si>
    <t>Opbrengsten 2028 grafiek 1</t>
  </si>
  <si>
    <t>Opbrengsten 2028 grafiek 2</t>
  </si>
  <si>
    <t>Tabblad</t>
  </si>
  <si>
    <t>A2</t>
  </si>
  <si>
    <t>A1</t>
  </si>
  <si>
    <t>Grafiek</t>
  </si>
  <si>
    <t>Titel</t>
  </si>
  <si>
    <t>Verdeling opbrengsten per veld</t>
  </si>
  <si>
    <t>Jaarlijkse opbrengsten/kosten per veld</t>
  </si>
  <si>
    <t>Techniek bestaat vooral in andere sectoren, maar nog niet in de zorg</t>
  </si>
  <si>
    <t>Nog weinig acceptatie en er zijn aanpassingen nodig zodat het geschikt is voor een vrouwenlichaam: https://anderswerkenindezorg.nl/pilot-update-exoskelet-ervaringen-van-mijzo/</t>
  </si>
  <si>
    <t>Faciliteren beoordelingskader digitale zorg</t>
  </si>
  <si>
    <t>Structureel bekostigen digitale zorg</t>
  </si>
  <si>
    <t>Landelijke campagne urgentiebesef voor zorgprofessionals</t>
  </si>
  <si>
    <t>4 samenhangende beleidsmaatregelen: stimuleren (regionale) samenwerking, evalueren en prioriteren en ondersteunen van zorgaanbieders en zorgprofessionals</t>
  </si>
  <si>
    <t>Beleidscategorie</t>
  </si>
  <si>
    <t>Beleid gehaald?</t>
  </si>
  <si>
    <t>Situatie</t>
  </si>
  <si>
    <t>Implementatie relatief eenvoudig, slot is gebruiksvriendelijk voor zorgmedewerkers en zorgt vrijwel direct voor tijdsbesparing, dus verwachting dat implementatie snel zal gaan. https://www.zorgvoorbeter.nl/thema-s/digitale-zorg/zorgtechnologieen/elektronisch-toegangsbeheer</t>
  </si>
  <si>
    <t xml:space="preserve">Er loop een subsidieregeling voor implementatie van de heupairbag - https://data.rvo.nl/subsidies-regelingen/projecten/opschaling-wolk-heupairbag-voor-thuiswonende-ouderen
Maar ook: de baten komen niet gelijk terecht bij de zorginstellingen die de heupairbags aanschaffen - https://teamtelefoon.nl/innovaties-moeilijk-te-implementeren/
Door verschillende voor- en nadelen geschat op gemiddelde implementatiesnelheid
</t>
  </si>
  <si>
    <t>-</t>
  </si>
  <si>
    <t>Het gebruik van apps die m.b.v. AI foto’s beoordelen (zoals het beoordelen van moedervlekken op huidkanker).</t>
  </si>
  <si>
    <t>Het gebruik van AI software ter ondersteuning van CT-scan beoordelingen.</t>
  </si>
  <si>
    <t>Het gebruik van AI software ter ondersteuning van MRI-scan beoordelingen.</t>
  </si>
  <si>
    <t>Het gebruik van AI software ter ondersteuning van röntgenscan beoordelingen.</t>
  </si>
  <si>
    <t>Het gebruik van apps om digitaal cognitieve testen af te nemen.</t>
  </si>
  <si>
    <t>Het monitoren van patiënten met behulp van elektroden om een delier sneller op te sporen.</t>
  </si>
  <si>
    <t>Het onderzoeken van weefsel via een computer of beeldscherm in plaats van via de microscoop.</t>
  </si>
  <si>
    <t>Het geïntegreerd gebruiken van een digitale zelftriage tool bij de huisartsenpraktijk, waarbij de praktijk inzicht heeft in de ingevulde zelftriage van de patiënt. Het gebruik van een zelftriage tool om (telefonische) zorgvragen te voorkomen is niet meegenomen omdat deze al breed wordt toegepast.</t>
  </si>
  <si>
    <t xml:space="preserve">Het geïntegreerd gebruiken van een digitale zelftriage tool bij de huisartsenpost (HAP), waarbij de HAP inzicht heeft in de ingevulde zelftriage van de patiënt. Het gebruik van een zelftriage tool om (telefonische) zorgvragen te voorkomen is niet meegenomen omdat deze al breed wordt toegepast. </t>
  </si>
  <si>
    <t>Het op afstand begeleiden, of volledig uitvoeren, van beeldvormend onderzoek.</t>
  </si>
  <si>
    <t>Een netwerk van sensoren dat inzicht geeft in het leefpatroon van personen.</t>
  </si>
  <si>
    <t>Het kunnen volgen van personen die (mogelijk kunnen gaan) dwalen op een elektronische kaart. Ook kan er een begrenzing aangebracht worden op de elektronische kaart waarbij een melding afgaat als de persoon deze begrenzing overschrijdt.</t>
  </si>
  <si>
    <t>Het op afstand monitoren van de verzadiging van het incontinentiemateriaal.</t>
  </si>
  <si>
    <t>Sensoren in het matras die verschillende aspecten van slaap en de slaapomgeving meten en monitoren om inzicht te geven in slaapkwaliteit, het slaappatroon en andere relevante gegevens.</t>
  </si>
  <si>
    <t>Gezien de medicijndispenser al jaren op de markt is maar nog steeds relatief weinig geïmplementeerd, verwachting dat de verdere implementatie ook maar met gemiddelde snelheid zal verlopen.</t>
  </si>
  <si>
    <t>Zelfde als voor overige aandoeningen</t>
  </si>
  <si>
    <t xml:space="preserve">Deze toepassing van de digitale zelftriage tool (waarbij de zorgverlener inzicht heeft in de antwoorden) wordt momenteel nog bijna nergens toegepast. </t>
  </si>
  <si>
    <t>Deze toepassing vraagt best substantiële wijzigingen in het zorgproces, waardoor implementatie naar verwachting niet snel zal gaan.</t>
  </si>
  <si>
    <t>Toepasbaarheid is hoger binnen deze groep omdat de groep met MPT/VPT waarschijnlijk al in een verder stadium zit waardoor leefstijlmonitoring voor een groter deel van deze groep toepasbaar zal zijn.</t>
  </si>
  <si>
    <t>We berekenen de impact obv FTE besparing en niet besparing per patiënt, dus patiëntaantal is niet relevant (999.999 betekent hier n.v.t.). Hier is rekening mee gehouden in de berekening.</t>
  </si>
  <si>
    <t xml:space="preserve">"Er zijn ruim meer dan 100.000 sleutelkluizen in gebruik (WDTM, 2020). Dit is vooral gerelateerd aan de actieve personenalarmering, waar circa 2% van het aantal 65-plussers gebruik van maakt. Veruit het grootste deel van de in gebruik zijnde sleutelkluizen is nog een mechanisch product, een sleutelkluis met pincode-ontsluiting." --&gt; Dus een deel van 100.000 (geschat potentieel = 150000) had in 2020 al een elektromechanisch slot, daarom nu (2023) geschat op 40%.
Impact - Significant Vilans - Tijdbesparende technologieën in de ouderenzorg (deel 1&amp;2) </t>
  </si>
  <si>
    <t xml:space="preserve">"Het wordt tot nu toe alleen in de intramurale ouderenzorg toegepast, hoewel deze zorgtechnologie in principe ook in de thuiszorg toepasbaar is." --&gt; dit was in 2021, nu geschat op 40%.
Significant Vilans - Tijdbesparende technologieën in de ouderenzorg (deel 1&amp;2) </t>
  </si>
  <si>
    <t>Philips Lumify in 2017 op de markt gebracht, een aantal ziekenhuizen schrijven op hun website dat ze dit echoapparaat in gebruik hebben genomen. - https://icthealth.nl/nieuws/diagnostiek-op-afstand-via-mobiel-mogelijk-met-tele-echografie/
"Sinds 2009 zijn dus wel wat stappen gemaakt, toch staat POCUS nog in haar kinderschoenen" - https://www.zorgvisie.nl/ic-arts-promoveert-op-implementatie-mobiele-echo/
--&gt; aanname huidige implementatiegraad laag</t>
  </si>
  <si>
    <t>" POC-testen worden steeds meer gebruikt in huisartspraktijken. "https://www.rivm.nl/publicaties/point-of-care-testing-in-primary-care-in-netherlands-management-of-patient-safety
"De laatste jaren is het uitvoeren van diagnostiek direct naast de patiënt erg in opkomst." - https://www.lab-west.nl/POCT.pp
--&gt; Inschatting dat dit al wel op gang is maar er nog veel potentieel is, vooral door volledige inzet van verschillende type testen.</t>
  </si>
  <si>
    <t>Er zijn veel stappenplannen voor implementatie en behoud van kwaliteit (ook RIVM). Daarnaast:
"Afhankelijk van de verschillende mogelijkheden, is de inschatting dat CRP POCT geïmplementeerd kan zijn binnen enkele maanden tot één jaar." - https://unoamsterdam.nl/antibiotica/stappenplan-implementatie-van-crp-poct-in-verpleeghuizen/
Implementatie is een tijdsinvestering van zorgmedewerkers, dus inschatting dat dit niet erg snel zal gaan. --&gt; inschatting gemiddeld</t>
  </si>
  <si>
    <t>een app geopend wordt.</t>
  </si>
  <si>
    <t>Een sleutelkluis die door thuiszorgmedewerkers met een app geopend wordt.</t>
  </si>
  <si>
    <t>Een hulpmiddel voor zorgprofessionals met rugklachten dat helpt bij tillen, bukken en vervoeren. Daardoor kunnen zorgprofessionals die eerst met verzuim waren weer aan de slag.</t>
  </si>
  <si>
    <t>Een riem met airbag die voorkomt dat mensen hun heup breken wanneer zij vallen.</t>
  </si>
  <si>
    <t>Een hulpmiddel dat de patiënt herinnert om medicatie te nemen en de juiste medicijnen afgeeft op het juiste tijdstip.</t>
  </si>
  <si>
    <t>Een machine die ondersteunt bij het aantrekken van steunkousen.</t>
  </si>
  <si>
    <t>Kleine robots die mensen met een cognitieve beperking ondersteunen bij dagelijkse handelingen en een seintje geven als er iets moet gebeuren.</t>
  </si>
  <si>
    <t>Het gebruik van een (speciale) tablet om zorg op afstand te leveren.</t>
  </si>
  <si>
    <t>Het maken van echo’s met een draagbaar echoapparaat die te koppelen is aan een smartphone of tablet.</t>
  </si>
  <si>
    <t>Een testmethode voor huisartsen om snel acute ziektebeelden uit te kunnen sluiten. POC testing wordt gebruikt in de dagpraktijk en op de huisartsenpost waardoor een deel van de doorverwijzingen voor laboratoriumonderzoek wordt voorkomen.</t>
  </si>
  <si>
    <t>Relatief eenvoudig te implementeren en veel tijdbesparing, dus schatting dat implementatie snel zal gaan.</t>
  </si>
  <si>
    <t>"Mobiele en draagbare echografie-oplossingen zijn erg gewild." https://icthealth.nl/nieuws/nieuw-draadloos-en-draagbaar-echografie-apparaat/
Daarnaast is het een eenvoudig apparaat, dus gemakkelijke implementatie
--&gt; aanname snelle implementatie</t>
  </si>
  <si>
    <t>"Ook zijn er sociale robots, die worden ingezet bij zieke kinderen, mensen met dementie of eenzame ouderen. Toch is de inzet van robots nog beperkt in de zorg. … De verwachting is dat de robotisering verder doorzet, al duurt het adoptieproces decennia lang"- https://www.vtv2018.nl/robotisering (2018)
Aangezien adoptie langzaam gaat schatting nauwelijks geïmplementeerd (ook al is bron van 2018).</t>
  </si>
  <si>
    <t>Adoptie gaat langzaam, maar waarschijnlijk door hogere urgentie nu gaat komende jaren adoptie wel sneller dan werd gedacht in 2018 --&gt; inschatting gemiddelde implementatiesnelheid</t>
  </si>
  <si>
    <t>Dit betekent dat voor de berekening van de personele kosten dient te worden uitgegaan van het bruto salaris, vermeerderd met de eventuele kosten voor ORT, en vermeerderd met een toeslag van:</t>
  </si>
  <si>
    <t>Gemiddeld aantal uren per maand:</t>
  </si>
  <si>
    <t>15 van de 113 ziekenhuizen in Nederland gebruiken safe@home (https://luscii.com/en/library/safehome)</t>
  </si>
  <si>
    <t>Is sinds 2017 in gebruik en sindsdien stijgt het aantal ziekenhuizen gestaag. Zijn inmiddels ook meerdere wetenschappelijke publicaties. Groeit naar verwachting met gemiddelde snelheid.</t>
  </si>
  <si>
    <t>Als in 2017 meerwaarde in onderzoek, en in 2019 al gebruikt door 16 ziekenhuizen (https://www.icthealth.nl/nieuws/2-500-patienten-16-ziekenhuizen-gebruiken-mijnibdcoach/#:~:text=Volgens%20Jan%20Ramaekers%20zetten%20momenteel,voor%20in%20totaal%202.500%20pati%C3%ABnten.). Veel ziekenhuizen rapporteren op website over mijnibdcoach, gebruik sinds 2019 sterk gegroeid.</t>
  </si>
  <si>
    <t>De ontwikkeling van telebegeleiding verloopt zeer snel. Meerwaarde is steeds vaker aangetoond, het aantal beschikbare programma's en het aantal ziektebeelden waarvoor telebegeleiding beschikbaar is groeit zeer snel.</t>
  </si>
  <si>
    <t>26 van de 113 ziekenhuizen in Nederland gebruiken Luscii voor heart failure (https://luscii.com/en/library/heart-failure)
daarnaast wordt telemonitoring bij hartfalenpatiënten vergoed vanuit de basisverzekering (als de patiënt toestemming heeft van cardioloog en cardioloog toezicht houdt op begeleiding
Hartfalen zorg op afstand die verreweg het meest wordt ingezet (samen met COPD) (https://icthealth.nl/nieuws/telemonitoring-in-steeds-meer-ziekenhuizen/)</t>
  </si>
  <si>
    <t>23 van de 113 ziekenhuizen in Nederland gebruiken Luscii voor COPD (https://luscii.com/en/library/copd).
Naast Luscii bestaan er andere COPD-telemonitoring programma's van SanaNet en Chanche@Home die ook door meerder ziekenhuizen gebruikt worden.
Ongeveer eenderde van de ziekenhuizen heeft inkoopafspraken gemaakt voor telemonitoring van COPD patiënten</t>
  </si>
  <si>
    <t>7 van de 113 ziekenhuizen in Nederland gebruiken Luscii voor COPD (https://luscii.com/en/library/hypertension). Nog nauwelijks geïmplementeerd</t>
  </si>
  <si>
    <t>10 MS centra gebruiken het momenteel (https://www.mssherpa.nl/), in totaal in Nederland zo'n 25 MS centra (https://msvereniging.nl/over-ms/ms-centra/)</t>
  </si>
  <si>
    <t>18 van de 113 ziekenhuizen nemen deel aan Luchtbrug, online monitoring voor astma (https://www.luchtbrug.nl/deelnemende-ziekenhuizen/)</t>
  </si>
  <si>
    <t>Momenteel wordt telebegeleiding snel uitgebreid naar andere ziektebeeldne, echter is men nu vaak nog in de fase van evalueren en onderbouwen meerwaarden. Met een vertraging van 3 jaar verwachten we daarom dat de inzet van telebegeleiding in het algemeen (voor alle ziektebeelden) snel groeit.</t>
  </si>
  <si>
    <t>Na wetenschappelijke validatie kan het toegepast gaan worden, omdat het nu nog nergens wordt toegepast verwachten we gemiddelde snelheid.</t>
  </si>
  <si>
    <t>In de virtual fracture app kunnen momenteel 30 ziekenhuizen geselecteerd worden, van het totaal aantal ziekenhuizen met een SEH van 83.</t>
  </si>
  <si>
    <t>Afgelopen jaren snel opgeschaald, verwachting is dat dit tempo doorzet</t>
  </si>
  <si>
    <t>Op basis van interview concluderen we dat huidige implementatiegraad laag is: op jaarbasis zo'n 1500 cliënten terwijl mogelijk wel 40 tot 50 duizend mensen met afasie er baat bij hebben.</t>
  </si>
  <si>
    <t>Op basis van interview verwachting dat opschaling langzaam gaat als gevolg van te weinig urgentiegevoel. Afasietherapie.nl bestaat al 5 jaar en toch wordt het nog nauwelijks gebruikt.</t>
  </si>
  <si>
    <t>De digitale zorg heeft veel potentie voor uitbreiding, omdat huidige toepassing echter nog maar zeer beperkt word ingezet is verwachting dat uitbreiding ook tijd kost en zeer langzaam gaat.</t>
  </si>
  <si>
    <t>Op basis van interview is huidige implementatiegraad beperkt. Implementatie moet nog op gang komen.</t>
  </si>
  <si>
    <t>Ondanks dat er veel potentie lijkt te zijn dient dit nog gekwantificeerd te worden. Hier gaat tijd overheen. Daarom gaat opschaling naar verwachting langzaam.</t>
  </si>
  <si>
    <t>Bij veel ziekenhuizen initiatieven om digitale/slimme vervolgzorg te biedern. Echter konden we (naast de virtual fracture app en telebegeleiding in het algemeen) geen voorbeeld vinden dat verder gaat dan een initiatief/pilot</t>
  </si>
  <si>
    <t xml:space="preserve">Gezien de verschillende initiatieven die lopen en het potentieel van slimme vervolgzorg verwachten we dat opschaling met gemiddelde snelheid verloopt </t>
  </si>
  <si>
    <t>Op basis van de hoge implementatiegraad van de flash glucose monitor verwachten we voor de inzet daarvan bij de thuiszorg ook een relatief hoge implementatiegraad.</t>
  </si>
  <si>
    <t>We verwachten dat de snelle opschalling in de afgelopen jaren doorzet</t>
  </si>
  <si>
    <t>Meerdere artikelen geven aan dat de inzet van de slimme pleister ook veel toegevoegde waarde kan hebben bij andere ingrepen (naast heup en knie). Daarom verwachten we dat inzet op korte termijn uitgebreid wordt met gemiddelde implementatiesnelheid.</t>
  </si>
  <si>
    <t>+21.0000 zorgprofessionals hebben toegang tot Attendi. Ten opzichte van het totaal van circa 380 duizend profeesionals in de VVT (https://prognosemodelzw.databank.nl/dashboard/dashboard-branches/thuiszorg).</t>
  </si>
  <si>
    <t>Op basis van een interview concluderen we dat opschalen weerbarstig is, en dat het een uitdaging is om zorgprofessionals die gebruik maken van spraak automatisch vast</t>
  </si>
  <si>
    <t>Bijna honder duizend gebruikers van flash en continue glucose monitoring (https://www.gipdatabank.nl/databank?infotype=h&amp;label=00-totaal&amp;tabel=B_01-basis&amp;geg=gebr&amp;item=F35). Standpunt Flash Glucose Monitor geeft aan dat het in totaal gaat om 75.000 tot 115.000 mensen voor wie FGM met ingang van 10 december 2019 verzekerde zorg is (https://www.zorginstituutnederland.nl/publicaties/standpunten/2019/12/10/fgm)</t>
  </si>
  <si>
    <t>Op basis van websites ziekenhuizen concluderen we dat steeds meer ziekenhuizen de slimme pleister gebruiken voor monitoring bij risicovolle ingrepen.</t>
  </si>
  <si>
    <t xml:space="preserve">Interview met radioloog: gaf aan dat veel ziekenhuizen al bezig zijn met specifieke oplossingen. </t>
  </si>
  <si>
    <t>Op basis van een interview wordt tablet al ingezet bij zo'n 50% van grote instellingen, dus schatting 40% van alle instellingen (enigszins geïmplementeerd)</t>
  </si>
  <si>
    <t>In interview wordt aangegeven dat implementatie jaar op jaar groeit met 40% --&gt; snel</t>
  </si>
  <si>
    <t>Interview met radioloog: gaf aan dat AI oplossingen binnen radiologie snel geïmplementeerd kunnen worden, geen grote technische afhankelijkheden</t>
  </si>
  <si>
    <t>Helpsoq pas sinds 2022 op de markt, wel een aantal organisaties die het gebruiken  --&gt; lage implementatiegraad</t>
  </si>
  <si>
    <t>Geen afweging patiënt, wordt ingezet wanneer dat nodig wordt geacht</t>
  </si>
  <si>
    <t>Toelichting (indien niet afhankelijk van acceptatie burgers)</t>
  </si>
  <si>
    <t>Aandoening/diagnose</t>
  </si>
  <si>
    <t>Huisarts consulten</t>
  </si>
  <si>
    <t>DPLD / ILD (Interstitiële Longziekten)</t>
  </si>
  <si>
    <t>Botbreuken</t>
  </si>
  <si>
    <t>Mild cognitive impairment</t>
  </si>
  <si>
    <t>Delier / delirium</t>
  </si>
  <si>
    <t>Simpele botbreuk</t>
  </si>
  <si>
    <t>Alleenwonende thuiszorgcliënten die niet of moeilijk zelf de deur open kunnen doen voor geplande zorg.</t>
  </si>
  <si>
    <t>Ouderen met valrisico</t>
  </si>
  <si>
    <t>HAP triage consulten</t>
  </si>
  <si>
    <t>Dementie / neurodegeneratieve ziekte (alleenwonend)</t>
  </si>
  <si>
    <t>Dementie / Parkinson / reuma</t>
  </si>
  <si>
    <t>Diabetes-thuiszorg</t>
  </si>
  <si>
    <t>Incontinentie</t>
  </si>
  <si>
    <t>De bedsensor wordt doorgaans op een gehele afdeling ingezet, maar bepaalde cliëntprofielen hebben meer baat erbij: mensen die actief/valgevaarlijk zijn in de nacht, dementie, nieuwe cliënten als screeningstool.</t>
  </si>
  <si>
    <t>Dementie / cognitieve beperking</t>
  </si>
  <si>
    <t>Ouderen</t>
  </si>
  <si>
    <t>Veye Chest, aidence</t>
  </si>
  <si>
    <t>https://www.vzinfo.nl/ziekenhuiszorg/aanbod/instellingen#:~:text=Nederland%20telt%2069%20ziekenhuisorganisaties,en%20kinderziekenhuizen)%20en%20147%20buitenpoliklinieken.</t>
  </si>
  <si>
    <r>
      <rPr>
        <b/>
        <sz val="11"/>
        <color theme="5"/>
        <rFont val="Nunito"/>
        <scheme val="minor"/>
      </rPr>
      <t>A - Resultaten</t>
    </r>
    <r>
      <rPr>
        <sz val="11"/>
        <color theme="1"/>
        <rFont val="Nunito"/>
        <family val="2"/>
        <scheme val="minor"/>
      </rPr>
      <t xml:space="preserve">
      A1   -   Algemene resultaten
      A2   -   Resultaten per veld
      A3   -   Tabellen bij grafieken
</t>
    </r>
    <r>
      <rPr>
        <b/>
        <sz val="11"/>
        <color theme="9"/>
        <rFont val="Nunito"/>
        <scheme val="minor"/>
      </rPr>
      <t>B - Aannames</t>
    </r>
    <r>
      <rPr>
        <sz val="11"/>
        <color theme="1"/>
        <rFont val="Nunito"/>
        <family val="2"/>
        <scheme val="minor"/>
      </rPr>
      <t xml:space="preserve">
      B1   -   Implementatie
      B2   -   Beleid   
      B3   -   Acceptatie door burgers
      B4   -   Gegevensuitwisseling
</t>
    </r>
    <r>
      <rPr>
        <b/>
        <sz val="11"/>
        <color theme="1"/>
        <rFont val="Nunito"/>
        <scheme val="minor"/>
      </rPr>
      <t>C - Gegevens</t>
    </r>
    <r>
      <rPr>
        <sz val="11"/>
        <color theme="1"/>
        <rFont val="Nunito"/>
        <family val="2"/>
        <scheme val="minor"/>
      </rPr>
      <t xml:space="preserve">
      C1   -   Digitale zorgtoepassingen
      C2   -   Patiëntaantallen
      C3   -   Overige gegevens
</t>
    </r>
    <r>
      <rPr>
        <b/>
        <sz val="11"/>
        <color theme="8"/>
        <rFont val="Nunito"/>
        <scheme val="minor"/>
      </rPr>
      <t>D - Berekening</t>
    </r>
    <r>
      <rPr>
        <sz val="11"/>
        <color theme="1"/>
        <rFont val="Nunito"/>
        <family val="2"/>
        <scheme val="minor"/>
      </rPr>
      <t xml:space="preserve">
      D1   -   Uniforme input
      D2   -   Impact per digitale zorgtoepassing/doelgroep
      D3   -   Impact per digitale zorgtoepassing
      D4   -   Schatting kosten
      D5   -   Implementatie
      D6   -   Uitkomsten per jaar/veld/digitale zorgtoepassing/doelgroep
      D7   -   Uitkomsten per jaar/veld/digitale zorgtoepassing
      D8   -   Uitkomsten per jaar/veld
      D9   -   Uitkomsten ten opzichte van 2023
      D10 -   Impact gegevensuitwisseling</t>
    </r>
  </si>
  <si>
    <t>AI ondersteunt in het maken van de keuze welke patiënt het beste wel of juist niet opgenomen kan worden op de IC, en eenduidigheid te creëren in de beslissingen.</t>
  </si>
  <si>
    <t>Platform of VR-bril die de werkelijkheid met stressvolle situaties voor de client nabootst via digitale exposure therapie, toegepast onder begeleiding van psychologen.</t>
  </si>
  <si>
    <t xml:space="preserve">Digitale toepassing die logopedisten ondersteunt maatwerkoefeningen samen te stellen die aansluiten bij de aard en de ernst van het ziektebeeld, en het niveau en de belastbaarheid van de cliënt. </t>
  </si>
  <si>
    <t>Patiënten met relatief simpel en stabiel letsel krijgen na bezoek aan het ziekenhuis geen poliklinische nacontrole meer, maar alle informatie in de vorm van een app ontvangen om thuis te herstellen.</t>
  </si>
  <si>
    <t>Zorgprofessionals rapporteren met hun stem, de digitale toepassing zet de gesproken tekst om in bruikbare rapportages.</t>
  </si>
  <si>
    <t>De patiënt houdt in een digitale applicatie de eigen gezondheidssituatie in de gaten en de applicatie signaleert potentiële risico’s. De patiënt kan daarnaast acties uitvoeren als bepaalde sessies ter voorbereiding op een spreekuur, reminders et cetera.</t>
  </si>
  <si>
    <t>Sensor die in onderhuids weefsel wordt aangebracht en realtime glucosewaarden meet. De sensor is uit te lezen met een uitleesapparaat of smartphone, met een automatisch alarm voor hoge of lage glucosewaarden.</t>
  </si>
  <si>
    <t>Een slimme pleister is een draadloos meetapparaat met sensoren dat op de borst van een patiënt wordt geplakt. De sensoren meten continu hoe het met de drager gaat. Zo meten deze iemands hartslag, ademfrequentie en lichaamstemperatuur. De pleister stuurt deze gegevens door naar een centraal systeem. Daar worden de metingen automatisch geanalyseerd.</t>
  </si>
  <si>
    <t>Thuismonitoring van zwangere vrouwen met hypertensie, waarbij deze vrouwen zelf de bloeddruk meten met een draadloze bloeddrukmeter. Daarnaast vullen de vrouwen vragenlijsten over de gezondheid. De gegevens worden via het EPD ingelezen en beoordeeld door de zorgprofessionals.</t>
  </si>
  <si>
    <t>Safe@home</t>
  </si>
  <si>
    <t>Operatie heup/knie, overige aandoeningen</t>
  </si>
  <si>
    <t>Berekening open DIS data</t>
  </si>
  <si>
    <t>Informatie ontvangen per mail van raad van bestuur zorgaanbieder</t>
  </si>
  <si>
    <t>Interview met aanbieder toepassing</t>
  </si>
  <si>
    <t>Interview met radioloog</t>
  </si>
  <si>
    <t>Interview met digitale zorgexpert</t>
  </si>
  <si>
    <t>Luscii website &amp; Mail aanbieder digitale zorgtoepassing</t>
  </si>
  <si>
    <t>Interview met aanbieder van deze digitale zorgtoepassing</t>
  </si>
  <si>
    <t>Gegevens uit bronnen (geen mogelijkheid om te veranderen)</t>
  </si>
  <si>
    <t/>
  </si>
  <si>
    <t>Interview met digitale zorgexpert: medicijndispenser al jaren op de markt is maar implementatiegraad nog steeds vrij laag</t>
  </si>
  <si>
    <t>Verandering implementatiesnelheid (in aantal stappen)</t>
  </si>
  <si>
    <t>Als de verandering resulteert in een factor p of q lager dan het minimum in B1, is in de berekening de waarde gelijk aan het minimum</t>
  </si>
  <si>
    <t>Op basis van interview: puur medisch heeft 80% baat</t>
  </si>
  <si>
    <t>alle IC's zouden dit kunnen gebruiken, geen aanwijzing gezien dat dit niet het geval is</t>
  </si>
  <si>
    <t>Percentage toepasbaar ingeschat op basis van interview met aanbieder digitale zorgtoepassing</t>
  </si>
  <si>
    <t>Aantal echo's 2e lijn 2020: https://www.rivm.nl/medische-stralingstoepassingen/trends-en-stand-van-zaken/diagnostiek/echografie-en-mri</t>
  </si>
  <si>
    <t>Totaal aantal contacten op basis van interview. https://www.nvkc.nl/files/Richtlijnen/POCTEL010515.pdf</t>
  </si>
  <si>
    <t>Aanname: digitale vervolgzorg + slimmer afspraken is op helft van herhaalpoli's van toepassing</t>
  </si>
  <si>
    <t xml:space="preserve">Open Dis (2022) - aantal herhaalpoli's 11 miljoen. </t>
  </si>
  <si>
    <t>Across 138 GP practices, 1182 patients were randomized: https://www.ahajournals.org/doi/10.1161/HYPERTENSIONAHA.118.12415
Aantal huisartsenpraktijken in Nederland: https://www.nivel.nl/nl/nivel-zorgregistraties-eerste-lijn/zorg-in-de-eerste-lijn/zorg-bij-huisarts#:~:text=In%20Nederland%20zijn%20ongeveer%205.000,komt%20steeds%20minder%20vaak%20voor.</t>
  </si>
  <si>
    <t>https://opendata.cbs.nl/statline/#/CBS/nl/dataset/80386NED/table?fromstatweb
Operaties tijdens klinische opname: 681 650
Operaties tijdens klinische opname|Aantal operaties
Operaties	aantal
Heupvervanging, secundair	2430
Heupvervanging, overig	33339
Totale knievervanging	19566
Totaal	55335
Effect in model * factor 681 650/55335</t>
  </si>
  <si>
    <t>Aanname dat slimme pleisters voor de helft van deze operaties geschikt zijn (50% toepasbaar)</t>
  </si>
  <si>
    <t>Aanname dat slimme pleisters voor driekwart van deze operaties geschikt zijn (75% toepasbaar)</t>
  </si>
  <si>
    <t>Zie toelichting in kolom O</t>
  </si>
  <si>
    <t>Ongeveer 10% van de zwangere vrouwen ontwikkelt een vorm van hoge bloeddruk tijdens de zwangerschap.</t>
  </si>
  <si>
    <t>peristat.nl</t>
  </si>
  <si>
    <t>Geen reden om aan te nemen dat het niet om alle PTSS gaat</t>
  </si>
  <si>
    <t>N.v.t.</t>
  </si>
  <si>
    <t>Aanname dat alle sleutelkluizen vervangen kunnen worden door elektronische</t>
  </si>
  <si>
    <t xml:space="preserve">QALY </t>
  </si>
  <si>
    <t>Resultaten voor huidige staat gegevensuitwisseling (zonder behalen ambities)</t>
  </si>
  <si>
    <t>Toepassing meenemen in schatting kosten?</t>
  </si>
  <si>
    <t>Totaal potentieel</t>
  </si>
  <si>
    <t>Verwacht arbeidsmarkttekort (zonder besparing)</t>
  </si>
  <si>
    <t xml:space="preserve">Aantal verpleegkundigen VVT + verzorgenden =  105.200 + 31.600 = 136.800
5-15% intramuraal = 10%
Ziekteverzuim = 6,775%
Ziekteverzuim oorzaak = klachten wervelkolom: 1/3
Zie bronnen bij C1
</t>
  </si>
  <si>
    <t>Labaratoriumonderzoek in 4% van de HA-contacten - https://www.diagned.nl/nieuws-en-documentatie/nieuwsarchief/nieuwe-richtlijn-labtests-in-de-huisartsenpraktijk.html</t>
  </si>
  <si>
    <t>https://www.medischcontact.nl/nieuws/laatste-nieuws/artikel/diagnostische-sneltests-verdienen-brede-invoering
“Een voorbeeld van een succesvolle POCT is de C-reactief proteïne (CRP)-POCT. Acute infecties vormen met 26 procent de grootste groep van de presentaties op de hap.” -&gt; daarnaast kan het ook gebruikt worden voor wat andere diagnoses -&gt; grove inschatting van 30% 
Toepassen op alle HAP contacten (450.000) met acute infectie</t>
  </si>
  <si>
    <t>52% van mensen met een cognitieve beperking woont thuis, 18% daarvan ontvangt zorg. Aangenomen dat de toepassing geschikt is voor het grootste deel van de patiënten dat thuis woont.</t>
  </si>
  <si>
    <t>23% van mensen met dementie woont samen thuis, 21% daarvan ontvangt zorg. Aangenomen dat de toepassing geschikt is voor grootste deel van de patiëntgroep omdat zij ook ondersteuning kunnen krijgen van een partner bij gebruik medicijndispenser.</t>
  </si>
  <si>
    <t>48% van mensen met een cognitieve beperking woont in een instelling, dus 100% daarvan ontvangt zorg. Aangenomen dat de toepassing geschikt is voor maar een klein deel van de patiënten (10%) omdat dit vaak patiënten zijn die meer zorg nodig hebben.</t>
  </si>
  <si>
    <t>80% van mensen met parkinson woont thuis, waarvan 75% zorg ontvangt. Aangenomen dat de toepassing geschikt is voor een klein deel van de patiënten omdat zij vaak gezelschap hebben van een partner en nog dusdanig vitaal zijn dat ze geen structuurrobot nodig hebben.</t>
  </si>
  <si>
    <t>20% van mensen met parkinson woont in een instelling (dus 100% zorg). Aangenomen dat de toepassing geschikt is voor een klein deel van de patiënten omdat zij meer ondersteuning nodig hebben van een zorgmedewerker bij het nemen van medicatie.</t>
  </si>
  <si>
    <t>27% van mensen met dementie woont in een instelling (dus 100% zorg). Aangenomen dat de toepassing geschikt is voor een klein deel van de patiënten omdat zij meer ondersteuning nodig hebben van een zorgmedewerker en dat een structuurrobot dus weinig taken kan vervangen.</t>
  </si>
  <si>
    <t>27% van mensen met dementie woont in een instelling (dus 100% zorg). Aangenomen dat de toepassing geschikt is voor een klein deel van de patiënten omdat zij meer ondersteuning nodig hebben van een zorgmedewerker bij het nemen van medicatie.</t>
  </si>
  <si>
    <t>50% van mensen met dementie woont alleen thuis, 21% daarvan ontvangt zorg. Aangenomen dat de toepassing geschikt is voor een klein deel van de patiënten omdat zij meer ondersteuning nodig hebben van een zorgmedewerker bij het nemen van medicatie.</t>
  </si>
  <si>
    <t>Investering (cash flow) (€)</t>
  </si>
  <si>
    <t>Investering (cash flow) (miljoen €)</t>
  </si>
  <si>
    <t>Vilans - Valimpactreductie rapportage (2021)
Aantal verpleeghuiscliënten * gemiddelde inzetbaarheid van 8%</t>
  </si>
  <si>
    <t>Totaal aantal contacten relevant voor deze toepassing, op basis van interview met aanbieder van toepassing</t>
  </si>
  <si>
    <t>Productiviteitsverbetering potentieel (miljoen €/jaar)</t>
  </si>
  <si>
    <t>Productiviteitsverbetering potentieel (FTE/jaar)</t>
  </si>
  <si>
    <t>QALY potentieel</t>
  </si>
  <si>
    <t>Totaal potentieel huidige doelgroepen (arbeid + overig) (miljoen €)</t>
  </si>
  <si>
    <t>Totaal potentieel extrapolatie nieuwe doelgroepen (arbeid + overig) (miljoen €)</t>
  </si>
  <si>
    <t>https://www.opendisdata.nl/msz/zorgproduct/099899024?
https://archief.panteia.nl/nieuws/onderzoek-overheadkosten-ziekenhuizen/</t>
  </si>
  <si>
    <t>Productiviteitsverbetering + overige kostenbesparing 2023 (miljoen €)</t>
  </si>
  <si>
    <t>Wit</t>
  </si>
  <si>
    <t>Scenario gegeven (niet mogelijk om te wijzigen)</t>
  </si>
  <si>
    <t>Overige opbrengsten potentieel (miljoen €/jaar)</t>
  </si>
  <si>
    <t>Productiviteitsverbetering (miljoen €)</t>
  </si>
  <si>
    <t>Productiviteitsverbetering (FTE)</t>
  </si>
  <si>
    <t>Productiviteitsverbetering (miljoen €/jaar)</t>
  </si>
  <si>
    <t>Productiviteitsverbetering (FTE/jaar)</t>
  </si>
  <si>
    <t>Overige opbrengsten (miljoen €/jaar)</t>
  </si>
  <si>
    <t>Totale opbrengsten (arbeid + overig) (miljoen €)</t>
  </si>
  <si>
    <t>Overige opbrengsten (miljoen €)</t>
  </si>
  <si>
    <t>Productiviteitsverbetering + overige opbrengsten 2023 (miljoen €)</t>
  </si>
  <si>
    <t>Productiviteitsverbetering</t>
  </si>
  <si>
    <t>Overige opbrengsten</t>
  </si>
  <si>
    <t>Productiviteitsverbetering - 2023 totaal</t>
  </si>
  <si>
    <t>Huidige doelgroepen</t>
  </si>
  <si>
    <t>Productiviteitsverbetering huidige doelgroepen (miljoen €/jaar)</t>
  </si>
  <si>
    <t>Overige opbrengsten huidige doelgroepen (miljoen €/jaar)</t>
  </si>
  <si>
    <t>Productiviteitsverbetering extrapolatie nieuwe doelgroepen (miljoen €/jaar)</t>
  </si>
  <si>
    <t>Overige opbrengsten extrapolatie nieuwe doelgroepen (miljoen €/jaar)</t>
  </si>
  <si>
    <t>Totaal potentieel (arbeid + overig) (miljoen €/jaar)</t>
  </si>
  <si>
    <t>Productiviteitsverbetering huidige doelgroepen (fte/jaar)</t>
  </si>
  <si>
    <t>Productiviteitsverbetering nieuwe doelgroepen (fte/jaar)</t>
  </si>
  <si>
    <t>Totaal potentieel bij opschaling en brede inzet</t>
  </si>
  <si>
    <t xml:space="preserve">!!Let op!! Indien zorgprocessen bij het in gebruik nemen van digitale zorgtoepassingen niet worden aangepast, leidt dit in de meeste gevallen niet tot de opbrengsten gepresenteerd in dit model. </t>
  </si>
  <si>
    <t xml:space="preserve">Let op: passende inzet van digitale zorg leidt in de meeste gevallen pas tot opbrengsten als in de onderzochte situatie zorgpaden en -processen (her)ontworpen zijn en bestaande werkwijzen afgeschaald en aangepast. Indien zorgprocessen bij het inzetten van digitale zorgtoepassingen niet worden aangepast, leidt dit in de meeste gevallen niet tot de opbrengsten gepresenteerd in dit model. </t>
  </si>
  <si>
    <t>Gemiddelde implementatiegraad extrapolatiedoelgroepen in 2028</t>
  </si>
  <si>
    <t>Totale besparingen huidige doelgroepen (arbeid + overig) (miljoen €)</t>
  </si>
  <si>
    <t>Totaal besparingen extrapolatie nieuwe doelgroepen (arbeid + overig) (miljoen €)</t>
  </si>
  <si>
    <t>Scenario dat gewijzigd kan worden (uitgangspunten voor huidig en nieuw beleid)</t>
  </si>
  <si>
    <t>Wlz</t>
  </si>
  <si>
    <t>Zvw</t>
  </si>
  <si>
    <t>Aantal patiënten/verrichtingen totaal (afgerond op honderdduizend)</t>
  </si>
  <si>
    <t>Geel</t>
  </si>
  <si>
    <t>Parameter/aanname die niet gewijzigd kan worden</t>
  </si>
  <si>
    <t>Aantal patiënten/verrichtingen in 2028</t>
  </si>
  <si>
    <t>Patiënten/verrichtingen</t>
  </si>
  <si>
    <t>Patiënten</t>
  </si>
  <si>
    <t>Cliënten</t>
  </si>
  <si>
    <t>Tests</t>
  </si>
  <si>
    <t>Echo's</t>
  </si>
  <si>
    <t>Scans</t>
  </si>
  <si>
    <t>Consulten</t>
  </si>
  <si>
    <t>Onderzoeken</t>
  </si>
  <si>
    <t>Contacten</t>
  </si>
  <si>
    <t>Operaties</t>
  </si>
  <si>
    <t>Afspraken</t>
  </si>
  <si>
    <t>Kosten (€) - Wlz</t>
  </si>
  <si>
    <t>Investering (cash flow) (€) - Wlz</t>
  </si>
  <si>
    <t>Resultaten Wlz</t>
  </si>
  <si>
    <t>Arbeidsbesparing (€)</t>
  </si>
  <si>
    <t>Arbeidsbesparing (FTE)</t>
  </si>
  <si>
    <t>Overige besparingen (€)</t>
  </si>
  <si>
    <t>QALY (€)</t>
  </si>
  <si>
    <t>Arbeidsbesparing (€) - Wlz</t>
  </si>
  <si>
    <t>Overige besparingen (€) - Wlz</t>
  </si>
  <si>
    <t>Totaal arbeidsbesparing (€/jaar) - Wlz</t>
  </si>
  <si>
    <t>Overige kostenbesparing (totaal/jaar totaal potentieel) - Wlz</t>
  </si>
  <si>
    <t>Jaarlijkse kosten (totaal) - incl. schatting - Wlz</t>
  </si>
  <si>
    <t>Initiële investering (totaal) - incl. schatting - Wlz</t>
  </si>
  <si>
    <t>Patiëntaantallen Wlz</t>
  </si>
  <si>
    <t>Percentage van patiëntaantallen in Wlz (overige is Zvw)</t>
  </si>
  <si>
    <t>Aantal personen die wijkverpleging ontvangen totaal</t>
  </si>
  <si>
    <r>
      <t xml:space="preserve">Aandeel groep wijkverpleging: </t>
    </r>
    <r>
      <rPr>
        <i/>
        <sz val="11"/>
        <color theme="0"/>
        <rFont val="Nunito"/>
        <scheme val="minor"/>
      </rPr>
      <t>Zorg aan kwetsbare ouderen en chronisch zieken, langer dan 3 maanden met nadruk op psychogeriatrische problematiek</t>
    </r>
  </si>
  <si>
    <t>Zvw/Wlz</t>
  </si>
  <si>
    <t>Thuiszorg ouderen: deels Wlz</t>
  </si>
  <si>
    <t>Thuiszorg + intramuraal ouderen: deels Wlz</t>
  </si>
  <si>
    <t>https://www.regiobeeld.nl/verpleegzorgraming?VV_Wlz_Scenarios_Opties=tot&amp;regioIndeling=ZK&amp;regio=ZK11</t>
  </si>
  <si>
    <t xml:space="preserve"> https://www.actiz.nl/hoe-staat-het-met-de-wachtlijsten-voor-verpleeghuizen#:~:text=Verpleeghuiszorg%20in%20Nederland&amp;text=In%20Nederland%20wonen%20121.009%20mensen,in%20het%20verpleeghuis%2C%20momenteel%2021.795.</t>
  </si>
  <si>
    <t>https://www.vektis.nl/intelligence/publicaties/factsheet-wijkverpleging-2022</t>
  </si>
  <si>
    <t>https://zoek.officielebekendmakingen.nl/blg-876484.pdf</t>
  </si>
  <si>
    <t>Aantal cliënten Wlz V&amp;V intramuraal (2022)</t>
  </si>
  <si>
    <t>Extramuraal + intramuraal (ouderen): verhouding Wlz/Zvw</t>
  </si>
  <si>
    <t>Aantal cliënten Wlz V&amp;V mpt (2021)</t>
  </si>
  <si>
    <t>Aantal cliënten Wlz V&amp;V (excl. mpt) totaal (2021)</t>
  </si>
  <si>
    <t>Aantal cliënten Wlz V&amp;V extramuraal</t>
  </si>
  <si>
    <t>Extramuraal (ouderen - psychogeriatrisch): verhouding Wlz/Zvw</t>
  </si>
  <si>
    <t>https://opendata.cbs.nl/#/CBS/nl/dataset/84529NED/table?dl=2CAFA</t>
  </si>
  <si>
    <t>Mogelijke productiviteitsverbetering door digitale zorg t.o.v. 2023</t>
  </si>
  <si>
    <t>Mogelijke opbrengsten in 2028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</si>
</sst>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 #,##0;[Red]&quot;€&quot;\ \-#,##0"/>
    <numFmt numFmtId="8" formatCode="&quot;€&quot;\ #,##0.00;[Red]&quot;€&quot;\ \-#,##0.00"/>
    <numFmt numFmtId="42" formatCode="_ &quot;€&quot;\ * #,##0_ ;_ &quot;€&quot;\ * \-#,##0_ ;_ &quot;€&quot;\ * &quot;-&quot;_ ;_ @_ "/>
    <numFmt numFmtId="44" formatCode="_ &quot;€&quot;\ * #,##0.00_ ;_ &quot;€&quot;\ * \-#,##0.00_ ;_ &quot;€&quot;\ * &quot;-&quot;??_ ;_ @_ "/>
    <numFmt numFmtId="43" formatCode="_ * #,##0.00_ ;_ * \-#,##0.00_ ;_ * &quot;-&quot;??_ ;_ @_ "/>
    <numFmt numFmtId="164" formatCode="&quot;€&quot;\ #,##0"/>
    <numFmt numFmtId="165" formatCode="_ &quot;€&quot;\ * #,##0_ ;_ &quot;€&quot;\ * \-#,##0_ ;_ &quot;€&quot;\ * &quot;-&quot;??_ ;_ @_ "/>
    <numFmt numFmtId="166" formatCode="#,##0.0"/>
    <numFmt numFmtId="167" formatCode="0.0"/>
    <numFmt numFmtId="168" formatCode="&quot;€&quot;\ #,##0.0"/>
    <numFmt numFmtId="169" formatCode="&quot;€&quot;\ #,##0.00"/>
    <numFmt numFmtId="170" formatCode="0.0%"/>
    <numFmt numFmtId="171" formatCode="#,##0.000"/>
    <numFmt numFmtId="172" formatCode="_ * #,##0.000_ ;_ * \-#,##0.000_ ;_ * &quot;-&quot;??_ ;_ @_ "/>
    <numFmt numFmtId="173" formatCode="_ * #,##0.000_ ;_ * \-#,##0.000_ ;_ * &quot;-&quot;???_ ;_ @_ "/>
    <numFmt numFmtId="174" formatCode="0.000"/>
    <numFmt numFmtId="175" formatCode="_ * #,##0_ ;_ * \-#,##0_ ;_ * &quot;-&quot;??_ ;_ @_ "/>
  </numFmts>
  <fonts count="31" x14ac:knownFonts="1">
    <font>
      <sz val="11"/>
      <color theme="1"/>
      <name val="Nunito"/>
      <family val="2"/>
      <scheme val="minor"/>
    </font>
    <font>
      <b/>
      <sz val="11"/>
      <color theme="0"/>
      <name val="Nunito"/>
      <scheme val="minor"/>
    </font>
    <font>
      <i/>
      <sz val="11"/>
      <color theme="1"/>
      <name val="Nunito"/>
      <scheme val="minor"/>
    </font>
    <font>
      <sz val="11"/>
      <color theme="1"/>
      <name val="Nunito"/>
      <family val="2"/>
      <scheme val="minor"/>
    </font>
    <font>
      <sz val="8"/>
      <name val="Nunito"/>
      <family val="2"/>
      <scheme val="minor"/>
    </font>
    <font>
      <sz val="11"/>
      <color theme="8"/>
      <name val="Nunito"/>
      <family val="2"/>
      <scheme val="minor"/>
    </font>
    <font>
      <b/>
      <sz val="11"/>
      <color theme="8"/>
      <name val="Nunito"/>
      <scheme val="minor"/>
    </font>
    <font>
      <sz val="11"/>
      <color theme="7"/>
      <name val="Nunito"/>
      <family val="2"/>
      <scheme val="minor"/>
    </font>
    <font>
      <sz val="11"/>
      <name val="Nunito"/>
      <family val="2"/>
      <scheme val="minor"/>
    </font>
    <font>
      <b/>
      <sz val="11"/>
      <color theme="0"/>
      <name val="Nunito"/>
      <family val="2"/>
      <scheme val="minor"/>
    </font>
    <font>
      <b/>
      <sz val="11"/>
      <color theme="1"/>
      <name val="Nunito"/>
      <scheme val="minor"/>
    </font>
    <font>
      <b/>
      <sz val="11"/>
      <name val="Nunito"/>
      <scheme val="minor"/>
    </font>
    <font>
      <b/>
      <sz val="11"/>
      <color theme="5"/>
      <name val="Nunito"/>
      <scheme val="minor"/>
    </font>
    <font>
      <sz val="11"/>
      <color theme="1"/>
      <name val="Nunito"/>
      <scheme val="minor"/>
    </font>
    <font>
      <sz val="11"/>
      <color theme="8"/>
      <name val="Nunito"/>
      <scheme val="minor"/>
    </font>
    <font>
      <b/>
      <sz val="11"/>
      <color theme="9"/>
      <name val="Nunito"/>
      <scheme val="minor"/>
    </font>
    <font>
      <sz val="11"/>
      <name val="Nunito"/>
      <scheme val="minor"/>
    </font>
    <font>
      <sz val="10"/>
      <color rgb="FF000000"/>
      <name val="Times New Roman"/>
      <family val="1"/>
    </font>
    <font>
      <u/>
      <sz val="10"/>
      <color rgb="FF0000FF"/>
      <name val="Times New Roman"/>
      <family val="1"/>
    </font>
    <font>
      <sz val="11"/>
      <color theme="0"/>
      <name val="Nunito"/>
      <family val="2"/>
      <scheme val="minor"/>
    </font>
    <font>
      <sz val="11"/>
      <color theme="0"/>
      <name val="Nunito"/>
      <scheme val="minor"/>
    </font>
    <font>
      <sz val="11"/>
      <color rgb="FFFF0000"/>
      <name val="Nunito"/>
      <family val="2"/>
      <scheme val="minor"/>
    </font>
    <font>
      <sz val="11"/>
      <color rgb="FF000000"/>
      <name val="Nunito"/>
      <family val="2"/>
    </font>
    <font>
      <b/>
      <sz val="11"/>
      <color theme="1"/>
      <name val="Nunito"/>
      <family val="2"/>
      <scheme val="minor"/>
    </font>
    <font>
      <sz val="11"/>
      <color theme="0" tint="-0.249977111117893"/>
      <name val="Nunito"/>
      <family val="2"/>
      <scheme val="minor"/>
    </font>
    <font>
      <sz val="9"/>
      <color indexed="81"/>
      <name val="Tahoma"/>
      <family val="2"/>
    </font>
    <font>
      <b/>
      <sz val="9"/>
      <color indexed="81"/>
      <name val="Tahoma"/>
      <family val="2"/>
    </font>
    <font>
      <sz val="11"/>
      <color theme="5"/>
      <name val="Nunito"/>
      <family val="2"/>
      <scheme val="minor"/>
    </font>
    <font>
      <u/>
      <sz val="11"/>
      <name val="Nunito"/>
      <scheme val="minor"/>
    </font>
    <font>
      <sz val="11"/>
      <color theme="9"/>
      <name val="Nunito"/>
      <family val="2"/>
      <scheme val="minor"/>
    </font>
    <font>
      <i/>
      <sz val="11"/>
      <color theme="0"/>
      <name val="Nunito"/>
      <scheme val="minor"/>
    </font>
  </fonts>
  <fills count="25">
    <fill>
      <patternFill patternType="none"/>
    </fill>
    <fill>
      <patternFill patternType="gray125"/>
    </fill>
    <fill>
      <patternFill patternType="solid">
        <fgColor theme="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3"/>
        <bgColor indexed="64"/>
      </patternFill>
    </fill>
    <fill>
      <patternFill patternType="solid">
        <fgColor theme="4"/>
        <bgColor indexed="64"/>
      </patternFill>
    </fill>
    <fill>
      <patternFill patternType="solid">
        <fgColor theme="9"/>
        <bgColor indexed="64"/>
      </patternFill>
    </fill>
    <fill>
      <patternFill patternType="solid">
        <fgColor theme="8"/>
        <bgColor indexed="64"/>
      </patternFill>
    </fill>
    <fill>
      <patternFill patternType="solid">
        <fgColor rgb="FFE66767"/>
        <bgColor indexed="64"/>
      </patternFill>
    </fill>
    <fill>
      <patternFill patternType="solid">
        <fgColor theme="2"/>
        <bgColor indexed="64"/>
      </patternFill>
    </fill>
    <fill>
      <patternFill patternType="solid">
        <fgColor theme="1"/>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6"/>
        <bgColor indexed="64"/>
      </patternFill>
    </fill>
    <fill>
      <patternFill patternType="solid">
        <fgColor theme="2" tint="0.79998168889431442"/>
        <bgColor indexed="64"/>
      </patternFill>
    </fill>
    <fill>
      <patternFill patternType="solid">
        <fgColor theme="4"/>
        <bgColor theme="4"/>
      </patternFill>
    </fill>
    <fill>
      <patternFill patternType="solid">
        <fgColor theme="9" tint="0.59999389629810485"/>
        <bgColor indexed="64"/>
      </patternFill>
    </fill>
    <fill>
      <patternFill patternType="solid">
        <fgColor theme="6" tint="0.79998168889431442"/>
        <bgColor rgb="FF000000"/>
      </patternFill>
    </fill>
    <fill>
      <patternFill patternType="solid">
        <fgColor theme="9" tint="0.79998168889431442"/>
        <bgColor indexed="64"/>
      </patternFill>
    </fill>
    <fill>
      <patternFill patternType="solid">
        <fgColor theme="0"/>
        <bgColor indexed="64"/>
      </patternFill>
    </fill>
    <fill>
      <patternFill patternType="solid">
        <fgColor theme="5"/>
        <bgColor theme="4"/>
      </patternFill>
    </fill>
    <fill>
      <patternFill patternType="solid">
        <fgColor theme="0" tint="-0.249977111117893"/>
        <bgColor indexed="64"/>
      </patternFill>
    </fill>
    <fill>
      <patternFill patternType="solid">
        <fgColor theme="6" tint="0.79998168889431442"/>
        <bgColor theme="0" tint="-0.14999847407452621"/>
      </patternFill>
    </fill>
    <fill>
      <patternFill patternType="solid">
        <fgColor theme="8"/>
        <bgColor theme="4"/>
      </patternFill>
    </fill>
  </fills>
  <borders count="34">
    <border>
      <left/>
      <right/>
      <top/>
      <bottom/>
      <diagonal/>
    </border>
    <border>
      <left style="thin">
        <color theme="0"/>
      </left>
      <right style="thin">
        <color theme="0"/>
      </right>
      <top/>
      <bottom/>
      <diagonal/>
    </border>
    <border>
      <left style="thin">
        <color theme="0"/>
      </left>
      <right/>
      <top/>
      <bottom/>
      <diagonal/>
    </border>
    <border>
      <left/>
      <right style="thin">
        <color theme="0"/>
      </right>
      <top style="thin">
        <color theme="0"/>
      </top>
      <bottom style="thin">
        <color theme="0"/>
      </bottom>
      <diagonal/>
    </border>
    <border>
      <left/>
      <right/>
      <top/>
      <bottom style="medium">
        <color theme="1"/>
      </bottom>
      <diagonal/>
    </border>
    <border>
      <left/>
      <right style="thin">
        <color theme="0"/>
      </right>
      <top style="thin">
        <color theme="0"/>
      </top>
      <bottom/>
      <diagonal/>
    </border>
    <border>
      <left style="thin">
        <color theme="0"/>
      </left>
      <right/>
      <top/>
      <bottom style="medium">
        <color theme="1"/>
      </bottom>
      <diagonal/>
    </border>
    <border>
      <left/>
      <right/>
      <top style="medium">
        <color theme="1"/>
      </top>
      <bottom style="medium">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ck">
        <color theme="0"/>
      </bottom>
      <diagonal/>
    </border>
    <border>
      <left style="thin">
        <color theme="0"/>
      </left>
      <right/>
      <top style="medium">
        <color indexed="64"/>
      </top>
      <bottom style="medium">
        <color indexed="64"/>
      </bottom>
      <diagonal/>
    </border>
    <border>
      <left/>
      <right/>
      <top style="thin">
        <color theme="0"/>
      </top>
      <bottom style="medium">
        <color theme="1"/>
      </bottom>
      <diagonal/>
    </border>
    <border>
      <left style="thin">
        <color theme="0"/>
      </left>
      <right/>
      <top/>
      <bottom style="thick">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theme="1"/>
      </bottom>
      <diagonal/>
    </border>
    <border>
      <left/>
      <right/>
      <top style="medium">
        <color indexed="64"/>
      </top>
      <bottom style="medium">
        <color theme="1"/>
      </bottom>
      <diagonal/>
    </border>
    <border>
      <left/>
      <right style="medium">
        <color indexed="64"/>
      </right>
      <top style="medium">
        <color indexed="64"/>
      </top>
      <bottom style="medium">
        <color theme="1"/>
      </bottom>
      <diagonal/>
    </border>
    <border>
      <left/>
      <right style="thin">
        <color theme="0"/>
      </right>
      <top/>
      <bottom/>
      <diagonal/>
    </border>
  </borders>
  <cellStyleXfs count="6">
    <xf numFmtId="0" fontId="0" fillId="0" borderId="0"/>
    <xf numFmtId="44" fontId="3" fillId="0" borderId="0" applyFont="0" applyFill="0" applyBorder="0" applyAlignment="0" applyProtection="0"/>
    <xf numFmtId="9" fontId="3" fillId="0" borderId="0" applyFont="0" applyFill="0" applyBorder="0" applyAlignment="0" applyProtection="0"/>
    <xf numFmtId="0" fontId="17" fillId="0" borderId="0"/>
    <xf numFmtId="0" fontId="18" fillId="0" borderId="0" applyNumberFormat="0" applyFill="0" applyBorder="0" applyAlignment="0" applyProtection="0"/>
    <xf numFmtId="43" fontId="3" fillId="0" borderId="0" applyFont="0" applyFill="0" applyBorder="0" applyAlignment="0" applyProtection="0"/>
  </cellStyleXfs>
  <cellXfs count="529">
    <xf numFmtId="0" fontId="0" fillId="0" borderId="0" xfId="0"/>
    <xf numFmtId="0" fontId="0" fillId="4" borderId="0" xfId="0" applyFill="1" applyAlignment="1">
      <alignment wrapText="1"/>
    </xf>
    <xf numFmtId="0" fontId="0" fillId="4" borderId="0" xfId="0" applyFill="1"/>
    <xf numFmtId="0" fontId="0" fillId="0" borderId="0" xfId="0" applyAlignment="1">
      <alignment vertical="center"/>
    </xf>
    <xf numFmtId="0" fontId="0" fillId="0" borderId="0" xfId="0" applyAlignment="1">
      <alignment horizontal="center"/>
    </xf>
    <xf numFmtId="0" fontId="0" fillId="0" borderId="0" xfId="0" applyAlignment="1">
      <alignment horizontal="center" vertical="center" wrapText="1"/>
    </xf>
    <xf numFmtId="42" fontId="0" fillId="0" borderId="0" xfId="1" applyNumberFormat="1" applyFont="1" applyAlignment="1">
      <alignment horizontal="center"/>
    </xf>
    <xf numFmtId="0" fontId="10" fillId="0" borderId="0" xfId="0" applyFont="1"/>
    <xf numFmtId="0" fontId="1" fillId="8" borderId="0" xfId="0" applyFont="1" applyFill="1"/>
    <xf numFmtId="0" fontId="1" fillId="0" borderId="0" xfId="0" applyFont="1"/>
    <xf numFmtId="0" fontId="0" fillId="0" borderId="0" xfId="0" applyAlignment="1">
      <alignment wrapText="1"/>
    </xf>
    <xf numFmtId="0" fontId="0" fillId="5" borderId="0" xfId="0" applyFill="1"/>
    <xf numFmtId="0" fontId="9" fillId="5" borderId="1" xfId="0" applyFont="1" applyFill="1" applyBorder="1" applyAlignment="1">
      <alignment horizontal="center" vertical="center" wrapText="1"/>
    </xf>
    <xf numFmtId="0" fontId="0" fillId="12" borderId="0" xfId="0" applyFill="1"/>
    <xf numFmtId="0" fontId="9" fillId="11" borderId="2" xfId="0" applyFont="1" applyFill="1" applyBorder="1" applyAlignment="1">
      <alignment horizontal="center" vertical="center" wrapText="1"/>
    </xf>
    <xf numFmtId="0" fontId="9" fillId="6" borderId="4" xfId="0" applyFont="1" applyFill="1" applyBorder="1" applyAlignment="1">
      <alignment horizontal="center" vertical="center" wrapText="1"/>
    </xf>
    <xf numFmtId="0" fontId="9" fillId="6" borderId="0" xfId="0" applyFont="1" applyFill="1" applyAlignment="1">
      <alignment horizontal="center" vertical="center" wrapText="1"/>
    </xf>
    <xf numFmtId="0" fontId="0" fillId="15" borderId="0" xfId="0" applyFill="1"/>
    <xf numFmtId="0" fontId="0" fillId="12" borderId="0" xfId="0" applyFill="1" applyAlignment="1">
      <alignment vertical="center"/>
    </xf>
    <xf numFmtId="0" fontId="0" fillId="0" borderId="0" xfId="0" applyAlignment="1">
      <alignment horizontal="right"/>
    </xf>
    <xf numFmtId="0" fontId="2" fillId="0" borderId="0" xfId="0" applyFont="1" applyAlignment="1">
      <alignment wrapText="1"/>
    </xf>
    <xf numFmtId="164" fontId="0" fillId="0" borderId="0" xfId="0" applyNumberFormat="1"/>
    <xf numFmtId="0" fontId="0" fillId="0" borderId="11" xfId="0" applyBorder="1"/>
    <xf numFmtId="0" fontId="9" fillId="5" borderId="19" xfId="0" applyFont="1" applyFill="1" applyBorder="1" applyAlignment="1">
      <alignment horizontal="center" vertical="center" wrapText="1"/>
    </xf>
    <xf numFmtId="0" fontId="9" fillId="5" borderId="22" xfId="0" applyFont="1" applyFill="1" applyBorder="1" applyAlignment="1">
      <alignment horizontal="center" vertical="center" wrapText="1"/>
    </xf>
    <xf numFmtId="0" fontId="9" fillId="6" borderId="17" xfId="0" applyFont="1" applyFill="1" applyBorder="1" applyAlignment="1">
      <alignment horizontal="center" vertical="center" wrapText="1"/>
    </xf>
    <xf numFmtId="9" fontId="0" fillId="0" borderId="0" xfId="2" applyFont="1"/>
    <xf numFmtId="0" fontId="1" fillId="5" borderId="0" xfId="0" applyFont="1" applyFill="1"/>
    <xf numFmtId="0" fontId="9" fillId="6" borderId="24" xfId="0" applyFont="1" applyFill="1" applyBorder="1" applyAlignment="1">
      <alignment horizontal="center" vertical="center" wrapText="1"/>
    </xf>
    <xf numFmtId="0" fontId="9" fillId="16" borderId="7" xfId="0" applyFont="1" applyFill="1" applyBorder="1" applyAlignment="1">
      <alignment horizontal="center" vertical="center" wrapText="1"/>
    </xf>
    <xf numFmtId="0" fontId="0" fillId="15" borderId="0" xfId="0" applyFill="1" applyAlignment="1">
      <alignment horizontal="left"/>
    </xf>
    <xf numFmtId="0" fontId="9" fillId="6" borderId="7" xfId="0" applyFont="1" applyFill="1" applyBorder="1" applyAlignment="1">
      <alignment horizontal="center" vertical="center" wrapText="1"/>
    </xf>
    <xf numFmtId="0" fontId="0" fillId="4" borderId="0" xfId="0" applyFill="1" applyAlignment="1">
      <alignment horizontal="center"/>
    </xf>
    <xf numFmtId="0" fontId="0" fillId="4" borderId="0" xfId="0" applyFill="1" applyAlignment="1">
      <alignment horizontal="left"/>
    </xf>
    <xf numFmtId="3" fontId="0" fillId="4" borderId="0" xfId="0" applyNumberFormat="1" applyFill="1" applyAlignment="1">
      <alignment horizontal="center"/>
    </xf>
    <xf numFmtId="164" fontId="0" fillId="0" borderId="0" xfId="0" applyNumberFormat="1" applyAlignment="1">
      <alignment horizontal="center"/>
    </xf>
    <xf numFmtId="0" fontId="0" fillId="0" borderId="0" xfId="0" applyAlignment="1">
      <alignment horizontal="left"/>
    </xf>
    <xf numFmtId="0" fontId="0" fillId="17" borderId="0" xfId="0" applyFill="1"/>
    <xf numFmtId="1" fontId="7" fillId="4" borderId="0" xfId="0" applyNumberFormat="1" applyFont="1" applyFill="1" applyAlignment="1">
      <alignment horizontal="center"/>
    </xf>
    <xf numFmtId="0" fontId="0" fillId="0" borderId="0" xfId="0" applyAlignment="1">
      <alignment horizontal="center" vertical="center"/>
    </xf>
    <xf numFmtId="0" fontId="0" fillId="4" borderId="4" xfId="0" applyFill="1" applyBorder="1" applyAlignment="1">
      <alignment horizontal="left"/>
    </xf>
    <xf numFmtId="0" fontId="0" fillId="4" borderId="0" xfId="0" applyFill="1" applyAlignment="1">
      <alignment horizontal="left" vertical="center"/>
    </xf>
    <xf numFmtId="0" fontId="0" fillId="18" borderId="0" xfId="0" applyFill="1"/>
    <xf numFmtId="0" fontId="8" fillId="4" borderId="0" xfId="0" applyFont="1" applyFill="1" applyAlignment="1">
      <alignment horizontal="left"/>
    </xf>
    <xf numFmtId="0" fontId="9" fillId="5" borderId="4" xfId="0" applyFont="1" applyFill="1" applyBorder="1" applyAlignment="1">
      <alignment horizontal="center" vertical="center" wrapText="1"/>
    </xf>
    <xf numFmtId="0" fontId="20" fillId="6" borderId="0" xfId="0" applyFont="1" applyFill="1" applyAlignment="1">
      <alignment horizontal="center" vertical="center" wrapText="1"/>
    </xf>
    <xf numFmtId="0" fontId="1" fillId="6" borderId="0" xfId="0" applyFont="1" applyFill="1" applyAlignment="1">
      <alignment horizontal="center" vertical="center"/>
    </xf>
    <xf numFmtId="164" fontId="1" fillId="2" borderId="9" xfId="0" applyNumberFormat="1" applyFont="1" applyFill="1" applyBorder="1" applyAlignment="1">
      <alignment horizontal="center" vertical="center" wrapText="1"/>
    </xf>
    <xf numFmtId="0" fontId="1" fillId="2" borderId="9" xfId="0" applyFont="1" applyFill="1" applyBorder="1" applyAlignment="1">
      <alignment horizontal="center" vertical="center" wrapText="1"/>
    </xf>
    <xf numFmtId="0" fontId="0" fillId="19" borderId="0" xfId="0" applyFill="1"/>
    <xf numFmtId="0" fontId="1" fillId="6" borderId="0" xfId="0" applyFont="1" applyFill="1" applyAlignment="1">
      <alignment vertical="center"/>
    </xf>
    <xf numFmtId="164" fontId="0" fillId="4" borderId="0" xfId="0" applyNumberFormat="1" applyFill="1" applyAlignment="1">
      <alignment horizontal="left"/>
    </xf>
    <xf numFmtId="43" fontId="9" fillId="16" borderId="7" xfId="5" applyFont="1" applyFill="1" applyBorder="1" applyAlignment="1">
      <alignment horizontal="center" vertical="center" wrapText="1"/>
    </xf>
    <xf numFmtId="172" fontId="9" fillId="16" borderId="7" xfId="5" applyNumberFormat="1" applyFont="1" applyFill="1" applyBorder="1" applyAlignment="1">
      <alignment horizontal="center" vertical="center" wrapText="1"/>
    </xf>
    <xf numFmtId="43" fontId="9" fillId="5" borderId="22" xfId="5" applyFont="1" applyFill="1" applyBorder="1" applyAlignment="1">
      <alignment horizontal="center" vertical="center" wrapText="1"/>
    </xf>
    <xf numFmtId="0" fontId="1" fillId="9" borderId="9" xfId="0" applyFont="1" applyFill="1" applyBorder="1" applyAlignment="1">
      <alignment horizontal="center" vertical="center" wrapText="1"/>
    </xf>
    <xf numFmtId="0" fontId="1" fillId="9" borderId="10" xfId="0" applyFont="1" applyFill="1" applyBorder="1" applyAlignment="1">
      <alignment horizontal="center" vertical="center" wrapText="1"/>
    </xf>
    <xf numFmtId="0" fontId="1" fillId="5" borderId="8" xfId="0" applyFont="1" applyFill="1" applyBorder="1" applyAlignment="1">
      <alignment horizontal="center" vertical="center"/>
    </xf>
    <xf numFmtId="0" fontId="1" fillId="5" borderId="26" xfId="0" applyFont="1" applyFill="1" applyBorder="1"/>
    <xf numFmtId="0" fontId="1" fillId="5" borderId="9" xfId="0" applyFont="1" applyFill="1" applyBorder="1" applyAlignment="1">
      <alignment horizontal="center" vertical="center" wrapText="1"/>
    </xf>
    <xf numFmtId="0" fontId="9" fillId="16" borderId="4" xfId="0" applyFont="1" applyFill="1" applyBorder="1" applyAlignment="1">
      <alignment horizontal="center" vertical="center" wrapText="1"/>
    </xf>
    <xf numFmtId="3" fontId="0" fillId="0" borderId="0" xfId="0" applyNumberFormat="1"/>
    <xf numFmtId="0" fontId="10" fillId="3" borderId="0" xfId="0" applyFont="1" applyFill="1"/>
    <xf numFmtId="164" fontId="0" fillId="0" borderId="12" xfId="1" applyNumberFormat="1" applyFont="1" applyBorder="1"/>
    <xf numFmtId="10" fontId="0" fillId="0" borderId="0" xfId="2" applyNumberFormat="1" applyFont="1"/>
    <xf numFmtId="0" fontId="0" fillId="4" borderId="4" xfId="0" applyFill="1" applyBorder="1"/>
    <xf numFmtId="9" fontId="0" fillId="4" borderId="0" xfId="2" applyFont="1" applyFill="1"/>
    <xf numFmtId="0" fontId="1" fillId="10" borderId="26" xfId="0" applyFont="1" applyFill="1" applyBorder="1" applyAlignment="1">
      <alignment horizontal="center" vertical="center" wrapText="1"/>
    </xf>
    <xf numFmtId="168" fontId="1" fillId="14" borderId="26" xfId="0" applyNumberFormat="1" applyFont="1" applyFill="1" applyBorder="1" applyAlignment="1">
      <alignment horizontal="center" vertical="center" wrapText="1"/>
    </xf>
    <xf numFmtId="0" fontId="1" fillId="6" borderId="8" xfId="0" applyFont="1" applyFill="1" applyBorder="1"/>
    <xf numFmtId="0" fontId="0" fillId="20" borderId="11" xfId="0" applyFill="1" applyBorder="1"/>
    <xf numFmtId="164" fontId="0" fillId="20" borderId="0" xfId="0" applyNumberFormat="1" applyFill="1"/>
    <xf numFmtId="164" fontId="0" fillId="20" borderId="0" xfId="0" applyNumberFormat="1" applyFill="1" applyAlignment="1">
      <alignment horizontal="right"/>
    </xf>
    <xf numFmtId="164" fontId="0" fillId="20" borderId="27" xfId="0" applyNumberFormat="1" applyFill="1" applyBorder="1"/>
    <xf numFmtId="0" fontId="10" fillId="20" borderId="16" xfId="0" applyFont="1" applyFill="1" applyBorder="1"/>
    <xf numFmtId="164" fontId="10" fillId="20" borderId="17" xfId="0" applyNumberFormat="1" applyFont="1" applyFill="1" applyBorder="1" applyAlignment="1">
      <alignment horizontal="right"/>
    </xf>
    <xf numFmtId="164" fontId="0" fillId="20" borderId="12" xfId="0" applyNumberFormat="1" applyFill="1" applyBorder="1"/>
    <xf numFmtId="164" fontId="0" fillId="20" borderId="14" xfId="0" applyNumberFormat="1" applyFill="1" applyBorder="1"/>
    <xf numFmtId="164" fontId="0" fillId="20" borderId="15" xfId="0" applyNumberFormat="1" applyFill="1" applyBorder="1"/>
    <xf numFmtId="164" fontId="0" fillId="20" borderId="12" xfId="0" applyNumberFormat="1" applyFill="1" applyBorder="1" applyAlignment="1">
      <alignment horizontal="right"/>
    </xf>
    <xf numFmtId="164" fontId="10" fillId="20" borderId="18" xfId="0" applyNumberFormat="1" applyFont="1" applyFill="1" applyBorder="1" applyAlignment="1">
      <alignment horizontal="right"/>
    </xf>
    <xf numFmtId="0" fontId="10" fillId="20" borderId="11" xfId="0" applyFont="1" applyFill="1" applyBorder="1"/>
    <xf numFmtId="0" fontId="10" fillId="20" borderId="13" xfId="0" applyFont="1" applyFill="1" applyBorder="1"/>
    <xf numFmtId="164" fontId="10" fillId="20" borderId="0" xfId="0" applyNumberFormat="1" applyFont="1" applyFill="1"/>
    <xf numFmtId="0" fontId="0" fillId="20" borderId="11" xfId="0" applyFill="1" applyBorder="1" applyAlignment="1">
      <alignment wrapText="1"/>
    </xf>
    <xf numFmtId="0" fontId="0" fillId="20" borderId="11" xfId="0" applyFill="1" applyBorder="1" applyAlignment="1">
      <alignment horizontal="left"/>
    </xf>
    <xf numFmtId="3" fontId="0" fillId="20" borderId="12" xfId="0" applyNumberFormat="1" applyFill="1" applyBorder="1" applyAlignment="1">
      <alignment horizontal="right"/>
    </xf>
    <xf numFmtId="0" fontId="0" fillId="20" borderId="13" xfId="0" applyFill="1" applyBorder="1" applyAlignment="1">
      <alignment horizontal="left"/>
    </xf>
    <xf numFmtId="3" fontId="0" fillId="20" borderId="15" xfId="0" applyNumberFormat="1" applyFill="1" applyBorder="1" applyAlignment="1">
      <alignment horizontal="right"/>
    </xf>
    <xf numFmtId="0" fontId="23" fillId="20" borderId="16" xfId="0" applyFont="1" applyFill="1" applyBorder="1" applyAlignment="1">
      <alignment horizontal="left"/>
    </xf>
    <xf numFmtId="164" fontId="23" fillId="20" borderId="17" xfId="0" applyNumberFormat="1" applyFont="1" applyFill="1" applyBorder="1" applyAlignment="1">
      <alignment horizontal="right"/>
    </xf>
    <xf numFmtId="3" fontId="23" fillId="20" borderId="18" xfId="0" applyNumberFormat="1" applyFont="1" applyFill="1" applyBorder="1" applyAlignment="1">
      <alignment horizontal="right"/>
    </xf>
    <xf numFmtId="164" fontId="13" fillId="20" borderId="14" xfId="0" applyNumberFormat="1" applyFont="1" applyFill="1" applyBorder="1"/>
    <xf numFmtId="0" fontId="0" fillId="20" borderId="0" xfId="0" applyFill="1"/>
    <xf numFmtId="0" fontId="0" fillId="20" borderId="12" xfId="0" applyFill="1" applyBorder="1"/>
    <xf numFmtId="0" fontId="0" fillId="20" borderId="15" xfId="0" applyFill="1" applyBorder="1"/>
    <xf numFmtId="0" fontId="10" fillId="20" borderId="17" xfId="0" applyFont="1" applyFill="1" applyBorder="1"/>
    <xf numFmtId="0" fontId="0" fillId="20" borderId="17" xfId="0" applyFill="1" applyBorder="1"/>
    <xf numFmtId="164" fontId="0" fillId="20" borderId="0" xfId="1" applyNumberFormat="1" applyFont="1" applyFill="1" applyBorder="1"/>
    <xf numFmtId="164" fontId="0" fillId="0" borderId="17" xfId="0" applyNumberFormat="1" applyBorder="1"/>
    <xf numFmtId="9" fontId="0" fillId="20" borderId="18" xfId="2" applyFont="1" applyFill="1" applyBorder="1"/>
    <xf numFmtId="0" fontId="8" fillId="20" borderId="11" xfId="0" applyFont="1" applyFill="1" applyBorder="1"/>
    <xf numFmtId="0" fontId="8" fillId="20" borderId="0" xfId="0" applyFont="1" applyFill="1"/>
    <xf numFmtId="0" fontId="8" fillId="20" borderId="12" xfId="0" applyFont="1" applyFill="1" applyBorder="1"/>
    <xf numFmtId="0" fontId="8" fillId="20" borderId="13" xfId="0" applyFont="1" applyFill="1" applyBorder="1"/>
    <xf numFmtId="0" fontId="8" fillId="20" borderId="14" xfId="0" applyFont="1" applyFill="1" applyBorder="1"/>
    <xf numFmtId="0" fontId="8" fillId="20" borderId="15" xfId="0" applyFont="1" applyFill="1" applyBorder="1"/>
    <xf numFmtId="3" fontId="0" fillId="20" borderId="0" xfId="0" applyNumberFormat="1" applyFill="1"/>
    <xf numFmtId="0" fontId="0" fillId="20" borderId="16" xfId="0" applyFill="1" applyBorder="1"/>
    <xf numFmtId="3" fontId="10" fillId="20" borderId="17" xfId="0" applyNumberFormat="1" applyFont="1" applyFill="1" applyBorder="1" applyAlignment="1">
      <alignment horizontal="right"/>
    </xf>
    <xf numFmtId="164" fontId="10" fillId="20" borderId="29" xfId="0" applyNumberFormat="1" applyFont="1" applyFill="1" applyBorder="1"/>
    <xf numFmtId="164" fontId="0" fillId="20" borderId="27" xfId="0" applyNumberFormat="1" applyFill="1" applyBorder="1" applyAlignment="1">
      <alignment horizontal="right"/>
    </xf>
    <xf numFmtId="164" fontId="10" fillId="20" borderId="29" xfId="0" applyNumberFormat="1" applyFont="1" applyFill="1" applyBorder="1" applyAlignment="1">
      <alignment horizontal="right"/>
    </xf>
    <xf numFmtId="1" fontId="0" fillId="20" borderId="27" xfId="2" applyNumberFormat="1" applyFont="1" applyFill="1" applyBorder="1" applyAlignment="1">
      <alignment horizontal="right"/>
    </xf>
    <xf numFmtId="1" fontId="0" fillId="20" borderId="28" xfId="2" applyNumberFormat="1" applyFont="1" applyFill="1" applyBorder="1" applyAlignment="1">
      <alignment horizontal="right"/>
    </xf>
    <xf numFmtId="9" fontId="1" fillId="22" borderId="26" xfId="2" applyFont="1" applyFill="1" applyBorder="1" applyAlignment="1">
      <alignment horizontal="center" vertical="center" wrapText="1"/>
    </xf>
    <xf numFmtId="44" fontId="16" fillId="4" borderId="0" xfId="1" applyFont="1" applyFill="1" applyAlignment="1">
      <alignment horizontal="center"/>
    </xf>
    <xf numFmtId="44" fontId="8" fillId="4" borderId="0" xfId="1" applyFont="1" applyFill="1" applyAlignment="1">
      <alignment horizontal="center"/>
    </xf>
    <xf numFmtId="1" fontId="7" fillId="23" borderId="0" xfId="0" applyNumberFormat="1" applyFont="1" applyFill="1" applyAlignment="1">
      <alignment horizontal="center"/>
    </xf>
    <xf numFmtId="0" fontId="8" fillId="4" borderId="0" xfId="0" applyFont="1" applyFill="1" applyAlignment="1">
      <alignment horizontal="center"/>
    </xf>
    <xf numFmtId="0" fontId="0" fillId="18" borderId="0" xfId="0" applyFill="1" applyAlignment="1">
      <alignment wrapText="1"/>
    </xf>
    <xf numFmtId="0" fontId="0" fillId="18" borderId="0" xfId="0" applyFill="1" applyAlignment="1">
      <alignment vertical="center" wrapText="1"/>
    </xf>
    <xf numFmtId="0" fontId="7" fillId="15" borderId="0" xfId="0" applyFont="1" applyFill="1" applyAlignment="1">
      <alignment horizontal="center"/>
    </xf>
    <xf numFmtId="0" fontId="7" fillId="4" borderId="0" xfId="0" applyFont="1" applyFill="1" applyAlignment="1">
      <alignment horizontal="center"/>
    </xf>
    <xf numFmtId="2" fontId="7" fillId="15" borderId="0" xfId="0" applyNumberFormat="1" applyFont="1" applyFill="1"/>
    <xf numFmtId="2" fontId="7" fillId="4" borderId="0" xfId="0" applyNumberFormat="1" applyFont="1" applyFill="1"/>
    <xf numFmtId="2" fontId="5" fillId="15" borderId="0" xfId="0" applyNumberFormat="1" applyFont="1" applyFill="1"/>
    <xf numFmtId="168" fontId="5" fillId="4" borderId="0" xfId="0" applyNumberFormat="1" applyFont="1" applyFill="1"/>
    <xf numFmtId="0" fontId="10" fillId="4" borderId="0" xfId="0" applyFont="1" applyFill="1"/>
    <xf numFmtId="3" fontId="5" fillId="4" borderId="0" xfId="0" applyNumberFormat="1" applyFont="1" applyFill="1"/>
    <xf numFmtId="164" fontId="5" fillId="4" borderId="0" xfId="0" applyNumberFormat="1" applyFont="1" applyFill="1"/>
    <xf numFmtId="0" fontId="2" fillId="4" borderId="0" xfId="0" applyFont="1" applyFill="1"/>
    <xf numFmtId="0" fontId="5" fillId="4" borderId="0" xfId="0" applyFont="1" applyFill="1"/>
    <xf numFmtId="9" fontId="5" fillId="4" borderId="0" xfId="2" applyFont="1" applyFill="1"/>
    <xf numFmtId="2" fontId="5" fillId="4" borderId="0" xfId="0" applyNumberFormat="1" applyFont="1" applyFill="1"/>
    <xf numFmtId="169" fontId="7" fillId="4" borderId="0" xfId="1" applyNumberFormat="1" applyFont="1" applyFill="1" applyBorder="1" applyAlignment="1">
      <alignment horizontal="right"/>
    </xf>
    <xf numFmtId="0" fontId="0" fillId="19" borderId="0" xfId="0" applyFill="1" applyAlignment="1">
      <alignment horizontal="center"/>
    </xf>
    <xf numFmtId="0" fontId="0" fillId="4" borderId="0" xfId="0" applyFill="1" applyAlignment="1">
      <alignment vertical="center" wrapText="1"/>
    </xf>
    <xf numFmtId="0" fontId="0" fillId="4" borderId="21" xfId="0" applyFill="1" applyBorder="1" applyAlignment="1">
      <alignment horizontal="center"/>
    </xf>
    <xf numFmtId="174" fontId="5" fillId="4" borderId="0" xfId="0" applyNumberFormat="1" applyFont="1" applyFill="1"/>
    <xf numFmtId="165" fontId="16" fillId="4" borderId="0" xfId="1" applyNumberFormat="1" applyFont="1" applyFill="1" applyAlignment="1">
      <alignment horizontal="center"/>
    </xf>
    <xf numFmtId="9" fontId="16" fillId="4" borderId="0" xfId="1" applyNumberFormat="1" applyFont="1" applyFill="1" applyAlignment="1">
      <alignment horizontal="center"/>
    </xf>
    <xf numFmtId="165" fontId="8" fillId="4" borderId="0" xfId="1" applyNumberFormat="1" applyFont="1" applyFill="1" applyAlignment="1">
      <alignment horizontal="center"/>
    </xf>
    <xf numFmtId="170" fontId="16" fillId="4" borderId="0" xfId="1" applyNumberFormat="1" applyFont="1" applyFill="1" applyAlignment="1">
      <alignment horizontal="center"/>
    </xf>
    <xf numFmtId="10" fontId="16" fillId="4" borderId="0" xfId="1" applyNumberFormat="1" applyFont="1" applyFill="1" applyAlignment="1">
      <alignment horizontal="center"/>
    </xf>
    <xf numFmtId="43" fontId="0" fillId="19" borderId="0" xfId="5" applyFont="1" applyFill="1" applyAlignment="1"/>
    <xf numFmtId="172" fontId="7" fillId="4" borderId="0" xfId="5" applyNumberFormat="1" applyFont="1" applyFill="1"/>
    <xf numFmtId="43" fontId="7" fillId="4" borderId="0" xfId="5" applyFont="1" applyFill="1"/>
    <xf numFmtId="0" fontId="9" fillId="6" borderId="22"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0" fillId="6" borderId="0" xfId="0" applyFill="1" applyAlignment="1">
      <alignment horizontal="center" vertical="center"/>
    </xf>
    <xf numFmtId="0" fontId="0" fillId="6" borderId="0" xfId="0" applyFill="1" applyAlignment="1">
      <alignment horizontal="center" vertical="center" wrapText="1"/>
    </xf>
    <xf numFmtId="0" fontId="9" fillId="6" borderId="23" xfId="0" applyFont="1" applyFill="1" applyBorder="1" applyAlignment="1">
      <alignment horizontal="center" vertical="center"/>
    </xf>
    <xf numFmtId="0" fontId="1" fillId="6" borderId="23" xfId="0" applyFont="1" applyFill="1" applyBorder="1" applyAlignment="1">
      <alignment horizontal="center" vertical="center"/>
    </xf>
    <xf numFmtId="0" fontId="1" fillId="6" borderId="23" xfId="0" applyFont="1" applyFill="1" applyBorder="1" applyAlignment="1">
      <alignment horizontal="center" vertical="center" wrapText="1"/>
    </xf>
    <xf numFmtId="0" fontId="9" fillId="6" borderId="23" xfId="0" applyFont="1" applyFill="1" applyBorder="1" applyAlignment="1">
      <alignment horizontal="center" vertical="center" wrapText="1"/>
    </xf>
    <xf numFmtId="0" fontId="9" fillId="6" borderId="11" xfId="0" applyFont="1" applyFill="1" applyBorder="1" applyAlignment="1">
      <alignment horizontal="center" vertical="center" wrapText="1"/>
    </xf>
    <xf numFmtId="0" fontId="9" fillId="6" borderId="12" xfId="0" applyFont="1" applyFill="1" applyBorder="1" applyAlignment="1">
      <alignment horizontal="center" vertical="center" wrapText="1"/>
    </xf>
    <xf numFmtId="0" fontId="19" fillId="6" borderId="0" xfId="0" applyFont="1" applyFill="1" applyAlignment="1">
      <alignment horizontal="center" vertical="center" wrapText="1"/>
    </xf>
    <xf numFmtId="164" fontId="9" fillId="6" borderId="0" xfId="0" applyNumberFormat="1" applyFont="1" applyFill="1" applyAlignment="1">
      <alignment horizontal="center" vertical="center" wrapText="1"/>
    </xf>
    <xf numFmtId="0" fontId="0" fillId="6" borderId="4" xfId="0" applyFill="1" applyBorder="1" applyAlignment="1">
      <alignment horizontal="center" vertical="center"/>
    </xf>
    <xf numFmtId="164" fontId="9" fillId="6" borderId="4" xfId="0" applyNumberFormat="1" applyFont="1" applyFill="1" applyBorder="1" applyAlignment="1">
      <alignment horizontal="center" vertical="center" wrapText="1"/>
    </xf>
    <xf numFmtId="0" fontId="9" fillId="6" borderId="6" xfId="0" applyFont="1" applyFill="1" applyBorder="1" applyAlignment="1">
      <alignment horizontal="center" vertical="center" wrapText="1"/>
    </xf>
    <xf numFmtId="0" fontId="28" fillId="4" borderId="0" xfId="4" applyFont="1" applyFill="1"/>
    <xf numFmtId="0" fontId="16" fillId="0" borderId="0" xfId="0" applyFont="1"/>
    <xf numFmtId="0" fontId="16" fillId="4" borderId="0" xfId="0" applyFont="1" applyFill="1"/>
    <xf numFmtId="0" fontId="28" fillId="4" borderId="0" xfId="4" applyFont="1" applyFill="1" applyAlignment="1">
      <alignment wrapText="1"/>
    </xf>
    <xf numFmtId="0" fontId="20" fillId="0" borderId="4" xfId="0" applyFont="1" applyBorder="1" applyAlignment="1">
      <alignment vertical="center"/>
    </xf>
    <xf numFmtId="43" fontId="27" fillId="4" borderId="0" xfId="5" applyFont="1" applyFill="1" applyAlignment="1">
      <alignment horizontal="center"/>
    </xf>
    <xf numFmtId="0" fontId="11" fillId="5" borderId="0" xfId="0" applyFont="1" applyFill="1"/>
    <xf numFmtId="0" fontId="16" fillId="4" borderId="0" xfId="0" applyFont="1" applyFill="1" applyAlignment="1">
      <alignment wrapText="1"/>
    </xf>
    <xf numFmtId="0" fontId="1" fillId="6" borderId="0" xfId="0" applyFont="1" applyFill="1" applyAlignment="1">
      <alignment horizontal="center" vertical="center" wrapText="1"/>
    </xf>
    <xf numFmtId="169" fontId="7" fillId="4" borderId="0" xfId="0" applyNumberFormat="1" applyFont="1" applyFill="1" applyAlignment="1">
      <alignment horizontal="right"/>
    </xf>
    <xf numFmtId="170" fontId="0" fillId="0" borderId="0" xfId="2" applyNumberFormat="1" applyFont="1" applyBorder="1" applyAlignment="1">
      <alignment horizontal="center"/>
    </xf>
    <xf numFmtId="164" fontId="10" fillId="20" borderId="0" xfId="0" applyNumberFormat="1" applyFont="1" applyFill="1" applyAlignment="1">
      <alignment horizontal="right"/>
    </xf>
    <xf numFmtId="164" fontId="10" fillId="20" borderId="27" xfId="0" applyNumberFormat="1" applyFont="1" applyFill="1" applyBorder="1"/>
    <xf numFmtId="164" fontId="10" fillId="20" borderId="14" xfId="0" applyNumberFormat="1" applyFont="1" applyFill="1" applyBorder="1" applyAlignment="1">
      <alignment horizontal="right"/>
    </xf>
    <xf numFmtId="164" fontId="10" fillId="20" borderId="12" xfId="0" applyNumberFormat="1" applyFont="1" applyFill="1" applyBorder="1" applyAlignment="1">
      <alignment horizontal="right"/>
    </xf>
    <xf numFmtId="0" fontId="0" fillId="13" borderId="0" xfId="0" applyFill="1"/>
    <xf numFmtId="0" fontId="1" fillId="6" borderId="26" xfId="0" applyFont="1" applyFill="1" applyBorder="1"/>
    <xf numFmtId="3" fontId="0" fillId="13" borderId="0" xfId="0" applyNumberFormat="1" applyFill="1"/>
    <xf numFmtId="168" fontId="0" fillId="13" borderId="0" xfId="0" applyNumberFormat="1" applyFill="1" applyAlignment="1">
      <alignment horizontal="right"/>
    </xf>
    <xf numFmtId="9" fontId="0" fillId="13" borderId="0" xfId="2" applyFont="1" applyFill="1"/>
    <xf numFmtId="2" fontId="0" fillId="13" borderId="0" xfId="0" applyNumberFormat="1" applyFill="1"/>
    <xf numFmtId="169" fontId="0" fillId="13" borderId="0" xfId="0" applyNumberFormat="1" applyFill="1"/>
    <xf numFmtId="0" fontId="1" fillId="13" borderId="0" xfId="0" applyFont="1" applyFill="1"/>
    <xf numFmtId="164" fontId="0" fillId="13" borderId="0" xfId="0" applyNumberFormat="1" applyFill="1"/>
    <xf numFmtId="0" fontId="11" fillId="13" borderId="0" xfId="0" applyFont="1" applyFill="1"/>
    <xf numFmtId="0" fontId="11" fillId="13" borderId="0" xfId="0" applyFont="1" applyFill="1" applyAlignment="1">
      <alignment horizontal="left"/>
    </xf>
    <xf numFmtId="0" fontId="19" fillId="13" borderId="0" xfId="0" applyFont="1" applyFill="1"/>
    <xf numFmtId="0" fontId="0" fillId="13" borderId="0" xfId="0" applyFill="1" applyAlignment="1">
      <alignment horizontal="left"/>
    </xf>
    <xf numFmtId="0" fontId="24" fillId="13" borderId="0" xfId="0" applyFont="1" applyFill="1"/>
    <xf numFmtId="164" fontId="0" fillId="13" borderId="0" xfId="0" applyNumberFormat="1" applyFill="1" applyAlignment="1">
      <alignment horizontal="center"/>
    </xf>
    <xf numFmtId="10" fontId="0" fillId="13" borderId="0" xfId="2" applyNumberFormat="1" applyFont="1" applyFill="1"/>
    <xf numFmtId="164" fontId="10" fillId="13" borderId="0" xfId="0" applyNumberFormat="1" applyFont="1" applyFill="1" applyAlignment="1">
      <alignment horizontal="right"/>
    </xf>
    <xf numFmtId="0" fontId="1" fillId="13" borderId="0" xfId="0" applyFont="1" applyFill="1" applyAlignment="1">
      <alignment horizontal="left" vertical="center"/>
    </xf>
    <xf numFmtId="0" fontId="1" fillId="13" borderId="0" xfId="0" applyFont="1" applyFill="1" applyAlignment="1">
      <alignment horizontal="left"/>
    </xf>
    <xf numFmtId="0" fontId="6" fillId="12" borderId="28" xfId="0" applyFont="1" applyFill="1" applyBorder="1" applyAlignment="1">
      <alignment horizontal="left"/>
    </xf>
    <xf numFmtId="0" fontId="11" fillId="0" borderId="0" xfId="0" applyFont="1"/>
    <xf numFmtId="169" fontId="0" fillId="0" borderId="0" xfId="0" applyNumberFormat="1"/>
    <xf numFmtId="0" fontId="9" fillId="21" borderId="31" xfId="0" applyFont="1" applyFill="1" applyBorder="1" applyAlignment="1">
      <alignment horizontal="center" vertical="center"/>
    </xf>
    <xf numFmtId="0" fontId="9" fillId="21" borderId="32" xfId="0" applyFont="1" applyFill="1" applyBorder="1" applyAlignment="1">
      <alignment horizontal="center" vertical="center"/>
    </xf>
    <xf numFmtId="0" fontId="10" fillId="20" borderId="0" xfId="0" applyFont="1" applyFill="1" applyAlignment="1">
      <alignment horizontal="center"/>
    </xf>
    <xf numFmtId="0" fontId="10" fillId="20" borderId="12" xfId="0" applyFont="1" applyFill="1" applyBorder="1" applyAlignment="1">
      <alignment horizontal="center"/>
    </xf>
    <xf numFmtId="0" fontId="1" fillId="5" borderId="9" xfId="0" applyFont="1" applyFill="1" applyBorder="1" applyAlignment="1">
      <alignment horizontal="left" vertical="center"/>
    </xf>
    <xf numFmtId="0" fontId="0" fillId="6" borderId="0" xfId="0" applyFill="1" applyAlignment="1">
      <alignment horizontal="center"/>
    </xf>
    <xf numFmtId="0" fontId="9" fillId="16" borderId="7" xfId="0" applyFont="1" applyFill="1" applyBorder="1" applyAlignment="1">
      <alignment horizontal="center" vertical="center"/>
    </xf>
    <xf numFmtId="0" fontId="9" fillId="16" borderId="0" xfId="0" applyFont="1" applyFill="1" applyAlignment="1">
      <alignment horizontal="center" vertical="center"/>
    </xf>
    <xf numFmtId="0" fontId="0" fillId="6" borderId="14" xfId="0" applyFill="1" applyBorder="1" applyAlignment="1">
      <alignment horizontal="center" vertical="center"/>
    </xf>
    <xf numFmtId="0" fontId="0" fillId="6" borderId="14" xfId="0" applyFill="1" applyBorder="1" applyAlignment="1">
      <alignment horizontal="left" vertical="center"/>
    </xf>
    <xf numFmtId="0" fontId="9" fillId="6" borderId="25" xfId="0" applyFont="1" applyFill="1" applyBorder="1" applyAlignment="1">
      <alignment horizontal="center" vertical="center" wrapText="1"/>
    </xf>
    <xf numFmtId="0" fontId="9" fillId="24" borderId="7" xfId="0" applyFont="1" applyFill="1" applyBorder="1" applyAlignment="1">
      <alignment horizontal="center" vertical="center"/>
    </xf>
    <xf numFmtId="0" fontId="9" fillId="16" borderId="4" xfId="0" applyFont="1" applyFill="1" applyBorder="1" applyAlignment="1">
      <alignment horizontal="center" vertical="center"/>
    </xf>
    <xf numFmtId="0" fontId="9" fillId="16" borderId="0" xfId="0" applyFont="1" applyFill="1" applyAlignment="1">
      <alignment horizontal="center" vertical="center" wrapText="1"/>
    </xf>
    <xf numFmtId="164" fontId="0" fillId="0" borderId="0" xfId="0" applyNumberFormat="1" applyAlignment="1">
      <alignment horizontal="center" vertical="center"/>
    </xf>
    <xf numFmtId="0" fontId="1" fillId="5" borderId="27" xfId="0" applyFont="1" applyFill="1" applyBorder="1" applyAlignment="1">
      <alignment horizontal="center"/>
    </xf>
    <xf numFmtId="173" fontId="5" fillId="4" borderId="0" xfId="0" applyNumberFormat="1" applyFont="1" applyFill="1" applyAlignment="1">
      <alignment horizontal="right" wrapText="1"/>
    </xf>
    <xf numFmtId="174" fontId="5" fillId="4" borderId="0" xfId="0" applyNumberFormat="1" applyFont="1" applyFill="1" applyAlignment="1">
      <alignment wrapText="1"/>
    </xf>
    <xf numFmtId="174" fontId="27" fillId="4" borderId="0" xfId="0" applyNumberFormat="1" applyFont="1" applyFill="1" applyAlignment="1">
      <alignment wrapText="1"/>
    </xf>
    <xf numFmtId="174" fontId="5" fillId="4" borderId="0" xfId="0" applyNumberFormat="1" applyFont="1" applyFill="1" applyAlignment="1">
      <alignment horizontal="right" wrapText="1"/>
    </xf>
    <xf numFmtId="0" fontId="9" fillId="5" borderId="33" xfId="0" applyFont="1" applyFill="1" applyBorder="1" applyAlignment="1">
      <alignment horizontal="center" vertical="center" wrapText="1"/>
    </xf>
    <xf numFmtId="0" fontId="21" fillId="0" borderId="0" xfId="0" applyFont="1"/>
    <xf numFmtId="0" fontId="8" fillId="4" borderId="0" xfId="0" applyFont="1" applyFill="1"/>
    <xf numFmtId="0" fontId="0" fillId="0" borderId="0" xfId="0" applyAlignment="1">
      <alignment horizontal="left" vertical="top" wrapText="1"/>
    </xf>
    <xf numFmtId="0" fontId="5" fillId="15" borderId="0" xfId="0" applyFont="1" applyFill="1" applyAlignment="1">
      <alignment horizontal="left"/>
    </xf>
    <xf numFmtId="2" fontId="0" fillId="0" borderId="0" xfId="0" applyNumberFormat="1"/>
    <xf numFmtId="44" fontId="0" fillId="4" borderId="0" xfId="1" applyFont="1" applyFill="1" applyAlignment="1">
      <alignment horizontal="center" vertical="center"/>
    </xf>
    <xf numFmtId="9" fontId="0" fillId="0" borderId="0" xfId="0" applyNumberFormat="1" applyAlignment="1">
      <alignment vertical="center"/>
    </xf>
    <xf numFmtId="175" fontId="0" fillId="0" borderId="0" xfId="5" applyNumberFormat="1" applyFont="1" applyAlignment="1">
      <alignment vertical="center"/>
    </xf>
    <xf numFmtId="0" fontId="20" fillId="0" borderId="4" xfId="0" applyFont="1" applyBorder="1" applyAlignment="1">
      <alignment horizontal="left"/>
    </xf>
    <xf numFmtId="0" fontId="20" fillId="0" borderId="4" xfId="0" applyFont="1" applyBorder="1" applyAlignment="1">
      <alignment horizontal="left" vertical="center" wrapText="1"/>
    </xf>
    <xf numFmtId="0" fontId="0" fillId="23" borderId="0" xfId="0" applyFill="1" applyAlignment="1">
      <alignment horizontal="left"/>
    </xf>
    <xf numFmtId="0" fontId="0" fillId="20" borderId="0" xfId="0" applyFill="1" applyAlignment="1">
      <alignment horizontal="center"/>
    </xf>
    <xf numFmtId="0" fontId="9" fillId="6" borderId="14" xfId="0" applyFont="1" applyFill="1" applyBorder="1" applyAlignment="1">
      <alignment horizontal="left" vertical="center"/>
    </xf>
    <xf numFmtId="0" fontId="9" fillId="13" borderId="0" xfId="0" applyFont="1" applyFill="1" applyAlignment="1">
      <alignment horizontal="left" vertical="center"/>
    </xf>
    <xf numFmtId="0" fontId="10" fillId="13" borderId="0" xfId="0" applyFont="1" applyFill="1"/>
    <xf numFmtId="0" fontId="1" fillId="8" borderId="10" xfId="0" applyFont="1" applyFill="1" applyBorder="1" applyAlignment="1">
      <alignment horizontal="center"/>
    </xf>
    <xf numFmtId="0" fontId="9" fillId="24" borderId="30" xfId="0" applyFont="1" applyFill="1" applyBorder="1" applyAlignment="1">
      <alignment horizontal="left"/>
    </xf>
    <xf numFmtId="0" fontId="1" fillId="8" borderId="8" xfId="0" applyFont="1" applyFill="1" applyBorder="1"/>
    <xf numFmtId="0" fontId="1" fillId="8" borderId="9" xfId="0" applyFont="1" applyFill="1" applyBorder="1"/>
    <xf numFmtId="164" fontId="13" fillId="20" borderId="0" xfId="0" applyNumberFormat="1" applyFont="1" applyFill="1"/>
    <xf numFmtId="0" fontId="1" fillId="8" borderId="10" xfId="0" applyFont="1" applyFill="1" applyBorder="1"/>
    <xf numFmtId="0" fontId="10" fillId="20" borderId="12" xfId="0" applyFont="1" applyFill="1" applyBorder="1" applyAlignment="1">
      <alignment horizontal="center" wrapText="1"/>
    </xf>
    <xf numFmtId="164" fontId="10" fillId="20" borderId="12" xfId="0" applyNumberFormat="1" applyFont="1" applyFill="1" applyBorder="1"/>
    <xf numFmtId="0" fontId="11" fillId="20" borderId="0" xfId="0" applyFont="1" applyFill="1" applyAlignment="1">
      <alignment horizontal="center"/>
    </xf>
    <xf numFmtId="0" fontId="11" fillId="20" borderId="11" xfId="0" applyFont="1" applyFill="1" applyBorder="1" applyAlignment="1">
      <alignment horizontal="right"/>
    </xf>
    <xf numFmtId="0" fontId="11" fillId="20" borderId="12" xfId="0" applyFont="1" applyFill="1" applyBorder="1" applyAlignment="1">
      <alignment horizontal="center"/>
    </xf>
    <xf numFmtId="0" fontId="0" fillId="0" borderId="17" xfId="0" applyBorder="1"/>
    <xf numFmtId="0" fontId="0" fillId="0" borderId="18" xfId="0" applyBorder="1"/>
    <xf numFmtId="0" fontId="10" fillId="0" borderId="16" xfId="0" applyFont="1" applyBorder="1"/>
    <xf numFmtId="164" fontId="0" fillId="20" borderId="17" xfId="0" applyNumberFormat="1" applyFill="1" applyBorder="1"/>
    <xf numFmtId="164" fontId="0" fillId="20" borderId="18" xfId="0" applyNumberFormat="1" applyFill="1" applyBorder="1"/>
    <xf numFmtId="43" fontId="0" fillId="20" borderId="0" xfId="5" applyFont="1" applyFill="1"/>
    <xf numFmtId="172" fontId="0" fillId="20" borderId="0" xfId="5" applyNumberFormat="1" applyFont="1" applyFill="1"/>
    <xf numFmtId="0" fontId="5" fillId="20" borderId="0" xfId="0" applyFont="1" applyFill="1" applyAlignment="1">
      <alignment horizontal="left"/>
    </xf>
    <xf numFmtId="0" fontId="1" fillId="5" borderId="16" xfId="0" applyFont="1" applyFill="1" applyBorder="1" applyAlignment="1">
      <alignment horizontal="center" vertical="center" wrapText="1"/>
    </xf>
    <xf numFmtId="0" fontId="9" fillId="5" borderId="17" xfId="0" applyFont="1" applyFill="1" applyBorder="1" applyAlignment="1">
      <alignment horizontal="center" vertical="center" wrapText="1"/>
    </xf>
    <xf numFmtId="0" fontId="9" fillId="11" borderId="17" xfId="0" applyFont="1" applyFill="1" applyBorder="1" applyAlignment="1">
      <alignment horizontal="center" vertical="center" wrapText="1"/>
    </xf>
    <xf numFmtId="0" fontId="1" fillId="11" borderId="17" xfId="0" applyFont="1" applyFill="1" applyBorder="1" applyAlignment="1">
      <alignment horizontal="center" vertical="center" wrapText="1"/>
    </xf>
    <xf numFmtId="0" fontId="1" fillId="5" borderId="18" xfId="0" applyFont="1" applyFill="1" applyBorder="1" applyAlignment="1">
      <alignment horizontal="left" vertical="center" wrapText="1"/>
    </xf>
    <xf numFmtId="164" fontId="0" fillId="4" borderId="0" xfId="1" applyNumberFormat="1" applyFont="1" applyFill="1" applyBorder="1"/>
    <xf numFmtId="0" fontId="1" fillId="11" borderId="16" xfId="0" applyFont="1" applyFill="1" applyBorder="1" applyAlignment="1">
      <alignment horizontal="center" vertical="center" wrapText="1"/>
    </xf>
    <xf numFmtId="0" fontId="9" fillId="11" borderId="18" xfId="0" applyFont="1" applyFill="1" applyBorder="1" applyAlignment="1">
      <alignment horizontal="center" vertical="center" wrapText="1"/>
    </xf>
    <xf numFmtId="164" fontId="0" fillId="4" borderId="11" xfId="0" applyNumberFormat="1" applyFill="1" applyBorder="1"/>
    <xf numFmtId="164" fontId="0" fillId="4" borderId="12" xfId="0" applyNumberFormat="1" applyFill="1" applyBorder="1"/>
    <xf numFmtId="44" fontId="0" fillId="4" borderId="0" xfId="1" applyFont="1" applyFill="1" applyBorder="1"/>
    <xf numFmtId="44" fontId="0" fillId="4" borderId="12" xfId="1" applyFont="1" applyFill="1" applyBorder="1"/>
    <xf numFmtId="6" fontId="0" fillId="4" borderId="11" xfId="0" applyNumberFormat="1" applyFill="1" applyBorder="1"/>
    <xf numFmtId="0" fontId="28" fillId="4" borderId="0" xfId="4" applyFont="1" applyFill="1" applyAlignment="1"/>
    <xf numFmtId="0" fontId="0" fillId="19" borderId="14" xfId="0" applyFill="1" applyBorder="1" applyAlignment="1">
      <alignment horizontal="center"/>
    </xf>
    <xf numFmtId="0" fontId="0" fillId="4" borderId="14" xfId="0" applyFill="1" applyBorder="1"/>
    <xf numFmtId="43" fontId="0" fillId="19" borderId="14" xfId="5" applyFont="1" applyFill="1" applyBorder="1" applyAlignment="1"/>
    <xf numFmtId="0" fontId="0" fillId="6" borderId="0" xfId="0" applyFill="1" applyAlignment="1">
      <alignment horizontal="center" wrapText="1"/>
    </xf>
    <xf numFmtId="0" fontId="0" fillId="0" borderId="0" xfId="0" quotePrefix="1"/>
    <xf numFmtId="0" fontId="11" fillId="13" borderId="11" xfId="0" applyFont="1" applyFill="1" applyBorder="1" applyAlignment="1">
      <alignment horizontal="left"/>
    </xf>
    <xf numFmtId="0" fontId="0" fillId="13" borderId="11" xfId="0" applyFill="1" applyBorder="1"/>
    <xf numFmtId="175" fontId="10" fillId="20" borderId="14" xfId="5" applyNumberFormat="1" applyFont="1" applyFill="1" applyBorder="1" applyAlignment="1">
      <alignment horizontal="right"/>
    </xf>
    <xf numFmtId="175" fontId="10" fillId="20" borderId="17" xfId="5" applyNumberFormat="1" applyFont="1" applyFill="1" applyBorder="1" applyAlignment="1">
      <alignment horizontal="right"/>
    </xf>
    <xf numFmtId="175" fontId="0" fillId="20" borderId="0" xfId="5" applyNumberFormat="1" applyFont="1" applyFill="1" applyAlignment="1">
      <alignment horizontal="right"/>
    </xf>
    <xf numFmtId="0" fontId="1" fillId="5" borderId="0" xfId="0" applyFont="1" applyFill="1" applyAlignment="1">
      <alignment horizontal="left" vertical="center"/>
    </xf>
    <xf numFmtId="0" fontId="1" fillId="5" borderId="0" xfId="0" applyFont="1" applyFill="1" applyAlignment="1">
      <alignment vertical="center"/>
    </xf>
    <xf numFmtId="0" fontId="1" fillId="13" borderId="0" xfId="0" applyFont="1" applyFill="1" applyAlignment="1">
      <alignment horizontal="center" vertical="center"/>
    </xf>
    <xf numFmtId="0" fontId="1" fillId="13" borderId="0" xfId="0" applyFont="1" applyFill="1" applyAlignment="1">
      <alignment vertical="center"/>
    </xf>
    <xf numFmtId="0" fontId="1" fillId="6" borderId="0" xfId="0" applyFont="1" applyFill="1"/>
    <xf numFmtId="175" fontId="10" fillId="20" borderId="0" xfId="5" applyNumberFormat="1" applyFont="1" applyFill="1" applyBorder="1" applyAlignment="1">
      <alignment horizontal="right"/>
    </xf>
    <xf numFmtId="3" fontId="10" fillId="20" borderId="0" xfId="0" applyNumberFormat="1" applyFont="1" applyFill="1" applyAlignment="1">
      <alignment horizontal="right"/>
    </xf>
    <xf numFmtId="0" fontId="0" fillId="4" borderId="0" xfId="0" applyFill="1" applyAlignment="1">
      <alignment horizontal="center" vertical="center"/>
    </xf>
    <xf numFmtId="3" fontId="0" fillId="20" borderId="0" xfId="0" applyNumberFormat="1" applyFill="1" applyAlignment="1">
      <alignment horizontal="right"/>
    </xf>
    <xf numFmtId="0" fontId="16" fillId="4" borderId="0" xfId="0" applyFont="1" applyFill="1" applyAlignment="1">
      <alignment horizontal="left" vertical="center" wrapText="1"/>
    </xf>
    <xf numFmtId="0" fontId="16" fillId="4" borderId="0" xfId="4" applyFont="1" applyFill="1" applyAlignment="1">
      <alignment wrapText="1"/>
    </xf>
    <xf numFmtId="0" fontId="1" fillId="6" borderId="0" xfId="0" applyFont="1" applyFill="1" applyAlignment="1">
      <alignment horizontal="left"/>
    </xf>
    <xf numFmtId="0" fontId="16" fillId="18" borderId="0" xfId="0" applyFont="1" applyFill="1"/>
    <xf numFmtId="0" fontId="10" fillId="19" borderId="29" xfId="0" applyFont="1" applyFill="1" applyBorder="1" applyAlignment="1">
      <alignment horizontal="center" vertical="center" wrapText="1"/>
    </xf>
    <xf numFmtId="0" fontId="1" fillId="7" borderId="27" xfId="0" applyFont="1" applyFill="1" applyBorder="1" applyAlignment="1" applyProtection="1">
      <alignment horizontal="center" vertical="center" wrapText="1"/>
      <protection locked="0"/>
    </xf>
    <xf numFmtId="0" fontId="1" fillId="7" borderId="27" xfId="0" applyFont="1" applyFill="1" applyBorder="1" applyAlignment="1" applyProtection="1">
      <alignment horizontal="center" vertical="center"/>
      <protection locked="0"/>
    </xf>
    <xf numFmtId="0" fontId="1" fillId="7" borderId="28" xfId="0" applyFont="1" applyFill="1" applyBorder="1" applyAlignment="1" applyProtection="1">
      <alignment vertical="center"/>
      <protection locked="0"/>
    </xf>
    <xf numFmtId="2" fontId="0" fillId="19" borderId="0" xfId="0" applyNumberFormat="1" applyFill="1" applyAlignment="1" applyProtection="1">
      <alignment wrapText="1"/>
      <protection locked="0"/>
    </xf>
    <xf numFmtId="2" fontId="0" fillId="19" borderId="0" xfId="0" applyNumberFormat="1" applyFill="1" applyProtection="1">
      <protection locked="0"/>
    </xf>
    <xf numFmtId="2" fontId="0" fillId="19" borderId="4" xfId="0" applyNumberFormat="1" applyFill="1" applyBorder="1" applyAlignment="1" applyProtection="1">
      <alignment wrapText="1"/>
      <protection locked="0"/>
    </xf>
    <xf numFmtId="0" fontId="1" fillId="2" borderId="0" xfId="0" applyFont="1" applyFill="1"/>
    <xf numFmtId="0" fontId="0" fillId="6" borderId="0" xfId="0" applyFill="1"/>
    <xf numFmtId="0" fontId="0" fillId="6" borderId="0" xfId="0" applyFill="1" applyAlignment="1">
      <alignment horizontal="left"/>
    </xf>
    <xf numFmtId="0" fontId="1" fillId="6" borderId="0" xfId="0" applyFont="1" applyFill="1" applyAlignment="1">
      <alignment horizontal="center"/>
    </xf>
    <xf numFmtId="0" fontId="9" fillId="9" borderId="0" xfId="0" applyFont="1" applyFill="1"/>
    <xf numFmtId="164" fontId="0" fillId="4" borderId="0" xfId="0" applyNumberFormat="1" applyFill="1" applyAlignment="1">
      <alignment horizontal="right"/>
    </xf>
    <xf numFmtId="164" fontId="0" fillId="4" borderId="0" xfId="0" applyNumberFormat="1" applyFill="1"/>
    <xf numFmtId="8" fontId="0" fillId="4" borderId="0" xfId="0" applyNumberFormat="1" applyFill="1"/>
    <xf numFmtId="168" fontId="0" fillId="4" borderId="0" xfId="0" applyNumberFormat="1" applyFill="1"/>
    <xf numFmtId="165" fontId="0" fillId="4" borderId="0" xfId="0" applyNumberFormat="1" applyFill="1"/>
    <xf numFmtId="6" fontId="0" fillId="4" borderId="0" xfId="0" applyNumberFormat="1" applyFill="1"/>
    <xf numFmtId="164" fontId="0" fillId="4" borderId="11" xfId="1" applyNumberFormat="1" applyFont="1" applyFill="1" applyBorder="1"/>
    <xf numFmtId="164" fontId="0" fillId="4" borderId="0" xfId="1" applyNumberFormat="1" applyFont="1" applyFill="1" applyBorder="1" applyAlignment="1">
      <alignment horizontal="right"/>
    </xf>
    <xf numFmtId="164" fontId="0" fillId="4" borderId="12" xfId="1" applyNumberFormat="1" applyFont="1" applyFill="1" applyBorder="1"/>
    <xf numFmtId="42" fontId="0" fillId="4" borderId="0" xfId="1" applyNumberFormat="1" applyFont="1" applyFill="1" applyBorder="1" applyAlignment="1">
      <alignment horizontal="center"/>
    </xf>
    <xf numFmtId="164" fontId="0" fillId="4" borderId="13" xfId="0" applyNumberFormat="1" applyFill="1" applyBorder="1"/>
    <xf numFmtId="164" fontId="0" fillId="4" borderId="14" xfId="0" applyNumberFormat="1" applyFill="1" applyBorder="1"/>
    <xf numFmtId="164" fontId="0" fillId="4" borderId="15" xfId="0" applyNumberFormat="1" applyFill="1" applyBorder="1"/>
    <xf numFmtId="0" fontId="9" fillId="11" borderId="16" xfId="0" applyFont="1" applyFill="1" applyBorder="1" applyAlignment="1">
      <alignment horizontal="center" vertical="center" wrapText="1"/>
    </xf>
    <xf numFmtId="3" fontId="0" fillId="4" borderId="11" xfId="0" applyNumberFormat="1" applyFill="1" applyBorder="1" applyAlignment="1">
      <alignment horizontal="right"/>
    </xf>
    <xf numFmtId="3" fontId="0" fillId="4" borderId="0" xfId="0" applyNumberFormat="1" applyFill="1" applyAlignment="1">
      <alignment horizontal="right"/>
    </xf>
    <xf numFmtId="6" fontId="0" fillId="4" borderId="0" xfId="0" applyNumberFormat="1" applyFill="1" applyAlignment="1">
      <alignment horizontal="right"/>
    </xf>
    <xf numFmtId="3" fontId="0" fillId="4" borderId="0" xfId="0" applyNumberFormat="1" applyFill="1"/>
    <xf numFmtId="0" fontId="0" fillId="4" borderId="12" xfId="0" applyFill="1" applyBorder="1"/>
    <xf numFmtId="165" fontId="0" fillId="4" borderId="0" xfId="1" applyNumberFormat="1" applyFont="1" applyFill="1" applyBorder="1"/>
    <xf numFmtId="8" fontId="22" fillId="18" borderId="0" xfId="0" applyNumberFormat="1" applyFont="1" applyFill="1"/>
    <xf numFmtId="44" fontId="0" fillId="4" borderId="0" xfId="0" applyNumberFormat="1" applyFill="1"/>
    <xf numFmtId="0" fontId="0" fillId="4" borderId="0" xfId="0" quotePrefix="1" applyFill="1" applyAlignment="1">
      <alignment wrapText="1"/>
    </xf>
    <xf numFmtId="0" fontId="0" fillId="4" borderId="12" xfId="0" quotePrefix="1" applyFill="1" applyBorder="1"/>
    <xf numFmtId="4" fontId="0" fillId="4" borderId="11" xfId="0" applyNumberFormat="1" applyFill="1" applyBorder="1" applyAlignment="1">
      <alignment horizontal="right"/>
    </xf>
    <xf numFmtId="4" fontId="0" fillId="4" borderId="0" xfId="0" applyNumberFormat="1" applyFill="1" applyAlignment="1">
      <alignment horizontal="right"/>
    </xf>
    <xf numFmtId="166" fontId="0" fillId="4" borderId="0" xfId="0" applyNumberFormat="1" applyFill="1" applyAlignment="1">
      <alignment horizontal="right"/>
    </xf>
    <xf numFmtId="166" fontId="0" fillId="4" borderId="11" xfId="0" applyNumberFormat="1" applyFill="1" applyBorder="1" applyAlignment="1">
      <alignment horizontal="right"/>
    </xf>
    <xf numFmtId="8" fontId="0" fillId="4" borderId="0" xfId="0" applyNumberFormat="1" applyFill="1" applyAlignment="1">
      <alignment horizontal="right"/>
    </xf>
    <xf numFmtId="169" fontId="0" fillId="4" borderId="0" xfId="0" applyNumberFormat="1" applyFill="1"/>
    <xf numFmtId="171" fontId="0" fillId="4" borderId="11" xfId="0" applyNumberFormat="1" applyFill="1" applyBorder="1" applyAlignment="1">
      <alignment horizontal="right"/>
    </xf>
    <xf numFmtId="165" fontId="13" fillId="4" borderId="0" xfId="1" applyNumberFormat="1" applyFont="1" applyFill="1" applyBorder="1" applyAlignment="1">
      <alignment horizontal="right"/>
    </xf>
    <xf numFmtId="165" fontId="0" fillId="4" borderId="0" xfId="1" applyNumberFormat="1" applyFont="1" applyFill="1" applyBorder="1" applyAlignment="1">
      <alignment horizontal="right"/>
    </xf>
    <xf numFmtId="42" fontId="21" fillId="4" borderId="0" xfId="1" applyNumberFormat="1" applyFont="1" applyFill="1" applyBorder="1"/>
    <xf numFmtId="42" fontId="3" fillId="4" borderId="0" xfId="1" applyNumberFormat="1" applyFont="1" applyFill="1" applyBorder="1"/>
    <xf numFmtId="44" fontId="0" fillId="4" borderId="0" xfId="0" applyNumberFormat="1" applyFill="1" applyAlignment="1">
      <alignment wrapText="1"/>
    </xf>
    <xf numFmtId="44" fontId="0" fillId="4" borderId="12" xfId="0" applyNumberFormat="1" applyFill="1" applyBorder="1"/>
    <xf numFmtId="165" fontId="0" fillId="4" borderId="0" xfId="0" applyNumberFormat="1" applyFill="1" applyAlignment="1">
      <alignment horizontal="right"/>
    </xf>
    <xf numFmtId="3" fontId="0" fillId="4" borderId="13" xfId="0" applyNumberFormat="1" applyFill="1" applyBorder="1" applyAlignment="1">
      <alignment horizontal="right"/>
    </xf>
    <xf numFmtId="3" fontId="0" fillId="4" borderId="14" xfId="0" applyNumberFormat="1" applyFill="1" applyBorder="1" applyAlignment="1">
      <alignment horizontal="right"/>
    </xf>
    <xf numFmtId="3" fontId="0" fillId="4" borderId="14" xfId="0" applyNumberFormat="1" applyFill="1" applyBorder="1"/>
    <xf numFmtId="0" fontId="0" fillId="4" borderId="14" xfId="0" applyFill="1" applyBorder="1" applyAlignment="1">
      <alignment wrapText="1"/>
    </xf>
    <xf numFmtId="0" fontId="0" fillId="4" borderId="15" xfId="0" applyFill="1" applyBorder="1"/>
    <xf numFmtId="0" fontId="3" fillId="4" borderId="0" xfId="0" applyFont="1" applyFill="1" applyAlignment="1">
      <alignment wrapText="1"/>
    </xf>
    <xf numFmtId="0" fontId="0" fillId="4" borderId="0" xfId="0" applyFill="1" applyAlignment="1">
      <alignment horizontal="left" vertical="top" wrapText="1"/>
    </xf>
    <xf numFmtId="0" fontId="0" fillId="4" borderId="0" xfId="0" applyFill="1" applyAlignment="1">
      <alignment horizontal="center" wrapText="1"/>
    </xf>
    <xf numFmtId="0" fontId="8" fillId="4" borderId="0" xfId="0" applyFont="1" applyFill="1" applyAlignment="1">
      <alignment wrapText="1"/>
    </xf>
    <xf numFmtId="0" fontId="0" fillId="6" borderId="14" xfId="0" applyFill="1" applyBorder="1" applyAlignment="1">
      <alignment horizontal="center" vertical="center" wrapText="1"/>
    </xf>
    <xf numFmtId="0" fontId="0" fillId="4" borderId="20" xfId="0" applyFill="1" applyBorder="1" applyAlignment="1">
      <alignment wrapText="1"/>
    </xf>
    <xf numFmtId="0" fontId="0" fillId="4" borderId="20" xfId="0" quotePrefix="1" applyFill="1" applyBorder="1" applyAlignment="1">
      <alignment wrapText="1"/>
    </xf>
    <xf numFmtId="0" fontId="5" fillId="15" borderId="0" xfId="0" applyFont="1" applyFill="1" applyAlignment="1">
      <alignment horizontal="left" wrapText="1"/>
    </xf>
    <xf numFmtId="0" fontId="5" fillId="15" borderId="0" xfId="0" applyFont="1" applyFill="1" applyAlignment="1">
      <alignment wrapText="1"/>
    </xf>
    <xf numFmtId="0" fontId="5" fillId="15" borderId="0" xfId="0" quotePrefix="1" applyFont="1" applyFill="1" applyAlignment="1">
      <alignment horizontal="left" wrapText="1"/>
    </xf>
    <xf numFmtId="0" fontId="5" fillId="15" borderId="0" xfId="0" applyFont="1" applyFill="1" applyAlignment="1">
      <alignment horizontal="center" wrapText="1"/>
    </xf>
    <xf numFmtId="172" fontId="0" fillId="19" borderId="0" xfId="5" applyNumberFormat="1" applyFont="1" applyFill="1" applyAlignment="1"/>
    <xf numFmtId="0" fontId="9" fillId="6" borderId="0" xfId="0" applyFont="1" applyFill="1" applyAlignment="1">
      <alignment horizontal="left" vertical="center" wrapText="1"/>
    </xf>
    <xf numFmtId="0" fontId="9" fillId="6" borderId="7" xfId="0" applyFont="1" applyFill="1" applyBorder="1" applyAlignment="1">
      <alignment horizontal="left" vertical="center" wrapText="1"/>
    </xf>
    <xf numFmtId="0" fontId="1" fillId="2" borderId="26" xfId="0" applyFont="1" applyFill="1" applyBorder="1" applyAlignment="1">
      <alignment horizontal="center" vertical="center" wrapText="1"/>
    </xf>
    <xf numFmtId="0" fontId="1" fillId="5" borderId="16" xfId="0" applyFont="1" applyFill="1" applyBorder="1" applyAlignment="1">
      <alignment horizontal="left" vertical="center"/>
    </xf>
    <xf numFmtId="0" fontId="1" fillId="5" borderId="17" xfId="0" applyFont="1" applyFill="1" applyBorder="1" applyAlignment="1">
      <alignment horizontal="center" vertical="center"/>
    </xf>
    <xf numFmtId="0" fontId="10" fillId="13" borderId="0" xfId="0" applyFont="1" applyFill="1" applyAlignment="1">
      <alignment horizontal="left" wrapText="1"/>
    </xf>
    <xf numFmtId="0" fontId="1" fillId="13" borderId="0" xfId="0" applyFont="1" applyFill="1" applyAlignment="1">
      <alignment wrapText="1"/>
    </xf>
    <xf numFmtId="0" fontId="1" fillId="2" borderId="10" xfId="0" applyFont="1" applyFill="1" applyBorder="1" applyAlignment="1">
      <alignment horizontal="center" vertical="center" wrapText="1"/>
    </xf>
    <xf numFmtId="0" fontId="0" fillId="20" borderId="18" xfId="0" applyFill="1" applyBorder="1" applyAlignment="1">
      <alignment horizontal="right"/>
    </xf>
    <xf numFmtId="0" fontId="10" fillId="20" borderId="12" xfId="0" applyFont="1" applyFill="1" applyBorder="1" applyAlignment="1">
      <alignment horizontal="right"/>
    </xf>
    <xf numFmtId="9" fontId="10" fillId="20" borderId="12" xfId="2" applyFont="1" applyFill="1" applyBorder="1" applyAlignment="1">
      <alignment horizontal="right"/>
    </xf>
    <xf numFmtId="0" fontId="0" fillId="20" borderId="8" xfId="0" applyFill="1" applyBorder="1"/>
    <xf numFmtId="0" fontId="0" fillId="20" borderId="13" xfId="0" applyFill="1" applyBorder="1"/>
    <xf numFmtId="0" fontId="10" fillId="20" borderId="9" xfId="0" applyFont="1" applyFill="1" applyBorder="1"/>
    <xf numFmtId="0" fontId="10" fillId="20" borderId="14" xfId="0" applyFont="1" applyFill="1" applyBorder="1"/>
    <xf numFmtId="9" fontId="10" fillId="20" borderId="14" xfId="2" applyFont="1" applyFill="1" applyBorder="1"/>
    <xf numFmtId="2" fontId="10" fillId="20" borderId="14" xfId="0" applyNumberFormat="1" applyFont="1" applyFill="1" applyBorder="1"/>
    <xf numFmtId="9" fontId="10" fillId="20" borderId="9" xfId="2" applyFont="1" applyFill="1" applyBorder="1"/>
    <xf numFmtId="0" fontId="10" fillId="20" borderId="8" xfId="0" applyFont="1" applyFill="1" applyBorder="1"/>
    <xf numFmtId="164" fontId="10" fillId="20" borderId="9" xfId="0" applyNumberFormat="1" applyFont="1" applyFill="1" applyBorder="1" applyAlignment="1">
      <alignment horizontal="right"/>
    </xf>
    <xf numFmtId="3" fontId="10" fillId="20" borderId="9" xfId="0" applyNumberFormat="1" applyFont="1" applyFill="1" applyBorder="1" applyAlignment="1">
      <alignment horizontal="right"/>
    </xf>
    <xf numFmtId="164" fontId="10" fillId="20" borderId="26" xfId="0" applyNumberFormat="1" applyFont="1" applyFill="1" applyBorder="1" applyAlignment="1">
      <alignment horizontal="right"/>
    </xf>
    <xf numFmtId="9" fontId="10" fillId="20" borderId="28" xfId="2" applyFont="1" applyFill="1" applyBorder="1"/>
    <xf numFmtId="9" fontId="10" fillId="20" borderId="9" xfId="2" applyFont="1" applyFill="1" applyBorder="1" applyAlignment="1">
      <alignment horizontal="right"/>
    </xf>
    <xf numFmtId="9" fontId="10" fillId="20" borderId="14" xfId="2" applyFont="1" applyFill="1" applyBorder="1" applyAlignment="1">
      <alignment horizontal="right"/>
    </xf>
    <xf numFmtId="3" fontId="10" fillId="20" borderId="14" xfId="0" applyNumberFormat="1" applyFont="1" applyFill="1" applyBorder="1" applyAlignment="1">
      <alignment horizontal="right"/>
    </xf>
    <xf numFmtId="1" fontId="10" fillId="13" borderId="0" xfId="0" applyNumberFormat="1" applyFont="1" applyFill="1" applyAlignment="1">
      <alignment horizontal="right"/>
    </xf>
    <xf numFmtId="0" fontId="0" fillId="5" borderId="0" xfId="0" applyFill="1" applyAlignment="1">
      <alignment horizontal="center" vertical="center" wrapText="1"/>
    </xf>
    <xf numFmtId="0" fontId="18" fillId="4" borderId="0" xfId="4" applyFill="1" applyAlignment="1">
      <alignment wrapText="1"/>
    </xf>
    <xf numFmtId="0" fontId="0" fillId="20" borderId="8" xfId="0" applyFill="1" applyBorder="1" applyAlignment="1">
      <alignment horizontal="center"/>
    </xf>
    <xf numFmtId="0" fontId="0" fillId="20" borderId="10" xfId="0" applyFill="1" applyBorder="1"/>
    <xf numFmtId="0" fontId="27" fillId="20" borderId="11" xfId="0" applyFont="1" applyFill="1" applyBorder="1" applyAlignment="1">
      <alignment horizontal="center"/>
    </xf>
    <xf numFmtId="0" fontId="7" fillId="20" borderId="11" xfId="0" applyFont="1" applyFill="1" applyBorder="1" applyAlignment="1">
      <alignment horizontal="center"/>
    </xf>
    <xf numFmtId="0" fontId="5" fillId="20" borderId="11" xfId="0" applyFont="1" applyFill="1" applyBorder="1" applyAlignment="1">
      <alignment horizontal="center"/>
    </xf>
    <xf numFmtId="0" fontId="19" fillId="7" borderId="11" xfId="0" applyFont="1" applyFill="1" applyBorder="1" applyAlignment="1">
      <alignment horizontal="center" vertical="top"/>
    </xf>
    <xf numFmtId="0" fontId="11" fillId="19" borderId="11" xfId="0" applyFont="1" applyFill="1" applyBorder="1" applyAlignment="1">
      <alignment horizontal="center" vertical="top"/>
    </xf>
    <xf numFmtId="0" fontId="8" fillId="19" borderId="11" xfId="0" applyFont="1" applyFill="1" applyBorder="1" applyAlignment="1">
      <alignment horizontal="center" vertical="top"/>
    </xf>
    <xf numFmtId="0" fontId="29" fillId="20" borderId="13" xfId="0" applyFont="1" applyFill="1" applyBorder="1" applyAlignment="1">
      <alignment horizontal="center"/>
    </xf>
    <xf numFmtId="3" fontId="5" fillId="4" borderId="0" xfId="0" applyNumberFormat="1" applyFont="1" applyFill="1" applyAlignment="1">
      <alignment horizontal="right"/>
    </xf>
    <xf numFmtId="164" fontId="5" fillId="4" borderId="0" xfId="0" applyNumberFormat="1" applyFont="1" applyFill="1" applyAlignment="1">
      <alignment horizontal="right"/>
    </xf>
    <xf numFmtId="167" fontId="27" fillId="15" borderId="0" xfId="0" applyNumberFormat="1" applyFont="1" applyFill="1" applyAlignment="1">
      <alignment horizontal="right"/>
    </xf>
    <xf numFmtId="172" fontId="27" fillId="15" borderId="0" xfId="5" applyNumberFormat="1" applyFont="1" applyFill="1" applyAlignment="1">
      <alignment horizontal="right"/>
    </xf>
    <xf numFmtId="43" fontId="27" fillId="15" borderId="0" xfId="5" applyFont="1" applyFill="1" applyAlignment="1">
      <alignment horizontal="right"/>
    </xf>
    <xf numFmtId="0" fontId="5" fillId="15" borderId="0" xfId="0" applyFont="1" applyFill="1" applyAlignment="1">
      <alignment horizontal="right"/>
    </xf>
    <xf numFmtId="164" fontId="7" fillId="4" borderId="0" xfId="0" applyNumberFormat="1" applyFont="1" applyFill="1" applyAlignment="1">
      <alignment horizontal="right"/>
    </xf>
    <xf numFmtId="3" fontId="7" fillId="4" borderId="0" xfId="0" applyNumberFormat="1" applyFont="1" applyFill="1" applyAlignment="1">
      <alignment horizontal="right"/>
    </xf>
    <xf numFmtId="1" fontId="7" fillId="4" borderId="0" xfId="0" applyNumberFormat="1" applyFont="1" applyFill="1" applyAlignment="1">
      <alignment horizontal="right"/>
    </xf>
    <xf numFmtId="2" fontId="7" fillId="4" borderId="0" xfId="0" applyNumberFormat="1" applyFont="1" applyFill="1" applyAlignment="1">
      <alignment horizontal="right"/>
    </xf>
    <xf numFmtId="1" fontId="5" fillId="4" borderId="0" xfId="0" applyNumberFormat="1" applyFont="1" applyFill="1" applyAlignment="1">
      <alignment horizontal="right"/>
    </xf>
    <xf numFmtId="1" fontId="5" fillId="4" borderId="11" xfId="0" applyNumberFormat="1" applyFont="1" applyFill="1" applyBorder="1" applyAlignment="1">
      <alignment horizontal="right"/>
    </xf>
    <xf numFmtId="164" fontId="5" fillId="4" borderId="12" xfId="0" applyNumberFormat="1" applyFont="1" applyFill="1" applyBorder="1" applyAlignment="1">
      <alignment horizontal="right"/>
    </xf>
    <xf numFmtId="164" fontId="5" fillId="4" borderId="11" xfId="0" applyNumberFormat="1" applyFont="1" applyFill="1" applyBorder="1" applyAlignment="1">
      <alignment horizontal="right"/>
    </xf>
    <xf numFmtId="3" fontId="7" fillId="4" borderId="0" xfId="1" applyNumberFormat="1" applyFont="1" applyFill="1" applyBorder="1" applyAlignment="1">
      <alignment horizontal="right"/>
    </xf>
    <xf numFmtId="164" fontId="14" fillId="4" borderId="0" xfId="0" applyNumberFormat="1" applyFont="1" applyFill="1" applyAlignment="1">
      <alignment horizontal="right"/>
    </xf>
    <xf numFmtId="3" fontId="14" fillId="4" borderId="0" xfId="0" applyNumberFormat="1" applyFont="1" applyFill="1" applyAlignment="1">
      <alignment horizontal="right"/>
    </xf>
    <xf numFmtId="3" fontId="5" fillId="4" borderId="0" xfId="0" applyNumberFormat="1" applyFont="1" applyFill="1" applyAlignment="1">
      <alignment horizontal="right" vertical="center"/>
    </xf>
    <xf numFmtId="164" fontId="14" fillId="4" borderId="0" xfId="0" applyNumberFormat="1" applyFont="1" applyFill="1" applyAlignment="1">
      <alignment horizontal="right" vertical="center"/>
    </xf>
    <xf numFmtId="164" fontId="5" fillId="4" borderId="0" xfId="1" applyNumberFormat="1" applyFont="1" applyFill="1" applyAlignment="1">
      <alignment horizontal="right"/>
    </xf>
    <xf numFmtId="9" fontId="0" fillId="4" borderId="0" xfId="2" applyFont="1" applyFill="1" applyAlignment="1">
      <alignment horizontal="right"/>
    </xf>
    <xf numFmtId="9" fontId="29" fillId="4" borderId="0" xfId="0" applyNumberFormat="1" applyFont="1" applyFill="1" applyAlignment="1">
      <alignment horizontal="right"/>
    </xf>
    <xf numFmtId="9" fontId="29" fillId="4" borderId="0" xfId="2" applyFont="1" applyFill="1" applyAlignment="1">
      <alignment horizontal="right"/>
    </xf>
    <xf numFmtId="9" fontId="5" fillId="4" borderId="0" xfId="0" applyNumberFormat="1" applyFont="1" applyFill="1" applyAlignment="1">
      <alignment horizontal="right"/>
    </xf>
    <xf numFmtId="3" fontId="8" fillId="4" borderId="0" xfId="0" applyNumberFormat="1" applyFont="1" applyFill="1" applyAlignment="1">
      <alignment horizontal="right"/>
    </xf>
    <xf numFmtId="9" fontId="8" fillId="4" borderId="0" xfId="2" applyFont="1" applyFill="1" applyAlignment="1">
      <alignment horizontal="right"/>
    </xf>
    <xf numFmtId="3" fontId="0" fillId="4" borderId="0" xfId="0" applyNumberFormat="1" applyFill="1" applyAlignment="1">
      <alignment horizontal="right" vertical="center"/>
    </xf>
    <xf numFmtId="9" fontId="0" fillId="4" borderId="0" xfId="2" applyFont="1" applyFill="1" applyAlignment="1">
      <alignment horizontal="right" vertical="center"/>
    </xf>
    <xf numFmtId="9" fontId="29" fillId="4" borderId="0" xfId="2" applyFont="1" applyFill="1" applyAlignment="1">
      <alignment horizontal="right" vertical="center"/>
    </xf>
    <xf numFmtId="0" fontId="0" fillId="4" borderId="0" xfId="0" quotePrefix="1" applyFill="1" applyAlignment="1">
      <alignment horizontal="center"/>
    </xf>
    <xf numFmtId="9" fontId="0" fillId="4" borderId="0" xfId="2" applyFont="1" applyFill="1" applyAlignment="1">
      <alignment horizontal="left"/>
    </xf>
    <xf numFmtId="0" fontId="1" fillId="14" borderId="0" xfId="0" applyFont="1" applyFill="1" applyAlignment="1">
      <alignment horizontal="center"/>
    </xf>
    <xf numFmtId="0" fontId="9" fillId="6" borderId="14" xfId="0" applyFont="1" applyFill="1" applyBorder="1" applyAlignment="1">
      <alignment horizontal="center" vertical="center" wrapText="1"/>
    </xf>
    <xf numFmtId="0" fontId="20" fillId="6" borderId="8" xfId="0" applyFont="1" applyFill="1" applyBorder="1"/>
    <xf numFmtId="0" fontId="20" fillId="6" borderId="11" xfId="0" applyFont="1" applyFill="1" applyBorder="1"/>
    <xf numFmtId="0" fontId="20" fillId="6" borderId="11" xfId="0" applyFont="1" applyFill="1" applyBorder="1" applyAlignment="1">
      <alignment wrapText="1"/>
    </xf>
    <xf numFmtId="9" fontId="7" fillId="4" borderId="0" xfId="0" applyNumberFormat="1" applyFont="1" applyFill="1" applyAlignment="1">
      <alignment horizontal="center"/>
    </xf>
    <xf numFmtId="9" fontId="10" fillId="20" borderId="15" xfId="2" applyFont="1" applyFill="1" applyBorder="1"/>
    <xf numFmtId="9" fontId="10" fillId="20" borderId="10" xfId="2" applyFont="1" applyFill="1" applyBorder="1" applyAlignment="1">
      <alignment horizontal="right"/>
    </xf>
    <xf numFmtId="9" fontId="10" fillId="20" borderId="15" xfId="2" applyFont="1" applyFill="1" applyBorder="1" applyAlignment="1">
      <alignment horizontal="right"/>
    </xf>
    <xf numFmtId="9" fontId="10" fillId="20" borderId="26" xfId="2" applyFont="1" applyFill="1" applyBorder="1" applyAlignment="1">
      <alignment horizontal="right"/>
    </xf>
    <xf numFmtId="9" fontId="10" fillId="20" borderId="10" xfId="2" applyFont="1" applyFill="1" applyBorder="1"/>
    <xf numFmtId="0" fontId="13" fillId="4" borderId="0" xfId="0" applyFont="1" applyFill="1" applyAlignment="1">
      <alignment horizontal="left"/>
    </xf>
    <xf numFmtId="0" fontId="8" fillId="15" borderId="0" xfId="0" applyFont="1" applyFill="1" applyAlignment="1">
      <alignment horizontal="left"/>
    </xf>
    <xf numFmtId="174" fontId="5" fillId="15" borderId="0" xfId="0" applyNumberFormat="1" applyFont="1" applyFill="1" applyAlignment="1">
      <alignment horizontal="right"/>
    </xf>
    <xf numFmtId="174" fontId="5" fillId="4" borderId="0" xfId="0" applyNumberFormat="1" applyFont="1" applyFill="1" applyAlignment="1">
      <alignment horizontal="right"/>
    </xf>
    <xf numFmtId="164" fontId="0" fillId="4" borderId="0" xfId="0" applyNumberFormat="1" applyFill="1" applyAlignment="1">
      <alignment horizontal="center"/>
    </xf>
    <xf numFmtId="9" fontId="7" fillId="4" borderId="0" xfId="2" applyFont="1" applyFill="1" applyAlignment="1">
      <alignment horizontal="right"/>
    </xf>
    <xf numFmtId="0" fontId="0" fillId="4" borderId="3" xfId="0" applyFill="1" applyBorder="1" applyAlignment="1">
      <alignment horizontal="left"/>
    </xf>
    <xf numFmtId="0" fontId="0" fillId="4" borderId="20" xfId="0" applyFill="1" applyBorder="1" applyAlignment="1">
      <alignment horizontal="left"/>
    </xf>
    <xf numFmtId="0" fontId="8" fillId="4" borderId="20" xfId="0" applyFont="1" applyFill="1" applyBorder="1" applyAlignment="1">
      <alignment horizontal="left"/>
    </xf>
    <xf numFmtId="0" fontId="0" fillId="4" borderId="21" xfId="0" applyFill="1" applyBorder="1" applyAlignment="1">
      <alignment horizontal="left"/>
    </xf>
    <xf numFmtId="0" fontId="0" fillId="4" borderId="5" xfId="0" applyFill="1" applyBorder="1" applyAlignment="1">
      <alignment horizontal="left"/>
    </xf>
    <xf numFmtId="49" fontId="0" fillId="4" borderId="21" xfId="0" applyNumberFormat="1" applyFill="1" applyBorder="1" applyAlignment="1">
      <alignment horizontal="left"/>
    </xf>
    <xf numFmtId="49" fontId="0" fillId="4" borderId="0" xfId="0" applyNumberFormat="1" applyFill="1" applyAlignment="1">
      <alignment horizontal="left"/>
    </xf>
    <xf numFmtId="0" fontId="0" fillId="15" borderId="4" xfId="0" applyFill="1" applyBorder="1" applyAlignment="1">
      <alignment horizontal="left"/>
    </xf>
    <xf numFmtId="3" fontId="10" fillId="20" borderId="0" xfId="0" applyNumberFormat="1" applyFont="1" applyFill="1"/>
    <xf numFmtId="0" fontId="1" fillId="6" borderId="13" xfId="0" applyFont="1" applyFill="1" applyBorder="1" applyAlignment="1">
      <alignment wrapText="1"/>
    </xf>
    <xf numFmtId="0" fontId="1" fillId="6" borderId="13" xfId="0" applyFont="1" applyFill="1" applyBorder="1"/>
    <xf numFmtId="3" fontId="0" fillId="4" borderId="10" xfId="0" applyNumberFormat="1" applyFill="1" applyBorder="1"/>
    <xf numFmtId="3" fontId="0" fillId="4" borderId="12" xfId="0" applyNumberFormat="1" applyFill="1" applyBorder="1"/>
    <xf numFmtId="3" fontId="10" fillId="4" borderId="10" xfId="0" applyNumberFormat="1" applyFont="1" applyFill="1" applyBorder="1"/>
    <xf numFmtId="3" fontId="6" fillId="4" borderId="15" xfId="0" applyNumberFormat="1" applyFont="1" applyFill="1" applyBorder="1"/>
    <xf numFmtId="9" fontId="0" fillId="4" borderId="12" xfId="0" applyNumberFormat="1" applyFill="1" applyBorder="1"/>
    <xf numFmtId="9" fontId="6" fillId="4" borderId="10" xfId="2" applyFont="1" applyFill="1" applyBorder="1"/>
    <xf numFmtId="9" fontId="6" fillId="4" borderId="15" xfId="2" applyFont="1" applyFill="1" applyBorder="1"/>
    <xf numFmtId="0" fontId="18" fillId="4" borderId="0" xfId="4" applyFill="1"/>
    <xf numFmtId="0" fontId="1" fillId="7" borderId="28" xfId="0" applyFont="1" applyFill="1" applyBorder="1" applyAlignment="1">
      <alignment horizontal="left"/>
    </xf>
    <xf numFmtId="1" fontId="0" fillId="4" borderId="0" xfId="0" applyNumberFormat="1" applyFill="1"/>
    <xf numFmtId="0" fontId="1" fillId="6" borderId="9" xfId="0" applyFont="1" applyFill="1" applyBorder="1" applyAlignment="1">
      <alignment horizontal="center"/>
    </xf>
    <xf numFmtId="0" fontId="1" fillId="6" borderId="10" xfId="0" applyFont="1" applyFill="1" applyBorder="1" applyAlignment="1">
      <alignment horizontal="center"/>
    </xf>
    <xf numFmtId="0" fontId="9" fillId="5" borderId="8" xfId="0" applyFont="1" applyFill="1" applyBorder="1" applyAlignment="1">
      <alignment horizontal="center"/>
    </xf>
    <xf numFmtId="0" fontId="9" fillId="5" borderId="10" xfId="0" applyFont="1" applyFill="1" applyBorder="1" applyAlignment="1">
      <alignment horizontal="center"/>
    </xf>
    <xf numFmtId="0" fontId="13" fillId="20" borderId="0" xfId="0" applyFont="1" applyFill="1" applyAlignment="1">
      <alignment horizontal="left" vertical="top" wrapText="1"/>
    </xf>
    <xf numFmtId="0" fontId="0" fillId="20" borderId="0" xfId="0" applyFill="1" applyAlignment="1">
      <alignment horizontal="left" vertical="top" wrapText="1"/>
    </xf>
    <xf numFmtId="0" fontId="1" fillId="8" borderId="11"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1" fillId="8" borderId="13" xfId="0" applyFont="1" applyFill="1" applyBorder="1" applyAlignment="1">
      <alignment horizontal="center" vertical="center" wrapText="1"/>
    </xf>
    <xf numFmtId="0" fontId="1" fillId="8" borderId="15" xfId="0" applyFont="1" applyFill="1" applyBorder="1" applyAlignment="1">
      <alignment horizontal="center" vertical="center" wrapText="1"/>
    </xf>
    <xf numFmtId="0" fontId="1" fillId="8" borderId="8" xfId="0" applyFont="1" applyFill="1" applyBorder="1" applyAlignment="1">
      <alignment horizontal="left" wrapText="1"/>
    </xf>
    <xf numFmtId="0" fontId="1" fillId="8" borderId="9" xfId="0" applyFont="1" applyFill="1" applyBorder="1" applyAlignment="1">
      <alignment horizontal="left" wrapText="1"/>
    </xf>
    <xf numFmtId="0" fontId="1" fillId="8" borderId="10" xfId="0" applyFont="1" applyFill="1" applyBorder="1" applyAlignment="1">
      <alignment horizontal="left" wrapText="1"/>
    </xf>
    <xf numFmtId="0" fontId="1" fillId="8" borderId="13" xfId="0" applyFont="1" applyFill="1" applyBorder="1" applyAlignment="1">
      <alignment horizontal="left" wrapText="1"/>
    </xf>
    <xf numFmtId="0" fontId="1" fillId="8" borderId="14" xfId="0" applyFont="1" applyFill="1" applyBorder="1" applyAlignment="1">
      <alignment horizontal="left" wrapText="1"/>
    </xf>
    <xf numFmtId="0" fontId="1" fillId="8" borderId="15" xfId="0" applyFont="1" applyFill="1" applyBorder="1" applyAlignment="1">
      <alignment horizontal="left" wrapText="1"/>
    </xf>
    <xf numFmtId="0" fontId="1" fillId="13" borderId="0" xfId="0" applyFont="1" applyFill="1" applyAlignment="1">
      <alignment horizontal="center" vertical="center"/>
    </xf>
    <xf numFmtId="0" fontId="1" fillId="5" borderId="0" xfId="0" applyFont="1" applyFill="1" applyAlignment="1">
      <alignment horizontal="left"/>
    </xf>
    <xf numFmtId="0" fontId="1" fillId="5" borderId="0" xfId="0" applyFont="1" applyFill="1" applyAlignment="1">
      <alignment horizontal="left" vertical="center"/>
    </xf>
    <xf numFmtId="0" fontId="1" fillId="6" borderId="0" xfId="0" applyFont="1" applyFill="1" applyAlignment="1">
      <alignment horizontal="left" vertical="center"/>
    </xf>
    <xf numFmtId="0" fontId="10" fillId="19" borderId="26" xfId="0" applyFont="1" applyFill="1" applyBorder="1" applyAlignment="1">
      <alignment horizontal="center" vertical="center" wrapText="1"/>
    </xf>
    <xf numFmtId="0" fontId="10" fillId="19" borderId="27" xfId="0" applyFont="1" applyFill="1" applyBorder="1" applyAlignment="1">
      <alignment horizontal="center" vertical="center" wrapText="1"/>
    </xf>
    <xf numFmtId="0" fontId="10" fillId="19" borderId="28" xfId="0" applyFont="1" applyFill="1" applyBorder="1" applyAlignment="1">
      <alignment horizontal="center" vertical="center" wrapText="1"/>
    </xf>
    <xf numFmtId="0" fontId="1" fillId="6" borderId="0" xfId="0" applyFont="1" applyFill="1" applyAlignment="1">
      <alignment horizontal="left"/>
    </xf>
    <xf numFmtId="0" fontId="1" fillId="6" borderId="17" xfId="0" applyFont="1" applyFill="1" applyBorder="1" applyAlignment="1">
      <alignment horizontal="center" vertical="center"/>
    </xf>
    <xf numFmtId="0" fontId="1" fillId="8" borderId="11" xfId="0" applyFont="1" applyFill="1" applyBorder="1" applyAlignment="1">
      <alignment horizontal="left" wrapText="1"/>
    </xf>
    <xf numFmtId="0" fontId="1" fillId="8" borderId="0" xfId="0" applyFont="1" applyFill="1" applyAlignment="1">
      <alignment horizontal="left" wrapText="1"/>
    </xf>
    <xf numFmtId="0" fontId="1" fillId="8" borderId="8" xfId="0" applyFont="1" applyFill="1" applyBorder="1" applyAlignment="1">
      <alignment horizontal="left"/>
    </xf>
    <xf numFmtId="0" fontId="1" fillId="8" borderId="9" xfId="0" applyFont="1" applyFill="1" applyBorder="1" applyAlignment="1">
      <alignment horizontal="left"/>
    </xf>
    <xf numFmtId="0" fontId="1" fillId="8" borderId="10" xfId="0" applyFont="1" applyFill="1" applyBorder="1" applyAlignment="1">
      <alignment horizontal="left"/>
    </xf>
    <xf numFmtId="0" fontId="9" fillId="5" borderId="0" xfId="0" applyFont="1" applyFill="1" applyAlignment="1">
      <alignment horizontal="left" vertical="center"/>
    </xf>
    <xf numFmtId="0" fontId="9" fillId="6" borderId="0" xfId="0" applyFont="1" applyFill="1" applyAlignment="1">
      <alignment horizontal="left" vertical="center"/>
    </xf>
    <xf numFmtId="0" fontId="1" fillId="8" borderId="8" xfId="0" applyFont="1" applyFill="1" applyBorder="1" applyAlignment="1">
      <alignment horizontal="center"/>
    </xf>
    <xf numFmtId="0" fontId="1" fillId="8" borderId="9" xfId="0" applyFont="1" applyFill="1" applyBorder="1" applyAlignment="1">
      <alignment horizontal="center"/>
    </xf>
    <xf numFmtId="0" fontId="1" fillId="8" borderId="10" xfId="0" applyFont="1" applyFill="1" applyBorder="1" applyAlignment="1">
      <alignment horizontal="center"/>
    </xf>
    <xf numFmtId="0" fontId="0" fillId="20" borderId="0" xfId="0" applyFill="1"/>
    <xf numFmtId="0" fontId="1" fillId="8" borderId="0" xfId="0" applyFont="1" applyFill="1" applyAlignment="1">
      <alignment horizontal="center"/>
    </xf>
    <xf numFmtId="0" fontId="1" fillId="9" borderId="8" xfId="0" applyFont="1" applyFill="1" applyBorder="1" applyAlignment="1">
      <alignment horizontal="center" vertical="center"/>
    </xf>
    <xf numFmtId="0" fontId="1" fillId="9" borderId="9" xfId="0" applyFont="1" applyFill="1" applyBorder="1" applyAlignment="1">
      <alignment horizontal="center" vertical="center"/>
    </xf>
    <xf numFmtId="0" fontId="1" fillId="9" borderId="10"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9" xfId="0" applyFont="1" applyFill="1" applyBorder="1" applyAlignment="1">
      <alignment horizontal="center" vertical="center" wrapText="1"/>
    </xf>
    <xf numFmtId="0" fontId="1" fillId="2" borderId="10" xfId="0" applyFont="1" applyFill="1" applyBorder="1" applyAlignment="1">
      <alignment horizontal="center" vertical="center"/>
    </xf>
    <xf numFmtId="0" fontId="1" fillId="5" borderId="0" xfId="0" applyFont="1" applyFill="1" applyAlignment="1">
      <alignment horizontal="center"/>
    </xf>
    <xf numFmtId="0" fontId="9" fillId="9" borderId="16" xfId="0" applyFont="1" applyFill="1" applyBorder="1" applyAlignment="1">
      <alignment horizontal="center" wrapText="1"/>
    </xf>
    <xf numFmtId="0" fontId="9" fillId="9" borderId="18" xfId="0" applyFont="1" applyFill="1" applyBorder="1" applyAlignment="1">
      <alignment horizontal="center" wrapText="1"/>
    </xf>
    <xf numFmtId="0" fontId="9" fillId="2" borderId="16"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1" fillId="2" borderId="0" xfId="0" applyFont="1" applyFill="1" applyAlignment="1">
      <alignment horizontal="center" vertical="center"/>
    </xf>
    <xf numFmtId="0" fontId="9" fillId="9" borderId="0" xfId="0" applyFont="1" applyFill="1" applyAlignment="1">
      <alignment horizontal="center" vertical="center"/>
    </xf>
    <xf numFmtId="0" fontId="1" fillId="2" borderId="0" xfId="0" applyFont="1" applyFill="1" applyAlignment="1">
      <alignment horizontal="center"/>
    </xf>
    <xf numFmtId="0" fontId="1" fillId="9" borderId="0" xfId="0" applyFont="1" applyFill="1" applyAlignment="1">
      <alignment horizontal="center"/>
    </xf>
    <xf numFmtId="0" fontId="0" fillId="6" borderId="0" xfId="0" applyFill="1" applyAlignment="1">
      <alignment horizontal="center"/>
    </xf>
    <xf numFmtId="0" fontId="9" fillId="10" borderId="0" xfId="0" applyFont="1" applyFill="1" applyAlignment="1">
      <alignment horizontal="center" vertical="center"/>
    </xf>
    <xf numFmtId="0" fontId="9" fillId="2" borderId="0" xfId="0" applyFont="1" applyFill="1" applyAlignment="1">
      <alignment horizontal="center" vertical="center"/>
    </xf>
    <xf numFmtId="0" fontId="1" fillId="8" borderId="8" xfId="0" applyFont="1" applyFill="1" applyBorder="1" applyAlignment="1">
      <alignment horizontal="center" wrapText="1"/>
    </xf>
    <xf numFmtId="0" fontId="1" fillId="8" borderId="9" xfId="0" applyFont="1" applyFill="1" applyBorder="1" applyAlignment="1">
      <alignment horizontal="center" wrapText="1"/>
    </xf>
    <xf numFmtId="0" fontId="1" fillId="8" borderId="10" xfId="0" applyFont="1" applyFill="1" applyBorder="1" applyAlignment="1">
      <alignment horizontal="center" wrapText="1"/>
    </xf>
    <xf numFmtId="0" fontId="1" fillId="8" borderId="13" xfId="0" applyFont="1" applyFill="1" applyBorder="1" applyAlignment="1">
      <alignment horizontal="center" wrapText="1"/>
    </xf>
    <xf numFmtId="0" fontId="1" fillId="8" borderId="14" xfId="0" applyFont="1" applyFill="1" applyBorder="1" applyAlignment="1">
      <alignment horizontal="center" wrapText="1"/>
    </xf>
    <xf numFmtId="0" fontId="1" fillId="8" borderId="15" xfId="0" applyFont="1" applyFill="1" applyBorder="1" applyAlignment="1">
      <alignment horizontal="center" wrapText="1"/>
    </xf>
  </cellXfs>
  <cellStyles count="6">
    <cellStyle name="Hyperlink" xfId="4" xr:uid="{94A0F64C-5205-463A-B6CB-1D11A029E136}"/>
    <cellStyle name="Komma" xfId="5" builtinId="3"/>
    <cellStyle name="Procent" xfId="2" builtinId="5"/>
    <cellStyle name="Standaard" xfId="0" builtinId="0"/>
    <cellStyle name="Standaard 2" xfId="3" xr:uid="{8EC0381E-FB8A-4D8E-A78D-E3930EA75057}"/>
    <cellStyle name="Valuta" xfId="1" builtinId="4"/>
  </cellStyles>
  <dxfs count="415">
    <dxf>
      <font>
        <b val="0"/>
        <i val="0"/>
        <strike val="0"/>
        <condense val="0"/>
        <extend val="0"/>
        <outline val="0"/>
        <shadow val="0"/>
        <u val="none"/>
        <vertAlign val="baseline"/>
        <sz val="11"/>
        <color theme="8"/>
        <name val="Nunito"/>
        <family val="2"/>
        <scheme val="minor"/>
      </font>
      <numFmt numFmtId="164" formatCode="&quot;€&quot;\ #,##0"/>
      <fill>
        <patternFill>
          <fgColor indexed="64"/>
          <bgColor theme="6"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8"/>
        <name val="Nunito"/>
        <family val="2"/>
        <scheme val="minor"/>
      </font>
      <numFmt numFmtId="164" formatCode="&quot;€&quot;\ #,##0"/>
      <fill>
        <patternFill>
          <fgColor indexed="64"/>
          <bgColor theme="6"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8"/>
        <name val="Nunito"/>
        <family val="2"/>
        <scheme val="minor"/>
      </font>
      <numFmt numFmtId="164" formatCode="&quot;€&quot;\ #,##0"/>
      <fill>
        <patternFill>
          <fgColor indexed="64"/>
          <bgColor theme="6" tint="0.79998168889431442"/>
        </patternFill>
      </fill>
      <alignment horizontal="right" vertical="bottom" textRotation="0" wrapText="0" indent="0" justifyLastLine="0" shrinkToFit="0" readingOrder="0"/>
    </dxf>
    <dxf>
      <fill>
        <patternFill patternType="solid">
          <fgColor indexed="64"/>
          <bgColor theme="6" tint="0.79998168889431442"/>
        </patternFill>
      </fill>
      <alignment horizontal="left" vertical="bottom" textRotation="0" wrapText="0" indent="0" justifyLastLine="0" shrinkToFit="0" readingOrder="0"/>
    </dxf>
    <dxf>
      <fill>
        <patternFill>
          <fgColor indexed="64"/>
          <bgColor theme="6"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Nunito"/>
        <scheme val="minor"/>
      </font>
      <fill>
        <patternFill>
          <fgColor indexed="64"/>
          <bgColor theme="6" tint="0.79998168889431442"/>
        </patternFill>
      </fill>
      <alignment horizontal="left" vertical="bottom" textRotation="0" wrapText="0" indent="0" justifyLastLine="0" shrinkToFit="0" readingOrder="0"/>
    </dxf>
    <dxf>
      <border outline="0">
        <top style="medium">
          <color theme="1"/>
        </top>
      </border>
    </dxf>
    <dxf>
      <fill>
        <patternFill>
          <fgColor indexed="64"/>
          <bgColor theme="6" tint="0.79998168889431442"/>
        </patternFill>
      </fill>
    </dxf>
    <dxf>
      <border outline="0">
        <bottom style="medium">
          <color theme="1"/>
        </bottom>
      </border>
    </dxf>
    <dxf>
      <font>
        <b/>
        <i val="0"/>
        <strike val="0"/>
        <condense val="0"/>
        <extend val="0"/>
        <outline val="0"/>
        <shadow val="0"/>
        <u val="none"/>
        <vertAlign val="baseline"/>
        <sz val="11"/>
        <color theme="0"/>
        <name val="Nunito"/>
        <family val="2"/>
        <scheme val="minor"/>
      </font>
      <fill>
        <patternFill patternType="solid">
          <fgColor theme="4"/>
          <bgColor theme="4"/>
        </patternFill>
      </fill>
      <alignment horizontal="center" vertical="center" textRotation="0" wrapText="1" indent="0" justifyLastLine="0" shrinkToFit="0" readingOrder="0"/>
    </dxf>
    <dxf>
      <font>
        <strike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1" formatCode="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ill>
        <patternFill patternType="solid">
          <fgColor indexed="64"/>
          <bgColor theme="6" tint="0.79998168889431442"/>
        </patternFill>
      </fill>
      <alignment horizontal="left" vertical="bottom" textRotation="0" wrapText="0" indent="0" justifyLastLine="0" shrinkToFit="0" readingOrder="0"/>
    </dxf>
    <dxf>
      <fill>
        <patternFill patternType="solid">
          <fgColor rgb="FF000000"/>
          <bgColor theme="6" tint="0.79998168889431442"/>
        </patternFill>
      </fill>
    </dxf>
    <dxf>
      <font>
        <b val="0"/>
        <i val="0"/>
        <strike val="0"/>
        <condense val="0"/>
        <extend val="0"/>
        <outline val="0"/>
        <shadow val="0"/>
        <u val="none"/>
        <vertAlign val="baseline"/>
        <sz val="11"/>
        <color theme="1"/>
        <name val="Nunito"/>
        <family val="2"/>
        <scheme val="minor"/>
      </font>
      <fill>
        <patternFill patternType="solid">
          <fgColor rgb="FF000000"/>
          <bgColor theme="6" tint="0.79998168889431442"/>
        </patternFill>
      </fill>
    </dxf>
    <dxf>
      <border outline="0">
        <top style="medium">
          <color theme="1"/>
        </top>
      </border>
    </dxf>
    <dxf>
      <border outline="0">
        <bottom style="medium">
          <color theme="1"/>
        </bottom>
      </border>
    </dxf>
    <dxf>
      <font>
        <b/>
        <i val="0"/>
        <strike val="0"/>
        <condense val="0"/>
        <extend val="0"/>
        <outline val="0"/>
        <shadow val="0"/>
        <u val="none"/>
        <vertAlign val="baseline"/>
        <sz val="11"/>
        <color theme="0"/>
        <name val="Nunito"/>
        <family val="2"/>
        <scheme val="minor"/>
      </font>
      <fill>
        <patternFill patternType="solid">
          <fgColor indexed="64"/>
          <bgColor theme="4"/>
        </patternFill>
      </fill>
      <alignment horizontal="center" vertical="center" textRotation="0" wrapText="1" indent="0" justifyLastLine="0" shrinkToFit="0" readingOrder="0"/>
    </dxf>
    <dxf>
      <font>
        <strike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3" formatCode="#,##0"/>
      <fill>
        <patternFill patternType="solid">
          <fgColor indexed="64"/>
          <bgColor theme="6" tint="0.79998168889431442"/>
        </patternFill>
      </fill>
      <alignment horizontal="right" vertical="bottom" textRotation="0" wrapText="0" indent="0" justifyLastLine="0" shrinkToFit="0" readingOrder="0"/>
    </dxf>
    <dxf>
      <fill>
        <patternFill patternType="solid">
          <fgColor indexed="64"/>
          <bgColor theme="6" tint="0.79998168889431442"/>
        </patternFill>
      </fill>
    </dxf>
    <dxf>
      <fill>
        <patternFill patternType="solid">
          <fgColor indexed="64"/>
          <bgColor theme="6" tint="0.79998168889431442"/>
        </patternFill>
      </fill>
      <alignment horizontal="left" vertical="bottom" textRotation="0" wrapText="0" indent="0" justifyLastLine="0" shrinkToFit="0" readingOrder="0"/>
    </dxf>
    <dxf>
      <fill>
        <patternFill patternType="solid">
          <fgColor indexed="64"/>
          <bgColor theme="6"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Nunito"/>
        <family val="2"/>
        <scheme val="minor"/>
      </font>
      <fill>
        <patternFill patternType="solid">
          <fgColor indexed="64"/>
          <bgColor theme="6" tint="0.79998168889431442"/>
        </patternFill>
      </fill>
      <alignment horizontal="left" vertical="bottom" textRotation="0" wrapText="0" indent="0" justifyLastLine="0" shrinkToFit="0" readingOrder="0"/>
    </dxf>
    <dxf>
      <fill>
        <patternFill patternType="solid">
          <bgColor theme="6" tint="0.79998168889431442"/>
        </patternFill>
      </fill>
    </dxf>
    <dxf>
      <border outline="0">
        <top style="medium">
          <color theme="1"/>
        </top>
        <bottom style="medium">
          <color theme="1"/>
        </bottom>
      </border>
    </dxf>
    <dxf>
      <fill>
        <patternFill patternType="solid">
          <bgColor theme="6" tint="0.79998168889431442"/>
        </patternFill>
      </fill>
    </dxf>
    <dxf>
      <border outline="0">
        <bottom style="medium">
          <color theme="1"/>
        </bottom>
      </border>
    </dxf>
    <dxf>
      <alignment horizontal="center" vertical="center" textRotation="0" indent="0" justifyLastLine="0" shrinkToFit="0" readingOrder="0"/>
    </dxf>
    <dxf>
      <font>
        <strike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3" formatCode="#,##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8"/>
        <name val="Nunito"/>
        <family val="2"/>
        <scheme val="minor"/>
      </font>
      <numFmt numFmtId="3" formatCode="#,##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7"/>
        <name val="Nunito"/>
        <family val="2"/>
        <scheme val="minor"/>
      </font>
      <numFmt numFmtId="2" formatCode="0.0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7"/>
        <name val="Nunito"/>
        <family val="2"/>
        <scheme val="minor"/>
      </font>
      <numFmt numFmtId="2" formatCode="0.00"/>
      <fill>
        <patternFill patternType="solid">
          <fgColor indexed="64"/>
          <bgColor theme="6" tint="0.79998168889431442"/>
        </patternFill>
      </fill>
      <alignment horizontal="right" vertical="bottom" textRotation="0" wrapText="0" indent="0" justifyLastLine="0" shrinkToFit="0" readingOrder="0"/>
    </dxf>
    <dxf>
      <fill>
        <patternFill patternType="solid">
          <fgColor indexed="64"/>
          <bgColor theme="6" tint="0.79998168889431442"/>
        </patternFill>
      </fill>
      <alignment horizontal="center" vertical="bottom" textRotation="0" wrapText="0" indent="0" justifyLastLine="0" shrinkToFit="0" readingOrder="0"/>
    </dxf>
    <dxf>
      <fill>
        <patternFill patternType="solid">
          <fgColor indexed="64"/>
          <bgColor theme="6" tint="0.79998168889431442"/>
        </patternFill>
      </fill>
      <alignment horizontal="left" vertical="bottom" textRotation="0" wrapText="0" indent="0" justifyLastLine="0" shrinkToFit="0" readingOrder="0"/>
    </dxf>
    <dxf>
      <numFmt numFmtId="0" formatCode="General"/>
      <fill>
        <patternFill patternType="solid">
          <fgColor indexed="64"/>
          <bgColor theme="6" tint="0.79998168889431442"/>
        </patternFill>
      </fill>
      <alignment horizontal="left" vertical="bottom" textRotation="0" wrapText="0" indent="0" justifyLastLine="0" shrinkToFit="0" readingOrder="0"/>
    </dxf>
    <dxf>
      <fill>
        <patternFill patternType="solid">
          <fgColor indexed="64"/>
          <bgColor theme="6" tint="0.79998168889431442"/>
        </patternFill>
      </fill>
      <alignment horizontal="left" vertical="bottom" textRotation="0" wrapText="0" indent="0" justifyLastLine="0" shrinkToFit="0" readingOrder="0"/>
    </dxf>
    <dxf>
      <fill>
        <patternFill patternType="solid">
          <fgColor indexed="64"/>
          <bgColor theme="6" tint="0.79998168889431442"/>
        </patternFill>
      </fill>
      <alignment horizontal="left" vertical="bottom" textRotation="0" wrapText="0" indent="0" justifyLastLine="0" shrinkToFit="0" readingOrder="0"/>
    </dxf>
    <dxf>
      <fill>
        <patternFill patternType="solid">
          <fgColor indexed="64"/>
          <bgColor theme="6" tint="0.79998168889431442"/>
        </patternFill>
      </fill>
      <alignment horizontal="left" vertical="bottom" textRotation="0" wrapText="0" indent="0" justifyLastLine="0" shrinkToFit="0" readingOrder="0"/>
    </dxf>
    <dxf>
      <fill>
        <patternFill patternType="solid">
          <fgColor indexed="64"/>
          <bgColor theme="6" tint="0.79998168889431442"/>
        </patternFill>
      </fill>
      <alignment horizontal="left" vertical="bottom" textRotation="0" wrapText="0" indent="0" justifyLastLine="0" shrinkToFit="0" readingOrder="0"/>
    </dxf>
    <dxf>
      <fill>
        <patternFill patternType="solid">
          <fgColor indexed="64"/>
          <bgColor theme="6" tint="0.79998168889431442"/>
        </patternFill>
      </fill>
      <alignment horizontal="left" vertical="bottom" textRotation="0" wrapText="0" indent="0" justifyLastLine="0" shrinkToFit="0" readingOrder="0"/>
    </dxf>
    <dxf>
      <fill>
        <patternFill patternType="solid">
          <fgColor indexed="64"/>
          <bgColor theme="6" tint="0.79998168889431442"/>
        </patternFill>
      </fill>
      <alignment horizontal="left" vertical="bottom" textRotation="0" wrapText="0" indent="0" justifyLastLine="0" shrinkToFit="0" readingOrder="0"/>
    </dxf>
    <dxf>
      <fill>
        <patternFill patternType="solid">
          <fgColor indexed="64"/>
          <bgColor theme="6" tint="0.79998168889431442"/>
        </patternFill>
      </fill>
    </dxf>
    <dxf>
      <font>
        <b/>
        <i val="0"/>
        <strike val="0"/>
        <condense val="0"/>
        <extend val="0"/>
        <outline val="0"/>
        <shadow val="0"/>
        <u val="none"/>
        <vertAlign val="baseline"/>
        <sz val="11"/>
        <color theme="0"/>
        <name val="Nunito"/>
        <family val="2"/>
        <scheme val="minor"/>
      </font>
      <fill>
        <patternFill patternType="solid">
          <fgColor indexed="64"/>
          <bgColor theme="4"/>
        </patternFill>
      </fill>
      <alignment horizontal="center" vertical="center" textRotation="0" wrapText="1" indent="0" justifyLastLine="0" shrinkToFit="0" readingOrder="0"/>
    </dxf>
    <dxf>
      <font>
        <strike val="0"/>
        <outline val="0"/>
        <shadow val="0"/>
        <u val="none"/>
        <vertAlign val="baseline"/>
        <sz val="11"/>
        <color theme="8"/>
        <name val="Nunito"/>
        <family val="2"/>
        <scheme val="minor"/>
      </font>
      <numFmt numFmtId="2" formatCode="0.00"/>
      <fill>
        <patternFill patternType="solid">
          <fgColor indexed="64"/>
          <bgColor theme="2" tint="0.79998168889431442"/>
        </patternFill>
      </fill>
    </dxf>
    <dxf>
      <font>
        <strike val="0"/>
        <outline val="0"/>
        <shadow val="0"/>
        <u val="none"/>
        <vertAlign val="baseline"/>
        <sz val="11"/>
        <color theme="8"/>
        <name val="Nunito"/>
        <family val="2"/>
        <scheme val="minor"/>
      </font>
      <numFmt numFmtId="2" formatCode="0.00"/>
      <fill>
        <patternFill patternType="solid">
          <fgColor indexed="64"/>
          <bgColor theme="2" tint="0.79998168889431442"/>
        </patternFill>
      </fill>
    </dxf>
    <dxf>
      <font>
        <strike val="0"/>
        <outline val="0"/>
        <shadow val="0"/>
        <u val="none"/>
        <vertAlign val="baseline"/>
        <sz val="11"/>
        <color theme="8"/>
        <name val="Nunito"/>
        <family val="2"/>
        <scheme val="minor"/>
      </font>
      <numFmt numFmtId="2" formatCode="0.00"/>
      <fill>
        <patternFill patternType="solid">
          <fgColor indexed="64"/>
          <bgColor theme="2" tint="0.79998168889431442"/>
        </patternFill>
      </fill>
    </dxf>
    <dxf>
      <font>
        <strike val="0"/>
        <outline val="0"/>
        <shadow val="0"/>
        <u val="none"/>
        <vertAlign val="baseline"/>
        <sz val="11"/>
        <color theme="8"/>
        <name val="Nunito"/>
        <family val="2"/>
        <scheme val="minor"/>
      </font>
      <numFmt numFmtId="2" formatCode="0.00"/>
      <fill>
        <patternFill patternType="solid">
          <fgColor indexed="64"/>
          <bgColor theme="2" tint="0.79998168889431442"/>
        </patternFill>
      </fill>
    </dxf>
    <dxf>
      <font>
        <strike val="0"/>
        <outline val="0"/>
        <shadow val="0"/>
        <u val="none"/>
        <vertAlign val="baseline"/>
        <sz val="11"/>
        <color theme="8"/>
        <name val="Nunito"/>
        <family val="2"/>
        <scheme val="minor"/>
      </font>
      <numFmt numFmtId="2" formatCode="0.00"/>
      <fill>
        <patternFill patternType="solid">
          <fgColor indexed="64"/>
          <bgColor theme="2" tint="0.79998168889431442"/>
        </patternFill>
      </fill>
    </dxf>
    <dxf>
      <font>
        <strike val="0"/>
        <outline val="0"/>
        <shadow val="0"/>
        <u val="none"/>
        <vertAlign val="baseline"/>
        <sz val="11"/>
        <color theme="8"/>
        <name val="Nunito"/>
        <family val="2"/>
        <scheme val="minor"/>
      </font>
      <numFmt numFmtId="2" formatCode="0.00"/>
      <fill>
        <patternFill patternType="solid">
          <fgColor indexed="64"/>
          <bgColor theme="2" tint="0.79998168889431442"/>
        </patternFill>
      </fill>
    </dxf>
    <dxf>
      <font>
        <strike val="0"/>
        <outline val="0"/>
        <shadow val="0"/>
        <u val="none"/>
        <vertAlign val="baseline"/>
        <sz val="11"/>
        <color theme="8"/>
        <name val="Nunito"/>
        <family val="2"/>
        <scheme val="minor"/>
      </font>
      <numFmt numFmtId="2" formatCode="0.00"/>
      <fill>
        <patternFill patternType="solid">
          <fgColor indexed="64"/>
          <bgColor theme="2" tint="0.79998168889431442"/>
        </patternFill>
      </fill>
    </dxf>
    <dxf>
      <font>
        <strike val="0"/>
        <outline val="0"/>
        <shadow val="0"/>
        <u val="none"/>
        <vertAlign val="baseline"/>
        <sz val="11"/>
        <color theme="8"/>
        <name val="Nunito"/>
        <family val="2"/>
        <scheme val="minor"/>
      </font>
      <numFmt numFmtId="2" formatCode="0.00"/>
      <fill>
        <patternFill patternType="solid">
          <fgColor indexed="64"/>
          <bgColor theme="2" tint="0.79998168889431442"/>
        </patternFill>
      </fill>
    </dxf>
    <dxf>
      <font>
        <strike val="0"/>
        <outline val="0"/>
        <shadow val="0"/>
        <u val="none"/>
        <vertAlign val="baseline"/>
        <sz val="11"/>
        <color theme="8"/>
        <name val="Nunito"/>
        <family val="2"/>
        <scheme val="minor"/>
      </font>
      <numFmt numFmtId="2" formatCode="0.00"/>
      <fill>
        <patternFill patternType="solid">
          <fgColor indexed="64"/>
          <bgColor theme="2" tint="0.79998168889431442"/>
        </patternFill>
      </fill>
    </dxf>
    <dxf>
      <font>
        <strike val="0"/>
        <outline val="0"/>
        <shadow val="0"/>
        <u val="none"/>
        <vertAlign val="baseline"/>
        <sz val="11"/>
        <color theme="8"/>
        <name val="Nunito"/>
        <family val="2"/>
        <scheme val="minor"/>
      </font>
      <numFmt numFmtId="2" formatCode="0.00"/>
      <fill>
        <patternFill patternType="solid">
          <fgColor indexed="64"/>
          <bgColor theme="2" tint="0.79998168889431442"/>
        </patternFill>
      </fill>
    </dxf>
    <dxf>
      <font>
        <strike val="0"/>
        <outline val="0"/>
        <shadow val="0"/>
        <u val="none"/>
        <vertAlign val="baseline"/>
        <sz val="11"/>
        <color theme="8"/>
        <name val="Nunito"/>
        <family val="2"/>
        <scheme val="minor"/>
      </font>
      <numFmt numFmtId="2" formatCode="0.00"/>
      <fill>
        <patternFill patternType="solid">
          <fgColor indexed="64"/>
          <bgColor theme="2" tint="0.79998168889431442"/>
        </patternFill>
      </fill>
    </dxf>
    <dxf>
      <font>
        <strike val="0"/>
        <outline val="0"/>
        <shadow val="0"/>
        <u val="none"/>
        <vertAlign val="baseline"/>
        <sz val="11"/>
        <color theme="8"/>
        <name val="Nunito"/>
        <family val="2"/>
        <scheme val="minor"/>
      </font>
      <numFmt numFmtId="2" formatCode="0.00"/>
      <fill>
        <patternFill patternType="solid">
          <fgColor indexed="64"/>
          <bgColor theme="2" tint="0.79998168889431442"/>
        </patternFill>
      </fill>
    </dxf>
    <dxf>
      <numFmt numFmtId="0" formatCode="General"/>
      <fill>
        <patternFill patternType="solid">
          <fgColor indexed="64"/>
          <bgColor theme="2" tint="0.79998168889431442"/>
        </patternFill>
      </fill>
      <alignment horizontal="left" vertical="bottom" textRotation="0" wrapText="0" indent="0" justifyLastLine="0" shrinkToFit="0" readingOrder="0"/>
    </dxf>
    <dxf>
      <font>
        <color auto="1"/>
      </font>
      <fill>
        <patternFill patternType="solid">
          <fgColor indexed="64"/>
          <bgColor theme="2" tint="0.79998168889431442"/>
        </patternFill>
      </fill>
      <alignment horizontal="left" vertical="bottom" textRotation="0" wrapText="0" indent="0" justifyLastLine="0" shrinkToFit="0" readingOrder="0"/>
    </dxf>
    <dxf>
      <fill>
        <patternFill patternType="solid">
          <fgColor indexed="64"/>
          <bgColor theme="2"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Nunito"/>
        <family val="2"/>
        <scheme val="minor"/>
      </font>
      <fill>
        <patternFill patternType="solid">
          <fgColor indexed="64"/>
          <bgColor theme="2"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Nunito"/>
        <family val="2"/>
        <scheme val="minor"/>
      </font>
      <fill>
        <patternFill patternType="solid">
          <fgColor indexed="64"/>
          <bgColor theme="2"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Nunito"/>
        <family val="2"/>
        <scheme val="minor"/>
      </font>
      <numFmt numFmtId="0" formatCode="General"/>
      <fill>
        <patternFill patternType="solid">
          <fgColor indexed="64"/>
          <bgColor theme="2" tint="0.79998168889431442"/>
        </patternFill>
      </fill>
      <alignment horizontal="left" vertical="bottom" textRotation="0" wrapText="0" indent="0" justifyLastLine="0" shrinkToFit="0" readingOrder="0"/>
    </dxf>
    <dxf>
      <border outline="0">
        <bottom style="medium">
          <color theme="1"/>
        </bottom>
      </border>
    </dxf>
    <dxf>
      <font>
        <b/>
        <i val="0"/>
        <strike val="0"/>
        <condense val="0"/>
        <extend val="0"/>
        <outline val="0"/>
        <shadow val="0"/>
        <u val="none"/>
        <vertAlign val="baseline"/>
        <sz val="11"/>
        <color theme="0"/>
        <name val="Nunito"/>
        <family val="2"/>
        <scheme val="minor"/>
      </font>
      <fill>
        <patternFill patternType="solid">
          <fgColor theme="4"/>
          <bgColor theme="4"/>
        </patternFill>
      </fill>
      <alignment horizontal="center" vertical="center" textRotation="0" indent="0" justifyLastLine="0" shrinkToFit="0" readingOrder="0"/>
    </dxf>
    <dxf>
      <font>
        <strike val="0"/>
        <outline val="0"/>
        <shadow val="0"/>
        <u val="none"/>
        <vertAlign val="baseline"/>
        <sz val="11"/>
        <color theme="8"/>
        <name val="Nunito"/>
        <family val="2"/>
        <scheme val="minor"/>
      </font>
      <numFmt numFmtId="2" formatCode="0.00"/>
      <fill>
        <patternFill patternType="solid">
          <fgColor indexed="64"/>
          <bgColor theme="2" tint="0.79998168889431442"/>
        </patternFill>
      </fill>
    </dxf>
    <dxf>
      <font>
        <strike val="0"/>
        <outline val="0"/>
        <shadow val="0"/>
        <u val="none"/>
        <vertAlign val="baseline"/>
        <sz val="11"/>
        <color theme="8"/>
        <name val="Nunito"/>
        <family val="2"/>
        <scheme val="minor"/>
      </font>
      <numFmt numFmtId="2" formatCode="0.00"/>
      <fill>
        <patternFill patternType="solid">
          <fgColor indexed="64"/>
          <bgColor theme="2" tint="0.79998168889431442"/>
        </patternFill>
      </fill>
    </dxf>
    <dxf>
      <font>
        <strike val="0"/>
        <outline val="0"/>
        <shadow val="0"/>
        <u val="none"/>
        <vertAlign val="baseline"/>
        <sz val="11"/>
        <color theme="8"/>
        <name val="Nunito"/>
        <family val="2"/>
        <scheme val="minor"/>
      </font>
      <numFmt numFmtId="2" formatCode="0.00"/>
      <fill>
        <patternFill patternType="solid">
          <fgColor indexed="64"/>
          <bgColor theme="2" tint="0.79998168889431442"/>
        </patternFill>
      </fill>
    </dxf>
    <dxf>
      <font>
        <strike val="0"/>
        <outline val="0"/>
        <shadow val="0"/>
        <u val="none"/>
        <vertAlign val="baseline"/>
        <sz val="11"/>
        <color theme="8"/>
        <name val="Nunito"/>
        <family val="2"/>
        <scheme val="minor"/>
      </font>
      <numFmt numFmtId="2" formatCode="0.00"/>
      <fill>
        <patternFill patternType="solid">
          <fgColor indexed="64"/>
          <bgColor theme="2" tint="0.79998168889431442"/>
        </patternFill>
      </fill>
    </dxf>
    <dxf>
      <font>
        <strike val="0"/>
        <outline val="0"/>
        <shadow val="0"/>
        <u val="none"/>
        <vertAlign val="baseline"/>
        <sz val="11"/>
        <color theme="8"/>
        <name val="Nunito"/>
        <family val="2"/>
        <scheme val="minor"/>
      </font>
      <numFmt numFmtId="2" formatCode="0.00"/>
      <fill>
        <patternFill patternType="solid">
          <fgColor indexed="64"/>
          <bgColor theme="2" tint="0.79998168889431442"/>
        </patternFill>
      </fill>
    </dxf>
    <dxf>
      <font>
        <strike val="0"/>
        <outline val="0"/>
        <shadow val="0"/>
        <u val="none"/>
        <vertAlign val="baseline"/>
        <sz val="11"/>
        <color theme="8"/>
        <name val="Nunito"/>
        <family val="2"/>
        <scheme val="minor"/>
      </font>
      <numFmt numFmtId="2" formatCode="0.00"/>
      <fill>
        <patternFill patternType="solid">
          <fgColor indexed="64"/>
          <bgColor theme="2" tint="0.79998168889431442"/>
        </patternFill>
      </fill>
    </dxf>
    <dxf>
      <font>
        <strike val="0"/>
        <outline val="0"/>
        <shadow val="0"/>
        <u val="none"/>
        <vertAlign val="baseline"/>
        <sz val="11"/>
        <color theme="8"/>
        <name val="Nunito"/>
        <family val="2"/>
        <scheme val="minor"/>
      </font>
      <numFmt numFmtId="2" formatCode="0.00"/>
      <fill>
        <patternFill patternType="solid">
          <fgColor indexed="64"/>
          <bgColor theme="2" tint="0.79998168889431442"/>
        </patternFill>
      </fill>
    </dxf>
    <dxf>
      <font>
        <strike val="0"/>
        <outline val="0"/>
        <shadow val="0"/>
        <u val="none"/>
        <vertAlign val="baseline"/>
        <sz val="11"/>
        <color theme="8"/>
        <name val="Nunito"/>
        <family val="2"/>
        <scheme val="minor"/>
      </font>
      <numFmt numFmtId="2" formatCode="0.00"/>
      <fill>
        <patternFill patternType="solid">
          <fgColor indexed="64"/>
          <bgColor theme="2" tint="0.79998168889431442"/>
        </patternFill>
      </fill>
    </dxf>
    <dxf>
      <font>
        <strike val="0"/>
        <outline val="0"/>
        <shadow val="0"/>
        <u val="none"/>
        <vertAlign val="baseline"/>
        <sz val="11"/>
        <color theme="8"/>
        <name val="Nunito"/>
        <family val="2"/>
        <scheme val="minor"/>
      </font>
      <numFmt numFmtId="2" formatCode="0.00"/>
      <fill>
        <patternFill patternType="solid">
          <fgColor indexed="64"/>
          <bgColor theme="2" tint="0.79998168889431442"/>
        </patternFill>
      </fill>
    </dxf>
    <dxf>
      <font>
        <strike val="0"/>
        <outline val="0"/>
        <shadow val="0"/>
        <u val="none"/>
        <vertAlign val="baseline"/>
        <sz val="11"/>
        <color theme="8"/>
        <name val="Nunito"/>
        <family val="2"/>
        <scheme val="minor"/>
      </font>
      <numFmt numFmtId="2" formatCode="0.00"/>
      <fill>
        <patternFill patternType="solid">
          <fgColor indexed="64"/>
          <bgColor theme="2" tint="0.79998168889431442"/>
        </patternFill>
      </fill>
    </dxf>
    <dxf>
      <font>
        <strike val="0"/>
        <outline val="0"/>
        <shadow val="0"/>
        <u val="none"/>
        <vertAlign val="baseline"/>
        <sz val="11"/>
        <color theme="8"/>
        <name val="Nunito"/>
        <family val="2"/>
        <scheme val="minor"/>
      </font>
      <numFmt numFmtId="2" formatCode="0.00"/>
      <fill>
        <patternFill patternType="solid">
          <fgColor indexed="64"/>
          <bgColor theme="2" tint="0.79998168889431442"/>
        </patternFill>
      </fill>
    </dxf>
    <dxf>
      <font>
        <strike val="0"/>
        <outline val="0"/>
        <shadow val="0"/>
        <u val="none"/>
        <vertAlign val="baseline"/>
        <sz val="11"/>
        <color theme="7"/>
        <name val="Nunito"/>
        <family val="2"/>
        <scheme val="minor"/>
      </font>
      <numFmt numFmtId="2" formatCode="0.00"/>
      <fill>
        <patternFill patternType="solid">
          <fgColor indexed="64"/>
          <bgColor theme="2" tint="0.79998168889431442"/>
        </patternFill>
      </fill>
    </dxf>
    <dxf>
      <fill>
        <patternFill patternType="solid">
          <fgColor indexed="64"/>
          <bgColor theme="2" tint="0.79998168889431442"/>
        </patternFill>
      </fill>
    </dxf>
    <dxf>
      <fill>
        <patternFill patternType="solid">
          <fgColor indexed="64"/>
          <bgColor theme="2" tint="0.79998168889431442"/>
        </patternFill>
      </fill>
    </dxf>
    <dxf>
      <fill>
        <patternFill patternType="solid">
          <fgColor indexed="64"/>
          <bgColor theme="2" tint="0.79998168889431442"/>
        </patternFill>
      </fill>
    </dxf>
    <dxf>
      <fill>
        <patternFill patternType="solid">
          <fgColor indexed="64"/>
          <bgColor theme="2" tint="0.79998168889431442"/>
        </patternFill>
      </fill>
    </dxf>
    <dxf>
      <fill>
        <patternFill patternType="solid">
          <fgColor indexed="64"/>
          <bgColor theme="2" tint="0.79998168889431442"/>
        </patternFill>
      </fill>
    </dxf>
    <dxf>
      <fill>
        <patternFill patternType="solid">
          <fgColor indexed="64"/>
          <bgColor theme="2" tint="0.79998168889431442"/>
        </patternFill>
      </fill>
    </dxf>
    <dxf>
      <fill>
        <patternFill patternType="solid">
          <fgColor indexed="64"/>
          <bgColor theme="2" tint="0.79998168889431442"/>
        </patternFill>
      </fill>
    </dxf>
    <dxf>
      <fill>
        <patternFill patternType="solid">
          <fgColor indexed="64"/>
          <bgColor theme="2" tint="0.79998168889431442"/>
        </patternFill>
      </fill>
    </dxf>
    <dxf>
      <fill>
        <patternFill patternType="solid">
          <fgColor indexed="64"/>
          <bgColor theme="2" tint="0.79998168889431442"/>
        </patternFill>
      </fill>
    </dxf>
    <dxf>
      <fill>
        <patternFill patternType="solid">
          <fgColor indexed="64"/>
          <bgColor theme="2" tint="0.79998168889431442"/>
        </patternFill>
      </fill>
    </dxf>
    <dxf>
      <fill>
        <patternFill patternType="solid">
          <fgColor indexed="64"/>
          <bgColor theme="2" tint="0.79998168889431442"/>
        </patternFill>
      </fill>
    </dxf>
    <dxf>
      <fill>
        <patternFill patternType="solid">
          <fgColor indexed="64"/>
          <bgColor theme="2" tint="0.79998168889431442"/>
        </patternFill>
      </fill>
    </dxf>
    <dxf>
      <font>
        <strike val="0"/>
        <outline val="0"/>
        <shadow val="0"/>
        <u val="none"/>
        <vertAlign val="baseline"/>
        <sz val="11"/>
        <color theme="8"/>
        <name val="Nunito"/>
        <family val="2"/>
        <scheme val="minor"/>
      </font>
      <numFmt numFmtId="174" formatCode="0.000"/>
      <fill>
        <patternFill patternType="solid">
          <fgColor indexed="64"/>
          <bgColor theme="2"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174" formatCode="0.000"/>
      <fill>
        <patternFill patternType="solid">
          <fgColor indexed="64"/>
          <bgColor theme="2" tint="0.79998168889431442"/>
        </patternFill>
      </fill>
      <alignment horizontal="right" vertical="bottom" textRotation="0" wrapText="0" indent="0" justifyLastLine="0" shrinkToFit="0" readingOrder="0"/>
    </dxf>
    <dxf>
      <font>
        <strike val="0"/>
        <outline val="0"/>
        <shadow val="0"/>
        <u val="none"/>
        <vertAlign val="baseline"/>
        <sz val="11"/>
        <color theme="7"/>
        <name val="Nunito"/>
        <family val="2"/>
        <scheme val="minor"/>
      </font>
      <numFmt numFmtId="0" formatCode="General"/>
      <fill>
        <patternFill patternType="solid">
          <fgColor indexed="64"/>
          <bgColor theme="2" tint="0.79998168889431442"/>
        </patternFill>
      </fill>
      <alignment horizontal="center" vertical="bottom" textRotation="0" wrapText="0" indent="0" justifyLastLine="0" shrinkToFit="0" readingOrder="0"/>
    </dxf>
    <dxf>
      <numFmt numFmtId="0" formatCode="General"/>
      <fill>
        <patternFill patternType="solid">
          <fgColor indexed="64"/>
          <bgColor theme="2" tint="0.79998168889431442"/>
        </patternFill>
      </fill>
      <alignment horizontal="left" vertical="bottom" textRotation="0" wrapText="0" indent="0" justifyLastLine="0" shrinkToFit="0" readingOrder="0"/>
    </dxf>
    <dxf>
      <font>
        <color auto="1"/>
      </font>
      <fill>
        <patternFill patternType="solid">
          <fgColor indexed="64"/>
          <bgColor theme="2" tint="0.79998168889431442"/>
        </patternFill>
      </fill>
      <alignment horizontal="left" vertical="bottom" textRotation="0" wrapText="0" indent="0" justifyLastLine="0" shrinkToFit="0" readingOrder="0"/>
    </dxf>
    <dxf>
      <fill>
        <patternFill patternType="solid">
          <fgColor indexed="64"/>
          <bgColor theme="2"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Nunito"/>
        <family val="2"/>
        <scheme val="minor"/>
      </font>
      <fill>
        <patternFill patternType="solid">
          <fgColor indexed="64"/>
          <bgColor theme="2"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Nunito"/>
        <family val="2"/>
        <scheme val="minor"/>
      </font>
      <fill>
        <patternFill patternType="solid">
          <fgColor indexed="64"/>
          <bgColor theme="2"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Nunito"/>
        <family val="2"/>
        <scheme val="minor"/>
      </font>
      <fill>
        <patternFill patternType="solid">
          <fgColor indexed="64"/>
          <bgColor theme="2" tint="0.79998168889431442"/>
        </patternFill>
      </fill>
      <alignment horizontal="left" vertical="bottom" textRotation="0" wrapText="0" indent="0" justifyLastLine="0" shrinkToFit="0" readingOrder="0"/>
    </dxf>
    <dxf>
      <border outline="0">
        <bottom style="medium">
          <color theme="1"/>
        </bottom>
      </border>
    </dxf>
    <dxf>
      <font>
        <b/>
        <i val="0"/>
        <strike val="0"/>
        <condense val="0"/>
        <extend val="0"/>
        <outline val="0"/>
        <shadow val="0"/>
        <u val="none"/>
        <vertAlign val="baseline"/>
        <sz val="11"/>
        <color theme="0"/>
        <name val="Nunito"/>
        <family val="2"/>
        <scheme val="minor"/>
      </font>
      <fill>
        <patternFill patternType="solid">
          <fgColor theme="4"/>
          <bgColor theme="4"/>
        </patternFill>
      </fill>
      <alignment horizontal="center" vertical="center" textRotation="0" indent="0" justifyLastLine="0" shrinkToFit="0" readingOrder="0"/>
    </dxf>
    <dxf>
      <font>
        <strike val="0"/>
        <outline val="0"/>
        <shadow val="0"/>
        <u val="none"/>
        <vertAlign val="baseline"/>
        <sz val="11"/>
        <color theme="8"/>
        <name val="Nunito"/>
        <family val="2"/>
        <scheme val="minor"/>
      </font>
      <numFmt numFmtId="2" formatCode="0.00"/>
      <fill>
        <patternFill>
          <bgColor theme="6" tint="0.79998168889431442"/>
        </patternFill>
      </fill>
    </dxf>
    <dxf>
      <font>
        <strike val="0"/>
        <outline val="0"/>
        <shadow val="0"/>
        <u val="none"/>
        <vertAlign val="baseline"/>
        <sz val="11"/>
        <color theme="8"/>
        <name val="Nunito"/>
        <family val="2"/>
        <scheme val="minor"/>
      </font>
      <numFmt numFmtId="164" formatCode="&quot;€&quot;\ #,##0"/>
      <fill>
        <patternFill>
          <bgColor theme="6" tint="0.79998168889431442"/>
        </patternFill>
      </fill>
    </dxf>
    <dxf>
      <font>
        <strike val="0"/>
        <outline val="0"/>
        <shadow val="0"/>
        <u val="none"/>
        <vertAlign val="baseline"/>
        <sz val="11"/>
        <color theme="8"/>
        <name val="Nunito"/>
        <family val="2"/>
        <scheme val="minor"/>
      </font>
      <numFmt numFmtId="164" formatCode="&quot;€&quot;\ #,##0"/>
      <fill>
        <patternFill>
          <bgColor theme="6" tint="0.79998168889431442"/>
        </patternFill>
      </fill>
    </dxf>
    <dxf>
      <fill>
        <patternFill>
          <bgColor theme="6" tint="0.79998168889431442"/>
        </patternFill>
      </fill>
    </dxf>
    <dxf>
      <fill>
        <patternFill>
          <bgColor theme="6" tint="0.79998168889431442"/>
        </patternFill>
      </fill>
    </dxf>
    <dxf>
      <fill>
        <patternFill>
          <fgColor indexed="64"/>
          <bgColor theme="4"/>
        </patternFill>
      </fill>
      <alignment horizontal="center" vertical="center" textRotation="0" wrapText="0" indent="0" justifyLastLine="0" shrinkToFit="0" readingOrder="0"/>
    </dxf>
    <dxf>
      <font>
        <strike val="0"/>
        <outline val="0"/>
        <shadow val="0"/>
        <u val="none"/>
        <vertAlign val="baseline"/>
        <sz val="11"/>
        <color theme="8"/>
        <name val="Nunito"/>
        <family val="2"/>
        <scheme val="minor"/>
      </font>
      <numFmt numFmtId="2" formatCode="0.00"/>
      <fill>
        <patternFill>
          <bgColor theme="6" tint="0.79998168889431442"/>
        </patternFill>
      </fill>
    </dxf>
    <dxf>
      <font>
        <strike val="0"/>
        <outline val="0"/>
        <shadow val="0"/>
        <u val="none"/>
        <vertAlign val="baseline"/>
        <sz val="11"/>
        <color theme="8"/>
        <name val="Nunito"/>
        <family val="2"/>
        <scheme val="minor"/>
      </font>
      <numFmt numFmtId="164" formatCode="&quot;€&quot;\ #,##0"/>
      <fill>
        <patternFill>
          <bgColor theme="6" tint="0.79998168889431442"/>
        </patternFill>
      </fill>
    </dxf>
    <dxf>
      <font>
        <strike val="0"/>
        <outline val="0"/>
        <shadow val="0"/>
        <u val="none"/>
        <vertAlign val="baseline"/>
        <sz val="11"/>
        <color theme="8"/>
        <name val="Nunito"/>
        <family val="2"/>
        <scheme val="minor"/>
      </font>
      <numFmt numFmtId="164" formatCode="&quot;€&quot;\ #,##0"/>
      <fill>
        <patternFill>
          <bgColor theme="6" tint="0.79998168889431442"/>
        </patternFill>
      </fill>
    </dxf>
    <dxf>
      <fill>
        <patternFill>
          <bgColor theme="6" tint="0.79998168889431442"/>
        </patternFill>
      </fill>
    </dxf>
    <dxf>
      <fill>
        <patternFill>
          <bgColor theme="6" tint="0.79998168889431442"/>
        </patternFill>
      </fill>
    </dxf>
    <dxf>
      <fill>
        <patternFill>
          <fgColor indexed="6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textRotation="0" wrapText="0" indent="0" justifyLastLine="0" shrinkToFit="0" readingOrder="0"/>
    </dxf>
    <dxf>
      <font>
        <b val="0"/>
        <i val="0"/>
        <strike val="0"/>
        <condense val="0"/>
        <extend val="0"/>
        <outline val="0"/>
        <shadow val="0"/>
        <u val="none"/>
        <vertAlign val="baseline"/>
        <sz val="11"/>
        <color theme="8"/>
        <name val="Nunito"/>
        <scheme val="minor"/>
      </font>
      <numFmt numFmtId="164" formatCode="&quot;€&quot;\ #,##0"/>
      <fill>
        <patternFill patternType="solid">
          <fgColor indexed="64"/>
          <bgColor theme="6" tint="0.79998168889431442"/>
        </patternFill>
      </fill>
      <alignment horizontal="right" textRotation="0" wrapText="0" indent="0" justifyLastLine="0" shrinkToFit="0" readingOrder="0"/>
    </dxf>
    <dxf>
      <font>
        <b val="0"/>
        <i val="0"/>
        <strike val="0"/>
        <condense val="0"/>
        <extend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textRotation="0" wrapText="0" indent="0" justifyLastLine="0" shrinkToFit="0" readingOrder="0"/>
    </dxf>
    <dxf>
      <font>
        <b val="0"/>
        <i val="0"/>
        <strike val="0"/>
        <condense val="0"/>
        <extend val="0"/>
        <outline val="0"/>
        <shadow val="0"/>
        <u val="none"/>
        <vertAlign val="baseline"/>
        <sz val="11"/>
        <color theme="8"/>
        <name val="Nunito"/>
        <family val="2"/>
        <scheme val="minor"/>
      </font>
      <numFmt numFmtId="3" formatCode="#,##0"/>
      <fill>
        <patternFill patternType="solid">
          <fgColor indexed="64"/>
          <bgColor theme="6" tint="0.79998168889431442"/>
        </patternFill>
      </fill>
      <alignment horizontal="right" vertical="bottom" textRotation="0" wrapText="0" indent="0" justifyLastLine="0" shrinkToFit="0" readingOrder="0"/>
    </dxf>
    <dxf>
      <font>
        <b val="0"/>
        <strike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8"/>
        <name val="Nunito"/>
        <family val="2"/>
        <scheme val="minor"/>
      </font>
      <numFmt numFmtId="3" formatCode="#,##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3" formatCode="#,##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3" formatCode="#,##0"/>
      <fill>
        <patternFill patternType="solid">
          <fgColor indexed="64"/>
          <bgColor theme="6" tint="0.79998168889431442"/>
        </patternFill>
      </fill>
      <alignment horizontal="right" vertical="bottom" textRotation="0" wrapText="0" indent="0" justifyLastLine="0" shrinkToFit="0" readingOrder="0"/>
    </dxf>
    <dxf>
      <fill>
        <patternFill patternType="solid">
          <fgColor indexed="64"/>
          <bgColor theme="6" tint="0.79998168889431442"/>
        </patternFill>
      </fill>
      <alignment horizontal="left" textRotation="0" wrapText="0" indent="0" justifyLastLine="0" shrinkToFit="0" readingOrder="0"/>
    </dxf>
    <dxf>
      <fill>
        <patternFill patternType="solid">
          <fgColor rgb="FF000000"/>
          <bgColor theme="6" tint="0.79998168889431442"/>
        </patternFill>
      </fill>
    </dxf>
    <dxf>
      <fill>
        <patternFill patternType="solid">
          <fgColor rgb="FF000000"/>
          <bgColor theme="0" tint="-4.9989318521683403E-2"/>
        </patternFill>
      </fill>
    </dxf>
    <dxf>
      <fill>
        <patternFill patternType="solid">
          <fgColor indexed="64"/>
          <bgColor theme="4"/>
        </patternFill>
      </fill>
      <alignment horizontal="center" vertical="center" textRotation="0" indent="0" justifyLastLine="0" shrinkToFit="0" readingOrder="0"/>
    </dxf>
    <dxf>
      <font>
        <b/>
        <i val="0"/>
        <strike val="0"/>
        <condense val="0"/>
        <extend val="0"/>
        <outline val="0"/>
        <shadow val="0"/>
        <u val="none"/>
        <vertAlign val="baseline"/>
        <sz val="11"/>
        <color theme="8"/>
        <name val="Nunito"/>
        <family val="2"/>
        <scheme val="minor"/>
      </font>
      <fill>
        <patternFill patternType="solid">
          <fgColor indexed="64"/>
          <bgColor theme="0" tint="-4.9989318521683403E-2"/>
        </patternFill>
      </fill>
      <border diagonalUp="0" diagonalDown="0">
        <left/>
        <right style="medium">
          <color indexed="64"/>
        </right>
        <top/>
        <bottom/>
      </border>
    </dxf>
    <dxf>
      <font>
        <b val="0"/>
        <i val="0"/>
        <strike val="0"/>
        <condense val="0"/>
        <extend val="0"/>
        <outline val="0"/>
        <shadow val="0"/>
        <u val="none"/>
        <vertAlign val="baseline"/>
        <sz val="11"/>
        <color theme="8"/>
        <name val="Nunito"/>
        <family val="2"/>
        <scheme val="minor"/>
      </font>
      <numFmt numFmtId="164" formatCode="&quot;€&quot;\ #,##0"/>
      <fill>
        <patternFill>
          <fgColor indexed="64"/>
          <bgColor theme="6" tint="0.79998168889431442"/>
        </patternFill>
      </fill>
    </dxf>
    <dxf>
      <font>
        <b/>
        <i val="0"/>
        <strike val="0"/>
        <condense val="0"/>
        <extend val="0"/>
        <outline val="0"/>
        <shadow val="0"/>
        <u val="none"/>
        <vertAlign val="baseline"/>
        <sz val="11"/>
        <color theme="8"/>
        <name val="Nunito"/>
        <family val="2"/>
        <scheme val="minor"/>
      </font>
      <fill>
        <patternFill patternType="solid">
          <fgColor indexed="64"/>
          <bgColor theme="0" tint="-4.9989318521683403E-2"/>
        </patternFill>
      </fill>
      <border diagonalUp="0" diagonalDown="0">
        <left/>
        <right style="medium">
          <color indexed="64"/>
        </right>
        <top/>
        <bottom/>
      </border>
    </dxf>
    <dxf>
      <font>
        <b val="0"/>
        <i val="0"/>
        <strike val="0"/>
        <condense val="0"/>
        <extend val="0"/>
        <outline val="0"/>
        <shadow val="0"/>
        <u val="none"/>
        <vertAlign val="baseline"/>
        <sz val="11"/>
        <color theme="8"/>
        <name val="Nunito"/>
        <family val="2"/>
        <scheme val="minor"/>
      </font>
      <numFmt numFmtId="164" formatCode="&quot;€&quot;\ #,##0"/>
      <fill>
        <patternFill>
          <fgColor indexed="64"/>
          <bgColor theme="6" tint="0.79998168889431442"/>
        </patternFill>
      </fill>
    </dxf>
    <dxf>
      <font>
        <b/>
        <i val="0"/>
        <strike val="0"/>
        <condense val="0"/>
        <extend val="0"/>
        <outline val="0"/>
        <shadow val="0"/>
        <u val="none"/>
        <vertAlign val="baseline"/>
        <sz val="11"/>
        <color theme="8"/>
        <name val="Nunito"/>
        <family val="2"/>
        <scheme val="minor"/>
      </font>
      <fill>
        <patternFill patternType="solid">
          <fgColor indexed="64"/>
          <bgColor theme="0" tint="-4.9989318521683403E-2"/>
        </patternFill>
      </fill>
      <border diagonalUp="0" diagonalDown="0">
        <left/>
        <right style="medium">
          <color indexed="64"/>
        </right>
        <top/>
        <bottom/>
      </border>
    </dxf>
    <dxf>
      <font>
        <b val="0"/>
        <i val="0"/>
        <strike val="0"/>
        <condense val="0"/>
        <extend val="0"/>
        <outline val="0"/>
        <shadow val="0"/>
        <u val="none"/>
        <vertAlign val="baseline"/>
        <sz val="11"/>
        <color theme="8"/>
        <name val="Nunito"/>
        <family val="2"/>
        <scheme val="minor"/>
      </font>
      <numFmt numFmtId="164" formatCode="&quot;€&quot;\ #,##0"/>
      <fill>
        <patternFill>
          <fgColor indexed="64"/>
          <bgColor theme="6" tint="0.79998168889431442"/>
        </patternFill>
      </fill>
    </dxf>
    <dxf>
      <font>
        <b/>
        <i val="0"/>
        <strike val="0"/>
        <condense val="0"/>
        <extend val="0"/>
        <outline val="0"/>
        <shadow val="0"/>
        <u val="none"/>
        <vertAlign val="baseline"/>
        <sz val="11"/>
        <color theme="8"/>
        <name val="Nunito"/>
        <family val="2"/>
        <scheme val="minor"/>
      </font>
      <fill>
        <patternFill patternType="solid">
          <fgColor indexed="64"/>
          <bgColor theme="0" tint="-4.9989318521683403E-2"/>
        </patternFill>
      </fill>
      <border diagonalUp="0" diagonalDown="0">
        <left/>
        <right style="medium">
          <color indexed="64"/>
        </right>
        <top/>
        <bottom/>
      </border>
    </dxf>
    <dxf>
      <font>
        <b val="0"/>
        <i val="0"/>
        <strike val="0"/>
        <condense val="0"/>
        <extend val="0"/>
        <outline val="0"/>
        <shadow val="0"/>
        <u val="none"/>
        <vertAlign val="baseline"/>
        <sz val="11"/>
        <color theme="8"/>
        <name val="Nunito"/>
        <family val="2"/>
        <scheme val="minor"/>
      </font>
      <numFmt numFmtId="164" formatCode="&quot;€&quot;\ #,##0"/>
      <fill>
        <patternFill>
          <fgColor indexed="64"/>
          <bgColor theme="6" tint="0.79998168889431442"/>
        </patternFill>
      </fill>
    </dxf>
    <dxf>
      <font>
        <b/>
        <i val="0"/>
        <strike val="0"/>
        <condense val="0"/>
        <extend val="0"/>
        <outline val="0"/>
        <shadow val="0"/>
        <u val="none"/>
        <vertAlign val="baseline"/>
        <sz val="11"/>
        <color theme="8"/>
        <name val="Nunito"/>
        <family val="2"/>
        <scheme val="minor"/>
      </font>
      <fill>
        <patternFill patternType="solid">
          <fgColor indexed="64"/>
          <bgColor theme="0" tint="-4.9989318521683403E-2"/>
        </patternFill>
      </fill>
      <border diagonalUp="0" diagonalDown="0">
        <left/>
        <right style="medium">
          <color indexed="64"/>
        </right>
        <top/>
        <bottom/>
      </border>
    </dxf>
    <dxf>
      <font>
        <b val="0"/>
        <i val="0"/>
        <strike val="0"/>
        <condense val="0"/>
        <extend val="0"/>
        <outline val="0"/>
        <shadow val="0"/>
        <u val="none"/>
        <vertAlign val="baseline"/>
        <sz val="11"/>
        <color theme="1"/>
        <name val="Nunito"/>
        <family val="2"/>
        <scheme val="minor"/>
      </font>
      <fill>
        <patternFill patternType="solid">
          <fgColor indexed="64"/>
          <bgColor theme="6"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1"/>
        <color theme="8"/>
        <name val="Nunito"/>
        <family val="2"/>
        <scheme val="minor"/>
      </font>
      <fill>
        <patternFill patternType="solid">
          <fgColor indexed="64"/>
          <bgColor theme="0" tint="-4.9989318521683403E-2"/>
        </patternFill>
      </fill>
      <border diagonalUp="0" diagonalDown="0">
        <left/>
        <right style="medium">
          <color indexed="64"/>
        </right>
        <top/>
        <bottom/>
      </border>
    </dxf>
    <dxf>
      <font>
        <b val="0"/>
        <i val="0"/>
        <strike val="0"/>
        <condense val="0"/>
        <extend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textRotation="0" wrapText="0" indent="0" justifyLastLine="0" shrinkToFit="0" readingOrder="0"/>
    </dxf>
    <dxf>
      <font>
        <b/>
        <i val="0"/>
        <strike val="0"/>
        <condense val="0"/>
        <extend val="0"/>
        <outline val="0"/>
        <shadow val="0"/>
        <u val="none"/>
        <vertAlign val="baseline"/>
        <sz val="11"/>
        <color theme="8"/>
        <name val="Nunito"/>
        <family val="2"/>
        <scheme val="minor"/>
      </font>
      <fill>
        <patternFill patternType="solid">
          <fgColor indexed="64"/>
          <bgColor theme="0" tint="-4.9989318521683403E-2"/>
        </patternFill>
      </fill>
      <border diagonalUp="0" diagonalDown="0">
        <left/>
        <right style="medium">
          <color indexed="64"/>
        </right>
        <top/>
        <bottom/>
      </border>
    </dxf>
    <dxf>
      <font>
        <b val="0"/>
        <i val="0"/>
        <strike val="0"/>
        <condense val="0"/>
        <extend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textRotation="0" wrapText="0" indent="0" justifyLastLine="0" shrinkToFit="0" readingOrder="0"/>
    </dxf>
    <dxf>
      <font>
        <b/>
        <i val="0"/>
        <strike val="0"/>
        <condense val="0"/>
        <extend val="0"/>
        <outline val="0"/>
        <shadow val="0"/>
        <u val="none"/>
        <vertAlign val="baseline"/>
        <sz val="11"/>
        <color theme="8"/>
        <name val="Nunito"/>
        <family val="2"/>
        <scheme val="minor"/>
      </font>
      <fill>
        <patternFill patternType="solid">
          <fgColor indexed="64"/>
          <bgColor theme="0" tint="-4.9989318521683403E-2"/>
        </patternFill>
      </fill>
      <border diagonalUp="0" diagonalDown="0">
        <left/>
        <right style="medium">
          <color indexed="64"/>
        </right>
        <top/>
        <bottom/>
      </border>
    </dxf>
    <dxf>
      <font>
        <b val="0"/>
        <i val="0"/>
        <strike val="0"/>
        <condense val="0"/>
        <extend val="0"/>
        <outline val="0"/>
        <shadow val="0"/>
        <u val="none"/>
        <vertAlign val="baseline"/>
        <sz val="11"/>
        <color theme="1"/>
        <name val="Nunito"/>
        <family val="2"/>
        <scheme val="minor"/>
      </font>
      <numFmt numFmtId="164" formatCode="&quot;€&quot;\ #,##0"/>
      <fill>
        <patternFill patternType="solid">
          <fgColor indexed="64"/>
          <bgColor theme="9" tint="0.79998168889431442"/>
        </patternFill>
      </fill>
      <alignment horizontal="center" textRotation="0" wrapText="0" indent="0" justifyLastLine="0" shrinkToFit="0" readingOrder="0"/>
    </dxf>
    <dxf>
      <font>
        <b/>
        <i val="0"/>
        <strike val="0"/>
        <condense val="0"/>
        <extend val="0"/>
        <outline val="0"/>
        <shadow val="0"/>
        <u val="none"/>
        <vertAlign val="baseline"/>
        <sz val="11"/>
        <color theme="8"/>
        <name val="Nunito"/>
        <family val="2"/>
        <scheme val="minor"/>
      </font>
      <fill>
        <patternFill patternType="solid">
          <fgColor indexed="64"/>
          <bgColor theme="0" tint="-4.9989318521683403E-2"/>
        </patternFill>
      </fill>
      <border diagonalUp="0" diagonalDown="0">
        <left/>
        <right style="medium">
          <color indexed="64"/>
        </right>
        <top/>
        <bottom/>
      </border>
    </dxf>
    <dxf>
      <font>
        <b val="0"/>
        <i val="0"/>
        <strike val="0"/>
        <condense val="0"/>
        <extend val="0"/>
        <outline val="0"/>
        <shadow val="0"/>
        <u val="none"/>
        <vertAlign val="baseline"/>
        <sz val="11"/>
        <color theme="1"/>
        <name val="Nunito"/>
        <family val="2"/>
        <scheme val="minor"/>
      </font>
      <numFmt numFmtId="164" formatCode="&quot;€&quot;\ #,##0"/>
      <fill>
        <patternFill patternType="solid">
          <fgColor indexed="64"/>
          <bgColor theme="9" tint="0.79998168889431442"/>
        </patternFill>
      </fill>
      <alignment horizontal="center" textRotation="0" wrapText="0" indent="0" justifyLastLine="0" shrinkToFit="0" readingOrder="0"/>
    </dxf>
    <dxf>
      <font>
        <b/>
        <i val="0"/>
        <strike val="0"/>
        <condense val="0"/>
        <extend val="0"/>
        <outline val="0"/>
        <shadow val="0"/>
        <u val="none"/>
        <vertAlign val="baseline"/>
        <sz val="11"/>
        <color theme="8"/>
        <name val="Nunito"/>
        <family val="2"/>
        <scheme val="minor"/>
      </font>
      <numFmt numFmtId="164" formatCode="&quot;€&quot;\ #,##0"/>
      <fill>
        <patternFill patternType="solid">
          <fgColor indexed="64"/>
          <bgColor theme="0" tint="-4.9989318521683403E-2"/>
        </patternFill>
      </fill>
      <border diagonalUp="0" diagonalDown="0" outline="0">
        <left/>
        <right style="medium">
          <color indexed="64"/>
        </right>
        <top/>
        <bottom/>
      </border>
    </dxf>
    <dxf>
      <font>
        <b val="0"/>
        <i val="0"/>
        <strike val="0"/>
        <condense val="0"/>
        <extend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textRotation="0" wrapText="0" indent="0" justifyLastLine="0" shrinkToFit="0" readingOrder="0"/>
    </dxf>
    <dxf>
      <font>
        <b val="0"/>
        <i val="0"/>
        <strike val="0"/>
        <condense val="0"/>
        <extend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textRotation="0" wrapText="0" indent="0" justifyLastLine="0" shrinkToFit="0" readingOrder="0"/>
    </dxf>
    <dxf>
      <font>
        <b/>
        <i val="0"/>
        <strike val="0"/>
        <condense val="0"/>
        <extend val="0"/>
        <outline val="0"/>
        <shadow val="0"/>
        <u val="none"/>
        <vertAlign val="baseline"/>
        <sz val="11"/>
        <color theme="8"/>
        <name val="Nunito"/>
        <family val="2"/>
        <scheme val="minor"/>
      </font>
      <numFmt numFmtId="164" formatCode="&quot;€&quot;\ #,##0"/>
      <fill>
        <patternFill patternType="solid">
          <fgColor indexed="64"/>
          <bgColor theme="0" tint="-4.9989318521683403E-2"/>
        </patternFill>
      </fill>
      <border diagonalUp="0" diagonalDown="0" outline="0">
        <left/>
        <right style="medium">
          <color indexed="64"/>
        </right>
        <top/>
        <bottom/>
      </border>
    </dxf>
    <dxf>
      <font>
        <b val="0"/>
        <i val="0"/>
        <strike val="0"/>
        <condense val="0"/>
        <extend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textRotation="0" wrapText="0" indent="0" justifyLastLine="0" shrinkToFit="0" readingOrder="0"/>
    </dxf>
    <dxf>
      <font>
        <b/>
        <i val="0"/>
        <strike val="0"/>
        <condense val="0"/>
        <extend val="0"/>
        <outline val="0"/>
        <shadow val="0"/>
        <u val="none"/>
        <vertAlign val="baseline"/>
        <sz val="11"/>
        <color theme="8"/>
        <name val="Nunito"/>
        <family val="2"/>
        <scheme val="minor"/>
      </font>
      <numFmt numFmtId="164" formatCode="&quot;€&quot;\ #,##0"/>
      <fill>
        <patternFill patternType="solid">
          <fgColor indexed="64"/>
          <bgColor theme="0" tint="-4.9989318521683403E-2"/>
        </patternFill>
      </fill>
      <border diagonalUp="0" diagonalDown="0" outline="0">
        <left/>
        <right style="medium">
          <color indexed="64"/>
        </right>
        <top/>
        <bottom/>
      </border>
    </dxf>
    <dxf>
      <font>
        <b val="0"/>
        <i val="0"/>
        <strike val="0"/>
        <condense val="0"/>
        <extend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textRotation="0" wrapText="0" indent="0" justifyLastLine="0" shrinkToFit="0" readingOrder="0"/>
    </dxf>
    <dxf>
      <font>
        <b/>
        <i val="0"/>
        <strike val="0"/>
        <condense val="0"/>
        <extend val="0"/>
        <outline val="0"/>
        <shadow val="0"/>
        <u val="none"/>
        <vertAlign val="baseline"/>
        <sz val="11"/>
        <color theme="8"/>
        <name val="Nunito"/>
        <scheme val="minor"/>
      </font>
      <numFmt numFmtId="164" formatCode="&quot;€&quot;\ #,##0"/>
      <fill>
        <patternFill patternType="solid">
          <fgColor indexed="64"/>
          <bgColor theme="0" tint="-4.9989318521683403E-2"/>
        </patternFill>
      </fill>
    </dxf>
    <dxf>
      <font>
        <b val="0"/>
        <i val="0"/>
        <strike val="0"/>
        <condense val="0"/>
        <extend val="0"/>
        <outline val="0"/>
        <shadow val="0"/>
        <u val="none"/>
        <vertAlign val="baseline"/>
        <sz val="11"/>
        <color theme="8"/>
        <name val="Nunito"/>
        <scheme val="minor"/>
      </font>
      <numFmt numFmtId="164" formatCode="&quot;€&quot;\ #,##0"/>
      <fill>
        <patternFill>
          <fgColor indexed="64"/>
          <bgColor theme="6" tint="0.79998168889431442"/>
        </patternFill>
      </fill>
      <alignment horizontal="right" textRotation="0" wrapText="0" indent="0" justifyLastLine="0" shrinkToFit="0" readingOrder="0"/>
    </dxf>
    <dxf>
      <font>
        <b val="0"/>
        <i val="0"/>
        <strike val="0"/>
        <condense val="0"/>
        <extend val="0"/>
        <outline val="0"/>
        <shadow val="0"/>
        <u val="none"/>
        <vertAlign val="baseline"/>
        <sz val="11"/>
        <color theme="8"/>
        <name val="Nunito"/>
        <family val="2"/>
        <scheme val="minor"/>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11"/>
        <color theme="8"/>
        <name val="Nunito"/>
        <family val="2"/>
        <scheme val="minor"/>
      </font>
      <numFmt numFmtId="3" formatCode="#,##0"/>
      <fill>
        <patternFill patternType="solid">
          <fgColor indexed="64"/>
          <bgColor theme="6"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8"/>
        <name val="Nunito"/>
        <family val="2"/>
        <scheme val="minor"/>
      </font>
      <numFmt numFmtId="3" formatCode="#,##0"/>
      <fill>
        <patternFill patternType="solid">
          <fgColor indexed="64"/>
          <bgColor theme="6"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8"/>
        <name val="Nunito"/>
        <family val="2"/>
        <scheme val="minor"/>
      </font>
      <numFmt numFmtId="3" formatCode="#,##0"/>
      <fill>
        <patternFill patternType="solid">
          <fgColor indexed="64"/>
          <bgColor theme="6"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7"/>
        <name val="Nunito"/>
        <family val="2"/>
        <scheme val="minor"/>
      </font>
      <numFmt numFmtId="3" formatCode="#,##0"/>
      <fill>
        <patternFill patternType="solid">
          <fgColor indexed="64"/>
          <bgColor theme="6"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Nunito"/>
        <family val="2"/>
        <scheme val="minor"/>
      </font>
      <fill>
        <patternFill patternType="solid">
          <fgColor indexed="64"/>
          <bgColor theme="0" tint="-4.9989318521683403E-2"/>
        </patternFill>
      </fill>
      <alignment horizontal="center" vertical="bottom" textRotation="0" wrapText="0" indent="0" justifyLastLine="0" shrinkToFit="0" readingOrder="0"/>
    </dxf>
    <dxf>
      <font>
        <strike val="0"/>
        <outline val="0"/>
        <shadow val="0"/>
        <u val="none"/>
        <vertAlign val="baseline"/>
        <sz val="11"/>
        <color theme="7"/>
        <name val="Nunito"/>
        <family val="2"/>
        <scheme val="minor"/>
      </font>
      <numFmt numFmtId="169" formatCode="&quot;€&quot;\ #,##0.00"/>
      <fill>
        <patternFill>
          <fgColor indexed="64"/>
          <bgColor theme="6" tint="0.79998168889431442"/>
        </patternFill>
      </fill>
      <alignment horizontal="right" vertical="bottom" textRotation="0" wrapText="0" indent="0" justifyLastLine="0" shrinkToFit="0" readingOrder="0"/>
    </dxf>
    <dxf>
      <fill>
        <patternFill patternType="solid">
          <fgColor indexed="64"/>
          <bgColor theme="0" tint="-4.9989318521683403E-2"/>
        </patternFill>
      </fill>
      <alignment horizontal="center" vertical="bottom" textRotation="0" wrapText="0" indent="0" justifyLastLine="0" shrinkToFit="0" readingOrder="0"/>
    </dxf>
    <dxf>
      <fill>
        <patternFill patternType="solid">
          <fgColor indexed="64"/>
          <bgColor theme="6" tint="0.79998168889431442"/>
        </patternFill>
      </fill>
      <alignment horizontal="left" vertical="bottom" textRotation="0" wrapText="0" indent="0" justifyLastLine="0" shrinkToFit="0" readingOrder="0"/>
    </dxf>
    <dxf>
      <fill>
        <patternFill patternType="solid">
          <fgColor indexed="64"/>
          <bgColor theme="0" tint="-4.9989318521683403E-2"/>
        </patternFill>
      </fill>
      <alignment horizontal="center" vertical="bottom" textRotation="0" wrapText="0" indent="0" justifyLastLine="0" shrinkToFit="0" readingOrder="0"/>
    </dxf>
    <dxf>
      <fill>
        <patternFill>
          <fgColor indexed="64"/>
          <bgColor theme="6" tint="0.79998168889431442"/>
        </patternFill>
      </fill>
      <alignment horizontal="left" vertical="bottom" textRotation="0" wrapText="0" indent="0" justifyLastLine="0" shrinkToFit="0" readingOrder="0"/>
    </dxf>
    <dxf>
      <fill>
        <patternFill patternType="solid">
          <fgColor indexed="64"/>
          <bgColor theme="0" tint="-4.9989318521683403E-2"/>
        </patternFill>
      </fill>
      <alignment horizontal="center" vertical="bottom" textRotation="0" wrapText="0" indent="0" justifyLastLine="0" shrinkToFit="0" readingOrder="0"/>
    </dxf>
    <dxf>
      <numFmt numFmtId="0" formatCode="General"/>
      <fill>
        <patternFill patternType="solid">
          <fgColor indexed="64"/>
          <bgColor theme="6" tint="0.79998168889431442"/>
        </patternFill>
      </fill>
      <alignment horizontal="left" vertical="bottom" textRotation="0" wrapText="0" indent="0" justifyLastLine="0" shrinkToFit="0" readingOrder="0"/>
    </dxf>
    <dxf>
      <fill>
        <patternFill patternType="solid">
          <fgColor indexed="64"/>
          <bgColor theme="0" tint="-4.9989318521683403E-2"/>
        </patternFill>
      </fill>
      <alignment horizontal="center" vertical="bottom" textRotation="0" wrapText="0" indent="0" justifyLastLine="0" shrinkToFit="0" readingOrder="0"/>
    </dxf>
    <dxf>
      <font>
        <strike val="0"/>
        <outline val="0"/>
        <shadow val="0"/>
        <u val="none"/>
        <vertAlign val="baseline"/>
        <sz val="11"/>
        <color theme="7"/>
        <name val="Nunito"/>
        <family val="2"/>
        <scheme val="minor"/>
      </font>
      <fill>
        <patternFill patternType="solid">
          <fgColor indexed="64"/>
          <bgColor theme="6" tint="0.79998168889431442"/>
        </patternFill>
      </fill>
      <alignment horizontal="right" vertical="bottom" textRotation="0" wrapText="0" indent="0" justifyLastLine="0" shrinkToFit="0" readingOrder="0"/>
    </dxf>
    <dxf>
      <fill>
        <patternFill patternType="solid">
          <fgColor indexed="64"/>
          <bgColor theme="0" tint="-4.9989318521683403E-2"/>
        </patternFill>
      </fill>
      <alignment horizontal="center" vertical="bottom" textRotation="0" wrapText="0" indent="0" justifyLastLine="0" shrinkToFit="0" readingOrder="0"/>
    </dxf>
    <dxf>
      <fill>
        <patternFill patternType="solid">
          <fgColor indexed="64"/>
          <bgColor theme="6" tint="0.79998168889431442"/>
        </patternFill>
      </fill>
      <alignment horizontal="left" vertical="bottom" textRotation="0" wrapText="0" indent="0" justifyLastLine="0" shrinkToFit="0" readingOrder="0"/>
    </dxf>
    <dxf>
      <fill>
        <patternFill patternType="solid">
          <fgColor indexed="64"/>
          <bgColor theme="0" tint="-4.9989318521683403E-2"/>
        </patternFill>
      </fill>
      <alignment horizontal="center" vertical="bottom" textRotation="0" wrapText="0" indent="0" justifyLastLine="0" shrinkToFit="0" readingOrder="0"/>
    </dxf>
    <dxf>
      <fill>
        <patternFill patternType="solid">
          <fgColor indexed="64"/>
          <bgColor theme="6" tint="0.79998168889431442"/>
        </patternFill>
      </fill>
      <alignment horizontal="left" vertical="bottom" textRotation="0" wrapText="0" indent="0" justifyLastLine="0" shrinkToFit="0" readingOrder="0"/>
    </dxf>
    <dxf>
      <fill>
        <patternFill patternType="solid">
          <fgColor indexed="64"/>
          <bgColor theme="0" tint="-4.9989318521683403E-2"/>
        </patternFill>
      </fill>
      <alignment horizontal="center" vertical="bottom" textRotation="0" wrapText="0" indent="0" justifyLastLine="0" shrinkToFit="0" readingOrder="0"/>
    </dxf>
    <dxf>
      <fill>
        <patternFill patternType="solid">
          <fgColor indexed="64"/>
          <bgColor theme="6" tint="0.79998168889431442"/>
        </patternFill>
      </fill>
      <alignment horizontal="left" vertical="bottom" textRotation="0" wrapText="0" indent="0" justifyLastLine="0" shrinkToFit="0" readingOrder="0"/>
    </dxf>
    <dxf>
      <border outline="0">
        <top style="thin">
          <color theme="0"/>
        </top>
      </border>
    </dxf>
    <dxf>
      <font>
        <b val="0"/>
        <i val="0"/>
        <strike val="0"/>
        <condense val="0"/>
        <extend val="0"/>
        <outline val="0"/>
        <shadow val="0"/>
        <u val="none"/>
        <vertAlign val="baseline"/>
        <sz val="11"/>
        <color theme="1"/>
        <name val="Nunito"/>
        <family val="2"/>
        <scheme val="minor"/>
      </font>
      <fill>
        <patternFill>
          <fgColor indexed="64"/>
          <bgColor theme="6" tint="0.79998168889431442"/>
        </patternFill>
      </fill>
    </dxf>
    <dxf>
      <font>
        <b/>
        <i val="0"/>
        <strike val="0"/>
        <condense val="0"/>
        <extend val="0"/>
        <outline val="0"/>
        <shadow val="0"/>
        <u val="none"/>
        <vertAlign val="baseline"/>
        <sz val="11"/>
        <color theme="0"/>
        <name val="Nunito"/>
        <scheme val="minor"/>
      </font>
      <fill>
        <patternFill patternType="solid">
          <fgColor indexed="64"/>
          <bgColor theme="4"/>
        </patternFill>
      </fill>
      <alignment horizontal="center" vertical="center" textRotation="0" wrapText="1" indent="0" justifyLastLine="0" shrinkToFit="0" readingOrder="0"/>
    </dxf>
    <dxf>
      <font>
        <strike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border diagonalUp="0" diagonalDown="0" outline="0">
        <left/>
        <right style="medium">
          <color indexed="64"/>
        </right>
        <top/>
        <bottom/>
      </border>
    </dxf>
    <dxf>
      <font>
        <strike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border diagonalUp="0" diagonalDown="0" outline="0">
        <left style="medium">
          <color indexed="64"/>
        </left>
        <right/>
        <top/>
        <bottom/>
      </border>
    </dxf>
    <dxf>
      <font>
        <strike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7"/>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7"/>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7"/>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7"/>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7"/>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1" formatCode="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1" formatCode="0"/>
      <fill>
        <patternFill patternType="solid">
          <fgColor indexed="64"/>
          <bgColor theme="6" tint="0.79998168889431442"/>
        </patternFill>
      </fill>
      <alignment horizontal="right" vertical="bottom" textRotation="0" wrapText="0" indent="0" justifyLastLine="0" shrinkToFit="0" readingOrder="0"/>
      <border diagonalUp="0" diagonalDown="0" outline="0">
        <left style="medium">
          <color indexed="64"/>
        </left>
        <right/>
        <top/>
        <bottom/>
      </border>
    </dxf>
    <dxf>
      <font>
        <strike val="0"/>
        <outline val="0"/>
        <shadow val="0"/>
        <u val="none"/>
        <vertAlign val="baseline"/>
        <sz val="11"/>
        <color theme="8"/>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1" formatCode="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1" formatCode="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7"/>
        <name val="Nunito"/>
        <family val="2"/>
        <scheme val="minor"/>
      </font>
      <numFmt numFmtId="2" formatCode="0.0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7"/>
        <name val="Nunito"/>
        <family val="2"/>
        <scheme val="minor"/>
      </font>
      <numFmt numFmtId="1" formatCode="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7"/>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7"/>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7"/>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7"/>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7"/>
        <name val="Nunito"/>
        <family val="2"/>
        <scheme val="minor"/>
      </font>
      <numFmt numFmtId="1" formatCode="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7"/>
        <name val="Nunito"/>
        <family val="2"/>
        <scheme val="minor"/>
      </font>
      <numFmt numFmtId="1" formatCode="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8"/>
        <name val="Nunito"/>
        <family val="2"/>
        <scheme val="minor"/>
      </font>
      <numFmt numFmtId="3" formatCode="#,##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7"/>
        <name val="Nunito"/>
        <family val="2"/>
        <scheme val="minor"/>
      </font>
      <numFmt numFmtId="3" formatCode="#,##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7"/>
        <name val="Nunito"/>
        <family val="2"/>
        <scheme val="minor"/>
      </font>
      <numFmt numFmtId="3" formatCode="#,##0"/>
      <fill>
        <patternFill patternType="solid">
          <fgColor indexed="64"/>
          <bgColor theme="6" tint="0.79998168889431442"/>
        </patternFill>
      </fill>
      <alignment horizontal="right" vertical="bottom" textRotation="0" wrapText="0" indent="0" justifyLastLine="0" shrinkToFit="0" readingOrder="0"/>
    </dxf>
    <dxf>
      <font>
        <strike val="0"/>
        <outline val="0"/>
        <shadow val="0"/>
        <u val="none"/>
        <vertAlign val="baseline"/>
        <sz val="11"/>
        <color theme="7"/>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ill>
        <patternFill patternType="solid">
          <fgColor indexed="64"/>
          <bgColor theme="6" tint="0.79998168889431442"/>
        </patternFill>
      </fill>
      <alignment horizontal="left" textRotation="0" indent="0" justifyLastLine="0" shrinkToFit="0" readingOrder="0"/>
    </dxf>
    <dxf>
      <font>
        <b val="0"/>
        <i val="0"/>
        <strike val="0"/>
        <condense val="0"/>
        <extend val="0"/>
        <outline val="0"/>
        <shadow val="0"/>
        <u val="none"/>
        <vertAlign val="baseline"/>
        <sz val="11"/>
        <color theme="1"/>
        <name val="Nunito"/>
        <family val="2"/>
        <scheme val="minor"/>
      </font>
      <fill>
        <patternFill patternType="solid">
          <fgColor indexed="64"/>
          <bgColor theme="6" tint="0.79998168889431442"/>
        </patternFill>
      </fill>
      <alignment horizontal="left" vertical="bottom" textRotation="0" wrapText="0" indent="0" justifyLastLine="0" shrinkToFit="0" readingOrder="0"/>
    </dxf>
    <dxf>
      <numFmt numFmtId="0" formatCode="General"/>
      <fill>
        <patternFill patternType="solid">
          <fgColor indexed="64"/>
          <bgColor theme="6" tint="0.79998168889431442"/>
        </patternFill>
      </fill>
      <alignment horizontal="left" textRotation="0" indent="0" justifyLastLine="0" shrinkToFit="0" readingOrder="0"/>
    </dxf>
    <dxf>
      <fill>
        <patternFill patternType="solid">
          <fgColor indexed="64"/>
          <bgColor theme="6" tint="0.79998168889431442"/>
        </patternFill>
      </fill>
      <alignment horizontal="left" vertical="bottom" textRotation="0" wrapText="0" indent="0" justifyLastLine="0" shrinkToFit="0" readingOrder="0"/>
    </dxf>
    <dxf>
      <fill>
        <patternFill patternType="solid">
          <fgColor indexed="64"/>
          <bgColor theme="6" tint="0.79998168889431442"/>
        </patternFill>
      </fill>
      <alignment horizontal="center" vertical="bottom" textRotation="0" wrapText="0" indent="0" justifyLastLine="0" shrinkToFit="0" readingOrder="0"/>
    </dxf>
    <dxf>
      <fill>
        <patternFill patternType="solid">
          <fgColor indexed="64"/>
          <bgColor theme="6" tint="0.79998168889431442"/>
        </patternFill>
      </fill>
      <alignment horizontal="center" vertical="bottom" textRotation="0" wrapText="0" indent="0" justifyLastLine="0" shrinkToFit="0" readingOrder="0"/>
    </dxf>
    <dxf>
      <fill>
        <patternFill patternType="solid">
          <fgColor indexed="64"/>
          <bgColor theme="6" tint="0.79998168889431442"/>
        </patternFill>
      </fill>
      <alignment horizontal="left" vertical="bottom" textRotation="0" wrapText="0" indent="0" justifyLastLine="0" shrinkToFit="0" readingOrder="0"/>
    </dxf>
    <dxf>
      <numFmt numFmtId="164" formatCode="&quot;€&quot;\ #,##0"/>
      <fill>
        <patternFill patternType="solid">
          <fgColor indexed="64"/>
          <bgColor theme="6" tint="0.79998168889431442"/>
        </patternFill>
      </fill>
      <alignment horizontal="left" vertical="bottom" textRotation="0" wrapText="0" indent="0" justifyLastLine="0" shrinkToFit="0" readingOrder="0"/>
    </dxf>
    <dxf>
      <fill>
        <patternFill patternType="solid">
          <fgColor indexed="64"/>
          <bgColor theme="6" tint="0.79998168889431442"/>
        </patternFill>
      </fill>
    </dxf>
    <dxf>
      <fill>
        <patternFill>
          <fgColor indexed="64"/>
          <bgColor theme="4"/>
        </patternFill>
      </fill>
      <alignment horizontal="center" vertical="center" textRotation="0" indent="0" justifyLastLine="0" shrinkToFit="0" readingOrder="0"/>
    </dxf>
    <dxf>
      <font>
        <strike val="0"/>
        <outline val="0"/>
        <shadow val="0"/>
        <vertAlign val="baseline"/>
        <sz val="11"/>
        <color auto="1"/>
        <name val="Nunito"/>
        <scheme val="minor"/>
      </font>
      <fill>
        <patternFill patternType="solid">
          <fgColor indexed="64"/>
          <bgColor theme="6" tint="0.79998168889431442"/>
        </patternFill>
      </fill>
    </dxf>
    <dxf>
      <font>
        <b val="0"/>
        <i val="0"/>
        <strike val="0"/>
        <condense val="0"/>
        <extend val="0"/>
        <outline val="0"/>
        <shadow val="0"/>
        <u val="none"/>
        <vertAlign val="baseline"/>
        <sz val="11"/>
        <color auto="1"/>
        <name val="Nunito"/>
        <scheme val="minor"/>
      </font>
      <numFmt numFmtId="14" formatCode="0.00%"/>
      <fill>
        <patternFill patternType="solid">
          <fgColor indexed="64"/>
          <bgColor theme="6"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Nunito"/>
        <scheme val="minor"/>
      </font>
      <numFmt numFmtId="13" formatCode="0%"/>
      <fill>
        <patternFill patternType="solid">
          <fgColor indexed="64"/>
          <bgColor theme="6"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Nunito"/>
        <scheme val="minor"/>
      </font>
      <numFmt numFmtId="14" formatCode="0.00%"/>
      <fill>
        <patternFill patternType="solid">
          <fgColor indexed="64"/>
          <bgColor theme="6"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Nunito"/>
        <scheme val="minor"/>
      </font>
      <numFmt numFmtId="14" formatCode="0.00%"/>
      <fill>
        <patternFill patternType="solid">
          <fgColor indexed="64"/>
          <bgColor theme="6"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Nunito"/>
        <scheme val="minor"/>
      </font>
      <numFmt numFmtId="14" formatCode="0.00%"/>
      <fill>
        <patternFill patternType="solid">
          <fgColor indexed="64"/>
          <bgColor theme="6"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Nunito"/>
        <scheme val="minor"/>
      </font>
      <numFmt numFmtId="13" formatCode="0%"/>
      <fill>
        <patternFill patternType="solid">
          <fgColor indexed="64"/>
          <bgColor theme="6"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Nunito"/>
        <scheme val="minor"/>
      </font>
      <fill>
        <patternFill patternType="solid">
          <fgColor indexed="64"/>
          <bgColor theme="6" tint="0.79998168889431442"/>
        </patternFill>
      </fill>
      <alignment horizontal="center" vertical="bottom" textRotation="0" wrapText="0" indent="0" justifyLastLine="0" shrinkToFit="0" readingOrder="0"/>
    </dxf>
    <dxf>
      <fill>
        <patternFill patternType="solid">
          <fgColor indexed="64"/>
          <bgColor theme="6" tint="0.79998168889431442"/>
        </patternFill>
      </fill>
      <alignment horizontal="left" vertical="bottom" textRotation="0" wrapText="0" indent="0" justifyLastLine="0" shrinkToFit="0" readingOrder="0"/>
    </dxf>
    <dxf>
      <border outline="0">
        <top style="thin">
          <color theme="0"/>
        </top>
      </border>
    </dxf>
    <dxf>
      <fill>
        <patternFill patternType="solid">
          <fgColor indexed="64"/>
          <bgColor theme="6" tint="0.79998168889431442"/>
        </patternFill>
      </fill>
    </dxf>
    <dxf>
      <fill>
        <patternFill patternType="solid">
          <fgColor indexed="64"/>
          <bgColor theme="3"/>
        </patternFill>
      </fill>
      <alignment horizontal="center" vertical="center" textRotation="0" wrapText="1" indent="0" justifyLastLine="0" shrinkToFit="0" readingOrder="0"/>
    </dxf>
    <dxf>
      <fill>
        <patternFill patternType="solid">
          <fgColor indexed="64"/>
          <bgColor theme="6" tint="0.79998168889431442"/>
        </patternFill>
      </fill>
      <alignment horizontal="general" vertical="center" textRotation="0" wrapText="1" indent="0" justifyLastLine="0" shrinkToFit="0" readingOrder="0"/>
    </dxf>
    <dxf>
      <fill>
        <patternFill patternType="solid">
          <fgColor indexed="64"/>
          <bgColor theme="6" tint="0.79998168889431442"/>
        </patternFill>
      </fill>
      <alignment horizontal="center" vertical="center" textRotation="0" wrapText="0" indent="0" justifyLastLine="0" shrinkToFit="0" readingOrder="0"/>
    </dxf>
    <dxf>
      <fill>
        <patternFill patternType="solid">
          <fgColor indexed="64"/>
          <bgColor theme="6" tint="0.79998168889431442"/>
        </patternFill>
      </fill>
    </dxf>
    <dxf>
      <font>
        <strike val="0"/>
        <outline val="0"/>
        <shadow val="0"/>
        <vertAlign val="baseline"/>
        <sz val="11"/>
        <color auto="1"/>
        <name val="Nunito"/>
        <scheme val="minor"/>
      </font>
      <fill>
        <patternFill patternType="solid">
          <fgColor indexed="64"/>
          <bgColor theme="6" tint="0.79998168889431442"/>
        </patternFill>
      </fill>
    </dxf>
    <dxf>
      <font>
        <strike val="0"/>
        <outline val="0"/>
        <shadow val="0"/>
        <u val="none"/>
        <vertAlign val="baseline"/>
        <sz val="11"/>
        <color theme="7"/>
        <name val="Nunito"/>
        <family val="2"/>
        <scheme val="minor"/>
      </font>
      <numFmt numFmtId="1" formatCode="0"/>
      <fill>
        <patternFill patternType="solid">
          <fgColor indexed="64"/>
          <bgColor theme="6" tint="0.79998168889431442"/>
        </patternFill>
      </fill>
      <alignment horizontal="center" vertical="bottom" textRotation="0" wrapText="0" indent="0" justifyLastLine="0" shrinkToFit="0" readingOrder="0"/>
    </dxf>
    <dxf>
      <fill>
        <patternFill patternType="solid">
          <fgColor indexed="64"/>
          <bgColor theme="6" tint="0.79998168889431442"/>
        </patternFill>
      </fill>
      <alignment horizontal="left" vertical="bottom" textRotation="0" wrapText="0" indent="0" justifyLastLine="0" shrinkToFit="0" readingOrder="0"/>
    </dxf>
    <dxf>
      <border outline="0">
        <top style="thin">
          <color theme="0"/>
        </top>
        <bottom style="medium">
          <color theme="1"/>
        </bottom>
      </border>
    </dxf>
    <dxf>
      <border outline="0">
        <bottom style="medium">
          <color theme="1"/>
        </bottom>
      </border>
    </dxf>
    <dxf>
      <font>
        <strike val="0"/>
        <outline val="0"/>
        <shadow val="0"/>
        <u/>
        <vertAlign val="baseline"/>
        <sz val="11"/>
        <color auto="1"/>
        <name val="Nunito"/>
        <scheme val="minor"/>
      </font>
      <fill>
        <patternFill patternType="solid">
          <fgColor indexed="64"/>
          <bgColor theme="6" tint="0.79998168889431442"/>
        </patternFill>
      </fill>
    </dxf>
    <dxf>
      <font>
        <b val="0"/>
        <i val="0"/>
        <strike val="0"/>
        <condense val="0"/>
        <extend val="0"/>
        <outline val="0"/>
        <shadow val="0"/>
        <u val="none"/>
        <vertAlign val="baseline"/>
        <sz val="11"/>
        <color auto="1"/>
        <name val="Nunito"/>
        <scheme val="minor"/>
      </font>
      <fill>
        <patternFill patternType="solid">
          <fgColor indexed="64"/>
          <bgColor theme="6" tint="0.79998168889431442"/>
        </patternFill>
      </fill>
      <alignment horizontal="center" vertical="bottom" textRotation="0" wrapText="0" indent="0" justifyLastLine="0" shrinkToFit="0" readingOrder="0"/>
    </dxf>
    <dxf>
      <fill>
        <patternFill patternType="solid">
          <fgColor indexed="64"/>
          <bgColor theme="6" tint="0.79998168889431442"/>
        </patternFill>
      </fill>
      <alignment horizontal="left" vertical="bottom" textRotation="0" wrapText="0" indent="0" justifyLastLine="0" shrinkToFit="0" readingOrder="0"/>
    </dxf>
    <dxf>
      <border outline="0">
        <top style="thin">
          <color theme="0"/>
        </top>
      </border>
    </dxf>
    <dxf>
      <fill>
        <patternFill patternType="solid">
          <fgColor indexed="64"/>
          <bgColor theme="6" tint="0.79998168889431442"/>
        </patternFill>
      </fill>
    </dxf>
    <dxf>
      <fill>
        <patternFill patternType="solid">
          <fgColor indexed="64"/>
          <bgColor theme="3"/>
        </patternFill>
      </fill>
    </dxf>
    <dxf>
      <numFmt numFmtId="0" formatCode="General"/>
      <fill>
        <patternFill patternType="solid">
          <fgColor indexed="64"/>
          <bgColor theme="0" tint="-4.9989318521683403E-2"/>
        </patternFill>
      </fill>
    </dxf>
    <dxf>
      <numFmt numFmtId="0" formatCode="General"/>
      <fill>
        <patternFill patternType="solid">
          <fgColor indexed="64"/>
          <bgColor theme="6" tint="0.79998168889431442"/>
        </patternFill>
      </fill>
      <alignment textRotation="0" wrapText="1" indent="0" justifyLastLine="0" shrinkToFit="0" readingOrder="0"/>
    </dxf>
    <dxf>
      <numFmt numFmtId="0" formatCode="General"/>
      <fill>
        <patternFill patternType="solid">
          <fgColor indexed="64"/>
          <bgColor theme="0" tint="-4.9989318521683403E-2"/>
        </patternFill>
      </fill>
    </dxf>
    <dxf>
      <numFmt numFmtId="0" formatCode="General"/>
      <fill>
        <patternFill patternType="solid">
          <fgColor indexed="64"/>
          <bgColor theme="6" tint="0.79998168889431442"/>
        </patternFill>
      </fill>
      <alignment horizontal="general" textRotation="0" wrapText="1" indent="0" justifyLastLine="0" shrinkToFit="0" readingOrder="0"/>
    </dxf>
    <dxf>
      <font>
        <b val="0"/>
        <i val="0"/>
        <strike val="0"/>
        <condense val="0"/>
        <extend val="0"/>
        <outline val="0"/>
        <shadow val="0"/>
        <u val="none"/>
        <vertAlign val="baseline"/>
        <sz val="11"/>
        <color theme="8"/>
        <name val="Nunito"/>
        <family val="2"/>
        <scheme val="minor"/>
      </font>
      <numFmt numFmtId="3" formatCode="#,##0"/>
      <fill>
        <patternFill patternType="solid">
          <fgColor indexed="64"/>
          <bgColor theme="0" tint="-4.9989318521683403E-2"/>
        </patternFill>
      </fill>
      <alignment horizontal="center" vertical="bottom" textRotation="0" wrapText="0" indent="0" justifyLastLine="0" shrinkToFit="0" readingOrder="0"/>
    </dxf>
    <dxf>
      <font>
        <b val="0"/>
        <i val="0"/>
        <strike val="0"/>
        <condense val="0"/>
        <extend val="0"/>
        <outline val="0"/>
        <shadow val="0"/>
        <u val="none"/>
        <vertAlign val="baseline"/>
        <sz val="11"/>
        <color theme="8"/>
        <name val="Nunito"/>
        <family val="2"/>
        <scheme val="minor"/>
      </font>
      <numFmt numFmtId="3" formatCode="#,##0"/>
      <fill>
        <patternFill patternType="solid">
          <fgColor indexed="64"/>
          <bgColor theme="6"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8"/>
        <name val="Nunito"/>
        <family val="2"/>
        <scheme val="minor"/>
      </font>
      <numFmt numFmtId="3" formatCode="#,##0"/>
      <fill>
        <patternFill patternType="solid">
          <fgColor indexed="64"/>
          <bgColor theme="0" tint="-4.9989318521683403E-2"/>
        </patternFill>
      </fill>
      <alignment horizontal="center" vertical="bottom" textRotation="0" wrapText="0" indent="0" justifyLastLine="0" shrinkToFit="0" readingOrder="0"/>
    </dxf>
    <dxf>
      <font>
        <b val="0"/>
        <i val="0"/>
        <strike val="0"/>
        <condense val="0"/>
        <extend val="0"/>
        <outline val="0"/>
        <shadow val="0"/>
        <u val="none"/>
        <vertAlign val="baseline"/>
        <sz val="11"/>
        <color theme="8"/>
        <name val="Nunito"/>
        <family val="2"/>
        <scheme val="minor"/>
      </font>
      <numFmt numFmtId="3" formatCode="#,##0"/>
      <fill>
        <patternFill patternType="solid">
          <fgColor indexed="64"/>
          <bgColor theme="6"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8"/>
        <name val="Nunito"/>
        <family val="2"/>
        <scheme val="minor"/>
      </font>
      <numFmt numFmtId="13" formatCode="0%"/>
      <fill>
        <patternFill patternType="solid">
          <fgColor indexed="64"/>
          <bgColor theme="0" tint="-4.9989318521683403E-2"/>
        </patternFill>
      </fill>
      <alignment horizontal="center" vertical="bottom" textRotation="0" wrapText="0" indent="0" justifyLastLine="0" shrinkToFit="0" readingOrder="0"/>
    </dxf>
    <dxf>
      <font>
        <b val="0"/>
        <i val="0"/>
        <strike val="0"/>
        <condense val="0"/>
        <extend val="0"/>
        <outline val="0"/>
        <shadow val="0"/>
        <u val="none"/>
        <vertAlign val="baseline"/>
        <sz val="11"/>
        <color theme="8"/>
        <name val="Nunito"/>
        <family val="2"/>
        <scheme val="minor"/>
      </font>
      <numFmt numFmtId="13" formatCode="0%"/>
      <fill>
        <patternFill patternType="solid">
          <fgColor indexed="64"/>
          <bgColor theme="6"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7"/>
        <name val="Nunito"/>
        <family val="2"/>
        <scheme val="minor"/>
      </font>
      <numFmt numFmtId="3" formatCode="#,##0"/>
      <fill>
        <patternFill patternType="solid">
          <fgColor indexed="64"/>
          <bgColor theme="0" tint="-4.9989318521683403E-2"/>
        </patternFill>
      </fill>
      <alignment horizontal="center" vertical="bottom" textRotation="0" wrapText="0" indent="0" justifyLastLine="0" shrinkToFit="0" readingOrder="0"/>
    </dxf>
    <dxf>
      <font>
        <b val="0"/>
        <i val="0"/>
        <strike val="0"/>
        <condense val="0"/>
        <extend val="0"/>
        <outline val="0"/>
        <shadow val="0"/>
        <u val="none"/>
        <vertAlign val="baseline"/>
        <sz val="11"/>
        <color theme="8"/>
        <name val="Nunito"/>
        <family val="2"/>
        <scheme val="minor"/>
      </font>
      <numFmt numFmtId="3" formatCode="#,##0"/>
      <fill>
        <patternFill patternType="solid">
          <fgColor indexed="64"/>
          <bgColor theme="6"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7"/>
        <name val="Nunito"/>
        <family val="2"/>
        <scheme val="minor"/>
      </font>
      <numFmt numFmtId="13" formatCode="0%"/>
      <fill>
        <patternFill patternType="solid">
          <fgColor indexed="64"/>
          <bgColor theme="0" tint="-4.9989318521683403E-2"/>
        </patternFill>
      </fill>
      <alignment horizontal="center" vertical="bottom" textRotation="0" wrapText="0" indent="0" justifyLastLine="0" shrinkToFit="0" readingOrder="0"/>
    </dxf>
    <dxf>
      <font>
        <b val="0"/>
        <i val="0"/>
        <strike val="0"/>
        <condense val="0"/>
        <extend val="0"/>
        <outline val="0"/>
        <shadow val="0"/>
        <u val="none"/>
        <vertAlign val="baseline"/>
        <sz val="11"/>
        <color theme="9"/>
        <name val="Nunito"/>
        <family val="2"/>
        <scheme val="minor"/>
      </font>
      <fill>
        <patternFill patternType="solid">
          <fgColor indexed="64"/>
          <bgColor theme="6"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7"/>
        <name val="Nunito"/>
        <family val="2"/>
        <scheme val="minor"/>
      </font>
      <numFmt numFmtId="13" formatCode="0%"/>
      <fill>
        <patternFill patternType="solid">
          <fgColor indexed="64"/>
          <bgColor theme="0" tint="-4.9989318521683403E-2"/>
        </patternFill>
      </fill>
      <alignment horizontal="center" vertical="bottom" textRotation="0" wrapText="0" indent="0" justifyLastLine="0" shrinkToFit="0" readingOrder="0"/>
    </dxf>
    <dxf>
      <font>
        <b val="0"/>
        <i val="0"/>
        <strike val="0"/>
        <condense val="0"/>
        <extend val="0"/>
        <outline val="0"/>
        <shadow val="0"/>
        <u val="none"/>
        <vertAlign val="baseline"/>
        <sz val="11"/>
        <color theme="9"/>
        <name val="Nunito"/>
        <family val="2"/>
        <scheme val="minor"/>
      </font>
      <numFmt numFmtId="13" formatCode="0%"/>
      <fill>
        <patternFill patternType="solid">
          <fgColor indexed="64"/>
          <bgColor theme="6"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Nunito"/>
        <family val="2"/>
        <scheme val="minor"/>
      </font>
      <numFmt numFmtId="13" formatCode="0%"/>
      <fill>
        <patternFill patternType="solid">
          <fgColor indexed="64"/>
          <bgColor theme="0" tint="-4.9989318521683403E-2"/>
        </patternFill>
      </fill>
      <alignment horizontal="center" vertical="bottom" textRotation="0" wrapText="0" indent="0" justifyLastLine="0" shrinkToFit="0" readingOrder="0"/>
    </dxf>
    <dxf>
      <numFmt numFmtId="13" formatCode="0%"/>
      <fill>
        <patternFill patternType="solid">
          <fgColor indexed="64"/>
          <bgColor theme="6" tint="0.79998168889431442"/>
        </patternFill>
      </fill>
      <alignment horizontal="right" vertical="bottom" textRotation="0" wrapText="0" indent="0" justifyLastLine="0" shrinkToFit="0" readingOrder="0"/>
    </dxf>
    <dxf>
      <numFmt numFmtId="3" formatCode="#,##0"/>
      <fill>
        <patternFill patternType="solid">
          <fgColor indexed="64"/>
          <bgColor theme="0" tint="-4.9989318521683403E-2"/>
        </patternFill>
      </fill>
      <alignment horizontal="center" vertical="bottom" textRotation="0" wrapText="0" indent="0" justifyLastLine="0" shrinkToFit="0" readingOrder="0"/>
    </dxf>
    <dxf>
      <numFmt numFmtId="3" formatCode="#,##0"/>
      <fill>
        <patternFill patternType="solid">
          <fgColor indexed="64"/>
          <bgColor theme="6" tint="0.79998168889431442"/>
        </patternFill>
      </fill>
      <alignment horizontal="right" vertical="bottom" textRotation="0" wrapText="0" indent="0" justifyLastLine="0" shrinkToFit="0" readingOrder="0"/>
    </dxf>
    <dxf>
      <fill>
        <patternFill patternType="solid">
          <fgColor indexed="64"/>
          <bgColor theme="0" tint="-4.9989318521683403E-2"/>
        </patternFill>
      </fill>
    </dxf>
    <dxf>
      <fill>
        <patternFill patternType="solid">
          <fgColor indexed="64"/>
          <bgColor theme="6" tint="0.79998168889431442"/>
        </patternFill>
      </fill>
      <alignment horizontal="center" textRotation="0" wrapText="0" indent="0" justifyLastLine="0" shrinkToFit="0" readingOrder="0"/>
    </dxf>
    <dxf>
      <font>
        <strike val="0"/>
        <outline val="0"/>
        <shadow val="0"/>
        <u val="none"/>
        <vertAlign val="baseline"/>
        <sz val="11"/>
        <color theme="7"/>
        <name val="Nunito"/>
        <family val="2"/>
        <scheme val="minor"/>
      </font>
      <numFmt numFmtId="13" formatCode="0%"/>
      <fill>
        <patternFill patternType="solid">
          <fgColor indexed="64"/>
          <bgColor theme="6" tint="0.79998168889431442"/>
        </patternFill>
      </fill>
      <alignment horizontal="center" textRotation="0" wrapText="0" indent="0" justifyLastLine="0" shrinkToFit="0" readingOrder="0"/>
    </dxf>
    <dxf>
      <fill>
        <patternFill patternType="solid">
          <fgColor indexed="64"/>
          <bgColor theme="0" tint="-4.9989318521683403E-2"/>
        </patternFill>
      </fill>
    </dxf>
    <dxf>
      <fill>
        <patternFill patternType="solid">
          <fgColor indexed="64"/>
          <bgColor theme="6" tint="0.79998168889431442"/>
        </patternFill>
      </fill>
      <alignment horizontal="center" vertical="bottom" textRotation="0" wrapText="0" indent="0" justifyLastLine="0" shrinkToFit="0" readingOrder="0"/>
    </dxf>
    <dxf>
      <fill>
        <patternFill patternType="solid">
          <fgColor indexed="64"/>
          <bgColor theme="0" tint="-4.9989318521683403E-2"/>
        </patternFill>
      </fill>
    </dxf>
    <dxf>
      <fill>
        <patternFill patternType="solid">
          <fgColor indexed="64"/>
          <bgColor theme="6" tint="0.79998168889431442"/>
        </patternFill>
      </fill>
      <alignment horizontal="center" textRotation="0" wrapText="0" indent="0" justifyLastLine="0" shrinkToFit="0" readingOrder="0"/>
    </dxf>
    <dxf>
      <fill>
        <patternFill patternType="solid">
          <fgColor indexed="64"/>
          <bgColor theme="0" tint="-4.9989318521683403E-2"/>
        </patternFill>
      </fill>
      <alignment horizontal="left" vertical="bottom" textRotation="0" wrapText="0" indent="0" justifyLastLine="0" shrinkToFit="0" readingOrder="0"/>
    </dxf>
    <dxf>
      <fill>
        <patternFill patternType="solid">
          <fgColor indexed="64"/>
          <bgColor theme="6" tint="0.79998168889431442"/>
        </patternFill>
      </fill>
      <alignment horizontal="center" vertical="bottom" textRotation="0" wrapText="0" indent="0" justifyLastLine="0" shrinkToFit="0" readingOrder="0"/>
    </dxf>
    <dxf>
      <fill>
        <patternFill patternType="solid">
          <fgColor indexed="64"/>
          <bgColor theme="0" tint="-4.9989318521683403E-2"/>
        </patternFill>
      </fill>
      <alignment horizontal="left" vertical="bottom" textRotation="0" wrapText="0" indent="0" justifyLastLine="0" shrinkToFit="0" readingOrder="0"/>
    </dxf>
    <dxf>
      <fill>
        <patternFill patternType="solid">
          <fgColor indexed="64"/>
          <bgColor theme="6" tint="0.79998168889431442"/>
        </patternFill>
      </fill>
      <alignment horizontal="center" vertical="bottom" textRotation="0" wrapText="0" indent="0" justifyLastLine="0" shrinkToFit="0" readingOrder="0"/>
    </dxf>
    <dxf>
      <fill>
        <patternFill patternType="solid">
          <fgColor indexed="64"/>
          <bgColor theme="0" tint="-4.9989318521683403E-2"/>
        </patternFill>
      </fill>
      <alignment horizontal="left" vertical="bottom" textRotation="0" wrapText="0" indent="0" justifyLastLine="0" shrinkToFit="0" readingOrder="0"/>
    </dxf>
    <dxf>
      <fill>
        <patternFill patternType="solid">
          <fgColor indexed="64"/>
          <bgColor theme="6" tint="0.79998168889431442"/>
        </patternFill>
      </fill>
      <alignment horizontal="center" vertical="bottom" textRotation="0" wrapText="0" indent="0" justifyLastLine="0" shrinkToFit="0" readingOrder="0"/>
    </dxf>
    <dxf>
      <fill>
        <patternFill patternType="solid">
          <fgColor indexed="64"/>
          <bgColor theme="0" tint="-4.9989318521683403E-2"/>
        </patternFill>
      </fill>
    </dxf>
    <dxf>
      <numFmt numFmtId="0" formatCode="General"/>
      <fill>
        <patternFill patternType="solid">
          <fgColor indexed="64"/>
          <bgColor theme="6" tint="0.79998168889431442"/>
        </patternFill>
      </fill>
      <alignment horizontal="left" textRotation="0" wrapText="0" indent="0" justifyLastLine="0" shrinkToFit="0" readingOrder="0"/>
    </dxf>
    <dxf>
      <fill>
        <patternFill patternType="solid">
          <fgColor indexed="64"/>
          <bgColor theme="0" tint="-4.9989318521683403E-2"/>
        </patternFill>
      </fill>
    </dxf>
    <dxf>
      <border>
        <bottom style="medium">
          <color indexed="64"/>
        </bottom>
      </border>
    </dxf>
    <dxf>
      <fill>
        <patternFill>
          <fgColor indexed="64"/>
          <bgColor theme="4"/>
        </patternFill>
      </fill>
      <alignment horizontal="center" vertical="center" textRotation="0" indent="0" justifyLastLine="0" shrinkToFit="0" readingOrder="0"/>
    </dxf>
    <dxf>
      <font>
        <strike val="0"/>
        <outline val="0"/>
        <shadow val="0"/>
        <vertAlign val="baseline"/>
        <sz val="11"/>
        <color auto="1"/>
        <name val="Nunito"/>
        <scheme val="minor"/>
      </font>
      <fill>
        <patternFill patternType="solid">
          <fgColor indexed="64"/>
          <bgColor theme="6" tint="0.79998168889431442"/>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Nunito"/>
        <family val="2"/>
        <scheme val="minor"/>
      </font>
      <numFmt numFmtId="164" formatCode="&quot;€&quot;\ #,##0"/>
      <fill>
        <patternFill patternType="solid">
          <fgColor indexed="64"/>
          <bgColor theme="6" tint="0.79998168889431442"/>
        </patternFill>
      </fill>
      <border diagonalUp="0" diagonalDown="0">
        <left/>
        <right style="medium">
          <color indexed="64"/>
        </right>
        <vertical/>
      </border>
    </dxf>
    <dxf>
      <font>
        <b val="0"/>
        <i val="0"/>
        <strike val="0"/>
        <condense val="0"/>
        <extend val="0"/>
        <outline val="0"/>
        <shadow val="0"/>
        <u val="none"/>
        <vertAlign val="baseline"/>
        <sz val="11"/>
        <color theme="1"/>
        <name val="Nunito"/>
        <family val="2"/>
        <scheme val="minor"/>
      </font>
      <numFmt numFmtId="164" formatCode="&quot;€&quot;\ #,##0"/>
      <fill>
        <patternFill patternType="solid">
          <fgColor indexed="64"/>
          <bgColor theme="6" tint="0.79998168889431442"/>
        </patternFill>
      </fill>
    </dxf>
    <dxf>
      <fill>
        <patternFill patternType="solid">
          <fgColor indexed="64"/>
          <bgColor theme="6" tint="0.79998168889431442"/>
        </patternFill>
      </fill>
    </dxf>
    <dxf>
      <font>
        <b val="0"/>
        <i val="0"/>
        <strike val="0"/>
        <condense val="0"/>
        <extend val="0"/>
        <outline val="0"/>
        <shadow val="0"/>
        <u val="none"/>
        <vertAlign val="baseline"/>
        <sz val="11"/>
        <color theme="1"/>
        <name val="Nunito"/>
        <family val="2"/>
        <scheme val="minor"/>
      </font>
      <numFmt numFmtId="164" formatCode="&quot;€&quot;\ #,##0"/>
      <fill>
        <patternFill patternType="solid">
          <fgColor indexed="64"/>
          <bgColor theme="6"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Nunito"/>
        <family val="2"/>
        <scheme val="minor"/>
      </font>
      <numFmt numFmtId="164" formatCode="&quot;€&quot;\ #,##0"/>
      <fill>
        <patternFill patternType="solid">
          <fgColor indexed="64"/>
          <bgColor theme="6" tint="0.79998168889431442"/>
        </patternFill>
      </fill>
      <border diagonalUp="0" diagonalDown="0">
        <left style="medium">
          <color indexed="64"/>
        </left>
        <right/>
        <vertical/>
      </border>
    </dxf>
    <dxf>
      <fill>
        <patternFill patternType="solid">
          <fgColor indexed="64"/>
          <bgColor theme="6" tint="0.79998168889431442"/>
        </patternFill>
      </fill>
      <border diagonalUp="0" diagonalDown="0">
        <left/>
        <right style="medium">
          <color indexed="64"/>
        </right>
        <vertical/>
      </border>
    </dxf>
    <dxf>
      <fill>
        <patternFill patternType="solid">
          <fgColor indexed="64"/>
          <bgColor theme="6" tint="0.79998168889431442"/>
        </patternFill>
      </fill>
      <alignment textRotation="0" wrapText="1" indent="0" justifyLastLine="0" shrinkToFit="0" readingOrder="0"/>
    </dxf>
    <dxf>
      <fill>
        <patternFill patternType="solid">
          <fgColor indexed="64"/>
          <bgColor theme="6" tint="0.79998168889431442"/>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Nunito"/>
        <family val="2"/>
        <scheme val="minor"/>
      </font>
      <fill>
        <patternFill patternType="solid">
          <fgColor indexed="64"/>
          <bgColor theme="6" tint="0.79998168889431442"/>
        </patternFill>
      </fill>
    </dxf>
    <dxf>
      <fill>
        <patternFill patternType="solid">
          <fgColor indexed="64"/>
          <bgColor theme="6" tint="0.79998168889431442"/>
        </patternFill>
      </fill>
    </dxf>
    <dxf>
      <numFmt numFmtId="3" formatCode="#,##0"/>
      <fill>
        <patternFill patternType="solid">
          <fgColor indexed="64"/>
          <bgColor theme="6" tint="0.79998168889431442"/>
        </patternFill>
      </fill>
    </dxf>
    <dxf>
      <numFmt numFmtId="3" formatCode="#,##0"/>
      <fill>
        <patternFill patternType="solid">
          <fgColor indexed="64"/>
          <bgColor theme="6" tint="0.79998168889431442"/>
        </patternFill>
      </fill>
      <alignment horizontal="right" vertical="bottom" textRotation="0" wrapText="0" indent="0" justifyLastLine="0" shrinkToFit="0" readingOrder="0"/>
    </dxf>
    <dxf>
      <numFmt numFmtId="3" formatCode="#,##0"/>
      <fill>
        <patternFill patternType="solid">
          <fgColor indexed="64"/>
          <bgColor theme="6" tint="0.79998168889431442"/>
        </patternFill>
      </fill>
      <alignment horizontal="right" vertical="bottom" textRotation="0" wrapText="0" indent="0" justifyLastLine="0" shrinkToFit="0" readingOrder="0"/>
    </dxf>
    <dxf>
      <numFmt numFmtId="3" formatCode="#,##0"/>
      <fill>
        <patternFill patternType="solid">
          <fgColor indexed="64"/>
          <bgColor theme="6" tint="0.79998168889431442"/>
        </patternFill>
      </fill>
      <alignment horizontal="right" vertical="bottom" textRotation="0" wrapText="0" indent="0" justifyLastLine="0" shrinkToFit="0" readingOrder="0"/>
    </dxf>
    <dxf>
      <numFmt numFmtId="3" formatCode="#,##0"/>
      <fill>
        <patternFill patternType="solid">
          <fgColor indexed="64"/>
          <bgColor theme="6" tint="0.79998168889431442"/>
        </patternFill>
      </fill>
      <alignment horizontal="right" vertical="bottom" textRotation="0" wrapText="0" indent="0" justifyLastLine="0" shrinkToFit="0" readingOrder="0"/>
      <border diagonalUp="0" diagonalDown="0">
        <left style="medium">
          <color indexed="64"/>
        </left>
        <right/>
        <vertical/>
      </border>
    </dxf>
    <dxf>
      <fill>
        <patternFill patternType="solid">
          <fgColor indexed="64"/>
          <bgColor theme="6" tint="0.79998168889431442"/>
        </patternFill>
      </fill>
      <alignment horizontal="center" vertical="bottom" textRotation="0" wrapText="0" indent="0" justifyLastLine="0" shrinkToFit="0" readingOrder="0"/>
    </dxf>
    <dxf>
      <fill>
        <patternFill patternType="solid">
          <fgColor indexed="64"/>
          <bgColor theme="6" tint="0.79998168889431442"/>
        </patternFill>
      </fill>
      <alignment horizontal="center" vertical="bottom" textRotation="0" wrapText="0" indent="0" justifyLastLine="0" shrinkToFit="0" readingOrder="0"/>
    </dxf>
    <dxf>
      <fill>
        <patternFill patternType="solid">
          <fgColor indexed="64"/>
          <bgColor theme="6" tint="0.79998168889431442"/>
        </patternFill>
      </fill>
      <alignment horizontal="center" vertical="bottom" textRotation="0" wrapText="1" indent="0" justifyLastLine="0" shrinkToFit="0" readingOrder="0"/>
    </dxf>
    <dxf>
      <fill>
        <patternFill patternType="solid">
          <fgColor indexed="64"/>
          <bgColor theme="6" tint="0.79998168889431442"/>
        </patternFill>
      </fill>
      <alignment textRotation="0" wrapText="1" indent="0" justifyLastLine="0" shrinkToFit="0" readingOrder="0"/>
    </dxf>
    <dxf>
      <numFmt numFmtId="0" formatCode="General"/>
      <fill>
        <patternFill patternType="solid">
          <fgColor indexed="64"/>
          <bgColor theme="6" tint="0.79998168889431442"/>
        </patternFill>
      </fill>
      <alignment horizontal="center" vertical="bottom" textRotation="0" wrapText="0" indent="0" justifyLastLine="0" shrinkToFit="0" readingOrder="0"/>
    </dxf>
    <dxf>
      <fill>
        <patternFill patternType="solid">
          <fgColor indexed="64"/>
          <bgColor theme="6" tint="0.79998168889431442"/>
        </patternFill>
      </fill>
      <alignment horizontal="center" vertical="bottom" textRotation="0" wrapText="0" indent="0" justifyLastLine="0" shrinkToFit="0" readingOrder="0"/>
    </dxf>
    <dxf>
      <fill>
        <patternFill patternType="solid">
          <fgColor indexed="64"/>
          <bgColor theme="6" tint="0.79998168889431442"/>
        </patternFill>
      </fill>
      <alignment horizontal="center" vertical="bottom" textRotation="0" wrapText="0" indent="0" justifyLastLine="0" shrinkToFit="0" readingOrder="0"/>
    </dxf>
    <dxf>
      <fill>
        <patternFill patternType="solid">
          <fgColor indexed="64"/>
          <bgColor theme="6" tint="0.79998168889431442"/>
        </patternFill>
      </fill>
      <alignment horizontal="center" vertical="bottom" textRotation="0" wrapText="0" indent="0" justifyLastLine="0" shrinkToFit="0" readingOrder="0"/>
    </dxf>
    <dxf>
      <fill>
        <patternFill patternType="solid">
          <fgColor indexed="64"/>
          <bgColor theme="6" tint="0.79998168889431442"/>
        </patternFill>
      </fill>
    </dxf>
    <dxf>
      <fill>
        <patternFill patternType="solid">
          <fgColor indexed="64"/>
          <bgColor theme="6" tint="0.79998168889431442"/>
        </patternFill>
      </fill>
    </dxf>
    <dxf>
      <border>
        <bottom style="medium">
          <color indexed="64"/>
        </bottom>
      </border>
    </dxf>
    <dxf>
      <font>
        <b/>
        <i val="0"/>
        <strike val="0"/>
        <condense val="0"/>
        <extend val="0"/>
        <outline val="0"/>
        <shadow val="0"/>
        <u val="none"/>
        <vertAlign val="baseline"/>
        <sz val="11"/>
        <color theme="0"/>
        <name val="Nunito"/>
        <scheme val="minor"/>
      </font>
      <fill>
        <patternFill patternType="solid">
          <fgColor indexed="64"/>
          <bgColor theme="3"/>
        </patternFill>
      </fill>
      <alignment horizontal="center" vertical="center" textRotation="0" wrapText="1" indent="0" justifyLastLine="0" shrinkToFit="0" readingOrder="0"/>
      <border diagonalUp="0" diagonalDown="0">
        <left/>
        <right/>
        <top/>
        <bottom/>
        <vertical/>
        <horizontal/>
      </border>
    </dxf>
    <dxf>
      <font>
        <strike val="0"/>
        <outline val="0"/>
        <shadow val="0"/>
        <u val="none"/>
        <vertAlign val="baseline"/>
        <sz val="11"/>
        <color theme="5"/>
        <name val="Nunito"/>
        <family val="2"/>
        <scheme val="minor"/>
      </font>
      <fill>
        <patternFill patternType="solid">
          <fgColor indexed="64"/>
          <bgColor theme="6" tint="0.79998168889431442"/>
        </patternFill>
      </fill>
      <alignment horizontal="center" vertical="bottom" textRotation="0" wrapText="0" indent="0" justifyLastLine="0" shrinkToFit="0" readingOrder="0"/>
    </dxf>
    <dxf>
      <fill>
        <patternFill patternType="solid">
          <fgColor indexed="64"/>
          <bgColor theme="9" tint="0.79998168889431442"/>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Nunito"/>
        <family val="2"/>
        <scheme val="minor"/>
      </font>
      <fill>
        <patternFill patternType="solid">
          <fgColor indexed="64"/>
          <bgColor theme="6" tint="0.79998168889431442"/>
        </patternFill>
      </fill>
      <alignment horizontal="left"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1"/>
        <color theme="1"/>
        <name val="Nunito"/>
        <family val="2"/>
        <scheme val="minor"/>
      </font>
      <fill>
        <patternFill patternType="solid">
          <fgColor indexed="64"/>
          <bgColor theme="6" tint="0.79998168889431442"/>
        </patternFill>
      </fill>
      <alignment horizontal="left" vertical="bottom" textRotation="0" wrapText="0" indent="0" justifyLastLine="0" shrinkToFit="0" readingOrder="0"/>
      <border diagonalUp="0" diagonalDown="0" outline="0">
        <left/>
        <right style="thin">
          <color theme="0"/>
        </right>
        <top style="thin">
          <color theme="0"/>
        </top>
        <bottom style="thin">
          <color theme="0"/>
        </bottom>
      </border>
    </dxf>
    <dxf>
      <border outline="0">
        <top style="thin">
          <color rgb="FFFFFFFF"/>
        </top>
      </border>
    </dxf>
    <dxf>
      <border outline="0">
        <bottom style="thick">
          <color theme="0"/>
        </bottom>
      </border>
    </dxf>
    <dxf>
      <font>
        <b/>
        <i val="0"/>
        <strike val="0"/>
        <condense val="0"/>
        <extend val="0"/>
        <outline val="0"/>
        <shadow val="0"/>
        <u val="none"/>
        <vertAlign val="baseline"/>
        <sz val="11"/>
        <color theme="0"/>
        <name val="Nunito"/>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fgColor indexed="64"/>
          <bgColor theme="6" tint="0.79998168889431442"/>
        </patternFill>
      </fill>
    </dxf>
    <dxf>
      <fill>
        <patternFill patternType="solid">
          <fgColor indexed="64"/>
          <bgColor theme="9" tint="0.79998168889431442"/>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Nunito"/>
        <family val="2"/>
        <scheme val="minor"/>
      </font>
      <fill>
        <patternFill patternType="solid">
          <fgColor indexed="64"/>
          <bgColor theme="6"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Nunito"/>
        <family val="2"/>
        <scheme val="minor"/>
      </font>
      <fill>
        <patternFill patternType="solid">
          <fgColor indexed="64"/>
          <bgColor theme="6" tint="0.79998168889431442"/>
        </patternFill>
      </fill>
      <alignment horizontal="left" vertical="bottom" textRotation="0" wrapText="0" indent="0" justifyLastLine="0" shrinkToFit="0" readingOrder="0"/>
    </dxf>
    <dxf>
      <border outline="0">
        <top style="thin">
          <color rgb="FFFFFFFF"/>
        </top>
      </border>
    </dxf>
    <dxf>
      <border outline="0">
        <bottom style="thick">
          <color theme="0"/>
        </bottom>
      </border>
    </dxf>
    <dxf>
      <font>
        <b/>
        <i val="0"/>
        <strike val="0"/>
        <condense val="0"/>
        <extend val="0"/>
        <outline val="0"/>
        <shadow val="0"/>
        <u val="none"/>
        <vertAlign val="baseline"/>
        <sz val="11"/>
        <color theme="0"/>
        <name val="Nunito"/>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fgColor indexed="64"/>
          <bgColor theme="6" tint="0.79998168889431442"/>
        </patternFill>
      </fill>
      <alignment textRotation="0" wrapText="0" indent="0" justifyLastLine="0" shrinkToFit="0" readingOrder="0"/>
    </dxf>
    <dxf>
      <font>
        <b val="0"/>
        <i val="0"/>
        <strike val="0"/>
        <condense val="0"/>
        <extend val="0"/>
        <outline val="0"/>
        <shadow val="0"/>
        <u val="none"/>
        <vertAlign val="baseline"/>
        <sz val="11"/>
        <color theme="1"/>
        <name val="Nunito"/>
        <family val="2"/>
        <scheme val="minor"/>
      </font>
      <fill>
        <patternFill patternType="solid">
          <fgColor indexed="64"/>
          <bgColor theme="6" tint="0.79998168889431442"/>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Nunito"/>
        <family val="2"/>
        <scheme val="minor"/>
      </font>
      <fill>
        <patternFill patternType="solid">
          <fgColor indexed="64"/>
          <bgColor theme="6" tint="0.79998168889431442"/>
        </patternFill>
      </fill>
    </dxf>
    <dxf>
      <font>
        <b val="0"/>
        <i val="0"/>
        <strike val="0"/>
        <condense val="0"/>
        <extend val="0"/>
        <outline val="0"/>
        <shadow val="0"/>
        <u val="none"/>
        <vertAlign val="baseline"/>
        <sz val="11"/>
        <color theme="1"/>
        <name val="Nunito"/>
        <family val="2"/>
        <scheme val="minor"/>
      </font>
      <fill>
        <patternFill patternType="solid">
          <fgColor indexed="64"/>
          <bgColor theme="6" tint="0.79998168889431442"/>
        </patternFill>
      </fill>
      <alignment textRotation="0" wrapText="1" indent="0" justifyLastLine="0" shrinkToFit="0" readingOrder="0"/>
      <border diagonalUp="0" diagonalDown="0" outline="0">
        <left style="thin">
          <color theme="0"/>
        </left>
        <right style="thin">
          <color theme="0"/>
        </right>
        <top style="thin">
          <color theme="0"/>
        </top>
        <bottom style="thin">
          <color theme="0"/>
        </bottom>
      </border>
    </dxf>
    <dxf>
      <fill>
        <patternFill>
          <fgColor indexed="64"/>
          <bgColor theme="6" tint="0.79998168889431442"/>
        </patternFill>
      </fill>
    </dxf>
    <dxf>
      <alignment horizontal="center" vertical="center" textRotation="0" indent="0" justifyLastLine="0" shrinkToFit="0" readingOrder="0"/>
    </dxf>
    <dxf>
      <font>
        <strike val="0"/>
        <outline val="0"/>
        <shadow val="0"/>
        <u val="none"/>
        <vertAlign val="baseline"/>
        <sz val="11"/>
        <color theme="8"/>
        <name val="Nunito"/>
        <family val="2"/>
        <scheme val="minor"/>
      </font>
      <numFmt numFmtId="174" formatCode="0.000"/>
      <fill>
        <patternFill patternType="solid">
          <fgColor indexed="64"/>
          <bgColor theme="6" tint="0.79998168889431442"/>
        </patternFill>
      </fill>
    </dxf>
    <dxf>
      <font>
        <strike val="0"/>
        <outline val="0"/>
        <shadow val="0"/>
        <u val="none"/>
        <vertAlign val="baseline"/>
        <sz val="11"/>
        <color theme="8"/>
        <name val="Nunito"/>
        <family val="2"/>
        <scheme val="minor"/>
      </font>
      <numFmt numFmtId="174" formatCode="0.000"/>
      <fill>
        <patternFill patternType="solid">
          <fgColor indexed="64"/>
          <bgColor theme="6" tint="0.79998168889431442"/>
        </patternFill>
      </fill>
    </dxf>
    <dxf>
      <font>
        <b val="0"/>
        <i val="0"/>
        <strike val="0"/>
        <condense val="0"/>
        <extend val="0"/>
        <outline val="0"/>
        <shadow val="0"/>
        <u val="none"/>
        <vertAlign val="baseline"/>
        <sz val="11"/>
        <color theme="5"/>
        <name val="Nunito"/>
        <family val="2"/>
        <scheme val="minor"/>
      </font>
      <numFmt numFmtId="174" formatCode="0.000"/>
      <fill>
        <patternFill patternType="solid">
          <fgColor indexed="64"/>
          <bgColor theme="6" tint="0.79998168889431442"/>
        </patternFill>
      </fill>
      <alignment horizontal="general" vertical="bottom" textRotation="0" wrapText="1" indent="0" justifyLastLine="0" shrinkToFit="0" readingOrder="0"/>
    </dxf>
    <dxf>
      <font>
        <strike val="0"/>
        <outline val="0"/>
        <shadow val="0"/>
        <u val="none"/>
        <vertAlign val="baseline"/>
        <sz val="11"/>
        <color theme="8"/>
        <name val="Nunito"/>
        <family val="2"/>
        <scheme val="minor"/>
      </font>
      <numFmt numFmtId="174" formatCode="0.000"/>
      <fill>
        <patternFill patternType="solid">
          <fgColor indexed="64"/>
          <bgColor theme="6" tint="0.79998168889431442"/>
        </patternFill>
      </fill>
      <alignment horizontal="general" vertical="bottom" textRotation="0" wrapText="1" indent="0" justifyLastLine="0" shrinkToFit="0" readingOrder="0"/>
    </dxf>
    <dxf>
      <font>
        <strike val="0"/>
        <outline val="0"/>
        <shadow val="0"/>
        <u val="none"/>
        <vertAlign val="baseline"/>
        <sz val="11"/>
        <color theme="8"/>
        <name val="Nunito"/>
        <family val="2"/>
        <scheme val="minor"/>
      </font>
      <numFmt numFmtId="173" formatCode="_ * #,##0.000_ ;_ * \-#,##0.000_ ;_ * &quot;-&quot;???_ ;_ @_ "/>
      <fill>
        <patternFill patternType="solid">
          <fgColor indexed="64"/>
          <bgColor theme="6" tint="0.79998168889431442"/>
        </patternFill>
      </fill>
      <alignment horizontal="right" vertical="bottom" textRotation="0" wrapText="1" indent="0" justifyLastLine="0" shrinkToFit="0" readingOrder="0"/>
    </dxf>
    <dxf>
      <numFmt numFmtId="2" formatCode="0.00"/>
      <fill>
        <patternFill patternType="solid">
          <fgColor indexed="64"/>
          <bgColor theme="9" tint="0.79998168889431442"/>
        </patternFill>
      </fill>
      <alignment horizontal="general" vertical="bottom" textRotation="0" wrapText="1" indent="0" justifyLastLine="0" shrinkToFit="0" readingOrder="0"/>
      <protection locked="0" hidden="0"/>
    </dxf>
    <dxf>
      <fill>
        <patternFill patternType="solid">
          <fgColor indexed="64"/>
          <bgColor theme="6" tint="0.79998168889431442"/>
        </patternFill>
      </fill>
      <alignment horizontal="general" vertical="bottom" textRotation="0" wrapText="1" indent="0" justifyLastLine="0" shrinkToFit="0" readingOrder="0"/>
    </dxf>
    <dxf>
      <fill>
        <patternFill patternType="solid">
          <fgColor indexed="64"/>
          <bgColor theme="6" tint="0.79998168889431442"/>
        </patternFill>
      </fill>
    </dxf>
    <dxf>
      <fill>
        <patternFill patternType="solid">
          <fgColor indexed="64"/>
          <bgColor theme="6" tint="0.79998168889431442"/>
        </patternFill>
      </fill>
    </dxf>
    <dxf>
      <numFmt numFmtId="0" formatCode="General"/>
      <fill>
        <patternFill patternType="solid">
          <fgColor indexed="64"/>
          <bgColor theme="6" tint="0.79998168889431442"/>
        </patternFill>
      </fill>
    </dxf>
    <dxf>
      <fill>
        <patternFill patternType="solid">
          <fgColor indexed="64"/>
          <bgColor theme="6" tint="0.79998168889431442"/>
        </patternFill>
      </fill>
    </dxf>
    <dxf>
      <font>
        <strike val="0"/>
        <outline val="0"/>
        <shadow val="0"/>
        <u val="none"/>
        <vertAlign val="baseline"/>
        <sz val="11"/>
        <color theme="8"/>
        <name val="Nunito"/>
        <family val="2"/>
        <scheme val="minor"/>
      </font>
      <numFmt numFmtId="0" formatCode="General"/>
      <fill>
        <patternFill>
          <fgColor indexed="64"/>
          <bgColor theme="6" tint="0.79998168889431442"/>
        </patternFill>
      </fill>
    </dxf>
    <dxf>
      <font>
        <b val="0"/>
        <i val="0"/>
        <strike val="0"/>
        <condense val="0"/>
        <extend val="0"/>
        <outline val="0"/>
        <shadow val="0"/>
        <u val="none"/>
        <vertAlign val="baseline"/>
        <sz val="11"/>
        <color theme="1"/>
        <name val="Nunito"/>
        <family val="2"/>
        <scheme val="minor"/>
      </font>
      <fill>
        <patternFill patternType="solid">
          <fgColor indexed="64"/>
          <bgColor theme="6" tint="0.79998168889431442"/>
        </patternFill>
      </fill>
    </dxf>
    <dxf>
      <font>
        <b val="0"/>
        <i val="0"/>
        <strike val="0"/>
        <condense val="0"/>
        <extend val="0"/>
        <outline val="0"/>
        <shadow val="0"/>
        <u val="none"/>
        <vertAlign val="baseline"/>
        <sz val="11"/>
        <color theme="1"/>
        <name val="Nunito"/>
        <family val="2"/>
        <scheme val="minor"/>
      </font>
      <fill>
        <patternFill patternType="solid">
          <fgColor indexed="64"/>
          <bgColor theme="6" tint="0.79998168889431442"/>
        </patternFill>
      </fill>
    </dxf>
    <dxf>
      <fill>
        <patternFill>
          <fgColor indexed="64"/>
          <bgColor theme="6" tint="0.79998168889431442"/>
        </patternFill>
      </fill>
    </dxf>
    <dxf>
      <alignment horizontal="center" vertical="center" textRotation="0" wrapText="0" indent="0" justifyLastLine="0" shrinkToFit="0" readingOrder="0"/>
    </dxf>
    <dxf>
      <font>
        <strike val="0"/>
        <outline val="0"/>
        <shadow val="0"/>
        <u val="none"/>
        <vertAlign val="baseline"/>
        <sz val="11"/>
        <color theme="8"/>
        <name val="Nunito"/>
        <family val="2"/>
        <scheme val="minor"/>
      </font>
      <fill>
        <patternFill patternType="solid">
          <fgColor indexed="64"/>
          <bgColor theme="6" tint="0.79998168889431442"/>
        </patternFill>
      </fill>
    </dxf>
    <dxf>
      <font>
        <strike val="0"/>
        <outline val="0"/>
        <shadow val="0"/>
        <u val="none"/>
        <vertAlign val="baseline"/>
        <sz val="11"/>
        <color theme="8"/>
        <name val="Nunito"/>
        <family val="2"/>
        <scheme val="minor"/>
      </font>
      <fill>
        <patternFill patternType="solid">
          <fgColor indexed="64"/>
          <bgColor theme="6" tint="0.79998168889431442"/>
        </patternFill>
      </fill>
    </dxf>
    <dxf>
      <font>
        <strike val="0"/>
        <outline val="0"/>
        <shadow val="0"/>
        <u val="none"/>
        <vertAlign val="baseline"/>
        <sz val="11"/>
        <color theme="8"/>
        <name val="Nunito"/>
        <family val="2"/>
        <scheme val="minor"/>
      </font>
      <fill>
        <patternFill patternType="solid">
          <fgColor indexed="64"/>
          <bgColor theme="6" tint="0.79998168889431442"/>
        </patternFill>
      </fill>
    </dxf>
    <dxf>
      <font>
        <strike val="0"/>
        <outline val="0"/>
        <shadow val="0"/>
        <u val="none"/>
        <vertAlign val="baseline"/>
        <sz val="11"/>
        <color theme="8"/>
        <name val="Nunito"/>
        <family val="2"/>
        <scheme val="minor"/>
      </font>
      <fill>
        <patternFill patternType="solid">
          <fgColor indexed="64"/>
          <bgColor theme="6" tint="0.79998168889431442"/>
        </patternFill>
      </fill>
    </dxf>
    <dxf>
      <font>
        <strike val="0"/>
        <outline val="0"/>
        <shadow val="0"/>
        <u val="none"/>
        <vertAlign val="baseline"/>
        <sz val="11"/>
        <color theme="8"/>
        <name val="Nunito"/>
        <family val="2"/>
        <scheme val="minor"/>
      </font>
      <fill>
        <patternFill patternType="solid">
          <fgColor indexed="64"/>
          <bgColor theme="6" tint="0.79998168889431442"/>
        </patternFill>
      </fill>
    </dxf>
    <dxf>
      <font>
        <strike val="0"/>
        <outline val="0"/>
        <shadow val="0"/>
        <u val="none"/>
        <vertAlign val="baseline"/>
        <sz val="11"/>
        <color theme="8"/>
        <name val="Nunito"/>
        <family val="2"/>
        <scheme val="minor"/>
      </font>
      <fill>
        <patternFill patternType="solid">
          <fgColor indexed="64"/>
          <bgColor theme="6" tint="0.79998168889431442"/>
        </patternFill>
      </fill>
    </dxf>
    <dxf>
      <font>
        <strike val="0"/>
        <outline val="0"/>
        <shadow val="0"/>
        <u val="none"/>
        <vertAlign val="baseline"/>
        <sz val="11"/>
        <color theme="8"/>
        <name val="Nunito"/>
        <family val="2"/>
        <scheme val="minor"/>
      </font>
      <fill>
        <patternFill patternType="solid">
          <fgColor indexed="64"/>
          <bgColor theme="6" tint="0.79998168889431442"/>
        </patternFill>
      </fill>
    </dxf>
    <dxf>
      <font>
        <strike val="0"/>
        <outline val="0"/>
        <shadow val="0"/>
        <u val="none"/>
        <vertAlign val="baseline"/>
        <sz val="11"/>
        <color theme="8"/>
        <name val="Nunito"/>
        <family val="2"/>
        <scheme val="minor"/>
      </font>
      <fill>
        <patternFill patternType="solid">
          <fgColor indexed="64"/>
          <bgColor theme="6" tint="0.79998168889431442"/>
        </patternFill>
      </fill>
    </dxf>
    <dxf>
      <font>
        <strike val="0"/>
        <outline val="0"/>
        <shadow val="0"/>
        <u val="none"/>
        <vertAlign val="baseline"/>
        <sz val="11"/>
        <color theme="8"/>
        <name val="Nunito"/>
        <family val="2"/>
        <scheme val="minor"/>
      </font>
      <fill>
        <patternFill patternType="solid">
          <fgColor indexed="64"/>
          <bgColor theme="6" tint="0.79998168889431442"/>
        </patternFill>
      </fill>
    </dxf>
    <dxf>
      <font>
        <strike val="0"/>
        <outline val="0"/>
        <shadow val="0"/>
        <u val="none"/>
        <vertAlign val="baseline"/>
        <sz val="11"/>
        <color theme="8"/>
        <name val="Nunito"/>
        <family val="2"/>
        <scheme val="minor"/>
      </font>
      <fill>
        <patternFill patternType="solid">
          <fgColor indexed="64"/>
          <bgColor theme="6" tint="0.79998168889431442"/>
        </patternFill>
      </fill>
    </dxf>
    <dxf>
      <font>
        <strike val="0"/>
        <outline val="0"/>
        <shadow val="0"/>
        <u val="none"/>
        <vertAlign val="baseline"/>
        <sz val="11"/>
        <color theme="8"/>
        <name val="Nunito"/>
        <family val="2"/>
        <scheme val="minor"/>
      </font>
      <fill>
        <patternFill patternType="solid">
          <fgColor indexed="64"/>
          <bgColor theme="6" tint="0.79998168889431442"/>
        </patternFill>
      </fill>
    </dxf>
    <dxf>
      <font>
        <strike val="0"/>
        <outline val="0"/>
        <shadow val="0"/>
        <u val="none"/>
        <vertAlign val="baseline"/>
        <sz val="11"/>
        <color theme="8"/>
        <name val="Nunito"/>
        <family val="2"/>
        <scheme val="minor"/>
      </font>
      <fill>
        <patternFill patternType="solid">
          <fgColor indexed="64"/>
          <bgColor theme="6" tint="0.79998168889431442"/>
        </patternFill>
      </fill>
    </dxf>
    <dxf>
      <font>
        <strike val="0"/>
        <outline val="0"/>
        <shadow val="0"/>
        <u val="none"/>
        <vertAlign val="baseline"/>
        <sz val="11"/>
        <color theme="8"/>
        <name val="Nunito"/>
        <family val="2"/>
        <scheme val="minor"/>
      </font>
      <fill>
        <patternFill patternType="solid">
          <fgColor indexed="64"/>
          <bgColor theme="6" tint="0.79998168889431442"/>
        </patternFill>
      </fill>
    </dxf>
    <dxf>
      <font>
        <strike val="0"/>
        <outline val="0"/>
        <shadow val="0"/>
        <u val="none"/>
        <vertAlign val="baseline"/>
        <sz val="11"/>
        <color theme="8"/>
        <name val="Nunito"/>
        <family val="2"/>
        <scheme val="minor"/>
      </font>
      <fill>
        <patternFill patternType="solid">
          <fgColor indexed="64"/>
          <bgColor theme="6" tint="0.79998168889431442"/>
        </patternFill>
      </fill>
    </dxf>
    <dxf>
      <font>
        <strike val="0"/>
        <outline val="0"/>
        <shadow val="0"/>
        <u val="none"/>
        <vertAlign val="baseline"/>
        <sz val="11"/>
        <color theme="8"/>
        <name val="Nunito"/>
        <family val="2"/>
        <scheme val="minor"/>
      </font>
      <fill>
        <patternFill patternType="solid">
          <fgColor indexed="64"/>
          <bgColor theme="6" tint="0.79998168889431442"/>
        </patternFill>
      </fill>
    </dxf>
    <dxf>
      <font>
        <strike val="0"/>
        <outline val="0"/>
        <shadow val="0"/>
        <u val="none"/>
        <vertAlign val="baseline"/>
        <sz val="11"/>
        <color theme="8"/>
        <name val="Nunito"/>
        <family val="2"/>
        <scheme val="minor"/>
      </font>
      <fill>
        <patternFill patternType="solid">
          <fgColor indexed="64"/>
          <bgColor theme="6" tint="0.79998168889431442"/>
        </patternFill>
      </fill>
    </dxf>
    <dxf>
      <font>
        <strike val="0"/>
        <outline val="0"/>
        <shadow val="0"/>
        <u val="none"/>
        <vertAlign val="baseline"/>
        <sz val="11"/>
        <color theme="8"/>
        <name val="Nunito"/>
        <family val="2"/>
        <scheme val="minor"/>
      </font>
      <fill>
        <patternFill patternType="solid">
          <fgColor indexed="64"/>
          <bgColor theme="6" tint="0.79998168889431442"/>
        </patternFill>
      </fill>
    </dxf>
    <dxf>
      <font>
        <strike val="0"/>
        <outline val="0"/>
        <shadow val="0"/>
        <u val="none"/>
        <vertAlign val="baseline"/>
        <sz val="11"/>
        <color theme="8"/>
        <name val="Nunito"/>
        <family val="2"/>
        <scheme val="minor"/>
      </font>
      <fill>
        <patternFill patternType="solid">
          <fgColor indexed="64"/>
          <bgColor theme="6" tint="0.79998168889431442"/>
        </patternFill>
      </fill>
    </dxf>
    <dxf>
      <font>
        <strike val="0"/>
        <outline val="0"/>
        <shadow val="0"/>
        <u val="none"/>
        <vertAlign val="baseline"/>
        <sz val="11"/>
        <color theme="8"/>
        <name val="Nunito"/>
        <family val="2"/>
        <scheme val="minor"/>
      </font>
      <fill>
        <patternFill patternType="solid">
          <fgColor indexed="64"/>
          <bgColor theme="6" tint="0.79998168889431442"/>
        </patternFill>
      </fill>
    </dxf>
    <dxf>
      <font>
        <strike val="0"/>
        <outline val="0"/>
        <shadow val="0"/>
        <u val="none"/>
        <vertAlign val="baseline"/>
        <sz val="11"/>
        <color theme="8"/>
        <name val="Nunito"/>
        <family val="2"/>
        <scheme val="minor"/>
      </font>
      <fill>
        <patternFill patternType="solid">
          <fgColor indexed="64"/>
          <bgColor theme="6" tint="0.79998168889431442"/>
        </patternFill>
      </fill>
    </dxf>
    <dxf>
      <fill>
        <patternFill patternType="solid">
          <fgColor indexed="64"/>
          <bgColor theme="6" tint="0.79998168889431442"/>
        </patternFill>
      </fill>
    </dxf>
    <dxf>
      <font>
        <b val="0"/>
        <i val="0"/>
        <strike val="0"/>
        <condense val="0"/>
        <extend val="0"/>
        <outline val="0"/>
        <shadow val="0"/>
        <u val="none"/>
        <vertAlign val="baseline"/>
        <sz val="11"/>
        <color theme="7"/>
        <name val="Nunito"/>
        <family val="2"/>
        <scheme val="minor"/>
      </font>
      <numFmt numFmtId="35" formatCode="_ * #,##0.00_ ;_ * \-#,##0.00_ ;_ * &quot;-&quot;??_ ;_ @_ "/>
      <fill>
        <patternFill patternType="solid">
          <fgColor indexed="64"/>
          <bgColor theme="6" tint="0.79998168889431442"/>
        </patternFill>
      </fill>
    </dxf>
    <dxf>
      <font>
        <b val="0"/>
        <i val="0"/>
        <strike val="0"/>
        <condense val="0"/>
        <extend val="0"/>
        <outline val="0"/>
        <shadow val="0"/>
        <u val="none"/>
        <vertAlign val="baseline"/>
        <sz val="11"/>
        <color theme="7"/>
        <name val="Nunito"/>
        <family val="2"/>
        <scheme val="minor"/>
      </font>
      <numFmt numFmtId="172" formatCode="_ * #,##0.000_ ;_ * \-#,##0.000_ ;_ * &quot;-&quot;??_ ;_ @_ "/>
      <fill>
        <patternFill patternType="solid">
          <fgColor indexed="64"/>
          <bgColor theme="6" tint="0.79998168889431442"/>
        </patternFill>
      </fill>
    </dxf>
    <dxf>
      <fill>
        <patternFill patternType="solid">
          <fgColor indexed="64"/>
          <bgColor theme="6" tint="0.79998168889431442"/>
        </patternFill>
      </fill>
    </dxf>
    <dxf>
      <fill>
        <patternFill patternType="solid">
          <fgColor indexed="64"/>
          <bgColor theme="6" tint="0.79998168889431442"/>
        </patternFill>
      </fill>
    </dxf>
    <dxf>
      <fill>
        <patternFill>
          <fgColor indexed="64"/>
          <bgColor theme="4"/>
        </patternFill>
      </fill>
      <alignment horizontal="center" vertical="bottom" textRotation="0" wrapText="0" indent="0" justifyLastLine="0" shrinkToFit="0" readingOrder="0"/>
    </dxf>
    <dxf>
      <font>
        <strike val="0"/>
        <outline val="0"/>
        <shadow val="0"/>
        <u val="none"/>
        <vertAlign val="baseline"/>
        <sz val="11"/>
        <color theme="8"/>
        <name val="Nunito"/>
        <family val="2"/>
        <scheme val="minor"/>
      </font>
      <fill>
        <patternFill>
          <fgColor indexed="64"/>
          <bgColor theme="2" tint="0.79998168889431442"/>
        </patternFill>
      </fill>
      <alignment horizontal="left" vertical="bottom" textRotation="0" indent="0" justifyLastLine="0" shrinkToFit="0" readingOrder="0"/>
    </dxf>
    <dxf>
      <font>
        <strike val="0"/>
        <outline val="0"/>
        <shadow val="0"/>
        <u val="none"/>
        <vertAlign val="baseline"/>
        <sz val="11"/>
        <color theme="8"/>
        <name val="Nunito"/>
        <family val="2"/>
        <scheme val="minor"/>
      </font>
      <fill>
        <patternFill>
          <fgColor indexed="64"/>
          <bgColor theme="2" tint="0.79998168889431442"/>
        </patternFill>
      </fill>
      <alignment horizontal="left" vertical="bottom" textRotation="0" wrapText="1" indent="0" justifyLastLine="0" shrinkToFit="0" readingOrder="0"/>
    </dxf>
    <dxf>
      <font>
        <strike val="0"/>
        <outline val="0"/>
        <shadow val="0"/>
        <u val="none"/>
        <vertAlign val="baseline"/>
        <sz val="11"/>
        <color theme="8"/>
        <name val="Nunito"/>
        <family val="2"/>
        <scheme val="minor"/>
      </font>
      <fill>
        <patternFill>
          <fgColor indexed="64"/>
          <bgColor theme="2" tint="0.79998168889431442"/>
        </patternFill>
      </fill>
      <alignment horizontal="right" vertical="bottom" textRotation="0" wrapText="0" indent="0" justifyLastLine="0" shrinkToFit="0" readingOrder="0"/>
    </dxf>
    <dxf>
      <fill>
        <patternFill patternType="solid">
          <fgColor indexed="64"/>
          <bgColor theme="9" tint="0.79998168889431442"/>
        </patternFill>
      </fill>
      <alignment horizontal="center" vertical="bottom" textRotation="0" wrapText="0" indent="0" justifyLastLine="0" shrinkToFit="0" readingOrder="0"/>
      <protection locked="0" hidden="0"/>
    </dxf>
    <dxf>
      <font>
        <strike val="0"/>
        <outline val="0"/>
        <shadow val="0"/>
        <u val="none"/>
        <vertAlign val="baseline"/>
        <sz val="11"/>
        <color theme="5"/>
        <name val="Nunito"/>
        <family val="2"/>
        <scheme val="minor"/>
      </font>
      <fill>
        <patternFill>
          <fgColor indexed="64"/>
          <bgColor theme="2" tint="0.79998168889431442"/>
        </patternFill>
      </fill>
      <alignment horizontal="right" vertical="bottom" textRotation="0" wrapText="0" indent="0" justifyLastLine="0" shrinkToFit="0" readingOrder="0"/>
    </dxf>
    <dxf>
      <font>
        <strike val="0"/>
        <outline val="0"/>
        <shadow val="0"/>
        <u val="none"/>
        <vertAlign val="baseline"/>
        <sz val="11"/>
        <color theme="5"/>
        <name val="Nunito"/>
        <family val="2"/>
        <scheme val="minor"/>
      </font>
      <numFmt numFmtId="172" formatCode="_ * #,##0.000_ ;_ * \-#,##0.000_ ;_ * &quot;-&quot;??_ ;_ @_ "/>
      <fill>
        <patternFill>
          <fgColor indexed="64"/>
          <bgColor theme="2" tint="0.79998168889431442"/>
        </patternFill>
      </fill>
      <alignment horizontal="right" vertical="bottom" textRotation="0" wrapText="0" indent="0" justifyLastLine="0" shrinkToFit="0" readingOrder="0"/>
    </dxf>
    <dxf>
      <fill>
        <patternFill patternType="solid">
          <fgColor indexed="64"/>
          <bgColor theme="9" tint="0.79998168889431442"/>
        </patternFill>
      </fill>
      <alignment horizontal="center" vertical="bottom" textRotation="0" wrapText="0" indent="0" justifyLastLine="0" shrinkToFit="0" readingOrder="0"/>
      <protection locked="0" hidden="0"/>
    </dxf>
    <dxf>
      <font>
        <strike val="0"/>
        <outline val="0"/>
        <shadow val="0"/>
        <u val="none"/>
        <vertAlign val="baseline"/>
        <sz val="11"/>
        <color theme="5"/>
        <name val="Nunito"/>
        <family val="2"/>
        <scheme val="minor"/>
      </font>
      <numFmt numFmtId="167" formatCode="0.0"/>
      <fill>
        <patternFill>
          <fgColor indexed="64"/>
          <bgColor theme="2" tint="0.79998168889431442"/>
        </patternFill>
      </fill>
      <alignment horizontal="right" vertical="bottom" textRotation="0" wrapText="0" indent="0" justifyLastLine="0" shrinkToFit="0" readingOrder="0"/>
    </dxf>
    <dxf>
      <fill>
        <patternFill patternType="solid">
          <fgColor indexed="64"/>
          <bgColor theme="9" tint="0.79998168889431442"/>
        </patternFill>
      </fill>
      <alignment horizontal="center" vertical="bottom" textRotation="0" wrapText="0" indent="0" justifyLastLine="0" shrinkToFit="0" readingOrder="0"/>
      <protection locked="0" hidden="0"/>
    </dxf>
    <dxf>
      <fill>
        <patternFill patternType="solid">
          <fgColor indexed="64"/>
          <bgColor theme="2" tint="0.79998168889431442"/>
        </patternFill>
      </fill>
      <alignment horizontal="left" vertical="bottom" textRotation="0" wrapText="0" indent="0" justifyLastLine="0" shrinkToFit="0" readingOrder="0"/>
    </dxf>
    <dxf>
      <fill>
        <patternFill patternType="solid">
          <fgColor indexed="64"/>
          <bgColor theme="2" tint="0.79998168889431442"/>
        </patternFill>
      </fill>
      <alignment horizontal="left" vertical="bottom" textRotation="0" wrapText="0" indent="0" justifyLastLine="0" shrinkToFit="0" readingOrder="0"/>
    </dxf>
    <dxf>
      <fill>
        <patternFill patternType="solid">
          <fgColor indexed="64"/>
          <bgColor theme="2" tint="0.79998168889431442"/>
        </patternFill>
      </fill>
      <alignment horizontal="left" vertical="bottom" textRotation="0" wrapText="0" indent="0" justifyLastLine="0" shrinkToFit="0" readingOrder="0"/>
    </dxf>
    <dxf>
      <font>
        <strike val="0"/>
        <outline val="0"/>
        <shadow val="0"/>
        <u val="none"/>
        <vertAlign val="baseline"/>
        <sz val="11"/>
        <color theme="8"/>
        <name val="Nunito"/>
        <family val="2"/>
        <scheme val="minor"/>
      </font>
      <fill>
        <patternFill patternType="solid">
          <fgColor indexed="64"/>
          <bgColor theme="2" tint="0.79998168889431442"/>
        </patternFill>
      </fill>
      <alignment horizontal="left" vertical="bottom" textRotation="0" wrapText="0" indent="0" justifyLastLine="0" shrinkToFit="0" readingOrder="0"/>
    </dxf>
    <dxf>
      <fill>
        <patternFill>
          <fgColor indexed="64"/>
          <bgColor theme="2" tint="0.79998168889431442"/>
        </patternFill>
      </fill>
    </dxf>
    <dxf>
      <font>
        <b/>
        <i val="0"/>
        <strike val="0"/>
        <condense val="0"/>
        <extend val="0"/>
        <outline val="0"/>
        <shadow val="0"/>
        <u val="none"/>
        <vertAlign val="baseline"/>
        <sz val="11"/>
        <color theme="0"/>
        <name val="Nunito"/>
        <family val="2"/>
        <scheme val="minor"/>
      </font>
      <fill>
        <patternFill patternType="solid">
          <fgColor theme="4"/>
          <bgColor theme="4"/>
        </patternFill>
      </fill>
      <alignment horizontal="center" vertical="center" textRotation="0" wrapText="1" indent="0" justifyLastLine="0" shrinkToFit="0" readingOrder="0"/>
    </dxf>
    <dxf>
      <numFmt numFmtId="176" formatCode="_(* #,##0.00_);_(* \(#,##0.00\);_(* &quot;-&quot;??_);_(@_)"/>
      <fill>
        <patternFill patternType="solid">
          <fgColor indexed="64"/>
          <bgColor theme="9" tint="0.79998168889431442"/>
        </patternFill>
      </fill>
      <alignment horizontal="general" vertical="bottom" textRotation="0" wrapText="0" indent="0" justifyLastLine="0" shrinkToFit="0" readingOrder="0"/>
      <protection locked="0" hidden="0"/>
    </dxf>
    <dxf>
      <numFmt numFmtId="172" formatCode="_ * #,##0.000_ ;_ * \-#,##0.000_ ;_ * &quot;-&quot;??_ ;_ @_ "/>
      <fill>
        <patternFill patternType="solid">
          <fgColor indexed="64"/>
          <bgColor theme="9" tint="0.79998168889431442"/>
        </patternFill>
      </fill>
      <alignment horizontal="general" vertical="bottom" textRotation="0" wrapText="0" indent="0" justifyLastLine="0" shrinkToFit="0" readingOrder="0"/>
      <protection locked="0" hidden="0"/>
    </dxf>
    <dxf>
      <fill>
        <patternFill patternType="solid">
          <fgColor indexed="64"/>
          <bgColor theme="2" tint="0.79998168889431442"/>
        </patternFill>
      </fill>
    </dxf>
    <dxf>
      <fill>
        <patternFill patternType="solid">
          <fgColor indexed="64"/>
          <bgColor theme="9" tint="0.79998168889431442"/>
        </patternFill>
      </fill>
      <alignment horizontal="center" vertical="bottom" textRotation="0" wrapText="0" indent="0" justifyLastLine="0" shrinkToFit="0" readingOrder="0"/>
      <protection locked="0" hidden="0"/>
    </dxf>
    <dxf>
      <fill>
        <patternFill patternType="solid">
          <fgColor indexed="64"/>
          <bgColor theme="2" tint="0.79998168889431442"/>
        </patternFill>
      </fill>
    </dxf>
    <dxf>
      <alignment horizontal="center" vertical="bottom" textRotation="0" wrapText="0" indent="0" justifyLastLine="0" shrinkToFit="0" readingOrder="0"/>
    </dxf>
    <dxf>
      <numFmt numFmtId="3" formatCode="#,##0"/>
      <fill>
        <patternFill patternType="none">
          <fgColor indexed="64"/>
          <bgColor auto="1"/>
        </patternFill>
      </fill>
    </dxf>
    <dxf>
      <numFmt numFmtId="164" formatCode="&quot;€&quot;\ #,##0"/>
    </dxf>
    <dxf>
      <numFmt numFmtId="164" formatCode="&quot;€&quot;\ #,##0"/>
      <fill>
        <patternFill patternType="none">
          <fgColor indexed="64"/>
          <bgColor auto="1"/>
        </patternFill>
      </fill>
    </dxf>
    <dxf>
      <numFmt numFmtId="164" formatCode="&quot;€&quot;\ #,##0"/>
      <fill>
        <patternFill patternType="none">
          <fgColor indexed="64"/>
          <bgColor auto="1"/>
        </patternFill>
      </fill>
    </dxf>
    <dxf>
      <font>
        <b val="0"/>
        <i val="0"/>
        <strike val="0"/>
        <condense val="0"/>
        <extend val="0"/>
        <outline val="0"/>
        <shadow val="0"/>
        <u val="none"/>
        <vertAlign val="baseline"/>
        <sz val="11"/>
        <color theme="1"/>
        <name val="Nunito"/>
        <family val="2"/>
        <scheme val="minor"/>
      </font>
      <fill>
        <patternFill patternType="none">
          <fgColor indexed="64"/>
          <bgColor auto="1"/>
        </patternFill>
      </fill>
    </dxf>
    <dxf>
      <font>
        <b val="0"/>
        <i val="0"/>
        <strike val="0"/>
        <condense val="0"/>
        <extend val="0"/>
        <outline val="0"/>
        <shadow val="0"/>
        <u val="none"/>
        <vertAlign val="baseline"/>
        <sz val="11"/>
        <color theme="1"/>
        <name val="Nunito"/>
        <family val="2"/>
        <scheme val="minor"/>
      </font>
      <numFmt numFmtId="0" formatCode="General"/>
      <fill>
        <patternFill patternType="none">
          <fgColor indexed="64"/>
          <bgColor auto="1"/>
        </patternFill>
      </fill>
    </dxf>
    <dxf>
      <fill>
        <patternFill patternType="none">
          <fgColor indexed="64"/>
          <bgColor auto="1"/>
        </patternFill>
      </fill>
    </dxf>
    <dxf>
      <fill>
        <patternFill patternType="solid">
          <fgColor indexed="64"/>
          <bgColor theme="3"/>
        </patternFill>
      </fill>
    </dxf>
  </dxfs>
  <tableStyles count="0" defaultTableStyle="TableStyleMedium9" defaultPivotStyle="PivotStyleLight16"/>
  <colors>
    <mruColors>
      <color rgb="FFE667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0">
                <a:solidFill>
                  <a:sysClr val="windowText" lastClr="000000"/>
                </a:solidFill>
              </a:defRPr>
            </a:pPr>
            <a:r>
              <a:rPr lang="nl-NL"/>
              <a:t>Huidige opbrengsten</a:t>
            </a:r>
            <a:r>
              <a:rPr lang="nl-NL" baseline="0"/>
              <a:t> t.o.v. potentiële opbrengsten digitale zorg [miljoen euro]</a:t>
            </a:r>
            <a:endParaRPr lang="nl-NL"/>
          </a:p>
        </c:rich>
      </c:tx>
      <c:overlay val="0"/>
    </c:title>
    <c:autoTitleDeleted val="0"/>
    <c:plotArea>
      <c:layout>
        <c:manualLayout>
          <c:layoutTarget val="inner"/>
          <c:xMode val="edge"/>
          <c:yMode val="edge"/>
          <c:x val="0.32340953348573365"/>
          <c:y val="0.15309424713642436"/>
          <c:w val="0.65593994774750697"/>
          <c:h val="0.83078901373283398"/>
        </c:manualLayout>
      </c:layout>
      <c:barChart>
        <c:barDir val="bar"/>
        <c:grouping val="stacked"/>
        <c:varyColors val="0"/>
        <c:ser>
          <c:idx val="0"/>
          <c:order val="0"/>
          <c:tx>
            <c:strRef>
              <c:f>'A3 - Tabellen bij grafieken'!$B$7</c:f>
              <c:strCache>
                <c:ptCount val="1"/>
                <c:pt idx="0">
                  <c:v>Opbrengsten 2023</c:v>
                </c:pt>
              </c:strCache>
            </c:strRef>
          </c:tx>
          <c:spPr>
            <a:solidFill>
              <a:schemeClr val="accent1"/>
            </a:solidFill>
            <a:ln>
              <a:noFill/>
            </a:ln>
            <a:effectLst/>
          </c:spPr>
          <c:invertIfNegative val="0"/>
          <c:dLbls>
            <c:spPr>
              <a:noFill/>
              <a:ln>
                <a:noFill/>
              </a:ln>
              <a:effectLst/>
            </c:spPr>
            <c:txPr>
              <a:bodyPr rot="0" vert="horz"/>
              <a:lstStyle/>
              <a:p>
                <a:pPr>
                  <a:defRPr>
                    <a:solidFill>
                      <a:schemeClr val="bg1"/>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'A3 - Tabellen bij grafieken'!$A$8:$A$12</c:f>
              <c:strCache>
                <c:ptCount val="5"/>
                <c:pt idx="0">
                  <c:v>Jaarlijkse opbrengsten digitale zorg 2023</c:v>
                </c:pt>
                <c:pt idx="1">
                  <c:v>Extra jaarlijkse opbrengsten bij volledige opschaling</c:v>
                </c:pt>
                <c:pt idx="2">
                  <c:v>Jaarlijkse opbrengsten digitale zorg bij volledige opschaling</c:v>
                </c:pt>
                <c:pt idx="3">
                  <c:v>Extra jaarlijkse opbrengsten bij extrapolatie</c:v>
                </c:pt>
                <c:pt idx="4">
                  <c:v>Potentiële jaarlijkse opbrengsten digitale zorgverlening</c:v>
                </c:pt>
              </c:strCache>
            </c:strRef>
          </c:cat>
          <c:val>
            <c:numRef>
              <c:f>'A3 - Tabellen bij grafieken'!$B$8:$B$12</c:f>
              <c:numCache>
                <c:formatCode>"€"\ #,##0</c:formatCode>
                <c:ptCount val="5"/>
                <c:pt idx="0">
                  <c:v>800</c:v>
                </c:pt>
                <c:pt idx="2">
                  <c:v>2310</c:v>
                </c:pt>
                <c:pt idx="4">
                  <c:v>2939.584481441726</c:v>
                </c:pt>
              </c:numCache>
            </c:numRef>
          </c:val>
          <c:extLst>
            <c:ext xmlns:c16="http://schemas.microsoft.com/office/drawing/2014/chart" uri="{C3380CC4-5D6E-409C-BE32-E72D297353CC}">
              <c16:uniqueId val="{00000000-9C7D-49C1-9BCE-E320B6D9AB67}"/>
            </c:ext>
          </c:extLst>
        </c:ser>
        <c:ser>
          <c:idx val="1"/>
          <c:order val="1"/>
          <c:tx>
            <c:strRef>
              <c:f>'A3 - Tabellen bij grafieken'!$C$7</c:f>
              <c:strCache>
                <c:ptCount val="1"/>
              </c:strCache>
            </c:strRef>
          </c:tx>
          <c:spPr>
            <a:solidFill>
              <a:sysClr val="window" lastClr="FFFFFF"/>
            </a:solidFill>
            <a:ln>
              <a:noFill/>
            </a:ln>
            <a:effectLst/>
          </c:spPr>
          <c:invertIfNegative val="0"/>
          <c:cat>
            <c:strRef>
              <c:f>'A3 - Tabellen bij grafieken'!$A$8:$A$12</c:f>
              <c:strCache>
                <c:ptCount val="5"/>
                <c:pt idx="0">
                  <c:v>Jaarlijkse opbrengsten digitale zorg 2023</c:v>
                </c:pt>
                <c:pt idx="1">
                  <c:v>Extra jaarlijkse opbrengsten bij volledige opschaling</c:v>
                </c:pt>
                <c:pt idx="2">
                  <c:v>Jaarlijkse opbrengsten digitale zorg bij volledige opschaling</c:v>
                </c:pt>
                <c:pt idx="3">
                  <c:v>Extra jaarlijkse opbrengsten bij extrapolatie</c:v>
                </c:pt>
                <c:pt idx="4">
                  <c:v>Potentiële jaarlijkse opbrengsten digitale zorgverlening</c:v>
                </c:pt>
              </c:strCache>
            </c:strRef>
          </c:cat>
          <c:val>
            <c:numRef>
              <c:f>'A3 - Tabellen bij grafieken'!$C$8:$C$12</c:f>
              <c:numCache>
                <c:formatCode>"€"\ #,##0</c:formatCode>
                <c:ptCount val="5"/>
                <c:pt idx="1">
                  <c:v>800</c:v>
                </c:pt>
                <c:pt idx="3">
                  <c:v>2310</c:v>
                </c:pt>
              </c:numCache>
            </c:numRef>
          </c:val>
          <c:extLst>
            <c:ext xmlns:c16="http://schemas.microsoft.com/office/drawing/2014/chart" uri="{C3380CC4-5D6E-409C-BE32-E72D297353CC}">
              <c16:uniqueId val="{00000001-9C7D-49C1-9BCE-E320B6D9AB67}"/>
            </c:ext>
          </c:extLst>
        </c:ser>
        <c:ser>
          <c:idx val="2"/>
          <c:order val="2"/>
          <c:tx>
            <c:strRef>
              <c:f>'A3 - Tabellen bij grafieken'!$D$7</c:f>
              <c:strCache>
                <c:ptCount val="1"/>
                <c:pt idx="0">
                  <c:v>Extra opbrengsten</c:v>
                </c:pt>
              </c:strCache>
            </c:strRef>
          </c:tx>
          <c:invertIfNegative val="0"/>
          <c:dLbls>
            <c:dLbl>
              <c:idx val="1"/>
              <c:layout>
                <c:manualLayout>
                  <c:x val="0.17135201793363353"/>
                  <c:y val="4.42152546743800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248-4CD6-BBAA-76331ABCD474}"/>
                </c:ext>
              </c:extLst>
            </c:dLbl>
            <c:dLbl>
              <c:idx val="2"/>
              <c:layout>
                <c:manualLayout>
                  <c:x val="7.956770997172917E-2"/>
                  <c:y val="3.480453253276518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248-4CD6-BBAA-76331ABCD474}"/>
                </c:ext>
              </c:extLst>
            </c:dLbl>
            <c:dLbl>
              <c:idx val="3"/>
              <c:layout>
                <c:manualLayout>
                  <c:x val="8.3081334879082189E-2"/>
                  <c:y val="9.144830335962776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248-4CD6-BBAA-76331ABCD474}"/>
                </c:ext>
              </c:extLst>
            </c:dLbl>
            <c:spPr>
              <a:noFill/>
              <a:ln>
                <a:noFill/>
              </a:ln>
              <a:effectLst/>
            </c:spPr>
            <c:txPr>
              <a:bodyPr/>
              <a:lstStyle/>
              <a:p>
                <a:pPr>
                  <a:defRPr>
                    <a:solidFill>
                      <a:sysClr val="windowText" lastClr="000000"/>
                    </a:solidFill>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'A3 - Tabellen bij grafieken'!$A$8:$A$12</c:f>
              <c:strCache>
                <c:ptCount val="5"/>
                <c:pt idx="0">
                  <c:v>Jaarlijkse opbrengsten digitale zorg 2023</c:v>
                </c:pt>
                <c:pt idx="1">
                  <c:v>Extra jaarlijkse opbrengsten bij volledige opschaling</c:v>
                </c:pt>
                <c:pt idx="2">
                  <c:v>Jaarlijkse opbrengsten digitale zorg bij volledige opschaling</c:v>
                </c:pt>
                <c:pt idx="3">
                  <c:v>Extra jaarlijkse opbrengsten bij extrapolatie</c:v>
                </c:pt>
                <c:pt idx="4">
                  <c:v>Potentiële jaarlijkse opbrengsten digitale zorgverlening</c:v>
                </c:pt>
              </c:strCache>
            </c:strRef>
          </c:cat>
          <c:val>
            <c:numRef>
              <c:f>'A3 - Tabellen bij grafieken'!$D$8:$D$12</c:f>
              <c:numCache>
                <c:formatCode>"€"\ #,##0</c:formatCode>
                <c:ptCount val="5"/>
                <c:pt idx="1">
                  <c:v>1510</c:v>
                </c:pt>
                <c:pt idx="3">
                  <c:v>629.58448144172576</c:v>
                </c:pt>
              </c:numCache>
            </c:numRef>
          </c:val>
          <c:extLst>
            <c:ext xmlns:c16="http://schemas.microsoft.com/office/drawing/2014/chart" uri="{C3380CC4-5D6E-409C-BE32-E72D297353CC}">
              <c16:uniqueId val="{0000000C-BEF7-4FA6-99F4-82D8A9CCFD2B}"/>
            </c:ext>
          </c:extLst>
        </c:ser>
        <c:dLbls>
          <c:showLegendKey val="0"/>
          <c:showVal val="0"/>
          <c:showCatName val="0"/>
          <c:showSerName val="0"/>
          <c:showPercent val="0"/>
          <c:showBubbleSize val="0"/>
        </c:dLbls>
        <c:gapWidth val="75"/>
        <c:overlap val="100"/>
        <c:axId val="472293432"/>
        <c:axId val="472291792"/>
      </c:barChart>
      <c:catAx>
        <c:axId val="472293432"/>
        <c:scaling>
          <c:orientation val="maxMin"/>
        </c:scaling>
        <c:delete val="0"/>
        <c:axPos val="l"/>
        <c:numFmt formatCode="General" sourceLinked="1"/>
        <c:majorTickMark val="none"/>
        <c:minorTickMark val="none"/>
        <c:tickLblPos val="nextTo"/>
        <c:spPr>
          <a:noFill/>
          <a:effectLst/>
        </c:spPr>
        <c:txPr>
          <a:bodyPr rot="-60000000" vert="horz"/>
          <a:lstStyle/>
          <a:p>
            <a:pPr>
              <a:defRPr>
                <a:solidFill>
                  <a:sysClr val="windowText" lastClr="000000"/>
                </a:solidFill>
              </a:defRPr>
            </a:pPr>
            <a:endParaRPr lang="nl-NL"/>
          </a:p>
        </c:txPr>
        <c:crossAx val="472291792"/>
        <c:crosses val="autoZero"/>
        <c:auto val="1"/>
        <c:lblAlgn val="ctr"/>
        <c:lblOffset val="100"/>
        <c:noMultiLvlLbl val="0"/>
      </c:catAx>
      <c:valAx>
        <c:axId val="472291792"/>
        <c:scaling>
          <c:orientation val="minMax"/>
        </c:scaling>
        <c:delete val="1"/>
        <c:axPos val="t"/>
        <c:majorGridlines>
          <c:spPr>
            <a:ln w="9525" cap="flat" cmpd="sng" algn="ctr">
              <a:noFill/>
              <a:round/>
            </a:ln>
            <a:effectLst/>
          </c:spPr>
        </c:majorGridlines>
        <c:numFmt formatCode="&quot;€&quot;\ #,##0" sourceLinked="1"/>
        <c:majorTickMark val="none"/>
        <c:minorTickMark val="none"/>
        <c:tickLblPos val="nextTo"/>
        <c:crossAx val="4722934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chemeClr val="tx2"/>
          </a:solidFill>
        </a:defRPr>
      </a:pPr>
      <a:endParaRPr lang="nl-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1066590101064387"/>
          <c:y val="0.20506081072856075"/>
          <c:w val="0.45828040863689012"/>
          <c:h val="0.67811892552236108"/>
        </c:manualLayout>
      </c:layout>
      <c:barChart>
        <c:barDir val="bar"/>
        <c:grouping val="stacked"/>
        <c:varyColors val="0"/>
        <c:ser>
          <c:idx val="7"/>
          <c:order val="0"/>
          <c:tx>
            <c:strRef>
              <c:f>'A3 - Tabellen bij grafieken'!$B$61</c:f>
              <c:strCache>
                <c:ptCount val="1"/>
                <c:pt idx="0">
                  <c:v>Opbrengsten 2023</c:v>
                </c:pt>
              </c:strCache>
            </c:strRef>
          </c:tx>
          <c:spPr>
            <a:solidFill>
              <a:srgbClr val="003F5A"/>
            </a:solidFill>
            <a:ln>
              <a:noFill/>
            </a:ln>
          </c:spPr>
          <c:invertIfNegative val="0"/>
          <c:dLbls>
            <c:spPr>
              <a:noFill/>
              <a:ln>
                <a:noFill/>
              </a:ln>
              <a:effectLst/>
            </c:spPr>
            <c:txPr>
              <a:bodyPr wrap="square" lIns="38100" tIns="19050" rIns="38100" bIns="19050" anchor="ctr">
                <a:spAutoFit/>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'A3 - Tabellen bij grafieken'!$A$62:$A$69</c:f>
              <c:strCache>
                <c:ptCount val="8"/>
                <c:pt idx="0">
                  <c:v>Mogelijke opbrengsten digitale zorg 2028</c:v>
                </c:pt>
                <c:pt idx="1">
                  <c:v>Digitale hulpmiddelen - Diagnose</c:v>
                </c:pt>
                <c:pt idx="2">
                  <c:v>Software - Diagnose</c:v>
                </c:pt>
                <c:pt idx="3">
                  <c:v>Sensoren - Behandeling</c:v>
                </c:pt>
                <c:pt idx="4">
                  <c:v>Software - Behandeling</c:v>
                </c:pt>
                <c:pt idx="5">
                  <c:v>Digitale hulpmiddelen - Verpleging</c:v>
                </c:pt>
                <c:pt idx="6">
                  <c:v>Sensoren - Verpleging</c:v>
                </c:pt>
                <c:pt idx="7">
                  <c:v>Mogelijke opbrengsten digitale zorg (incl. gegevensuitwisseling) 2028</c:v>
                </c:pt>
              </c:strCache>
            </c:strRef>
          </c:cat>
          <c:val>
            <c:numRef>
              <c:f>'A3 - Tabellen bij grafieken'!$B$62:$B$69</c:f>
              <c:numCache>
                <c:formatCode>General</c:formatCode>
                <c:ptCount val="8"/>
                <c:pt idx="0" formatCode="&quot;€&quot;\ #,##0">
                  <c:v>800</c:v>
                </c:pt>
                <c:pt idx="7" formatCode="&quot;€&quot;\ #,##0">
                  <c:v>800</c:v>
                </c:pt>
              </c:numCache>
            </c:numRef>
          </c:val>
          <c:extLst>
            <c:ext xmlns:c16="http://schemas.microsoft.com/office/drawing/2014/chart" uri="{C3380CC4-5D6E-409C-BE32-E72D297353CC}">
              <c16:uniqueId val="{00000000-D1EB-4630-A542-2DBCBC0B4584}"/>
            </c:ext>
          </c:extLst>
        </c:ser>
        <c:ser>
          <c:idx val="0"/>
          <c:order val="1"/>
          <c:tx>
            <c:strRef>
              <c:f>'A3 - Tabellen bij grafieken'!$C$61</c:f>
              <c:strCache>
                <c:ptCount val="1"/>
                <c:pt idx="0">
                  <c:v>Extra opbrengsten t.o.v. 2023</c:v>
                </c:pt>
              </c:strCache>
            </c:strRef>
          </c:tx>
          <c:spPr>
            <a:solidFill>
              <a:srgbClr val="1AB589"/>
            </a:solidFill>
            <a:ln>
              <a:noFill/>
            </a:ln>
            <a:effectLst/>
          </c:spPr>
          <c:invertIfNegative val="0"/>
          <c:dLbls>
            <c:spPr>
              <a:noFill/>
              <a:ln>
                <a:noFill/>
              </a:ln>
              <a:effectLst/>
            </c:spPr>
            <c:txPr>
              <a:bodyPr wrap="square" lIns="38100" tIns="19050" rIns="38100" bIns="19050" anchor="ctr">
                <a:spAutoFit/>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'A3 - Tabellen bij grafieken'!$A$62:$A$69</c:f>
              <c:strCache>
                <c:ptCount val="8"/>
                <c:pt idx="0">
                  <c:v>Mogelijke opbrengsten digitale zorg 2028</c:v>
                </c:pt>
                <c:pt idx="1">
                  <c:v>Digitale hulpmiddelen - Diagnose</c:v>
                </c:pt>
                <c:pt idx="2">
                  <c:v>Software - Diagnose</c:v>
                </c:pt>
                <c:pt idx="3">
                  <c:v>Sensoren - Behandeling</c:v>
                </c:pt>
                <c:pt idx="4">
                  <c:v>Software - Behandeling</c:v>
                </c:pt>
                <c:pt idx="5">
                  <c:v>Digitale hulpmiddelen - Verpleging</c:v>
                </c:pt>
                <c:pt idx="6">
                  <c:v>Sensoren - Verpleging</c:v>
                </c:pt>
                <c:pt idx="7">
                  <c:v>Mogelijke opbrengsten digitale zorg (incl. gegevensuitwisseling) 2028</c:v>
                </c:pt>
              </c:strCache>
            </c:strRef>
          </c:cat>
          <c:val>
            <c:numRef>
              <c:f>'A3 - Tabellen bij grafieken'!$C$62:$C$69</c:f>
              <c:numCache>
                <c:formatCode>General</c:formatCode>
                <c:ptCount val="8"/>
                <c:pt idx="0" formatCode="&quot;€&quot;\ #,##0">
                  <c:v>1100</c:v>
                </c:pt>
                <c:pt idx="7" formatCode="&quot;€&quot;\ #,##0">
                  <c:v>1200</c:v>
                </c:pt>
              </c:numCache>
            </c:numRef>
          </c:val>
          <c:extLst>
            <c:ext xmlns:c16="http://schemas.microsoft.com/office/drawing/2014/chart" uri="{C3380CC4-5D6E-409C-BE32-E72D297353CC}">
              <c16:uniqueId val="{00000001-D1EB-4630-A542-2DBCBC0B4584}"/>
            </c:ext>
          </c:extLst>
        </c:ser>
        <c:ser>
          <c:idx val="1"/>
          <c:order val="2"/>
          <c:tx>
            <c:strRef>
              <c:f>'A3 - Tabellen bij grafieken'!$D$61</c:f>
              <c:strCache>
                <c:ptCount val="1"/>
              </c:strCache>
            </c:strRef>
          </c:tx>
          <c:spPr>
            <a:solidFill>
              <a:sysClr val="window" lastClr="FFFFFF"/>
            </a:solidFill>
            <a:ln>
              <a:noFill/>
            </a:ln>
            <a:effectLst/>
          </c:spPr>
          <c:invertIfNegative val="0"/>
          <c:dPt>
            <c:idx val="7"/>
            <c:invertIfNegative val="0"/>
            <c:bubble3D val="0"/>
            <c:extLst>
              <c:ext xmlns:c16="http://schemas.microsoft.com/office/drawing/2014/chart" uri="{C3380CC4-5D6E-409C-BE32-E72D297353CC}">
                <c16:uniqueId val="{00000000-4EBD-4623-B143-D7E4BCEC9D52}"/>
              </c:ext>
            </c:extLst>
          </c:dPt>
          <c:dLbls>
            <c:delete val="1"/>
          </c:dLbls>
          <c:cat>
            <c:strRef>
              <c:f>'A3 - Tabellen bij grafieken'!$A$62:$A$69</c:f>
              <c:strCache>
                <c:ptCount val="8"/>
                <c:pt idx="0">
                  <c:v>Mogelijke opbrengsten digitale zorg 2028</c:v>
                </c:pt>
                <c:pt idx="1">
                  <c:v>Digitale hulpmiddelen - Diagnose</c:v>
                </c:pt>
                <c:pt idx="2">
                  <c:v>Software - Diagnose</c:v>
                </c:pt>
                <c:pt idx="3">
                  <c:v>Sensoren - Behandeling</c:v>
                </c:pt>
                <c:pt idx="4">
                  <c:v>Software - Behandeling</c:v>
                </c:pt>
                <c:pt idx="5">
                  <c:v>Digitale hulpmiddelen - Verpleging</c:v>
                </c:pt>
                <c:pt idx="6">
                  <c:v>Sensoren - Verpleging</c:v>
                </c:pt>
                <c:pt idx="7">
                  <c:v>Mogelijke opbrengsten digitale zorg (incl. gegevensuitwisseling) 2028</c:v>
                </c:pt>
              </c:strCache>
            </c:strRef>
          </c:cat>
          <c:val>
            <c:numRef>
              <c:f>'A3 - Tabellen bij grafieken'!$D$62:$D$69</c:f>
              <c:numCache>
                <c:formatCode>"€"\ #,##0</c:formatCode>
                <c:ptCount val="8"/>
                <c:pt idx="1">
                  <c:v>1900</c:v>
                </c:pt>
                <c:pt idx="2">
                  <c:v>1900</c:v>
                </c:pt>
                <c:pt idx="3">
                  <c:v>1900</c:v>
                </c:pt>
                <c:pt idx="4">
                  <c:v>1900</c:v>
                </c:pt>
                <c:pt idx="5">
                  <c:v>1930</c:v>
                </c:pt>
                <c:pt idx="6">
                  <c:v>1980</c:v>
                </c:pt>
              </c:numCache>
            </c:numRef>
          </c:val>
          <c:extLst>
            <c:ext xmlns:c16="http://schemas.microsoft.com/office/drawing/2014/chart" uri="{C3380CC4-5D6E-409C-BE32-E72D297353CC}">
              <c16:uniqueId val="{00000002-D1EB-4630-A542-2DBCBC0B4584}"/>
            </c:ext>
          </c:extLst>
        </c:ser>
        <c:ser>
          <c:idx val="2"/>
          <c:order val="3"/>
          <c:tx>
            <c:strRef>
              <c:f>'A3 - Tabellen bij grafieken'!$E$61</c:f>
              <c:strCache>
                <c:ptCount val="1"/>
                <c:pt idx="0">
                  <c:v>Toename</c:v>
                </c:pt>
              </c:strCache>
            </c:strRef>
          </c:tx>
          <c:invertIfNegative val="0"/>
          <c:dLbls>
            <c:dLbl>
              <c:idx val="4"/>
              <c:layout>
                <c:manualLayout>
                  <c:x val="2.1270802541596391E-2"/>
                  <c:y val="2.917111161479897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3E-4A8D-BF73-9F6FDD2E94D7}"/>
                </c:ext>
              </c:extLst>
            </c:dLbl>
            <c:dLbl>
              <c:idx val="5"/>
              <c:layout>
                <c:manualLayout>
                  <c:x val="2.2976170535858896E-2"/>
                  <c:y val="1.290012977530554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3E-4A8D-BF73-9F6FDD2E94D7}"/>
                </c:ext>
              </c:extLst>
            </c:dLbl>
            <c:dLbl>
              <c:idx val="6"/>
              <c:layout>
                <c:manualLayout>
                  <c:x val="1.8884206220442123E-2"/>
                  <c:y val="1.358385738674503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3E-4A8D-BF73-9F6FDD2E94D7}"/>
                </c:ext>
              </c:extLst>
            </c:dLbl>
            <c:spPr>
              <a:noFill/>
              <a:ln>
                <a:noFill/>
              </a:ln>
              <a:effectLst/>
            </c:spPr>
            <c:txPr>
              <a:bodyPr wrap="square" lIns="38100" tIns="19050" rIns="38100" bIns="19050" anchor="ctr">
                <a:spAutoFit/>
              </a:bodyPr>
              <a:lstStyle/>
              <a:p>
                <a:pPr>
                  <a:defRPr sz="800"/>
                </a:pPr>
                <a:endParaRPr lang="nl-N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'A3 - Tabellen bij grafieken'!$A$62:$A$69</c:f>
              <c:strCache>
                <c:ptCount val="8"/>
                <c:pt idx="0">
                  <c:v>Mogelijke opbrengsten digitale zorg 2028</c:v>
                </c:pt>
                <c:pt idx="1">
                  <c:v>Digitale hulpmiddelen - Diagnose</c:v>
                </c:pt>
                <c:pt idx="2">
                  <c:v>Software - Diagnose</c:v>
                </c:pt>
                <c:pt idx="3">
                  <c:v>Sensoren - Behandeling</c:v>
                </c:pt>
                <c:pt idx="4">
                  <c:v>Software - Behandeling</c:v>
                </c:pt>
                <c:pt idx="5">
                  <c:v>Digitale hulpmiddelen - Verpleging</c:v>
                </c:pt>
                <c:pt idx="6">
                  <c:v>Sensoren - Verpleging</c:v>
                </c:pt>
                <c:pt idx="7">
                  <c:v>Mogelijke opbrengsten digitale zorg (incl. gegevensuitwisseling) 2028</c:v>
                </c:pt>
              </c:strCache>
            </c:strRef>
          </c:cat>
          <c:val>
            <c:numRef>
              <c:f>'A3 - Tabellen bij grafieken'!$E$62:$E$69</c:f>
              <c:numCache>
                <c:formatCode>"€"\ #,##0</c:formatCode>
                <c:ptCount val="8"/>
                <c:pt idx="1">
                  <c:v>0</c:v>
                </c:pt>
                <c:pt idx="2">
                  <c:v>0</c:v>
                </c:pt>
                <c:pt idx="3">
                  <c:v>0</c:v>
                </c:pt>
                <c:pt idx="4">
                  <c:v>30</c:v>
                </c:pt>
                <c:pt idx="5">
                  <c:v>50</c:v>
                </c:pt>
                <c:pt idx="6">
                  <c:v>20</c:v>
                </c:pt>
              </c:numCache>
            </c:numRef>
          </c:val>
          <c:extLst>
            <c:ext xmlns:c16="http://schemas.microsoft.com/office/drawing/2014/chart" uri="{C3380CC4-5D6E-409C-BE32-E72D297353CC}">
              <c16:uniqueId val="{00000003-D1EB-4630-A542-2DBCBC0B4584}"/>
            </c:ext>
          </c:extLst>
        </c:ser>
        <c:dLbls>
          <c:dLblPos val="ctr"/>
          <c:showLegendKey val="0"/>
          <c:showVal val="1"/>
          <c:showCatName val="0"/>
          <c:showSerName val="0"/>
          <c:showPercent val="0"/>
          <c:showBubbleSize val="0"/>
        </c:dLbls>
        <c:gapWidth val="75"/>
        <c:overlap val="100"/>
        <c:axId val="472293432"/>
        <c:axId val="472291792"/>
      </c:barChart>
      <c:catAx>
        <c:axId val="472293432"/>
        <c:scaling>
          <c:orientation val="maxMin"/>
        </c:scaling>
        <c:delete val="0"/>
        <c:axPos val="l"/>
        <c:numFmt formatCode="General" sourceLinked="1"/>
        <c:majorTickMark val="none"/>
        <c:minorTickMark val="none"/>
        <c:tickLblPos val="nextTo"/>
        <c:spPr>
          <a:noFill/>
          <a:effectLst/>
        </c:spPr>
        <c:txPr>
          <a:bodyPr rot="-60000000" vert="horz"/>
          <a:lstStyle/>
          <a:p>
            <a:pPr>
              <a:defRPr sz="800"/>
            </a:pPr>
            <a:endParaRPr lang="nl-NL"/>
          </a:p>
        </c:txPr>
        <c:crossAx val="472291792"/>
        <c:crosses val="autoZero"/>
        <c:auto val="1"/>
        <c:lblAlgn val="ctr"/>
        <c:lblOffset val="100"/>
        <c:noMultiLvlLbl val="0"/>
      </c:catAx>
      <c:valAx>
        <c:axId val="472291792"/>
        <c:scaling>
          <c:orientation val="minMax"/>
        </c:scaling>
        <c:delete val="1"/>
        <c:axPos val="t"/>
        <c:majorGridlines>
          <c:spPr>
            <a:ln w="9525" cap="flat" cmpd="sng" algn="ctr">
              <a:noFill/>
              <a:round/>
            </a:ln>
            <a:effectLst/>
          </c:spPr>
        </c:majorGridlines>
        <c:numFmt formatCode="&quot;€&quot;\ #,##0" sourceLinked="1"/>
        <c:majorTickMark val="none"/>
        <c:minorTickMark val="none"/>
        <c:tickLblPos val="nextTo"/>
        <c:crossAx val="472293432"/>
        <c:crosses val="autoZero"/>
        <c:crossBetween val="between"/>
      </c:valAx>
      <c:spPr>
        <a:noFill/>
        <a:ln>
          <a:noFill/>
        </a:ln>
        <a:effectLst/>
      </c:spPr>
    </c:plotArea>
    <c:legend>
      <c:legendPos val="b"/>
      <c:overlay val="0"/>
      <c:txPr>
        <a:bodyPr/>
        <a:lstStyle/>
        <a:p>
          <a:pPr>
            <a:defRPr sz="800"/>
          </a:pPr>
          <a:endParaRPr lang="nl-NL"/>
        </a:p>
      </c:txPr>
    </c:legend>
    <c:plotVisOnly val="1"/>
    <c:dispBlanksAs val="gap"/>
    <c:showDLblsOverMax val="0"/>
  </c:chart>
  <c:spPr>
    <a:solidFill>
      <a:schemeClr val="bg1"/>
    </a:solidFill>
    <a:ln w="9525" cap="flat" cmpd="sng" algn="ctr">
      <a:noFill/>
      <a:round/>
    </a:ln>
    <a:effectLst/>
  </c:spPr>
  <c:txPr>
    <a:bodyPr/>
    <a:lstStyle/>
    <a:p>
      <a:pPr>
        <a:defRPr sz="1200" b="0">
          <a:solidFill>
            <a:srgbClr val="000000"/>
          </a:solidFill>
        </a:defRPr>
      </a:pPr>
      <a:endParaRPr lang="nl-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50724964572983E-2"/>
          <c:y val="0.17291633858267716"/>
          <c:w val="0.50297828378422171"/>
          <c:h val="0.77916732283464563"/>
        </c:manualLayout>
      </c:layout>
      <c:pieChart>
        <c:varyColors val="1"/>
        <c:ser>
          <c:idx val="1"/>
          <c:order val="1"/>
          <c:tx>
            <c:strRef>
              <c:f>'A3 - Tabellen bij grafieken'!$C$14</c:f>
              <c:strCache>
                <c:ptCount val="1"/>
                <c:pt idx="0">
                  <c:v>QALY</c:v>
                </c:pt>
              </c:strCache>
            </c:strRef>
          </c:tx>
          <c:dPt>
            <c:idx val="0"/>
            <c:bubble3D val="0"/>
            <c:spPr>
              <a:solidFill>
                <a:schemeClr val="accent1"/>
              </a:solidFill>
              <a:ln>
                <a:noFill/>
              </a:ln>
              <a:effectLst/>
            </c:spPr>
            <c:extLst>
              <c:ext xmlns:c16="http://schemas.microsoft.com/office/drawing/2014/chart" uri="{C3380CC4-5D6E-409C-BE32-E72D297353CC}">
                <c16:uniqueId val="{00000001-69CE-4346-BBA8-F3FBB4903598}"/>
              </c:ext>
            </c:extLst>
          </c:dPt>
          <c:dPt>
            <c:idx val="1"/>
            <c:bubble3D val="0"/>
            <c:spPr>
              <a:solidFill>
                <a:schemeClr val="accent2"/>
              </a:solidFill>
              <a:ln>
                <a:noFill/>
              </a:ln>
              <a:effectLst/>
            </c:spPr>
            <c:extLst>
              <c:ext xmlns:c16="http://schemas.microsoft.com/office/drawing/2014/chart" uri="{C3380CC4-5D6E-409C-BE32-E72D297353CC}">
                <c16:uniqueId val="{00000003-69CE-4346-BBA8-F3FBB4903598}"/>
              </c:ext>
            </c:extLst>
          </c:dPt>
          <c:dPt>
            <c:idx val="2"/>
            <c:bubble3D val="0"/>
            <c:spPr>
              <a:solidFill>
                <a:schemeClr val="accent3"/>
              </a:solidFill>
              <a:ln>
                <a:noFill/>
              </a:ln>
              <a:effectLst/>
            </c:spPr>
            <c:extLst>
              <c:ext xmlns:c16="http://schemas.microsoft.com/office/drawing/2014/chart" uri="{C3380CC4-5D6E-409C-BE32-E72D297353CC}">
                <c16:uniqueId val="{00000005-69CE-4346-BBA8-F3FBB4903598}"/>
              </c:ext>
            </c:extLst>
          </c:dPt>
          <c:dPt>
            <c:idx val="3"/>
            <c:bubble3D val="0"/>
            <c:spPr>
              <a:solidFill>
                <a:schemeClr val="accent4"/>
              </a:solidFill>
              <a:ln>
                <a:noFill/>
              </a:ln>
              <a:effectLst/>
            </c:spPr>
            <c:extLst>
              <c:ext xmlns:c16="http://schemas.microsoft.com/office/drawing/2014/chart" uri="{C3380CC4-5D6E-409C-BE32-E72D297353CC}">
                <c16:uniqueId val="{00000007-69CE-4346-BBA8-F3FBB4903598}"/>
              </c:ext>
            </c:extLst>
          </c:dPt>
          <c:dPt>
            <c:idx val="4"/>
            <c:bubble3D val="0"/>
            <c:spPr>
              <a:solidFill>
                <a:schemeClr val="accent5"/>
              </a:solidFill>
              <a:ln>
                <a:noFill/>
              </a:ln>
              <a:effectLst/>
            </c:spPr>
            <c:extLst>
              <c:ext xmlns:c16="http://schemas.microsoft.com/office/drawing/2014/chart" uri="{C3380CC4-5D6E-409C-BE32-E72D297353CC}">
                <c16:uniqueId val="{00000009-69CE-4346-BBA8-F3FBB4903598}"/>
              </c:ext>
            </c:extLst>
          </c:dPt>
          <c:dPt>
            <c:idx val="5"/>
            <c:bubble3D val="0"/>
            <c:spPr>
              <a:solidFill>
                <a:schemeClr val="accent6"/>
              </a:solidFill>
              <a:ln>
                <a:noFill/>
              </a:ln>
              <a:effectLst/>
            </c:spPr>
            <c:extLst>
              <c:ext xmlns:c16="http://schemas.microsoft.com/office/drawing/2014/chart" uri="{C3380CC4-5D6E-409C-BE32-E72D297353CC}">
                <c16:uniqueId val="{0000000B-69CE-4346-BBA8-F3FBB4903598}"/>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69CE-4346-BBA8-F3FBB4903598}"/>
              </c:ext>
            </c:extLst>
          </c:dPt>
          <c:dLbls>
            <c:dLbl>
              <c:idx val="4"/>
              <c:spPr>
                <a:noFill/>
                <a:ln>
                  <a:noFill/>
                </a:ln>
                <a:effectLst/>
              </c:spPr>
              <c:txPr>
                <a:bodyPr wrap="square" lIns="38100" tIns="19050" rIns="38100" bIns="19050" anchor="ctr">
                  <a:spAutoFit/>
                </a:bodyPr>
                <a:lstStyle/>
                <a:p>
                  <a:pPr>
                    <a:defRPr>
                      <a:solidFill>
                        <a:sysClr val="windowText" lastClr="000000"/>
                      </a:solidFill>
                    </a:defRPr>
                  </a:pPr>
                  <a:endParaRPr lang="nl-NL"/>
                </a:p>
              </c:txPr>
              <c:dLblPos val="bestFit"/>
              <c:showLegendKey val="0"/>
              <c:showVal val="1"/>
              <c:showCatName val="0"/>
              <c:showSerName val="0"/>
              <c:showPercent val="0"/>
              <c:showBubbleSize val="0"/>
              <c:extLst>
                <c:ext xmlns:c16="http://schemas.microsoft.com/office/drawing/2014/chart" uri="{C3380CC4-5D6E-409C-BE32-E72D297353CC}">
                  <c16:uniqueId val="{00000009-69CE-4346-BBA8-F3FBB4903598}"/>
                </c:ext>
              </c:extLst>
            </c:dLbl>
            <c:dLbl>
              <c:idx val="6"/>
              <c:spPr>
                <a:noFill/>
                <a:ln>
                  <a:noFill/>
                </a:ln>
                <a:effectLst/>
              </c:spPr>
              <c:txPr>
                <a:bodyPr wrap="square" lIns="38100" tIns="19050" rIns="38100" bIns="19050" anchor="ctr">
                  <a:spAutoFit/>
                </a:bodyPr>
                <a:lstStyle/>
                <a:p>
                  <a:pPr>
                    <a:defRPr>
                      <a:solidFill>
                        <a:sysClr val="windowText" lastClr="000000"/>
                      </a:solidFill>
                    </a:defRPr>
                  </a:pPr>
                  <a:endParaRPr lang="nl-NL"/>
                </a:p>
              </c:txPr>
              <c:dLblPos val="bestFit"/>
              <c:showLegendKey val="0"/>
              <c:showVal val="1"/>
              <c:showCatName val="0"/>
              <c:showSerName val="0"/>
              <c:showPercent val="0"/>
              <c:showBubbleSize val="0"/>
              <c:extLst>
                <c:ext xmlns:c16="http://schemas.microsoft.com/office/drawing/2014/chart" uri="{C3380CC4-5D6E-409C-BE32-E72D297353CC}">
                  <c16:uniqueId val="{0000000D-69CE-4346-BBA8-F3FBB4903598}"/>
                </c:ext>
              </c:extLst>
            </c:dLbl>
            <c:spPr>
              <a:noFill/>
              <a:ln>
                <a:noFill/>
              </a:ln>
              <a:effectLst/>
            </c:spPr>
            <c:txPr>
              <a:bodyPr wrap="square" lIns="38100" tIns="19050" rIns="38100" bIns="19050" anchor="ctr">
                <a:spAutoFit/>
              </a:bodyPr>
              <a:lstStyle/>
              <a:p>
                <a:pPr>
                  <a:defRPr>
                    <a:solidFill>
                      <a:schemeClr val="bg1"/>
                    </a:solidFill>
                  </a:defRPr>
                </a:pPr>
                <a:endParaRPr lang="nl-NL"/>
              </a:p>
            </c:tx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'A3 - Tabellen bij grafieken'!$A$15:$A$21</c:f>
              <c:strCache>
                <c:ptCount val="7"/>
                <c:pt idx="0">
                  <c:v>Heupairbag</c:v>
                </c:pt>
                <c:pt idx="1">
                  <c:v>RT monitoring (glucosemeter)</c:v>
                </c:pt>
                <c:pt idx="2">
                  <c:v>(Zelf)zorgplatform + telebegeleiding</c:v>
                </c:pt>
                <c:pt idx="3">
                  <c:v>Slimme pleisters</c:v>
                </c:pt>
                <c:pt idx="4">
                  <c:v>AI op de IC (ontslag beslissing)</c:v>
                </c:pt>
                <c:pt idx="5">
                  <c:v>AI om diagnoses te stellen (CT)</c:v>
                </c:pt>
                <c:pt idx="6">
                  <c:v>AI om diagnoses te stellen (MRI)</c:v>
                </c:pt>
              </c:strCache>
            </c:strRef>
          </c:cat>
          <c:val>
            <c:numRef>
              <c:f>'A3 - Tabellen bij grafieken'!$C$15:$C$21</c:f>
              <c:numCache>
                <c:formatCode>#,##0</c:formatCode>
                <c:ptCount val="7"/>
                <c:pt idx="0">
                  <c:v>1650</c:v>
                </c:pt>
                <c:pt idx="1">
                  <c:v>3260</c:v>
                </c:pt>
                <c:pt idx="2">
                  <c:v>3580</c:v>
                </c:pt>
                <c:pt idx="3">
                  <c:v>2840</c:v>
                </c:pt>
                <c:pt idx="4">
                  <c:v>10</c:v>
                </c:pt>
                <c:pt idx="5">
                  <c:v>550</c:v>
                </c:pt>
                <c:pt idx="6">
                  <c:v>190</c:v>
                </c:pt>
              </c:numCache>
            </c:numRef>
          </c:val>
          <c:extLst>
            <c:ext xmlns:c16="http://schemas.microsoft.com/office/drawing/2014/chart" uri="{C3380CC4-5D6E-409C-BE32-E72D297353CC}">
              <c16:uniqueId val="{0000000E-69CE-4346-BBA8-F3FBB4903598}"/>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'A3 - Tabellen bij grafieken'!$B$14</c15:sqref>
                        </c15:formulaRef>
                      </c:ext>
                    </c:extLst>
                    <c:strCache>
                      <c:ptCount val="1"/>
                      <c:pt idx="0">
                        <c:v>QALY (miljoen €)</c:v>
                      </c:pt>
                    </c:strCache>
                  </c:strRef>
                </c:tx>
                <c:dPt>
                  <c:idx val="0"/>
                  <c:bubble3D val="0"/>
                  <c:spPr>
                    <a:solidFill>
                      <a:schemeClr val="accent1"/>
                    </a:solidFill>
                    <a:ln>
                      <a:noFill/>
                    </a:ln>
                    <a:effectLst/>
                  </c:spPr>
                  <c:extLst>
                    <c:ext xmlns:c16="http://schemas.microsoft.com/office/drawing/2014/chart" uri="{C3380CC4-5D6E-409C-BE32-E72D297353CC}">
                      <c16:uniqueId val="{00000010-69CE-4346-BBA8-F3FBB4903598}"/>
                    </c:ext>
                  </c:extLst>
                </c:dPt>
                <c:dPt>
                  <c:idx val="1"/>
                  <c:bubble3D val="0"/>
                  <c:spPr>
                    <a:solidFill>
                      <a:schemeClr val="accent2"/>
                    </a:solidFill>
                    <a:ln>
                      <a:noFill/>
                    </a:ln>
                    <a:effectLst/>
                  </c:spPr>
                  <c:extLst>
                    <c:ext xmlns:c16="http://schemas.microsoft.com/office/drawing/2014/chart" uri="{C3380CC4-5D6E-409C-BE32-E72D297353CC}">
                      <c16:uniqueId val="{00000012-69CE-4346-BBA8-F3FBB4903598}"/>
                    </c:ext>
                  </c:extLst>
                </c:dPt>
                <c:dPt>
                  <c:idx val="2"/>
                  <c:bubble3D val="0"/>
                  <c:spPr>
                    <a:solidFill>
                      <a:schemeClr val="accent3"/>
                    </a:solidFill>
                    <a:ln>
                      <a:noFill/>
                    </a:ln>
                    <a:effectLst/>
                  </c:spPr>
                  <c:extLst>
                    <c:ext xmlns:c16="http://schemas.microsoft.com/office/drawing/2014/chart" uri="{C3380CC4-5D6E-409C-BE32-E72D297353CC}">
                      <c16:uniqueId val="{00000014-69CE-4346-BBA8-F3FBB4903598}"/>
                    </c:ext>
                  </c:extLst>
                </c:dPt>
                <c:dPt>
                  <c:idx val="3"/>
                  <c:bubble3D val="0"/>
                  <c:spPr>
                    <a:solidFill>
                      <a:schemeClr val="accent4"/>
                    </a:solidFill>
                    <a:ln>
                      <a:noFill/>
                    </a:ln>
                    <a:effectLst/>
                  </c:spPr>
                  <c:extLst>
                    <c:ext xmlns:c16="http://schemas.microsoft.com/office/drawing/2014/chart" uri="{C3380CC4-5D6E-409C-BE32-E72D297353CC}">
                      <c16:uniqueId val="{00000016-69CE-4346-BBA8-F3FBB4903598}"/>
                    </c:ext>
                  </c:extLst>
                </c:dPt>
                <c:dPt>
                  <c:idx val="4"/>
                  <c:bubble3D val="0"/>
                  <c:spPr>
                    <a:solidFill>
                      <a:schemeClr val="accent5"/>
                    </a:solidFill>
                    <a:ln>
                      <a:noFill/>
                    </a:ln>
                    <a:effectLst/>
                  </c:spPr>
                  <c:extLst>
                    <c:ext xmlns:c16="http://schemas.microsoft.com/office/drawing/2014/chart" uri="{C3380CC4-5D6E-409C-BE32-E72D297353CC}">
                      <c16:uniqueId val="{00000018-69CE-4346-BBA8-F3FBB4903598}"/>
                    </c:ext>
                  </c:extLst>
                </c:dPt>
                <c:dPt>
                  <c:idx val="5"/>
                  <c:bubble3D val="0"/>
                  <c:spPr>
                    <a:solidFill>
                      <a:schemeClr val="accent6"/>
                    </a:solidFill>
                    <a:ln>
                      <a:noFill/>
                    </a:ln>
                    <a:effectLst/>
                  </c:spPr>
                  <c:extLst>
                    <c:ext xmlns:c16="http://schemas.microsoft.com/office/drawing/2014/chart" uri="{C3380CC4-5D6E-409C-BE32-E72D297353CC}">
                      <c16:uniqueId val="{0000001A-69CE-4346-BBA8-F3FBB4903598}"/>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1C-69CE-4346-BBA8-F3FBB4903598}"/>
                    </c:ext>
                  </c:extLst>
                </c:dPt>
                <c:dLbls>
                  <c:dLbl>
                    <c:idx val="0"/>
                    <c:spPr>
                      <a:noFill/>
                      <a:ln>
                        <a:noFill/>
                      </a:ln>
                      <a:effectLst/>
                    </c:spPr>
                    <c:txPr>
                      <a:bodyPr rot="0" vert="horz"/>
                      <a:lstStyle/>
                      <a:p>
                        <a:pPr>
                          <a:defRPr>
                            <a:solidFill>
                              <a:schemeClr val="bg1"/>
                            </a:solidFill>
                          </a:defRPr>
                        </a:pPr>
                        <a:endParaRPr lang="nl-NL"/>
                      </a:p>
                    </c:txPr>
                    <c:dLblPos val="bestFit"/>
                    <c:showLegendKey val="0"/>
                    <c:showVal val="1"/>
                    <c:showCatName val="0"/>
                    <c:showSerName val="0"/>
                    <c:showPercent val="0"/>
                    <c:showBubbleSize val="0"/>
                    <c:extLst>
                      <c:ext uri="{CE6537A1-D6FC-4f65-9D91-7224C49458BB}">
                        <c15:spPr xmlns:c15="http://schemas.microsoft.com/office/drawing/2012/chart">
                          <a:prstGeom prst="rect">
                            <a:avLst/>
                          </a:prstGeom>
                        </c15:spPr>
                      </c:ext>
                      <c:ext xmlns:c16="http://schemas.microsoft.com/office/drawing/2014/chart" uri="{C3380CC4-5D6E-409C-BE32-E72D297353CC}">
                        <c16:uniqueId val="{00000010-69CE-4346-BBA8-F3FBB4903598}"/>
                      </c:ext>
                    </c:extLst>
                  </c:dLbl>
                  <c:dLbl>
                    <c:idx val="3"/>
                    <c:spPr>
                      <a:noFill/>
                      <a:ln>
                        <a:noFill/>
                      </a:ln>
                      <a:effectLst/>
                    </c:spPr>
                    <c:txPr>
                      <a:bodyPr rot="0" vert="horz"/>
                      <a:lstStyle/>
                      <a:p>
                        <a:pPr>
                          <a:defRPr>
                            <a:solidFill>
                              <a:schemeClr val="bg1"/>
                            </a:solidFill>
                          </a:defRPr>
                        </a:pPr>
                        <a:endParaRPr lang="nl-NL"/>
                      </a:p>
                    </c:txPr>
                    <c:dLblPos val="bestFit"/>
                    <c:showLegendKey val="0"/>
                    <c:showVal val="1"/>
                    <c:showCatName val="0"/>
                    <c:showSerName val="0"/>
                    <c:showPercent val="0"/>
                    <c:showBubbleSize val="0"/>
                    <c:extLst>
                      <c:ext uri="{CE6537A1-D6FC-4f65-9D91-7224C49458BB}">
                        <c15:spPr xmlns:c15="http://schemas.microsoft.com/office/drawing/2012/chart">
                          <a:prstGeom prst="rect">
                            <a:avLst/>
                          </a:prstGeom>
                        </c15:spPr>
                      </c:ext>
                      <c:ext xmlns:c16="http://schemas.microsoft.com/office/drawing/2014/chart" uri="{C3380CC4-5D6E-409C-BE32-E72D297353CC}">
                        <c16:uniqueId val="{00000016-69CE-4346-BBA8-F3FBB4903598}"/>
                      </c:ext>
                    </c:extLst>
                  </c:dLbl>
                  <c:spPr>
                    <a:noFill/>
                    <a:ln>
                      <a:noFill/>
                    </a:ln>
                    <a:effectLst/>
                  </c:spPr>
                  <c:txPr>
                    <a:bodyPr rot="0" vert="horz"/>
                    <a:lstStyle/>
                    <a:p>
                      <a:pPr>
                        <a:defRPr/>
                      </a:pPr>
                      <a:endParaRPr lang="nl-NL"/>
                    </a:p>
                  </c:txPr>
                  <c:dLblPos val="bestFit"/>
                  <c:showLegendKey val="0"/>
                  <c:showVal val="1"/>
                  <c:showCatName val="0"/>
                  <c:showSerName val="0"/>
                  <c:showPercent val="0"/>
                  <c:showBubbleSize val="0"/>
                  <c:separator>
</c:separator>
                  <c:showLeaderLines val="0"/>
                  <c:extLst>
                    <c:ext uri="{CE6537A1-D6FC-4f65-9D91-7224C49458BB}">
                      <c15:spPr xmlns:c15="http://schemas.microsoft.com/office/drawing/2012/chart">
                        <a:prstGeom prst="rect">
                          <a:avLst/>
                        </a:prstGeom>
                      </c15:spPr>
                    </c:ext>
                  </c:extLst>
                </c:dLbls>
                <c:cat>
                  <c:strRef>
                    <c:extLst>
                      <c:ext uri="{02D57815-91ED-43cb-92C2-25804820EDAC}">
                        <c15:formulaRef>
                          <c15:sqref>'A3 - Tabellen bij grafieken'!$A$15:$A$21</c15:sqref>
                        </c15:formulaRef>
                      </c:ext>
                    </c:extLst>
                    <c:strCache>
                      <c:ptCount val="7"/>
                      <c:pt idx="0">
                        <c:v>Heupairbag</c:v>
                      </c:pt>
                      <c:pt idx="1">
                        <c:v>RT monitoring (glucosemeter)</c:v>
                      </c:pt>
                      <c:pt idx="2">
                        <c:v>(Zelf)zorgplatform + telebegeleiding</c:v>
                      </c:pt>
                      <c:pt idx="3">
                        <c:v>Slimme pleisters</c:v>
                      </c:pt>
                      <c:pt idx="4">
                        <c:v>AI op de IC (ontslag beslissing)</c:v>
                      </c:pt>
                      <c:pt idx="5">
                        <c:v>AI om diagnoses te stellen (CT)</c:v>
                      </c:pt>
                      <c:pt idx="6">
                        <c:v>AI om diagnoses te stellen (MRI)</c:v>
                      </c:pt>
                    </c:strCache>
                  </c:strRef>
                </c:cat>
                <c:val>
                  <c:numRef>
                    <c:extLst>
                      <c:ext uri="{02D57815-91ED-43cb-92C2-25804820EDAC}">
                        <c15:formulaRef>
                          <c15:sqref>'A3 - Tabellen bij grafieken'!$B$15:$B$21</c15:sqref>
                        </c15:formulaRef>
                      </c:ext>
                    </c:extLst>
                    <c:numCache>
                      <c:formatCode>"€"\ #,##0</c:formatCode>
                      <c:ptCount val="7"/>
                      <c:pt idx="0">
                        <c:v>82.455642573617865</c:v>
                      </c:pt>
                      <c:pt idx="1">
                        <c:v>163.09511259648824</c:v>
                      </c:pt>
                      <c:pt idx="2">
                        <c:v>178.78559519614012</c:v>
                      </c:pt>
                      <c:pt idx="3">
                        <c:v>142.07819611419097</c:v>
                      </c:pt>
                      <c:pt idx="4">
                        <c:v>0.49371216887070724</c:v>
                      </c:pt>
                      <c:pt idx="5">
                        <c:v>27.454083558404022</c:v>
                      </c:pt>
                      <c:pt idx="6">
                        <c:v>9.4820153192261234</c:v>
                      </c:pt>
                    </c:numCache>
                  </c:numRef>
                </c:val>
                <c:extLst>
                  <c:ext xmlns:c16="http://schemas.microsoft.com/office/drawing/2014/chart" uri="{C3380CC4-5D6E-409C-BE32-E72D297353CC}">
                    <c16:uniqueId val="{0000001D-69CE-4346-BBA8-F3FBB4903598}"/>
                  </c:ext>
                </c:extLst>
              </c15:ser>
            </c15:filteredPieSeries>
          </c:ext>
        </c:extLst>
      </c:pieChart>
      <c:spPr>
        <a:noFill/>
        <a:ln>
          <a:noFill/>
        </a:ln>
        <a:effectLst/>
      </c:spPr>
    </c:plotArea>
    <c:legend>
      <c:legendPos val="r"/>
      <c:layout>
        <c:manualLayout>
          <c:xMode val="edge"/>
          <c:yMode val="edge"/>
          <c:x val="0.57614954875774482"/>
          <c:y val="0.16575459317585303"/>
          <c:w val="0.40833320775634102"/>
          <c:h val="0.76698600174978127"/>
        </c:manualLayout>
      </c:layout>
      <c:overlay val="0"/>
    </c:legend>
    <c:plotVisOnly val="1"/>
    <c:dispBlanksAs val="gap"/>
    <c:showDLblsOverMax val="0"/>
  </c:chart>
  <c:spPr>
    <a:solidFill>
      <a:schemeClr val="bg1"/>
    </a:solidFill>
    <a:ln w="9525" cap="flat" cmpd="sng" algn="ctr">
      <a:noFill/>
      <a:round/>
    </a:ln>
    <a:effectLst/>
  </c:spPr>
  <c:txPr>
    <a:bodyPr/>
    <a:lstStyle/>
    <a:p>
      <a:pPr>
        <a:defRPr sz="800" b="0">
          <a:solidFill>
            <a:srgbClr val="000000"/>
          </a:solidFill>
        </a:defRPr>
      </a:pPr>
      <a:endParaRPr lang="nl-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Filters!$C$19</c:f>
          <c:strCache>
            <c:ptCount val="1"/>
            <c:pt idx="0">
              <c:v>Jaarlijkse opbrengsten, kosten en investeringen voor het veld Digitale hulpmiddelen - Verpleging [miljoen euro]</c:v>
            </c:pt>
          </c:strCache>
        </c:strRef>
      </c:tx>
      <c:layout>
        <c:manualLayout>
          <c:xMode val="edge"/>
          <c:yMode val="edge"/>
          <c:x val="0.15840734390023103"/>
          <c:y val="3.1846018519466952E-2"/>
        </c:manualLayout>
      </c:layout>
      <c:overlay val="0"/>
      <c:spPr>
        <a:noFill/>
        <a:ln>
          <a:noFill/>
        </a:ln>
        <a:effectLst/>
      </c:spPr>
      <c:txPr>
        <a:bodyPr rot="0" vert="horz"/>
        <a:lstStyle/>
        <a:p>
          <a:pPr>
            <a:defRPr sz="900" b="0">
              <a:solidFill>
                <a:sysClr val="windowText" lastClr="000000"/>
              </a:solidFill>
            </a:defRPr>
          </a:pPr>
          <a:endParaRPr lang="nl-NL"/>
        </a:p>
      </c:txPr>
    </c:title>
    <c:autoTitleDeleted val="0"/>
    <c:plotArea>
      <c:layout>
        <c:manualLayout>
          <c:layoutTarget val="inner"/>
          <c:xMode val="edge"/>
          <c:yMode val="edge"/>
          <c:x val="6.1442969518190754E-3"/>
          <c:y val="0.139078405218933"/>
          <c:w val="0.9216590462143559"/>
          <c:h val="0.66337536878232839"/>
        </c:manualLayout>
      </c:layout>
      <c:barChart>
        <c:barDir val="col"/>
        <c:grouping val="stacked"/>
        <c:varyColors val="0"/>
        <c:ser>
          <c:idx val="0"/>
          <c:order val="0"/>
          <c:tx>
            <c:strRef>
              <c:f>'D9 Berekening -  tov 2023'!$B$5</c:f>
              <c:strCache>
                <c:ptCount val="1"/>
                <c:pt idx="0">
                  <c:v>Opbrengsten 2023 - totaal</c:v>
                </c:pt>
              </c:strCache>
            </c:strRef>
          </c:tx>
          <c:spPr>
            <a:noFill/>
            <a:ln>
              <a:solidFill>
                <a:srgbClr val="83C4CF"/>
              </a:solidFill>
            </a:ln>
            <a:effectLst/>
          </c:spPr>
          <c:invertIfNegative val="0"/>
          <c:cat>
            <c:numRef>
              <c:f>'D9 Berekening -  tov 2023'!$C$4:$AH$4</c:f>
              <c:numCache>
                <c:formatCode>General</c:formatCode>
                <c:ptCount val="32"/>
                <c:pt idx="0">
                  <c:v>2023</c:v>
                </c:pt>
                <c:pt idx="3">
                  <c:v>2024</c:v>
                </c:pt>
                <c:pt idx="6">
                  <c:v>2025</c:v>
                </c:pt>
                <c:pt idx="9">
                  <c:v>2026</c:v>
                </c:pt>
                <c:pt idx="12">
                  <c:v>2027</c:v>
                </c:pt>
                <c:pt idx="15">
                  <c:v>2028</c:v>
                </c:pt>
                <c:pt idx="18">
                  <c:v>2029</c:v>
                </c:pt>
                <c:pt idx="21">
                  <c:v>2030</c:v>
                </c:pt>
                <c:pt idx="24">
                  <c:v>2031</c:v>
                </c:pt>
                <c:pt idx="27">
                  <c:v>2032</c:v>
                </c:pt>
                <c:pt idx="30">
                  <c:v>2033</c:v>
                </c:pt>
              </c:numCache>
            </c:numRef>
          </c:cat>
          <c:val>
            <c:numRef>
              <c:f>'D9 Berekening -  tov 2023'!$C$5:$AH$5</c:f>
              <c:numCache>
                <c:formatCode>"€"\ #,##0.0</c:formatCode>
                <c:ptCount val="32"/>
                <c:pt idx="3">
                  <c:v>450.70591861036968</c:v>
                </c:pt>
                <c:pt idx="6">
                  <c:v>450.70591861036968</c:v>
                </c:pt>
                <c:pt idx="9">
                  <c:v>450.70591861036968</c:v>
                </c:pt>
                <c:pt idx="12">
                  <c:v>450.70591861036968</c:v>
                </c:pt>
                <c:pt idx="15">
                  <c:v>450.70591861036968</c:v>
                </c:pt>
                <c:pt idx="18">
                  <c:v>450.70591861036968</c:v>
                </c:pt>
                <c:pt idx="21">
                  <c:v>450.70591861036968</c:v>
                </c:pt>
                <c:pt idx="24">
                  <c:v>450.70591861036968</c:v>
                </c:pt>
                <c:pt idx="27">
                  <c:v>450.70591861036968</c:v>
                </c:pt>
                <c:pt idx="30">
                  <c:v>450.70591861036968</c:v>
                </c:pt>
              </c:numCache>
            </c:numRef>
          </c:val>
          <c:extLst>
            <c:ext xmlns:c16="http://schemas.microsoft.com/office/drawing/2014/chart" uri="{C3380CC4-5D6E-409C-BE32-E72D297353CC}">
              <c16:uniqueId val="{00000000-DCA5-4201-8A6A-67C91B2D5A01}"/>
            </c:ext>
          </c:extLst>
        </c:ser>
        <c:ser>
          <c:idx val="1"/>
          <c:order val="1"/>
          <c:tx>
            <c:strRef>
              <c:f>'D9 Berekening -  tov 2023'!$B$6</c:f>
              <c:strCache>
                <c:ptCount val="1"/>
                <c:pt idx="0">
                  <c:v>Productiviteitsverbetering</c:v>
                </c:pt>
              </c:strCache>
            </c:strRef>
          </c:tx>
          <c:spPr>
            <a:solidFill>
              <a:srgbClr val="003F5A"/>
            </a:solidFill>
            <a:ln>
              <a:solidFill>
                <a:srgbClr val="003F5A"/>
              </a:solidFill>
            </a:ln>
          </c:spPr>
          <c:invertIfNegative val="0"/>
          <c:cat>
            <c:numRef>
              <c:f>'D9 Berekening -  tov 2023'!$C$4:$AH$4</c:f>
              <c:numCache>
                <c:formatCode>General</c:formatCode>
                <c:ptCount val="32"/>
                <c:pt idx="0">
                  <c:v>2023</c:v>
                </c:pt>
                <c:pt idx="3">
                  <c:v>2024</c:v>
                </c:pt>
                <c:pt idx="6">
                  <c:v>2025</c:v>
                </c:pt>
                <c:pt idx="9">
                  <c:v>2026</c:v>
                </c:pt>
                <c:pt idx="12">
                  <c:v>2027</c:v>
                </c:pt>
                <c:pt idx="15">
                  <c:v>2028</c:v>
                </c:pt>
                <c:pt idx="18">
                  <c:v>2029</c:v>
                </c:pt>
                <c:pt idx="21">
                  <c:v>2030</c:v>
                </c:pt>
                <c:pt idx="24">
                  <c:v>2031</c:v>
                </c:pt>
                <c:pt idx="27">
                  <c:v>2032</c:v>
                </c:pt>
                <c:pt idx="30">
                  <c:v>2033</c:v>
                </c:pt>
              </c:numCache>
            </c:numRef>
          </c:cat>
          <c:val>
            <c:numRef>
              <c:f>'D9 Berekening -  tov 2023'!$C$6:$AH$6</c:f>
              <c:numCache>
                <c:formatCode>"€"\ #,##0.0</c:formatCode>
                <c:ptCount val="32"/>
                <c:pt idx="0">
                  <c:v>309.87610308929948</c:v>
                </c:pt>
                <c:pt idx="3">
                  <c:v>92.141999497305392</c:v>
                </c:pt>
                <c:pt idx="6">
                  <c:v>189.40955104468929</c:v>
                </c:pt>
                <c:pt idx="9">
                  <c:v>284.54895546820205</c:v>
                </c:pt>
                <c:pt idx="12">
                  <c:v>369.26297411409587</c:v>
                </c:pt>
                <c:pt idx="15">
                  <c:v>438.35206176984173</c:v>
                </c:pt>
                <c:pt idx="18">
                  <c:v>490.4227872614066</c:v>
                </c:pt>
                <c:pt idx="21">
                  <c:v>527.42351471487859</c:v>
                </c:pt>
                <c:pt idx="24">
                  <c:v>553.02332421403958</c:v>
                </c:pt>
                <c:pt idx="27">
                  <c:v>570.94956416179116</c:v>
                </c:pt>
                <c:pt idx="30">
                  <c:v>584.03698962938142</c:v>
                </c:pt>
              </c:numCache>
            </c:numRef>
          </c:val>
          <c:extLst>
            <c:ext xmlns:c16="http://schemas.microsoft.com/office/drawing/2014/chart" uri="{C3380CC4-5D6E-409C-BE32-E72D297353CC}">
              <c16:uniqueId val="{00000001-DCA5-4201-8A6A-67C91B2D5A01}"/>
            </c:ext>
          </c:extLst>
        </c:ser>
        <c:ser>
          <c:idx val="2"/>
          <c:order val="2"/>
          <c:tx>
            <c:strRef>
              <c:f>'D9 Berekening -  tov 2023'!$B$7</c:f>
              <c:strCache>
                <c:ptCount val="1"/>
                <c:pt idx="0">
                  <c:v>Overige opbrengsten</c:v>
                </c:pt>
              </c:strCache>
            </c:strRef>
          </c:tx>
          <c:spPr>
            <a:solidFill>
              <a:srgbClr val="428CCF"/>
            </a:solidFill>
            <a:ln>
              <a:solidFill>
                <a:srgbClr val="428CCF"/>
              </a:solidFill>
            </a:ln>
          </c:spPr>
          <c:invertIfNegative val="0"/>
          <c:cat>
            <c:numRef>
              <c:f>'D9 Berekening -  tov 2023'!$C$4:$AH$4</c:f>
              <c:numCache>
                <c:formatCode>General</c:formatCode>
                <c:ptCount val="32"/>
                <c:pt idx="0">
                  <c:v>2023</c:v>
                </c:pt>
                <c:pt idx="3">
                  <c:v>2024</c:v>
                </c:pt>
                <c:pt idx="6">
                  <c:v>2025</c:v>
                </c:pt>
                <c:pt idx="9">
                  <c:v>2026</c:v>
                </c:pt>
                <c:pt idx="12">
                  <c:v>2027</c:v>
                </c:pt>
                <c:pt idx="15">
                  <c:v>2028</c:v>
                </c:pt>
                <c:pt idx="18">
                  <c:v>2029</c:v>
                </c:pt>
                <c:pt idx="21">
                  <c:v>2030</c:v>
                </c:pt>
                <c:pt idx="24">
                  <c:v>2031</c:v>
                </c:pt>
                <c:pt idx="27">
                  <c:v>2032</c:v>
                </c:pt>
                <c:pt idx="30">
                  <c:v>2033</c:v>
                </c:pt>
              </c:numCache>
            </c:numRef>
          </c:cat>
          <c:val>
            <c:numRef>
              <c:f>'D9 Berekening -  tov 2023'!$C$7:$AH$7</c:f>
              <c:numCache>
                <c:formatCode>"€"\ #,##0.0</c:formatCode>
                <c:ptCount val="32"/>
                <c:pt idx="0">
                  <c:v>140.8298155210702</c:v>
                </c:pt>
                <c:pt idx="3">
                  <c:v>40.077854345167935</c:v>
                </c:pt>
                <c:pt idx="6">
                  <c:v>81.615092624672599</c:v>
                </c:pt>
                <c:pt idx="9">
                  <c:v>121.35770593170855</c:v>
                </c:pt>
                <c:pt idx="12">
                  <c:v>155.9048178083271</c:v>
                </c:pt>
                <c:pt idx="15">
                  <c:v>183.48032763044699</c:v>
                </c:pt>
                <c:pt idx="18">
                  <c:v>203.99038854435474</c:v>
                </c:pt>
                <c:pt idx="21">
                  <c:v>218.56062270938281</c:v>
                </c:pt>
                <c:pt idx="24">
                  <c:v>228.78077321174482</c:v>
                </c:pt>
                <c:pt idx="27">
                  <c:v>236.11201370478426</c:v>
                </c:pt>
                <c:pt idx="30">
                  <c:v>241.60913068922088</c:v>
                </c:pt>
              </c:numCache>
            </c:numRef>
          </c:val>
          <c:extLst>
            <c:ext xmlns:c16="http://schemas.microsoft.com/office/drawing/2014/chart" uri="{C3380CC4-5D6E-409C-BE32-E72D297353CC}">
              <c16:uniqueId val="{00000002-DCA5-4201-8A6A-67C91B2D5A01}"/>
            </c:ext>
          </c:extLst>
        </c:ser>
        <c:ser>
          <c:idx val="4"/>
          <c:order val="3"/>
          <c:tx>
            <c:strRef>
              <c:f>'D9 Berekening -  tov 2023'!$B$8</c:f>
              <c:strCache>
                <c:ptCount val="1"/>
                <c:pt idx="0">
                  <c:v>Structurele kosten 2023</c:v>
                </c:pt>
              </c:strCache>
            </c:strRef>
          </c:tx>
          <c:spPr>
            <a:solidFill>
              <a:sysClr val="window" lastClr="FFFFFF"/>
            </a:solidFill>
            <a:ln>
              <a:solidFill>
                <a:srgbClr val="1AB589"/>
              </a:solidFill>
            </a:ln>
          </c:spPr>
          <c:invertIfNegative val="0"/>
          <c:cat>
            <c:numRef>
              <c:f>'D9 Berekening -  tov 2023'!$C$4:$AH$4</c:f>
              <c:numCache>
                <c:formatCode>General</c:formatCode>
                <c:ptCount val="32"/>
                <c:pt idx="0">
                  <c:v>2023</c:v>
                </c:pt>
                <c:pt idx="3">
                  <c:v>2024</c:v>
                </c:pt>
                <c:pt idx="6">
                  <c:v>2025</c:v>
                </c:pt>
                <c:pt idx="9">
                  <c:v>2026</c:v>
                </c:pt>
                <c:pt idx="12">
                  <c:v>2027</c:v>
                </c:pt>
                <c:pt idx="15">
                  <c:v>2028</c:v>
                </c:pt>
                <c:pt idx="18">
                  <c:v>2029</c:v>
                </c:pt>
                <c:pt idx="21">
                  <c:v>2030</c:v>
                </c:pt>
                <c:pt idx="24">
                  <c:v>2031</c:v>
                </c:pt>
                <c:pt idx="27">
                  <c:v>2032</c:v>
                </c:pt>
                <c:pt idx="30">
                  <c:v>2033</c:v>
                </c:pt>
              </c:numCache>
            </c:numRef>
          </c:cat>
          <c:val>
            <c:numRef>
              <c:f>'D9 Berekening -  tov 2023'!$C$8:$AH$8</c:f>
              <c:numCache>
                <c:formatCode>"€"\ #,##0.0</c:formatCode>
                <c:ptCount val="32"/>
                <c:pt idx="4">
                  <c:v>93.7932990526038</c:v>
                </c:pt>
                <c:pt idx="7">
                  <c:v>93.7932990526038</c:v>
                </c:pt>
                <c:pt idx="10">
                  <c:v>93.7932990526038</c:v>
                </c:pt>
                <c:pt idx="13">
                  <c:v>93.7932990526038</c:v>
                </c:pt>
                <c:pt idx="16">
                  <c:v>93.7932990526038</c:v>
                </c:pt>
                <c:pt idx="19">
                  <c:v>93.7932990526038</c:v>
                </c:pt>
                <c:pt idx="22">
                  <c:v>93.7932990526038</c:v>
                </c:pt>
                <c:pt idx="25">
                  <c:v>93.7932990526038</c:v>
                </c:pt>
                <c:pt idx="28">
                  <c:v>93.7932990526038</c:v>
                </c:pt>
                <c:pt idx="31">
                  <c:v>93.7932990526038</c:v>
                </c:pt>
              </c:numCache>
            </c:numRef>
          </c:val>
          <c:extLst>
            <c:ext xmlns:c16="http://schemas.microsoft.com/office/drawing/2014/chart" uri="{C3380CC4-5D6E-409C-BE32-E72D297353CC}">
              <c16:uniqueId val="{00000004-DCA5-4201-8A6A-67C91B2D5A01}"/>
            </c:ext>
          </c:extLst>
        </c:ser>
        <c:ser>
          <c:idx val="5"/>
          <c:order val="4"/>
          <c:tx>
            <c:strRef>
              <c:f>'D9 Berekening -  tov 2023'!$B$9</c:f>
              <c:strCache>
                <c:ptCount val="1"/>
                <c:pt idx="0">
                  <c:v>Structurele kosten</c:v>
                </c:pt>
              </c:strCache>
            </c:strRef>
          </c:tx>
          <c:spPr>
            <a:solidFill>
              <a:srgbClr val="1AB589"/>
            </a:solidFill>
            <a:ln>
              <a:solidFill>
                <a:srgbClr val="1AB589"/>
              </a:solidFill>
            </a:ln>
          </c:spPr>
          <c:invertIfNegative val="0"/>
          <c:cat>
            <c:numRef>
              <c:f>'D9 Berekening -  tov 2023'!$C$4:$AH$4</c:f>
              <c:numCache>
                <c:formatCode>General</c:formatCode>
                <c:ptCount val="32"/>
                <c:pt idx="0">
                  <c:v>2023</c:v>
                </c:pt>
                <c:pt idx="3">
                  <c:v>2024</c:v>
                </c:pt>
                <c:pt idx="6">
                  <c:v>2025</c:v>
                </c:pt>
                <c:pt idx="9">
                  <c:v>2026</c:v>
                </c:pt>
                <c:pt idx="12">
                  <c:v>2027</c:v>
                </c:pt>
                <c:pt idx="15">
                  <c:v>2028</c:v>
                </c:pt>
                <c:pt idx="18">
                  <c:v>2029</c:v>
                </c:pt>
                <c:pt idx="21">
                  <c:v>2030</c:v>
                </c:pt>
                <c:pt idx="24">
                  <c:v>2031</c:v>
                </c:pt>
                <c:pt idx="27">
                  <c:v>2032</c:v>
                </c:pt>
                <c:pt idx="30">
                  <c:v>2033</c:v>
                </c:pt>
              </c:numCache>
            </c:numRef>
          </c:cat>
          <c:val>
            <c:numRef>
              <c:f>'D9 Berekening -  tov 2023'!$C$9:$AH$9</c:f>
              <c:numCache>
                <c:formatCode>"€"\ #,##0.0</c:formatCode>
                <c:ptCount val="32"/>
                <c:pt idx="1">
                  <c:v>93.7932990526038</c:v>
                </c:pt>
                <c:pt idx="4">
                  <c:v>26.929607018768664</c:v>
                </c:pt>
                <c:pt idx="7">
                  <c:v>54.587221997897245</c:v>
                </c:pt>
                <c:pt idx="10">
                  <c:v>80.553029818487317</c:v>
                </c:pt>
                <c:pt idx="13">
                  <c:v>102.58636295823632</c:v>
                </c:pt>
                <c:pt idx="16">
                  <c:v>119.69747714104358</c:v>
                </c:pt>
                <c:pt idx="19">
                  <c:v>132.10260421696108</c:v>
                </c:pt>
                <c:pt idx="22">
                  <c:v>140.74138025695646</c:v>
                </c:pt>
                <c:pt idx="25">
                  <c:v>146.71730789068494</c:v>
                </c:pt>
                <c:pt idx="28">
                  <c:v>150.95917040692527</c:v>
                </c:pt>
                <c:pt idx="31">
                  <c:v>154.10770636094352</c:v>
                </c:pt>
              </c:numCache>
            </c:numRef>
          </c:val>
          <c:extLst>
            <c:ext xmlns:c16="http://schemas.microsoft.com/office/drawing/2014/chart" uri="{C3380CC4-5D6E-409C-BE32-E72D297353CC}">
              <c16:uniqueId val="{00000005-DCA5-4201-8A6A-67C91B2D5A01}"/>
            </c:ext>
          </c:extLst>
        </c:ser>
        <c:ser>
          <c:idx val="6"/>
          <c:order val="5"/>
          <c:tx>
            <c:strRef>
              <c:f>'D9 Berekening -  tov 2023'!$B$10</c:f>
              <c:strCache>
                <c:ptCount val="1"/>
                <c:pt idx="0">
                  <c:v>Investering (cash flow) (€)</c:v>
                </c:pt>
              </c:strCache>
            </c:strRef>
          </c:tx>
          <c:spPr>
            <a:solidFill>
              <a:srgbClr val="C3B233"/>
            </a:solidFill>
            <a:ln>
              <a:solidFill>
                <a:srgbClr val="C3B233"/>
              </a:solidFill>
            </a:ln>
          </c:spPr>
          <c:invertIfNegative val="0"/>
          <c:cat>
            <c:numRef>
              <c:f>'D9 Berekening -  tov 2023'!$C$4:$AH$4</c:f>
              <c:numCache>
                <c:formatCode>General</c:formatCode>
                <c:ptCount val="32"/>
                <c:pt idx="0">
                  <c:v>2023</c:v>
                </c:pt>
                <c:pt idx="3">
                  <c:v>2024</c:v>
                </c:pt>
                <c:pt idx="6">
                  <c:v>2025</c:v>
                </c:pt>
                <c:pt idx="9">
                  <c:v>2026</c:v>
                </c:pt>
                <c:pt idx="12">
                  <c:v>2027</c:v>
                </c:pt>
                <c:pt idx="15">
                  <c:v>2028</c:v>
                </c:pt>
                <c:pt idx="18">
                  <c:v>2029</c:v>
                </c:pt>
                <c:pt idx="21">
                  <c:v>2030</c:v>
                </c:pt>
                <c:pt idx="24">
                  <c:v>2031</c:v>
                </c:pt>
                <c:pt idx="27">
                  <c:v>2032</c:v>
                </c:pt>
                <c:pt idx="30">
                  <c:v>2033</c:v>
                </c:pt>
              </c:numCache>
            </c:numRef>
          </c:cat>
          <c:val>
            <c:numRef>
              <c:f>'D9 Berekening -  tov 2023'!$C$10:$AH$10</c:f>
              <c:numCache>
                <c:formatCode>"€"\ #,##0.0</c:formatCode>
                <c:ptCount val="32"/>
                <c:pt idx="1">
                  <c:v>16.550898118734811</c:v>
                </c:pt>
                <c:pt idx="4">
                  <c:v>18.662251522953355</c:v>
                </c:pt>
                <c:pt idx="7">
                  <c:v>19.464524708073082</c:v>
                </c:pt>
                <c:pt idx="10">
                  <c:v>18.52134381238524</c:v>
                </c:pt>
                <c:pt idx="13">
                  <c:v>15.946915452050616</c:v>
                </c:pt>
                <c:pt idx="16">
                  <c:v>12.382517772700531</c:v>
                </c:pt>
                <c:pt idx="19">
                  <c:v>8.7251510588756709</c:v>
                </c:pt>
                <c:pt idx="22">
                  <c:v>5.6757998022579645</c:v>
                </c:pt>
                <c:pt idx="25">
                  <c:v>3.4938550344655113</c:v>
                </c:pt>
                <c:pt idx="28">
                  <c:v>2.0909632322773133</c:v>
                </c:pt>
                <c:pt idx="31">
                  <c:v>1.2487924830363695</c:v>
                </c:pt>
              </c:numCache>
            </c:numRef>
          </c:val>
          <c:extLst>
            <c:ext xmlns:c16="http://schemas.microsoft.com/office/drawing/2014/chart" uri="{C3380CC4-5D6E-409C-BE32-E72D297353CC}">
              <c16:uniqueId val="{00000002-580F-4C1D-8C85-8CD926B1D7C1}"/>
            </c:ext>
          </c:extLst>
        </c:ser>
        <c:dLbls>
          <c:showLegendKey val="0"/>
          <c:showVal val="0"/>
          <c:showCatName val="0"/>
          <c:showSerName val="0"/>
          <c:showPercent val="0"/>
          <c:showBubbleSize val="0"/>
        </c:dLbls>
        <c:gapWidth val="50"/>
        <c:overlap val="100"/>
        <c:axId val="472293432"/>
        <c:axId val="472291792"/>
      </c:barChart>
      <c:catAx>
        <c:axId val="472293432"/>
        <c:scaling>
          <c:orientation val="minMax"/>
        </c:scaling>
        <c:delete val="0"/>
        <c:axPos val="b"/>
        <c:numFmt formatCode="General" sourceLinked="1"/>
        <c:majorTickMark val="none"/>
        <c:minorTickMark val="none"/>
        <c:tickLblPos val="nextTo"/>
        <c:spPr>
          <a:noFill/>
          <a:effectLst/>
        </c:spPr>
        <c:txPr>
          <a:bodyPr rot="-60000000" vert="horz"/>
          <a:lstStyle/>
          <a:p>
            <a:pPr>
              <a:defRPr sz="800"/>
            </a:pPr>
            <a:endParaRPr lang="nl-NL"/>
          </a:p>
        </c:txPr>
        <c:crossAx val="472291792"/>
        <c:crosses val="autoZero"/>
        <c:auto val="1"/>
        <c:lblAlgn val="ctr"/>
        <c:lblOffset val="100"/>
        <c:noMultiLvlLbl val="0"/>
      </c:catAx>
      <c:valAx>
        <c:axId val="472291792"/>
        <c:scaling>
          <c:orientation val="minMax"/>
        </c:scaling>
        <c:delete val="0"/>
        <c:axPos val="l"/>
        <c:majorGridlines>
          <c:spPr>
            <a:ln w="9525" cap="flat" cmpd="sng" algn="ctr">
              <a:noFill/>
              <a:round/>
            </a:ln>
            <a:effectLst/>
          </c:spPr>
        </c:majorGridlines>
        <c:numFmt formatCode="&quot;€&quot;\ #,##0" sourceLinked="0"/>
        <c:majorTickMark val="out"/>
        <c:minorTickMark val="none"/>
        <c:tickLblPos val="nextTo"/>
        <c:txPr>
          <a:bodyPr/>
          <a:lstStyle/>
          <a:p>
            <a:pPr>
              <a:defRPr sz="800"/>
            </a:pPr>
            <a:endParaRPr lang="nl-NL"/>
          </a:p>
        </c:txPr>
        <c:crossAx val="472293432"/>
        <c:crosses val="autoZero"/>
        <c:crossBetween val="between"/>
      </c:valAx>
      <c:spPr>
        <a:noFill/>
        <a:ln>
          <a:noFill/>
        </a:ln>
        <a:effectLst/>
      </c:spPr>
    </c:plotArea>
    <c:legend>
      <c:legendPos val="b"/>
      <c:layout>
        <c:manualLayout>
          <c:xMode val="edge"/>
          <c:yMode val="edge"/>
          <c:x val="1.7335982301799956E-2"/>
          <c:y val="0.89248826262479808"/>
          <c:w val="0.97026996405337806"/>
          <c:h val="8.0002966901861414E-2"/>
        </c:manualLayout>
      </c:layout>
      <c:overlay val="0"/>
      <c:txPr>
        <a:bodyPr/>
        <a:lstStyle/>
        <a:p>
          <a:pPr>
            <a:defRPr sz="800"/>
          </a:pPr>
          <a:endParaRPr lang="nl-NL"/>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nl-NL"/>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517122580761154"/>
          <c:y val="0.23337594944921519"/>
          <c:w val="0.39315015355817884"/>
          <c:h val="0.6713744247693284"/>
        </c:manualLayout>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5-E7C3-415C-B919-BE7A129BD3AA}"/>
              </c:ext>
            </c:extLst>
          </c:dPt>
          <c:dPt>
            <c:idx val="1"/>
            <c:bubble3D val="0"/>
            <c:spPr>
              <a:solidFill>
                <a:schemeClr val="accent2"/>
              </a:solidFill>
              <a:ln>
                <a:noFill/>
              </a:ln>
              <a:effectLst/>
            </c:spPr>
            <c:extLst>
              <c:ext xmlns:c16="http://schemas.microsoft.com/office/drawing/2014/chart" uri="{C3380CC4-5D6E-409C-BE32-E72D297353CC}">
                <c16:uniqueId val="{00000007-E7C3-415C-B919-BE7A129BD3AA}"/>
              </c:ext>
            </c:extLst>
          </c:dPt>
          <c:dPt>
            <c:idx val="2"/>
            <c:bubble3D val="0"/>
            <c:spPr>
              <a:solidFill>
                <a:schemeClr val="accent3"/>
              </a:solidFill>
              <a:ln>
                <a:noFill/>
              </a:ln>
              <a:effectLst/>
            </c:spPr>
            <c:extLst>
              <c:ext xmlns:c16="http://schemas.microsoft.com/office/drawing/2014/chart" uri="{C3380CC4-5D6E-409C-BE32-E72D297353CC}">
                <c16:uniqueId val="{00000009-E7C3-415C-B919-BE7A129BD3AA}"/>
              </c:ext>
            </c:extLst>
          </c:dPt>
          <c:dPt>
            <c:idx val="3"/>
            <c:bubble3D val="0"/>
            <c:spPr>
              <a:solidFill>
                <a:schemeClr val="accent4"/>
              </a:solidFill>
              <a:ln>
                <a:noFill/>
              </a:ln>
              <a:effectLst/>
            </c:spPr>
            <c:extLst>
              <c:ext xmlns:c16="http://schemas.microsoft.com/office/drawing/2014/chart" uri="{C3380CC4-5D6E-409C-BE32-E72D297353CC}">
                <c16:uniqueId val="{0000000B-E7C3-415C-B919-BE7A129BD3AA}"/>
              </c:ext>
            </c:extLst>
          </c:dPt>
          <c:dPt>
            <c:idx val="4"/>
            <c:bubble3D val="0"/>
            <c:spPr>
              <a:solidFill>
                <a:schemeClr val="accent5"/>
              </a:solidFill>
              <a:ln>
                <a:noFill/>
              </a:ln>
              <a:effectLst/>
            </c:spPr>
            <c:extLst>
              <c:ext xmlns:c16="http://schemas.microsoft.com/office/drawing/2014/chart" uri="{C3380CC4-5D6E-409C-BE32-E72D297353CC}">
                <c16:uniqueId val="{0000000D-E7C3-415C-B919-BE7A129BD3AA}"/>
              </c:ext>
            </c:extLst>
          </c:dPt>
          <c:dPt>
            <c:idx val="5"/>
            <c:bubble3D val="0"/>
            <c:spPr>
              <a:solidFill>
                <a:schemeClr val="accent6"/>
              </a:solidFill>
              <a:ln>
                <a:noFill/>
              </a:ln>
              <a:effectLst/>
            </c:spPr>
            <c:extLst>
              <c:ext xmlns:c16="http://schemas.microsoft.com/office/drawing/2014/chart" uri="{C3380CC4-5D6E-409C-BE32-E72D297353CC}">
                <c16:uniqueId val="{0000000F-E7C3-415C-B919-BE7A129BD3AA}"/>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26-7885-4500-8315-CA2DD9207276}"/>
              </c:ext>
            </c:extLst>
          </c:dPt>
          <c:dLbls>
            <c:dLbl>
              <c:idx val="0"/>
              <c:tx>
                <c:rich>
                  <a:bodyPr wrap="square" lIns="38100" tIns="19050" rIns="38100" bIns="19050" anchor="ctr">
                    <a:spAutoFit/>
                  </a:bodyPr>
                  <a:lstStyle/>
                  <a:p>
                    <a:pPr>
                      <a:defRPr>
                        <a:solidFill>
                          <a:schemeClr val="bg1"/>
                        </a:solidFill>
                      </a:defRPr>
                    </a:pPr>
                    <a:fld id="{727D1813-E664-41A5-9DA8-5CCBF8E8DD81}" type="CELLRANGE">
                      <a:rPr lang="en-US"/>
                      <a:pPr>
                        <a:defRPr>
                          <a:solidFill>
                            <a:schemeClr val="bg1"/>
                          </a:solidFill>
                        </a:defRPr>
                      </a:pPr>
                      <a:t>[CELLRANGE]</a:t>
                    </a:fld>
                    <a:endParaRPr lang="nl-NL"/>
                  </a:p>
                </c:rich>
              </c:tx>
              <c:spPr>
                <a:noFill/>
                <a:ln>
                  <a:noFill/>
                </a:ln>
                <a:effectLst/>
              </c:spPr>
              <c:dLblPos val="bestFi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E7C3-415C-B919-BE7A129BD3AA}"/>
                </c:ext>
              </c:extLst>
            </c:dLbl>
            <c:dLbl>
              <c:idx val="1"/>
              <c:tx>
                <c:rich>
                  <a:bodyPr/>
                  <a:lstStyle/>
                  <a:p>
                    <a:fld id="{1285B1BE-1B23-4901-A01B-DCCC307C6FD0}" type="CELLRANGE">
                      <a:rPr lang="en-US"/>
                      <a:pPr/>
                      <a:t>[CELLRANGE]</a:t>
                    </a:fld>
                    <a:endParaRPr lang="nl-NL"/>
                  </a:p>
                </c:rich>
              </c:tx>
              <c:dLblPos val="bestFi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7C3-415C-B919-BE7A129BD3AA}"/>
                </c:ext>
              </c:extLst>
            </c:dLbl>
            <c:dLbl>
              <c:idx val="2"/>
              <c:tx>
                <c:rich>
                  <a:bodyPr/>
                  <a:lstStyle/>
                  <a:p>
                    <a:fld id="{7C41A137-6C48-415D-B43A-BFF60FDDDD7F}" type="CELLRANGE">
                      <a:rPr lang="en-US"/>
                      <a:pPr/>
                      <a:t>[CELLRANGE]</a:t>
                    </a:fld>
                    <a:endParaRPr lang="nl-NL"/>
                  </a:p>
                </c:rich>
              </c:tx>
              <c:dLblPos val="bestFi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7C3-415C-B919-BE7A129BD3AA}"/>
                </c:ext>
              </c:extLst>
            </c:dLbl>
            <c:dLbl>
              <c:idx val="3"/>
              <c:tx>
                <c:rich>
                  <a:bodyPr wrap="square" lIns="38100" tIns="19050" rIns="38100" bIns="19050" anchor="ctr">
                    <a:spAutoFit/>
                  </a:bodyPr>
                  <a:lstStyle/>
                  <a:p>
                    <a:pPr>
                      <a:defRPr>
                        <a:solidFill>
                          <a:schemeClr val="bg1"/>
                        </a:solidFill>
                      </a:defRPr>
                    </a:pPr>
                    <a:fld id="{FE3476F9-61A2-4C32-B50E-9C3074B68697}" type="CELLRANGE">
                      <a:rPr lang="en-US"/>
                      <a:pPr>
                        <a:defRPr>
                          <a:solidFill>
                            <a:schemeClr val="bg1"/>
                          </a:solidFill>
                        </a:defRPr>
                      </a:pPr>
                      <a:t>[CELLRANGE]</a:t>
                    </a:fld>
                    <a:endParaRPr lang="nl-NL"/>
                  </a:p>
                </c:rich>
              </c:tx>
              <c:spPr>
                <a:noFill/>
                <a:ln>
                  <a:noFill/>
                </a:ln>
                <a:effectLst/>
              </c:spPr>
              <c:dLblPos val="bestFi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7C3-415C-B919-BE7A129BD3AA}"/>
                </c:ext>
              </c:extLst>
            </c:dLbl>
            <c:dLbl>
              <c:idx val="4"/>
              <c:tx>
                <c:rich>
                  <a:bodyPr wrap="square" lIns="38100" tIns="19050" rIns="38100" bIns="19050" anchor="ctr">
                    <a:spAutoFit/>
                  </a:bodyPr>
                  <a:lstStyle/>
                  <a:p>
                    <a:pPr>
                      <a:defRPr>
                        <a:solidFill>
                          <a:schemeClr val="bg1"/>
                        </a:solidFill>
                      </a:defRPr>
                    </a:pPr>
                    <a:fld id="{97786077-A815-4EB9-A931-4263654CE561}" type="CELLRANGE">
                      <a:rPr lang="en-US"/>
                      <a:pPr>
                        <a:defRPr>
                          <a:solidFill>
                            <a:schemeClr val="bg1"/>
                          </a:solidFill>
                        </a:defRPr>
                      </a:pPr>
                      <a:t>[CELLRANGE]</a:t>
                    </a:fld>
                    <a:endParaRPr lang="nl-NL"/>
                  </a:p>
                </c:rich>
              </c:tx>
              <c:spPr>
                <a:noFill/>
                <a:ln>
                  <a:noFill/>
                </a:ln>
                <a:effectLst/>
              </c:spPr>
              <c:dLblPos val="bestFi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E7C3-415C-B919-BE7A129BD3AA}"/>
                </c:ext>
              </c:extLst>
            </c:dLbl>
            <c:dLbl>
              <c:idx val="5"/>
              <c:tx>
                <c:rich>
                  <a:bodyPr/>
                  <a:lstStyle/>
                  <a:p>
                    <a:fld id="{6D4FBD22-6E95-4912-B502-E06863803711}" type="CELLRANGE">
                      <a:rPr lang="en-US"/>
                      <a:pPr/>
                      <a:t>[CELLRANGE]</a:t>
                    </a:fld>
                    <a:endParaRPr lang="nl-NL"/>
                  </a:p>
                </c:rich>
              </c:tx>
              <c:dLblPos val="bestFi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E7C3-415C-B919-BE7A129BD3AA}"/>
                </c:ext>
              </c:extLst>
            </c:dLbl>
            <c:dLbl>
              <c:idx val="6"/>
              <c:tx>
                <c:rich>
                  <a:bodyPr wrap="square" lIns="38100" tIns="19050" rIns="38100" bIns="19050" anchor="ctr">
                    <a:spAutoFit/>
                  </a:bodyPr>
                  <a:lstStyle/>
                  <a:p>
                    <a:pPr>
                      <a:defRPr>
                        <a:solidFill>
                          <a:schemeClr val="bg1"/>
                        </a:solidFill>
                      </a:defRPr>
                    </a:pPr>
                    <a:fld id="{4EDE3AB4-9422-471D-987C-3052A9269F27}" type="CELLRANGE">
                      <a:rPr lang="en-US"/>
                      <a:pPr>
                        <a:defRPr>
                          <a:solidFill>
                            <a:schemeClr val="bg1"/>
                          </a:solidFill>
                        </a:defRPr>
                      </a:pPr>
                      <a:t>[CELLRANGE]</a:t>
                    </a:fld>
                    <a:endParaRPr lang="nl-NL"/>
                  </a:p>
                </c:rich>
              </c:tx>
              <c:spPr>
                <a:noFill/>
                <a:ln>
                  <a:noFill/>
                </a:ln>
                <a:effectLst/>
              </c:spPr>
              <c:dLblPos val="bestFi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7885-4500-8315-CA2DD9207276}"/>
                </c:ext>
              </c:extLst>
            </c:dLbl>
            <c:dLbl>
              <c:idx val="7"/>
              <c:tx>
                <c:rich>
                  <a:bodyPr/>
                  <a:lstStyle/>
                  <a:p>
                    <a:fld id="{3A8DE35C-FB91-4CF6-B8D2-C1FFAEE2B5C3}" type="CELLRANGE">
                      <a:rPr lang="en-US"/>
                      <a:pPr/>
                      <a:t>[CELLRANGE]</a:t>
                    </a:fld>
                    <a:endParaRPr lang="nl-NL"/>
                  </a:p>
                </c:rich>
              </c:tx>
              <c:dLblPos val="bestFi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9010-4FB2-BB2F-0AE0F9D86CD4}"/>
                </c:ext>
              </c:extLst>
            </c:dLbl>
            <c:dLbl>
              <c:idx val="8"/>
              <c:tx>
                <c:rich>
                  <a:bodyPr/>
                  <a:lstStyle/>
                  <a:p>
                    <a:fld id="{909EB99E-8028-4FB4-8088-668C16442878}" type="CELLRANGE">
                      <a:rPr lang="en-US"/>
                      <a:pPr/>
                      <a:t>[CELLRANGE]</a:t>
                    </a:fld>
                    <a:endParaRPr lang="nl-NL"/>
                  </a:p>
                </c:rich>
              </c:tx>
              <c:dLblPos val="bestFi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9010-4FB2-BB2F-0AE0F9D86CD4}"/>
                </c:ext>
              </c:extLst>
            </c:dLbl>
            <c:dLbl>
              <c:idx val="9"/>
              <c:tx>
                <c:rich>
                  <a:bodyPr/>
                  <a:lstStyle/>
                  <a:p>
                    <a:endParaRPr lang="nl-NL"/>
                  </a:p>
                </c:rich>
              </c:tx>
              <c:dLblPos val="bestFi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010-4FB2-BB2F-0AE0F9D86CD4}"/>
                </c:ext>
              </c:extLst>
            </c:dLbl>
            <c:spPr>
              <a:noFill/>
              <a:ln>
                <a:noFill/>
              </a:ln>
              <a:effectLst/>
            </c:spPr>
            <c:txPr>
              <a:bodyPr wrap="square" lIns="38100" tIns="19050" rIns="38100" bIns="19050" anchor="ctr">
                <a:spAutoFit/>
              </a:bodyPr>
              <a:lstStyle/>
              <a:p>
                <a:pPr>
                  <a:defRPr>
                    <a:solidFill>
                      <a:sysClr val="windowText" lastClr="000000"/>
                    </a:solidFill>
                  </a:defRPr>
                </a:pPr>
                <a:endParaRPr lang="nl-NL"/>
              </a:p>
            </c:txPr>
            <c:dLblPos val="bestFit"/>
            <c:showLegendKey val="0"/>
            <c:showVal val="0"/>
            <c:showCatName val="0"/>
            <c:showSerName val="0"/>
            <c:showPercent val="0"/>
            <c:showBubbleSize val="0"/>
            <c:showLeaderLines val="1"/>
            <c:extLst>
              <c:ext xmlns:c15="http://schemas.microsoft.com/office/drawing/2012/chart" uri="{CE6537A1-D6FC-4f65-9D91-7224C49458BB}">
                <c15:showDataLabelsRange val="1"/>
              </c:ext>
            </c:extLst>
          </c:dLbls>
          <c:cat>
            <c:strRef>
              <c:f>'A2 - Resultaten per veld'!$E$6:$E$15</c:f>
              <c:strCache>
                <c:ptCount val="7"/>
                <c:pt idx="0">
                  <c:v>Elektromechanisch toegangsbeheer</c:v>
                </c:pt>
                <c:pt idx="1">
                  <c:v>Exoskelet</c:v>
                </c:pt>
                <c:pt idx="2">
                  <c:v>Heupairbag</c:v>
                </c:pt>
                <c:pt idx="3">
                  <c:v>Medicijndispenser</c:v>
                </c:pt>
                <c:pt idx="4">
                  <c:v>Steunkousen technologie</c:v>
                </c:pt>
                <c:pt idx="5">
                  <c:v>Structuurrobot</c:v>
                </c:pt>
                <c:pt idx="6">
                  <c:v>Zorg op afstand met tablet</c:v>
                </c:pt>
              </c:strCache>
            </c:strRef>
          </c:cat>
          <c:val>
            <c:numRef>
              <c:f>'A2 - Resultaten per veld'!$K$6:$K$15</c:f>
              <c:numCache>
                <c:formatCode>"€"\ #,##0</c:formatCode>
                <c:ptCount val="10"/>
                <c:pt idx="0">
                  <c:v>29.931084139646593</c:v>
                </c:pt>
                <c:pt idx="1">
                  <c:v>5.3120425807531042</c:v>
                </c:pt>
                <c:pt idx="2">
                  <c:v>31.58285593868834</c:v>
                </c:pt>
                <c:pt idx="3">
                  <c:v>907.27769324413543</c:v>
                </c:pt>
                <c:pt idx="4">
                  <c:v>182.83804158281518</c:v>
                </c:pt>
                <c:pt idx="5">
                  <c:v>88.916039321312411</c:v>
                </c:pt>
                <c:pt idx="6">
                  <c:v>83.032645105506944</c:v>
                </c:pt>
                <c:pt idx="7">
                  <c:v>0</c:v>
                </c:pt>
                <c:pt idx="8">
                  <c:v>0</c:v>
                </c:pt>
                <c:pt idx="9">
                  <c:v>0</c:v>
                </c:pt>
              </c:numCache>
            </c:numRef>
          </c:val>
          <c:extLst>
            <c:ext xmlns:c15="http://schemas.microsoft.com/office/drawing/2012/chart" uri="{02D57815-91ED-43cb-92C2-25804820EDAC}">
              <c15:datalabelsRange>
                <c15:f>'A2 - Resultaten per veld'!$O$21:$O$29</c15:f>
                <c15:dlblRangeCache>
                  <c:ptCount val="9"/>
                  <c:pt idx="0">
                    <c:v>30</c:v>
                  </c:pt>
                  <c:pt idx="1">
                    <c:v>&lt;1 </c:v>
                  </c:pt>
                  <c:pt idx="2">
                    <c:v>30</c:v>
                  </c:pt>
                  <c:pt idx="3">
                    <c:v>750</c:v>
                  </c:pt>
                  <c:pt idx="4">
                    <c:v>140</c:v>
                  </c:pt>
                  <c:pt idx="5">
                    <c:v>50</c:v>
                  </c:pt>
                  <c:pt idx="6">
                    <c:v>80</c:v>
                  </c:pt>
                </c15:dlblRangeCache>
              </c15:datalabelsRange>
            </c:ext>
            <c:ext xmlns:c16="http://schemas.microsoft.com/office/drawing/2014/chart" uri="{C3380CC4-5D6E-409C-BE32-E72D297353CC}">
              <c16:uniqueId val="{00000000-9C7D-49C1-9BCE-E320B6D9AB67}"/>
            </c:ext>
          </c:extLst>
        </c:ser>
        <c:ser>
          <c:idx val="1"/>
          <c:order val="1"/>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val>
            <c:numLit>
              <c:formatCode>General</c:formatCode>
              <c:ptCount val="1"/>
              <c:pt idx="0">
                <c:v>1</c:v>
              </c:pt>
            </c:numLit>
          </c:val>
          <c:extLst>
            <c:ext xmlns:c16="http://schemas.microsoft.com/office/drawing/2014/chart" uri="{C3380CC4-5D6E-409C-BE32-E72D297353CC}">
              <c16:uniqueId val="{0000000E-BB25-4BEB-8ACE-18A8653A7937}"/>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4488674360696485"/>
          <c:y val="0.17460290429987854"/>
          <c:w val="0.34020107151136025"/>
          <c:h val="0.82539709570012132"/>
        </c:manualLayout>
      </c:layout>
      <c:overlay val="0"/>
      <c:txPr>
        <a:bodyPr/>
        <a:lstStyle/>
        <a:p>
          <a:pPr rtl="0">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0">
          <a:solidFill>
            <a:srgbClr val="000000"/>
          </a:solidFill>
        </a:defRPr>
      </a:pPr>
      <a:endParaRPr lang="nl-N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defRPr sz="900"/>
            </a:pPr>
            <a:r>
              <a:rPr lang="nl-NL"/>
              <a:t>Totale</a:t>
            </a:r>
            <a:r>
              <a:rPr lang="nl-NL" baseline="0"/>
              <a:t> opbrengsten (door productiviteitsverbetering en overig) per digitale zorgtoepassing [miljoen €]</a:t>
            </a:r>
            <a:endParaRPr lang="nl-NL"/>
          </a:p>
        </c:rich>
      </c:tx>
      <c:overlay val="0"/>
      <c:spPr>
        <a:noFill/>
        <a:ln>
          <a:noFill/>
        </a:ln>
        <a:effectLst/>
      </c:spPr>
    </c:title>
    <c:autoTitleDeleted val="0"/>
    <c:plotArea>
      <c:layout>
        <c:manualLayout>
          <c:layoutTarget val="inner"/>
          <c:xMode val="edge"/>
          <c:yMode val="edge"/>
          <c:x val="0.26218487442798893"/>
          <c:y val="5.8864474977072763E-2"/>
          <c:w val="0.64713223062392611"/>
          <c:h val="0.92107329621126888"/>
        </c:manualLayout>
      </c:layout>
      <c:barChart>
        <c:barDir val="bar"/>
        <c:grouping val="clustered"/>
        <c:varyColors val="0"/>
        <c:ser>
          <c:idx val="0"/>
          <c:order val="0"/>
          <c:tx>
            <c:strRef>
              <c:f>'A3 - Tabellen bij grafieken'!$C$74</c:f>
              <c:strCache>
                <c:ptCount val="1"/>
                <c:pt idx="0">
                  <c:v>Totaal potentieel bij opschaling en brede inzet</c:v>
                </c:pt>
              </c:strCache>
            </c:strRef>
          </c:tx>
          <c:spPr>
            <a:solidFill>
              <a:schemeClr val="accent1"/>
            </a:solidFill>
            <a:ln>
              <a:noFill/>
            </a:ln>
            <a:effectLst/>
          </c:spPr>
          <c:invertIfNegative val="0"/>
          <c:dLbls>
            <c:spPr>
              <a:noFill/>
              <a:ln>
                <a:noFill/>
              </a:ln>
              <a:effectLst/>
            </c:spPr>
            <c:txPr>
              <a:bodyPr rot="0" vert="horz"/>
              <a:lstStyle/>
              <a:p>
                <a:pPr>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'A3 - Tabellen bij grafieken'!$B$75:$B$96</c:f>
              <c:strCache>
                <c:ptCount val="22"/>
                <c:pt idx="0">
                  <c:v>Medicijndispenser</c:v>
                </c:pt>
                <c:pt idx="1">
                  <c:v>(Zelf)zorgplatform + telebegeleiding</c:v>
                </c:pt>
                <c:pt idx="2">
                  <c:v>Spraak automatisch vastleggen</c:v>
                </c:pt>
                <c:pt idx="3">
                  <c:v>Leefstijlmonitoring</c:v>
                </c:pt>
                <c:pt idx="4">
                  <c:v>Steunkousen technologie</c:v>
                </c:pt>
                <c:pt idx="5">
                  <c:v>Slimme pleisters</c:v>
                </c:pt>
                <c:pt idx="6">
                  <c:v>Slimme bedsensoren</c:v>
                </c:pt>
                <c:pt idx="7">
                  <c:v>Slim incontinentiemateriaal</c:v>
                </c:pt>
                <c:pt idx="8">
                  <c:v>Structuurrobot</c:v>
                </c:pt>
                <c:pt idx="9">
                  <c:v>Zorg op afstand met tablet</c:v>
                </c:pt>
                <c:pt idx="10">
                  <c:v>Digitale zorg logopedie</c:v>
                </c:pt>
                <c:pt idx="11">
                  <c:v>Leefcirkels</c:v>
                </c:pt>
                <c:pt idx="12">
                  <c:v>RT monitoring (glucosemeter)</c:v>
                </c:pt>
                <c:pt idx="13">
                  <c:v>Digitale/slimme vervolgzorg</c:v>
                </c:pt>
                <c:pt idx="14">
                  <c:v>Heupairbag</c:v>
                </c:pt>
                <c:pt idx="15">
                  <c:v>Point-of-care (POC) testing</c:v>
                </c:pt>
                <c:pt idx="16">
                  <c:v>Elektromechanisch toegangsbeheer</c:v>
                </c:pt>
                <c:pt idx="17">
                  <c:v>AI om diagnoses te stellen (MRI)</c:v>
                </c:pt>
                <c:pt idx="18">
                  <c:v>Mobiele echo's</c:v>
                </c:pt>
                <c:pt idx="19">
                  <c:v>(Zelf)monitoring hypertensie zwangeren</c:v>
                </c:pt>
                <c:pt idx="20">
                  <c:v>Digitale exposure therapie</c:v>
                </c:pt>
                <c:pt idx="21">
                  <c:v>Digitale pathologie</c:v>
                </c:pt>
              </c:strCache>
            </c:strRef>
          </c:cat>
          <c:val>
            <c:numRef>
              <c:f>'A3 - Tabellen bij grafieken'!$C$75:$C$96</c:f>
              <c:numCache>
                <c:formatCode>"€"\ #,##0</c:formatCode>
                <c:ptCount val="22"/>
                <c:pt idx="0">
                  <c:v>907.27769324413543</c:v>
                </c:pt>
                <c:pt idx="1">
                  <c:v>393.71600767113318</c:v>
                </c:pt>
                <c:pt idx="2">
                  <c:v>278.42453287707724</c:v>
                </c:pt>
                <c:pt idx="3">
                  <c:v>260.23981356802597</c:v>
                </c:pt>
                <c:pt idx="4">
                  <c:v>182.83804158281518</c:v>
                </c:pt>
                <c:pt idx="5">
                  <c:v>150.90600024125774</c:v>
                </c:pt>
                <c:pt idx="6">
                  <c:v>110.05267015584687</c:v>
                </c:pt>
                <c:pt idx="7">
                  <c:v>107.77711435974639</c:v>
                </c:pt>
                <c:pt idx="8">
                  <c:v>88.916039321312411</c:v>
                </c:pt>
                <c:pt idx="9">
                  <c:v>83.032645105506944</c:v>
                </c:pt>
                <c:pt idx="10">
                  <c:v>46.218698275862074</c:v>
                </c:pt>
                <c:pt idx="11">
                  <c:v>45.543325458084958</c:v>
                </c:pt>
                <c:pt idx="12">
                  <c:v>37.871841992643674</c:v>
                </c:pt>
                <c:pt idx="13">
                  <c:v>34.783311781609193</c:v>
                </c:pt>
                <c:pt idx="14">
                  <c:v>31.582855938688347</c:v>
                </c:pt>
                <c:pt idx="15">
                  <c:v>29.971788</c:v>
                </c:pt>
                <c:pt idx="16">
                  <c:v>29.931084139646593</c:v>
                </c:pt>
                <c:pt idx="17">
                  <c:v>22.801192528735637</c:v>
                </c:pt>
                <c:pt idx="18">
                  <c:v>15.453643297573439</c:v>
                </c:pt>
                <c:pt idx="19">
                  <c:v>14.992814399999999</c:v>
                </c:pt>
                <c:pt idx="20">
                  <c:v>13.88118227586207</c:v>
                </c:pt>
                <c:pt idx="21">
                  <c:v>11.761767154022991</c:v>
                </c:pt>
              </c:numCache>
            </c:numRef>
          </c:val>
          <c:extLst>
            <c:ext xmlns:c16="http://schemas.microsoft.com/office/drawing/2014/chart" uri="{C3380CC4-5D6E-409C-BE32-E72D297353CC}">
              <c16:uniqueId val="{00000000-B57D-4F39-90F5-D2E4A34221A1}"/>
            </c:ext>
          </c:extLst>
        </c:ser>
        <c:dLbls>
          <c:showLegendKey val="0"/>
          <c:showVal val="0"/>
          <c:showCatName val="0"/>
          <c:showSerName val="0"/>
          <c:showPercent val="0"/>
          <c:showBubbleSize val="0"/>
        </c:dLbls>
        <c:gapWidth val="75"/>
        <c:axId val="472293432"/>
        <c:axId val="472291792"/>
      </c:barChart>
      <c:catAx>
        <c:axId val="472293432"/>
        <c:scaling>
          <c:orientation val="maxMin"/>
        </c:scaling>
        <c:delete val="0"/>
        <c:axPos val="l"/>
        <c:numFmt formatCode="General" sourceLinked="1"/>
        <c:majorTickMark val="none"/>
        <c:minorTickMark val="none"/>
        <c:tickLblPos val="nextTo"/>
        <c:spPr>
          <a:noFill/>
          <a:effectLst/>
        </c:spPr>
        <c:txPr>
          <a:bodyPr rot="-60000000" vert="horz"/>
          <a:lstStyle/>
          <a:p>
            <a:pPr>
              <a:defRPr/>
            </a:pPr>
            <a:endParaRPr lang="nl-NL"/>
          </a:p>
        </c:txPr>
        <c:crossAx val="472291792"/>
        <c:crosses val="autoZero"/>
        <c:auto val="1"/>
        <c:lblAlgn val="ctr"/>
        <c:lblOffset val="100"/>
        <c:noMultiLvlLbl val="0"/>
      </c:catAx>
      <c:valAx>
        <c:axId val="472291792"/>
        <c:scaling>
          <c:orientation val="minMax"/>
        </c:scaling>
        <c:delete val="1"/>
        <c:axPos val="t"/>
        <c:majorGridlines>
          <c:spPr>
            <a:ln w="9525" cap="flat" cmpd="sng" algn="ctr">
              <a:noFill/>
              <a:round/>
            </a:ln>
            <a:effectLst/>
          </c:spPr>
        </c:majorGridlines>
        <c:numFmt formatCode="&quot;€&quot;\ #,##0" sourceLinked="1"/>
        <c:majorTickMark val="none"/>
        <c:minorTickMark val="none"/>
        <c:tickLblPos val="nextTo"/>
        <c:crossAx val="4722934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b="0">
          <a:solidFill>
            <a:srgbClr val="000000"/>
          </a:solidFill>
        </a:defRPr>
      </a:pPr>
      <a:endParaRPr lang="nl-N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defRPr sz="900" b="0"/>
            </a:pPr>
            <a:r>
              <a:rPr lang="nl-NL" sz="900" b="0"/>
              <a:t>Implementatiegraad volgens het Bass Diffusion model met verschillende waarden voor de parameters p en q [%]</a:t>
            </a:r>
          </a:p>
        </c:rich>
      </c:tx>
      <c:overlay val="0"/>
      <c:spPr>
        <a:noFill/>
        <a:ln>
          <a:noFill/>
        </a:ln>
        <a:effectLst/>
      </c:spPr>
    </c:title>
    <c:autoTitleDeleted val="0"/>
    <c:plotArea>
      <c:layout>
        <c:manualLayout>
          <c:layoutTarget val="inner"/>
          <c:xMode val="edge"/>
          <c:yMode val="edge"/>
          <c:x val="0.13789276088874075"/>
          <c:y val="0.2207024621571986"/>
          <c:w val="0.54543675879316478"/>
          <c:h val="0.61172199080375012"/>
        </c:manualLayout>
      </c:layout>
      <c:lineChart>
        <c:grouping val="standard"/>
        <c:varyColors val="0"/>
        <c:ser>
          <c:idx val="4"/>
          <c:order val="0"/>
          <c:tx>
            <c:strRef>
              <c:f>'Voorbeeld S-curve'!$A$7</c:f>
              <c:strCache>
                <c:ptCount val="1"/>
                <c:pt idx="0">
                  <c:v>Zeer snel</c:v>
                </c:pt>
              </c:strCache>
            </c:strRef>
          </c:tx>
          <c:marker>
            <c:symbol val="none"/>
          </c:marker>
          <c:cat>
            <c:strRef>
              <c:f>'Voorbeeld S-curve'!$D$2:$X$2</c:f>
              <c:strCach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strCache>
            </c:strRef>
          </c:cat>
          <c:val>
            <c:numRef>
              <c:f>'Voorbeeld S-curve'!$D$7:$X$7</c:f>
              <c:numCache>
                <c:formatCode>0%</c:formatCode>
                <c:ptCount val="21"/>
                <c:pt idx="0">
                  <c:v>0</c:v>
                </c:pt>
                <c:pt idx="1">
                  <c:v>0.03</c:v>
                </c:pt>
                <c:pt idx="2">
                  <c:v>7.3649999999999993E-2</c:v>
                </c:pt>
                <c:pt idx="3">
                  <c:v>0.13555333874999997</c:v>
                </c:pt>
                <c:pt idx="4">
                  <c:v>0.22007605413936385</c:v>
                </c:pt>
                <c:pt idx="5">
                  <c:v>0.32929506478208875</c:v>
                </c:pt>
                <c:pt idx="6">
                  <c:v>0.4598461253847505</c:v>
                </c:pt>
                <c:pt idx="7">
                  <c:v>0.60024457479989934</c:v>
                </c:pt>
                <c:pt idx="8">
                  <c:v>0.73221275016749598</c:v>
                </c:pt>
                <c:pt idx="9">
                  <c:v>0.83828498699229514</c:v>
                </c:pt>
                <c:pt idx="10">
                  <c:v>0.91091807117033763</c:v>
                </c:pt>
                <c:pt idx="11">
                  <c:v>0.95416369842805215</c:v>
                </c:pt>
                <c:pt idx="12">
                  <c:v>0.97740645499028722</c:v>
                </c:pt>
                <c:pt idx="13">
                  <c:v>0.98912579970738201</c:v>
                </c:pt>
                <c:pt idx="14">
                  <c:v>0.99483000174646752</c:v>
                </c:pt>
                <c:pt idx="15">
                  <c:v>0.99755673637986897</c:v>
                </c:pt>
                <c:pt idx="16">
                  <c:v>0.99884868132997962</c:v>
                </c:pt>
                <c:pt idx="17">
                  <c:v>0.99945821745775043</c:v>
                </c:pt>
                <c:pt idx="18">
                  <c:v>0.99974521544098116</c:v>
                </c:pt>
                <c:pt idx="19">
                  <c:v>0.99988021879967537</c:v>
                </c:pt>
                <c:pt idx="20">
                  <c:v>0.99994369566207941</c:v>
                </c:pt>
              </c:numCache>
            </c:numRef>
          </c:val>
          <c:smooth val="0"/>
          <c:extLst>
            <c:ext xmlns:c16="http://schemas.microsoft.com/office/drawing/2014/chart" uri="{C3380CC4-5D6E-409C-BE32-E72D297353CC}">
              <c16:uniqueId val="{00000000-1A28-4F83-BB45-4806EDF41EBC}"/>
            </c:ext>
          </c:extLst>
        </c:ser>
        <c:ser>
          <c:idx val="3"/>
          <c:order val="1"/>
          <c:tx>
            <c:strRef>
              <c:f>'Voorbeeld S-curve'!$A$6</c:f>
              <c:strCache>
                <c:ptCount val="1"/>
                <c:pt idx="0">
                  <c:v>Snel</c:v>
                </c:pt>
              </c:strCache>
            </c:strRef>
          </c:tx>
          <c:marker>
            <c:symbol val="none"/>
          </c:marker>
          <c:cat>
            <c:strRef>
              <c:f>'Voorbeeld S-curve'!$D$2:$X$2</c:f>
              <c:strCach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strCache>
            </c:strRef>
          </c:cat>
          <c:val>
            <c:numRef>
              <c:f>'Voorbeeld S-curve'!$D$6:$X$6</c:f>
              <c:numCache>
                <c:formatCode>0%</c:formatCode>
                <c:ptCount val="21"/>
                <c:pt idx="0">
                  <c:v>0</c:v>
                </c:pt>
                <c:pt idx="1">
                  <c:v>2.5000000000000001E-2</c:v>
                </c:pt>
                <c:pt idx="2">
                  <c:v>6.0343750000000002E-2</c:v>
                </c:pt>
                <c:pt idx="3">
                  <c:v>0.10935122807617187</c:v>
                </c:pt>
                <c:pt idx="4">
                  <c:v>0.17544453902174978</c:v>
                </c:pt>
                <c:pt idx="5">
                  <c:v>0.26115711428334398</c:v>
                </c:pt>
                <c:pt idx="6">
                  <c:v>0.36645752060040354</c:v>
                </c:pt>
                <c:pt idx="7">
                  <c:v>0.48677096537350723</c:v>
                </c:pt>
                <c:pt idx="8">
                  <c:v>0.61202293792845253</c:v>
                </c:pt>
                <c:pt idx="9">
                  <c:v>0.7285752521002864</c:v>
                </c:pt>
                <c:pt idx="10">
                  <c:v>0.82434988015505994</c:v>
                </c:pt>
                <c:pt idx="11">
                  <c:v>0.89389985301071273</c:v>
                </c:pt>
                <c:pt idx="12">
                  <c:v>0.93923166429460736</c:v>
                </c:pt>
                <c:pt idx="13">
                  <c:v>0.96643486797368738</c:v>
                </c:pt>
                <c:pt idx="14">
                  <c:v>0.98187132754661111</c:v>
                </c:pt>
                <c:pt idx="15">
                  <c:v>0.9903345550177558</c:v>
                </c:pt>
                <c:pt idx="16">
                  <c:v>0.99488360201230464</c:v>
                </c:pt>
                <c:pt idx="17">
                  <c:v>0.99730211116869405</c:v>
                </c:pt>
                <c:pt idx="18">
                  <c:v>0.99858033299169868</c:v>
                </c:pt>
                <c:pt idx="19">
                  <c:v>0.99925376786615527</c:v>
                </c:pt>
                <c:pt idx="20">
                  <c:v>0.99960797754165265</c:v>
                </c:pt>
              </c:numCache>
            </c:numRef>
          </c:val>
          <c:smooth val="0"/>
          <c:extLst>
            <c:ext xmlns:c16="http://schemas.microsoft.com/office/drawing/2014/chart" uri="{C3380CC4-5D6E-409C-BE32-E72D297353CC}">
              <c16:uniqueId val="{00000001-1A28-4F83-BB45-4806EDF41EBC}"/>
            </c:ext>
          </c:extLst>
        </c:ser>
        <c:ser>
          <c:idx val="2"/>
          <c:order val="2"/>
          <c:tx>
            <c:strRef>
              <c:f>'Voorbeeld S-curve'!$A$5</c:f>
              <c:strCache>
                <c:ptCount val="1"/>
                <c:pt idx="0">
                  <c:v>Gemiddeld</c:v>
                </c:pt>
              </c:strCache>
            </c:strRef>
          </c:tx>
          <c:spPr>
            <a:ln w="25400" cap="rnd">
              <a:solidFill>
                <a:schemeClr val="accent3"/>
              </a:solidFill>
              <a:round/>
            </a:ln>
            <a:effectLst/>
          </c:spPr>
          <c:marker>
            <c:symbol val="none"/>
          </c:marker>
          <c:cat>
            <c:strRef>
              <c:f>'Voorbeeld S-curve'!$D$2:$X$2</c:f>
              <c:strCach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strCache>
            </c:strRef>
          </c:cat>
          <c:val>
            <c:numRef>
              <c:f>'Voorbeeld S-curve'!$D$5:$X$5</c:f>
              <c:numCache>
                <c:formatCode>0%</c:formatCode>
                <c:ptCount val="21"/>
                <c:pt idx="0">
                  <c:v>0</c:v>
                </c:pt>
                <c:pt idx="1">
                  <c:v>0.02</c:v>
                </c:pt>
                <c:pt idx="2">
                  <c:v>4.7439999999999996E-2</c:v>
                </c:pt>
                <c:pt idx="3">
                  <c:v>8.4566978560000006E-2</c:v>
                </c:pt>
                <c:pt idx="4">
                  <c:v>0.13384180086769301</c:v>
                </c:pt>
                <c:pt idx="5">
                  <c:v>0.19753623413361349</c:v>
                </c:pt>
                <c:pt idx="6">
                  <c:v>0.27699177758611071</c:v>
                </c:pt>
                <c:pt idx="7">
                  <c:v>0.37155887512870744</c:v>
                </c:pt>
                <c:pt idx="8">
                  <c:v>0.47752884860285211</c:v>
                </c:pt>
                <c:pt idx="9">
                  <c:v>0.5877762905727496</c:v>
                </c:pt>
                <c:pt idx="10">
                  <c:v>0.6929388938866099</c:v>
                </c:pt>
                <c:pt idx="11">
                  <c:v>0.78418994929920227</c:v>
                </c:pt>
                <c:pt idx="12">
                  <c:v>0.85620057940014505</c:v>
                </c:pt>
                <c:pt idx="13">
                  <c:v>0.90832502670614257</c:v>
                </c:pt>
                <c:pt idx="14">
                  <c:v>0.94346679519819099</c:v>
                </c:pt>
                <c:pt idx="15">
                  <c:v>0.96593233991688543</c:v>
                </c:pt>
                <c:pt idx="16">
                  <c:v>0.97977651496637808</c:v>
                </c:pt>
                <c:pt idx="17">
                  <c:v>0.98810678294173726</c:v>
                </c:pt>
                <c:pt idx="18">
                  <c:v>0.99304535466140964</c:v>
                </c:pt>
                <c:pt idx="19">
                  <c:v>0.99594695886690343</c:v>
                </c:pt>
                <c:pt idx="20">
                  <c:v>0.99764266528583334</c:v>
                </c:pt>
              </c:numCache>
            </c:numRef>
          </c:val>
          <c:smooth val="0"/>
          <c:extLst>
            <c:ext xmlns:c16="http://schemas.microsoft.com/office/drawing/2014/chart" uri="{C3380CC4-5D6E-409C-BE32-E72D297353CC}">
              <c16:uniqueId val="{00000002-1A28-4F83-BB45-4806EDF41EBC}"/>
            </c:ext>
          </c:extLst>
        </c:ser>
        <c:ser>
          <c:idx val="1"/>
          <c:order val="3"/>
          <c:tx>
            <c:strRef>
              <c:f>'Voorbeeld S-curve'!$A$4</c:f>
              <c:strCache>
                <c:ptCount val="1"/>
                <c:pt idx="0">
                  <c:v>Langzaam</c:v>
                </c:pt>
              </c:strCache>
            </c:strRef>
          </c:tx>
          <c:spPr>
            <a:ln w="28575" cap="rnd">
              <a:solidFill>
                <a:schemeClr val="accent2"/>
              </a:solidFill>
              <a:round/>
            </a:ln>
            <a:effectLst/>
          </c:spPr>
          <c:marker>
            <c:symbol val="none"/>
          </c:marker>
          <c:cat>
            <c:strRef>
              <c:f>'Voorbeeld S-curve'!$D$2:$X$2</c:f>
              <c:strCach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strCache>
            </c:strRef>
          </c:cat>
          <c:val>
            <c:numRef>
              <c:f>'Voorbeeld S-curve'!$D$4:$X$4</c:f>
              <c:numCache>
                <c:formatCode>0%</c:formatCode>
                <c:ptCount val="21"/>
                <c:pt idx="0">
                  <c:v>0</c:v>
                </c:pt>
                <c:pt idx="1">
                  <c:v>1.4999999999999999E-2</c:v>
                </c:pt>
                <c:pt idx="2">
                  <c:v>3.4946249999999998E-2</c:v>
                </c:pt>
                <c:pt idx="3">
                  <c:v>6.1225809613828119E-2</c:v>
                </c:pt>
                <c:pt idx="4">
                  <c:v>9.5424445917456496E-2</c:v>
                </c:pt>
                <c:pt idx="5">
                  <c:v>0.13920459659227569</c:v>
                </c:pt>
                <c:pt idx="6">
                  <c:v>0.19405586455134166</c:v>
                </c:pt>
                <c:pt idx="7">
                  <c:v>0.26088439167767208</c:v>
                </c:pt>
                <c:pt idx="8">
                  <c:v>0.33945942985233207</c:v>
                </c:pt>
                <c:pt idx="9">
                  <c:v>0.42784689227237871</c:v>
                </c:pt>
                <c:pt idx="10">
                  <c:v>0.52210706405412921</c:v>
                </c:pt>
                <c:pt idx="11">
                  <c:v>0.61660440529493454</c:v>
                </c:pt>
                <c:pt idx="12">
                  <c:v>0.70509653364854563</c:v>
                </c:pt>
                <c:pt idx="13">
                  <c:v>0.78229747980369024</c:v>
                </c:pt>
                <c:pt idx="14">
                  <c:v>0.84517086412040476</c:v>
                </c:pt>
                <c:pt idx="15">
                  <c:v>0.89329327725542929</c:v>
                </c:pt>
                <c:pt idx="16">
                  <c:v>0.92825601741958719</c:v>
                </c:pt>
                <c:pt idx="17">
                  <c:v>0.9526410513986634</c:v>
                </c:pt>
                <c:pt idx="18">
                  <c:v>0.96914206313373286</c:v>
                </c:pt>
                <c:pt idx="19">
                  <c:v>0.98007193579624541</c:v>
                </c:pt>
                <c:pt idx="20">
                  <c:v>0.98720668452059768</c:v>
                </c:pt>
              </c:numCache>
            </c:numRef>
          </c:val>
          <c:smooth val="0"/>
          <c:extLst>
            <c:ext xmlns:c16="http://schemas.microsoft.com/office/drawing/2014/chart" uri="{C3380CC4-5D6E-409C-BE32-E72D297353CC}">
              <c16:uniqueId val="{00000003-1A28-4F83-BB45-4806EDF41EBC}"/>
            </c:ext>
          </c:extLst>
        </c:ser>
        <c:ser>
          <c:idx val="0"/>
          <c:order val="4"/>
          <c:tx>
            <c:strRef>
              <c:f>'Voorbeeld S-curve'!$A$3</c:f>
              <c:strCache>
                <c:ptCount val="1"/>
                <c:pt idx="0">
                  <c:v>Zeer langzaam</c:v>
                </c:pt>
              </c:strCache>
            </c:strRef>
          </c:tx>
          <c:spPr>
            <a:ln w="28575" cap="rnd">
              <a:solidFill>
                <a:schemeClr val="accent1"/>
              </a:solidFill>
              <a:round/>
            </a:ln>
            <a:effectLst/>
          </c:spPr>
          <c:marker>
            <c:symbol val="none"/>
          </c:marker>
          <c:cat>
            <c:strRef>
              <c:f>'Voorbeeld S-curve'!$D$2:$X$2</c:f>
              <c:strCach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strCache>
            </c:strRef>
          </c:cat>
          <c:val>
            <c:numRef>
              <c:f>'Voorbeeld S-curve'!$D$3:$X$3</c:f>
              <c:numCache>
                <c:formatCode>0%</c:formatCode>
                <c:ptCount val="21"/>
                <c:pt idx="0">
                  <c:v>0</c:v>
                </c:pt>
                <c:pt idx="1">
                  <c:v>0.01</c:v>
                </c:pt>
                <c:pt idx="2">
                  <c:v>2.2870000000000001E-2</c:v>
                </c:pt>
                <c:pt idx="3">
                  <c:v>3.9345388929999996E-2</c:v>
                </c:pt>
                <c:pt idx="4">
                  <c:v>6.0291133830684102E-2</c:v>
                </c:pt>
                <c:pt idx="5">
                  <c:v>8.6685056396005655E-2</c:v>
                </c:pt>
                <c:pt idx="6">
                  <c:v>0.11956943305013369</c:v>
                </c:pt>
                <c:pt idx="7">
                  <c:v>0.15995551383869336</c:v>
                </c:pt>
                <c:pt idx="8">
                  <c:v>0.20866688292969432</c:v>
                </c:pt>
                <c:pt idx="9">
                  <c:v>0.26611771856982724</c:v>
                </c:pt>
                <c:pt idx="10">
                  <c:v>0.33204626491403416</c:v>
                </c:pt>
                <c:pt idx="11">
                  <c:v>0.40526326512609578</c:v>
                </c:pt>
                <c:pt idx="12">
                  <c:v>0.4835181177944643</c:v>
                </c:pt>
                <c:pt idx="13">
                  <c:v>0.56360144088420849</c:v>
                </c:pt>
                <c:pt idx="14">
                  <c:v>0.64175188349060219</c:v>
                </c:pt>
                <c:pt idx="15">
                  <c:v>0.71430628571375621</c:v>
                </c:pt>
                <c:pt idx="16">
                  <c:v>0.77838506762769077</c:v>
                </c:pt>
                <c:pt idx="17">
                  <c:v>0.83235174318799166</c:v>
                </c:pt>
                <c:pt idx="18">
                  <c:v>0.8758909213960826</c:v>
                </c:pt>
                <c:pt idx="19">
                  <c:v>0.90974381674572302</c:v>
                </c:pt>
                <c:pt idx="20">
                  <c:v>0.93527937996985999</c:v>
                </c:pt>
              </c:numCache>
            </c:numRef>
          </c:val>
          <c:smooth val="0"/>
          <c:extLst>
            <c:ext xmlns:c16="http://schemas.microsoft.com/office/drawing/2014/chart" uri="{C3380CC4-5D6E-409C-BE32-E72D297353CC}">
              <c16:uniqueId val="{00000004-1A28-4F83-BB45-4806EDF41EBC}"/>
            </c:ext>
          </c:extLst>
        </c:ser>
        <c:dLbls>
          <c:showLegendKey val="0"/>
          <c:showVal val="0"/>
          <c:showCatName val="0"/>
          <c:showSerName val="0"/>
          <c:showPercent val="0"/>
          <c:showBubbleSize val="0"/>
        </c:dLbls>
        <c:smooth val="0"/>
        <c:axId val="620422960"/>
        <c:axId val="620423616"/>
      </c:lineChart>
      <c:catAx>
        <c:axId val="620422960"/>
        <c:scaling>
          <c:orientation val="minMax"/>
        </c:scaling>
        <c:delete val="0"/>
        <c:axPos val="b"/>
        <c:title>
          <c:tx>
            <c:rich>
              <a:bodyPr rot="0" vert="horz"/>
              <a:lstStyle/>
              <a:p>
                <a:pPr>
                  <a:defRPr/>
                </a:pPr>
                <a:r>
                  <a:rPr lang="nl-NL"/>
                  <a:t>Jaar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nl-NL"/>
          </a:p>
        </c:txPr>
        <c:crossAx val="620423616"/>
        <c:crosses val="autoZero"/>
        <c:auto val="1"/>
        <c:lblAlgn val="ctr"/>
        <c:lblOffset val="100"/>
        <c:tickLblSkip val="2"/>
        <c:noMultiLvlLbl val="1"/>
      </c:catAx>
      <c:valAx>
        <c:axId val="620423616"/>
        <c:scaling>
          <c:orientation val="minMax"/>
          <c:max val="1"/>
        </c:scaling>
        <c:delete val="0"/>
        <c:axPos val="l"/>
        <c:title>
          <c:tx>
            <c:rich>
              <a:bodyPr rot="-5400000" vert="horz"/>
              <a:lstStyle/>
              <a:p>
                <a:pPr>
                  <a:defRPr/>
                </a:pPr>
                <a:r>
                  <a:rPr lang="nl-NL"/>
                  <a:t>Implementatiegraad</a:t>
                </a:r>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nl-NL"/>
          </a:p>
        </c:txPr>
        <c:crossAx val="620422960"/>
        <c:crosses val="autoZero"/>
        <c:crossBetween val="between"/>
        <c:majorUnit val="0.2"/>
      </c:valAx>
      <c:spPr>
        <a:noFill/>
        <a:ln>
          <a:noFill/>
        </a:ln>
        <a:effectLst/>
      </c:spPr>
    </c:plotArea>
    <c:legend>
      <c:legendPos val="r"/>
      <c:layout>
        <c:manualLayout>
          <c:xMode val="edge"/>
          <c:yMode val="edge"/>
          <c:x val="0.71146082468303007"/>
          <c:y val="0.29407201932157523"/>
          <c:w val="0.2608142290947697"/>
          <c:h val="0.47809066908423753"/>
        </c:manualLayout>
      </c:layout>
      <c:overlay val="0"/>
      <c:spPr>
        <a:noFill/>
        <a:ln>
          <a:noFill/>
        </a:ln>
        <a:effectLst/>
      </c:spPr>
      <c:txPr>
        <a:bodyPr rot="0" vert="horz"/>
        <a:lstStyle/>
        <a:p>
          <a:pPr>
            <a:defRPr/>
          </a:pPr>
          <a:endParaRPr lang="nl-NL"/>
        </a:p>
      </c:txPr>
    </c:legend>
    <c:plotVisOnly val="1"/>
    <c:dispBlanksAs val="gap"/>
    <c:showDLblsOverMax val="0"/>
    <c:extLst/>
  </c:chart>
  <c:spPr>
    <a:solidFill>
      <a:schemeClr val="bg1"/>
    </a:solidFill>
    <a:ln w="9525" cap="flat" cmpd="sng" algn="ctr">
      <a:noFill/>
      <a:round/>
    </a:ln>
    <a:effectLst/>
  </c:spPr>
  <c:txPr>
    <a:bodyPr/>
    <a:lstStyle/>
    <a:p>
      <a:pPr>
        <a:defRPr sz="800">
          <a:solidFill>
            <a:sysClr val="windowText" lastClr="000000"/>
          </a:solidFill>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601789166409478"/>
          <c:y val="0.20506066278515855"/>
          <c:w val="0.71594937672335413"/>
          <c:h val="0.74413481504481449"/>
        </c:manualLayout>
      </c:layout>
      <c:barChart>
        <c:barDir val="bar"/>
        <c:grouping val="stacked"/>
        <c:varyColors val="0"/>
        <c:ser>
          <c:idx val="7"/>
          <c:order val="0"/>
          <c:tx>
            <c:strRef>
              <c:f>'A3 - Tabellen bij grafieken'!$B$61</c:f>
              <c:strCache>
                <c:ptCount val="1"/>
                <c:pt idx="0">
                  <c:v>Opbrengsten 2023</c:v>
                </c:pt>
              </c:strCache>
            </c:strRef>
          </c:tx>
          <c:spPr>
            <a:solidFill>
              <a:srgbClr val="003F5A"/>
            </a:solidFill>
            <a:ln>
              <a:noFill/>
            </a:ln>
          </c:spPr>
          <c:invertIfNegative val="0"/>
          <c:dLbls>
            <c:spPr>
              <a:noFill/>
              <a:ln>
                <a:noFill/>
              </a:ln>
              <a:effectLst/>
            </c:spPr>
            <c:txPr>
              <a:bodyPr wrap="square" lIns="38100" tIns="19050" rIns="38100" bIns="19050" anchor="ctr">
                <a:spAutoFit/>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'A3 - Tabellen bij grafieken'!$A$32:$A$38</c:f>
              <c:strCache>
                <c:ptCount val="7"/>
                <c:pt idx="0">
                  <c:v>Digitale hulpmiddelen - Verpleging</c:v>
                </c:pt>
                <c:pt idx="1">
                  <c:v>Software - Behandeling</c:v>
                </c:pt>
                <c:pt idx="2">
                  <c:v>Sensoren - Verpleging</c:v>
                </c:pt>
                <c:pt idx="3">
                  <c:v>Sensoren - Behandeling</c:v>
                </c:pt>
                <c:pt idx="4">
                  <c:v>Digitale hulpmiddelen - Diagnose</c:v>
                </c:pt>
                <c:pt idx="5">
                  <c:v>Software - Diagnose</c:v>
                </c:pt>
                <c:pt idx="6">
                  <c:v>Potentiële opbrengsten digitale zorg 2028</c:v>
                </c:pt>
              </c:strCache>
            </c:strRef>
          </c:cat>
          <c:val>
            <c:numRef>
              <c:f>'A3 - Tabellen bij grafieken'!$B$32:$B$38</c:f>
              <c:numCache>
                <c:formatCode>General</c:formatCode>
                <c:ptCount val="7"/>
              </c:numCache>
            </c:numRef>
          </c:val>
          <c:extLst>
            <c:ext xmlns:c16="http://schemas.microsoft.com/office/drawing/2014/chart" uri="{C3380CC4-5D6E-409C-BE32-E72D297353CC}">
              <c16:uniqueId val="{00000000-33BA-4859-B4E0-F748CFD0FA40}"/>
            </c:ext>
          </c:extLst>
        </c:ser>
        <c:ser>
          <c:idx val="0"/>
          <c:order val="1"/>
          <c:tx>
            <c:strRef>
              <c:f>'A3 - Tabellen bij grafieken'!$C$61</c:f>
              <c:strCache>
                <c:ptCount val="1"/>
                <c:pt idx="0">
                  <c:v>Extra opbrengsten t.o.v. 2023</c:v>
                </c:pt>
              </c:strCache>
            </c:strRef>
          </c:tx>
          <c:spPr>
            <a:solidFill>
              <a:srgbClr val="003F5A"/>
            </a:solidFill>
            <a:ln>
              <a:noFill/>
            </a:ln>
            <a:effectLst/>
          </c:spPr>
          <c:invertIfNegative val="0"/>
          <c:dLbls>
            <c:spPr>
              <a:noFill/>
              <a:ln>
                <a:noFill/>
              </a:ln>
              <a:effectLst/>
            </c:spPr>
            <c:txPr>
              <a:bodyPr wrap="square" lIns="38100" tIns="19050" rIns="38100" bIns="19050" anchor="ctr">
                <a:spAutoFit/>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'A3 - Tabellen bij grafieken'!$A$32:$A$38</c:f>
              <c:strCache>
                <c:ptCount val="7"/>
                <c:pt idx="0">
                  <c:v>Digitale hulpmiddelen - Verpleging</c:v>
                </c:pt>
                <c:pt idx="1">
                  <c:v>Software - Behandeling</c:v>
                </c:pt>
                <c:pt idx="2">
                  <c:v>Sensoren - Verpleging</c:v>
                </c:pt>
                <c:pt idx="3">
                  <c:v>Sensoren - Behandeling</c:v>
                </c:pt>
                <c:pt idx="4">
                  <c:v>Digitale hulpmiddelen - Diagnose</c:v>
                </c:pt>
                <c:pt idx="5">
                  <c:v>Software - Diagnose</c:v>
                </c:pt>
                <c:pt idx="6">
                  <c:v>Potentiële opbrengsten digitale zorg 2028</c:v>
                </c:pt>
              </c:strCache>
            </c:strRef>
          </c:cat>
          <c:val>
            <c:numRef>
              <c:f>'A3 - Tabellen bij grafieken'!$C$32:$C$38</c:f>
              <c:numCache>
                <c:formatCode>General</c:formatCode>
                <c:ptCount val="7"/>
                <c:pt idx="6" formatCode="&quot;€&quot;\ #,##0">
                  <c:v>1890</c:v>
                </c:pt>
              </c:numCache>
            </c:numRef>
          </c:val>
          <c:extLst>
            <c:ext xmlns:c16="http://schemas.microsoft.com/office/drawing/2014/chart" uri="{C3380CC4-5D6E-409C-BE32-E72D297353CC}">
              <c16:uniqueId val="{00000001-33BA-4859-B4E0-F748CFD0FA40}"/>
            </c:ext>
          </c:extLst>
        </c:ser>
        <c:ser>
          <c:idx val="1"/>
          <c:order val="2"/>
          <c:tx>
            <c:strRef>
              <c:f>'A3 - Tabellen bij grafieken'!$D$61</c:f>
              <c:strCache>
                <c:ptCount val="1"/>
              </c:strCache>
            </c:strRef>
          </c:tx>
          <c:spPr>
            <a:solidFill>
              <a:sysClr val="window" lastClr="FFFFFF"/>
            </a:solidFill>
            <a:ln>
              <a:noFill/>
            </a:ln>
            <a:effectLst/>
          </c:spPr>
          <c:invertIfNegative val="0"/>
          <c:dPt>
            <c:idx val="7"/>
            <c:invertIfNegative val="0"/>
            <c:bubble3D val="0"/>
            <c:extLst>
              <c:ext xmlns:c16="http://schemas.microsoft.com/office/drawing/2014/chart" uri="{C3380CC4-5D6E-409C-BE32-E72D297353CC}">
                <c16:uniqueId val="{00000002-33BA-4859-B4E0-F748CFD0FA40}"/>
              </c:ext>
            </c:extLst>
          </c:dPt>
          <c:dLbls>
            <c:delete val="1"/>
          </c:dLbls>
          <c:cat>
            <c:strRef>
              <c:f>'A3 - Tabellen bij grafieken'!$A$32:$A$38</c:f>
              <c:strCache>
                <c:ptCount val="7"/>
                <c:pt idx="0">
                  <c:v>Digitale hulpmiddelen - Verpleging</c:v>
                </c:pt>
                <c:pt idx="1">
                  <c:v>Software - Behandeling</c:v>
                </c:pt>
                <c:pt idx="2">
                  <c:v>Sensoren - Verpleging</c:v>
                </c:pt>
                <c:pt idx="3">
                  <c:v>Sensoren - Behandeling</c:v>
                </c:pt>
                <c:pt idx="4">
                  <c:v>Digitale hulpmiddelen - Diagnose</c:v>
                </c:pt>
                <c:pt idx="5">
                  <c:v>Software - Diagnose</c:v>
                </c:pt>
                <c:pt idx="6">
                  <c:v>Potentiële opbrengsten digitale zorg 2028</c:v>
                </c:pt>
              </c:strCache>
            </c:strRef>
          </c:cat>
          <c:val>
            <c:numRef>
              <c:f>'A3 - Tabellen bij grafieken'!$D$32:$D$38</c:f>
              <c:numCache>
                <c:formatCode>"€"\ #,##0</c:formatCode>
                <c:ptCount val="7"/>
                <c:pt idx="1">
                  <c:v>1070</c:v>
                </c:pt>
                <c:pt idx="2">
                  <c:v>1440</c:v>
                </c:pt>
                <c:pt idx="3">
                  <c:v>1750</c:v>
                </c:pt>
                <c:pt idx="4">
                  <c:v>1820</c:v>
                </c:pt>
                <c:pt idx="5">
                  <c:v>1860</c:v>
                </c:pt>
              </c:numCache>
            </c:numRef>
          </c:val>
          <c:extLst>
            <c:ext xmlns:c16="http://schemas.microsoft.com/office/drawing/2014/chart" uri="{C3380CC4-5D6E-409C-BE32-E72D297353CC}">
              <c16:uniqueId val="{00000003-33BA-4859-B4E0-F748CFD0FA40}"/>
            </c:ext>
          </c:extLst>
        </c:ser>
        <c:ser>
          <c:idx val="2"/>
          <c:order val="3"/>
          <c:tx>
            <c:strRef>
              <c:f>'A3 - Tabellen bij grafieken'!$E$61</c:f>
              <c:strCache>
                <c:ptCount val="1"/>
                <c:pt idx="0">
                  <c:v>Toename</c:v>
                </c:pt>
              </c:strCache>
            </c:strRef>
          </c:tx>
          <c:invertIfNegative val="0"/>
          <c:dPt>
            <c:idx val="0"/>
            <c:invertIfNegative val="0"/>
            <c:bubble3D val="0"/>
            <c:spPr>
              <a:solidFill>
                <a:srgbClr val="428CCF"/>
              </a:solidFill>
            </c:spPr>
            <c:extLst>
              <c:ext xmlns:c16="http://schemas.microsoft.com/office/drawing/2014/chart" uri="{C3380CC4-5D6E-409C-BE32-E72D297353CC}">
                <c16:uniqueId val="{00000005-33BA-4859-B4E0-F748CFD0FA40}"/>
              </c:ext>
            </c:extLst>
          </c:dPt>
          <c:dPt>
            <c:idx val="1"/>
            <c:invertIfNegative val="0"/>
            <c:bubble3D val="0"/>
            <c:spPr>
              <a:solidFill>
                <a:srgbClr val="4C4B47"/>
              </a:solidFill>
            </c:spPr>
            <c:extLst>
              <c:ext xmlns:c16="http://schemas.microsoft.com/office/drawing/2014/chart" uri="{C3380CC4-5D6E-409C-BE32-E72D297353CC}">
                <c16:uniqueId val="{00000007-33BA-4859-B4E0-F748CFD0FA40}"/>
              </c:ext>
            </c:extLst>
          </c:dPt>
          <c:dPt>
            <c:idx val="2"/>
            <c:invertIfNegative val="0"/>
            <c:bubble3D val="0"/>
            <c:spPr>
              <a:solidFill>
                <a:srgbClr val="C3B233"/>
              </a:solidFill>
            </c:spPr>
            <c:extLst>
              <c:ext xmlns:c16="http://schemas.microsoft.com/office/drawing/2014/chart" uri="{C3380CC4-5D6E-409C-BE32-E72D297353CC}">
                <c16:uniqueId val="{00000009-33BA-4859-B4E0-F748CFD0FA40}"/>
              </c:ext>
            </c:extLst>
          </c:dPt>
          <c:dPt>
            <c:idx val="3"/>
            <c:invertIfNegative val="0"/>
            <c:bubble3D val="0"/>
            <c:spPr>
              <a:solidFill>
                <a:srgbClr val="83C4CF"/>
              </a:solidFill>
            </c:spPr>
            <c:extLst>
              <c:ext xmlns:c16="http://schemas.microsoft.com/office/drawing/2014/chart" uri="{C3380CC4-5D6E-409C-BE32-E72D297353CC}">
                <c16:uniqueId val="{0000000B-33BA-4859-B4E0-F748CFD0FA40}"/>
              </c:ext>
            </c:extLst>
          </c:dPt>
          <c:dPt>
            <c:idx val="4"/>
            <c:invertIfNegative val="0"/>
            <c:bubble3D val="0"/>
            <c:spPr>
              <a:solidFill>
                <a:srgbClr val="003F5A"/>
              </a:solidFill>
            </c:spPr>
            <c:extLst>
              <c:ext xmlns:c16="http://schemas.microsoft.com/office/drawing/2014/chart" uri="{C3380CC4-5D6E-409C-BE32-E72D297353CC}">
                <c16:uniqueId val="{0000000D-33BA-4859-B4E0-F748CFD0FA40}"/>
              </c:ext>
            </c:extLst>
          </c:dPt>
          <c:dPt>
            <c:idx val="5"/>
            <c:invertIfNegative val="0"/>
            <c:bubble3D val="0"/>
            <c:spPr>
              <a:solidFill>
                <a:srgbClr val="1AB589"/>
              </a:solidFill>
            </c:spPr>
            <c:extLst>
              <c:ext xmlns:c16="http://schemas.microsoft.com/office/drawing/2014/chart" uri="{C3380CC4-5D6E-409C-BE32-E72D297353CC}">
                <c16:uniqueId val="{0000000F-33BA-4859-B4E0-F748CFD0FA40}"/>
              </c:ext>
            </c:extLst>
          </c:dPt>
          <c:dLbls>
            <c:dLbl>
              <c:idx val="0"/>
              <c:spPr>
                <a:noFill/>
                <a:ln>
                  <a:noFill/>
                </a:ln>
                <a:effectLst/>
              </c:spPr>
              <c:txPr>
                <a:bodyPr wrap="square" lIns="38100" tIns="19050" rIns="38100" bIns="19050" anchor="ctr">
                  <a:spAutoFit/>
                </a:bodyPr>
                <a:lstStyle/>
                <a:p>
                  <a:pPr>
                    <a:defRPr sz="800">
                      <a:solidFill>
                        <a:schemeClr val="bg1"/>
                      </a:solidFill>
                    </a:defRPr>
                  </a:pPr>
                  <a:endParaRPr lang="nl-NL"/>
                </a:p>
              </c:txPr>
              <c:dLblPos val="inBase"/>
              <c:showLegendKey val="0"/>
              <c:showVal val="1"/>
              <c:showCatName val="0"/>
              <c:showSerName val="0"/>
              <c:showPercent val="0"/>
              <c:showBubbleSize val="0"/>
              <c:extLst>
                <c:ext xmlns:c16="http://schemas.microsoft.com/office/drawing/2014/chart" uri="{C3380CC4-5D6E-409C-BE32-E72D297353CC}">
                  <c16:uniqueId val="{00000005-33BA-4859-B4E0-F748CFD0FA40}"/>
                </c:ext>
              </c:extLst>
            </c:dLbl>
            <c:dLbl>
              <c:idx val="1"/>
              <c:spPr>
                <a:noFill/>
                <a:ln>
                  <a:noFill/>
                </a:ln>
                <a:effectLst/>
              </c:spPr>
              <c:txPr>
                <a:bodyPr wrap="square" lIns="38100" tIns="19050" rIns="38100" bIns="19050" anchor="ctr">
                  <a:spAutoFit/>
                </a:bodyPr>
                <a:lstStyle/>
                <a:p>
                  <a:pPr>
                    <a:defRPr sz="800">
                      <a:solidFill>
                        <a:schemeClr val="bg1"/>
                      </a:solidFill>
                    </a:defRPr>
                  </a:pPr>
                  <a:endParaRPr lang="nl-NL"/>
                </a:p>
              </c:txPr>
              <c:dLblPos val="inBase"/>
              <c:showLegendKey val="0"/>
              <c:showVal val="1"/>
              <c:showCatName val="0"/>
              <c:showSerName val="0"/>
              <c:showPercent val="0"/>
              <c:showBubbleSize val="0"/>
              <c:extLst>
                <c:ext xmlns:c16="http://schemas.microsoft.com/office/drawing/2014/chart" uri="{C3380CC4-5D6E-409C-BE32-E72D297353CC}">
                  <c16:uniqueId val="{00000007-33BA-4859-B4E0-F748CFD0FA40}"/>
                </c:ext>
              </c:extLst>
            </c:dLbl>
            <c:dLbl>
              <c:idx val="3"/>
              <c:layout>
                <c:manualLayout>
                  <c:x val="2.6226931798758343E-2"/>
                  <c:y val="7.616894575962623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3BA-4859-B4E0-F748CFD0FA40}"/>
                </c:ext>
              </c:extLst>
            </c:dLbl>
            <c:dLbl>
              <c:idx val="4"/>
              <c:layout>
                <c:manualLayout>
                  <c:x val="2.1270802541596391E-2"/>
                  <c:y val="2.917111161479897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3BA-4859-B4E0-F748CFD0FA40}"/>
                </c:ext>
              </c:extLst>
            </c:dLbl>
            <c:dLbl>
              <c:idx val="5"/>
              <c:layout>
                <c:manualLayout>
                  <c:x val="2.8588926252538293E-2"/>
                  <c:y val="8.7513334857980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3BA-4859-B4E0-F748CFD0FA40}"/>
                </c:ext>
              </c:extLst>
            </c:dLbl>
            <c:dLbl>
              <c:idx val="6"/>
              <c:layout>
                <c:manualLayout>
                  <c:x val="1.8884206220442123E-2"/>
                  <c:y val="1.358385738674503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3BA-4859-B4E0-F748CFD0FA40}"/>
                </c:ext>
              </c:extLst>
            </c:dLbl>
            <c:spPr>
              <a:noFill/>
              <a:ln>
                <a:noFill/>
              </a:ln>
              <a:effectLst/>
            </c:spPr>
            <c:txPr>
              <a:bodyPr wrap="square" lIns="38100" tIns="19050" rIns="38100" bIns="19050" anchor="ctr">
                <a:spAutoFit/>
              </a:bodyPr>
              <a:lstStyle/>
              <a:p>
                <a:pPr>
                  <a:defRPr sz="800"/>
                </a:pPr>
                <a:endParaRPr lang="nl-N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'A3 - Tabellen bij grafieken'!$A$32:$A$38</c:f>
              <c:strCache>
                <c:ptCount val="7"/>
                <c:pt idx="0">
                  <c:v>Digitale hulpmiddelen - Verpleging</c:v>
                </c:pt>
                <c:pt idx="1">
                  <c:v>Software - Behandeling</c:v>
                </c:pt>
                <c:pt idx="2">
                  <c:v>Sensoren - Verpleging</c:v>
                </c:pt>
                <c:pt idx="3">
                  <c:v>Sensoren - Behandeling</c:v>
                </c:pt>
                <c:pt idx="4">
                  <c:v>Digitale hulpmiddelen - Diagnose</c:v>
                </c:pt>
                <c:pt idx="5">
                  <c:v>Software - Diagnose</c:v>
                </c:pt>
                <c:pt idx="6">
                  <c:v>Potentiële opbrengsten digitale zorg 2028</c:v>
                </c:pt>
              </c:strCache>
            </c:strRef>
          </c:cat>
          <c:val>
            <c:numRef>
              <c:f>'A3 - Tabellen bij grafieken'!$E$32:$E$38</c:f>
              <c:numCache>
                <c:formatCode>"€"\ #,##0</c:formatCode>
                <c:ptCount val="7"/>
                <c:pt idx="0">
                  <c:v>1070</c:v>
                </c:pt>
                <c:pt idx="1">
                  <c:v>370</c:v>
                </c:pt>
                <c:pt idx="2">
                  <c:v>310</c:v>
                </c:pt>
                <c:pt idx="3">
                  <c:v>70</c:v>
                </c:pt>
                <c:pt idx="4">
                  <c:v>40</c:v>
                </c:pt>
                <c:pt idx="5">
                  <c:v>30</c:v>
                </c:pt>
              </c:numCache>
            </c:numRef>
          </c:val>
          <c:extLst>
            <c:ext xmlns:c16="http://schemas.microsoft.com/office/drawing/2014/chart" uri="{C3380CC4-5D6E-409C-BE32-E72D297353CC}">
              <c16:uniqueId val="{00000011-33BA-4859-B4E0-F748CFD0FA40}"/>
            </c:ext>
          </c:extLst>
        </c:ser>
        <c:dLbls>
          <c:dLblPos val="ctr"/>
          <c:showLegendKey val="0"/>
          <c:showVal val="1"/>
          <c:showCatName val="0"/>
          <c:showSerName val="0"/>
          <c:showPercent val="0"/>
          <c:showBubbleSize val="0"/>
        </c:dLbls>
        <c:gapWidth val="75"/>
        <c:overlap val="100"/>
        <c:axId val="472293432"/>
        <c:axId val="472291792"/>
      </c:barChart>
      <c:catAx>
        <c:axId val="472293432"/>
        <c:scaling>
          <c:orientation val="maxMin"/>
        </c:scaling>
        <c:delete val="0"/>
        <c:axPos val="l"/>
        <c:numFmt formatCode="General" sourceLinked="1"/>
        <c:majorTickMark val="none"/>
        <c:minorTickMark val="none"/>
        <c:tickLblPos val="nextTo"/>
        <c:spPr>
          <a:noFill/>
          <a:effectLst/>
        </c:spPr>
        <c:txPr>
          <a:bodyPr rot="-60000000" vert="horz"/>
          <a:lstStyle/>
          <a:p>
            <a:pPr>
              <a:defRPr sz="800"/>
            </a:pPr>
            <a:endParaRPr lang="nl-NL"/>
          </a:p>
        </c:txPr>
        <c:crossAx val="472291792"/>
        <c:crosses val="autoZero"/>
        <c:auto val="1"/>
        <c:lblAlgn val="ctr"/>
        <c:lblOffset val="100"/>
        <c:noMultiLvlLbl val="0"/>
      </c:catAx>
      <c:valAx>
        <c:axId val="472291792"/>
        <c:scaling>
          <c:orientation val="minMax"/>
        </c:scaling>
        <c:delete val="1"/>
        <c:axPos val="t"/>
        <c:majorGridlines>
          <c:spPr>
            <a:ln w="9525" cap="flat" cmpd="sng" algn="ctr">
              <a:noFill/>
              <a:round/>
            </a:ln>
            <a:effectLst/>
          </c:spPr>
        </c:majorGridlines>
        <c:numFmt formatCode="General" sourceLinked="1"/>
        <c:majorTickMark val="none"/>
        <c:minorTickMark val="none"/>
        <c:tickLblPos val="nextTo"/>
        <c:crossAx val="4722934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b="0">
          <a:solidFill>
            <a:srgbClr val="000000"/>
          </a:solidFill>
        </a:defRPr>
      </a:pPr>
      <a:endParaRPr lang="nl-NL"/>
    </a:p>
  </c:txPr>
  <c:printSettings>
    <c:headerFooter/>
    <c:pageMargins b="0.75" l="0.7" r="0.7" t="0.75"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defRPr sz="900" b="0">
                <a:solidFill>
                  <a:sysClr val="windowText" lastClr="000000"/>
                </a:solidFill>
              </a:defRPr>
            </a:pPr>
            <a:r>
              <a:rPr lang="en-US" sz="900" b="0">
                <a:solidFill>
                  <a:sysClr val="windowText" lastClr="000000"/>
                </a:solidFill>
              </a:rPr>
              <a:t>Jaarlijkse opbrengsten, kosten en investeringen digitale en hybride zorg [miljoen euro]</a:t>
            </a:r>
          </a:p>
        </c:rich>
      </c:tx>
      <c:layout>
        <c:manualLayout>
          <c:xMode val="edge"/>
          <c:yMode val="edge"/>
          <c:x val="0.21863896989465417"/>
          <c:y val="6.2565046221570469E-2"/>
        </c:manualLayout>
      </c:layout>
      <c:overlay val="0"/>
      <c:spPr>
        <a:noFill/>
        <a:ln>
          <a:noFill/>
        </a:ln>
        <a:effectLst/>
      </c:spPr>
    </c:title>
    <c:autoTitleDeleted val="0"/>
    <c:plotArea>
      <c:layout>
        <c:manualLayout>
          <c:layoutTarget val="inner"/>
          <c:xMode val="edge"/>
          <c:yMode val="edge"/>
          <c:x val="6.1442969518190754E-3"/>
          <c:y val="0.139078405218933"/>
          <c:w val="0.9216590462143559"/>
          <c:h val="0.65730807419808424"/>
        </c:manualLayout>
      </c:layout>
      <c:barChart>
        <c:barDir val="col"/>
        <c:grouping val="stacked"/>
        <c:varyColors val="0"/>
        <c:ser>
          <c:idx val="0"/>
          <c:order val="0"/>
          <c:tx>
            <c:strRef>
              <c:f>'D9 Berekening -  tov 2023'!$B$14</c:f>
              <c:strCache>
                <c:ptCount val="1"/>
                <c:pt idx="0">
                  <c:v>Opbrengsten 2023 - totaal</c:v>
                </c:pt>
              </c:strCache>
            </c:strRef>
          </c:tx>
          <c:spPr>
            <a:noFill/>
            <a:ln>
              <a:solidFill>
                <a:srgbClr val="83C4CF"/>
              </a:solidFill>
            </a:ln>
            <a:effectLst/>
          </c:spPr>
          <c:invertIfNegative val="0"/>
          <c:cat>
            <c:numRef>
              <c:f>'D9 Berekening -  tov 2023'!$C$13:$AH$13</c:f>
              <c:numCache>
                <c:formatCode>General</c:formatCode>
                <c:ptCount val="32"/>
                <c:pt idx="0">
                  <c:v>2023</c:v>
                </c:pt>
                <c:pt idx="3">
                  <c:v>2024</c:v>
                </c:pt>
                <c:pt idx="6">
                  <c:v>2025</c:v>
                </c:pt>
                <c:pt idx="9">
                  <c:v>2026</c:v>
                </c:pt>
                <c:pt idx="12">
                  <c:v>2027</c:v>
                </c:pt>
                <c:pt idx="15">
                  <c:v>2028</c:v>
                </c:pt>
                <c:pt idx="18">
                  <c:v>2029</c:v>
                </c:pt>
                <c:pt idx="21">
                  <c:v>2030</c:v>
                </c:pt>
                <c:pt idx="24">
                  <c:v>2031</c:v>
                </c:pt>
                <c:pt idx="27">
                  <c:v>2032</c:v>
                </c:pt>
                <c:pt idx="30">
                  <c:v>2033</c:v>
                </c:pt>
              </c:numCache>
            </c:numRef>
          </c:cat>
          <c:val>
            <c:numRef>
              <c:f>'D9 Berekening -  tov 2023'!$C$14:$AH$14</c:f>
              <c:numCache>
                <c:formatCode>"€"\ #,##0.0</c:formatCode>
                <c:ptCount val="32"/>
                <c:pt idx="3">
                  <c:v>803.17595784342871</c:v>
                </c:pt>
                <c:pt idx="6">
                  <c:v>803.17595784342871</c:v>
                </c:pt>
                <c:pt idx="9">
                  <c:v>803.17595784342871</c:v>
                </c:pt>
                <c:pt idx="12">
                  <c:v>803.17595784342871</c:v>
                </c:pt>
                <c:pt idx="15">
                  <c:v>803.17595784342871</c:v>
                </c:pt>
                <c:pt idx="18">
                  <c:v>803.17595784342871</c:v>
                </c:pt>
                <c:pt idx="21">
                  <c:v>803.17595784342871</c:v>
                </c:pt>
                <c:pt idx="24">
                  <c:v>803.17595784342871</c:v>
                </c:pt>
                <c:pt idx="27">
                  <c:v>803.17595784342871</c:v>
                </c:pt>
                <c:pt idx="30">
                  <c:v>803.17595784342871</c:v>
                </c:pt>
              </c:numCache>
            </c:numRef>
          </c:val>
          <c:extLst>
            <c:ext xmlns:c16="http://schemas.microsoft.com/office/drawing/2014/chart" uri="{C3380CC4-5D6E-409C-BE32-E72D297353CC}">
              <c16:uniqueId val="{00000000-9299-47E8-910E-B3097E5025EB}"/>
            </c:ext>
          </c:extLst>
        </c:ser>
        <c:ser>
          <c:idx val="1"/>
          <c:order val="1"/>
          <c:tx>
            <c:strRef>
              <c:f>'D9 Berekening -  tov 2023'!$B$15</c:f>
              <c:strCache>
                <c:ptCount val="1"/>
                <c:pt idx="0">
                  <c:v>Productiviteitsverbetering</c:v>
                </c:pt>
              </c:strCache>
            </c:strRef>
          </c:tx>
          <c:spPr>
            <a:solidFill>
              <a:srgbClr val="003F5A"/>
            </a:solidFill>
            <a:ln>
              <a:solidFill>
                <a:srgbClr val="003F5A"/>
              </a:solidFill>
            </a:ln>
          </c:spPr>
          <c:invertIfNegative val="0"/>
          <c:cat>
            <c:numRef>
              <c:f>'D9 Berekening -  tov 2023'!$C$13:$AH$13</c:f>
              <c:numCache>
                <c:formatCode>General</c:formatCode>
                <c:ptCount val="32"/>
                <c:pt idx="0">
                  <c:v>2023</c:v>
                </c:pt>
                <c:pt idx="3">
                  <c:v>2024</c:v>
                </c:pt>
                <c:pt idx="6">
                  <c:v>2025</c:v>
                </c:pt>
                <c:pt idx="9">
                  <c:v>2026</c:v>
                </c:pt>
                <c:pt idx="12">
                  <c:v>2027</c:v>
                </c:pt>
                <c:pt idx="15">
                  <c:v>2028</c:v>
                </c:pt>
                <c:pt idx="18">
                  <c:v>2029</c:v>
                </c:pt>
                <c:pt idx="21">
                  <c:v>2030</c:v>
                </c:pt>
                <c:pt idx="24">
                  <c:v>2031</c:v>
                </c:pt>
                <c:pt idx="27">
                  <c:v>2032</c:v>
                </c:pt>
                <c:pt idx="30">
                  <c:v>2033</c:v>
                </c:pt>
              </c:numCache>
            </c:numRef>
          </c:cat>
          <c:val>
            <c:numRef>
              <c:f>'D9 Berekening -  tov 2023'!$C$15:$AH$15</c:f>
              <c:numCache>
                <c:formatCode>"€"\ #,##0.0</c:formatCode>
                <c:ptCount val="32"/>
                <c:pt idx="0">
                  <c:v>544.79040172606346</c:v>
                </c:pt>
                <c:pt idx="3">
                  <c:v>155.83981715789071</c:v>
                </c:pt>
                <c:pt idx="6">
                  <c:v>320.68685505655685</c:v>
                </c:pt>
                <c:pt idx="9">
                  <c:v>487.67314172166607</c:v>
                </c:pt>
                <c:pt idx="12">
                  <c:v>647.50380932282792</c:v>
                </c:pt>
                <c:pt idx="15">
                  <c:v>790.47896900100568</c:v>
                </c:pt>
                <c:pt idx="18">
                  <c:v>914.49120910322176</c:v>
                </c:pt>
                <c:pt idx="21">
                  <c:v>1021.9632083638642</c:v>
                </c:pt>
                <c:pt idx="24">
                  <c:v>1117.4015657227335</c:v>
                </c:pt>
                <c:pt idx="27">
                  <c:v>1204.9085120904012</c:v>
                </c:pt>
                <c:pt idx="30">
                  <c:v>1286.3689368131627</c:v>
                </c:pt>
              </c:numCache>
            </c:numRef>
          </c:val>
          <c:extLst>
            <c:ext xmlns:c16="http://schemas.microsoft.com/office/drawing/2014/chart" uri="{C3380CC4-5D6E-409C-BE32-E72D297353CC}">
              <c16:uniqueId val="{00000001-9299-47E8-910E-B3097E5025EB}"/>
            </c:ext>
          </c:extLst>
        </c:ser>
        <c:ser>
          <c:idx val="2"/>
          <c:order val="2"/>
          <c:tx>
            <c:strRef>
              <c:f>'D9 Berekening -  tov 2023'!$B$16</c:f>
              <c:strCache>
                <c:ptCount val="1"/>
                <c:pt idx="0">
                  <c:v>Overige opbrengsten</c:v>
                </c:pt>
              </c:strCache>
            </c:strRef>
          </c:tx>
          <c:spPr>
            <a:solidFill>
              <a:srgbClr val="428CCF"/>
            </a:solidFill>
            <a:ln>
              <a:solidFill>
                <a:srgbClr val="428CCF"/>
              </a:solidFill>
            </a:ln>
          </c:spPr>
          <c:invertIfNegative val="0"/>
          <c:cat>
            <c:numRef>
              <c:f>'D9 Berekening -  tov 2023'!$C$13:$AH$13</c:f>
              <c:numCache>
                <c:formatCode>General</c:formatCode>
                <c:ptCount val="32"/>
                <c:pt idx="0">
                  <c:v>2023</c:v>
                </c:pt>
                <c:pt idx="3">
                  <c:v>2024</c:v>
                </c:pt>
                <c:pt idx="6">
                  <c:v>2025</c:v>
                </c:pt>
                <c:pt idx="9">
                  <c:v>2026</c:v>
                </c:pt>
                <c:pt idx="12">
                  <c:v>2027</c:v>
                </c:pt>
                <c:pt idx="15">
                  <c:v>2028</c:v>
                </c:pt>
                <c:pt idx="18">
                  <c:v>2029</c:v>
                </c:pt>
                <c:pt idx="21">
                  <c:v>2030</c:v>
                </c:pt>
                <c:pt idx="24">
                  <c:v>2031</c:v>
                </c:pt>
                <c:pt idx="27">
                  <c:v>2032</c:v>
                </c:pt>
                <c:pt idx="30">
                  <c:v>2033</c:v>
                </c:pt>
              </c:numCache>
            </c:numRef>
          </c:cat>
          <c:val>
            <c:numRef>
              <c:f>'D9 Berekening -  tov 2023'!$C$16:$AH$16</c:f>
              <c:numCache>
                <c:formatCode>"€"\ #,##0.0</c:formatCode>
                <c:ptCount val="32"/>
                <c:pt idx="0">
                  <c:v>258.38555611736518</c:v>
                </c:pt>
                <c:pt idx="3">
                  <c:v>67.673551417978274</c:v>
                </c:pt>
                <c:pt idx="6">
                  <c:v>135.5629650513892</c:v>
                </c:pt>
                <c:pt idx="9">
                  <c:v>199.76945499634229</c:v>
                </c:pt>
                <c:pt idx="12">
                  <c:v>256.20320606207127</c:v>
                </c:pt>
                <c:pt idx="15">
                  <c:v>302.38328087054555</c:v>
                </c:pt>
                <c:pt idx="18">
                  <c:v>339.09977609924277</c:v>
                </c:pt>
                <c:pt idx="21">
                  <c:v>368.66533987111717</c:v>
                </c:pt>
                <c:pt idx="24">
                  <c:v>393.76144467444209</c:v>
                </c:pt>
                <c:pt idx="27">
                  <c:v>416.51287242857126</c:v>
                </c:pt>
                <c:pt idx="30">
                  <c:v>437.97744904198936</c:v>
                </c:pt>
              </c:numCache>
            </c:numRef>
          </c:val>
          <c:extLst>
            <c:ext xmlns:c16="http://schemas.microsoft.com/office/drawing/2014/chart" uri="{C3380CC4-5D6E-409C-BE32-E72D297353CC}">
              <c16:uniqueId val="{00000002-9299-47E8-910E-B3097E5025EB}"/>
            </c:ext>
          </c:extLst>
        </c:ser>
        <c:ser>
          <c:idx val="4"/>
          <c:order val="4"/>
          <c:tx>
            <c:strRef>
              <c:f>'D9 Berekening -  tov 2023'!$B$17</c:f>
              <c:strCache>
                <c:ptCount val="1"/>
                <c:pt idx="0">
                  <c:v>Structurele kosten 2023 </c:v>
                </c:pt>
              </c:strCache>
            </c:strRef>
          </c:tx>
          <c:spPr>
            <a:solidFill>
              <a:sysClr val="window" lastClr="FFFFFF"/>
            </a:solidFill>
            <a:ln>
              <a:solidFill>
                <a:srgbClr val="1AB589"/>
              </a:solidFill>
            </a:ln>
          </c:spPr>
          <c:invertIfNegative val="0"/>
          <c:cat>
            <c:numRef>
              <c:f>'D9 Berekening -  tov 2023'!$C$13:$AH$13</c:f>
              <c:numCache>
                <c:formatCode>General</c:formatCode>
                <c:ptCount val="32"/>
                <c:pt idx="0">
                  <c:v>2023</c:v>
                </c:pt>
                <c:pt idx="3">
                  <c:v>2024</c:v>
                </c:pt>
                <c:pt idx="6">
                  <c:v>2025</c:v>
                </c:pt>
                <c:pt idx="9">
                  <c:v>2026</c:v>
                </c:pt>
                <c:pt idx="12">
                  <c:v>2027</c:v>
                </c:pt>
                <c:pt idx="15">
                  <c:v>2028</c:v>
                </c:pt>
                <c:pt idx="18">
                  <c:v>2029</c:v>
                </c:pt>
                <c:pt idx="21">
                  <c:v>2030</c:v>
                </c:pt>
                <c:pt idx="24">
                  <c:v>2031</c:v>
                </c:pt>
                <c:pt idx="27">
                  <c:v>2032</c:v>
                </c:pt>
                <c:pt idx="30">
                  <c:v>2033</c:v>
                </c:pt>
              </c:numCache>
            </c:numRef>
          </c:cat>
          <c:val>
            <c:numRef>
              <c:f>'D9 Berekening -  tov 2023'!$C$17:$AH$17</c:f>
              <c:numCache>
                <c:formatCode>"€"\ #,##0.0</c:formatCode>
                <c:ptCount val="32"/>
                <c:pt idx="4">
                  <c:v>257.73099989992653</c:v>
                </c:pt>
                <c:pt idx="7">
                  <c:v>257.73099989992653</c:v>
                </c:pt>
                <c:pt idx="10">
                  <c:v>257.73099989992653</c:v>
                </c:pt>
                <c:pt idx="13">
                  <c:v>257.73099989992653</c:v>
                </c:pt>
                <c:pt idx="16">
                  <c:v>257.73099989992653</c:v>
                </c:pt>
                <c:pt idx="19">
                  <c:v>257.73099989992653</c:v>
                </c:pt>
                <c:pt idx="22">
                  <c:v>257.73099989992653</c:v>
                </c:pt>
                <c:pt idx="25">
                  <c:v>257.73099989992653</c:v>
                </c:pt>
                <c:pt idx="28">
                  <c:v>257.73099989992653</c:v>
                </c:pt>
                <c:pt idx="31">
                  <c:v>257.73099989992653</c:v>
                </c:pt>
              </c:numCache>
            </c:numRef>
          </c:val>
          <c:extLst>
            <c:ext xmlns:c16="http://schemas.microsoft.com/office/drawing/2014/chart" uri="{C3380CC4-5D6E-409C-BE32-E72D297353CC}">
              <c16:uniqueId val="{00000003-9299-47E8-910E-B3097E5025EB}"/>
            </c:ext>
          </c:extLst>
        </c:ser>
        <c:ser>
          <c:idx val="5"/>
          <c:order val="5"/>
          <c:tx>
            <c:strRef>
              <c:f>'D9 Berekening -  tov 2023'!$B$18</c:f>
              <c:strCache>
                <c:ptCount val="1"/>
                <c:pt idx="0">
                  <c:v>Structurele kosten</c:v>
                </c:pt>
              </c:strCache>
            </c:strRef>
          </c:tx>
          <c:spPr>
            <a:solidFill>
              <a:srgbClr val="1AB589"/>
            </a:solidFill>
            <a:ln>
              <a:solidFill>
                <a:srgbClr val="1AB589"/>
              </a:solidFill>
            </a:ln>
          </c:spPr>
          <c:invertIfNegative val="0"/>
          <c:cat>
            <c:numRef>
              <c:f>'D9 Berekening -  tov 2023'!$C$13:$AH$13</c:f>
              <c:numCache>
                <c:formatCode>General</c:formatCode>
                <c:ptCount val="32"/>
                <c:pt idx="0">
                  <c:v>2023</c:v>
                </c:pt>
                <c:pt idx="3">
                  <c:v>2024</c:v>
                </c:pt>
                <c:pt idx="6">
                  <c:v>2025</c:v>
                </c:pt>
                <c:pt idx="9">
                  <c:v>2026</c:v>
                </c:pt>
                <c:pt idx="12">
                  <c:v>2027</c:v>
                </c:pt>
                <c:pt idx="15">
                  <c:v>2028</c:v>
                </c:pt>
                <c:pt idx="18">
                  <c:v>2029</c:v>
                </c:pt>
                <c:pt idx="21">
                  <c:v>2030</c:v>
                </c:pt>
                <c:pt idx="24">
                  <c:v>2031</c:v>
                </c:pt>
                <c:pt idx="27">
                  <c:v>2032</c:v>
                </c:pt>
                <c:pt idx="30">
                  <c:v>2033</c:v>
                </c:pt>
              </c:numCache>
            </c:numRef>
          </c:cat>
          <c:val>
            <c:numRef>
              <c:f>'D9 Berekening -  tov 2023'!$C$18:$AH$18</c:f>
              <c:numCache>
                <c:formatCode>"€"\ #,##0.0</c:formatCode>
                <c:ptCount val="32"/>
                <c:pt idx="1">
                  <c:v>257.73099989992653</c:v>
                </c:pt>
                <c:pt idx="4">
                  <c:v>66.6440275555521</c:v>
                </c:pt>
                <c:pt idx="7">
                  <c:v>134.11078858102172</c:v>
                </c:pt>
                <c:pt idx="10">
                  <c:v>199.1183571535874</c:v>
                </c:pt>
                <c:pt idx="13">
                  <c:v>260.74913480382207</c:v>
                </c:pt>
                <c:pt idx="16">
                  <c:v>314.49467235737978</c:v>
                </c:pt>
                <c:pt idx="19">
                  <c:v>361.70144672209398</c:v>
                </c:pt>
                <c:pt idx="22">
                  <c:v>405.18787546601453</c:v>
                </c:pt>
                <c:pt idx="25">
                  <c:v>447.8058292342194</c:v>
                </c:pt>
                <c:pt idx="28">
                  <c:v>491.29714928130596</c:v>
                </c:pt>
                <c:pt idx="31">
                  <c:v>535.55401417988514</c:v>
                </c:pt>
              </c:numCache>
            </c:numRef>
          </c:val>
          <c:extLst>
            <c:ext xmlns:c16="http://schemas.microsoft.com/office/drawing/2014/chart" uri="{C3380CC4-5D6E-409C-BE32-E72D297353CC}">
              <c16:uniqueId val="{00000004-9299-47E8-910E-B3097E5025EB}"/>
            </c:ext>
          </c:extLst>
        </c:ser>
        <c:ser>
          <c:idx val="6"/>
          <c:order val="6"/>
          <c:tx>
            <c:strRef>
              <c:f>'D9 Berekening -  tov 2023'!$B$19</c:f>
              <c:strCache>
                <c:ptCount val="1"/>
                <c:pt idx="0">
                  <c:v>Investering (cash flow) (€)</c:v>
                </c:pt>
              </c:strCache>
            </c:strRef>
          </c:tx>
          <c:spPr>
            <a:solidFill>
              <a:srgbClr val="C3B233"/>
            </a:solidFill>
            <a:ln>
              <a:solidFill>
                <a:srgbClr val="C3B233"/>
              </a:solidFill>
            </a:ln>
          </c:spPr>
          <c:invertIfNegative val="0"/>
          <c:cat>
            <c:numRef>
              <c:f>'D9 Berekening -  tov 2023'!$C$13:$AH$13</c:f>
              <c:numCache>
                <c:formatCode>General</c:formatCode>
                <c:ptCount val="32"/>
                <c:pt idx="0">
                  <c:v>2023</c:v>
                </c:pt>
                <c:pt idx="3">
                  <c:v>2024</c:v>
                </c:pt>
                <c:pt idx="6">
                  <c:v>2025</c:v>
                </c:pt>
                <c:pt idx="9">
                  <c:v>2026</c:v>
                </c:pt>
                <c:pt idx="12">
                  <c:v>2027</c:v>
                </c:pt>
                <c:pt idx="15">
                  <c:v>2028</c:v>
                </c:pt>
                <c:pt idx="18">
                  <c:v>2029</c:v>
                </c:pt>
                <c:pt idx="21">
                  <c:v>2030</c:v>
                </c:pt>
                <c:pt idx="24">
                  <c:v>2031</c:v>
                </c:pt>
                <c:pt idx="27">
                  <c:v>2032</c:v>
                </c:pt>
                <c:pt idx="30">
                  <c:v>2033</c:v>
                </c:pt>
              </c:numCache>
            </c:numRef>
          </c:cat>
          <c:val>
            <c:numRef>
              <c:f>'D9 Berekening -  tov 2023'!$C$19:$AH$19</c:f>
              <c:numCache>
                <c:formatCode>"€"\ #,##0.0</c:formatCode>
                <c:ptCount val="32"/>
                <c:pt idx="1">
                  <c:v>28.789826040860518</c:v>
                </c:pt>
                <c:pt idx="4">
                  <c:v>28.765400363876996</c:v>
                </c:pt>
                <c:pt idx="7">
                  <c:v>27.78664005396336</c:v>
                </c:pt>
                <c:pt idx="10">
                  <c:v>25.456812793678772</c:v>
                </c:pt>
                <c:pt idx="13">
                  <c:v>21.730324650137458</c:v>
                </c:pt>
                <c:pt idx="16">
                  <c:v>17.109134855813437</c:v>
                </c:pt>
                <c:pt idx="19">
                  <c:v>12.450901030276965</c:v>
                </c:pt>
                <c:pt idx="22">
                  <c:v>8.4891407595950916</c:v>
                </c:pt>
                <c:pt idx="25">
                  <c:v>5.5303182636920107</c:v>
                </c:pt>
                <c:pt idx="28">
                  <c:v>3.5113763540199368</c:v>
                </c:pt>
                <c:pt idx="31">
                  <c:v>2.210301223027844</c:v>
                </c:pt>
              </c:numCache>
            </c:numRef>
          </c:val>
          <c:extLst>
            <c:ext xmlns:c16="http://schemas.microsoft.com/office/drawing/2014/chart" uri="{C3380CC4-5D6E-409C-BE32-E72D297353CC}">
              <c16:uniqueId val="{00000005-9299-47E8-910E-B3097E5025EB}"/>
            </c:ext>
          </c:extLst>
        </c:ser>
        <c:dLbls>
          <c:showLegendKey val="0"/>
          <c:showVal val="0"/>
          <c:showCatName val="0"/>
          <c:showSerName val="0"/>
          <c:showPercent val="0"/>
          <c:showBubbleSize val="0"/>
        </c:dLbls>
        <c:gapWidth val="50"/>
        <c:overlap val="100"/>
        <c:axId val="472293432"/>
        <c:axId val="472291792"/>
        <c:extLst>
          <c:ext xmlns:c15="http://schemas.microsoft.com/office/drawing/2012/chart" uri="{02D57815-91ED-43cb-92C2-25804820EDAC}">
            <c15:filteredBarSeries>
              <c15:ser>
                <c:idx val="3"/>
                <c:order val="3"/>
                <c:tx>
                  <c:strRef>
                    <c:extLst>
                      <c:ext uri="{02D57815-91ED-43cb-92C2-25804820EDAC}">
                        <c15:formulaRef>
                          <c15:sqref>'D10 - Uitkomsten tov 2023'!#REF!</c15:sqref>
                        </c15:formulaRef>
                      </c:ext>
                    </c:extLst>
                    <c:strCache>
                      <c:ptCount val="1"/>
                      <c:pt idx="0">
                        <c:v>#REF!</c:v>
                      </c:pt>
                    </c:strCache>
                  </c:strRef>
                </c:tx>
                <c:spPr>
                  <a:solidFill>
                    <a:srgbClr val="83C4CF"/>
                  </a:solidFill>
                  <a:ln>
                    <a:solidFill>
                      <a:srgbClr val="83C4CF"/>
                    </a:solidFill>
                  </a:ln>
                </c:spPr>
                <c:invertIfNegative val="0"/>
                <c:cat>
                  <c:numRef>
                    <c:extLst>
                      <c:ext uri="{02D57815-91ED-43cb-92C2-25804820EDAC}">
                        <c15:formulaRef>
                          <c15:sqref>'D9 Berekening -  tov 2023'!$C$13:$AH$13</c15:sqref>
                        </c15:formulaRef>
                      </c:ext>
                    </c:extLst>
                    <c:numCache>
                      <c:formatCode>General</c:formatCode>
                      <c:ptCount val="32"/>
                      <c:pt idx="0">
                        <c:v>2023</c:v>
                      </c:pt>
                      <c:pt idx="3">
                        <c:v>2024</c:v>
                      </c:pt>
                      <c:pt idx="6">
                        <c:v>2025</c:v>
                      </c:pt>
                      <c:pt idx="9">
                        <c:v>2026</c:v>
                      </c:pt>
                      <c:pt idx="12">
                        <c:v>2027</c:v>
                      </c:pt>
                      <c:pt idx="15">
                        <c:v>2028</c:v>
                      </c:pt>
                      <c:pt idx="18">
                        <c:v>2029</c:v>
                      </c:pt>
                      <c:pt idx="21">
                        <c:v>2030</c:v>
                      </c:pt>
                      <c:pt idx="24">
                        <c:v>2031</c:v>
                      </c:pt>
                      <c:pt idx="27">
                        <c:v>2032</c:v>
                      </c:pt>
                      <c:pt idx="30">
                        <c:v>2033</c:v>
                      </c:pt>
                    </c:numCache>
                  </c:numRef>
                </c:cat>
                <c:val>
                  <c:numRef>
                    <c:extLst>
                      <c:ext uri="{02D57815-91ED-43cb-92C2-25804820EDAC}">
                        <c15:formulaRef>
                          <c15:sqref>'D10 - Uitkomsten tov 2023'!#REF!</c15:sqref>
                        </c15:formulaRef>
                      </c:ext>
                    </c:extLst>
                    <c:numCache>
                      <c:formatCode>General</c:formatCode>
                      <c:ptCount val="1"/>
                      <c:pt idx="0">
                        <c:v>1</c:v>
                      </c:pt>
                    </c:numCache>
                  </c:numRef>
                </c:val>
                <c:extLst>
                  <c:ext xmlns:c16="http://schemas.microsoft.com/office/drawing/2014/chart" uri="{C3380CC4-5D6E-409C-BE32-E72D297353CC}">
                    <c16:uniqueId val="{00000006-9299-47E8-910E-B3097E5025EB}"/>
                  </c:ext>
                </c:extLst>
              </c15:ser>
            </c15:filteredBarSeries>
          </c:ext>
        </c:extLst>
      </c:barChart>
      <c:catAx>
        <c:axId val="472293432"/>
        <c:scaling>
          <c:orientation val="minMax"/>
        </c:scaling>
        <c:delete val="0"/>
        <c:axPos val="b"/>
        <c:numFmt formatCode="General" sourceLinked="1"/>
        <c:majorTickMark val="none"/>
        <c:minorTickMark val="none"/>
        <c:tickLblPos val="nextTo"/>
        <c:spPr>
          <a:noFill/>
          <a:effectLst/>
        </c:spPr>
        <c:txPr>
          <a:bodyPr rot="-60000000" vert="horz"/>
          <a:lstStyle/>
          <a:p>
            <a:pPr>
              <a:defRPr sz="800">
                <a:solidFill>
                  <a:schemeClr val="bg1"/>
                </a:solidFill>
              </a:defRPr>
            </a:pPr>
            <a:endParaRPr lang="nl-NL"/>
          </a:p>
        </c:txPr>
        <c:crossAx val="472291792"/>
        <c:crosses val="autoZero"/>
        <c:auto val="1"/>
        <c:lblAlgn val="ctr"/>
        <c:lblOffset val="100"/>
        <c:noMultiLvlLbl val="0"/>
      </c:catAx>
      <c:valAx>
        <c:axId val="472291792"/>
        <c:scaling>
          <c:orientation val="minMax"/>
        </c:scaling>
        <c:delete val="0"/>
        <c:axPos val="l"/>
        <c:majorGridlines>
          <c:spPr>
            <a:ln w="9525" cap="flat" cmpd="sng" algn="ctr">
              <a:noFill/>
              <a:round/>
            </a:ln>
            <a:effectLst/>
          </c:spPr>
        </c:majorGridlines>
        <c:numFmt formatCode="&quot;€&quot;\ #,##0" sourceLinked="0"/>
        <c:majorTickMark val="out"/>
        <c:minorTickMark val="none"/>
        <c:tickLblPos val="nextTo"/>
        <c:txPr>
          <a:bodyPr/>
          <a:lstStyle/>
          <a:p>
            <a:pPr>
              <a:defRPr sz="800"/>
            </a:pPr>
            <a:endParaRPr lang="nl-NL"/>
          </a:p>
        </c:txPr>
        <c:crossAx val="472293432"/>
        <c:crosses val="autoZero"/>
        <c:crossBetween val="between"/>
      </c:valAx>
      <c:spPr>
        <a:noFill/>
        <a:ln>
          <a:noFill/>
        </a:ln>
        <a:effectLst/>
      </c:spPr>
    </c:plotArea>
    <c:legend>
      <c:legendPos val="b"/>
      <c:layout>
        <c:manualLayout>
          <c:xMode val="edge"/>
          <c:yMode val="edge"/>
          <c:x val="1.7335944634335812E-2"/>
          <c:y val="0.87011303549219365"/>
          <c:w val="0.92921513848923287"/>
          <c:h val="9.8188479238455612E-2"/>
        </c:manualLayout>
      </c:layout>
      <c:overlay val="0"/>
      <c:txPr>
        <a:bodyPr/>
        <a:lstStyle/>
        <a:p>
          <a:pPr>
            <a:defRPr sz="800"/>
          </a:pPr>
          <a:endParaRPr lang="nl-NL"/>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nl-NL"/>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defRPr sz="900" b="0">
                <a:solidFill>
                  <a:sysClr val="windowText" lastClr="000000"/>
                </a:solidFill>
              </a:defRPr>
            </a:pPr>
            <a:r>
              <a:rPr lang="en-US" sz="900" b="0">
                <a:solidFill>
                  <a:sysClr val="windowText" lastClr="000000"/>
                </a:solidFill>
              </a:rPr>
              <a:t>Jaarlijkse </a:t>
            </a:r>
            <a:r>
              <a:rPr lang="nl-NL" sz="900" b="0" i="0" u="none" strike="noStrike" kern="1200" spc="0" baseline="0">
                <a:solidFill>
                  <a:srgbClr val="000000"/>
                </a:solidFill>
              </a:rPr>
              <a:t>productiviteitsverbetering</a:t>
            </a:r>
            <a:r>
              <a:rPr lang="en-US" sz="900" b="0" baseline="0">
                <a:solidFill>
                  <a:sysClr val="windowText" lastClr="000000"/>
                </a:solidFill>
              </a:rPr>
              <a:t> door passende inzet digitale en hybride zorg [FTE]</a:t>
            </a:r>
            <a:endParaRPr lang="en-US" sz="900" b="0">
              <a:solidFill>
                <a:sysClr val="windowText" lastClr="000000"/>
              </a:solidFill>
            </a:endParaRPr>
          </a:p>
        </c:rich>
      </c:tx>
      <c:layout>
        <c:manualLayout>
          <c:xMode val="edge"/>
          <c:yMode val="edge"/>
          <c:x val="0.25354622524064246"/>
          <c:y val="2.6896994031055863E-2"/>
        </c:manualLayout>
      </c:layout>
      <c:overlay val="0"/>
      <c:spPr>
        <a:noFill/>
        <a:ln>
          <a:noFill/>
        </a:ln>
        <a:effectLst/>
      </c:spPr>
    </c:title>
    <c:autoTitleDeleted val="0"/>
    <c:plotArea>
      <c:layout>
        <c:manualLayout>
          <c:layoutTarget val="inner"/>
          <c:xMode val="edge"/>
          <c:yMode val="edge"/>
          <c:x val="6.1442969518190754E-3"/>
          <c:y val="0.13271488350968685"/>
          <c:w val="0.9216590462143559"/>
          <c:h val="0.66367142544281899"/>
        </c:manualLayout>
      </c:layout>
      <c:barChart>
        <c:barDir val="col"/>
        <c:grouping val="stacked"/>
        <c:varyColors val="0"/>
        <c:ser>
          <c:idx val="0"/>
          <c:order val="0"/>
          <c:tx>
            <c:strRef>
              <c:f>'D9 Berekening -  tov 2023'!$B$23</c:f>
              <c:strCache>
                <c:ptCount val="1"/>
                <c:pt idx="0">
                  <c:v>Productiviteitsverbetering - 2023 totaal</c:v>
                </c:pt>
              </c:strCache>
            </c:strRef>
          </c:tx>
          <c:spPr>
            <a:noFill/>
            <a:ln>
              <a:solidFill>
                <a:srgbClr val="4C4B47"/>
              </a:solidFill>
            </a:ln>
            <a:effectLst/>
          </c:spPr>
          <c:invertIfNegative val="0"/>
          <c:cat>
            <c:numRef>
              <c:f>'D9 Berekening -  tov 2023'!$C$22:$M$22</c:f>
              <c:numCache>
                <c:formatCode>General</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'D9 Berekening -  tov 2023'!$C$23:$M$23</c:f>
              <c:numCache>
                <c:formatCode>#,##0</c:formatCode>
                <c:ptCount val="11"/>
                <c:pt idx="1">
                  <c:v>10900.975366949906</c:v>
                </c:pt>
                <c:pt idx="2">
                  <c:v>10900.975366949906</c:v>
                </c:pt>
                <c:pt idx="3">
                  <c:v>10900.975366949906</c:v>
                </c:pt>
                <c:pt idx="4">
                  <c:v>10900.975366949906</c:v>
                </c:pt>
                <c:pt idx="5">
                  <c:v>10900.975366949906</c:v>
                </c:pt>
                <c:pt idx="6">
                  <c:v>10900.975366949906</c:v>
                </c:pt>
                <c:pt idx="7">
                  <c:v>10900.975366949906</c:v>
                </c:pt>
                <c:pt idx="8">
                  <c:v>10900.975366949906</c:v>
                </c:pt>
                <c:pt idx="9">
                  <c:v>10900.975366949906</c:v>
                </c:pt>
                <c:pt idx="10">
                  <c:v>10900.975366949906</c:v>
                </c:pt>
              </c:numCache>
            </c:numRef>
          </c:val>
          <c:extLst>
            <c:ext xmlns:c16="http://schemas.microsoft.com/office/drawing/2014/chart" uri="{C3380CC4-5D6E-409C-BE32-E72D297353CC}">
              <c16:uniqueId val="{00000000-B2DF-46EA-ACDD-A93EDDA6EA4C}"/>
            </c:ext>
          </c:extLst>
        </c:ser>
        <c:ser>
          <c:idx val="1"/>
          <c:order val="1"/>
          <c:tx>
            <c:strRef>
              <c:f>'D9 Berekening -  tov 2023'!$B$24</c:f>
              <c:strCache>
                <c:ptCount val="1"/>
                <c:pt idx="0">
                  <c:v>Digitale hulpmiddelen - Diagnose</c:v>
                </c:pt>
              </c:strCache>
            </c:strRef>
          </c:tx>
          <c:spPr>
            <a:solidFill>
              <a:srgbClr val="003F5A"/>
            </a:solidFill>
            <a:ln>
              <a:solidFill>
                <a:srgbClr val="003F5A"/>
              </a:solidFill>
            </a:ln>
          </c:spPr>
          <c:invertIfNegative val="0"/>
          <c:cat>
            <c:numRef>
              <c:f>'D9 Berekening -  tov 2023'!$C$22:$M$22</c:f>
              <c:numCache>
                <c:formatCode>General</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'D9 Berekening -  tov 2023'!$C$24:$M$24</c:f>
              <c:numCache>
                <c:formatCode>#,##0</c:formatCode>
                <c:ptCount val="11"/>
                <c:pt idx="0">
                  <c:v>130.05028971225553</c:v>
                </c:pt>
                <c:pt idx="1">
                  <c:v>41.577901940257703</c:v>
                </c:pt>
                <c:pt idx="2">
                  <c:v>86.777820045932259</c:v>
                </c:pt>
                <c:pt idx="3">
                  <c:v>132.24045999270109</c:v>
                </c:pt>
                <c:pt idx="4">
                  <c:v>174.05109609176375</c:v>
                </c:pt>
                <c:pt idx="5">
                  <c:v>208.89245493613183</c:v>
                </c:pt>
                <c:pt idx="6">
                  <c:v>235.11914688046002</c:v>
                </c:pt>
                <c:pt idx="7">
                  <c:v>253.06939826050373</c:v>
                </c:pt>
                <c:pt idx="8">
                  <c:v>264.42679301951114</c:v>
                </c:pt>
                <c:pt idx="9">
                  <c:v>271.21693888965069</c:v>
                </c:pt>
                <c:pt idx="10">
                  <c:v>275.13277826670162</c:v>
                </c:pt>
              </c:numCache>
            </c:numRef>
          </c:val>
          <c:extLst>
            <c:ext xmlns:c16="http://schemas.microsoft.com/office/drawing/2014/chart" uri="{C3380CC4-5D6E-409C-BE32-E72D297353CC}">
              <c16:uniqueId val="{00000001-B2DF-46EA-ACDD-A93EDDA6EA4C}"/>
            </c:ext>
          </c:extLst>
        </c:ser>
        <c:ser>
          <c:idx val="2"/>
          <c:order val="2"/>
          <c:tx>
            <c:strRef>
              <c:f>'D9 Berekening -  tov 2023'!$B$25</c:f>
              <c:strCache>
                <c:ptCount val="1"/>
                <c:pt idx="0">
                  <c:v>Digitale hulpmiddelen - Verpleging</c:v>
                </c:pt>
              </c:strCache>
            </c:strRef>
          </c:tx>
          <c:spPr>
            <a:solidFill>
              <a:srgbClr val="003F5A"/>
            </a:solidFill>
            <a:ln>
              <a:solidFill>
                <a:srgbClr val="003F5A"/>
              </a:solidFill>
            </a:ln>
          </c:spPr>
          <c:invertIfNegative val="0"/>
          <c:cat>
            <c:numRef>
              <c:f>'D9 Berekening -  tov 2023'!$C$22:$M$22</c:f>
              <c:numCache>
                <c:formatCode>General</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'D9 Berekening -  tov 2023'!$C$25:$M$25</c:f>
              <c:numCache>
                <c:formatCode>#,##0</c:formatCode>
                <c:ptCount val="11"/>
                <c:pt idx="0">
                  <c:v>6249.8184289276787</c:v>
                </c:pt>
                <c:pt idx="1">
                  <c:v>1887.088906660475</c:v>
                </c:pt>
                <c:pt idx="2">
                  <c:v>3890.1499221794411</c:v>
                </c:pt>
                <c:pt idx="3">
                  <c:v>5859.6053593150236</c:v>
                </c:pt>
                <c:pt idx="4">
                  <c:v>7623.656857467261</c:v>
                </c:pt>
                <c:pt idx="5">
                  <c:v>9070.0260056580228</c:v>
                </c:pt>
                <c:pt idx="6">
                  <c:v>10164.057200374413</c:v>
                </c:pt>
                <c:pt idx="7">
                  <c:v>10942.023202469183</c:v>
                </c:pt>
                <c:pt idx="8">
                  <c:v>11478.642944058138</c:v>
                </c:pt>
                <c:pt idx="9">
                  <c:v>11851.753069995448</c:v>
                </c:pt>
                <c:pt idx="10">
                  <c:v>12121.333198525706</c:v>
                </c:pt>
              </c:numCache>
            </c:numRef>
          </c:val>
          <c:extLst>
            <c:ext xmlns:c16="http://schemas.microsoft.com/office/drawing/2014/chart" uri="{C3380CC4-5D6E-409C-BE32-E72D297353CC}">
              <c16:uniqueId val="{00000002-B2DF-46EA-ACDD-A93EDDA6EA4C}"/>
            </c:ext>
          </c:extLst>
        </c:ser>
        <c:ser>
          <c:idx val="3"/>
          <c:order val="3"/>
          <c:tx>
            <c:strRef>
              <c:f>'D9 Berekening -  tov 2023'!$B$26</c:f>
              <c:strCache>
                <c:ptCount val="1"/>
                <c:pt idx="0">
                  <c:v>Sensoren - Behandeling</c:v>
                </c:pt>
              </c:strCache>
            </c:strRef>
          </c:tx>
          <c:spPr>
            <a:solidFill>
              <a:srgbClr val="83C4CF"/>
            </a:solidFill>
            <a:ln>
              <a:solidFill>
                <a:srgbClr val="83C4CF"/>
              </a:solidFill>
            </a:ln>
          </c:spPr>
          <c:invertIfNegative val="0"/>
          <c:cat>
            <c:numRef>
              <c:f>'D9 Berekening -  tov 2023'!$C$22:$M$22</c:f>
              <c:numCache>
                <c:formatCode>General</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'D9 Berekening -  tov 2023'!$C$26:$M$26</c:f>
              <c:numCache>
                <c:formatCode>#,##0</c:formatCode>
                <c:ptCount val="11"/>
                <c:pt idx="0">
                  <c:v>465.45353860018804</c:v>
                </c:pt>
                <c:pt idx="1">
                  <c:v>78.204850740472921</c:v>
                </c:pt>
                <c:pt idx="2">
                  <c:v>147.49120836973634</c:v>
                </c:pt>
                <c:pt idx="3">
                  <c:v>233.74931577115183</c:v>
                </c:pt>
                <c:pt idx="4">
                  <c:v>319.26524432062524</c:v>
                </c:pt>
                <c:pt idx="5">
                  <c:v>407.6897285685983</c:v>
                </c:pt>
                <c:pt idx="6">
                  <c:v>503.45661577121029</c:v>
                </c:pt>
                <c:pt idx="7">
                  <c:v>611.12438930682788</c:v>
                </c:pt>
                <c:pt idx="8">
                  <c:v>734.23666855440024</c:v>
                </c:pt>
                <c:pt idx="9">
                  <c:v>873.61013481557939</c:v>
                </c:pt>
                <c:pt idx="10">
                  <c:v>1025.5987004482329</c:v>
                </c:pt>
              </c:numCache>
            </c:numRef>
          </c:val>
          <c:extLst>
            <c:ext xmlns:c16="http://schemas.microsoft.com/office/drawing/2014/chart" uri="{C3380CC4-5D6E-409C-BE32-E72D297353CC}">
              <c16:uniqueId val="{00000003-B2DF-46EA-ACDD-A93EDDA6EA4C}"/>
            </c:ext>
          </c:extLst>
        </c:ser>
        <c:ser>
          <c:idx val="4"/>
          <c:order val="4"/>
          <c:tx>
            <c:strRef>
              <c:f>'D9 Berekening -  tov 2023'!$B$27</c:f>
              <c:strCache>
                <c:ptCount val="1"/>
                <c:pt idx="0">
                  <c:v>Sensoren - Verpleging</c:v>
                </c:pt>
              </c:strCache>
            </c:strRef>
          </c:tx>
          <c:spPr>
            <a:solidFill>
              <a:srgbClr val="428CCF"/>
            </a:solidFill>
            <a:ln>
              <a:solidFill>
                <a:srgbClr val="428CCF"/>
              </a:solidFill>
            </a:ln>
          </c:spPr>
          <c:invertIfNegative val="0"/>
          <c:cat>
            <c:numRef>
              <c:f>'D9 Berekening -  tov 2023'!$C$22:$M$22</c:f>
              <c:numCache>
                <c:formatCode>General</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'D9 Berekening -  tov 2023'!$C$27:$M$27</c:f>
              <c:numCache>
                <c:formatCode>#,##0</c:formatCode>
                <c:ptCount val="11"/>
                <c:pt idx="0">
                  <c:v>1914.248298218919</c:v>
                </c:pt>
                <c:pt idx="1">
                  <c:v>627.00110043362747</c:v>
                </c:pt>
                <c:pt idx="2">
                  <c:v>1317.1263215137506</c:v>
                </c:pt>
                <c:pt idx="3">
                  <c:v>2072.0262128213535</c:v>
                </c:pt>
                <c:pt idx="4">
                  <c:v>2806.8630102514849</c:v>
                </c:pt>
                <c:pt idx="5">
                  <c:v>3487.3989138866141</c:v>
                </c:pt>
                <c:pt idx="6">
                  <c:v>4098.5013125974019</c:v>
                </c:pt>
                <c:pt idx="7">
                  <c:v>4643.3076055528618</c:v>
                </c:pt>
                <c:pt idx="8">
                  <c:v>5136.4872148330269</c:v>
                </c:pt>
                <c:pt idx="9">
                  <c:v>5594.221037207446</c:v>
                </c:pt>
                <c:pt idx="10">
                  <c:v>6024.6930187089874</c:v>
                </c:pt>
              </c:numCache>
            </c:numRef>
          </c:val>
          <c:extLst>
            <c:ext xmlns:c16="http://schemas.microsoft.com/office/drawing/2014/chart" uri="{C3380CC4-5D6E-409C-BE32-E72D297353CC}">
              <c16:uniqueId val="{00000004-B2DF-46EA-ACDD-A93EDDA6EA4C}"/>
            </c:ext>
          </c:extLst>
        </c:ser>
        <c:ser>
          <c:idx val="5"/>
          <c:order val="5"/>
          <c:tx>
            <c:strRef>
              <c:f>'D9 Berekening -  tov 2023'!$B$28</c:f>
              <c:strCache>
                <c:ptCount val="1"/>
                <c:pt idx="0">
                  <c:v>Software - Behandeling</c:v>
                </c:pt>
              </c:strCache>
            </c:strRef>
          </c:tx>
          <c:spPr>
            <a:solidFill>
              <a:srgbClr val="1AB589"/>
            </a:solidFill>
            <a:ln>
              <a:solidFill>
                <a:srgbClr val="1AB589"/>
              </a:solidFill>
            </a:ln>
          </c:spPr>
          <c:invertIfNegative val="0"/>
          <c:cat>
            <c:numRef>
              <c:f>'D9 Berekening -  tov 2023'!$C$22:$M$22</c:f>
              <c:numCache>
                <c:formatCode>General</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'D9 Berekening -  tov 2023'!$C$28:$M$28</c:f>
              <c:numCache>
                <c:formatCode>#,##0</c:formatCode>
                <c:ptCount val="11"/>
                <c:pt idx="0">
                  <c:v>2005.2916682873401</c:v>
                </c:pt>
                <c:pt idx="1">
                  <c:v>521.83682851765207</c:v>
                </c:pt>
                <c:pt idx="2">
                  <c:v>1086.4853071956704</c:v>
                </c:pt>
                <c:pt idx="3">
                  <c:v>1679.7712191882702</c:v>
                </c:pt>
                <c:pt idx="4">
                  <c:v>2354.8496559309733</c:v>
                </c:pt>
                <c:pt idx="5">
                  <c:v>3063.7815483456015</c:v>
                </c:pt>
                <c:pt idx="6">
                  <c:v>3789.241994175225</c:v>
                </c:pt>
                <c:pt idx="7">
                  <c:v>4520.0971691123113</c:v>
                </c:pt>
                <c:pt idx="8">
                  <c:v>5246.2458430495326</c:v>
                </c:pt>
                <c:pt idx="9">
                  <c:v>5957.6335895729144</c:v>
                </c:pt>
                <c:pt idx="10">
                  <c:v>6640.0513252887977</c:v>
                </c:pt>
              </c:numCache>
            </c:numRef>
          </c:val>
          <c:extLst>
            <c:ext xmlns:c16="http://schemas.microsoft.com/office/drawing/2014/chart" uri="{C3380CC4-5D6E-409C-BE32-E72D297353CC}">
              <c16:uniqueId val="{00000005-B2DF-46EA-ACDD-A93EDDA6EA4C}"/>
            </c:ext>
          </c:extLst>
        </c:ser>
        <c:ser>
          <c:idx val="6"/>
          <c:order val="6"/>
          <c:tx>
            <c:strRef>
              <c:f>'D9 Berekening -  tov 2023'!$B$29</c:f>
              <c:strCache>
                <c:ptCount val="1"/>
                <c:pt idx="0">
                  <c:v>Software - Diagnose</c:v>
                </c:pt>
              </c:strCache>
            </c:strRef>
          </c:tx>
          <c:spPr>
            <a:solidFill>
              <a:srgbClr val="C3B233"/>
            </a:solidFill>
            <a:ln>
              <a:solidFill>
                <a:srgbClr val="C3B233"/>
              </a:solidFill>
            </a:ln>
          </c:spPr>
          <c:invertIfNegative val="0"/>
          <c:cat>
            <c:numRef>
              <c:f>'D9 Berekening -  tov 2023'!$C$22:$M$22</c:f>
              <c:numCache>
                <c:formatCode>General</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'D9 Berekening -  tov 2023'!$C$29:$M$29</c:f>
              <c:numCache>
                <c:formatCode>#,##0</c:formatCode>
                <c:ptCount val="11"/>
                <c:pt idx="0">
                  <c:v>136.11314320352568</c:v>
                </c:pt>
                <c:pt idx="1">
                  <c:v>33.168151966781522</c:v>
                </c:pt>
                <c:pt idx="2">
                  <c:v>65.702151455383756</c:v>
                </c:pt>
                <c:pt idx="3">
                  <c:v>95.932450892992478</c:v>
                </c:pt>
                <c:pt idx="4">
                  <c:v>125.63851621281447</c:v>
                </c:pt>
                <c:pt idx="5">
                  <c:v>151.85613701003956</c:v>
                </c:pt>
                <c:pt idx="6">
                  <c:v>176.17989578398158</c:v>
                </c:pt>
                <c:pt idx="7">
                  <c:v>200.70480332408772</c:v>
                </c:pt>
                <c:pt idx="8">
                  <c:v>227.06689788212049</c:v>
                </c:pt>
                <c:pt idx="9">
                  <c:v>255.68722200056101</c:v>
                </c:pt>
                <c:pt idx="10">
                  <c:v>285.30211346776429</c:v>
                </c:pt>
              </c:numCache>
            </c:numRef>
          </c:val>
          <c:extLst>
            <c:ext xmlns:c16="http://schemas.microsoft.com/office/drawing/2014/chart" uri="{C3380CC4-5D6E-409C-BE32-E72D297353CC}">
              <c16:uniqueId val="{00000006-B2DF-46EA-ACDD-A93EDDA6EA4C}"/>
            </c:ext>
          </c:extLst>
        </c:ser>
        <c:dLbls>
          <c:showLegendKey val="0"/>
          <c:showVal val="0"/>
          <c:showCatName val="0"/>
          <c:showSerName val="0"/>
          <c:showPercent val="0"/>
          <c:showBubbleSize val="0"/>
        </c:dLbls>
        <c:gapWidth val="75"/>
        <c:overlap val="100"/>
        <c:axId val="472293432"/>
        <c:axId val="472291792"/>
      </c:barChart>
      <c:catAx>
        <c:axId val="472293432"/>
        <c:scaling>
          <c:orientation val="minMax"/>
        </c:scaling>
        <c:delete val="0"/>
        <c:axPos val="b"/>
        <c:numFmt formatCode="General" sourceLinked="1"/>
        <c:majorTickMark val="none"/>
        <c:minorTickMark val="none"/>
        <c:tickLblPos val="nextTo"/>
        <c:spPr>
          <a:noFill/>
          <a:effectLst/>
        </c:spPr>
        <c:txPr>
          <a:bodyPr rot="-60000000" vert="horz"/>
          <a:lstStyle/>
          <a:p>
            <a:pPr>
              <a:defRPr sz="800"/>
            </a:pPr>
            <a:endParaRPr lang="nl-NL"/>
          </a:p>
        </c:txPr>
        <c:crossAx val="472291792"/>
        <c:crosses val="autoZero"/>
        <c:auto val="1"/>
        <c:lblAlgn val="ctr"/>
        <c:lblOffset val="100"/>
        <c:noMultiLvlLbl val="0"/>
      </c:catAx>
      <c:valAx>
        <c:axId val="472291792"/>
        <c:scaling>
          <c:orientation val="minMax"/>
        </c:scaling>
        <c:delete val="0"/>
        <c:axPos val="l"/>
        <c:majorGridlines>
          <c:spPr>
            <a:ln w="9525" cap="flat" cmpd="sng" algn="ctr">
              <a:noFill/>
              <a:round/>
            </a:ln>
            <a:effectLst/>
          </c:spPr>
        </c:majorGridlines>
        <c:numFmt formatCode="#,##0" sourceLinked="0"/>
        <c:majorTickMark val="out"/>
        <c:minorTickMark val="none"/>
        <c:tickLblPos val="nextTo"/>
        <c:txPr>
          <a:bodyPr/>
          <a:lstStyle/>
          <a:p>
            <a:pPr>
              <a:defRPr sz="800"/>
            </a:pPr>
            <a:endParaRPr lang="nl-NL"/>
          </a:p>
        </c:txPr>
        <c:crossAx val="472293432"/>
        <c:crosses val="autoZero"/>
        <c:crossBetween val="between"/>
      </c:valAx>
      <c:spPr>
        <a:noFill/>
        <a:ln>
          <a:noFill/>
        </a:ln>
        <a:effectLst/>
      </c:spPr>
    </c:plotArea>
    <c:legend>
      <c:legendPos val="b"/>
      <c:layout>
        <c:manualLayout>
          <c:xMode val="edge"/>
          <c:yMode val="edge"/>
          <c:x val="1.7335944634335812E-2"/>
          <c:y val="0.87011303549219365"/>
          <c:w val="0.9537567518265101"/>
          <c:h val="9.8188479238455612E-2"/>
        </c:manualLayout>
      </c:layout>
      <c:overlay val="0"/>
      <c:txPr>
        <a:bodyPr/>
        <a:lstStyle/>
        <a:p>
          <a:pPr>
            <a:defRPr sz="800"/>
          </a:pPr>
          <a:endParaRPr lang="nl-NL"/>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nl-NL"/>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0" i="0" u="none" strike="noStrike" kern="1200" spc="0" baseline="0">
                <a:solidFill>
                  <a:srgbClr val="000000"/>
                </a:solidFill>
                <a:latin typeface="+mn-lt"/>
                <a:ea typeface="+mn-ea"/>
                <a:cs typeface="+mn-cs"/>
              </a:defRPr>
            </a:pPr>
            <a:r>
              <a:rPr lang="nl-NL" sz="900" b="0" i="0" u="none" strike="noStrike" kern="1200" spc="0" baseline="0">
                <a:solidFill>
                  <a:srgbClr val="000000"/>
                </a:solidFill>
              </a:rPr>
              <a:t>Ontwikkelingen in de mogelijke productiviteitsverbetering door digitale zorg en het verwachte arbeidstekort [FTE]</a:t>
            </a:r>
          </a:p>
        </c:rich>
      </c:tx>
      <c:overlay val="0"/>
      <c:spPr>
        <a:noFill/>
        <a:ln>
          <a:noFill/>
        </a:ln>
        <a:effectLst/>
      </c:spPr>
      <c:txPr>
        <a:bodyPr rot="0" spcFirstLastPara="1" vertOverflow="ellipsis" vert="horz" wrap="square" anchor="ctr" anchorCtr="1"/>
        <a:lstStyle/>
        <a:p>
          <a:pPr>
            <a:defRPr sz="900" b="0" i="0" u="none" strike="noStrike" kern="1200" spc="0" baseline="0">
              <a:solidFill>
                <a:srgbClr val="000000"/>
              </a:solidFill>
              <a:latin typeface="+mn-lt"/>
              <a:ea typeface="+mn-ea"/>
              <a:cs typeface="+mn-cs"/>
            </a:defRPr>
          </a:pPr>
          <a:endParaRPr lang="nl-NL"/>
        </a:p>
      </c:txPr>
    </c:title>
    <c:autoTitleDeleted val="0"/>
    <c:plotArea>
      <c:layout>
        <c:manualLayout>
          <c:layoutTarget val="inner"/>
          <c:xMode val="edge"/>
          <c:yMode val="edge"/>
          <c:x val="0.12587177001371117"/>
          <c:y val="0.13560332480365456"/>
          <c:w val="0.59037061763146037"/>
          <c:h val="0.708906001568821"/>
        </c:manualLayout>
      </c:layout>
      <c:lineChart>
        <c:grouping val="standard"/>
        <c:varyColors val="0"/>
        <c:ser>
          <c:idx val="1"/>
          <c:order val="0"/>
          <c:tx>
            <c:strRef>
              <c:f>'D9 Berekening -  tov 2023'!$B$32</c:f>
              <c:strCache>
                <c:ptCount val="1"/>
                <c:pt idx="0">
                  <c:v>Verwacht arbeidsmarkttekort (zonder besparing)</c:v>
                </c:pt>
              </c:strCache>
            </c:strRef>
          </c:tx>
          <c:spPr>
            <a:ln w="28575" cap="rnd">
              <a:solidFill>
                <a:srgbClr val="003F5A"/>
              </a:solidFill>
              <a:round/>
            </a:ln>
            <a:effectLst/>
          </c:spPr>
          <c:marker>
            <c:symbol val="none"/>
          </c:marker>
          <c:cat>
            <c:numRef>
              <c:f>'D9 Berekening -  tov 2023'!$D$22:$L$22</c:f>
              <c:numCache>
                <c:formatCode>General</c:formatCode>
                <c:ptCount val="9"/>
                <c:pt idx="0">
                  <c:v>2024</c:v>
                </c:pt>
                <c:pt idx="1">
                  <c:v>2025</c:v>
                </c:pt>
                <c:pt idx="2">
                  <c:v>2026</c:v>
                </c:pt>
                <c:pt idx="3">
                  <c:v>2027</c:v>
                </c:pt>
                <c:pt idx="4">
                  <c:v>2028</c:v>
                </c:pt>
                <c:pt idx="5">
                  <c:v>2029</c:v>
                </c:pt>
                <c:pt idx="6">
                  <c:v>2030</c:v>
                </c:pt>
                <c:pt idx="7">
                  <c:v>2031</c:v>
                </c:pt>
                <c:pt idx="8">
                  <c:v>2032</c:v>
                </c:pt>
              </c:numCache>
            </c:numRef>
          </c:cat>
          <c:val>
            <c:numRef>
              <c:f>'D9 Berekening -  tov 2023'!$D$32:$L$32</c:f>
              <c:numCache>
                <c:formatCode>#,##0</c:formatCode>
                <c:ptCount val="9"/>
                <c:pt idx="0">
                  <c:v>36580</c:v>
                </c:pt>
                <c:pt idx="1">
                  <c:v>36860</c:v>
                </c:pt>
                <c:pt idx="2">
                  <c:v>41070</c:v>
                </c:pt>
                <c:pt idx="3">
                  <c:v>49840</c:v>
                </c:pt>
                <c:pt idx="4">
                  <c:v>59230</c:v>
                </c:pt>
                <c:pt idx="5">
                  <c:v>69090</c:v>
                </c:pt>
                <c:pt idx="6">
                  <c:v>79830</c:v>
                </c:pt>
                <c:pt idx="7">
                  <c:v>93570</c:v>
                </c:pt>
                <c:pt idx="8">
                  <c:v>105600</c:v>
                </c:pt>
              </c:numCache>
            </c:numRef>
          </c:val>
          <c:smooth val="0"/>
          <c:extLst>
            <c:ext xmlns:c16="http://schemas.microsoft.com/office/drawing/2014/chart" uri="{C3380CC4-5D6E-409C-BE32-E72D297353CC}">
              <c16:uniqueId val="{00000000-6C9D-41FA-ABF0-62D5C6610063}"/>
            </c:ext>
          </c:extLst>
        </c:ser>
        <c:ser>
          <c:idx val="0"/>
          <c:order val="1"/>
          <c:tx>
            <c:strRef>
              <c:f>'D9 Berekening -  tov 2023'!$B$31</c:f>
              <c:strCache>
                <c:ptCount val="1"/>
                <c:pt idx="0">
                  <c:v>Mogelijke productiviteitsverbetering door digitale zorg t.o.v. 2023</c:v>
                </c:pt>
              </c:strCache>
            </c:strRef>
          </c:tx>
          <c:spPr>
            <a:ln w="28575" cap="rnd">
              <a:solidFill>
                <a:srgbClr val="1AB589"/>
              </a:solidFill>
              <a:round/>
            </a:ln>
            <a:effectLst/>
          </c:spPr>
          <c:marker>
            <c:symbol val="none"/>
          </c:marker>
          <c:cat>
            <c:numRef>
              <c:f>'D9 Berekening -  tov 2023'!$D$22:$L$22</c:f>
              <c:numCache>
                <c:formatCode>General</c:formatCode>
                <c:ptCount val="9"/>
                <c:pt idx="0">
                  <c:v>2024</c:v>
                </c:pt>
                <c:pt idx="1">
                  <c:v>2025</c:v>
                </c:pt>
                <c:pt idx="2">
                  <c:v>2026</c:v>
                </c:pt>
                <c:pt idx="3">
                  <c:v>2027</c:v>
                </c:pt>
                <c:pt idx="4">
                  <c:v>2028</c:v>
                </c:pt>
                <c:pt idx="5">
                  <c:v>2029</c:v>
                </c:pt>
                <c:pt idx="6">
                  <c:v>2030</c:v>
                </c:pt>
                <c:pt idx="7">
                  <c:v>2031</c:v>
                </c:pt>
                <c:pt idx="8">
                  <c:v>2032</c:v>
                </c:pt>
              </c:numCache>
            </c:numRef>
          </c:cat>
          <c:val>
            <c:numRef>
              <c:f>'D9 Berekening -  tov 2023'!$D$31:$L$31</c:f>
              <c:numCache>
                <c:formatCode>#,##0</c:formatCode>
                <c:ptCount val="9"/>
                <c:pt idx="0">
                  <c:v>3190</c:v>
                </c:pt>
                <c:pt idx="1">
                  <c:v>6590</c:v>
                </c:pt>
                <c:pt idx="2">
                  <c:v>10070</c:v>
                </c:pt>
                <c:pt idx="3">
                  <c:v>13400</c:v>
                </c:pt>
                <c:pt idx="4">
                  <c:v>16390</c:v>
                </c:pt>
                <c:pt idx="5">
                  <c:v>18970</c:v>
                </c:pt>
                <c:pt idx="6">
                  <c:v>21170</c:v>
                </c:pt>
                <c:pt idx="7">
                  <c:v>23090</c:v>
                </c:pt>
                <c:pt idx="8">
                  <c:v>24800</c:v>
                </c:pt>
              </c:numCache>
            </c:numRef>
          </c:val>
          <c:smooth val="0"/>
          <c:extLst>
            <c:ext xmlns:c16="http://schemas.microsoft.com/office/drawing/2014/chart" uri="{C3380CC4-5D6E-409C-BE32-E72D297353CC}">
              <c16:uniqueId val="{00000001-6C9D-41FA-ABF0-62D5C6610063}"/>
            </c:ext>
          </c:extLst>
        </c:ser>
        <c:dLbls>
          <c:showLegendKey val="0"/>
          <c:showVal val="0"/>
          <c:showCatName val="0"/>
          <c:showSerName val="0"/>
          <c:showPercent val="0"/>
          <c:showBubbleSize val="0"/>
        </c:dLbls>
        <c:smooth val="0"/>
        <c:axId val="620422960"/>
        <c:axId val="620423616"/>
      </c:lineChart>
      <c:catAx>
        <c:axId val="620422960"/>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nl-NL"/>
          </a:p>
        </c:txPr>
        <c:crossAx val="620423616"/>
        <c:crosses val="autoZero"/>
        <c:auto val="1"/>
        <c:lblAlgn val="ctr"/>
        <c:lblOffset val="100"/>
        <c:noMultiLvlLbl val="1"/>
      </c:catAx>
      <c:valAx>
        <c:axId val="620423616"/>
        <c:scaling>
          <c:orientation val="minMax"/>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nl-NL"/>
          </a:p>
        </c:txPr>
        <c:crossAx val="620422960"/>
        <c:crosses val="autoZero"/>
        <c:crossBetween val="between"/>
      </c:valAx>
      <c:spPr>
        <a:noFill/>
        <a:ln>
          <a:noFill/>
        </a:ln>
        <a:effectLst/>
      </c:spPr>
    </c:plotArea>
    <c:legend>
      <c:legendPos val="r"/>
      <c:layout>
        <c:manualLayout>
          <c:xMode val="edge"/>
          <c:yMode val="edge"/>
          <c:x val="0.69331649941555729"/>
          <c:y val="0.33968889941107783"/>
          <c:w val="0.28910523636190832"/>
          <c:h val="0.43369310724338694"/>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nl-NL"/>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defRPr>
      </a:pPr>
      <a:endParaRPr lang="nl-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defRPr sz="900"/>
            </a:pPr>
            <a:r>
              <a:rPr lang="nl-NL"/>
              <a:t>Verdeling</a:t>
            </a:r>
            <a:r>
              <a:rPr lang="nl-NL" baseline="0"/>
              <a:t> m</a:t>
            </a:r>
            <a:r>
              <a:rPr lang="nl-NL"/>
              <a:t>aximale opbrengsten extrapolatie per veld (€)</a:t>
            </a:r>
          </a:p>
        </c:rich>
      </c:tx>
      <c:overlay val="0"/>
      <c:spPr>
        <a:noFill/>
        <a:ln>
          <a:noFill/>
        </a:ln>
        <a:effectLst/>
      </c:sp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A4F4-4B5C-A814-AF4E37DF54E8}"/>
              </c:ext>
            </c:extLst>
          </c:dPt>
          <c:dPt>
            <c:idx val="1"/>
            <c:bubble3D val="0"/>
            <c:spPr>
              <a:solidFill>
                <a:schemeClr val="accent2"/>
              </a:solidFill>
              <a:ln>
                <a:noFill/>
              </a:ln>
              <a:effectLst/>
            </c:spPr>
            <c:extLst>
              <c:ext xmlns:c16="http://schemas.microsoft.com/office/drawing/2014/chart" uri="{C3380CC4-5D6E-409C-BE32-E72D297353CC}">
                <c16:uniqueId val="{00000003-A4F4-4B5C-A814-AF4E37DF54E8}"/>
              </c:ext>
            </c:extLst>
          </c:dPt>
          <c:dPt>
            <c:idx val="2"/>
            <c:bubble3D val="0"/>
            <c:spPr>
              <a:solidFill>
                <a:schemeClr val="accent3"/>
              </a:solidFill>
              <a:ln>
                <a:noFill/>
              </a:ln>
              <a:effectLst/>
            </c:spPr>
            <c:extLst>
              <c:ext xmlns:c16="http://schemas.microsoft.com/office/drawing/2014/chart" uri="{C3380CC4-5D6E-409C-BE32-E72D297353CC}">
                <c16:uniqueId val="{00000005-A4F4-4B5C-A814-AF4E37DF54E8}"/>
              </c:ext>
            </c:extLst>
          </c:dPt>
          <c:dPt>
            <c:idx val="3"/>
            <c:bubble3D val="0"/>
            <c:spPr>
              <a:solidFill>
                <a:schemeClr val="accent4"/>
              </a:solidFill>
              <a:ln>
                <a:noFill/>
              </a:ln>
              <a:effectLst/>
            </c:spPr>
            <c:extLst>
              <c:ext xmlns:c16="http://schemas.microsoft.com/office/drawing/2014/chart" uri="{C3380CC4-5D6E-409C-BE32-E72D297353CC}">
                <c16:uniqueId val="{00000007-A4F4-4B5C-A814-AF4E37DF54E8}"/>
              </c:ext>
            </c:extLst>
          </c:dPt>
          <c:dPt>
            <c:idx val="4"/>
            <c:bubble3D val="0"/>
            <c:spPr>
              <a:solidFill>
                <a:schemeClr val="accent5"/>
              </a:solidFill>
              <a:ln>
                <a:noFill/>
              </a:ln>
              <a:effectLst/>
            </c:spPr>
            <c:extLst>
              <c:ext xmlns:c16="http://schemas.microsoft.com/office/drawing/2014/chart" uri="{C3380CC4-5D6E-409C-BE32-E72D297353CC}">
                <c16:uniqueId val="{00000009-A4F4-4B5C-A814-AF4E37DF54E8}"/>
              </c:ext>
            </c:extLst>
          </c:dPt>
          <c:dPt>
            <c:idx val="5"/>
            <c:bubble3D val="0"/>
            <c:spPr>
              <a:solidFill>
                <a:schemeClr val="accent6"/>
              </a:solidFill>
              <a:ln>
                <a:noFill/>
              </a:ln>
              <a:effectLst/>
            </c:spPr>
            <c:extLst>
              <c:ext xmlns:c16="http://schemas.microsoft.com/office/drawing/2014/chart" uri="{C3380CC4-5D6E-409C-BE32-E72D297353CC}">
                <c16:uniqueId val="{0000000B-A4F4-4B5C-A814-AF4E37DF54E8}"/>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A4F4-4B5C-A814-AF4E37DF54E8}"/>
              </c:ext>
            </c:extLst>
          </c:dPt>
          <c:dLbls>
            <c:dLbl>
              <c:idx val="0"/>
              <c:delete val="1"/>
              <c:extLst>
                <c:ext xmlns:c15="http://schemas.microsoft.com/office/drawing/2012/chart" uri="{CE6537A1-D6FC-4f65-9D91-7224C49458BB}"/>
                <c:ext xmlns:c16="http://schemas.microsoft.com/office/drawing/2014/chart" uri="{C3380CC4-5D6E-409C-BE32-E72D297353CC}">
                  <c16:uniqueId val="{00000001-A4F4-4B5C-A814-AF4E37DF54E8}"/>
                </c:ext>
              </c:extLst>
            </c:dLbl>
            <c:dLbl>
              <c:idx val="3"/>
              <c:spPr>
                <a:noFill/>
                <a:ln>
                  <a:noFill/>
                </a:ln>
                <a:effectLst/>
              </c:spPr>
              <c:txPr>
                <a:bodyPr wrap="square" lIns="38100" tIns="19050" rIns="38100" bIns="19050" anchor="ctr">
                  <a:spAutoFit/>
                </a:bodyPr>
                <a:lstStyle/>
                <a:p>
                  <a:pPr>
                    <a:defRPr>
                      <a:solidFill>
                        <a:schemeClr val="bg1"/>
                      </a:solidFill>
                    </a:defRPr>
                  </a:pPr>
                  <a:endParaRPr lang="nl-NL"/>
                </a:p>
              </c:txPr>
              <c:dLblPos val="bestFit"/>
              <c:showLegendKey val="0"/>
              <c:showVal val="1"/>
              <c:showCatName val="0"/>
              <c:showSerName val="0"/>
              <c:showPercent val="0"/>
              <c:showBubbleSize val="0"/>
              <c:extLst>
                <c:ext xmlns:c16="http://schemas.microsoft.com/office/drawing/2014/chart" uri="{C3380CC4-5D6E-409C-BE32-E72D297353CC}">
                  <c16:uniqueId val="{00000007-A4F4-4B5C-A814-AF4E37DF54E8}"/>
                </c:ext>
              </c:extLst>
            </c:dLbl>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'A1 Algemene resultaten'!$L$7:$L$12</c:f>
              <c:strCache>
                <c:ptCount val="6"/>
                <c:pt idx="0">
                  <c:v>Digitale hulpmiddelen - Diagnose</c:v>
                </c:pt>
                <c:pt idx="1">
                  <c:v>Software - Diagnose</c:v>
                </c:pt>
                <c:pt idx="2">
                  <c:v>Sensoren - Behandeling</c:v>
                </c:pt>
                <c:pt idx="3">
                  <c:v>Software - Behandeling</c:v>
                </c:pt>
                <c:pt idx="4">
                  <c:v>Digitale hulpmiddelen - Verpleging</c:v>
                </c:pt>
                <c:pt idx="5">
                  <c:v>Sensoren - Verpleging</c:v>
                </c:pt>
              </c:strCache>
            </c:strRef>
          </c:cat>
          <c:val>
            <c:numRef>
              <c:f>'A1 Algemene resultaten'!$U$7:$U$12</c:f>
              <c:numCache>
                <c:formatCode>"€"\ #,##0</c:formatCode>
                <c:ptCount val="6"/>
                <c:pt idx="0">
                  <c:v>0</c:v>
                </c:pt>
                <c:pt idx="1">
                  <c:v>29.309014693360229</c:v>
                </c:pt>
                <c:pt idx="2">
                  <c:v>133.24737024125776</c:v>
                </c:pt>
                <c:pt idx="3">
                  <c:v>244.48286022334582</c:v>
                </c:pt>
                <c:pt idx="4">
                  <c:v>69.106959344595552</c:v>
                </c:pt>
                <c:pt idx="5">
                  <c:v>153.43827693916637</c:v>
                </c:pt>
              </c:numCache>
            </c:numRef>
          </c:val>
          <c:extLst>
            <c:ext xmlns:c16="http://schemas.microsoft.com/office/drawing/2014/chart" uri="{C3380CC4-5D6E-409C-BE32-E72D297353CC}">
              <c16:uniqueId val="{0000000E-A4F4-4B5C-A814-AF4E37DF54E8}"/>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7708675076277027"/>
          <c:y val="0.16894438104812587"/>
          <c:w val="0.41006741950011349"/>
          <c:h val="0.80056848432943595"/>
        </c:manualLayout>
      </c:layout>
      <c:overlay val="0"/>
      <c:txPr>
        <a:bodyPr/>
        <a:lstStyle/>
        <a:p>
          <a:pPr rtl="0">
            <a:defRPr/>
          </a:pPr>
          <a:endParaRPr lang="nl-NL"/>
        </a:p>
      </c:txPr>
    </c:legend>
    <c:plotVisOnly val="1"/>
    <c:dispBlanksAs val="gap"/>
    <c:showDLblsOverMax val="0"/>
  </c:chart>
  <c:spPr>
    <a:solidFill>
      <a:schemeClr val="bg1"/>
    </a:solidFill>
    <a:ln w="9525" cap="flat" cmpd="sng" algn="ctr">
      <a:noFill/>
      <a:round/>
    </a:ln>
    <a:effectLst/>
  </c:spPr>
  <c:txPr>
    <a:bodyPr/>
    <a:lstStyle/>
    <a:p>
      <a:pPr>
        <a:defRPr sz="800" b="0">
          <a:solidFill>
            <a:srgbClr val="000000"/>
          </a:solidFill>
        </a:defRPr>
      </a:pPr>
      <a:endParaRPr lang="nl-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8558853356981002E-2"/>
          <c:y val="0.21666260923845193"/>
          <c:w val="0.4422487485919292"/>
          <c:h val="0.71128443448173517"/>
        </c:manualLayout>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3359-4F6B-B263-781458763880}"/>
              </c:ext>
            </c:extLst>
          </c:dPt>
          <c:dPt>
            <c:idx val="1"/>
            <c:bubble3D val="0"/>
            <c:spPr>
              <a:solidFill>
                <a:schemeClr val="accent2"/>
              </a:solidFill>
              <a:ln>
                <a:noFill/>
              </a:ln>
              <a:effectLst/>
            </c:spPr>
            <c:extLst>
              <c:ext xmlns:c16="http://schemas.microsoft.com/office/drawing/2014/chart" uri="{C3380CC4-5D6E-409C-BE32-E72D297353CC}">
                <c16:uniqueId val="{00000003-3359-4F6B-B263-781458763880}"/>
              </c:ext>
            </c:extLst>
          </c:dPt>
          <c:dPt>
            <c:idx val="2"/>
            <c:bubble3D val="0"/>
            <c:spPr>
              <a:solidFill>
                <a:schemeClr val="accent3"/>
              </a:solidFill>
              <a:ln>
                <a:noFill/>
              </a:ln>
              <a:effectLst/>
            </c:spPr>
            <c:extLst>
              <c:ext xmlns:c16="http://schemas.microsoft.com/office/drawing/2014/chart" uri="{C3380CC4-5D6E-409C-BE32-E72D297353CC}">
                <c16:uniqueId val="{00000005-3359-4F6B-B263-781458763880}"/>
              </c:ext>
            </c:extLst>
          </c:dPt>
          <c:dPt>
            <c:idx val="3"/>
            <c:bubble3D val="0"/>
            <c:spPr>
              <a:solidFill>
                <a:schemeClr val="accent4"/>
              </a:solidFill>
              <a:ln>
                <a:noFill/>
              </a:ln>
              <a:effectLst/>
            </c:spPr>
            <c:extLst>
              <c:ext xmlns:c16="http://schemas.microsoft.com/office/drawing/2014/chart" uri="{C3380CC4-5D6E-409C-BE32-E72D297353CC}">
                <c16:uniqueId val="{00000007-3359-4F6B-B263-781458763880}"/>
              </c:ext>
            </c:extLst>
          </c:dPt>
          <c:dPt>
            <c:idx val="4"/>
            <c:bubble3D val="0"/>
            <c:spPr>
              <a:solidFill>
                <a:schemeClr val="accent5"/>
              </a:solidFill>
              <a:ln>
                <a:noFill/>
              </a:ln>
              <a:effectLst/>
            </c:spPr>
            <c:extLst>
              <c:ext xmlns:c16="http://schemas.microsoft.com/office/drawing/2014/chart" uri="{C3380CC4-5D6E-409C-BE32-E72D297353CC}">
                <c16:uniqueId val="{00000009-3359-4F6B-B263-781458763880}"/>
              </c:ext>
            </c:extLst>
          </c:dPt>
          <c:dPt>
            <c:idx val="5"/>
            <c:bubble3D val="0"/>
            <c:spPr>
              <a:solidFill>
                <a:schemeClr val="accent6"/>
              </a:solidFill>
              <a:ln>
                <a:noFill/>
              </a:ln>
              <a:effectLst/>
            </c:spPr>
            <c:extLst>
              <c:ext xmlns:c16="http://schemas.microsoft.com/office/drawing/2014/chart" uri="{C3380CC4-5D6E-409C-BE32-E72D297353CC}">
                <c16:uniqueId val="{0000000B-3359-4F6B-B263-781458763880}"/>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3359-4F6B-B263-781458763880}"/>
              </c:ext>
            </c:extLst>
          </c:dPt>
          <c:dLbls>
            <c:dLbl>
              <c:idx val="3"/>
              <c:spPr>
                <a:noFill/>
                <a:ln>
                  <a:noFill/>
                </a:ln>
                <a:effectLst/>
              </c:spPr>
              <c:txPr>
                <a:bodyPr wrap="square" lIns="38100" tIns="19050" rIns="38100" bIns="19050" anchor="ctr">
                  <a:spAutoFit/>
                </a:bodyPr>
                <a:lstStyle/>
                <a:p>
                  <a:pPr>
                    <a:defRPr>
                      <a:solidFill>
                        <a:schemeClr val="bg1"/>
                      </a:solidFill>
                    </a:defRPr>
                  </a:pPr>
                  <a:endParaRPr lang="nl-NL"/>
                </a:p>
              </c:txPr>
              <c:dLblPos val="bestFit"/>
              <c:showLegendKey val="0"/>
              <c:showVal val="1"/>
              <c:showCatName val="0"/>
              <c:showSerName val="0"/>
              <c:showPercent val="0"/>
              <c:showBubbleSize val="0"/>
              <c:extLst>
                <c:ext xmlns:c16="http://schemas.microsoft.com/office/drawing/2014/chart" uri="{C3380CC4-5D6E-409C-BE32-E72D297353CC}">
                  <c16:uniqueId val="{00000007-3359-4F6B-B263-781458763880}"/>
                </c:ext>
              </c:extLst>
            </c:dLbl>
            <c:dLbl>
              <c:idx val="4"/>
              <c:spPr>
                <a:noFill/>
                <a:ln>
                  <a:noFill/>
                </a:ln>
                <a:effectLst/>
              </c:spPr>
              <c:txPr>
                <a:bodyPr wrap="square" lIns="38100" tIns="19050" rIns="38100" bIns="19050" anchor="ctr">
                  <a:spAutoFit/>
                </a:bodyPr>
                <a:lstStyle/>
                <a:p>
                  <a:pPr>
                    <a:defRPr>
                      <a:solidFill>
                        <a:schemeClr val="bg1"/>
                      </a:solidFill>
                    </a:defRPr>
                  </a:pPr>
                  <a:endParaRPr lang="nl-NL"/>
                </a:p>
              </c:txPr>
              <c:dLblPos val="bestFit"/>
              <c:showLegendKey val="0"/>
              <c:showVal val="1"/>
              <c:showCatName val="0"/>
              <c:showSerName val="0"/>
              <c:showPercent val="0"/>
              <c:showBubbleSize val="0"/>
              <c:extLst>
                <c:ext xmlns:c16="http://schemas.microsoft.com/office/drawing/2014/chart" uri="{C3380CC4-5D6E-409C-BE32-E72D297353CC}">
                  <c16:uniqueId val="{00000009-3359-4F6B-B263-781458763880}"/>
                </c:ext>
              </c:extLst>
            </c:dLbl>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'A1 Algemene resultaten'!$B$55:$B$60</c:f>
              <c:strCache>
                <c:ptCount val="6"/>
                <c:pt idx="0">
                  <c:v>Digitale hulpmiddelen - Diagnose</c:v>
                </c:pt>
                <c:pt idx="1">
                  <c:v>Software - Diagnose</c:v>
                </c:pt>
                <c:pt idx="2">
                  <c:v>Sensoren - Behandeling</c:v>
                </c:pt>
                <c:pt idx="3">
                  <c:v>Software - Behandeling</c:v>
                </c:pt>
                <c:pt idx="4">
                  <c:v>Digitale hulpmiddelen - Verpleging</c:v>
                </c:pt>
                <c:pt idx="5">
                  <c:v>Sensoren - Verpleging</c:v>
                </c:pt>
              </c:strCache>
            </c:strRef>
          </c:cat>
          <c:val>
            <c:numRef>
              <c:f>'A1 Algemene resultaten'!$H$55:$H$60</c:f>
              <c:numCache>
                <c:formatCode>"€"\ #,##0</c:formatCode>
                <c:ptCount val="6"/>
                <c:pt idx="0">
                  <c:v>37.913357980060667</c:v>
                </c:pt>
                <c:pt idx="1">
                  <c:v>33.051126725941785</c:v>
                </c:pt>
                <c:pt idx="2">
                  <c:v>74.361741557165757</c:v>
                </c:pt>
                <c:pt idx="3">
                  <c:v>371.19340596498262</c:v>
                </c:pt>
                <c:pt idx="4">
                  <c:v>1072.5383080106585</c:v>
                </c:pt>
                <c:pt idx="5">
                  <c:v>306.9802674761707</c:v>
                </c:pt>
              </c:numCache>
            </c:numRef>
          </c:val>
          <c:extLst>
            <c:ext xmlns:c16="http://schemas.microsoft.com/office/drawing/2014/chart" uri="{C3380CC4-5D6E-409C-BE32-E72D297353CC}">
              <c16:uniqueId val="{0000000E-3359-4F6B-B263-781458763880}"/>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txPr>
        <a:bodyPr/>
        <a:lstStyle/>
        <a:p>
          <a:pPr rtl="0">
            <a:defRPr/>
          </a:pPr>
          <a:endParaRPr lang="nl-NL"/>
        </a:p>
      </c:txPr>
    </c:legend>
    <c:plotVisOnly val="1"/>
    <c:dispBlanksAs val="gap"/>
    <c:showDLblsOverMax val="0"/>
  </c:chart>
  <c:spPr>
    <a:solidFill>
      <a:schemeClr val="bg1"/>
    </a:solidFill>
    <a:ln w="9525" cap="flat" cmpd="sng" algn="ctr">
      <a:noFill/>
      <a:round/>
    </a:ln>
    <a:effectLst/>
  </c:spPr>
  <c:txPr>
    <a:bodyPr/>
    <a:lstStyle/>
    <a:p>
      <a:pPr>
        <a:defRPr sz="800" b="0">
          <a:solidFill>
            <a:srgbClr val="000000"/>
          </a:solidFill>
        </a:defRPr>
      </a:pPr>
      <a:endParaRPr lang="nl-NL"/>
    </a:p>
  </c:txPr>
  <c:printSettings>
    <c:headerFooter/>
    <c:pageMargins b="0.75" l="0.7" r="0.7" t="0.75" header="0.3" footer="0.3"/>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mn-lt"/>
                <a:ea typeface="+mn-ea"/>
                <a:cs typeface="+mn-cs"/>
              </a:defRPr>
            </a:pPr>
            <a:r>
              <a:rPr lang="nl-NL" sz="900" b="0" i="0" u="none" strike="noStrike" kern="1200" baseline="0">
                <a:solidFill>
                  <a:srgbClr val="000000"/>
                </a:solidFill>
              </a:rPr>
              <a:t>Verdeling huidige implementatiegraad bestaande digitale zorgtoepassingen per doelgroep (n = 49) [%] </a:t>
            </a:r>
          </a:p>
        </c:rich>
      </c:tx>
      <c:overlay val="0"/>
      <c:spPr>
        <a:noFill/>
        <a:ln>
          <a:noFill/>
        </a:ln>
        <a:effectLst/>
      </c:spPr>
    </c:title>
    <c:autoTitleDeleted val="0"/>
    <c:plotArea>
      <c:layout>
        <c:manualLayout>
          <c:layoutTarget val="inner"/>
          <c:xMode val="edge"/>
          <c:yMode val="edge"/>
          <c:x val="9.0883563135394099E-2"/>
          <c:y val="0.27104127511885195"/>
          <c:w val="0.3690508773739527"/>
          <c:h val="0.622724348920208"/>
        </c:manualLayout>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30A6-4D20-B8D9-50A88D058FC3}"/>
              </c:ext>
            </c:extLst>
          </c:dPt>
          <c:dPt>
            <c:idx val="1"/>
            <c:bubble3D val="0"/>
            <c:spPr>
              <a:solidFill>
                <a:schemeClr val="accent2"/>
              </a:solidFill>
              <a:ln>
                <a:noFill/>
              </a:ln>
              <a:effectLst/>
            </c:spPr>
            <c:extLst>
              <c:ext xmlns:c16="http://schemas.microsoft.com/office/drawing/2014/chart" uri="{C3380CC4-5D6E-409C-BE32-E72D297353CC}">
                <c16:uniqueId val="{00000003-30A6-4D20-B8D9-50A88D058FC3}"/>
              </c:ext>
            </c:extLst>
          </c:dPt>
          <c:dPt>
            <c:idx val="2"/>
            <c:bubble3D val="0"/>
            <c:spPr>
              <a:solidFill>
                <a:schemeClr val="accent3"/>
              </a:solidFill>
              <a:ln>
                <a:noFill/>
              </a:ln>
              <a:effectLst/>
            </c:spPr>
            <c:extLst>
              <c:ext xmlns:c16="http://schemas.microsoft.com/office/drawing/2014/chart" uri="{C3380CC4-5D6E-409C-BE32-E72D297353CC}">
                <c16:uniqueId val="{00000005-30A6-4D20-B8D9-50A88D058FC3}"/>
              </c:ext>
            </c:extLst>
          </c:dPt>
          <c:dPt>
            <c:idx val="3"/>
            <c:bubble3D val="0"/>
            <c:spPr>
              <a:solidFill>
                <a:schemeClr val="accent4"/>
              </a:solidFill>
              <a:ln>
                <a:noFill/>
              </a:ln>
              <a:effectLst/>
            </c:spPr>
            <c:extLst>
              <c:ext xmlns:c16="http://schemas.microsoft.com/office/drawing/2014/chart" uri="{C3380CC4-5D6E-409C-BE32-E72D297353CC}">
                <c16:uniqueId val="{00000007-30A6-4D20-B8D9-50A88D058FC3}"/>
              </c:ext>
            </c:extLst>
          </c:dPt>
          <c:dPt>
            <c:idx val="4"/>
            <c:bubble3D val="0"/>
            <c:spPr>
              <a:solidFill>
                <a:schemeClr val="accent5"/>
              </a:solidFill>
              <a:ln>
                <a:noFill/>
              </a:ln>
              <a:effectLst/>
            </c:spPr>
            <c:extLst>
              <c:ext xmlns:c16="http://schemas.microsoft.com/office/drawing/2014/chart" uri="{C3380CC4-5D6E-409C-BE32-E72D297353CC}">
                <c16:uniqueId val="{00000009-30A6-4D20-B8D9-50A88D058FC3}"/>
              </c:ext>
            </c:extLst>
          </c:dPt>
          <c:dPt>
            <c:idx val="5"/>
            <c:bubble3D val="0"/>
            <c:spPr>
              <a:solidFill>
                <a:schemeClr val="accent6"/>
              </a:solidFill>
              <a:ln>
                <a:noFill/>
              </a:ln>
              <a:effectLst/>
            </c:spPr>
            <c:extLst>
              <c:ext xmlns:c16="http://schemas.microsoft.com/office/drawing/2014/chart" uri="{C3380CC4-5D6E-409C-BE32-E72D297353CC}">
                <c16:uniqueId val="{0000000B-30A6-4D20-B8D9-50A88D058FC3}"/>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30A6-4D20-B8D9-50A88D058FC3}"/>
              </c:ext>
            </c:extLst>
          </c:dPt>
          <c:dLbls>
            <c:dLbl>
              <c:idx val="0"/>
              <c:spPr>
                <a:noFill/>
                <a:ln>
                  <a:noFill/>
                </a:ln>
                <a:effectLst/>
              </c:spPr>
              <c:txPr>
                <a:bodyPr rot="0" vert="horz"/>
                <a:lstStyle/>
                <a:p>
                  <a:pPr>
                    <a:defRPr>
                      <a:solidFill>
                        <a:schemeClr val="bg1"/>
                      </a:solidFill>
                    </a:defRPr>
                  </a:pPr>
                  <a:endParaRPr lang="nl-NL"/>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30A6-4D20-B8D9-50A88D058FC3}"/>
                </c:ext>
              </c:extLst>
            </c:dLbl>
            <c:dLbl>
              <c:idx val="3"/>
              <c:spPr>
                <a:noFill/>
                <a:ln>
                  <a:noFill/>
                </a:ln>
                <a:effectLst/>
              </c:spPr>
              <c:txPr>
                <a:bodyPr rot="0" vert="horz"/>
                <a:lstStyle/>
                <a:p>
                  <a:pPr>
                    <a:defRPr>
                      <a:solidFill>
                        <a:schemeClr val="bg1"/>
                      </a:solidFill>
                    </a:defRPr>
                  </a:pPr>
                  <a:endParaRPr lang="nl-NL"/>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7-30A6-4D20-B8D9-50A88D058FC3}"/>
                </c:ext>
              </c:extLst>
            </c:dLbl>
            <c:spPr>
              <a:noFill/>
              <a:ln>
                <a:noFill/>
              </a:ln>
              <a:effectLst/>
            </c:spPr>
            <c:txPr>
              <a:bodyPr rot="0" vert="horz"/>
              <a:lstStyle/>
              <a:p>
                <a:pPr>
                  <a:defRPr/>
                </a:pPr>
                <a:endParaRPr lang="nl-NL"/>
              </a:p>
            </c:txPr>
            <c:dLblPos val="bestFit"/>
            <c:showLegendKey val="0"/>
            <c:showVal val="0"/>
            <c:showCatName val="0"/>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rect">
                    <a:avLst/>
                  </a:prstGeom>
                </c15:spPr>
              </c:ext>
            </c:extLst>
          </c:dLbls>
          <c:cat>
            <c:strRef>
              <c:f>'A3 - Tabellen bij grafieken'!$F$7:$F$11</c:f>
              <c:strCache>
                <c:ptCount val="5"/>
                <c:pt idx="0">
                  <c:v>Niet (implementatiegraad 0%)</c:v>
                </c:pt>
                <c:pt idx="1">
                  <c:v>Nauwelijks (implementatiegraad 20%)</c:v>
                </c:pt>
                <c:pt idx="2">
                  <c:v>Enigszins (implementatiegraad 40%)</c:v>
                </c:pt>
                <c:pt idx="3">
                  <c:v>Substantieel (implementatiegraad 60%)</c:v>
                </c:pt>
                <c:pt idx="4">
                  <c:v>Veel (implementatiegraad 80%)</c:v>
                </c:pt>
              </c:strCache>
            </c:strRef>
          </c:cat>
          <c:val>
            <c:numRef>
              <c:f>'A3 - Tabellen bij grafieken'!$H$7:$H$11</c:f>
              <c:numCache>
                <c:formatCode>General</c:formatCode>
                <c:ptCount val="5"/>
                <c:pt idx="0">
                  <c:v>5</c:v>
                </c:pt>
                <c:pt idx="1">
                  <c:v>18</c:v>
                </c:pt>
                <c:pt idx="2">
                  <c:v>20</c:v>
                </c:pt>
                <c:pt idx="3">
                  <c:v>3</c:v>
                </c:pt>
                <c:pt idx="4">
                  <c:v>2</c:v>
                </c:pt>
              </c:numCache>
            </c:numRef>
          </c:val>
          <c:extLst>
            <c:ext xmlns:c16="http://schemas.microsoft.com/office/drawing/2014/chart" uri="{C3380CC4-5D6E-409C-BE32-E72D297353CC}">
              <c16:uniqueId val="{0000000E-30A6-4D20-B8D9-50A88D058FC3}"/>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4822740404511231"/>
          <c:y val="0.24331514501467688"/>
          <c:w val="0.50025867867611939"/>
          <c:h val="0.67817660912855815"/>
        </c:manualLayout>
      </c:layout>
      <c:overlay val="0"/>
      <c:txPr>
        <a:bodyPr/>
        <a:lstStyle/>
        <a:p>
          <a:pPr rtl="0">
            <a:defRPr/>
          </a:pPr>
          <a:endParaRPr lang="nl-NL"/>
        </a:p>
      </c:txPr>
    </c:legend>
    <c:plotVisOnly val="1"/>
    <c:dispBlanksAs val="gap"/>
    <c:showDLblsOverMax val="0"/>
  </c:chart>
  <c:spPr>
    <a:solidFill>
      <a:schemeClr val="bg1"/>
    </a:solidFill>
    <a:ln w="9525" cap="flat" cmpd="sng" algn="ctr">
      <a:noFill/>
      <a:round/>
    </a:ln>
    <a:effectLst/>
  </c:spPr>
  <c:txPr>
    <a:bodyPr/>
    <a:lstStyle/>
    <a:p>
      <a:pPr>
        <a:defRPr sz="800" b="0">
          <a:solidFill>
            <a:srgbClr val="000000"/>
          </a:solidFill>
        </a:defRPr>
      </a:pPr>
      <a:endParaRPr lang="nl-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1332861820219232"/>
          <c:y val="0.11705390785060138"/>
          <c:w val="0.60300246347390207"/>
          <c:h val="0.76344204070892496"/>
        </c:manualLayout>
      </c:layout>
      <c:barChart>
        <c:barDir val="bar"/>
        <c:grouping val="stacked"/>
        <c:varyColors val="0"/>
        <c:ser>
          <c:idx val="0"/>
          <c:order val="0"/>
          <c:tx>
            <c:strRef>
              <c:f>'A3 - Tabellen bij grafieken'!$B$48</c:f>
              <c:strCache>
                <c:ptCount val="1"/>
                <c:pt idx="0">
                  <c:v>Opbrengsten 2023</c:v>
                </c:pt>
              </c:strCache>
            </c:strRef>
          </c:tx>
          <c:spPr>
            <a:solidFill>
              <a:schemeClr val="accent1"/>
            </a:solidFill>
            <a:ln>
              <a:noFill/>
            </a:ln>
            <a:effectLst/>
          </c:spPr>
          <c:invertIfNegative val="0"/>
          <c:dLbls>
            <c:spPr>
              <a:noFill/>
              <a:ln>
                <a:noFill/>
              </a:ln>
              <a:effectLst/>
            </c:spPr>
            <c:txPr>
              <a:bodyPr wrap="square" lIns="38100" tIns="19050" rIns="38100" bIns="19050" anchor="ctr">
                <a:spAutoFit/>
              </a:bodyPr>
              <a:lstStyle/>
              <a:p>
                <a:pPr>
                  <a:defRPr>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'A3 - Tabellen bij grafieken'!$A$49:$A$51</c:f>
              <c:strCache>
                <c:ptCount val="3"/>
                <c:pt idx="0">
                  <c:v>Mogelijke opbrengsten digitale zorg 2028</c:v>
                </c:pt>
                <c:pt idx="1">
                  <c:v>Uitgangssituatie (huidig beleid gehaald, geen nieuw beleid)</c:v>
                </c:pt>
                <c:pt idx="2">
                  <c:v>Opbrengsten digitale zorg 2028</c:v>
                </c:pt>
              </c:strCache>
            </c:strRef>
          </c:cat>
          <c:val>
            <c:numRef>
              <c:f>'A3 - Tabellen bij grafieken'!$B$49:$B$51</c:f>
              <c:numCache>
                <c:formatCode>"€"\ #,##0</c:formatCode>
                <c:ptCount val="3"/>
                <c:pt idx="0">
                  <c:v>800</c:v>
                </c:pt>
                <c:pt idx="2">
                  <c:v>800</c:v>
                </c:pt>
              </c:numCache>
            </c:numRef>
          </c:val>
          <c:extLst>
            <c:ext xmlns:c16="http://schemas.microsoft.com/office/drawing/2014/chart" uri="{C3380CC4-5D6E-409C-BE32-E72D297353CC}">
              <c16:uniqueId val="{00000000-BC0A-4625-B541-D08116D8A404}"/>
            </c:ext>
          </c:extLst>
        </c:ser>
        <c:ser>
          <c:idx val="1"/>
          <c:order val="1"/>
          <c:tx>
            <c:strRef>
              <c:f>'A3 - Tabellen bij grafieken'!$C$48</c:f>
              <c:strCache>
                <c:ptCount val="1"/>
                <c:pt idx="0">
                  <c:v>Extra opbrengsten t.o.v. 2023</c:v>
                </c:pt>
              </c:strCache>
            </c:strRef>
          </c:tx>
          <c:spPr>
            <a:solidFill>
              <a:srgbClr val="1AB589"/>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'A3 - Tabellen bij grafieken'!$A$49:$A$51</c:f>
              <c:strCache>
                <c:ptCount val="3"/>
                <c:pt idx="0">
                  <c:v>Mogelijke opbrengsten digitale zorg 2028</c:v>
                </c:pt>
                <c:pt idx="1">
                  <c:v>Uitgangssituatie (huidig beleid gehaald, geen nieuw beleid)</c:v>
                </c:pt>
                <c:pt idx="2">
                  <c:v>Opbrengsten digitale zorg 2028</c:v>
                </c:pt>
              </c:strCache>
            </c:strRef>
          </c:cat>
          <c:val>
            <c:numRef>
              <c:f>'A3 - Tabellen bij grafieken'!$C$49:$C$51</c:f>
              <c:numCache>
                <c:formatCode>"€"\ #,##0</c:formatCode>
                <c:ptCount val="3"/>
                <c:pt idx="0">
                  <c:v>1100</c:v>
                </c:pt>
                <c:pt idx="2">
                  <c:v>1100</c:v>
                </c:pt>
              </c:numCache>
            </c:numRef>
          </c:val>
          <c:extLst>
            <c:ext xmlns:c16="http://schemas.microsoft.com/office/drawing/2014/chart" uri="{C3380CC4-5D6E-409C-BE32-E72D297353CC}">
              <c16:uniqueId val="{00000001-BC0A-4625-B541-D08116D8A404}"/>
            </c:ext>
          </c:extLst>
        </c:ser>
        <c:ser>
          <c:idx val="2"/>
          <c:order val="2"/>
          <c:tx>
            <c:strRef>
              <c:f>'A3 - Tabellen bij grafieken'!$D$48</c:f>
              <c:strCache>
                <c:ptCount val="1"/>
              </c:strCache>
            </c:strRef>
          </c:tx>
          <c:invertIfNegative val="0"/>
          <c:dPt>
            <c:idx val="1"/>
            <c:invertIfNegative val="0"/>
            <c:bubble3D val="0"/>
            <c:spPr>
              <a:solidFill>
                <a:sysClr val="window" lastClr="FFFFFF"/>
              </a:solidFill>
            </c:spPr>
            <c:extLst>
              <c:ext xmlns:c16="http://schemas.microsoft.com/office/drawing/2014/chart" uri="{C3380CC4-5D6E-409C-BE32-E72D297353CC}">
                <c16:uniqueId val="{00000003-BC0A-4625-B541-D08116D8A404}"/>
              </c:ext>
            </c:extLst>
          </c:dPt>
          <c:dLbls>
            <c:delete val="1"/>
          </c:dLbls>
          <c:cat>
            <c:strRef>
              <c:f>'A3 - Tabellen bij grafieken'!$A$49:$A$51</c:f>
              <c:strCache>
                <c:ptCount val="3"/>
                <c:pt idx="0">
                  <c:v>Mogelijke opbrengsten digitale zorg 2028</c:v>
                </c:pt>
                <c:pt idx="1">
                  <c:v>Uitgangssituatie (huidig beleid gehaald, geen nieuw beleid)</c:v>
                </c:pt>
                <c:pt idx="2">
                  <c:v>Opbrengsten digitale zorg 2028</c:v>
                </c:pt>
              </c:strCache>
            </c:strRef>
          </c:cat>
          <c:val>
            <c:numRef>
              <c:f>'A3 - Tabellen bij grafieken'!$D$49:$D$51</c:f>
              <c:numCache>
                <c:formatCode>"€"\ #,##0</c:formatCode>
                <c:ptCount val="3"/>
                <c:pt idx="1">
                  <c:v>1900</c:v>
                </c:pt>
              </c:numCache>
            </c:numRef>
          </c:val>
          <c:extLst>
            <c:ext xmlns:c16="http://schemas.microsoft.com/office/drawing/2014/chart" uri="{C3380CC4-5D6E-409C-BE32-E72D297353CC}">
              <c16:uniqueId val="{00000004-BC0A-4625-B541-D08116D8A404}"/>
            </c:ext>
          </c:extLst>
        </c:ser>
        <c:ser>
          <c:idx val="3"/>
          <c:order val="3"/>
          <c:tx>
            <c:strRef>
              <c:f>'A3 - Tabellen bij grafieken'!$E$48</c:f>
              <c:strCache>
                <c:ptCount val="1"/>
                <c:pt idx="0">
                  <c:v>Afname</c:v>
                </c:pt>
              </c:strCache>
            </c:strRef>
          </c:tx>
          <c:spPr>
            <a:solidFill>
              <a:srgbClr val="83C4CF"/>
            </a:solidFill>
          </c:spPr>
          <c:invertIfNegative val="0"/>
          <c:dLbls>
            <c:dLbl>
              <c:idx val="1"/>
              <c:layout>
                <c:manualLayout>
                  <c:x val="6.649622960115216E-2"/>
                  <c:y val="6.273260072841428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84-4FBE-ACA1-803B321A7F89}"/>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'A3 - Tabellen bij grafieken'!$A$49:$A$51</c:f>
              <c:strCache>
                <c:ptCount val="3"/>
                <c:pt idx="0">
                  <c:v>Mogelijke opbrengsten digitale zorg 2028</c:v>
                </c:pt>
                <c:pt idx="1">
                  <c:v>Uitgangssituatie (huidig beleid gehaald, geen nieuw beleid)</c:v>
                </c:pt>
                <c:pt idx="2">
                  <c:v>Opbrengsten digitale zorg 2028</c:v>
                </c:pt>
              </c:strCache>
            </c:strRef>
          </c:cat>
          <c:val>
            <c:numRef>
              <c:f>'A3 - Tabellen bij grafieken'!$E$49:$E$51</c:f>
              <c:numCache>
                <c:formatCode>"€"\ #,##0</c:formatCode>
                <c:ptCount val="3"/>
                <c:pt idx="1">
                  <c:v>0</c:v>
                </c:pt>
              </c:numCache>
            </c:numRef>
          </c:val>
          <c:extLst>
            <c:ext xmlns:c16="http://schemas.microsoft.com/office/drawing/2014/chart" uri="{C3380CC4-5D6E-409C-BE32-E72D297353CC}">
              <c16:uniqueId val="{00000006-BC0A-4625-B541-D08116D8A404}"/>
            </c:ext>
          </c:extLst>
        </c:ser>
        <c:dLbls>
          <c:dLblPos val="ctr"/>
          <c:showLegendKey val="0"/>
          <c:showVal val="1"/>
          <c:showCatName val="0"/>
          <c:showSerName val="0"/>
          <c:showPercent val="0"/>
          <c:showBubbleSize val="0"/>
        </c:dLbls>
        <c:gapWidth val="75"/>
        <c:overlap val="100"/>
        <c:axId val="472293432"/>
        <c:axId val="472291792"/>
      </c:barChart>
      <c:catAx>
        <c:axId val="472293432"/>
        <c:scaling>
          <c:orientation val="maxMin"/>
        </c:scaling>
        <c:delete val="0"/>
        <c:axPos val="l"/>
        <c:numFmt formatCode="General" sourceLinked="1"/>
        <c:majorTickMark val="none"/>
        <c:minorTickMark val="none"/>
        <c:tickLblPos val="nextTo"/>
        <c:spPr>
          <a:noFill/>
          <a:effectLst/>
        </c:spPr>
        <c:txPr>
          <a:bodyPr rot="-60000000" vert="horz"/>
          <a:lstStyle/>
          <a:p>
            <a:pPr>
              <a:defRPr/>
            </a:pPr>
            <a:endParaRPr lang="nl-NL"/>
          </a:p>
        </c:txPr>
        <c:crossAx val="472291792"/>
        <c:crosses val="autoZero"/>
        <c:auto val="1"/>
        <c:lblAlgn val="ctr"/>
        <c:lblOffset val="100"/>
        <c:noMultiLvlLbl val="0"/>
      </c:catAx>
      <c:valAx>
        <c:axId val="472291792"/>
        <c:scaling>
          <c:orientation val="minMax"/>
        </c:scaling>
        <c:delete val="1"/>
        <c:axPos val="t"/>
        <c:majorGridlines>
          <c:spPr>
            <a:ln w="9525" cap="flat" cmpd="sng" algn="ctr">
              <a:noFill/>
              <a:round/>
            </a:ln>
            <a:effectLst/>
          </c:spPr>
        </c:majorGridlines>
        <c:numFmt formatCode="&quot;€&quot;\ #,##0" sourceLinked="1"/>
        <c:majorTickMark val="none"/>
        <c:minorTickMark val="none"/>
        <c:tickLblPos val="nextTo"/>
        <c:crossAx val="472293432"/>
        <c:crosses val="autoZero"/>
        <c:crossBetween val="between"/>
      </c:valAx>
      <c:spPr>
        <a:noFill/>
        <a:ln>
          <a:noFill/>
        </a:ln>
        <a:effectLst/>
      </c:spPr>
    </c:plotArea>
    <c:legend>
      <c:legendPos val="b"/>
      <c:legendEntry>
        <c:idx val="2"/>
        <c:delete val="1"/>
      </c:legendEntry>
      <c:overlay val="0"/>
    </c:legend>
    <c:plotVisOnly val="1"/>
    <c:dispBlanksAs val="gap"/>
    <c:showDLblsOverMax val="0"/>
  </c:chart>
  <c:spPr>
    <a:solidFill>
      <a:schemeClr val="bg1"/>
    </a:solidFill>
    <a:ln w="9525" cap="flat" cmpd="sng" algn="ctr">
      <a:noFill/>
      <a:round/>
    </a:ln>
    <a:effectLst/>
  </c:spPr>
  <c:txPr>
    <a:bodyPr/>
    <a:lstStyle/>
    <a:p>
      <a:pPr>
        <a:defRPr sz="800" b="0">
          <a:solidFill>
            <a:srgbClr val="000000"/>
          </a:solidFill>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15</xdr:row>
      <xdr:rowOff>95251</xdr:rowOff>
    </xdr:from>
    <xdr:to>
      <xdr:col>3</xdr:col>
      <xdr:colOff>625928</xdr:colOff>
      <xdr:row>28</xdr:row>
      <xdr:rowOff>80597</xdr:rowOff>
    </xdr:to>
    <xdr:graphicFrame macro="">
      <xdr:nvGraphicFramePr>
        <xdr:cNvPr id="66" name="Grafiek 65">
          <a:extLst>
            <a:ext uri="{FF2B5EF4-FFF2-40B4-BE49-F238E27FC236}">
              <a16:creationId xmlns:a16="http://schemas.microsoft.com/office/drawing/2014/main" id="{139BA633-E318-FEBF-DA61-842E192029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169000</xdr:colOff>
      <xdr:row>63</xdr:row>
      <xdr:rowOff>86628</xdr:rowOff>
    </xdr:from>
    <xdr:to>
      <xdr:col>3</xdr:col>
      <xdr:colOff>533720</xdr:colOff>
      <xdr:row>78</xdr:row>
      <xdr:rowOff>98064</xdr:rowOff>
    </xdr:to>
    <xdr:graphicFrame macro="">
      <xdr:nvGraphicFramePr>
        <xdr:cNvPr id="23" name="Chart 2">
          <a:extLst>
            <a:ext uri="{FF2B5EF4-FFF2-40B4-BE49-F238E27FC236}">
              <a16:creationId xmlns:a16="http://schemas.microsoft.com/office/drawing/2014/main" id="{D319A363-67F7-4C46-8EDB-ACAA61567C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437500</xdr:colOff>
      <xdr:row>30</xdr:row>
      <xdr:rowOff>154480</xdr:rowOff>
    </xdr:from>
    <xdr:to>
      <xdr:col>17</xdr:col>
      <xdr:colOff>1034143</xdr:colOff>
      <xdr:row>44</xdr:row>
      <xdr:rowOff>144048</xdr:rowOff>
    </xdr:to>
    <xdr:grpSp>
      <xdr:nvGrpSpPr>
        <xdr:cNvPr id="33" name="Groep 32">
          <a:extLst>
            <a:ext uri="{FF2B5EF4-FFF2-40B4-BE49-F238E27FC236}">
              <a16:creationId xmlns:a16="http://schemas.microsoft.com/office/drawing/2014/main" id="{2EFD00D3-99FF-4D55-AE00-4D881310EA6B}"/>
            </a:ext>
          </a:extLst>
        </xdr:cNvPr>
        <xdr:cNvGrpSpPr/>
      </xdr:nvGrpSpPr>
      <xdr:grpSpPr>
        <a:xfrm>
          <a:off x="15106000" y="8060230"/>
          <a:ext cx="10815381" cy="3189174"/>
          <a:chOff x="7862534" y="8629483"/>
          <a:chExt cx="8048238" cy="3494270"/>
        </a:xfrm>
      </xdr:grpSpPr>
      <xdr:graphicFrame macro="">
        <xdr:nvGraphicFramePr>
          <xdr:cNvPr id="34" name="Grafiek 33">
            <a:extLst>
              <a:ext uri="{FF2B5EF4-FFF2-40B4-BE49-F238E27FC236}">
                <a16:creationId xmlns:a16="http://schemas.microsoft.com/office/drawing/2014/main" id="{B0D63D33-9D8B-4553-0E00-FBCB934A2E3E}"/>
              </a:ext>
            </a:extLst>
          </xdr:cNvPr>
          <xdr:cNvGraphicFramePr>
            <a:graphicFrameLocks/>
          </xdr:cNvGraphicFramePr>
        </xdr:nvGraphicFramePr>
        <xdr:xfrm>
          <a:off x="7862534" y="8629483"/>
          <a:ext cx="8048238" cy="3494270"/>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35" name="Tekstvak 34">
            <a:extLst>
              <a:ext uri="{FF2B5EF4-FFF2-40B4-BE49-F238E27FC236}">
                <a16:creationId xmlns:a16="http://schemas.microsoft.com/office/drawing/2014/main" id="{80C49038-F5C7-6EE0-0BD3-4E792D258824}"/>
              </a:ext>
            </a:extLst>
          </xdr:cNvPr>
          <xdr:cNvSpPr txBox="1"/>
        </xdr:nvSpPr>
        <xdr:spPr>
          <a:xfrm>
            <a:off x="8352691" y="11436106"/>
            <a:ext cx="532185" cy="232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800"/>
              <a:t>2023</a:t>
            </a:r>
          </a:p>
        </xdr:txBody>
      </xdr:sp>
      <xdr:sp macro="" textlink="">
        <xdr:nvSpPr>
          <xdr:cNvPr id="37" name="Tekstvak 36">
            <a:extLst>
              <a:ext uri="{FF2B5EF4-FFF2-40B4-BE49-F238E27FC236}">
                <a16:creationId xmlns:a16="http://schemas.microsoft.com/office/drawing/2014/main" id="{0ECEB590-CA56-8DBD-848C-8D74EDB3AE3C}"/>
              </a:ext>
            </a:extLst>
          </xdr:cNvPr>
          <xdr:cNvSpPr txBox="1"/>
        </xdr:nvSpPr>
        <xdr:spPr>
          <a:xfrm>
            <a:off x="9046918" y="11436106"/>
            <a:ext cx="588923" cy="232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800"/>
              <a:t>2024</a:t>
            </a:r>
          </a:p>
        </xdr:txBody>
      </xdr:sp>
      <xdr:sp macro="" textlink="">
        <xdr:nvSpPr>
          <xdr:cNvPr id="38" name="Tekstvak 37">
            <a:extLst>
              <a:ext uri="{FF2B5EF4-FFF2-40B4-BE49-F238E27FC236}">
                <a16:creationId xmlns:a16="http://schemas.microsoft.com/office/drawing/2014/main" id="{36BE7FB4-F1DB-C392-7BE5-9BA318D1F876}"/>
              </a:ext>
            </a:extLst>
          </xdr:cNvPr>
          <xdr:cNvSpPr txBox="1"/>
        </xdr:nvSpPr>
        <xdr:spPr>
          <a:xfrm>
            <a:off x="9741144" y="11436107"/>
            <a:ext cx="525135" cy="1929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800"/>
              <a:t>2025</a:t>
            </a:r>
          </a:p>
        </xdr:txBody>
      </xdr:sp>
      <xdr:sp macro="" textlink="">
        <xdr:nvSpPr>
          <xdr:cNvPr id="39" name="Tekstvak 38">
            <a:extLst>
              <a:ext uri="{FF2B5EF4-FFF2-40B4-BE49-F238E27FC236}">
                <a16:creationId xmlns:a16="http://schemas.microsoft.com/office/drawing/2014/main" id="{194B69A4-493E-FDC3-A5B2-024C7C9C3F8B}"/>
              </a:ext>
            </a:extLst>
          </xdr:cNvPr>
          <xdr:cNvSpPr txBox="1"/>
        </xdr:nvSpPr>
        <xdr:spPr>
          <a:xfrm>
            <a:off x="10435370" y="11436107"/>
            <a:ext cx="526244" cy="1929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800"/>
              <a:t>2026</a:t>
            </a:r>
          </a:p>
        </xdr:txBody>
      </xdr:sp>
      <xdr:sp macro="" textlink="">
        <xdr:nvSpPr>
          <xdr:cNvPr id="43" name="Tekstvak 42">
            <a:extLst>
              <a:ext uri="{FF2B5EF4-FFF2-40B4-BE49-F238E27FC236}">
                <a16:creationId xmlns:a16="http://schemas.microsoft.com/office/drawing/2014/main" id="{167034CE-354F-3085-EE1E-1F03F7EB040E}"/>
              </a:ext>
            </a:extLst>
          </xdr:cNvPr>
          <xdr:cNvSpPr txBox="1"/>
        </xdr:nvSpPr>
        <xdr:spPr>
          <a:xfrm>
            <a:off x="11129596" y="11436107"/>
            <a:ext cx="564439" cy="2224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800"/>
              <a:t>2027</a:t>
            </a:r>
          </a:p>
        </xdr:txBody>
      </xdr:sp>
      <xdr:sp macro="" textlink="">
        <xdr:nvSpPr>
          <xdr:cNvPr id="46" name="Tekstvak 45">
            <a:extLst>
              <a:ext uri="{FF2B5EF4-FFF2-40B4-BE49-F238E27FC236}">
                <a16:creationId xmlns:a16="http://schemas.microsoft.com/office/drawing/2014/main" id="{F2664785-A07F-B757-C98F-B98F3521B4C3}"/>
              </a:ext>
            </a:extLst>
          </xdr:cNvPr>
          <xdr:cNvSpPr txBox="1"/>
        </xdr:nvSpPr>
        <xdr:spPr>
          <a:xfrm>
            <a:off x="11823820" y="11436106"/>
            <a:ext cx="556278" cy="2518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800"/>
              <a:t>2028</a:t>
            </a:r>
          </a:p>
        </xdr:txBody>
      </xdr:sp>
      <xdr:sp macro="" textlink="">
        <xdr:nvSpPr>
          <xdr:cNvPr id="48" name="Tekstvak 47">
            <a:extLst>
              <a:ext uri="{FF2B5EF4-FFF2-40B4-BE49-F238E27FC236}">
                <a16:creationId xmlns:a16="http://schemas.microsoft.com/office/drawing/2014/main" id="{733CD89A-AFDF-B170-D4C5-6A8128A98D35}"/>
              </a:ext>
            </a:extLst>
          </xdr:cNvPr>
          <xdr:cNvSpPr txBox="1"/>
        </xdr:nvSpPr>
        <xdr:spPr>
          <a:xfrm>
            <a:off x="12518048" y="11436106"/>
            <a:ext cx="548118" cy="2125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800"/>
              <a:t>2029</a:t>
            </a:r>
          </a:p>
        </xdr:txBody>
      </xdr:sp>
      <xdr:sp macro="" textlink="">
        <xdr:nvSpPr>
          <xdr:cNvPr id="49" name="Tekstvak 48">
            <a:extLst>
              <a:ext uri="{FF2B5EF4-FFF2-40B4-BE49-F238E27FC236}">
                <a16:creationId xmlns:a16="http://schemas.microsoft.com/office/drawing/2014/main" id="{FE5C6EBE-F277-BDA9-DF07-858959B569FA}"/>
              </a:ext>
            </a:extLst>
          </xdr:cNvPr>
          <xdr:cNvSpPr txBox="1"/>
        </xdr:nvSpPr>
        <xdr:spPr>
          <a:xfrm>
            <a:off x="13212274" y="11436106"/>
            <a:ext cx="558499" cy="232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800"/>
              <a:t>2030</a:t>
            </a:r>
          </a:p>
        </xdr:txBody>
      </xdr:sp>
      <xdr:sp macro="" textlink="">
        <xdr:nvSpPr>
          <xdr:cNvPr id="50" name="Tekstvak 49">
            <a:extLst>
              <a:ext uri="{FF2B5EF4-FFF2-40B4-BE49-F238E27FC236}">
                <a16:creationId xmlns:a16="http://schemas.microsoft.com/office/drawing/2014/main" id="{8777E504-21DE-B2F4-7FE8-E2A918AE0B66}"/>
              </a:ext>
            </a:extLst>
          </xdr:cNvPr>
          <xdr:cNvSpPr txBox="1"/>
        </xdr:nvSpPr>
        <xdr:spPr>
          <a:xfrm>
            <a:off x="13906500" y="11436106"/>
            <a:ext cx="587422" cy="2125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800"/>
              <a:t>2031</a:t>
            </a:r>
          </a:p>
        </xdr:txBody>
      </xdr:sp>
      <xdr:sp macro="" textlink="">
        <xdr:nvSpPr>
          <xdr:cNvPr id="51" name="Tekstvak 50">
            <a:extLst>
              <a:ext uri="{FF2B5EF4-FFF2-40B4-BE49-F238E27FC236}">
                <a16:creationId xmlns:a16="http://schemas.microsoft.com/office/drawing/2014/main" id="{20466B44-613F-9136-E469-8CFCD27CC7AA}"/>
              </a:ext>
            </a:extLst>
          </xdr:cNvPr>
          <xdr:cNvSpPr txBox="1"/>
        </xdr:nvSpPr>
        <xdr:spPr>
          <a:xfrm>
            <a:off x="14600725" y="11436106"/>
            <a:ext cx="505092" cy="2027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800"/>
              <a:t>2032</a:t>
            </a:r>
          </a:p>
        </xdr:txBody>
      </xdr:sp>
      <xdr:sp macro="" textlink="">
        <xdr:nvSpPr>
          <xdr:cNvPr id="52" name="Tekstvak 51">
            <a:extLst>
              <a:ext uri="{FF2B5EF4-FFF2-40B4-BE49-F238E27FC236}">
                <a16:creationId xmlns:a16="http://schemas.microsoft.com/office/drawing/2014/main" id="{4DEEC3D1-0E00-7A90-A6DD-60EB2F128695}"/>
              </a:ext>
            </a:extLst>
          </xdr:cNvPr>
          <xdr:cNvSpPr txBox="1"/>
        </xdr:nvSpPr>
        <xdr:spPr>
          <a:xfrm>
            <a:off x="15294952" y="11436107"/>
            <a:ext cx="534016" cy="1831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800"/>
              <a:t>2033</a:t>
            </a:r>
          </a:p>
        </xdr:txBody>
      </xdr:sp>
    </xdr:grpSp>
    <xdr:clientData/>
  </xdr:twoCellAnchor>
  <xdr:twoCellAnchor>
    <xdr:from>
      <xdr:col>4</xdr:col>
      <xdr:colOff>224117</xdr:colOff>
      <xdr:row>30</xdr:row>
      <xdr:rowOff>129668</xdr:rowOff>
    </xdr:from>
    <xdr:to>
      <xdr:col>11</xdr:col>
      <xdr:colOff>367393</xdr:colOff>
      <xdr:row>44</xdr:row>
      <xdr:rowOff>143275</xdr:rowOff>
    </xdr:to>
    <xdr:graphicFrame macro="">
      <xdr:nvGraphicFramePr>
        <xdr:cNvPr id="53" name="Grafiek 52">
          <a:extLst>
            <a:ext uri="{FF2B5EF4-FFF2-40B4-BE49-F238E27FC236}">
              <a16:creationId xmlns:a16="http://schemas.microsoft.com/office/drawing/2014/main" id="{0265BC97-414D-44BB-A5E0-14C0F090E6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7875</xdr:colOff>
      <xdr:row>30</xdr:row>
      <xdr:rowOff>123266</xdr:rowOff>
    </xdr:from>
    <xdr:to>
      <xdr:col>4</xdr:col>
      <xdr:colOff>123264</xdr:colOff>
      <xdr:row>44</xdr:row>
      <xdr:rowOff>130593</xdr:rowOff>
    </xdr:to>
    <xdr:graphicFrame macro="">
      <xdr:nvGraphicFramePr>
        <xdr:cNvPr id="70" name="Grafiek 69">
          <a:extLst>
            <a:ext uri="{FF2B5EF4-FFF2-40B4-BE49-F238E27FC236}">
              <a16:creationId xmlns:a16="http://schemas.microsoft.com/office/drawing/2014/main" id="{78B33D94-5BF4-414D-BF08-10531A9A48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802820</xdr:colOff>
      <xdr:row>15</xdr:row>
      <xdr:rowOff>87827</xdr:rowOff>
    </xdr:from>
    <xdr:to>
      <xdr:col>7</xdr:col>
      <xdr:colOff>1006927</xdr:colOff>
      <xdr:row>28</xdr:row>
      <xdr:rowOff>95250</xdr:rowOff>
    </xdr:to>
    <xdr:graphicFrame macro="">
      <xdr:nvGraphicFramePr>
        <xdr:cNvPr id="71" name="Grafiek 3">
          <a:extLst>
            <a:ext uri="{FF2B5EF4-FFF2-40B4-BE49-F238E27FC236}">
              <a16:creationId xmlns:a16="http://schemas.microsoft.com/office/drawing/2014/main" id="{76899656-B6B8-43C2-9500-2774F367F3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670993</xdr:colOff>
      <xdr:row>63</xdr:row>
      <xdr:rowOff>105281</xdr:rowOff>
    </xdr:from>
    <xdr:to>
      <xdr:col>8</xdr:col>
      <xdr:colOff>6883</xdr:colOff>
      <xdr:row>78</xdr:row>
      <xdr:rowOff>95362</xdr:rowOff>
    </xdr:to>
    <xdr:graphicFrame macro="">
      <xdr:nvGraphicFramePr>
        <xdr:cNvPr id="79" name="Grafiek 3">
          <a:extLst>
            <a:ext uri="{FF2B5EF4-FFF2-40B4-BE49-F238E27FC236}">
              <a16:creationId xmlns:a16="http://schemas.microsoft.com/office/drawing/2014/main" id="{508B1EF5-C24B-3551-FEF3-433FC352EF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27216</xdr:colOff>
      <xdr:row>15</xdr:row>
      <xdr:rowOff>97884</xdr:rowOff>
    </xdr:from>
    <xdr:to>
      <xdr:col>11</xdr:col>
      <xdr:colOff>557895</xdr:colOff>
      <xdr:row>28</xdr:row>
      <xdr:rowOff>81643</xdr:rowOff>
    </xdr:to>
    <xdr:graphicFrame macro="">
      <xdr:nvGraphicFramePr>
        <xdr:cNvPr id="81" name="Grafiek 1">
          <a:extLst>
            <a:ext uri="{FF2B5EF4-FFF2-40B4-BE49-F238E27FC236}">
              <a16:creationId xmlns:a16="http://schemas.microsoft.com/office/drawing/2014/main" id="{E0E681B6-24B3-4FB5-B009-E65967344A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15808</xdr:colOff>
      <xdr:row>85</xdr:row>
      <xdr:rowOff>166461</xdr:rowOff>
    </xdr:from>
    <xdr:to>
      <xdr:col>5</xdr:col>
      <xdr:colOff>176892</xdr:colOff>
      <xdr:row>99</xdr:row>
      <xdr:rowOff>1636</xdr:rowOff>
    </xdr:to>
    <xdr:grpSp>
      <xdr:nvGrpSpPr>
        <xdr:cNvPr id="17" name="Groep 5">
          <a:extLst>
            <a:ext uri="{FF2B5EF4-FFF2-40B4-BE49-F238E27FC236}">
              <a16:creationId xmlns:a16="http://schemas.microsoft.com/office/drawing/2014/main" id="{D49C65FA-EC4F-B052-CF0D-9CC446016054}"/>
            </a:ext>
          </a:extLst>
        </xdr:cNvPr>
        <xdr:cNvGrpSpPr/>
      </xdr:nvGrpSpPr>
      <xdr:grpSpPr>
        <a:xfrm>
          <a:off x="215039" y="22249380"/>
          <a:ext cx="7704091" cy="3219725"/>
          <a:chOff x="4445093" y="14967873"/>
          <a:chExt cx="9443357" cy="3094543"/>
        </a:xfrm>
      </xdr:grpSpPr>
      <xdr:graphicFrame macro="">
        <xdr:nvGraphicFramePr>
          <xdr:cNvPr id="18" name="Grafiek 57">
            <a:extLst>
              <a:ext uri="{FF2B5EF4-FFF2-40B4-BE49-F238E27FC236}">
                <a16:creationId xmlns:a16="http://schemas.microsoft.com/office/drawing/2014/main" id="{10D098FC-7317-4939-94A2-85E2D10343D6}"/>
              </a:ext>
            </a:extLst>
          </xdr:cNvPr>
          <xdr:cNvGraphicFramePr>
            <a:graphicFrameLocks/>
          </xdr:cNvGraphicFramePr>
        </xdr:nvGraphicFramePr>
        <xdr:xfrm>
          <a:off x="4445093" y="14967873"/>
          <a:ext cx="9443357" cy="3094543"/>
        </xdr:xfrm>
        <a:graphic>
          <a:graphicData uri="http://schemas.openxmlformats.org/drawingml/2006/chart">
            <c:chart xmlns:c="http://schemas.openxmlformats.org/drawingml/2006/chart" xmlns:r="http://schemas.openxmlformats.org/officeDocument/2006/relationships" r:id="rId9"/>
          </a:graphicData>
        </a:graphic>
      </xdr:graphicFrame>
      <xdr:sp macro="" textlink="Filters!C22">
        <xdr:nvSpPr>
          <xdr:cNvPr id="19" name="Tekstvak 4">
            <a:extLst>
              <a:ext uri="{FF2B5EF4-FFF2-40B4-BE49-F238E27FC236}">
                <a16:creationId xmlns:a16="http://schemas.microsoft.com/office/drawing/2014/main" id="{CA173699-42DC-25BD-73AA-EA47F2A1EAAA}"/>
              </a:ext>
            </a:extLst>
          </xdr:cNvPr>
          <xdr:cNvSpPr txBox="1"/>
        </xdr:nvSpPr>
        <xdr:spPr>
          <a:xfrm>
            <a:off x="5763532" y="15022285"/>
            <a:ext cx="6963191" cy="4399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0AF1F669-7815-426C-B84B-F8636F1ADBBD}" type="TxLink">
              <a:rPr lang="en-US" sz="900" b="0" i="0" u="none" strike="noStrike">
                <a:solidFill>
                  <a:srgbClr val="000000"/>
                </a:solidFill>
                <a:latin typeface="Nunito"/>
              </a:rPr>
              <a:pPr algn="ctr"/>
              <a:t>Ruwe schatting afname opbrengsten digitale zorg 2028 door niet halen huidige beleidsmaatregelen [miljoen euro]</a:t>
            </a:fld>
            <a:endParaRPr lang="nl-NL" sz="900"/>
          </a:p>
        </xdr:txBody>
      </xdr:sp>
    </xdr:grpSp>
    <xdr:clientData/>
  </xdr:twoCellAnchor>
  <xdr:twoCellAnchor>
    <xdr:from>
      <xdr:col>1</xdr:col>
      <xdr:colOff>45109</xdr:colOff>
      <xdr:row>103</xdr:row>
      <xdr:rowOff>125131</xdr:rowOff>
    </xdr:from>
    <xdr:to>
      <xdr:col>5</xdr:col>
      <xdr:colOff>180068</xdr:colOff>
      <xdr:row>118</xdr:row>
      <xdr:rowOff>7973</xdr:rowOff>
    </xdr:to>
    <xdr:grpSp>
      <xdr:nvGrpSpPr>
        <xdr:cNvPr id="7" name="Groep 6">
          <a:extLst>
            <a:ext uri="{FF2B5EF4-FFF2-40B4-BE49-F238E27FC236}">
              <a16:creationId xmlns:a16="http://schemas.microsoft.com/office/drawing/2014/main" id="{3C3AA2F9-2E21-1904-62AD-C3B6384EA413}"/>
            </a:ext>
          </a:extLst>
        </xdr:cNvPr>
        <xdr:cNvGrpSpPr/>
      </xdr:nvGrpSpPr>
      <xdr:grpSpPr>
        <a:xfrm>
          <a:off x="250690" y="26672894"/>
          <a:ext cx="7671616" cy="3103879"/>
          <a:chOff x="4427437" y="23167602"/>
          <a:chExt cx="7351547" cy="3061364"/>
        </a:xfrm>
      </xdr:grpSpPr>
      <xdr:graphicFrame macro="">
        <xdr:nvGraphicFramePr>
          <xdr:cNvPr id="3" name="Chart 2">
            <a:extLst>
              <a:ext uri="{FF2B5EF4-FFF2-40B4-BE49-F238E27FC236}">
                <a16:creationId xmlns:a16="http://schemas.microsoft.com/office/drawing/2014/main" id="{D54E0EF5-4469-4D1C-9347-4F07ABF34CFA}"/>
              </a:ext>
            </a:extLst>
          </xdr:cNvPr>
          <xdr:cNvGraphicFramePr>
            <a:graphicFrameLocks/>
          </xdr:cNvGraphicFramePr>
        </xdr:nvGraphicFramePr>
        <xdr:xfrm>
          <a:off x="4427437" y="23167602"/>
          <a:ext cx="7351547" cy="3061364"/>
        </xdr:xfrm>
        <a:graphic>
          <a:graphicData uri="http://schemas.openxmlformats.org/drawingml/2006/chart">
            <c:chart xmlns:c="http://schemas.openxmlformats.org/drawingml/2006/chart" xmlns:r="http://schemas.openxmlformats.org/officeDocument/2006/relationships" r:id="rId10"/>
          </a:graphicData>
        </a:graphic>
      </xdr:graphicFrame>
      <xdr:grpSp>
        <xdr:nvGrpSpPr>
          <xdr:cNvPr id="36" name="Groep 35">
            <a:extLst>
              <a:ext uri="{FF2B5EF4-FFF2-40B4-BE49-F238E27FC236}">
                <a16:creationId xmlns:a16="http://schemas.microsoft.com/office/drawing/2014/main" id="{BC916BF5-A515-5657-E905-8D67E69943AB}"/>
              </a:ext>
            </a:extLst>
          </xdr:cNvPr>
          <xdr:cNvGrpSpPr/>
        </xdr:nvGrpSpPr>
        <xdr:grpSpPr>
          <a:xfrm>
            <a:off x="10759430" y="23902322"/>
            <a:ext cx="616113" cy="1825556"/>
            <a:chOff x="22853293" y="11184532"/>
            <a:chExt cx="906213" cy="1819249"/>
          </a:xfrm>
        </xdr:grpSpPr>
        <xdr:cxnSp macro="">
          <xdr:nvCxnSpPr>
            <xdr:cNvPr id="9" name="Rechte verbindingslijn 8">
              <a:extLst>
                <a:ext uri="{FF2B5EF4-FFF2-40B4-BE49-F238E27FC236}">
                  <a16:creationId xmlns:a16="http://schemas.microsoft.com/office/drawing/2014/main" id="{85AF54ED-B3D6-4DA7-9C18-0B72C35D7AC1}"/>
                </a:ext>
              </a:extLst>
            </xdr:cNvPr>
            <xdr:cNvCxnSpPr/>
          </xdr:nvCxnSpPr>
          <xdr:spPr>
            <a:xfrm flipV="1">
              <a:off x="22853293" y="11186661"/>
              <a:ext cx="898696" cy="834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Rechte verbindingslijn 9">
              <a:extLst>
                <a:ext uri="{FF2B5EF4-FFF2-40B4-BE49-F238E27FC236}">
                  <a16:creationId xmlns:a16="http://schemas.microsoft.com/office/drawing/2014/main" id="{A3F34219-23E0-4244-A75E-AD3FEEA47422}"/>
                </a:ext>
              </a:extLst>
            </xdr:cNvPr>
            <xdr:cNvCxnSpPr/>
          </xdr:nvCxnSpPr>
          <xdr:spPr>
            <a:xfrm>
              <a:off x="23755213" y="11184532"/>
              <a:ext cx="598" cy="1817968"/>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2" name="Rechte verbindingslijn met pijl 21">
              <a:extLst>
                <a:ext uri="{FF2B5EF4-FFF2-40B4-BE49-F238E27FC236}">
                  <a16:creationId xmlns:a16="http://schemas.microsoft.com/office/drawing/2014/main" id="{7AC1E3D7-44F2-4031-8466-5C8E9FCA4FD6}"/>
                </a:ext>
              </a:extLst>
            </xdr:cNvPr>
            <xdr:cNvCxnSpPr/>
          </xdr:nvCxnSpPr>
          <xdr:spPr>
            <a:xfrm flipH="1">
              <a:off x="23157675" y="13001111"/>
              <a:ext cx="601831" cy="26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Filters!C23">
        <xdr:nvSpPr>
          <xdr:cNvPr id="12" name="Tekstvak 11">
            <a:extLst>
              <a:ext uri="{FF2B5EF4-FFF2-40B4-BE49-F238E27FC236}">
                <a16:creationId xmlns:a16="http://schemas.microsoft.com/office/drawing/2014/main" id="{25D687DE-C51C-41D6-A03C-2518D57ED4CC}"/>
              </a:ext>
            </a:extLst>
          </xdr:cNvPr>
          <xdr:cNvSpPr txBox="1"/>
        </xdr:nvSpPr>
        <xdr:spPr>
          <a:xfrm>
            <a:off x="5275950" y="23310137"/>
            <a:ext cx="6262021" cy="3339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AC5BD29-3BE3-45A9-8E32-277C0F0481E0}" type="TxLink">
              <a:rPr lang="en-US" sz="900" b="0" i="0" u="none" strike="noStrike">
                <a:solidFill>
                  <a:srgbClr val="000000"/>
                </a:solidFill>
                <a:latin typeface="Nunito"/>
              </a:rPr>
              <a:pPr/>
              <a:t>Ruwe schatting mogelijke opbrengsten digitale zorg 2028 door behalen ambities gegevensuitwisseling [miljoen euro]</a:t>
            </a:fld>
            <a:endParaRPr lang="nl-NL" sz="900"/>
          </a:p>
        </xdr:txBody>
      </xdr:sp>
    </xdr:grpSp>
    <xdr:clientData/>
  </xdr:twoCellAnchor>
  <xdr:twoCellAnchor>
    <xdr:from>
      <xdr:col>4</xdr:col>
      <xdr:colOff>981409</xdr:colOff>
      <xdr:row>110</xdr:row>
      <xdr:rowOff>193369</xdr:rowOff>
    </xdr:from>
    <xdr:to>
      <xdr:col>5</xdr:col>
      <xdr:colOff>248642</xdr:colOff>
      <xdr:row>111</xdr:row>
      <xdr:rowOff>201652</xdr:rowOff>
    </xdr:to>
    <xdr:sp macro="" textlink="'A3 - Tabellen bij grafieken'!E70">
      <xdr:nvSpPr>
        <xdr:cNvPr id="2" name="Tekstvak 1">
          <a:extLst>
            <a:ext uri="{FF2B5EF4-FFF2-40B4-BE49-F238E27FC236}">
              <a16:creationId xmlns:a16="http://schemas.microsoft.com/office/drawing/2014/main" id="{CF983516-D86C-81C3-5C9C-415680D0D7A8}"/>
            </a:ext>
          </a:extLst>
        </xdr:cNvPr>
        <xdr:cNvSpPr txBox="1"/>
      </xdr:nvSpPr>
      <xdr:spPr>
        <a:xfrm>
          <a:off x="7722992" y="26969202"/>
          <a:ext cx="558400" cy="219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B4E07FC-A960-42E4-AAAC-762FFEC91A9D}" type="TxLink">
            <a:rPr lang="en-US" sz="800" b="0" i="0" u="none" strike="noStrike">
              <a:solidFill>
                <a:srgbClr val="000000"/>
              </a:solidFill>
              <a:latin typeface="Nunito"/>
            </a:rPr>
            <a:pPr/>
            <a:t>€ 100</a:t>
          </a:fld>
          <a:endParaRPr lang="nl-NL" sz="800"/>
        </a:p>
      </xdr:txBody>
    </xdr:sp>
    <xdr:clientData/>
  </xdr:twoCellAnchor>
  <xdr:twoCellAnchor>
    <xdr:from>
      <xdr:col>8</xdr:col>
      <xdr:colOff>107154</xdr:colOff>
      <xdr:row>63</xdr:row>
      <xdr:rowOff>95250</xdr:rowOff>
    </xdr:from>
    <xdr:to>
      <xdr:col>12</xdr:col>
      <xdr:colOff>420119</xdr:colOff>
      <xdr:row>78</xdr:row>
      <xdr:rowOff>81643</xdr:rowOff>
    </xdr:to>
    <xdr:grpSp>
      <xdr:nvGrpSpPr>
        <xdr:cNvPr id="8" name="Groep 7">
          <a:extLst>
            <a:ext uri="{FF2B5EF4-FFF2-40B4-BE49-F238E27FC236}">
              <a16:creationId xmlns:a16="http://schemas.microsoft.com/office/drawing/2014/main" id="{5F51EBD6-A4EA-2F04-1E48-8BA4B61E7D5B}"/>
            </a:ext>
          </a:extLst>
        </xdr:cNvPr>
        <xdr:cNvGrpSpPr/>
      </xdr:nvGrpSpPr>
      <xdr:grpSpPr>
        <a:xfrm>
          <a:off x="11176792" y="17240250"/>
          <a:ext cx="6245452" cy="3204256"/>
          <a:chOff x="11511641" y="14981464"/>
          <a:chExt cx="4721679" cy="3048000"/>
        </a:xfrm>
      </xdr:grpSpPr>
      <xdr:graphicFrame macro="">
        <xdr:nvGraphicFramePr>
          <xdr:cNvPr id="5" name="Grafiek 68">
            <a:extLst>
              <a:ext uri="{FF2B5EF4-FFF2-40B4-BE49-F238E27FC236}">
                <a16:creationId xmlns:a16="http://schemas.microsoft.com/office/drawing/2014/main" id="{C9F2792C-E9B0-485C-9DC3-904DE508C14E}"/>
              </a:ext>
            </a:extLst>
          </xdr:cNvPr>
          <xdr:cNvGraphicFramePr>
            <a:graphicFrameLocks/>
          </xdr:cNvGraphicFramePr>
        </xdr:nvGraphicFramePr>
        <xdr:xfrm>
          <a:off x="11511641" y="14981464"/>
          <a:ext cx="4721679" cy="3048000"/>
        </xdr:xfrm>
        <a:graphic>
          <a:graphicData uri="http://schemas.openxmlformats.org/drawingml/2006/chart">
            <c:chart xmlns:c="http://schemas.openxmlformats.org/drawingml/2006/chart" xmlns:r="http://schemas.openxmlformats.org/officeDocument/2006/relationships" r:id="rId11"/>
          </a:graphicData>
        </a:graphic>
      </xdr:graphicFrame>
      <xdr:sp macro="" textlink="Filters!C24">
        <xdr:nvSpPr>
          <xdr:cNvPr id="6" name="Tekstvak 5">
            <a:extLst>
              <a:ext uri="{FF2B5EF4-FFF2-40B4-BE49-F238E27FC236}">
                <a16:creationId xmlns:a16="http://schemas.microsoft.com/office/drawing/2014/main" id="{ACE02219-B2EA-CFEC-1005-D0AFE86ECCC6}"/>
              </a:ext>
            </a:extLst>
          </xdr:cNvPr>
          <xdr:cNvSpPr txBox="1"/>
        </xdr:nvSpPr>
        <xdr:spPr>
          <a:xfrm>
            <a:off x="12137571" y="15049499"/>
            <a:ext cx="3537857" cy="2585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688DDAD-5480-4C23-96DF-FC4DF3CD5FCB}" type="TxLink">
              <a:rPr lang="en-US" sz="900" b="0" i="0" u="none" strike="noStrike">
                <a:solidFill>
                  <a:srgbClr val="000000"/>
                </a:solidFill>
                <a:latin typeface="Nunito"/>
              </a:rPr>
              <a:pPr/>
              <a:t>Opbrengsten digitale zorgtoepassing in QALY's in 2028 [QALY's]</a:t>
            </a:fld>
            <a:endParaRPr lang="nl-NL" sz="900"/>
          </a:p>
        </xdr:txBody>
      </xdr:sp>
    </xdr:grpSp>
    <xdr:clientData/>
  </xdr:twoCellAnchor>
</xdr:wsDr>
</file>

<file path=xl/drawings/drawing2.xml><?xml version="1.0" encoding="utf-8"?>
<c:userShapes xmlns:c="http://schemas.openxmlformats.org/drawingml/2006/chart">
  <cdr:relSizeAnchor xmlns:cdr="http://schemas.openxmlformats.org/drawingml/2006/chartDrawing">
    <cdr:from>
      <cdr:x>0.30245</cdr:x>
      <cdr:y>0.02116</cdr:y>
    </cdr:from>
    <cdr:to>
      <cdr:x>0.71419</cdr:x>
      <cdr:y>0.11005</cdr:y>
    </cdr:to>
    <cdr:sp macro="" textlink="Filters!$C$20">
      <cdr:nvSpPr>
        <cdr:cNvPr id="2" name="Tekstvak 4">
          <a:extLst xmlns:a="http://schemas.openxmlformats.org/drawingml/2006/main">
            <a:ext uri="{FF2B5EF4-FFF2-40B4-BE49-F238E27FC236}">
              <a16:creationId xmlns:a16="http://schemas.microsoft.com/office/drawing/2014/main" id="{CA173699-42DC-25BD-73AA-EA47F2A1EAAA}"/>
            </a:ext>
          </a:extLst>
        </cdr:cNvPr>
        <cdr:cNvSpPr txBox="1"/>
      </cdr:nvSpPr>
      <cdr:spPr>
        <a:xfrm xmlns:a="http://schemas.openxmlformats.org/drawingml/2006/main">
          <a:off x="2159908" y="64407"/>
          <a:ext cx="2940459" cy="27049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47FDB21E-7AB2-4BAC-B7B6-35BDAA09239D}" type="TxLink">
            <a:rPr lang="en-US" sz="900" b="0" i="0" u="none" strike="noStrike">
              <a:solidFill>
                <a:srgbClr val="000000"/>
              </a:solidFill>
              <a:latin typeface="Nunito"/>
            </a:rPr>
            <a:pPr algn="ctr"/>
            <a:t>Mogelijke opbrengsten digitale zorg 2028 per veld [miljoen euro]</a:t>
          </a:fld>
          <a:endParaRPr lang="nl-NL" sz="900"/>
        </a:p>
      </cdr:txBody>
    </cdr:sp>
  </cdr:relSizeAnchor>
</c:userShapes>
</file>

<file path=xl/drawings/drawing3.xml><?xml version="1.0" encoding="utf-8"?>
<c:userShapes xmlns:c="http://schemas.openxmlformats.org/drawingml/2006/chart">
  <cdr:relSizeAnchor xmlns:cdr="http://schemas.openxmlformats.org/drawingml/2006/chartDrawing">
    <cdr:from>
      <cdr:x>0.20514</cdr:x>
      <cdr:y>0.0223</cdr:y>
    </cdr:from>
    <cdr:to>
      <cdr:x>0.8559</cdr:x>
      <cdr:y>0.11132</cdr:y>
    </cdr:to>
    <cdr:sp macro="" textlink="">
      <cdr:nvSpPr>
        <cdr:cNvPr id="2" name="Tekstvak 1">
          <a:extLst xmlns:a="http://schemas.openxmlformats.org/drawingml/2006/main">
            <a:ext uri="{FF2B5EF4-FFF2-40B4-BE49-F238E27FC236}">
              <a16:creationId xmlns:a16="http://schemas.microsoft.com/office/drawing/2014/main" id="{AE17F066-4F09-58F8-0287-168443ECEA39}"/>
            </a:ext>
          </a:extLst>
        </cdr:cNvPr>
        <cdr:cNvSpPr txBox="1"/>
      </cdr:nvSpPr>
      <cdr:spPr>
        <a:xfrm xmlns:a="http://schemas.openxmlformats.org/drawingml/2006/main">
          <a:off x="2415382" y="87501"/>
          <a:ext cx="7662333" cy="349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l-NL" sz="1100"/>
        </a:p>
      </cdr:txBody>
    </cdr:sp>
  </cdr:relSizeAnchor>
</c:userShapes>
</file>

<file path=xl/drawings/drawing4.xml><?xml version="1.0" encoding="utf-8"?>
<c:userShapes xmlns:c="http://schemas.openxmlformats.org/drawingml/2006/chart">
  <cdr:relSizeAnchor xmlns:cdr="http://schemas.openxmlformats.org/drawingml/2006/chartDrawing">
    <cdr:from>
      <cdr:x>0.20514</cdr:x>
      <cdr:y>0.0223</cdr:y>
    </cdr:from>
    <cdr:to>
      <cdr:x>0.8559</cdr:x>
      <cdr:y>0.11132</cdr:y>
    </cdr:to>
    <cdr:sp macro="" textlink="">
      <cdr:nvSpPr>
        <cdr:cNvPr id="2" name="Tekstvak 1">
          <a:extLst xmlns:a="http://schemas.openxmlformats.org/drawingml/2006/main">
            <a:ext uri="{FF2B5EF4-FFF2-40B4-BE49-F238E27FC236}">
              <a16:creationId xmlns:a16="http://schemas.microsoft.com/office/drawing/2014/main" id="{AE17F066-4F09-58F8-0287-168443ECEA39}"/>
            </a:ext>
          </a:extLst>
        </cdr:cNvPr>
        <cdr:cNvSpPr txBox="1"/>
      </cdr:nvSpPr>
      <cdr:spPr>
        <a:xfrm xmlns:a="http://schemas.openxmlformats.org/drawingml/2006/main">
          <a:off x="2415382" y="87501"/>
          <a:ext cx="7662333" cy="349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l-NL" sz="1100"/>
        </a:p>
      </cdr:txBody>
    </cdr:sp>
  </cdr:relSizeAnchor>
</c:userShapes>
</file>

<file path=xl/drawings/drawing5.xml><?xml version="1.0" encoding="utf-8"?>
<c:userShapes xmlns:c="http://schemas.openxmlformats.org/drawingml/2006/chart">
  <cdr:relSizeAnchor xmlns:cdr="http://schemas.openxmlformats.org/drawingml/2006/chartDrawing">
    <cdr:from>
      <cdr:x>0.24742</cdr:x>
      <cdr:y>0.00774</cdr:y>
    </cdr:from>
    <cdr:to>
      <cdr:x>0.73466</cdr:x>
      <cdr:y>0.09645</cdr:y>
    </cdr:to>
    <cdr:sp macro="" textlink="Filters!$C$21">
      <cdr:nvSpPr>
        <cdr:cNvPr id="2" name="Tekstvak 4">
          <a:extLst xmlns:a="http://schemas.openxmlformats.org/drawingml/2006/main">
            <a:ext uri="{FF2B5EF4-FFF2-40B4-BE49-F238E27FC236}">
              <a16:creationId xmlns:a16="http://schemas.microsoft.com/office/drawing/2014/main" id="{1755EB01-3540-4D4C-9727-5F00B0C6FFAF}"/>
            </a:ext>
          </a:extLst>
        </cdr:cNvPr>
        <cdr:cNvSpPr txBox="1"/>
      </cdr:nvSpPr>
      <cdr:spPr>
        <a:xfrm xmlns:a="http://schemas.openxmlformats.org/drawingml/2006/main">
          <a:off x="1493157" y="23586"/>
          <a:ext cx="2940459" cy="27049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4711E29B-5DD8-4E44-8C80-40B0D98B33DE}" type="TxLink">
            <a:rPr lang="en-US" sz="900" b="0" i="0" u="none" strike="noStrike">
              <a:solidFill>
                <a:srgbClr val="000000"/>
              </a:solidFill>
              <a:latin typeface="Nunito"/>
            </a:rPr>
            <a:pPr algn="ctr"/>
            <a:t>Totale opbrengsten digitale/hybride zorg in 2028 [miljoen euro]</a:t>
          </a:fld>
          <a:endParaRPr lang="nl-NL" sz="900"/>
        </a:p>
      </cdr:txBody>
    </cdr:sp>
  </cdr:relSizeAnchor>
</c:userShapes>
</file>

<file path=xl/drawings/drawing6.xml><?xml version="1.0" encoding="utf-8"?>
<xdr:wsDr xmlns:xdr="http://schemas.openxmlformats.org/drawingml/2006/spreadsheetDrawing" xmlns:a="http://schemas.openxmlformats.org/drawingml/2006/main">
  <xdr:twoCellAnchor>
    <xdr:from>
      <xdr:col>7</xdr:col>
      <xdr:colOff>875504</xdr:colOff>
      <xdr:row>32</xdr:row>
      <xdr:rowOff>185493</xdr:rowOff>
    </xdr:from>
    <xdr:to>
      <xdr:col>12</xdr:col>
      <xdr:colOff>299358</xdr:colOff>
      <xdr:row>48</xdr:row>
      <xdr:rowOff>43842</xdr:rowOff>
    </xdr:to>
    <xdr:graphicFrame macro="">
      <xdr:nvGraphicFramePr>
        <xdr:cNvPr id="2" name="Grafiek 1">
          <a:extLst>
            <a:ext uri="{FF2B5EF4-FFF2-40B4-BE49-F238E27FC236}">
              <a16:creationId xmlns:a16="http://schemas.microsoft.com/office/drawing/2014/main" id="{E57EC721-AC6A-4387-A423-A4E48CFDDE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1804626</xdr:colOff>
      <xdr:row>33</xdr:row>
      <xdr:rowOff>203906</xdr:rowOff>
    </xdr:from>
    <xdr:to>
      <xdr:col>7</xdr:col>
      <xdr:colOff>654414</xdr:colOff>
      <xdr:row>49</xdr:row>
      <xdr:rowOff>185133</xdr:rowOff>
    </xdr:to>
    <xdr:grpSp>
      <xdr:nvGrpSpPr>
        <xdr:cNvPr id="24" name="Groep 182">
          <a:extLst>
            <a:ext uri="{FF2B5EF4-FFF2-40B4-BE49-F238E27FC236}">
              <a16:creationId xmlns:a16="http://schemas.microsoft.com/office/drawing/2014/main" id="{BAC14C38-7184-DE16-7197-E3901AEF73F5}"/>
            </a:ext>
          </a:extLst>
        </xdr:cNvPr>
        <xdr:cNvGrpSpPr/>
      </xdr:nvGrpSpPr>
      <xdr:grpSpPr>
        <a:xfrm>
          <a:off x="4694670" y="8582731"/>
          <a:ext cx="5523638" cy="3410227"/>
          <a:chOff x="1011671" y="3822415"/>
          <a:chExt cx="5259242" cy="2976253"/>
        </a:xfrm>
      </xdr:grpSpPr>
      <xdr:graphicFrame macro="">
        <xdr:nvGraphicFramePr>
          <xdr:cNvPr id="25" name="Grafiek 177">
            <a:extLst>
              <a:ext uri="{FF2B5EF4-FFF2-40B4-BE49-F238E27FC236}">
                <a16:creationId xmlns:a16="http://schemas.microsoft.com/office/drawing/2014/main" id="{64DFC52B-BE7D-FC9C-D7AA-0E9C5C5EF26D}"/>
              </a:ext>
            </a:extLst>
          </xdr:cNvPr>
          <xdr:cNvGraphicFramePr/>
        </xdr:nvGraphicFramePr>
        <xdr:xfrm>
          <a:off x="1011671" y="3822415"/>
          <a:ext cx="5259242" cy="2976253"/>
        </xdr:xfrm>
        <a:graphic>
          <a:graphicData uri="http://schemas.openxmlformats.org/drawingml/2006/chart">
            <c:chart xmlns:c="http://schemas.openxmlformats.org/drawingml/2006/chart" xmlns:r="http://schemas.openxmlformats.org/officeDocument/2006/relationships" r:id="rId2"/>
          </a:graphicData>
        </a:graphic>
      </xdr:graphicFrame>
      <xdr:sp macro="" textlink="Filters!C18">
        <xdr:nvSpPr>
          <xdr:cNvPr id="26" name="Tekstvak 179">
            <a:extLst>
              <a:ext uri="{FF2B5EF4-FFF2-40B4-BE49-F238E27FC236}">
                <a16:creationId xmlns:a16="http://schemas.microsoft.com/office/drawing/2014/main" id="{A825367F-3F36-1F6E-C44D-6F48A4E36685}"/>
              </a:ext>
            </a:extLst>
          </xdr:cNvPr>
          <xdr:cNvSpPr txBox="1"/>
        </xdr:nvSpPr>
        <xdr:spPr>
          <a:xfrm>
            <a:off x="1550542" y="3900867"/>
            <a:ext cx="4719326" cy="2529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tlCol="0" anchor="t"/>
          <a:lstStyle/>
          <a:p>
            <a:fld id="{06CC6884-1F22-4E7A-BA35-A299D7979661}" type="TxLink">
              <a:rPr lang="en-US" sz="900" b="0" i="0" u="none" strike="noStrike">
                <a:solidFill>
                  <a:srgbClr val="000000"/>
                </a:solidFill>
                <a:latin typeface="Nunito"/>
              </a:rPr>
              <a:pPr/>
              <a:t>Opbrengsten in 2028 voor het veld Digitale hulpmiddelen - Verpleging [miljoen euro]</a:t>
            </a:fld>
            <a:endParaRPr lang="nl-NL" sz="900">
              <a:solidFill>
                <a:schemeClr val="accent2"/>
              </a:solidFill>
            </a:endParaRPr>
          </a:p>
        </xdr:txBody>
      </xdr:sp>
    </xdr:grpSp>
    <xdr:clientData/>
  </xdr:twoCellAnchor>
  <xdr:twoCellAnchor>
    <xdr:from>
      <xdr:col>1</xdr:col>
      <xdr:colOff>1809751</xdr:colOff>
      <xdr:row>52</xdr:row>
      <xdr:rowOff>68036</xdr:rowOff>
    </xdr:from>
    <xdr:to>
      <xdr:col>8</xdr:col>
      <xdr:colOff>385804</xdr:colOff>
      <xdr:row>86</xdr:row>
      <xdr:rowOff>91727</xdr:rowOff>
    </xdr:to>
    <xdr:graphicFrame macro="">
      <xdr:nvGraphicFramePr>
        <xdr:cNvPr id="3" name="Grafiek 2">
          <a:extLst>
            <a:ext uri="{FF2B5EF4-FFF2-40B4-BE49-F238E27FC236}">
              <a16:creationId xmlns:a16="http://schemas.microsoft.com/office/drawing/2014/main" id="{C1320A3C-BC0A-4C0B-9FEB-68A3B1F3B8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0.20514</cdr:x>
      <cdr:y>0.0223</cdr:y>
    </cdr:from>
    <cdr:to>
      <cdr:x>0.8559</cdr:x>
      <cdr:y>0.11132</cdr:y>
    </cdr:to>
    <cdr:sp macro="" textlink="">
      <cdr:nvSpPr>
        <cdr:cNvPr id="2" name="Tekstvak 1">
          <a:extLst xmlns:a="http://schemas.openxmlformats.org/drawingml/2006/main">
            <a:ext uri="{FF2B5EF4-FFF2-40B4-BE49-F238E27FC236}">
              <a16:creationId xmlns:a16="http://schemas.microsoft.com/office/drawing/2014/main" id="{AE17F066-4F09-58F8-0287-168443ECEA39}"/>
            </a:ext>
          </a:extLst>
        </cdr:cNvPr>
        <cdr:cNvSpPr txBox="1"/>
      </cdr:nvSpPr>
      <cdr:spPr>
        <a:xfrm xmlns:a="http://schemas.openxmlformats.org/drawingml/2006/main">
          <a:off x="2415382" y="87501"/>
          <a:ext cx="7662333" cy="349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l-NL" sz="1100"/>
        </a:p>
      </cdr:txBody>
    </cdr:sp>
  </cdr:relSizeAnchor>
</c:userShapes>
</file>

<file path=xl/drawings/drawing8.xml><?xml version="1.0" encoding="utf-8"?>
<xdr:wsDr xmlns:xdr="http://schemas.openxmlformats.org/drawingml/2006/spreadsheetDrawing" xmlns:a="http://schemas.openxmlformats.org/drawingml/2006/main">
  <xdr:twoCellAnchor>
    <xdr:from>
      <xdr:col>5</xdr:col>
      <xdr:colOff>467179</xdr:colOff>
      <xdr:row>3</xdr:row>
      <xdr:rowOff>290287</xdr:rowOff>
    </xdr:from>
    <xdr:to>
      <xdr:col>10</xdr:col>
      <xdr:colOff>1098779</xdr:colOff>
      <xdr:row>17</xdr:row>
      <xdr:rowOff>39461</xdr:rowOff>
    </xdr:to>
    <xdr:graphicFrame macro="">
      <xdr:nvGraphicFramePr>
        <xdr:cNvPr id="4" name="Grafiek 2">
          <a:extLst>
            <a:ext uri="{FF2B5EF4-FFF2-40B4-BE49-F238E27FC236}">
              <a16:creationId xmlns:a16="http://schemas.microsoft.com/office/drawing/2014/main" id="{D7AD6323-A8B7-4FE1-8725-A0A81508D5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63500</xdr:colOff>
      <xdr:row>3</xdr:row>
      <xdr:rowOff>201084</xdr:rowOff>
    </xdr:from>
    <xdr:to>
      <xdr:col>5</xdr:col>
      <xdr:colOff>359051</xdr:colOff>
      <xdr:row>4</xdr:row>
      <xdr:rowOff>869621</xdr:rowOff>
    </xdr:to>
    <xdr:pic>
      <xdr:nvPicPr>
        <xdr:cNvPr id="2" name="Afbeelding 1">
          <a:extLst>
            <a:ext uri="{FF2B5EF4-FFF2-40B4-BE49-F238E27FC236}">
              <a16:creationId xmlns:a16="http://schemas.microsoft.com/office/drawing/2014/main" id="{4F7672E2-2642-5516-B6C0-EFD0C5C18C3E}"/>
            </a:ext>
          </a:extLst>
        </xdr:cNvPr>
        <xdr:cNvPicPr>
          <a:picLocks noChangeAspect="1"/>
        </xdr:cNvPicPr>
      </xdr:nvPicPr>
      <xdr:blipFill>
        <a:blip xmlns:r="http://schemas.openxmlformats.org/officeDocument/2006/relationships" r:embed="rId1"/>
        <a:stretch>
          <a:fillRect/>
        </a:stretch>
      </xdr:blipFill>
      <xdr:spPr>
        <a:xfrm>
          <a:off x="7757583" y="201084"/>
          <a:ext cx="4397023" cy="8770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sirm.sharepoint.com/project2313/Analyse/Kwantitatief/Excel%20bewerkingen/Oud/VWS%20-%20Digitalisering%20van%20zorg%20-%20Model%20-%20versie%20voor%20herordening.xlsx" TargetMode="External"/><Relationship Id="rId2" Type="http://schemas.microsoft.com/office/2019/04/relationships/externalLinkLongPath" Target="/Users/MarieHiemstra(SiRM)/SiRM%20Group%20B.V/2313%20VWS%20-%20Digitalisering%20van%20zorg%20-%20Analyse/Kwantitatief/Excel%20bewerkingen/Oud/VWS%20-%20Digitalisering%20van%20zorg%20-%20Model%20-%20versie%20voor%20herordening.xlsx?C36C67C1" TargetMode="External"/><Relationship Id="rId1" Type="http://schemas.openxmlformats.org/officeDocument/2006/relationships/externalLinkPath" Target="file:///\\C36C67C1\VWS%20-%20Digitalisering%20van%20zorg%20-%20Model%20-%20versie%20voor%20herorden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Opbouw model (info SiRM)"/>
      <sheetName val="Inventarisatie onderdelen"/>
      <sheetName val="Opbouw model"/>
      <sheetName val="A1 Resultaten algemeen"/>
      <sheetName val="A2 Resultaten gegevensuitwissel"/>
      <sheetName val="B1 Aannames - toepasbaarheid"/>
      <sheetName val="B2 Aannames - factoren"/>
      <sheetName val="B3 - Aannames - QALY"/>
      <sheetName val="B4 - Aannames - implementatie"/>
      <sheetName val="B5 - Aannames - overig"/>
      <sheetName val="B6 - Aannames gegevensuitwissel"/>
      <sheetName val="B7 - Aannames - Zorggebruik"/>
      <sheetName val="C1 Gegevens - technologieën"/>
      <sheetName val="C2 Gegevens - prev, inc"/>
      <sheetName val="Tussenuitkomsten - per doelgr."/>
      <sheetName val="Tussenuitkomsten - per techn."/>
      <sheetName val="Schatting kosten"/>
      <sheetName val="D1 Berekening - Patiëntaantal"/>
      <sheetName val="D2 Berekening - Impact"/>
      <sheetName val="D3 Berekening - Kosten"/>
      <sheetName val="D4 Berekening - Implementatie"/>
      <sheetName val="Blad2"/>
      <sheetName val="D5 - Uitkomsten per veld"/>
      <sheetName val="D6 - Uitkomsten tov 2023"/>
      <sheetName val="D7 - Uitkomsten per technologie"/>
      <sheetName val="D8 - Impact gegevensuitwissel"/>
      <sheetName val="Blad1"/>
      <sheetName val="VWS - Digitalisering van zorg -"/>
    </sheetNames>
    <sheetDataSet>
      <sheetData sheetId="0"/>
      <sheetData sheetId="1"/>
      <sheetData sheetId="2"/>
      <sheetData sheetId="3"/>
      <sheetData sheetId="4"/>
      <sheetData sheetId="5"/>
      <sheetData sheetId="6"/>
      <sheetData sheetId="7"/>
      <sheetData sheetId="8"/>
      <sheetData sheetId="9"/>
      <sheetData sheetId="10">
        <row r="3">
          <cell r="A3" t="str">
            <v>Niet</v>
          </cell>
          <cell r="B3">
            <v>1</v>
          </cell>
        </row>
        <row r="4">
          <cell r="A4" t="str">
            <v>Laag</v>
          </cell>
          <cell r="B4">
            <v>1.1499999999999999</v>
          </cell>
        </row>
        <row r="5">
          <cell r="A5" t="str">
            <v>Midden</v>
          </cell>
          <cell r="B5">
            <v>1.3</v>
          </cell>
        </row>
        <row r="6">
          <cell r="A6" t="str">
            <v>Hoog</v>
          </cell>
          <cell r="B6">
            <v>1.45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Aangepaste aannames" id="{12E7C537-20CA-4784-A4B4-F69F42158F4F}">
    <nsvFilter filterId="{160EE5FC-A1FB-4069-9AE4-EE177DE430E3}" ref="A4:E9" tableId="1"/>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8AE0F24-6303-4343-8454-F45C57B86622}" name="Tabel16" displayName="Tabel16" ref="A74:F106" totalsRowShown="0" headerRowDxfId="414" dataDxfId="413">
  <autoFilter ref="A74:F106" xr:uid="{B8AE0F24-6303-4343-8454-F45C57B86622}"/>
  <tableColumns count="6">
    <tableColumn id="6" xr3:uid="{821BF6B8-0D8B-48A8-91BB-EED0233EA965}" name="Veld" dataDxfId="412">
      <calculatedColumnFormula>INDEX(Technologieën[Veld],MATCH(Tabel16[[#This Row],[Digitale zorgtoepassing]],Technologieën[Digitale zorgtoepassing],0))</calculatedColumnFormula>
    </tableColumn>
    <tableColumn id="1" xr3:uid="{E9AAF0D9-1085-4D2A-820C-EDD381042B08}" name="Digitale zorgtoepassing" dataDxfId="411"/>
    <tableColumn id="2" xr3:uid="{F8BE770C-DCBA-4646-99C0-009262E433FF}" name="Totaal potentieel bij opschaling en brede inzet" dataDxfId="410">
      <calculatedColumnFormula>(INDEX(Uitkomsten_per_tech[Gemiddelde totale jaarlijkse arbeidsbesparing (€)],MATCH(B75,Uitkomsten_per_tech[Digitale zorgtoepassing],0))+INDEX(Uitkomsten_per_tech[Gemiddelde overige jaarlijkse kostenbesparing (€)],MATCH(B75,Uitkomsten_per_tech[Digitale zorgtoepassing],0)))/1000000</calculatedColumnFormula>
    </tableColumn>
    <tableColumn id="3" xr3:uid="{BC4BD967-563A-4381-B520-4A8D18A61A10}" name="Mogelijke opbrengsten in 2028" dataDxfId="409">
      <calculatedColumnFormula>(SUMIFS(uitkomst_tech[Arbeidsbesparing (€)],uitkomst_tech[Digitale zorgtoepassing],B75,uitkomst_tech[Uitgangssituatie/effect beleid],"Effect beleid",uitkomst_tech[Jaar],"2028")+SUMIFS(uitkomst_tech[Overige besparingen (€)],uitkomst_tech[Digitale zorgtoepassing],B75,uitkomst_tech[Uitgangssituatie/effect beleid],"Effect beleid",uitkomst_tech[Jaar],"2028"))/1000000</calculatedColumnFormula>
    </tableColumn>
    <tableColumn id="5" xr3:uid="{A5B0D88F-B415-4BB3-8D97-5B2B290BFA77}" name="Patiënten/verrichtingen" dataDxfId="408"/>
    <tableColumn id="4" xr3:uid="{D4E28BAE-892D-4E70-AE7D-9F72B6BD3197}" name="Aantal patiënten/verrichtingen in 2028" dataDxfId="407">
      <calculatedColumnFormula>MROUND(SUMIFS(uitkomst_tech[Patiëntaantallen],uitkomst_tech[Digitale zorgtoepassing],Tabel16[[#This Row],[Digitale zorgtoepassing]],uitkomst_tech[Uitgangssituatie/effect beleid],"Uitgangssituatie",uitkomst_tech[Jaar],"2028"),10000)</calculatedColumnFormula>
    </tableColumn>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1219876-9715-4157-BF6A-8308DFBBB3B4}" name="Technologieën" displayName="Technologieën" ref="A5:Y90" totalsRowShown="0" headerRowDxfId="323" dataDxfId="321" headerRowBorderDxfId="322">
  <autoFilter ref="A5:Y90" xr:uid="{71219876-9715-4157-BF6A-8308DFBBB3B4}"/>
  <tableColumns count="25">
    <tableColumn id="1" xr3:uid="{C7AAF754-3A32-443C-96EF-8F40869FE5EB}" name="Veld" dataDxfId="320"/>
    <tableColumn id="2" xr3:uid="{5261D779-9FA6-4E65-BFBA-EC43EF869C63}" name="Digitale zorgtoepassing" dataDxfId="319"/>
    <tableColumn id="3" xr3:uid="{7762B463-6AF0-411A-A8FE-85128C28B7DD}" name="Merknaam" dataDxfId="318"/>
    <tableColumn id="13" xr3:uid="{51439C03-47A6-4D11-8A52-BFFDA3481119}" name="Bronnummer" dataDxfId="317"/>
    <tableColumn id="32" xr3:uid="{83FADAFA-AE77-49EF-8AE0-DB33A7A31666}" name="Zoeksleutel bronnummer" dataDxfId="316">
      <calculatedColumnFormula>CONCATENATE(Technologieën[[#This Row],[Digitale zorgtoepassing]],"_",D6)</calculatedColumnFormula>
    </tableColumn>
    <tableColumn id="4" xr3:uid="{091B3ECD-D2B3-4BFC-B88D-88C3CC27FD65}" name="Toelichting" dataDxfId="315"/>
    <tableColumn id="5" xr3:uid="{004C0FE8-368F-4FF3-A868-1272C24C69FC}" name="Aandoening/diagnose" dataDxfId="314"/>
    <tableColumn id="37" xr3:uid="{F909F632-3BED-420A-BB5D-41445BFF917F}" name="Zorggebruik" dataDxfId="313"/>
    <tableColumn id="38" xr3:uid="{14FD4E09-2A33-4477-97AD-095CAD75DF89}" name="Zorgverlener" dataDxfId="312"/>
    <tableColumn id="40" xr3:uid="{A83CD67F-A357-43A2-9D12-80F73773A5C6}" name="Tijdsbesparing p. patiënt (min/week)" dataDxfId="311"/>
    <tableColumn id="11" xr3:uid="{B4B63CDC-E793-4944-A203-6F1FFD3CDE84}" name="Tijdsbesparing per handeling (min)" dataDxfId="310"/>
    <tableColumn id="12" xr3:uid="{02EEEF32-3F14-4B3E-A6C6-889BD25A7279}" name="Kostenbesparing p. patiënt door arbeidsbesparing (€/week)" dataDxfId="309"/>
    <tableColumn id="21" xr3:uid="{8F02CF57-BBAC-4CAD-9D8A-C8B0022B472F}" name="Kostenbesparing (personeel) per handeling (€)" dataDxfId="308"/>
    <tableColumn id="23" xr3:uid="{DF2F13DF-5059-4D6E-A1F9-FB826DECCC4D}" name="Jaarlijkse besparing zorgpersoneel (FTE)" dataDxfId="307"/>
    <tableColumn id="17" xr3:uid="{B04C2A3C-50F4-4331-A809-9D70D0A56E12}" name="Besparing overige kosten (€/jaar)" dataDxfId="306"/>
    <tableColumn id="36" xr3:uid="{CB9BCE29-3DBE-4690-81A5-41D2A1284DA9}" name="Besparing overige kosten (€/patiënt/jaar)" dataDxfId="305"/>
    <tableColumn id="26" xr3:uid="{A4573CF5-0A48-4FD4-B945-B896D3C5F25C}" name="Toelichting overige kostenbesparing" dataDxfId="304"/>
    <tableColumn id="18" xr3:uid="{FF860D78-7A8D-48CF-8DDD-CAC87B022200}" name="Kwaliteit" dataDxfId="303"/>
    <tableColumn id="39" xr3:uid="{1AFED277-D922-4434-9B32-941FC07A14A9}" name="QALY" dataDxfId="302"/>
    <tableColumn id="19" xr3:uid="{7791EE8A-8395-4711-9DEE-3A6722825BBC}" name="Initiële investering (p. patiënt)" dataDxfId="301"/>
    <tableColumn id="20" xr3:uid="{6191ECE2-9303-4E98-9F90-A3C9027691DF}" name="Initiële investering (p. organisatie)" dataDxfId="300"/>
    <tableColumn id="22" xr3:uid="{EF6706C2-E04B-46ED-80DC-C46157058AC3}" name="Jaarlijkse kosten (onafh. aantal patiënt/organisatie)" dataDxfId="299"/>
    <tableColumn id="24" xr3:uid="{A2158E1F-5174-4F87-80B7-71F88776B18C}" name="Jaarlijkse kosten p. patiënt" dataDxfId="298"/>
    <tableColumn id="25" xr3:uid="{C15C4607-A56B-4604-A2EF-A803F981E1A5}" name="Jaarlijkse kosten p. organisatie" dataDxfId="297"/>
    <tableColumn id="28" xr3:uid="{985329F1-9F9A-4B6E-8D90-5C64918BCBE9}" name="Bron" dataDxfId="296"/>
  </tableColumns>
  <tableStyleInfo name="TableStyleMedium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A07728F-A1E8-4196-86D4-FF8F1DF71F95}" name="Berekening_patiëntaantal" displayName="Berekening_patiëntaantal" ref="A4:R76" totalsRowShown="0" headerRowDxfId="295" dataDxfId="293" headerRowBorderDxfId="294">
  <autoFilter ref="A4:R76" xr:uid="{1A07728F-A1E8-4196-86D4-FF8F1DF71F95}"/>
  <tableColumns count="18">
    <tableColumn id="4" xr3:uid="{C627741C-B483-4A3C-AEBD-630AAF3E0B66}" name="Veld" dataDxfId="292" totalsRowDxfId="291">
      <calculatedColumnFormula>INDEX(Technologieën[Veld],MATCH(Berekening_patiëntaantal[[#This Row],[Digitale zorgtoepassing]],Technologieën[Digitale zorgtoepassing],0))</calculatedColumnFormula>
    </tableColumn>
    <tableColumn id="1" xr3:uid="{D2A7C752-80BD-4BBC-BFAE-2F6A75EFFDC1}" name="Digitale zorgtoepassing" dataDxfId="290" totalsRowDxfId="289"/>
    <tableColumn id="8" xr3:uid="{D02D76DB-5B96-47A1-ADC8-804588D391DC}" name="Hoofdgroep" dataDxfId="288" totalsRowDxfId="287"/>
    <tableColumn id="17" xr3:uid="{5C6A3398-CD5A-42F0-968C-DB83FB2BF98D}" name="Subgroep (optioneel)" dataDxfId="286" totalsRowDxfId="285"/>
    <tableColumn id="10" xr3:uid="{EF25FBBF-09D5-4946-8EC4-52CD9157FEF8}" name="Doelgroep (zoeksleutel)" dataDxfId="284" totalsRowDxfId="283"/>
    <tableColumn id="18" xr3:uid="{B201F22B-6BBD-458B-954C-3F3FA0BD3C42}" name="Zvw/Wlz" dataDxfId="282" totalsRowDxfId="281"/>
    <tableColumn id="2" xr3:uid="{A734CD45-B89F-48C2-B1B4-95416E21CBF9}" name="Percentage van patiëntaantallen in Wlz (overige is Zvw)" dataDxfId="280">
      <calculatedColumnFormula>IF(Berekening_patiëntaantal[[#This Row],[Zvw/Wlz]]="Zvw",0%,IF(Berekening_patiëntaantal[[#This Row],[Zvw/Wlz]]="Wlz",100%,IF(Berekening_patiëntaantal[[#This Row],[Zvw/Wlz]]="Thuiszorg ouderen: deels Wlz",'C3 Gegevens - overig'!$B$59,'C3 Gegevens - overig'!$B$60)))</calculatedColumnFormula>
    </tableColumn>
    <tableColumn id="9" xr3:uid="{39AC6771-A92A-4A09-A1E3-23142BCB00DF}" name="Direct toepasbaar/extrapolatie/incidentie voor QALY" dataDxfId="279" totalsRowDxfId="278"/>
    <tableColumn id="14" xr3:uid="{09F0165C-ADEC-490E-B057-69D33ADE163B}" name="Prevalentie" dataDxfId="277" totalsRowDxfId="276"/>
    <tableColumn id="13" xr3:uid="{CD20DC31-330E-4185-AA2D-9AFB4C8E3554}" name="Aandeel in subgroep" dataDxfId="275" totalsRowDxfId="274" dataCellStyle="Procent"/>
    <tableColumn id="15" xr3:uid="{8B2472A5-E4F7-47FE-B0A3-23C711FDE08E}" name="% in zorg" dataDxfId="273" totalsRowDxfId="272" dataCellStyle="Procent"/>
    <tableColumn id="16" xr3:uid="{39A70B83-CBD4-40A9-A90D-F9DFAED27813}" name="Toepasbaarheid op groep in zorg" dataDxfId="271" totalsRowDxfId="270" dataCellStyle="Procent"/>
    <tableColumn id="3" xr3:uid="{3A8D3443-4EA7-43AE-9D46-EB3995F89BA2}" name="Prevalentie/incidentie subgroep" dataDxfId="269" totalsRowDxfId="268">
      <calculatedColumnFormula>Berekening_patiëntaantal[[#This Row],[Prevalentie]]*Berekening_patiëntaantal[[#This Row],[Aandeel in subgroep]]</calculatedColumnFormula>
    </tableColumn>
    <tableColumn id="6" xr3:uid="{A0F10F41-F97E-4CDF-9A27-2F5E1E6CC93B}" name="% toepasbaar" dataDxfId="267" totalsRowDxfId="266">
      <calculatedColumnFormula>L5*K5</calculatedColumnFormula>
    </tableColumn>
    <tableColumn id="7" xr3:uid="{5F5AFA3E-C667-4E4D-B4D1-9707D81620BD}" name="Patiëntaantallen" dataDxfId="265" totalsRowDxfId="264">
      <calculatedColumnFormula>Berekening_patiëntaantal[[#This Row],[Prevalentie/incidentie subgroep]]*Berekening_patiëntaantal[[#This Row],[% toepasbaar]]</calculatedColumnFormula>
    </tableColumn>
    <tableColumn id="5" xr3:uid="{29853F86-627F-4A25-B5EA-4BD096F79187}" name="Patiëntaantallen Wlz" dataDxfId="263" totalsRowDxfId="262">
      <calculatedColumnFormula>Berekening_patiëntaantal[[#This Row],[Patiëntaantallen]]*Berekening_patiëntaantal[[#This Row],[Percentage van patiëntaantallen in Wlz (overige is Zvw)]]</calculatedColumnFormula>
    </tableColumn>
    <tableColumn id="11" xr3:uid="{56D20E2A-E51D-4C0C-A6F8-CA2F97A4D4C3}" name="Bron prevalentie/incidentie" dataDxfId="261" totalsRowDxfId="260"/>
    <tableColumn id="12" xr3:uid="{1415755A-B6CA-4D2B-A9BE-6856EC292334}" name="Bron/onderbouwing toepasbaarheid" dataDxfId="259" totalsRowDxfId="258"/>
  </tableColumns>
  <tableStyleInfo name="TableStyleMedium16"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13791D-9899-40F0-919D-D36E5C84FCED}" name="Uurloon" displayName="Uurloon" ref="A9:C28" totalsRowShown="0" headerRowDxfId="257" dataDxfId="256" tableBorderDxfId="255">
  <autoFilter ref="A9:C28" xr:uid="{0713791D-9899-40F0-919D-D36E5C84FCED}"/>
  <tableColumns count="3">
    <tableColumn id="1" xr3:uid="{2EF45F0E-9726-4204-80C8-474683935CE0}" name="Zorgverlener" dataDxfId="254"/>
    <tableColumn id="2" xr3:uid="{42A19F46-F893-43C2-A4DE-F8D5C6792FFC}" name="Uurtarief zorgpersoneel" dataDxfId="253"/>
    <tableColumn id="3" xr3:uid="{A86F7B91-730D-44A4-B094-C2D4EB9FABEB}" name="Bron/onderbouwing" dataDxfId="252"/>
  </tableColumns>
  <tableStyleInfo name="TableStyleMedium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C476B60-ED62-4D2E-B97A-19E53BFF64A7}" name="aantal_organisaties" displayName="aantal_organisaties" ref="A30:C40" totalsRowShown="0" headerRowBorderDxfId="251" tableBorderDxfId="250">
  <autoFilter ref="A30:C40" xr:uid="{9C476B60-ED62-4D2E-B97A-19E53BFF64A7}"/>
  <tableColumns count="3">
    <tableColumn id="1" xr3:uid="{B367BA4E-D0A5-4599-9219-2B6538AF3FE0}" name="Digitale zorgtoepassing" dataDxfId="249"/>
    <tableColumn id="2" xr3:uid="{4919CE06-1920-4247-9DD8-32CFA81A5922}" name="Aantal organisaties waarop toepasbaar" dataDxfId="248"/>
    <tableColumn id="3" xr3:uid="{2F39E77F-B1F7-46DD-9C99-0D89BAEB3732}" name="Bron/onderbouwing" dataDxfId="247"/>
  </tableColumns>
  <tableStyleInfo name="TableStyleMedium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5CD0AA29-2801-4DCC-AB45-7D7B655D63B7}" name="QALY" displayName="QALY" ref="A4:B5" totalsRowShown="0" dataDxfId="246">
  <autoFilter ref="A4:B5" xr:uid="{5CD0AA29-2801-4DCC-AB45-7D7B655D63B7}"/>
  <tableColumns count="2">
    <tableColumn id="1" xr3:uid="{CBF3BAD8-7276-4272-9ED2-303FC057548D}" name="Waarde gezond levensjaar" dataDxfId="245" dataCellStyle="Valuta"/>
    <tableColumn id="2" xr3:uid="{03DAEB70-6C18-4348-93F3-5E7BB5ECFDE5}" name="Onderbouwing" dataDxfId="244"/>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A9320B2-36F9-4BE6-A038-9ACC13B6BCFC}" name="Zorggebruik" displayName="Zorggebruik" ref="A42:I50" totalsRowShown="0" headerRowDxfId="243" dataDxfId="242" tableBorderDxfId="241">
  <autoFilter ref="A42:I50" xr:uid="{0A9320B2-36F9-4BE6-A038-9ACC13B6BCFC}"/>
  <tableColumns count="9">
    <tableColumn id="1" xr3:uid="{FB899A54-937B-4AD1-B7F3-DE6F1F92D5C5}" name="Zorggebruik" dataDxfId="240"/>
    <tableColumn id="2" xr3:uid="{405FD132-26DF-4A03-945F-0E626B463FB5}" name="Kosten zorggebruik totaal" dataDxfId="239"/>
    <tableColumn id="5" xr3:uid="{F863D99F-6C50-4789-935A-10A424D2A425}" name="Waarvan personeel" dataDxfId="238">
      <calculatedColumnFormula>((6/60)*116+(24/60)*38.55*1.39)/259</calculatedColumnFormula>
    </tableColumn>
    <tableColumn id="4" xr3:uid="{38133643-904D-443B-9D36-060DB2A1AA4F}" name="Waarvan anders" dataDxfId="237">
      <calculatedColumnFormula>100%-Zorggebruik[[#This Row],[Waarvan personeel]]</calculatedColumnFormula>
    </tableColumn>
    <tableColumn id="6" xr3:uid="{253C0DE2-0EA9-4163-B898-CDFCBFEE64BD}" name="Indirect personeel" dataDxfId="236"/>
    <tableColumn id="7" xr3:uid="{756583B0-C745-4900-858D-36F6842DF9E0}" name="Percentage kostenbesparing indirect personeel" dataDxfId="235" dataCellStyle="Valuta"/>
    <tableColumn id="9" xr3:uid="{7FD20C82-724E-4230-8B38-4FE2387A11D5}" name="Kostenbesparing indirect personeel" dataDxfId="234" dataCellStyle="Valuta">
      <calculatedColumnFormula>Zorggebruik[[#This Row],[Indirect personeel]]*Zorggebruik[[#This Row],[Percentage kostenbesparing indirect personeel]]</calculatedColumnFormula>
    </tableColumn>
    <tableColumn id="8" xr3:uid="{E6796471-3003-4E45-B81D-55D1251910A2}" name="Overige kosten" dataDxfId="233"/>
    <tableColumn id="3" xr3:uid="{CE2A3648-A62E-46E6-97D3-C5B169727902}" name="Bron/onderbouwing" dataDxfId="232"/>
  </tableColumns>
  <tableStyleInfo name="TableStyleMedium1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7323D9D-29B3-4C2F-BF49-EDFAD2B7BBA1}" name="uniforme_input" displayName="uniforme_input" ref="A6:AI151" totalsRowShown="0" headerRowDxfId="231" dataDxfId="230">
  <autoFilter ref="A6:AI151" xr:uid="{87323D9D-29B3-4C2F-BF49-EDFAD2B7BBA1}"/>
  <tableColumns count="35">
    <tableColumn id="36" xr3:uid="{0EE2A99F-3182-4377-AAF0-B2715B041B1D}" name="Veld" dataDxfId="229">
      <calculatedColumnFormula>INDEX(Technologieën[Veld],MATCH(G7,Technologieën[Zoeksleutel bronnummer],0))</calculatedColumnFormula>
    </tableColumn>
    <tableColumn id="1" xr3:uid="{A098D7ED-B4E3-4352-8BF7-8233DF61E0FC}" name="Digitale zorgtoepassing" dataDxfId="228"/>
    <tableColumn id="7" xr3:uid="{B49BCE40-AF62-46F4-BDCE-02427AF1C66A}" name="Bron gebruiken voor opbrengsten?" dataDxfId="227"/>
    <tableColumn id="8" xr3:uid="{519CE376-5C73-4ABD-AEE3-3216B156BC75}" name="Bron gebruiken voor kosten/investering?" dataDxfId="226"/>
    <tableColumn id="2" xr3:uid="{653C10CC-261C-4A8E-A554-4AAEE6F9E8DE}" name="Doelgroep" dataDxfId="225"/>
    <tableColumn id="3" xr3:uid="{7A5C6F49-084A-4FE5-8173-5792647A43FB}" name="Direct toepasbaar/extrapolatie/incidentie voor QALY" dataDxfId="224">
      <calculatedColumnFormula array="1">INDEX(Berekening_patiëntaantal[Direct toepasbaar/extrapolatie/incidentie voor QALY],MATCH(B7,IF(Berekening_patiëntaantal[Doelgroep (zoeksleutel)]=E7,Berekening_patiëntaantal[Digitale zorgtoepassing]),0))</calculatedColumnFormula>
    </tableColumn>
    <tableColumn id="4" xr3:uid="{0D5ADC3C-FC1A-4D03-B97E-A7F8956715F4}" name="Zoeksleutel bron" dataDxfId="223"/>
    <tableColumn id="5" xr3:uid="{D3F00DB9-FEB6-4BE6-AE1C-CE2AB342F378}" name="Zorgverlener" dataDxfId="222"/>
    <tableColumn id="17" xr3:uid="{CFF019CC-F6C9-4F21-A6A4-298E4D9F7482}" name="Uurtarief" dataDxfId="221">
      <calculatedColumnFormula>INDEX(Uurloon[Uurtarief zorgpersoneel],MATCH(H7,Uurloon[Zorgverlener],0))</calculatedColumnFormula>
    </tableColumn>
    <tableColumn id="18" xr3:uid="{34E1BC8E-8442-44CF-9154-00376694195A}" name="Patiëntaantallen" dataDxfId="220">
      <calculatedColumnFormula array="1">INDEX(Berekening_patiëntaantal[Patiëntaantallen],MATCH(B7,IF(Berekening_patiëntaantal[Doelgroep (zoeksleutel)]=E7,Berekening_patiëntaantal[Digitale zorgtoepassing]),0))</calculatedColumnFormula>
    </tableColumn>
    <tableColumn id="19" xr3:uid="{004F7E30-72AE-4F4D-92ED-59A321F9C5D2}" name="Aantal organisaties" dataDxfId="219">
      <calculatedColumnFormula>IFERROR(INDEX(aantal_organisaties[Aantal organisaties waarop toepasbaar],MATCH(B7,aantal_organisaties[Digitale zorgtoepassing],0)),0)</calculatedColumnFormula>
    </tableColumn>
    <tableColumn id="6" xr3:uid="{A6731953-8951-4161-B3F2-0A8348D530B9}" name="Aantal doelgroepen waarop toepasbaar" dataDxfId="218">
      <calculatedColumnFormula>COUNTIF(uniforme_input[Doelgroep],E7)</calculatedColumnFormula>
    </tableColumn>
    <tableColumn id="20" xr3:uid="{2F91EB2C-A68B-4FBC-9E53-4A20F08464D8}" name="Tijdsbesparing (min/week/patiënt) - gegeven" dataDxfId="217">
      <calculatedColumnFormula array="1">INDEX(Technologieën[Tijdsbesparing p. patiënt (min/week)],MATCH(B7,IF(Technologieën[Zoeksleutel bronnummer]=G7,Technologieën[Digitale zorgtoepassing]),0))</calculatedColumnFormula>
    </tableColumn>
    <tableColumn id="13" xr3:uid="{8BE6D8BF-7514-4E0F-BCDC-D104391C0BB7}" name="Tijdsbesparing (min/handeling) - gegeven" dataDxfId="216">
      <calculatedColumnFormula array="1">INDEX(Technologieën[Tijdsbesparing per handeling (min)],MATCH(B7,IF(Technologieën[Zoeksleutel bronnummer]=G7,Technologieën[Digitale zorgtoepassing]),0))</calculatedColumnFormula>
    </tableColumn>
    <tableColumn id="14" xr3:uid="{5D8AD91B-2A64-4708-ACB7-4B6976A5C130}" name="Overige kostenbesparing (€/jaar/patiënt) - gegeven" dataDxfId="215">
      <calculatedColumnFormula array="1">INDEX(Technologieën[Besparing overige kosten (€/patiënt/jaar)],MATCH(B7,IF(Technologieën[Zoeksleutel bronnummer]=G7,Technologieën[Digitale zorgtoepassing]),0))</calculatedColumnFormula>
    </tableColumn>
    <tableColumn id="15" xr3:uid="{F3FF2380-8761-4007-A1E2-34F4AF2BE047}" name="Kostenbesparing door arbeidsbesparing p. patiënt (€/week)" dataDxfId="214">
      <calculatedColumnFormula array="1">INDEX(Technologieën[Kostenbesparing p. patiënt door arbeidsbesparing (€/week)],MATCH(B7,IF(Technologieën[Zoeksleutel bronnummer]=G7,Technologieën[Digitale zorgtoepassing]),0))</calculatedColumnFormula>
    </tableColumn>
    <tableColumn id="16" xr3:uid="{3413B5C0-A402-4D27-8C9E-F3E78515FB25}" name="Kostenbesparing per handeling (€)" dataDxfId="213">
      <calculatedColumnFormula array="1">INDEX(Technologieën[Kostenbesparing (personeel) per handeling (€)],MATCH(B7,IF(Technologieën[Zoeksleutel bronnummer]=G7,Technologieën[Digitale zorgtoepassing]),0))</calculatedColumnFormula>
    </tableColumn>
    <tableColumn id="11" xr3:uid="{E39398E7-EC8A-4D7D-BB8E-0F5029888118}" name="Overige kostenbesparing (Totaal €/jaar)" dataDxfId="212">
      <calculatedColumnFormula array="1">INDEX(Technologieën[Besparing overige kosten (€/jaar)],MATCH(B7,IF(Technologieën[Zoeksleutel bronnummer]=G7,Technologieën[Digitale zorgtoepassing]),0))</calculatedColumnFormula>
    </tableColumn>
    <tableColumn id="12" xr3:uid="{74854462-B145-470D-BFB1-1B2983A5E92D}" name="Totaal arbeidsbesparing onafhankelijk van patiënt (FTE)" dataDxfId="211">
      <calculatedColumnFormula array="1">INDEX(Technologieën[Jaarlijkse besparing zorgpersoneel (FTE)],MATCH(B7,IF(Technologieën[Zoeksleutel bronnummer]=G7,Technologieën[Digitale zorgtoepassing]),0))</calculatedColumnFormula>
    </tableColumn>
    <tableColumn id="10" xr3:uid="{FAC65286-F706-4B0B-A34B-B7CC80B96D7F}" name="QALY per patiënt" dataDxfId="210">
      <calculatedColumnFormula array="1">(INDEX(Technologieën[QALY],MATCH(B7,IF(Technologieën[Zoeksleutel bronnummer]=G7,Technologieën[Digitale zorgtoepassing]),0)))</calculatedColumnFormula>
    </tableColumn>
    <tableColumn id="29" xr3:uid="{5AD9D12B-0943-41E5-AC4D-DD9C95CFF441}" name="Tijdsbesparing (min/week/patiënt) berekend" dataDxfId="209">
      <calculatedColumnFormula>(uniforme_input[[#This Row],[Kostenbesparing door arbeidsbesparing p. patiënt (€/week)]]/uniforme_input[[#This Row],[Uurtarief]]*60) + (uniforme_input[[#This Row],[Totaal arbeidsbesparing onafhankelijk van patiënt (FTE)]]*40*60)/uniforme_input[[#This Row],[Patiëntaantallen]]</calculatedColumnFormula>
    </tableColumn>
    <tableColumn id="30" xr3:uid="{C47D1136-71EA-454B-9444-312E61CEBC3C}" name="Tijdsbesparing (min/handeling) berekend" dataDxfId="208">
      <calculatedColumnFormula>(uniforme_input[[#This Row],[Kostenbesparing per handeling (€)]]/uniforme_input[[#This Row],[Uurtarief]])*60</calculatedColumnFormula>
    </tableColumn>
    <tableColumn id="31" xr3:uid="{1EAE8926-5770-4A6A-9B74-F916460DB788}" name="Overige kostenbesparing (€/jaar/patiënt) berekend" dataDxfId="207">
      <calculatedColumnFormula>uniforme_input[[#This Row],[Overige kostenbesparing (Totaal €/jaar)]]/uniforme_input[[#This Row],[Patiëntaantallen]]</calculatedColumnFormula>
    </tableColumn>
    <tableColumn id="26" xr3:uid="{13CAE5BB-659E-4E1C-A90F-FB062BCC9941}" name="Tijdsbesparing (min/week/patiënt)" dataDxfId="206">
      <calculatedColumnFormula>IF(uniforme_input[[#This Row],[Bron gebruiken voor opbrengsten?]]="Ja",uniforme_input[[#This Row],[Tijdsbesparing (min/week/patiënt) - gegeven]]+uniforme_input[[#This Row],[Tijdsbesparing (min/week/patiënt) berekend]],0)</calculatedColumnFormula>
    </tableColumn>
    <tableColumn id="27" xr3:uid="{5974F816-0BD6-42B8-A3BB-A25021EA8032}" name="Tijdsbesparing (min/handeling)" dataDxfId="205">
      <calculatedColumnFormula>IF(uniforme_input[[#This Row],[Bron gebruiken voor opbrengsten?]]="Ja",uniforme_input[[#This Row],[Tijdsbesparing (min/handeling) - gegeven]]+uniforme_input[[#This Row],[Tijdsbesparing (min/handeling) berekend]],0)</calculatedColumnFormula>
    </tableColumn>
    <tableColumn id="28" xr3:uid="{A9CBE1DE-083E-4D3D-8F12-4A058B11308A}" name="Overige kostenbesparing (€/jaar/patiënt)" dataDxfId="204">
      <calculatedColumnFormula>IF(uniforme_input[[#This Row],[Bron gebruiken voor opbrengsten?]]="Ja",uniforme_input[[#This Row],[Overige kostenbesparing (€/jaar/patiënt) - gegeven]]+uniforme_input[[#This Row],[Overige kostenbesparing (€/jaar/patiënt) berekend]],0)</calculatedColumnFormula>
    </tableColumn>
    <tableColumn id="23" xr3:uid="{8958A3A8-BF13-4442-8705-D78409FF53B6}" name="Jaarlijkse kosten per patiënt" dataDxfId="203">
      <calculatedColumnFormula array="1">INDEX(Technologieën[Jaarlijkse kosten p. patiënt],MATCH(B7,IF(Technologieën[Zoeksleutel bronnummer]=G7,Technologieën[Digitale zorgtoepassing]),0))</calculatedColumnFormula>
    </tableColumn>
    <tableColumn id="24" xr3:uid="{44566619-662B-4AF1-9408-83B19D86BDB8}" name="Jaarlijkse kosten per organisatie" dataDxfId="202">
      <calculatedColumnFormula array="1">INDEX(Technologieën[Jaarlijkse kosten p. organisatie],MATCH(B7,IF(Technologieën[Zoeksleutel bronnummer]=G7,Technologieën[Digitale zorgtoepassing]),0))/uniforme_input[[#This Row],[Aantal doelgroepen waarop toepasbaar]]</calculatedColumnFormula>
    </tableColumn>
    <tableColumn id="35" xr3:uid="{F42AD194-21C2-43C7-9070-E18F39481CEA}" name="Jaarlijkse kosten algemeen (onafhankelijk van patiënt/organisatie)" dataDxfId="201">
      <calculatedColumnFormula array="1">INDEX(Technologieën[Jaarlijkse kosten (onafh. aantal patiënt/organisatie)],MATCH(B7,IF(Technologieën[Zoeksleutel bronnummer]=G7,Technologieën[Digitale zorgtoepassing]),0))/uniforme_input[[#This Row],[Aantal doelgroepen waarop toepasbaar]]</calculatedColumnFormula>
    </tableColumn>
    <tableColumn id="25" xr3:uid="{D1C2101A-56C1-43AC-80B9-4E05D11F0857}" name="Initiële investering per patiënt" dataDxfId="200">
      <calculatedColumnFormula array="1">INDEX(Technologieën[Initiële investering (p. patiënt)],MATCH(B7,IF(Technologieën[Zoeksleutel bronnummer]=G7,Technologieën[Digitale zorgtoepassing]),0))</calculatedColumnFormula>
    </tableColumn>
    <tableColumn id="21" xr3:uid="{BC459E0E-7153-4AE5-B854-FAB4614BED6E}" name="Initiële investering per organisatie" dataDxfId="199">
      <calculatedColumnFormula array="1">INDEX(Technologieën[Initiële investering (p. organisatie)],MATCH(B7,IF(Technologieën[Zoeksleutel bronnummer]=G7,Technologieën[Digitale zorgtoepassing]),0))</calculatedColumnFormula>
    </tableColumn>
    <tableColumn id="22" xr3:uid="{94B9D902-F572-4BE6-B857-6834ED36385B}" name="Jaarlijkse kosten per patiënt berekend" dataDxfId="198">
      <calculatedColumnFormula>((uniforme_input[[#This Row],[Jaarlijkse kosten per organisatie]]*uniforme_input[[#This Row],[Aantal organisaties]])/uniforme_input[[#This Row],[Patiëntaantallen]])+(uniforme_input[[#This Row],[Jaarlijkse kosten algemeen (onafhankelijk van patiënt/organisatie)]]/uniforme_input[[#This Row],[Patiëntaantallen]])</calculatedColumnFormula>
    </tableColumn>
    <tableColumn id="9" xr3:uid="{01029057-FC12-4061-B4DC-CF8C6343DE76}" name="Initiële investering per patiënt berekend" dataDxfId="197">
      <calculatedColumnFormula>(uniforme_input[[#This Row],[Initiële investering per organisatie]]*uniforme_input[[#This Row],[Aantal organisaties]])/uniforme_input[[#This Row],[Patiëntaantallen]]</calculatedColumnFormula>
    </tableColumn>
    <tableColumn id="32" xr3:uid="{1DE70518-9476-442A-B00F-3673B122B550}" name="Jaarlijkse kosten per patiënt totaal" dataDxfId="196">
      <calculatedColumnFormula>IF(uniforme_input[[#This Row],[Bron gebruiken voor kosten/investering?]]="Ja",uniforme_input[[#This Row],[Jaarlijkse kosten per patiënt]] + uniforme_input[[#This Row],[Jaarlijkse kosten per patiënt berekend]],0)</calculatedColumnFormula>
    </tableColumn>
    <tableColumn id="33" xr3:uid="{4B12C59C-E80A-4BCC-AE79-854BE7F3F348}" name="Intiële investering per patiënt totaal" dataDxfId="195">
      <calculatedColumnFormula>IF(uniforme_input[[#This Row],[Bron gebruiken voor kosten/investering?]]="Ja",uniforme_input[[#This Row],[Initiële investering per patiënt]]+uniforme_input[[#This Row],[Initiële investering per patiënt berekend]],0)</calculatedColumnFormula>
    </tableColumn>
  </tableColumns>
  <tableStyleInfo name="TableStyleMedium1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7678247-A927-40DC-8A45-1D80AF468FAE}" name="Berekening_impact" displayName="Berekening_impact" ref="A5:AB69" totalsRowShown="0" headerRowDxfId="194" dataDxfId="193" tableBorderDxfId="192">
  <autoFilter ref="A5:AB69" xr:uid="{87678247-A927-40DC-8A45-1D80AF468FAE}"/>
  <tableColumns count="28">
    <tableColumn id="11" xr3:uid="{DA8C5BFA-1DE1-433A-BF9C-71CB110719AE}" name="Veld" dataDxfId="191" totalsRowDxfId="190">
      <calculatedColumnFormula>INDEX(Technologieën[Veld],MATCH(B6,Technologieën[Digitale zorgtoepassing],0))</calculatedColumnFormula>
    </tableColumn>
    <tableColumn id="12" xr3:uid="{BE434B82-BDA0-49EB-8486-579EECB67E8C}" name="Digitale zorgtoepassing" dataDxfId="189" totalsRowDxfId="188"/>
    <tableColumn id="9" xr3:uid="{A160CBAA-C583-47CF-861C-3FAEAC826C06}" name="Doelgroep" dataDxfId="187" totalsRowDxfId="186"/>
    <tableColumn id="20" xr3:uid="{E8CB99EB-A523-44EF-8394-BE3A2B0CEE4B}" name="Percentage van patiëntaantallen in Wlz (overige is Zvw)" dataDxfId="185" totalsRowDxfId="184" dataCellStyle="Procent">
      <calculatedColumnFormula array="1">INDEX(Berekening_patiëntaantal[Percentage van patiëntaantallen in Wlz (overige is Zvw)],MATCH(B6,IF(Berekening_patiëntaantal[Doelgroep (zoeksleutel)]=C6,Berekening_patiëntaantal[Digitale zorgtoepassing]),0))</calculatedColumnFormula>
    </tableColumn>
    <tableColumn id="4" xr3:uid="{975CFE05-5B5E-4875-B5F7-80367F1E0EC3}" name="Direct toepasbaar/extrapolatie/incidentie voor QALY" dataDxfId="183" totalsRowDxfId="182">
      <calculatedColumnFormula array="1">INDEX(Berekening_patiëntaantal[Direct toepasbaar/extrapolatie/incidentie voor QALY],MATCH(B6,IF(Berekening_patiëntaantal[Doelgroep (zoeksleutel)]=C6,Berekening_patiëntaantal[Digitale zorgtoepassing]),0))</calculatedColumnFormula>
    </tableColumn>
    <tableColumn id="2" xr3:uid="{11748BBB-7294-4E06-B76A-461F4976F5EB}" name="Zorgverlener" dataDxfId="181" totalsRowDxfId="180"/>
    <tableColumn id="19" xr3:uid="{C508DA58-5F1D-4E1B-AF17-8829BB288042}" name="Meenemen in patiëntaantal?" dataDxfId="179" totalsRowDxfId="178"/>
    <tableColumn id="3" xr3:uid="{DEF6751A-A644-4F75-A364-C05D3478FE42}" name="Uurtarief" dataDxfId="177" totalsRowDxfId="176">
      <calculatedColumnFormula>INDEX(Uurloon[Uurtarief zorgpersoneel],MATCH(F6,Uurloon[Zorgverlener],0))</calculatedColumnFormula>
    </tableColumn>
    <tableColumn id="18" xr3:uid="{2D205649-153A-4D8E-9549-EA9D08375F3B}" name="Patiëntaantal (direct toepasbaar/extrapolatie)" dataDxfId="175" dataCellStyle="Valuta">
      <calculatedColumnFormula>SUMIFS(Berekening_patiëntaantal[Patiëntaantallen],Berekening_patiëntaantal[Doelgroep (zoeksleutel)],C6,Berekening_patiëntaantal[Digitale zorgtoepassing],B6)</calculatedColumnFormula>
    </tableColumn>
    <tableColumn id="17" xr3:uid="{4E1B5E9C-5F86-4771-9ECC-0B1123097822}" name="Tijdsbesparing totaal potentieel (uur/week) - prevalentie" dataDxfId="174">
      <calculatedColumnFormula>IFERROR(AVERAGEIFS(uniforme_input[Tijdsbesparing (min/week/patiënt)],uniforme_input[Doelgroep],C6,uniforme_input[Digitale zorgtoepassing],B6,uniforme_input[Tijdsbesparing (min/week/patiënt)],"&gt; 0")*(Berekening_impact[[#This Row],[Patiëntaantal (direct toepasbaar/extrapolatie)]])/60,0)</calculatedColumnFormula>
    </tableColumn>
    <tableColumn id="23" xr3:uid="{A2D9A3BB-CDD8-4F92-85FC-964276ACF05D}" name="Tijdsbesparing totaal potentieel (uur/jaar) - incidentie" dataDxfId="173">
      <calculatedColumnFormula>IFERROR(AVERAGEIFS(uniforme_input[Tijdsbesparing (min/handeling)],uniforme_input[Doelgroep],C6,uniforme_input[Digitale zorgtoepassing],B6,uniforme_input[Tijdsbesparing (min/handeling)],"&gt; 0")*(Berekening_impact[[#This Row],[Patiëntaantal (direct toepasbaar/extrapolatie)]])/60,0)/52</calculatedColumnFormula>
    </tableColumn>
    <tableColumn id="25" xr3:uid="{2C166620-91E7-4906-ACEE-4CD33D5D3159}" name="Totaal arbeidsbesparing (FTE/jaar)" dataDxfId="172" totalsRowDxfId="171">
      <calculatedColumnFormula>($J6/40)+($K6/40)</calculatedColumnFormula>
    </tableColumn>
    <tableColumn id="7" xr3:uid="{F8246062-FFD0-4203-8F78-A4A2323357F7}" name="Totaal arbeidsbesparing (€/jaar)" dataDxfId="170" totalsRowDxfId="169">
      <calculatedColumnFormula>IF($J6*H6&gt;0,$J6*H6,K6*H6)*52</calculatedColumnFormula>
    </tableColumn>
    <tableColumn id="14" xr3:uid="{0F7D975A-1E9C-481C-A00E-F036A0F1ECE5}" name="Overige kostenbesparing (totaal/jaar totaal potentieel)" dataDxfId="168" totalsRowDxfId="167">
      <calculatedColumnFormula>IFERROR(AVERAGEIFS(uniforme_input[Overige kostenbesparing (€/jaar/patiënt)],uniforme_input[Doelgroep],C6,uniforme_input[Digitale zorgtoepassing],B6,uniforme_input[Overige kostenbesparing (€/jaar/patiënt)],"&gt;0")*Berekening_impact[[#This Row],[Patiëntaantal (direct toepasbaar/extrapolatie)]],0)</calculatedColumnFormula>
    </tableColumn>
    <tableColumn id="15" xr3:uid="{414AA4BC-6584-4873-B932-C2384353F313}" name="Opbrengsten door QALY's" dataDxfId="166" totalsRowDxfId="165">
      <calculatedColumnFormula array="1">IFERROR(AVERAGEIFS(uniforme_input[QALY per patiënt],uniforme_input[Doelgroep],C6,uniforme_input[Digitale zorgtoepassing],B6,uniforme_input[QALY per patiënt],"&gt;0")*Berekening_impact[[#This Row],[Patiëntaantal (direct toepasbaar/extrapolatie)]]*QALY[Waarde gezond levensjaar],0)</calculatedColumnFormula>
    </tableColumn>
    <tableColumn id="22" xr3:uid="{FB78CE58-4988-4CA5-89B7-FD2E0DDE46EE}" name="Jaarlijkse kosten (totaal)" dataDxfId="164">
      <calculatedColumnFormula>IFERROR((AVERAGEIFS(uniforme_input[Jaarlijkse kosten per patiënt totaal],uniforme_input[Digitale zorgtoepassing],B6,uniforme_input[Doelgroep],C6,uniforme_input[Bron gebruiken voor kosten/investering?],"Ja"))*I6,0)</calculatedColumnFormula>
    </tableColumn>
    <tableColumn id="1" xr3:uid="{E8DEF7FA-636B-442F-A9C2-A2BC2E5EB01F}" name="Jaarlijkse kosten (totaal) - incl. schatting" dataDxfId="163">
      <calculatedColumnFormula>Berekening_impact[[#This Row],[Jaarlijkse kosten (totaal)]]+Berekening_impact[[#This Row],[Schatting kosten (€)]]</calculatedColumnFormula>
    </tableColumn>
    <tableColumn id="24" xr3:uid="{1CEAB43D-9B8A-48E7-BEFC-3291545EA07F}" name="Initiële investering" dataDxfId="162">
      <calculatedColumnFormula>IFERROR((AVERAGEIFS(uniforme_input[Intiële investering per patiënt totaal],uniforme_input[Digitale zorgtoepassing],B6,uniforme_input[Doelgroep],C6,uniforme_input[Bron gebruiken voor kosten/investering?],"Ja",uniforme_input[Direct toepasbaar/extrapolatie/incidentie voor QALY],"&lt;&gt;Extrapolatie"))*I6,0)</calculatedColumnFormula>
    </tableColumn>
    <tableColumn id="13" xr3:uid="{BB90B7C1-3708-4BD0-B9CA-1732011BA087}" name="Initiële investering (totaal) - incl. schatting" dataDxfId="161" totalsRowDxfId="160">
      <calculatedColumnFormula>Berekening_impact[[#This Row],[Initiële investering]]+Berekening_impact[[#This Row],[Schatting investering (€)]]</calculatedColumnFormula>
    </tableColumn>
    <tableColumn id="5" xr3:uid="{76FE2417-7D76-4298-95EB-1D8BF23F9E1F}" name="Kosten schatten?" dataDxfId="159" totalsRowDxfId="158"/>
    <tableColumn id="6" xr3:uid="{E0905FB3-CEF0-4129-A04A-8191C54D2B97}" name="Investering schatten?" dataDxfId="157" totalsRowDxfId="156"/>
    <tableColumn id="8" xr3:uid="{CD2989F0-C22E-4F23-803D-E4C082889FF2}" name="Schatting kosten (€)" dataDxfId="155" totalsRowDxfId="154">
      <calculatedColumnFormula>IF(Berekening_impact[[#This Row],[Kosten schatten?]] = "Ja", (Berekening_impact[[#This Row],[Totaal arbeidsbesparing (€/jaar)]]+Berekening_impact[[#This Row],[Overige kostenbesparing (totaal/jaar totaal potentieel)]])*INDEX(schatting_kosten[Verhouding kosten/omzet],MATCH(A6,schatting_kosten[Veld],0)),0)</calculatedColumnFormula>
    </tableColumn>
    <tableColumn id="10" xr3:uid="{53FEF399-FB0B-4FCD-AD44-D6A5BF7A0C04}" name="Schatting investering (€)" dataDxfId="153" totalsRowDxfId="152">
      <calculatedColumnFormula>IF(Berekening_impact[[#This Row],[Investering schatten?]] = "Ja", (Berekening_impact[[#This Row],[Totaal arbeidsbesparing (€/jaar)]]+Berekening_impact[[#This Row],[Overige kostenbesparing (totaal/jaar totaal potentieel)]])*SUMIFS(schatting_investering[Verhouding investering/omzet],schatting_investering[Veld],"Alle velden"),0)</calculatedColumnFormula>
    </tableColumn>
    <tableColumn id="16" xr3:uid="{0651E207-7A4D-4B9E-B00E-10ED41BDAA4E}" name="Toepassing meenemen in schatting kosten?" dataDxfId="151" totalsRowDxfId="150"/>
    <tableColumn id="21" xr3:uid="{94640681-C1DC-4673-A04D-977C5E90F3C6}" name="Totaal arbeidsbesparing (€/jaar) - Wlz" dataDxfId="149" totalsRowDxfId="148">
      <calculatedColumnFormula>Berekening_impact[[#This Row],[Totaal arbeidsbesparing (€/jaar)]]*Berekening_impact[[#This Row],[Percentage van patiëntaantallen in Wlz (overige is Zvw)]]</calculatedColumnFormula>
    </tableColumn>
    <tableColumn id="26" xr3:uid="{9506B344-95B8-4916-83E0-5D52BDA76E26}" name="Overige kostenbesparing (totaal/jaar totaal potentieel) - Wlz" dataDxfId="147" totalsRowDxfId="146">
      <calculatedColumnFormula>Berekening_impact[[#This Row],[Overige kostenbesparing (totaal/jaar totaal potentieel)]]*Berekening_impact[[#This Row],[Percentage van patiëntaantallen in Wlz (overige is Zvw)]]</calculatedColumnFormula>
    </tableColumn>
    <tableColumn id="27" xr3:uid="{388CCE28-5D2E-4FA0-9350-7142642B5F2E}" name="Jaarlijkse kosten (totaal) - incl. schatting - Wlz" dataDxfId="145" totalsRowDxfId="144">
      <calculatedColumnFormula>Berekening_impact[[#This Row],[Jaarlijkse kosten (totaal) - incl. schatting]]*Berekening_impact[[#This Row],[Percentage van patiëntaantallen in Wlz (overige is Zvw)]]</calculatedColumnFormula>
    </tableColumn>
    <tableColumn id="28" xr3:uid="{8124254D-5225-4D41-82B8-2FD6B8E0245C}" name="Initiële investering (totaal) - incl. schatting - Wlz" dataDxfId="143" totalsRowDxfId="142">
      <calculatedColumnFormula>Berekening_impact[[#This Row],[Initiële investering (totaal) - incl. schatting]]*Berekening_impact[[#This Row],[Percentage van patiëntaantallen in Wlz (overige is Zvw)]]</calculatedColumnFormula>
    </tableColumn>
  </tableColumns>
  <tableStyleInfo name="TableStyleMedium16"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DA7EAF65-28B1-4721-B848-C4347FD8BC87}" name="Uitkomsten_per_tech" displayName="Uitkomsten_per_tech" ref="A5:K37" totalsRowShown="0" headerRowDxfId="141" dataDxfId="140">
  <autoFilter ref="A5:K37" xr:uid="{07D2C8BA-8DF6-4C28-AAB2-EA88C51033E2}"/>
  <tableColumns count="11">
    <tableColumn id="2" xr3:uid="{19EBA47D-68D9-4474-839B-55257B20481F}" name="Veld" dataDxfId="139">
      <calculatedColumnFormula>INDEX(Technologieën[Veld],MATCH(B6,Technologieën[Digitale zorgtoepassing],0))</calculatedColumnFormula>
    </tableColumn>
    <tableColumn id="1" xr3:uid="{EA45A737-B23D-4A25-A68B-191A0C0DF9B9}" name="Digitale zorgtoepassing" dataDxfId="138"/>
    <tableColumn id="14" xr3:uid="{702C9C99-0441-4E87-A93E-9440B4B6D541}" name="Aantal direct toepasbaar - totaal" dataDxfId="137">
      <calculatedColumnFormula>IF(SUMIFS(Berekening_patiëntaantal[Patiëntaantallen],Berekening_patiëntaantal[Digitale zorgtoepassing],B6,Berekening_patiëntaantal[Direct toepasbaar/extrapolatie/incidentie voor QALY],"Huidige toepassing") &lt;&gt;999999,SUMIFS(Berekening_patiëntaantal[Patiëntaantallen],Berekening_patiëntaantal[Digitale zorgtoepassing],B6,Berekening_patiëntaantal[Direct toepasbaar/extrapolatie/incidentie voor QALY],"Huidige toepassing"),"NVT")</calculatedColumnFormula>
    </tableColumn>
    <tableColumn id="15" xr3:uid="{83177262-B3CD-4A21-AE18-56089B08B40C}" name="Aantal extrapolatie" dataDxfId="136">
      <calculatedColumnFormula>SUMIFS(Berekening_patiëntaantal[Patiëntaantallen],Berekening_patiëntaantal[Digitale zorgtoepassing],B6,Berekening_patiëntaantal[Direct toepasbaar/extrapolatie/incidentie voor QALY],"Extrapolatie")</calculatedColumnFormula>
    </tableColumn>
    <tableColumn id="3" xr3:uid="{25D1AFBC-58A4-4DBC-B181-3E47800DEA23}" name="Aantal patiënten/verrichtingen totaal (afgerond op honderdduizend)" dataDxfId="135">
      <calculatedColumnFormula>IFERROR(MROUND(Uitkomsten_per_tech[[#This Row],[Aantal direct toepasbaar - totaal]]+Uitkomsten_per_tech[[#This Row],[Aantal extrapolatie]],10000),"NVT")</calculatedColumnFormula>
    </tableColumn>
    <tableColumn id="4" xr3:uid="{AE98AC23-421D-4BAB-A719-FAF797C4E30B}" name="Gemiddelde totale jaarlijkse arbeidsbesparing (€)" dataDxfId="134">
      <calculatedColumnFormula>SUMIFS(Berekening_impact[Totaal arbeidsbesparing (€/jaar)],Berekening_impact[Digitale zorgtoepassing],B6)</calculatedColumnFormula>
    </tableColumn>
    <tableColumn id="5" xr3:uid="{55F4107A-DB0A-411B-B395-39770D915A22}" name="Gemiddelde jaarlijkse arbeidsbesparing (FTE)" dataDxfId="133">
      <calculatedColumnFormula>SUMIFS(Berekening_impact[Totaal arbeidsbesparing (FTE/jaar)],Berekening_impact[Digitale zorgtoepassing],B6)</calculatedColumnFormula>
    </tableColumn>
    <tableColumn id="6" xr3:uid="{17C3AA32-51A8-4193-8D7B-E3B1203F8012}" name="Gemiddelde overige jaarlijkse kostenbesparing (€)" dataDxfId="132">
      <calculatedColumnFormula>SUMIFS(Berekening_impact[Overige kostenbesparing (totaal/jaar totaal potentieel)],Berekening_impact[Digitale zorgtoepassing],B6)</calculatedColumnFormula>
    </tableColumn>
    <tableColumn id="11" xr3:uid="{45F18C17-5D22-433E-9467-A79FD2A545D0}" name="Gemiddelde opbrengsten door QALY's" dataDxfId="131">
      <calculatedColumnFormula>SUMIFS(Berekening_impact[Opbrengsten door QALY''s],Berekening_impact[Digitale zorgtoepassing],B6)</calculatedColumnFormula>
    </tableColumn>
    <tableColumn id="10" xr3:uid="{3895A5D2-3C55-4E19-819F-85C4DFE16D4B}" name="Gemiddelde jaarlijkse kosten (totaal) (€) incl schatting" dataDxfId="130">
      <calculatedColumnFormula>SUMIFS(Berekening_impact[Jaarlijkse kosten (totaal) - incl. schatting],Berekening_impact[Digitale zorgtoepassing],B6)</calculatedColumnFormula>
    </tableColumn>
    <tableColumn id="16" xr3:uid="{6072B4B5-1B11-4C94-9870-022830082DB7}" name="Gemiddelde initiële investering (€) incl schatting" dataDxfId="129">
      <calculatedColumnFormula>SUMIFS(Berekening_impact[Initiële investering (totaal) - incl. schatting],Berekening_impact[Digitale zorgtoepassing],B6)</calculatedColumnFormula>
    </tableColumn>
  </tableColumns>
  <tableStyleInfo name="TableStyleMedium20"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3F445448-AFB4-4C29-A4F5-7DCB4AE2418F}" name="schatting_kosten" displayName="schatting_kosten" ref="A4:D10" totalsRowShown="0" headerRowDxfId="128" dataDxfId="127">
  <autoFilter ref="A4:D10" xr:uid="{3F445448-AFB4-4C29-A4F5-7DCB4AE2418F}"/>
  <tableColumns count="4">
    <tableColumn id="1" xr3:uid="{8EC96D96-F728-47C1-806E-8D30210D17EC}" name="Veld" dataDxfId="126"/>
    <tableColumn id="2" xr3:uid="{FB5B77B6-06AD-43DC-B3EB-90F8C6AB15A2}" name="Totale opbrengsten" dataDxfId="125">
      <calculatedColumnFormula>SUMIFS(Berekening_impact[Totaal arbeidsbesparing (€/jaar)],Berekening_impact[Veld],A5,Berekening_impact[Toepassing meenemen in schatting kosten?],"Ja")+SUMIFS(Berekening_impact[Overige kostenbesparing (totaal/jaar totaal potentieel)],Berekening_impact[Veld],A5,Berekening_impact[Toepassing meenemen in schatting kosten?],"Ja")</calculatedColumnFormula>
    </tableColumn>
    <tableColumn id="3" xr3:uid="{95764F4C-551A-43D0-8273-6EF54D694473}" name="Totale kosten" dataDxfId="124">
      <calculatedColumnFormula>SUMIFS(Berekening_impact[Jaarlijkse kosten (totaal)],Berekening_impact[Veld],A5,Berekening_impact[Toepassing meenemen in schatting kosten?],"Ja")</calculatedColumnFormula>
    </tableColumn>
    <tableColumn id="4" xr3:uid="{7CA4DEFC-03B5-4A9E-A3FA-4B4BEE04939E}" name="Verhouding kosten/omzet" dataDxfId="123">
      <calculatedColumnFormula>C5/B5</calculatedColumnFormula>
    </tableColumn>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60EE5FC-A1FB-4069-9AE4-EE177DE430E3}" name="factor_implementatie" displayName="factor_implementatie" ref="A4:E9" totalsRowShown="0" headerRowDxfId="406">
  <autoFilter ref="A4:E9" xr:uid="{160EE5FC-A1FB-4069-9AE4-EE177DE430E3}"/>
  <tableColumns count="5">
    <tableColumn id="1" xr3:uid="{8F92A80A-233A-4821-B045-EC6D82518B26}" name="Inschatting" dataDxfId="405"/>
    <tableColumn id="2" xr3:uid="{64260CE9-AC1D-4780-96A3-4CC3F10E7C0A}" name="Huidige implementatiegraad" dataDxfId="404"/>
    <tableColumn id="3" xr3:uid="{B410BF2F-556C-4111-B925-98E5362623F9}" name="Mate van innovatie" dataDxfId="403"/>
    <tableColumn id="4" xr3:uid="{BAC263C6-131E-46B9-9995-6DF9E6697E6E}" name="Mate van innovatie - coëfficient p" dataDxfId="402" dataCellStyle="Komma"/>
    <tableColumn id="6" xr3:uid="{25676EC7-8787-4AD3-B4FA-E1862EA2C9BA}" name="Mate van imitatie - coëfficient q" dataDxfId="401" dataCellStyle="Komma"/>
  </tableColumns>
  <tableStyleInfo name="TableStyleMedium16"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F4CCB031-44AE-49B3-9563-FFD99037D30B}" name="schatting_investering" displayName="schatting_investering" ref="A12:D13" totalsRowShown="0" headerRowDxfId="122" dataDxfId="121">
  <autoFilter ref="A12:D13" xr:uid="{F4CCB031-44AE-49B3-9563-FFD99037D30B}"/>
  <tableColumns count="4">
    <tableColumn id="1" xr3:uid="{B9380610-8303-4DB4-A2E7-B49EEA5A2421}" name="Veld" dataDxfId="120"/>
    <tableColumn id="2" xr3:uid="{7949F8AF-73DA-42B1-B2C9-E5CA4C39B4B7}" name="Totale omzet" dataDxfId="119">
      <calculatedColumnFormula>SUMIFS(Berekening_impact[Totaal arbeidsbesparing (€/jaar)],Berekening_impact[Investering schatten?],"Nee",Berekening_impact[Initiële investering],"&gt;0")+SUMIFS(Berekening_impact[Overige kostenbesparing (totaal/jaar totaal potentieel)],Berekening_impact[Investering schatten?],"Nee",Berekening_impact[Initiële investering],"&gt;0")</calculatedColumnFormula>
    </tableColumn>
    <tableColumn id="3" xr3:uid="{3B758EF5-0DC3-4AF3-AE04-074A5B5A5806}" name="Totale investering" dataDxfId="118">
      <calculatedColumnFormula>SUMIFS(Berekening_impact[Initiële investering],Berekening_impact[Investering schatten?],"Nee",Berekening_impact[Initiële investering],"&gt;0")</calculatedColumnFormula>
    </tableColumn>
    <tableColumn id="4" xr3:uid="{0BB1C716-E2E1-437D-913F-8573A0601CAB}" name="Verhouding investering/omzet" dataDxfId="117">
      <calculatedColumnFormula>C13/B13</calculatedColumnFormula>
    </tableColumn>
  </tableColumns>
  <tableStyleInfo name="TableStyleMedium16"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B802529-1401-45A3-9E04-6A9450EAAFD5}" name="vertraging" displayName="vertraging" ref="A4:AG132" totalsRowShown="0" headerRowDxfId="116" headerRowBorderDxfId="115">
  <autoFilter ref="A4:AG132" xr:uid="{4B802529-1401-45A3-9E04-6A9450EAAFD5}"/>
  <tableColumns count="33">
    <tableColumn id="1" xr3:uid="{94E23D40-0550-4036-8565-C6AB38FD4F50}" name="Veld" dataDxfId="114">
      <calculatedColumnFormula>INDEX(Technologieën[Veld],MATCH(B5,Technologieën[Digitale zorgtoepassing],0))</calculatedColumnFormula>
    </tableColumn>
    <tableColumn id="2" xr3:uid="{81F700FB-F105-4765-A129-E813E3388E13}" name="Digitale zorgtoepassing" dataDxfId="113"/>
    <tableColumn id="3" xr3:uid="{AA64711F-463E-4F9C-B1B3-80DE8F4ABC91}" name="Doelgroep" dataDxfId="112"/>
    <tableColumn id="4" xr3:uid="{9BBF9D10-F3E5-4FE9-9D40-B25628D6D096}" name="Direct toepasbaar/extrapolatie/incidentie voor QALY" dataDxfId="111">
      <calculatedColumnFormula array="1">INDEX(Berekening_patiëntaantal[Direct toepasbaar/extrapolatie/incidentie voor QALY],MATCH(B5,IF(Berekening_patiëntaantal[Doelgroep (zoeksleutel)]=C5,Berekening_patiëntaantal[Digitale zorgtoepassing]),0))</calculatedColumnFormula>
    </tableColumn>
    <tableColumn id="34" xr3:uid="{78524ACF-F8DB-4F88-9FC7-7BAE90FE42B9}" name="Uitgangssituatie/effect beleid" dataDxfId="110"/>
    <tableColumn id="29" xr3:uid="{35C08277-1EDF-4903-BAF2-43779396CFF3}" name="Zoeksleutel" dataDxfId="109">
      <calculatedColumnFormula>CONCATENATE(vertraging[[#This Row],[Digitale zorgtoepassing]],"_",vertraging[[#This Row],[Doelgroep]],"_",vertraging[[#This Row],[Uitgangssituatie/effect beleid]])</calculatedColumnFormula>
    </tableColumn>
    <tableColumn id="30" xr3:uid="{49D92F1C-9026-4C16-A09A-DD8FEE878F99}" name="Acceptatie burgers" dataDxfId="108">
      <calculatedColumnFormula>INDEX(acceptatie_burgers[Impact afhankelijk van acceptatie burgers?],MATCH(B5,acceptatie_burgers[Digitale zorgtoepassing],0))</calculatedColumnFormula>
    </tableColumn>
    <tableColumn id="32" xr3:uid="{1F4FAAAD-5A4A-434A-B98C-26AA7C489BF9}" name="p" dataDxfId="107">
      <calculatedColumnFormula array="1">IF(vertraging[[#This Row],[Uitgangssituatie/effect beleid]]="Effect beleid",MAX(INDEX(aanname_implementatie[Coëfficient p],MATCH(B5,IF(aanname_implementatie[Doelgroep]=C5,aanname_implementatie[Digitale zorgtoepassing]),0))+SUMIFS(afslagen_beleid[Opslag p],afslagen_beleid[Impact afhankelijk van acceptatie burgers],vertraging[[#This Row],[Acceptatie burgers]]),0.01),INDEX(aanname_implementatie[Coëfficient p],MATCH(B5,IF(aanname_implementatie[Doelgroep]=C5,aanname_implementatie[Digitale zorgtoepassing]),0)))</calculatedColumnFormula>
    </tableColumn>
    <tableColumn id="31" xr3:uid="{4F04C096-BAC6-4B43-8BD6-0F573E29506A}" name="q" dataDxfId="106">
      <calculatedColumnFormula array="1">IF(vertraging[[#This Row],[Uitgangssituatie/effect beleid]]="Effect beleid",MAX(INDEX(aanname_implementatie[Coëfficient q],MATCH(B5,IF(aanname_implementatie[Doelgroep]=C5,aanname_implementatie[Digitale zorgtoepassing]),0))+SUMIFS(afslagen_beleid[Opslag q],afslagen_beleid[Impact afhankelijk van acceptatie burgers],vertraging[[#This Row],[Acceptatie burgers]]),0.3),INDEX(aanname_implementatie[Coëfficient q],MATCH(B5,IF(aanname_implementatie[Doelgroep]=C5,aanname_implementatie[Digitale zorgtoepassing]),0)))</calculatedColumnFormula>
    </tableColumn>
    <tableColumn id="5" xr3:uid="{5CDEEF6F-F6CF-4FCD-92FF-AE6D7EAB630A}" name="Vertraging 12 jaar" dataDxfId="105">
      <calculatedColumnFormula>0</calculatedColumnFormula>
    </tableColumn>
    <tableColumn id="6" xr3:uid="{5B687B3F-FF8D-4212-832A-829EC04333F3}" name="Vertraging 11 jaar" dataDxfId="104"/>
    <tableColumn id="7" xr3:uid="{7825FC54-6ED7-4E6E-9EB0-B4308FBBFBA2}" name="Vertraging 10 jaar" dataDxfId="103"/>
    <tableColumn id="8" xr3:uid="{925F5B05-2E09-4B0A-A881-71D68E94E575}" name="Vertraging 9 jaar" dataDxfId="102"/>
    <tableColumn id="9" xr3:uid="{3AFF8B84-B3B4-4F43-A238-F768F5FF89E8}" name="Vertraging 8 jaar" dataDxfId="101"/>
    <tableColumn id="10" xr3:uid="{767DEA4C-8857-4AAD-96A3-AF09F473343F}" name="Vertraging 7 jaar" dataDxfId="100"/>
    <tableColumn id="11" xr3:uid="{90512FA5-8D6A-493B-9B59-FEEA1DFC733F}" name="Vertraging 6 jaar" dataDxfId="99"/>
    <tableColumn id="12" xr3:uid="{E30F0272-9516-4199-A2FA-664BBC7FEB0C}" name="Vertraging 5 jaar" dataDxfId="98"/>
    <tableColumn id="13" xr3:uid="{ABBC6118-2B94-49D5-9862-5F3B11002ECB}" name="Vertraging 4 jaar" dataDxfId="97"/>
    <tableColumn id="14" xr3:uid="{84D65EE2-C997-4864-A292-1BE629F64A01}" name="Vertraging 3 jaar" dataDxfId="96"/>
    <tableColumn id="15" xr3:uid="{1A863C71-EC83-4B84-AF51-D743634BFFD7}" name="Vertraging 2 jaar" dataDxfId="95"/>
    <tableColumn id="16" xr3:uid="{A2917B72-13D7-4786-A4ED-538AAA118738}" name="Vertraging 1 jaar" dataDxfId="94"/>
    <tableColumn id="17" xr3:uid="{68D9D495-DC31-4EE4-8C45-12700465200C}" name="2023" dataDxfId="93">
      <calculatedColumnFormula array="1">INDEX(aanname_implementatie[Huidige implementatiegraad],MATCH(B5,IF(aanname_implementatie[Doelgroep]=C5,aanname_implementatie[Digitale zorgtoepassing]),0))</calculatedColumnFormula>
    </tableColumn>
    <tableColumn id="18" xr3:uid="{9B9CC2E8-0E7F-4B32-A17A-C49811F1D418}" name="2024" dataDxfId="92">
      <calculatedColumnFormula>V5+vertraging[[#This Row],[p]]*(1-V5)+vertraging[[#This Row],[q]]*V5*(1-V5)</calculatedColumnFormula>
    </tableColumn>
    <tableColumn id="19" xr3:uid="{EDEB6860-43BB-4952-85D7-C5BEF9BDCA7B}" name="2025" dataDxfId="91">
      <calculatedColumnFormula>W5+vertraging[[#This Row],[p]]*(1-W5)+vertraging[[#This Row],[q]]*W5*(1-W5)</calculatedColumnFormula>
    </tableColumn>
    <tableColumn id="20" xr3:uid="{D8F7F9D1-BF66-4E90-8FC8-A9AD13DA53B0}" name="2026" dataDxfId="90">
      <calculatedColumnFormula>X5+vertraging[[#This Row],[p]]*(1-X5)+vertraging[[#This Row],[q]]*X5*(1-X5)</calculatedColumnFormula>
    </tableColumn>
    <tableColumn id="21" xr3:uid="{5DFBE15E-5E34-44A3-8862-51C1D249DFA7}" name="2027" dataDxfId="89">
      <calculatedColumnFormula>Y5+vertraging[[#This Row],[p]]*(1-Y5)+vertraging[[#This Row],[q]]*Y5*(1-Y5)</calculatedColumnFormula>
    </tableColumn>
    <tableColumn id="22" xr3:uid="{35F53761-9060-4649-B5CC-688FDAE2138F}" name="2028" dataDxfId="88">
      <calculatedColumnFormula>Z5+vertraging[[#This Row],[p]]*(1-Z5)+vertraging[[#This Row],[q]]*Z5*(1-Z5)</calculatedColumnFormula>
    </tableColumn>
    <tableColumn id="23" xr3:uid="{523CEE24-66B4-4EAE-AA70-8818D126166C}" name="2029" dataDxfId="87">
      <calculatedColumnFormula>AA5+vertraging[[#This Row],[p]]*(1-AA5)+vertraging[[#This Row],[q]]*AA5*(1-AA5)</calculatedColumnFormula>
    </tableColumn>
    <tableColumn id="24" xr3:uid="{08D619F9-AA49-4DFD-9637-AD4E54E39D80}" name="2030" dataDxfId="86">
      <calculatedColumnFormula>AB5+vertraging[[#This Row],[p]]*(1-AB5)+vertraging[[#This Row],[q]]*AB5*(1-AB5)</calculatedColumnFormula>
    </tableColumn>
    <tableColumn id="25" xr3:uid="{8D182DE2-4A05-4D39-9C8A-BCD26B0FCC71}" name="2031" dataDxfId="85">
      <calculatedColumnFormula>AC5+vertraging[[#This Row],[p]]*(1-AC5)+vertraging[[#This Row],[q]]*AC5*(1-AC5)</calculatedColumnFormula>
    </tableColumn>
    <tableColumn id="26" xr3:uid="{ED2DCB03-4E11-4EFE-980E-C3997A927F2A}" name="2032" dataDxfId="84">
      <calculatedColumnFormula>AD5+vertraging[[#This Row],[p]]*(1-AD5)+vertraging[[#This Row],[q]]*AD5*(1-AD5)</calculatedColumnFormula>
    </tableColumn>
    <tableColumn id="27" xr3:uid="{5CCAB9F5-A60B-49A3-BD8B-0D0C3DFFB65E}" name="2033" dataDxfId="83">
      <calculatedColumnFormula>AE5+vertraging[[#This Row],[p]]*(1-AE5)+vertraging[[#This Row],[q]]*AE5*(1-AE5)</calculatedColumnFormula>
    </tableColumn>
    <tableColumn id="28" xr3:uid="{036E8386-58FC-45CA-A222-FBF67DF24E9B}" name="2034" dataDxfId="82">
      <calculatedColumnFormula>AF5+vertraging[[#This Row],[p]]*(1-AF5)+vertraging[[#This Row],[q]]*AF5*(1-AF5)</calculatedColumnFormula>
    </tableColumn>
  </tableColumns>
  <tableStyleInfo name="TableStyleMedium16"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7597177C-3CFF-4C7D-9DBB-1EB11F9E7F37}" name="implementatie" displayName="implementatie" ref="A135:R263" totalsRowShown="0" headerRowDxfId="81" headerRowBorderDxfId="80">
  <autoFilter ref="A135:R263" xr:uid="{7597177C-3CFF-4C7D-9DBB-1EB11F9E7F37}"/>
  <tableColumns count="18">
    <tableColumn id="1" xr3:uid="{6B3D2F63-84A3-4052-BC7F-A3BB36142165}" name="Veld" dataDxfId="79">
      <calculatedColumnFormula>INDEX(Technologieën[Veld],MATCH(B136,Technologieën[Digitale zorgtoepassing],0))</calculatedColumnFormula>
    </tableColumn>
    <tableColumn id="2" xr3:uid="{368024AF-2842-4DCD-B776-893773AC34BC}" name="Zorgtechnologie" dataDxfId="78"/>
    <tableColumn id="3" xr3:uid="{5FF91316-1F6E-4864-9A0C-6CA18D56CEC2}" name="Doelgroep" dataDxfId="77"/>
    <tableColumn id="4" xr3:uid="{279F2CFC-49C7-4666-AC8B-0725E0C71EE9}" name="Direct toepasbaar/extrapolatie/incidentie voor QALY" dataDxfId="76">
      <calculatedColumnFormula array="1">INDEX(Berekening_patiëntaantal[Direct toepasbaar/extrapolatie/incidentie voor QALY],MATCH(B136,IF(Berekening_patiëntaantal[Doelgroep (zoeksleutel)]=C136,Berekening_patiëntaantal[Digitale zorgtoepassing]),0))</calculatedColumnFormula>
    </tableColumn>
    <tableColumn id="19" xr3:uid="{4EC698F4-8E8D-46CB-A643-E07F6758AE06}" name="Uitgangssituatie/effect beleid" dataDxfId="75"/>
    <tableColumn id="18" xr3:uid="{55769905-E75D-4CDC-819D-648A71F2589D}" name="Zoeksleutel" dataDxfId="74">
      <calculatedColumnFormula>CONCATENATE(implementatie[[#This Row],[Zorgtechnologie]],"_",implementatie[[#This Row],[Doelgroep]],"_",implementatie[[#This Row],[Uitgangssituatie/effect beleid]])</calculatedColumnFormula>
    </tableColumn>
    <tableColumn id="5" xr3:uid="{581E0D07-6938-468A-A330-C2B392F9848B}" name="2023" dataDxfId="73">
      <calculatedColumnFormula array="1">INDEX(vertraging[[Vertraging 12 jaar]:[2034]],MATCH($F136,vertraging[Zoeksleutel],0),G$134-INDEX(aanname_implementatie[Totaal vertraging],MATCH($B136,IF(aanname_implementatie[Doelgroep]=$C136,aanname_implementatie[Digitale zorgtoepassing]),0)))</calculatedColumnFormula>
    </tableColumn>
    <tableColumn id="6" xr3:uid="{DC5E5F66-3BCE-4578-B0FE-EB1EE0228FA7}" name="2024" dataDxfId="72">
      <calculatedColumnFormula array="1">INDEX(vertraging[[Vertraging 12 jaar]:[2034]],MATCH($F136,vertraging[Zoeksleutel],0),H$134-INDEX(aanname_implementatie[Totaal vertraging],MATCH($B136,IF(aanname_implementatie[Doelgroep]=$C136,aanname_implementatie[Digitale zorgtoepassing]),0)))</calculatedColumnFormula>
    </tableColumn>
    <tableColumn id="7" xr3:uid="{FE7EA4B5-A0DE-41F8-A18F-B4CA6B061F92}" name="2025" dataDxfId="71">
      <calculatedColumnFormula array="1">INDEX(vertraging[[Vertraging 12 jaar]:[2034]],MATCH($F136,vertraging[Zoeksleutel],0),I$134-INDEX(aanname_implementatie[Totaal vertraging],MATCH($B136,IF(aanname_implementatie[Doelgroep]=$C136,aanname_implementatie[Digitale zorgtoepassing]),0)))</calculatedColumnFormula>
    </tableColumn>
    <tableColumn id="8" xr3:uid="{D211335C-F5AB-45E0-8257-A656FB1D7A1D}" name="2026" dataDxfId="70">
      <calculatedColumnFormula array="1">INDEX(vertraging[[Vertraging 12 jaar]:[2034]],MATCH($F136,vertraging[Zoeksleutel],0),J$134-INDEX(aanname_implementatie[Totaal vertraging],MATCH($B136,IF(aanname_implementatie[Doelgroep]=$C136,aanname_implementatie[Digitale zorgtoepassing]),0)))</calculatedColumnFormula>
    </tableColumn>
    <tableColumn id="9" xr3:uid="{E0306E9B-FFC8-4E29-B554-2946589EBF12}" name="2027" dataDxfId="69">
      <calculatedColumnFormula array="1">INDEX(vertraging[[Vertraging 12 jaar]:[2034]],MATCH($F136,vertraging[Zoeksleutel],0),K$134-INDEX(aanname_implementatie[Totaal vertraging],MATCH($B136,IF(aanname_implementatie[Doelgroep]=$C136,aanname_implementatie[Digitale zorgtoepassing]),0)))</calculatedColumnFormula>
    </tableColumn>
    <tableColumn id="10" xr3:uid="{6DD88BCD-4C09-4F3F-97FD-415E590D2402}" name="2028" dataDxfId="68">
      <calculatedColumnFormula array="1">INDEX(vertraging[[Vertraging 12 jaar]:[2034]],MATCH($F136,vertraging[Zoeksleutel],0),L$134-INDEX(aanname_implementatie[Totaal vertraging],MATCH($B136,IF(aanname_implementatie[Doelgroep]=$C136,aanname_implementatie[Digitale zorgtoepassing]),0)))</calculatedColumnFormula>
    </tableColumn>
    <tableColumn id="11" xr3:uid="{07446357-CE75-4BCF-9D30-47D7CCA18677}" name="2029" dataDxfId="67">
      <calculatedColumnFormula array="1">INDEX(vertraging[[Vertraging 12 jaar]:[2034]],MATCH($F136,vertraging[Zoeksleutel],0),M$134-INDEX(aanname_implementatie[Totaal vertraging],MATCH($B136,IF(aanname_implementatie[Doelgroep]=$C136,aanname_implementatie[Digitale zorgtoepassing]),0)))</calculatedColumnFormula>
    </tableColumn>
    <tableColumn id="12" xr3:uid="{9E1D2E51-22D5-431E-BDA7-13CF070788C8}" name="2030" dataDxfId="66">
      <calculatedColumnFormula array="1">INDEX(vertraging[[Vertraging 12 jaar]:[2034]],MATCH($F136,vertraging[Zoeksleutel],0),N$134-INDEX(aanname_implementatie[Totaal vertraging],MATCH($B136,IF(aanname_implementatie[Doelgroep]=$C136,aanname_implementatie[Digitale zorgtoepassing]),0)))</calculatedColumnFormula>
    </tableColumn>
    <tableColumn id="13" xr3:uid="{7090B952-F6F0-41CD-B857-D6ECDC63C352}" name="2031" dataDxfId="65">
      <calculatedColumnFormula array="1">INDEX(vertraging[[Vertraging 12 jaar]:[2034]],MATCH($F136,vertraging[Zoeksleutel],0),O$134-INDEX(aanname_implementatie[Totaal vertraging],MATCH($B136,IF(aanname_implementatie[Doelgroep]=$C136,aanname_implementatie[Digitale zorgtoepassing]),0)))</calculatedColumnFormula>
    </tableColumn>
    <tableColumn id="14" xr3:uid="{02898546-31C9-44D6-B196-FB696E1FDDC9}" name="2032" dataDxfId="64">
      <calculatedColumnFormula array="1">INDEX(vertraging[[Vertraging 12 jaar]:[2034]],MATCH($F136,vertraging[Zoeksleutel],0),P$134-INDEX(aanname_implementatie[Totaal vertraging],MATCH($B136,IF(aanname_implementatie[Doelgroep]=$C136,aanname_implementatie[Digitale zorgtoepassing]),0)))</calculatedColumnFormula>
    </tableColumn>
    <tableColumn id="15" xr3:uid="{A080BE83-EB87-4BE3-B8D7-AEAC76FE7289}" name="2033" dataDxfId="63">
      <calculatedColumnFormula array="1">INDEX(vertraging[[Vertraging 12 jaar]:[2034]],MATCH($F136,vertraging[Zoeksleutel],0),Q$134-INDEX(aanname_implementatie[Totaal vertraging],MATCH($B136,IF(aanname_implementatie[Doelgroep]=$C136,aanname_implementatie[Digitale zorgtoepassing]),0)))</calculatedColumnFormula>
    </tableColumn>
    <tableColumn id="16" xr3:uid="{E23A8FE0-FD99-4FDD-AAD2-A1B4A92215F1}" name="2034" dataDxfId="62">
      <calculatedColumnFormula array="1">INDEX(vertraging[[Vertraging 12 jaar]:[2034]],MATCH($F136,vertraging[Zoeksleutel],0),R$134-INDEX(aanname_implementatie[Totaal vertraging],MATCH($B136,IF(aanname_implementatie[Doelgroep]=$C136,aanname_implementatie[Digitale zorgtoepassing]),0)))</calculatedColumnFormula>
    </tableColumn>
  </tableColumns>
  <tableStyleInfo name="TableStyleMedium1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2354D14-B553-4A53-A274-0182A178CF9B}" name="uitkomst_doelgroep" displayName="uitkomst_doelgroep" ref="A4:V1412" totalsRowShown="0" headerRowDxfId="61" dataDxfId="60">
  <autoFilter ref="A4:V1412" xr:uid="{82354D14-B553-4A53-A274-0182A178CF9B}"/>
  <tableColumns count="22">
    <tableColumn id="1" xr3:uid="{01E8F122-A0AF-446A-B68F-86F9ABB1A450}" name="Veld" dataDxfId="59">
      <calculatedColumnFormula>INDEX(Technologieën[Veld],MATCH(B5,Technologieën[Digitale zorgtoepassing],0))</calculatedColumnFormula>
    </tableColumn>
    <tableColumn id="2" xr3:uid="{DBB35CCC-11C6-4E5E-83C8-B7965332FAFA}" name="Digitale zorgtoepassing" dataDxfId="58"/>
    <tableColumn id="3" xr3:uid="{A6A915BC-65C8-437D-A0D1-77F39278D7BD}" name="Doelgroep" dataDxfId="57"/>
    <tableColumn id="17" xr3:uid="{2D0F1ED7-BCEB-4BD2-A300-3FF408489E19}" name="Percentage van patiëntaantallen in Wlz (overige is Zvw)" dataDxfId="56" dataCellStyle="Procent">
      <calculatedColumnFormula array="1">INDEX(Berekening_patiëntaantal[Percentage van patiëntaantallen in Wlz (overige is Zvw)],MATCH(B5,IF(Berekening_patiëntaantal[Doelgroep (zoeksleutel)]=C5,Berekening_patiëntaantal[Digitale zorgtoepassing]),0))</calculatedColumnFormula>
    </tableColumn>
    <tableColumn id="4" xr3:uid="{A62C8C1F-DA21-4BF1-85BA-4124D6D8E146}" name="Direct toepasbaar/extrapolatie" dataDxfId="55">
      <calculatedColumnFormula array="1">INDEX(Berekening_patiëntaantal[Direct toepasbaar/extrapolatie/incidentie voor QALY],MATCH(B5,IF(Berekening_patiëntaantal[Doelgroep (zoeksleutel)]=C5,Berekening_patiëntaantal[Digitale zorgtoepassing]),0))</calculatedColumnFormula>
    </tableColumn>
    <tableColumn id="14" xr3:uid="{B51B4329-481D-4A04-8E33-A0E7A887388E}" name="Uitgangssituatie/effect beleid" dataDxfId="54"/>
    <tableColumn id="16" xr3:uid="{A70E4A2F-199D-44A1-B5E6-26AE8A2FB271}" name="Zoeksleutel" dataDxfId="53">
      <calculatedColumnFormula>CONCATENATE(uitkomst_doelgroep[[#This Row],[Digitale zorgtoepassing]],"_",uitkomst_doelgroep[[#This Row],[Doelgroep]],"_",uitkomst_doelgroep[[#This Row],[Uitgangssituatie/effect beleid]])</calculatedColumnFormula>
    </tableColumn>
    <tableColumn id="5" xr3:uid="{26F01354-B258-4255-B8DA-E5063B89015C}" name="Jaar" dataDxfId="52"/>
    <tableColumn id="6" xr3:uid="{3853A14A-A6D4-4ACD-9A63-1BABF2241DD5}" name="Hulp" dataDxfId="51"/>
    <tableColumn id="7" xr3:uid="{0D468AA7-2C97-453E-902A-9C4345AAC508}" name="Implementatiegraad t = T" dataDxfId="50">
      <calculatedColumnFormula array="1">INDEX(implementatie[[2023]:[2034]],MATCH(G5, implementatie[Zoeksleutel],0),I5)</calculatedColumnFormula>
    </tableColumn>
    <tableColumn id="13" xr3:uid="{9C81BC0D-C646-49D8-BE6F-45A88E1FEBDB}" name="Implementatiegraad t = T + 1" dataDxfId="49">
      <calculatedColumnFormula array="1">INDEX(implementatie[[2023]:[2034]],MATCH(G5,implementatie[Zoeksleutel],0),I5 + 1)</calculatedColumnFormula>
    </tableColumn>
    <tableColumn id="18" xr3:uid="{BF1D2CE4-D179-4B6A-9C28-645E5D488F7E}" name="Patiëntaantallen" dataDxfId="48">
      <calculatedColumnFormula>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calculatedColumnFormula>
    </tableColumn>
    <tableColumn id="8" xr3:uid="{00C77B39-B379-443A-A110-1E0869435AE8}" name="Arbeidsbesparing (€)" dataDxfId="47">
      <calculatedColumnFormula array="1">J5*INDEX(Berekening_impact[Totaal arbeidsbesparing (€/jaar)],MATCH(B5,IF(Berekening_impact[Doelgroep]=C5,Berekening_impact[Digitale zorgtoepassing]),0))</calculatedColumnFormula>
    </tableColumn>
    <tableColumn id="9" xr3:uid="{C059D5A8-FABA-4D23-AB6E-8D914FAFEF4A}" name="Arbeidsbesparing (FTE)" dataDxfId="46">
      <calculatedColumnFormula array="1">J5*INDEX(Berekening_impact[Totaal arbeidsbesparing (FTE/jaar)],MATCH(B5,IF(Berekening_impact[Doelgroep]=C5,Berekening_impact[Digitale zorgtoepassing]),0))</calculatedColumnFormula>
    </tableColumn>
    <tableColumn id="10" xr3:uid="{35238D2F-F222-4617-845A-A59FCB2E8610}" name="Overige besparingen (€)" dataDxfId="45">
      <calculatedColumnFormula array="1">J5*INDEX(Berekening_impact[Overige kostenbesparing (totaal/jaar totaal potentieel)],MATCH(B5,IF(Berekening_impact[Doelgroep]=C5,Berekening_impact[Digitale zorgtoepassing]),0))</calculatedColumnFormula>
    </tableColumn>
    <tableColumn id="12" xr3:uid="{C6F346E6-BA58-4609-9DC0-2E2D7BCB064E}" name="QALY (€)" dataDxfId="44">
      <calculatedColumnFormula array="1">J5*INDEX(Berekening_impact[Opbrengsten door QALY''s],MATCH(B5,IF(Berekening_impact[Doelgroep]=C5,Berekening_impact[Digitale zorgtoepassing]),0))</calculatedColumnFormula>
    </tableColumn>
    <tableColumn id="11" xr3:uid="{1DAF5394-FF13-4AA0-B714-0D6B3290C77C}" name="Kosten (€)" dataDxfId="43">
      <calculatedColumnFormula array="1">J5*INDEX(Berekening_impact[Jaarlijkse kosten (totaal) - incl. schatting],MATCH(B5,IF(Berekening_impact[Doelgroep]=C5,Berekening_impact[Digitale zorgtoepassing]),0))</calculatedColumnFormula>
    </tableColumn>
    <tableColumn id="15" xr3:uid="{B70A608D-A072-4B76-83A0-B09850AD5DD3}" name="Investering (cash flow) (€)" dataDxfId="42">
      <calculatedColumnFormula array="1">(uitkomst_doelgroep[[#This Row],[Implementatiegraad t = T + 1]]-uitkomst_doelgroep[[#This Row],[Implementatiegraad t = T]])*INDEX(Berekening_impact[Initiële investering (totaal) - incl. schatting],MATCH(B5,IF(Berekening_impact[Doelgroep]=C5,Berekening_impact[Digitale zorgtoepassing]),0))</calculatedColumnFormula>
    </tableColumn>
    <tableColumn id="22" xr3:uid="{EF28F37A-9193-4793-9C65-1E044FFAB9A2}" name="Arbeidsbesparing (€) - Wlz" dataDxfId="41">
      <calculatedColumnFormula>uitkomst_doelgroep[[#This Row],[Arbeidsbesparing (€)]]*uitkomst_doelgroep[[#This Row],[Percentage van patiëntaantallen in Wlz (overige is Zvw)]]</calculatedColumnFormula>
    </tableColumn>
    <tableColumn id="21" xr3:uid="{B31B25A9-3F0A-4227-88DD-EE1D5DE991E4}" name="Overige besparingen (€) - Wlz" dataDxfId="40">
      <calculatedColumnFormula>uitkomst_doelgroep[[#This Row],[Overige besparingen (€)]]*uitkomst_doelgroep[[#This Row],[Percentage van patiëntaantallen in Wlz (overige is Zvw)]]</calculatedColumnFormula>
    </tableColumn>
    <tableColumn id="19" xr3:uid="{3C9F1399-DBA2-4C5B-BBF4-331199E13DF6}" name="Kosten (€) - Wlz" dataDxfId="39">
      <calculatedColumnFormula>uitkomst_doelgroep[[#This Row],[Kosten (€)]]*uitkomst_doelgroep[[#This Row],[Percentage van patiëntaantallen in Wlz (overige is Zvw)]]</calculatedColumnFormula>
    </tableColumn>
    <tableColumn id="20" xr3:uid="{38272A1F-C17F-417D-BCCF-77C74649A4F0}" name="Investering (cash flow) (€) - Wlz" dataDxfId="38">
      <calculatedColumnFormula>uitkomst_doelgroep[[#This Row],[Investering (cash flow) (€)]]*uitkomst_doelgroep[[#This Row],[Percentage van patiëntaantallen in Wlz (overige is Zvw)]]</calculatedColumnFormula>
    </tableColumn>
  </tableColumns>
  <tableStyleInfo name="TableStyleMedium16"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030CE2A-BFB8-4661-8156-0AAF4EBAFD3C}" name="uitkomst_tech" displayName="uitkomst_tech" ref="A4:L748" totalsRowShown="0" headerRowDxfId="37" dataDxfId="35" headerRowBorderDxfId="36" tableBorderDxfId="34">
  <autoFilter ref="A4:L748" xr:uid="{7030CE2A-BFB8-4661-8156-0AAF4EBAFD3C}"/>
  <tableColumns count="12">
    <tableColumn id="1" xr3:uid="{9D2B8D78-9222-457D-A796-910DC252897C}" name="Veld" dataDxfId="33">
      <calculatedColumnFormula>INDEX(Technologieën[Veld],MATCH(B5,Technologieën[Digitale zorgtoepassing],0))</calculatedColumnFormula>
    </tableColumn>
    <tableColumn id="2" xr3:uid="{97E88291-E67B-4771-8270-CA0D243A6121}" name="Digitale zorgtoepassing" dataDxfId="32"/>
    <tableColumn id="11" xr3:uid="{9CB35463-EDF9-4B19-BE87-7617682B3E6E}" name="Uitgangssituatie/effect beleid" dataDxfId="31"/>
    <tableColumn id="3" xr3:uid="{A7E0CC49-B8F8-462E-AC95-C2FBF7AE148F}" name="Jaar" dataDxfId="30"/>
    <tableColumn id="9" xr3:uid="{25A04FD1-38ED-47BA-A23F-6A8525109C10}" name="Hulp" dataDxfId="29"/>
    <tableColumn id="12" xr3:uid="{DC0DD5AF-D3B8-4B41-B2E1-0AD612BDDE4F}" name="Patiëntaantallen" dataDxfId="28">
      <calculatedColumnFormula>SUMIFS(uitkomst_doelgroep[Patiëntaantallen],uitkomst_doelgroep[Digitale zorgtoepassing],B5,uitkomst_doelgroep[Jaar],D5,uitkomst_doelgroep[Arbeidsbesparing (€)],"&gt;0",uitkomst_doelgroep[Uitgangssituatie/effect beleid],uitkomst_tech[[#This Row],[Uitgangssituatie/effect beleid]])</calculatedColumnFormula>
    </tableColumn>
    <tableColumn id="4" xr3:uid="{CA39C456-CAA1-4649-9E4F-899C4D045D6E}" name="Arbeidsbesparing (€)" dataDxfId="27">
      <calculatedColumnFormula>SUMIFS(uitkomst_doelgroep[Arbeidsbesparing (€)],uitkomst_doelgroep[Digitale zorgtoepassing],B5,uitkomst_doelgroep[Jaar],D5,uitkomst_doelgroep[Arbeidsbesparing (€)],"&gt;0",uitkomst_doelgroep[Uitgangssituatie/effect beleid],uitkomst_tech[[#This Row],[Uitgangssituatie/effect beleid]])</calculatedColumnFormula>
    </tableColumn>
    <tableColumn id="5" xr3:uid="{93B50566-0C75-4021-961D-C0F9D005D29D}" name="Arbeidsbesparing (FTE)" dataDxfId="26">
      <calculatedColumnFormula>SUMIFS(uitkomst_doelgroep[Arbeidsbesparing (FTE)],uitkomst_doelgroep[Digitale zorgtoepassing],B5,uitkomst_doelgroep[Jaar],D5,uitkomst_doelgroep[Arbeidsbesparing (FTE)],"&gt;0",uitkomst_doelgroep[Uitgangssituatie/effect beleid],uitkomst_tech[[#This Row],[Uitgangssituatie/effect beleid]])</calculatedColumnFormula>
    </tableColumn>
    <tableColumn id="6" xr3:uid="{0A50B176-B2C8-4AC7-A728-4736CBD78B56}" name="Overige besparingen (€)" dataDxfId="25">
      <calculatedColumnFormula>SUMIFS(uitkomst_doelgroep[Overige besparingen (€)],uitkomst_doelgroep[Digitale zorgtoepassing],B5,uitkomst_doelgroep[Jaar],D5,uitkomst_doelgroep[Overige besparingen (€)],"&gt;0",uitkomst_doelgroep[Uitgangssituatie/effect beleid],uitkomst_tech[[#This Row],[Uitgangssituatie/effect beleid]])</calculatedColumnFormula>
    </tableColumn>
    <tableColumn id="10" xr3:uid="{5F2443A2-9ED4-41E5-B25E-93E30B33B289}" name="QALY (€)" dataDxfId="24">
      <calculatedColumnFormula>SUMIFS(uitkomst_doelgroep[QALY (€)],uitkomst_doelgroep[Digitale zorgtoepassing],B5,uitkomst_doelgroep[Jaar],D5,uitkomst_doelgroep[QALY (€)],"&gt;0",uitkomst_doelgroep[Uitgangssituatie/effect beleid],uitkomst_tech[[#This Row],[Uitgangssituatie/effect beleid]])</calculatedColumnFormula>
    </tableColumn>
    <tableColumn id="7" xr3:uid="{4861CFCD-62E1-4217-B406-FA45DA3F2281}" name="Kosten (€)" dataDxfId="23">
      <calculatedColumnFormula>SUMIFS(uitkomst_doelgroep[Kosten (€)],uitkomst_doelgroep[Digitale zorgtoepassing],B5,uitkomst_doelgroep[Jaar],D5,uitkomst_doelgroep[Kosten (€)],"&gt;0",uitkomst_doelgroep[Uitgangssituatie/effect beleid],uitkomst_tech[[#This Row],[Uitgangssituatie/effect beleid]])</calculatedColumnFormula>
    </tableColumn>
    <tableColumn id="8" xr3:uid="{81164486-B952-470C-8B23-04854DDEB492}" name="Investering (cash flow) (€)" dataDxfId="22">
      <calculatedColumnFormula>SUMIFS(uitkomst_doelgroep[Investering (cash flow) (€)],uitkomst_doelgroep[Digitale zorgtoepassing],B5,uitkomst_doelgroep[Jaar],D5,uitkomst_doelgroep[Investering (cash flow) (€)],"&gt;0",uitkomst_doelgroep[Uitgangssituatie/effect beleid],uitkomst_tech[[#This Row],[Uitgangssituatie/effect beleid]])</calculatedColumnFormula>
    </tableColumn>
  </tableColumns>
  <tableStyleInfo name="TableStyleMedium1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DED7B2E-CF68-4831-BE27-E44B890D3D0D}" name="uitkomst_veld" displayName="uitkomst_veld" ref="A4:I136" totalsRowShown="0" headerRowDxfId="21" headerRowBorderDxfId="20" tableBorderDxfId="19">
  <autoFilter ref="A4:I136" xr:uid="{1DED7B2E-CF68-4831-BE27-E44B890D3D0D}"/>
  <tableColumns count="9">
    <tableColumn id="1" xr3:uid="{9C41424A-F246-45C9-B125-B82F69D0D5FF}" name="Veld" dataDxfId="18"/>
    <tableColumn id="9" xr3:uid="{429E4E45-3E3D-4A4F-B068-C8151EC1ED6C}" name="Uitgangssituatie/effect beleid" dataDxfId="17"/>
    <tableColumn id="2" xr3:uid="{BCA4C4D6-D5C1-4D6E-8C33-CC712B331D5D}" name="Jaar" dataDxfId="16"/>
    <tableColumn id="3" xr3:uid="{43A0EA06-ECCB-4A6D-AC93-5BFC6F980274}" name="Arbeidsbesparing (€/jaar)" dataDxfId="15">
      <calculatedColumnFormula>SUMIFS(uitkomst_tech[Arbeidsbesparing (€)],uitkomst_tech[Veld],A5,uitkomst_tech[Jaar],C5,uitkomst_tech[Uitgangssituatie/effect beleid],uitkomst_veld[[#This Row],[Uitgangssituatie/effect beleid]])</calculatedColumnFormula>
    </tableColumn>
    <tableColumn id="4" xr3:uid="{364B3059-3734-4471-8634-6F3B2F74CEAE}" name="Arbeidsbesparing (FTE/jaar)" dataDxfId="14">
      <calculatedColumnFormula>SUMIFS(uitkomst_tech[Arbeidsbesparing (FTE)],uitkomst_tech[Veld],A5,uitkomst_tech[Jaar],C5,uitkomst_tech[Uitgangssituatie/effect beleid],uitkomst_veld[[#This Row],[Uitgangssituatie/effect beleid]])</calculatedColumnFormula>
    </tableColumn>
    <tableColumn id="5" xr3:uid="{F2B5AA37-4021-4011-8555-D06879613327}" name="Overige besparingen" dataDxfId="13">
      <calculatedColumnFormula>SUMIFS(uitkomst_tech[Overige besparingen (€)],uitkomst_tech[Veld],A5,uitkomst_tech[Jaar],C5,uitkomst_tech[Uitgangssituatie/effect beleid],uitkomst_veld[[#This Row],[Uitgangssituatie/effect beleid]])</calculatedColumnFormula>
    </tableColumn>
    <tableColumn id="8" xr3:uid="{94980B17-8FDE-4D01-B780-94B1FD681E05}" name="QALY" dataDxfId="12">
      <calculatedColumnFormula>SUMIFS(uitkomst_tech[QALY (€)],uitkomst_tech[Veld],A5,uitkomst_tech[Jaar],C5,uitkomst_tech[Uitgangssituatie/effect beleid],uitkomst_veld[[#This Row],[Uitgangssituatie/effect beleid]])</calculatedColumnFormula>
    </tableColumn>
    <tableColumn id="6" xr3:uid="{603BD82C-2710-4B68-81E1-7AD064AD6C46}" name="Kosten (€)" dataDxfId="11">
      <calculatedColumnFormula>SUMIFS(uitkomst_tech[Kosten (€)],uitkomst_tech[Veld],A5,uitkomst_tech[Jaar],C5,uitkomst_tech[Uitgangssituatie/effect beleid],uitkomst_veld[[#This Row],[Uitgangssituatie/effect beleid]])</calculatedColumnFormula>
    </tableColumn>
    <tableColumn id="7" xr3:uid="{40C879BF-2698-4FFC-807C-66BF1D13DBCD}" name="Investering (cash flow) (€)" dataDxfId="10">
      <calculatedColumnFormula>SUMIFS(uitkomst_tech[Investering (cash flow) (€)],uitkomst_tech[Veld],A5,uitkomst_tech[Jaar],C5,uitkomst_tech[Uitgangssituatie/effect beleid],uitkomst_veld[[#This Row],[Uitgangssituatie/effect beleid]])</calculatedColumnFormula>
    </tableColumn>
  </tableColumns>
  <tableStyleInfo name="TableStyleMedium1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3675ADA-6544-4660-BF72-83377D3FACCE}" name="uitkomst_gegevensuitwisseling" displayName="uitkomst_gegevensuitwisseling" ref="A7:F71" totalsRowShown="0" headerRowDxfId="9" dataDxfId="7" headerRowBorderDxfId="8" tableBorderDxfId="6">
  <autoFilter ref="A7:F71" xr:uid="{1393821E-0F03-45BE-B833-01CD6F0FF995}"/>
  <tableColumns count="6">
    <tableColumn id="1" xr3:uid="{DBE581DB-60B1-407F-A054-987D7AC59878}" name="Veld" dataDxfId="5">
      <calculatedColumnFormula>INDEX(Technologieën[Veld],MATCH(B8,Technologieën[Digitale zorgtoepassing],0))</calculatedColumnFormula>
    </tableColumn>
    <tableColumn id="2" xr3:uid="{CD1E69FE-B349-48AD-A640-ABF48B858984}" name="Digitale zorgtoepassing" dataDxfId="4"/>
    <tableColumn id="6" xr3:uid="{BFF307AC-7741-4A21-B573-6ADC37610DC3}" name="Uitgangssituatie/effect beleid" dataDxfId="3"/>
    <tableColumn id="3" xr3:uid="{4F279DDB-F020-4ABE-8390-B1AE381FB189}" name="Totale opbrengsten (€)" dataDxfId="2">
      <calculatedColumnFormula>SUMIFS(uitkomst_tech[Arbeidsbesparing (€)],uitkomst_tech[Digitale zorgtoepassing],B8,uitkomst_tech[Jaar],$A$5,uitkomst_tech[Uitgangssituatie/effect beleid],uitkomst_gegevensuitwisseling[[#This Row],[Uitgangssituatie/effect beleid]])+SUMIFS(uitkomst_tech[Overige besparingen (€)],uitkomst_tech[Digitale zorgtoepassing],B8,uitkomst_tech[Jaar],$A$5,uitkomst_tech[Uitgangssituatie/effect beleid],uitkomst_gegevensuitwisseling[[#This Row],[Uitgangssituatie/effect beleid]])</calculatedColumnFormula>
    </tableColumn>
    <tableColumn id="4" xr3:uid="{7A0D240D-CD20-409B-B16D-399D416FFAAF}" name="Totale opbrengsten bij behalen ambitie gegevensuitwisseling (€)" dataDxfId="1">
      <calculatedColumnFormula>INDEX(Extra_gegevensuitwisseling[Schaalfactor opbrengsten],MATCH(B8,Extra_gegevensuitwisseling[Digitale zorgtoepassing],0))*uitkomst_gegevensuitwisseling[[#This Row],[Totale opbrengsten (€)]]</calculatedColumnFormula>
    </tableColumn>
    <tableColumn id="5" xr3:uid="{7730F4DA-BF1D-46D9-A531-AF5006C019A3}" name="Extra opbrengsten bij behalen ambitie gegevensuitwisseling (€)" dataDxfId="0">
      <calculatedColumnFormula>E8-D8</calculatedColumnFormula>
    </tableColumn>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C4B77DD-E686-436F-8523-16C287456471}" name="aanname_implementatie" displayName="aanname_implementatie" ref="A20:M84" totalsRowShown="0" headerRowDxfId="400" dataDxfId="399">
  <sortState xmlns:xlrd2="http://schemas.microsoft.com/office/spreadsheetml/2017/richdata2" ref="A21:M84">
    <sortCondition ref="B20:B84"/>
  </sortState>
  <tableColumns count="13">
    <tableColumn id="13" xr3:uid="{D73C7021-675D-4F67-9C75-FE82B5CFB393}" name="Veld" dataDxfId="398">
      <calculatedColumnFormula>INDEX(Technologieën[Veld],MATCH(aanname_implementatie[[#This Row],[Digitale zorgtoepassing]],Technologieën[Digitale zorgtoepassing],0))</calculatedColumnFormula>
    </tableColumn>
    <tableColumn id="1" xr3:uid="{D8CD6F84-D9A1-4DEA-9D0D-01DF1DAC5DAC}" name="Digitale zorgtoepassing" dataDxfId="397"/>
    <tableColumn id="2" xr3:uid="{6E600273-C47B-4AF5-A6D4-F2FF88D3C249}" name="Doelgroep" dataDxfId="396"/>
    <tableColumn id="3" xr3:uid="{FE36F178-1E7E-4FC1-B2F3-3BA13D5CC95F}" name="Direct toepasbaar/extrapolatie" dataDxfId="395">
      <calculatedColumnFormula array="1">INDEX(Berekening_patiëntaantal[Direct toepasbaar/extrapolatie/incidentie voor QALY],MATCH(B21,IF(Berekening_patiëntaantal[Doelgroep (zoeksleutel)]=C21,Berekening_patiëntaantal[Digitale zorgtoepassing]),0))</calculatedColumnFormula>
    </tableColumn>
    <tableColumn id="4" xr3:uid="{985D6034-0D15-4646-A186-4087A071FE52}" name="Inschatting huidige implementatiegraad" dataDxfId="394"/>
    <tableColumn id="5" xr3:uid="{A9581980-6ACB-43B1-8352-9CA571E74979}" name="Huidige implementatiegraad" dataDxfId="393">
      <calculatedColumnFormula>INDEX(factor_implementatie[Huidige implementatiegraad],MATCH(E21,factor_implementatie[Inschatting],0))</calculatedColumnFormula>
    </tableColumn>
    <tableColumn id="6" xr3:uid="{D966A218-5B8E-4225-9D9A-6FCA24CF7FD1}" name="Inschatting implementatiesnelheid" dataDxfId="392"/>
    <tableColumn id="7" xr3:uid="{0E6AE1F5-C80D-428E-8B17-92DCEF785952}" name="Coëfficient p" dataDxfId="391" dataCellStyle="Komma">
      <calculatedColumnFormula>INDEX(factor_implementatie[Mate van innovatie - coëfficient p],MATCH(G21,factor_implementatie[Mate van innovatie],0))</calculatedColumnFormula>
    </tableColumn>
    <tableColumn id="8" xr3:uid="{780BB730-30AC-40B5-A3E1-80572D788A9C}" name="Coëfficient q" dataDxfId="390" dataCellStyle="Komma">
      <calculatedColumnFormula>INDEX(factor_implementatie[Mate van imitatie - coëfficient q],MATCH(G21,factor_implementatie[Mate van innovatie],0))</calculatedColumnFormula>
    </tableColumn>
    <tableColumn id="9" xr3:uid="{8223B021-1C52-47BA-8BF5-EF40C56A9E02}" name="Vertraging (in jaren), alleen als niet geïmplementeerd" dataDxfId="389"/>
    <tableColumn id="10" xr3:uid="{649C5421-765F-4B81-9E38-CC4C894DE665}" name="Totaal vertraging" dataDxfId="388">
      <calculatedColumnFormula>IF(E21=$A$5,MAX(J21,0),0)</calculatedColumnFormula>
    </tableColumn>
    <tableColumn id="11" xr3:uid="{1CA5ED37-480A-4E23-B531-B0EC0724CD63}" name="Toelichting huidige implementatiegraad" dataDxfId="387"/>
    <tableColumn id="12" xr3:uid="{F19524C8-2148-49A1-9E32-82593C381A7D}" name="Toelichting implementatiesnelheid" dataDxfId="386"/>
  </tableColumns>
  <tableStyleInfo name="TableStyleMedium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0AB5886-8287-4831-A4B4-457D40F4A094}" name="Tabel18" displayName="Tabel18" ref="A2:X7" totalsRowShown="0" headerRowDxfId="385" dataDxfId="384">
  <autoFilter ref="A2:X7" xr:uid="{90AB5886-8287-4831-A4B4-457D40F4A094}"/>
  <tableColumns count="24">
    <tableColumn id="24" xr3:uid="{C4D17E18-4FF7-4591-92DB-57AF31566F04}" name="Instellingen" dataDxfId="383" dataCellStyle="Procent"/>
    <tableColumn id="1" xr3:uid="{A6A7AF20-5954-4140-9014-79F0E62A91E2}" name="p" dataDxfId="382" dataCellStyle="Komma">
      <calculatedColumnFormula>INDEX(factor_implementatie[Mate van innovatie - coëfficient p],MATCH(A3,factor_implementatie[Mate van innovatie],0))</calculatedColumnFormula>
    </tableColumn>
    <tableColumn id="2" xr3:uid="{1B4CCA54-185F-4A40-B2AB-F1B0FF643E07}" name="q" dataDxfId="381" dataCellStyle="Komma">
      <calculatedColumnFormula>INDEX(factor_implementatie[Mate van imitatie - coëfficient q],MATCH(A3,factor_implementatie[Mate van innovatie],0))</calculatedColumnFormula>
    </tableColumn>
    <tableColumn id="3" xr3:uid="{E583787E-CC58-4535-B832-A06608EA38F3}" name="0" dataDxfId="380" dataCellStyle="Procent"/>
    <tableColumn id="4" xr3:uid="{2B98FD05-5154-4D8C-931D-4930D7463C7C}" name="1" dataDxfId="379" dataCellStyle="Procent">
      <calculatedColumnFormula>D3+($B3*(1-D3))+($C3*D3*(1-D3))</calculatedColumnFormula>
    </tableColumn>
    <tableColumn id="5" xr3:uid="{0543E57C-1A04-4B3F-8904-FF423B35EB08}" name="2" dataDxfId="378" dataCellStyle="Procent">
      <calculatedColumnFormula>E3+($B3*(1-E3))+($C3*E3*(1-E3))</calculatedColumnFormula>
    </tableColumn>
    <tableColumn id="6" xr3:uid="{903CFAAB-1829-4A6C-9730-BD39019FFBC4}" name="3" dataDxfId="377" dataCellStyle="Procent">
      <calculatedColumnFormula>F3+($B3*(1-F3))+($C3*F3*(1-F3))</calculatedColumnFormula>
    </tableColumn>
    <tableColumn id="7" xr3:uid="{608E6F00-8621-46CA-9719-AC2A6A444C7B}" name="4" dataDxfId="376" dataCellStyle="Procent">
      <calculatedColumnFormula>G3+($B3*(1-G3))+($C3*G3*(1-G3))</calculatedColumnFormula>
    </tableColumn>
    <tableColumn id="8" xr3:uid="{8BB0E0C5-AFDC-45C3-83BF-22B66DFA2C76}" name="5" dataDxfId="375" dataCellStyle="Procent">
      <calculatedColumnFormula>H3+($B3*(1-H3))+($C3*H3*(1-H3))</calculatedColumnFormula>
    </tableColumn>
    <tableColumn id="9" xr3:uid="{A3A37463-AEB2-4834-94B0-E62BFE0D5223}" name="6" dataDxfId="374" dataCellStyle="Procent">
      <calculatedColumnFormula>I3+($B3*(1-I3))+($C3*I3*(1-I3))</calculatedColumnFormula>
    </tableColumn>
    <tableColumn id="10" xr3:uid="{4D8EF428-811F-455F-95CE-B0333C9B8256}" name="7" dataDxfId="373" dataCellStyle="Procent">
      <calculatedColumnFormula>J3+($B3*(1-J3))+($C3*J3*(1-J3))</calculatedColumnFormula>
    </tableColumn>
    <tableColumn id="11" xr3:uid="{62B1C71A-6BFF-44BB-8428-89D1313F2459}" name="8" dataDxfId="372" dataCellStyle="Procent">
      <calculatedColumnFormula>K3+($B3*(1-K3))+($C3*K3*(1-K3))</calculatedColumnFormula>
    </tableColumn>
    <tableColumn id="12" xr3:uid="{9B9FAE15-8D73-4EE0-A25B-9A86552C496F}" name="9" dataDxfId="371" dataCellStyle="Procent">
      <calculatedColumnFormula>L3+($B3*(1-L3))+($C3*L3*(1-L3))</calculatedColumnFormula>
    </tableColumn>
    <tableColumn id="13" xr3:uid="{7D404AB3-6EAF-4C07-920D-9B2A62837BF1}" name="10" dataDxfId="370" dataCellStyle="Procent">
      <calculatedColumnFormula>M3+($B3*(1-M3))+($C3*M3*(1-M3))</calculatedColumnFormula>
    </tableColumn>
    <tableColumn id="14" xr3:uid="{9AAD3160-0AF4-4E67-A384-94CEDC2EA636}" name="11" dataDxfId="369" dataCellStyle="Procent">
      <calculatedColumnFormula>N3+($B3*(1-N3))+($C3*N3*(1-N3))</calculatedColumnFormula>
    </tableColumn>
    <tableColumn id="15" xr3:uid="{C3DE5A55-9AE9-4548-AC6B-63FCE3906ADB}" name="12" dataDxfId="368" dataCellStyle="Procent">
      <calculatedColumnFormula>O3+($B3*(1-O3))+($C3*O3*(1-O3))</calculatedColumnFormula>
    </tableColumn>
    <tableColumn id="16" xr3:uid="{2D74CD28-0FD0-4DCC-9822-EBCE84F26FBF}" name="13" dataDxfId="367" dataCellStyle="Procent">
      <calculatedColumnFormula>P3+($B3*(1-P3))+($C3*P3*(1-P3))</calculatedColumnFormula>
    </tableColumn>
    <tableColumn id="17" xr3:uid="{7C4AA5AD-C8F2-48C3-A555-E80E7D387E1F}" name="14" dataDxfId="366" dataCellStyle="Procent">
      <calculatedColumnFormula>Q3+($B3*(1-Q3))+($C3*Q3*(1-Q3))</calculatedColumnFormula>
    </tableColumn>
    <tableColumn id="18" xr3:uid="{7E56AA84-85EF-4026-9BA7-3B8E18D29690}" name="15" dataDxfId="365" dataCellStyle="Procent">
      <calculatedColumnFormula>R3+($B3*(1-R3))+($C3*R3*(1-R3))</calculatedColumnFormula>
    </tableColumn>
    <tableColumn id="19" xr3:uid="{46E59CAB-BB4C-4009-ACE8-EF8864A982BF}" name="16" dataDxfId="364" dataCellStyle="Procent">
      <calculatedColumnFormula>S3+($B3*(1-S3))+($C3*S3*(1-S3))</calculatedColumnFormula>
    </tableColumn>
    <tableColumn id="20" xr3:uid="{C9F666DA-DF89-400A-AE38-0DEAAE1FCA24}" name="17" dataDxfId="363" dataCellStyle="Procent">
      <calculatedColumnFormula>T3+($B3*(1-T3))+($C3*T3*(1-T3))</calculatedColumnFormula>
    </tableColumn>
    <tableColumn id="21" xr3:uid="{B5E6E9F7-9718-4E9A-AAAC-1F7AD0DB38EC}" name="18" dataDxfId="362" dataCellStyle="Procent">
      <calculatedColumnFormula>U3+($B3*(1-U3))+($C3*U3*(1-U3))</calculatedColumnFormula>
    </tableColumn>
    <tableColumn id="22" xr3:uid="{C876C74B-2E00-4706-A0C9-2975F9098781}" name="19" dataDxfId="361" dataCellStyle="Procent">
      <calculatedColumnFormula>V3+($B3*(1-V3))+($C3*V3*(1-V3))</calculatedColumnFormula>
    </tableColumn>
    <tableColumn id="23" xr3:uid="{C513AF69-F338-403C-A533-1893A2DD38B9}" name="20" dataDxfId="360" dataCellStyle="Procent">
      <calculatedColumnFormula>W3+($B3*(1-W3))+($C3*W3*(1-W3))</calculatedColumnFormula>
    </tableColumn>
  </tableColumns>
  <tableStyleInfo name="TableStyleMedium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0DDEED9-560B-4BE5-8950-B01B21DDC7E5}" name="Tabel8" displayName="Tabel8" ref="A9:C14" totalsRowShown="0" headerRowDxfId="359" dataDxfId="358">
  <autoFilter ref="A9:C14" xr:uid="{70DDEED9-560B-4BE5-8950-B01B21DDC7E5}"/>
  <tableColumns count="3">
    <tableColumn id="1" xr3:uid="{12F50FA9-9E3E-4B64-B64F-DDA54981A53D}" name="Inschatting" dataDxfId="357"/>
    <tableColumn id="3" xr3:uid="{03645B89-3394-4150-B421-66337AD9E80C}" name="Instellingen" dataDxfId="356"/>
    <tableColumn id="2" xr3:uid="{A64AB702-A7A0-40A2-9E78-FD5E7A74650F}" name="Aantal doelgroep-technologieën" dataDxfId="355">
      <calculatedColumnFormula>COUNTIFS(aanname_implementatie[Inschatting huidige implementatiegraad],A10,aanname_implementatie[Direct toepasbaar/extrapolatie],"Huidige toepassing")</calculatedColumnFormula>
    </tableColumn>
  </tableColumns>
  <tableStyleInfo name="TableStyleMedium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71BEB15-A06D-4A40-9004-B87FAF5A4A2B}" name="afslagen_beleid" displayName="afslagen_beleid" ref="A4:J18" totalsRowShown="0" dataDxfId="354">
  <autoFilter ref="A4:J18" xr:uid="{871BEB15-A06D-4A40-9004-B87FAF5A4A2B}"/>
  <sortState xmlns:xlrd2="http://schemas.microsoft.com/office/spreadsheetml/2017/richdata2" ref="A5:J18">
    <sortCondition ref="D4:D18"/>
  </sortState>
  <tableColumns count="10">
    <tableColumn id="9" xr3:uid="{3F7501E8-0363-4636-8458-454D4EE23303}" name="Situatie" dataDxfId="353">
      <calculatedColumnFormula>'A1 Algemene resultaten'!$B$51</calculatedColumnFormula>
    </tableColumn>
    <tableColumn id="8" xr3:uid="{0231BF45-B7D6-4903-8B3D-6F0585B05FCE}" name="Impact afhankelijk van acceptatie burgers" dataDxfId="352"/>
    <tableColumn id="2" xr3:uid="{9B7B1858-84B8-4B50-AB98-4AA820C48247}" name="Bestaand/nieuw beleid" dataDxfId="351"/>
    <tableColumn id="3" xr3:uid="{B0DA37DF-14C3-4A9E-81A2-349F39B15E48}" name="Beleidscategorie" dataDxfId="350"/>
    <tableColumn id="12" xr3:uid="{8723B758-D2C0-42AA-88E6-C5757E94BCB9}" name="Verandering implementatiesnelheid (in aantal stappen)" dataDxfId="349"/>
    <tableColumn id="4" xr3:uid="{F9C4E083-DBD0-42AB-B4C3-BA6EB49E602A}" name="Factor p" dataDxfId="348">
      <calculatedColumnFormula>afslagen_beleid[[#This Row],[Verandering implementatiesnelheid (in aantal stappen)]]*('B1 Aannames - implementatie'!$D$9-'B1 Aannames - implementatie'!$D$5)/4</calculatedColumnFormula>
    </tableColumn>
    <tableColumn id="5" xr3:uid="{60D02D02-3D1F-468E-B6FA-EE2FD17DB4F8}" name="Factor q" dataDxfId="347">
      <calculatedColumnFormula>afslagen_beleid[[#This Row],[Verandering implementatiesnelheid (in aantal stappen)]]*('B1 Aannames - implementatie'!$E$9-'B1 Aannames - implementatie'!$E$5)/4</calculatedColumnFormula>
    </tableColumn>
    <tableColumn id="13" xr3:uid="{738C4FFC-87A8-4CF5-B381-CAACA05132A8}" name="Beleid gehaald?" dataDxfId="346">
      <calculatedColumnFormula array="1">INDEX(situaties[Beleid gehaald?],MATCH(A5,IF(situaties[Beleidscategorie]=afslagen_beleid[[#This Row],[Beleidscategorie]],situaties[Situatie]),0))</calculatedColumnFormula>
    </tableColumn>
    <tableColumn id="6" xr3:uid="{06C7F3FB-63EF-4BFA-BA86-E3FCA8441C40}" name="Opslag p" dataDxfId="345">
      <calculatedColumnFormula array="1">_xlfn.IFS(AND(afslagen_beleid[[#This Row],[Bestaand/nieuw beleid]]="Nieuw",afslagen_beleid[[#This Row],[Beleid gehaald?]]="Ja"),afslagen_beleid[[#This Row],[Factor p]],AND(afslagen_beleid[[#This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p]])</calculatedColumnFormula>
    </tableColumn>
    <tableColumn id="7" xr3:uid="{4501BC50-6FC9-409D-A085-175F67623D83}" name="Opslag q" dataDxfId="344">
      <calculatedColumnFormula array="1">_xlfn.IFS(AND(afslagen_beleid[[#This Row],[Bestaand/nieuw beleid]]="Nieuw",afslagen_beleid[[#This Row],[Beleid gehaald?]]="Ja"),afslagen_beleid[[#This Row],[Factor q]],AND(afslagen_beleid[[#This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q]])</calculatedColumnFormula>
    </tableColumn>
  </tableColumns>
  <tableStyleInfo name="TableStyleMedium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DC4E043-63B8-4784-99C2-CE75D092733A}" name="situaties" displayName="situaties" ref="A21:D77" totalsRowShown="0" headerRowDxfId="343" dataDxfId="342">
  <autoFilter ref="A21:D77" xr:uid="{ADC4E043-63B8-4784-99C2-CE75D092733A}"/>
  <tableColumns count="4">
    <tableColumn id="1" xr3:uid="{9B4D9040-141B-48B3-B3E7-5EC04518E7A4}" name="Situatie" dataDxfId="341"/>
    <tableColumn id="2" xr3:uid="{51E0CB21-2F65-48AC-9A91-60CDF524D367}" name="Bestaand/nieuw beleid" dataDxfId="340"/>
    <tableColumn id="3" xr3:uid="{C72D20B2-F860-40A7-A45F-1CA1849442EC}" name="Beleidscategorie" dataDxfId="339"/>
    <tableColumn id="4" xr3:uid="{430BF05C-3491-4AD4-BF76-22287A53F381}" name="Beleid gehaald?" dataDxfId="338"/>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3D86320-9F55-452A-89E6-5B78FCF71258}" name="acceptatie_burgers" displayName="acceptatie_burgers" ref="A4:D37" totalsRowShown="0" headerRowDxfId="337" headerRowBorderDxfId="336" tableBorderDxfId="335">
  <autoFilter ref="A4:D37" xr:uid="{63D86320-9F55-452A-89E6-5B78FCF71258}"/>
  <sortState xmlns:xlrd2="http://schemas.microsoft.com/office/spreadsheetml/2017/richdata2" ref="A5:D37">
    <sortCondition ref="B4:B37"/>
  </sortState>
  <tableColumns count="4">
    <tableColumn id="1" xr3:uid="{463D8567-6F23-4031-B041-207BE826D2F5}" name="Veld" dataDxfId="334"/>
    <tableColumn id="2" xr3:uid="{187F1970-3096-43DD-9C4E-FC7A0C8D1A7F}" name="Digitale zorgtoepassing" dataDxfId="333"/>
    <tableColumn id="3" xr3:uid="{F9DB11FA-615C-483F-B1F9-7AA6418942D9}" name="Impact afhankelijk van acceptatie burgers?" dataDxfId="332"/>
    <tableColumn id="4" xr3:uid="{930EB166-A7A8-4CB1-A298-F972ECF89498}" name="Toelichting (indien niet afhankelijk van acceptatie burgers)" dataDxfId="331"/>
  </tableColumns>
  <tableStyleInfo name="TableStyleMedium16"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B11514A5-33C8-475A-8633-0FAE84C0A24D}" name="Extra_gegevensuitwisseling" displayName="Extra_gegevensuitwisseling" ref="A11:D44" totalsRowShown="0" headerRowDxfId="330" headerRowBorderDxfId="329" tableBorderDxfId="328">
  <autoFilter ref="A11:D44" xr:uid="{B11514A5-33C8-475A-8633-0FAE84C0A24D}"/>
  <tableColumns count="4">
    <tableColumn id="1" xr3:uid="{42AD1197-984F-43C5-8F36-3D0110D5FA36}" name="Veld" dataDxfId="327"/>
    <tableColumn id="2" xr3:uid="{78758DF8-D5DF-4EED-9526-0178F91A0D02}" name="Digitale zorgtoepassing" dataDxfId="326"/>
    <tableColumn id="3" xr3:uid="{B1E9BD06-B803-4D9D-BA1E-8A5DFFC3F42E}" name="Impact gegevensuitwisseling" dataDxfId="325"/>
    <tableColumn id="4" xr3:uid="{B717E42B-B6D8-480E-A101-F8A53C63E02C}" name="Schaalfactor opbrengsten" dataDxfId="324" dataCellStyle="Komma">
      <calculatedColumnFormula>VLOOKUP(C12,Impact_gegevensuitwisseling,2,FALSE)</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Nieuwe huisstijl - def kleurenschema">
      <a:dk1>
        <a:srgbClr val="000000"/>
      </a:dk1>
      <a:lt1>
        <a:sysClr val="window" lastClr="FFFFFF"/>
      </a:lt1>
      <a:dk2>
        <a:srgbClr val="003F5A"/>
      </a:dk2>
      <a:lt2>
        <a:srgbClr val="83C4CF"/>
      </a:lt2>
      <a:accent1>
        <a:srgbClr val="003F5A"/>
      </a:accent1>
      <a:accent2>
        <a:srgbClr val="1AB589"/>
      </a:accent2>
      <a:accent3>
        <a:srgbClr val="83C4CF"/>
      </a:accent3>
      <a:accent4>
        <a:srgbClr val="4C4B47"/>
      </a:accent4>
      <a:accent5>
        <a:srgbClr val="428CCF"/>
      </a:accent5>
      <a:accent6>
        <a:srgbClr val="C3B233"/>
      </a:accent6>
      <a:hlink>
        <a:srgbClr val="FF9900"/>
      </a:hlink>
      <a:folHlink>
        <a:srgbClr val="00CC99"/>
      </a:folHlink>
    </a:clrScheme>
    <a:fontScheme name="nieuwe huisstijl">
      <a:majorFont>
        <a:latin typeface="Rufina"/>
        <a:ea typeface="MS Gothic"/>
        <a:cs typeface=""/>
      </a:majorFont>
      <a:minorFont>
        <a:latin typeface="Nunito"/>
        <a:ea typeface="MS Gothic"/>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SiRM grafieken">
    <a:dk1>
      <a:sysClr val="windowText" lastClr="000000"/>
    </a:dk1>
    <a:lt1>
      <a:sysClr val="window" lastClr="FFFFFF"/>
    </a:lt1>
    <a:dk2>
      <a:srgbClr val="003F5A"/>
    </a:dk2>
    <a:lt2>
      <a:srgbClr val="FFFFFF"/>
    </a:lt2>
    <a:accent1>
      <a:srgbClr val="003F5A"/>
    </a:accent1>
    <a:accent2>
      <a:srgbClr val="1AB589"/>
    </a:accent2>
    <a:accent3>
      <a:srgbClr val="83C4CF"/>
    </a:accent3>
    <a:accent4>
      <a:srgbClr val="4C4B47"/>
    </a:accent4>
    <a:accent5>
      <a:srgbClr val="428CCF"/>
    </a:accent5>
    <a:accent6>
      <a:srgbClr val="C3B233"/>
    </a:accent6>
    <a:hlink>
      <a:srgbClr val="003F5A"/>
    </a:hlink>
    <a:folHlink>
      <a:srgbClr val="003F5A"/>
    </a:folHlink>
  </a:clrScheme>
  <a:fontScheme name="SiRM">
    <a:majorFont>
      <a:latin typeface="Rufina"/>
      <a:ea typeface=""/>
      <a:cs typeface=""/>
    </a:majorFont>
    <a:minorFont>
      <a:latin typeface="Nunito"/>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SiRM grafieken">
    <a:dk1>
      <a:sysClr val="windowText" lastClr="000000"/>
    </a:dk1>
    <a:lt1>
      <a:sysClr val="window" lastClr="FFFFFF"/>
    </a:lt1>
    <a:dk2>
      <a:srgbClr val="003F5A"/>
    </a:dk2>
    <a:lt2>
      <a:srgbClr val="FFFFFF"/>
    </a:lt2>
    <a:accent1>
      <a:srgbClr val="003F5A"/>
    </a:accent1>
    <a:accent2>
      <a:srgbClr val="1AB589"/>
    </a:accent2>
    <a:accent3>
      <a:srgbClr val="83C4CF"/>
    </a:accent3>
    <a:accent4>
      <a:srgbClr val="4C4B47"/>
    </a:accent4>
    <a:accent5>
      <a:srgbClr val="428CCF"/>
    </a:accent5>
    <a:accent6>
      <a:srgbClr val="C3B233"/>
    </a:accent6>
    <a:hlink>
      <a:srgbClr val="003F5A"/>
    </a:hlink>
    <a:folHlink>
      <a:srgbClr val="003F5A"/>
    </a:folHlink>
  </a:clrScheme>
  <a:fontScheme name="SiRM">
    <a:majorFont>
      <a:latin typeface="Rufina"/>
      <a:ea typeface=""/>
      <a:cs typeface=""/>
    </a:majorFont>
    <a:minorFont>
      <a:latin typeface="Nunito"/>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SiRM grafieken">
    <a:dk1>
      <a:sysClr val="windowText" lastClr="000000"/>
    </a:dk1>
    <a:lt1>
      <a:sysClr val="window" lastClr="FFFFFF"/>
    </a:lt1>
    <a:dk2>
      <a:srgbClr val="003F5A"/>
    </a:dk2>
    <a:lt2>
      <a:srgbClr val="FFFFFF"/>
    </a:lt2>
    <a:accent1>
      <a:srgbClr val="003F5A"/>
    </a:accent1>
    <a:accent2>
      <a:srgbClr val="1AB589"/>
    </a:accent2>
    <a:accent3>
      <a:srgbClr val="83C4CF"/>
    </a:accent3>
    <a:accent4>
      <a:srgbClr val="4C4B47"/>
    </a:accent4>
    <a:accent5>
      <a:srgbClr val="428CCF"/>
    </a:accent5>
    <a:accent6>
      <a:srgbClr val="C3B233"/>
    </a:accent6>
    <a:hlink>
      <a:srgbClr val="003F5A"/>
    </a:hlink>
    <a:folHlink>
      <a:srgbClr val="003F5A"/>
    </a:folHlink>
  </a:clrScheme>
  <a:fontScheme name="SiRM">
    <a:majorFont>
      <a:latin typeface="Rufina"/>
      <a:ea typeface=""/>
      <a:cs typeface=""/>
    </a:majorFont>
    <a:minorFont>
      <a:latin typeface="Nunito"/>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SiRM grafieken">
    <a:dk1>
      <a:sysClr val="windowText" lastClr="000000"/>
    </a:dk1>
    <a:lt1>
      <a:sysClr val="window" lastClr="FFFFFF"/>
    </a:lt1>
    <a:dk2>
      <a:srgbClr val="003F5A"/>
    </a:dk2>
    <a:lt2>
      <a:srgbClr val="FFFFFF"/>
    </a:lt2>
    <a:accent1>
      <a:srgbClr val="003F5A"/>
    </a:accent1>
    <a:accent2>
      <a:srgbClr val="1AB589"/>
    </a:accent2>
    <a:accent3>
      <a:srgbClr val="83C4CF"/>
    </a:accent3>
    <a:accent4>
      <a:srgbClr val="4C4B47"/>
    </a:accent4>
    <a:accent5>
      <a:srgbClr val="428CCF"/>
    </a:accent5>
    <a:accent6>
      <a:srgbClr val="C3B233"/>
    </a:accent6>
    <a:hlink>
      <a:srgbClr val="003F5A"/>
    </a:hlink>
    <a:folHlink>
      <a:srgbClr val="003F5A"/>
    </a:folHlink>
  </a:clrScheme>
  <a:fontScheme name="SiRM">
    <a:majorFont>
      <a:latin typeface="Rufina"/>
      <a:ea typeface=""/>
      <a:cs typeface=""/>
    </a:majorFont>
    <a:minorFont>
      <a:latin typeface="Nunito"/>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SiRM grafieken">
    <a:dk1>
      <a:sysClr val="windowText" lastClr="000000"/>
    </a:dk1>
    <a:lt1>
      <a:sysClr val="window" lastClr="FFFFFF"/>
    </a:lt1>
    <a:dk2>
      <a:srgbClr val="003F5A"/>
    </a:dk2>
    <a:lt2>
      <a:srgbClr val="FFFFFF"/>
    </a:lt2>
    <a:accent1>
      <a:srgbClr val="003F5A"/>
    </a:accent1>
    <a:accent2>
      <a:srgbClr val="1AB589"/>
    </a:accent2>
    <a:accent3>
      <a:srgbClr val="83C4CF"/>
    </a:accent3>
    <a:accent4>
      <a:srgbClr val="4C4B47"/>
    </a:accent4>
    <a:accent5>
      <a:srgbClr val="428CCF"/>
    </a:accent5>
    <a:accent6>
      <a:srgbClr val="C3B233"/>
    </a:accent6>
    <a:hlink>
      <a:srgbClr val="003F5A"/>
    </a:hlink>
    <a:folHlink>
      <a:srgbClr val="003F5A"/>
    </a:folHlink>
  </a:clrScheme>
  <a:fontScheme name="SiRM">
    <a:majorFont>
      <a:latin typeface="Rufina"/>
      <a:ea typeface=""/>
      <a:cs typeface=""/>
    </a:majorFont>
    <a:minorFont>
      <a:latin typeface="Nunito"/>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SiRM grafieken">
    <a:dk1>
      <a:sysClr val="windowText" lastClr="000000"/>
    </a:dk1>
    <a:lt1>
      <a:sysClr val="window" lastClr="FFFFFF"/>
    </a:lt1>
    <a:dk2>
      <a:srgbClr val="003F5A"/>
    </a:dk2>
    <a:lt2>
      <a:srgbClr val="FFFFFF"/>
    </a:lt2>
    <a:accent1>
      <a:srgbClr val="003F5A"/>
    </a:accent1>
    <a:accent2>
      <a:srgbClr val="1AB589"/>
    </a:accent2>
    <a:accent3>
      <a:srgbClr val="83C4CF"/>
    </a:accent3>
    <a:accent4>
      <a:srgbClr val="4C4B47"/>
    </a:accent4>
    <a:accent5>
      <a:srgbClr val="428CCF"/>
    </a:accent5>
    <a:accent6>
      <a:srgbClr val="C3B233"/>
    </a:accent6>
    <a:hlink>
      <a:srgbClr val="003F5A"/>
    </a:hlink>
    <a:folHlink>
      <a:srgbClr val="003F5A"/>
    </a:folHlink>
  </a:clrScheme>
  <a:fontScheme name="SiRM">
    <a:majorFont>
      <a:latin typeface="Rufina"/>
      <a:ea typeface=""/>
      <a:cs typeface=""/>
    </a:majorFont>
    <a:minorFont>
      <a:latin typeface="Nunito"/>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Custom 2">
    <a:dk1>
      <a:srgbClr val="000000"/>
    </a:dk1>
    <a:lt1>
      <a:sysClr val="window" lastClr="FFFFFF"/>
    </a:lt1>
    <a:dk2>
      <a:srgbClr val="003F5A"/>
    </a:dk2>
    <a:lt2>
      <a:srgbClr val="83C4CF"/>
    </a:lt2>
    <a:accent1>
      <a:srgbClr val="003F5A"/>
    </a:accent1>
    <a:accent2>
      <a:srgbClr val="1AB589"/>
    </a:accent2>
    <a:accent3>
      <a:srgbClr val="83C4CF"/>
    </a:accent3>
    <a:accent4>
      <a:srgbClr val="4C4B47"/>
    </a:accent4>
    <a:accent5>
      <a:srgbClr val="428CCF"/>
    </a:accent5>
    <a:accent6>
      <a:srgbClr val="C3B233"/>
    </a:accent6>
    <a:hlink>
      <a:srgbClr val="FF9900"/>
    </a:hlink>
    <a:folHlink>
      <a:srgbClr val="00CC99"/>
    </a:folHlink>
  </a:clrScheme>
  <a:fontScheme name="nieuwe huisstijl">
    <a:majorFont>
      <a:latin typeface="Rufina"/>
      <a:ea typeface="MS Gothic"/>
      <a:cs typeface=""/>
    </a:majorFont>
    <a:minorFont>
      <a:latin typeface="Nunito"/>
      <a:ea typeface="MS Gothic"/>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SiRM grafieken">
    <a:dk1>
      <a:sysClr val="windowText" lastClr="000000"/>
    </a:dk1>
    <a:lt1>
      <a:sysClr val="window" lastClr="FFFFFF"/>
    </a:lt1>
    <a:dk2>
      <a:srgbClr val="003F5A"/>
    </a:dk2>
    <a:lt2>
      <a:srgbClr val="FFFFFF"/>
    </a:lt2>
    <a:accent1>
      <a:srgbClr val="003F5A"/>
    </a:accent1>
    <a:accent2>
      <a:srgbClr val="1AB589"/>
    </a:accent2>
    <a:accent3>
      <a:srgbClr val="83C4CF"/>
    </a:accent3>
    <a:accent4>
      <a:srgbClr val="4C4B47"/>
    </a:accent4>
    <a:accent5>
      <a:srgbClr val="428CCF"/>
    </a:accent5>
    <a:accent6>
      <a:srgbClr val="C3B233"/>
    </a:accent6>
    <a:hlink>
      <a:srgbClr val="003F5A"/>
    </a:hlink>
    <a:folHlink>
      <a:srgbClr val="003F5A"/>
    </a:folHlink>
  </a:clrScheme>
  <a:fontScheme name="SiRM">
    <a:majorFont>
      <a:latin typeface="Rufina"/>
      <a:ea typeface=""/>
      <a:cs typeface=""/>
    </a:majorFont>
    <a:minorFont>
      <a:latin typeface="Nunito"/>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SiRM grafieken">
    <a:dk1>
      <a:sysClr val="windowText" lastClr="000000"/>
    </a:dk1>
    <a:lt1>
      <a:sysClr val="window" lastClr="FFFFFF"/>
    </a:lt1>
    <a:dk2>
      <a:srgbClr val="003F5A"/>
    </a:dk2>
    <a:lt2>
      <a:srgbClr val="FFFFFF"/>
    </a:lt2>
    <a:accent1>
      <a:srgbClr val="003F5A"/>
    </a:accent1>
    <a:accent2>
      <a:srgbClr val="1AB589"/>
    </a:accent2>
    <a:accent3>
      <a:srgbClr val="83C4CF"/>
    </a:accent3>
    <a:accent4>
      <a:srgbClr val="4C4B47"/>
    </a:accent4>
    <a:accent5>
      <a:srgbClr val="428CCF"/>
    </a:accent5>
    <a:accent6>
      <a:srgbClr val="C3B233"/>
    </a:accent6>
    <a:hlink>
      <a:srgbClr val="003F5A"/>
    </a:hlink>
    <a:folHlink>
      <a:srgbClr val="003F5A"/>
    </a:folHlink>
  </a:clrScheme>
  <a:fontScheme name="SiRM">
    <a:majorFont>
      <a:latin typeface="Rufina"/>
      <a:ea typeface=""/>
      <a:cs typeface=""/>
    </a:majorFont>
    <a:minorFont>
      <a:latin typeface="Nunito"/>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SiRM grafieken">
    <a:dk1>
      <a:sysClr val="windowText" lastClr="000000"/>
    </a:dk1>
    <a:lt1>
      <a:sysClr val="window" lastClr="FFFFFF"/>
    </a:lt1>
    <a:dk2>
      <a:srgbClr val="003F5A"/>
    </a:dk2>
    <a:lt2>
      <a:srgbClr val="FFFFFF"/>
    </a:lt2>
    <a:accent1>
      <a:srgbClr val="003F5A"/>
    </a:accent1>
    <a:accent2>
      <a:srgbClr val="1AB589"/>
    </a:accent2>
    <a:accent3>
      <a:srgbClr val="83C4CF"/>
    </a:accent3>
    <a:accent4>
      <a:srgbClr val="4C4B47"/>
    </a:accent4>
    <a:accent5>
      <a:srgbClr val="428CCF"/>
    </a:accent5>
    <a:accent6>
      <a:srgbClr val="C3B233"/>
    </a:accent6>
    <a:hlink>
      <a:srgbClr val="003F5A"/>
    </a:hlink>
    <a:folHlink>
      <a:srgbClr val="003F5A"/>
    </a:folHlink>
  </a:clrScheme>
  <a:fontScheme name="SiRM">
    <a:majorFont>
      <a:latin typeface="Rufina"/>
      <a:ea typeface=""/>
      <a:cs typeface=""/>
    </a:majorFont>
    <a:minorFont>
      <a:latin typeface="Nunito"/>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Custom 2">
    <a:dk1>
      <a:srgbClr val="000000"/>
    </a:dk1>
    <a:lt1>
      <a:sysClr val="window" lastClr="FFFFFF"/>
    </a:lt1>
    <a:dk2>
      <a:srgbClr val="003F5A"/>
    </a:dk2>
    <a:lt2>
      <a:srgbClr val="83C4CF"/>
    </a:lt2>
    <a:accent1>
      <a:srgbClr val="003F5A"/>
    </a:accent1>
    <a:accent2>
      <a:srgbClr val="1AB589"/>
    </a:accent2>
    <a:accent3>
      <a:srgbClr val="83C4CF"/>
    </a:accent3>
    <a:accent4>
      <a:srgbClr val="4C4B47"/>
    </a:accent4>
    <a:accent5>
      <a:srgbClr val="428CCF"/>
    </a:accent5>
    <a:accent6>
      <a:srgbClr val="C3B233"/>
    </a:accent6>
    <a:hlink>
      <a:srgbClr val="FF9900"/>
    </a:hlink>
    <a:folHlink>
      <a:srgbClr val="00CC99"/>
    </a:folHlink>
  </a:clrScheme>
  <a:fontScheme name="nieuwe huisstijl">
    <a:majorFont>
      <a:latin typeface="Rufina"/>
      <a:ea typeface="MS Gothic"/>
      <a:cs typeface=""/>
    </a:majorFont>
    <a:minorFont>
      <a:latin typeface="Nunito"/>
      <a:ea typeface="MS Gothic"/>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SiRM grafieken">
    <a:dk1>
      <a:sysClr val="windowText" lastClr="000000"/>
    </a:dk1>
    <a:lt1>
      <a:sysClr val="window" lastClr="FFFFFF"/>
    </a:lt1>
    <a:dk2>
      <a:srgbClr val="003F5A"/>
    </a:dk2>
    <a:lt2>
      <a:srgbClr val="FFFFFF"/>
    </a:lt2>
    <a:accent1>
      <a:srgbClr val="003F5A"/>
    </a:accent1>
    <a:accent2>
      <a:srgbClr val="1AB589"/>
    </a:accent2>
    <a:accent3>
      <a:srgbClr val="83C4CF"/>
    </a:accent3>
    <a:accent4>
      <a:srgbClr val="4C4B47"/>
    </a:accent4>
    <a:accent5>
      <a:srgbClr val="428CCF"/>
    </a:accent5>
    <a:accent6>
      <a:srgbClr val="C3B233"/>
    </a:accent6>
    <a:hlink>
      <a:srgbClr val="003F5A"/>
    </a:hlink>
    <a:folHlink>
      <a:srgbClr val="003F5A"/>
    </a:folHlink>
  </a:clrScheme>
  <a:fontScheme name="SiRM">
    <a:majorFont>
      <a:latin typeface="Rufina"/>
      <a:ea typeface=""/>
      <a:cs typeface=""/>
    </a:majorFont>
    <a:minorFont>
      <a:latin typeface="Nunito"/>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SiRM grafieken">
    <a:dk1>
      <a:sysClr val="windowText" lastClr="000000"/>
    </a:dk1>
    <a:lt1>
      <a:sysClr val="window" lastClr="FFFFFF"/>
    </a:lt1>
    <a:dk2>
      <a:srgbClr val="003F5A"/>
    </a:dk2>
    <a:lt2>
      <a:srgbClr val="FFFFFF"/>
    </a:lt2>
    <a:accent1>
      <a:srgbClr val="003F5A"/>
    </a:accent1>
    <a:accent2>
      <a:srgbClr val="1AB589"/>
    </a:accent2>
    <a:accent3>
      <a:srgbClr val="83C4CF"/>
    </a:accent3>
    <a:accent4>
      <a:srgbClr val="4C4B47"/>
    </a:accent4>
    <a:accent5>
      <a:srgbClr val="428CCF"/>
    </a:accent5>
    <a:accent6>
      <a:srgbClr val="C3B233"/>
    </a:accent6>
    <a:hlink>
      <a:srgbClr val="003F5A"/>
    </a:hlink>
    <a:folHlink>
      <a:srgbClr val="003F5A"/>
    </a:folHlink>
  </a:clrScheme>
  <a:fontScheme name="SiRM">
    <a:majorFont>
      <a:latin typeface="Rufina"/>
      <a:ea typeface=""/>
      <a:cs typeface=""/>
    </a:majorFont>
    <a:minorFont>
      <a:latin typeface="Nunito"/>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SiRM grafieken">
    <a:dk1>
      <a:sysClr val="windowText" lastClr="000000"/>
    </a:dk1>
    <a:lt1>
      <a:sysClr val="window" lastClr="FFFFFF"/>
    </a:lt1>
    <a:dk2>
      <a:srgbClr val="003F5A"/>
    </a:dk2>
    <a:lt2>
      <a:srgbClr val="FFFFFF"/>
    </a:lt2>
    <a:accent1>
      <a:srgbClr val="003F5A"/>
    </a:accent1>
    <a:accent2>
      <a:srgbClr val="1AB589"/>
    </a:accent2>
    <a:accent3>
      <a:srgbClr val="83C4CF"/>
    </a:accent3>
    <a:accent4>
      <a:srgbClr val="4C4B47"/>
    </a:accent4>
    <a:accent5>
      <a:srgbClr val="428CCF"/>
    </a:accent5>
    <a:accent6>
      <a:srgbClr val="C3B233"/>
    </a:accent6>
    <a:hlink>
      <a:srgbClr val="003F5A"/>
    </a:hlink>
    <a:folHlink>
      <a:srgbClr val="003F5A"/>
    </a:folHlink>
  </a:clrScheme>
  <a:fontScheme name="SiRM">
    <a:majorFont>
      <a:latin typeface="Rufina"/>
      <a:ea typeface=""/>
      <a:cs typeface=""/>
    </a:majorFont>
    <a:minorFont>
      <a:latin typeface="Nunito"/>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SiRM grafieken">
    <a:dk1>
      <a:sysClr val="windowText" lastClr="000000"/>
    </a:dk1>
    <a:lt1>
      <a:sysClr val="window" lastClr="FFFFFF"/>
    </a:lt1>
    <a:dk2>
      <a:srgbClr val="003F5A"/>
    </a:dk2>
    <a:lt2>
      <a:srgbClr val="FFFFFF"/>
    </a:lt2>
    <a:accent1>
      <a:srgbClr val="003F5A"/>
    </a:accent1>
    <a:accent2>
      <a:srgbClr val="1AB589"/>
    </a:accent2>
    <a:accent3>
      <a:srgbClr val="83C4CF"/>
    </a:accent3>
    <a:accent4>
      <a:srgbClr val="4C4B47"/>
    </a:accent4>
    <a:accent5>
      <a:srgbClr val="428CCF"/>
    </a:accent5>
    <a:accent6>
      <a:srgbClr val="C3B233"/>
    </a:accent6>
    <a:hlink>
      <a:srgbClr val="003F5A"/>
    </a:hlink>
    <a:folHlink>
      <a:srgbClr val="003F5A"/>
    </a:folHlink>
  </a:clrScheme>
  <a:fontScheme name="SiRM">
    <a:majorFont>
      <a:latin typeface="Rufina"/>
      <a:ea typeface=""/>
      <a:cs typeface=""/>
    </a:majorFont>
    <a:minorFont>
      <a:latin typeface="Nunito"/>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elelock.nl/webshop/alle-producten/telelock/" TargetMode="External"/><Relationship Id="rId13" Type="http://schemas.openxmlformats.org/officeDocument/2006/relationships/hyperlink" Target="https://www.medischcontact.nl/actueel/laatste-nieuws/artikel/telemonitoring-verbetert-parkinsonzorg" TargetMode="External"/><Relationship Id="rId18" Type="http://schemas.openxmlformats.org/officeDocument/2006/relationships/table" Target="../tables/table10.xml"/><Relationship Id="rId3" Type="http://schemas.openxmlformats.org/officeDocument/2006/relationships/hyperlink" Target="https://www.opendisdata.nl/msz/zorgproduct/040201021" TargetMode="External"/><Relationship Id="rId7" Type="http://schemas.openxmlformats.org/officeDocument/2006/relationships/hyperlink" Target="https://www.uwcompaan.nl/over-onze-tablets/bestellen/" TargetMode="External"/><Relationship Id="rId12" Type="http://schemas.openxmlformats.org/officeDocument/2006/relationships/hyperlink" Target="https://www.philips.nl/healthcare/sites/lumify/products-accessories" TargetMode="External"/><Relationship Id="rId17" Type="http://schemas.openxmlformats.org/officeDocument/2006/relationships/vmlDrawing" Target="../drawings/vmlDrawing1.vml"/><Relationship Id="rId2" Type="http://schemas.openxmlformats.org/officeDocument/2006/relationships/hyperlink" Target="https://www.zorgvisie.nl/etz-koppelt-slimme-pleister-aan-epd/" TargetMode="External"/><Relationship Id="rId16" Type="http://schemas.openxmlformats.org/officeDocument/2006/relationships/printerSettings" Target="../printerSettings/printerSettings7.bin"/><Relationship Id="rId1" Type="http://schemas.openxmlformats.org/officeDocument/2006/relationships/hyperlink" Target="https://icthealth.nl/online-magazine/editie-01-2023/impact-tinybot-tessa-op-zelfredzaamheid/?print=pdf" TargetMode="External"/><Relationship Id="rId6" Type="http://schemas.openxmlformats.org/officeDocument/2006/relationships/hyperlink" Target="https://www.umcutrecht.nl/nieuws/deltascan-toont-kans-op-delirium" TargetMode="External"/><Relationship Id="rId11" Type="http://schemas.openxmlformats.org/officeDocument/2006/relationships/hyperlink" Target="https://www.umcutrecht.nl/nieuws/app-voor-hoog-risico-zwangere-succesvol" TargetMode="External"/><Relationship Id="rId5" Type="http://schemas.openxmlformats.org/officeDocument/2006/relationships/hyperlink" Target="https://pubmed.ncbi.nlm.nih.gov/27475635/" TargetMode="External"/><Relationship Id="rId15" Type="http://schemas.openxmlformats.org/officeDocument/2006/relationships/hyperlink" Target="mailto:Safe@home" TargetMode="External"/><Relationship Id="rId10" Type="http://schemas.openxmlformats.org/officeDocument/2006/relationships/hyperlink" Target="https://www.tvvtotaal.nl/wat-je-moet-weten-over-de-helpsoq/" TargetMode="External"/><Relationship Id="rId19" Type="http://schemas.openxmlformats.org/officeDocument/2006/relationships/comments" Target="../comments1.xml"/><Relationship Id="rId4" Type="http://schemas.openxmlformats.org/officeDocument/2006/relationships/hyperlink" Target="https://icthealth.nl/nieuws/telemonitoring-isala-voor-copd-krijgt-prijs-clientenraad/" TargetMode="External"/><Relationship Id="rId9" Type="http://schemas.openxmlformats.org/officeDocument/2006/relationships/hyperlink" Target="https://www.zorgvisie.nl/helpsoq-wint-nationale-zorginnovatieprijs/" TargetMode="External"/><Relationship Id="rId14" Type="http://schemas.openxmlformats.org/officeDocument/2006/relationships/hyperlink" Target="mailto:Safe@home" TargetMode="Externa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s://www.rivm.nl/medische-stralingstoepassingen/trends-en-stand-van-zaken/diagnostiek/echografie-en-mri" TargetMode="External"/><Relationship Id="rId7" Type="http://schemas.openxmlformats.org/officeDocument/2006/relationships/hyperlink" Target="https://www.trauma.nl/pub/botbreuken" TargetMode="External"/><Relationship Id="rId2" Type="http://schemas.openxmlformats.org/officeDocument/2006/relationships/hyperlink" Target="https://projecten.zonmw.nl/nl/project/goed-gebruik-aan-en-uittrekhulpmiddelen-voor-therapeutisch-elastische-kousen" TargetMode="External"/><Relationship Id="rId1" Type="http://schemas.openxmlformats.org/officeDocument/2006/relationships/hyperlink" Target="https://dica.nl/jaarrapportage-2019/dhfa" TargetMode="External"/><Relationship Id="rId6" Type="http://schemas.openxmlformats.org/officeDocument/2006/relationships/hyperlink" Target="https://opendata.cbs.nl/statline/" TargetMode="External"/><Relationship Id="rId5" Type="http://schemas.openxmlformats.org/officeDocument/2006/relationships/hyperlink" Target="https://www.medischcontact.nl/nieuws/laatste-nieuws/artikel/diagnostische-sneltests-verdienen-brede-invoering%0a&#8220;Een%20voorbeeld%20van%20een%20succesvolle%20POCT%20is%20de%20C-reactief%20prote&#239;ne%20(CRP)-POCT.%20Acute%20infecties%20vormen%20met%2026%20procent%20de%20grootste%20groep%20van%20de%20presentaties%20op%20de%20hap.&#8221;%20-%3e%20daarnaast%20kan%20het%20ook%20gebruikt%20worden%20voor%20wat%20andere%20diagnoses%20-%3e%20grove%20inschatting%20van%2030%25%20%0aToepassen%20op%20alle%20HAP%20contacten%20(450.000)%20met%20acute%20infectie" TargetMode="External"/><Relationship Id="rId4" Type="http://schemas.openxmlformats.org/officeDocument/2006/relationships/hyperlink" Target="https://www.medischcontact.nl/nieuws/laatste-nieuws/artikel/diagnostische-sneltests-verdienen-brede-invoeringTotaal%20aantal%20contacten%20(genoemd%20in%20Interview%20Herko%20Wegter,%2008-06-2023)" TargetMode="External"/><Relationship Id="rId9"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3" Type="http://schemas.openxmlformats.org/officeDocument/2006/relationships/hyperlink" Target="https://www.nationaleberoepengids.nl/salaris/huisarts" TargetMode="External"/><Relationship Id="rId18" Type="http://schemas.openxmlformats.org/officeDocument/2006/relationships/hyperlink" Target="https://archief.panteia.nl/nieuws/onderzoek-overheadkosten-ziekenhuizen/" TargetMode="External"/><Relationship Id="rId26" Type="http://schemas.openxmlformats.org/officeDocument/2006/relationships/printerSettings" Target="../printerSettings/printerSettings9.bin"/><Relationship Id="rId3" Type="http://schemas.openxmlformats.org/officeDocument/2006/relationships/hyperlink" Target="https://www.nationaleberoepengids.nl/salaris/laborant-magnetic-resonance-imaging-mri-onderzoek" TargetMode="External"/><Relationship Id="rId21" Type="http://schemas.openxmlformats.org/officeDocument/2006/relationships/hyperlink" Target="https://radar.avrotros.nl/hulp-tips/hulpartikelen/item/wat-kost-het-als-je-in-het-ziekenhuis-belandt/Verhouding%20gelijk%20versteld%20aan%20SEH" TargetMode="External"/><Relationship Id="rId7" Type="http://schemas.openxmlformats.org/officeDocument/2006/relationships/hyperlink" Target="https://www.nationaleberoepengids.nl/salaris/klinisch-patholoog" TargetMode="External"/><Relationship Id="rId12" Type="http://schemas.openxmlformats.org/officeDocument/2006/relationships/hyperlink" Target="https://www.nationaleberoepengids.nl/salaris/bejaardenverzorgende-verzorgingshuis" TargetMode="External"/><Relationship Id="rId17" Type="http://schemas.openxmlformats.org/officeDocument/2006/relationships/hyperlink" Target="https://puc.overheid.nl/nza/doc/PUC_301324_22/1/" TargetMode="External"/><Relationship Id="rId25" Type="http://schemas.openxmlformats.org/officeDocument/2006/relationships/hyperlink" Target="https://zoek.officielebekendmakingen.nl/blg-876484.pdf" TargetMode="External"/><Relationship Id="rId33" Type="http://schemas.openxmlformats.org/officeDocument/2006/relationships/comments" Target="../comments2.xml"/><Relationship Id="rId2" Type="http://schemas.openxmlformats.org/officeDocument/2006/relationships/hyperlink" Target="https://www.nationaleberoepengids.nl/salaris/verzorgende" TargetMode="External"/><Relationship Id="rId16" Type="http://schemas.openxmlformats.org/officeDocument/2006/relationships/hyperlink" Target="https://www.vzinfo.nl/ziekenhuiszorg/aanbod/instellingen" TargetMode="External"/><Relationship Id="rId20" Type="http://schemas.openxmlformats.org/officeDocument/2006/relationships/hyperlink" Target="https://radar.avrotros.nl/hulp-tips/hulpartikelen/item/wat-kost-het-als-je-in-het-ziekenhuis-belandt/" TargetMode="External"/><Relationship Id="rId29" Type="http://schemas.openxmlformats.org/officeDocument/2006/relationships/table" Target="../tables/table12.xml"/><Relationship Id="rId1" Type="http://schemas.openxmlformats.org/officeDocument/2006/relationships/hyperlink" Target="https://www.nationaleberoepengids.nl/salaris/wijkverpleegkundige" TargetMode="External"/><Relationship Id="rId6" Type="http://schemas.openxmlformats.org/officeDocument/2006/relationships/hyperlink" Target="https://www.nationaleberoepengids.nl/salaris/huisarts" TargetMode="External"/><Relationship Id="rId11" Type="http://schemas.openxmlformats.org/officeDocument/2006/relationships/hyperlink" Target="https://www.nationaleberoepengids.nl/salaris/verpleegkundige-verloskunde-afdeling" TargetMode="External"/><Relationship Id="rId24" Type="http://schemas.openxmlformats.org/officeDocument/2006/relationships/hyperlink" Target="https://www.vektis.nl/intelligence/publicaties/factsheet-wijkverpleging-2022" TargetMode="External"/><Relationship Id="rId32" Type="http://schemas.openxmlformats.org/officeDocument/2006/relationships/table" Target="../tables/table15.xml"/><Relationship Id="rId5" Type="http://schemas.openxmlformats.org/officeDocument/2006/relationships/hyperlink" Target="https://www.nationaleberoepengids.nl/salaris/eerstelijnspsycholoog" TargetMode="External"/><Relationship Id="rId15" Type="http://schemas.openxmlformats.org/officeDocument/2006/relationships/hyperlink" Target="https://www.zorgkaartnederland.nl/verloskundepraktijk" TargetMode="External"/><Relationship Id="rId23" Type="http://schemas.openxmlformats.org/officeDocument/2006/relationships/hyperlink" Target="https://www.actiz.nl/hoe-staat-het-met-de-wachtlijsten-voor-verpleeghuizen" TargetMode="External"/><Relationship Id="rId28" Type="http://schemas.openxmlformats.org/officeDocument/2006/relationships/vmlDrawing" Target="../drawings/vmlDrawing2.vml"/><Relationship Id="rId10" Type="http://schemas.openxmlformats.org/officeDocument/2006/relationships/hyperlink" Target="https://www.nationaleberoepengids.nl/salaris/dermatoloog" TargetMode="External"/><Relationship Id="rId19" Type="http://schemas.openxmlformats.org/officeDocument/2006/relationships/hyperlink" Target="https://www.sp.nl/sites/default/files/onderzoekpanteia.pdf" TargetMode="External"/><Relationship Id="rId31" Type="http://schemas.openxmlformats.org/officeDocument/2006/relationships/table" Target="../tables/table14.xml"/><Relationship Id="rId4" Type="http://schemas.openxmlformats.org/officeDocument/2006/relationships/hyperlink" Target="https://nl.indeed.com/carrieregids/salaris/wondverpleegkundige-salaris" TargetMode="External"/><Relationship Id="rId9" Type="http://schemas.openxmlformats.org/officeDocument/2006/relationships/hyperlink" Target="https://www.nationaleberoepengids.nl/verpleegkundige-in-het-ziekenhuis" TargetMode="External"/><Relationship Id="rId14" Type="http://schemas.openxmlformats.org/officeDocument/2006/relationships/hyperlink" Target="https://www.nationaleberoepengids.nl/logopedist" TargetMode="External"/><Relationship Id="rId22" Type="http://schemas.openxmlformats.org/officeDocument/2006/relationships/hyperlink" Target="https://www.regiobeeld.nl/verpleegzorgraming?VV_Wlz_Scenarios_Opties=tot&amp;regioIndeling=ZK&amp;regio=ZK11" TargetMode="External"/><Relationship Id="rId27" Type="http://schemas.openxmlformats.org/officeDocument/2006/relationships/drawing" Target="../drawings/drawing9.xml"/><Relationship Id="rId30" Type="http://schemas.openxmlformats.org/officeDocument/2006/relationships/table" Target="../tables/table13.xml"/><Relationship Id="rId8" Type="http://schemas.openxmlformats.org/officeDocument/2006/relationships/hyperlink" Target="https://www.nationaleberoepengids.nl/salaris/verzorgende-verstandelijk-gehandicapten" TargetMode="External"/></Relationships>
</file>

<file path=xl/worksheets/_rels/sheet14.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vmlDrawing" Target="../drawings/vmlDrawing3.v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vmlDrawing" Target="../drawings/vmlDrawing4.v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vmlDrawing" Target="../drawings/vmlDrawing5.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table" Target="../tables/table21.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4.bin"/><Relationship Id="rId5" Type="http://schemas.microsoft.com/office/2019/04/relationships/namedSheetView" Target="../namedSheetViews/namedSheetView1.xml"/><Relationship Id="rId4" Type="http://schemas.openxmlformats.org/officeDocument/2006/relationships/table" Target="../tables/table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631F7-9F78-4AD1-B88F-391235CF19C1}">
  <sheetPr codeName="Blad2"/>
  <dimension ref="A1:C25"/>
  <sheetViews>
    <sheetView zoomScaleNormal="100" workbookViewId="0">
      <selection activeCell="C15" sqref="C15"/>
    </sheetView>
  </sheetViews>
  <sheetFormatPr defaultColWidth="8.84375" defaultRowHeight="17" x14ac:dyDescent="0.5"/>
  <cols>
    <col min="1" max="1" width="57.4609375" style="178" customWidth="1"/>
    <col min="2" max="2" width="9.23046875" style="178" customWidth="1"/>
    <col min="3" max="3" width="72.23046875" style="178" customWidth="1"/>
    <col min="4" max="16384" width="8.84375" style="178"/>
  </cols>
  <sheetData>
    <row r="1" spans="1:3" x14ac:dyDescent="0.5">
      <c r="A1" s="179" t="s">
        <v>803</v>
      </c>
      <c r="B1" s="466" t="s">
        <v>805</v>
      </c>
      <c r="C1" s="467"/>
    </row>
    <row r="2" spans="1:3" ht="49.5" customHeight="1" x14ac:dyDescent="0.5">
      <c r="A2" s="470" t="s">
        <v>941</v>
      </c>
      <c r="B2" s="472" t="s">
        <v>1033</v>
      </c>
      <c r="C2" s="473"/>
    </row>
    <row r="3" spans="1:3" x14ac:dyDescent="0.5">
      <c r="A3" s="471"/>
      <c r="B3" s="472"/>
      <c r="C3" s="473"/>
    </row>
    <row r="4" spans="1:3" x14ac:dyDescent="0.5">
      <c r="A4" s="471"/>
      <c r="B4" s="472"/>
      <c r="C4" s="473"/>
    </row>
    <row r="5" spans="1:3" x14ac:dyDescent="0.5">
      <c r="A5" s="471"/>
      <c r="B5" s="472"/>
      <c r="C5" s="473"/>
    </row>
    <row r="6" spans="1:3" x14ac:dyDescent="0.5">
      <c r="A6" s="471"/>
      <c r="B6" s="472"/>
      <c r="C6" s="473"/>
    </row>
    <row r="7" spans="1:3" x14ac:dyDescent="0.5">
      <c r="A7" s="471"/>
      <c r="B7" s="472"/>
      <c r="C7" s="473"/>
    </row>
    <row r="8" spans="1:3" x14ac:dyDescent="0.5">
      <c r="A8" s="471"/>
      <c r="B8" s="472"/>
      <c r="C8" s="473"/>
    </row>
    <row r="9" spans="1:3" x14ac:dyDescent="0.5">
      <c r="A9" s="471"/>
      <c r="B9" s="472"/>
      <c r="C9" s="473"/>
    </row>
    <row r="10" spans="1:3" x14ac:dyDescent="0.5">
      <c r="A10" s="471"/>
      <c r="B10" s="472"/>
      <c r="C10" s="473"/>
    </row>
    <row r="11" spans="1:3" x14ac:dyDescent="0.5">
      <c r="A11" s="471"/>
      <c r="B11" s="472"/>
      <c r="C11" s="473"/>
    </row>
    <row r="12" spans="1:3" ht="17.5" thickBot="1" x14ac:dyDescent="0.55000000000000004">
      <c r="A12" s="471"/>
      <c r="B12" s="474"/>
      <c r="C12" s="475"/>
    </row>
    <row r="13" spans="1:3" ht="16.5" customHeight="1" x14ac:dyDescent="0.5">
      <c r="A13" s="471"/>
    </row>
    <row r="14" spans="1:3" ht="16.5" customHeight="1" x14ac:dyDescent="0.5">
      <c r="A14" s="471"/>
    </row>
    <row r="15" spans="1:3" x14ac:dyDescent="0.5">
      <c r="A15" s="471"/>
    </row>
    <row r="16" spans="1:3" ht="17.5" thickBot="1" x14ac:dyDescent="0.55000000000000004">
      <c r="A16" s="471"/>
    </row>
    <row r="17" spans="1:3" ht="17.5" thickBot="1" x14ac:dyDescent="0.55000000000000004">
      <c r="A17" s="471"/>
      <c r="B17" s="468" t="s">
        <v>804</v>
      </c>
      <c r="C17" s="469"/>
    </row>
    <row r="18" spans="1:3" x14ac:dyDescent="0.5">
      <c r="A18" s="471"/>
      <c r="B18" s="388" t="s">
        <v>0</v>
      </c>
      <c r="C18" s="389" t="s">
        <v>960</v>
      </c>
    </row>
    <row r="19" spans="1:3" x14ac:dyDescent="0.5">
      <c r="A19" s="471"/>
      <c r="B19" s="390" t="s">
        <v>1</v>
      </c>
      <c r="C19" s="94" t="s">
        <v>806</v>
      </c>
    </row>
    <row r="20" spans="1:3" x14ac:dyDescent="0.5">
      <c r="A20" s="471"/>
      <c r="B20" s="391" t="s">
        <v>2</v>
      </c>
      <c r="C20" s="94" t="s">
        <v>808</v>
      </c>
    </row>
    <row r="21" spans="1:3" x14ac:dyDescent="0.5">
      <c r="A21" s="471"/>
      <c r="B21" s="392" t="s">
        <v>3</v>
      </c>
      <c r="C21" s="94" t="s">
        <v>807</v>
      </c>
    </row>
    <row r="22" spans="1:3" x14ac:dyDescent="0.5">
      <c r="A22" s="471"/>
      <c r="B22" s="393" t="s">
        <v>1009</v>
      </c>
      <c r="C22" s="94" t="s">
        <v>1037</v>
      </c>
    </row>
    <row r="23" spans="1:3" x14ac:dyDescent="0.5">
      <c r="A23" s="471"/>
      <c r="B23" s="394" t="s">
        <v>0</v>
      </c>
      <c r="C23" s="94" t="s">
        <v>1010</v>
      </c>
    </row>
    <row r="24" spans="1:3" x14ac:dyDescent="0.5">
      <c r="A24" s="471"/>
      <c r="B24" s="395" t="s">
        <v>0</v>
      </c>
      <c r="C24" s="94" t="s">
        <v>809</v>
      </c>
    </row>
    <row r="25" spans="1:3" ht="17.5" thickBot="1" x14ac:dyDescent="0.55000000000000004">
      <c r="A25" s="471"/>
      <c r="B25" s="396" t="s">
        <v>1041</v>
      </c>
      <c r="C25" s="95" t="s">
        <v>1042</v>
      </c>
    </row>
  </sheetData>
  <sheetProtection algorithmName="SHA-512" hashValue="ounRJ0vBYwFjW0zYc5NUPPBxXrvMomkx00gFoLE4Y/4dnlCDNgom7owwtya4Wi2jH2QRF7NESB14erB2CqP2GQ==" saltValue="W/ZDQmSA98ZrXsMXDKbOQQ==" spinCount="100000" sheet="1" objects="1" scenarios="1" selectLockedCells="1" selectUnlockedCells="1"/>
  <mergeCells count="4">
    <mergeCell ref="B1:C1"/>
    <mergeCell ref="B17:C17"/>
    <mergeCell ref="A2:A25"/>
    <mergeCell ref="B2:C12"/>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13637-476B-47E1-8730-9D5C0149C2FA}">
  <sheetPr codeName="Blad9">
    <tabColor theme="9"/>
  </sheetPr>
  <dimension ref="A1:D44"/>
  <sheetViews>
    <sheetView zoomScale="80" zoomScaleNormal="80" workbookViewId="0">
      <selection activeCell="E32" sqref="E32"/>
    </sheetView>
  </sheetViews>
  <sheetFormatPr defaultColWidth="8.84375" defaultRowHeight="17" x14ac:dyDescent="0.5"/>
  <cols>
    <col min="1" max="1" width="37.07421875" style="93" customWidth="1"/>
    <col min="2" max="2" width="35.4609375" style="93" bestFit="1" customWidth="1"/>
    <col min="3" max="3" width="19.765625" style="93" customWidth="1"/>
    <col min="4" max="4" width="16.765625" style="252" customWidth="1"/>
    <col min="5" max="5" width="64.69140625" style="93" customWidth="1"/>
    <col min="6" max="16384" width="8.84375" style="93"/>
  </cols>
  <sheetData>
    <row r="1" spans="1:4" x14ac:dyDescent="0.5">
      <c r="A1" s="476" t="s">
        <v>1032</v>
      </c>
      <c r="B1" s="477"/>
      <c r="C1" s="478"/>
    </row>
    <row r="2" spans="1:4" ht="17.5" thickBot="1" x14ac:dyDescent="0.55000000000000004">
      <c r="A2" s="479"/>
      <c r="B2" s="480"/>
      <c r="C2" s="481"/>
    </row>
    <row r="4" spans="1:4" ht="22.15" customHeight="1" x14ac:dyDescent="0.5">
      <c r="A4" s="12" t="s">
        <v>181</v>
      </c>
      <c r="B4" s="149" t="s">
        <v>182</v>
      </c>
    </row>
    <row r="5" spans="1:4" x14ac:dyDescent="0.5">
      <c r="A5" s="2" t="s">
        <v>113</v>
      </c>
      <c r="B5" s="145">
        <v>1</v>
      </c>
    </row>
    <row r="6" spans="1:4" x14ac:dyDescent="0.5">
      <c r="A6" s="2" t="s">
        <v>183</v>
      </c>
      <c r="B6" s="145">
        <v>1.05</v>
      </c>
    </row>
    <row r="7" spans="1:4" x14ac:dyDescent="0.5">
      <c r="A7" s="2" t="s">
        <v>184</v>
      </c>
      <c r="B7" s="145">
        <v>1.1000000000000001</v>
      </c>
    </row>
    <row r="8" spans="1:4" ht="17.5" thickBot="1" x14ac:dyDescent="0.55000000000000004">
      <c r="A8" s="2" t="s">
        <v>185</v>
      </c>
      <c r="B8" s="271">
        <v>1.1499999999999999</v>
      </c>
    </row>
    <row r="11" spans="1:4" ht="41.25" customHeight="1" thickBot="1" x14ac:dyDescent="0.55000000000000004">
      <c r="A11" s="23" t="s">
        <v>5</v>
      </c>
      <c r="B11" s="16" t="s">
        <v>751</v>
      </c>
      <c r="C11" s="148" t="s">
        <v>181</v>
      </c>
      <c r="D11" s="54" t="s">
        <v>186</v>
      </c>
    </row>
    <row r="12" spans="1:4" ht="17.5" thickTop="1" x14ac:dyDescent="0.5">
      <c r="A12" s="445" t="s">
        <v>9</v>
      </c>
      <c r="B12" s="446" t="s">
        <v>593</v>
      </c>
      <c r="C12" s="136" t="s">
        <v>185</v>
      </c>
      <c r="D12" s="168">
        <f t="shared" ref="D12:D44" si="0">VLOOKUP(C12,Impact_gegevensuitwisseling,2,FALSE)</f>
        <v>1.1499999999999999</v>
      </c>
    </row>
    <row r="13" spans="1:4" x14ac:dyDescent="0.5">
      <c r="A13" s="445" t="s">
        <v>12</v>
      </c>
      <c r="B13" s="446" t="s">
        <v>609</v>
      </c>
      <c r="C13" s="136" t="s">
        <v>185</v>
      </c>
      <c r="D13" s="168">
        <f t="shared" si="0"/>
        <v>1.1499999999999999</v>
      </c>
    </row>
    <row r="14" spans="1:4" x14ac:dyDescent="0.5">
      <c r="A14" s="445" t="s">
        <v>11</v>
      </c>
      <c r="B14" s="446" t="s">
        <v>474</v>
      </c>
      <c r="C14" s="136" t="s">
        <v>185</v>
      </c>
      <c r="D14" s="168">
        <f t="shared" si="0"/>
        <v>1.1499999999999999</v>
      </c>
    </row>
    <row r="15" spans="1:4" x14ac:dyDescent="0.5">
      <c r="A15" s="445" t="s">
        <v>11</v>
      </c>
      <c r="B15" s="446" t="s">
        <v>473</v>
      </c>
      <c r="C15" s="136" t="s">
        <v>185</v>
      </c>
      <c r="D15" s="168">
        <f t="shared" si="0"/>
        <v>1.1499999999999999</v>
      </c>
    </row>
    <row r="16" spans="1:4" x14ac:dyDescent="0.5">
      <c r="A16" s="445" t="s">
        <v>11</v>
      </c>
      <c r="B16" s="446" t="s">
        <v>472</v>
      </c>
      <c r="C16" s="136" t="s">
        <v>185</v>
      </c>
      <c r="D16" s="168">
        <f t="shared" si="0"/>
        <v>1.1499999999999999</v>
      </c>
    </row>
    <row r="17" spans="1:4" x14ac:dyDescent="0.5">
      <c r="A17" s="445" t="s">
        <v>11</v>
      </c>
      <c r="B17" s="446" t="s">
        <v>475</v>
      </c>
      <c r="C17" s="136" t="s">
        <v>185</v>
      </c>
      <c r="D17" s="168">
        <f t="shared" si="0"/>
        <v>1.1499999999999999</v>
      </c>
    </row>
    <row r="18" spans="1:4" x14ac:dyDescent="0.5">
      <c r="A18" s="445" t="s">
        <v>12</v>
      </c>
      <c r="B18" s="446" t="s">
        <v>716</v>
      </c>
      <c r="C18" s="136" t="s">
        <v>185</v>
      </c>
      <c r="D18" s="168">
        <f t="shared" si="0"/>
        <v>1.1499999999999999</v>
      </c>
    </row>
    <row r="19" spans="1:4" x14ac:dyDescent="0.5">
      <c r="A19" s="445" t="s">
        <v>11</v>
      </c>
      <c r="B19" s="446" t="s">
        <v>66</v>
      </c>
      <c r="C19" s="136" t="s">
        <v>184</v>
      </c>
      <c r="D19" s="168">
        <f t="shared" si="0"/>
        <v>1.1000000000000001</v>
      </c>
    </row>
    <row r="20" spans="1:4" x14ac:dyDescent="0.5">
      <c r="A20" s="445" t="s">
        <v>11</v>
      </c>
      <c r="B20" s="447" t="s">
        <v>76</v>
      </c>
      <c r="C20" s="136" t="s">
        <v>183</v>
      </c>
      <c r="D20" s="168">
        <f t="shared" si="0"/>
        <v>1.05</v>
      </c>
    </row>
    <row r="21" spans="1:4" x14ac:dyDescent="0.5">
      <c r="A21" s="445" t="s">
        <v>12</v>
      </c>
      <c r="B21" s="446" t="s">
        <v>578</v>
      </c>
      <c r="C21" s="136" t="s">
        <v>113</v>
      </c>
      <c r="D21" s="168">
        <f t="shared" si="0"/>
        <v>1</v>
      </c>
    </row>
    <row r="22" spans="1:4" x14ac:dyDescent="0.5">
      <c r="A22" s="445" t="s">
        <v>11</v>
      </c>
      <c r="B22" s="33" t="s">
        <v>139</v>
      </c>
      <c r="C22" s="136" t="s">
        <v>183</v>
      </c>
      <c r="D22" s="168">
        <f t="shared" si="0"/>
        <v>1.05</v>
      </c>
    </row>
    <row r="23" spans="1:4" x14ac:dyDescent="0.5">
      <c r="A23" s="445" t="s">
        <v>11</v>
      </c>
      <c r="B23" s="33" t="s">
        <v>725</v>
      </c>
      <c r="C23" s="136" t="s">
        <v>184</v>
      </c>
      <c r="D23" s="168">
        <f t="shared" si="0"/>
        <v>1.1000000000000001</v>
      </c>
    </row>
    <row r="24" spans="1:4" x14ac:dyDescent="0.5">
      <c r="A24" s="445" t="s">
        <v>11</v>
      </c>
      <c r="B24" s="446" t="s">
        <v>720</v>
      </c>
      <c r="C24" s="136" t="s">
        <v>184</v>
      </c>
      <c r="D24" s="168">
        <f t="shared" si="0"/>
        <v>1.1000000000000001</v>
      </c>
    </row>
    <row r="25" spans="1:4" x14ac:dyDescent="0.5">
      <c r="A25" s="445" t="s">
        <v>12</v>
      </c>
      <c r="B25" s="446" t="s">
        <v>588</v>
      </c>
      <c r="C25" s="136" t="s">
        <v>113</v>
      </c>
      <c r="D25" s="168">
        <f t="shared" si="0"/>
        <v>1</v>
      </c>
    </row>
    <row r="26" spans="1:4" x14ac:dyDescent="0.5">
      <c r="A26" s="445" t="s">
        <v>12</v>
      </c>
      <c r="B26" s="448" t="s">
        <v>585</v>
      </c>
      <c r="C26" s="136" t="s">
        <v>183</v>
      </c>
      <c r="D26" s="168">
        <f t="shared" si="0"/>
        <v>1.05</v>
      </c>
    </row>
    <row r="27" spans="1:4" x14ac:dyDescent="0.5">
      <c r="A27" s="445" t="s">
        <v>8</v>
      </c>
      <c r="B27" s="446" t="s">
        <v>58</v>
      </c>
      <c r="C27" s="136" t="s">
        <v>113</v>
      </c>
      <c r="D27" s="168">
        <f t="shared" si="0"/>
        <v>1</v>
      </c>
    </row>
    <row r="28" spans="1:4" x14ac:dyDescent="0.5">
      <c r="A28" s="445" t="s">
        <v>9</v>
      </c>
      <c r="B28" s="446" t="s">
        <v>93</v>
      </c>
      <c r="C28" s="136" t="s">
        <v>183</v>
      </c>
      <c r="D28" s="168">
        <f t="shared" si="0"/>
        <v>1.05</v>
      </c>
    </row>
    <row r="29" spans="1:4" x14ac:dyDescent="0.5">
      <c r="A29" s="445" t="s">
        <v>8</v>
      </c>
      <c r="B29" s="448" t="s">
        <v>105</v>
      </c>
      <c r="C29" s="136" t="s">
        <v>113</v>
      </c>
      <c r="D29" s="168">
        <f t="shared" si="0"/>
        <v>1</v>
      </c>
    </row>
    <row r="30" spans="1:4" x14ac:dyDescent="0.5">
      <c r="A30" s="445" t="s">
        <v>8</v>
      </c>
      <c r="B30" s="448" t="s">
        <v>32</v>
      </c>
      <c r="C30" s="136" t="s">
        <v>113</v>
      </c>
      <c r="D30" s="168">
        <f t="shared" si="0"/>
        <v>1</v>
      </c>
    </row>
    <row r="31" spans="1:4" x14ac:dyDescent="0.5">
      <c r="A31" s="445" t="s">
        <v>10</v>
      </c>
      <c r="B31" s="446" t="s">
        <v>46</v>
      </c>
      <c r="C31" s="136" t="s">
        <v>183</v>
      </c>
      <c r="D31" s="168">
        <f t="shared" si="0"/>
        <v>1.05</v>
      </c>
    </row>
    <row r="32" spans="1:4" x14ac:dyDescent="0.5">
      <c r="A32" s="445" t="s">
        <v>10</v>
      </c>
      <c r="B32" s="446" t="s">
        <v>36</v>
      </c>
      <c r="C32" s="136" t="s">
        <v>183</v>
      </c>
      <c r="D32" s="168">
        <f t="shared" si="0"/>
        <v>1.05</v>
      </c>
    </row>
    <row r="33" spans="1:4" x14ac:dyDescent="0.5">
      <c r="A33" s="445" t="s">
        <v>8</v>
      </c>
      <c r="B33" s="446" t="s">
        <v>26</v>
      </c>
      <c r="C33" s="136" t="s">
        <v>183</v>
      </c>
      <c r="D33" s="168">
        <f t="shared" si="0"/>
        <v>1.05</v>
      </c>
    </row>
    <row r="34" spans="1:4" x14ac:dyDescent="0.5">
      <c r="A34" s="445" t="s">
        <v>7</v>
      </c>
      <c r="B34" s="446" t="s">
        <v>78</v>
      </c>
      <c r="C34" s="136" t="s">
        <v>113</v>
      </c>
      <c r="D34" s="168">
        <f t="shared" si="0"/>
        <v>1</v>
      </c>
    </row>
    <row r="35" spans="1:4" x14ac:dyDescent="0.5">
      <c r="A35" s="445" t="s">
        <v>7</v>
      </c>
      <c r="B35" s="446" t="s">
        <v>82</v>
      </c>
      <c r="C35" s="136" t="s">
        <v>113</v>
      </c>
      <c r="D35" s="168">
        <f t="shared" si="0"/>
        <v>1</v>
      </c>
    </row>
    <row r="36" spans="1:4" x14ac:dyDescent="0.5">
      <c r="A36" s="445" t="s">
        <v>9</v>
      </c>
      <c r="B36" s="446" t="s">
        <v>88</v>
      </c>
      <c r="C36" s="136" t="s">
        <v>183</v>
      </c>
      <c r="D36" s="168">
        <f t="shared" si="0"/>
        <v>1.05</v>
      </c>
    </row>
    <row r="37" spans="1:4" x14ac:dyDescent="0.5">
      <c r="A37" s="445" t="s">
        <v>10</v>
      </c>
      <c r="B37" s="448" t="s">
        <v>42</v>
      </c>
      <c r="C37" s="136" t="s">
        <v>183</v>
      </c>
      <c r="D37" s="168">
        <f t="shared" si="0"/>
        <v>1.05</v>
      </c>
    </row>
    <row r="38" spans="1:4" x14ac:dyDescent="0.5">
      <c r="A38" s="449" t="s">
        <v>10</v>
      </c>
      <c r="B38" s="448" t="s">
        <v>61</v>
      </c>
      <c r="C38" s="136" t="s">
        <v>183</v>
      </c>
      <c r="D38" s="168">
        <f t="shared" si="0"/>
        <v>1.05</v>
      </c>
    </row>
    <row r="39" spans="1:4" x14ac:dyDescent="0.5">
      <c r="A39" s="449" t="s">
        <v>9</v>
      </c>
      <c r="B39" s="448" t="s">
        <v>53</v>
      </c>
      <c r="C39" s="136" t="s">
        <v>183</v>
      </c>
      <c r="D39" s="168">
        <f t="shared" si="0"/>
        <v>1.05</v>
      </c>
    </row>
    <row r="40" spans="1:4" x14ac:dyDescent="0.5">
      <c r="A40" s="449" t="s">
        <v>12</v>
      </c>
      <c r="B40" s="448" t="s">
        <v>101</v>
      </c>
      <c r="C40" s="136" t="s">
        <v>113</v>
      </c>
      <c r="D40" s="168">
        <f t="shared" si="0"/>
        <v>1</v>
      </c>
    </row>
    <row r="41" spans="1:4" x14ac:dyDescent="0.5">
      <c r="A41" s="449" t="s">
        <v>8</v>
      </c>
      <c r="B41" s="448" t="s">
        <v>48</v>
      </c>
      <c r="C41" s="136" t="s">
        <v>113</v>
      </c>
      <c r="D41" s="168">
        <f t="shared" si="0"/>
        <v>1</v>
      </c>
    </row>
    <row r="42" spans="1:4" x14ac:dyDescent="0.5">
      <c r="A42" s="449" t="s">
        <v>8</v>
      </c>
      <c r="B42" s="450" t="s">
        <v>19</v>
      </c>
      <c r="C42" s="136" t="s">
        <v>183</v>
      </c>
      <c r="D42" s="168">
        <f t="shared" si="0"/>
        <v>1.05</v>
      </c>
    </row>
    <row r="43" spans="1:4" x14ac:dyDescent="0.5">
      <c r="A43" s="449" t="s">
        <v>11</v>
      </c>
      <c r="B43" s="448" t="s">
        <v>56</v>
      </c>
      <c r="C43" s="136" t="s">
        <v>183</v>
      </c>
      <c r="D43" s="168">
        <f t="shared" si="0"/>
        <v>1.05</v>
      </c>
    </row>
    <row r="44" spans="1:4" ht="17.5" thickBot="1" x14ac:dyDescent="0.55000000000000004">
      <c r="A44" s="449" t="s">
        <v>8</v>
      </c>
      <c r="B44" s="448" t="s">
        <v>85</v>
      </c>
      <c r="C44" s="269" t="s">
        <v>184</v>
      </c>
      <c r="D44" s="168">
        <f t="shared" si="0"/>
        <v>1.1000000000000001</v>
      </c>
    </row>
  </sheetData>
  <sheetProtection algorithmName="SHA-512" hashValue="853dVtKOkXOJ6iSxMfJoECDmscN9uoiDLbML39FDiG1Str8gpD9899/yo99IUTFSCRKxBYygPgXmJZhM5I7nig==" saltValue="ihrPhvJ5JbzT2F0q+2huyQ==" spinCount="100000" sheet="1" objects="1" scenarios="1" selectLockedCells="1" selectUnlockedCells="1"/>
  <mergeCells count="1">
    <mergeCell ref="A1:C2"/>
  </mergeCells>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C41EC-BF54-495A-BCEA-F6BC49C8A3DF}">
  <sheetPr codeName="Blad13">
    <tabColor theme="1"/>
  </sheetPr>
  <dimension ref="A1:AA840"/>
  <sheetViews>
    <sheetView showGridLines="0" zoomScale="80" zoomScaleNormal="80" workbookViewId="0">
      <selection activeCell="V44" sqref="V44"/>
    </sheetView>
  </sheetViews>
  <sheetFormatPr defaultColWidth="9.23046875" defaultRowHeight="17" x14ac:dyDescent="0.5"/>
  <cols>
    <col min="1" max="1" width="32" customWidth="1"/>
    <col min="2" max="2" width="36.4609375" bestFit="1" customWidth="1"/>
    <col min="3" max="4" width="12.3046875" customWidth="1"/>
    <col min="5" max="5" width="37.23046875" bestFit="1" customWidth="1"/>
    <col min="6" max="6" width="49.07421875" style="223" customWidth="1"/>
    <col min="7" max="7" width="21.4609375" customWidth="1"/>
    <col min="8" max="8" width="25.765625" customWidth="1"/>
    <col min="9" max="9" width="21" bestFit="1" customWidth="1"/>
    <col min="10" max="10" width="15.23046875" style="19" customWidth="1"/>
    <col min="11" max="11" width="16.23046875" style="19" customWidth="1"/>
    <col min="12" max="13" width="15.23046875" style="19" customWidth="1"/>
    <col min="14" max="14" width="15.765625" customWidth="1"/>
    <col min="15" max="15" width="16.765625" customWidth="1"/>
    <col min="16" max="16" width="16.3046875" customWidth="1"/>
    <col min="17" max="17" width="41.07421875" style="10" customWidth="1"/>
    <col min="18" max="18" width="69.4609375" style="10" bestFit="1" customWidth="1"/>
    <col min="19" max="19" width="11" bestFit="1" customWidth="1"/>
    <col min="20" max="20" width="16.07421875" customWidth="1"/>
    <col min="21" max="21" width="15.765625" customWidth="1"/>
    <col min="22" max="22" width="16.23046875" customWidth="1"/>
    <col min="23" max="23" width="16.53515625" customWidth="1"/>
    <col min="24" max="24" width="14.765625" customWidth="1"/>
    <col min="25" max="25" width="255.69140625" bestFit="1" customWidth="1"/>
    <col min="26" max="26" width="255.765625" style="164" bestFit="1" customWidth="1"/>
    <col min="27" max="27" width="15.765625" style="4" customWidth="1"/>
    <col min="28" max="28" width="183.53515625" bestFit="1" customWidth="1"/>
  </cols>
  <sheetData>
    <row r="1" spans="1:27" x14ac:dyDescent="0.5">
      <c r="A1" s="476" t="s">
        <v>1032</v>
      </c>
      <c r="B1" s="477"/>
      <c r="C1" s="478"/>
    </row>
    <row r="2" spans="1:27" ht="17.5" thickBot="1" x14ac:dyDescent="0.55000000000000004">
      <c r="A2" s="479"/>
      <c r="B2" s="480"/>
      <c r="C2" s="481"/>
    </row>
    <row r="3" spans="1:27" ht="17.5" thickBot="1" x14ac:dyDescent="0.55000000000000004"/>
    <row r="4" spans="1:27" s="7" customFormat="1" ht="17.5" thickBot="1" x14ac:dyDescent="0.55000000000000004">
      <c r="A4" s="510" t="s">
        <v>202</v>
      </c>
      <c r="B4" s="510"/>
      <c r="C4" s="510"/>
      <c r="D4" s="510"/>
      <c r="E4" s="510"/>
      <c r="F4" s="510"/>
      <c r="G4" s="510"/>
      <c r="H4" s="510"/>
      <c r="I4" s="510"/>
      <c r="J4" s="506" t="s">
        <v>13</v>
      </c>
      <c r="K4" s="507"/>
      <c r="L4" s="507"/>
      <c r="M4" s="507"/>
      <c r="N4" s="507"/>
      <c r="O4" s="507"/>
      <c r="P4" s="507"/>
      <c r="Q4" s="508"/>
      <c r="R4" s="508"/>
      <c r="S4" s="509"/>
      <c r="T4" s="503" t="s">
        <v>4</v>
      </c>
      <c r="U4" s="504"/>
      <c r="V4" s="504"/>
      <c r="W4" s="504"/>
      <c r="X4" s="505"/>
      <c r="Y4" s="50"/>
      <c r="Z4" s="169"/>
    </row>
    <row r="5" spans="1:27" s="5" customFormat="1" ht="74.25" customHeight="1" thickBot="1" x14ac:dyDescent="0.55000000000000004">
      <c r="A5" s="255" t="s">
        <v>5</v>
      </c>
      <c r="B5" s="25" t="s">
        <v>751</v>
      </c>
      <c r="C5" s="25" t="s">
        <v>204</v>
      </c>
      <c r="D5" s="256" t="s">
        <v>508</v>
      </c>
      <c r="E5" s="256" t="s">
        <v>509</v>
      </c>
      <c r="F5" s="256" t="s">
        <v>205</v>
      </c>
      <c r="G5" s="256" t="s">
        <v>922</v>
      </c>
      <c r="H5" s="256" t="s">
        <v>187</v>
      </c>
      <c r="I5" s="256" t="s">
        <v>140</v>
      </c>
      <c r="J5" s="317" t="s">
        <v>477</v>
      </c>
      <c r="K5" s="257" t="s">
        <v>478</v>
      </c>
      <c r="L5" s="257" t="s">
        <v>479</v>
      </c>
      <c r="M5" s="257" t="s">
        <v>400</v>
      </c>
      <c r="N5" s="257" t="s">
        <v>480</v>
      </c>
      <c r="O5" s="257" t="s">
        <v>481</v>
      </c>
      <c r="P5" s="257" t="s">
        <v>482</v>
      </c>
      <c r="Q5" s="257" t="s">
        <v>206</v>
      </c>
      <c r="R5" s="257" t="s">
        <v>207</v>
      </c>
      <c r="S5" s="262" t="s">
        <v>448</v>
      </c>
      <c r="T5" s="261" t="s">
        <v>208</v>
      </c>
      <c r="U5" s="258" t="s">
        <v>209</v>
      </c>
      <c r="V5" s="257" t="s">
        <v>210</v>
      </c>
      <c r="W5" s="257" t="s">
        <v>211</v>
      </c>
      <c r="X5" s="262" t="s">
        <v>212</v>
      </c>
      <c r="Y5" s="259" t="s">
        <v>213</v>
      </c>
    </row>
    <row r="6" spans="1:27" ht="85" x14ac:dyDescent="0.5">
      <c r="A6" s="2" t="s">
        <v>9</v>
      </c>
      <c r="B6" s="32" t="s">
        <v>593</v>
      </c>
      <c r="C6" s="32" t="s">
        <v>951</v>
      </c>
      <c r="D6" s="32">
        <v>1</v>
      </c>
      <c r="E6" s="32" t="str">
        <f>CONCATENATE(Technologieën[[#This Row],[Digitale zorgtoepassing]],"_",D6)</f>
        <v>(Zelf)monitoring hypertensie zwangeren_1</v>
      </c>
      <c r="F6" s="1" t="s">
        <v>950</v>
      </c>
      <c r="G6" s="349" t="s">
        <v>308</v>
      </c>
      <c r="H6" s="32"/>
      <c r="I6" s="32"/>
      <c r="J6" s="318"/>
      <c r="K6" s="319"/>
      <c r="L6" s="319"/>
      <c r="M6" s="320">
        <f>888*'C3 Gegevens - overig'!C45</f>
        <v>532.79999999999995</v>
      </c>
      <c r="N6" s="321"/>
      <c r="O6" s="2"/>
      <c r="P6" s="2">
        <f>888*'C3 Gegevens - overig'!D45</f>
        <v>355.20000000000005</v>
      </c>
      <c r="Q6" s="1"/>
      <c r="R6" s="1"/>
      <c r="S6" s="322"/>
      <c r="T6" s="263"/>
      <c r="U6" s="304"/>
      <c r="V6" s="2"/>
      <c r="W6" s="305">
        <v>115</v>
      </c>
      <c r="X6" s="264"/>
      <c r="Y6" s="165" t="s">
        <v>309</v>
      </c>
      <c r="Z6"/>
      <c r="AA6"/>
    </row>
    <row r="7" spans="1:27" ht="17.5" customHeight="1" x14ac:dyDescent="0.5">
      <c r="A7" s="2" t="s">
        <v>9</v>
      </c>
      <c r="B7" s="32" t="s">
        <v>593</v>
      </c>
      <c r="C7" s="32" t="s">
        <v>951</v>
      </c>
      <c r="D7" s="32">
        <v>2</v>
      </c>
      <c r="E7" s="32" t="str">
        <f>CONCATENATE(Technologieën[[#This Row],[Digitale zorgtoepassing]],"_",D7)</f>
        <v>(Zelf)monitoring hypertensie zwangeren_2</v>
      </c>
      <c r="F7" s="1" t="s">
        <v>950</v>
      </c>
      <c r="G7" s="349" t="s">
        <v>308</v>
      </c>
      <c r="H7" s="32"/>
      <c r="I7" s="32"/>
      <c r="J7" s="318"/>
      <c r="K7" s="319"/>
      <c r="L7" s="319"/>
      <c r="M7" s="319"/>
      <c r="N7" s="321"/>
      <c r="O7" s="2"/>
      <c r="P7" s="2"/>
      <c r="Q7" s="1"/>
      <c r="R7" s="1"/>
      <c r="S7" s="322"/>
      <c r="T7" s="263"/>
      <c r="U7" s="304"/>
      <c r="V7" s="306"/>
      <c r="W7" s="305"/>
      <c r="X7" s="264">
        <v>6000</v>
      </c>
      <c r="Y7" s="222" t="s">
        <v>958</v>
      </c>
      <c r="Z7"/>
      <c r="AA7"/>
    </row>
    <row r="8" spans="1:27" ht="18" customHeight="1" x14ac:dyDescent="0.5">
      <c r="A8" s="2" t="s">
        <v>12</v>
      </c>
      <c r="B8" s="32" t="s">
        <v>609</v>
      </c>
      <c r="C8" s="32" t="s">
        <v>303</v>
      </c>
      <c r="D8" s="32">
        <v>1</v>
      </c>
      <c r="E8" s="32" t="str">
        <f>CONCATENATE(Technologieën[[#This Row],[Digitale zorgtoepassing]],"_",D8)</f>
        <v>(Zelf)zorgplatform + telebegeleiding_1</v>
      </c>
      <c r="F8" s="1" t="s">
        <v>947</v>
      </c>
      <c r="G8" s="349" t="s">
        <v>81</v>
      </c>
      <c r="H8" s="32"/>
      <c r="I8" s="32"/>
      <c r="J8" s="318"/>
      <c r="K8" s="319"/>
      <c r="L8" s="320">
        <f>198*'C3 Gegevens - overig'!C45/52</f>
        <v>2.2846153846153845</v>
      </c>
      <c r="M8" s="320"/>
      <c r="N8" s="321"/>
      <c r="O8" s="309"/>
      <c r="P8" s="309">
        <f>216+198*'C3 Gegevens - overig'!D45</f>
        <v>295.2</v>
      </c>
      <c r="Q8" s="1"/>
      <c r="R8" s="1" t="s">
        <v>304</v>
      </c>
      <c r="S8" s="322">
        <v>2E-3</v>
      </c>
      <c r="T8" s="263"/>
      <c r="U8" s="304"/>
      <c r="V8" s="2"/>
      <c r="W8" s="305">
        <v>40</v>
      </c>
      <c r="X8" s="264"/>
      <c r="Y8" s="222" t="s">
        <v>305</v>
      </c>
      <c r="Z8"/>
      <c r="AA8"/>
    </row>
    <row r="9" spans="1:27" ht="19" customHeight="1" x14ac:dyDescent="0.5">
      <c r="A9" s="2" t="s">
        <v>12</v>
      </c>
      <c r="B9" s="32" t="s">
        <v>609</v>
      </c>
      <c r="C9" s="32"/>
      <c r="D9" s="32">
        <v>3</v>
      </c>
      <c r="E9" s="32" t="str">
        <f>CONCATENATE(Technologieën[[#This Row],[Digitale zorgtoepassing]],"_",D9)</f>
        <v>(Zelf)zorgplatform + telebegeleiding_3</v>
      </c>
      <c r="F9" s="1" t="s">
        <v>947</v>
      </c>
      <c r="G9" s="349" t="s">
        <v>51</v>
      </c>
      <c r="H9" s="32"/>
      <c r="I9" s="32"/>
      <c r="J9" s="318"/>
      <c r="K9" s="319"/>
      <c r="L9" s="319"/>
      <c r="M9" s="319"/>
      <c r="N9" s="321" cm="1">
        <f t="array" ref="N9">(0.57+1.58)/1200*INDEX(Berekening_patiëntaantal[Patiëntaantallen],MATCH(Technologieën[[#This Row],[Digitale zorgtoepassing]],IF(Berekening_patiëntaantal[Doelgroep (zoeksleutel)]=G9,Berekening_patiëntaantal[Digitale zorgtoepassing]),0))</f>
        <v>86.465833333333336</v>
      </c>
      <c r="O9" s="323" cm="1">
        <f t="array" ref="O9">3000000/1200*INDEX(Berekening_patiëntaantal[Patiëntaantallen],MATCH(Technologieën[[#This Row],[Digitale zorgtoepassing]],IF(Berekening_patiëntaantal[Doelgroep (zoeksleutel)]=G9,Berekening_patiëntaantal[Digitale zorgtoepassing]),0))</f>
        <v>120650000</v>
      </c>
      <c r="P9" s="265"/>
      <c r="Q9" s="1" t="s">
        <v>251</v>
      </c>
      <c r="R9" s="1"/>
      <c r="S9" s="322"/>
      <c r="T9" s="263"/>
      <c r="U9" s="304"/>
      <c r="V9" s="2"/>
      <c r="W9" s="305">
        <v>350</v>
      </c>
      <c r="X9" s="264"/>
      <c r="Y9" s="222" t="s">
        <v>252</v>
      </c>
      <c r="Z9"/>
      <c r="AA9"/>
    </row>
    <row r="10" spans="1:27" ht="16" customHeight="1" x14ac:dyDescent="0.5">
      <c r="A10" s="2" t="s">
        <v>12</v>
      </c>
      <c r="B10" s="32" t="s">
        <v>609</v>
      </c>
      <c r="C10" s="32"/>
      <c r="D10" s="32">
        <v>4</v>
      </c>
      <c r="E10" s="32" t="str">
        <f>CONCATENATE(Technologieën[[#This Row],[Digitale zorgtoepassing]],"_",D10)</f>
        <v>(Zelf)zorgplatform + telebegeleiding_4</v>
      </c>
      <c r="F10" s="1" t="s">
        <v>947</v>
      </c>
      <c r="G10" s="349" t="s">
        <v>51</v>
      </c>
      <c r="H10" s="32"/>
      <c r="I10" s="32"/>
      <c r="J10" s="318"/>
      <c r="K10" s="319"/>
      <c r="L10" s="319">
        <f>(28000*'C3 Gegevens - overig'!B44*0.65*'C3 Gegevens - overig'!C44)/52/'C2 Gegevens - patiëntaantallen'!O40</f>
        <v>40.46</v>
      </c>
      <c r="M10" s="324"/>
      <c r="N10" s="321"/>
      <c r="O10" s="308">
        <f>(28000*'C3 Gegevens - overig'!B44*0.65*'C3 Gegevens - overig'!D44)</f>
        <v>21039200</v>
      </c>
      <c r="P10" s="325"/>
      <c r="Q10" s="1"/>
      <c r="R10" s="1"/>
      <c r="S10" s="322"/>
      <c r="T10" s="263"/>
      <c r="U10" s="304"/>
      <c r="V10" s="2"/>
      <c r="W10" s="305"/>
      <c r="X10" s="264"/>
      <c r="Y10" s="291" t="s">
        <v>272</v>
      </c>
      <c r="Z10"/>
      <c r="AA10"/>
    </row>
    <row r="11" spans="1:27" ht="85" x14ac:dyDescent="0.5">
      <c r="A11" s="2" t="s">
        <v>12</v>
      </c>
      <c r="B11" s="32" t="s">
        <v>609</v>
      </c>
      <c r="C11" s="32"/>
      <c r="D11" s="32">
        <v>5</v>
      </c>
      <c r="E11" s="32" t="str">
        <f>CONCATENATE(Technologieën[[#This Row],[Digitale zorgtoepassing]],"_",D11)</f>
        <v>(Zelf)zorgplatform + telebegeleiding_5</v>
      </c>
      <c r="F11" s="1" t="s">
        <v>947</v>
      </c>
      <c r="G11" s="349" t="s">
        <v>95</v>
      </c>
      <c r="H11" s="32"/>
      <c r="I11" s="32"/>
      <c r="J11" s="318"/>
      <c r="K11" s="319"/>
      <c r="L11" s="319" cm="1">
        <f t="array" ref="L11">7877*(29-16)*'C3 Gegevens - overig'!B46*33%*'C3 Gegevens - overig'!C46/52/INDEX(Berekening_patiëntaantal[Patiëntaantallen],MATCH(Technologieën[[#This Row],[Digitale zorgtoepassing]],IF(Berekening_patiëntaantal[Doelgroep (zoeksleutel)]=G11,Berekening_patiëntaantal[Digitale zorgtoepassing]),0))</f>
        <v>11.425978021978022</v>
      </c>
      <c r="M11" s="319"/>
      <c r="N11" s="321"/>
      <c r="O11" s="305">
        <f>7877*(29-16)*'C3 Gegevens - overig'!B46*33%*'C3 Gegevens - overig'!D46</f>
        <v>6488127.3600000003</v>
      </c>
      <c r="P11" s="265"/>
      <c r="Q11" s="1" t="s">
        <v>953</v>
      </c>
      <c r="R11" s="326"/>
      <c r="S11" s="327"/>
      <c r="T11" s="263"/>
      <c r="U11" s="304"/>
      <c r="V11" s="2"/>
      <c r="W11" s="305"/>
      <c r="X11" s="264"/>
      <c r="Y11" s="268" t="s">
        <v>267</v>
      </c>
      <c r="Z11"/>
      <c r="AA11"/>
    </row>
    <row r="12" spans="1:27" ht="85" x14ac:dyDescent="0.5">
      <c r="A12" s="2" t="s">
        <v>12</v>
      </c>
      <c r="B12" s="32" t="s">
        <v>609</v>
      </c>
      <c r="C12" s="32"/>
      <c r="D12" s="32">
        <v>6</v>
      </c>
      <c r="E12" s="32" t="str">
        <f>CONCATENATE(Technologieën[[#This Row],[Digitale zorgtoepassing]],"_",D12)</f>
        <v>(Zelf)zorgplatform + telebegeleiding_6</v>
      </c>
      <c r="F12" s="1" t="s">
        <v>947</v>
      </c>
      <c r="G12" s="349" t="s">
        <v>95</v>
      </c>
      <c r="H12" s="32"/>
      <c r="I12" s="32"/>
      <c r="J12" s="318"/>
      <c r="K12" s="319"/>
      <c r="L12" s="319"/>
      <c r="M12" s="319"/>
      <c r="N12" s="321"/>
      <c r="O12" s="265"/>
      <c r="P12" s="265"/>
      <c r="Q12" s="1"/>
      <c r="R12" s="326" t="s">
        <v>268</v>
      </c>
      <c r="S12" s="327">
        <v>0.05</v>
      </c>
      <c r="T12" s="263"/>
      <c r="U12" s="304"/>
      <c r="V12" s="2"/>
      <c r="W12" s="305">
        <v>866</v>
      </c>
      <c r="X12" s="264"/>
      <c r="Y12" s="268" t="s">
        <v>269</v>
      </c>
      <c r="Z12"/>
      <c r="AA12"/>
    </row>
    <row r="13" spans="1:27" ht="16.5" customHeight="1" x14ac:dyDescent="0.5">
      <c r="A13" s="2" t="s">
        <v>12</v>
      </c>
      <c r="B13" s="32" t="s">
        <v>609</v>
      </c>
      <c r="C13" s="32"/>
      <c r="D13" s="32">
        <v>7</v>
      </c>
      <c r="E13" s="32" t="str">
        <f>CONCATENATE(Technologieën[[#This Row],[Digitale zorgtoepassing]],"_",D13)</f>
        <v>(Zelf)zorgplatform + telebegeleiding_7</v>
      </c>
      <c r="F13" s="1" t="s">
        <v>947</v>
      </c>
      <c r="G13" s="349" t="s">
        <v>95</v>
      </c>
      <c r="H13" s="32"/>
      <c r="I13" s="32"/>
      <c r="J13" s="318"/>
      <c r="K13" s="319"/>
      <c r="L13" s="319">
        <f>898/52*'C3 Gegevens - overig'!C46</f>
        <v>10.361538461538462</v>
      </c>
      <c r="M13" s="319"/>
      <c r="N13" s="319"/>
      <c r="O13" s="313" cm="1">
        <f t="array" ref="O13">898*1*INDEX(Berekening_patiëntaantal[Patiëntaantallen],MATCH(Technologieën[[#This Row],[Digitale zorgtoepassing]],IF(Berekening_patiëntaantal[Doelgroep (zoeksleutel)]=G13,Berekening_patiëntaantal[Digitale zorgtoepassing]),0))</f>
        <v>14709240</v>
      </c>
      <c r="P13" s="313"/>
      <c r="Q13" s="1"/>
      <c r="R13" s="1"/>
      <c r="S13" s="322"/>
      <c r="T13" s="263"/>
      <c r="U13" s="304"/>
      <c r="V13" s="2"/>
      <c r="W13" s="305"/>
      <c r="X13" s="264"/>
      <c r="Y13" s="222" t="s">
        <v>581</v>
      </c>
      <c r="Z13"/>
      <c r="AA13"/>
    </row>
    <row r="14" spans="1:27" ht="18.649999999999999" customHeight="1" x14ac:dyDescent="0.5">
      <c r="A14" s="2" t="s">
        <v>12</v>
      </c>
      <c r="B14" s="32" t="s">
        <v>609</v>
      </c>
      <c r="C14" s="32"/>
      <c r="D14" s="32">
        <v>8</v>
      </c>
      <c r="E14" s="32" t="str">
        <f>CONCATENATE(Technologieën[[#This Row],[Digitale zorgtoepassing]],"_",D14)</f>
        <v>(Zelf)zorgplatform + telebegeleiding_8</v>
      </c>
      <c r="F14" s="1" t="s">
        <v>947</v>
      </c>
      <c r="G14" s="349" t="s">
        <v>94</v>
      </c>
      <c r="H14" s="32"/>
      <c r="I14" s="32"/>
      <c r="J14" s="318"/>
      <c r="K14" s="319"/>
      <c r="L14" s="319">
        <f>(1929*0.69/20+Technologieën[[#This Row],[Jaarlijkse kosten p. patiënt]])*'C3 Gegevens - overig'!C45/52</f>
        <v>2.0948134615384615</v>
      </c>
      <c r="M14" s="319"/>
      <c r="N14" s="321"/>
      <c r="O14" s="260"/>
      <c r="P14" s="260">
        <f>(1929*0.69/20+Technologieën[[#This Row],[Jaarlijkse kosten p. patiënt]])*'C3 Gegevens - overig'!D45</f>
        <v>72.620199999999997</v>
      </c>
      <c r="Q14" s="1"/>
      <c r="R14" s="326" t="s">
        <v>265</v>
      </c>
      <c r="S14" s="327">
        <f>0.83/29</f>
        <v>2.8620689655172414E-2</v>
      </c>
      <c r="T14" s="263">
        <f>305*0.69</f>
        <v>210.45</v>
      </c>
      <c r="U14" s="304"/>
      <c r="V14" s="2"/>
      <c r="W14" s="305">
        <v>115</v>
      </c>
      <c r="X14" s="264"/>
      <c r="Y14" s="165" t="s">
        <v>266</v>
      </c>
      <c r="Z14"/>
      <c r="AA14"/>
    </row>
    <row r="15" spans="1:27" ht="18.649999999999999" customHeight="1" x14ac:dyDescent="0.5">
      <c r="A15" s="2" t="s">
        <v>12</v>
      </c>
      <c r="B15" s="32" t="s">
        <v>609</v>
      </c>
      <c r="C15" s="32" t="s">
        <v>273</v>
      </c>
      <c r="D15" s="32">
        <v>9</v>
      </c>
      <c r="E15" s="32" t="str">
        <f>CONCATENATE(Technologieën[[#This Row],[Digitale zorgtoepassing]],"_",D15)</f>
        <v>(Zelf)zorgplatform + telebegeleiding_9</v>
      </c>
      <c r="F15" s="1" t="s">
        <v>947</v>
      </c>
      <c r="G15" s="349" t="s">
        <v>109</v>
      </c>
      <c r="H15" s="32"/>
      <c r="I15" s="32"/>
      <c r="J15" s="318"/>
      <c r="K15" s="319"/>
      <c r="L15" s="319"/>
      <c r="M15" s="319"/>
      <c r="N15" s="321"/>
      <c r="O15" s="2"/>
      <c r="P15" s="2"/>
      <c r="Q15" s="1"/>
      <c r="R15" s="1" t="s">
        <v>274</v>
      </c>
      <c r="S15" s="322">
        <f>(0.43+1.78)/50</f>
        <v>4.4199999999999996E-2</v>
      </c>
      <c r="T15" s="263"/>
      <c r="U15" s="304"/>
      <c r="V15" s="2"/>
      <c r="W15" s="305">
        <f>480+(9183+8358)/50</f>
        <v>830.81999999999994</v>
      </c>
      <c r="X15" s="264"/>
      <c r="Y15" s="165" t="s">
        <v>275</v>
      </c>
      <c r="Z15"/>
      <c r="AA15"/>
    </row>
    <row r="16" spans="1:27" ht="85" x14ac:dyDescent="0.5">
      <c r="A16" s="2" t="s">
        <v>12</v>
      </c>
      <c r="B16" s="32" t="s">
        <v>609</v>
      </c>
      <c r="C16" s="32"/>
      <c r="D16" s="32">
        <v>10</v>
      </c>
      <c r="E16" s="32" t="str">
        <f>CONCATENATE(Technologieën[[#This Row],[Digitale zorgtoepassing]],"_",D16)</f>
        <v>(Zelf)zorgplatform + telebegeleiding_10</v>
      </c>
      <c r="F16" s="1" t="s">
        <v>947</v>
      </c>
      <c r="G16" s="349" t="s">
        <v>270</v>
      </c>
      <c r="H16" s="32"/>
      <c r="I16" s="32"/>
      <c r="J16" s="318"/>
      <c r="K16" s="319"/>
      <c r="L16" s="319">
        <f>(875.86-725.52)*'C3 Gegevens - overig'!C45/52</f>
        <v>1.7346923076923082</v>
      </c>
      <c r="M16" s="319"/>
      <c r="N16" s="321"/>
      <c r="O16" s="265"/>
      <c r="P16" s="265">
        <f>(875.86-725.52)*'C3 Gegevens - overig'!D45</f>
        <v>60.136000000000017</v>
      </c>
      <c r="Q16" s="1"/>
      <c r="R16" s="1"/>
      <c r="S16" s="322"/>
      <c r="T16" s="263"/>
      <c r="U16" s="304"/>
      <c r="V16" s="2"/>
      <c r="W16" s="305"/>
      <c r="X16" s="264"/>
      <c r="Y16" s="165" t="s">
        <v>271</v>
      </c>
      <c r="Z16"/>
      <c r="AA16"/>
    </row>
    <row r="17" spans="1:27" ht="16.5" customHeight="1" x14ac:dyDescent="0.5">
      <c r="A17" s="2" t="s">
        <v>11</v>
      </c>
      <c r="B17" s="32" t="s">
        <v>474</v>
      </c>
      <c r="C17" s="32" t="s">
        <v>329</v>
      </c>
      <c r="D17" s="32">
        <v>1</v>
      </c>
      <c r="E17" s="32" t="str">
        <f>CONCATENATE(Technologieën[[#This Row],[Digitale zorgtoepassing]],"_",D17)</f>
        <v>AI om diagnoses te stellen (app)_1</v>
      </c>
      <c r="F17" s="1" t="s">
        <v>847</v>
      </c>
      <c r="G17" s="349" t="s">
        <v>923</v>
      </c>
      <c r="H17" s="32"/>
      <c r="I17" s="32"/>
      <c r="J17" s="318"/>
      <c r="K17" s="319">
        <f>0.54*15</f>
        <v>8.1000000000000014</v>
      </c>
      <c r="L17" s="319"/>
      <c r="M17" s="319"/>
      <c r="N17" s="321"/>
      <c r="O17" s="2"/>
      <c r="P17" s="2"/>
      <c r="Q17" s="1"/>
      <c r="R17" s="1" t="s">
        <v>330</v>
      </c>
      <c r="S17" s="322"/>
      <c r="T17" s="263"/>
      <c r="U17" s="304"/>
      <c r="V17" s="2"/>
      <c r="W17" s="305"/>
      <c r="X17" s="264"/>
      <c r="Y17" s="165" t="s">
        <v>331</v>
      </c>
      <c r="Z17"/>
      <c r="AA17"/>
    </row>
    <row r="18" spans="1:27" ht="34" x14ac:dyDescent="0.5">
      <c r="A18" s="2" t="s">
        <v>11</v>
      </c>
      <c r="B18" s="32" t="s">
        <v>474</v>
      </c>
      <c r="C18" s="32" t="s">
        <v>329</v>
      </c>
      <c r="D18" s="32">
        <v>2</v>
      </c>
      <c r="E18" s="32" t="str">
        <f>CONCATENATE(Technologieën[[#This Row],[Digitale zorgtoepassing]],"_",D18)</f>
        <v>AI om diagnoses te stellen (app)_2</v>
      </c>
      <c r="F18" s="1" t="s">
        <v>847</v>
      </c>
      <c r="G18" s="349" t="s">
        <v>923</v>
      </c>
      <c r="H18" s="32"/>
      <c r="I18" s="32"/>
      <c r="J18" s="318"/>
      <c r="K18" s="319"/>
      <c r="L18" s="319"/>
      <c r="M18" s="319"/>
      <c r="N18" s="321"/>
      <c r="O18" s="2"/>
      <c r="P18" s="2"/>
      <c r="Q18" s="1"/>
      <c r="R18" s="1"/>
      <c r="S18" s="322"/>
      <c r="T18" s="263"/>
      <c r="U18" s="2"/>
      <c r="V18" s="2"/>
      <c r="W18" s="305">
        <v>6.99</v>
      </c>
      <c r="X18" s="264"/>
      <c r="Y18" s="165" t="s">
        <v>476</v>
      </c>
      <c r="Z18"/>
      <c r="AA18"/>
    </row>
    <row r="19" spans="1:27" ht="34" x14ac:dyDescent="0.5">
      <c r="A19" s="2" t="s">
        <v>11</v>
      </c>
      <c r="B19" s="32" t="s">
        <v>473</v>
      </c>
      <c r="C19" s="32"/>
      <c r="D19" s="32">
        <v>1</v>
      </c>
      <c r="E19" s="32" t="str">
        <f>CONCATENATE(Technologieën[[#This Row],[Digitale zorgtoepassing]],"_",D19)</f>
        <v>AI om diagnoses te stellen (CT)_1</v>
      </c>
      <c r="F19" s="1" t="s">
        <v>848</v>
      </c>
      <c r="G19" s="349" t="s">
        <v>924</v>
      </c>
      <c r="H19" s="32"/>
      <c r="I19" s="32"/>
      <c r="J19" s="328"/>
      <c r="K19" s="329">
        <f>90/60</f>
        <v>1.5</v>
      </c>
      <c r="L19" s="319"/>
      <c r="M19" s="319"/>
      <c r="N19" s="321"/>
      <c r="O19" s="2"/>
      <c r="P19" s="2"/>
      <c r="Q19" s="1"/>
      <c r="R19" s="1" t="s">
        <v>318</v>
      </c>
      <c r="S19" s="322"/>
      <c r="T19" s="263"/>
      <c r="U19" s="304"/>
      <c r="V19" s="265"/>
      <c r="W19" s="260"/>
      <c r="X19" s="264"/>
      <c r="Y19" s="165" t="s">
        <v>319</v>
      </c>
      <c r="Z19"/>
      <c r="AA19"/>
    </row>
    <row r="20" spans="1:27" ht="34" x14ac:dyDescent="0.5">
      <c r="A20" s="2" t="s">
        <v>11</v>
      </c>
      <c r="B20" s="32" t="s">
        <v>473</v>
      </c>
      <c r="C20" s="32" t="s">
        <v>314</v>
      </c>
      <c r="D20" s="32">
        <v>2</v>
      </c>
      <c r="E20" s="32" t="str">
        <f>CONCATENATE(Technologieën[[#This Row],[Digitale zorgtoepassing]],"_",D20)</f>
        <v>AI om diagnoses te stellen (CT)_2</v>
      </c>
      <c r="F20" s="1" t="s">
        <v>848</v>
      </c>
      <c r="G20" s="349" t="s">
        <v>75</v>
      </c>
      <c r="H20" s="32" t="s">
        <v>471</v>
      </c>
      <c r="I20" s="32" t="s">
        <v>146</v>
      </c>
      <c r="J20" s="328"/>
      <c r="K20" s="319">
        <f>((75.6/60)+(136.6/60))/2</f>
        <v>1.7683333333333331</v>
      </c>
      <c r="L20" s="329"/>
      <c r="M20" s="319"/>
      <c r="N20" s="321"/>
      <c r="O20" s="2"/>
      <c r="P20" s="2"/>
      <c r="Q20" s="1"/>
      <c r="R20" s="1" t="s">
        <v>315</v>
      </c>
      <c r="S20" s="322"/>
      <c r="T20" s="263"/>
      <c r="U20" s="304"/>
      <c r="V20" s="2"/>
      <c r="W20" s="305"/>
      <c r="X20" s="264"/>
      <c r="Y20" s="165" t="s">
        <v>316</v>
      </c>
      <c r="Z20"/>
      <c r="AA20"/>
    </row>
    <row r="21" spans="1:27" ht="34" x14ac:dyDescent="0.5">
      <c r="A21" s="2" t="s">
        <v>11</v>
      </c>
      <c r="B21" s="32" t="s">
        <v>473</v>
      </c>
      <c r="C21" s="32" t="s">
        <v>939</v>
      </c>
      <c r="D21" s="32">
        <v>3</v>
      </c>
      <c r="E21" s="32" t="str">
        <f>CONCATENATE(Technologieën[[#This Row],[Digitale zorgtoepassing]],"_",D21)</f>
        <v>AI om diagnoses te stellen (CT)_3</v>
      </c>
      <c r="F21" s="1" t="s">
        <v>848</v>
      </c>
      <c r="G21" s="349" t="s">
        <v>75</v>
      </c>
      <c r="H21" s="32" t="s">
        <v>471</v>
      </c>
      <c r="I21" s="32" t="s">
        <v>146</v>
      </c>
      <c r="J21" s="318"/>
      <c r="K21" s="319"/>
      <c r="L21" s="319"/>
      <c r="M21" s="319"/>
      <c r="N21" s="321"/>
      <c r="O21" s="2"/>
      <c r="P21" s="2"/>
      <c r="Q21" s="1"/>
      <c r="R21" s="1"/>
      <c r="S21" s="322"/>
      <c r="T21" s="263"/>
      <c r="U21" s="304"/>
      <c r="V21" s="265"/>
      <c r="W21" s="307">
        <f>AVERAGE(5.81,8.7)</f>
        <v>7.254999999999999</v>
      </c>
      <c r="X21" s="266"/>
      <c r="Y21" s="165" t="s">
        <v>317</v>
      </c>
      <c r="Z21"/>
      <c r="AA21"/>
    </row>
    <row r="22" spans="1:27" ht="20.149999999999999" customHeight="1" x14ac:dyDescent="0.5">
      <c r="A22" s="2" t="s">
        <v>11</v>
      </c>
      <c r="B22" s="32" t="s">
        <v>473</v>
      </c>
      <c r="C22" s="32" t="s">
        <v>332</v>
      </c>
      <c r="D22" s="32">
        <v>4</v>
      </c>
      <c r="E22" s="32" t="str">
        <f>CONCATENATE(Technologieën[[#This Row],[Digitale zorgtoepassing]],"_",D22)</f>
        <v>AI om diagnoses te stellen (CT)_4</v>
      </c>
      <c r="F22" s="1" t="s">
        <v>848</v>
      </c>
      <c r="G22" s="349" t="s">
        <v>75</v>
      </c>
      <c r="H22" s="32" t="s">
        <v>471</v>
      </c>
      <c r="I22" s="32" t="s">
        <v>146</v>
      </c>
      <c r="J22" s="318"/>
      <c r="K22" s="330">
        <f>12*0.2</f>
        <v>2.4000000000000004</v>
      </c>
      <c r="L22" s="319"/>
      <c r="M22" s="319"/>
      <c r="N22" s="321"/>
      <c r="O22" s="323"/>
      <c r="P22" s="265"/>
      <c r="Q22" s="1"/>
      <c r="R22" s="1"/>
      <c r="S22" s="322"/>
      <c r="T22" s="263"/>
      <c r="U22" s="304"/>
      <c r="V22" s="2"/>
      <c r="W22" s="305"/>
      <c r="X22" s="264">
        <v>50000</v>
      </c>
      <c r="Y22" s="222" t="s">
        <v>956</v>
      </c>
      <c r="Z22"/>
      <c r="AA22"/>
    </row>
    <row r="23" spans="1:27" ht="34" x14ac:dyDescent="0.5">
      <c r="A23" s="2" t="s">
        <v>11</v>
      </c>
      <c r="B23" s="32" t="s">
        <v>473</v>
      </c>
      <c r="C23" s="32"/>
      <c r="D23" s="32">
        <v>5</v>
      </c>
      <c r="E23" s="32" t="str">
        <f>CONCATENATE(Technologieën[[#This Row],[Digitale zorgtoepassing]],"_",D23)</f>
        <v>AI om diagnoses te stellen (CT)_5</v>
      </c>
      <c r="F23" s="1" t="s">
        <v>848</v>
      </c>
      <c r="G23" s="349" t="s">
        <v>75</v>
      </c>
      <c r="H23" s="32" t="s">
        <v>471</v>
      </c>
      <c r="I23" s="32" t="s">
        <v>146</v>
      </c>
      <c r="J23" s="318"/>
      <c r="K23" s="319"/>
      <c r="L23" s="319"/>
      <c r="M23" s="319"/>
      <c r="N23" s="321"/>
      <c r="O23" s="2"/>
      <c r="P23" s="2"/>
      <c r="Q23" s="1"/>
      <c r="R23" s="1"/>
      <c r="S23" s="322">
        <v>0.04</v>
      </c>
      <c r="T23" s="263"/>
      <c r="U23" s="304"/>
      <c r="V23" s="2"/>
      <c r="W23" s="305"/>
      <c r="X23" s="264"/>
      <c r="Y23" s="165" t="s">
        <v>456</v>
      </c>
      <c r="Z23"/>
      <c r="AA23"/>
    </row>
    <row r="24" spans="1:27" ht="19.5" customHeight="1" x14ac:dyDescent="0.5">
      <c r="A24" s="2" t="s">
        <v>11</v>
      </c>
      <c r="B24" s="32" t="s">
        <v>473</v>
      </c>
      <c r="C24" s="32"/>
      <c r="D24" s="32">
        <v>6</v>
      </c>
      <c r="E24" s="32" t="str">
        <f>CONCATENATE(Technologieën[[#This Row],[Digitale zorgtoepassing]],"_",D24)</f>
        <v>AI om diagnoses te stellen (CT)_6</v>
      </c>
      <c r="F24" s="1" t="s">
        <v>848</v>
      </c>
      <c r="G24" s="349" t="s">
        <v>75</v>
      </c>
      <c r="H24" s="32" t="s">
        <v>471</v>
      </c>
      <c r="I24" s="32" t="s">
        <v>146</v>
      </c>
      <c r="J24" s="318"/>
      <c r="K24" s="319"/>
      <c r="L24" s="319"/>
      <c r="M24" s="319"/>
      <c r="N24" s="321"/>
      <c r="O24" s="323">
        <f>150*14000</f>
        <v>2100000</v>
      </c>
      <c r="P24" s="323"/>
      <c r="Q24" s="1" t="s">
        <v>333</v>
      </c>
      <c r="R24" s="1"/>
      <c r="S24" s="322"/>
      <c r="T24" s="263"/>
      <c r="U24" s="304"/>
      <c r="V24" s="2"/>
      <c r="W24" s="305"/>
      <c r="X24" s="264"/>
      <c r="Y24" s="222" t="s">
        <v>956</v>
      </c>
      <c r="Z24"/>
      <c r="AA24"/>
    </row>
    <row r="25" spans="1:27" ht="34" x14ac:dyDescent="0.5">
      <c r="A25" s="2" t="s">
        <v>11</v>
      </c>
      <c r="B25" s="32" t="s">
        <v>472</v>
      </c>
      <c r="C25" s="32" t="s">
        <v>313</v>
      </c>
      <c r="D25" s="32">
        <v>1</v>
      </c>
      <c r="E25" s="32" t="str">
        <f>CONCATENATE(Technologieën[[#This Row],[Digitale zorgtoepassing]],"_",D25)</f>
        <v>AI om diagnoses te stellen (MRI)_1</v>
      </c>
      <c r="F25" s="1" t="s">
        <v>849</v>
      </c>
      <c r="G25" s="349" t="s">
        <v>71</v>
      </c>
      <c r="H25" s="32"/>
      <c r="I25" s="32"/>
      <c r="J25" s="331"/>
      <c r="K25" s="319">
        <v>15</v>
      </c>
      <c r="L25" s="319"/>
      <c r="M25" s="319"/>
      <c r="N25" s="321"/>
      <c r="O25" s="305"/>
      <c r="P25" s="305"/>
      <c r="Q25" s="1"/>
      <c r="R25" s="1"/>
      <c r="S25" s="322"/>
      <c r="T25" s="263"/>
      <c r="U25" s="304">
        <f>600000/69</f>
        <v>8695.652173913044</v>
      </c>
      <c r="V25" s="308"/>
      <c r="W25" s="305">
        <f>17</f>
        <v>17</v>
      </c>
      <c r="X25" s="264"/>
      <c r="Y25" s="165" t="s">
        <v>243</v>
      </c>
      <c r="Z25"/>
      <c r="AA25"/>
    </row>
    <row r="26" spans="1:27" ht="34" x14ac:dyDescent="0.5">
      <c r="A26" s="2" t="s">
        <v>11</v>
      </c>
      <c r="B26" s="32" t="s">
        <v>472</v>
      </c>
      <c r="C26" s="32" t="s">
        <v>313</v>
      </c>
      <c r="D26" s="32">
        <v>2</v>
      </c>
      <c r="E26" s="32" t="str">
        <f>CONCATENATE(Technologieën[[#This Row],[Digitale zorgtoepassing]],"_",D26)</f>
        <v>AI om diagnoses te stellen (MRI)_2</v>
      </c>
      <c r="F26" s="1" t="s">
        <v>849</v>
      </c>
      <c r="G26" s="349" t="s">
        <v>71</v>
      </c>
      <c r="H26" s="32"/>
      <c r="I26" s="32"/>
      <c r="J26" s="318"/>
      <c r="K26" s="319"/>
      <c r="L26" s="319"/>
      <c r="M26" s="319"/>
      <c r="N26" s="321"/>
      <c r="O26" s="305"/>
      <c r="P26" s="305"/>
      <c r="Q26" s="1"/>
      <c r="R26" s="1"/>
      <c r="S26" s="322">
        <v>0.46</v>
      </c>
      <c r="T26" s="263"/>
      <c r="U26" s="304"/>
      <c r="V26" s="308"/>
      <c r="W26" s="305"/>
      <c r="X26" s="264"/>
      <c r="Y26" s="165" t="s">
        <v>243</v>
      </c>
      <c r="Z26"/>
      <c r="AA26"/>
    </row>
    <row r="27" spans="1:27" ht="16.5" customHeight="1" x14ac:dyDescent="0.5">
      <c r="A27" s="2" t="s">
        <v>11</v>
      </c>
      <c r="B27" s="32" t="s">
        <v>475</v>
      </c>
      <c r="C27" s="32" t="s">
        <v>457</v>
      </c>
      <c r="D27" s="32">
        <v>1</v>
      </c>
      <c r="E27" s="32" t="str">
        <f>CONCATENATE(Technologieën[[#This Row],[Digitale zorgtoepassing]],"_",D27)</f>
        <v>AI om diagnoses te stellen (röntgen)_1</v>
      </c>
      <c r="F27" s="1" t="s">
        <v>850</v>
      </c>
      <c r="G27" s="349" t="s">
        <v>925</v>
      </c>
      <c r="H27" s="32"/>
      <c r="I27" s="32"/>
      <c r="J27" s="318"/>
      <c r="K27" s="329">
        <f>10/60</f>
        <v>0.16666666666666666</v>
      </c>
      <c r="L27" s="319"/>
      <c r="M27" s="319"/>
      <c r="N27" s="321"/>
      <c r="O27" s="2"/>
      <c r="P27" s="2"/>
      <c r="Q27" s="1"/>
      <c r="R27" s="1" t="s">
        <v>458</v>
      </c>
      <c r="S27" s="322"/>
      <c r="T27" s="263"/>
      <c r="U27" s="304"/>
      <c r="V27" s="2"/>
      <c r="W27" s="305"/>
      <c r="X27" s="264"/>
      <c r="Y27" s="165" t="s">
        <v>459</v>
      </c>
      <c r="Z27"/>
      <c r="AA27"/>
    </row>
    <row r="28" spans="1:27" ht="16.5" customHeight="1" x14ac:dyDescent="0.5">
      <c r="A28" s="2" t="s">
        <v>12</v>
      </c>
      <c r="B28" s="32" t="s">
        <v>716</v>
      </c>
      <c r="C28" s="32"/>
      <c r="D28" s="32">
        <v>1</v>
      </c>
      <c r="E28" s="32" t="str">
        <f>CONCATENATE(Technologieën[[#This Row],[Digitale zorgtoepassing]],"_",D28)</f>
        <v>AI op de IC (ontslag beslissing)_1</v>
      </c>
      <c r="F28" s="1" t="s">
        <v>942</v>
      </c>
      <c r="G28" s="349" t="s">
        <v>80</v>
      </c>
      <c r="H28" s="32"/>
      <c r="I28" s="32"/>
      <c r="J28" s="318"/>
      <c r="K28" s="319"/>
      <c r="L28" s="332"/>
      <c r="M28" s="332">
        <f>(60-34.91)*'C3 Gegevens - overig'!C45</f>
        <v>15.054000000000002</v>
      </c>
      <c r="N28" s="321"/>
      <c r="O28" s="2"/>
      <c r="P28" s="333">
        <f>(60-34.91)*'C3 Gegevens - overig'!D45</f>
        <v>10.036000000000001</v>
      </c>
      <c r="Q28" s="1"/>
      <c r="R28" s="1" t="s">
        <v>301</v>
      </c>
      <c r="S28" s="322">
        <v>1.8E-3</v>
      </c>
      <c r="T28" s="267"/>
      <c r="U28" s="304"/>
      <c r="V28" s="2"/>
      <c r="W28" s="309">
        <f>60000/1000</f>
        <v>60</v>
      </c>
      <c r="X28" s="264"/>
      <c r="Y28" s="165" t="s">
        <v>302</v>
      </c>
      <c r="Z28"/>
      <c r="AA28"/>
    </row>
    <row r="29" spans="1:27" ht="34" x14ac:dyDescent="0.5">
      <c r="A29" s="2" t="s">
        <v>11</v>
      </c>
      <c r="B29" s="32" t="s">
        <v>66</v>
      </c>
      <c r="C29" s="32" t="s">
        <v>323</v>
      </c>
      <c r="D29" s="32">
        <v>1</v>
      </c>
      <c r="E29" s="32" t="str">
        <f>CONCATENATE(Technologieën[[#This Row],[Digitale zorgtoepassing]],"_",D29)</f>
        <v>Apps voor cognitieve testen_1</v>
      </c>
      <c r="F29" s="1" t="s">
        <v>851</v>
      </c>
      <c r="G29" s="349" t="s">
        <v>926</v>
      </c>
      <c r="H29" s="32"/>
      <c r="I29" s="32"/>
      <c r="J29" s="331"/>
      <c r="K29" s="319">
        <v>45</v>
      </c>
      <c r="L29" s="319"/>
      <c r="M29" s="319"/>
      <c r="N29" s="321"/>
      <c r="O29" s="2"/>
      <c r="P29" s="2"/>
      <c r="Q29" s="1"/>
      <c r="R29" s="1" t="s">
        <v>324</v>
      </c>
      <c r="S29" s="322"/>
      <c r="T29" s="263"/>
      <c r="U29" s="304"/>
      <c r="V29" s="2"/>
      <c r="W29" s="305"/>
      <c r="X29" s="264"/>
      <c r="Y29" s="165" t="s">
        <v>325</v>
      </c>
      <c r="Z29"/>
      <c r="AA29"/>
    </row>
    <row r="30" spans="1:27" ht="34" x14ac:dyDescent="0.5">
      <c r="A30" s="2" t="s">
        <v>11</v>
      </c>
      <c r="B30" s="32" t="s">
        <v>66</v>
      </c>
      <c r="C30" s="32" t="s">
        <v>320</v>
      </c>
      <c r="D30" s="32">
        <v>2</v>
      </c>
      <c r="E30" s="32" t="str">
        <f>CONCATENATE(Technologieën[[#This Row],[Digitale zorgtoepassing]],"_",D30)</f>
        <v>Apps voor cognitieve testen_2</v>
      </c>
      <c r="F30" s="1" t="s">
        <v>851</v>
      </c>
      <c r="G30" s="349" t="s">
        <v>67</v>
      </c>
      <c r="H30" s="32"/>
      <c r="I30" s="32"/>
      <c r="J30" s="331"/>
      <c r="K30" s="319">
        <v>15</v>
      </c>
      <c r="L30" s="319"/>
      <c r="M30" s="319"/>
      <c r="N30" s="321"/>
      <c r="O30" s="2"/>
      <c r="P30" s="2"/>
      <c r="Q30" s="1"/>
      <c r="R30" s="1" t="s">
        <v>321</v>
      </c>
      <c r="S30" s="322"/>
      <c r="T30" s="263"/>
      <c r="U30" s="304"/>
      <c r="V30" s="2"/>
      <c r="W30" s="305"/>
      <c r="X30" s="264"/>
      <c r="Y30" s="165" t="s">
        <v>322</v>
      </c>
      <c r="Z30"/>
      <c r="AA30"/>
    </row>
    <row r="31" spans="1:27" ht="34" x14ac:dyDescent="0.5">
      <c r="A31" s="2" t="s">
        <v>11</v>
      </c>
      <c r="B31" s="32" t="s">
        <v>76</v>
      </c>
      <c r="C31" s="32"/>
      <c r="D31" s="32">
        <v>1</v>
      </c>
      <c r="E31" s="32" t="str">
        <f>CONCATENATE(Technologieën[[#This Row],[Digitale zorgtoepassing]],"_",D31)</f>
        <v>Deltascan voor delier opsporing_1</v>
      </c>
      <c r="F31" s="1" t="s">
        <v>852</v>
      </c>
      <c r="G31" s="349" t="s">
        <v>927</v>
      </c>
      <c r="H31" s="32"/>
      <c r="I31" s="32"/>
      <c r="J31" s="318"/>
      <c r="K31" s="319">
        <f>(60-1)*2.2</f>
        <v>129.80000000000001</v>
      </c>
      <c r="L31" s="319"/>
      <c r="M31" s="319"/>
      <c r="N31" s="321"/>
      <c r="O31" s="2"/>
      <c r="P31" s="2"/>
      <c r="Q31" s="1"/>
      <c r="R31" s="1"/>
      <c r="S31" s="322"/>
      <c r="T31" s="263"/>
      <c r="U31" s="304"/>
      <c r="V31" s="2"/>
      <c r="W31" s="305"/>
      <c r="X31" s="264"/>
      <c r="Y31" s="268" t="s">
        <v>326</v>
      </c>
      <c r="Z31"/>
      <c r="AA31"/>
    </row>
    <row r="32" spans="1:27" ht="51" x14ac:dyDescent="0.5">
      <c r="A32" s="2" t="s">
        <v>12</v>
      </c>
      <c r="B32" s="32" t="s">
        <v>578</v>
      </c>
      <c r="C32" s="32" t="s">
        <v>576</v>
      </c>
      <c r="D32" s="32">
        <v>1</v>
      </c>
      <c r="E32" s="32" t="str">
        <f>CONCATENATE(Technologieën[[#This Row],[Digitale zorgtoepassing]],"_",D32)</f>
        <v>Digitale exposure therapie_1</v>
      </c>
      <c r="F32" s="1" t="s">
        <v>943</v>
      </c>
      <c r="G32" s="349" t="s">
        <v>577</v>
      </c>
      <c r="H32" s="32"/>
      <c r="I32" s="32"/>
      <c r="J32" s="318">
        <f>(16+20)/2*0.3*60/52+(16+20)/2*0.7*0.33*60/52</f>
        <v>11.028461538461539</v>
      </c>
      <c r="K32" s="319"/>
      <c r="L32" s="319"/>
      <c r="M32" s="319"/>
      <c r="N32" s="319"/>
      <c r="O32" s="313"/>
      <c r="P32" s="313"/>
      <c r="Q32" s="1"/>
      <c r="R32" s="1"/>
      <c r="S32" s="322"/>
      <c r="T32" s="263"/>
      <c r="U32" s="304"/>
      <c r="V32" s="2"/>
      <c r="W32" s="305"/>
      <c r="X32" s="264"/>
      <c r="Y32" s="165" t="s">
        <v>596</v>
      </c>
      <c r="Z32"/>
      <c r="AA32"/>
    </row>
    <row r="33" spans="1:27" ht="34" x14ac:dyDescent="0.5">
      <c r="A33" s="2" t="s">
        <v>11</v>
      </c>
      <c r="B33" s="32" t="s">
        <v>139</v>
      </c>
      <c r="C33" s="32"/>
      <c r="D33" s="32">
        <v>1</v>
      </c>
      <c r="E33" s="32" t="str">
        <f>CONCATENATE(Technologieën[[#This Row],[Digitale zorgtoepassing]],"_",D33)</f>
        <v>Digitale pathologie_1</v>
      </c>
      <c r="F33" s="1" t="s">
        <v>853</v>
      </c>
      <c r="G33" s="349"/>
      <c r="H33" s="32"/>
      <c r="I33" s="32"/>
      <c r="J33" s="318"/>
      <c r="K33" s="319"/>
      <c r="L33" s="319"/>
      <c r="M33" s="319"/>
      <c r="N33" s="321">
        <f>(57+67)/2</f>
        <v>62</v>
      </c>
      <c r="O33" s="2"/>
      <c r="P33" s="2"/>
      <c r="Q33" s="1"/>
      <c r="R33" s="1"/>
      <c r="S33" s="322"/>
      <c r="T33" s="263"/>
      <c r="U33" s="304"/>
      <c r="V33" s="2"/>
      <c r="W33" s="305"/>
      <c r="X33" s="264"/>
      <c r="Y33" s="165" t="s">
        <v>214</v>
      </c>
      <c r="Z33"/>
      <c r="AA33"/>
    </row>
    <row r="34" spans="1:27" ht="68" x14ac:dyDescent="0.5">
      <c r="A34" s="2" t="s">
        <v>12</v>
      </c>
      <c r="B34" s="32" t="s">
        <v>588</v>
      </c>
      <c r="C34" s="32" t="s">
        <v>312</v>
      </c>
      <c r="D34" s="32">
        <v>1</v>
      </c>
      <c r="E34" s="32" t="str">
        <f>CONCATENATE(Technologieën[[#This Row],[Digitale zorgtoepassing]],"_",D34)</f>
        <v>Digitale zorg logopedie_1</v>
      </c>
      <c r="F34" s="1" t="s">
        <v>944</v>
      </c>
      <c r="G34" s="349" t="s">
        <v>104</v>
      </c>
      <c r="H34" s="32"/>
      <c r="I34" s="32"/>
      <c r="J34" s="318">
        <f>2*60*50%</f>
        <v>60</v>
      </c>
      <c r="K34" s="319"/>
      <c r="L34" s="319"/>
      <c r="M34" s="319"/>
      <c r="N34" s="321"/>
      <c r="O34" s="2"/>
      <c r="P34" s="265"/>
      <c r="Q34" s="1"/>
      <c r="R34" s="1"/>
      <c r="S34" s="322"/>
      <c r="T34" s="263"/>
      <c r="U34" s="304"/>
      <c r="V34" s="2"/>
      <c r="W34" s="305" cm="1">
        <f t="array" ref="W34">35.95*12*8654*30%/INDEX(Berekening_patiëntaantal[Patiëntaantallen],MATCH(Technologieën[[#This Row],[Digitale zorgtoepassing]],IF(Berekening_patiëntaantal[Doelgroep (zoeksleutel)]=G34,Berekening_patiëntaantal[Digitale zorgtoepassing]),0))</f>
        <v>140.00008499999998</v>
      </c>
      <c r="X34" s="264"/>
      <c r="Y34" s="222" t="s">
        <v>955</v>
      </c>
      <c r="Z34"/>
      <c r="AA34"/>
    </row>
    <row r="35" spans="1:27" ht="68" x14ac:dyDescent="0.5">
      <c r="A35" s="2" t="s">
        <v>12</v>
      </c>
      <c r="B35" s="32" t="s">
        <v>585</v>
      </c>
      <c r="C35" s="32" t="s">
        <v>310</v>
      </c>
      <c r="D35" s="32">
        <v>1</v>
      </c>
      <c r="E35" s="32" t="str">
        <f>CONCATENATE(Technologieën[[#This Row],[Digitale zorgtoepassing]],"_",D35)</f>
        <v>Digitale/slimme vervolgzorg_1</v>
      </c>
      <c r="F35" s="1" t="s">
        <v>945</v>
      </c>
      <c r="G35" s="349" t="s">
        <v>928</v>
      </c>
      <c r="H35" s="32"/>
      <c r="I35" s="32"/>
      <c r="J35" s="318"/>
      <c r="K35" s="319"/>
      <c r="L35" s="319"/>
      <c r="M35" s="320">
        <f>168*'C3 Gegevens - overig'!C45</f>
        <v>100.8</v>
      </c>
      <c r="N35" s="321"/>
      <c r="O35" s="2"/>
      <c r="P35" s="265">
        <f>168*'C3 Gegevens - overig'!D45</f>
        <v>67.2</v>
      </c>
      <c r="Q35" s="1"/>
      <c r="R35" s="1"/>
      <c r="S35" s="322"/>
      <c r="T35" s="263">
        <v>0</v>
      </c>
      <c r="U35" s="304"/>
      <c r="V35" s="2"/>
      <c r="W35" s="305">
        <v>0</v>
      </c>
      <c r="X35" s="264"/>
      <c r="Y35" s="165" t="s">
        <v>311</v>
      </c>
      <c r="Z35"/>
      <c r="AA35"/>
    </row>
    <row r="36" spans="1:27" ht="68" x14ac:dyDescent="0.5">
      <c r="A36" s="2" t="s">
        <v>12</v>
      </c>
      <c r="B36" s="32" t="s">
        <v>585</v>
      </c>
      <c r="C36" s="32"/>
      <c r="D36" s="32">
        <v>2</v>
      </c>
      <c r="E36" s="32" t="str">
        <f>CONCATENATE(Technologieën[[#This Row],[Digitale zorgtoepassing]],"_",D36)</f>
        <v>Digitale/slimme vervolgzorg_2</v>
      </c>
      <c r="F36" s="1" t="s">
        <v>945</v>
      </c>
      <c r="G36" s="349" t="s">
        <v>583</v>
      </c>
      <c r="H36" s="32"/>
      <c r="I36" s="32"/>
      <c r="J36" s="334"/>
      <c r="K36" s="319">
        <v>3</v>
      </c>
      <c r="L36" s="319"/>
      <c r="M36" s="319"/>
      <c r="N36" s="319"/>
      <c r="O36" s="313"/>
      <c r="P36" s="313"/>
      <c r="Q36" s="1"/>
      <c r="R36" s="1"/>
      <c r="S36" s="322"/>
      <c r="T36" s="263"/>
      <c r="U36" s="304"/>
      <c r="V36" s="2"/>
      <c r="W36" s="305"/>
      <c r="X36" s="264"/>
      <c r="Y36" s="268" t="s">
        <v>584</v>
      </c>
      <c r="Z36"/>
      <c r="AA36"/>
    </row>
    <row r="37" spans="1:27" ht="85" x14ac:dyDescent="0.5">
      <c r="A37" s="2" t="s">
        <v>8</v>
      </c>
      <c r="B37" s="32" t="s">
        <v>58</v>
      </c>
      <c r="C37" s="32"/>
      <c r="D37" s="32">
        <v>1</v>
      </c>
      <c r="E37" s="32" t="str">
        <f>CONCATENATE(Technologieën[[#This Row],[Digitale zorgtoepassing]],"_",D37)</f>
        <v>Elektromechanisch toegangsbeheer_1</v>
      </c>
      <c r="F37" s="348" t="s">
        <v>873</v>
      </c>
      <c r="G37" s="349" t="s">
        <v>929</v>
      </c>
      <c r="H37" s="32" t="s">
        <v>199</v>
      </c>
      <c r="I37" s="32" t="s">
        <v>142</v>
      </c>
      <c r="J37" s="318">
        <v>7</v>
      </c>
      <c r="K37" s="319"/>
      <c r="L37" s="319"/>
      <c r="M37" s="319"/>
      <c r="N37" s="321"/>
      <c r="O37" s="2"/>
      <c r="P37" s="305">
        <f>(Technologieën[[#This Row],[Tijdsbesparing p. patiënt (min/week)]]*52/60)/INDEX(Zorggebruik[Waarvan personeel],MATCH(H37,Zorggebruik[Zorggebruik],0))*INDEX(Zorggebruik[Waarvan anders],MATCH(H37,Zorggebruik[Zorggebruik],0))*INDEX(Uurloon[Uurtarief zorgpersoneel],MATCH(Technologieën[[#This Row],[Zorgverlener]],Uurloon[Zorgverlener],0))</f>
        <v>75.716059015268485</v>
      </c>
      <c r="Q37" s="1"/>
      <c r="R37" s="1"/>
      <c r="S37" s="322"/>
      <c r="T37" s="263"/>
      <c r="U37" s="304"/>
      <c r="V37" s="2"/>
      <c r="W37" s="305"/>
      <c r="X37" s="264"/>
      <c r="Y37" s="222" t="s">
        <v>222</v>
      </c>
      <c r="Z37"/>
      <c r="AA37"/>
    </row>
    <row r="38" spans="1:27" ht="85" x14ac:dyDescent="0.5">
      <c r="A38" s="2" t="s">
        <v>8</v>
      </c>
      <c r="B38" s="32" t="s">
        <v>58</v>
      </c>
      <c r="C38" s="32"/>
      <c r="D38" s="32">
        <v>2</v>
      </c>
      <c r="E38" s="32" t="str">
        <f>CONCATENATE(Technologieën[[#This Row],[Digitale zorgtoepassing]],"_",D38)</f>
        <v>Elektromechanisch toegangsbeheer_2</v>
      </c>
      <c r="F38" s="348" t="s">
        <v>873</v>
      </c>
      <c r="G38" s="349" t="s">
        <v>929</v>
      </c>
      <c r="H38" s="32" t="s">
        <v>199</v>
      </c>
      <c r="I38" s="32" t="s">
        <v>142</v>
      </c>
      <c r="J38" s="318"/>
      <c r="K38" s="319"/>
      <c r="L38" s="319"/>
      <c r="M38" s="319"/>
      <c r="N38" s="321"/>
      <c r="O38" s="2"/>
      <c r="P38" s="2"/>
      <c r="Q38" s="1"/>
      <c r="R38" s="1"/>
      <c r="S38" s="322"/>
      <c r="T38" s="263"/>
      <c r="U38" s="304"/>
      <c r="V38" s="2"/>
      <c r="W38" s="305"/>
      <c r="X38" s="264"/>
      <c r="Y38" s="165" t="s">
        <v>223</v>
      </c>
      <c r="Z38"/>
      <c r="AA38"/>
    </row>
    <row r="39" spans="1:27" ht="18" customHeight="1" x14ac:dyDescent="0.5">
      <c r="A39" s="2" t="s">
        <v>8</v>
      </c>
      <c r="B39" s="32" t="s">
        <v>58</v>
      </c>
      <c r="C39" s="32" t="s">
        <v>224</v>
      </c>
      <c r="D39" s="32">
        <v>3</v>
      </c>
      <c r="E39" s="32" t="str">
        <f>CONCATENATE(Technologieën[[#This Row],[Digitale zorgtoepassing]],"_",D39)</f>
        <v>Elektromechanisch toegangsbeheer_3</v>
      </c>
      <c r="F39" s="348" t="s">
        <v>873</v>
      </c>
      <c r="G39" s="349" t="s">
        <v>929</v>
      </c>
      <c r="H39" s="32" t="s">
        <v>199</v>
      </c>
      <c r="I39" s="32" t="s">
        <v>142</v>
      </c>
      <c r="J39" s="318"/>
      <c r="K39" s="319"/>
      <c r="L39" s="319"/>
      <c r="M39" s="319"/>
      <c r="N39" s="321"/>
      <c r="O39" s="2"/>
      <c r="P39" s="2"/>
      <c r="Q39" s="1"/>
      <c r="R39" s="1"/>
      <c r="S39" s="322"/>
      <c r="T39" s="263">
        <v>79.95</v>
      </c>
      <c r="U39" s="304"/>
      <c r="V39" s="2"/>
      <c r="W39" s="305">
        <f>15.95*12</f>
        <v>191.39999999999998</v>
      </c>
      <c r="X39" s="264"/>
      <c r="Y39" s="268" t="s">
        <v>225</v>
      </c>
      <c r="Z39"/>
      <c r="AA39"/>
    </row>
    <row r="40" spans="1:27" ht="68" x14ac:dyDescent="0.5">
      <c r="A40" s="2" t="s">
        <v>8</v>
      </c>
      <c r="B40" s="32" t="s">
        <v>105</v>
      </c>
      <c r="C40" s="32"/>
      <c r="D40" s="32">
        <v>1</v>
      </c>
      <c r="E40" s="32" t="str">
        <f>CONCATENATE(Technologieën[[#This Row],[Digitale zorgtoepassing]],"_",D40)</f>
        <v>Exoskelet_1</v>
      </c>
      <c r="F40" s="348" t="s">
        <v>874</v>
      </c>
      <c r="G40" s="349" t="s">
        <v>106</v>
      </c>
      <c r="H40" s="32" t="s">
        <v>201</v>
      </c>
      <c r="I40" s="32" t="s">
        <v>144</v>
      </c>
      <c r="J40" s="318"/>
      <c r="K40" s="319"/>
      <c r="L40" s="319"/>
      <c r="M40" s="319"/>
      <c r="N40" s="321">
        <f>((0.06775*136800*(1/3)*0.2*0.1*(29.8/40))+(0.06775*136800*(1/3)*0.6*0.1* (29.8/40)))/2</f>
        <v>92.064120000000003</v>
      </c>
      <c r="O40" s="2"/>
      <c r="P40" s="308">
        <f>Technologieën[[#This Row],[Jaarlijkse besparing zorgpersoneel (FTE)]]*40*52/SUMIFS(Berekening_patiëntaantal[Patiëntaantallen],Berekening_patiëntaantal[Digitale zorgtoepassing],B40)/INDEX(Zorggebruik[Waarvan personeel],MATCH(H86,Zorggebruik[Zorggebruik],0))*INDEX(Zorggebruik[Kostenbesparing indirect personeel],MATCH(H86,Zorggebruik[Zorggebruik],0))*INDEX(Uurloon[Uurtarief zorgpersoneel],MATCH(Technologieën[[#This Row],[Zorgverlener]],Uurloon[Zorgverlener],0))</f>
        <v>0</v>
      </c>
      <c r="Q40" s="1"/>
      <c r="R40" s="1"/>
      <c r="S40" s="322"/>
      <c r="T40" s="263"/>
      <c r="U40" s="304"/>
      <c r="V40" s="2"/>
      <c r="W40" s="305"/>
      <c r="X40" s="264"/>
      <c r="Y40" s="165" t="s">
        <v>226</v>
      </c>
      <c r="Z40"/>
      <c r="AA40"/>
    </row>
    <row r="41" spans="1:27" ht="68" x14ac:dyDescent="0.5">
      <c r="A41" s="2" t="s">
        <v>8</v>
      </c>
      <c r="B41" s="32" t="s">
        <v>105</v>
      </c>
      <c r="C41" s="32"/>
      <c r="D41" s="32">
        <v>2</v>
      </c>
      <c r="E41" s="32" t="str">
        <f>CONCATENATE(Technologieën[[#This Row],[Digitale zorgtoepassing]],"_",D41)</f>
        <v>Exoskelet_2</v>
      </c>
      <c r="F41" s="348" t="s">
        <v>874</v>
      </c>
      <c r="G41" s="349" t="s">
        <v>106</v>
      </c>
      <c r="H41" s="32" t="s">
        <v>201</v>
      </c>
      <c r="I41" s="32" t="s">
        <v>144</v>
      </c>
      <c r="J41" s="318"/>
      <c r="K41" s="319"/>
      <c r="L41" s="319"/>
      <c r="M41" s="319"/>
      <c r="N41" s="321"/>
      <c r="O41" s="2"/>
      <c r="P41" s="2"/>
      <c r="Q41" s="1"/>
      <c r="R41" s="1"/>
      <c r="S41" s="322"/>
      <c r="T41" s="263">
        <f>(4000+5000)/2</f>
        <v>4500</v>
      </c>
      <c r="U41" s="304"/>
      <c r="V41" s="2"/>
      <c r="W41" s="305"/>
      <c r="X41" s="264"/>
      <c r="Y41" s="165" t="s">
        <v>227</v>
      </c>
      <c r="Z41"/>
      <c r="AA41"/>
    </row>
    <row r="42" spans="1:27" ht="34" x14ac:dyDescent="0.5">
      <c r="A42" s="2" t="s">
        <v>8</v>
      </c>
      <c r="B42" s="32" t="s">
        <v>32</v>
      </c>
      <c r="C42" s="32"/>
      <c r="D42" s="32">
        <v>1</v>
      </c>
      <c r="E42" s="32" t="str">
        <f>CONCATENATE(Technologieën[[#This Row],[Digitale zorgtoepassing]],"_",D42)</f>
        <v>Heupairbag_1</v>
      </c>
      <c r="F42" s="348" t="s">
        <v>875</v>
      </c>
      <c r="G42" s="349" t="s">
        <v>930</v>
      </c>
      <c r="H42" s="32" t="s">
        <v>201</v>
      </c>
      <c r="I42" s="32" t="s">
        <v>144</v>
      </c>
      <c r="J42" s="318">
        <v>106</v>
      </c>
      <c r="K42" s="319"/>
      <c r="L42" s="319"/>
      <c r="M42" s="319"/>
      <c r="N42" s="321"/>
      <c r="O42" s="2">
        <v>6970000</v>
      </c>
      <c r="P42" s="465">
        <f>(Technologieën[[#This Row],[Tijdsbesparing p. patiënt (min/week)]]*52/60)/INDEX(Zorggebruik[Waarvan personeel],MATCH(H42,Zorggebruik[Zorggebruik],0))*INDEX(Zorggebruik[Kostenbesparing indirect personeel],MATCH(H42,Zorggebruik[Zorggebruik],0))*INDEX(Uurloon[Uurtarief zorgpersoneel],MATCH(Technologieën[[#This Row],[Zorgverlener]],Uurloon[Zorgverlener],0))</f>
        <v>261.27839865586333</v>
      </c>
      <c r="Q42" s="1" t="s">
        <v>228</v>
      </c>
      <c r="R42" s="1" t="s">
        <v>229</v>
      </c>
      <c r="S42" s="322"/>
      <c r="T42" s="263">
        <f>23123/35</f>
        <v>660.65714285714284</v>
      </c>
      <c r="U42" s="304"/>
      <c r="V42" s="2"/>
      <c r="W42" s="305">
        <f>6574/35</f>
        <v>187.82857142857142</v>
      </c>
      <c r="X42" s="264"/>
      <c r="Y42" s="165" t="s">
        <v>276</v>
      </c>
      <c r="Z42"/>
      <c r="AA42"/>
    </row>
    <row r="43" spans="1:27" ht="34" x14ac:dyDescent="0.5">
      <c r="A43" s="2" t="s">
        <v>8</v>
      </c>
      <c r="B43" s="32" t="s">
        <v>32</v>
      </c>
      <c r="C43" s="32" t="s">
        <v>230</v>
      </c>
      <c r="D43" s="32">
        <v>2</v>
      </c>
      <c r="E43" s="32" t="str">
        <f>CONCATENATE(Technologieën[[#This Row],[Digitale zorgtoepassing]],"_",D43)</f>
        <v>Heupairbag_2</v>
      </c>
      <c r="F43" s="348" t="s">
        <v>875</v>
      </c>
      <c r="G43" s="349" t="s">
        <v>930</v>
      </c>
      <c r="H43" s="32" t="s">
        <v>201</v>
      </c>
      <c r="I43" s="32" t="s">
        <v>144</v>
      </c>
      <c r="J43" s="318"/>
      <c r="K43" s="319"/>
      <c r="L43" s="319"/>
      <c r="M43" s="319"/>
      <c r="N43" s="321"/>
      <c r="O43" s="2"/>
      <c r="P43" s="2"/>
      <c r="Q43" s="1"/>
      <c r="R43" s="1"/>
      <c r="S43" s="322"/>
      <c r="T43" s="263">
        <f>4422/(8+28)/2</f>
        <v>61.416666666666664</v>
      </c>
      <c r="U43" s="304"/>
      <c r="V43" s="2"/>
      <c r="W43" s="305">
        <v>4097</v>
      </c>
      <c r="X43" s="264"/>
      <c r="Y43" s="165" t="s">
        <v>34</v>
      </c>
      <c r="Z43"/>
      <c r="AA43"/>
    </row>
    <row r="44" spans="1:27" ht="34" x14ac:dyDescent="0.5">
      <c r="A44" s="2" t="s">
        <v>8</v>
      </c>
      <c r="B44" s="32" t="s">
        <v>32</v>
      </c>
      <c r="C44" s="32"/>
      <c r="D44" s="32">
        <v>3</v>
      </c>
      <c r="E44" s="32" t="str">
        <f>CONCATENATE(Technologieën[[#This Row],[Digitale zorgtoepassing]],"_",D44)</f>
        <v>Heupairbag_3</v>
      </c>
      <c r="F44" s="348" t="s">
        <v>875</v>
      </c>
      <c r="G44" s="349" t="s">
        <v>930</v>
      </c>
      <c r="H44" s="32" t="s">
        <v>201</v>
      </c>
      <c r="I44" s="32" t="s">
        <v>144</v>
      </c>
      <c r="J44" s="318"/>
      <c r="K44" s="319"/>
      <c r="L44" s="319"/>
      <c r="M44" s="319"/>
      <c r="N44" s="321"/>
      <c r="O44" s="2"/>
      <c r="P44" s="2"/>
      <c r="Q44" s="1"/>
      <c r="R44" s="1"/>
      <c r="S44" s="322">
        <v>0.28000000000000003</v>
      </c>
      <c r="T44" s="263"/>
      <c r="U44" s="304"/>
      <c r="V44" s="2"/>
      <c r="W44" s="305"/>
      <c r="X44" s="264"/>
      <c r="Y44" s="165" t="s">
        <v>601</v>
      </c>
      <c r="Z44"/>
      <c r="AA44"/>
    </row>
    <row r="45" spans="1:27" ht="68" x14ac:dyDescent="0.5">
      <c r="A45" s="2" t="s">
        <v>8</v>
      </c>
      <c r="B45" s="32" t="s">
        <v>32</v>
      </c>
      <c r="C45" s="32"/>
      <c r="D45" s="32">
        <v>4</v>
      </c>
      <c r="E45" s="32" t="str">
        <f>CONCATENATE(Technologieën[[#This Row],[Digitale zorgtoepassing]],"_",D45)</f>
        <v>Heupairbag_4</v>
      </c>
      <c r="F45" s="348" t="s">
        <v>874</v>
      </c>
      <c r="G45" s="349" t="s">
        <v>930</v>
      </c>
      <c r="H45" s="32" t="s">
        <v>201</v>
      </c>
      <c r="I45" s="32" t="s">
        <v>144</v>
      </c>
      <c r="J45" s="318"/>
      <c r="K45" s="319"/>
      <c r="L45" s="319">
        <f>112500/35/52</f>
        <v>61.81318681318681</v>
      </c>
      <c r="M45" s="319"/>
      <c r="N45" s="321"/>
      <c r="O45" s="2">
        <v>6970000</v>
      </c>
      <c r="P45" s="2"/>
      <c r="Q45" s="1"/>
      <c r="R45" s="1"/>
      <c r="S45" s="322"/>
      <c r="T45" s="263"/>
      <c r="U45" s="304"/>
      <c r="V45" s="2"/>
      <c r="W45" s="305"/>
      <c r="X45" s="264"/>
      <c r="Y45" s="165" t="s">
        <v>291</v>
      </c>
      <c r="Z45"/>
      <c r="AA45"/>
    </row>
    <row r="46" spans="1:27" ht="85" x14ac:dyDescent="0.5">
      <c r="A46" s="2" t="s">
        <v>11</v>
      </c>
      <c r="B46" s="32" t="s">
        <v>725</v>
      </c>
      <c r="C46" s="32" t="s">
        <v>327</v>
      </c>
      <c r="D46" s="32">
        <v>1</v>
      </c>
      <c r="E46" s="32" t="str">
        <f>CONCATENATE(Technologieën[[#This Row],[Digitale zorgtoepassing]],"_",D46)</f>
        <v>Inzicht assistent digitale zelftriage dagpraktijk_1</v>
      </c>
      <c r="F46" s="348" t="s">
        <v>854</v>
      </c>
      <c r="G46" s="349" t="s">
        <v>923</v>
      </c>
      <c r="H46" s="32"/>
      <c r="I46" s="32"/>
      <c r="J46" s="318"/>
      <c r="K46" s="319">
        <f>1.33</f>
        <v>1.33</v>
      </c>
      <c r="L46" s="319"/>
      <c r="M46" s="319"/>
      <c r="N46" s="321"/>
      <c r="O46" s="2"/>
      <c r="P46" s="2"/>
      <c r="Q46" s="1"/>
      <c r="R46" s="1"/>
      <c r="S46" s="322"/>
      <c r="T46" s="263"/>
      <c r="U46" s="304"/>
      <c r="V46" s="2">
        <f>(177939.49+(197710.55*1.25))*1.21</f>
        <v>514343.98977499997</v>
      </c>
      <c r="W46" s="305"/>
      <c r="X46" s="264"/>
      <c r="Y46" s="165" t="s">
        <v>959</v>
      </c>
      <c r="Z46"/>
      <c r="AA46"/>
    </row>
    <row r="47" spans="1:27" ht="85" x14ac:dyDescent="0.5">
      <c r="A47" s="2" t="s">
        <v>11</v>
      </c>
      <c r="B47" s="32" t="s">
        <v>720</v>
      </c>
      <c r="C47" s="32" t="s">
        <v>327</v>
      </c>
      <c r="D47" s="32">
        <v>1</v>
      </c>
      <c r="E47" s="32" t="str">
        <f>CONCATENATE(Technologieën[[#This Row],[Digitale zorgtoepassing]],"_",D47)</f>
        <v>Inzicht triagist digitale zelftriage HAP_1</v>
      </c>
      <c r="F47" s="348" t="s">
        <v>855</v>
      </c>
      <c r="G47" s="349" t="s">
        <v>931</v>
      </c>
      <c r="H47" s="32"/>
      <c r="I47" s="32"/>
      <c r="J47" s="318"/>
      <c r="K47" s="319">
        <f>(0.5+2)/2</f>
        <v>1.25</v>
      </c>
      <c r="L47" s="319"/>
      <c r="M47" s="319"/>
      <c r="N47" s="321"/>
      <c r="O47" s="2"/>
      <c r="P47" s="2"/>
      <c r="Q47" s="1"/>
      <c r="R47" s="1"/>
      <c r="S47" s="322"/>
      <c r="T47" s="263"/>
      <c r="U47" s="304">
        <f>AVERAGE(5000,10000)</f>
        <v>7500</v>
      </c>
      <c r="V47" s="2">
        <f>0.04*17000000</f>
        <v>680000</v>
      </c>
      <c r="W47" s="305"/>
      <c r="X47" s="264"/>
      <c r="Y47" s="165" t="s">
        <v>959</v>
      </c>
      <c r="Z47"/>
      <c r="AA47"/>
    </row>
    <row r="48" spans="1:27" ht="85" x14ac:dyDescent="0.5">
      <c r="A48" s="2" t="s">
        <v>10</v>
      </c>
      <c r="B48" s="32" t="s">
        <v>46</v>
      </c>
      <c r="C48" s="32" t="s">
        <v>277</v>
      </c>
      <c r="D48" s="32">
        <v>1</v>
      </c>
      <c r="E48" s="32" t="str">
        <f>CONCATENATE(Technologieën[[#This Row],[Digitale zorgtoepassing]],"_",D48)</f>
        <v>Leefcirkels_1</v>
      </c>
      <c r="F48" s="1" t="s">
        <v>858</v>
      </c>
      <c r="G48" s="349" t="s">
        <v>20</v>
      </c>
      <c r="H48" s="32" t="s">
        <v>201</v>
      </c>
      <c r="I48" s="32" t="s">
        <v>144</v>
      </c>
      <c r="J48" s="318">
        <f>(8+33)/2</f>
        <v>20.5</v>
      </c>
      <c r="K48" s="319"/>
      <c r="L48" s="335">
        <f>27800/5/52/33</f>
        <v>3.2400932400932398</v>
      </c>
      <c r="M48" s="319"/>
      <c r="N48" s="321"/>
      <c r="O48" s="323">
        <f>(3000/5)</f>
        <v>600</v>
      </c>
      <c r="P48" s="323">
        <f>(Technologieën[[#This Row],[Tijdsbesparing p. patiënt (min/week)]]*52/60)*INDEX(Uurloon[Uurtarief zorgpersoneel],MATCH(Technologieën[[#This Row],[Zorgverlener]],Uurloon[Zorgverlener],0))/INDEX(Zorggebruik[Waarvan personeel],MATCH(Technologieën[[#This Row],[Zorggebruik]],Zorggebruik[Zorggebruik],0))*(INDEX(Zorggebruik[Kostenbesparing indirect personeel],MATCH(Technologieën[[#This Row],[Zorggebruik]],Zorggebruik[Zorggebruik],0)))</f>
        <v>50.530256343822629</v>
      </c>
      <c r="Q48" s="1" t="s">
        <v>278</v>
      </c>
      <c r="R48" s="1" t="s">
        <v>279</v>
      </c>
      <c r="S48" s="322"/>
      <c r="T48" s="263">
        <f>242+91+(436*12/20)+(24*12/20)+(24*12/20)+(42*12/20)</f>
        <v>648.6</v>
      </c>
      <c r="U48" s="304">
        <f>((16+16+8+4)*111)+(91*5.5)+726</f>
        <v>6110.5</v>
      </c>
      <c r="V48" s="2"/>
      <c r="W48" s="305"/>
      <c r="X48" s="264"/>
      <c r="Y48" s="165" t="s">
        <v>280</v>
      </c>
      <c r="Z48"/>
      <c r="AA48"/>
    </row>
    <row r="49" spans="1:27" ht="85" x14ac:dyDescent="0.5">
      <c r="A49" s="2" t="s">
        <v>10</v>
      </c>
      <c r="B49" s="32" t="s">
        <v>46</v>
      </c>
      <c r="C49" s="32" t="s">
        <v>106</v>
      </c>
      <c r="D49" s="32">
        <v>2</v>
      </c>
      <c r="E49" s="32" t="str">
        <f>CONCATENATE(Technologieën[[#This Row],[Digitale zorgtoepassing]],"_",D49)</f>
        <v>Leefcirkels_2</v>
      </c>
      <c r="F49" s="1" t="s">
        <v>858</v>
      </c>
      <c r="G49" s="349" t="s">
        <v>20</v>
      </c>
      <c r="H49" s="32" t="s">
        <v>201</v>
      </c>
      <c r="I49" s="32" t="s">
        <v>144</v>
      </c>
      <c r="J49" s="318"/>
      <c r="K49" s="319"/>
      <c r="L49" s="319"/>
      <c r="M49" s="319"/>
      <c r="N49" s="321"/>
      <c r="O49" s="2"/>
      <c r="P49" s="2"/>
      <c r="Q49" s="1"/>
      <c r="R49" s="1"/>
      <c r="S49" s="322"/>
      <c r="T49" s="263">
        <f>AVERAGE(150,240)</f>
        <v>195</v>
      </c>
      <c r="U49" s="304"/>
      <c r="V49" s="2"/>
      <c r="W49" s="305">
        <f>(AVERAGE(16.5,31))*12</f>
        <v>285</v>
      </c>
      <c r="X49" s="264"/>
      <c r="Y49" s="165" t="s">
        <v>276</v>
      </c>
      <c r="Z49"/>
      <c r="AA49"/>
    </row>
    <row r="50" spans="1:27" ht="18.75" customHeight="1" x14ac:dyDescent="0.5">
      <c r="A50" s="2" t="s">
        <v>10</v>
      </c>
      <c r="B50" s="32" t="s">
        <v>36</v>
      </c>
      <c r="C50" s="32"/>
      <c r="D50" s="32">
        <v>1</v>
      </c>
      <c r="E50" s="32" t="str">
        <f>CONCATENATE(Technologieën[[#This Row],[Digitale zorgtoepassing]],"_",D50)</f>
        <v>Leefstijlmonitoring_1</v>
      </c>
      <c r="F50" s="1" t="s">
        <v>872</v>
      </c>
      <c r="G50" s="349" t="s">
        <v>932</v>
      </c>
      <c r="H50" s="32" t="s">
        <v>201</v>
      </c>
      <c r="I50" s="32" t="s">
        <v>144</v>
      </c>
      <c r="J50" s="318">
        <v>0</v>
      </c>
      <c r="K50" s="319"/>
      <c r="L50" s="336">
        <f>8919*(INDEX(Zorggebruik[Waarvan personeel],MATCH(Technologieën[[#This Row],[Zorggebruik]],Zorggebruik[Zorggebruik],0)))*(12/14)/52</f>
        <v>89.680054945054948</v>
      </c>
      <c r="M50" s="319"/>
      <c r="N50" s="321"/>
      <c r="O50" s="337"/>
      <c r="P50" s="338">
        <f>8919*(INDEX(Zorggebruik[Kostenbesparing indirect personeel],MATCH(Technologieën[[#This Row],[Zorggebruik]],Zorggebruik[Zorggebruik],0)))*(12/14)</f>
        <v>649.81285714285707</v>
      </c>
      <c r="Q50" s="347" t="s">
        <v>281</v>
      </c>
      <c r="R50" s="1"/>
      <c r="S50" s="322"/>
      <c r="T50" s="310"/>
      <c r="U50" s="311"/>
      <c r="V50" s="2"/>
      <c r="W50" s="260">
        <f>150*12</f>
        <v>1800</v>
      </c>
      <c r="X50" s="312"/>
      <c r="Y50" s="165" t="s">
        <v>282</v>
      </c>
      <c r="Z50"/>
      <c r="AA50"/>
    </row>
    <row r="51" spans="1:27" ht="68" x14ac:dyDescent="0.5">
      <c r="A51" s="2" t="s">
        <v>10</v>
      </c>
      <c r="B51" s="32" t="s">
        <v>36</v>
      </c>
      <c r="C51" s="32"/>
      <c r="D51" s="32">
        <v>2</v>
      </c>
      <c r="E51" s="32" t="str">
        <f>CONCATENATE(Technologieën[[#This Row],[Digitale zorgtoepassing]],"_",D51)</f>
        <v>Leefstijlmonitoring_2</v>
      </c>
      <c r="F51" s="1" t="s">
        <v>857</v>
      </c>
      <c r="G51" s="349" t="s">
        <v>932</v>
      </c>
      <c r="H51" s="32" t="s">
        <v>201</v>
      </c>
      <c r="I51" s="32" t="s">
        <v>144</v>
      </c>
      <c r="J51" s="318">
        <v>5</v>
      </c>
      <c r="K51" s="319"/>
      <c r="L51" s="336">
        <f>(8919+3400)*(INDEX(Zorggebruik[Waarvan personeel],MATCH(Technologieën[[#This Row],[Zorggebruik]],Zorggebruik[Zorggebruik],0)))*(12/42)/52</f>
        <v>41.288956043956041</v>
      </c>
      <c r="M51" s="319"/>
      <c r="N51" s="321"/>
      <c r="O51" s="337"/>
      <c r="P51" s="338">
        <f>(8919+3400)*(INDEX(Zorggebruik[Kostenbesparing indirect personeel],MATCH(H51,Zorggebruik[Zorggebruik],0)))*(12/42)</f>
        <v>299.17571428571426</v>
      </c>
      <c r="Q51" s="347" t="s">
        <v>283</v>
      </c>
      <c r="R51" s="1"/>
      <c r="S51" s="322"/>
      <c r="T51" s="310"/>
      <c r="U51" s="311"/>
      <c r="V51" s="2"/>
      <c r="W51" s="260">
        <f>163*12</f>
        <v>1956</v>
      </c>
      <c r="X51" s="312"/>
      <c r="Y51" s="165" t="s">
        <v>284</v>
      </c>
      <c r="Z51"/>
      <c r="AA51"/>
    </row>
    <row r="52" spans="1:27" ht="34" x14ac:dyDescent="0.5">
      <c r="A52" s="2" t="s">
        <v>8</v>
      </c>
      <c r="B52" s="32" t="s">
        <v>26</v>
      </c>
      <c r="C52" s="2"/>
      <c r="D52" s="32">
        <v>1</v>
      </c>
      <c r="E52" s="32" t="str">
        <f>CONCATENATE(Technologieën[[#This Row],[Digitale zorgtoepassing]],"_",D52)</f>
        <v>Medicijndispenser_1</v>
      </c>
      <c r="F52" s="348" t="s">
        <v>876</v>
      </c>
      <c r="G52" s="349" t="s">
        <v>933</v>
      </c>
      <c r="H52" s="32" t="s">
        <v>199</v>
      </c>
      <c r="I52" s="32" t="s">
        <v>142</v>
      </c>
      <c r="J52" s="318">
        <f>10.1*60/((31+28+31+30+31+30+31+31+30+31+30+31)/7/12)</f>
        <v>139.46301369863011</v>
      </c>
      <c r="K52" s="319"/>
      <c r="L52" s="319"/>
      <c r="M52" s="319"/>
      <c r="N52" s="34"/>
      <c r="O52" s="2"/>
      <c r="P52" s="308">
        <f>(Technologieën[[#This Row],[Tijdsbesparing p. patiënt (min/week)]]*52/60)/INDEX(Zorggebruik[Waarvan personeel],MATCH(H52,Zorggebruik[Zorggebruik],0))*INDEX(Zorggebruik[Waarvan anders],MATCH(H52,Zorggebruik[Zorggebruik],0))*INDEX(Uurloon[Uurtarief zorgpersoneel],MATCH(Technologieën[[#This Row],[Zorgverlener]],Uurloon[Zorgverlener],0))</f>
        <v>1508.5128250932394</v>
      </c>
      <c r="Q52" s="1"/>
      <c r="R52" s="1"/>
      <c r="S52" s="322"/>
      <c r="T52" s="263">
        <f>68.5</f>
        <v>68.5</v>
      </c>
      <c r="U52" s="311"/>
      <c r="V52" s="2"/>
      <c r="W52" s="260">
        <f>110*12</f>
        <v>1320</v>
      </c>
      <c r="X52" s="312"/>
      <c r="Y52" s="165" t="s">
        <v>231</v>
      </c>
      <c r="Z52"/>
      <c r="AA52"/>
    </row>
    <row r="53" spans="1:27" ht="34" x14ac:dyDescent="0.5">
      <c r="A53" s="2" t="s">
        <v>8</v>
      </c>
      <c r="B53" s="32" t="s">
        <v>26</v>
      </c>
      <c r="C53" s="32" t="s">
        <v>232</v>
      </c>
      <c r="D53" s="32">
        <v>2</v>
      </c>
      <c r="E53" s="32" t="str">
        <f>CONCATENATE(Technologieën[[#This Row],[Digitale zorgtoepassing]],"_",D53)</f>
        <v>Medicijndispenser_2</v>
      </c>
      <c r="F53" s="348" t="s">
        <v>876</v>
      </c>
      <c r="G53" s="349" t="s">
        <v>933</v>
      </c>
      <c r="H53" s="32" t="s">
        <v>199</v>
      </c>
      <c r="I53" s="32" t="s">
        <v>142</v>
      </c>
      <c r="J53" s="318"/>
      <c r="K53" s="319"/>
      <c r="L53" s="319"/>
      <c r="M53" s="319"/>
      <c r="N53" s="321"/>
      <c r="O53" s="2"/>
      <c r="P53" s="2"/>
      <c r="Q53" s="1"/>
      <c r="R53" s="1"/>
      <c r="S53" s="322"/>
      <c r="T53" s="310">
        <v>52.02</v>
      </c>
      <c r="U53" s="311">
        <f>2500+800+3000</f>
        <v>6300</v>
      </c>
      <c r="V53" s="2"/>
      <c r="W53" s="260">
        <f>(69.95+9.95)*12</f>
        <v>958.80000000000007</v>
      </c>
      <c r="X53" s="312">
        <v>1000</v>
      </c>
      <c r="Y53" s="222" t="s">
        <v>233</v>
      </c>
      <c r="Z53"/>
      <c r="AA53"/>
    </row>
    <row r="54" spans="1:27" ht="34" x14ac:dyDescent="0.5">
      <c r="A54" s="2" t="s">
        <v>8</v>
      </c>
      <c r="B54" s="32" t="s">
        <v>26</v>
      </c>
      <c r="C54" s="32" t="s">
        <v>234</v>
      </c>
      <c r="D54" s="32">
        <v>3</v>
      </c>
      <c r="E54" s="32" t="str">
        <f>CONCATENATE(Technologieën[[#This Row],[Digitale zorgtoepassing]],"_",D54)</f>
        <v>Medicijndispenser_3</v>
      </c>
      <c r="F54" s="348" t="s">
        <v>876</v>
      </c>
      <c r="G54" s="349" t="s">
        <v>933</v>
      </c>
      <c r="H54" s="32" t="s">
        <v>199</v>
      </c>
      <c r="I54" s="32" t="s">
        <v>142</v>
      </c>
      <c r="J54" s="318"/>
      <c r="K54" s="319"/>
      <c r="L54" s="319"/>
      <c r="M54" s="319"/>
      <c r="N54" s="321"/>
      <c r="O54" s="2"/>
      <c r="P54" s="2"/>
      <c r="Q54" s="1"/>
      <c r="R54" s="1" t="s">
        <v>235</v>
      </c>
      <c r="S54" s="322"/>
      <c r="T54" s="310">
        <f>39+29</f>
        <v>68</v>
      </c>
      <c r="U54" s="311"/>
      <c r="V54" s="2"/>
      <c r="W54" s="260">
        <f>(62.4+12.5)*12</f>
        <v>898.80000000000007</v>
      </c>
      <c r="X54" s="312"/>
      <c r="Y54" s="222" t="s">
        <v>236</v>
      </c>
      <c r="Z54"/>
      <c r="AA54"/>
    </row>
    <row r="55" spans="1:27" ht="34" x14ac:dyDescent="0.5">
      <c r="A55" s="2" t="s">
        <v>8</v>
      </c>
      <c r="B55" s="32" t="s">
        <v>26</v>
      </c>
      <c r="C55" s="32"/>
      <c r="D55" s="32">
        <v>4</v>
      </c>
      <c r="E55" s="32" t="str">
        <f>CONCATENATE(Technologieën[[#This Row],[Digitale zorgtoepassing]],"_",D55)</f>
        <v>Medicijndispenser_4</v>
      </c>
      <c r="F55" s="348" t="s">
        <v>876</v>
      </c>
      <c r="G55" s="349" t="s">
        <v>933</v>
      </c>
      <c r="H55" s="32" t="s">
        <v>199</v>
      </c>
      <c r="I55" s="32" t="s">
        <v>142</v>
      </c>
      <c r="J55" s="318"/>
      <c r="K55" s="319"/>
      <c r="L55" s="319"/>
      <c r="M55" s="319"/>
      <c r="N55" s="321"/>
      <c r="O55" s="2"/>
      <c r="P55" s="2"/>
      <c r="Q55" s="1"/>
      <c r="R55" s="1"/>
      <c r="S55" s="322"/>
      <c r="T55" s="263"/>
      <c r="U55" s="304"/>
      <c r="V55" s="2"/>
      <c r="W55" s="305"/>
      <c r="X55" s="264"/>
      <c r="Y55" s="222" t="s">
        <v>957</v>
      </c>
      <c r="Z55"/>
      <c r="AA55"/>
    </row>
    <row r="56" spans="1:27" ht="34" x14ac:dyDescent="0.5">
      <c r="A56" s="2" t="s">
        <v>8</v>
      </c>
      <c r="B56" s="32" t="s">
        <v>26</v>
      </c>
      <c r="C56" s="32"/>
      <c r="D56" s="32">
        <v>5</v>
      </c>
      <c r="E56" s="32" t="str">
        <f>CONCATENATE(Technologieën[[#This Row],[Digitale zorgtoepassing]],"_",D56)</f>
        <v>Medicijndispenser_5</v>
      </c>
      <c r="F56" s="348" t="s">
        <v>876</v>
      </c>
      <c r="G56" s="349" t="s">
        <v>933</v>
      </c>
      <c r="H56" s="32" t="s">
        <v>199</v>
      </c>
      <c r="I56" s="32" t="s">
        <v>142</v>
      </c>
      <c r="J56" s="318">
        <f>(210+315)/2</f>
        <v>262.5</v>
      </c>
      <c r="K56" s="319"/>
      <c r="L56" s="319"/>
      <c r="M56" s="319"/>
      <c r="N56" s="319"/>
      <c r="O56" s="313"/>
      <c r="P56" s="313">
        <f>(Technologieën[[#This Row],[Tijdsbesparing p. patiënt (min/week)]]*52/60)/INDEX(Zorggebruik[Waarvan personeel],MATCH(H56,Zorggebruik[Zorggebruik],0))*INDEX(Zorggebruik[Waarvan anders],MATCH(H56,Zorggebruik[Zorggebruik],0))*INDEX(Uurloon[Uurtarief zorgpersoneel],MATCH(Technologieën[[#This Row],[Zorgverlener]],Uurloon[Zorgverlener],0))</f>
        <v>2839.3522130725682</v>
      </c>
      <c r="Q56" s="1"/>
      <c r="R56" s="339"/>
      <c r="S56" s="340"/>
      <c r="T56" s="263"/>
      <c r="U56" s="304"/>
      <c r="V56" s="2"/>
      <c r="W56" s="305"/>
      <c r="X56" s="264"/>
      <c r="Y56" s="222" t="s">
        <v>957</v>
      </c>
      <c r="Z56"/>
      <c r="AA56"/>
    </row>
    <row r="57" spans="1:27" ht="34" x14ac:dyDescent="0.5">
      <c r="A57" s="2" t="s">
        <v>7</v>
      </c>
      <c r="B57" s="32" t="s">
        <v>78</v>
      </c>
      <c r="C57" s="32" t="s">
        <v>215</v>
      </c>
      <c r="D57" s="32">
        <v>1</v>
      </c>
      <c r="E57" s="32" t="str">
        <f>CONCATENATE(Technologieën[[#This Row],[Digitale zorgtoepassing]],"_",D57)</f>
        <v>Mobiele echo's_1</v>
      </c>
      <c r="F57" s="348" t="s">
        <v>880</v>
      </c>
      <c r="G57" s="349" t="s">
        <v>216</v>
      </c>
      <c r="H57" s="32"/>
      <c r="I57" s="32"/>
      <c r="J57" s="318"/>
      <c r="K57" s="319"/>
      <c r="L57" s="319"/>
      <c r="M57" s="319"/>
      <c r="N57" s="321"/>
      <c r="O57" s="2"/>
      <c r="P57" s="2"/>
      <c r="Q57" s="1"/>
      <c r="R57" s="1"/>
      <c r="S57" s="322"/>
      <c r="T57" s="263"/>
      <c r="U57" s="304"/>
      <c r="V57" s="2"/>
      <c r="W57" s="305"/>
      <c r="X57" s="264">
        <f>121*12</f>
        <v>1452</v>
      </c>
      <c r="Y57" s="268" t="s">
        <v>217</v>
      </c>
      <c r="Z57"/>
      <c r="AA57"/>
    </row>
    <row r="58" spans="1:27" ht="19.5" customHeight="1" x14ac:dyDescent="0.5">
      <c r="A58" s="2" t="s">
        <v>7</v>
      </c>
      <c r="B58" s="32" t="s">
        <v>78</v>
      </c>
      <c r="C58" s="32"/>
      <c r="D58" s="32">
        <v>2</v>
      </c>
      <c r="E58" s="32" t="str">
        <f>CONCATENATE(Technologieën[[#This Row],[Digitale zorgtoepassing]],"_",D58)</f>
        <v>Mobiele echo's_2</v>
      </c>
      <c r="F58" s="348" t="s">
        <v>880</v>
      </c>
      <c r="G58" s="349" t="s">
        <v>216</v>
      </c>
      <c r="H58" s="32" t="s">
        <v>196</v>
      </c>
      <c r="I58" s="32" t="s">
        <v>163</v>
      </c>
      <c r="J58" s="328"/>
      <c r="K58" s="329">
        <f>(5+20)/2*0.4</f>
        <v>5</v>
      </c>
      <c r="L58" s="319"/>
      <c r="M58" s="319"/>
      <c r="N58" s="321"/>
      <c r="O58" s="2"/>
      <c r="P58" s="308">
        <f>Technologieën[[#This Row],[Tijdsbesparing per handeling (min)]]/60*INDEX(Uurloon[Uurtarief zorgpersoneel],MATCH(Technologieën[[#This Row],[Zorgverlener]],Uurloon[Zorgverlener],0))/INDEX(Zorggebruik[Waarvan personeel],MATCH(H58,Zorggebruik[Zorggebruik],0))*INDEX(Zorggebruik[Waarvan anders],MATCH(H58,Zorggebruik[Zorggebruik],0))</f>
        <v>1.5408939974457221</v>
      </c>
      <c r="Q58" s="1"/>
      <c r="R58" s="1"/>
      <c r="S58" s="322"/>
      <c r="T58" s="263"/>
      <c r="U58" s="304"/>
      <c r="V58" s="2"/>
      <c r="W58" s="305"/>
      <c r="X58" s="264"/>
      <c r="Y58" s="165" t="s">
        <v>218</v>
      </c>
      <c r="Z58"/>
      <c r="AA58"/>
    </row>
    <row r="59" spans="1:27" ht="85" x14ac:dyDescent="0.5">
      <c r="A59" s="2" t="s">
        <v>7</v>
      </c>
      <c r="B59" s="32" t="s">
        <v>82</v>
      </c>
      <c r="C59" s="32"/>
      <c r="D59" s="32">
        <v>1</v>
      </c>
      <c r="E59" s="32" t="str">
        <f>CONCATENATE(Technologieën[[#This Row],[Digitale zorgtoepassing]],"_",D59)</f>
        <v>Point-of-care (POC) testing_1</v>
      </c>
      <c r="F59" s="348" t="s">
        <v>881</v>
      </c>
      <c r="G59" s="349"/>
      <c r="H59" s="32"/>
      <c r="I59" s="32"/>
      <c r="J59" s="318"/>
      <c r="K59" s="319"/>
      <c r="L59" s="319"/>
      <c r="M59" s="319">
        <f>0.4*INDEX(Zorggebruik[Kosten zorggebruik totaal],MATCH("Labaratoriumonderzoek",Zorggebruik[Zorggebruik],0))*INDEX(Zorggebruik[Waarvan personeel],MATCH("Labaratoriumonderzoek",Zorggebruik[Zorggebruik],0))</f>
        <v>61.395348837209298</v>
      </c>
      <c r="N59" s="321"/>
      <c r="O59" s="2"/>
      <c r="P59" s="308">
        <f>0.4*INDEX(Zorggebruik[Kosten zorggebruik totaal],MATCH("Labaratoriumonderzoek",Zorggebruik[Zorggebruik],0))*INDEX(Zorggebruik[Waarvan anders],MATCH("Labaratoriumonderzoek",Zorggebruik[Zorggebruik],0))</f>
        <v>78.604651162790702</v>
      </c>
      <c r="Q59" s="1"/>
      <c r="R59" s="1"/>
      <c r="S59" s="322"/>
      <c r="T59" s="263"/>
      <c r="U59" s="304"/>
      <c r="V59" s="2"/>
      <c r="W59" s="305"/>
      <c r="X59" s="264"/>
      <c r="Y59" s="165" t="s">
        <v>219</v>
      </c>
      <c r="Z59"/>
      <c r="AA59"/>
    </row>
    <row r="60" spans="1:27" ht="85" x14ac:dyDescent="0.5">
      <c r="A60" s="2" t="s">
        <v>7</v>
      </c>
      <c r="B60" s="32" t="s">
        <v>82</v>
      </c>
      <c r="C60" s="32"/>
      <c r="D60" s="32">
        <v>2</v>
      </c>
      <c r="E60" s="32" t="str">
        <f>CONCATENATE(Technologieën[[#This Row],[Digitale zorgtoepassing]],"_",D60)</f>
        <v>Point-of-care (POC) testing_2</v>
      </c>
      <c r="F60" s="348" t="s">
        <v>881</v>
      </c>
      <c r="G60" s="349"/>
      <c r="H60" s="32"/>
      <c r="I60" s="32"/>
      <c r="J60" s="318"/>
      <c r="K60" s="319"/>
      <c r="L60" s="319"/>
      <c r="M60" s="319"/>
      <c r="N60" s="321"/>
      <c r="O60" s="2"/>
      <c r="P60" s="2"/>
      <c r="Q60" s="1"/>
      <c r="R60" s="1" t="s">
        <v>220</v>
      </c>
      <c r="S60" s="322"/>
      <c r="T60" s="263"/>
      <c r="U60" s="304"/>
      <c r="V60" s="2"/>
      <c r="W60" s="305">
        <f xml:space="preserve"> 20 + (4/60)*(89+101+132)/2</f>
        <v>30.733333333333334</v>
      </c>
      <c r="X60" s="264"/>
      <c r="Y60" s="165" t="s">
        <v>711</v>
      </c>
      <c r="Z60"/>
      <c r="AA60"/>
    </row>
    <row r="61" spans="1:27" ht="68" x14ac:dyDescent="0.5">
      <c r="A61" s="2" t="s">
        <v>9</v>
      </c>
      <c r="B61" s="32" t="s">
        <v>88</v>
      </c>
      <c r="C61" s="32"/>
      <c r="D61" s="32">
        <v>2</v>
      </c>
      <c r="E61" s="32" t="str">
        <f>CONCATENATE(Technologieën[[#This Row],[Digitale zorgtoepassing]],"_",D61)</f>
        <v>RT monitoring (glucosemeter)_2</v>
      </c>
      <c r="F61" s="1" t="s">
        <v>948</v>
      </c>
      <c r="G61" s="349" t="s">
        <v>89</v>
      </c>
      <c r="H61" s="32"/>
      <c r="I61" s="32"/>
      <c r="J61" s="318"/>
      <c r="K61" s="319"/>
      <c r="L61" s="319"/>
      <c r="M61" s="319"/>
      <c r="N61" s="321"/>
      <c r="O61" s="2"/>
      <c r="P61" s="2"/>
      <c r="Q61" s="1"/>
      <c r="R61" s="1"/>
      <c r="S61" s="322"/>
      <c r="T61" s="263">
        <v>1925</v>
      </c>
      <c r="U61" s="304"/>
      <c r="V61" s="2"/>
      <c r="W61" s="305"/>
      <c r="X61" s="264"/>
      <c r="Y61" s="268" t="s">
        <v>260</v>
      </c>
      <c r="Z61"/>
      <c r="AA61"/>
    </row>
    <row r="62" spans="1:27" ht="68" x14ac:dyDescent="0.5">
      <c r="A62" s="2" t="s">
        <v>9</v>
      </c>
      <c r="B62" s="32" t="s">
        <v>88</v>
      </c>
      <c r="C62" s="32"/>
      <c r="D62" s="32">
        <v>3</v>
      </c>
      <c r="E62" s="32" t="str">
        <f>CONCATENATE(Technologieën[[#This Row],[Digitale zorgtoepassing]],"_",D62)</f>
        <v>RT monitoring (glucosemeter)_3</v>
      </c>
      <c r="F62" s="1" t="s">
        <v>948</v>
      </c>
      <c r="G62" s="349" t="s">
        <v>89</v>
      </c>
      <c r="H62" s="32"/>
      <c r="I62" s="32"/>
      <c r="J62" s="318"/>
      <c r="K62" s="319"/>
      <c r="L62" s="319" cm="1">
        <f t="array" ref="L62">40000000*0.75*'C3 Gegevens - overig'!C45/INDEX(Berekening_patiëntaantal[Patiëntaantallen],MATCH(Technologieën[[#This Row],[Digitale zorgtoepassing]],IF(Berekening_patiëntaantal[Doelgroep (zoeksleutel)]=G62,Berekening_patiëntaantal[Digitale zorgtoepassing]),0))/52</f>
        <v>3.1468531468531467</v>
      </c>
      <c r="M62" s="319"/>
      <c r="N62" s="321"/>
      <c r="O62" s="2">
        <f>40000000*0.75*'C3 Gegevens - overig'!D45</f>
        <v>12000000</v>
      </c>
      <c r="P62" s="265"/>
      <c r="Q62" s="1"/>
      <c r="R62" s="1"/>
      <c r="S62" s="322"/>
      <c r="T62" s="263"/>
      <c r="U62" s="304"/>
      <c r="V62" s="2"/>
      <c r="W62" s="305"/>
      <c r="X62" s="264"/>
      <c r="Y62" s="165" t="s">
        <v>263</v>
      </c>
      <c r="Z62"/>
      <c r="AA62"/>
    </row>
    <row r="63" spans="1:27" ht="68" x14ac:dyDescent="0.5">
      <c r="A63" s="2" t="s">
        <v>9</v>
      </c>
      <c r="B63" s="32" t="s">
        <v>88</v>
      </c>
      <c r="C63" s="32"/>
      <c r="D63" s="32">
        <v>4</v>
      </c>
      <c r="E63" s="32" t="str">
        <f>CONCATENATE(Technologieën[[#This Row],[Digitale zorgtoepassing]],"_",D63)</f>
        <v>RT monitoring (glucosemeter)_4</v>
      </c>
      <c r="F63" s="1" t="s">
        <v>948</v>
      </c>
      <c r="G63" s="349" t="s">
        <v>89</v>
      </c>
      <c r="H63" s="32"/>
      <c r="I63" s="32"/>
      <c r="J63" s="318"/>
      <c r="K63" s="319"/>
      <c r="L63" s="319"/>
      <c r="M63" s="319"/>
      <c r="N63" s="321"/>
      <c r="O63" s="2"/>
      <c r="P63" s="2"/>
      <c r="Q63" s="1"/>
      <c r="R63" s="1"/>
      <c r="S63" s="322"/>
      <c r="T63" s="263"/>
      <c r="U63" s="304"/>
      <c r="V63" s="2"/>
      <c r="W63" s="305"/>
      <c r="X63" s="264"/>
      <c r="Y63" s="165" t="s">
        <v>264</v>
      </c>
      <c r="Z63"/>
      <c r="AA63"/>
    </row>
    <row r="64" spans="1:27" ht="17.149999999999999" customHeight="1" x14ac:dyDescent="0.5">
      <c r="A64" s="2" t="s">
        <v>9</v>
      </c>
      <c r="B64" s="32" t="s">
        <v>88</v>
      </c>
      <c r="C64" s="32"/>
      <c r="D64" s="32">
        <v>5</v>
      </c>
      <c r="E64" s="32" t="str">
        <f>CONCATENATE(Technologieën[[#This Row],[Digitale zorgtoepassing]],"_",D64)</f>
        <v>RT monitoring (glucosemeter)_5</v>
      </c>
      <c r="F64" s="1" t="s">
        <v>948</v>
      </c>
      <c r="G64" s="349" t="s">
        <v>934</v>
      </c>
      <c r="H64" s="32"/>
      <c r="I64" s="32"/>
      <c r="J64" s="318">
        <f>(140+368)/2</f>
        <v>254</v>
      </c>
      <c r="K64" s="319"/>
      <c r="L64" s="319"/>
      <c r="M64" s="319"/>
      <c r="N64" s="321"/>
      <c r="O64" s="2"/>
      <c r="P64" s="2"/>
      <c r="Q64" s="1"/>
      <c r="R64" s="1"/>
      <c r="S64" s="322"/>
      <c r="T64" s="263"/>
      <c r="U64" s="304"/>
      <c r="V64" s="2"/>
      <c r="W64" s="305"/>
      <c r="X64" s="264"/>
      <c r="Y64" s="165" t="s">
        <v>261</v>
      </c>
      <c r="Z64"/>
      <c r="AA64"/>
    </row>
    <row r="65" spans="1:27" ht="18.75" customHeight="1" x14ac:dyDescent="0.5">
      <c r="A65" s="2" t="s">
        <v>9</v>
      </c>
      <c r="B65" s="32" t="s">
        <v>88</v>
      </c>
      <c r="C65" s="32"/>
      <c r="D65" s="32">
        <v>6</v>
      </c>
      <c r="E65" s="32" t="str">
        <f>CONCATENATE(Technologieën[[#This Row],[Digitale zorgtoepassing]],"_",D65)</f>
        <v>RT monitoring (glucosemeter)_6</v>
      </c>
      <c r="F65" s="1" t="s">
        <v>948</v>
      </c>
      <c r="G65" s="349" t="s">
        <v>934</v>
      </c>
      <c r="H65" s="32"/>
      <c r="I65" s="32"/>
      <c r="J65" s="318"/>
      <c r="K65" s="319"/>
      <c r="L65" s="319"/>
      <c r="M65" s="319"/>
      <c r="N65" s="321"/>
      <c r="O65" s="2"/>
      <c r="P65" s="2"/>
      <c r="Q65" s="1"/>
      <c r="R65" s="1"/>
      <c r="S65" s="322">
        <v>0.03</v>
      </c>
      <c r="T65" s="263"/>
      <c r="U65" s="304"/>
      <c r="V65" s="2"/>
      <c r="W65" s="305">
        <f>(1700-767)</f>
        <v>933</v>
      </c>
      <c r="X65" s="264"/>
      <c r="Y65" s="165" t="s">
        <v>262</v>
      </c>
      <c r="Z65"/>
      <c r="AA65"/>
    </row>
    <row r="66" spans="1:27" ht="51" x14ac:dyDescent="0.5">
      <c r="A66" s="2" t="s">
        <v>10</v>
      </c>
      <c r="B66" s="32" t="s">
        <v>42</v>
      </c>
      <c r="C66" s="32"/>
      <c r="D66" s="32">
        <v>1</v>
      </c>
      <c r="E66" s="32" t="str">
        <f>CONCATENATE(Technologieën[[#This Row],[Digitale zorgtoepassing]],"_",D66)</f>
        <v>Slim incontinentiemateriaal_1</v>
      </c>
      <c r="F66" s="1" t="s">
        <v>859</v>
      </c>
      <c r="G66" s="349" t="s">
        <v>935</v>
      </c>
      <c r="H66" s="32" t="s">
        <v>201</v>
      </c>
      <c r="I66" s="32" t="s">
        <v>144</v>
      </c>
      <c r="J66" s="318">
        <v>112</v>
      </c>
      <c r="K66" s="319"/>
      <c r="L66" s="336"/>
      <c r="M66" s="319"/>
      <c r="N66" s="321"/>
      <c r="O66" s="265"/>
      <c r="P66" s="323">
        <f>((0.52+0.13)*365)+(J66*52/60)*INDEX(Uurloon[Uurtarief zorgpersoneel],MATCH(Technologieën[[#This Row],[Zorgverlener]],Uurloon[Zorgverlener],0))/INDEX(Zorggebruik[Waarvan personeel],MATCH(Technologieën[[#This Row],[Zorggebruik]],Zorggebruik[Zorggebruik],0))*(INDEX(Zorggebruik[Kostenbesparing indirect personeel],MATCH(Technologieën[[#This Row],[Zorggebruik]],Zorggebruik[Zorggebruik],0)))</f>
        <v>513.31774197600657</v>
      </c>
      <c r="Q66" s="1" t="s">
        <v>285</v>
      </c>
      <c r="R66" s="1"/>
      <c r="S66" s="322"/>
      <c r="T66" s="263"/>
      <c r="U66" s="311"/>
      <c r="V66" s="2"/>
      <c r="W66" s="305">
        <f>10.23*365</f>
        <v>3733.9500000000003</v>
      </c>
      <c r="X66" s="312"/>
      <c r="Y66" s="165" t="s">
        <v>286</v>
      </c>
      <c r="Z66"/>
      <c r="AA66"/>
    </row>
    <row r="67" spans="1:27" ht="17.149999999999999" customHeight="1" x14ac:dyDescent="0.5">
      <c r="A67" s="2" t="s">
        <v>10</v>
      </c>
      <c r="B67" s="32" t="s">
        <v>42</v>
      </c>
      <c r="C67" s="32" t="s">
        <v>287</v>
      </c>
      <c r="D67" s="32">
        <v>2</v>
      </c>
      <c r="E67" s="32" t="str">
        <f>CONCATENATE(Technologieën[[#This Row],[Digitale zorgtoepassing]],"_",D67)</f>
        <v>Slim incontinentiemateriaal_2</v>
      </c>
      <c r="F67" s="1" t="s">
        <v>859</v>
      </c>
      <c r="G67" s="349" t="s">
        <v>935</v>
      </c>
      <c r="H67" s="32" t="s">
        <v>201</v>
      </c>
      <c r="I67" s="32" t="s">
        <v>144</v>
      </c>
      <c r="J67" s="318">
        <v>203</v>
      </c>
      <c r="K67" s="319"/>
      <c r="L67" s="336"/>
      <c r="M67" s="319"/>
      <c r="N67" s="321"/>
      <c r="O67" s="265"/>
      <c r="P67" s="323">
        <f>((0.27*46249)/12)+(Technologieën[[#This Row],[Tijdsbesparing p. patiënt (min/week)]]*52/60)*INDEX(Uurloon[Uurtarief zorgpersoneel],MATCH(Technologieën[[#This Row],[Zorgverlener]],Uurloon[Zorgverlener],0))/INDEX(Zorggebruik[Waarvan personeel],MATCH(Technologieën[[#This Row],[Zorggebruik]],Zorggebruik[Zorggebruik],0))*(INDEX(Zorggebruik[Kostenbesparing indirect personeel],MATCH(Technologieën[[#This Row],[Zorggebruik]],Zorggebruik[Zorggebruik],0)))</f>
        <v>1540.9752823315121</v>
      </c>
      <c r="Q67" s="1" t="s">
        <v>288</v>
      </c>
      <c r="R67" s="1"/>
      <c r="S67" s="322"/>
      <c r="T67" s="263"/>
      <c r="U67" s="304"/>
      <c r="V67" s="2"/>
      <c r="W67" s="305">
        <f>24286/12</f>
        <v>2023.8333333333333</v>
      </c>
      <c r="X67" s="312"/>
      <c r="Y67" s="165" t="s">
        <v>289</v>
      </c>
      <c r="Z67"/>
      <c r="AA67"/>
    </row>
    <row r="68" spans="1:27" ht="17.149999999999999" customHeight="1" x14ac:dyDescent="0.5">
      <c r="A68" s="2" t="s">
        <v>10</v>
      </c>
      <c r="B68" s="32" t="s">
        <v>42</v>
      </c>
      <c r="C68" s="32"/>
      <c r="D68" s="32">
        <v>3</v>
      </c>
      <c r="E68" s="32" t="str">
        <f>CONCATENATE(Technologieën[[#This Row],[Digitale zorgtoepassing]],"_",D68)</f>
        <v>Slim incontinentiemateriaal_3</v>
      </c>
      <c r="F68" s="1" t="s">
        <v>859</v>
      </c>
      <c r="G68" s="349" t="s">
        <v>935</v>
      </c>
      <c r="H68" s="32" t="s">
        <v>201</v>
      </c>
      <c r="I68" s="32" t="s">
        <v>144</v>
      </c>
      <c r="J68" s="318">
        <f>(100+140)/2</f>
        <v>120</v>
      </c>
      <c r="K68" s="319"/>
      <c r="L68" s="336"/>
      <c r="M68" s="319"/>
      <c r="N68" s="319"/>
      <c r="O68" s="2"/>
      <c r="P68" s="308">
        <f>(Technologieën[[#This Row],[Tijdsbesparing p. patiënt (min/week)]]*52/60)*INDEX(Uurloon[Uurtarief zorgpersoneel],MATCH(Technologieën[[#This Row],[Zorgverlener]],Uurloon[Zorgverlener],0))/INDEX(Zorggebruik[Waarvan personeel],MATCH(Technologieën[[#This Row],[Zorggebruik]],Zorggebruik[Zorggebruik],0))*(INDEX(Zorggebruik[Kostenbesparing indirect personeel],MATCH(Technologieën[[#This Row],[Zorggebruik]],Zorggebruik[Zorggebruik],0)))</f>
        <v>295.78686640286412</v>
      </c>
      <c r="Q68" s="1" t="s">
        <v>290</v>
      </c>
      <c r="R68" s="1"/>
      <c r="S68" s="322"/>
      <c r="T68" s="263"/>
      <c r="U68" s="304"/>
      <c r="V68" s="2"/>
      <c r="W68" s="305"/>
      <c r="X68" s="264"/>
      <c r="Y68" s="165" t="s">
        <v>291</v>
      </c>
      <c r="Z68"/>
      <c r="AA68"/>
    </row>
    <row r="69" spans="1:27" ht="17.149999999999999" customHeight="1" x14ac:dyDescent="0.5">
      <c r="A69" s="2" t="s">
        <v>10</v>
      </c>
      <c r="B69" s="32" t="s">
        <v>42</v>
      </c>
      <c r="C69" s="32" t="s">
        <v>292</v>
      </c>
      <c r="D69" s="32">
        <v>4</v>
      </c>
      <c r="E69" s="32" t="str">
        <f>CONCATENATE(Technologieën[[#This Row],[Digitale zorgtoepassing]],"_",D69)</f>
        <v>Slim incontinentiemateriaal_4</v>
      </c>
      <c r="F69" s="1" t="s">
        <v>859</v>
      </c>
      <c r="G69" s="349" t="s">
        <v>935</v>
      </c>
      <c r="H69" s="32" t="s">
        <v>201</v>
      </c>
      <c r="I69" s="32" t="s">
        <v>144</v>
      </c>
      <c r="J69" s="318">
        <v>87</v>
      </c>
      <c r="K69" s="319"/>
      <c r="L69" s="336"/>
      <c r="M69" s="319"/>
      <c r="N69" s="321"/>
      <c r="O69" s="265"/>
      <c r="P69" s="323">
        <f>569+(Technologieën[[#This Row],[Tijdsbesparing p. patiënt (min/week)]]*52/60)*INDEX(Uurloon[Uurtarief zorgpersoneel],MATCH(Technologieën[[#This Row],[Zorgverlener]],Uurloon[Zorgverlener],0))/INDEX(Zorggebruik[Waarvan personeel],MATCH(Technologieën[[#This Row],[Zorggebruik]],Zorggebruik[Zorggebruik],0))*(INDEX(Zorggebruik[Kostenbesparing indirect personeel],MATCH(Technologieën[[#This Row],[Zorggebruik]],Zorggebruik[Zorggebruik],0)))</f>
        <v>783.44547814207658</v>
      </c>
      <c r="Q69" s="1" t="s">
        <v>293</v>
      </c>
      <c r="R69" s="1"/>
      <c r="S69" s="322"/>
      <c r="T69" s="263"/>
      <c r="U69" s="304"/>
      <c r="V69" s="2"/>
      <c r="W69" s="305"/>
      <c r="X69" s="264"/>
      <c r="Y69" s="165" t="s">
        <v>294</v>
      </c>
      <c r="Z69"/>
      <c r="AA69"/>
    </row>
    <row r="70" spans="1:27" ht="17.149999999999999" customHeight="1" x14ac:dyDescent="0.5">
      <c r="A70" s="2" t="s">
        <v>10</v>
      </c>
      <c r="B70" s="32" t="s">
        <v>61</v>
      </c>
      <c r="C70" s="32" t="s">
        <v>295</v>
      </c>
      <c r="D70" s="32">
        <v>2</v>
      </c>
      <c r="E70" s="32" t="str">
        <f>CONCATENATE(Technologieën[[#This Row],[Digitale zorgtoepassing]],"_",D70)</f>
        <v>Slimme bedsensoren_2</v>
      </c>
      <c r="F70" s="1" t="s">
        <v>860</v>
      </c>
      <c r="G70" s="349"/>
      <c r="H70" s="32" t="s">
        <v>201</v>
      </c>
      <c r="I70" s="32" t="s">
        <v>144</v>
      </c>
      <c r="J70" s="318"/>
      <c r="K70" s="319"/>
      <c r="L70" s="336">
        <f>100000/166/52</f>
        <v>11.584800741427246</v>
      </c>
      <c r="M70" s="336"/>
      <c r="N70" s="321"/>
      <c r="O70" s="323"/>
      <c r="P70" s="323">
        <f>(130336/166)+(Technologieën[[#This Row],[Kostenbesparing p. patiënt door arbeidsbesparing (€/week)]]*52)/INDEX(Zorggebruik[Waarvan personeel],MATCH(Technologieën[[#This Row],[Zorggebruik]],Zorggebruik[Zorggebruik],0))*(INDEX(Zorggebruik[Kostenbesparing indirect personeel],MATCH(Technologieën[[#This Row],[Zorggebruik]],Zorggebruik[Zorggebruik],0)))</f>
        <v>869.09895318980841</v>
      </c>
      <c r="Q70" s="1" t="s">
        <v>298</v>
      </c>
      <c r="R70" s="1" t="s">
        <v>299</v>
      </c>
      <c r="S70" s="322"/>
      <c r="T70" s="263"/>
      <c r="U70" s="304"/>
      <c r="V70" s="2"/>
      <c r="W70" s="305">
        <f>(230000-145000)/166</f>
        <v>512.04819277108436</v>
      </c>
      <c r="X70" s="264"/>
      <c r="Y70" s="165" t="s">
        <v>300</v>
      </c>
      <c r="Z70"/>
      <c r="AA70"/>
    </row>
    <row r="71" spans="1:27" ht="17.149999999999999" customHeight="1" x14ac:dyDescent="0.5">
      <c r="A71" s="2" t="s">
        <v>10</v>
      </c>
      <c r="B71" s="32" t="s">
        <v>61</v>
      </c>
      <c r="C71" s="32" t="s">
        <v>295</v>
      </c>
      <c r="D71" s="32">
        <v>3</v>
      </c>
      <c r="E71" s="32" t="str">
        <f>CONCATENATE(Technologieën[[#This Row],[Digitale zorgtoepassing]],"_",D71)</f>
        <v>Slimme bedsensoren_3</v>
      </c>
      <c r="F71" s="1" t="s">
        <v>860</v>
      </c>
      <c r="G71" s="349" t="s">
        <v>936</v>
      </c>
      <c r="H71" s="32" t="s">
        <v>201</v>
      </c>
      <c r="I71" s="32" t="s">
        <v>144</v>
      </c>
      <c r="J71" s="318">
        <f>(12+40)/2</f>
        <v>26</v>
      </c>
      <c r="K71" s="319"/>
      <c r="L71" s="336"/>
      <c r="M71" s="319"/>
      <c r="N71" s="321"/>
      <c r="O71" s="2"/>
      <c r="P71" s="325">
        <f>(Technologieën[[#This Row],[Tijdsbesparing p. patiënt (min/week)]]*52/60)*INDEX(Uurloon[Uurtarief zorgpersoneel],MATCH(Technologieën[[#This Row],[Zorgverlener]],Uurloon[Zorgverlener],0))/INDEX(Zorggebruik[Waarvan personeel],MATCH(Technologieën[[#This Row],[Zorggebruik]],Zorggebruik[Zorggebruik],0))*(INDEX(Zorggebruik[Kostenbesparing indirect personeel],MATCH(Technologieën[[#This Row],[Zorggebruik]],Zorggebruik[Zorggebruik],0)))</f>
        <v>64.087154387287242</v>
      </c>
      <c r="Q71" s="1" t="s">
        <v>290</v>
      </c>
      <c r="R71" s="1" t="s">
        <v>296</v>
      </c>
      <c r="S71" s="322"/>
      <c r="T71" s="263"/>
      <c r="U71" s="304">
        <v>2736</v>
      </c>
      <c r="V71" s="2"/>
      <c r="W71" s="305">
        <f>((42*12)+(30*12))/2</f>
        <v>432</v>
      </c>
      <c r="X71" s="264"/>
      <c r="Y71" s="165" t="s">
        <v>297</v>
      </c>
      <c r="Z71"/>
      <c r="AA71"/>
    </row>
    <row r="72" spans="1:27" ht="1" customHeight="1" x14ac:dyDescent="0.5">
      <c r="A72" s="2" t="s">
        <v>10</v>
      </c>
      <c r="B72" s="32" t="s">
        <v>61</v>
      </c>
      <c r="C72" s="32" t="s">
        <v>295</v>
      </c>
      <c r="D72" s="32">
        <v>4</v>
      </c>
      <c r="E72" s="32" t="str">
        <f>CONCATENATE(Technologieën[[#This Row],[Digitale zorgtoepassing]],"_",D72)</f>
        <v>Slimme bedsensoren_4</v>
      </c>
      <c r="F72" s="1" t="s">
        <v>860</v>
      </c>
      <c r="G72" s="349"/>
      <c r="H72" s="32" t="s">
        <v>201</v>
      </c>
      <c r="I72" s="32" t="s">
        <v>144</v>
      </c>
      <c r="J72" s="318"/>
      <c r="K72" s="319"/>
      <c r="L72" s="319"/>
      <c r="M72" s="319"/>
      <c r="N72" s="321"/>
      <c r="O72" s="2"/>
      <c r="P72" s="265"/>
      <c r="Q72" s="1"/>
      <c r="R72" s="1"/>
      <c r="S72" s="322"/>
      <c r="T72" s="263"/>
      <c r="U72" s="304"/>
      <c r="V72" s="2"/>
      <c r="W72" s="305"/>
      <c r="X72" s="264"/>
      <c r="Y72" s="165" t="s">
        <v>600</v>
      </c>
      <c r="Z72"/>
      <c r="AA72"/>
    </row>
    <row r="73" spans="1:27" ht="17.149999999999999" customHeight="1" x14ac:dyDescent="0.5">
      <c r="A73" s="2" t="s">
        <v>9</v>
      </c>
      <c r="B73" s="32" t="s">
        <v>53</v>
      </c>
      <c r="C73" s="32"/>
      <c r="D73" s="32">
        <v>1</v>
      </c>
      <c r="E73" s="32" t="str">
        <f>CONCATENATE(Technologieën[[#This Row],[Digitale zorgtoepassing]],"_",D73)</f>
        <v>Slimme pleisters_1</v>
      </c>
      <c r="F73" s="1" t="s">
        <v>949</v>
      </c>
      <c r="G73" s="349" t="s">
        <v>952</v>
      </c>
      <c r="H73" s="32"/>
      <c r="I73" s="32"/>
      <c r="J73" s="318"/>
      <c r="K73" s="319"/>
      <c r="L73" s="304">
        <f>525/52*'C3 Gegevens - overig'!C45</f>
        <v>6.0576923076923075</v>
      </c>
      <c r="M73" s="304"/>
      <c r="N73" s="321"/>
      <c r="O73" s="305"/>
      <c r="P73" s="305">
        <f>525*'C3 Gegevens - overig'!D45</f>
        <v>210</v>
      </c>
      <c r="Q73" s="1" t="s">
        <v>253</v>
      </c>
      <c r="R73" s="1"/>
      <c r="S73" s="322"/>
      <c r="T73" s="263"/>
      <c r="U73" s="304"/>
      <c r="V73" s="308"/>
      <c r="W73" s="305"/>
      <c r="X73" s="264"/>
      <c r="Y73" s="165" t="s">
        <v>254</v>
      </c>
      <c r="Z73"/>
      <c r="AA73"/>
    </row>
    <row r="74" spans="1:27" ht="16.5" customHeight="1" x14ac:dyDescent="0.5">
      <c r="A74" s="2" t="s">
        <v>9</v>
      </c>
      <c r="B74" s="32" t="s">
        <v>53</v>
      </c>
      <c r="C74" s="32" t="s">
        <v>257</v>
      </c>
      <c r="D74" s="32">
        <v>2</v>
      </c>
      <c r="E74" s="32" t="str">
        <f>CONCATENATE(Technologieën[[#This Row],[Digitale zorgtoepassing]],"_",D74)</f>
        <v>Slimme pleisters_2</v>
      </c>
      <c r="F74" s="1" t="s">
        <v>949</v>
      </c>
      <c r="G74" s="349" t="s">
        <v>952</v>
      </c>
      <c r="H74" s="32"/>
      <c r="I74" s="32"/>
      <c r="J74" s="318"/>
      <c r="K74" s="319"/>
      <c r="L74" s="341"/>
      <c r="M74" s="341"/>
      <c r="N74" s="321"/>
      <c r="O74" s="305"/>
      <c r="P74" s="305"/>
      <c r="Q74" s="1"/>
      <c r="R74" s="1" t="s">
        <v>258</v>
      </c>
      <c r="S74" s="322"/>
      <c r="T74" s="263"/>
      <c r="U74" s="304"/>
      <c r="V74" s="305"/>
      <c r="W74" s="305">
        <v>100</v>
      </c>
      <c r="X74" s="264"/>
      <c r="Y74" s="268" t="s">
        <v>259</v>
      </c>
      <c r="Z74"/>
      <c r="AA74"/>
    </row>
    <row r="75" spans="1:27" ht="119" x14ac:dyDescent="0.5">
      <c r="A75" s="2" t="s">
        <v>9</v>
      </c>
      <c r="B75" s="32" t="s">
        <v>53</v>
      </c>
      <c r="C75" s="32" t="s">
        <v>255</v>
      </c>
      <c r="D75" s="32">
        <v>3</v>
      </c>
      <c r="E75" s="32" t="str">
        <f>CONCATENATE(Technologieën[[#This Row],[Digitale zorgtoepassing]],"_",D75)</f>
        <v>Slimme pleisters_3</v>
      </c>
      <c r="F75" s="1" t="s">
        <v>949</v>
      </c>
      <c r="G75" s="349" t="s">
        <v>952</v>
      </c>
      <c r="H75" s="32"/>
      <c r="I75" s="32"/>
      <c r="J75" s="318"/>
      <c r="K75" s="319"/>
      <c r="L75" s="341">
        <f>(6329-5863)*1.17/52*'C3 Gegevens - overig'!C45</f>
        <v>6.2909999999999986</v>
      </c>
      <c r="M75" s="341"/>
      <c r="N75" s="321"/>
      <c r="O75" s="305"/>
      <c r="P75" s="305">
        <f>(6329-5863)*1.17*'C3 Gegevens - overig'!D45</f>
        <v>218.08799999999997</v>
      </c>
      <c r="Q75" s="1"/>
      <c r="R75" s="1"/>
      <c r="S75" s="322">
        <v>5.7000000000000002E-2</v>
      </c>
      <c r="T75" s="263"/>
      <c r="U75" s="304">
        <f>(18000+7000+16000)*1.15</f>
        <v>47149.999999999993</v>
      </c>
      <c r="V75" s="305"/>
      <c r="W75" s="305">
        <f>150*1.15</f>
        <v>172.5</v>
      </c>
      <c r="X75" s="264">
        <f>50000*1.15</f>
        <v>57499.999999999993</v>
      </c>
      <c r="Y75" s="222" t="s">
        <v>256</v>
      </c>
      <c r="Z75"/>
      <c r="AA75"/>
    </row>
    <row r="76" spans="1:27" ht="18" customHeight="1" x14ac:dyDescent="0.5">
      <c r="A76" s="2" t="s">
        <v>12</v>
      </c>
      <c r="B76" s="32" t="s">
        <v>101</v>
      </c>
      <c r="C76" s="32"/>
      <c r="D76" s="32">
        <v>1</v>
      </c>
      <c r="E76" s="32" t="str">
        <f>CONCATENATE(Technologieën[[#This Row],[Digitale zorgtoepassing]],"_",D76)</f>
        <v>Spraak automatisch vastleggen_1</v>
      </c>
      <c r="F76" s="1" t="s">
        <v>946</v>
      </c>
      <c r="G76" s="349" t="s">
        <v>83</v>
      </c>
      <c r="H76" s="32"/>
      <c r="I76" s="32"/>
      <c r="J76" s="318">
        <f>4*3.6*7</f>
        <v>100.8</v>
      </c>
      <c r="K76" s="319"/>
      <c r="L76" s="319"/>
      <c r="M76" s="319"/>
      <c r="N76" s="321"/>
      <c r="O76" s="313"/>
      <c r="P76" s="2"/>
      <c r="Q76" s="1"/>
      <c r="R76" s="1"/>
      <c r="S76" s="322"/>
      <c r="T76" s="263"/>
      <c r="U76" s="304"/>
      <c r="V76" s="2"/>
      <c r="W76" s="305"/>
      <c r="X76" s="264"/>
      <c r="Y76" s="165" t="s">
        <v>306</v>
      </c>
      <c r="Z76"/>
      <c r="AA76"/>
    </row>
    <row r="77" spans="1:27" ht="17.25" customHeight="1" x14ac:dyDescent="0.5">
      <c r="A77" s="2" t="s">
        <v>12</v>
      </c>
      <c r="B77" s="32" t="s">
        <v>101</v>
      </c>
      <c r="C77" s="32"/>
      <c r="D77" s="32">
        <v>2</v>
      </c>
      <c r="E77" s="32" t="str">
        <f>CONCATENATE(Technologieën[[#This Row],[Digitale zorgtoepassing]],"_",D77)</f>
        <v>Spraak automatisch vastleggen_2</v>
      </c>
      <c r="F77" s="1" t="s">
        <v>946</v>
      </c>
      <c r="G77" s="349" t="s">
        <v>83</v>
      </c>
      <c r="H77" s="32"/>
      <c r="I77" s="32"/>
      <c r="J77" s="318"/>
      <c r="K77" s="319"/>
      <c r="L77" s="319"/>
      <c r="M77" s="319"/>
      <c r="N77" s="321"/>
      <c r="O77" s="2"/>
      <c r="P77" s="265"/>
      <c r="Q77" s="1"/>
      <c r="R77" s="1"/>
      <c r="S77" s="322"/>
      <c r="T77" s="263"/>
      <c r="U77" s="304"/>
      <c r="V77" s="2"/>
      <c r="W77" s="305">
        <f>2*12</f>
        <v>24</v>
      </c>
      <c r="X77" s="264"/>
      <c r="Y77" s="268" t="s">
        <v>954</v>
      </c>
      <c r="Z77"/>
      <c r="AA77"/>
    </row>
    <row r="78" spans="1:27" ht="51" x14ac:dyDescent="0.5">
      <c r="A78" s="2" t="s">
        <v>12</v>
      </c>
      <c r="B78" s="32" t="s">
        <v>101</v>
      </c>
      <c r="C78" s="32"/>
      <c r="D78" s="32">
        <v>3</v>
      </c>
      <c r="E78" s="32" t="str">
        <f>CONCATENATE(Technologieën[[#This Row],[Digitale zorgtoepassing]],"_",D78)</f>
        <v>Spraak automatisch vastleggen_3</v>
      </c>
      <c r="F78" s="1" t="s">
        <v>946</v>
      </c>
      <c r="G78" s="349" t="s">
        <v>84</v>
      </c>
      <c r="H78" s="32"/>
      <c r="I78" s="32"/>
      <c r="J78" s="318"/>
      <c r="K78" s="319"/>
      <c r="L78" s="319"/>
      <c r="M78" s="319"/>
      <c r="N78" s="321">
        <v>477</v>
      </c>
      <c r="O78" s="305">
        <f>'D2 Berekening - impact p. dlgr.'!M56/'C3 Gegevens - overig'!C48*'C3 Gegevens - overig'!D48</f>
        <v>289880.06852547609</v>
      </c>
      <c r="P78" s="265"/>
      <c r="Q78" s="1"/>
      <c r="R78" s="1"/>
      <c r="S78" s="322"/>
      <c r="T78" s="263"/>
      <c r="U78" s="304"/>
      <c r="V78" s="2"/>
      <c r="W78" s="305"/>
      <c r="X78" s="264"/>
      <c r="Y78" s="165" t="s">
        <v>307</v>
      </c>
      <c r="Z78"/>
      <c r="AA78"/>
    </row>
    <row r="79" spans="1:27" ht="34" x14ac:dyDescent="0.5">
      <c r="A79" s="2" t="s">
        <v>8</v>
      </c>
      <c r="B79" s="32" t="s">
        <v>48</v>
      </c>
      <c r="C79" s="32" t="s">
        <v>237</v>
      </c>
      <c r="D79" s="32">
        <v>1</v>
      </c>
      <c r="E79" s="32" t="str">
        <f>CONCATENATE(Technologieën[[#This Row],[Digitale zorgtoepassing]],"_",D79)</f>
        <v>Steunkousen technologie_1</v>
      </c>
      <c r="F79" s="348" t="s">
        <v>877</v>
      </c>
      <c r="G79" s="349" t="s">
        <v>49</v>
      </c>
      <c r="H79" s="32" t="s">
        <v>201</v>
      </c>
      <c r="I79" s="32" t="s">
        <v>144</v>
      </c>
      <c r="J79" s="318">
        <f>12*7</f>
        <v>84</v>
      </c>
      <c r="K79" s="319"/>
      <c r="L79" s="319"/>
      <c r="M79" s="319"/>
      <c r="N79" s="321"/>
      <c r="O79" s="2"/>
      <c r="P79" s="308">
        <f>(Technologieën[[#This Row],[Tijdsbesparing p. patiënt (min/week)]]*52/60)/INDEX(Zorggebruik[Waarvan personeel],MATCH(H79,Zorggebruik[Zorggebruik],0))*INDEX(Zorggebruik[Kostenbesparing indirect personeel],MATCH(H79,Zorggebruik[Zorggebruik],0))*INDEX(Uurloon[Uurtarief zorgpersoneel],MATCH(Technologieën[[#This Row],[Zorgverlener]],Uurloon[Zorgverlener],0))</f>
        <v>207.0508064820049</v>
      </c>
      <c r="Q79" s="1"/>
      <c r="R79" s="1"/>
      <c r="S79" s="322"/>
      <c r="T79" s="263"/>
      <c r="U79" s="304"/>
      <c r="V79" s="2"/>
      <c r="W79" s="305"/>
      <c r="X79" s="264"/>
      <c r="Y79" s="268" t="s">
        <v>238</v>
      </c>
      <c r="Z79"/>
      <c r="AA79"/>
    </row>
    <row r="80" spans="1:27" ht="34" x14ac:dyDescent="0.5">
      <c r="A80" s="2" t="s">
        <v>8</v>
      </c>
      <c r="B80" s="32" t="s">
        <v>48</v>
      </c>
      <c r="C80" s="32" t="s">
        <v>237</v>
      </c>
      <c r="D80" s="32">
        <v>2</v>
      </c>
      <c r="E80" s="32" t="str">
        <f>CONCATENATE(Technologieën[[#This Row],[Digitale zorgtoepassing]],"_",D80)</f>
        <v>Steunkousen technologie_2</v>
      </c>
      <c r="F80" s="348" t="s">
        <v>877</v>
      </c>
      <c r="G80" s="349" t="s">
        <v>49</v>
      </c>
      <c r="H80" s="32" t="s">
        <v>201</v>
      </c>
      <c r="I80" s="32" t="s">
        <v>144</v>
      </c>
      <c r="J80" s="318"/>
      <c r="K80" s="319"/>
      <c r="L80" s="319"/>
      <c r="M80" s="319"/>
      <c r="N80" s="321"/>
      <c r="O80" s="2"/>
      <c r="P80" s="2"/>
      <c r="Q80" s="1"/>
      <c r="R80" s="1"/>
      <c r="S80" s="322"/>
      <c r="T80" s="263">
        <v>895</v>
      </c>
      <c r="U80" s="304"/>
      <c r="V80" s="2"/>
      <c r="W80" s="305"/>
      <c r="X80" s="264"/>
      <c r="Y80" s="268" t="s">
        <v>239</v>
      </c>
      <c r="Z80"/>
      <c r="AA80"/>
    </row>
    <row r="81" spans="1:27" ht="34" x14ac:dyDescent="0.5">
      <c r="A81" s="2" t="s">
        <v>8</v>
      </c>
      <c r="B81" s="138" t="s">
        <v>48</v>
      </c>
      <c r="C81" s="32"/>
      <c r="D81" s="32">
        <v>3</v>
      </c>
      <c r="E81" s="32" t="str">
        <f>CONCATENATE(Technologieën[[#This Row],[Digitale zorgtoepassing]],"_",D81)</f>
        <v>Steunkousen technologie_3</v>
      </c>
      <c r="F81" s="348" t="s">
        <v>877</v>
      </c>
      <c r="G81" s="349" t="s">
        <v>49</v>
      </c>
      <c r="H81" s="32" t="s">
        <v>201</v>
      </c>
      <c r="I81" s="32" t="s">
        <v>144</v>
      </c>
      <c r="J81" s="318">
        <f>(5+10)/2*2*7</f>
        <v>105</v>
      </c>
      <c r="K81" s="319"/>
      <c r="L81" s="319"/>
      <c r="M81" s="319"/>
      <c r="N81" s="321"/>
      <c r="O81" s="2"/>
      <c r="P81" s="305">
        <f>(Technologieën[[#This Row],[Tijdsbesparing p. patiënt (min/week)]]*52/60)/INDEX(Zorggebruik[Waarvan personeel],MATCH(H81,Zorggebruik[Zorggebruik],0))*INDEX(Zorggebruik[Kostenbesparing indirect personeel],MATCH(H81,Zorggebruik[Zorggebruik],0))*INDEX(Uurloon[Uurtarief zorgpersoneel],MATCH(Technologieën[[#This Row],[Zorgverlener]],Uurloon[Zorgverlener],0))</f>
        <v>258.81350810250615</v>
      </c>
      <c r="Q81" s="1"/>
      <c r="R81" s="1"/>
      <c r="S81" s="322"/>
      <c r="T81" s="263"/>
      <c r="U81" s="304"/>
      <c r="V81" s="2"/>
      <c r="W81" s="305"/>
      <c r="X81" s="264"/>
      <c r="Y81" s="165" t="s">
        <v>240</v>
      </c>
      <c r="Z81"/>
      <c r="AA81"/>
    </row>
    <row r="82" spans="1:27" ht="51" x14ac:dyDescent="0.5">
      <c r="A82" s="2" t="s">
        <v>8</v>
      </c>
      <c r="B82" s="138" t="s">
        <v>19</v>
      </c>
      <c r="C82" s="32" t="s">
        <v>241</v>
      </c>
      <c r="D82" s="32">
        <v>1</v>
      </c>
      <c r="E82" s="32" t="str">
        <f>CONCATENATE(Technologieën[[#This Row],[Digitale zorgtoepassing]],"_",D82)</f>
        <v>Structuurrobot_1</v>
      </c>
      <c r="F82" s="348" t="s">
        <v>878</v>
      </c>
      <c r="G82" s="349" t="s">
        <v>937</v>
      </c>
      <c r="H82" s="32" t="s">
        <v>199</v>
      </c>
      <c r="I82" s="32" t="s">
        <v>144</v>
      </c>
      <c r="J82" s="318">
        <f>(60+120)/2</f>
        <v>90</v>
      </c>
      <c r="K82" s="319"/>
      <c r="L82" s="319"/>
      <c r="M82" s="319"/>
      <c r="N82" s="321"/>
      <c r="O82" s="2"/>
      <c r="P82" s="308">
        <f>(Technologieën[[#This Row],[Tijdsbesparing p. patiënt (min/week)]]*52/60)/INDEX(Zorggebruik[Waarvan personeel],MATCH(H82,Zorggebruik[Zorggebruik],0))*INDEX(Zorggebruik[Waarvan anders],MATCH(H82,Zorggebruik[Zorggebruik],0))*INDEX(Uurloon[Uurtarief zorgpersoneel],MATCH(Technologieën[[#This Row],[Zorgverlener]],Uurloon[Zorgverlener],0))</f>
        <v>784.13383942357177</v>
      </c>
      <c r="Q82" s="1"/>
      <c r="R82" s="1" t="s">
        <v>242</v>
      </c>
      <c r="S82" s="322"/>
      <c r="T82" s="263"/>
      <c r="U82" s="311">
        <v>42000</v>
      </c>
      <c r="V82" s="313"/>
      <c r="W82" s="260">
        <f>76*12 + 163 +178+29.57</f>
        <v>1282.57</v>
      </c>
      <c r="X82" s="312">
        <v>0</v>
      </c>
      <c r="Y82" s="165" t="s">
        <v>243</v>
      </c>
      <c r="Z82"/>
      <c r="AA82"/>
    </row>
    <row r="83" spans="1:27" ht="51" x14ac:dyDescent="0.5">
      <c r="A83" s="2" t="s">
        <v>8</v>
      </c>
      <c r="B83" s="32" t="s">
        <v>19</v>
      </c>
      <c r="C83" s="32" t="s">
        <v>241</v>
      </c>
      <c r="D83" s="32">
        <v>2</v>
      </c>
      <c r="E83" s="32" t="str">
        <f>CONCATENATE(Technologieën[[#This Row],[Digitale zorgtoepassing]],"_",D83)</f>
        <v>Structuurrobot_2</v>
      </c>
      <c r="F83" s="348" t="s">
        <v>878</v>
      </c>
      <c r="G83" s="349" t="s">
        <v>937</v>
      </c>
      <c r="H83" s="32" t="s">
        <v>199</v>
      </c>
      <c r="I83" s="32" t="s">
        <v>144</v>
      </c>
      <c r="J83" s="318">
        <v>65</v>
      </c>
      <c r="K83" s="319"/>
      <c r="L83" s="319"/>
      <c r="M83" s="319"/>
      <c r="N83" s="321"/>
      <c r="O83" s="2"/>
      <c r="P83" s="308">
        <f>(Technologieën[[#This Row],[Tijdsbesparing p. patiënt (min/week)]]*52/60)/INDEX(Zorggebruik[Waarvan personeel],MATCH(H83,Zorggebruik[Zorggebruik],0))*INDEX(Zorggebruik[Waarvan anders],MATCH(H83,Zorggebruik[Zorggebruik],0))*INDEX(Uurloon[Uurtarief zorgpersoneel],MATCH(Technologieën[[#This Row],[Zorgverlener]],Uurloon[Zorgverlener],0))</f>
        <v>566.31888402813524</v>
      </c>
      <c r="Q83" s="1"/>
      <c r="R83" s="1" t="s">
        <v>244</v>
      </c>
      <c r="S83" s="322"/>
      <c r="T83" s="310"/>
      <c r="U83" s="311"/>
      <c r="V83" s="2"/>
      <c r="W83" s="260"/>
      <c r="X83" s="312"/>
      <c r="Y83" s="222" t="s">
        <v>245</v>
      </c>
      <c r="Z83"/>
      <c r="AA83"/>
    </row>
    <row r="84" spans="1:27" ht="51" x14ac:dyDescent="0.5">
      <c r="A84" s="2" t="s">
        <v>8</v>
      </c>
      <c r="B84" s="32" t="s">
        <v>19</v>
      </c>
      <c r="C84" s="32" t="s">
        <v>246</v>
      </c>
      <c r="D84" s="32">
        <v>3</v>
      </c>
      <c r="E84" s="32" t="str">
        <f>CONCATENATE(Technologieën[[#This Row],[Digitale zorgtoepassing]],"_",D84)</f>
        <v>Structuurrobot_3</v>
      </c>
      <c r="F84" s="348" t="s">
        <v>878</v>
      </c>
      <c r="G84" s="349" t="s">
        <v>937</v>
      </c>
      <c r="H84" s="32" t="s">
        <v>199</v>
      </c>
      <c r="I84" s="32" t="s">
        <v>144</v>
      </c>
      <c r="J84" s="318"/>
      <c r="K84" s="319"/>
      <c r="L84" s="319"/>
      <c r="M84" s="319"/>
      <c r="N84" s="321"/>
      <c r="O84" s="2"/>
      <c r="P84" s="308"/>
      <c r="Q84" s="1"/>
      <c r="R84" s="1"/>
      <c r="S84" s="322"/>
      <c r="T84" s="310">
        <v>1490</v>
      </c>
      <c r="U84" s="311"/>
      <c r="V84" s="2"/>
      <c r="W84" s="260">
        <v>390</v>
      </c>
      <c r="X84" s="312"/>
      <c r="Y84" s="165" t="s">
        <v>233</v>
      </c>
      <c r="Z84"/>
      <c r="AA84"/>
    </row>
    <row r="85" spans="1:27" ht="51" x14ac:dyDescent="0.5">
      <c r="A85" s="2" t="s">
        <v>8</v>
      </c>
      <c r="B85" s="32" t="s">
        <v>19</v>
      </c>
      <c r="C85" s="32" t="s">
        <v>247</v>
      </c>
      <c r="D85" s="32">
        <v>4</v>
      </c>
      <c r="E85" s="32" t="str">
        <f>CONCATENATE(Technologieën[[#This Row],[Digitale zorgtoepassing]],"_",D85)</f>
        <v>Structuurrobot_4</v>
      </c>
      <c r="F85" s="348" t="s">
        <v>878</v>
      </c>
      <c r="G85" s="349" t="s">
        <v>937</v>
      </c>
      <c r="H85" s="32" t="s">
        <v>199</v>
      </c>
      <c r="I85" s="32" t="s">
        <v>144</v>
      </c>
      <c r="J85" s="318"/>
      <c r="K85" s="319"/>
      <c r="L85" s="319"/>
      <c r="M85" s="319"/>
      <c r="N85" s="321"/>
      <c r="O85" s="2"/>
      <c r="P85" s="308"/>
      <c r="Q85" s="1"/>
      <c r="R85" s="1"/>
      <c r="S85" s="322"/>
      <c r="T85" s="310">
        <f>275+80</f>
        <v>355</v>
      </c>
      <c r="U85" s="311"/>
      <c r="V85" s="2"/>
      <c r="W85" s="260">
        <f>365+(12*7.5)</f>
        <v>455</v>
      </c>
      <c r="X85" s="312"/>
      <c r="Y85" s="165" t="s">
        <v>233</v>
      </c>
      <c r="Z85"/>
      <c r="AA85"/>
    </row>
    <row r="86" spans="1:27" ht="51" x14ac:dyDescent="0.5">
      <c r="A86" s="2" t="s">
        <v>8</v>
      </c>
      <c r="B86" s="32" t="s">
        <v>19</v>
      </c>
      <c r="C86" s="32" t="s">
        <v>248</v>
      </c>
      <c r="D86" s="32">
        <v>5</v>
      </c>
      <c r="E86" s="32" t="str">
        <f>CONCATENATE(Technologieën[[#This Row],[Digitale zorgtoepassing]],"_",D86)</f>
        <v>Structuurrobot_5</v>
      </c>
      <c r="F86" s="348" t="s">
        <v>878</v>
      </c>
      <c r="G86" s="349" t="s">
        <v>937</v>
      </c>
      <c r="H86" s="32" t="s">
        <v>199</v>
      </c>
      <c r="I86" s="32" t="s">
        <v>144</v>
      </c>
      <c r="J86" s="318"/>
      <c r="K86" s="319"/>
      <c r="L86" s="319"/>
      <c r="M86" s="319"/>
      <c r="N86" s="321"/>
      <c r="O86" s="2"/>
      <c r="P86" s="308"/>
      <c r="Q86" s="1"/>
      <c r="R86" s="1"/>
      <c r="S86" s="322"/>
      <c r="T86" s="310">
        <v>495</v>
      </c>
      <c r="U86" s="311"/>
      <c r="V86" s="2"/>
      <c r="W86" s="260"/>
      <c r="X86" s="312"/>
      <c r="Y86" s="165" t="s">
        <v>233</v>
      </c>
      <c r="Z86" s="4"/>
      <c r="AA86"/>
    </row>
    <row r="87" spans="1:27" ht="51" x14ac:dyDescent="0.5">
      <c r="A87" s="2" t="s">
        <v>8</v>
      </c>
      <c r="B87" s="32" t="s">
        <v>19</v>
      </c>
      <c r="C87" s="32" t="s">
        <v>241</v>
      </c>
      <c r="D87" s="32">
        <v>6</v>
      </c>
      <c r="E87" s="32" t="str">
        <f>CONCATENATE(Technologieën[[#This Row],[Digitale zorgtoepassing]],"_",D87)</f>
        <v>Structuurrobot_6</v>
      </c>
      <c r="F87" s="348" t="s">
        <v>878</v>
      </c>
      <c r="G87" s="349" t="s">
        <v>937</v>
      </c>
      <c r="H87" s="32" t="s">
        <v>199</v>
      </c>
      <c r="I87" s="32" t="s">
        <v>144</v>
      </c>
      <c r="J87" s="318">
        <v>79</v>
      </c>
      <c r="K87" s="319"/>
      <c r="L87" s="319"/>
      <c r="M87" s="319"/>
      <c r="N87" s="321"/>
      <c r="O87" s="2"/>
      <c r="P87" s="308">
        <f>(Technologieën[[#This Row],[Tijdsbesparing p. patiënt (min/week)]]*52/60)/INDEX(Zorggebruik[Waarvan personeel],MATCH(H87,Zorggebruik[Zorggebruik],0))*INDEX(Zorggebruik[Waarvan anders],MATCH(H87,Zorggebruik[Zorggebruik],0))*INDEX(Uurloon[Uurtarief zorgpersoneel],MATCH(Technologieën[[#This Row],[Zorgverlener]],Uurloon[Zorgverlener],0))</f>
        <v>688.29525904957973</v>
      </c>
      <c r="Q87" s="1"/>
      <c r="R87" s="1" t="s">
        <v>249</v>
      </c>
      <c r="S87" s="322"/>
      <c r="T87" s="310"/>
      <c r="U87" s="311"/>
      <c r="V87" s="2"/>
      <c r="W87" s="260"/>
      <c r="X87" s="312"/>
      <c r="Y87" s="165" t="s">
        <v>250</v>
      </c>
      <c r="Z87" s="4"/>
      <c r="AA87"/>
    </row>
    <row r="88" spans="1:27" ht="34" x14ac:dyDescent="0.5">
      <c r="A88" s="2" t="s">
        <v>11</v>
      </c>
      <c r="B88" s="32" t="s">
        <v>56</v>
      </c>
      <c r="C88" s="32" t="s">
        <v>328</v>
      </c>
      <c r="D88" s="32">
        <v>1</v>
      </c>
      <c r="E88" s="32" t="str">
        <f>CONCATENATE(Technologieën[[#This Row],[Digitale zorgtoepassing]],"_",D88)</f>
        <v>Virtual cockpit_1</v>
      </c>
      <c r="F88" s="1" t="s">
        <v>856</v>
      </c>
      <c r="G88" s="349"/>
      <c r="H88" s="32"/>
      <c r="I88" s="32"/>
      <c r="J88" s="331"/>
      <c r="K88" s="319">
        <f>((40*0.02)+(40*0.1))/2</f>
        <v>2.4</v>
      </c>
      <c r="L88" s="330"/>
      <c r="M88" s="319"/>
      <c r="N88" s="321"/>
      <c r="O88" s="2"/>
      <c r="P88" s="2"/>
      <c r="Q88" s="1"/>
      <c r="R88" s="1"/>
      <c r="S88" s="322"/>
      <c r="T88" s="263"/>
      <c r="U88" s="304"/>
      <c r="V88" s="2"/>
      <c r="W88" s="305"/>
      <c r="X88" s="264"/>
      <c r="Y88" s="165" t="s">
        <v>240</v>
      </c>
      <c r="Z88" s="4"/>
      <c r="AA88"/>
    </row>
    <row r="89" spans="1:27" ht="34" x14ac:dyDescent="0.5">
      <c r="A89" s="2" t="s">
        <v>8</v>
      </c>
      <c r="B89" s="32" t="s">
        <v>85</v>
      </c>
      <c r="C89" s="32"/>
      <c r="D89" s="32">
        <v>1</v>
      </c>
      <c r="E89" s="32" t="str">
        <f>CONCATENATE(Technologieën[[#This Row],[Digitale zorgtoepassing]],"_",D89)</f>
        <v>Zorg op afstand met tablet_1</v>
      </c>
      <c r="F89" s="348" t="s">
        <v>879</v>
      </c>
      <c r="G89" s="349" t="s">
        <v>938</v>
      </c>
      <c r="H89" s="32" t="s">
        <v>199</v>
      </c>
      <c r="I89" s="32" t="s">
        <v>144</v>
      </c>
      <c r="J89" s="318">
        <f>5.2*7</f>
        <v>36.4</v>
      </c>
      <c r="K89" s="319"/>
      <c r="L89" s="319"/>
      <c r="M89" s="319"/>
      <c r="N89" s="321"/>
      <c r="O89" s="2"/>
      <c r="P89" s="308">
        <f>(Technologieën[[#This Row],[Tijdsbesparing p. patiënt (min/week)]]*52/60)/INDEX(Zorggebruik[Waarvan personeel],MATCH(H89,Zorggebruik[Zorggebruik],0))*INDEX(Zorggebruik[Waarvan anders],MATCH(H89,Zorggebruik[Zorggebruik],0))*INDEX(Uurloon[Uurtarief zorgpersoneel],MATCH(Technologieën[[#This Row],[Zorgverlener]],Uurloon[Zorgverlener],0))</f>
        <v>317.13857505575567</v>
      </c>
      <c r="Q89" s="1"/>
      <c r="R89" s="1"/>
      <c r="S89" s="322"/>
      <c r="T89" s="263"/>
      <c r="U89" s="304"/>
      <c r="V89" s="2"/>
      <c r="W89" s="305"/>
      <c r="X89" s="264"/>
      <c r="Y89" s="165" t="s">
        <v>87</v>
      </c>
      <c r="Z89" s="4"/>
      <c r="AA89"/>
    </row>
    <row r="90" spans="1:27" ht="34.5" thickBot="1" x14ac:dyDescent="0.55000000000000004">
      <c r="A90" s="2" t="s">
        <v>8</v>
      </c>
      <c r="B90" s="32" t="s">
        <v>85</v>
      </c>
      <c r="C90" s="32"/>
      <c r="D90" s="32">
        <v>2</v>
      </c>
      <c r="E90" s="32" t="str">
        <f>CONCATENATE(Technologieën[[#This Row],[Digitale zorgtoepassing]],"_",D90)</f>
        <v>Zorg op afstand met tablet_2</v>
      </c>
      <c r="F90" s="348" t="s">
        <v>879</v>
      </c>
      <c r="G90" s="349" t="s">
        <v>938</v>
      </c>
      <c r="H90" s="32" t="s">
        <v>199</v>
      </c>
      <c r="I90" s="32" t="s">
        <v>144</v>
      </c>
      <c r="J90" s="342"/>
      <c r="K90" s="343"/>
      <c r="L90" s="343"/>
      <c r="M90" s="343"/>
      <c r="N90" s="344"/>
      <c r="O90" s="270"/>
      <c r="P90" s="270"/>
      <c r="Q90" s="345"/>
      <c r="R90" s="345"/>
      <c r="S90" s="346"/>
      <c r="T90" s="314">
        <v>329</v>
      </c>
      <c r="U90" s="315"/>
      <c r="V90" s="270"/>
      <c r="W90" s="315">
        <f>((27.5+35)/2+12.95)*12</f>
        <v>530.40000000000009</v>
      </c>
      <c r="X90" s="316"/>
      <c r="Y90" s="268" t="s">
        <v>221</v>
      </c>
      <c r="Z90" s="4"/>
      <c r="AA90"/>
    </row>
    <row r="91" spans="1:27" x14ac:dyDescent="0.5">
      <c r="O91" s="6"/>
    </row>
    <row r="92" spans="1:27" x14ac:dyDescent="0.5">
      <c r="O92" s="6"/>
    </row>
    <row r="93" spans="1:27" x14ac:dyDescent="0.5">
      <c r="O93" s="6"/>
    </row>
    <row r="94" spans="1:27" x14ac:dyDescent="0.5">
      <c r="O94" s="6"/>
    </row>
    <row r="95" spans="1:27" x14ac:dyDescent="0.5">
      <c r="O95" s="6"/>
    </row>
    <row r="96" spans="1:27" x14ac:dyDescent="0.5">
      <c r="O96" s="6"/>
    </row>
    <row r="97" spans="15:15" x14ac:dyDescent="0.5">
      <c r="O97" s="6"/>
    </row>
    <row r="98" spans="15:15" x14ac:dyDescent="0.5">
      <c r="O98" s="6"/>
    </row>
    <row r="99" spans="15:15" x14ac:dyDescent="0.5">
      <c r="O99" s="6"/>
    </row>
    <row r="100" spans="15:15" x14ac:dyDescent="0.5">
      <c r="O100" s="6"/>
    </row>
    <row r="101" spans="15:15" x14ac:dyDescent="0.5">
      <c r="O101" s="6"/>
    </row>
    <row r="102" spans="15:15" x14ac:dyDescent="0.5">
      <c r="O102" s="6"/>
    </row>
    <row r="103" spans="15:15" x14ac:dyDescent="0.5">
      <c r="O103" s="6"/>
    </row>
    <row r="104" spans="15:15" x14ac:dyDescent="0.5">
      <c r="O104" s="6"/>
    </row>
    <row r="105" spans="15:15" x14ac:dyDescent="0.5">
      <c r="O105" s="6"/>
    </row>
    <row r="106" spans="15:15" x14ac:dyDescent="0.5">
      <c r="O106" s="6"/>
    </row>
    <row r="107" spans="15:15" x14ac:dyDescent="0.5">
      <c r="O107" s="6"/>
    </row>
    <row r="108" spans="15:15" x14ac:dyDescent="0.5">
      <c r="O108" s="6"/>
    </row>
    <row r="109" spans="15:15" x14ac:dyDescent="0.5">
      <c r="O109" s="6"/>
    </row>
    <row r="110" spans="15:15" x14ac:dyDescent="0.5">
      <c r="O110" s="6"/>
    </row>
    <row r="111" spans="15:15" x14ac:dyDescent="0.5">
      <c r="O111" s="6"/>
    </row>
    <row r="112" spans="15:15" x14ac:dyDescent="0.5">
      <c r="O112" s="6"/>
    </row>
    <row r="113" spans="15:15" x14ac:dyDescent="0.5">
      <c r="O113" s="6"/>
    </row>
    <row r="114" spans="15:15" x14ac:dyDescent="0.5">
      <c r="O114" s="6"/>
    </row>
    <row r="115" spans="15:15" x14ac:dyDescent="0.5">
      <c r="O115" s="6"/>
    </row>
    <row r="116" spans="15:15" x14ac:dyDescent="0.5">
      <c r="O116" s="6"/>
    </row>
    <row r="117" spans="15:15" x14ac:dyDescent="0.5">
      <c r="O117" s="6"/>
    </row>
    <row r="118" spans="15:15" x14ac:dyDescent="0.5">
      <c r="O118" s="6"/>
    </row>
    <row r="119" spans="15:15" x14ac:dyDescent="0.5">
      <c r="O119" s="6"/>
    </row>
    <row r="120" spans="15:15" x14ac:dyDescent="0.5">
      <c r="O120" s="6"/>
    </row>
    <row r="121" spans="15:15" x14ac:dyDescent="0.5">
      <c r="O121" s="6"/>
    </row>
    <row r="122" spans="15:15" x14ac:dyDescent="0.5">
      <c r="O122" s="6"/>
    </row>
    <row r="123" spans="15:15" x14ac:dyDescent="0.5">
      <c r="O123" s="6"/>
    </row>
    <row r="124" spans="15:15" x14ac:dyDescent="0.5">
      <c r="O124" s="6"/>
    </row>
    <row r="125" spans="15:15" x14ac:dyDescent="0.5">
      <c r="O125" s="6"/>
    </row>
    <row r="126" spans="15:15" x14ac:dyDescent="0.5">
      <c r="O126" s="6"/>
    </row>
    <row r="127" spans="15:15" x14ac:dyDescent="0.5">
      <c r="O127" s="6"/>
    </row>
    <row r="128" spans="15:15" x14ac:dyDescent="0.5">
      <c r="O128" s="6"/>
    </row>
    <row r="129" spans="15:15" x14ac:dyDescent="0.5">
      <c r="O129" s="6"/>
    </row>
    <row r="130" spans="15:15" x14ac:dyDescent="0.5">
      <c r="O130" s="6"/>
    </row>
    <row r="131" spans="15:15" x14ac:dyDescent="0.5">
      <c r="O131" s="6"/>
    </row>
    <row r="132" spans="15:15" x14ac:dyDescent="0.5">
      <c r="O132" s="6"/>
    </row>
    <row r="133" spans="15:15" x14ac:dyDescent="0.5">
      <c r="O133" s="6"/>
    </row>
    <row r="134" spans="15:15" x14ac:dyDescent="0.5">
      <c r="O134" s="6"/>
    </row>
    <row r="135" spans="15:15" x14ac:dyDescent="0.5">
      <c r="O135" s="6"/>
    </row>
    <row r="136" spans="15:15" x14ac:dyDescent="0.5">
      <c r="O136" s="6"/>
    </row>
    <row r="137" spans="15:15" x14ac:dyDescent="0.5">
      <c r="O137" s="6"/>
    </row>
    <row r="138" spans="15:15" x14ac:dyDescent="0.5">
      <c r="O138" s="6"/>
    </row>
    <row r="139" spans="15:15" x14ac:dyDescent="0.5">
      <c r="O139" s="6"/>
    </row>
    <row r="140" spans="15:15" x14ac:dyDescent="0.5">
      <c r="O140" s="6"/>
    </row>
    <row r="141" spans="15:15" x14ac:dyDescent="0.5">
      <c r="O141" s="6"/>
    </row>
    <row r="142" spans="15:15" x14ac:dyDescent="0.5">
      <c r="O142" s="6"/>
    </row>
    <row r="143" spans="15:15" x14ac:dyDescent="0.5">
      <c r="O143" s="6"/>
    </row>
    <row r="144" spans="15:15" x14ac:dyDescent="0.5">
      <c r="O144" s="6"/>
    </row>
    <row r="145" spans="15:15" x14ac:dyDescent="0.5">
      <c r="O145" s="6"/>
    </row>
    <row r="146" spans="15:15" x14ac:dyDescent="0.5">
      <c r="O146" s="6"/>
    </row>
    <row r="147" spans="15:15" x14ac:dyDescent="0.5">
      <c r="O147" s="6"/>
    </row>
    <row r="148" spans="15:15" x14ac:dyDescent="0.5">
      <c r="O148" s="6"/>
    </row>
    <row r="149" spans="15:15" x14ac:dyDescent="0.5">
      <c r="O149" s="6"/>
    </row>
    <row r="150" spans="15:15" x14ac:dyDescent="0.5">
      <c r="O150" s="6"/>
    </row>
    <row r="151" spans="15:15" x14ac:dyDescent="0.5">
      <c r="O151" s="6"/>
    </row>
    <row r="152" spans="15:15" x14ac:dyDescent="0.5">
      <c r="O152" s="6"/>
    </row>
    <row r="153" spans="15:15" x14ac:dyDescent="0.5">
      <c r="O153" s="6"/>
    </row>
    <row r="154" spans="15:15" x14ac:dyDescent="0.5">
      <c r="O154" s="6"/>
    </row>
    <row r="155" spans="15:15" x14ac:dyDescent="0.5">
      <c r="O155" s="6"/>
    </row>
    <row r="156" spans="15:15" x14ac:dyDescent="0.5">
      <c r="O156" s="6"/>
    </row>
    <row r="157" spans="15:15" x14ac:dyDescent="0.5">
      <c r="O157" s="6"/>
    </row>
    <row r="158" spans="15:15" x14ac:dyDescent="0.5">
      <c r="O158" s="6"/>
    </row>
    <row r="159" spans="15:15" x14ac:dyDescent="0.5">
      <c r="O159" s="6"/>
    </row>
    <row r="160" spans="15:15" x14ac:dyDescent="0.5">
      <c r="O160" s="6"/>
    </row>
    <row r="161" spans="15:15" x14ac:dyDescent="0.5">
      <c r="O161" s="6"/>
    </row>
    <row r="162" spans="15:15" x14ac:dyDescent="0.5">
      <c r="O162" s="6"/>
    </row>
    <row r="163" spans="15:15" x14ac:dyDescent="0.5">
      <c r="O163" s="6"/>
    </row>
    <row r="164" spans="15:15" x14ac:dyDescent="0.5">
      <c r="O164" s="6"/>
    </row>
    <row r="165" spans="15:15" x14ac:dyDescent="0.5">
      <c r="O165" s="6"/>
    </row>
    <row r="166" spans="15:15" x14ac:dyDescent="0.5">
      <c r="O166" s="6"/>
    </row>
    <row r="167" spans="15:15" x14ac:dyDescent="0.5">
      <c r="O167" s="6"/>
    </row>
    <row r="168" spans="15:15" x14ac:dyDescent="0.5">
      <c r="O168" s="6"/>
    </row>
    <row r="169" spans="15:15" x14ac:dyDescent="0.5">
      <c r="O169" s="6"/>
    </row>
    <row r="170" spans="15:15" x14ac:dyDescent="0.5">
      <c r="O170" s="6"/>
    </row>
    <row r="171" spans="15:15" x14ac:dyDescent="0.5">
      <c r="O171" s="6"/>
    </row>
    <row r="172" spans="15:15" x14ac:dyDescent="0.5">
      <c r="O172" s="6"/>
    </row>
    <row r="173" spans="15:15" x14ac:dyDescent="0.5">
      <c r="O173" s="6"/>
    </row>
    <row r="174" spans="15:15" x14ac:dyDescent="0.5">
      <c r="O174" s="6"/>
    </row>
    <row r="175" spans="15:15" x14ac:dyDescent="0.5">
      <c r="O175" s="6"/>
    </row>
    <row r="176" spans="15:15" x14ac:dyDescent="0.5">
      <c r="O176" s="6"/>
    </row>
    <row r="177" spans="15:15" x14ac:dyDescent="0.5">
      <c r="O177" s="6"/>
    </row>
    <row r="178" spans="15:15" x14ac:dyDescent="0.5">
      <c r="O178" s="6"/>
    </row>
    <row r="179" spans="15:15" x14ac:dyDescent="0.5">
      <c r="O179" s="6"/>
    </row>
    <row r="180" spans="15:15" x14ac:dyDescent="0.5">
      <c r="O180" s="6"/>
    </row>
    <row r="181" spans="15:15" x14ac:dyDescent="0.5">
      <c r="O181" s="6"/>
    </row>
    <row r="182" spans="15:15" x14ac:dyDescent="0.5">
      <c r="O182" s="6"/>
    </row>
    <row r="183" spans="15:15" x14ac:dyDescent="0.5">
      <c r="O183" s="6"/>
    </row>
    <row r="184" spans="15:15" x14ac:dyDescent="0.5">
      <c r="O184" s="6"/>
    </row>
    <row r="185" spans="15:15" x14ac:dyDescent="0.5">
      <c r="O185" s="6"/>
    </row>
    <row r="186" spans="15:15" x14ac:dyDescent="0.5">
      <c r="O186" s="6"/>
    </row>
    <row r="187" spans="15:15" x14ac:dyDescent="0.5">
      <c r="O187" s="6"/>
    </row>
    <row r="188" spans="15:15" x14ac:dyDescent="0.5">
      <c r="O188" s="6"/>
    </row>
    <row r="189" spans="15:15" x14ac:dyDescent="0.5">
      <c r="O189" s="6"/>
    </row>
    <row r="190" spans="15:15" x14ac:dyDescent="0.5">
      <c r="O190" s="6"/>
    </row>
    <row r="191" spans="15:15" x14ac:dyDescent="0.5">
      <c r="O191" s="6"/>
    </row>
    <row r="192" spans="15:15" x14ac:dyDescent="0.5">
      <c r="O192" s="6"/>
    </row>
    <row r="193" spans="15:15" x14ac:dyDescent="0.5">
      <c r="O193" s="6"/>
    </row>
    <row r="194" spans="15:15" x14ac:dyDescent="0.5">
      <c r="O194" s="6"/>
    </row>
    <row r="195" spans="15:15" x14ac:dyDescent="0.5">
      <c r="O195" s="6"/>
    </row>
    <row r="196" spans="15:15" x14ac:dyDescent="0.5">
      <c r="O196" s="6"/>
    </row>
    <row r="197" spans="15:15" x14ac:dyDescent="0.5">
      <c r="O197" s="6"/>
    </row>
    <row r="198" spans="15:15" x14ac:dyDescent="0.5">
      <c r="O198" s="6"/>
    </row>
    <row r="199" spans="15:15" x14ac:dyDescent="0.5">
      <c r="O199" s="6"/>
    </row>
    <row r="200" spans="15:15" x14ac:dyDescent="0.5">
      <c r="O200" s="6"/>
    </row>
    <row r="201" spans="15:15" x14ac:dyDescent="0.5">
      <c r="O201" s="6"/>
    </row>
    <row r="202" spans="15:15" x14ac:dyDescent="0.5">
      <c r="O202" s="6"/>
    </row>
    <row r="203" spans="15:15" x14ac:dyDescent="0.5">
      <c r="O203" s="6"/>
    </row>
    <row r="204" spans="15:15" x14ac:dyDescent="0.5">
      <c r="O204" s="6"/>
    </row>
    <row r="205" spans="15:15" x14ac:dyDescent="0.5">
      <c r="O205" s="6"/>
    </row>
    <row r="206" spans="15:15" x14ac:dyDescent="0.5">
      <c r="O206" s="6"/>
    </row>
    <row r="207" spans="15:15" x14ac:dyDescent="0.5">
      <c r="O207" s="6"/>
    </row>
    <row r="208" spans="15:15" x14ac:dyDescent="0.5">
      <c r="O208" s="6"/>
    </row>
    <row r="209" spans="15:15" x14ac:dyDescent="0.5">
      <c r="O209" s="6"/>
    </row>
    <row r="210" spans="15:15" x14ac:dyDescent="0.5">
      <c r="O210" s="6"/>
    </row>
    <row r="211" spans="15:15" x14ac:dyDescent="0.5">
      <c r="O211" s="6"/>
    </row>
    <row r="212" spans="15:15" x14ac:dyDescent="0.5">
      <c r="O212" s="6"/>
    </row>
    <row r="213" spans="15:15" x14ac:dyDescent="0.5">
      <c r="O213" s="6"/>
    </row>
    <row r="214" spans="15:15" x14ac:dyDescent="0.5">
      <c r="O214" s="6"/>
    </row>
    <row r="215" spans="15:15" x14ac:dyDescent="0.5">
      <c r="O215" s="6"/>
    </row>
    <row r="216" spans="15:15" x14ac:dyDescent="0.5">
      <c r="O216" s="6"/>
    </row>
    <row r="217" spans="15:15" x14ac:dyDescent="0.5">
      <c r="O217" s="6"/>
    </row>
    <row r="218" spans="15:15" x14ac:dyDescent="0.5">
      <c r="O218" s="6"/>
    </row>
    <row r="219" spans="15:15" x14ac:dyDescent="0.5">
      <c r="O219" s="6"/>
    </row>
    <row r="220" spans="15:15" x14ac:dyDescent="0.5">
      <c r="O220" s="6"/>
    </row>
    <row r="221" spans="15:15" x14ac:dyDescent="0.5">
      <c r="O221" s="6"/>
    </row>
    <row r="222" spans="15:15" x14ac:dyDescent="0.5">
      <c r="O222" s="6"/>
    </row>
    <row r="223" spans="15:15" x14ac:dyDescent="0.5">
      <c r="O223" s="6"/>
    </row>
    <row r="224" spans="15:15" x14ac:dyDescent="0.5">
      <c r="O224" s="6"/>
    </row>
    <row r="225" spans="15:15" x14ac:dyDescent="0.5">
      <c r="O225" s="6"/>
    </row>
    <row r="226" spans="15:15" x14ac:dyDescent="0.5">
      <c r="O226" s="6"/>
    </row>
    <row r="227" spans="15:15" x14ac:dyDescent="0.5">
      <c r="O227" s="6"/>
    </row>
    <row r="228" spans="15:15" x14ac:dyDescent="0.5">
      <c r="O228" s="6"/>
    </row>
    <row r="229" spans="15:15" x14ac:dyDescent="0.5">
      <c r="O229" s="6"/>
    </row>
    <row r="230" spans="15:15" x14ac:dyDescent="0.5">
      <c r="O230" s="6"/>
    </row>
    <row r="231" spans="15:15" x14ac:dyDescent="0.5">
      <c r="O231" s="6"/>
    </row>
    <row r="232" spans="15:15" x14ac:dyDescent="0.5">
      <c r="O232" s="6"/>
    </row>
    <row r="233" spans="15:15" x14ac:dyDescent="0.5">
      <c r="O233" s="6"/>
    </row>
    <row r="234" spans="15:15" x14ac:dyDescent="0.5">
      <c r="O234" s="6"/>
    </row>
    <row r="235" spans="15:15" x14ac:dyDescent="0.5">
      <c r="O235" s="6"/>
    </row>
    <row r="236" spans="15:15" x14ac:dyDescent="0.5">
      <c r="O236" s="6"/>
    </row>
    <row r="237" spans="15:15" x14ac:dyDescent="0.5">
      <c r="O237" s="6"/>
    </row>
    <row r="238" spans="15:15" x14ac:dyDescent="0.5">
      <c r="O238" s="6"/>
    </row>
    <row r="239" spans="15:15" x14ac:dyDescent="0.5">
      <c r="O239" s="6"/>
    </row>
    <row r="240" spans="15:15" x14ac:dyDescent="0.5">
      <c r="O240" s="6"/>
    </row>
    <row r="241" spans="15:15" x14ac:dyDescent="0.5">
      <c r="O241" s="6"/>
    </row>
    <row r="242" spans="15:15" x14ac:dyDescent="0.5">
      <c r="O242" s="6"/>
    </row>
    <row r="243" spans="15:15" x14ac:dyDescent="0.5">
      <c r="O243" s="6"/>
    </row>
    <row r="244" spans="15:15" x14ac:dyDescent="0.5">
      <c r="O244" s="6"/>
    </row>
    <row r="245" spans="15:15" x14ac:dyDescent="0.5">
      <c r="O245" s="6"/>
    </row>
    <row r="246" spans="15:15" x14ac:dyDescent="0.5">
      <c r="O246" s="6"/>
    </row>
    <row r="247" spans="15:15" x14ac:dyDescent="0.5">
      <c r="O247" s="6"/>
    </row>
    <row r="248" spans="15:15" x14ac:dyDescent="0.5">
      <c r="O248" s="6"/>
    </row>
    <row r="249" spans="15:15" x14ac:dyDescent="0.5">
      <c r="O249" s="6"/>
    </row>
    <row r="250" spans="15:15" x14ac:dyDescent="0.5">
      <c r="O250" s="6"/>
    </row>
    <row r="251" spans="15:15" x14ac:dyDescent="0.5">
      <c r="O251" s="6"/>
    </row>
    <row r="252" spans="15:15" x14ac:dyDescent="0.5">
      <c r="O252" s="6"/>
    </row>
    <row r="253" spans="15:15" x14ac:dyDescent="0.5">
      <c r="O253" s="6"/>
    </row>
    <row r="254" spans="15:15" x14ac:dyDescent="0.5">
      <c r="O254" s="6"/>
    </row>
    <row r="255" spans="15:15" x14ac:dyDescent="0.5">
      <c r="O255" s="6"/>
    </row>
    <row r="256" spans="15:15" x14ac:dyDescent="0.5">
      <c r="O256" s="6"/>
    </row>
    <row r="257" spans="15:15" x14ac:dyDescent="0.5">
      <c r="O257" s="6"/>
    </row>
    <row r="258" spans="15:15" x14ac:dyDescent="0.5">
      <c r="O258" s="6"/>
    </row>
    <row r="259" spans="15:15" x14ac:dyDescent="0.5">
      <c r="O259" s="6"/>
    </row>
    <row r="260" spans="15:15" x14ac:dyDescent="0.5">
      <c r="O260" s="6"/>
    </row>
    <row r="261" spans="15:15" x14ac:dyDescent="0.5">
      <c r="O261" s="6"/>
    </row>
    <row r="262" spans="15:15" x14ac:dyDescent="0.5">
      <c r="O262" s="6"/>
    </row>
    <row r="263" spans="15:15" x14ac:dyDescent="0.5">
      <c r="O263" s="6"/>
    </row>
    <row r="264" spans="15:15" x14ac:dyDescent="0.5">
      <c r="O264" s="6"/>
    </row>
    <row r="265" spans="15:15" x14ac:dyDescent="0.5">
      <c r="O265" s="6"/>
    </row>
    <row r="266" spans="15:15" x14ac:dyDescent="0.5">
      <c r="O266" s="6"/>
    </row>
    <row r="267" spans="15:15" x14ac:dyDescent="0.5">
      <c r="O267" s="6"/>
    </row>
    <row r="268" spans="15:15" x14ac:dyDescent="0.5">
      <c r="O268" s="6"/>
    </row>
    <row r="269" spans="15:15" x14ac:dyDescent="0.5">
      <c r="O269" s="6"/>
    </row>
    <row r="270" spans="15:15" x14ac:dyDescent="0.5">
      <c r="O270" s="6"/>
    </row>
    <row r="271" spans="15:15" x14ac:dyDescent="0.5">
      <c r="O271" s="6"/>
    </row>
    <row r="272" spans="15:15" x14ac:dyDescent="0.5">
      <c r="O272" s="6"/>
    </row>
    <row r="273" spans="15:15" x14ac:dyDescent="0.5">
      <c r="O273" s="6"/>
    </row>
    <row r="274" spans="15:15" x14ac:dyDescent="0.5">
      <c r="O274" s="6"/>
    </row>
    <row r="275" spans="15:15" x14ac:dyDescent="0.5">
      <c r="O275" s="6"/>
    </row>
    <row r="276" spans="15:15" x14ac:dyDescent="0.5">
      <c r="O276" s="6"/>
    </row>
    <row r="277" spans="15:15" x14ac:dyDescent="0.5">
      <c r="O277" s="6"/>
    </row>
    <row r="278" spans="15:15" x14ac:dyDescent="0.5">
      <c r="O278" s="6"/>
    </row>
    <row r="279" spans="15:15" x14ac:dyDescent="0.5">
      <c r="O279" s="6"/>
    </row>
    <row r="280" spans="15:15" x14ac:dyDescent="0.5">
      <c r="O280" s="6"/>
    </row>
    <row r="281" spans="15:15" x14ac:dyDescent="0.5">
      <c r="O281" s="6"/>
    </row>
    <row r="282" spans="15:15" x14ac:dyDescent="0.5">
      <c r="O282" s="6"/>
    </row>
    <row r="283" spans="15:15" x14ac:dyDescent="0.5">
      <c r="O283" s="6"/>
    </row>
    <row r="284" spans="15:15" x14ac:dyDescent="0.5">
      <c r="O284" s="6"/>
    </row>
    <row r="285" spans="15:15" x14ac:dyDescent="0.5">
      <c r="O285" s="6"/>
    </row>
    <row r="286" spans="15:15" x14ac:dyDescent="0.5">
      <c r="O286" s="6"/>
    </row>
    <row r="287" spans="15:15" x14ac:dyDescent="0.5">
      <c r="O287" s="6"/>
    </row>
    <row r="288" spans="15:15" x14ac:dyDescent="0.5">
      <c r="O288" s="6"/>
    </row>
    <row r="289" spans="15:15" x14ac:dyDescent="0.5">
      <c r="O289" s="6"/>
    </row>
    <row r="290" spans="15:15" x14ac:dyDescent="0.5">
      <c r="O290" s="6"/>
    </row>
    <row r="291" spans="15:15" x14ac:dyDescent="0.5">
      <c r="O291" s="6"/>
    </row>
    <row r="292" spans="15:15" x14ac:dyDescent="0.5">
      <c r="O292" s="6"/>
    </row>
    <row r="293" spans="15:15" x14ac:dyDescent="0.5">
      <c r="O293" s="6"/>
    </row>
    <row r="294" spans="15:15" x14ac:dyDescent="0.5">
      <c r="O294" s="6"/>
    </row>
    <row r="295" spans="15:15" x14ac:dyDescent="0.5">
      <c r="O295" s="6"/>
    </row>
    <row r="296" spans="15:15" x14ac:dyDescent="0.5">
      <c r="O296" s="6"/>
    </row>
    <row r="297" spans="15:15" x14ac:dyDescent="0.5">
      <c r="O297" s="6"/>
    </row>
    <row r="298" spans="15:15" x14ac:dyDescent="0.5">
      <c r="O298" s="6"/>
    </row>
    <row r="299" spans="15:15" x14ac:dyDescent="0.5">
      <c r="O299" s="6"/>
    </row>
    <row r="300" spans="15:15" x14ac:dyDescent="0.5">
      <c r="O300" s="6"/>
    </row>
    <row r="301" spans="15:15" x14ac:dyDescent="0.5">
      <c r="O301" s="6"/>
    </row>
    <row r="302" spans="15:15" x14ac:dyDescent="0.5">
      <c r="O302" s="6"/>
    </row>
    <row r="303" spans="15:15" x14ac:dyDescent="0.5">
      <c r="O303" s="6"/>
    </row>
    <row r="304" spans="15:15" x14ac:dyDescent="0.5">
      <c r="O304" s="6"/>
    </row>
    <row r="305" spans="15:15" x14ac:dyDescent="0.5">
      <c r="O305" s="6"/>
    </row>
    <row r="306" spans="15:15" x14ac:dyDescent="0.5">
      <c r="O306" s="6"/>
    </row>
    <row r="307" spans="15:15" x14ac:dyDescent="0.5">
      <c r="O307" s="6"/>
    </row>
    <row r="308" spans="15:15" x14ac:dyDescent="0.5">
      <c r="O308" s="6"/>
    </row>
    <row r="309" spans="15:15" x14ac:dyDescent="0.5">
      <c r="O309" s="6"/>
    </row>
    <row r="310" spans="15:15" x14ac:dyDescent="0.5">
      <c r="O310" s="6"/>
    </row>
    <row r="311" spans="15:15" x14ac:dyDescent="0.5">
      <c r="O311" s="6"/>
    </row>
    <row r="312" spans="15:15" x14ac:dyDescent="0.5">
      <c r="O312" s="6"/>
    </row>
    <row r="313" spans="15:15" x14ac:dyDescent="0.5">
      <c r="O313" s="6"/>
    </row>
    <row r="314" spans="15:15" x14ac:dyDescent="0.5">
      <c r="O314" s="6"/>
    </row>
    <row r="315" spans="15:15" x14ac:dyDescent="0.5">
      <c r="O315" s="6"/>
    </row>
    <row r="316" spans="15:15" x14ac:dyDescent="0.5">
      <c r="O316" s="6"/>
    </row>
    <row r="317" spans="15:15" x14ac:dyDescent="0.5">
      <c r="O317" s="6"/>
    </row>
    <row r="318" spans="15:15" x14ac:dyDescent="0.5">
      <c r="O318" s="6"/>
    </row>
    <row r="319" spans="15:15" x14ac:dyDescent="0.5">
      <c r="O319" s="6"/>
    </row>
    <row r="320" spans="15:15" x14ac:dyDescent="0.5">
      <c r="O320" s="6"/>
    </row>
    <row r="321" spans="15:15" x14ac:dyDescent="0.5">
      <c r="O321" s="6"/>
    </row>
    <row r="322" spans="15:15" x14ac:dyDescent="0.5">
      <c r="O322" s="6"/>
    </row>
    <row r="323" spans="15:15" x14ac:dyDescent="0.5">
      <c r="O323" s="6"/>
    </row>
    <row r="324" spans="15:15" x14ac:dyDescent="0.5">
      <c r="O324" s="6"/>
    </row>
    <row r="325" spans="15:15" x14ac:dyDescent="0.5">
      <c r="O325" s="6"/>
    </row>
    <row r="326" spans="15:15" x14ac:dyDescent="0.5">
      <c r="O326" s="6"/>
    </row>
    <row r="327" spans="15:15" x14ac:dyDescent="0.5">
      <c r="O327" s="6"/>
    </row>
    <row r="328" spans="15:15" x14ac:dyDescent="0.5">
      <c r="O328" s="6"/>
    </row>
    <row r="329" spans="15:15" x14ac:dyDescent="0.5">
      <c r="O329" s="6"/>
    </row>
    <row r="330" spans="15:15" x14ac:dyDescent="0.5">
      <c r="O330" s="6"/>
    </row>
    <row r="331" spans="15:15" x14ac:dyDescent="0.5">
      <c r="O331" s="6"/>
    </row>
    <row r="332" spans="15:15" x14ac:dyDescent="0.5">
      <c r="O332" s="6"/>
    </row>
    <row r="333" spans="15:15" x14ac:dyDescent="0.5">
      <c r="O333" s="6"/>
    </row>
    <row r="334" spans="15:15" x14ac:dyDescent="0.5">
      <c r="O334" s="6"/>
    </row>
    <row r="335" spans="15:15" x14ac:dyDescent="0.5">
      <c r="O335" s="6"/>
    </row>
    <row r="336" spans="15:15" x14ac:dyDescent="0.5">
      <c r="O336" s="6"/>
    </row>
    <row r="337" spans="15:15" x14ac:dyDescent="0.5">
      <c r="O337" s="6"/>
    </row>
    <row r="338" spans="15:15" x14ac:dyDescent="0.5">
      <c r="O338" s="6"/>
    </row>
    <row r="339" spans="15:15" x14ac:dyDescent="0.5">
      <c r="O339" s="6"/>
    </row>
    <row r="340" spans="15:15" x14ac:dyDescent="0.5">
      <c r="O340" s="6"/>
    </row>
    <row r="341" spans="15:15" x14ac:dyDescent="0.5">
      <c r="O341" s="6"/>
    </row>
    <row r="342" spans="15:15" x14ac:dyDescent="0.5">
      <c r="O342" s="6"/>
    </row>
    <row r="343" spans="15:15" x14ac:dyDescent="0.5">
      <c r="O343" s="6"/>
    </row>
    <row r="344" spans="15:15" x14ac:dyDescent="0.5">
      <c r="O344" s="6"/>
    </row>
    <row r="345" spans="15:15" x14ac:dyDescent="0.5">
      <c r="O345" s="6"/>
    </row>
    <row r="346" spans="15:15" x14ac:dyDescent="0.5">
      <c r="O346" s="6"/>
    </row>
    <row r="347" spans="15:15" x14ac:dyDescent="0.5">
      <c r="O347" s="6"/>
    </row>
    <row r="348" spans="15:15" x14ac:dyDescent="0.5">
      <c r="O348" s="6"/>
    </row>
    <row r="349" spans="15:15" x14ac:dyDescent="0.5">
      <c r="O349" s="6"/>
    </row>
    <row r="350" spans="15:15" x14ac:dyDescent="0.5">
      <c r="O350" s="6"/>
    </row>
    <row r="351" spans="15:15" x14ac:dyDescent="0.5">
      <c r="O351" s="6"/>
    </row>
    <row r="352" spans="15:15" x14ac:dyDescent="0.5">
      <c r="O352" s="6"/>
    </row>
    <row r="353" spans="15:15" x14ac:dyDescent="0.5">
      <c r="O353" s="6"/>
    </row>
    <row r="354" spans="15:15" x14ac:dyDescent="0.5">
      <c r="O354" s="6"/>
    </row>
    <row r="355" spans="15:15" x14ac:dyDescent="0.5">
      <c r="O355" s="6"/>
    </row>
    <row r="356" spans="15:15" x14ac:dyDescent="0.5">
      <c r="O356" s="6"/>
    </row>
    <row r="357" spans="15:15" x14ac:dyDescent="0.5">
      <c r="O357" s="6"/>
    </row>
    <row r="358" spans="15:15" x14ac:dyDescent="0.5">
      <c r="O358" s="6"/>
    </row>
    <row r="359" spans="15:15" x14ac:dyDescent="0.5">
      <c r="O359" s="6"/>
    </row>
    <row r="360" spans="15:15" x14ac:dyDescent="0.5">
      <c r="O360" s="6"/>
    </row>
    <row r="361" spans="15:15" x14ac:dyDescent="0.5">
      <c r="O361" s="6"/>
    </row>
    <row r="362" spans="15:15" x14ac:dyDescent="0.5">
      <c r="O362" s="6"/>
    </row>
    <row r="363" spans="15:15" x14ac:dyDescent="0.5">
      <c r="O363" s="6"/>
    </row>
    <row r="364" spans="15:15" x14ac:dyDescent="0.5">
      <c r="O364" s="6"/>
    </row>
    <row r="365" spans="15:15" x14ac:dyDescent="0.5">
      <c r="O365" s="6"/>
    </row>
    <row r="366" spans="15:15" x14ac:dyDescent="0.5">
      <c r="O366" s="6"/>
    </row>
    <row r="367" spans="15:15" x14ac:dyDescent="0.5">
      <c r="O367" s="6"/>
    </row>
    <row r="368" spans="15:15" x14ac:dyDescent="0.5">
      <c r="O368" s="6"/>
    </row>
    <row r="369" spans="15:15" x14ac:dyDescent="0.5">
      <c r="O369" s="6"/>
    </row>
    <row r="370" spans="15:15" x14ac:dyDescent="0.5">
      <c r="O370" s="6"/>
    </row>
    <row r="371" spans="15:15" x14ac:dyDescent="0.5">
      <c r="O371" s="6"/>
    </row>
    <row r="372" spans="15:15" x14ac:dyDescent="0.5">
      <c r="O372" s="6"/>
    </row>
    <row r="373" spans="15:15" x14ac:dyDescent="0.5">
      <c r="O373" s="6"/>
    </row>
    <row r="374" spans="15:15" x14ac:dyDescent="0.5">
      <c r="O374" s="6"/>
    </row>
    <row r="375" spans="15:15" x14ac:dyDescent="0.5">
      <c r="O375" s="6"/>
    </row>
    <row r="376" spans="15:15" x14ac:dyDescent="0.5">
      <c r="O376" s="6"/>
    </row>
    <row r="377" spans="15:15" x14ac:dyDescent="0.5">
      <c r="O377" s="6"/>
    </row>
    <row r="378" spans="15:15" x14ac:dyDescent="0.5">
      <c r="O378" s="6"/>
    </row>
    <row r="379" spans="15:15" x14ac:dyDescent="0.5">
      <c r="O379" s="6"/>
    </row>
    <row r="380" spans="15:15" x14ac:dyDescent="0.5">
      <c r="O380" s="6"/>
    </row>
    <row r="381" spans="15:15" x14ac:dyDescent="0.5">
      <c r="O381" s="6"/>
    </row>
    <row r="382" spans="15:15" x14ac:dyDescent="0.5">
      <c r="O382" s="6"/>
    </row>
    <row r="383" spans="15:15" x14ac:dyDescent="0.5">
      <c r="O383" s="6"/>
    </row>
    <row r="384" spans="15:15" x14ac:dyDescent="0.5">
      <c r="O384" s="6"/>
    </row>
    <row r="385" spans="15:15" x14ac:dyDescent="0.5">
      <c r="O385" s="6"/>
    </row>
    <row r="386" spans="15:15" x14ac:dyDescent="0.5">
      <c r="O386" s="6"/>
    </row>
    <row r="387" spans="15:15" x14ac:dyDescent="0.5">
      <c r="O387" s="6"/>
    </row>
    <row r="388" spans="15:15" x14ac:dyDescent="0.5">
      <c r="O388" s="6"/>
    </row>
    <row r="389" spans="15:15" x14ac:dyDescent="0.5">
      <c r="O389" s="6"/>
    </row>
    <row r="390" spans="15:15" x14ac:dyDescent="0.5">
      <c r="O390" s="6"/>
    </row>
    <row r="391" spans="15:15" x14ac:dyDescent="0.5">
      <c r="O391" s="6"/>
    </row>
    <row r="392" spans="15:15" x14ac:dyDescent="0.5">
      <c r="O392" s="6"/>
    </row>
    <row r="393" spans="15:15" x14ac:dyDescent="0.5">
      <c r="O393" s="6"/>
    </row>
    <row r="394" spans="15:15" x14ac:dyDescent="0.5">
      <c r="O394" s="6"/>
    </row>
    <row r="395" spans="15:15" x14ac:dyDescent="0.5">
      <c r="O395" s="6"/>
    </row>
    <row r="396" spans="15:15" x14ac:dyDescent="0.5">
      <c r="O396" s="6"/>
    </row>
    <row r="397" spans="15:15" x14ac:dyDescent="0.5">
      <c r="O397" s="6"/>
    </row>
    <row r="398" spans="15:15" x14ac:dyDescent="0.5">
      <c r="O398" s="6"/>
    </row>
    <row r="399" spans="15:15" x14ac:dyDescent="0.5">
      <c r="O399" s="6"/>
    </row>
    <row r="400" spans="15:15" x14ac:dyDescent="0.5">
      <c r="O400" s="6"/>
    </row>
    <row r="401" spans="15:15" x14ac:dyDescent="0.5">
      <c r="O401" s="6"/>
    </row>
    <row r="402" spans="15:15" x14ac:dyDescent="0.5">
      <c r="O402" s="6"/>
    </row>
    <row r="403" spans="15:15" x14ac:dyDescent="0.5">
      <c r="O403" s="6"/>
    </row>
    <row r="404" spans="15:15" x14ac:dyDescent="0.5">
      <c r="O404" s="6"/>
    </row>
    <row r="405" spans="15:15" x14ac:dyDescent="0.5">
      <c r="O405" s="6"/>
    </row>
    <row r="406" spans="15:15" x14ac:dyDescent="0.5">
      <c r="O406" s="6"/>
    </row>
    <row r="407" spans="15:15" x14ac:dyDescent="0.5">
      <c r="O407" s="6"/>
    </row>
    <row r="408" spans="15:15" x14ac:dyDescent="0.5">
      <c r="O408" s="6"/>
    </row>
    <row r="409" spans="15:15" x14ac:dyDescent="0.5">
      <c r="O409" s="6"/>
    </row>
    <row r="410" spans="15:15" x14ac:dyDescent="0.5">
      <c r="O410" s="6"/>
    </row>
    <row r="411" spans="15:15" x14ac:dyDescent="0.5">
      <c r="O411" s="6"/>
    </row>
    <row r="412" spans="15:15" x14ac:dyDescent="0.5">
      <c r="O412" s="6"/>
    </row>
    <row r="413" spans="15:15" x14ac:dyDescent="0.5">
      <c r="O413" s="6"/>
    </row>
    <row r="414" spans="15:15" x14ac:dyDescent="0.5">
      <c r="O414" s="6"/>
    </row>
    <row r="415" spans="15:15" x14ac:dyDescent="0.5">
      <c r="O415" s="6"/>
    </row>
    <row r="416" spans="15:15" x14ac:dyDescent="0.5">
      <c r="O416" s="6"/>
    </row>
    <row r="417" spans="15:15" x14ac:dyDescent="0.5">
      <c r="O417" s="6"/>
    </row>
    <row r="418" spans="15:15" x14ac:dyDescent="0.5">
      <c r="O418" s="6"/>
    </row>
    <row r="419" spans="15:15" x14ac:dyDescent="0.5">
      <c r="O419" s="6"/>
    </row>
    <row r="420" spans="15:15" x14ac:dyDescent="0.5">
      <c r="O420" s="6"/>
    </row>
    <row r="421" spans="15:15" x14ac:dyDescent="0.5">
      <c r="O421" s="6"/>
    </row>
    <row r="422" spans="15:15" x14ac:dyDescent="0.5">
      <c r="O422" s="6"/>
    </row>
    <row r="423" spans="15:15" x14ac:dyDescent="0.5">
      <c r="O423" s="6"/>
    </row>
    <row r="424" spans="15:15" x14ac:dyDescent="0.5">
      <c r="O424" s="6"/>
    </row>
    <row r="425" spans="15:15" x14ac:dyDescent="0.5">
      <c r="O425" s="6"/>
    </row>
    <row r="426" spans="15:15" x14ac:dyDescent="0.5">
      <c r="O426" s="6"/>
    </row>
    <row r="427" spans="15:15" x14ac:dyDescent="0.5">
      <c r="O427" s="6"/>
    </row>
    <row r="428" spans="15:15" x14ac:dyDescent="0.5">
      <c r="O428" s="6"/>
    </row>
    <row r="429" spans="15:15" x14ac:dyDescent="0.5">
      <c r="O429" s="6"/>
    </row>
    <row r="430" spans="15:15" x14ac:dyDescent="0.5">
      <c r="O430" s="6"/>
    </row>
    <row r="431" spans="15:15" x14ac:dyDescent="0.5">
      <c r="O431" s="6"/>
    </row>
    <row r="432" spans="15:15" x14ac:dyDescent="0.5">
      <c r="O432" s="6"/>
    </row>
    <row r="433" spans="15:15" x14ac:dyDescent="0.5">
      <c r="O433" s="6"/>
    </row>
    <row r="434" spans="15:15" x14ac:dyDescent="0.5">
      <c r="O434" s="6"/>
    </row>
    <row r="435" spans="15:15" x14ac:dyDescent="0.5">
      <c r="O435" s="6"/>
    </row>
    <row r="436" spans="15:15" x14ac:dyDescent="0.5">
      <c r="O436" s="6"/>
    </row>
    <row r="437" spans="15:15" x14ac:dyDescent="0.5">
      <c r="O437" s="6"/>
    </row>
    <row r="438" spans="15:15" x14ac:dyDescent="0.5">
      <c r="O438" s="6"/>
    </row>
    <row r="439" spans="15:15" x14ac:dyDescent="0.5">
      <c r="O439" s="6"/>
    </row>
    <row r="440" spans="15:15" x14ac:dyDescent="0.5">
      <c r="O440" s="6"/>
    </row>
    <row r="441" spans="15:15" x14ac:dyDescent="0.5">
      <c r="O441" s="6"/>
    </row>
    <row r="442" spans="15:15" x14ac:dyDescent="0.5">
      <c r="O442" s="6"/>
    </row>
    <row r="443" spans="15:15" x14ac:dyDescent="0.5">
      <c r="O443" s="6"/>
    </row>
    <row r="444" spans="15:15" x14ac:dyDescent="0.5">
      <c r="O444" s="6"/>
    </row>
    <row r="445" spans="15:15" x14ac:dyDescent="0.5">
      <c r="O445" s="6"/>
    </row>
    <row r="446" spans="15:15" x14ac:dyDescent="0.5">
      <c r="O446" s="6"/>
    </row>
    <row r="447" spans="15:15" x14ac:dyDescent="0.5">
      <c r="O447" s="6"/>
    </row>
    <row r="448" spans="15:15" x14ac:dyDescent="0.5">
      <c r="O448" s="6"/>
    </row>
    <row r="449" spans="15:15" x14ac:dyDescent="0.5">
      <c r="O449" s="6"/>
    </row>
    <row r="450" spans="15:15" x14ac:dyDescent="0.5">
      <c r="O450" s="6"/>
    </row>
    <row r="451" spans="15:15" x14ac:dyDescent="0.5">
      <c r="O451" s="6"/>
    </row>
    <row r="452" spans="15:15" x14ac:dyDescent="0.5">
      <c r="O452" s="6"/>
    </row>
    <row r="453" spans="15:15" x14ac:dyDescent="0.5">
      <c r="O453" s="6"/>
    </row>
    <row r="454" spans="15:15" x14ac:dyDescent="0.5">
      <c r="O454" s="6"/>
    </row>
    <row r="455" spans="15:15" x14ac:dyDescent="0.5">
      <c r="O455" s="6"/>
    </row>
    <row r="456" spans="15:15" x14ac:dyDescent="0.5">
      <c r="O456" s="6"/>
    </row>
    <row r="457" spans="15:15" x14ac:dyDescent="0.5">
      <c r="O457" s="6"/>
    </row>
    <row r="458" spans="15:15" x14ac:dyDescent="0.5">
      <c r="O458" s="6"/>
    </row>
    <row r="459" spans="15:15" x14ac:dyDescent="0.5">
      <c r="O459" s="6"/>
    </row>
    <row r="460" spans="15:15" x14ac:dyDescent="0.5">
      <c r="O460" s="6"/>
    </row>
    <row r="461" spans="15:15" x14ac:dyDescent="0.5">
      <c r="O461" s="6"/>
    </row>
    <row r="462" spans="15:15" x14ac:dyDescent="0.5">
      <c r="O462" s="6"/>
    </row>
    <row r="463" spans="15:15" x14ac:dyDescent="0.5">
      <c r="O463" s="6"/>
    </row>
    <row r="464" spans="15:15" x14ac:dyDescent="0.5">
      <c r="O464" s="6"/>
    </row>
    <row r="465" spans="15:15" x14ac:dyDescent="0.5">
      <c r="O465" s="6"/>
    </row>
    <row r="466" spans="15:15" x14ac:dyDescent="0.5">
      <c r="O466" s="6"/>
    </row>
    <row r="467" spans="15:15" x14ac:dyDescent="0.5">
      <c r="O467" s="6"/>
    </row>
    <row r="468" spans="15:15" x14ac:dyDescent="0.5">
      <c r="O468" s="6"/>
    </row>
    <row r="469" spans="15:15" x14ac:dyDescent="0.5">
      <c r="O469" s="6"/>
    </row>
    <row r="470" spans="15:15" x14ac:dyDescent="0.5">
      <c r="O470" s="6"/>
    </row>
    <row r="471" spans="15:15" x14ac:dyDescent="0.5">
      <c r="O471" s="6"/>
    </row>
    <row r="472" spans="15:15" x14ac:dyDescent="0.5">
      <c r="O472" s="6"/>
    </row>
    <row r="473" spans="15:15" x14ac:dyDescent="0.5">
      <c r="O473" s="6"/>
    </row>
    <row r="474" spans="15:15" x14ac:dyDescent="0.5">
      <c r="O474" s="6"/>
    </row>
    <row r="475" spans="15:15" x14ac:dyDescent="0.5">
      <c r="O475" s="6"/>
    </row>
    <row r="476" spans="15:15" x14ac:dyDescent="0.5">
      <c r="O476" s="6"/>
    </row>
    <row r="477" spans="15:15" x14ac:dyDescent="0.5">
      <c r="O477" s="6"/>
    </row>
    <row r="478" spans="15:15" x14ac:dyDescent="0.5">
      <c r="O478" s="6"/>
    </row>
    <row r="479" spans="15:15" x14ac:dyDescent="0.5">
      <c r="O479" s="6"/>
    </row>
    <row r="480" spans="15:15" x14ac:dyDescent="0.5">
      <c r="O480" s="6"/>
    </row>
    <row r="481" spans="15:15" x14ac:dyDescent="0.5">
      <c r="O481" s="6"/>
    </row>
    <row r="482" spans="15:15" x14ac:dyDescent="0.5">
      <c r="O482" s="6"/>
    </row>
    <row r="483" spans="15:15" x14ac:dyDescent="0.5">
      <c r="O483" s="6"/>
    </row>
    <row r="484" spans="15:15" x14ac:dyDescent="0.5">
      <c r="O484" s="6"/>
    </row>
    <row r="485" spans="15:15" x14ac:dyDescent="0.5">
      <c r="O485" s="6"/>
    </row>
    <row r="486" spans="15:15" x14ac:dyDescent="0.5">
      <c r="O486" s="6"/>
    </row>
    <row r="487" spans="15:15" x14ac:dyDescent="0.5">
      <c r="O487" s="6"/>
    </row>
    <row r="488" spans="15:15" x14ac:dyDescent="0.5">
      <c r="O488" s="6"/>
    </row>
    <row r="489" spans="15:15" x14ac:dyDescent="0.5">
      <c r="O489" s="6"/>
    </row>
    <row r="490" spans="15:15" x14ac:dyDescent="0.5">
      <c r="O490" s="6"/>
    </row>
    <row r="491" spans="15:15" x14ac:dyDescent="0.5">
      <c r="O491" s="6"/>
    </row>
    <row r="492" spans="15:15" x14ac:dyDescent="0.5">
      <c r="O492" s="6"/>
    </row>
    <row r="493" spans="15:15" x14ac:dyDescent="0.5">
      <c r="O493" s="6"/>
    </row>
    <row r="494" spans="15:15" x14ac:dyDescent="0.5">
      <c r="O494" s="6"/>
    </row>
    <row r="495" spans="15:15" x14ac:dyDescent="0.5">
      <c r="O495" s="6"/>
    </row>
    <row r="496" spans="15:15" x14ac:dyDescent="0.5">
      <c r="O496" s="6"/>
    </row>
    <row r="497" spans="15:15" x14ac:dyDescent="0.5">
      <c r="O497" s="6"/>
    </row>
    <row r="498" spans="15:15" x14ac:dyDescent="0.5">
      <c r="O498" s="6"/>
    </row>
    <row r="499" spans="15:15" x14ac:dyDescent="0.5">
      <c r="O499" s="6"/>
    </row>
    <row r="500" spans="15:15" x14ac:dyDescent="0.5">
      <c r="O500" s="6"/>
    </row>
    <row r="501" spans="15:15" x14ac:dyDescent="0.5">
      <c r="O501" s="6"/>
    </row>
    <row r="502" spans="15:15" x14ac:dyDescent="0.5">
      <c r="O502" s="6"/>
    </row>
    <row r="503" spans="15:15" x14ac:dyDescent="0.5">
      <c r="O503" s="6"/>
    </row>
    <row r="504" spans="15:15" x14ac:dyDescent="0.5">
      <c r="O504" s="6"/>
    </row>
    <row r="505" spans="15:15" x14ac:dyDescent="0.5">
      <c r="O505" s="6"/>
    </row>
    <row r="506" spans="15:15" x14ac:dyDescent="0.5">
      <c r="O506" s="6"/>
    </row>
    <row r="507" spans="15:15" x14ac:dyDescent="0.5">
      <c r="O507" s="6"/>
    </row>
    <row r="508" spans="15:15" x14ac:dyDescent="0.5">
      <c r="O508" s="6"/>
    </row>
    <row r="509" spans="15:15" x14ac:dyDescent="0.5">
      <c r="O509" s="6"/>
    </row>
    <row r="510" spans="15:15" x14ac:dyDescent="0.5">
      <c r="O510" s="6"/>
    </row>
    <row r="511" spans="15:15" x14ac:dyDescent="0.5">
      <c r="O511" s="6"/>
    </row>
    <row r="512" spans="15:15" x14ac:dyDescent="0.5">
      <c r="O512" s="6"/>
    </row>
    <row r="513" spans="15:15" x14ac:dyDescent="0.5">
      <c r="O513" s="6"/>
    </row>
    <row r="514" spans="15:15" x14ac:dyDescent="0.5">
      <c r="O514" s="6"/>
    </row>
    <row r="515" spans="15:15" x14ac:dyDescent="0.5">
      <c r="O515" s="6"/>
    </row>
    <row r="516" spans="15:15" x14ac:dyDescent="0.5">
      <c r="O516" s="6"/>
    </row>
    <row r="517" spans="15:15" x14ac:dyDescent="0.5">
      <c r="O517" s="6"/>
    </row>
    <row r="518" spans="15:15" x14ac:dyDescent="0.5">
      <c r="O518" s="6"/>
    </row>
    <row r="519" spans="15:15" x14ac:dyDescent="0.5">
      <c r="O519" s="6"/>
    </row>
    <row r="520" spans="15:15" x14ac:dyDescent="0.5">
      <c r="O520" s="6"/>
    </row>
    <row r="521" spans="15:15" x14ac:dyDescent="0.5">
      <c r="O521" s="6"/>
    </row>
    <row r="522" spans="15:15" x14ac:dyDescent="0.5">
      <c r="O522" s="6"/>
    </row>
    <row r="523" spans="15:15" x14ac:dyDescent="0.5">
      <c r="O523" s="6"/>
    </row>
    <row r="524" spans="15:15" x14ac:dyDescent="0.5">
      <c r="O524" s="6"/>
    </row>
    <row r="525" spans="15:15" x14ac:dyDescent="0.5">
      <c r="O525" s="6"/>
    </row>
    <row r="526" spans="15:15" x14ac:dyDescent="0.5">
      <c r="O526" s="6"/>
    </row>
    <row r="527" spans="15:15" x14ac:dyDescent="0.5">
      <c r="O527" s="6"/>
    </row>
    <row r="528" spans="15:15" x14ac:dyDescent="0.5">
      <c r="O528" s="6"/>
    </row>
    <row r="529" spans="15:15" x14ac:dyDescent="0.5">
      <c r="O529" s="6"/>
    </row>
    <row r="530" spans="15:15" x14ac:dyDescent="0.5">
      <c r="O530" s="6"/>
    </row>
    <row r="531" spans="15:15" x14ac:dyDescent="0.5">
      <c r="O531" s="6"/>
    </row>
    <row r="532" spans="15:15" x14ac:dyDescent="0.5">
      <c r="O532" s="6"/>
    </row>
    <row r="533" spans="15:15" x14ac:dyDescent="0.5">
      <c r="O533" s="6"/>
    </row>
    <row r="534" spans="15:15" x14ac:dyDescent="0.5">
      <c r="O534" s="6"/>
    </row>
    <row r="535" spans="15:15" x14ac:dyDescent="0.5">
      <c r="O535" s="6"/>
    </row>
    <row r="536" spans="15:15" x14ac:dyDescent="0.5">
      <c r="O536" s="6"/>
    </row>
    <row r="537" spans="15:15" x14ac:dyDescent="0.5">
      <c r="O537" s="6"/>
    </row>
    <row r="538" spans="15:15" x14ac:dyDescent="0.5">
      <c r="O538" s="6"/>
    </row>
    <row r="539" spans="15:15" x14ac:dyDescent="0.5">
      <c r="O539" s="6"/>
    </row>
    <row r="540" spans="15:15" x14ac:dyDescent="0.5">
      <c r="O540" s="6"/>
    </row>
    <row r="541" spans="15:15" x14ac:dyDescent="0.5">
      <c r="O541" s="6"/>
    </row>
    <row r="542" spans="15:15" x14ac:dyDescent="0.5">
      <c r="O542" s="6"/>
    </row>
    <row r="543" spans="15:15" x14ac:dyDescent="0.5">
      <c r="O543" s="6"/>
    </row>
    <row r="544" spans="15:15" x14ac:dyDescent="0.5">
      <c r="O544" s="6"/>
    </row>
    <row r="545" spans="15:15" x14ac:dyDescent="0.5">
      <c r="O545" s="6"/>
    </row>
    <row r="546" spans="15:15" x14ac:dyDescent="0.5">
      <c r="O546" s="6"/>
    </row>
    <row r="547" spans="15:15" x14ac:dyDescent="0.5">
      <c r="O547" s="6"/>
    </row>
    <row r="548" spans="15:15" x14ac:dyDescent="0.5">
      <c r="O548" s="6"/>
    </row>
    <row r="549" spans="15:15" x14ac:dyDescent="0.5">
      <c r="O549" s="6"/>
    </row>
    <row r="550" spans="15:15" x14ac:dyDescent="0.5">
      <c r="O550" s="6"/>
    </row>
    <row r="551" spans="15:15" x14ac:dyDescent="0.5">
      <c r="O551" s="6"/>
    </row>
    <row r="552" spans="15:15" x14ac:dyDescent="0.5">
      <c r="O552" s="6"/>
    </row>
    <row r="553" spans="15:15" x14ac:dyDescent="0.5">
      <c r="O553" s="6"/>
    </row>
    <row r="554" spans="15:15" x14ac:dyDescent="0.5">
      <c r="O554" s="6"/>
    </row>
    <row r="555" spans="15:15" x14ac:dyDescent="0.5">
      <c r="O555" s="6"/>
    </row>
    <row r="556" spans="15:15" x14ac:dyDescent="0.5">
      <c r="O556" s="6"/>
    </row>
    <row r="557" spans="15:15" x14ac:dyDescent="0.5">
      <c r="O557" s="6"/>
    </row>
    <row r="558" spans="15:15" x14ac:dyDescent="0.5">
      <c r="O558" s="6"/>
    </row>
    <row r="559" spans="15:15" x14ac:dyDescent="0.5">
      <c r="O559" s="6"/>
    </row>
    <row r="560" spans="15:15" x14ac:dyDescent="0.5">
      <c r="O560" s="6"/>
    </row>
    <row r="561" spans="15:15" x14ac:dyDescent="0.5">
      <c r="O561" s="6"/>
    </row>
    <row r="562" spans="15:15" x14ac:dyDescent="0.5">
      <c r="O562" s="6"/>
    </row>
    <row r="563" spans="15:15" x14ac:dyDescent="0.5">
      <c r="O563" s="6"/>
    </row>
    <row r="564" spans="15:15" x14ac:dyDescent="0.5">
      <c r="O564" s="6"/>
    </row>
    <row r="565" spans="15:15" x14ac:dyDescent="0.5">
      <c r="O565" s="6"/>
    </row>
    <row r="566" spans="15:15" x14ac:dyDescent="0.5">
      <c r="O566" s="6"/>
    </row>
    <row r="567" spans="15:15" x14ac:dyDescent="0.5">
      <c r="O567" s="6"/>
    </row>
    <row r="568" spans="15:15" x14ac:dyDescent="0.5">
      <c r="O568" s="6"/>
    </row>
    <row r="569" spans="15:15" x14ac:dyDescent="0.5">
      <c r="O569" s="6"/>
    </row>
    <row r="570" spans="15:15" x14ac:dyDescent="0.5">
      <c r="O570" s="6"/>
    </row>
    <row r="571" spans="15:15" x14ac:dyDescent="0.5">
      <c r="O571" s="6"/>
    </row>
    <row r="572" spans="15:15" x14ac:dyDescent="0.5">
      <c r="O572" s="6"/>
    </row>
    <row r="573" spans="15:15" x14ac:dyDescent="0.5">
      <c r="O573" s="6"/>
    </row>
    <row r="574" spans="15:15" x14ac:dyDescent="0.5">
      <c r="O574" s="6"/>
    </row>
    <row r="575" spans="15:15" x14ac:dyDescent="0.5">
      <c r="O575" s="6"/>
    </row>
    <row r="576" spans="15:15" x14ac:dyDescent="0.5">
      <c r="O576" s="6"/>
    </row>
    <row r="577" spans="15:15" x14ac:dyDescent="0.5">
      <c r="O577" s="6"/>
    </row>
    <row r="578" spans="15:15" x14ac:dyDescent="0.5">
      <c r="O578" s="6"/>
    </row>
    <row r="579" spans="15:15" x14ac:dyDescent="0.5">
      <c r="O579" s="6"/>
    </row>
    <row r="580" spans="15:15" x14ac:dyDescent="0.5">
      <c r="O580" s="6"/>
    </row>
    <row r="581" spans="15:15" x14ac:dyDescent="0.5">
      <c r="O581" s="6"/>
    </row>
    <row r="582" spans="15:15" x14ac:dyDescent="0.5">
      <c r="O582" s="6"/>
    </row>
    <row r="583" spans="15:15" x14ac:dyDescent="0.5">
      <c r="O583" s="6"/>
    </row>
    <row r="584" spans="15:15" x14ac:dyDescent="0.5">
      <c r="O584" s="6"/>
    </row>
    <row r="585" spans="15:15" x14ac:dyDescent="0.5">
      <c r="O585" s="6"/>
    </row>
    <row r="586" spans="15:15" x14ac:dyDescent="0.5">
      <c r="O586" s="6"/>
    </row>
    <row r="587" spans="15:15" x14ac:dyDescent="0.5">
      <c r="O587" s="6"/>
    </row>
    <row r="588" spans="15:15" x14ac:dyDescent="0.5">
      <c r="O588" s="6"/>
    </row>
    <row r="589" spans="15:15" x14ac:dyDescent="0.5">
      <c r="O589" s="6"/>
    </row>
    <row r="590" spans="15:15" x14ac:dyDescent="0.5">
      <c r="O590" s="6"/>
    </row>
    <row r="591" spans="15:15" x14ac:dyDescent="0.5">
      <c r="O591" s="6"/>
    </row>
    <row r="592" spans="15:15" x14ac:dyDescent="0.5">
      <c r="O592" s="6"/>
    </row>
    <row r="593" spans="15:15" x14ac:dyDescent="0.5">
      <c r="O593" s="6"/>
    </row>
    <row r="594" spans="15:15" x14ac:dyDescent="0.5">
      <c r="O594" s="6"/>
    </row>
    <row r="595" spans="15:15" x14ac:dyDescent="0.5">
      <c r="O595" s="6"/>
    </row>
    <row r="596" spans="15:15" x14ac:dyDescent="0.5">
      <c r="O596" s="6"/>
    </row>
    <row r="597" spans="15:15" x14ac:dyDescent="0.5">
      <c r="O597" s="6"/>
    </row>
    <row r="598" spans="15:15" x14ac:dyDescent="0.5">
      <c r="O598" s="6"/>
    </row>
    <row r="599" spans="15:15" x14ac:dyDescent="0.5">
      <c r="O599" s="6"/>
    </row>
    <row r="600" spans="15:15" x14ac:dyDescent="0.5">
      <c r="O600" s="6"/>
    </row>
    <row r="601" spans="15:15" x14ac:dyDescent="0.5">
      <c r="O601" s="6"/>
    </row>
    <row r="602" spans="15:15" x14ac:dyDescent="0.5">
      <c r="O602" s="6"/>
    </row>
    <row r="603" spans="15:15" x14ac:dyDescent="0.5">
      <c r="O603" s="6"/>
    </row>
    <row r="604" spans="15:15" x14ac:dyDescent="0.5">
      <c r="O604" s="6"/>
    </row>
    <row r="605" spans="15:15" x14ac:dyDescent="0.5">
      <c r="O605" s="6"/>
    </row>
    <row r="606" spans="15:15" x14ac:dyDescent="0.5">
      <c r="O606" s="6"/>
    </row>
    <row r="607" spans="15:15" x14ac:dyDescent="0.5">
      <c r="O607" s="6"/>
    </row>
    <row r="608" spans="15:15" x14ac:dyDescent="0.5">
      <c r="O608" s="6"/>
    </row>
    <row r="609" spans="15:15" x14ac:dyDescent="0.5">
      <c r="O609" s="6"/>
    </row>
    <row r="610" spans="15:15" x14ac:dyDescent="0.5">
      <c r="O610" s="6"/>
    </row>
    <row r="611" spans="15:15" x14ac:dyDescent="0.5">
      <c r="O611" s="6"/>
    </row>
    <row r="612" spans="15:15" x14ac:dyDescent="0.5">
      <c r="O612" s="6"/>
    </row>
    <row r="613" spans="15:15" x14ac:dyDescent="0.5">
      <c r="O613" s="6"/>
    </row>
    <row r="614" spans="15:15" x14ac:dyDescent="0.5">
      <c r="O614" s="6"/>
    </row>
    <row r="615" spans="15:15" x14ac:dyDescent="0.5">
      <c r="O615" s="6"/>
    </row>
    <row r="616" spans="15:15" x14ac:dyDescent="0.5">
      <c r="O616" s="6"/>
    </row>
    <row r="617" spans="15:15" x14ac:dyDescent="0.5">
      <c r="O617" s="6"/>
    </row>
    <row r="618" spans="15:15" x14ac:dyDescent="0.5">
      <c r="O618" s="6"/>
    </row>
    <row r="619" spans="15:15" x14ac:dyDescent="0.5">
      <c r="O619" s="6"/>
    </row>
    <row r="620" spans="15:15" x14ac:dyDescent="0.5">
      <c r="O620" s="6"/>
    </row>
    <row r="621" spans="15:15" x14ac:dyDescent="0.5">
      <c r="O621" s="6"/>
    </row>
    <row r="622" spans="15:15" x14ac:dyDescent="0.5">
      <c r="O622" s="6"/>
    </row>
    <row r="623" spans="15:15" x14ac:dyDescent="0.5">
      <c r="O623" s="6"/>
    </row>
    <row r="624" spans="15:15" x14ac:dyDescent="0.5">
      <c r="O624" s="6"/>
    </row>
    <row r="625" spans="15:15" x14ac:dyDescent="0.5">
      <c r="O625" s="6"/>
    </row>
    <row r="626" spans="15:15" x14ac:dyDescent="0.5">
      <c r="O626" s="6"/>
    </row>
    <row r="627" spans="15:15" x14ac:dyDescent="0.5">
      <c r="O627" s="6"/>
    </row>
    <row r="628" spans="15:15" x14ac:dyDescent="0.5">
      <c r="O628" s="6"/>
    </row>
    <row r="629" spans="15:15" x14ac:dyDescent="0.5">
      <c r="O629" s="6"/>
    </row>
    <row r="630" spans="15:15" x14ac:dyDescent="0.5">
      <c r="O630" s="6"/>
    </row>
    <row r="631" spans="15:15" x14ac:dyDescent="0.5">
      <c r="O631" s="6"/>
    </row>
    <row r="632" spans="15:15" x14ac:dyDescent="0.5">
      <c r="O632" s="6"/>
    </row>
    <row r="633" spans="15:15" x14ac:dyDescent="0.5">
      <c r="O633" s="6"/>
    </row>
    <row r="634" spans="15:15" x14ac:dyDescent="0.5">
      <c r="O634" s="6"/>
    </row>
    <row r="635" spans="15:15" x14ac:dyDescent="0.5">
      <c r="O635" s="6"/>
    </row>
    <row r="636" spans="15:15" x14ac:dyDescent="0.5">
      <c r="O636" s="6"/>
    </row>
    <row r="637" spans="15:15" x14ac:dyDescent="0.5">
      <c r="O637" s="6"/>
    </row>
    <row r="638" spans="15:15" x14ac:dyDescent="0.5">
      <c r="O638" s="6"/>
    </row>
    <row r="639" spans="15:15" x14ac:dyDescent="0.5">
      <c r="O639" s="6"/>
    </row>
    <row r="640" spans="15:15" x14ac:dyDescent="0.5">
      <c r="O640" s="6"/>
    </row>
    <row r="641" spans="15:15" x14ac:dyDescent="0.5">
      <c r="O641" s="6"/>
    </row>
    <row r="642" spans="15:15" x14ac:dyDescent="0.5">
      <c r="O642" s="6"/>
    </row>
    <row r="643" spans="15:15" x14ac:dyDescent="0.5">
      <c r="O643" s="6"/>
    </row>
    <row r="644" spans="15:15" x14ac:dyDescent="0.5">
      <c r="O644" s="6"/>
    </row>
    <row r="645" spans="15:15" x14ac:dyDescent="0.5">
      <c r="O645" s="6"/>
    </row>
    <row r="646" spans="15:15" x14ac:dyDescent="0.5">
      <c r="O646" s="6"/>
    </row>
    <row r="647" spans="15:15" x14ac:dyDescent="0.5">
      <c r="O647" s="6"/>
    </row>
    <row r="648" spans="15:15" x14ac:dyDescent="0.5">
      <c r="O648" s="6"/>
    </row>
    <row r="649" spans="15:15" x14ac:dyDescent="0.5">
      <c r="O649" s="6"/>
    </row>
    <row r="650" spans="15:15" x14ac:dyDescent="0.5">
      <c r="O650" s="6"/>
    </row>
    <row r="651" spans="15:15" x14ac:dyDescent="0.5">
      <c r="O651" s="6"/>
    </row>
    <row r="652" spans="15:15" x14ac:dyDescent="0.5">
      <c r="O652" s="6"/>
    </row>
    <row r="653" spans="15:15" x14ac:dyDescent="0.5">
      <c r="O653" s="6"/>
    </row>
    <row r="654" spans="15:15" x14ac:dyDescent="0.5">
      <c r="O654" s="6"/>
    </row>
    <row r="655" spans="15:15" x14ac:dyDescent="0.5">
      <c r="O655" s="6"/>
    </row>
    <row r="656" spans="15:15" x14ac:dyDescent="0.5">
      <c r="O656" s="6"/>
    </row>
    <row r="657" spans="15:15" x14ac:dyDescent="0.5">
      <c r="O657" s="6"/>
    </row>
    <row r="658" spans="15:15" x14ac:dyDescent="0.5">
      <c r="O658" s="6"/>
    </row>
    <row r="659" spans="15:15" x14ac:dyDescent="0.5">
      <c r="O659" s="6"/>
    </row>
    <row r="660" spans="15:15" x14ac:dyDescent="0.5">
      <c r="O660" s="6"/>
    </row>
    <row r="661" spans="15:15" x14ac:dyDescent="0.5">
      <c r="O661" s="6"/>
    </row>
    <row r="662" spans="15:15" x14ac:dyDescent="0.5">
      <c r="O662" s="6"/>
    </row>
    <row r="663" spans="15:15" x14ac:dyDescent="0.5">
      <c r="O663" s="6"/>
    </row>
    <row r="664" spans="15:15" x14ac:dyDescent="0.5">
      <c r="O664" s="6"/>
    </row>
    <row r="665" spans="15:15" x14ac:dyDescent="0.5">
      <c r="O665" s="6"/>
    </row>
    <row r="666" spans="15:15" x14ac:dyDescent="0.5">
      <c r="O666" s="6"/>
    </row>
    <row r="667" spans="15:15" x14ac:dyDescent="0.5">
      <c r="O667" s="6"/>
    </row>
    <row r="668" spans="15:15" x14ac:dyDescent="0.5">
      <c r="O668" s="6"/>
    </row>
    <row r="669" spans="15:15" x14ac:dyDescent="0.5">
      <c r="O669" s="6"/>
    </row>
    <row r="670" spans="15:15" x14ac:dyDescent="0.5">
      <c r="O670" s="6"/>
    </row>
    <row r="671" spans="15:15" x14ac:dyDescent="0.5">
      <c r="O671" s="6"/>
    </row>
    <row r="672" spans="15:15" x14ac:dyDescent="0.5">
      <c r="O672" s="6"/>
    </row>
    <row r="673" spans="15:15" x14ac:dyDescent="0.5">
      <c r="O673" s="6"/>
    </row>
    <row r="674" spans="15:15" x14ac:dyDescent="0.5">
      <c r="O674" s="6"/>
    </row>
    <row r="675" spans="15:15" x14ac:dyDescent="0.5">
      <c r="O675" s="6"/>
    </row>
    <row r="676" spans="15:15" x14ac:dyDescent="0.5">
      <c r="O676" s="6"/>
    </row>
    <row r="677" spans="15:15" x14ac:dyDescent="0.5">
      <c r="O677" s="6"/>
    </row>
    <row r="678" spans="15:15" x14ac:dyDescent="0.5">
      <c r="O678" s="6"/>
    </row>
    <row r="679" spans="15:15" x14ac:dyDescent="0.5">
      <c r="O679" s="6"/>
    </row>
    <row r="680" spans="15:15" x14ac:dyDescent="0.5">
      <c r="O680" s="6"/>
    </row>
    <row r="681" spans="15:15" x14ac:dyDescent="0.5">
      <c r="O681" s="6"/>
    </row>
    <row r="682" spans="15:15" x14ac:dyDescent="0.5">
      <c r="O682" s="6"/>
    </row>
    <row r="683" spans="15:15" x14ac:dyDescent="0.5">
      <c r="O683" s="6"/>
    </row>
    <row r="684" spans="15:15" x14ac:dyDescent="0.5">
      <c r="O684" s="6"/>
    </row>
    <row r="685" spans="15:15" x14ac:dyDescent="0.5">
      <c r="O685" s="6"/>
    </row>
    <row r="686" spans="15:15" x14ac:dyDescent="0.5">
      <c r="O686" s="6"/>
    </row>
    <row r="687" spans="15:15" x14ac:dyDescent="0.5">
      <c r="O687" s="6"/>
    </row>
    <row r="688" spans="15:15" x14ac:dyDescent="0.5">
      <c r="O688" s="6"/>
    </row>
    <row r="689" spans="15:15" x14ac:dyDescent="0.5">
      <c r="O689" s="6"/>
    </row>
    <row r="690" spans="15:15" x14ac:dyDescent="0.5">
      <c r="O690" s="6"/>
    </row>
    <row r="691" spans="15:15" x14ac:dyDescent="0.5">
      <c r="O691" s="6"/>
    </row>
    <row r="692" spans="15:15" x14ac:dyDescent="0.5">
      <c r="O692" s="6"/>
    </row>
    <row r="693" spans="15:15" x14ac:dyDescent="0.5">
      <c r="O693" s="6"/>
    </row>
    <row r="694" spans="15:15" x14ac:dyDescent="0.5">
      <c r="O694" s="6"/>
    </row>
    <row r="695" spans="15:15" x14ac:dyDescent="0.5">
      <c r="O695" s="6"/>
    </row>
    <row r="696" spans="15:15" x14ac:dyDescent="0.5">
      <c r="O696" s="6"/>
    </row>
    <row r="697" spans="15:15" x14ac:dyDescent="0.5">
      <c r="O697" s="6"/>
    </row>
    <row r="698" spans="15:15" x14ac:dyDescent="0.5">
      <c r="O698" s="6"/>
    </row>
    <row r="699" spans="15:15" x14ac:dyDescent="0.5">
      <c r="O699" s="6"/>
    </row>
    <row r="700" spans="15:15" x14ac:dyDescent="0.5">
      <c r="O700" s="6"/>
    </row>
    <row r="701" spans="15:15" x14ac:dyDescent="0.5">
      <c r="O701" s="6"/>
    </row>
    <row r="702" spans="15:15" x14ac:dyDescent="0.5">
      <c r="O702" s="6"/>
    </row>
    <row r="703" spans="15:15" x14ac:dyDescent="0.5">
      <c r="O703" s="6"/>
    </row>
    <row r="704" spans="15:15" x14ac:dyDescent="0.5">
      <c r="O704" s="6"/>
    </row>
    <row r="705" spans="15:15" x14ac:dyDescent="0.5">
      <c r="O705" s="6"/>
    </row>
    <row r="706" spans="15:15" x14ac:dyDescent="0.5">
      <c r="O706" s="6"/>
    </row>
    <row r="707" spans="15:15" x14ac:dyDescent="0.5">
      <c r="O707" s="6"/>
    </row>
    <row r="708" spans="15:15" x14ac:dyDescent="0.5">
      <c r="O708" s="6"/>
    </row>
    <row r="709" spans="15:15" x14ac:dyDescent="0.5">
      <c r="O709" s="6"/>
    </row>
    <row r="710" spans="15:15" x14ac:dyDescent="0.5">
      <c r="O710" s="6"/>
    </row>
    <row r="711" spans="15:15" x14ac:dyDescent="0.5">
      <c r="O711" s="6"/>
    </row>
    <row r="712" spans="15:15" x14ac:dyDescent="0.5">
      <c r="O712" s="6"/>
    </row>
    <row r="713" spans="15:15" x14ac:dyDescent="0.5">
      <c r="O713" s="6"/>
    </row>
    <row r="714" spans="15:15" x14ac:dyDescent="0.5">
      <c r="O714" s="6"/>
    </row>
    <row r="715" spans="15:15" x14ac:dyDescent="0.5">
      <c r="O715" s="6"/>
    </row>
    <row r="716" spans="15:15" x14ac:dyDescent="0.5">
      <c r="O716" s="6"/>
    </row>
    <row r="717" spans="15:15" x14ac:dyDescent="0.5">
      <c r="O717" s="6"/>
    </row>
    <row r="718" spans="15:15" x14ac:dyDescent="0.5">
      <c r="O718" s="6"/>
    </row>
    <row r="719" spans="15:15" x14ac:dyDescent="0.5">
      <c r="O719" s="6"/>
    </row>
    <row r="720" spans="15:15" x14ac:dyDescent="0.5">
      <c r="O720" s="6"/>
    </row>
    <row r="721" spans="15:15" x14ac:dyDescent="0.5">
      <c r="O721" s="6"/>
    </row>
    <row r="722" spans="15:15" x14ac:dyDescent="0.5">
      <c r="O722" s="6"/>
    </row>
    <row r="723" spans="15:15" x14ac:dyDescent="0.5">
      <c r="O723" s="6"/>
    </row>
    <row r="724" spans="15:15" x14ac:dyDescent="0.5">
      <c r="O724" s="6"/>
    </row>
    <row r="725" spans="15:15" x14ac:dyDescent="0.5">
      <c r="O725" s="6"/>
    </row>
    <row r="726" spans="15:15" x14ac:dyDescent="0.5">
      <c r="O726" s="6"/>
    </row>
    <row r="727" spans="15:15" x14ac:dyDescent="0.5">
      <c r="O727" s="6"/>
    </row>
    <row r="728" spans="15:15" x14ac:dyDescent="0.5">
      <c r="O728" s="6"/>
    </row>
    <row r="729" spans="15:15" x14ac:dyDescent="0.5">
      <c r="O729" s="6"/>
    </row>
    <row r="730" spans="15:15" x14ac:dyDescent="0.5">
      <c r="O730" s="6"/>
    </row>
    <row r="731" spans="15:15" x14ac:dyDescent="0.5">
      <c r="O731" s="6"/>
    </row>
    <row r="732" spans="15:15" x14ac:dyDescent="0.5">
      <c r="O732" s="6"/>
    </row>
    <row r="733" spans="15:15" x14ac:dyDescent="0.5">
      <c r="O733" s="6"/>
    </row>
    <row r="734" spans="15:15" x14ac:dyDescent="0.5">
      <c r="O734" s="6"/>
    </row>
    <row r="735" spans="15:15" x14ac:dyDescent="0.5">
      <c r="O735" s="6"/>
    </row>
    <row r="736" spans="15:15" x14ac:dyDescent="0.5">
      <c r="O736" s="6"/>
    </row>
    <row r="737" spans="15:15" x14ac:dyDescent="0.5">
      <c r="O737" s="6"/>
    </row>
    <row r="738" spans="15:15" x14ac:dyDescent="0.5">
      <c r="O738" s="6"/>
    </row>
    <row r="739" spans="15:15" x14ac:dyDescent="0.5">
      <c r="O739" s="6"/>
    </row>
    <row r="740" spans="15:15" x14ac:dyDescent="0.5">
      <c r="O740" s="6"/>
    </row>
    <row r="741" spans="15:15" x14ac:dyDescent="0.5">
      <c r="O741" s="6"/>
    </row>
    <row r="742" spans="15:15" x14ac:dyDescent="0.5">
      <c r="O742" s="6"/>
    </row>
    <row r="743" spans="15:15" x14ac:dyDescent="0.5">
      <c r="O743" s="6"/>
    </row>
    <row r="744" spans="15:15" x14ac:dyDescent="0.5">
      <c r="O744" s="6"/>
    </row>
    <row r="745" spans="15:15" x14ac:dyDescent="0.5">
      <c r="O745" s="6"/>
    </row>
    <row r="746" spans="15:15" x14ac:dyDescent="0.5">
      <c r="O746" s="6"/>
    </row>
    <row r="747" spans="15:15" x14ac:dyDescent="0.5">
      <c r="O747" s="6"/>
    </row>
    <row r="748" spans="15:15" x14ac:dyDescent="0.5">
      <c r="O748" s="6"/>
    </row>
    <row r="749" spans="15:15" x14ac:dyDescent="0.5">
      <c r="O749" s="6"/>
    </row>
    <row r="750" spans="15:15" x14ac:dyDescent="0.5">
      <c r="O750" s="6"/>
    </row>
    <row r="751" spans="15:15" x14ac:dyDescent="0.5">
      <c r="O751" s="6"/>
    </row>
    <row r="752" spans="15:15" x14ac:dyDescent="0.5">
      <c r="O752" s="6"/>
    </row>
    <row r="753" spans="15:15" x14ac:dyDescent="0.5">
      <c r="O753" s="6"/>
    </row>
    <row r="754" spans="15:15" x14ac:dyDescent="0.5">
      <c r="O754" s="6"/>
    </row>
    <row r="755" spans="15:15" x14ac:dyDescent="0.5">
      <c r="O755" s="6"/>
    </row>
    <row r="756" spans="15:15" x14ac:dyDescent="0.5">
      <c r="O756" s="6"/>
    </row>
    <row r="757" spans="15:15" x14ac:dyDescent="0.5">
      <c r="O757" s="6"/>
    </row>
    <row r="758" spans="15:15" x14ac:dyDescent="0.5">
      <c r="O758" s="6"/>
    </row>
    <row r="759" spans="15:15" x14ac:dyDescent="0.5">
      <c r="O759" s="6"/>
    </row>
    <row r="760" spans="15:15" x14ac:dyDescent="0.5">
      <c r="O760" s="6"/>
    </row>
    <row r="761" spans="15:15" x14ac:dyDescent="0.5">
      <c r="O761" s="6"/>
    </row>
    <row r="762" spans="15:15" x14ac:dyDescent="0.5">
      <c r="O762" s="6"/>
    </row>
    <row r="763" spans="15:15" x14ac:dyDescent="0.5">
      <c r="O763" s="6"/>
    </row>
    <row r="764" spans="15:15" x14ac:dyDescent="0.5">
      <c r="O764" s="6"/>
    </row>
    <row r="765" spans="15:15" x14ac:dyDescent="0.5">
      <c r="O765" s="6"/>
    </row>
    <row r="766" spans="15:15" x14ac:dyDescent="0.5">
      <c r="O766" s="6"/>
    </row>
    <row r="767" spans="15:15" x14ac:dyDescent="0.5">
      <c r="O767" s="6"/>
    </row>
    <row r="768" spans="15:15" x14ac:dyDescent="0.5">
      <c r="O768" s="6"/>
    </row>
    <row r="769" spans="15:15" x14ac:dyDescent="0.5">
      <c r="O769" s="6"/>
    </row>
    <row r="770" spans="15:15" x14ac:dyDescent="0.5">
      <c r="O770" s="6"/>
    </row>
    <row r="771" spans="15:15" x14ac:dyDescent="0.5">
      <c r="O771" s="6"/>
    </row>
    <row r="772" spans="15:15" x14ac:dyDescent="0.5">
      <c r="O772" s="6"/>
    </row>
    <row r="773" spans="15:15" x14ac:dyDescent="0.5">
      <c r="O773" s="6"/>
    </row>
    <row r="774" spans="15:15" x14ac:dyDescent="0.5">
      <c r="O774" s="6"/>
    </row>
    <row r="775" spans="15:15" x14ac:dyDescent="0.5">
      <c r="O775" s="6"/>
    </row>
    <row r="776" spans="15:15" x14ac:dyDescent="0.5">
      <c r="O776" s="6"/>
    </row>
    <row r="777" spans="15:15" x14ac:dyDescent="0.5">
      <c r="O777" s="6"/>
    </row>
    <row r="778" spans="15:15" x14ac:dyDescent="0.5">
      <c r="O778" s="6"/>
    </row>
    <row r="779" spans="15:15" x14ac:dyDescent="0.5">
      <c r="O779" s="6"/>
    </row>
    <row r="780" spans="15:15" x14ac:dyDescent="0.5">
      <c r="O780" s="6"/>
    </row>
    <row r="781" spans="15:15" x14ac:dyDescent="0.5">
      <c r="O781" s="6"/>
    </row>
    <row r="782" spans="15:15" x14ac:dyDescent="0.5">
      <c r="O782" s="6"/>
    </row>
    <row r="783" spans="15:15" x14ac:dyDescent="0.5">
      <c r="O783" s="6"/>
    </row>
    <row r="784" spans="15:15" x14ac:dyDescent="0.5">
      <c r="O784" s="6"/>
    </row>
    <row r="785" spans="15:15" x14ac:dyDescent="0.5">
      <c r="O785" s="6"/>
    </row>
    <row r="786" spans="15:15" x14ac:dyDescent="0.5">
      <c r="O786" s="6"/>
    </row>
    <row r="787" spans="15:15" x14ac:dyDescent="0.5">
      <c r="O787" s="6"/>
    </row>
    <row r="788" spans="15:15" x14ac:dyDescent="0.5">
      <c r="O788" s="6"/>
    </row>
    <row r="789" spans="15:15" x14ac:dyDescent="0.5">
      <c r="O789" s="6"/>
    </row>
    <row r="790" spans="15:15" x14ac:dyDescent="0.5">
      <c r="O790" s="6"/>
    </row>
    <row r="791" spans="15:15" x14ac:dyDescent="0.5">
      <c r="O791" s="6"/>
    </row>
    <row r="792" spans="15:15" x14ac:dyDescent="0.5">
      <c r="O792" s="6"/>
    </row>
    <row r="793" spans="15:15" x14ac:dyDescent="0.5">
      <c r="O793" s="6"/>
    </row>
    <row r="794" spans="15:15" x14ac:dyDescent="0.5">
      <c r="O794" s="6"/>
    </row>
    <row r="795" spans="15:15" x14ac:dyDescent="0.5">
      <c r="O795" s="6"/>
    </row>
    <row r="796" spans="15:15" x14ac:dyDescent="0.5">
      <c r="O796" s="6"/>
    </row>
    <row r="797" spans="15:15" x14ac:dyDescent="0.5">
      <c r="O797" s="6"/>
    </row>
    <row r="798" spans="15:15" x14ac:dyDescent="0.5">
      <c r="O798" s="6"/>
    </row>
    <row r="799" spans="15:15" x14ac:dyDescent="0.5">
      <c r="O799" s="6"/>
    </row>
    <row r="800" spans="15:15" x14ac:dyDescent="0.5">
      <c r="O800" s="6"/>
    </row>
    <row r="801" spans="15:15" x14ac:dyDescent="0.5">
      <c r="O801" s="6"/>
    </row>
    <row r="802" spans="15:15" x14ac:dyDescent="0.5">
      <c r="O802" s="6"/>
    </row>
    <row r="803" spans="15:15" x14ac:dyDescent="0.5">
      <c r="O803" s="6"/>
    </row>
    <row r="804" spans="15:15" x14ac:dyDescent="0.5">
      <c r="O804" s="6"/>
    </row>
    <row r="805" spans="15:15" x14ac:dyDescent="0.5">
      <c r="O805" s="6"/>
    </row>
    <row r="806" spans="15:15" x14ac:dyDescent="0.5">
      <c r="O806" s="6"/>
    </row>
    <row r="807" spans="15:15" x14ac:dyDescent="0.5">
      <c r="O807" s="6"/>
    </row>
    <row r="808" spans="15:15" x14ac:dyDescent="0.5">
      <c r="O808" s="6"/>
    </row>
    <row r="809" spans="15:15" x14ac:dyDescent="0.5">
      <c r="O809" s="6"/>
    </row>
    <row r="810" spans="15:15" x14ac:dyDescent="0.5">
      <c r="O810" s="6"/>
    </row>
    <row r="811" spans="15:15" x14ac:dyDescent="0.5">
      <c r="O811" s="6"/>
    </row>
    <row r="812" spans="15:15" x14ac:dyDescent="0.5">
      <c r="O812" s="6"/>
    </row>
    <row r="813" spans="15:15" x14ac:dyDescent="0.5">
      <c r="O813" s="6"/>
    </row>
    <row r="814" spans="15:15" x14ac:dyDescent="0.5">
      <c r="O814" s="6"/>
    </row>
    <row r="815" spans="15:15" x14ac:dyDescent="0.5">
      <c r="O815" s="6"/>
    </row>
    <row r="816" spans="15:15" x14ac:dyDescent="0.5">
      <c r="O816" s="6"/>
    </row>
    <row r="817" spans="15:15" x14ac:dyDescent="0.5">
      <c r="O817" s="6"/>
    </row>
    <row r="818" spans="15:15" x14ac:dyDescent="0.5">
      <c r="O818" s="6"/>
    </row>
    <row r="819" spans="15:15" x14ac:dyDescent="0.5">
      <c r="O819" s="6"/>
    </row>
    <row r="820" spans="15:15" x14ac:dyDescent="0.5">
      <c r="O820" s="6"/>
    </row>
    <row r="821" spans="15:15" x14ac:dyDescent="0.5">
      <c r="O821" s="6"/>
    </row>
    <row r="822" spans="15:15" x14ac:dyDescent="0.5">
      <c r="O822" s="6"/>
    </row>
    <row r="823" spans="15:15" x14ac:dyDescent="0.5">
      <c r="O823" s="6"/>
    </row>
    <row r="824" spans="15:15" x14ac:dyDescent="0.5">
      <c r="O824" s="6"/>
    </row>
    <row r="825" spans="15:15" x14ac:dyDescent="0.5">
      <c r="O825" s="6"/>
    </row>
    <row r="826" spans="15:15" x14ac:dyDescent="0.5">
      <c r="O826" s="6"/>
    </row>
    <row r="827" spans="15:15" x14ac:dyDescent="0.5">
      <c r="O827" s="6"/>
    </row>
    <row r="828" spans="15:15" x14ac:dyDescent="0.5">
      <c r="O828" s="6"/>
    </row>
    <row r="829" spans="15:15" x14ac:dyDescent="0.5">
      <c r="O829" s="6"/>
    </row>
    <row r="830" spans="15:15" x14ac:dyDescent="0.5">
      <c r="O830" s="6"/>
    </row>
    <row r="831" spans="15:15" x14ac:dyDescent="0.5">
      <c r="O831" s="6"/>
    </row>
    <row r="832" spans="15:15" x14ac:dyDescent="0.5">
      <c r="O832" s="6"/>
    </row>
    <row r="833" spans="15:15" x14ac:dyDescent="0.5">
      <c r="O833" s="6"/>
    </row>
    <row r="834" spans="15:15" x14ac:dyDescent="0.5">
      <c r="O834" s="6"/>
    </row>
    <row r="835" spans="15:15" x14ac:dyDescent="0.5">
      <c r="O835" s="6"/>
    </row>
    <row r="836" spans="15:15" x14ac:dyDescent="0.5">
      <c r="O836" s="6"/>
    </row>
    <row r="837" spans="15:15" x14ac:dyDescent="0.5">
      <c r="O837" s="6"/>
    </row>
    <row r="838" spans="15:15" x14ac:dyDescent="0.5">
      <c r="O838" s="6"/>
    </row>
    <row r="839" spans="15:15" x14ac:dyDescent="0.5">
      <c r="O839" s="6"/>
    </row>
    <row r="840" spans="15:15" x14ac:dyDescent="0.5">
      <c r="O840" s="6"/>
    </row>
  </sheetData>
  <sheetProtection algorithmName="SHA-512" hashValue="9T36n8quYesZn9O6g6I0kfaZNUSxI5Zk6zmjal+FAA8kZ8NgbQQPS7/cW49xnm+0CEkxOqvRJ8Tjs3hq4jDgpQ==" saltValue="s2KuEYkmKZqpDy0SLokwKw==" spinCount="100000" sheet="1" objects="1" scenarios="1" selectLockedCells="1" selectUnlockedCells="1"/>
  <mergeCells count="4">
    <mergeCell ref="T4:X4"/>
    <mergeCell ref="J4:S4"/>
    <mergeCell ref="A4:I4"/>
    <mergeCell ref="A1:C2"/>
  </mergeCells>
  <phoneticPr fontId="4" type="noConversion"/>
  <hyperlinks>
    <hyperlink ref="Y83" r:id="rId1" xr:uid="{C8FE9C14-B425-4BDD-BC3D-8FA9345D18AD}"/>
    <hyperlink ref="Y74" r:id="rId2" xr:uid="{7AEDD5C2-FD1E-46FB-93A1-4FC715F8FBE0}"/>
    <hyperlink ref="Y61" r:id="rId3" xr:uid="{D7BB6E11-C65C-4EF8-AD43-7B0A491CF67D}"/>
    <hyperlink ref="Y11" r:id="rId4" location=":~:text=Telemonitoring%20van%20COPD%2Dpati%C3%ABnten%20heeft,ziekenhuis%20eerder%20deze%20week%20bekend." xr:uid="{1800407B-BF2F-421D-A040-F4FDF07774D6}"/>
    <hyperlink ref="Y12" r:id="rId5" xr:uid="{227E9D13-7197-438D-ADE2-5CF9D869013F}"/>
    <hyperlink ref="Y31" r:id="rId6" xr:uid="{52CA5A5C-7FB9-4DFE-A313-B19CD0EB050A}"/>
    <hyperlink ref="Y90" r:id="rId7" xr:uid="{27805C55-B048-4DA1-B3D5-85528F431BFE}"/>
    <hyperlink ref="Y39" r:id="rId8" xr:uid="{027E20D3-6EF6-4478-B54A-47172A9317E2}"/>
    <hyperlink ref="Y79" r:id="rId9" xr:uid="{E8732A9D-E7FE-4009-81FE-DD6A10D6E4E9}"/>
    <hyperlink ref="Y80" r:id="rId10" xr:uid="{19B2CBF7-C283-4175-868F-656103ABF742}"/>
    <hyperlink ref="Y7" r:id="rId11" display="https://www.umcutrecht.nl/nieuws/app-voor-hoog-risico-zwangere-succesvol" xr:uid="{A2105F8B-A57D-4723-89D5-3770692AA405}"/>
    <hyperlink ref="Y57" r:id="rId12" xr:uid="{F8A33F89-5D42-4EFC-89B3-3D07FA59B88A}"/>
    <hyperlink ref="Y36" r:id="rId13" xr:uid="{E1F62748-77C9-40B2-A64B-F2DABE654DB4}"/>
    <hyperlink ref="C6" r:id="rId14" xr:uid="{0FE5465C-B334-4976-BD62-111725B86D51}"/>
    <hyperlink ref="C7" r:id="rId15" xr:uid="{18E69B6C-1824-435E-B80E-3AFAC11F52D5}"/>
  </hyperlinks>
  <pageMargins left="0.7" right="0.7" top="0.75" bottom="0.75" header="0.3" footer="0.3"/>
  <pageSetup paperSize="9" orientation="portrait" r:id="rId16"/>
  <legacyDrawing r:id="rId17"/>
  <tableParts count="1">
    <tablePart r:id="rId18"/>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1A727-9AFD-4D9B-8C1D-558DEDF81A0C}">
  <sheetPr codeName="Blad14">
    <tabColor theme="1"/>
  </sheetPr>
  <dimension ref="A1:T80"/>
  <sheetViews>
    <sheetView showGridLines="0" zoomScale="85" zoomScaleNormal="85" workbookViewId="0">
      <selection activeCell="E21" sqref="E21"/>
    </sheetView>
  </sheetViews>
  <sheetFormatPr defaultRowHeight="17" x14ac:dyDescent="0.5"/>
  <cols>
    <col min="1" max="1" width="27.69140625" bestFit="1" customWidth="1"/>
    <col min="2" max="2" width="35.4609375" style="36" bestFit="1" customWidth="1"/>
    <col min="3" max="3" width="35.765625" style="36" bestFit="1" customWidth="1"/>
    <col min="4" max="4" width="30.4609375" style="36" bestFit="1" customWidth="1"/>
    <col min="5" max="5" width="35.765625" bestFit="1" customWidth="1"/>
    <col min="6" max="6" width="48.23046875" bestFit="1" customWidth="1"/>
    <col min="7" max="8" width="22.69140625" bestFit="1" customWidth="1"/>
    <col min="9" max="10" width="32.07421875" customWidth="1"/>
    <col min="11" max="11" width="12.84375" customWidth="1"/>
    <col min="12" max="12" width="19.53515625" bestFit="1" customWidth="1"/>
    <col min="13" max="13" width="15.4609375" bestFit="1" customWidth="1"/>
    <col min="14" max="14" width="17.84375" bestFit="1" customWidth="1"/>
    <col min="15" max="15" width="21.4609375" style="10" bestFit="1" customWidth="1"/>
    <col min="16" max="16" width="21.4609375" bestFit="1" customWidth="1"/>
    <col min="17" max="18" width="255.765625" bestFit="1" customWidth="1"/>
    <col min="19" max="19" width="21.3046875" customWidth="1"/>
    <col min="21" max="21" width="29.3046875" customWidth="1"/>
    <col min="22" max="22" width="21" customWidth="1"/>
    <col min="23" max="23" width="21.3046875" customWidth="1"/>
  </cols>
  <sheetData>
    <row r="1" spans="1:20" ht="16.5" customHeight="1" x14ac:dyDescent="0.5">
      <c r="A1" s="476" t="s">
        <v>1032</v>
      </c>
      <c r="B1" s="477"/>
      <c r="C1" s="478"/>
    </row>
    <row r="2" spans="1:20" ht="17.5" thickBot="1" x14ac:dyDescent="0.55000000000000004">
      <c r="A2" s="479"/>
      <c r="B2" s="480"/>
      <c r="C2" s="481"/>
    </row>
    <row r="3" spans="1:20" ht="17.5" thickBot="1" x14ac:dyDescent="0.55000000000000004"/>
    <row r="4" spans="1:20" s="39" customFormat="1" ht="58.5" customHeight="1" thickBot="1" x14ac:dyDescent="0.55000000000000004">
      <c r="A4" s="208" t="s">
        <v>5</v>
      </c>
      <c r="B4" s="16" t="s">
        <v>751</v>
      </c>
      <c r="C4" s="25" t="s">
        <v>675</v>
      </c>
      <c r="D4" s="25" t="s">
        <v>697</v>
      </c>
      <c r="E4" s="25" t="s">
        <v>676</v>
      </c>
      <c r="F4" s="25" t="s">
        <v>1072</v>
      </c>
      <c r="G4" s="25" t="s">
        <v>1069</v>
      </c>
      <c r="H4" s="25" t="s">
        <v>619</v>
      </c>
      <c r="I4" s="152" t="s">
        <v>336</v>
      </c>
      <c r="J4" s="152" t="s">
        <v>334</v>
      </c>
      <c r="K4" s="153" t="s">
        <v>335</v>
      </c>
      <c r="L4" s="154" t="s">
        <v>17</v>
      </c>
      <c r="M4" s="155" t="s">
        <v>395</v>
      </c>
      <c r="N4" s="153" t="s">
        <v>396</v>
      </c>
      <c r="O4" s="155" t="s">
        <v>203</v>
      </c>
      <c r="P4" s="429" t="s">
        <v>1068</v>
      </c>
      <c r="Q4" s="209" t="s">
        <v>500</v>
      </c>
      <c r="R4" s="351" t="s">
        <v>501</v>
      </c>
    </row>
    <row r="5" spans="1:20" s="13" customFormat="1" ht="16.5" customHeight="1" x14ac:dyDescent="0.5">
      <c r="A5" s="33" t="str">
        <f>INDEX(Technologieën[Veld],MATCH(Berekening_patiëntaantal[[#This Row],[Digitale zorgtoepassing]],Technologieën[Digitale zorgtoepassing],0))</f>
        <v>Software - Behandeling</v>
      </c>
      <c r="B5" s="119" t="s">
        <v>588</v>
      </c>
      <c r="C5" s="32" t="s">
        <v>104</v>
      </c>
      <c r="D5" s="32"/>
      <c r="E5" s="32" t="s">
        <v>104</v>
      </c>
      <c r="F5" s="32" t="s">
        <v>1039</v>
      </c>
      <c r="G5" s="433">
        <f>IF(Berekening_patiëntaantal[[#This Row],[Zvw/Wlz]]="Zvw",0%,IF(Berekening_patiëntaantal[[#This Row],[Zvw/Wlz]]="Wlz",100%,IF(Berekening_patiëntaantal[[#This Row],[Zvw/Wlz]]="Thuiszorg ouderen: deels Wlz",'C3 Gegevens - overig'!$B$59,'C3 Gegevens - overig'!$B$60)))</f>
        <v>0</v>
      </c>
      <c r="H5" s="32" t="s">
        <v>21</v>
      </c>
      <c r="I5" s="319">
        <v>10000</v>
      </c>
      <c r="J5" s="417">
        <v>1</v>
      </c>
      <c r="K5" s="418">
        <v>1</v>
      </c>
      <c r="L5" s="419">
        <v>0.8</v>
      </c>
      <c r="M5" s="397">
        <f>Berekening_patiëntaantal[[#This Row],[Prevalentie]]*Berekening_patiëntaantal[[#This Row],[Aandeel in subgroep]]</f>
        <v>10000</v>
      </c>
      <c r="N5" s="420">
        <f t="shared" ref="N5" si="0">L5*K5</f>
        <v>0.8</v>
      </c>
      <c r="O5" s="397">
        <f>Berekening_patiëntaantal[[#This Row],[Prevalentie/incidentie subgroep]]*Berekening_patiëntaantal[[#This Row],[% toepasbaar]]</f>
        <v>8000</v>
      </c>
      <c r="P5" s="397">
        <f>Berekening_patiëntaantal[[#This Row],[Patiëntaantallen]]*Berekening_patiëntaantal[[#This Row],[Percentage van patiëntaantallen in Wlz (overige is Zvw)]]</f>
        <v>0</v>
      </c>
      <c r="Q5" s="1" t="s">
        <v>375</v>
      </c>
      <c r="R5" s="1" t="s">
        <v>965</v>
      </c>
      <c r="S5" s="273" t="s">
        <v>961</v>
      </c>
      <c r="T5"/>
    </row>
    <row r="6" spans="1:20" s="13" customFormat="1" ht="16.5" customHeight="1" x14ac:dyDescent="0.5">
      <c r="A6" s="33" t="str">
        <f>INDEX(Technologieën[Veld],MATCH(Berekening_patiëntaantal[[#This Row],[Digitale zorgtoepassing]],Technologieën[Digitale zorgtoepassing],0))</f>
        <v>Digitale hulpmiddelen - Verpleging</v>
      </c>
      <c r="B6" s="32" t="s">
        <v>58</v>
      </c>
      <c r="C6" s="32" t="s">
        <v>59</v>
      </c>
      <c r="D6" s="32" t="s">
        <v>663</v>
      </c>
      <c r="E6" s="32" t="s">
        <v>59</v>
      </c>
      <c r="F6" s="32" t="s">
        <v>1073</v>
      </c>
      <c r="G6" s="433">
        <f>IF(Berekening_patiëntaantal[[#This Row],[Zvw/Wlz]]="Zvw",0%,IF(Berekening_patiëntaantal[[#This Row],[Zvw/Wlz]]="Wlz",100%,IF(Berekening_patiëntaantal[[#This Row],[Zvw/Wlz]]="Thuiszorg ouderen: deels Wlz",'C3 Gegevens - overig'!$B$59,'C3 Gegevens - overig'!$B$60)))</f>
        <v>0.45</v>
      </c>
      <c r="H6" s="32" t="s">
        <v>21</v>
      </c>
      <c r="I6" s="319">
        <v>150000</v>
      </c>
      <c r="J6" s="417">
        <v>1</v>
      </c>
      <c r="K6" s="418">
        <v>1</v>
      </c>
      <c r="L6" s="419">
        <v>1</v>
      </c>
      <c r="M6" s="397">
        <f>Berekening_patiëntaantal[[#This Row],[Prevalentie]]*Berekening_patiëntaantal[[#This Row],[Aandeel in subgroep]]</f>
        <v>150000</v>
      </c>
      <c r="N6" s="420">
        <f t="shared" ref="N6:N37" si="1">L6*K6</f>
        <v>1</v>
      </c>
      <c r="O6" s="397">
        <f>Berekening_patiëntaantal[[#This Row],[Prevalentie/incidentie subgroep]]*Berekening_patiëntaantal[[#This Row],[% toepasbaar]]</f>
        <v>150000</v>
      </c>
      <c r="P6" s="397">
        <f>Berekening_patiëntaantal[[#This Row],[Patiëntaantallen]]*Berekening_patiëntaantal[[#This Row],[Percentage van patiëntaantallen in Wlz (overige is Zvw)]]</f>
        <v>67500</v>
      </c>
      <c r="Q6" s="1" t="s">
        <v>356</v>
      </c>
      <c r="R6" s="170" t="s">
        <v>981</v>
      </c>
      <c r="S6"/>
      <c r="T6"/>
    </row>
    <row r="7" spans="1:20" s="13" customFormat="1" ht="16.5" customHeight="1" x14ac:dyDescent="0.5">
      <c r="A7" s="33" t="str">
        <f>INDEX(Technologieën[Veld],MATCH(Berekening_patiëntaantal[[#This Row],[Digitale zorgtoepassing]],Technologieën[Digitale zorgtoepassing],0))</f>
        <v>Software - Behandeling</v>
      </c>
      <c r="B7" s="32" t="s">
        <v>609</v>
      </c>
      <c r="C7" s="32" t="s">
        <v>97</v>
      </c>
      <c r="D7" s="32" t="s">
        <v>674</v>
      </c>
      <c r="E7" s="32" t="s">
        <v>270</v>
      </c>
      <c r="F7" s="32" t="s">
        <v>1039</v>
      </c>
      <c r="G7" s="433">
        <f>IF(Berekening_patiëntaantal[[#This Row],[Zvw/Wlz]]="Zvw",0%,IF(Berekening_patiëntaantal[[#This Row],[Zvw/Wlz]]="Wlz",100%,IF(Berekening_patiëntaantal[[#This Row],[Zvw/Wlz]]="Thuiszorg ouderen: deels Wlz",'C3 Gegevens - overig'!$B$59,'C3 Gegevens - overig'!$B$60)))</f>
        <v>0</v>
      </c>
      <c r="H7" s="32" t="s">
        <v>21</v>
      </c>
      <c r="I7" s="319">
        <v>517200</v>
      </c>
      <c r="J7" s="417">
        <v>1</v>
      </c>
      <c r="K7" s="418">
        <v>1</v>
      </c>
      <c r="L7" s="419">
        <v>0.06</v>
      </c>
      <c r="M7" s="397">
        <f>Berekening_patiëntaantal[[#This Row],[Prevalentie]]*Berekening_patiëntaantal[[#This Row],[Aandeel in subgroep]]</f>
        <v>517200</v>
      </c>
      <c r="N7" s="420">
        <f t="shared" si="1"/>
        <v>0.06</v>
      </c>
      <c r="O7" s="397">
        <f>Berekening_patiëntaantal[[#This Row],[Prevalentie/incidentie subgroep]]*Berekening_patiëntaantal[[#This Row],[% toepasbaar]]</f>
        <v>31032</v>
      </c>
      <c r="P7" s="397">
        <f>Berekening_patiëntaantal[[#This Row],[Patiëntaantallen]]*Berekening_patiëntaantal[[#This Row],[Percentage van patiëntaantallen in Wlz (overige is Zvw)]]</f>
        <v>0</v>
      </c>
      <c r="Q7" s="1" t="s">
        <v>372</v>
      </c>
      <c r="R7" s="1" t="s">
        <v>98</v>
      </c>
      <c r="S7" s="273" t="s">
        <v>961</v>
      </c>
      <c r="T7"/>
    </row>
    <row r="8" spans="1:20" s="13" customFormat="1" ht="16.5" customHeight="1" x14ac:dyDescent="0.5">
      <c r="A8" s="33" t="str">
        <f>INDEX(Technologieën[Veld],MATCH(Berekening_patiëntaantal[[#This Row],[Digitale zorgtoepassing]],Technologieën[Digitale zorgtoepassing],0))</f>
        <v>Sensoren - Verpleging</v>
      </c>
      <c r="B8" s="32" t="s">
        <v>61</v>
      </c>
      <c r="C8" s="32" t="s">
        <v>62</v>
      </c>
      <c r="D8" s="32"/>
      <c r="E8" s="32" t="s">
        <v>62</v>
      </c>
      <c r="F8" s="32" t="s">
        <v>1038</v>
      </c>
      <c r="G8" s="433">
        <f>IF(Berekening_patiëntaantal[[#This Row],[Zvw/Wlz]]="Zvw",0%,IF(Berekening_patiëntaantal[[#This Row],[Zvw/Wlz]]="Wlz",100%,IF(Berekening_patiëntaantal[[#This Row],[Zvw/Wlz]]="Thuiszorg ouderen: deels Wlz",'C3 Gegevens - overig'!$B$59,'C3 Gegevens - overig'!$B$60)))</f>
        <v>1</v>
      </c>
      <c r="H8" s="32" t="s">
        <v>21</v>
      </c>
      <c r="I8" s="319">
        <v>115000</v>
      </c>
      <c r="J8" s="417">
        <v>1</v>
      </c>
      <c r="K8" s="418">
        <v>1</v>
      </c>
      <c r="L8" s="419">
        <v>0.82</v>
      </c>
      <c r="M8" s="397">
        <f>Berekening_patiëntaantal[[#This Row],[Prevalentie]]*Berekening_patiëntaantal[[#This Row],[Aandeel in subgroep]]</f>
        <v>115000</v>
      </c>
      <c r="N8" s="420">
        <f t="shared" si="1"/>
        <v>0.82</v>
      </c>
      <c r="O8" s="397">
        <f>Berekening_patiëntaantal[[#This Row],[Prevalentie/incidentie subgroep]]*Berekening_patiëntaantal[[#This Row],[% toepasbaar]]</f>
        <v>94300</v>
      </c>
      <c r="P8" s="397">
        <f>Berekening_patiëntaantal[[#This Row],[Patiëntaantallen]]*Berekening_patiëntaantal[[#This Row],[Percentage van patiëntaantallen in Wlz (overige is Zvw)]]</f>
        <v>94300</v>
      </c>
      <c r="Q8" s="1" t="s">
        <v>357</v>
      </c>
      <c r="R8" s="1" t="s">
        <v>63</v>
      </c>
      <c r="S8" s="273" t="s">
        <v>961</v>
      </c>
      <c r="T8"/>
    </row>
    <row r="9" spans="1:20" s="18" customFormat="1" ht="16.5" customHeight="1" x14ac:dyDescent="0.5">
      <c r="A9" s="33" t="str">
        <f>INDEX(Technologieën[Veld],MATCH(Berekening_patiëntaantal[[#This Row],[Digitale zorgtoepassing]],Technologieën[Digitale zorgtoepassing],0))</f>
        <v>Sensoren - Verpleging</v>
      </c>
      <c r="B9" s="32" t="s">
        <v>36</v>
      </c>
      <c r="C9" s="32" t="s">
        <v>24</v>
      </c>
      <c r="D9" s="426" t="s">
        <v>664</v>
      </c>
      <c r="E9" s="32" t="s">
        <v>24</v>
      </c>
      <c r="F9" s="32" t="s">
        <v>1073</v>
      </c>
      <c r="G9" s="433">
        <f>IF(Berekening_patiëntaantal[[#This Row],[Zvw/Wlz]]="Zvw",0%,IF(Berekening_patiëntaantal[[#This Row],[Zvw/Wlz]]="Wlz",100%,IF(Berekening_patiëntaantal[[#This Row],[Zvw/Wlz]]="Thuiszorg ouderen: deels Wlz",'C3 Gegevens - overig'!$B$59,'C3 Gegevens - overig'!$B$60)))</f>
        <v>0.45</v>
      </c>
      <c r="H9" s="32" t="s">
        <v>35</v>
      </c>
      <c r="I9" s="319">
        <v>114100</v>
      </c>
      <c r="J9" s="417">
        <v>0.52</v>
      </c>
      <c r="K9" s="418">
        <v>0.18</v>
      </c>
      <c r="L9" s="419">
        <v>0.3</v>
      </c>
      <c r="M9" s="397">
        <f>Berekening_patiëntaantal[[#This Row],[Prevalentie]]*Berekening_patiëntaantal[[#This Row],[Aandeel in subgroep]]</f>
        <v>59332</v>
      </c>
      <c r="N9" s="420">
        <f t="shared" si="1"/>
        <v>5.3999999999999999E-2</v>
      </c>
      <c r="O9" s="397">
        <f>Berekening_patiëntaantal[[#This Row],[Prevalentie/incidentie subgroep]]*Berekening_patiëntaantal[[#This Row],[% toepasbaar]]</f>
        <v>3203.9279999999999</v>
      </c>
      <c r="P9" s="397">
        <f>Berekening_patiëntaantal[[#This Row],[Patiëntaantallen]]*Berekening_patiëntaantal[[#This Row],[Percentage van patiëntaantallen in Wlz (overige is Zvw)]]</f>
        <v>1441.7675999999999</v>
      </c>
      <c r="Q9" s="1" t="s">
        <v>339</v>
      </c>
      <c r="R9" s="1" t="s">
        <v>39</v>
      </c>
      <c r="S9" s="273" t="s">
        <v>961</v>
      </c>
      <c r="T9" s="3"/>
    </row>
    <row r="10" spans="1:20" s="13" customFormat="1" ht="16.5" customHeight="1" x14ac:dyDescent="0.5">
      <c r="A10" s="33" t="str">
        <f>INDEX(Technologieën[Veld],MATCH(Berekening_patiëntaantal[[#This Row],[Digitale zorgtoepassing]],Technologieën[Digitale zorgtoepassing],0))</f>
        <v>Digitale hulpmiddelen - Verpleging</v>
      </c>
      <c r="B10" s="119" t="s">
        <v>26</v>
      </c>
      <c r="C10" s="119" t="s">
        <v>24</v>
      </c>
      <c r="D10" s="426" t="s">
        <v>664</v>
      </c>
      <c r="E10" s="32" t="s">
        <v>24</v>
      </c>
      <c r="F10" s="32" t="s">
        <v>1073</v>
      </c>
      <c r="G10" s="433">
        <f>IF(Berekening_patiëntaantal[[#This Row],[Zvw/Wlz]]="Zvw",0%,IF(Berekening_patiëntaantal[[#This Row],[Zvw/Wlz]]="Wlz",100%,IF(Berekening_patiëntaantal[[#This Row],[Zvw/Wlz]]="Thuiszorg ouderen: deels Wlz",'C3 Gegevens - overig'!$B$59,'C3 Gegevens - overig'!$B$60)))</f>
        <v>0.45</v>
      </c>
      <c r="H10" s="32" t="s">
        <v>35</v>
      </c>
      <c r="I10" s="319">
        <v>114100</v>
      </c>
      <c r="J10" s="417">
        <v>0.52</v>
      </c>
      <c r="K10" s="418">
        <v>0.18</v>
      </c>
      <c r="L10" s="419">
        <v>0.75</v>
      </c>
      <c r="M10" s="397">
        <f>Berekening_patiëntaantal[[#This Row],[Prevalentie]]*Berekening_patiëntaantal[[#This Row],[Aandeel in subgroep]]</f>
        <v>59332</v>
      </c>
      <c r="N10" s="420">
        <f t="shared" si="1"/>
        <v>0.13500000000000001</v>
      </c>
      <c r="O10" s="397">
        <f>Berekening_patiëntaantal[[#This Row],[Prevalentie/incidentie subgroep]]*Berekening_patiëntaantal[[#This Row],[% toepasbaar]]</f>
        <v>8009.8200000000006</v>
      </c>
      <c r="P10" s="397">
        <f>Berekening_patiëntaantal[[#This Row],[Patiëntaantallen]]*Berekening_patiëntaantal[[#This Row],[Percentage van patiëntaantallen in Wlz (overige is Zvw)]]</f>
        <v>3604.4190000000003</v>
      </c>
      <c r="Q10" s="1" t="s">
        <v>339</v>
      </c>
      <c r="R10" s="170" t="s">
        <v>990</v>
      </c>
      <c r="S10" s="273" t="s">
        <v>961</v>
      </c>
      <c r="T10"/>
    </row>
    <row r="11" spans="1:20" s="13" customFormat="1" ht="16.5" customHeight="1" x14ac:dyDescent="0.5">
      <c r="A11" s="33" t="str">
        <f>INDEX(Technologieën[Veld],MATCH(Berekening_patiëntaantal[[#This Row],[Digitale zorgtoepassing]],Technologieën[Digitale zorgtoepassing],0))</f>
        <v>Digitale hulpmiddelen - Verpleging</v>
      </c>
      <c r="B11" s="32" t="s">
        <v>19</v>
      </c>
      <c r="C11" s="32" t="s">
        <v>24</v>
      </c>
      <c r="D11" s="32" t="s">
        <v>665</v>
      </c>
      <c r="E11" s="32" t="s">
        <v>24</v>
      </c>
      <c r="F11" s="32" t="s">
        <v>1038</v>
      </c>
      <c r="G11" s="433">
        <f>IF(Berekening_patiëntaantal[[#This Row],[Zvw/Wlz]]="Zvw",0%,IF(Berekening_patiëntaantal[[#This Row],[Zvw/Wlz]]="Wlz",100%,IF(Berekening_patiëntaantal[[#This Row],[Zvw/Wlz]]="Thuiszorg ouderen: deels Wlz",'C3 Gegevens - overig'!$B$59,'C3 Gegevens - overig'!$B$60)))</f>
        <v>1</v>
      </c>
      <c r="H11" s="32" t="s">
        <v>21</v>
      </c>
      <c r="I11" s="319">
        <v>114100</v>
      </c>
      <c r="J11" s="417">
        <v>0.48</v>
      </c>
      <c r="K11" s="418">
        <v>1</v>
      </c>
      <c r="L11" s="419">
        <v>0.1</v>
      </c>
      <c r="M11" s="397">
        <f>Berekening_patiëntaantal[[#This Row],[Prevalentie]]*Berekening_patiëntaantal[[#This Row],[Aandeel in subgroep]]</f>
        <v>54768</v>
      </c>
      <c r="N11" s="420">
        <f t="shared" si="1"/>
        <v>0.1</v>
      </c>
      <c r="O11" s="397">
        <f>Berekening_patiëntaantal[[#This Row],[Prevalentie/incidentie subgroep]]*Berekening_patiëntaantal[[#This Row],[% toepasbaar]]</f>
        <v>5476.8</v>
      </c>
      <c r="P11" s="397">
        <f>Berekening_patiëntaantal[[#This Row],[Patiëntaantallen]]*Berekening_patiëntaantal[[#This Row],[Percentage van patiëntaantallen in Wlz (overige is Zvw)]]</f>
        <v>5476.8</v>
      </c>
      <c r="Q11" s="1" t="s">
        <v>340</v>
      </c>
      <c r="R11" s="170" t="s">
        <v>992</v>
      </c>
      <c r="S11" s="273" t="s">
        <v>961</v>
      </c>
      <c r="T11"/>
    </row>
    <row r="12" spans="1:20" s="13" customFormat="1" ht="16.5" customHeight="1" x14ac:dyDescent="0.5">
      <c r="A12" s="33" t="str">
        <f>INDEX(Technologieën[Veld],MATCH(Berekening_patiëntaantal[[#This Row],[Digitale zorgtoepassing]],Technologieën[Digitale zorgtoepassing],0))</f>
        <v>Digitale hulpmiddelen - Verpleging</v>
      </c>
      <c r="B12" s="32" t="s">
        <v>26</v>
      </c>
      <c r="C12" s="32" t="s">
        <v>20</v>
      </c>
      <c r="D12" s="32" t="s">
        <v>669</v>
      </c>
      <c r="E12" s="32" t="s">
        <v>20</v>
      </c>
      <c r="F12" s="32" t="s">
        <v>1073</v>
      </c>
      <c r="G12" s="433">
        <f>IF(Berekening_patiëntaantal[[#This Row],[Zvw/Wlz]]="Zvw",0%,IF(Berekening_patiëntaantal[[#This Row],[Zvw/Wlz]]="Wlz",100%,IF(Berekening_patiëntaantal[[#This Row],[Zvw/Wlz]]="Thuiszorg ouderen: deels Wlz",'C3 Gegevens - overig'!$B$59,'C3 Gegevens - overig'!$B$60)))</f>
        <v>0.45</v>
      </c>
      <c r="H12" s="32" t="s">
        <v>21</v>
      </c>
      <c r="I12" s="319">
        <v>290000</v>
      </c>
      <c r="J12" s="417">
        <v>0.23</v>
      </c>
      <c r="K12" s="418">
        <v>0.21</v>
      </c>
      <c r="L12" s="419">
        <v>0.9</v>
      </c>
      <c r="M12" s="397">
        <f>Berekening_patiëntaantal[[#This Row],[Prevalentie]]*Berekening_patiëntaantal[[#This Row],[Aandeel in subgroep]]</f>
        <v>66700</v>
      </c>
      <c r="N12" s="420">
        <f t="shared" si="1"/>
        <v>0.189</v>
      </c>
      <c r="O12" s="397">
        <f>Berekening_patiëntaantal[[#This Row],[Prevalentie/incidentie subgroep]]*Berekening_patiëntaantal[[#This Row],[% toepasbaar]]</f>
        <v>12606.3</v>
      </c>
      <c r="P12" s="397">
        <f>Berekening_patiëntaantal[[#This Row],[Patiëntaantallen]]*Berekening_patiëntaantal[[#This Row],[Percentage van patiëntaantallen in Wlz (overige is Zvw)]]</f>
        <v>5672.835</v>
      </c>
      <c r="Q12" s="1" t="s">
        <v>337</v>
      </c>
      <c r="R12" s="170" t="s">
        <v>991</v>
      </c>
      <c r="S12" s="273" t="s">
        <v>961</v>
      </c>
      <c r="T12"/>
    </row>
    <row r="13" spans="1:20" ht="16.5" customHeight="1" x14ac:dyDescent="0.5">
      <c r="A13" s="33" t="str">
        <f>INDEX(Technologieën[Veld],MATCH(Berekening_patiëntaantal[[#This Row],[Digitale zorgtoepassing]],Technologieën[Digitale zorgtoepassing],0))</f>
        <v>Software - Behandeling</v>
      </c>
      <c r="B13" s="32" t="s">
        <v>609</v>
      </c>
      <c r="C13" s="32" t="s">
        <v>95</v>
      </c>
      <c r="D13" s="32"/>
      <c r="E13" s="32" t="s">
        <v>95</v>
      </c>
      <c r="F13" s="32" t="s">
        <v>1039</v>
      </c>
      <c r="G13" s="433">
        <f>IF(Berekening_patiëntaantal[[#This Row],[Zvw/Wlz]]="Zvw",0%,IF(Berekening_patiëntaantal[[#This Row],[Zvw/Wlz]]="Wlz",100%,IF(Berekening_patiëntaantal[[#This Row],[Zvw/Wlz]]="Thuiszorg ouderen: deels Wlz",'C3 Gegevens - overig'!$B$59,'C3 Gegevens - overig'!$B$60)))</f>
        <v>0</v>
      </c>
      <c r="H13" s="32" t="s">
        <v>21</v>
      </c>
      <c r="I13" s="319">
        <v>546000</v>
      </c>
      <c r="J13" s="417">
        <v>1</v>
      </c>
      <c r="K13" s="418">
        <v>1</v>
      </c>
      <c r="L13" s="419">
        <v>0.03</v>
      </c>
      <c r="M13" s="397">
        <f>Berekening_patiëntaantal[[#This Row],[Prevalentie]]*Berekening_patiëntaantal[[#This Row],[Aandeel in subgroep]]</f>
        <v>546000</v>
      </c>
      <c r="N13" s="420">
        <f t="shared" si="1"/>
        <v>0.03</v>
      </c>
      <c r="O13" s="397">
        <f>Berekening_patiëntaantal[[#This Row],[Prevalentie/incidentie subgroep]]*Berekening_patiëntaantal[[#This Row],[% toepasbaar]]</f>
        <v>16380</v>
      </c>
      <c r="P13" s="397">
        <f>Berekening_patiëntaantal[[#This Row],[Patiëntaantallen]]*Berekening_patiëntaantal[[#This Row],[Percentage van patiëntaantallen in Wlz (overige is Zvw)]]</f>
        <v>0</v>
      </c>
      <c r="Q13" s="1" t="s">
        <v>373</v>
      </c>
      <c r="R13" s="1" t="s">
        <v>96</v>
      </c>
      <c r="S13" s="273" t="s">
        <v>961</v>
      </c>
    </row>
    <row r="14" spans="1:20" s="13" customFormat="1" ht="16.5" customHeight="1" x14ac:dyDescent="0.5">
      <c r="A14" s="33" t="str">
        <f>INDEX(Technologieën[Veld],MATCH(Berekening_patiëntaantal[[#This Row],[Digitale zorgtoepassing]],Technologieën[Digitale zorgtoepassing],0))</f>
        <v>Software - Diagnose</v>
      </c>
      <c r="B14" s="32" t="s">
        <v>473</v>
      </c>
      <c r="C14" s="32" t="s">
        <v>677</v>
      </c>
      <c r="D14" s="32" t="s">
        <v>671</v>
      </c>
      <c r="E14" s="32" t="s">
        <v>455</v>
      </c>
      <c r="F14" s="32" t="s">
        <v>1039</v>
      </c>
      <c r="G14" s="433">
        <f>IF(Berekening_patiëntaantal[[#This Row],[Zvw/Wlz]]="Zvw",0%,IF(Berekening_patiëntaantal[[#This Row],[Zvw/Wlz]]="Wlz",100%,IF(Berekening_patiëntaantal[[#This Row],[Zvw/Wlz]]="Thuiszorg ouderen: deels Wlz",'C3 Gegevens - overig'!$B$59,'C3 Gegevens - overig'!$B$60)))</f>
        <v>0</v>
      </c>
      <c r="H14" s="32" t="s">
        <v>21</v>
      </c>
      <c r="I14" s="319">
        <v>10804</v>
      </c>
      <c r="J14" s="417">
        <v>1</v>
      </c>
      <c r="K14" s="418">
        <v>1</v>
      </c>
      <c r="L14" s="419">
        <v>1</v>
      </c>
      <c r="M14" s="397">
        <f>Berekening_patiëntaantal[[#This Row],[Prevalentie]]*Berekening_patiëntaantal[[#This Row],[Aandeel in subgroep]]</f>
        <v>10804</v>
      </c>
      <c r="N14" s="420">
        <f t="shared" si="1"/>
        <v>1</v>
      </c>
      <c r="O14" s="397">
        <f>Berekening_patiëntaantal[[#This Row],[Prevalentie/incidentie subgroep]]*Berekening_patiëntaantal[[#This Row],[% toepasbaar]]</f>
        <v>10804</v>
      </c>
      <c r="P14" s="397">
        <f>Berekening_patiëntaantal[[#This Row],[Patiëntaantallen]]*Berekening_patiëntaantal[[#This Row],[Percentage van patiëntaantallen in Wlz (overige is Zvw)]]</f>
        <v>0</v>
      </c>
      <c r="Q14" s="1" t="s">
        <v>453</v>
      </c>
      <c r="R14" s="1" t="s">
        <v>452</v>
      </c>
      <c r="S14" s="273" t="s">
        <v>961</v>
      </c>
      <c r="T14"/>
    </row>
    <row r="15" spans="1:20" ht="16.5" customHeight="1" x14ac:dyDescent="0.5">
      <c r="A15" s="33" t="str">
        <f>INDEX(Technologieën[Veld],MATCH(Berekening_patiëntaantal[[#This Row],[Digitale zorgtoepassing]],Technologieën[Digitale zorgtoepassing],0))</f>
        <v>Software - Diagnose</v>
      </c>
      <c r="B15" s="32" t="s">
        <v>473</v>
      </c>
      <c r="C15" s="32" t="s">
        <v>677</v>
      </c>
      <c r="D15" s="32" t="s">
        <v>75</v>
      </c>
      <c r="E15" s="32" t="s">
        <v>451</v>
      </c>
      <c r="F15" s="32" t="s">
        <v>1039</v>
      </c>
      <c r="G15" s="433">
        <f>IF(Berekening_patiëntaantal[[#This Row],[Zvw/Wlz]]="Zvw",0%,IF(Berekening_patiëntaantal[[#This Row],[Zvw/Wlz]]="Wlz",100%,IF(Berekening_patiëntaantal[[#This Row],[Zvw/Wlz]]="Thuiszorg ouderen: deels Wlz",'C3 Gegevens - overig'!$B$59,'C3 Gegevens - overig'!$B$60)))</f>
        <v>0</v>
      </c>
      <c r="H15" s="32" t="s">
        <v>21</v>
      </c>
      <c r="I15" s="319">
        <v>73951</v>
      </c>
      <c r="J15" s="417">
        <v>1</v>
      </c>
      <c r="K15" s="418">
        <v>1</v>
      </c>
      <c r="L15" s="419">
        <v>1</v>
      </c>
      <c r="M15" s="397">
        <f>Berekening_patiëntaantal[[#This Row],[Prevalentie]]*Berekening_patiëntaantal[[#This Row],[Aandeel in subgroep]]</f>
        <v>73951</v>
      </c>
      <c r="N15" s="420">
        <f t="shared" si="1"/>
        <v>1</v>
      </c>
      <c r="O15" s="397">
        <f>Berekening_patiëntaantal[[#This Row],[Prevalentie/incidentie subgroep]]*Berekening_patiëntaantal[[#This Row],[% toepasbaar]]</f>
        <v>73951</v>
      </c>
      <c r="P15" s="397">
        <f>Berekening_patiëntaantal[[#This Row],[Patiëntaantallen]]*Berekening_patiëntaantal[[#This Row],[Percentage van patiëntaantallen in Wlz (overige is Zvw)]]</f>
        <v>0</v>
      </c>
      <c r="Q15" s="1" t="s">
        <v>454</v>
      </c>
      <c r="R15" s="1" t="s">
        <v>452</v>
      </c>
      <c r="S15" s="273" t="s">
        <v>961</v>
      </c>
    </row>
    <row r="16" spans="1:20" ht="16.5" customHeight="1" x14ac:dyDescent="0.5">
      <c r="A16" s="33" t="str">
        <f>INDEX(Technologieën[Veld],MATCH(Berekening_patiëntaantal[[#This Row],[Digitale zorgtoepassing]],Technologieën[Digitale zorgtoepassing],0))</f>
        <v>Software - Diagnose</v>
      </c>
      <c r="B16" s="32" t="s">
        <v>473</v>
      </c>
      <c r="C16" s="32" t="s">
        <v>677</v>
      </c>
      <c r="D16" s="32" t="s">
        <v>673</v>
      </c>
      <c r="E16" s="32" t="s">
        <v>464</v>
      </c>
      <c r="F16" s="32" t="s">
        <v>1039</v>
      </c>
      <c r="G16" s="433">
        <f>IF(Berekening_patiëntaantal[[#This Row],[Zvw/Wlz]]="Zvw",0%,IF(Berekening_patiëntaantal[[#This Row],[Zvw/Wlz]]="Wlz",100%,IF(Berekening_patiëntaantal[[#This Row],[Zvw/Wlz]]="Thuiszorg ouderen: deels Wlz",'C3 Gegevens - overig'!$B$59,'C3 Gegevens - overig'!$B$60)))</f>
        <v>0</v>
      </c>
      <c r="H16" s="32" t="s">
        <v>35</v>
      </c>
      <c r="I16" s="319">
        <f>2000000-INDEX(Berekening_patiëntaantal[Prevalentie],MATCH("CT scan_Longkanker",Berekening_patiëntaantal[Doelgroep (zoeksleutel)],0))-INDEX(Berekening_patiëntaantal[Prevalentie],MATCH("CT scan_Interstitiële longaandoening",Berekening_patiëntaantal[Doelgroep (zoeksleutel)],0))</f>
        <v>1915245</v>
      </c>
      <c r="J16" s="417">
        <v>1</v>
      </c>
      <c r="K16" s="418">
        <v>1</v>
      </c>
      <c r="L16" s="419">
        <v>1</v>
      </c>
      <c r="M16" s="397">
        <f>Berekening_patiëntaantal[[#This Row],[Prevalentie]]*Berekening_patiëntaantal[[#This Row],[Aandeel in subgroep]]</f>
        <v>1915245</v>
      </c>
      <c r="N16" s="420">
        <f t="shared" si="1"/>
        <v>1</v>
      </c>
      <c r="O16" s="397">
        <f>Berekening_patiëntaantal[[#This Row],[Prevalentie/incidentie subgroep]]*Berekening_patiëntaantal[[#This Row],[% toepasbaar]]</f>
        <v>1915245</v>
      </c>
      <c r="P16" s="397">
        <f>Berekening_patiëntaantal[[#This Row],[Patiëntaantallen]]*Berekening_patiëntaantal[[#This Row],[Percentage van patiëntaantallen in Wlz (overige is Zvw)]]</f>
        <v>0</v>
      </c>
      <c r="Q16" s="1" t="s">
        <v>466</v>
      </c>
      <c r="R16" s="1" t="s">
        <v>463</v>
      </c>
      <c r="S16" s="273" t="s">
        <v>961</v>
      </c>
    </row>
    <row r="17" spans="1:20" ht="16.5" customHeight="1" x14ac:dyDescent="0.5">
      <c r="A17" s="33" t="str">
        <f>INDEX(Technologieën[Veld],MATCH(Berekening_patiëntaantal[[#This Row],[Digitale zorgtoepassing]],Technologieën[Digitale zorgtoepassing],0))</f>
        <v>Sensoren - Verpleging</v>
      </c>
      <c r="B17" s="32" t="s">
        <v>46</v>
      </c>
      <c r="C17" s="32" t="s">
        <v>20</v>
      </c>
      <c r="D17" s="32" t="s">
        <v>666</v>
      </c>
      <c r="E17" s="32" t="s">
        <v>20</v>
      </c>
      <c r="F17" s="32" t="s">
        <v>1038</v>
      </c>
      <c r="G17" s="433">
        <f>IF(Berekening_patiëntaantal[[#This Row],[Zvw/Wlz]]="Zvw",0%,IF(Berekening_patiëntaantal[[#This Row],[Zvw/Wlz]]="Wlz",100%,IF(Berekening_patiëntaantal[[#This Row],[Zvw/Wlz]]="Thuiszorg ouderen: deels Wlz",'C3 Gegevens - overig'!$B$59,'C3 Gegevens - overig'!$B$60)))</f>
        <v>1</v>
      </c>
      <c r="H17" s="32" t="s">
        <v>21</v>
      </c>
      <c r="I17" s="319">
        <v>290000</v>
      </c>
      <c r="J17" s="417">
        <v>0.27</v>
      </c>
      <c r="K17" s="418">
        <v>1</v>
      </c>
      <c r="L17" s="419">
        <v>1</v>
      </c>
      <c r="M17" s="397">
        <f>Berekening_patiëntaantal[[#This Row],[Prevalentie]]*Berekening_patiëntaantal[[#This Row],[Aandeel in subgroep]]</f>
        <v>78300</v>
      </c>
      <c r="N17" s="420">
        <f t="shared" si="1"/>
        <v>1</v>
      </c>
      <c r="O17" s="397">
        <f>Berekening_patiëntaantal[[#This Row],[Prevalentie/incidentie subgroep]]*Berekening_patiëntaantal[[#This Row],[% toepasbaar]]</f>
        <v>78300</v>
      </c>
      <c r="P17" s="397">
        <f>Berekening_patiëntaantal[[#This Row],[Patiëntaantallen]]*Berekening_patiëntaantal[[#This Row],[Percentage van patiëntaantallen in Wlz (overige is Zvw)]]</f>
        <v>78300</v>
      </c>
      <c r="Q17" s="1" t="s">
        <v>338</v>
      </c>
      <c r="R17" s="1" t="s">
        <v>47</v>
      </c>
      <c r="S17" s="273" t="s">
        <v>961</v>
      </c>
    </row>
    <row r="18" spans="1:20" s="37" customFormat="1" ht="16.5" customHeight="1" x14ac:dyDescent="0.5">
      <c r="A18" s="33" t="str">
        <f>INDEX(Technologieën[Veld],MATCH(Berekening_patiëntaantal[[#This Row],[Digitale zorgtoepassing]],Technologieën[Digitale zorgtoepassing],0))</f>
        <v>Sensoren - Verpleging</v>
      </c>
      <c r="B18" s="32" t="s">
        <v>36</v>
      </c>
      <c r="C18" s="32" t="s">
        <v>20</v>
      </c>
      <c r="D18" s="32" t="s">
        <v>667</v>
      </c>
      <c r="E18" s="32" t="s">
        <v>20</v>
      </c>
      <c r="F18" s="32" t="s">
        <v>1039</v>
      </c>
      <c r="G18" s="433">
        <f>IF(Berekening_patiëntaantal[[#This Row],[Zvw/Wlz]]="Zvw",0%,IF(Berekening_patiëntaantal[[#This Row],[Zvw/Wlz]]="Wlz",100%,IF(Berekening_patiëntaantal[[#This Row],[Zvw/Wlz]]="Thuiszorg ouderen: deels Wlz",'C3 Gegevens - overig'!$B$59,'C3 Gegevens - overig'!$B$60)))</f>
        <v>0</v>
      </c>
      <c r="H18" s="32" t="s">
        <v>21</v>
      </c>
      <c r="I18" s="319">
        <v>290000</v>
      </c>
      <c r="J18" s="417">
        <v>0.2001</v>
      </c>
      <c r="K18" s="418">
        <v>1</v>
      </c>
      <c r="L18" s="419">
        <v>0.15</v>
      </c>
      <c r="M18" s="397">
        <f>Berekening_patiëntaantal[[#This Row],[Prevalentie]]*Berekening_patiëntaantal[[#This Row],[Aandeel in subgroep]]</f>
        <v>58029</v>
      </c>
      <c r="N18" s="420">
        <f t="shared" si="1"/>
        <v>0.15</v>
      </c>
      <c r="O18" s="397">
        <f>Berekening_patiëntaantal[[#This Row],[Prevalentie/incidentie subgroep]]*Berekening_patiëntaantal[[#This Row],[% toepasbaar]]</f>
        <v>8704.35</v>
      </c>
      <c r="P18" s="397">
        <f>Berekening_patiëntaantal[[#This Row],[Patiëntaantallen]]*Berekening_patiëntaantal[[#This Row],[Percentage van patiëntaantallen in Wlz (overige is Zvw)]]</f>
        <v>0</v>
      </c>
      <c r="Q18" s="1" t="s">
        <v>345</v>
      </c>
      <c r="R18" s="1" t="s">
        <v>37</v>
      </c>
      <c r="S18" s="273" t="s">
        <v>961</v>
      </c>
      <c r="T18"/>
    </row>
    <row r="19" spans="1:20" ht="16.5" customHeight="1" x14ac:dyDescent="0.5">
      <c r="A19" s="33" t="str">
        <f>INDEX(Technologieën[Veld],MATCH(Berekening_patiëntaantal[[#This Row],[Digitale zorgtoepassing]],Technologieën[Digitale zorgtoepassing],0))</f>
        <v>Sensoren - Verpleging</v>
      </c>
      <c r="B19" s="32" t="s">
        <v>36</v>
      </c>
      <c r="C19" s="32" t="s">
        <v>20</v>
      </c>
      <c r="D19" s="32" t="s">
        <v>668</v>
      </c>
      <c r="E19" s="32" t="s">
        <v>20</v>
      </c>
      <c r="F19" s="32" t="s">
        <v>1038</v>
      </c>
      <c r="G19" s="433">
        <f>IF(Berekening_patiëntaantal[[#This Row],[Zvw/Wlz]]="Zvw",0%,IF(Berekening_patiëntaantal[[#This Row],[Zvw/Wlz]]="Wlz",100%,IF(Berekening_patiëntaantal[[#This Row],[Zvw/Wlz]]="Thuiszorg ouderen: deels Wlz",'C3 Gegevens - overig'!$B$59,'C3 Gegevens - overig'!$B$60)))</f>
        <v>1</v>
      </c>
      <c r="H19" s="32" t="s">
        <v>21</v>
      </c>
      <c r="I19" s="319">
        <v>290000</v>
      </c>
      <c r="J19" s="417">
        <v>0.21</v>
      </c>
      <c r="K19" s="418">
        <v>1</v>
      </c>
      <c r="L19" s="419">
        <v>0.4</v>
      </c>
      <c r="M19" s="397">
        <f>Berekening_patiëntaantal[[#This Row],[Prevalentie]]*Berekening_patiëntaantal[[#This Row],[Aandeel in subgroep]]</f>
        <v>60900</v>
      </c>
      <c r="N19" s="420">
        <f t="shared" si="1"/>
        <v>0.4</v>
      </c>
      <c r="O19" s="397">
        <f>Berekening_patiëntaantal[[#This Row],[Prevalentie/incidentie subgroep]]*Berekening_patiëntaantal[[#This Row],[% toepasbaar]]</f>
        <v>24360</v>
      </c>
      <c r="P19" s="397">
        <f>Berekening_patiëntaantal[[#This Row],[Patiëntaantallen]]*Berekening_patiëntaantal[[#This Row],[Percentage van patiëntaantallen in Wlz (overige is Zvw)]]</f>
        <v>24360</v>
      </c>
      <c r="Q19" s="1" t="s">
        <v>346</v>
      </c>
      <c r="R19" s="1" t="s">
        <v>865</v>
      </c>
      <c r="S19" s="273" t="s">
        <v>961</v>
      </c>
    </row>
    <row r="20" spans="1:20" ht="16.5" customHeight="1" x14ac:dyDescent="0.5">
      <c r="A20" s="33" t="str">
        <f>INDEX(Technologieën[Veld],MATCH(Berekening_patiëntaantal[[#This Row],[Digitale zorgtoepassing]],Technologieën[Digitale zorgtoepassing],0))</f>
        <v>Digitale hulpmiddelen - Verpleging</v>
      </c>
      <c r="B20" s="32" t="s">
        <v>26</v>
      </c>
      <c r="C20" s="32" t="s">
        <v>20</v>
      </c>
      <c r="D20" s="32" t="s">
        <v>670</v>
      </c>
      <c r="E20" s="32" t="s">
        <v>20</v>
      </c>
      <c r="F20" s="32" t="s">
        <v>1073</v>
      </c>
      <c r="G20" s="433">
        <f>IF(Berekening_patiëntaantal[[#This Row],[Zvw/Wlz]]="Zvw",0%,IF(Berekening_patiëntaantal[[#This Row],[Zvw/Wlz]]="Wlz",100%,IF(Berekening_patiëntaantal[[#This Row],[Zvw/Wlz]]="Thuiszorg ouderen: deels Wlz",'C3 Gegevens - overig'!$B$59,'C3 Gegevens - overig'!$B$60)))</f>
        <v>0.45</v>
      </c>
      <c r="H20" s="32" t="s">
        <v>21</v>
      </c>
      <c r="I20" s="319">
        <v>290000</v>
      </c>
      <c r="J20" s="417">
        <v>0.5</v>
      </c>
      <c r="K20" s="418">
        <v>0.21</v>
      </c>
      <c r="L20" s="419">
        <v>0.2</v>
      </c>
      <c r="M20" s="397">
        <f>Berekening_patiëntaantal[[#This Row],[Prevalentie]]*Berekening_patiëntaantal[[#This Row],[Aandeel in subgroep]]</f>
        <v>145000</v>
      </c>
      <c r="N20" s="420">
        <f t="shared" si="1"/>
        <v>4.2000000000000003E-2</v>
      </c>
      <c r="O20" s="397">
        <f>Berekening_patiëntaantal[[#This Row],[Prevalentie/incidentie subgroep]]*Berekening_patiëntaantal[[#This Row],[% toepasbaar]]</f>
        <v>6090</v>
      </c>
      <c r="P20" s="397">
        <f>Berekening_patiëntaantal[[#This Row],[Patiëntaantallen]]*Berekening_patiëntaantal[[#This Row],[Percentage van patiëntaantallen in Wlz (overige is Zvw)]]</f>
        <v>2740.5</v>
      </c>
      <c r="Q20" s="1" t="s">
        <v>337</v>
      </c>
      <c r="R20" s="170" t="s">
        <v>997</v>
      </c>
      <c r="S20" s="273" t="s">
        <v>961</v>
      </c>
    </row>
    <row r="21" spans="1:20" ht="16.5" customHeight="1" x14ac:dyDescent="0.5">
      <c r="A21" s="33" t="str">
        <f>INDEX(Technologieën[Veld],MATCH(Berekening_patiëntaantal[[#This Row],[Digitale zorgtoepassing]],Technologieën[Digitale zorgtoepassing],0))</f>
        <v>Digitale hulpmiddelen - Verpleging</v>
      </c>
      <c r="B21" s="32" t="s">
        <v>26</v>
      </c>
      <c r="C21" s="32" t="s">
        <v>20</v>
      </c>
      <c r="D21" s="32" t="s">
        <v>666</v>
      </c>
      <c r="E21" s="32" t="s">
        <v>20</v>
      </c>
      <c r="F21" s="32" t="s">
        <v>1038</v>
      </c>
      <c r="G21" s="433">
        <f>IF(Berekening_patiëntaantal[[#This Row],[Zvw/Wlz]]="Zvw",0%,IF(Berekening_patiëntaantal[[#This Row],[Zvw/Wlz]]="Wlz",100%,IF(Berekening_patiëntaantal[[#This Row],[Zvw/Wlz]]="Thuiszorg ouderen: deels Wlz",'C3 Gegevens - overig'!$B$59,'C3 Gegevens - overig'!$B$60)))</f>
        <v>1</v>
      </c>
      <c r="H21" s="32" t="s">
        <v>21</v>
      </c>
      <c r="I21" s="319">
        <v>290000</v>
      </c>
      <c r="J21" s="417">
        <v>0.27</v>
      </c>
      <c r="K21" s="418">
        <v>1</v>
      </c>
      <c r="L21" s="419">
        <v>0.3</v>
      </c>
      <c r="M21" s="397">
        <f>Berekening_patiëntaantal[[#This Row],[Prevalentie]]*Berekening_patiëntaantal[[#This Row],[Aandeel in subgroep]]</f>
        <v>78300</v>
      </c>
      <c r="N21" s="420">
        <f t="shared" si="1"/>
        <v>0.3</v>
      </c>
      <c r="O21" s="397">
        <f>Berekening_patiëntaantal[[#This Row],[Prevalentie/incidentie subgroep]]*Berekening_patiëntaantal[[#This Row],[% toepasbaar]]</f>
        <v>23490</v>
      </c>
      <c r="P21" s="397">
        <f>Berekening_patiëntaantal[[#This Row],[Patiëntaantallen]]*Berekening_patiëntaantal[[#This Row],[Percentage van patiëntaantallen in Wlz (overige is Zvw)]]</f>
        <v>23490</v>
      </c>
      <c r="Q21" s="1" t="s">
        <v>338</v>
      </c>
      <c r="R21" s="170" t="s">
        <v>996</v>
      </c>
      <c r="S21" s="273" t="s">
        <v>961</v>
      </c>
    </row>
    <row r="22" spans="1:20" ht="16.5" customHeight="1" x14ac:dyDescent="0.5">
      <c r="A22" s="33" t="str">
        <f>INDEX(Technologieën[Veld],MATCH(Berekening_patiëntaantal[[#This Row],[Digitale zorgtoepassing]],Technologieën[Digitale zorgtoepassing],0))</f>
        <v>Digitale hulpmiddelen - Verpleging</v>
      </c>
      <c r="B22" s="32" t="s">
        <v>19</v>
      </c>
      <c r="C22" s="32" t="s">
        <v>20</v>
      </c>
      <c r="D22" s="32" t="s">
        <v>666</v>
      </c>
      <c r="E22" s="32" t="s">
        <v>20</v>
      </c>
      <c r="F22" s="32" t="s">
        <v>1038</v>
      </c>
      <c r="G22" s="433">
        <f>IF(Berekening_patiëntaantal[[#This Row],[Zvw/Wlz]]="Zvw",0%,IF(Berekening_patiëntaantal[[#This Row],[Zvw/Wlz]]="Wlz",100%,IF(Berekening_patiëntaantal[[#This Row],[Zvw/Wlz]]="Thuiszorg ouderen: deels Wlz",'C3 Gegevens - overig'!$B$59,'C3 Gegevens - overig'!$B$60)))</f>
        <v>1</v>
      </c>
      <c r="H22" s="32" t="s">
        <v>21</v>
      </c>
      <c r="I22" s="319">
        <v>290000</v>
      </c>
      <c r="J22" s="417">
        <v>0.27</v>
      </c>
      <c r="K22" s="418">
        <v>1</v>
      </c>
      <c r="L22" s="419">
        <v>0.1</v>
      </c>
      <c r="M22" s="397">
        <f>Berekening_patiëntaantal[[#This Row],[Prevalentie]]*Berekening_patiëntaantal[[#This Row],[Aandeel in subgroep]]</f>
        <v>78300</v>
      </c>
      <c r="N22" s="420">
        <f t="shared" si="1"/>
        <v>0.1</v>
      </c>
      <c r="O22" s="397">
        <f>Berekening_patiëntaantal[[#This Row],[Prevalentie/incidentie subgroep]]*Berekening_patiëntaantal[[#This Row],[% toepasbaar]]</f>
        <v>7830</v>
      </c>
      <c r="P22" s="397">
        <f>Berekening_patiëntaantal[[#This Row],[Patiëntaantallen]]*Berekening_patiëntaantal[[#This Row],[Percentage van patiëntaantallen in Wlz (overige is Zvw)]]</f>
        <v>7830</v>
      </c>
      <c r="Q22" s="1" t="s">
        <v>338</v>
      </c>
      <c r="R22" s="170" t="s">
        <v>995</v>
      </c>
      <c r="S22" s="273" t="s">
        <v>961</v>
      </c>
    </row>
    <row r="23" spans="1:20" ht="16.5" customHeight="1" x14ac:dyDescent="0.5">
      <c r="A23" s="33" t="str">
        <f>INDEX(Technologieën[Veld],MATCH(Berekening_patiëntaantal[[#This Row],[Digitale zorgtoepassing]],Technologieën[Digitale zorgtoepassing],0))</f>
        <v>Digitale hulpmiddelen - Verpleging</v>
      </c>
      <c r="B23" s="119" t="s">
        <v>105</v>
      </c>
      <c r="C23" s="119" t="s">
        <v>106</v>
      </c>
      <c r="D23" s="32"/>
      <c r="E23" s="32" t="s">
        <v>106</v>
      </c>
      <c r="F23" s="32" t="s">
        <v>1038</v>
      </c>
      <c r="G23" s="433">
        <f>IF(Berekening_patiëntaantal[[#This Row],[Zvw/Wlz]]="Zvw",0%,IF(Berekening_patiëntaantal[[#This Row],[Zvw/Wlz]]="Wlz",100%,IF(Berekening_patiëntaantal[[#This Row],[Zvw/Wlz]]="Thuiszorg ouderen: deels Wlz",'C3 Gegevens - overig'!$B$59,'C3 Gegevens - overig'!$B$60)))</f>
        <v>1</v>
      </c>
      <c r="H23" s="32" t="s">
        <v>21</v>
      </c>
      <c r="I23" s="319">
        <f>136800*0.06775*0.1*(1/3)</f>
        <v>308.94000000000005</v>
      </c>
      <c r="J23" s="417">
        <v>1</v>
      </c>
      <c r="K23" s="418">
        <v>1</v>
      </c>
      <c r="L23" s="419">
        <v>1</v>
      </c>
      <c r="M23" s="397">
        <f>Berekening_patiëntaantal[[#This Row],[Prevalentie]]*Berekening_patiëntaantal[[#This Row],[Aandeel in subgroep]]</f>
        <v>308.94000000000005</v>
      </c>
      <c r="N23" s="420">
        <f t="shared" si="1"/>
        <v>1</v>
      </c>
      <c r="O23" s="397">
        <f>Berekening_patiëntaantal[[#This Row],[Prevalentie/incidentie subgroep]]*Berekening_patiëntaantal[[#This Row],[% toepasbaar]]</f>
        <v>308.94000000000005</v>
      </c>
      <c r="P23" s="397">
        <f>Berekening_patiëntaantal[[#This Row],[Patiëntaantallen]]*Berekening_patiëntaantal[[#This Row],[Percentage van patiëntaantallen in Wlz (overige is Zvw)]]</f>
        <v>308.94000000000005</v>
      </c>
      <c r="Q23" s="1" t="s">
        <v>571</v>
      </c>
      <c r="R23" s="170" t="s">
        <v>987</v>
      </c>
      <c r="S23" s="273" t="s">
        <v>961</v>
      </c>
    </row>
    <row r="24" spans="1:20" ht="16.5" customHeight="1" x14ac:dyDescent="0.5">
      <c r="A24" s="33" t="str">
        <f>INDEX(Technologieën[Veld],MATCH(Berekening_patiëntaantal[[#This Row],[Digitale zorgtoepassing]],Technologieën[Digitale zorgtoepassing],0))</f>
        <v>Digitale hulpmiddelen - Verpleging</v>
      </c>
      <c r="B24" s="32" t="s">
        <v>26</v>
      </c>
      <c r="C24" s="32" t="s">
        <v>27</v>
      </c>
      <c r="D24" s="32" t="s">
        <v>666</v>
      </c>
      <c r="E24" s="32" t="s">
        <v>27</v>
      </c>
      <c r="F24" s="32" t="s">
        <v>1038</v>
      </c>
      <c r="G24" s="433">
        <f>IF(Berekening_patiëntaantal[[#This Row],[Zvw/Wlz]]="Zvw",0%,IF(Berekening_patiëntaantal[[#This Row],[Zvw/Wlz]]="Wlz",100%,IF(Berekening_patiëntaantal[[#This Row],[Zvw/Wlz]]="Thuiszorg ouderen: deels Wlz",'C3 Gegevens - overig'!$B$59,'C3 Gegevens - overig'!$B$60)))</f>
        <v>1</v>
      </c>
      <c r="H24" s="32" t="s">
        <v>21</v>
      </c>
      <c r="I24" s="319">
        <v>52900</v>
      </c>
      <c r="J24" s="417">
        <v>0.2</v>
      </c>
      <c r="K24" s="418">
        <v>1</v>
      </c>
      <c r="L24" s="419">
        <v>0.3</v>
      </c>
      <c r="M24" s="397">
        <f>Berekening_patiëntaantal[[#This Row],[Prevalentie]]*Berekening_patiëntaantal[[#This Row],[Aandeel in subgroep]]</f>
        <v>10580</v>
      </c>
      <c r="N24" s="420">
        <f t="shared" si="1"/>
        <v>0.3</v>
      </c>
      <c r="O24" s="397">
        <f>Berekening_patiëntaantal[[#This Row],[Prevalentie/incidentie subgroep]]*Berekening_patiëntaantal[[#This Row],[% toepasbaar]]</f>
        <v>3174</v>
      </c>
      <c r="P24" s="397">
        <f>Berekening_patiëntaantal[[#This Row],[Patiëntaantallen]]*Berekening_patiëntaantal[[#This Row],[Percentage van patiëntaantallen in Wlz (overige is Zvw)]]</f>
        <v>3174</v>
      </c>
      <c r="Q24" s="1" t="s">
        <v>342</v>
      </c>
      <c r="R24" s="170" t="s">
        <v>994</v>
      </c>
      <c r="S24" s="273" t="s">
        <v>961</v>
      </c>
    </row>
    <row r="25" spans="1:20" ht="16.5" customHeight="1" x14ac:dyDescent="0.5">
      <c r="A25" s="33" t="str">
        <f>INDEX(Technologieën[Veld],MATCH(Berekening_patiëntaantal[[#This Row],[Digitale zorgtoepassing]],Technologieën[Digitale zorgtoepassing],0))</f>
        <v>Digitale hulpmiddelen - Verpleging</v>
      </c>
      <c r="B25" s="119" t="s">
        <v>19</v>
      </c>
      <c r="C25" s="119" t="s">
        <v>27</v>
      </c>
      <c r="D25" s="32" t="s">
        <v>664</v>
      </c>
      <c r="E25" s="32" t="s">
        <v>27</v>
      </c>
      <c r="F25" s="32" t="s">
        <v>1073</v>
      </c>
      <c r="G25" s="433">
        <f>IF(Berekening_patiëntaantal[[#This Row],[Zvw/Wlz]]="Zvw",0%,IF(Berekening_patiëntaantal[[#This Row],[Zvw/Wlz]]="Wlz",100%,IF(Berekening_patiëntaantal[[#This Row],[Zvw/Wlz]]="Thuiszorg ouderen: deels Wlz",'C3 Gegevens - overig'!$B$59,'C3 Gegevens - overig'!$B$60)))</f>
        <v>0.45</v>
      </c>
      <c r="H25" s="32" t="s">
        <v>35</v>
      </c>
      <c r="I25" s="319">
        <v>52900</v>
      </c>
      <c r="J25" s="417">
        <v>0.8</v>
      </c>
      <c r="K25" s="418">
        <v>0.75</v>
      </c>
      <c r="L25" s="419">
        <v>0.25</v>
      </c>
      <c r="M25" s="397">
        <f>Berekening_patiëntaantal[[#This Row],[Prevalentie]]*Berekening_patiëntaantal[[#This Row],[Aandeel in subgroep]]</f>
        <v>42320</v>
      </c>
      <c r="N25" s="420">
        <f t="shared" si="1"/>
        <v>0.1875</v>
      </c>
      <c r="O25" s="397">
        <f>Berekening_patiëntaantal[[#This Row],[Prevalentie/incidentie subgroep]]*Berekening_patiëntaantal[[#This Row],[% toepasbaar]]</f>
        <v>7935</v>
      </c>
      <c r="P25" s="397">
        <f>Berekening_patiëntaantal[[#This Row],[Patiëntaantallen]]*Berekening_patiëntaantal[[#This Row],[Percentage van patiëntaantallen in Wlz (overige is Zvw)]]</f>
        <v>3570.75</v>
      </c>
      <c r="Q25" s="1" t="s">
        <v>341</v>
      </c>
      <c r="R25" s="170" t="s">
        <v>993</v>
      </c>
      <c r="S25" s="273" t="s">
        <v>961</v>
      </c>
    </row>
    <row r="26" spans="1:20" s="37" customFormat="1" ht="16.5" customHeight="1" x14ac:dyDescent="0.5">
      <c r="A26" s="33" t="str">
        <f>INDEX(Technologieën[Veld],MATCH(Berekening_patiëntaantal[[#This Row],[Digitale zorgtoepassing]],Technologieën[Digitale zorgtoepassing],0))</f>
        <v>Sensoren - Behandeling</v>
      </c>
      <c r="B26" s="32" t="s">
        <v>88</v>
      </c>
      <c r="C26" s="32" t="s">
        <v>89</v>
      </c>
      <c r="D26" s="32"/>
      <c r="E26" s="32" t="s">
        <v>89</v>
      </c>
      <c r="F26" s="32" t="s">
        <v>1039</v>
      </c>
      <c r="G26" s="433">
        <f>IF(Berekening_patiëntaantal[[#This Row],[Zvw/Wlz]]="Zvw",0%,IF(Berekening_patiëntaantal[[#This Row],[Zvw/Wlz]]="Wlz",100%,IF(Berekening_patiëntaantal[[#This Row],[Zvw/Wlz]]="Thuiszorg ouderen: deels Wlz",'C3 Gegevens - overig'!$B$59,'C3 Gegevens - overig'!$B$60)))</f>
        <v>0</v>
      </c>
      <c r="H26" s="32" t="s">
        <v>21</v>
      </c>
      <c r="I26" s="319">
        <v>1100000</v>
      </c>
      <c r="J26" s="417">
        <v>1</v>
      </c>
      <c r="K26" s="418">
        <v>1</v>
      </c>
      <c r="L26" s="419">
        <v>0.1</v>
      </c>
      <c r="M26" s="397">
        <f>Berekening_patiëntaantal[[#This Row],[Prevalentie]]*Berekening_patiëntaantal[[#This Row],[Aandeel in subgroep]]</f>
        <v>1100000</v>
      </c>
      <c r="N26" s="420">
        <f t="shared" si="1"/>
        <v>0.1</v>
      </c>
      <c r="O26" s="397">
        <f>Berekening_patiëntaantal[[#This Row],[Prevalentie/incidentie subgroep]]*Berekening_patiëntaantal[[#This Row],[% toepasbaar]]</f>
        <v>110000</v>
      </c>
      <c r="P26" s="397">
        <f>Berekening_patiëntaantal[[#This Row],[Patiëntaantallen]]*Berekening_patiëntaantal[[#This Row],[Percentage van patiëntaantallen in Wlz (overige is Zvw)]]</f>
        <v>0</v>
      </c>
      <c r="Q26" s="1" t="s">
        <v>369</v>
      </c>
      <c r="R26" s="1" t="s">
        <v>90</v>
      </c>
      <c r="S26" s="273" t="s">
        <v>961</v>
      </c>
      <c r="T26"/>
    </row>
    <row r="27" spans="1:20" ht="16.5" customHeight="1" x14ac:dyDescent="0.5">
      <c r="A27" s="33" t="str">
        <f>INDEX(Technologieën[Veld],MATCH(Berekening_patiëntaantal[[#This Row],[Digitale zorgtoepassing]],Technologieën[Digitale zorgtoepassing],0))</f>
        <v>Sensoren - Behandeling</v>
      </c>
      <c r="B27" s="32" t="s">
        <v>88</v>
      </c>
      <c r="C27" s="32" t="s">
        <v>89</v>
      </c>
      <c r="D27" s="32" t="s">
        <v>199</v>
      </c>
      <c r="E27" s="32" t="s">
        <v>91</v>
      </c>
      <c r="F27" s="32" t="s">
        <v>1039</v>
      </c>
      <c r="G27" s="433">
        <f>IF(Berekening_patiëntaantal[[#This Row],[Zvw/Wlz]]="Zvw",0%,IF(Berekening_patiëntaantal[[#This Row],[Zvw/Wlz]]="Wlz",100%,IF(Berekening_patiëntaantal[[#This Row],[Zvw/Wlz]]="Thuiszorg ouderen: deels Wlz",'C3 Gegevens - overig'!$B$59,'C3 Gegevens - overig'!$B$60)))</f>
        <v>0</v>
      </c>
      <c r="H27" s="32" t="s">
        <v>21</v>
      </c>
      <c r="I27" s="319">
        <v>1752</v>
      </c>
      <c r="J27" s="417">
        <v>1</v>
      </c>
      <c r="K27" s="418">
        <v>1</v>
      </c>
      <c r="L27" s="419">
        <v>1</v>
      </c>
      <c r="M27" s="397">
        <f>Berekening_patiëntaantal[[#This Row],[Prevalentie]]*Berekening_patiëntaantal[[#This Row],[Aandeel in subgroep]]</f>
        <v>1752</v>
      </c>
      <c r="N27" s="420">
        <f t="shared" si="1"/>
        <v>1</v>
      </c>
      <c r="O27" s="397">
        <f>Berekening_patiëntaantal[[#This Row],[Prevalentie/incidentie subgroep]]*Berekening_patiëntaantal[[#This Row],[% toepasbaar]]</f>
        <v>1752</v>
      </c>
      <c r="P27" s="397">
        <f>Berekening_patiëntaantal[[#This Row],[Patiëntaantallen]]*Berekening_patiëntaantal[[#This Row],[Percentage van patiëntaantallen in Wlz (overige is Zvw)]]</f>
        <v>0</v>
      </c>
      <c r="Q27" s="1" t="s">
        <v>370</v>
      </c>
      <c r="R27" s="1" t="s">
        <v>92</v>
      </c>
      <c r="S27" s="273" t="s">
        <v>961</v>
      </c>
    </row>
    <row r="28" spans="1:20" ht="16.5" customHeight="1" x14ac:dyDescent="0.5">
      <c r="A28" s="33" t="str">
        <f>INDEX(Technologieën[Veld],MATCH(Berekening_patiëntaantal[[#This Row],[Digitale zorgtoepassing]],Technologieën[Digitale zorgtoepassing],0))</f>
        <v>Digitale hulpmiddelen - Diagnose</v>
      </c>
      <c r="B28" s="32" t="s">
        <v>82</v>
      </c>
      <c r="C28" s="32" t="s">
        <v>702</v>
      </c>
      <c r="D28" s="32"/>
      <c r="E28" s="32" t="s">
        <v>702</v>
      </c>
      <c r="F28" s="32" t="s">
        <v>1039</v>
      </c>
      <c r="G28" s="433">
        <f>IF(Berekening_patiëntaantal[[#This Row],[Zvw/Wlz]]="Zvw",0%,IF(Berekening_patiëntaantal[[#This Row],[Zvw/Wlz]]="Wlz",100%,IF(Berekening_patiëntaantal[[#This Row],[Zvw/Wlz]]="Thuiszorg ouderen: deels Wlz",'C3 Gegevens - overig'!$B$59,'C3 Gegevens - overig'!$B$60)))</f>
        <v>0</v>
      </c>
      <c r="H28" s="32" t="s">
        <v>21</v>
      </c>
      <c r="I28" s="319">
        <f>1977105*0.04</f>
        <v>79084.2</v>
      </c>
      <c r="J28" s="417">
        <v>1</v>
      </c>
      <c r="K28" s="419">
        <v>1</v>
      </c>
      <c r="L28" s="419">
        <v>1</v>
      </c>
      <c r="M28" s="397">
        <f>Berekening_patiëntaantal[[#This Row],[Prevalentie]]*Berekening_patiëntaantal[[#This Row],[Aandeel in subgroep]]</f>
        <v>79084.2</v>
      </c>
      <c r="N28" s="420">
        <f t="shared" si="1"/>
        <v>1</v>
      </c>
      <c r="O28" s="397">
        <f>Berekening_patiëntaantal[[#This Row],[Prevalentie/incidentie subgroep]]*Berekening_patiëntaantal[[#This Row],[% toepasbaar]]</f>
        <v>79084.2</v>
      </c>
      <c r="P28" s="397">
        <f>Berekening_patiëntaantal[[#This Row],[Patiëntaantallen]]*Berekening_patiëntaantal[[#This Row],[Percentage van patiëntaantallen in Wlz (overige is Zvw)]]</f>
        <v>0</v>
      </c>
      <c r="Q28" s="1" t="s">
        <v>969</v>
      </c>
      <c r="R28" s="170" t="s">
        <v>988</v>
      </c>
      <c r="S28" s="273" t="s">
        <v>961</v>
      </c>
    </row>
    <row r="29" spans="1:20" ht="16.5" customHeight="1" x14ac:dyDescent="0.5">
      <c r="A29" s="33" t="str">
        <f>INDEX(Technologieën[Veld],MATCH(Berekening_patiëntaantal[[#This Row],[Digitale zorgtoepassing]],Technologieën[Digitale zorgtoepassing],0))</f>
        <v>Sensoren - Verpleging</v>
      </c>
      <c r="B29" s="32" t="s">
        <v>61</v>
      </c>
      <c r="C29" s="32" t="s">
        <v>64</v>
      </c>
      <c r="D29" s="32" t="s">
        <v>674</v>
      </c>
      <c r="E29" s="32" t="s">
        <v>385</v>
      </c>
      <c r="F29" s="32" t="s">
        <v>1039</v>
      </c>
      <c r="G29" s="433">
        <f>IF(Berekening_patiëntaantal[[#This Row],[Zvw/Wlz]]="Zvw",0%,IF(Berekening_patiëntaantal[[#This Row],[Zvw/Wlz]]="Wlz",100%,IF(Berekening_patiëntaantal[[#This Row],[Zvw/Wlz]]="Thuiszorg ouderen: deels Wlz",'C3 Gegevens - overig'!$B$59,'C3 Gegevens - overig'!$B$60)))</f>
        <v>0</v>
      </c>
      <c r="H29" s="32" t="s">
        <v>35</v>
      </c>
      <c r="I29" s="319">
        <v>200000</v>
      </c>
      <c r="J29" s="417">
        <v>0.1</v>
      </c>
      <c r="K29" s="418">
        <v>1</v>
      </c>
      <c r="L29" s="419">
        <v>0.8</v>
      </c>
      <c r="M29" s="397">
        <f>Berekening_patiëntaantal[[#This Row],[Prevalentie]]*Berekening_patiëntaantal[[#This Row],[Aandeel in subgroep]]</f>
        <v>20000</v>
      </c>
      <c r="N29" s="420">
        <f t="shared" si="1"/>
        <v>0.8</v>
      </c>
      <c r="O29" s="397">
        <f>Berekening_patiëntaantal[[#This Row],[Prevalentie/incidentie subgroep]]*Berekening_patiëntaantal[[#This Row],[% toepasbaar]]</f>
        <v>16000</v>
      </c>
      <c r="P29" s="397">
        <f>Berekening_patiëntaantal[[#This Row],[Patiëntaantallen]]*Berekening_patiëntaantal[[#This Row],[Percentage van patiëntaantallen in Wlz (overige is Zvw)]]</f>
        <v>0</v>
      </c>
      <c r="Q29" s="1" t="s">
        <v>358</v>
      </c>
      <c r="R29" s="1" t="s">
        <v>65</v>
      </c>
      <c r="S29" s="273" t="s">
        <v>961</v>
      </c>
    </row>
    <row r="30" spans="1:20" ht="16.5" customHeight="1" x14ac:dyDescent="0.5">
      <c r="A30" s="33" t="str">
        <f>INDEX(Technologieën[Veld],MATCH(Berekening_patiëntaantal[[#This Row],[Digitale zorgtoepassing]],Technologieën[Digitale zorgtoepassing],0))</f>
        <v>Software - Diagnose</v>
      </c>
      <c r="B30" s="32" t="s">
        <v>720</v>
      </c>
      <c r="C30" s="32" t="s">
        <v>678</v>
      </c>
      <c r="D30" s="32" t="s">
        <v>681</v>
      </c>
      <c r="E30" s="32" t="s">
        <v>73</v>
      </c>
      <c r="F30" s="32" t="s">
        <v>1039</v>
      </c>
      <c r="G30" s="433">
        <f>IF(Berekening_patiëntaantal[[#This Row],[Zvw/Wlz]]="Zvw",0%,IF(Berekening_patiëntaantal[[#This Row],[Zvw/Wlz]]="Wlz",100%,IF(Berekening_patiëntaantal[[#This Row],[Zvw/Wlz]]="Thuiszorg ouderen: deels Wlz",'C3 Gegevens - overig'!$B$59,'C3 Gegevens - overig'!$B$60)))</f>
        <v>0</v>
      </c>
      <c r="H30" s="32" t="s">
        <v>21</v>
      </c>
      <c r="I30" s="319">
        <v>2047000</v>
      </c>
      <c r="J30" s="417">
        <v>0.7</v>
      </c>
      <c r="K30" s="418">
        <v>1</v>
      </c>
      <c r="L30" s="419">
        <v>1</v>
      </c>
      <c r="M30" s="397">
        <f>Berekening_patiëntaantal[[#This Row],[Prevalentie]]*Berekening_patiëntaantal[[#This Row],[Aandeel in subgroep]]</f>
        <v>1432900</v>
      </c>
      <c r="N30" s="420">
        <f t="shared" si="1"/>
        <v>1</v>
      </c>
      <c r="O30" s="397">
        <f>Berekening_patiëntaantal[[#This Row],[Prevalentie/incidentie subgroep]]*Berekening_patiëntaantal[[#This Row],[% toepasbaar]]</f>
        <v>1432900</v>
      </c>
      <c r="P30" s="397">
        <f>Berekening_patiëntaantal[[#This Row],[Patiëntaantallen]]*Berekening_patiëntaantal[[#This Row],[Percentage van patiëntaantallen in Wlz (overige is Zvw)]]</f>
        <v>0</v>
      </c>
      <c r="Q30" s="1" t="s">
        <v>361</v>
      </c>
      <c r="R30" s="1" t="s">
        <v>74</v>
      </c>
      <c r="S30" s="273" t="s">
        <v>961</v>
      </c>
    </row>
    <row r="31" spans="1:20" ht="16.5" customHeight="1" x14ac:dyDescent="0.5">
      <c r="A31" s="33" t="str">
        <f>INDEX(Technologieën[Veld],MATCH(Berekening_patiëntaantal[[#This Row],[Digitale zorgtoepassing]],Technologieën[Digitale zorgtoepassing],0))</f>
        <v>Software - Behandeling</v>
      </c>
      <c r="B31" s="32" t="s">
        <v>609</v>
      </c>
      <c r="C31" s="32" t="s">
        <v>51</v>
      </c>
      <c r="D31" s="32"/>
      <c r="E31" s="32" t="s">
        <v>51</v>
      </c>
      <c r="F31" s="32" t="s">
        <v>1039</v>
      </c>
      <c r="G31" s="433">
        <f>IF(Berekening_patiëntaantal[[#This Row],[Zvw/Wlz]]="Zvw",0%,IF(Berekening_patiëntaantal[[#This Row],[Zvw/Wlz]]="Wlz",100%,IF(Berekening_patiëntaantal[[#This Row],[Zvw/Wlz]]="Thuiszorg ouderen: deels Wlz",'C3 Gegevens - overig'!$B$59,'C3 Gegevens - overig'!$B$60)))</f>
        <v>0</v>
      </c>
      <c r="H31" s="32" t="s">
        <v>21</v>
      </c>
      <c r="I31" s="319">
        <v>241300</v>
      </c>
      <c r="J31" s="417">
        <v>1</v>
      </c>
      <c r="K31" s="418">
        <v>1</v>
      </c>
      <c r="L31" s="419">
        <v>0.2</v>
      </c>
      <c r="M31" s="397">
        <f>Berekening_patiëntaantal[[#This Row],[Prevalentie]]*Berekening_patiëntaantal[[#This Row],[Aandeel in subgroep]]</f>
        <v>241300</v>
      </c>
      <c r="N31" s="420">
        <f t="shared" si="1"/>
        <v>0.2</v>
      </c>
      <c r="O31" s="397">
        <f>Berekening_patiëntaantal[[#This Row],[Prevalentie/incidentie subgroep]]*Berekening_patiëntaantal[[#This Row],[% toepasbaar]]</f>
        <v>48260</v>
      </c>
      <c r="P31" s="397">
        <f>Berekening_patiëntaantal[[#This Row],[Patiëntaantallen]]*Berekening_patiëntaantal[[#This Row],[Percentage van patiëntaantallen in Wlz (overige is Zvw)]]</f>
        <v>0</v>
      </c>
      <c r="Q31" s="1" t="s">
        <v>352</v>
      </c>
      <c r="R31" s="1" t="s">
        <v>52</v>
      </c>
      <c r="S31" s="273" t="s">
        <v>961</v>
      </c>
    </row>
    <row r="32" spans="1:20" ht="16.5" customHeight="1" x14ac:dyDescent="0.5">
      <c r="A32" s="33" t="str">
        <f>INDEX(Technologieën[Veld],MATCH(Berekening_patiëntaantal[[#This Row],[Digitale zorgtoepassing]],Technologieën[Digitale zorgtoepassing],0))</f>
        <v>Software - Behandeling</v>
      </c>
      <c r="B32" s="32" t="s">
        <v>585</v>
      </c>
      <c r="C32" s="32" t="s">
        <v>583</v>
      </c>
      <c r="D32" s="32"/>
      <c r="E32" s="32" t="s">
        <v>583</v>
      </c>
      <c r="F32" s="32" t="s">
        <v>1039</v>
      </c>
      <c r="G32" s="433">
        <f>IF(Berekening_patiëntaantal[[#This Row],[Zvw/Wlz]]="Zvw",0%,IF(Berekening_patiëntaantal[[#This Row],[Zvw/Wlz]]="Wlz",100%,IF(Berekening_patiëntaantal[[#This Row],[Zvw/Wlz]]="Thuiszorg ouderen: deels Wlz",'C3 Gegevens - overig'!$B$59,'C3 Gegevens - overig'!$B$60)))</f>
        <v>0</v>
      </c>
      <c r="H32" s="32" t="s">
        <v>21</v>
      </c>
      <c r="I32" s="319">
        <v>11000000</v>
      </c>
      <c r="J32" s="417">
        <v>1</v>
      </c>
      <c r="K32" s="419">
        <v>1</v>
      </c>
      <c r="L32" s="419">
        <v>0.5</v>
      </c>
      <c r="M32" s="397">
        <f>Berekening_patiëntaantal[[#This Row],[Prevalentie]]*Berekening_patiëntaantal[[#This Row],[Aandeel in subgroep]]</f>
        <v>11000000</v>
      </c>
      <c r="N32" s="420">
        <f t="shared" si="1"/>
        <v>0.5</v>
      </c>
      <c r="O32" s="397">
        <f>Berekening_patiëntaantal[[#This Row],[Prevalentie/incidentie subgroep]]*Berekening_patiëntaantal[[#This Row],[% toepasbaar]]</f>
        <v>5500000</v>
      </c>
      <c r="P32" s="397">
        <f>Berekening_patiëntaantal[[#This Row],[Patiëntaantallen]]*Berekening_patiëntaantal[[#This Row],[Percentage van patiëntaantallen in Wlz (overige is Zvw)]]</f>
        <v>0</v>
      </c>
      <c r="Q32" s="1" t="s">
        <v>971</v>
      </c>
      <c r="R32" s="1" t="s">
        <v>970</v>
      </c>
      <c r="S32" s="273" t="s">
        <v>961</v>
      </c>
    </row>
    <row r="33" spans="1:19" ht="16.5" customHeight="1" x14ac:dyDescent="0.5">
      <c r="A33" s="33" t="str">
        <f>INDEX(Technologieën[Veld],MATCH(Berekening_patiëntaantal[[#This Row],[Digitale zorgtoepassing]],Technologieën[Digitale zorgtoepassing],0))</f>
        <v>Sensoren - Behandeling</v>
      </c>
      <c r="B33" s="32" t="s">
        <v>53</v>
      </c>
      <c r="C33" s="32" t="s">
        <v>686</v>
      </c>
      <c r="D33" s="32"/>
      <c r="E33" s="32" t="s">
        <v>54</v>
      </c>
      <c r="F33" s="32" t="s">
        <v>1039</v>
      </c>
      <c r="G33" s="433">
        <f>IF(Berekening_patiëntaantal[[#This Row],[Zvw/Wlz]]="Zvw",0%,IF(Berekening_patiëntaantal[[#This Row],[Zvw/Wlz]]="Wlz",100%,IF(Berekening_patiëntaantal[[#This Row],[Zvw/Wlz]]="Thuiszorg ouderen: deels Wlz",'C3 Gegevens - overig'!$B$59,'C3 Gegevens - overig'!$B$60)))</f>
        <v>0</v>
      </c>
      <c r="H33" s="32" t="s">
        <v>21</v>
      </c>
      <c r="I33" s="319">
        <v>24000</v>
      </c>
      <c r="J33" s="417">
        <v>1</v>
      </c>
      <c r="K33" s="418">
        <v>1</v>
      </c>
      <c r="L33" s="419">
        <v>0.75</v>
      </c>
      <c r="M33" s="397">
        <f>Berekening_patiëntaantal[[#This Row],[Prevalentie]]*Berekening_patiëntaantal[[#This Row],[Aandeel in subgroep]]</f>
        <v>24000</v>
      </c>
      <c r="N33" s="420">
        <f t="shared" si="1"/>
        <v>0.75</v>
      </c>
      <c r="O33" s="397">
        <f>Berekening_patiëntaantal[[#This Row],[Prevalentie/incidentie subgroep]]*Berekening_patiëntaantal[[#This Row],[% toepasbaar]]</f>
        <v>18000</v>
      </c>
      <c r="P33" s="397">
        <f>Berekening_patiëntaantal[[#This Row],[Patiëntaantallen]]*Berekening_patiëntaantal[[#This Row],[Percentage van patiëntaantallen in Wlz (overige is Zvw)]]</f>
        <v>0</v>
      </c>
      <c r="Q33" s="1" t="s">
        <v>353</v>
      </c>
      <c r="R33" s="1" t="s">
        <v>975</v>
      </c>
      <c r="S33" s="273" t="s">
        <v>961</v>
      </c>
    </row>
    <row r="34" spans="1:19" ht="16.5" customHeight="1" x14ac:dyDescent="0.5">
      <c r="A34" s="33" t="str">
        <f>INDEX(Technologieën[Veld],MATCH(Berekening_patiëntaantal[[#This Row],[Digitale zorgtoepassing]],Technologieën[Digitale zorgtoepassing],0))</f>
        <v>Digitale hulpmiddelen - Verpleging</v>
      </c>
      <c r="B34" s="32" t="s">
        <v>19</v>
      </c>
      <c r="C34" s="32" t="s">
        <v>20</v>
      </c>
      <c r="D34" s="32" t="s">
        <v>669</v>
      </c>
      <c r="E34" s="32" t="s">
        <v>20</v>
      </c>
      <c r="F34" s="32" t="s">
        <v>1073</v>
      </c>
      <c r="G34" s="433">
        <f>IF(Berekening_patiëntaantal[[#This Row],[Zvw/Wlz]]="Zvw",0%,IF(Berekening_patiëntaantal[[#This Row],[Zvw/Wlz]]="Wlz",100%,IF(Berekening_patiëntaantal[[#This Row],[Zvw/Wlz]]="Thuiszorg ouderen: deels Wlz",'C3 Gegevens - overig'!$B$59,'C3 Gegevens - overig'!$B$60)))</f>
        <v>0.45</v>
      </c>
      <c r="H34" s="32" t="s">
        <v>21</v>
      </c>
      <c r="I34" s="319">
        <v>290000</v>
      </c>
      <c r="J34" s="417">
        <v>0.23</v>
      </c>
      <c r="K34" s="418">
        <v>0.21</v>
      </c>
      <c r="L34" s="419">
        <v>0.75</v>
      </c>
      <c r="M34" s="397">
        <f>Berekening_patiëntaantal[[#This Row],[Prevalentie]]*Berekening_patiëntaantal[[#This Row],[Aandeel in subgroep]]</f>
        <v>66700</v>
      </c>
      <c r="N34" s="420">
        <f t="shared" si="1"/>
        <v>0.1575</v>
      </c>
      <c r="O34" s="397">
        <f>Berekening_patiëntaantal[[#This Row],[Prevalentie/incidentie subgroep]]*Berekening_patiëntaantal[[#This Row],[% toepasbaar]]</f>
        <v>10505.25</v>
      </c>
      <c r="P34" s="397">
        <f>Berekening_patiëntaantal[[#This Row],[Patiëntaantallen]]*Berekening_patiëntaantal[[#This Row],[Percentage van patiëntaantallen in Wlz (overige is Zvw)]]</f>
        <v>4727.3625000000002</v>
      </c>
      <c r="Q34" s="1" t="s">
        <v>337</v>
      </c>
      <c r="R34" s="170" t="s">
        <v>23</v>
      </c>
      <c r="S34" s="273" t="s">
        <v>961</v>
      </c>
    </row>
    <row r="35" spans="1:19" ht="16.5" customHeight="1" x14ac:dyDescent="0.5">
      <c r="A35" s="33" t="str">
        <f>INDEX(Technologieën[Veld],MATCH(Berekening_patiëntaantal[[#This Row],[Digitale zorgtoepassing]],Technologieën[Digitale zorgtoepassing],0))</f>
        <v>Software - Diagnose</v>
      </c>
      <c r="B35" s="32" t="s">
        <v>474</v>
      </c>
      <c r="C35" s="32" t="s">
        <v>679</v>
      </c>
      <c r="D35" s="32" t="s">
        <v>672</v>
      </c>
      <c r="E35" s="32" t="s">
        <v>111</v>
      </c>
      <c r="F35" s="32" t="s">
        <v>1039</v>
      </c>
      <c r="G35" s="433">
        <f>IF(Berekening_patiëntaantal[[#This Row],[Zvw/Wlz]]="Zvw",0%,IF(Berekening_patiëntaantal[[#This Row],[Zvw/Wlz]]="Wlz",100%,IF(Berekening_patiëntaantal[[#This Row],[Zvw/Wlz]]="Thuiszorg ouderen: deels Wlz",'C3 Gegevens - overig'!$B$59,'C3 Gegevens - overig'!$B$60)))</f>
        <v>0</v>
      </c>
      <c r="H35" s="32" t="s">
        <v>21</v>
      </c>
      <c r="I35" s="319">
        <v>2080458</v>
      </c>
      <c r="J35" s="417">
        <v>1</v>
      </c>
      <c r="K35" s="418">
        <v>1</v>
      </c>
      <c r="L35" s="419">
        <v>0.44</v>
      </c>
      <c r="M35" s="397">
        <f>Berekening_patiëntaantal[[#This Row],[Prevalentie]]*Berekening_patiëntaantal[[#This Row],[Aandeel in subgroep]]</f>
        <v>2080458</v>
      </c>
      <c r="N35" s="420">
        <f t="shared" si="1"/>
        <v>0.44</v>
      </c>
      <c r="O35" s="397">
        <f>Berekening_patiëntaantal[[#This Row],[Prevalentie/incidentie subgroep]]*Berekening_patiëntaantal[[#This Row],[% toepasbaar]]</f>
        <v>915401.52</v>
      </c>
      <c r="P35" s="397">
        <f>Berekening_patiëntaantal[[#This Row],[Patiëntaantallen]]*Berekening_patiëntaantal[[#This Row],[Percentage van patiëntaantallen in Wlz (overige is Zvw)]]</f>
        <v>0</v>
      </c>
      <c r="Q35" s="1" t="s">
        <v>377</v>
      </c>
      <c r="R35" s="1" t="s">
        <v>112</v>
      </c>
      <c r="S35" s="273" t="s">
        <v>961</v>
      </c>
    </row>
    <row r="36" spans="1:19" ht="16.5" customHeight="1" x14ac:dyDescent="0.5">
      <c r="A36" s="33" t="str">
        <f>INDEX(Technologieën[Veld],MATCH(Berekening_patiëntaantal[[#This Row],[Digitale zorgtoepassing]],Technologieën[Digitale zorgtoepassing],0))</f>
        <v>Software - Diagnose</v>
      </c>
      <c r="B36" s="32" t="s">
        <v>725</v>
      </c>
      <c r="C36" s="32" t="s">
        <v>680</v>
      </c>
      <c r="D36" s="32"/>
      <c r="E36" s="32" t="s">
        <v>99</v>
      </c>
      <c r="F36" s="32" t="s">
        <v>1039</v>
      </c>
      <c r="G36" s="433">
        <f>IF(Berekening_patiëntaantal[[#This Row],[Zvw/Wlz]]="Zvw",0%,IF(Berekening_patiëntaantal[[#This Row],[Zvw/Wlz]]="Wlz",100%,IF(Berekening_patiëntaantal[[#This Row],[Zvw/Wlz]]="Thuiszorg ouderen: deels Wlz",'C3 Gegevens - overig'!$B$59,'C3 Gegevens - overig'!$B$60)))</f>
        <v>0</v>
      </c>
      <c r="H36" s="32" t="s">
        <v>21</v>
      </c>
      <c r="I36" s="319">
        <v>1977105</v>
      </c>
      <c r="J36" s="417">
        <v>1</v>
      </c>
      <c r="K36" s="418">
        <v>1</v>
      </c>
      <c r="L36" s="419">
        <v>1</v>
      </c>
      <c r="M36" s="397">
        <f>Berekening_patiëntaantal[[#This Row],[Prevalentie]]*Berekening_patiëntaantal[[#This Row],[Aandeel in subgroep]]</f>
        <v>1977105</v>
      </c>
      <c r="N36" s="420">
        <f t="shared" si="1"/>
        <v>1</v>
      </c>
      <c r="O36" s="397">
        <f>Berekening_patiëntaantal[[#This Row],[Prevalentie/incidentie subgroep]]*Berekening_patiëntaantal[[#This Row],[% toepasbaar]]</f>
        <v>1977105</v>
      </c>
      <c r="P36" s="397">
        <f>Berekening_patiëntaantal[[#This Row],[Patiëntaantallen]]*Berekening_patiëntaantal[[#This Row],[Percentage van patiëntaantallen in Wlz (overige is Zvw)]]</f>
        <v>0</v>
      </c>
      <c r="Q36" s="1" t="s">
        <v>1001</v>
      </c>
      <c r="R36" s="1" t="s">
        <v>100</v>
      </c>
      <c r="S36" s="273" t="s">
        <v>961</v>
      </c>
    </row>
    <row r="37" spans="1:19" ht="16.5" customHeight="1" x14ac:dyDescent="0.5">
      <c r="A37" s="33" t="str">
        <f>INDEX(Technologieën[Veld],MATCH(Berekening_patiëntaantal[[#This Row],[Digitale zorgtoepassing]],Technologieën[Digitale zorgtoepassing],0))</f>
        <v>Software - Behandeling</v>
      </c>
      <c r="B37" s="32" t="s">
        <v>609</v>
      </c>
      <c r="C37" s="32" t="s">
        <v>94</v>
      </c>
      <c r="D37" s="32"/>
      <c r="E37" s="32" t="s">
        <v>94</v>
      </c>
      <c r="F37" s="32" t="s">
        <v>1039</v>
      </c>
      <c r="G37" s="433">
        <f>IF(Berekening_patiëntaantal[[#This Row],[Zvw/Wlz]]="Zvw",0%,IF(Berekening_patiëntaantal[[#This Row],[Zvw/Wlz]]="Wlz",100%,IF(Berekening_patiëntaantal[[#This Row],[Zvw/Wlz]]="Thuiszorg ouderen: deels Wlz",'C3 Gegevens - overig'!$B$59,'C3 Gegevens - overig'!$B$60)))</f>
        <v>0</v>
      </c>
      <c r="H37" s="32" t="s">
        <v>21</v>
      </c>
      <c r="I37" s="319">
        <v>2800000</v>
      </c>
      <c r="J37" s="417">
        <v>1</v>
      </c>
      <c r="K37" s="418">
        <v>1</v>
      </c>
      <c r="L37" s="419">
        <v>0.01</v>
      </c>
      <c r="M37" s="397">
        <f>Berekening_patiëntaantal[[#This Row],[Prevalentie]]*Berekening_patiëntaantal[[#This Row],[Aandeel in subgroep]]</f>
        <v>2800000</v>
      </c>
      <c r="N37" s="420">
        <f t="shared" si="1"/>
        <v>0.01</v>
      </c>
      <c r="O37" s="397">
        <f>Berekening_patiëntaantal[[#This Row],[Prevalentie/incidentie subgroep]]*Berekening_patiëntaantal[[#This Row],[% toepasbaar]]</f>
        <v>28000</v>
      </c>
      <c r="P37" s="397">
        <f>Berekening_patiëntaantal[[#This Row],[Patiëntaantallen]]*Berekening_patiëntaantal[[#This Row],[Percentage van patiëntaantallen in Wlz (overige is Zvw)]]</f>
        <v>0</v>
      </c>
      <c r="Q37" s="1" t="s">
        <v>371</v>
      </c>
      <c r="R37" s="1" t="s">
        <v>972</v>
      </c>
      <c r="S37" s="273" t="s">
        <v>961</v>
      </c>
    </row>
    <row r="38" spans="1:19" ht="16.5" customHeight="1" x14ac:dyDescent="0.5">
      <c r="A38" s="33" t="str">
        <f>INDEX(Technologieën[Veld],MATCH(Berekening_patiëntaantal[[#This Row],[Digitale zorgtoepassing]],Technologieën[Digitale zorgtoepassing],0))</f>
        <v>Software - Behandeling</v>
      </c>
      <c r="B38" s="32" t="s">
        <v>609</v>
      </c>
      <c r="C38" s="32" t="s">
        <v>81</v>
      </c>
      <c r="D38" s="32"/>
      <c r="E38" s="32" t="s">
        <v>81</v>
      </c>
      <c r="F38" s="32" t="s">
        <v>1039</v>
      </c>
      <c r="G38" s="433">
        <f>IF(Berekening_patiëntaantal[[#This Row],[Zvw/Wlz]]="Zvw",0%,IF(Berekening_patiëntaantal[[#This Row],[Zvw/Wlz]]="Wlz",100%,IF(Berekening_patiëntaantal[[#This Row],[Zvw/Wlz]]="Thuiszorg ouderen: deels Wlz",'C3 Gegevens - overig'!$B$59,'C3 Gegevens - overig'!$B$60)))</f>
        <v>0</v>
      </c>
      <c r="H38" s="32" t="s">
        <v>21</v>
      </c>
      <c r="I38" s="319">
        <v>80000</v>
      </c>
      <c r="J38" s="417">
        <v>1</v>
      </c>
      <c r="K38" s="418">
        <v>1</v>
      </c>
      <c r="L38" s="419">
        <v>1</v>
      </c>
      <c r="M38" s="397">
        <f>Berekening_patiëntaantal[[#This Row],[Prevalentie]]*Berekening_patiëntaantal[[#This Row],[Aandeel in subgroep]]</f>
        <v>80000</v>
      </c>
      <c r="N38" s="420">
        <f t="shared" ref="N38:N69" si="2">L38*K38</f>
        <v>1</v>
      </c>
      <c r="O38" s="397">
        <f>Berekening_patiëntaantal[[#This Row],[Prevalentie/incidentie subgroep]]*Berekening_patiëntaantal[[#This Row],[% toepasbaar]]</f>
        <v>80000</v>
      </c>
      <c r="P38" s="397">
        <f>Berekening_patiëntaantal[[#This Row],[Patiëntaantallen]]*Berekening_patiëntaantal[[#This Row],[Percentage van patiëntaantallen in Wlz (overige is Zvw)]]</f>
        <v>0</v>
      </c>
      <c r="Q38" s="1" t="s">
        <v>365</v>
      </c>
      <c r="R38" s="1" t="s">
        <v>575</v>
      </c>
      <c r="S38" s="273" t="s">
        <v>961</v>
      </c>
    </row>
    <row r="39" spans="1:19" ht="16.5" customHeight="1" x14ac:dyDescent="0.5">
      <c r="A39" s="33" t="str">
        <f>INDEX(Technologieën[Veld],MATCH(Berekening_patiëntaantal[[#This Row],[Digitale zorgtoepassing]],Technologieën[Digitale zorgtoepassing],0))</f>
        <v>Software - Behandeling</v>
      </c>
      <c r="B39" s="32" t="s">
        <v>716</v>
      </c>
      <c r="C39" s="32" t="s">
        <v>684</v>
      </c>
      <c r="D39" s="32"/>
      <c r="E39" s="32" t="s">
        <v>80</v>
      </c>
      <c r="F39" s="32" t="s">
        <v>1039</v>
      </c>
      <c r="G39" s="433">
        <f>IF(Berekening_patiëntaantal[[#This Row],[Zvw/Wlz]]="Zvw",0%,IF(Berekening_patiëntaantal[[#This Row],[Zvw/Wlz]]="Wlz",100%,IF(Berekening_patiëntaantal[[#This Row],[Zvw/Wlz]]="Thuiszorg ouderen: deels Wlz",'C3 Gegevens - overig'!$B$59,'C3 Gegevens - overig'!$B$60)))</f>
        <v>0</v>
      </c>
      <c r="H39" s="32" t="s">
        <v>21</v>
      </c>
      <c r="I39" s="319">
        <v>64868</v>
      </c>
      <c r="J39" s="417">
        <v>1</v>
      </c>
      <c r="K39" s="418">
        <v>1</v>
      </c>
      <c r="L39" s="419">
        <v>1</v>
      </c>
      <c r="M39" s="397">
        <f>Berekening_patiëntaantal[[#This Row],[Prevalentie]]*Berekening_patiëntaantal[[#This Row],[Aandeel in subgroep]]</f>
        <v>64868</v>
      </c>
      <c r="N39" s="420">
        <f t="shared" si="2"/>
        <v>1</v>
      </c>
      <c r="O39" s="397">
        <f>Berekening_patiëntaantal[[#This Row],[Prevalentie/incidentie subgroep]]*Berekening_patiëntaantal[[#This Row],[% toepasbaar]]</f>
        <v>64868</v>
      </c>
      <c r="P39" s="397">
        <f>Berekening_patiëntaantal[[#This Row],[Patiëntaantallen]]*Berekening_patiëntaantal[[#This Row],[Percentage van patiëntaantallen in Wlz (overige is Zvw)]]</f>
        <v>0</v>
      </c>
      <c r="Q39" s="1" t="s">
        <v>364</v>
      </c>
      <c r="R39" s="1" t="s">
        <v>966</v>
      </c>
      <c r="S39" s="273" t="s">
        <v>961</v>
      </c>
    </row>
    <row r="40" spans="1:19" ht="16.5" customHeight="1" x14ac:dyDescent="0.5">
      <c r="A40" s="33" t="str">
        <f>INDEX(Technologieën[Veld],MATCH(Berekening_patiëntaantal[[#This Row],[Digitale zorgtoepassing]],Technologieën[Digitale zorgtoepassing],0))</f>
        <v>Sensoren - Behandeling</v>
      </c>
      <c r="B40" s="32" t="s">
        <v>53</v>
      </c>
      <c r="C40" s="32" t="s">
        <v>685</v>
      </c>
      <c r="D40" s="32"/>
      <c r="E40" s="32" t="s">
        <v>55</v>
      </c>
      <c r="F40" s="32" t="s">
        <v>1039</v>
      </c>
      <c r="G40" s="433">
        <f>IF(Berekening_patiëntaantal[[#This Row],[Zvw/Wlz]]="Zvw",0%,IF(Berekening_patiëntaantal[[#This Row],[Zvw/Wlz]]="Wlz",100%,IF(Berekening_patiëntaantal[[#This Row],[Zvw/Wlz]]="Thuiszorg ouderen: deels Wlz",'C3 Gegevens - overig'!$B$59,'C3 Gegevens - overig'!$B$60)))</f>
        <v>0</v>
      </c>
      <c r="H40" s="32" t="s">
        <v>21</v>
      </c>
      <c r="I40" s="319">
        <v>20000</v>
      </c>
      <c r="J40" s="417">
        <v>1</v>
      </c>
      <c r="K40" s="418">
        <v>1</v>
      </c>
      <c r="L40" s="419">
        <v>0.75</v>
      </c>
      <c r="M40" s="397">
        <f>Berekening_patiëntaantal[[#This Row],[Prevalentie]]*Berekening_patiëntaantal[[#This Row],[Aandeel in subgroep]]</f>
        <v>20000</v>
      </c>
      <c r="N40" s="420">
        <f t="shared" si="2"/>
        <v>0.75</v>
      </c>
      <c r="O40" s="397">
        <f>Berekening_patiëntaantal[[#This Row],[Prevalentie/incidentie subgroep]]*Berekening_patiëntaantal[[#This Row],[% toepasbaar]]</f>
        <v>15000</v>
      </c>
      <c r="P40" s="397">
        <f>Berekening_patiëntaantal[[#This Row],[Patiëntaantallen]]*Berekening_patiëntaantal[[#This Row],[Percentage van patiëntaantallen in Wlz (overige is Zvw)]]</f>
        <v>0</v>
      </c>
      <c r="Q40" s="1" t="s">
        <v>354</v>
      </c>
      <c r="R40" s="1" t="s">
        <v>975</v>
      </c>
      <c r="S40" s="273" t="s">
        <v>961</v>
      </c>
    </row>
    <row r="41" spans="1:19" ht="16.5" customHeight="1" x14ac:dyDescent="0.5">
      <c r="A41" s="33" t="str">
        <f>INDEX(Technologieën[Veld],MATCH(Berekening_patiëntaantal[[#This Row],[Digitale zorgtoepassing]],Technologieën[Digitale zorgtoepassing],0))</f>
        <v>Sensoren - Verpleging</v>
      </c>
      <c r="B41" s="32" t="s">
        <v>36</v>
      </c>
      <c r="C41" s="32" t="s">
        <v>40</v>
      </c>
      <c r="D41" s="32" t="s">
        <v>664</v>
      </c>
      <c r="E41" s="32" t="s">
        <v>40</v>
      </c>
      <c r="F41" s="32" t="s">
        <v>1073</v>
      </c>
      <c r="G41" s="433">
        <f>IF(Berekening_patiëntaantal[[#This Row],[Zvw/Wlz]]="Zvw",0%,IF(Berekening_patiëntaantal[[#This Row],[Zvw/Wlz]]="Wlz",100%,IF(Berekening_patiëntaantal[[#This Row],[Zvw/Wlz]]="Thuiszorg ouderen: deels Wlz",'C3 Gegevens - overig'!$B$59,'C3 Gegevens - overig'!$B$60)))</f>
        <v>0.45</v>
      </c>
      <c r="H41" s="32" t="s">
        <v>35</v>
      </c>
      <c r="I41" s="319">
        <v>730000</v>
      </c>
      <c r="J41" s="417">
        <v>0.75</v>
      </c>
      <c r="K41" s="418">
        <v>0.75</v>
      </c>
      <c r="L41" s="419">
        <v>0.05</v>
      </c>
      <c r="M41" s="397">
        <f>Berekening_patiëntaantal[[#This Row],[Prevalentie]]*Berekening_patiëntaantal[[#This Row],[Aandeel in subgroep]]</f>
        <v>547500</v>
      </c>
      <c r="N41" s="420">
        <f t="shared" si="2"/>
        <v>3.7500000000000006E-2</v>
      </c>
      <c r="O41" s="397">
        <f>Berekening_patiëntaantal[[#This Row],[Prevalentie/incidentie subgroep]]*Berekening_patiëntaantal[[#This Row],[% toepasbaar]]</f>
        <v>20531.250000000004</v>
      </c>
      <c r="P41" s="397">
        <f>Berekening_patiëntaantal[[#This Row],[Patiëntaantallen]]*Berekening_patiëntaantal[[#This Row],[Percentage van patiëntaantallen in Wlz (overige is Zvw)]]</f>
        <v>9239.0625000000018</v>
      </c>
      <c r="Q41" s="1" t="s">
        <v>347</v>
      </c>
      <c r="R41" s="1" t="s">
        <v>41</v>
      </c>
      <c r="S41" s="273" t="s">
        <v>961</v>
      </c>
    </row>
    <row r="42" spans="1:19" ht="16.5" customHeight="1" x14ac:dyDescent="0.5">
      <c r="A42" s="33" t="str">
        <f>INDEX(Technologieën[Veld],MATCH(Berekening_patiëntaantal[[#This Row],[Digitale zorgtoepassing]],Technologieën[Digitale zorgtoepassing],0))</f>
        <v>Software - Diagnose</v>
      </c>
      <c r="B42" s="32" t="s">
        <v>473</v>
      </c>
      <c r="C42" s="32" t="s">
        <v>75</v>
      </c>
      <c r="D42" s="32"/>
      <c r="E42" s="32" t="s">
        <v>75</v>
      </c>
      <c r="F42" s="32" t="s">
        <v>1039</v>
      </c>
      <c r="G42" s="433">
        <f>IF(Berekening_patiëntaantal[[#This Row],[Zvw/Wlz]]="Zvw",0%,IF(Berekening_patiëntaantal[[#This Row],[Zvw/Wlz]]="Wlz",100%,IF(Berekening_patiëntaantal[[#This Row],[Zvw/Wlz]]="Thuiszorg ouderen: deels Wlz",'C3 Gegevens - overig'!$B$59,'C3 Gegevens - overig'!$B$60)))</f>
        <v>0</v>
      </c>
      <c r="H42" s="32" t="s">
        <v>470</v>
      </c>
      <c r="I42" s="319">
        <v>14633</v>
      </c>
      <c r="J42" s="417">
        <v>1</v>
      </c>
      <c r="K42" s="419">
        <v>1</v>
      </c>
      <c r="L42" s="419">
        <v>1</v>
      </c>
      <c r="M42" s="397">
        <f>Berekening_patiëntaantal[[#This Row],[Prevalentie]]*Berekening_patiëntaantal[[#This Row],[Aandeel in subgroep]]</f>
        <v>14633</v>
      </c>
      <c r="N42" s="420">
        <f t="shared" si="2"/>
        <v>1</v>
      </c>
      <c r="O42" s="397">
        <f>Berekening_patiëntaantal[[#This Row],[Prevalentie/incidentie subgroep]]*Berekening_patiëntaantal[[#This Row],[% toepasbaar]]</f>
        <v>14633</v>
      </c>
      <c r="P42" s="397">
        <f>Berekening_patiëntaantal[[#This Row],[Patiëntaantallen]]*Berekening_patiëntaantal[[#This Row],[Percentage van patiëntaantallen in Wlz (overige is Zvw)]]</f>
        <v>0</v>
      </c>
      <c r="Q42" s="1" t="s">
        <v>624</v>
      </c>
      <c r="R42" s="1" t="s">
        <v>452</v>
      </c>
      <c r="S42" s="273" t="s">
        <v>961</v>
      </c>
    </row>
    <row r="43" spans="1:19" ht="16.5" customHeight="1" x14ac:dyDescent="0.5">
      <c r="A43" s="33" t="str">
        <f>INDEX(Technologieën[Veld],MATCH(Berekening_patiëntaantal[[#This Row],[Digitale zorgtoepassing]],Technologieën[Digitale zorgtoepassing],0))</f>
        <v>Sensoren - Behandeling</v>
      </c>
      <c r="B43" s="32" t="s">
        <v>53</v>
      </c>
      <c r="C43" s="32" t="s">
        <v>722</v>
      </c>
      <c r="D43" s="32"/>
      <c r="E43" s="32" t="s">
        <v>722</v>
      </c>
      <c r="F43" s="32" t="s">
        <v>1039</v>
      </c>
      <c r="G43" s="433">
        <f>IF(Berekening_patiëntaantal[[#This Row],[Zvw/Wlz]]="Zvw",0%,IF(Berekening_patiëntaantal[[#This Row],[Zvw/Wlz]]="Wlz",100%,IF(Berekening_patiëntaantal[[#This Row],[Zvw/Wlz]]="Thuiszorg ouderen: deels Wlz",'C3 Gegevens - overig'!$B$59,'C3 Gegevens - overig'!$B$60)))</f>
        <v>0</v>
      </c>
      <c r="H43" s="32" t="s">
        <v>35</v>
      </c>
      <c r="I43" s="319">
        <f>(I33+I40)*(681650/55335-1)</f>
        <v>498018.61389717174</v>
      </c>
      <c r="J43" s="417">
        <v>1</v>
      </c>
      <c r="K43" s="418">
        <v>1</v>
      </c>
      <c r="L43" s="419">
        <v>0.5</v>
      </c>
      <c r="M43" s="397">
        <f>Berekening_patiëntaantal[[#This Row],[Prevalentie]]*Berekening_patiëntaantal[[#This Row],[Aandeel in subgroep]]</f>
        <v>498018.61389717174</v>
      </c>
      <c r="N43" s="420">
        <f t="shared" si="2"/>
        <v>0.5</v>
      </c>
      <c r="O43" s="397">
        <f>Berekening_patiëntaantal[[#This Row],[Prevalentie/incidentie subgroep]]*Berekening_patiëntaantal[[#This Row],[% toepasbaar]]</f>
        <v>249009.30694858587</v>
      </c>
      <c r="P43" s="397">
        <f>Berekening_patiëntaantal[[#This Row],[Patiëntaantallen]]*Berekening_patiëntaantal[[#This Row],[Percentage van patiëntaantallen in Wlz (overige is Zvw)]]</f>
        <v>0</v>
      </c>
      <c r="Q43" s="1" t="s">
        <v>973</v>
      </c>
      <c r="R43" s="1" t="s">
        <v>974</v>
      </c>
      <c r="S43" s="273" t="s">
        <v>961</v>
      </c>
    </row>
    <row r="44" spans="1:19" ht="16.5" customHeight="1" x14ac:dyDescent="0.5">
      <c r="A44" s="33" t="str">
        <f>INDEX(Technologieën[Veld],MATCH(Berekening_patiëntaantal[[#This Row],[Digitale zorgtoepassing]],Technologieën[Digitale zorgtoepassing],0))</f>
        <v>Software - Diagnose</v>
      </c>
      <c r="B44" s="32" t="s">
        <v>66</v>
      </c>
      <c r="C44" s="32" t="s">
        <v>687</v>
      </c>
      <c r="D44" s="32"/>
      <c r="E44" s="32" t="s">
        <v>69</v>
      </c>
      <c r="F44" s="32" t="s">
        <v>1039</v>
      </c>
      <c r="G44" s="433">
        <f>IF(Berekening_patiëntaantal[[#This Row],[Zvw/Wlz]]="Zvw",0%,IF(Berekening_patiëntaantal[[#This Row],[Zvw/Wlz]]="Wlz",100%,IF(Berekening_patiëntaantal[[#This Row],[Zvw/Wlz]]="Thuiszorg ouderen: deels Wlz",'C3 Gegevens - overig'!$B$59,'C3 Gegevens - overig'!$B$60)))</f>
        <v>0</v>
      </c>
      <c r="H44" s="32" t="s">
        <v>21</v>
      </c>
      <c r="I44" s="319">
        <v>149781.6875</v>
      </c>
      <c r="J44" s="417">
        <v>1</v>
      </c>
      <c r="K44" s="418">
        <v>1</v>
      </c>
      <c r="L44" s="419">
        <v>1</v>
      </c>
      <c r="M44" s="397">
        <f>Berekening_patiëntaantal[[#This Row],[Prevalentie]]*Berekening_patiëntaantal[[#This Row],[Aandeel in subgroep]]</f>
        <v>149781.6875</v>
      </c>
      <c r="N44" s="420">
        <f t="shared" si="2"/>
        <v>1</v>
      </c>
      <c r="O44" s="397">
        <f>Berekening_patiëntaantal[[#This Row],[Prevalentie/incidentie subgroep]]*Berekening_patiëntaantal[[#This Row],[% toepasbaar]]</f>
        <v>149781.6875</v>
      </c>
      <c r="P44" s="397">
        <f>Berekening_patiëntaantal[[#This Row],[Patiëntaantallen]]*Berekening_patiëntaantal[[#This Row],[Percentage van patiëntaantallen in Wlz (overige is Zvw)]]</f>
        <v>0</v>
      </c>
      <c r="Q44" s="1" t="s">
        <v>360</v>
      </c>
      <c r="R44" s="1" t="s">
        <v>70</v>
      </c>
      <c r="S44" s="273" t="s">
        <v>961</v>
      </c>
    </row>
    <row r="45" spans="1:19" ht="16.5" customHeight="1" x14ac:dyDescent="0.5">
      <c r="A45" s="33" t="str">
        <f>INDEX(Technologieën[Veld],MATCH(Berekening_patiëntaantal[[#This Row],[Digitale zorgtoepassing]],Technologieën[Digitale zorgtoepassing],0))</f>
        <v>Software - Diagnose</v>
      </c>
      <c r="B45" s="32" t="s">
        <v>472</v>
      </c>
      <c r="C45" s="32" t="s">
        <v>683</v>
      </c>
      <c r="D45" s="32" t="s">
        <v>673</v>
      </c>
      <c r="E45" s="32" t="s">
        <v>465</v>
      </c>
      <c r="F45" s="32" t="s">
        <v>1039</v>
      </c>
      <c r="G45" s="433">
        <f>IF(Berekening_patiëntaantal[[#This Row],[Zvw/Wlz]]="Zvw",0%,IF(Berekening_patiëntaantal[[#This Row],[Zvw/Wlz]]="Wlz",100%,IF(Berekening_patiëntaantal[[#This Row],[Zvw/Wlz]]="Thuiszorg ouderen: deels Wlz",'C3 Gegevens - overig'!$B$59,'C3 Gegevens - overig'!$B$60)))</f>
        <v>0</v>
      </c>
      <c r="H45" s="32" t="s">
        <v>35</v>
      </c>
      <c r="I45" s="319">
        <f>1000000-INDEX(Berekening_patiëntaantal[Prevalentie],MATCH("MRI onderzoek_Prostaatkanker",Berekening_patiëntaantal[Doelgroep (zoeksleutel)],0))</f>
        <v>974188</v>
      </c>
      <c r="J45" s="417">
        <v>1</v>
      </c>
      <c r="K45" s="418">
        <v>1</v>
      </c>
      <c r="L45" s="419">
        <v>1</v>
      </c>
      <c r="M45" s="397">
        <f>Berekening_patiëntaantal[[#This Row],[Prevalentie]]*Berekening_patiëntaantal[[#This Row],[Aandeel in subgroep]]</f>
        <v>974188</v>
      </c>
      <c r="N45" s="420">
        <f t="shared" si="2"/>
        <v>1</v>
      </c>
      <c r="O45" s="397">
        <f>Berekening_patiëntaantal[[#This Row],[Prevalentie/incidentie subgroep]]*Berekening_patiëntaantal[[#This Row],[% toepasbaar]]</f>
        <v>974188</v>
      </c>
      <c r="P45" s="397">
        <f>Berekening_patiëntaantal[[#This Row],[Patiëntaantallen]]*Berekening_patiëntaantal[[#This Row],[Percentage van patiëntaantallen in Wlz (overige is Zvw)]]</f>
        <v>0</v>
      </c>
      <c r="Q45" s="1" t="s">
        <v>462</v>
      </c>
      <c r="R45" s="1" t="s">
        <v>463</v>
      </c>
      <c r="S45" s="273" t="s">
        <v>961</v>
      </c>
    </row>
    <row r="46" spans="1:19" ht="16.5" customHeight="1" x14ac:dyDescent="0.5">
      <c r="A46" s="33" t="str">
        <f>INDEX(Technologieën[Veld],MATCH(Berekening_patiëntaantal[[#This Row],[Digitale zorgtoepassing]],Technologieën[Digitale zorgtoepassing],0))</f>
        <v>Software - Diagnose</v>
      </c>
      <c r="B46" s="32" t="s">
        <v>472</v>
      </c>
      <c r="C46" s="32" t="s">
        <v>683</v>
      </c>
      <c r="D46" s="32" t="s">
        <v>71</v>
      </c>
      <c r="E46" s="32" t="s">
        <v>442</v>
      </c>
      <c r="F46" s="32" t="s">
        <v>1039</v>
      </c>
      <c r="G46" s="433">
        <f>IF(Berekening_patiëntaantal[[#This Row],[Zvw/Wlz]]="Zvw",0%,IF(Berekening_patiëntaantal[[#This Row],[Zvw/Wlz]]="Wlz",100%,IF(Berekening_patiëntaantal[[#This Row],[Zvw/Wlz]]="Thuiszorg ouderen: deels Wlz",'C3 Gegevens - overig'!$B$59,'C3 Gegevens - overig'!$B$60)))</f>
        <v>0</v>
      </c>
      <c r="H46" s="32" t="s">
        <v>21</v>
      </c>
      <c r="I46" s="319">
        <v>25812</v>
      </c>
      <c r="J46" s="417">
        <v>1</v>
      </c>
      <c r="K46" s="418">
        <v>1</v>
      </c>
      <c r="L46" s="419">
        <v>1</v>
      </c>
      <c r="M46" s="397">
        <f>Berekening_patiëntaantal[[#This Row],[Prevalentie]]*Berekening_patiëntaantal[[#This Row],[Aandeel in subgroep]]</f>
        <v>25812</v>
      </c>
      <c r="N46" s="420">
        <f t="shared" si="2"/>
        <v>1</v>
      </c>
      <c r="O46" s="397">
        <f>Berekening_patiëntaantal[[#This Row],[Prevalentie/incidentie subgroep]]*Berekening_patiëntaantal[[#This Row],[% toepasbaar]]</f>
        <v>25812</v>
      </c>
      <c r="P46" s="397">
        <f>Berekening_patiëntaantal[[#This Row],[Patiëntaantallen]]*Berekening_patiëntaantal[[#This Row],[Percentage van patiëntaantallen in Wlz (overige is Zvw)]]</f>
        <v>0</v>
      </c>
      <c r="Q46" s="1" t="s">
        <v>450</v>
      </c>
      <c r="R46" s="1" t="s">
        <v>72</v>
      </c>
      <c r="S46" s="273" t="s">
        <v>961</v>
      </c>
    </row>
    <row r="47" spans="1:19" ht="16.5" customHeight="1" x14ac:dyDescent="0.5">
      <c r="A47" s="33" t="str">
        <f>INDEX(Technologieën[Veld],MATCH(Berekening_patiëntaantal[[#This Row],[Digitale zorgtoepassing]],Technologieën[Digitale zorgtoepassing],0))</f>
        <v>Software - Diagnose</v>
      </c>
      <c r="B47" s="32" t="s">
        <v>56</v>
      </c>
      <c r="C47" s="32" t="s">
        <v>57</v>
      </c>
      <c r="D47" s="32"/>
      <c r="E47" s="32" t="s">
        <v>57</v>
      </c>
      <c r="F47" s="32" t="s">
        <v>1039</v>
      </c>
      <c r="G47" s="433">
        <f>IF(Berekening_patiëntaantal[[#This Row],[Zvw/Wlz]]="Zvw",0%,IF(Berekening_patiëntaantal[[#This Row],[Zvw/Wlz]]="Wlz",100%,IF(Berekening_patiëntaantal[[#This Row],[Zvw/Wlz]]="Thuiszorg ouderen: deels Wlz",'C3 Gegevens - overig'!$B$59,'C3 Gegevens - overig'!$B$60)))</f>
        <v>0</v>
      </c>
      <c r="H47" s="32" t="s">
        <v>21</v>
      </c>
      <c r="I47" s="319">
        <v>1000000</v>
      </c>
      <c r="J47" s="417">
        <v>1</v>
      </c>
      <c r="K47" s="418">
        <v>1</v>
      </c>
      <c r="L47" s="419">
        <v>1</v>
      </c>
      <c r="M47" s="397">
        <f>Berekening_patiëntaantal[[#This Row],[Prevalentie]]*Berekening_patiëntaantal[[#This Row],[Aandeel in subgroep]]</f>
        <v>1000000</v>
      </c>
      <c r="N47" s="420">
        <f t="shared" si="2"/>
        <v>1</v>
      </c>
      <c r="O47" s="397">
        <f>Berekening_patiëntaantal[[#This Row],[Prevalentie/incidentie subgroep]]*Berekening_patiëntaantal[[#This Row],[% toepasbaar]]</f>
        <v>1000000</v>
      </c>
      <c r="P47" s="397">
        <f>Berekening_patiëntaantal[[#This Row],[Patiëntaantallen]]*Berekening_patiëntaantal[[#This Row],[Percentage van patiëntaantallen in Wlz (overige is Zvw)]]</f>
        <v>0</v>
      </c>
      <c r="Q47" s="1" t="s">
        <v>355</v>
      </c>
      <c r="R47" s="1"/>
      <c r="S47" s="273" t="s">
        <v>961</v>
      </c>
    </row>
    <row r="48" spans="1:19" ht="16.5" customHeight="1" x14ac:dyDescent="0.5">
      <c r="A48" s="33" t="str">
        <f>INDEX(Technologieën[Veld],MATCH(Berekening_patiëntaantal[[#This Row],[Digitale zorgtoepassing]],Technologieën[Digitale zorgtoepassing],0))</f>
        <v>Software - Behandeling</v>
      </c>
      <c r="B48" s="32" t="s">
        <v>609</v>
      </c>
      <c r="C48" s="32" t="s">
        <v>109</v>
      </c>
      <c r="D48" s="32"/>
      <c r="E48" s="32" t="s">
        <v>109</v>
      </c>
      <c r="F48" s="32" t="s">
        <v>1039</v>
      </c>
      <c r="G48" s="433">
        <f>IF(Berekening_patiëntaantal[[#This Row],[Zvw/Wlz]]="Zvw",0%,IF(Berekening_patiëntaantal[[#This Row],[Zvw/Wlz]]="Wlz",100%,IF(Berekening_patiëntaantal[[#This Row],[Zvw/Wlz]]="Thuiszorg ouderen: deels Wlz",'C3 Gegevens - overig'!$B$59,'C3 Gegevens - overig'!$B$60)))</f>
        <v>0</v>
      </c>
      <c r="H48" s="32" t="s">
        <v>21</v>
      </c>
      <c r="I48" s="319">
        <v>34000</v>
      </c>
      <c r="J48" s="417">
        <v>1</v>
      </c>
      <c r="K48" s="418">
        <v>1</v>
      </c>
      <c r="L48" s="419">
        <v>1</v>
      </c>
      <c r="M48" s="397">
        <f>Berekening_patiëntaantal[[#This Row],[Prevalentie]]*Berekening_patiëntaantal[[#This Row],[Aandeel in subgroep]]</f>
        <v>34000</v>
      </c>
      <c r="N48" s="420">
        <f t="shared" si="2"/>
        <v>1</v>
      </c>
      <c r="O48" s="397">
        <f>Berekening_patiëntaantal[[#This Row],[Prevalentie/incidentie subgroep]]*Berekening_patiëntaantal[[#This Row],[% toepasbaar]]</f>
        <v>34000</v>
      </c>
      <c r="P48" s="397">
        <f>Berekening_patiëntaantal[[#This Row],[Patiëntaantallen]]*Berekening_patiëntaantal[[#This Row],[Percentage van patiëntaantallen in Wlz (overige is Zvw)]]</f>
        <v>0</v>
      </c>
      <c r="Q48" s="1" t="s">
        <v>376</v>
      </c>
      <c r="R48" s="1" t="s">
        <v>110</v>
      </c>
      <c r="S48" s="273" t="s">
        <v>961</v>
      </c>
    </row>
    <row r="49" spans="1:19" ht="16.5" customHeight="1" x14ac:dyDescent="0.5">
      <c r="A49" s="33" t="str">
        <f>INDEX(Technologieën[Veld],MATCH(Berekening_patiëntaantal[[#This Row],[Digitale zorgtoepassing]],Technologieën[Digitale zorgtoepassing],0))</f>
        <v>Software - Diagnose</v>
      </c>
      <c r="B49" s="32" t="s">
        <v>66</v>
      </c>
      <c r="C49" s="32" t="s">
        <v>67</v>
      </c>
      <c r="D49" s="32" t="s">
        <v>24</v>
      </c>
      <c r="E49" s="32" t="s">
        <v>67</v>
      </c>
      <c r="F49" s="32" t="s">
        <v>1039</v>
      </c>
      <c r="G49" s="433">
        <f>IF(Berekening_patiëntaantal[[#This Row],[Zvw/Wlz]]="Zvw",0%,IF(Berekening_patiëntaantal[[#This Row],[Zvw/Wlz]]="Wlz",100%,IF(Berekening_patiëntaantal[[#This Row],[Zvw/Wlz]]="Thuiszorg ouderen: deels Wlz",'C3 Gegevens - overig'!$B$59,'C3 Gegevens - overig'!$B$60)))</f>
        <v>0</v>
      </c>
      <c r="H49" s="32" t="s">
        <v>21</v>
      </c>
      <c r="I49" s="319">
        <v>34000</v>
      </c>
      <c r="J49" s="417">
        <v>0.7</v>
      </c>
      <c r="K49" s="418">
        <v>1</v>
      </c>
      <c r="L49" s="419">
        <v>1</v>
      </c>
      <c r="M49" s="397">
        <f>Berekening_patiëntaantal[[#This Row],[Prevalentie]]*Berekening_patiëntaantal[[#This Row],[Aandeel in subgroep]]</f>
        <v>23800</v>
      </c>
      <c r="N49" s="420">
        <f t="shared" si="2"/>
        <v>1</v>
      </c>
      <c r="O49" s="397">
        <f>Berekening_patiëntaantal[[#This Row],[Prevalentie/incidentie subgroep]]*Berekening_patiëntaantal[[#This Row],[% toepasbaar]]</f>
        <v>23800</v>
      </c>
      <c r="P49" s="397">
        <f>Berekening_patiëntaantal[[#This Row],[Patiëntaantallen]]*Berekening_patiëntaantal[[#This Row],[Percentage van patiëntaantallen in Wlz (overige is Zvw)]]</f>
        <v>0</v>
      </c>
      <c r="Q49" s="1" t="s">
        <v>359</v>
      </c>
      <c r="R49" s="1" t="s">
        <v>68</v>
      </c>
      <c r="S49" s="273" t="s">
        <v>961</v>
      </c>
    </row>
    <row r="50" spans="1:19" s="221" customFormat="1" ht="16.5" customHeight="1" x14ac:dyDescent="0.5">
      <c r="A50" s="43" t="str">
        <f>INDEX(Technologieën[Veld],MATCH(Berekening_patiëntaantal[[#This Row],[Digitale zorgtoepassing]],Technologieën[Digitale zorgtoepassing],0))</f>
        <v>Software - Diagnose</v>
      </c>
      <c r="B50" s="119" t="s">
        <v>139</v>
      </c>
      <c r="C50" s="119" t="s">
        <v>106</v>
      </c>
      <c r="D50" s="119"/>
      <c r="E50" s="119" t="s">
        <v>106</v>
      </c>
      <c r="F50" s="32" t="s">
        <v>1039</v>
      </c>
      <c r="G50" s="433">
        <f>IF(Berekening_patiëntaantal[[#This Row],[Zvw/Wlz]]="Zvw",0%,IF(Berekening_patiëntaantal[[#This Row],[Zvw/Wlz]]="Wlz",100%,IF(Berekening_patiëntaantal[[#This Row],[Zvw/Wlz]]="Thuiszorg ouderen: deels Wlz",'C3 Gegevens - overig'!$B$59,'C3 Gegevens - overig'!$B$60)))</f>
        <v>0</v>
      </c>
      <c r="H50" s="119" t="s">
        <v>21</v>
      </c>
      <c r="I50" s="421">
        <v>999999</v>
      </c>
      <c r="J50" s="422">
        <v>1</v>
      </c>
      <c r="K50" s="418">
        <v>1</v>
      </c>
      <c r="L50" s="419">
        <v>1</v>
      </c>
      <c r="M50" s="397">
        <f>Berekening_patiëntaantal[[#This Row],[Prevalentie]]*Berekening_patiëntaantal[[#This Row],[Aandeel in subgroep]]</f>
        <v>999999</v>
      </c>
      <c r="N50" s="420">
        <f t="shared" si="2"/>
        <v>1</v>
      </c>
      <c r="O50" s="397">
        <f>Berekening_patiëntaantal[[#This Row],[Prevalentie/incidentie subgroep]]*Berekening_patiëntaantal[[#This Row],[% toepasbaar]]</f>
        <v>999999</v>
      </c>
      <c r="P50" s="397">
        <f>Berekening_patiëntaantal[[#This Row],[Patiëntaantallen]]*Berekening_patiëntaantal[[#This Row],[Percentage van patiëntaantallen in Wlz (overige is Zvw)]]</f>
        <v>0</v>
      </c>
      <c r="Q50" s="350" t="s">
        <v>866</v>
      </c>
      <c r="R50" s="350" t="s">
        <v>980</v>
      </c>
      <c r="S50" s="273" t="s">
        <v>961</v>
      </c>
    </row>
    <row r="51" spans="1:19" ht="16.5" customHeight="1" x14ac:dyDescent="0.5">
      <c r="A51" s="33" t="str">
        <f>INDEX(Technologieën[Veld],MATCH(Berekening_patiëntaantal[[#This Row],[Digitale zorgtoepassing]],Technologieën[Digitale zorgtoepassing],0))</f>
        <v>Digitale hulpmiddelen - Diagnose</v>
      </c>
      <c r="B51" s="32" t="s">
        <v>78</v>
      </c>
      <c r="C51" s="32" t="s">
        <v>78</v>
      </c>
      <c r="D51" s="32" t="s">
        <v>216</v>
      </c>
      <c r="E51" s="32" t="s">
        <v>79</v>
      </c>
      <c r="F51" s="32" t="s">
        <v>1039</v>
      </c>
      <c r="G51" s="433">
        <f>IF(Berekening_patiëntaantal[[#This Row],[Zvw/Wlz]]="Zvw",0%,IF(Berekening_patiëntaantal[[#This Row],[Zvw/Wlz]]="Wlz",100%,IF(Berekening_patiëntaantal[[#This Row],[Zvw/Wlz]]="Thuiszorg ouderen: deels Wlz",'C3 Gegevens - overig'!$B$59,'C3 Gegevens - overig'!$B$60)))</f>
        <v>0</v>
      </c>
      <c r="H51" s="32" t="s">
        <v>21</v>
      </c>
      <c r="I51" s="319">
        <f>177000*3</f>
        <v>531000</v>
      </c>
      <c r="J51" s="417">
        <f>89%-5%</f>
        <v>0.84</v>
      </c>
      <c r="K51" s="418">
        <v>1</v>
      </c>
      <c r="L51" s="419">
        <v>1</v>
      </c>
      <c r="M51" s="397">
        <f>Berekening_patiëntaantal[[#This Row],[Prevalentie]]*Berekening_patiëntaantal[[#This Row],[Aandeel in subgroep]]</f>
        <v>446040</v>
      </c>
      <c r="N51" s="420">
        <f t="shared" si="2"/>
        <v>1</v>
      </c>
      <c r="O51" s="397">
        <f>Berekening_patiëntaantal[[#This Row],[Prevalentie/incidentie subgroep]]*Berekening_patiëntaantal[[#This Row],[% toepasbaar]]</f>
        <v>446040</v>
      </c>
      <c r="P51" s="397">
        <f>Berekening_patiëntaantal[[#This Row],[Patiëntaantallen]]*Berekening_patiëntaantal[[#This Row],[Percentage van patiëntaantallen in Wlz (overige is Zvw)]]</f>
        <v>0</v>
      </c>
      <c r="Q51" s="1" t="s">
        <v>363</v>
      </c>
      <c r="R51" s="170" t="s">
        <v>710</v>
      </c>
      <c r="S51" s="273" t="s">
        <v>961</v>
      </c>
    </row>
    <row r="52" spans="1:19" ht="16.5" customHeight="1" x14ac:dyDescent="0.5">
      <c r="A52" s="33" t="str">
        <f>INDEX(Technologieën[Veld],MATCH(Berekening_patiëntaantal[[#This Row],[Digitale zorgtoepassing]],Technologieën[Digitale zorgtoepassing],0))</f>
        <v>Digitale hulpmiddelen - Diagnose</v>
      </c>
      <c r="B52" s="32" t="s">
        <v>78</v>
      </c>
      <c r="C52" s="32" t="s">
        <v>78</v>
      </c>
      <c r="D52" s="32" t="s">
        <v>698</v>
      </c>
      <c r="E52" s="32" t="s">
        <v>699</v>
      </c>
      <c r="F52" s="32" t="s">
        <v>1039</v>
      </c>
      <c r="G52" s="433">
        <f>IF(Berekening_patiëntaantal[[#This Row],[Zvw/Wlz]]="Zvw",0%,IF(Berekening_patiëntaantal[[#This Row],[Zvw/Wlz]]="Wlz",100%,IF(Berekening_patiëntaantal[[#This Row],[Zvw/Wlz]]="Thuiszorg ouderen: deels Wlz",'C3 Gegevens - overig'!$B$59,'C3 Gegevens - overig'!$B$60)))</f>
        <v>0</v>
      </c>
      <c r="H52" s="32" t="s">
        <v>21</v>
      </c>
      <c r="I52" s="319">
        <v>3800000</v>
      </c>
      <c r="J52" s="417">
        <v>1</v>
      </c>
      <c r="K52" s="419">
        <v>1</v>
      </c>
      <c r="L52" s="419">
        <v>1</v>
      </c>
      <c r="M52" s="397">
        <f>Berekening_patiëntaantal[[#This Row],[Prevalentie]]*Berekening_patiëntaantal[[#This Row],[Aandeel in subgroep]]</f>
        <v>3800000</v>
      </c>
      <c r="N52" s="420">
        <f t="shared" si="2"/>
        <v>1</v>
      </c>
      <c r="O52" s="397">
        <f>Berekening_patiëntaantal[[#This Row],[Prevalentie/incidentie subgroep]]*Berekening_patiëntaantal[[#This Row],[% toepasbaar]]</f>
        <v>3800000</v>
      </c>
      <c r="P52" s="397">
        <f>Berekening_patiëntaantal[[#This Row],[Patiëntaantallen]]*Berekening_patiëntaantal[[#This Row],[Percentage van patiëntaantallen in Wlz (overige is Zvw)]]</f>
        <v>0</v>
      </c>
      <c r="Q52" s="1" t="s">
        <v>846</v>
      </c>
      <c r="R52" s="170" t="s">
        <v>968</v>
      </c>
      <c r="S52" s="273" t="s">
        <v>961</v>
      </c>
    </row>
    <row r="53" spans="1:19" ht="16.5" customHeight="1" x14ac:dyDescent="0.5">
      <c r="A53" s="33" t="str">
        <f>INDEX(Technologieën[Veld],MATCH(Berekening_patiëntaantal[[#This Row],[Digitale zorgtoepassing]],Technologieën[Digitale zorgtoepassing],0))</f>
        <v>Software - Diagnose</v>
      </c>
      <c r="B53" s="119" t="s">
        <v>76</v>
      </c>
      <c r="C53" s="119" t="s">
        <v>688</v>
      </c>
      <c r="D53" s="32" t="s">
        <v>689</v>
      </c>
      <c r="E53" s="32" t="s">
        <v>384</v>
      </c>
      <c r="F53" s="32" t="s">
        <v>1039</v>
      </c>
      <c r="G53" s="433">
        <f>IF(Berekening_patiëntaantal[[#This Row],[Zvw/Wlz]]="Zvw",0%,IF(Berekening_patiëntaantal[[#This Row],[Zvw/Wlz]]="Wlz",100%,IF(Berekening_patiëntaantal[[#This Row],[Zvw/Wlz]]="Thuiszorg ouderen: deels Wlz",'C3 Gegevens - overig'!$B$59,'C3 Gegevens - overig'!$B$60)))</f>
        <v>0</v>
      </c>
      <c r="H53" s="32" t="s">
        <v>21</v>
      </c>
      <c r="I53" s="319">
        <v>300000</v>
      </c>
      <c r="J53" s="417">
        <v>0.4</v>
      </c>
      <c r="K53" s="418">
        <v>1</v>
      </c>
      <c r="L53" s="419">
        <v>1</v>
      </c>
      <c r="M53" s="397">
        <f>Berekening_patiëntaantal[[#This Row],[Prevalentie]]*Berekening_patiëntaantal[[#This Row],[Aandeel in subgroep]]</f>
        <v>120000</v>
      </c>
      <c r="N53" s="420">
        <f t="shared" si="2"/>
        <v>1</v>
      </c>
      <c r="O53" s="397">
        <f>Berekening_patiëntaantal[[#This Row],[Prevalentie/incidentie subgroep]]*Berekening_patiëntaantal[[#This Row],[% toepasbaar]]</f>
        <v>120000</v>
      </c>
      <c r="P53" s="397">
        <f>Berekening_patiëntaantal[[#This Row],[Patiëntaantallen]]*Berekening_patiëntaantal[[#This Row],[Percentage van patiëntaantallen in Wlz (overige is Zvw)]]</f>
        <v>0</v>
      </c>
      <c r="Q53" s="1" t="s">
        <v>362</v>
      </c>
      <c r="R53" s="1" t="s">
        <v>77</v>
      </c>
      <c r="S53" s="273" t="s">
        <v>961</v>
      </c>
    </row>
    <row r="54" spans="1:19" ht="16.5" customHeight="1" x14ac:dyDescent="0.5">
      <c r="A54" s="33" t="str">
        <f>INDEX(Technologieën[Veld],MATCH(Berekening_patiëntaantal[[#This Row],[Digitale zorgtoepassing]],Technologieën[Digitale zorgtoepassing],0))</f>
        <v>Software - Behandeling</v>
      </c>
      <c r="B54" s="32" t="s">
        <v>609</v>
      </c>
      <c r="C54" s="32" t="s">
        <v>690</v>
      </c>
      <c r="D54" s="32"/>
      <c r="E54" s="32" t="s">
        <v>597</v>
      </c>
      <c r="F54" s="32" t="s">
        <v>1039</v>
      </c>
      <c r="G54" s="433">
        <f>IF(Berekening_patiëntaantal[[#This Row],[Zvw/Wlz]]="Zvw",0%,IF(Berekening_patiëntaantal[[#This Row],[Zvw/Wlz]]="Wlz",100%,IF(Berekening_patiëntaantal[[#This Row],[Zvw/Wlz]]="Thuiszorg ouderen: deels Wlz",'C3 Gegevens - overig'!$B$59,'C3 Gegevens - overig'!$B$60)))</f>
        <v>0</v>
      </c>
      <c r="H54" s="32" t="s">
        <v>35</v>
      </c>
      <c r="I54" s="319">
        <f>((INDEX(Berekening_patiëntaantal[Patiëntaantallen],MATCH("COPD",Berekening_patiëntaantal[Doelgroep (zoeksleutel)],0))+INDEX(Berekening_patiëntaantal[Patiëntaantallen],MATCH("Hartfalen",Berekening_patiëntaantal[Doelgroep (zoeksleutel)],0))+INDEX(Berekening_patiëntaantal[Patiëntaantallen],MATCH("MS",Berekening_patiëntaantal[Doelgroep (zoeksleutel)],0))+INDEX(Berekening_patiëntaantal[Patiëntaantallen],MATCH("Hypertensie",Berekening_patiëntaantal[Doelgroep (zoeksleutel)],0))+INDEX(Berekening_patiëntaantal[Patiëntaantallen],MATCH("IBD",Berekening_patiëntaantal[Doelgroep (zoeksleutel)],0))))*1.8</f>
        <v>371952</v>
      </c>
      <c r="J54" s="417">
        <v>1</v>
      </c>
      <c r="K54" s="419">
        <v>1</v>
      </c>
      <c r="L54" s="419">
        <v>1</v>
      </c>
      <c r="M54" s="397">
        <f>Berekening_patiëntaantal[[#This Row],[Prevalentie]]*Berekening_patiëntaantal[[#This Row],[Aandeel in subgroep]]</f>
        <v>371952</v>
      </c>
      <c r="N54" s="420">
        <f t="shared" si="2"/>
        <v>1</v>
      </c>
      <c r="O54" s="397">
        <f>Berekening_patiëntaantal[[#This Row],[Prevalentie/incidentie subgroep]]*Berekening_patiëntaantal[[#This Row],[% toepasbaar]]</f>
        <v>371952</v>
      </c>
      <c r="P54" s="397">
        <f>Berekening_patiëntaantal[[#This Row],[Patiëntaantallen]]*Berekening_patiëntaantal[[#This Row],[Percentage van patiëntaantallen in Wlz (overige is Zvw)]]</f>
        <v>0</v>
      </c>
      <c r="Q54" s="1" t="s">
        <v>976</v>
      </c>
      <c r="R54" s="1" t="s">
        <v>598</v>
      </c>
      <c r="S54" s="273" t="s">
        <v>961</v>
      </c>
    </row>
    <row r="55" spans="1:19" ht="16.5" customHeight="1" x14ac:dyDescent="0.5">
      <c r="A55" s="41" t="str">
        <f>INDEX(Technologieën[Veld],MATCH(Berekening_patiëntaantal[[#This Row],[Digitale zorgtoepassing]],Technologieën[Digitale zorgtoepassing],0))</f>
        <v>Software - Behandeling</v>
      </c>
      <c r="B55" s="286" t="s">
        <v>588</v>
      </c>
      <c r="C55" s="286" t="s">
        <v>589</v>
      </c>
      <c r="D55" s="286"/>
      <c r="E55" s="286" t="s">
        <v>589</v>
      </c>
      <c r="F55" s="32" t="s">
        <v>1039</v>
      </c>
      <c r="G55" s="433">
        <f>IF(Berekening_patiëntaantal[[#This Row],[Zvw/Wlz]]="Zvw",0%,IF(Berekening_patiëntaantal[[#This Row],[Zvw/Wlz]]="Wlz",100%,IF(Berekening_patiëntaantal[[#This Row],[Zvw/Wlz]]="Thuiszorg ouderen: deels Wlz",'C3 Gegevens - overig'!$B$59,'C3 Gegevens - overig'!$B$60)))</f>
        <v>0</v>
      </c>
      <c r="H55" s="286" t="s">
        <v>35</v>
      </c>
      <c r="I55" s="423">
        <f>INDEX(Berekening_patiëntaantal[Prevalentie],MATCH("Afasie",Berekening_patiëntaantal[Doelgroep (zoeksleutel)],0))*3.5</f>
        <v>35000</v>
      </c>
      <c r="J55" s="424">
        <v>1</v>
      </c>
      <c r="K55" s="425">
        <v>1</v>
      </c>
      <c r="L55" s="425">
        <v>1</v>
      </c>
      <c r="M55" s="414">
        <f>Berekening_patiëntaantal[[#This Row],[Prevalentie]]*Berekening_patiëntaantal[[#This Row],[Aandeel in subgroep]]</f>
        <v>35000</v>
      </c>
      <c r="N55" s="420">
        <f t="shared" si="2"/>
        <v>1</v>
      </c>
      <c r="O55" s="414">
        <f>Berekening_patiëntaantal[[#This Row],[Prevalentie/incidentie subgroep]]*Berekening_patiëntaantal[[#This Row],[% toepasbaar]]</f>
        <v>35000</v>
      </c>
      <c r="P55" s="414">
        <f>Berekening_patiëntaantal[[#This Row],[Patiëntaantallen]]*Berekening_patiëntaantal[[#This Row],[Percentage van patiëntaantallen in Wlz (overige is Zvw)]]</f>
        <v>0</v>
      </c>
      <c r="Q55" s="137" t="s">
        <v>591</v>
      </c>
      <c r="R55" s="137" t="s">
        <v>590</v>
      </c>
      <c r="S55" s="273" t="s">
        <v>961</v>
      </c>
    </row>
    <row r="56" spans="1:19" ht="16.5" customHeight="1" x14ac:dyDescent="0.5">
      <c r="A56" s="33" t="str">
        <f>INDEX(Technologieën[Veld],MATCH(Berekening_patiëntaantal[[#This Row],[Digitale zorgtoepassing]],Technologieën[Digitale zorgtoepassing],0))</f>
        <v>Sensoren - Verpleging</v>
      </c>
      <c r="B56" s="32" t="s">
        <v>36</v>
      </c>
      <c r="C56" s="32" t="s">
        <v>27</v>
      </c>
      <c r="D56" s="32" t="s">
        <v>664</v>
      </c>
      <c r="E56" s="32" t="s">
        <v>27</v>
      </c>
      <c r="F56" s="32" t="s">
        <v>1073</v>
      </c>
      <c r="G56" s="433">
        <f>IF(Berekening_patiëntaantal[[#This Row],[Zvw/Wlz]]="Zvw",0%,IF(Berekening_patiëntaantal[[#This Row],[Zvw/Wlz]]="Wlz",100%,IF(Berekening_patiëntaantal[[#This Row],[Zvw/Wlz]]="Thuiszorg ouderen: deels Wlz",'C3 Gegevens - overig'!$B$59,'C3 Gegevens - overig'!$B$60)))</f>
        <v>0.45</v>
      </c>
      <c r="H56" s="32" t="s">
        <v>35</v>
      </c>
      <c r="I56" s="319">
        <v>52900</v>
      </c>
      <c r="J56" s="417">
        <v>0.8</v>
      </c>
      <c r="K56" s="418">
        <v>0.75</v>
      </c>
      <c r="L56" s="419">
        <v>0.3</v>
      </c>
      <c r="M56" s="397">
        <f>Berekening_patiëntaantal[[#This Row],[Prevalentie]]*Berekening_patiëntaantal[[#This Row],[Aandeel in subgroep]]</f>
        <v>42320</v>
      </c>
      <c r="N56" s="420">
        <f t="shared" si="2"/>
        <v>0.22499999999999998</v>
      </c>
      <c r="O56" s="397">
        <f>Berekening_patiëntaantal[[#This Row],[Prevalentie/incidentie subgroep]]*Berekening_patiëntaantal[[#This Row],[% toepasbaar]]</f>
        <v>9521.9999999999982</v>
      </c>
      <c r="P56" s="397">
        <f>Berekening_patiëntaantal[[#This Row],[Patiëntaantallen]]*Berekening_patiëntaantal[[#This Row],[Percentage van patiëntaantallen in Wlz (overige is Zvw)]]</f>
        <v>4284.8999999999996</v>
      </c>
      <c r="Q56" s="1" t="s">
        <v>341</v>
      </c>
      <c r="R56" s="1" t="s">
        <v>38</v>
      </c>
      <c r="S56" s="273" t="s">
        <v>961</v>
      </c>
    </row>
    <row r="57" spans="1:19" ht="16.5" customHeight="1" x14ac:dyDescent="0.5">
      <c r="A57" s="33" t="str">
        <f>INDEX(Technologieën[Veld],MATCH(Berekening_patiëntaantal[[#This Row],[Digitale zorgtoepassing]],Technologieën[Digitale zorgtoepassing],0))</f>
        <v>Digitale hulpmiddelen - Verpleging</v>
      </c>
      <c r="B57" s="32" t="s">
        <v>26</v>
      </c>
      <c r="C57" s="32" t="s">
        <v>27</v>
      </c>
      <c r="D57" s="32" t="s">
        <v>664</v>
      </c>
      <c r="E57" s="32" t="s">
        <v>27</v>
      </c>
      <c r="F57" s="32" t="s">
        <v>1073</v>
      </c>
      <c r="G57" s="433">
        <f>IF(Berekening_patiëntaantal[[#This Row],[Zvw/Wlz]]="Zvw",0%,IF(Berekening_patiëntaantal[[#This Row],[Zvw/Wlz]]="Wlz",100%,IF(Berekening_patiëntaantal[[#This Row],[Zvw/Wlz]]="Thuiszorg ouderen: deels Wlz",'C3 Gegevens - overig'!$B$59,'C3 Gegevens - overig'!$B$60)))</f>
        <v>0.45</v>
      </c>
      <c r="H57" s="32" t="s">
        <v>21</v>
      </c>
      <c r="I57" s="319">
        <v>52900</v>
      </c>
      <c r="J57" s="417">
        <v>0.8</v>
      </c>
      <c r="K57" s="418">
        <v>0.75</v>
      </c>
      <c r="L57" s="419">
        <v>0.21</v>
      </c>
      <c r="M57" s="397">
        <f>Berekening_patiëntaantal[[#This Row],[Prevalentie]]*Berekening_patiëntaantal[[#This Row],[Aandeel in subgroep]]</f>
        <v>42320</v>
      </c>
      <c r="N57" s="420">
        <f t="shared" si="2"/>
        <v>0.1575</v>
      </c>
      <c r="O57" s="397">
        <f>Berekening_patiëntaantal[[#This Row],[Prevalentie/incidentie subgroep]]*Berekening_patiëntaantal[[#This Row],[% toepasbaar]]</f>
        <v>6665.4</v>
      </c>
      <c r="P57" s="397">
        <f>Berekening_patiëntaantal[[#This Row],[Patiëntaantallen]]*Berekening_patiëntaantal[[#This Row],[Percentage van patiëntaantallen in Wlz (overige is Zvw)]]</f>
        <v>2999.43</v>
      </c>
      <c r="Q57" s="1" t="s">
        <v>341</v>
      </c>
      <c r="R57" s="170" t="s">
        <v>28</v>
      </c>
      <c r="S57" s="273" t="s">
        <v>961</v>
      </c>
    </row>
    <row r="58" spans="1:19" ht="16.5" customHeight="1" x14ac:dyDescent="0.5">
      <c r="A58" s="33" t="str">
        <f>INDEX(Technologieën[Veld],MATCH(Berekening_patiëntaantal[[#This Row],[Digitale zorgtoepassing]],Technologieën[Digitale zorgtoepassing],0))</f>
        <v>Digitale hulpmiddelen - Verpleging</v>
      </c>
      <c r="B58" s="32" t="s">
        <v>26</v>
      </c>
      <c r="C58" s="32" t="s">
        <v>682</v>
      </c>
      <c r="D58" s="32" t="s">
        <v>691</v>
      </c>
      <c r="E58" s="32" t="s">
        <v>29</v>
      </c>
      <c r="F58" s="32" t="s">
        <v>1074</v>
      </c>
      <c r="G58" s="433">
        <f>IF(Berekening_patiëntaantal[[#This Row],[Zvw/Wlz]]="Zvw",0%,IF(Berekening_patiëntaantal[[#This Row],[Zvw/Wlz]]="Wlz",100%,IF(Berekening_patiëntaantal[[#This Row],[Zvw/Wlz]]="Thuiszorg ouderen: deels Wlz",'C3 Gegevens - overig'!$B$59,'C3 Gegevens - overig'!$B$60)))</f>
        <v>0.70000000000000007</v>
      </c>
      <c r="H58" s="32" t="s">
        <v>21</v>
      </c>
      <c r="I58" s="319">
        <v>1950000</v>
      </c>
      <c r="J58" s="417">
        <v>0.36</v>
      </c>
      <c r="K58" s="418">
        <v>0.4</v>
      </c>
      <c r="L58" s="419">
        <v>0.21</v>
      </c>
      <c r="M58" s="397">
        <f>Berekening_patiëntaantal[[#This Row],[Prevalentie]]*Berekening_patiëntaantal[[#This Row],[Aandeel in subgroep]]</f>
        <v>702000</v>
      </c>
      <c r="N58" s="420">
        <f t="shared" si="2"/>
        <v>8.4000000000000005E-2</v>
      </c>
      <c r="O58" s="397">
        <f>Berekening_patiëntaantal[[#This Row],[Prevalentie/incidentie subgroep]]*Berekening_patiëntaantal[[#This Row],[% toepasbaar]]</f>
        <v>58968.000000000007</v>
      </c>
      <c r="P58" s="397">
        <f>Berekening_patiëntaantal[[#This Row],[Patiëntaantallen]]*Berekening_patiëntaantal[[#This Row],[Percentage van patiëntaantallen in Wlz (overige is Zvw)]]</f>
        <v>41277.600000000006</v>
      </c>
      <c r="Q58" s="1" t="s">
        <v>343</v>
      </c>
      <c r="R58" s="170" t="s">
        <v>30</v>
      </c>
      <c r="S58" s="273" t="s">
        <v>961</v>
      </c>
    </row>
    <row r="59" spans="1:19" ht="16.5" customHeight="1" x14ac:dyDescent="0.5">
      <c r="A59" s="33" t="str">
        <f>INDEX(Technologieën[Veld],MATCH(Berekening_patiëntaantal[[#This Row],[Digitale zorgtoepassing]],Technologieën[Digitale zorgtoepassing],0))</f>
        <v>Digitale hulpmiddelen - Verpleging</v>
      </c>
      <c r="B59" s="32" t="s">
        <v>48</v>
      </c>
      <c r="C59" s="32" t="s">
        <v>49</v>
      </c>
      <c r="D59" s="32"/>
      <c r="E59" s="32" t="s">
        <v>49</v>
      </c>
      <c r="F59" s="32" t="s">
        <v>1074</v>
      </c>
      <c r="G59" s="433">
        <f>IF(Berekening_patiëntaantal[[#This Row],[Zvw/Wlz]]="Zvw",0%,IF(Berekening_patiëntaantal[[#This Row],[Zvw/Wlz]]="Wlz",100%,IF(Berekening_patiëntaantal[[#This Row],[Zvw/Wlz]]="Thuiszorg ouderen: deels Wlz",'C3 Gegevens - overig'!$B$59,'C3 Gegevens - overig'!$B$60)))</f>
        <v>0.70000000000000007</v>
      </c>
      <c r="H59" s="32" t="s">
        <v>21</v>
      </c>
      <c r="I59" s="319">
        <v>400000</v>
      </c>
      <c r="J59" s="417">
        <v>1</v>
      </c>
      <c r="K59" s="418">
        <v>0.8</v>
      </c>
      <c r="L59" s="419">
        <v>0.3</v>
      </c>
      <c r="M59" s="397">
        <f>Berekening_patiëntaantal[[#This Row],[Prevalentie]]*Berekening_patiëntaantal[[#This Row],[Aandeel in subgroep]]</f>
        <v>400000</v>
      </c>
      <c r="N59" s="420">
        <f t="shared" si="2"/>
        <v>0.24</v>
      </c>
      <c r="O59" s="397">
        <f>Berekening_patiëntaantal[[#This Row],[Prevalentie/incidentie subgroep]]*Berekening_patiëntaantal[[#This Row],[% toepasbaar]]</f>
        <v>96000</v>
      </c>
      <c r="P59" s="397">
        <f>Berekening_patiëntaantal[[#This Row],[Patiëntaantallen]]*Berekening_patiëntaantal[[#This Row],[Percentage van patiëntaantallen in Wlz (overige is Zvw)]]</f>
        <v>67200</v>
      </c>
      <c r="Q59" s="1" t="s">
        <v>351</v>
      </c>
      <c r="R59" s="170" t="s">
        <v>50</v>
      </c>
      <c r="S59" s="273" t="s">
        <v>961</v>
      </c>
    </row>
    <row r="60" spans="1:19" ht="16.5" customHeight="1" x14ac:dyDescent="0.5">
      <c r="A60" s="33" t="str">
        <f>INDEX(Technologieën[Veld],MATCH(Berekening_patiëntaantal[[#This Row],[Digitale zorgtoepassing]],Technologieën[Digitale zorgtoepassing],0))</f>
        <v>Digitale hulpmiddelen - Diagnose</v>
      </c>
      <c r="B60" s="32" t="s">
        <v>82</v>
      </c>
      <c r="C60" s="32" t="s">
        <v>703</v>
      </c>
      <c r="D60" s="32"/>
      <c r="E60" s="32" t="s">
        <v>703</v>
      </c>
      <c r="F60" s="32" t="s">
        <v>1039</v>
      </c>
      <c r="G60" s="433">
        <f>IF(Berekening_patiëntaantal[[#This Row],[Zvw/Wlz]]="Zvw",0%,IF(Berekening_patiëntaantal[[#This Row],[Zvw/Wlz]]="Wlz",100%,IF(Berekening_patiëntaantal[[#This Row],[Zvw/Wlz]]="Thuiszorg ouderen: deels Wlz",'C3 Gegevens - overig'!$B$59,'C3 Gegevens - overig'!$B$60)))</f>
        <v>0</v>
      </c>
      <c r="H60" s="32" t="s">
        <v>21</v>
      </c>
      <c r="I60" s="319">
        <f>450000*0.3</f>
        <v>135000</v>
      </c>
      <c r="J60" s="417">
        <v>1</v>
      </c>
      <c r="K60" s="418">
        <v>1</v>
      </c>
      <c r="L60" s="419">
        <v>1</v>
      </c>
      <c r="M60" s="397">
        <f>Berekening_patiëntaantal[[#This Row],[Prevalentie]]*Berekening_patiëntaantal[[#This Row],[Aandeel in subgroep]]</f>
        <v>135000</v>
      </c>
      <c r="N60" s="420">
        <f t="shared" si="2"/>
        <v>1</v>
      </c>
      <c r="O60" s="397">
        <f>Berekening_patiëntaantal[[#This Row],[Prevalentie/incidentie subgroep]]*Berekening_patiëntaantal[[#This Row],[% toepasbaar]]</f>
        <v>135000</v>
      </c>
      <c r="P60" s="397">
        <f>Berekening_patiëntaantal[[#This Row],[Patiëntaantallen]]*Berekening_patiëntaantal[[#This Row],[Percentage van patiëntaantallen in Wlz (overige is Zvw)]]</f>
        <v>0</v>
      </c>
      <c r="Q60" s="1" t="s">
        <v>706</v>
      </c>
      <c r="R60" s="289" t="s">
        <v>989</v>
      </c>
      <c r="S60" s="273" t="s">
        <v>961</v>
      </c>
    </row>
    <row r="61" spans="1:19" ht="16.5" customHeight="1" x14ac:dyDescent="0.5">
      <c r="A61" s="33" t="str">
        <f>INDEX(Technologieën[Veld],MATCH(Berekening_patiëntaantal[[#This Row],[Digitale zorgtoepassing]],Technologieën[Digitale zorgtoepassing],0))</f>
        <v>Software - Diagnose</v>
      </c>
      <c r="B61" s="32" t="s">
        <v>472</v>
      </c>
      <c r="C61" s="32" t="s">
        <v>71</v>
      </c>
      <c r="D61" s="32" t="s">
        <v>718</v>
      </c>
      <c r="E61" s="32" t="s">
        <v>71</v>
      </c>
      <c r="F61" s="32" t="s">
        <v>1039</v>
      </c>
      <c r="G61" s="433">
        <f>IF(Berekening_patiëntaantal[[#This Row],[Zvw/Wlz]]="Zvw",0%,IF(Berekening_patiëntaantal[[#This Row],[Zvw/Wlz]]="Wlz",100%,IF(Berekening_patiëntaantal[[#This Row],[Zvw/Wlz]]="Thuiszorg ouderen: deels Wlz",'C3 Gegevens - overig'!$B$59,'C3 Gegevens - overig'!$B$60)))</f>
        <v>0</v>
      </c>
      <c r="H61" s="32" t="s">
        <v>470</v>
      </c>
      <c r="I61" s="319">
        <v>14649</v>
      </c>
      <c r="J61" s="417">
        <v>1</v>
      </c>
      <c r="K61" s="419">
        <v>1</v>
      </c>
      <c r="L61" s="419">
        <v>0.03</v>
      </c>
      <c r="M61" s="397">
        <f>Berekening_patiëntaantal[[#This Row],[Prevalentie]]*Berekening_patiëntaantal[[#This Row],[Aandeel in subgroep]]</f>
        <v>14649</v>
      </c>
      <c r="N61" s="420">
        <f t="shared" si="2"/>
        <v>0.03</v>
      </c>
      <c r="O61" s="397">
        <f>Berekening_patiëntaantal[[#This Row],[Prevalentie/incidentie subgroep]]*Berekening_patiëntaantal[[#This Row],[% toepasbaar]]</f>
        <v>439.46999999999997</v>
      </c>
      <c r="P61" s="397">
        <f>Berekening_patiëntaantal[[#This Row],[Patiëntaantallen]]*Berekening_patiëntaantal[[#This Row],[Percentage van patiëntaantallen in Wlz (overige is Zvw)]]</f>
        <v>0</v>
      </c>
      <c r="Q61" s="1" t="s">
        <v>622</v>
      </c>
      <c r="R61" s="1" t="s">
        <v>719</v>
      </c>
      <c r="S61" s="273" t="s">
        <v>961</v>
      </c>
    </row>
    <row r="62" spans="1:19" ht="16.5" customHeight="1" x14ac:dyDescent="0.5">
      <c r="A62" s="33" t="str">
        <f>INDEX(Technologieën[Veld],MATCH(Berekening_patiëntaantal[[#This Row],[Digitale zorgtoepassing]],Technologieën[Digitale zorgtoepassing],0))</f>
        <v>Software - Behandeling</v>
      </c>
      <c r="B62" s="32" t="s">
        <v>578</v>
      </c>
      <c r="C62" s="32" t="s">
        <v>577</v>
      </c>
      <c r="D62" s="32"/>
      <c r="E62" s="32" t="s">
        <v>577</v>
      </c>
      <c r="F62" s="32" t="s">
        <v>1039</v>
      </c>
      <c r="G62" s="433">
        <f>IF(Berekening_patiëntaantal[[#This Row],[Zvw/Wlz]]="Zvw",0%,IF(Berekening_patiëntaantal[[#This Row],[Zvw/Wlz]]="Wlz",100%,IF(Berekening_patiëntaantal[[#This Row],[Zvw/Wlz]]="Thuiszorg ouderen: deels Wlz",'C3 Gegevens - overig'!$B$59,'C3 Gegevens - overig'!$B$60)))</f>
        <v>0</v>
      </c>
      <c r="H62" s="32" t="s">
        <v>21</v>
      </c>
      <c r="I62" s="319">
        <v>90000</v>
      </c>
      <c r="J62" s="417">
        <v>1</v>
      </c>
      <c r="K62" s="419">
        <v>0.4</v>
      </c>
      <c r="L62" s="419">
        <v>1</v>
      </c>
      <c r="M62" s="397">
        <f>Berekening_patiëntaantal[[#This Row],[Prevalentie]]*Berekening_patiëntaantal[[#This Row],[Aandeel in subgroep]]</f>
        <v>90000</v>
      </c>
      <c r="N62" s="420">
        <f t="shared" si="2"/>
        <v>0.4</v>
      </c>
      <c r="O62" s="397">
        <f>Berekening_patiëntaantal[[#This Row],[Prevalentie/incidentie subgroep]]*Berekening_patiëntaantal[[#This Row],[% toepasbaar]]</f>
        <v>36000</v>
      </c>
      <c r="P62" s="397">
        <f>Berekening_patiëntaantal[[#This Row],[Patiëntaantallen]]*Berekening_patiëntaantal[[#This Row],[Percentage van patiëntaantallen in Wlz (overige is Zvw)]]</f>
        <v>0</v>
      </c>
      <c r="Q62" s="1" t="s">
        <v>579</v>
      </c>
      <c r="R62" s="1" t="s">
        <v>979</v>
      </c>
      <c r="S62" s="273" t="s">
        <v>961</v>
      </c>
    </row>
    <row r="63" spans="1:19" ht="16.5" customHeight="1" x14ac:dyDescent="0.5">
      <c r="A63" s="33" t="str">
        <f>INDEX(Technologieën[Veld],MATCH(Berekening_patiëntaantal[[#This Row],[Digitale zorgtoepassing]],Technologieën[Digitale zorgtoepassing],0))</f>
        <v>Digitale hulpmiddelen - Verpleging</v>
      </c>
      <c r="B63" s="32" t="s">
        <v>19</v>
      </c>
      <c r="C63" s="32" t="s">
        <v>20</v>
      </c>
      <c r="D63" s="32" t="s">
        <v>670</v>
      </c>
      <c r="E63" s="32" t="s">
        <v>20</v>
      </c>
      <c r="F63" s="32" t="s">
        <v>1073</v>
      </c>
      <c r="G63" s="433">
        <f>IF(Berekening_patiëntaantal[[#This Row],[Zvw/Wlz]]="Zvw",0%,IF(Berekening_patiëntaantal[[#This Row],[Zvw/Wlz]]="Wlz",100%,IF(Berekening_patiëntaantal[[#This Row],[Zvw/Wlz]]="Thuiszorg ouderen: deels Wlz",'C3 Gegevens - overig'!$B$59,'C3 Gegevens - overig'!$B$60)))</f>
        <v>0.45</v>
      </c>
      <c r="H63" s="32" t="s">
        <v>21</v>
      </c>
      <c r="I63" s="319">
        <v>290000</v>
      </c>
      <c r="J63" s="417">
        <v>0.5</v>
      </c>
      <c r="K63" s="418">
        <v>0.21</v>
      </c>
      <c r="L63" s="419">
        <v>0.2</v>
      </c>
      <c r="M63" s="397">
        <f>Berekening_patiëntaantal[[#This Row],[Prevalentie]]*Berekening_patiëntaantal[[#This Row],[Aandeel in subgroep]]</f>
        <v>145000</v>
      </c>
      <c r="N63" s="420">
        <f t="shared" si="2"/>
        <v>4.2000000000000003E-2</v>
      </c>
      <c r="O63" s="397">
        <f>Berekening_patiëntaantal[[#This Row],[Prevalentie/incidentie subgroep]]*Berekening_patiëntaantal[[#This Row],[% toepasbaar]]</f>
        <v>6090</v>
      </c>
      <c r="P63" s="397">
        <f>Berekening_patiëntaantal[[#This Row],[Patiëntaantallen]]*Berekening_patiëntaantal[[#This Row],[Percentage van patiëntaantallen in Wlz (overige is Zvw)]]</f>
        <v>2740.5</v>
      </c>
      <c r="Q63" s="1" t="s">
        <v>337</v>
      </c>
      <c r="R63" s="170" t="s">
        <v>22</v>
      </c>
      <c r="S63" s="273" t="s">
        <v>961</v>
      </c>
    </row>
    <row r="64" spans="1:19" ht="16.5" customHeight="1" x14ac:dyDescent="0.5">
      <c r="A64" s="33" t="str">
        <f>INDEX(Technologieën[Veld],MATCH(Berekening_patiëntaantal[[#This Row],[Digitale zorgtoepassing]],Technologieën[Digitale zorgtoepassing],0))</f>
        <v>Digitale hulpmiddelen - Verpleging</v>
      </c>
      <c r="B64" s="32" t="s">
        <v>26</v>
      </c>
      <c r="C64" s="32" t="s">
        <v>682</v>
      </c>
      <c r="D64" s="32" t="s">
        <v>692</v>
      </c>
      <c r="E64" s="32" t="s">
        <v>29</v>
      </c>
      <c r="F64" s="32" t="s">
        <v>1074</v>
      </c>
      <c r="G64" s="433">
        <f>IF(Berekening_patiëntaantal[[#This Row],[Zvw/Wlz]]="Zvw",0%,IF(Berekening_patiëntaantal[[#This Row],[Zvw/Wlz]]="Wlz",100%,IF(Berekening_patiëntaantal[[#This Row],[Zvw/Wlz]]="Thuiszorg ouderen: deels Wlz",'C3 Gegevens - overig'!$B$59,'C3 Gegevens - overig'!$B$60)))</f>
        <v>0.70000000000000007</v>
      </c>
      <c r="H64" s="32" t="s">
        <v>21</v>
      </c>
      <c r="I64" s="319">
        <v>1950000</v>
      </c>
      <c r="J64" s="417">
        <v>0.64</v>
      </c>
      <c r="K64" s="418">
        <v>0.1</v>
      </c>
      <c r="L64" s="419">
        <v>0.15</v>
      </c>
      <c r="M64" s="397">
        <f>Berekening_patiëntaantal[[#This Row],[Prevalentie]]*Berekening_patiëntaantal[[#This Row],[Aandeel in subgroep]]</f>
        <v>1248000</v>
      </c>
      <c r="N64" s="420">
        <f t="shared" si="2"/>
        <v>1.4999999999999999E-2</v>
      </c>
      <c r="O64" s="397">
        <f>Berekening_patiëntaantal[[#This Row],[Prevalentie/incidentie subgroep]]*Berekening_patiëntaantal[[#This Row],[% toepasbaar]]</f>
        <v>18720</v>
      </c>
      <c r="P64" s="397">
        <f>Berekening_patiëntaantal[[#This Row],[Patiëntaantallen]]*Berekening_patiëntaantal[[#This Row],[Percentage van patiëntaantallen in Wlz (overige is Zvw)]]</f>
        <v>13104.000000000002</v>
      </c>
      <c r="Q64" s="1" t="s">
        <v>343</v>
      </c>
      <c r="R64" s="170" t="s">
        <v>31</v>
      </c>
      <c r="S64" s="273" t="s">
        <v>961</v>
      </c>
    </row>
    <row r="65" spans="1:19" ht="16.5" customHeight="1" x14ac:dyDescent="0.5">
      <c r="A65" s="33" t="str">
        <f>INDEX(Technologieën[Veld],MATCH(Berekening_patiëntaantal[[#This Row],[Digitale zorgtoepassing]],Technologieën[Digitale zorgtoepassing],0))</f>
        <v>Software - Diagnose</v>
      </c>
      <c r="B65" s="32" t="s">
        <v>475</v>
      </c>
      <c r="C65" s="32" t="s">
        <v>693</v>
      </c>
      <c r="D65" s="32" t="s">
        <v>694</v>
      </c>
      <c r="E65" s="32" t="s">
        <v>460</v>
      </c>
      <c r="F65" s="32" t="s">
        <v>1039</v>
      </c>
      <c r="G65" s="433">
        <f>IF(Berekening_patiëntaantal[[#This Row],[Zvw/Wlz]]="Zvw",0%,IF(Berekening_patiëntaantal[[#This Row],[Zvw/Wlz]]="Wlz",100%,IF(Berekening_patiëntaantal[[#This Row],[Zvw/Wlz]]="Thuiszorg ouderen: deels Wlz",'C3 Gegevens - overig'!$B$59,'C3 Gegevens - overig'!$B$60)))</f>
        <v>0</v>
      </c>
      <c r="H65" s="32" t="s">
        <v>21</v>
      </c>
      <c r="I65" s="319">
        <v>401986</v>
      </c>
      <c r="J65" s="417">
        <v>1</v>
      </c>
      <c r="K65" s="418">
        <v>1</v>
      </c>
      <c r="L65" s="419">
        <v>1</v>
      </c>
      <c r="M65" s="397">
        <f>Berekening_patiëntaantal[[#This Row],[Prevalentie]]*Berekening_patiëntaantal[[#This Row],[Aandeel in subgroep]]</f>
        <v>401986</v>
      </c>
      <c r="N65" s="420">
        <f t="shared" si="2"/>
        <v>1</v>
      </c>
      <c r="O65" s="397">
        <f>Berekening_patiëntaantal[[#This Row],[Prevalentie/incidentie subgroep]]*Berekening_patiëntaantal[[#This Row],[% toepasbaar]]</f>
        <v>401986</v>
      </c>
      <c r="P65" s="397">
        <f>Berekening_patiëntaantal[[#This Row],[Patiëntaantallen]]*Berekening_patiëntaantal[[#This Row],[Percentage van patiëntaantallen in Wlz (overige is Zvw)]]</f>
        <v>0</v>
      </c>
      <c r="Q65" s="1" t="s">
        <v>461</v>
      </c>
      <c r="R65" s="1" t="s">
        <v>452</v>
      </c>
      <c r="S65" s="273" t="s">
        <v>961</v>
      </c>
    </row>
    <row r="66" spans="1:19" ht="16.5" customHeight="1" x14ac:dyDescent="0.5">
      <c r="A66" s="33" t="str">
        <f>INDEX(Technologieën[Veld],MATCH(Berekening_patiëntaantal[[#This Row],[Digitale zorgtoepassing]],Technologieën[Digitale zorgtoepassing],0))</f>
        <v>Software - Diagnose</v>
      </c>
      <c r="B66" s="32" t="s">
        <v>475</v>
      </c>
      <c r="C66" s="32" t="s">
        <v>693</v>
      </c>
      <c r="D66" s="32" t="s">
        <v>673</v>
      </c>
      <c r="E66" s="32" t="s">
        <v>492</v>
      </c>
      <c r="F66" s="32" t="s">
        <v>1039</v>
      </c>
      <c r="G66" s="433">
        <f>IF(Berekening_patiëntaantal[[#This Row],[Zvw/Wlz]]="Zvw",0%,IF(Berekening_patiëntaantal[[#This Row],[Zvw/Wlz]]="Wlz",100%,IF(Berekening_patiëntaantal[[#This Row],[Zvw/Wlz]]="Thuiszorg ouderen: deels Wlz",'C3 Gegevens - overig'!$B$59,'C3 Gegevens - overig'!$B$60)))</f>
        <v>0</v>
      </c>
      <c r="H66" s="32" t="s">
        <v>35</v>
      </c>
      <c r="I66" s="319">
        <f>6700000-INDEX(Berekening_patiëntaantal[Prevalentie],MATCH("Röntgenscan_Botbreuk",Berekening_patiëntaantal[Doelgroep (zoeksleutel)],0))</f>
        <v>6298014</v>
      </c>
      <c r="J66" s="417">
        <v>1</v>
      </c>
      <c r="K66" s="418">
        <v>1</v>
      </c>
      <c r="L66" s="419">
        <v>1</v>
      </c>
      <c r="M66" s="397">
        <f>Berekening_patiëntaantal[[#This Row],[Prevalentie]]*Berekening_patiëntaantal[[#This Row],[Aandeel in subgroep]]</f>
        <v>6298014</v>
      </c>
      <c r="N66" s="420">
        <f t="shared" si="2"/>
        <v>1</v>
      </c>
      <c r="O66" s="397">
        <f>Berekening_patiëntaantal[[#This Row],[Prevalentie/incidentie subgroep]]*Berekening_patiëntaantal[[#This Row],[% toepasbaar]]</f>
        <v>6298014</v>
      </c>
      <c r="P66" s="397">
        <f>Berekening_patiëntaantal[[#This Row],[Patiëntaantallen]]*Berekening_patiëntaantal[[#This Row],[Percentage van patiëntaantallen in Wlz (overige is Zvw)]]</f>
        <v>0</v>
      </c>
      <c r="Q66" s="1" t="s">
        <v>467</v>
      </c>
      <c r="R66" s="1" t="s">
        <v>463</v>
      </c>
      <c r="S66" s="273" t="s">
        <v>961</v>
      </c>
    </row>
    <row r="67" spans="1:19" ht="16.5" customHeight="1" x14ac:dyDescent="0.5">
      <c r="A67" s="33" t="str">
        <f>INDEX(Technologieën[Veld],MATCH(Berekening_patiëntaantal[[#This Row],[Digitale zorgtoepassing]],Technologieën[Digitale zorgtoepassing],0))</f>
        <v>Software - Behandeling</v>
      </c>
      <c r="B67" s="32" t="s">
        <v>585</v>
      </c>
      <c r="C67" s="32" t="s">
        <v>107</v>
      </c>
      <c r="D67" s="32"/>
      <c r="E67" s="32" t="s">
        <v>107</v>
      </c>
      <c r="F67" s="32" t="s">
        <v>1039</v>
      </c>
      <c r="G67" s="433">
        <f>IF(Berekening_patiëntaantal[[#This Row],[Zvw/Wlz]]="Zvw",0%,IF(Berekening_patiëntaantal[[#This Row],[Zvw/Wlz]]="Wlz",100%,IF(Berekening_patiëntaantal[[#This Row],[Zvw/Wlz]]="Thuiszorg ouderen: deels Wlz",'C3 Gegevens - overig'!$B$59,'C3 Gegevens - overig'!$B$60)))</f>
        <v>0</v>
      </c>
      <c r="H67" s="32" t="s">
        <v>21</v>
      </c>
      <c r="I67" s="319">
        <v>175000</v>
      </c>
      <c r="J67" s="417">
        <v>1</v>
      </c>
      <c r="K67" s="418">
        <v>1</v>
      </c>
      <c r="L67" s="419">
        <v>0.33</v>
      </c>
      <c r="M67" s="397">
        <f>Berekening_patiëntaantal[[#This Row],[Prevalentie]]*Berekening_patiëntaantal[[#This Row],[Aandeel in subgroep]]</f>
        <v>175000</v>
      </c>
      <c r="N67" s="420">
        <f t="shared" si="2"/>
        <v>0.33</v>
      </c>
      <c r="O67" s="397">
        <f>Berekening_patiëntaantal[[#This Row],[Prevalentie/incidentie subgroep]]*Berekening_patiëntaantal[[#This Row],[% toepasbaar]]</f>
        <v>57750</v>
      </c>
      <c r="P67" s="397">
        <f>Berekening_patiëntaantal[[#This Row],[Patiëntaantallen]]*Berekening_patiëntaantal[[#This Row],[Percentage van patiëntaantallen in Wlz (overige is Zvw)]]</f>
        <v>0</v>
      </c>
      <c r="Q67" s="387" t="s">
        <v>374</v>
      </c>
      <c r="R67" s="1" t="s">
        <v>108</v>
      </c>
      <c r="S67" s="273" t="s">
        <v>961</v>
      </c>
    </row>
    <row r="68" spans="1:19" ht="16.5" customHeight="1" x14ac:dyDescent="0.5">
      <c r="A68" s="33" t="str">
        <f>INDEX(Technologieën[Veld],MATCH(Berekening_patiëntaantal[[#This Row],[Digitale zorgtoepassing]],Technologieën[Digitale zorgtoepassing],0))</f>
        <v>Digitale hulpmiddelen - Verpleging</v>
      </c>
      <c r="B68" s="32" t="s">
        <v>19</v>
      </c>
      <c r="C68" s="32" t="s">
        <v>24</v>
      </c>
      <c r="D68" s="426" t="s">
        <v>664</v>
      </c>
      <c r="E68" s="32" t="s">
        <v>24</v>
      </c>
      <c r="F68" s="32" t="s">
        <v>1073</v>
      </c>
      <c r="G68" s="433">
        <f>IF(Berekening_patiëntaantal[[#This Row],[Zvw/Wlz]]="Zvw",0%,IF(Berekening_patiëntaantal[[#This Row],[Zvw/Wlz]]="Wlz",100%,IF(Berekening_patiëntaantal[[#This Row],[Zvw/Wlz]]="Thuiszorg ouderen: deels Wlz",'C3 Gegevens - overig'!$B$59,'C3 Gegevens - overig'!$B$60)))</f>
        <v>0.45</v>
      </c>
      <c r="H68" s="32" t="s">
        <v>21</v>
      </c>
      <c r="I68" s="319">
        <v>114100</v>
      </c>
      <c r="J68" s="417">
        <v>0.52</v>
      </c>
      <c r="K68" s="418">
        <v>0.18</v>
      </c>
      <c r="L68" s="419">
        <v>0.5</v>
      </c>
      <c r="M68" s="397">
        <f>Berekening_patiëntaantal[[#This Row],[Prevalentie]]*Berekening_patiëntaantal[[#This Row],[Aandeel in subgroep]]</f>
        <v>59332</v>
      </c>
      <c r="N68" s="420">
        <f t="shared" si="2"/>
        <v>0.09</v>
      </c>
      <c r="O68" s="397">
        <f>Berekening_patiëntaantal[[#This Row],[Prevalentie/incidentie subgroep]]*Berekening_patiëntaantal[[#This Row],[% toepasbaar]]</f>
        <v>5339.88</v>
      </c>
      <c r="P68" s="397">
        <f>Berekening_patiëntaantal[[#This Row],[Patiëntaantallen]]*Berekening_patiëntaantal[[#This Row],[Percentage van patiëntaantallen in Wlz (overige is Zvw)]]</f>
        <v>2402.9459999999999</v>
      </c>
      <c r="Q68" s="1" t="s">
        <v>339</v>
      </c>
      <c r="R68" s="170" t="s">
        <v>25</v>
      </c>
      <c r="S68" s="273" t="s">
        <v>961</v>
      </c>
    </row>
    <row r="69" spans="1:19" ht="16.5" customHeight="1" x14ac:dyDescent="0.5">
      <c r="A69" s="33" t="str">
        <f>INDEX(Technologieën[Veld],MATCH(Berekening_patiëntaantal[[#This Row],[Digitale zorgtoepassing]],Technologieën[Digitale zorgtoepassing],0))</f>
        <v>Sensoren - Verpleging</v>
      </c>
      <c r="B69" s="32" t="s">
        <v>42</v>
      </c>
      <c r="C69" s="32" t="s">
        <v>348</v>
      </c>
      <c r="D69" s="32"/>
      <c r="E69" s="32" t="s">
        <v>348</v>
      </c>
      <c r="F69" s="32" t="s">
        <v>1038</v>
      </c>
      <c r="G69" s="433">
        <f>IF(Berekening_patiëntaantal[[#This Row],[Zvw/Wlz]]="Zvw",0%,IF(Berekening_patiëntaantal[[#This Row],[Zvw/Wlz]]="Wlz",100%,IF(Berekening_patiëntaantal[[#This Row],[Zvw/Wlz]]="Thuiszorg ouderen: deels Wlz",'C3 Gegevens - overig'!$B$59,'C3 Gegevens - overig'!$B$60)))</f>
        <v>1</v>
      </c>
      <c r="H69" s="32" t="s">
        <v>21</v>
      </c>
      <c r="I69" s="319">
        <v>115000</v>
      </c>
      <c r="J69" s="417">
        <v>0.56699999999999995</v>
      </c>
      <c r="K69" s="418">
        <v>1</v>
      </c>
      <c r="L69" s="419">
        <v>0.5</v>
      </c>
      <c r="M69" s="397">
        <f>Berekening_patiëntaantal[[#This Row],[Prevalentie]]*Berekening_patiëntaantal[[#This Row],[Aandeel in subgroep]]</f>
        <v>65204.999999999993</v>
      </c>
      <c r="N69" s="420">
        <f t="shared" si="2"/>
        <v>0.5</v>
      </c>
      <c r="O69" s="397">
        <f>Berekening_patiëntaantal[[#This Row],[Prevalentie/incidentie subgroep]]*Berekening_patiëntaantal[[#This Row],[% toepasbaar]]</f>
        <v>32602.499999999996</v>
      </c>
      <c r="P69" s="397">
        <f>Berekening_patiëntaantal[[#This Row],[Patiëntaantallen]]*Berekening_patiëntaantal[[#This Row],[Percentage van patiëntaantallen in Wlz (overige is Zvw)]]</f>
        <v>32602.499999999996</v>
      </c>
      <c r="Q69" s="1" t="s">
        <v>349</v>
      </c>
      <c r="R69" s="1" t="s">
        <v>43</v>
      </c>
      <c r="S69" s="273" t="s">
        <v>961</v>
      </c>
    </row>
    <row r="70" spans="1:19" ht="16.5" customHeight="1" x14ac:dyDescent="0.5">
      <c r="A70" s="33" t="str">
        <f>INDEX(Technologieën[Veld],MATCH(Berekening_patiëntaantal[[#This Row],[Digitale zorgtoepassing]],Technologieën[Digitale zorgtoepassing],0))</f>
        <v>Software - Behandeling</v>
      </c>
      <c r="B70" s="32" t="s">
        <v>101</v>
      </c>
      <c r="C70" s="32" t="s">
        <v>83</v>
      </c>
      <c r="D70" s="32"/>
      <c r="E70" s="32" t="s">
        <v>83</v>
      </c>
      <c r="F70" s="32" t="s">
        <v>1038</v>
      </c>
      <c r="G70" s="433">
        <f>IF(Berekening_patiëntaantal[[#This Row],[Zvw/Wlz]]="Zvw",0%,IF(Berekening_patiëntaantal[[#This Row],[Zvw/Wlz]]="Wlz",100%,IF(Berekening_patiëntaantal[[#This Row],[Zvw/Wlz]]="Thuiszorg ouderen: deels Wlz",'C3 Gegevens - overig'!$B$59,'C3 Gegevens - overig'!$B$60)))</f>
        <v>1</v>
      </c>
      <c r="H70" s="32" t="s">
        <v>21</v>
      </c>
      <c r="I70" s="319">
        <v>144629</v>
      </c>
      <c r="J70" s="417">
        <v>1</v>
      </c>
      <c r="K70" s="418">
        <v>1</v>
      </c>
      <c r="L70" s="419">
        <v>1</v>
      </c>
      <c r="M70" s="397">
        <f>Berekening_patiëntaantal[[#This Row],[Prevalentie]]*Berekening_patiëntaantal[[#This Row],[Aandeel in subgroep]]</f>
        <v>144629</v>
      </c>
      <c r="N70" s="420">
        <f t="shared" ref="N70:N76" si="3">L70*K70</f>
        <v>1</v>
      </c>
      <c r="O70" s="397">
        <f>Berekening_patiëntaantal[[#This Row],[Prevalentie/incidentie subgroep]]*Berekening_patiëntaantal[[#This Row],[% toepasbaar]]</f>
        <v>144629</v>
      </c>
      <c r="P70" s="397">
        <f>Berekening_patiëntaantal[[#This Row],[Patiëntaantallen]]*Berekening_patiëntaantal[[#This Row],[Percentage van patiëntaantallen in Wlz (overige is Zvw)]]</f>
        <v>144629</v>
      </c>
      <c r="Q70" s="1" t="s">
        <v>366</v>
      </c>
      <c r="R70" s="1" t="s">
        <v>102</v>
      </c>
      <c r="S70" s="273" t="s">
        <v>961</v>
      </c>
    </row>
    <row r="71" spans="1:19" ht="16.5" customHeight="1" x14ac:dyDescent="0.5">
      <c r="A71" s="33" t="str">
        <f>INDEX(Technologieën[Veld],MATCH(Berekening_patiëntaantal[[#This Row],[Digitale zorgtoepassing]],Technologieën[Digitale zorgtoepassing],0))</f>
        <v>Sensoren - Verpleging</v>
      </c>
      <c r="B71" s="32" t="s">
        <v>42</v>
      </c>
      <c r="C71" s="32" t="s">
        <v>44</v>
      </c>
      <c r="D71" s="32"/>
      <c r="E71" s="32" t="s">
        <v>44</v>
      </c>
      <c r="F71" s="32" t="s">
        <v>1038</v>
      </c>
      <c r="G71" s="433">
        <f>IF(Berekening_patiëntaantal[[#This Row],[Zvw/Wlz]]="Zvw",0%,IF(Berekening_patiëntaantal[[#This Row],[Zvw/Wlz]]="Wlz",100%,IF(Berekening_patiëntaantal[[#This Row],[Zvw/Wlz]]="Thuiszorg ouderen: deels Wlz",'C3 Gegevens - overig'!$B$59,'C3 Gegevens - overig'!$B$60)))</f>
        <v>1</v>
      </c>
      <c r="H71" s="32" t="s">
        <v>35</v>
      </c>
      <c r="I71" s="319">
        <v>9500</v>
      </c>
      <c r="J71" s="417">
        <v>0.5</v>
      </c>
      <c r="K71" s="418">
        <v>0.95</v>
      </c>
      <c r="L71" s="419">
        <v>0.5</v>
      </c>
      <c r="M71" s="397">
        <f>Berekening_patiëntaantal[[#This Row],[Prevalentie]]*Berekening_patiëntaantal[[#This Row],[Aandeel in subgroep]]</f>
        <v>4750</v>
      </c>
      <c r="N71" s="420">
        <f t="shared" si="3"/>
        <v>0.47499999999999998</v>
      </c>
      <c r="O71" s="397">
        <f>Berekening_patiëntaantal[[#This Row],[Prevalentie/incidentie subgroep]]*Berekening_patiëntaantal[[#This Row],[% toepasbaar]]</f>
        <v>2256.25</v>
      </c>
      <c r="P71" s="397">
        <f>Berekening_patiëntaantal[[#This Row],[Patiëntaantallen]]*Berekening_patiëntaantal[[#This Row],[Percentage van patiëntaantallen in Wlz (overige is Zvw)]]</f>
        <v>2256.25</v>
      </c>
      <c r="Q71" s="1" t="s">
        <v>350</v>
      </c>
      <c r="R71" s="1" t="s">
        <v>45</v>
      </c>
      <c r="S71" s="273" t="s">
        <v>961</v>
      </c>
    </row>
    <row r="72" spans="1:19" ht="16.5" customHeight="1" x14ac:dyDescent="0.5">
      <c r="A72" s="33" t="str">
        <f>INDEX(Technologieën[Veld],MATCH(Berekening_patiëntaantal[[#This Row],[Digitale zorgtoepassing]],Technologieën[Digitale zorgtoepassing],0))</f>
        <v>Digitale hulpmiddelen - Verpleging</v>
      </c>
      <c r="B72" s="32" t="s">
        <v>85</v>
      </c>
      <c r="C72" s="32" t="s">
        <v>86</v>
      </c>
      <c r="D72" s="32"/>
      <c r="E72" s="32" t="s">
        <v>86</v>
      </c>
      <c r="F72" s="32" t="s">
        <v>1073</v>
      </c>
      <c r="G72" s="433">
        <f>IF(Berekening_patiëntaantal[[#This Row],[Zvw/Wlz]]="Zvw",0%,IF(Berekening_patiëntaantal[[#This Row],[Zvw/Wlz]]="Wlz",100%,IF(Berekening_patiëntaantal[[#This Row],[Zvw/Wlz]]="Thuiszorg ouderen: deels Wlz",'C3 Gegevens - overig'!$B$59,'C3 Gegevens - overig'!$B$60)))</f>
        <v>0.45</v>
      </c>
      <c r="H72" s="32" t="s">
        <v>21</v>
      </c>
      <c r="I72" s="319">
        <v>288000</v>
      </c>
      <c r="J72" s="417">
        <v>1</v>
      </c>
      <c r="K72" s="418">
        <v>1</v>
      </c>
      <c r="L72" s="419">
        <v>0.3</v>
      </c>
      <c r="M72" s="397">
        <f>Berekening_patiëntaantal[[#This Row],[Prevalentie]]*Berekening_patiëntaantal[[#This Row],[Aandeel in subgroep]]</f>
        <v>288000</v>
      </c>
      <c r="N72" s="420">
        <f t="shared" si="3"/>
        <v>0.3</v>
      </c>
      <c r="O72" s="397">
        <f>Berekening_patiëntaantal[[#This Row],[Prevalentie/incidentie subgroep]]*Berekening_patiëntaantal[[#This Row],[% toepasbaar]]</f>
        <v>86400</v>
      </c>
      <c r="P72" s="397">
        <f>Berekening_patiëntaantal[[#This Row],[Patiëntaantallen]]*Berekening_patiëntaantal[[#This Row],[Percentage van patiëntaantallen in Wlz (overige is Zvw)]]</f>
        <v>38880</v>
      </c>
      <c r="Q72" s="1" t="s">
        <v>368</v>
      </c>
      <c r="R72" s="170" t="s">
        <v>967</v>
      </c>
      <c r="S72" s="273" t="s">
        <v>961</v>
      </c>
    </row>
    <row r="73" spans="1:19" ht="16.5" customHeight="1" x14ac:dyDescent="0.5">
      <c r="A73" s="33" t="str">
        <f>INDEX(Technologieën[Veld],MATCH(Berekening_patiëntaantal[[#This Row],[Digitale zorgtoepassing]],Technologieën[Digitale zorgtoepassing],0))</f>
        <v>Software - Behandeling</v>
      </c>
      <c r="B73" s="32" t="s">
        <v>101</v>
      </c>
      <c r="C73" s="32" t="s">
        <v>84</v>
      </c>
      <c r="D73" s="32"/>
      <c r="E73" s="32" t="s">
        <v>84</v>
      </c>
      <c r="F73" s="32" t="s">
        <v>1039</v>
      </c>
      <c r="G73" s="433">
        <f>IF(Berekening_patiëntaantal[[#This Row],[Zvw/Wlz]]="Zvw",0%,IF(Berekening_patiëntaantal[[#This Row],[Zvw/Wlz]]="Wlz",100%,IF(Berekening_patiëntaantal[[#This Row],[Zvw/Wlz]]="Thuiszorg ouderen: deels Wlz",'C3 Gegevens - overig'!$B$59,'C3 Gegevens - overig'!$B$60)))</f>
        <v>0</v>
      </c>
      <c r="H73" s="32" t="s">
        <v>21</v>
      </c>
      <c r="I73" s="319">
        <v>91482.64984227129</v>
      </c>
      <c r="J73" s="417">
        <v>1</v>
      </c>
      <c r="K73" s="418">
        <v>1</v>
      </c>
      <c r="L73" s="419">
        <v>1</v>
      </c>
      <c r="M73" s="397">
        <f>Berekening_patiëntaantal[[#This Row],[Prevalentie]]*Berekening_patiëntaantal[[#This Row],[Aandeel in subgroep]]</f>
        <v>91482.64984227129</v>
      </c>
      <c r="N73" s="420">
        <f t="shared" si="3"/>
        <v>1</v>
      </c>
      <c r="O73" s="397">
        <f>Berekening_patiëntaantal[[#This Row],[Prevalentie/incidentie subgroep]]*Berekening_patiëntaantal[[#This Row],[% toepasbaar]]</f>
        <v>91482.64984227129</v>
      </c>
      <c r="P73" s="397">
        <f>Berekening_patiëntaantal[[#This Row],[Patiëntaantallen]]*Berekening_patiëntaantal[[#This Row],[Percentage van patiëntaantallen in Wlz (overige is Zvw)]]</f>
        <v>0</v>
      </c>
      <c r="Q73" s="1" t="s">
        <v>367</v>
      </c>
      <c r="R73" s="1" t="s">
        <v>103</v>
      </c>
      <c r="S73" s="273" t="s">
        <v>961</v>
      </c>
    </row>
    <row r="74" spans="1:19" ht="16.5" customHeight="1" x14ac:dyDescent="0.5">
      <c r="A74" s="33" t="str">
        <f>INDEX(Technologieën[Veld],MATCH(Berekening_patiëntaantal[[#This Row],[Digitale zorgtoepassing]],Technologieën[Digitale zorgtoepassing],0))</f>
        <v>Sensoren - Behandeling</v>
      </c>
      <c r="B74" s="32" t="s">
        <v>593</v>
      </c>
      <c r="C74" s="32" t="s">
        <v>695</v>
      </c>
      <c r="D74" s="32" t="s">
        <v>696</v>
      </c>
      <c r="E74" s="32" t="s">
        <v>308</v>
      </c>
      <c r="F74" s="32" t="s">
        <v>1039</v>
      </c>
      <c r="G74" s="433">
        <f>IF(Berekening_patiëntaantal[[#This Row],[Zvw/Wlz]]="Zvw",0%,IF(Berekening_patiëntaantal[[#This Row],[Zvw/Wlz]]="Wlz",100%,IF(Berekening_patiëntaantal[[#This Row],[Zvw/Wlz]]="Thuiszorg ouderen: deels Wlz",'C3 Gegevens - overig'!$B$59,'C3 Gegevens - overig'!$B$60)))</f>
        <v>0</v>
      </c>
      <c r="H74" s="32" t="s">
        <v>21</v>
      </c>
      <c r="I74" s="319">
        <v>168838</v>
      </c>
      <c r="J74" s="417">
        <v>1</v>
      </c>
      <c r="K74" s="418">
        <v>1</v>
      </c>
      <c r="L74" s="419">
        <v>0.1</v>
      </c>
      <c r="M74" s="397">
        <f>Berekening_patiëntaantal[[#This Row],[Prevalentie]]*Berekening_patiëntaantal[[#This Row],[Aandeel in subgroep]]</f>
        <v>168838</v>
      </c>
      <c r="N74" s="420">
        <f t="shared" si="3"/>
        <v>0.1</v>
      </c>
      <c r="O74" s="397">
        <f>Berekening_patiëntaantal[[#This Row],[Prevalentie/incidentie subgroep]]*Berekening_patiëntaantal[[#This Row],[% toepasbaar]]</f>
        <v>16883.8</v>
      </c>
      <c r="P74" s="397">
        <f>Berekening_patiëntaantal[[#This Row],[Patiëntaantallen]]*Berekening_patiëntaantal[[#This Row],[Percentage van patiëntaantallen in Wlz (overige is Zvw)]]</f>
        <v>0</v>
      </c>
      <c r="Q74" s="1" t="s">
        <v>978</v>
      </c>
      <c r="R74" s="1" t="s">
        <v>977</v>
      </c>
      <c r="S74" s="273" t="s">
        <v>961</v>
      </c>
    </row>
    <row r="75" spans="1:19" ht="16.5" customHeight="1" x14ac:dyDescent="0.5">
      <c r="A75" s="33" t="str">
        <f>INDEX(Technologieën[Veld],MATCH(Berekening_patiëntaantal[[#This Row],[Digitale zorgtoepassing]],Technologieën[Digitale zorgtoepassing],0))</f>
        <v>Digitale hulpmiddelen - Verpleging</v>
      </c>
      <c r="B75" s="32" t="s">
        <v>32</v>
      </c>
      <c r="C75" s="32" t="s">
        <v>602</v>
      </c>
      <c r="D75" s="32" t="s">
        <v>714</v>
      </c>
      <c r="E75" s="32" t="s">
        <v>602</v>
      </c>
      <c r="F75" s="32" t="s">
        <v>1039</v>
      </c>
      <c r="G75" s="433">
        <f>IF(Berekening_patiëntaantal[[#This Row],[Zvw/Wlz]]="Zvw",0%,IF(Berekening_patiëntaantal[[#This Row],[Zvw/Wlz]]="Wlz",100%,IF(Berekening_patiëntaantal[[#This Row],[Zvw/Wlz]]="Thuiszorg ouderen: deels Wlz",'C3 Gegevens - overig'!$B$59,'C3 Gegevens - overig'!$B$60)))</f>
        <v>0</v>
      </c>
      <c r="H75" s="32" t="s">
        <v>470</v>
      </c>
      <c r="I75" s="319">
        <v>15000</v>
      </c>
      <c r="J75" s="417">
        <v>0.45</v>
      </c>
      <c r="K75" s="419">
        <v>1</v>
      </c>
      <c r="L75" s="419">
        <v>1</v>
      </c>
      <c r="M75" s="397">
        <f>Berekening_patiëntaantal[[#This Row],[Prevalentie]]*Berekening_patiëntaantal[[#This Row],[Aandeel in subgroep]]</f>
        <v>6750</v>
      </c>
      <c r="N75" s="420">
        <f t="shared" si="3"/>
        <v>1</v>
      </c>
      <c r="O75" s="397">
        <f>Berekening_patiëntaantal[[#This Row],[Prevalentie/incidentie subgroep]]*Berekening_patiëntaantal[[#This Row],[% toepasbaar]]</f>
        <v>6750</v>
      </c>
      <c r="P75" s="397">
        <f>Berekening_patiëntaantal[[#This Row],[Patiëntaantallen]]*Berekening_patiëntaantal[[#This Row],[Percentage van patiëntaantallen in Wlz (overige is Zvw)]]</f>
        <v>0</v>
      </c>
      <c r="Q75" s="1" t="s">
        <v>715</v>
      </c>
      <c r="R75" s="170" t="s">
        <v>603</v>
      </c>
    </row>
    <row r="76" spans="1:19" ht="16.5" customHeight="1" x14ac:dyDescent="0.5">
      <c r="A76" s="33" t="str">
        <f>INDEX(Technologieën[Veld],MATCH(Berekening_patiëntaantal[[#This Row],[Digitale zorgtoepassing]],Technologieën[Digitale zorgtoepassing],0))</f>
        <v>Digitale hulpmiddelen - Verpleging</v>
      </c>
      <c r="B76" s="32" t="s">
        <v>32</v>
      </c>
      <c r="C76" s="32" t="s">
        <v>33</v>
      </c>
      <c r="D76" s="32"/>
      <c r="E76" s="32" t="s">
        <v>33</v>
      </c>
      <c r="F76" s="32" t="s">
        <v>1038</v>
      </c>
      <c r="G76" s="433">
        <f>IF(Berekening_patiëntaantal[[#This Row],[Zvw/Wlz]]="Zvw",0%,IF(Berekening_patiëntaantal[[#This Row],[Zvw/Wlz]]="Wlz",100%,IF(Berekening_patiëntaantal[[#This Row],[Zvw/Wlz]]="Thuiszorg ouderen: deels Wlz",'C3 Gegevens - overig'!$B$59,'C3 Gegevens - overig'!$B$60)))</f>
        <v>1</v>
      </c>
      <c r="H76" s="32" t="s">
        <v>21</v>
      </c>
      <c r="I76" s="319">
        <v>115000</v>
      </c>
      <c r="J76" s="417">
        <v>1</v>
      </c>
      <c r="K76" s="418">
        <v>1</v>
      </c>
      <c r="L76" s="419">
        <v>0.08</v>
      </c>
      <c r="M76" s="397">
        <f>Berekening_patiëntaantal[[#This Row],[Prevalentie]]*Berekening_patiëntaantal[[#This Row],[Aandeel in subgroep]]</f>
        <v>115000</v>
      </c>
      <c r="N76" s="420">
        <f t="shared" si="3"/>
        <v>0.08</v>
      </c>
      <c r="O76" s="397">
        <f>Berekening_patiëntaantal[[#This Row],[Prevalentie/incidentie subgroep]]*Berekening_patiëntaantal[[#This Row],[% toepasbaar]]</f>
        <v>9200</v>
      </c>
      <c r="P76" s="397">
        <f>Berekening_patiëntaantal[[#This Row],[Patiëntaantallen]]*Berekening_patiëntaantal[[#This Row],[Percentage van patiëntaantallen in Wlz (overige is Zvw)]]</f>
        <v>9200</v>
      </c>
      <c r="Q76" s="1" t="s">
        <v>344</v>
      </c>
      <c r="R76" s="170" t="s">
        <v>1000</v>
      </c>
    </row>
    <row r="80" spans="1:19" x14ac:dyDescent="0.5">
      <c r="E80" s="64"/>
    </row>
  </sheetData>
  <sheetProtection algorithmName="SHA-512" hashValue="J75RqEJ0bjTDIHsGxrM9bu6ODVjJo7gv45YWa4QmEkn2yYZok38JCWKUeT9jYoEn/jBOrLkGCd2l8r0gc38neQ==" saltValue="g0cMWJshzuHs1WxfQx7g5g==" spinCount="100000" sheet="1" objects="1" scenarios="1" selectLockedCells="1" selectUnlockedCells="1"/>
  <mergeCells count="1">
    <mergeCell ref="A1:C2"/>
  </mergeCells>
  <phoneticPr fontId="4" type="noConversion"/>
  <hyperlinks>
    <hyperlink ref="Q75" r:id="rId1" display="https://dica.nl/jaarrapportage-2019/dhfa" xr:uid="{E8DB6FEA-9B78-4D5E-94FD-2DEF0683E639}"/>
    <hyperlink ref="Q59" r:id="rId2" xr:uid="{A072AA17-9124-402E-A970-8B73EFC2632C}"/>
    <hyperlink ref="Q45" r:id="rId3" xr:uid="{46D045FE-78E6-4862-9F74-24327012BA21}"/>
    <hyperlink ref="Q28" r:id="rId4" display="https://www.medischcontact.nl/nieuws/laatste-nieuws/artikel/diagnostische-sneltests-verdienen-brede-invoering_x000a_Totaal aantal contacten (genoemd in Interview Herko Wegter, 08-06-2023)" xr:uid="{864F3BA3-E1BC-40DD-AED2-17467FB5243D}"/>
    <hyperlink ref="R60" r:id="rId5" display="https://www.medischcontact.nl/nieuws/laatste-nieuws/artikel/diagnostische-sneltests-verdienen-brede-invoering_x000a_“Een voorbeeld van een succesvolle POCT is de C-reactief proteïne (CRP)-POCT. Acute infecties vormen met 26 procent de grootste groep van de presentaties op de hap.” -&gt; daarnaast kan het ook gebruikt worden voor wat andere diagnoses -&gt; grove inschatting van 30% _x000a_Toepassen op alle HAP contacten (450.000) met acute infectie" xr:uid="{B0D1D4E8-ABFB-4296-9F6E-43E9C4E0E126}"/>
    <hyperlink ref="Q43" r:id="rId6" location="/CBS/nl/dataset/80386NED/table?fromstatweb_x000a_Operaties tijdens klinische opname: 681 650_x000a_Operaties tijdens klinische opname|Aantal operaties_x000a_Operaties_x0009_aantal_x000a_Heupvervanging, secundair_x0009_2430_x000a_Heupvervanging, overig_x0009_33339_x000a_Totale knievervanging_x0009_19566_x000a_Totaal_x0009_55335_x000a_Effect in model * factor 681 650/55335" display="https://opendata.cbs.nl/statline/#/CBS/nl/dataset/80386NED/table?fromstatweb_x000a_Operaties tijdens klinische opname: 681 650_x000a_Operaties tijdens klinische opname|Aantal operaties_x000a_Operaties_x0009_aantal_x000a_Heupvervanging, secundair_x0009_2430_x000a_Heupvervanging, overig_x0009_33339_x000a_Totale knievervanging_x0009_19566_x000a_Totaal_x0009_55335_x000a_Effect in model * factor 681 650/55335" xr:uid="{9CF6F810-3D83-4C72-BC53-83A73072E1D2}"/>
    <hyperlink ref="Q67" r:id="rId7" location=":~:text=Botbreuken%20komen%20veel%20voor%20en,een%20botbreuk%20oploopt...!" xr:uid="{014201FD-B112-4BB8-A46A-5A7A1B98BFBE}"/>
  </hyperlinks>
  <pageMargins left="0.7" right="0.7" top="0.75" bottom="0.75" header="0.3" footer="0.3"/>
  <pageSetup paperSize="9" orientation="portrait" r:id="rId8"/>
  <tableParts count="1">
    <tablePart r:id="rId9"/>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2A217-5C47-47D3-B3AE-21EEC63FE18D}">
  <sheetPr codeName="Blad6">
    <tabColor theme="1"/>
  </sheetPr>
  <dimension ref="A1:I60"/>
  <sheetViews>
    <sheetView showGridLines="0" zoomScale="85" zoomScaleNormal="85" workbookViewId="0">
      <selection activeCell="C7" sqref="C7"/>
    </sheetView>
  </sheetViews>
  <sheetFormatPr defaultRowHeight="17" x14ac:dyDescent="0.5"/>
  <cols>
    <col min="1" max="1" width="75.4609375" bestFit="1" customWidth="1"/>
    <col min="2" max="2" width="25.84375" customWidth="1"/>
    <col min="3" max="3" width="21.07421875" style="164" customWidth="1"/>
    <col min="4" max="4" width="19.3046875" customWidth="1"/>
    <col min="6" max="6" width="19.4609375" bestFit="1" customWidth="1"/>
    <col min="7" max="7" width="15.4609375" bestFit="1" customWidth="1"/>
    <col min="8" max="8" width="11.3046875" bestFit="1" customWidth="1"/>
    <col min="9" max="9" width="151.84375" customWidth="1"/>
  </cols>
  <sheetData>
    <row r="1" spans="1:3" x14ac:dyDescent="0.5">
      <c r="A1" s="476" t="s">
        <v>1032</v>
      </c>
      <c r="B1" s="477"/>
      <c r="C1" s="478"/>
    </row>
    <row r="2" spans="1:3" ht="17.5" thickBot="1" x14ac:dyDescent="0.55000000000000004">
      <c r="A2" s="479"/>
      <c r="B2" s="480"/>
      <c r="C2" s="481"/>
    </row>
    <row r="4" spans="1:3" x14ac:dyDescent="0.5">
      <c r="A4" s="4" t="s">
        <v>117</v>
      </c>
      <c r="B4" s="4" t="s">
        <v>723</v>
      </c>
    </row>
    <row r="5" spans="1:3" ht="91" customHeight="1" x14ac:dyDescent="0.5">
      <c r="A5" s="226">
        <v>50000</v>
      </c>
      <c r="B5" s="137" t="s">
        <v>724</v>
      </c>
    </row>
    <row r="7" spans="1:3" ht="51" x14ac:dyDescent="0.5">
      <c r="A7" s="20" t="s">
        <v>886</v>
      </c>
      <c r="B7" s="227">
        <v>0.39</v>
      </c>
    </row>
    <row r="8" spans="1:3" x14ac:dyDescent="0.5">
      <c r="A8" s="20" t="s">
        <v>887</v>
      </c>
      <c r="B8" s="228">
        <v>174</v>
      </c>
    </row>
    <row r="9" spans="1:3" ht="17.5" thickBot="1" x14ac:dyDescent="0.55000000000000004">
      <c r="A9" s="4" t="s">
        <v>140</v>
      </c>
      <c r="B9" s="14" t="s">
        <v>141</v>
      </c>
      <c r="C9" s="229" t="s">
        <v>18</v>
      </c>
    </row>
    <row r="10" spans="1:3" x14ac:dyDescent="0.5">
      <c r="A10" s="33" t="s">
        <v>142</v>
      </c>
      <c r="B10" s="116">
        <f>3172/$B$8*(1+$B$7)</f>
        <v>25.33954022988506</v>
      </c>
      <c r="C10" s="163" t="s">
        <v>143</v>
      </c>
    </row>
    <row r="11" spans="1:3" x14ac:dyDescent="0.5">
      <c r="A11" s="33" t="s">
        <v>144</v>
      </c>
      <c r="B11" s="117">
        <f>2555/$B$8*(1+$B$7)</f>
        <v>20.410632183908046</v>
      </c>
      <c r="C11" s="163" t="s">
        <v>145</v>
      </c>
    </row>
    <row r="12" spans="1:3" x14ac:dyDescent="0.5">
      <c r="A12" s="33" t="s">
        <v>146</v>
      </c>
      <c r="B12" s="116">
        <f>11417/$B$8*(1+$B$7)</f>
        <v>91.204770114942534</v>
      </c>
      <c r="C12" s="163" t="s">
        <v>147</v>
      </c>
    </row>
    <row r="13" spans="1:3" x14ac:dyDescent="0.5">
      <c r="A13" s="33" t="s">
        <v>148</v>
      </c>
      <c r="B13" s="116">
        <f>3472.5/$B$8*(1+$B$7)</f>
        <v>27.740086206896557</v>
      </c>
      <c r="C13" s="163" t="s">
        <v>149</v>
      </c>
    </row>
    <row r="14" spans="1:3" x14ac:dyDescent="0.5">
      <c r="A14" s="33" t="s">
        <v>150</v>
      </c>
      <c r="B14" s="116">
        <f>3575/$B$8*(1+$B$7)</f>
        <v>28.558908045977013</v>
      </c>
      <c r="C14" s="163" t="s">
        <v>151</v>
      </c>
    </row>
    <row r="15" spans="1:3" x14ac:dyDescent="0.5">
      <c r="A15" s="33" t="s">
        <v>152</v>
      </c>
      <c r="B15" s="116">
        <f>3326/$B$8*(1+$B$7)</f>
        <v>26.569770114942532</v>
      </c>
      <c r="C15" s="163" t="s">
        <v>153</v>
      </c>
    </row>
    <row r="16" spans="1:3" x14ac:dyDescent="0.5">
      <c r="A16" s="33" t="s">
        <v>154</v>
      </c>
      <c r="B16" s="116">
        <f>2440/$B$8*(1+$B$7)</f>
        <v>19.491954022988505</v>
      </c>
      <c r="C16" s="163" t="s">
        <v>155</v>
      </c>
    </row>
    <row r="17" spans="1:3" x14ac:dyDescent="0.5">
      <c r="A17" s="33" t="s">
        <v>156</v>
      </c>
      <c r="B17" s="116">
        <f>5050/$B$8*(1+$B$7)</f>
        <v>40.34195402298851</v>
      </c>
      <c r="C17" s="163" t="s">
        <v>157</v>
      </c>
    </row>
    <row r="18" spans="1:3" x14ac:dyDescent="0.5">
      <c r="A18" s="33" t="s">
        <v>158</v>
      </c>
      <c r="B18" s="116">
        <f>8150/$B$8*(1+$B$7)</f>
        <v>65.106321839080465</v>
      </c>
      <c r="C18" s="163" t="s">
        <v>159</v>
      </c>
    </row>
    <row r="19" spans="1:3" x14ac:dyDescent="0.5">
      <c r="A19" s="33" t="s">
        <v>160</v>
      </c>
      <c r="B19" s="116">
        <f>11418/$B$8*(1+$B$7)</f>
        <v>91.212758620689655</v>
      </c>
      <c r="C19" s="163" t="s">
        <v>161</v>
      </c>
    </row>
    <row r="20" spans="1:3" x14ac:dyDescent="0.5">
      <c r="A20" s="33" t="s">
        <v>162</v>
      </c>
      <c r="B20" s="116">
        <f>B18</f>
        <v>65.106321839080465</v>
      </c>
      <c r="C20" s="163" t="s">
        <v>159</v>
      </c>
    </row>
    <row r="21" spans="1:3" x14ac:dyDescent="0.5">
      <c r="A21" s="33" t="s">
        <v>163</v>
      </c>
      <c r="B21" s="117">
        <f>3472/$B$8*(1+$B$7)</f>
        <v>27.736091954022992</v>
      </c>
      <c r="C21" s="163" t="s">
        <v>164</v>
      </c>
    </row>
    <row r="22" spans="1:3" x14ac:dyDescent="0.5">
      <c r="A22" s="33" t="s">
        <v>165</v>
      </c>
      <c r="B22" s="116">
        <f>2440/$B$8*(1+$B$7)</f>
        <v>19.491954022988505</v>
      </c>
      <c r="C22" s="163" t="s">
        <v>166</v>
      </c>
    </row>
    <row r="23" spans="1:3" x14ac:dyDescent="0.5">
      <c r="A23" s="33" t="s">
        <v>167</v>
      </c>
      <c r="B23" s="116">
        <f>2615/$B$8*(1+$B$7)</f>
        <v>20.889942528735634</v>
      </c>
      <c r="C23" s="163" t="s">
        <v>168</v>
      </c>
    </row>
    <row r="24" spans="1:3" x14ac:dyDescent="0.5">
      <c r="A24" s="33" t="s">
        <v>169</v>
      </c>
      <c r="B24" s="117">
        <f>3533/$B$8*(1+$B$7)</f>
        <v>28.223390804597706</v>
      </c>
      <c r="C24" s="163" t="s">
        <v>170</v>
      </c>
    </row>
    <row r="25" spans="1:3" x14ac:dyDescent="0.5">
      <c r="A25" s="33" t="s">
        <v>171</v>
      </c>
      <c r="B25" s="117">
        <f>2587.5/$B$8*(1+$B$7)</f>
        <v>20.670258620689658</v>
      </c>
      <c r="C25" s="163" t="s">
        <v>172</v>
      </c>
    </row>
    <row r="26" spans="1:3" x14ac:dyDescent="0.5">
      <c r="A26" s="33" t="s">
        <v>173</v>
      </c>
      <c r="B26" s="117">
        <f>2615/$B$8*(1+$B$7)</f>
        <v>20.889942528735634</v>
      </c>
      <c r="C26" s="163" t="s">
        <v>174</v>
      </c>
    </row>
    <row r="27" spans="1:3" x14ac:dyDescent="0.5">
      <c r="A27" s="33" t="s">
        <v>700</v>
      </c>
      <c r="B27" s="117">
        <f>3115/$B$8*(1+$B$7)</f>
        <v>24.884195402298854</v>
      </c>
      <c r="C27" s="163" t="s">
        <v>701</v>
      </c>
    </row>
    <row r="28" spans="1:3" x14ac:dyDescent="0.5">
      <c r="A28" s="33" t="s">
        <v>707</v>
      </c>
      <c r="B28" s="117">
        <f xml:space="preserve"> 3295/$B$8*(1+$B$7)</f>
        <v>26.322126436781613</v>
      </c>
      <c r="C28" s="163" t="s">
        <v>708</v>
      </c>
    </row>
    <row r="30" spans="1:3" ht="34.5" thickBot="1" x14ac:dyDescent="0.55000000000000004">
      <c r="A30" s="15" t="s">
        <v>751</v>
      </c>
      <c r="B30" s="162" t="s">
        <v>175</v>
      </c>
      <c r="C30" s="167" t="s">
        <v>18</v>
      </c>
    </row>
    <row r="31" spans="1:3" x14ac:dyDescent="0.5">
      <c r="A31" s="231" t="s">
        <v>19</v>
      </c>
      <c r="B31" s="118">
        <v>150</v>
      </c>
      <c r="C31" s="165" t="s">
        <v>176</v>
      </c>
    </row>
    <row r="32" spans="1:3" x14ac:dyDescent="0.5">
      <c r="A32" s="33" t="s">
        <v>26</v>
      </c>
      <c r="B32" s="38">
        <v>150</v>
      </c>
      <c r="C32" s="165" t="s">
        <v>176</v>
      </c>
    </row>
    <row r="33" spans="1:9" x14ac:dyDescent="0.5">
      <c r="A33" s="33" t="s">
        <v>46</v>
      </c>
      <c r="B33" s="38">
        <v>827</v>
      </c>
      <c r="C33" s="165" t="s">
        <v>178</v>
      </c>
    </row>
    <row r="34" spans="1:9" x14ac:dyDescent="0.5">
      <c r="A34" s="33" t="s">
        <v>53</v>
      </c>
      <c r="B34" s="38">
        <v>113</v>
      </c>
      <c r="C34" s="163" t="s">
        <v>940</v>
      </c>
    </row>
    <row r="35" spans="1:9" x14ac:dyDescent="0.5">
      <c r="A35" s="33" t="s">
        <v>61</v>
      </c>
      <c r="B35" s="38">
        <v>2350</v>
      </c>
      <c r="C35" s="165" t="s">
        <v>177</v>
      </c>
    </row>
    <row r="36" spans="1:9" x14ac:dyDescent="0.5">
      <c r="A36" s="33" t="s">
        <v>720</v>
      </c>
      <c r="B36" s="38">
        <v>107</v>
      </c>
      <c r="C36" s="165" t="s">
        <v>180</v>
      </c>
    </row>
    <row r="37" spans="1:9" x14ac:dyDescent="0.5">
      <c r="A37" s="33" t="s">
        <v>472</v>
      </c>
      <c r="B37" s="38">
        <v>113</v>
      </c>
      <c r="C37" s="165" t="s">
        <v>179</v>
      </c>
    </row>
    <row r="38" spans="1:9" x14ac:dyDescent="0.5">
      <c r="A38" s="33" t="s">
        <v>78</v>
      </c>
      <c r="B38" s="38">
        <f>1116+113</f>
        <v>1229</v>
      </c>
      <c r="C38" s="268" t="s">
        <v>712</v>
      </c>
    </row>
    <row r="39" spans="1:9" x14ac:dyDescent="0.5">
      <c r="A39" s="33" t="s">
        <v>473</v>
      </c>
      <c r="B39" s="38">
        <v>113</v>
      </c>
      <c r="C39" s="165" t="s">
        <v>179</v>
      </c>
    </row>
    <row r="40" spans="1:9" x14ac:dyDescent="0.5">
      <c r="A40" s="33" t="s">
        <v>593</v>
      </c>
      <c r="B40" s="38">
        <v>113</v>
      </c>
      <c r="C40" s="165" t="s">
        <v>179</v>
      </c>
    </row>
    <row r="42" spans="1:9" ht="62.5" customHeight="1" thickBot="1" x14ac:dyDescent="0.55000000000000004">
      <c r="A42" s="5" t="s">
        <v>187</v>
      </c>
      <c r="B42" s="5" t="s">
        <v>188</v>
      </c>
      <c r="C42" s="5" t="s">
        <v>189</v>
      </c>
      <c r="D42" s="5" t="s">
        <v>190</v>
      </c>
      <c r="E42" s="5" t="s">
        <v>191</v>
      </c>
      <c r="F42" s="5" t="s">
        <v>440</v>
      </c>
      <c r="G42" s="5" t="s">
        <v>441</v>
      </c>
      <c r="H42" s="5" t="s">
        <v>192</v>
      </c>
      <c r="I42" s="230" t="s">
        <v>18</v>
      </c>
    </row>
    <row r="43" spans="1:9" x14ac:dyDescent="0.5">
      <c r="A43" s="33" t="s">
        <v>193</v>
      </c>
      <c r="B43" s="140">
        <v>350</v>
      </c>
      <c r="C43" s="141">
        <v>0.7</v>
      </c>
      <c r="D43" s="141">
        <f>100%-Zorggebruik[[#This Row],[Waarvan personeel]]</f>
        <v>0.30000000000000004</v>
      </c>
      <c r="E43" s="141"/>
      <c r="F43" s="141"/>
      <c r="G43" s="141"/>
      <c r="H43" s="141"/>
      <c r="I43" s="163" t="s">
        <v>194</v>
      </c>
    </row>
    <row r="44" spans="1:9" ht="34" x14ac:dyDescent="0.5">
      <c r="A44" s="33" t="s">
        <v>195</v>
      </c>
      <c r="B44" s="142">
        <v>2890</v>
      </c>
      <c r="C44" s="141">
        <v>0.6</v>
      </c>
      <c r="D44" s="141">
        <v>0.4</v>
      </c>
      <c r="E44" s="141"/>
      <c r="F44" s="141"/>
      <c r="G44" s="141"/>
      <c r="H44" s="141"/>
      <c r="I44" s="166" t="s">
        <v>1007</v>
      </c>
    </row>
    <row r="45" spans="1:9" x14ac:dyDescent="0.5">
      <c r="A45" s="33" t="s">
        <v>196</v>
      </c>
      <c r="B45" s="140"/>
      <c r="C45" s="141">
        <v>0.6</v>
      </c>
      <c r="D45" s="141">
        <v>0.4</v>
      </c>
      <c r="E45" s="141"/>
      <c r="F45" s="141"/>
      <c r="G45" s="141"/>
      <c r="H45" s="141"/>
      <c r="I45" s="163" t="s">
        <v>713</v>
      </c>
    </row>
    <row r="46" spans="1:9" x14ac:dyDescent="0.5">
      <c r="A46" s="33" t="s">
        <v>197</v>
      </c>
      <c r="B46" s="140">
        <v>480</v>
      </c>
      <c r="C46" s="141">
        <v>0.6</v>
      </c>
      <c r="D46" s="141">
        <v>0.4</v>
      </c>
      <c r="E46" s="141"/>
      <c r="F46" s="141"/>
      <c r="G46" s="141"/>
      <c r="H46" s="141"/>
      <c r="I46" s="163" t="s">
        <v>727</v>
      </c>
    </row>
    <row r="47" spans="1:9" ht="51" x14ac:dyDescent="0.5">
      <c r="A47" s="33" t="s">
        <v>198</v>
      </c>
      <c r="B47" s="140">
        <v>2500</v>
      </c>
      <c r="C47" s="141">
        <v>0.7</v>
      </c>
      <c r="D47" s="141">
        <v>0.3</v>
      </c>
      <c r="E47" s="141"/>
      <c r="F47" s="141"/>
      <c r="G47" s="141"/>
      <c r="H47" s="141"/>
      <c r="I47" s="166" t="s">
        <v>728</v>
      </c>
    </row>
    <row r="48" spans="1:9" x14ac:dyDescent="0.5">
      <c r="A48" s="33" t="s">
        <v>199</v>
      </c>
      <c r="B48" s="116"/>
      <c r="C48" s="141">
        <v>0.67</v>
      </c>
      <c r="D48" s="141">
        <v>0.33</v>
      </c>
      <c r="E48" s="141"/>
      <c r="F48" s="141"/>
      <c r="G48" s="141"/>
      <c r="H48" s="141"/>
      <c r="I48" s="163" t="s">
        <v>200</v>
      </c>
    </row>
    <row r="49" spans="1:9" x14ac:dyDescent="0.5">
      <c r="A49" s="33" t="s">
        <v>201</v>
      </c>
      <c r="B49" s="116"/>
      <c r="C49" s="141">
        <v>0.61</v>
      </c>
      <c r="D49" s="141"/>
      <c r="E49" s="141">
        <v>0.17</v>
      </c>
      <c r="F49" s="141">
        <v>0.5</v>
      </c>
      <c r="G49" s="143">
        <f>Zorggebruik[[#This Row],[Indirect personeel]]*Zorggebruik[[#This Row],[Percentage kostenbesparing indirect personeel]]</f>
        <v>8.5000000000000006E-2</v>
      </c>
      <c r="H49" s="141">
        <v>0.22</v>
      </c>
      <c r="I49" s="163" t="s">
        <v>200</v>
      </c>
    </row>
    <row r="50" spans="1:9" ht="34" x14ac:dyDescent="0.5">
      <c r="A50" s="33" t="s">
        <v>704</v>
      </c>
      <c r="B50" s="116">
        <v>350</v>
      </c>
      <c r="C50" s="141">
        <f>528/1204</f>
        <v>0.43853820598006643</v>
      </c>
      <c r="D50" s="141">
        <f>100%-Zorggebruik[[#This Row],[Waarvan personeel]]</f>
        <v>0.56146179401993357</v>
      </c>
      <c r="E50" s="144"/>
      <c r="F50" s="144"/>
      <c r="G50" s="144"/>
      <c r="H50" s="144"/>
      <c r="I50" s="166" t="s">
        <v>705</v>
      </c>
    </row>
    <row r="52" spans="1:9" ht="17.5" thickBot="1" x14ac:dyDescent="0.55000000000000004">
      <c r="C52" s="198" t="s">
        <v>213</v>
      </c>
    </row>
    <row r="53" spans="1:9" x14ac:dyDescent="0.5">
      <c r="A53" s="430" t="s">
        <v>1082</v>
      </c>
      <c r="B53" s="456">
        <v>148240</v>
      </c>
      <c r="C53" s="463" t="s">
        <v>1075</v>
      </c>
      <c r="D53" s="2"/>
      <c r="E53" s="2"/>
      <c r="F53" s="2"/>
      <c r="G53" s="2"/>
      <c r="H53" s="2"/>
      <c r="I53" s="2"/>
    </row>
    <row r="54" spans="1:9" ht="17.5" thickBot="1" x14ac:dyDescent="0.55000000000000004">
      <c r="A54" s="431" t="s">
        <v>1081</v>
      </c>
      <c r="B54" s="457">
        <v>28925</v>
      </c>
      <c r="C54" s="463" t="s">
        <v>1085</v>
      </c>
      <c r="D54" s="2"/>
      <c r="E54" s="2"/>
      <c r="F54" s="2"/>
      <c r="G54" s="2"/>
      <c r="H54" s="2"/>
      <c r="I54" s="2"/>
    </row>
    <row r="55" spans="1:9" x14ac:dyDescent="0.5">
      <c r="A55" s="69" t="s">
        <v>1079</v>
      </c>
      <c r="B55" s="458">
        <v>121009</v>
      </c>
      <c r="C55" s="463" t="s">
        <v>1076</v>
      </c>
      <c r="D55" s="2"/>
      <c r="E55" s="2"/>
      <c r="F55" s="2"/>
      <c r="G55" s="2"/>
      <c r="H55" s="2"/>
      <c r="I55" s="2"/>
    </row>
    <row r="56" spans="1:9" ht="17.5" thickBot="1" x14ac:dyDescent="0.55000000000000004">
      <c r="A56" s="455" t="s">
        <v>1083</v>
      </c>
      <c r="B56" s="459">
        <f>B53+B54-B55</f>
        <v>56156</v>
      </c>
      <c r="C56" s="463"/>
      <c r="D56" s="2"/>
      <c r="E56" s="2"/>
      <c r="F56" s="2"/>
      <c r="G56" s="2"/>
      <c r="H56" s="2"/>
      <c r="I56" s="2"/>
    </row>
    <row r="57" spans="1:9" x14ac:dyDescent="0.5">
      <c r="A57" s="432" t="s">
        <v>1070</v>
      </c>
      <c r="B57" s="457">
        <v>584000</v>
      </c>
      <c r="C57" s="463" t="s">
        <v>1077</v>
      </c>
      <c r="D57" s="2"/>
      <c r="E57" s="2"/>
      <c r="F57" s="2"/>
      <c r="G57" s="2"/>
      <c r="H57" s="2"/>
      <c r="I57" s="2"/>
    </row>
    <row r="58" spans="1:9" ht="34.5" thickBot="1" x14ac:dyDescent="0.55000000000000004">
      <c r="A58" s="432" t="s">
        <v>1071</v>
      </c>
      <c r="B58" s="460">
        <v>0.13</v>
      </c>
      <c r="C58" s="463" t="s">
        <v>1078</v>
      </c>
      <c r="D58" s="2"/>
      <c r="E58" s="2"/>
      <c r="F58" s="2"/>
      <c r="G58" s="2"/>
      <c r="H58" s="2"/>
      <c r="I58" s="2"/>
    </row>
    <row r="59" spans="1:9" x14ac:dyDescent="0.5">
      <c r="A59" s="69" t="s">
        <v>1084</v>
      </c>
      <c r="B59" s="461">
        <f>MROUND(B56/(B56+(B58*B57)),0.05)</f>
        <v>0.45</v>
      </c>
      <c r="C59" s="165"/>
      <c r="D59" s="2"/>
      <c r="E59" s="2"/>
      <c r="F59" s="2"/>
      <c r="G59" s="2"/>
      <c r="H59" s="2"/>
      <c r="I59" s="2"/>
    </row>
    <row r="60" spans="1:9" ht="17.5" thickBot="1" x14ac:dyDescent="0.55000000000000004">
      <c r="A60" s="454" t="s">
        <v>1080</v>
      </c>
      <c r="B60" s="462">
        <f>MROUND((B55+B56)/(B55+B56+(B58*B57)),0.05)</f>
        <v>0.70000000000000007</v>
      </c>
      <c r="C60" s="165"/>
      <c r="D60" s="2"/>
      <c r="E60" s="2"/>
      <c r="F60" s="2"/>
      <c r="G60" s="2"/>
      <c r="H60" s="2"/>
      <c r="I60" s="2"/>
    </row>
  </sheetData>
  <sheetProtection algorithmName="SHA-512" hashValue="kfS9HaxDIBF4KZC9yymlzsaz/NqhyDzyokik2JchOssi8Ho5ZqiIIQCTcMc/9gXkyBhkHjqEi/0+fjx9F0Xf2g==" saltValue="fKDKr1AiOZN3sFK/yMcvDQ==" spinCount="100000" sheet="1" objects="1" scenarios="1" selectLockedCells="1" selectUnlockedCells="1"/>
  <mergeCells count="1">
    <mergeCell ref="A1:C2"/>
  </mergeCells>
  <hyperlinks>
    <hyperlink ref="C10" r:id="rId1" xr:uid="{DEBDA150-7C62-419D-A3CF-9A9836003634}"/>
    <hyperlink ref="C11" r:id="rId2" xr:uid="{C65B3229-8CE8-4963-A800-89CC504DE897}"/>
    <hyperlink ref="C14" r:id="rId3" location=":~:text=Salaris%20van%20de%20beroepsfamilie,%E2%82%AC%203575%20bruto%20per%20maand." xr:uid="{171CCC40-7ABE-4424-82F2-B8009CFF8D1F}"/>
    <hyperlink ref="C15" r:id="rId4" location=":~:text=Het%20gemiddelde%20brutomaandsalaris%20van%20een,dus%20nog%20niet%20bij%20opgeteld." xr:uid="{623CC4B8-7239-4AC3-AD4E-E6E22009B9B9}"/>
    <hyperlink ref="C17" r:id="rId5" location=":~:text=Het%20salaris%20van%20een%20Eerstelijnspsycholoog,%E2%82%AC%205.050%20bruto%20per%20maand." xr:uid="{56D23CC5-F9B5-4B48-8D62-DEC02B6250B7}"/>
    <hyperlink ref="C18" r:id="rId6" xr:uid="{0B01A864-4E55-400F-8754-985005C3E18A}"/>
    <hyperlink ref="C19" r:id="rId7" location=":~:text=Het%20salaris%20van%20een%20Klinisch,%E2%82%AC%2011.418%20bruto%20per%20maand." xr:uid="{3EAC09BF-A1F3-437B-8482-CE8294ADF060}"/>
    <hyperlink ref="C22" r:id="rId8" location=":~:text=Het%20salaris%20van%20een%20verzorgende,%E2%82%AC%202.440%20bruto%20per%20maand." xr:uid="{78A2A1FC-CF62-45B9-8B2F-BDF020D24E8D}"/>
    <hyperlink ref="C13" r:id="rId9" location=":~:text=Het%20startsalaris%20van%20een%20gediplomeerd,je%20werkervaring%20en%20CAO%20schalen." xr:uid="{645AA1B4-18AD-4E22-99DE-035119408272}"/>
    <hyperlink ref="C12" r:id="rId10" xr:uid="{7FBC5637-6289-4EC2-8EE7-D334550DD4DF}"/>
    <hyperlink ref="C21" r:id="rId11" xr:uid="{391008DE-A0F0-4A3E-80F5-E2C55F3A3069}"/>
    <hyperlink ref="C16" r:id="rId12" xr:uid="{A08F1541-A7C4-4604-A758-CDE3FE520B24}"/>
    <hyperlink ref="C20" r:id="rId13" xr:uid="{6E36F54E-6350-4AFC-8325-70E26C19DBDF}"/>
    <hyperlink ref="C25" r:id="rId14" xr:uid="{365A302A-AB25-4136-B7D8-0283A05E4745}"/>
    <hyperlink ref="C38" r:id="rId15" display="https://www.zorgkaartnederland.nl/verloskundepraktijk " xr:uid="{8FFF027F-E4D8-4B08-8004-8C193EDF4BB6}"/>
    <hyperlink ref="C34" r:id="rId16" location=":~:text=Nederland%20telt%2069%20ziekenhuisorganisaties,en%20kinderziekenhuizen)%20en%20147%20buitenpoliklinieken." xr:uid="{3B486B8A-0FB2-4450-9C7D-215C789D68A2}"/>
    <hyperlink ref="I43" r:id="rId17" display="https://puc.overheid.nl/nza/doc/PUC_301324_22/1/" xr:uid="{04DC0F36-97A9-4137-98C2-D0F57859DF83}"/>
    <hyperlink ref="I45" r:id="rId18" xr:uid="{51149DAC-6BD5-493E-8C67-93E048AF4086}"/>
    <hyperlink ref="I44" r:id="rId19" display="Een opname kost gemiddeld 2000 euro, inschatting Julia o.b.v. passanten prijslijst &quot;Maximaal 5 dagbehandelingen en/of verpleegdagen bij cardiologie bij hartfalen of andere hartaandoening &quot;_x000a_https://www.sp.nl/sites/default/files/onderzoekpanteia.pdf" xr:uid="{F60B38E3-1DC5-413B-B810-B5CEBA8A3F56}"/>
    <hyperlink ref="I46" r:id="rId20" display="https://radar.avrotros.nl/hulp-tips/hulpartikelen/item/wat-kost-het-als-je-in-het-ziekenhuis-belandt/" xr:uid="{2B2E9BF7-4B6F-4AE7-9AAF-63CAA6E6F1FF}"/>
    <hyperlink ref="I47" r:id="rId21" display="https://radar.avrotros.nl/hulp-tips/hulpartikelen/item/wat-kost-het-als-je-in-het-ziekenhuis-belandt/_x000a_Verhouding gelijk versteld aan SEH" xr:uid="{139A6034-0E73-4348-AE5D-9FD59134B5AE}"/>
    <hyperlink ref="C53" r:id="rId22" xr:uid="{0E4A76A9-4EAA-49AB-A39F-6BAAC168C606}"/>
    <hyperlink ref="C55" r:id="rId23" location=":~:text=Verpleeghuiszorg%20in%20Nederland&amp;text=In%20Nederland%20wonen%20121.009%20mensen,in%20het%20verpleeghuis%2C%20momenteel%2021.795" display="https://www.actiz.nl/hoe-staat-het-met-de-wachtlijsten-voor-verpleeghuizen - :~:text=Verpleeghuiszorg%20in%20Nederland&amp;text=In%20Nederland%20wonen%20121.009%20mensen,in%20het%20verpleeghuis%2C%20momenteel%2021.795" xr:uid="{917A51F0-4B79-49B5-B0A5-34096AAD75AA}"/>
    <hyperlink ref="C57" r:id="rId24" xr:uid="{AD6A736C-C205-4069-9529-7B9166C74871}"/>
    <hyperlink ref="C58" r:id="rId25" xr:uid="{F1F6715C-91C0-4CEB-A447-BE776C1445CA}"/>
  </hyperlinks>
  <pageMargins left="0.7" right="0.7" top="0.75" bottom="0.75" header="0.3" footer="0.3"/>
  <pageSetup paperSize="9" orientation="portrait" r:id="rId26"/>
  <drawing r:id="rId27"/>
  <legacyDrawing r:id="rId28"/>
  <tableParts count="4">
    <tablePart r:id="rId29"/>
    <tablePart r:id="rId30"/>
    <tablePart r:id="rId31"/>
    <tablePart r:id="rId32"/>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9DA67-03E6-44BF-8168-AEDDE1151421}">
  <sheetPr codeName="Blad15">
    <tabColor theme="8"/>
  </sheetPr>
  <dimension ref="A1:CE151"/>
  <sheetViews>
    <sheetView showGridLines="0" zoomScale="80" zoomScaleNormal="80" workbookViewId="0">
      <selection activeCell="F32" sqref="F32"/>
    </sheetView>
  </sheetViews>
  <sheetFormatPr defaultRowHeight="17" x14ac:dyDescent="0.5"/>
  <cols>
    <col min="1" max="1" width="27.69140625" bestFit="1" customWidth="1"/>
    <col min="2" max="2" width="41.765625" style="36" customWidth="1"/>
    <col min="3" max="3" width="21.53515625" customWidth="1"/>
    <col min="4" max="4" width="17.53515625" customWidth="1"/>
    <col min="5" max="5" width="30.84375" style="36" bestFit="1" customWidth="1"/>
    <col min="6" max="6" width="27.07421875" style="36" customWidth="1"/>
    <col min="7" max="7" width="30.69140625" style="36" bestFit="1" customWidth="1"/>
    <col min="8" max="8" width="27.84375" style="36" bestFit="1" customWidth="1"/>
    <col min="9" max="12" width="22.84375" customWidth="1"/>
    <col min="13" max="13" width="18.07421875" customWidth="1"/>
    <col min="14" max="24" width="22.84375" customWidth="1"/>
    <col min="25" max="25" width="22.84375" style="4" customWidth="1"/>
    <col min="26" max="36" width="22.84375" customWidth="1"/>
  </cols>
  <sheetData>
    <row r="1" spans="1:83" x14ac:dyDescent="0.5">
      <c r="A1" s="476" t="s">
        <v>1032</v>
      </c>
      <c r="B1" s="477"/>
      <c r="C1" s="478"/>
    </row>
    <row r="2" spans="1:83" ht="17.5" thickBot="1" x14ac:dyDescent="0.55000000000000004">
      <c r="A2" s="479"/>
      <c r="B2" s="480"/>
      <c r="C2" s="481"/>
    </row>
    <row r="4" spans="1:83" ht="17.5" thickBot="1" x14ac:dyDescent="0.55000000000000004">
      <c r="A4" s="300"/>
      <c r="B4" s="301"/>
      <c r="C4" s="300"/>
      <c r="D4" s="300"/>
      <c r="E4" s="301"/>
      <c r="F4" s="301"/>
      <c r="G4" s="301"/>
      <c r="H4" s="301"/>
      <c r="I4" s="300"/>
      <c r="J4" s="283"/>
      <c r="K4" s="283"/>
      <c r="L4" s="283"/>
      <c r="M4" s="516" t="s">
        <v>13</v>
      </c>
      <c r="N4" s="516"/>
      <c r="O4" s="516"/>
      <c r="P4" s="516"/>
      <c r="Q4" s="516"/>
      <c r="R4" s="516"/>
      <c r="S4" s="516"/>
      <c r="T4" s="516"/>
      <c r="U4" s="516"/>
      <c r="V4" s="516"/>
      <c r="W4" s="516"/>
      <c r="X4" s="299"/>
      <c r="Y4" s="299"/>
      <c r="Z4" s="299"/>
      <c r="AA4" s="517" t="s">
        <v>4</v>
      </c>
      <c r="AB4" s="517"/>
      <c r="AC4" s="517"/>
      <c r="AD4" s="517"/>
      <c r="AE4" s="517"/>
      <c r="AF4" s="517"/>
      <c r="AG4" s="517"/>
      <c r="AH4" s="303"/>
      <c r="AI4" s="303"/>
      <c r="AJ4" s="39"/>
    </row>
    <row r="5" spans="1:83" ht="33.75" customHeight="1" thickBot="1" x14ac:dyDescent="0.55000000000000004">
      <c r="A5" s="300"/>
      <c r="B5" s="290"/>
      <c r="C5" s="302"/>
      <c r="D5" s="302"/>
      <c r="E5" s="301"/>
      <c r="F5" s="301"/>
      <c r="G5" s="301"/>
      <c r="H5" s="301"/>
      <c r="I5" s="283"/>
      <c r="J5" s="302"/>
      <c r="K5" s="283"/>
      <c r="L5" s="283"/>
      <c r="M5" s="516"/>
      <c r="N5" s="516"/>
      <c r="O5" s="516"/>
      <c r="P5" s="516"/>
      <c r="Q5" s="516"/>
      <c r="R5" s="516"/>
      <c r="S5" s="516"/>
      <c r="T5" s="516"/>
      <c r="U5" s="516"/>
      <c r="V5" s="516"/>
      <c r="W5" s="516"/>
      <c r="X5" s="513" t="s">
        <v>497</v>
      </c>
      <c r="Y5" s="514"/>
      <c r="Z5" s="515"/>
      <c r="AA5" s="517"/>
      <c r="AB5" s="517"/>
      <c r="AC5" s="517"/>
      <c r="AD5" s="517"/>
      <c r="AE5" s="517"/>
      <c r="AF5" s="517"/>
      <c r="AG5" s="517"/>
      <c r="AH5" s="511" t="s">
        <v>498</v>
      </c>
      <c r="AI5" s="512"/>
      <c r="AJ5" s="39"/>
    </row>
    <row r="6" spans="1:83" s="39" customFormat="1" ht="51.5" thickBot="1" x14ac:dyDescent="0.55000000000000004">
      <c r="A6" s="150" t="s">
        <v>5</v>
      </c>
      <c r="B6" s="16" t="s">
        <v>751</v>
      </c>
      <c r="C6" s="16" t="s">
        <v>568</v>
      </c>
      <c r="D6" s="16" t="s">
        <v>608</v>
      </c>
      <c r="E6" s="150" t="s">
        <v>378</v>
      </c>
      <c r="F6" s="148" t="s">
        <v>619</v>
      </c>
      <c r="G6" s="31" t="s">
        <v>572</v>
      </c>
      <c r="H6" s="210" t="s">
        <v>140</v>
      </c>
      <c r="I6" s="16" t="s">
        <v>397</v>
      </c>
      <c r="J6" s="16" t="s">
        <v>203</v>
      </c>
      <c r="K6" s="16" t="s">
        <v>410</v>
      </c>
      <c r="L6" s="16" t="s">
        <v>582</v>
      </c>
      <c r="M6" s="16" t="s">
        <v>483</v>
      </c>
      <c r="N6" s="16" t="s">
        <v>484</v>
      </c>
      <c r="O6" s="16" t="s">
        <v>496</v>
      </c>
      <c r="P6" s="16" t="s">
        <v>401</v>
      </c>
      <c r="Q6" s="16" t="s">
        <v>802</v>
      </c>
      <c r="R6" s="16" t="s">
        <v>407</v>
      </c>
      <c r="S6" s="16" t="s">
        <v>499</v>
      </c>
      <c r="T6" s="16" t="s">
        <v>447</v>
      </c>
      <c r="U6" s="16" t="s">
        <v>402</v>
      </c>
      <c r="V6" s="16" t="s">
        <v>403</v>
      </c>
      <c r="W6" s="16" t="s">
        <v>495</v>
      </c>
      <c r="X6" s="156" t="s">
        <v>398</v>
      </c>
      <c r="Y6" s="16" t="s">
        <v>399</v>
      </c>
      <c r="Z6" s="157" t="s">
        <v>408</v>
      </c>
      <c r="AA6" s="16" t="s">
        <v>485</v>
      </c>
      <c r="AB6" s="16" t="s">
        <v>486</v>
      </c>
      <c r="AC6" s="16" t="s">
        <v>620</v>
      </c>
      <c r="AD6" s="16" t="s">
        <v>489</v>
      </c>
      <c r="AE6" s="16" t="s">
        <v>411</v>
      </c>
      <c r="AF6" s="16" t="s">
        <v>487</v>
      </c>
      <c r="AG6" s="16" t="s">
        <v>490</v>
      </c>
      <c r="AH6" s="156" t="s">
        <v>488</v>
      </c>
      <c r="AI6" s="157" t="s">
        <v>491</v>
      </c>
    </row>
    <row r="7" spans="1:83" s="2" customFormat="1" ht="17.5" thickTop="1" x14ac:dyDescent="0.5">
      <c r="A7" s="51" t="str">
        <f>INDEX(Technologieën[Veld],MATCH(G7,Technologieën[Zoeksleutel bronnummer],0))</f>
        <v>Sensoren - Behandeling</v>
      </c>
      <c r="B7" s="33" t="s">
        <v>593</v>
      </c>
      <c r="C7" s="32" t="s">
        <v>390</v>
      </c>
      <c r="D7" s="32" t="s">
        <v>391</v>
      </c>
      <c r="E7" s="33" t="s">
        <v>308</v>
      </c>
      <c r="F7" s="33" t="str" cm="1">
        <f t="array" ref="F7">INDEX(Berekening_patiëntaantal[Direct toepasbaar/extrapolatie/incidentie voor QALY],MATCH(B7,IF(Berekening_patiëntaantal[Doelgroep (zoeksleutel)]=E7,Berekening_patiëntaantal[Digitale zorgtoepassing]),0))</f>
        <v>Huidige toepassing</v>
      </c>
      <c r="G7" s="33" t="s">
        <v>595</v>
      </c>
      <c r="H7" s="33" t="s">
        <v>148</v>
      </c>
      <c r="I7" s="403">
        <f>INDEX(Uurloon[Uurtarief zorgpersoneel],MATCH(H7,Uurloon[Zorgverlener],0))</f>
        <v>27.740086206896557</v>
      </c>
      <c r="J7" s="404" cm="1">
        <f t="array" ref="J7">INDEX(Berekening_patiëntaantal[Patiëntaantallen],MATCH(B7,IF(Berekening_patiëntaantal[Doelgroep (zoeksleutel)]=E7,Berekening_patiëntaantal[Digitale zorgtoepassing]),0))</f>
        <v>16883.8</v>
      </c>
      <c r="K7" s="404">
        <f>IFERROR(INDEX(aantal_organisaties[Aantal organisaties waarop toepasbaar],MATCH(B7,aantal_organisaties[Digitale zorgtoepassing],0)),0)</f>
        <v>113</v>
      </c>
      <c r="L7" s="397">
        <f>COUNTIF(uniforme_input[Doelgroep],E7)</f>
        <v>2</v>
      </c>
      <c r="M7" s="405" cm="1">
        <f t="array" ref="M7">INDEX(Technologieën[Tijdsbesparing p. patiënt (min/week)],MATCH(B7,IF(Technologieën[Zoeksleutel bronnummer]=G7,Technologieën[Digitale zorgtoepassing]),0))</f>
        <v>0</v>
      </c>
      <c r="N7" s="405" cm="1">
        <f t="array" ref="N7">INDEX(Technologieën[Tijdsbesparing per handeling (min)],MATCH(B7,IF(Technologieën[Zoeksleutel bronnummer]=G7,Technologieën[Digitale zorgtoepassing]),0))</f>
        <v>0</v>
      </c>
      <c r="O7" s="403" cm="1">
        <f t="array" ref="O7">INDEX(Technologieën[Besparing overige kosten (€/patiënt/jaar)],MATCH(B7,IF(Technologieën[Zoeksleutel bronnummer]=G7,Technologieën[Digitale zorgtoepassing]),0))</f>
        <v>0</v>
      </c>
      <c r="P7" s="403" cm="1">
        <f t="array" ref="P7">INDEX(Technologieën[Kostenbesparing p. patiënt door arbeidsbesparing (€/week)],MATCH(B7,IF(Technologieën[Zoeksleutel bronnummer]=G7,Technologieën[Digitale zorgtoepassing]),0))</f>
        <v>0</v>
      </c>
      <c r="Q7" s="403" cm="1">
        <f t="array" ref="Q7">INDEX(Technologieën[Kostenbesparing (personeel) per handeling (€)],MATCH(B7,IF(Technologieën[Zoeksleutel bronnummer]=G7,Technologieën[Digitale zorgtoepassing]),0))</f>
        <v>0</v>
      </c>
      <c r="R7" s="403" cm="1">
        <f t="array" ref="R7">INDEX(Technologieën[Besparing overige kosten (€/jaar)],MATCH(B7,IF(Technologieën[Zoeksleutel bronnummer]=G7,Technologieën[Digitale zorgtoepassing]),0))</f>
        <v>0</v>
      </c>
      <c r="S7" s="405" cm="1">
        <f t="array" ref="S7">INDEX(Technologieën[Jaarlijkse besparing zorgpersoneel (FTE)],MATCH(B7,IF(Technologieën[Zoeksleutel bronnummer]=G7,Technologieën[Digitale zorgtoepassing]),0))</f>
        <v>0</v>
      </c>
      <c r="T7" s="406" cm="1">
        <f t="array" ref="T7">(INDEX(Technologieën[QALY],MATCH(B7,IF(Technologieën[Zoeksleutel bronnummer]=G7,Technologieën[Digitale zorgtoepassing]),0)))</f>
        <v>0</v>
      </c>
      <c r="U7" s="407">
        <f>(uniforme_input[[#This Row],[Kostenbesparing door arbeidsbesparing p. patiënt (€/week)]]/uniforme_input[[#This Row],[Uurtarief]]*60) + (uniforme_input[[#This Row],[Totaal arbeidsbesparing onafhankelijk van patiënt (FTE)]]*40*60)/uniforme_input[[#This Row],[Patiëntaantallen]]</f>
        <v>0</v>
      </c>
      <c r="V7" s="407">
        <f>(uniforme_input[[#This Row],[Kostenbesparing per handeling (€)]]/uniforme_input[[#This Row],[Uurtarief]])*60</f>
        <v>0</v>
      </c>
      <c r="W7" s="398">
        <f>uniforme_input[[#This Row],[Overige kostenbesparing (Totaal €/jaar)]]/uniforme_input[[#This Row],[Patiëntaantallen]]</f>
        <v>0</v>
      </c>
      <c r="X7" s="408">
        <f>IF(uniforme_input[[#This Row],[Bron gebruiken voor opbrengsten?]]="Ja",uniforme_input[[#This Row],[Tijdsbesparing (min/week/patiënt) - gegeven]]+uniforme_input[[#This Row],[Tijdsbesparing (min/week/patiënt) berekend]],0)</f>
        <v>0</v>
      </c>
      <c r="Y7" s="407">
        <f>IF(uniforme_input[[#This Row],[Bron gebruiken voor opbrengsten?]]="Ja",uniforme_input[[#This Row],[Tijdsbesparing (min/handeling) - gegeven]]+uniforme_input[[#This Row],[Tijdsbesparing (min/handeling) berekend]],0)</f>
        <v>0</v>
      </c>
      <c r="Z7" s="409">
        <f>IF(uniforme_input[[#This Row],[Bron gebruiken voor opbrengsten?]]="Ja",uniforme_input[[#This Row],[Overige kostenbesparing (€/jaar/patiënt) - gegeven]]+uniforme_input[[#This Row],[Overige kostenbesparing (€/jaar/patiënt) berekend]],0)</f>
        <v>0</v>
      </c>
      <c r="AA7" s="403" cm="1">
        <f t="array" ref="AA7">INDEX(Technologieën[Jaarlijkse kosten p. patiënt],MATCH(B7,IF(Technologieën[Zoeksleutel bronnummer]=G7,Technologieën[Digitale zorgtoepassing]),0))</f>
        <v>0</v>
      </c>
      <c r="AB7" s="403" cm="1">
        <f t="array" ref="AB7">INDEX(Technologieën[Jaarlijkse kosten p. organisatie],MATCH(B7,IF(Technologieën[Zoeksleutel bronnummer]=G7,Technologieën[Digitale zorgtoepassing]),0))/uniforme_input[[#This Row],[Aantal doelgroepen waarop toepasbaar]]</f>
        <v>3000</v>
      </c>
      <c r="AC7" s="403" cm="1">
        <f t="array" ref="AC7">INDEX(Technologieën[Jaarlijkse kosten (onafh. aantal patiënt/organisatie)],MATCH(B7,IF(Technologieën[Zoeksleutel bronnummer]=G7,Technologieën[Digitale zorgtoepassing]),0))/uniforme_input[[#This Row],[Aantal doelgroepen waarop toepasbaar]]</f>
        <v>0</v>
      </c>
      <c r="AD7" s="403" cm="1">
        <f t="array" ref="AD7">INDEX(Technologieën[Initiële investering (p. patiënt)],MATCH(B7,IF(Technologieën[Zoeksleutel bronnummer]=G7,Technologieën[Digitale zorgtoepassing]),0))</f>
        <v>0</v>
      </c>
      <c r="AE7" s="403" cm="1">
        <f t="array" ref="AE7">INDEX(Technologieën[Initiële investering (p. organisatie)],MATCH(B7,IF(Technologieën[Zoeksleutel bronnummer]=G7,Technologieën[Digitale zorgtoepassing]),0))</f>
        <v>0</v>
      </c>
      <c r="AF7" s="398">
        <f>((uniforme_input[[#This Row],[Jaarlijkse kosten per organisatie]]*uniforme_input[[#This Row],[Aantal organisaties]])/uniforme_input[[#This Row],[Patiëntaantallen]])+(uniforme_input[[#This Row],[Jaarlijkse kosten algemeen (onafhankelijk van patiënt/organisatie)]]/uniforme_input[[#This Row],[Patiëntaantallen]])</f>
        <v>20.078418365533825</v>
      </c>
      <c r="AG7" s="398">
        <f>(uniforme_input[[#This Row],[Initiële investering per organisatie]]*uniforme_input[[#This Row],[Aantal organisaties]])/uniforme_input[[#This Row],[Patiëntaantallen]]</f>
        <v>0</v>
      </c>
      <c r="AH7" s="410">
        <f>IF(uniforme_input[[#This Row],[Bron gebruiken voor kosten/investering?]]="Ja",uniforme_input[[#This Row],[Jaarlijkse kosten per patiënt]] + uniforme_input[[#This Row],[Jaarlijkse kosten per patiënt berekend]],0)</f>
        <v>20.078418365533825</v>
      </c>
      <c r="AI7" s="409">
        <f>IF(uniforme_input[[#This Row],[Bron gebruiken voor kosten/investering?]]="Ja",uniforme_input[[#This Row],[Initiële investering per patiënt]]+uniforme_input[[#This Row],[Initiële investering per patiënt berekend]],0)</f>
        <v>0</v>
      </c>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row>
    <row r="8" spans="1:83" s="2" customFormat="1" x14ac:dyDescent="0.5">
      <c r="A8" s="51" t="str">
        <f>INDEX(Technologieën[Veld],MATCH(G8,Technologieën[Zoeksleutel bronnummer],0))</f>
        <v>Software - Diagnose</v>
      </c>
      <c r="B8" s="33" t="s">
        <v>473</v>
      </c>
      <c r="C8" s="32" t="s">
        <v>391</v>
      </c>
      <c r="D8" s="32" t="s">
        <v>391</v>
      </c>
      <c r="E8" s="33" t="s">
        <v>464</v>
      </c>
      <c r="F8" s="33" t="str" cm="1">
        <f t="array" ref="F8">INDEX(Berekening_patiëntaantal[Direct toepasbaar/extrapolatie/incidentie voor QALY],MATCH(B8,IF(Berekening_patiëntaantal[Doelgroep (zoeksleutel)]=E8,Berekening_patiëntaantal[Digitale zorgtoepassing]),0))</f>
        <v>Extrapolatie</v>
      </c>
      <c r="G8" s="33" t="s">
        <v>515</v>
      </c>
      <c r="H8" s="33" t="s">
        <v>146</v>
      </c>
      <c r="I8" s="403">
        <f>INDEX(Uurloon[Uurtarief zorgpersoneel],MATCH(H8,Uurloon[Zorgverlener],0))</f>
        <v>91.204770114942534</v>
      </c>
      <c r="J8" s="404" cm="1">
        <f t="array" ref="J8">INDEX(Berekening_patiëntaantal[Patiëntaantallen],MATCH(B8,IF(Berekening_patiëntaantal[Doelgroep (zoeksleutel)]=E8,Berekening_patiëntaantal[Digitale zorgtoepassing]),0))</f>
        <v>1915245</v>
      </c>
      <c r="K8" s="404">
        <f>IFERROR(INDEX(aantal_organisaties[Aantal organisaties waarop toepasbaar],MATCH(B8,aantal_organisaties[Digitale zorgtoepassing],0)),0)</f>
        <v>113</v>
      </c>
      <c r="L8" s="397">
        <f>COUNTIF(uniforme_input[Doelgroep],E8)</f>
        <v>4</v>
      </c>
      <c r="M8" s="405" cm="1">
        <f t="array" ref="M8">INDEX(Technologieën[Tijdsbesparing p. patiënt (min/week)],MATCH(B8,IF(Technologieën[Zoeksleutel bronnummer]=G8,Technologieën[Digitale zorgtoepassing]),0))</f>
        <v>0</v>
      </c>
      <c r="N8" s="405" cm="1">
        <f t="array" ref="N8">INDEX(Technologieën[Tijdsbesparing per handeling (min)],MATCH(B8,IF(Technologieën[Zoeksleutel bronnummer]=G8,Technologieën[Digitale zorgtoepassing]),0))</f>
        <v>2.4000000000000004</v>
      </c>
      <c r="O8" s="403" cm="1">
        <f t="array" ref="O8">INDEX(Technologieën[Besparing overige kosten (€/patiënt/jaar)],MATCH(B8,IF(Technologieën[Zoeksleutel bronnummer]=G8,Technologieën[Digitale zorgtoepassing]),0))</f>
        <v>0</v>
      </c>
      <c r="P8" s="403" cm="1">
        <f t="array" ref="P8">INDEX(Technologieën[Kostenbesparing p. patiënt door arbeidsbesparing (€/week)],MATCH(B8,IF(Technologieën[Zoeksleutel bronnummer]=G8,Technologieën[Digitale zorgtoepassing]),0))</f>
        <v>0</v>
      </c>
      <c r="Q8" s="403" cm="1">
        <f t="array" ref="Q8">INDEX(Technologieën[Kostenbesparing (personeel) per handeling (€)],MATCH(B8,IF(Technologieën[Zoeksleutel bronnummer]=G8,Technologieën[Digitale zorgtoepassing]),0))</f>
        <v>0</v>
      </c>
      <c r="R8" s="403" cm="1">
        <f t="array" ref="R8">INDEX(Technologieën[Besparing overige kosten (€/jaar)],MATCH(B8,IF(Technologieën[Zoeksleutel bronnummer]=G8,Technologieën[Digitale zorgtoepassing]),0))</f>
        <v>0</v>
      </c>
      <c r="S8" s="405" cm="1">
        <f t="array" ref="S8">INDEX(Technologieën[Jaarlijkse besparing zorgpersoneel (FTE)],MATCH(B8,IF(Technologieën[Zoeksleutel bronnummer]=G8,Technologieën[Digitale zorgtoepassing]),0))</f>
        <v>0</v>
      </c>
      <c r="T8" s="406" cm="1">
        <f t="array" ref="T8">(INDEX(Technologieën[QALY],MATCH(B8,IF(Technologieën[Zoeksleutel bronnummer]=G8,Technologieën[Digitale zorgtoepassing]),0)))</f>
        <v>0</v>
      </c>
      <c r="U8" s="407">
        <f>(uniforme_input[[#This Row],[Kostenbesparing door arbeidsbesparing p. patiënt (€/week)]]/uniforme_input[[#This Row],[Uurtarief]]*60) + (uniforme_input[[#This Row],[Totaal arbeidsbesparing onafhankelijk van patiënt (FTE)]]*40*60)/uniforme_input[[#This Row],[Patiëntaantallen]]</f>
        <v>0</v>
      </c>
      <c r="V8" s="407">
        <f>(uniforme_input[[#This Row],[Kostenbesparing per handeling (€)]]/uniforme_input[[#This Row],[Uurtarief]])*60</f>
        <v>0</v>
      </c>
      <c r="W8" s="398">
        <f>uniforme_input[[#This Row],[Overige kostenbesparing (Totaal €/jaar)]]/uniforme_input[[#This Row],[Patiëntaantallen]]</f>
        <v>0</v>
      </c>
      <c r="X8" s="408">
        <f>IF(uniforme_input[[#This Row],[Bron gebruiken voor opbrengsten?]]="Ja",uniforme_input[[#This Row],[Tijdsbesparing (min/week/patiënt) - gegeven]]+uniforme_input[[#This Row],[Tijdsbesparing (min/week/patiënt) berekend]],0)</f>
        <v>0</v>
      </c>
      <c r="Y8" s="407">
        <f>IF(uniforme_input[[#This Row],[Bron gebruiken voor opbrengsten?]]="Ja",uniforme_input[[#This Row],[Tijdsbesparing (min/handeling) - gegeven]]+uniforme_input[[#This Row],[Tijdsbesparing (min/handeling) berekend]],0)</f>
        <v>2.4000000000000004</v>
      </c>
      <c r="Z8" s="409">
        <f>IF(uniforme_input[[#This Row],[Bron gebruiken voor opbrengsten?]]="Ja",uniforme_input[[#This Row],[Overige kostenbesparing (€/jaar/patiënt) - gegeven]]+uniforme_input[[#This Row],[Overige kostenbesparing (€/jaar/patiënt) berekend]],0)</f>
        <v>0</v>
      </c>
      <c r="AA8" s="403" cm="1">
        <f t="array" ref="AA8">INDEX(Technologieën[Jaarlijkse kosten p. patiënt],MATCH(B8,IF(Technologieën[Zoeksleutel bronnummer]=G8,Technologieën[Digitale zorgtoepassing]),0))</f>
        <v>0</v>
      </c>
      <c r="AB8" s="403" cm="1">
        <f t="array" ref="AB8">INDEX(Technologieën[Jaarlijkse kosten p. organisatie],MATCH(B8,IF(Technologieën[Zoeksleutel bronnummer]=G8,Technologieën[Digitale zorgtoepassing]),0))/uniforme_input[[#This Row],[Aantal doelgroepen waarop toepasbaar]]</f>
        <v>12500</v>
      </c>
      <c r="AC8" s="403" cm="1">
        <f t="array" ref="AC8">INDEX(Technologieën[Jaarlijkse kosten (onafh. aantal patiënt/organisatie)],MATCH(B8,IF(Technologieën[Zoeksleutel bronnummer]=G8,Technologieën[Digitale zorgtoepassing]),0))/uniforme_input[[#This Row],[Aantal doelgroepen waarop toepasbaar]]</f>
        <v>0</v>
      </c>
      <c r="AD8" s="403" cm="1">
        <f t="array" ref="AD8">INDEX(Technologieën[Initiële investering (p. patiënt)],MATCH(B8,IF(Technologieën[Zoeksleutel bronnummer]=G8,Technologieën[Digitale zorgtoepassing]),0))</f>
        <v>0</v>
      </c>
      <c r="AE8" s="403" cm="1">
        <f t="array" ref="AE8">INDEX(Technologieën[Initiële investering (p. organisatie)],MATCH(B8,IF(Technologieën[Zoeksleutel bronnummer]=G8,Technologieën[Digitale zorgtoepassing]),0))</f>
        <v>0</v>
      </c>
      <c r="AF8" s="398">
        <f>((uniforme_input[[#This Row],[Jaarlijkse kosten per organisatie]]*uniforme_input[[#This Row],[Aantal organisaties]])/uniforme_input[[#This Row],[Patiëntaantallen]])+(uniforme_input[[#This Row],[Jaarlijkse kosten algemeen (onafhankelijk van patiënt/organisatie)]]/uniforme_input[[#This Row],[Patiëntaantallen]])</f>
        <v>0.73750355698618197</v>
      </c>
      <c r="AG8" s="398">
        <f>(uniforme_input[[#This Row],[Initiële investering per organisatie]]*uniforme_input[[#This Row],[Aantal organisaties]])/uniforme_input[[#This Row],[Patiëntaantallen]]</f>
        <v>0</v>
      </c>
      <c r="AH8" s="410">
        <f>IF(uniforme_input[[#This Row],[Bron gebruiken voor kosten/investering?]]="Ja",uniforme_input[[#This Row],[Jaarlijkse kosten per patiënt]] + uniforme_input[[#This Row],[Jaarlijkse kosten per patiënt berekend]],0)</f>
        <v>0.73750355698618197</v>
      </c>
      <c r="AI8" s="409">
        <f>IF(uniforme_input[[#This Row],[Bron gebruiken voor kosten/investering?]]="Ja",uniforme_input[[#This Row],[Initiële investering per patiënt]]+uniforme_input[[#This Row],[Initiële investering per patiënt berekend]],0)</f>
        <v>0</v>
      </c>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row>
    <row r="9" spans="1:83" s="2" customFormat="1" x14ac:dyDescent="0.5">
      <c r="A9" s="51" t="str">
        <f>INDEX(Technologieën[Veld],MATCH(G9,Technologieën[Zoeksleutel bronnummer],0))</f>
        <v>Software - Diagnose</v>
      </c>
      <c r="B9" s="33" t="s">
        <v>473</v>
      </c>
      <c r="C9" s="32" t="s">
        <v>391</v>
      </c>
      <c r="D9" s="32" t="s">
        <v>391</v>
      </c>
      <c r="E9" s="33" t="s">
        <v>451</v>
      </c>
      <c r="F9" s="33" t="str" cm="1">
        <f t="array" ref="F9">INDEX(Berekening_patiëntaantal[Direct toepasbaar/extrapolatie/incidentie voor QALY],MATCH(B9,IF(Berekening_patiëntaantal[Doelgroep (zoeksleutel)]=E9,Berekening_patiëntaantal[Digitale zorgtoepassing]),0))</f>
        <v>Huidige toepassing</v>
      </c>
      <c r="G9" s="33" t="s">
        <v>515</v>
      </c>
      <c r="H9" s="33" t="s">
        <v>146</v>
      </c>
      <c r="I9" s="403">
        <f>INDEX(Uurloon[Uurtarief zorgpersoneel],MATCH(H9,Uurloon[Zorgverlener],0))</f>
        <v>91.204770114942534</v>
      </c>
      <c r="J9" s="404" cm="1">
        <f t="array" ref="J9">INDEX(Berekening_patiëntaantal[Patiëntaantallen],MATCH(B9,IF(Berekening_patiëntaantal[Doelgroep (zoeksleutel)]=E9,Berekening_patiëntaantal[Digitale zorgtoepassing]),0))</f>
        <v>73951</v>
      </c>
      <c r="K9" s="404">
        <f>IFERROR(INDEX(aantal_organisaties[Aantal organisaties waarop toepasbaar],MATCH(B9,aantal_organisaties[Digitale zorgtoepassing],0)),0)</f>
        <v>113</v>
      </c>
      <c r="L9" s="397">
        <f>COUNTIF(uniforme_input[Doelgroep],E9)</f>
        <v>4</v>
      </c>
      <c r="M9" s="405" cm="1">
        <f t="array" ref="M9">INDEX(Technologieën[Tijdsbesparing p. patiënt (min/week)],MATCH(B9,IF(Technologieën[Zoeksleutel bronnummer]=G9,Technologieën[Digitale zorgtoepassing]),0))</f>
        <v>0</v>
      </c>
      <c r="N9" s="405" cm="1">
        <f t="array" ref="N9">INDEX(Technologieën[Tijdsbesparing per handeling (min)],MATCH(B9,IF(Technologieën[Zoeksleutel bronnummer]=G9,Technologieën[Digitale zorgtoepassing]),0))</f>
        <v>2.4000000000000004</v>
      </c>
      <c r="O9" s="403" cm="1">
        <f t="array" ref="O9">INDEX(Technologieën[Besparing overige kosten (€/patiënt/jaar)],MATCH(B9,IF(Technologieën[Zoeksleutel bronnummer]=G9,Technologieën[Digitale zorgtoepassing]),0))</f>
        <v>0</v>
      </c>
      <c r="P9" s="403" cm="1">
        <f t="array" ref="P9">INDEX(Technologieën[Kostenbesparing p. patiënt door arbeidsbesparing (€/week)],MATCH(B9,IF(Technologieën[Zoeksleutel bronnummer]=G9,Technologieën[Digitale zorgtoepassing]),0))</f>
        <v>0</v>
      </c>
      <c r="Q9" s="403" cm="1">
        <f t="array" ref="Q9">INDEX(Technologieën[Kostenbesparing (personeel) per handeling (€)],MATCH(B9,IF(Technologieën[Zoeksleutel bronnummer]=G9,Technologieën[Digitale zorgtoepassing]),0))</f>
        <v>0</v>
      </c>
      <c r="R9" s="403" cm="1">
        <f t="array" ref="R9">INDEX(Technologieën[Besparing overige kosten (€/jaar)],MATCH(B9,IF(Technologieën[Zoeksleutel bronnummer]=G9,Technologieën[Digitale zorgtoepassing]),0))</f>
        <v>0</v>
      </c>
      <c r="S9" s="405" cm="1">
        <f t="array" ref="S9">INDEX(Technologieën[Jaarlijkse besparing zorgpersoneel (FTE)],MATCH(B9,IF(Technologieën[Zoeksleutel bronnummer]=G9,Technologieën[Digitale zorgtoepassing]),0))</f>
        <v>0</v>
      </c>
      <c r="T9" s="406" cm="1">
        <f t="array" ref="T9">(INDEX(Technologieën[QALY],MATCH(B9,IF(Technologieën[Zoeksleutel bronnummer]=G9,Technologieën[Digitale zorgtoepassing]),0)))</f>
        <v>0</v>
      </c>
      <c r="U9" s="407">
        <f>(uniforme_input[[#This Row],[Kostenbesparing door arbeidsbesparing p. patiënt (€/week)]]/uniforme_input[[#This Row],[Uurtarief]]*60) + (uniforme_input[[#This Row],[Totaal arbeidsbesparing onafhankelijk van patiënt (FTE)]]*40*60)/uniforme_input[[#This Row],[Patiëntaantallen]]</f>
        <v>0</v>
      </c>
      <c r="V9" s="407">
        <f>(uniforme_input[[#This Row],[Kostenbesparing per handeling (€)]]/uniforme_input[[#This Row],[Uurtarief]])*60</f>
        <v>0</v>
      </c>
      <c r="W9" s="398">
        <f>uniforme_input[[#This Row],[Overige kostenbesparing (Totaal €/jaar)]]/uniforme_input[[#This Row],[Patiëntaantallen]]</f>
        <v>0</v>
      </c>
      <c r="X9" s="408">
        <f>IF(uniforme_input[[#This Row],[Bron gebruiken voor opbrengsten?]]="Ja",uniforme_input[[#This Row],[Tijdsbesparing (min/week/patiënt) - gegeven]]+uniforme_input[[#This Row],[Tijdsbesparing (min/week/patiënt) berekend]],0)</f>
        <v>0</v>
      </c>
      <c r="Y9" s="407">
        <f>IF(uniforme_input[[#This Row],[Bron gebruiken voor opbrengsten?]]="Ja",uniforme_input[[#This Row],[Tijdsbesparing (min/handeling) - gegeven]]+uniforme_input[[#This Row],[Tijdsbesparing (min/handeling) berekend]],0)</f>
        <v>2.4000000000000004</v>
      </c>
      <c r="Z9" s="409">
        <f>IF(uniforme_input[[#This Row],[Bron gebruiken voor opbrengsten?]]="Ja",uniforme_input[[#This Row],[Overige kostenbesparing (€/jaar/patiënt) - gegeven]]+uniforme_input[[#This Row],[Overige kostenbesparing (€/jaar/patiënt) berekend]],0)</f>
        <v>0</v>
      </c>
      <c r="AA9" s="403" cm="1">
        <f t="array" ref="AA9">INDEX(Technologieën[Jaarlijkse kosten p. patiënt],MATCH(B9,IF(Technologieën[Zoeksleutel bronnummer]=G9,Technologieën[Digitale zorgtoepassing]),0))</f>
        <v>0</v>
      </c>
      <c r="AB9" s="403" cm="1">
        <f t="array" ref="AB9">INDEX(Technologieën[Jaarlijkse kosten p. organisatie],MATCH(B9,IF(Technologieën[Zoeksleutel bronnummer]=G9,Technologieën[Digitale zorgtoepassing]),0))/uniforme_input[[#This Row],[Aantal doelgroepen waarop toepasbaar]]</f>
        <v>12500</v>
      </c>
      <c r="AC9" s="403" cm="1">
        <f t="array" ref="AC9">INDEX(Technologieën[Jaarlijkse kosten (onafh. aantal patiënt/organisatie)],MATCH(B9,IF(Technologieën[Zoeksleutel bronnummer]=G9,Technologieën[Digitale zorgtoepassing]),0))/uniforme_input[[#This Row],[Aantal doelgroepen waarop toepasbaar]]</f>
        <v>0</v>
      </c>
      <c r="AD9" s="403" cm="1">
        <f t="array" ref="AD9">INDEX(Technologieën[Initiële investering (p. patiënt)],MATCH(B9,IF(Technologieën[Zoeksleutel bronnummer]=G9,Technologieën[Digitale zorgtoepassing]),0))</f>
        <v>0</v>
      </c>
      <c r="AE9" s="403" cm="1">
        <f t="array" ref="AE9">INDEX(Technologieën[Initiële investering (p. organisatie)],MATCH(B9,IF(Technologieën[Zoeksleutel bronnummer]=G9,Technologieën[Digitale zorgtoepassing]),0))</f>
        <v>0</v>
      </c>
      <c r="AF9" s="398">
        <f>((uniforme_input[[#This Row],[Jaarlijkse kosten per organisatie]]*uniforme_input[[#This Row],[Aantal organisaties]])/uniforme_input[[#This Row],[Patiëntaantallen]])+(uniforme_input[[#This Row],[Jaarlijkse kosten algemeen (onafhankelijk van patiënt/organisatie)]]/uniforme_input[[#This Row],[Patiëntaantallen]])</f>
        <v>19.100485456586117</v>
      </c>
      <c r="AG9" s="398">
        <f>(uniforme_input[[#This Row],[Initiële investering per organisatie]]*uniforme_input[[#This Row],[Aantal organisaties]])/uniforme_input[[#This Row],[Patiëntaantallen]]</f>
        <v>0</v>
      </c>
      <c r="AH9" s="410">
        <f>IF(uniforme_input[[#This Row],[Bron gebruiken voor kosten/investering?]]="Ja",uniforme_input[[#This Row],[Jaarlijkse kosten per patiënt]] + uniforme_input[[#This Row],[Jaarlijkse kosten per patiënt berekend]],0)</f>
        <v>19.100485456586117</v>
      </c>
      <c r="AI9" s="409">
        <f>IF(uniforme_input[[#This Row],[Bron gebruiken voor kosten/investering?]]="Ja",uniforme_input[[#This Row],[Initiële investering per patiënt]]+uniforme_input[[#This Row],[Initiële investering per patiënt berekend]],0)</f>
        <v>0</v>
      </c>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row>
    <row r="10" spans="1:83" s="2" customFormat="1" x14ac:dyDescent="0.5">
      <c r="A10" s="51" t="str">
        <f>INDEX(Technologieën[Veld],MATCH(G10,Technologieën[Zoeksleutel bronnummer],0))</f>
        <v>Software - Diagnose</v>
      </c>
      <c r="B10" s="33" t="s">
        <v>473</v>
      </c>
      <c r="C10" s="32" t="s">
        <v>390</v>
      </c>
      <c r="D10" s="32" t="s">
        <v>391</v>
      </c>
      <c r="E10" s="33" t="s">
        <v>455</v>
      </c>
      <c r="F10" s="33" t="str" cm="1">
        <f t="array" ref="F10">INDEX(Berekening_patiëntaantal[Direct toepasbaar/extrapolatie/incidentie voor QALY],MATCH(B10,IF(Berekening_patiëntaantal[Doelgroep (zoeksleutel)]=E10,Berekening_patiëntaantal[Digitale zorgtoepassing]),0))</f>
        <v>Huidige toepassing</v>
      </c>
      <c r="G10" s="33" t="s">
        <v>515</v>
      </c>
      <c r="H10" s="33" t="s">
        <v>146</v>
      </c>
      <c r="I10" s="403">
        <f>INDEX(Uurloon[Uurtarief zorgpersoneel],MATCH(H10,Uurloon[Zorgverlener],0))</f>
        <v>91.204770114942534</v>
      </c>
      <c r="J10" s="404" cm="1">
        <f t="array" ref="J10">INDEX(Berekening_patiëntaantal[Patiëntaantallen],MATCH(B10,IF(Berekening_patiëntaantal[Doelgroep (zoeksleutel)]=E10,Berekening_patiëntaantal[Digitale zorgtoepassing]),0))</f>
        <v>10804</v>
      </c>
      <c r="K10" s="404">
        <f>IFERROR(INDEX(aantal_organisaties[Aantal organisaties waarop toepasbaar],MATCH(B10,aantal_organisaties[Digitale zorgtoepassing],0)),0)</f>
        <v>113</v>
      </c>
      <c r="L10" s="397">
        <f>COUNTIF(uniforme_input[Doelgroep],E10)</f>
        <v>3</v>
      </c>
      <c r="M10" s="405" cm="1">
        <f t="array" ref="M10">INDEX(Technologieën[Tijdsbesparing p. patiënt (min/week)],MATCH(B10,IF(Technologieën[Zoeksleutel bronnummer]=G10,Technologieën[Digitale zorgtoepassing]),0))</f>
        <v>0</v>
      </c>
      <c r="N10" s="405" cm="1">
        <f t="array" ref="N10">INDEX(Technologieën[Tijdsbesparing per handeling (min)],MATCH(B10,IF(Technologieën[Zoeksleutel bronnummer]=G10,Technologieën[Digitale zorgtoepassing]),0))</f>
        <v>2.4000000000000004</v>
      </c>
      <c r="O10" s="403" cm="1">
        <f t="array" ref="O10">INDEX(Technologieën[Besparing overige kosten (€/patiënt/jaar)],MATCH(B10,IF(Technologieën[Zoeksleutel bronnummer]=G10,Technologieën[Digitale zorgtoepassing]),0))</f>
        <v>0</v>
      </c>
      <c r="P10" s="403" cm="1">
        <f t="array" ref="P10">INDEX(Technologieën[Kostenbesparing p. patiënt door arbeidsbesparing (€/week)],MATCH(B10,IF(Technologieën[Zoeksleutel bronnummer]=G10,Technologieën[Digitale zorgtoepassing]),0))</f>
        <v>0</v>
      </c>
      <c r="Q10" s="403" cm="1">
        <f t="array" ref="Q10">INDEX(Technologieën[Kostenbesparing (personeel) per handeling (€)],MATCH(B10,IF(Technologieën[Zoeksleutel bronnummer]=G10,Technologieën[Digitale zorgtoepassing]),0))</f>
        <v>0</v>
      </c>
      <c r="R10" s="403" cm="1">
        <f t="array" ref="R10">INDEX(Technologieën[Besparing overige kosten (€/jaar)],MATCH(B10,IF(Technologieën[Zoeksleutel bronnummer]=G10,Technologieën[Digitale zorgtoepassing]),0))</f>
        <v>0</v>
      </c>
      <c r="S10" s="405" cm="1">
        <f t="array" ref="S10">INDEX(Technologieën[Jaarlijkse besparing zorgpersoneel (FTE)],MATCH(B10,IF(Technologieën[Zoeksleutel bronnummer]=G10,Technologieën[Digitale zorgtoepassing]),0))</f>
        <v>0</v>
      </c>
      <c r="T10" s="406" cm="1">
        <f t="array" ref="T10">(INDEX(Technologieën[QALY],MATCH(B10,IF(Technologieën[Zoeksleutel bronnummer]=G10,Technologieën[Digitale zorgtoepassing]),0)))</f>
        <v>0</v>
      </c>
      <c r="U10" s="407">
        <f>(uniforme_input[[#This Row],[Kostenbesparing door arbeidsbesparing p. patiënt (€/week)]]/uniforme_input[[#This Row],[Uurtarief]]*60) + (uniforme_input[[#This Row],[Totaal arbeidsbesparing onafhankelijk van patiënt (FTE)]]*40*60)/uniforme_input[[#This Row],[Patiëntaantallen]]</f>
        <v>0</v>
      </c>
      <c r="V10" s="407">
        <f>(uniforme_input[[#This Row],[Kostenbesparing per handeling (€)]]/uniforme_input[[#This Row],[Uurtarief]])*60</f>
        <v>0</v>
      </c>
      <c r="W10" s="398">
        <f>uniforme_input[[#This Row],[Overige kostenbesparing (Totaal €/jaar)]]/uniforme_input[[#This Row],[Patiëntaantallen]]</f>
        <v>0</v>
      </c>
      <c r="X10" s="408">
        <f>IF(uniforme_input[[#This Row],[Bron gebruiken voor opbrengsten?]]="Ja",uniforme_input[[#This Row],[Tijdsbesparing (min/week/patiënt) - gegeven]]+uniforme_input[[#This Row],[Tijdsbesparing (min/week/patiënt) berekend]],0)</f>
        <v>0</v>
      </c>
      <c r="Y10" s="407">
        <f>IF(uniforme_input[[#This Row],[Bron gebruiken voor opbrengsten?]]="Ja",uniforme_input[[#This Row],[Tijdsbesparing (min/handeling) - gegeven]]+uniforme_input[[#This Row],[Tijdsbesparing (min/handeling) berekend]],0)</f>
        <v>0</v>
      </c>
      <c r="Z10" s="409">
        <f>IF(uniforme_input[[#This Row],[Bron gebruiken voor opbrengsten?]]="Ja",uniforme_input[[#This Row],[Overige kostenbesparing (€/jaar/patiënt) - gegeven]]+uniforme_input[[#This Row],[Overige kostenbesparing (€/jaar/patiënt) berekend]],0)</f>
        <v>0</v>
      </c>
      <c r="AA10" s="403" cm="1">
        <f t="array" ref="AA10">INDEX(Technologieën[Jaarlijkse kosten p. patiënt],MATCH(B10,IF(Technologieën[Zoeksleutel bronnummer]=G10,Technologieën[Digitale zorgtoepassing]),0))</f>
        <v>0</v>
      </c>
      <c r="AB10" s="403" cm="1">
        <f t="array" ref="AB10">INDEX(Technologieën[Jaarlijkse kosten p. organisatie],MATCH(B10,IF(Technologieën[Zoeksleutel bronnummer]=G10,Technologieën[Digitale zorgtoepassing]),0))/uniforme_input[[#This Row],[Aantal doelgroepen waarop toepasbaar]]</f>
        <v>16666.666666666668</v>
      </c>
      <c r="AC10" s="403" cm="1">
        <f t="array" ref="AC10">INDEX(Technologieën[Jaarlijkse kosten (onafh. aantal patiënt/organisatie)],MATCH(B10,IF(Technologieën[Zoeksleutel bronnummer]=G10,Technologieën[Digitale zorgtoepassing]),0))/uniforme_input[[#This Row],[Aantal doelgroepen waarop toepasbaar]]</f>
        <v>0</v>
      </c>
      <c r="AD10" s="403" cm="1">
        <f t="array" ref="AD10">INDEX(Technologieën[Initiële investering (p. patiënt)],MATCH(B10,IF(Technologieën[Zoeksleutel bronnummer]=G10,Technologieën[Digitale zorgtoepassing]),0))</f>
        <v>0</v>
      </c>
      <c r="AE10" s="403" cm="1">
        <f t="array" ref="AE10">INDEX(Technologieën[Initiële investering (p. organisatie)],MATCH(B10,IF(Technologieën[Zoeksleutel bronnummer]=G10,Technologieën[Digitale zorgtoepassing]),0))</f>
        <v>0</v>
      </c>
      <c r="AF10" s="398">
        <f>((uniforme_input[[#This Row],[Jaarlijkse kosten per organisatie]]*uniforme_input[[#This Row],[Aantal organisaties]])/uniforme_input[[#This Row],[Patiëntaantallen]])+(uniforme_input[[#This Row],[Jaarlijkse kosten algemeen (onafhankelijk van patiënt/organisatie)]]/uniforme_input[[#This Row],[Patiëntaantallen]])</f>
        <v>174.31815377020857</v>
      </c>
      <c r="AG10" s="398">
        <f>(uniforme_input[[#This Row],[Initiële investering per organisatie]]*uniforme_input[[#This Row],[Aantal organisaties]])/uniforme_input[[#This Row],[Patiëntaantallen]]</f>
        <v>0</v>
      </c>
      <c r="AH10" s="410">
        <f>IF(uniforme_input[[#This Row],[Bron gebruiken voor kosten/investering?]]="Ja",uniforme_input[[#This Row],[Jaarlijkse kosten per patiënt]] + uniforme_input[[#This Row],[Jaarlijkse kosten per patiënt berekend]],0)</f>
        <v>174.31815377020857</v>
      </c>
      <c r="AI10" s="409">
        <f>IF(uniforme_input[[#This Row],[Bron gebruiken voor kosten/investering?]]="Ja",uniforme_input[[#This Row],[Initiële investering per patiënt]]+uniforme_input[[#This Row],[Initiële investering per patiënt berekend]],0)</f>
        <v>0</v>
      </c>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row>
    <row r="11" spans="1:83" s="2" customFormat="1" x14ac:dyDescent="0.5">
      <c r="A11" s="51" t="str">
        <f>INDEX(Technologieën[Veld],MATCH(G11,Technologieën[Zoeksleutel bronnummer],0))</f>
        <v>Software - Diagnose</v>
      </c>
      <c r="B11" s="33" t="s">
        <v>472</v>
      </c>
      <c r="C11" s="32" t="s">
        <v>391</v>
      </c>
      <c r="D11" s="32" t="s">
        <v>391</v>
      </c>
      <c r="E11" s="33" t="s">
        <v>442</v>
      </c>
      <c r="F11" s="33" t="str" cm="1">
        <f t="array" ref="F11">INDEX(Berekening_patiëntaantal[Direct toepasbaar/extrapolatie/incidentie voor QALY],MATCH(B11,IF(Berekening_patiëntaantal[Doelgroep (zoeksleutel)]=E11,Berekening_patiëntaantal[Digitale zorgtoepassing]),0))</f>
        <v>Huidige toepassing</v>
      </c>
      <c r="G11" s="33" t="s">
        <v>517</v>
      </c>
      <c r="H11" s="33" t="s">
        <v>146</v>
      </c>
      <c r="I11" s="403">
        <f>INDEX(Uurloon[Uurtarief zorgpersoneel],MATCH(H11,Uurloon[Zorgverlener],0))</f>
        <v>91.204770114942534</v>
      </c>
      <c r="J11" s="404" cm="1">
        <f t="array" ref="J11">INDEX(Berekening_patiëntaantal[Patiëntaantallen],MATCH(B11,IF(Berekening_patiëntaantal[Doelgroep (zoeksleutel)]=E11,Berekening_patiëntaantal[Digitale zorgtoepassing]),0))</f>
        <v>25812</v>
      </c>
      <c r="K11" s="404">
        <f>IFERROR(INDEX(aantal_organisaties[Aantal organisaties waarop toepasbaar],MATCH(B11,aantal_organisaties[Digitale zorgtoepassing],0)),0)</f>
        <v>113</v>
      </c>
      <c r="L11" s="397">
        <f>COUNTIF(uniforme_input[Doelgroep],E11)</f>
        <v>1</v>
      </c>
      <c r="M11" s="405" cm="1">
        <f t="array" ref="M11">INDEX(Technologieën[Tijdsbesparing p. patiënt (min/week)],MATCH(B11,IF(Technologieën[Zoeksleutel bronnummer]=G11,Technologieën[Digitale zorgtoepassing]),0))</f>
        <v>0</v>
      </c>
      <c r="N11" s="405" cm="1">
        <f t="array" ref="N11">INDEX(Technologieën[Tijdsbesparing per handeling (min)],MATCH(B11,IF(Technologieën[Zoeksleutel bronnummer]=G11,Technologieën[Digitale zorgtoepassing]),0))</f>
        <v>15</v>
      </c>
      <c r="O11" s="403" cm="1">
        <f t="array" ref="O11">INDEX(Technologieën[Besparing overige kosten (€/patiënt/jaar)],MATCH(B11,IF(Technologieën[Zoeksleutel bronnummer]=G11,Technologieën[Digitale zorgtoepassing]),0))</f>
        <v>0</v>
      </c>
      <c r="P11" s="403" cm="1">
        <f t="array" ref="P11">INDEX(Technologieën[Kostenbesparing p. patiënt door arbeidsbesparing (€/week)],MATCH(B11,IF(Technologieën[Zoeksleutel bronnummer]=G11,Technologieën[Digitale zorgtoepassing]),0))</f>
        <v>0</v>
      </c>
      <c r="Q11" s="403" cm="1">
        <f t="array" ref="Q11">INDEX(Technologieën[Kostenbesparing (personeel) per handeling (€)],MATCH(B11,IF(Technologieën[Zoeksleutel bronnummer]=G11,Technologieën[Digitale zorgtoepassing]),0))</f>
        <v>0</v>
      </c>
      <c r="R11" s="403" cm="1">
        <f t="array" ref="R11">INDEX(Technologieën[Besparing overige kosten (€/jaar)],MATCH(B11,IF(Technologieën[Zoeksleutel bronnummer]=G11,Technologieën[Digitale zorgtoepassing]),0))</f>
        <v>0</v>
      </c>
      <c r="S11" s="405" cm="1">
        <f t="array" ref="S11">INDEX(Technologieën[Jaarlijkse besparing zorgpersoneel (FTE)],MATCH(B11,IF(Technologieën[Zoeksleutel bronnummer]=G11,Technologieën[Digitale zorgtoepassing]),0))</f>
        <v>0</v>
      </c>
      <c r="T11" s="406" cm="1">
        <f t="array" ref="T11">(INDEX(Technologieën[QALY],MATCH(B11,IF(Technologieën[Zoeksleutel bronnummer]=G11,Technologieën[Digitale zorgtoepassing]),0)))</f>
        <v>0</v>
      </c>
      <c r="U11" s="407">
        <f>(uniforme_input[[#This Row],[Kostenbesparing door arbeidsbesparing p. patiënt (€/week)]]/uniforme_input[[#This Row],[Uurtarief]]*60) + (uniforme_input[[#This Row],[Totaal arbeidsbesparing onafhankelijk van patiënt (FTE)]]*40*60)/uniforme_input[[#This Row],[Patiëntaantallen]]</f>
        <v>0</v>
      </c>
      <c r="V11" s="407">
        <f>(uniforme_input[[#This Row],[Kostenbesparing per handeling (€)]]/uniforme_input[[#This Row],[Uurtarief]])*60</f>
        <v>0</v>
      </c>
      <c r="W11" s="398">
        <f>uniforme_input[[#This Row],[Overige kostenbesparing (Totaal €/jaar)]]/uniforme_input[[#This Row],[Patiëntaantallen]]</f>
        <v>0</v>
      </c>
      <c r="X11" s="408">
        <f>IF(uniforme_input[[#This Row],[Bron gebruiken voor opbrengsten?]]="Ja",uniforme_input[[#This Row],[Tijdsbesparing (min/week/patiënt) - gegeven]]+uniforme_input[[#This Row],[Tijdsbesparing (min/week/patiënt) berekend]],0)</f>
        <v>0</v>
      </c>
      <c r="Y11" s="407">
        <f>IF(uniforme_input[[#This Row],[Bron gebruiken voor opbrengsten?]]="Ja",uniforme_input[[#This Row],[Tijdsbesparing (min/handeling) - gegeven]]+uniforme_input[[#This Row],[Tijdsbesparing (min/handeling) berekend]],0)</f>
        <v>15</v>
      </c>
      <c r="Z11" s="409">
        <f>IF(uniforme_input[[#This Row],[Bron gebruiken voor opbrengsten?]]="Ja",uniforme_input[[#This Row],[Overige kostenbesparing (€/jaar/patiënt) - gegeven]]+uniforme_input[[#This Row],[Overige kostenbesparing (€/jaar/patiënt) berekend]],0)</f>
        <v>0</v>
      </c>
      <c r="AA11" s="403" cm="1">
        <f t="array" ref="AA11">INDEX(Technologieën[Jaarlijkse kosten p. patiënt],MATCH(B11,IF(Technologieën[Zoeksleutel bronnummer]=G11,Technologieën[Digitale zorgtoepassing]),0))</f>
        <v>17</v>
      </c>
      <c r="AB11" s="403" cm="1">
        <f t="array" ref="AB11">INDEX(Technologieën[Jaarlijkse kosten p. organisatie],MATCH(B11,IF(Technologieën[Zoeksleutel bronnummer]=G11,Technologieën[Digitale zorgtoepassing]),0))/uniforme_input[[#This Row],[Aantal doelgroepen waarop toepasbaar]]</f>
        <v>0</v>
      </c>
      <c r="AC11" s="403" cm="1">
        <f t="array" ref="AC11">INDEX(Technologieën[Jaarlijkse kosten (onafh. aantal patiënt/organisatie)],MATCH(B11,IF(Technologieën[Zoeksleutel bronnummer]=G11,Technologieën[Digitale zorgtoepassing]),0))/uniforme_input[[#This Row],[Aantal doelgroepen waarop toepasbaar]]</f>
        <v>0</v>
      </c>
      <c r="AD11" s="403" cm="1">
        <f t="array" ref="AD11">INDEX(Technologieën[Initiële investering (p. patiënt)],MATCH(B11,IF(Technologieën[Zoeksleutel bronnummer]=G11,Technologieën[Digitale zorgtoepassing]),0))</f>
        <v>0</v>
      </c>
      <c r="AE11" s="403" cm="1">
        <f t="array" ref="AE11">INDEX(Technologieën[Initiële investering (p. organisatie)],MATCH(B11,IF(Technologieën[Zoeksleutel bronnummer]=G11,Technologieën[Digitale zorgtoepassing]),0))</f>
        <v>8695.652173913044</v>
      </c>
      <c r="AF11"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1" s="398">
        <f>(uniforme_input[[#This Row],[Initiële investering per organisatie]]*uniforme_input[[#This Row],[Aantal organisaties]])/uniforme_input[[#This Row],[Patiëntaantallen]]</f>
        <v>38.067902357514875</v>
      </c>
      <c r="AH11" s="410">
        <f>IF(uniforme_input[[#This Row],[Bron gebruiken voor kosten/investering?]]="Ja",uniforme_input[[#This Row],[Jaarlijkse kosten per patiënt]] + uniforme_input[[#This Row],[Jaarlijkse kosten per patiënt berekend]],0)</f>
        <v>17</v>
      </c>
      <c r="AI11" s="409">
        <f>IF(uniforme_input[[#This Row],[Bron gebruiken voor kosten/investering?]]="Ja",uniforme_input[[#This Row],[Initiële investering per patiënt]]+uniforme_input[[#This Row],[Initiële investering per patiënt berekend]],0)</f>
        <v>38.067902357514875</v>
      </c>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row>
    <row r="12" spans="1:83" s="2" customFormat="1" x14ac:dyDescent="0.5">
      <c r="A12" s="51" t="str">
        <f>INDEX(Technologieën[Veld],MATCH(G12,Technologieën[Zoeksleutel bronnummer],0))</f>
        <v>Software - Diagnose</v>
      </c>
      <c r="B12" s="33" t="s">
        <v>472</v>
      </c>
      <c r="C12" s="32" t="s">
        <v>391</v>
      </c>
      <c r="D12" s="32" t="s">
        <v>391</v>
      </c>
      <c r="E12" s="33" t="s">
        <v>465</v>
      </c>
      <c r="F12" s="33" t="str" cm="1">
        <f t="array" ref="F12">INDEX(Berekening_patiëntaantal[Direct toepasbaar/extrapolatie/incidentie voor QALY],MATCH(B12,IF(Berekening_patiëntaantal[Doelgroep (zoeksleutel)]=E12,Berekening_patiëntaantal[Digitale zorgtoepassing]),0))</f>
        <v>Extrapolatie</v>
      </c>
      <c r="G12" s="33" t="s">
        <v>517</v>
      </c>
      <c r="H12" s="33" t="s">
        <v>146</v>
      </c>
      <c r="I12" s="403">
        <f>INDEX(Uurloon[Uurtarief zorgpersoneel],MATCH(H12,Uurloon[Zorgverlener],0))</f>
        <v>91.204770114942534</v>
      </c>
      <c r="J12" s="404" cm="1">
        <f t="array" ref="J12">INDEX(Berekening_patiëntaantal[Patiëntaantallen],MATCH(B12,IF(Berekening_patiëntaantal[Doelgroep (zoeksleutel)]=E12,Berekening_patiëntaantal[Digitale zorgtoepassing]),0))</f>
        <v>974188</v>
      </c>
      <c r="K12" s="404">
        <f>IFERROR(INDEX(aantal_organisaties[Aantal organisaties waarop toepasbaar],MATCH(B12,aantal_organisaties[Digitale zorgtoepassing],0)),0)</f>
        <v>113</v>
      </c>
      <c r="L12" s="397">
        <f>COUNTIF(uniforme_input[Doelgroep],E12)</f>
        <v>1</v>
      </c>
      <c r="M12" s="405" cm="1">
        <f t="array" ref="M12">INDEX(Technologieën[Tijdsbesparing p. patiënt (min/week)],MATCH(B12,IF(Technologieën[Zoeksleutel bronnummer]=G12,Technologieën[Digitale zorgtoepassing]),0))</f>
        <v>0</v>
      </c>
      <c r="N12" s="405" cm="1">
        <f t="array" ref="N12">INDEX(Technologieën[Tijdsbesparing per handeling (min)],MATCH(B12,IF(Technologieën[Zoeksleutel bronnummer]=G12,Technologieën[Digitale zorgtoepassing]),0))</f>
        <v>15</v>
      </c>
      <c r="O12" s="403" cm="1">
        <f t="array" ref="O12">INDEX(Technologieën[Besparing overige kosten (€/patiënt/jaar)],MATCH(B12,IF(Technologieën[Zoeksleutel bronnummer]=G12,Technologieën[Digitale zorgtoepassing]),0))</f>
        <v>0</v>
      </c>
      <c r="P12" s="403" cm="1">
        <f t="array" ref="P12">INDEX(Technologieën[Kostenbesparing p. patiënt door arbeidsbesparing (€/week)],MATCH(B12,IF(Technologieën[Zoeksleutel bronnummer]=G12,Technologieën[Digitale zorgtoepassing]),0))</f>
        <v>0</v>
      </c>
      <c r="Q12" s="403" cm="1">
        <f t="array" ref="Q12">INDEX(Technologieën[Kostenbesparing (personeel) per handeling (€)],MATCH(B12,IF(Technologieën[Zoeksleutel bronnummer]=G12,Technologieën[Digitale zorgtoepassing]),0))</f>
        <v>0</v>
      </c>
      <c r="R12" s="403" cm="1">
        <f t="array" ref="R12">INDEX(Technologieën[Besparing overige kosten (€/jaar)],MATCH(B12,IF(Technologieën[Zoeksleutel bronnummer]=G12,Technologieën[Digitale zorgtoepassing]),0))</f>
        <v>0</v>
      </c>
      <c r="S12" s="405" cm="1">
        <f t="array" ref="S12">INDEX(Technologieën[Jaarlijkse besparing zorgpersoneel (FTE)],MATCH(B12,IF(Technologieën[Zoeksleutel bronnummer]=G12,Technologieën[Digitale zorgtoepassing]),0))</f>
        <v>0</v>
      </c>
      <c r="T12" s="406" cm="1">
        <f t="array" ref="T12">(INDEX(Technologieën[QALY],MATCH(B12,IF(Technologieën[Zoeksleutel bronnummer]=G12,Technologieën[Digitale zorgtoepassing]),0)))</f>
        <v>0</v>
      </c>
      <c r="U12" s="407">
        <f>(uniforme_input[[#This Row],[Kostenbesparing door arbeidsbesparing p. patiënt (€/week)]]/uniforme_input[[#This Row],[Uurtarief]]*60) + (uniforme_input[[#This Row],[Totaal arbeidsbesparing onafhankelijk van patiënt (FTE)]]*40*60)/uniforme_input[[#This Row],[Patiëntaantallen]]</f>
        <v>0</v>
      </c>
      <c r="V12" s="407">
        <f>(uniforme_input[[#This Row],[Kostenbesparing per handeling (€)]]/uniforme_input[[#This Row],[Uurtarief]])*60</f>
        <v>0</v>
      </c>
      <c r="W12" s="398">
        <f>uniforme_input[[#This Row],[Overige kostenbesparing (Totaal €/jaar)]]/uniforme_input[[#This Row],[Patiëntaantallen]]</f>
        <v>0</v>
      </c>
      <c r="X12" s="408">
        <f>IF(uniforme_input[[#This Row],[Bron gebruiken voor opbrengsten?]]="Ja",uniforme_input[[#This Row],[Tijdsbesparing (min/week/patiënt) - gegeven]]+uniforme_input[[#This Row],[Tijdsbesparing (min/week/patiënt) berekend]],0)</f>
        <v>0</v>
      </c>
      <c r="Y12" s="407">
        <f>IF(uniforme_input[[#This Row],[Bron gebruiken voor opbrengsten?]]="Ja",uniforme_input[[#This Row],[Tijdsbesparing (min/handeling) - gegeven]]+uniforme_input[[#This Row],[Tijdsbesparing (min/handeling) berekend]],0)</f>
        <v>15</v>
      </c>
      <c r="Z12" s="409">
        <f>IF(uniforme_input[[#This Row],[Bron gebruiken voor opbrengsten?]]="Ja",uniforme_input[[#This Row],[Overige kostenbesparing (€/jaar/patiënt) - gegeven]]+uniforme_input[[#This Row],[Overige kostenbesparing (€/jaar/patiënt) berekend]],0)</f>
        <v>0</v>
      </c>
      <c r="AA12" s="403" cm="1">
        <f t="array" ref="AA12">INDEX(Technologieën[Jaarlijkse kosten p. patiënt],MATCH(B12,IF(Technologieën[Zoeksleutel bronnummer]=G12,Technologieën[Digitale zorgtoepassing]),0))</f>
        <v>17</v>
      </c>
      <c r="AB12" s="403" cm="1">
        <f t="array" ref="AB12">INDEX(Technologieën[Jaarlijkse kosten p. organisatie],MATCH(B12,IF(Technologieën[Zoeksleutel bronnummer]=G12,Technologieën[Digitale zorgtoepassing]),0))/uniforme_input[[#This Row],[Aantal doelgroepen waarop toepasbaar]]</f>
        <v>0</v>
      </c>
      <c r="AC12" s="403" cm="1">
        <f t="array" ref="AC12">INDEX(Technologieën[Jaarlijkse kosten (onafh. aantal patiënt/organisatie)],MATCH(B12,IF(Technologieën[Zoeksleutel bronnummer]=G12,Technologieën[Digitale zorgtoepassing]),0))/uniforme_input[[#This Row],[Aantal doelgroepen waarop toepasbaar]]</f>
        <v>0</v>
      </c>
      <c r="AD12" s="403" cm="1">
        <f t="array" ref="AD12">INDEX(Technologieën[Initiële investering (p. patiënt)],MATCH(B12,IF(Technologieën[Zoeksleutel bronnummer]=G12,Technologieën[Digitale zorgtoepassing]),0))</f>
        <v>0</v>
      </c>
      <c r="AE12" s="403" cm="1">
        <f t="array" ref="AE12">INDEX(Technologieën[Initiële investering (p. organisatie)],MATCH(B12,IF(Technologieën[Zoeksleutel bronnummer]=G12,Technologieën[Digitale zorgtoepassing]),0))</f>
        <v>8695.652173913044</v>
      </c>
      <c r="AF12"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2" s="398">
        <f>(uniforme_input[[#This Row],[Initiële investering per organisatie]]*uniforme_input[[#This Row],[Aantal organisaties]])/uniforme_input[[#This Row],[Patiëntaantallen]]</f>
        <v>1.0086438096673065</v>
      </c>
      <c r="AH12" s="410">
        <f>IF(uniforme_input[[#This Row],[Bron gebruiken voor kosten/investering?]]="Ja",uniforme_input[[#This Row],[Jaarlijkse kosten per patiënt]] + uniforme_input[[#This Row],[Jaarlijkse kosten per patiënt berekend]],0)</f>
        <v>17</v>
      </c>
      <c r="AI12" s="409">
        <f>IF(uniforme_input[[#This Row],[Bron gebruiken voor kosten/investering?]]="Ja",uniforme_input[[#This Row],[Initiële investering per patiënt]]+uniforme_input[[#This Row],[Initiële investering per patiënt berekend]],0)</f>
        <v>1.0086438096673065</v>
      </c>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row>
    <row r="13" spans="1:83" s="2" customFormat="1" x14ac:dyDescent="0.5">
      <c r="A13" s="51" t="str">
        <f>INDEX(Technologieën[Veld],MATCH(G13,Technologieën[Zoeksleutel bronnummer],0))</f>
        <v>Software - Diagnose</v>
      </c>
      <c r="B13" s="30" t="s">
        <v>720</v>
      </c>
      <c r="C13" s="32" t="s">
        <v>391</v>
      </c>
      <c r="D13" s="32" t="s">
        <v>391</v>
      </c>
      <c r="E13" s="33" t="s">
        <v>73</v>
      </c>
      <c r="F13" s="33" t="str" cm="1">
        <f t="array" ref="F13">INDEX(Berekening_patiëntaantal[Direct toepasbaar/extrapolatie/incidentie voor QALY],MATCH(B13,IF(Berekening_patiëntaantal[Doelgroep (zoeksleutel)]=E13,Berekening_patiëntaantal[Digitale zorgtoepassing]),0))</f>
        <v>Huidige toepassing</v>
      </c>
      <c r="G13" s="33" t="s">
        <v>721</v>
      </c>
      <c r="H13" s="33" t="s">
        <v>173</v>
      </c>
      <c r="I13" s="403">
        <f>INDEX(Uurloon[Uurtarief zorgpersoneel],MATCH(H13,Uurloon[Zorgverlener],0))</f>
        <v>20.889942528735634</v>
      </c>
      <c r="J13" s="404" cm="1">
        <f t="array" ref="J13">INDEX(Berekening_patiëntaantal[Patiëntaantallen],MATCH(B13,IF(Berekening_patiëntaantal[Doelgroep (zoeksleutel)]=E13,Berekening_patiëntaantal[Digitale zorgtoepassing]),0))</f>
        <v>1432900</v>
      </c>
      <c r="K13" s="404">
        <f>IFERROR(INDEX(aantal_organisaties[Aantal organisaties waarop toepasbaar],MATCH(B13,aantal_organisaties[Digitale zorgtoepassing],0)),0)</f>
        <v>107</v>
      </c>
      <c r="L13" s="397">
        <f>COUNTIF(uniforme_input[Doelgroep],E13)</f>
        <v>1</v>
      </c>
      <c r="M13" s="405" cm="1">
        <f t="array" ref="M13">INDEX(Technologieën[Tijdsbesparing p. patiënt (min/week)],MATCH(B13,IF(Technologieën[Zoeksleutel bronnummer]=G13,Technologieën[Digitale zorgtoepassing]),0))</f>
        <v>0</v>
      </c>
      <c r="N13" s="405" cm="1">
        <f t="array" ref="N13">INDEX(Technologieën[Tijdsbesparing per handeling (min)],MATCH(B13,IF(Technologieën[Zoeksleutel bronnummer]=G13,Technologieën[Digitale zorgtoepassing]),0))</f>
        <v>1.25</v>
      </c>
      <c r="O13" s="403" cm="1">
        <f t="array" ref="O13">INDEX(Technologieën[Besparing overige kosten (€/patiënt/jaar)],MATCH(B13,IF(Technologieën[Zoeksleutel bronnummer]=G13,Technologieën[Digitale zorgtoepassing]),0))</f>
        <v>0</v>
      </c>
      <c r="P13" s="403" cm="1">
        <f t="array" ref="P13">INDEX(Technologieën[Kostenbesparing p. patiënt door arbeidsbesparing (€/week)],MATCH(B13,IF(Technologieën[Zoeksleutel bronnummer]=G13,Technologieën[Digitale zorgtoepassing]),0))</f>
        <v>0</v>
      </c>
      <c r="Q13" s="403" cm="1">
        <f t="array" ref="Q13">INDEX(Technologieën[Kostenbesparing (personeel) per handeling (€)],MATCH(B13,IF(Technologieën[Zoeksleutel bronnummer]=G13,Technologieën[Digitale zorgtoepassing]),0))</f>
        <v>0</v>
      </c>
      <c r="R13" s="403" cm="1">
        <f t="array" ref="R13">INDEX(Technologieën[Besparing overige kosten (€/jaar)],MATCH(B13,IF(Technologieën[Zoeksleutel bronnummer]=G13,Technologieën[Digitale zorgtoepassing]),0))</f>
        <v>0</v>
      </c>
      <c r="S13" s="405" cm="1">
        <f t="array" ref="S13">INDEX(Technologieën[Jaarlijkse besparing zorgpersoneel (FTE)],MATCH(B13,IF(Technologieën[Zoeksleutel bronnummer]=G13,Technologieën[Digitale zorgtoepassing]),0))</f>
        <v>0</v>
      </c>
      <c r="T13" s="406" cm="1">
        <f t="array" ref="T13">(INDEX(Technologieën[QALY],MATCH(B13,IF(Technologieën[Zoeksleutel bronnummer]=G13,Technologieën[Digitale zorgtoepassing]),0)))</f>
        <v>0</v>
      </c>
      <c r="U13" s="407">
        <f>(uniforme_input[[#This Row],[Kostenbesparing door arbeidsbesparing p. patiënt (€/week)]]/uniforme_input[[#This Row],[Uurtarief]]*60) + (uniforme_input[[#This Row],[Totaal arbeidsbesparing onafhankelijk van patiënt (FTE)]]*40*60)/uniforme_input[[#This Row],[Patiëntaantallen]]</f>
        <v>0</v>
      </c>
      <c r="V13" s="407">
        <f>(uniforme_input[[#This Row],[Kostenbesparing per handeling (€)]]/uniforme_input[[#This Row],[Uurtarief]])*60</f>
        <v>0</v>
      </c>
      <c r="W13" s="398">
        <f>uniforme_input[[#This Row],[Overige kostenbesparing (Totaal €/jaar)]]/uniforme_input[[#This Row],[Patiëntaantallen]]</f>
        <v>0</v>
      </c>
      <c r="X13" s="408">
        <f>IF(uniforme_input[[#This Row],[Bron gebruiken voor opbrengsten?]]="Ja",uniforme_input[[#This Row],[Tijdsbesparing (min/week/patiënt) - gegeven]]+uniforme_input[[#This Row],[Tijdsbesparing (min/week/patiënt) berekend]],0)</f>
        <v>0</v>
      </c>
      <c r="Y13" s="407">
        <f>IF(uniforme_input[[#This Row],[Bron gebruiken voor opbrengsten?]]="Ja",uniforme_input[[#This Row],[Tijdsbesparing (min/handeling) - gegeven]]+uniforme_input[[#This Row],[Tijdsbesparing (min/handeling) berekend]],0)</f>
        <v>1.25</v>
      </c>
      <c r="Z13" s="409">
        <f>IF(uniforme_input[[#This Row],[Bron gebruiken voor opbrengsten?]]="Ja",uniforme_input[[#This Row],[Overige kostenbesparing (€/jaar/patiënt) - gegeven]]+uniforme_input[[#This Row],[Overige kostenbesparing (€/jaar/patiënt) berekend]],0)</f>
        <v>0</v>
      </c>
      <c r="AA13" s="403" cm="1">
        <f t="array" ref="AA13">INDEX(Technologieën[Jaarlijkse kosten p. patiënt],MATCH(B13,IF(Technologieën[Zoeksleutel bronnummer]=G13,Technologieën[Digitale zorgtoepassing]),0))</f>
        <v>0</v>
      </c>
      <c r="AB13" s="403" cm="1">
        <f t="array" ref="AB13">INDEX(Technologieën[Jaarlijkse kosten p. organisatie],MATCH(B13,IF(Technologieën[Zoeksleutel bronnummer]=G13,Technologieën[Digitale zorgtoepassing]),0))/uniforme_input[[#This Row],[Aantal doelgroepen waarop toepasbaar]]</f>
        <v>0</v>
      </c>
      <c r="AC13" s="403" cm="1">
        <f t="array" ref="AC13">INDEX(Technologieën[Jaarlijkse kosten (onafh. aantal patiënt/organisatie)],MATCH(B13,IF(Technologieën[Zoeksleutel bronnummer]=G13,Technologieën[Digitale zorgtoepassing]),0))/uniforme_input[[#This Row],[Aantal doelgroepen waarop toepasbaar]]</f>
        <v>680000</v>
      </c>
      <c r="AD13" s="403" cm="1">
        <f t="array" ref="AD13">INDEX(Technologieën[Initiële investering (p. patiënt)],MATCH(B13,IF(Technologieën[Zoeksleutel bronnummer]=G13,Technologieën[Digitale zorgtoepassing]),0))</f>
        <v>0</v>
      </c>
      <c r="AE13" s="403" cm="1">
        <f t="array" ref="AE13">INDEX(Technologieën[Initiële investering (p. organisatie)],MATCH(B13,IF(Technologieën[Zoeksleutel bronnummer]=G13,Technologieën[Digitale zorgtoepassing]),0))</f>
        <v>7500</v>
      </c>
      <c r="AF13" s="398">
        <f>((uniforme_input[[#This Row],[Jaarlijkse kosten per organisatie]]*uniforme_input[[#This Row],[Aantal organisaties]])/uniforme_input[[#This Row],[Patiëntaantallen]])+(uniforme_input[[#This Row],[Jaarlijkse kosten algemeen (onafhankelijk van patiënt/organisatie)]]/uniforme_input[[#This Row],[Patiëntaantallen]])</f>
        <v>0.47456207690697189</v>
      </c>
      <c r="AG13" s="398">
        <f>(uniforme_input[[#This Row],[Initiële investering per organisatie]]*uniforme_input[[#This Row],[Aantal organisaties]])/uniforme_input[[#This Row],[Patiëntaantallen]]</f>
        <v>0.56005303929094841</v>
      </c>
      <c r="AH13" s="410">
        <f>IF(uniforme_input[[#This Row],[Bron gebruiken voor kosten/investering?]]="Ja",uniforme_input[[#This Row],[Jaarlijkse kosten per patiënt]] + uniforme_input[[#This Row],[Jaarlijkse kosten per patiënt berekend]],0)</f>
        <v>0.47456207690697189</v>
      </c>
      <c r="AI13" s="409">
        <f>IF(uniforme_input[[#This Row],[Bron gebruiken voor kosten/investering?]]="Ja",uniforme_input[[#This Row],[Initiële investering per patiënt]]+uniforme_input[[#This Row],[Initiële investering per patiënt berekend]],0)</f>
        <v>0.56005303929094841</v>
      </c>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row>
    <row r="14" spans="1:83" s="49" customFormat="1" x14ac:dyDescent="0.5">
      <c r="A14" s="51" t="str">
        <f>INDEX(Technologieën[Veld],MATCH(G14,Technologieën[Zoeksleutel bronnummer],0))</f>
        <v>Sensoren - Verpleging</v>
      </c>
      <c r="B14" s="33" t="s">
        <v>46</v>
      </c>
      <c r="C14" s="32" t="s">
        <v>391</v>
      </c>
      <c r="D14" s="32" t="s">
        <v>391</v>
      </c>
      <c r="E14" s="33" t="s">
        <v>20</v>
      </c>
      <c r="F14" s="33" t="str" cm="1">
        <f t="array" ref="F14">INDEX(Berekening_patiëntaantal[Direct toepasbaar/extrapolatie/incidentie voor QALY],MATCH(B14,IF(Berekening_patiëntaantal[Doelgroep (zoeksleutel)]=E14,Berekening_patiëntaantal[Digitale zorgtoepassing]),0))</f>
        <v>Huidige toepassing</v>
      </c>
      <c r="G14" s="33" t="s">
        <v>529</v>
      </c>
      <c r="H14" s="33" t="s">
        <v>144</v>
      </c>
      <c r="I14" s="403">
        <f>INDEX(Uurloon[Uurtarief zorgpersoneel],MATCH(H14,Uurloon[Zorgverlener],0))</f>
        <v>20.410632183908046</v>
      </c>
      <c r="J14" s="404" cm="1">
        <f t="array" ref="J14">INDEX(Berekening_patiëntaantal[Patiëntaantallen],MATCH(B14,IF(Berekening_patiëntaantal[Doelgroep (zoeksleutel)]=E14,Berekening_patiëntaantal[Digitale zorgtoepassing]),0))</f>
        <v>78300</v>
      </c>
      <c r="K14" s="404">
        <f>IFERROR(INDEX(aantal_organisaties[Aantal organisaties waarop toepasbaar],MATCH(B14,aantal_organisaties[Digitale zorgtoepassing],0)),0)</f>
        <v>827</v>
      </c>
      <c r="L14" s="397">
        <f>COUNTIF(uniforme_input[Doelgroep],E14)</f>
        <v>14</v>
      </c>
      <c r="M14" s="405" cm="1">
        <f t="array" ref="M14">INDEX(Technologieën[Tijdsbesparing p. patiënt (min/week)],MATCH(B14,IF(Technologieën[Zoeksleutel bronnummer]=G14,Technologieën[Digitale zorgtoepassing]),0))</f>
        <v>20.5</v>
      </c>
      <c r="N14" s="405" cm="1">
        <f t="array" ref="N14">INDEX(Technologieën[Tijdsbesparing per handeling (min)],MATCH(B14,IF(Technologieën[Zoeksleutel bronnummer]=G14,Technologieën[Digitale zorgtoepassing]),0))</f>
        <v>0</v>
      </c>
      <c r="O14" s="403" cm="1">
        <f t="array" ref="O14">INDEX(Technologieën[Besparing overige kosten (€/patiënt/jaar)],MATCH(B14,IF(Technologieën[Zoeksleutel bronnummer]=G14,Technologieën[Digitale zorgtoepassing]),0))</f>
        <v>50.530256343822629</v>
      </c>
      <c r="P14" s="403" cm="1">
        <f t="array" ref="P14">INDEX(Technologieën[Kostenbesparing p. patiënt door arbeidsbesparing (€/week)],MATCH(B14,IF(Technologieën[Zoeksleutel bronnummer]=G14,Technologieën[Digitale zorgtoepassing]),0))</f>
        <v>3.2400932400932398</v>
      </c>
      <c r="Q14" s="403" cm="1">
        <f t="array" ref="Q14">INDEX(Technologieën[Kostenbesparing (personeel) per handeling (€)],MATCH(B14,IF(Technologieën[Zoeksleutel bronnummer]=G14,Technologieën[Digitale zorgtoepassing]),0))</f>
        <v>0</v>
      </c>
      <c r="R14" s="403" cm="1">
        <f t="array" ref="R14">INDEX(Technologieën[Besparing overige kosten (€/jaar)],MATCH(B14,IF(Technologieën[Zoeksleutel bronnummer]=G14,Technologieën[Digitale zorgtoepassing]),0))</f>
        <v>600</v>
      </c>
      <c r="S14" s="405" cm="1">
        <f t="array" ref="S14">INDEX(Technologieën[Jaarlijkse besparing zorgpersoneel (FTE)],MATCH(B14,IF(Technologieën[Zoeksleutel bronnummer]=G14,Technologieën[Digitale zorgtoepassing]),0))</f>
        <v>0</v>
      </c>
      <c r="T14" s="406" cm="1">
        <f t="array" ref="T14">(INDEX(Technologieën[QALY],MATCH(B14,IF(Technologieën[Zoeksleutel bronnummer]=G14,Technologieën[Digitale zorgtoepassing]),0)))</f>
        <v>0</v>
      </c>
      <c r="U14" s="407">
        <f>(uniforme_input[[#This Row],[Kostenbesparing door arbeidsbesparing p. patiënt (€/week)]]/uniforme_input[[#This Row],[Uurtarief]]*60) + (uniforme_input[[#This Row],[Totaal arbeidsbesparing onafhankelijk van patiënt (FTE)]]*40*60)/uniforme_input[[#This Row],[Patiëntaantallen]]</f>
        <v>9.5247218534889768</v>
      </c>
      <c r="V14" s="407">
        <f>(uniforme_input[[#This Row],[Kostenbesparing per handeling (€)]]/uniforme_input[[#This Row],[Uurtarief]])*60</f>
        <v>0</v>
      </c>
      <c r="W14" s="398">
        <f>uniforme_input[[#This Row],[Overige kostenbesparing (Totaal €/jaar)]]/uniforme_input[[#This Row],[Patiëntaantallen]]</f>
        <v>7.6628352490421452E-3</v>
      </c>
      <c r="X14" s="408">
        <f>IF(uniforme_input[[#This Row],[Bron gebruiken voor opbrengsten?]]="Ja",uniforme_input[[#This Row],[Tijdsbesparing (min/week/patiënt) - gegeven]]+uniforme_input[[#This Row],[Tijdsbesparing (min/week/patiënt) berekend]],0)</f>
        <v>30.024721853488977</v>
      </c>
      <c r="Y14" s="407">
        <f>IF(uniforme_input[[#This Row],[Bron gebruiken voor opbrengsten?]]="Ja",uniforme_input[[#This Row],[Tijdsbesparing (min/handeling) - gegeven]]+uniforme_input[[#This Row],[Tijdsbesparing (min/handeling) berekend]],0)</f>
        <v>0</v>
      </c>
      <c r="Z14" s="409">
        <f>IF(uniforme_input[[#This Row],[Bron gebruiken voor opbrengsten?]]="Ja",uniforme_input[[#This Row],[Overige kostenbesparing (€/jaar/patiënt) - gegeven]]+uniforme_input[[#This Row],[Overige kostenbesparing (€/jaar/patiënt) berekend]],0)</f>
        <v>50.537919179071672</v>
      </c>
      <c r="AA14" s="403" cm="1">
        <f t="array" ref="AA14">INDEX(Technologieën[Jaarlijkse kosten p. patiënt],MATCH(B14,IF(Technologieën[Zoeksleutel bronnummer]=G14,Technologieën[Digitale zorgtoepassing]),0))</f>
        <v>0</v>
      </c>
      <c r="AB14" s="403" cm="1">
        <f t="array" ref="AB14">INDEX(Technologieën[Jaarlijkse kosten p. organisatie],MATCH(B14,IF(Technologieën[Zoeksleutel bronnummer]=G14,Technologieën[Digitale zorgtoepassing]),0))/uniforme_input[[#This Row],[Aantal doelgroepen waarop toepasbaar]]</f>
        <v>0</v>
      </c>
      <c r="AC14" s="403" cm="1">
        <f t="array" ref="AC14">INDEX(Technologieën[Jaarlijkse kosten (onafh. aantal patiënt/organisatie)],MATCH(B14,IF(Technologieën[Zoeksleutel bronnummer]=G14,Technologieën[Digitale zorgtoepassing]),0))/uniforme_input[[#This Row],[Aantal doelgroepen waarop toepasbaar]]</f>
        <v>0</v>
      </c>
      <c r="AD14" s="403" cm="1">
        <f t="array" ref="AD14">INDEX(Technologieën[Initiële investering (p. patiënt)],MATCH(B14,IF(Technologieën[Zoeksleutel bronnummer]=G14,Technologieën[Digitale zorgtoepassing]),0))</f>
        <v>648.6</v>
      </c>
      <c r="AE14" s="403" cm="1">
        <f t="array" ref="AE14">INDEX(Technologieën[Initiële investering (p. organisatie)],MATCH(B14,IF(Technologieën[Zoeksleutel bronnummer]=G14,Technologieën[Digitale zorgtoepassing]),0))</f>
        <v>6110.5</v>
      </c>
      <c r="AF14"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4" s="398">
        <f>(uniforme_input[[#This Row],[Initiële investering per organisatie]]*uniforme_input[[#This Row],[Aantal organisaties]])/uniforme_input[[#This Row],[Patiëntaantallen]]</f>
        <v>64.538742017879954</v>
      </c>
      <c r="AH14" s="410">
        <f>IF(uniforme_input[[#This Row],[Bron gebruiken voor kosten/investering?]]="Ja",uniforme_input[[#This Row],[Jaarlijkse kosten per patiënt]] + uniforme_input[[#This Row],[Jaarlijkse kosten per patiënt berekend]],0)</f>
        <v>0</v>
      </c>
      <c r="AI14" s="409">
        <f>IF(uniforme_input[[#This Row],[Bron gebruiken voor kosten/investering?]]="Ja",uniforme_input[[#This Row],[Initiële investering per patiënt]]+uniforme_input[[#This Row],[Initiële investering per patiënt berekend]],0)</f>
        <v>713.13874201787996</v>
      </c>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row>
    <row r="15" spans="1:83" s="2" customFormat="1" x14ac:dyDescent="0.5">
      <c r="A15" s="51" t="str">
        <f>INDEX(Technologieën[Veld],MATCH(G15,Technologieën[Zoeksleutel bronnummer],0))</f>
        <v>Digitale hulpmiddelen - Verpleging</v>
      </c>
      <c r="B15" s="33" t="s">
        <v>26</v>
      </c>
      <c r="C15" s="32" t="s">
        <v>391</v>
      </c>
      <c r="D15" s="32" t="s">
        <v>391</v>
      </c>
      <c r="E15" s="33" t="s">
        <v>20</v>
      </c>
      <c r="F15" s="33" t="str" cm="1">
        <f t="array" ref="F15">INDEX(Berekening_patiëntaantal[Direct toepasbaar/extrapolatie/incidentie voor QALY],MATCH(B15,IF(Berekening_patiëntaantal[Doelgroep (zoeksleutel)]=E15,Berekening_patiëntaantal[Digitale zorgtoepassing]),0))</f>
        <v>Huidige toepassing</v>
      </c>
      <c r="G15" s="33" t="s">
        <v>533</v>
      </c>
      <c r="H15" s="33" t="s">
        <v>142</v>
      </c>
      <c r="I15" s="403">
        <f>INDEX(Uurloon[Uurtarief zorgpersoneel],MATCH(H15,Uurloon[Zorgverlener],0))</f>
        <v>25.33954022988506</v>
      </c>
      <c r="J15" s="404" cm="1">
        <f t="array" ref="J15">INDEX(Berekening_patiëntaantal[Patiëntaantallen],MATCH(B15,IF(Berekening_patiëntaantal[Doelgroep (zoeksleutel)]=E15,Berekening_patiëntaantal[Digitale zorgtoepassing]),0))</f>
        <v>12606.3</v>
      </c>
      <c r="K15" s="404">
        <f>IFERROR(INDEX(aantal_organisaties[Aantal organisaties waarop toepasbaar],MATCH(B15,aantal_organisaties[Digitale zorgtoepassing],0)),0)</f>
        <v>150</v>
      </c>
      <c r="L15" s="397">
        <f>COUNTIF(uniforme_input[Doelgroep],E15)</f>
        <v>14</v>
      </c>
      <c r="M15" s="405" cm="1">
        <f t="array" ref="M15">INDEX(Technologieën[Tijdsbesparing p. patiënt (min/week)],MATCH(B15,IF(Technologieën[Zoeksleutel bronnummer]=G15,Technologieën[Digitale zorgtoepassing]),0))</f>
        <v>139.46301369863011</v>
      </c>
      <c r="N15" s="405" cm="1">
        <f t="array" ref="N15">INDEX(Technologieën[Tijdsbesparing per handeling (min)],MATCH(B15,IF(Technologieën[Zoeksleutel bronnummer]=G15,Technologieën[Digitale zorgtoepassing]),0))</f>
        <v>0</v>
      </c>
      <c r="O15" s="403" cm="1">
        <f t="array" ref="O15">INDEX(Technologieën[Besparing overige kosten (€/patiënt/jaar)],MATCH(B15,IF(Technologieën[Zoeksleutel bronnummer]=G15,Technologieën[Digitale zorgtoepassing]),0))</f>
        <v>1508.5128250932394</v>
      </c>
      <c r="P15" s="403" cm="1">
        <f t="array" ref="P15">INDEX(Technologieën[Kostenbesparing p. patiënt door arbeidsbesparing (€/week)],MATCH(B15,IF(Technologieën[Zoeksleutel bronnummer]=G15,Technologieën[Digitale zorgtoepassing]),0))</f>
        <v>0</v>
      </c>
      <c r="Q15" s="403" cm="1">
        <f t="array" ref="Q15">INDEX(Technologieën[Kostenbesparing (personeel) per handeling (€)],MATCH(B15,IF(Technologieën[Zoeksleutel bronnummer]=G15,Technologieën[Digitale zorgtoepassing]),0))</f>
        <v>0</v>
      </c>
      <c r="R15" s="403" cm="1">
        <f t="array" ref="R15">INDEX(Technologieën[Besparing overige kosten (€/jaar)],MATCH(B15,IF(Technologieën[Zoeksleutel bronnummer]=G15,Technologieën[Digitale zorgtoepassing]),0))</f>
        <v>0</v>
      </c>
      <c r="S15" s="405" cm="1">
        <f t="array" ref="S15">INDEX(Technologieën[Jaarlijkse besparing zorgpersoneel (FTE)],MATCH(B15,IF(Technologieën[Zoeksleutel bronnummer]=G15,Technologieën[Digitale zorgtoepassing]),0))</f>
        <v>0</v>
      </c>
      <c r="T15" s="406" cm="1">
        <f t="array" ref="T15">(INDEX(Technologieën[QALY],MATCH(B15,IF(Technologieën[Zoeksleutel bronnummer]=G15,Technologieën[Digitale zorgtoepassing]),0)))</f>
        <v>0</v>
      </c>
      <c r="U15" s="407">
        <f>(uniforme_input[[#This Row],[Kostenbesparing door arbeidsbesparing p. patiënt (€/week)]]/uniforme_input[[#This Row],[Uurtarief]]*60) + (uniforme_input[[#This Row],[Totaal arbeidsbesparing onafhankelijk van patiënt (FTE)]]*40*60)/uniforme_input[[#This Row],[Patiëntaantallen]]</f>
        <v>0</v>
      </c>
      <c r="V15" s="407">
        <f>(uniforme_input[[#This Row],[Kostenbesparing per handeling (€)]]/uniforme_input[[#This Row],[Uurtarief]])*60</f>
        <v>0</v>
      </c>
      <c r="W15" s="398">
        <f>uniforme_input[[#This Row],[Overige kostenbesparing (Totaal €/jaar)]]/uniforme_input[[#This Row],[Patiëntaantallen]]</f>
        <v>0</v>
      </c>
      <c r="X15" s="408">
        <f>IF(uniforme_input[[#This Row],[Bron gebruiken voor opbrengsten?]]="Ja",uniforme_input[[#This Row],[Tijdsbesparing (min/week/patiënt) - gegeven]]+uniforme_input[[#This Row],[Tijdsbesparing (min/week/patiënt) berekend]],0)</f>
        <v>139.46301369863011</v>
      </c>
      <c r="Y15" s="407">
        <f>IF(uniforme_input[[#This Row],[Bron gebruiken voor opbrengsten?]]="Ja",uniforme_input[[#This Row],[Tijdsbesparing (min/handeling) - gegeven]]+uniforme_input[[#This Row],[Tijdsbesparing (min/handeling) berekend]],0)</f>
        <v>0</v>
      </c>
      <c r="Z15" s="409">
        <f>IF(uniforme_input[[#This Row],[Bron gebruiken voor opbrengsten?]]="Ja",uniforme_input[[#This Row],[Overige kostenbesparing (€/jaar/patiënt) - gegeven]]+uniforme_input[[#This Row],[Overige kostenbesparing (€/jaar/patiënt) berekend]],0)</f>
        <v>1508.5128250932394</v>
      </c>
      <c r="AA15" s="403" cm="1">
        <f t="array" ref="AA15">INDEX(Technologieën[Jaarlijkse kosten p. patiënt],MATCH(B15,IF(Technologieën[Zoeksleutel bronnummer]=G15,Technologieën[Digitale zorgtoepassing]),0))</f>
        <v>1320</v>
      </c>
      <c r="AB15" s="403" cm="1">
        <f t="array" ref="AB15">INDEX(Technologieën[Jaarlijkse kosten p. organisatie],MATCH(B15,IF(Technologieën[Zoeksleutel bronnummer]=G15,Technologieën[Digitale zorgtoepassing]),0))/uniforme_input[[#This Row],[Aantal doelgroepen waarop toepasbaar]]</f>
        <v>0</v>
      </c>
      <c r="AC15" s="403" cm="1">
        <f t="array" ref="AC15">INDEX(Technologieën[Jaarlijkse kosten (onafh. aantal patiënt/organisatie)],MATCH(B15,IF(Technologieën[Zoeksleutel bronnummer]=G15,Technologieën[Digitale zorgtoepassing]),0))/uniforme_input[[#This Row],[Aantal doelgroepen waarop toepasbaar]]</f>
        <v>0</v>
      </c>
      <c r="AD15" s="403" cm="1">
        <f t="array" ref="AD15">INDEX(Technologieën[Initiële investering (p. patiënt)],MATCH(B15,IF(Technologieën[Zoeksleutel bronnummer]=G15,Technologieën[Digitale zorgtoepassing]),0))</f>
        <v>68.5</v>
      </c>
      <c r="AE15" s="403" cm="1">
        <f t="array" ref="AE15">INDEX(Technologieën[Initiële investering (p. organisatie)],MATCH(B15,IF(Technologieën[Zoeksleutel bronnummer]=G15,Technologieën[Digitale zorgtoepassing]),0))</f>
        <v>0</v>
      </c>
      <c r="AF15"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5" s="398">
        <f>(uniforme_input[[#This Row],[Initiële investering per organisatie]]*uniforme_input[[#This Row],[Aantal organisaties]])/uniforme_input[[#This Row],[Patiëntaantallen]]</f>
        <v>0</v>
      </c>
      <c r="AH15" s="410">
        <f>IF(uniforme_input[[#This Row],[Bron gebruiken voor kosten/investering?]]="Ja",uniforme_input[[#This Row],[Jaarlijkse kosten per patiënt]] + uniforme_input[[#This Row],[Jaarlijkse kosten per patiënt berekend]],0)</f>
        <v>1320</v>
      </c>
      <c r="AI15" s="409">
        <f>IF(uniforme_input[[#This Row],[Bron gebruiken voor kosten/investering?]]="Ja",uniforme_input[[#This Row],[Initiële investering per patiënt]]+uniforme_input[[#This Row],[Initiële investering per patiënt berekend]],0)</f>
        <v>68.5</v>
      </c>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row>
    <row r="16" spans="1:83" s="2" customFormat="1" x14ac:dyDescent="0.5">
      <c r="A16" s="51" t="str">
        <f>INDEX(Technologieën[Veld],MATCH(G16,Technologieën[Zoeksleutel bronnummer],0))</f>
        <v>Digitale hulpmiddelen - Verpleging</v>
      </c>
      <c r="B16" s="33" t="s">
        <v>26</v>
      </c>
      <c r="C16" s="32" t="s">
        <v>391</v>
      </c>
      <c r="D16" s="32" t="s">
        <v>391</v>
      </c>
      <c r="E16" s="33" t="s">
        <v>27</v>
      </c>
      <c r="F16" s="33" t="str" cm="1">
        <f t="array" ref="F16">INDEX(Berekening_patiëntaantal[Direct toepasbaar/extrapolatie/incidentie voor QALY],MATCH(B16,IF(Berekening_patiëntaantal[Doelgroep (zoeksleutel)]=E16,Berekening_patiëntaantal[Digitale zorgtoepassing]),0))</f>
        <v>Huidige toepassing</v>
      </c>
      <c r="G16" s="33" t="s">
        <v>533</v>
      </c>
      <c r="H16" s="33" t="s">
        <v>142</v>
      </c>
      <c r="I16" s="403">
        <f>INDEX(Uurloon[Uurtarief zorgpersoneel],MATCH(H16,Uurloon[Zorgverlener],0))</f>
        <v>25.33954022988506</v>
      </c>
      <c r="J16" s="404" cm="1">
        <f t="array" ref="J16">INDEX(Berekening_patiëntaantal[Patiëntaantallen],MATCH(B16,IF(Berekening_patiëntaantal[Doelgroep (zoeksleutel)]=E16,Berekening_patiëntaantal[Digitale zorgtoepassing]),0))</f>
        <v>3174</v>
      </c>
      <c r="K16" s="404">
        <f>IFERROR(INDEX(aantal_organisaties[Aantal organisaties waarop toepasbaar],MATCH(B16,aantal_organisaties[Digitale zorgtoepassing],0)),0)</f>
        <v>150</v>
      </c>
      <c r="L16" s="397">
        <f>COUNTIF(uniforme_input[Doelgroep],E16)</f>
        <v>12</v>
      </c>
      <c r="M16" s="405" cm="1">
        <f t="array" ref="M16">INDEX(Technologieën[Tijdsbesparing p. patiënt (min/week)],MATCH(B16,IF(Technologieën[Zoeksleutel bronnummer]=G16,Technologieën[Digitale zorgtoepassing]),0))</f>
        <v>139.46301369863011</v>
      </c>
      <c r="N16" s="405" cm="1">
        <f t="array" ref="N16">INDEX(Technologieën[Tijdsbesparing per handeling (min)],MATCH(B16,IF(Technologieën[Zoeksleutel bronnummer]=G16,Technologieën[Digitale zorgtoepassing]),0))</f>
        <v>0</v>
      </c>
      <c r="O16" s="403" cm="1">
        <f t="array" ref="O16">INDEX(Technologieën[Besparing overige kosten (€/patiënt/jaar)],MATCH(B16,IF(Technologieën[Zoeksleutel bronnummer]=G16,Technologieën[Digitale zorgtoepassing]),0))</f>
        <v>1508.5128250932394</v>
      </c>
      <c r="P16" s="403" cm="1">
        <f t="array" ref="P16">INDEX(Technologieën[Kostenbesparing p. patiënt door arbeidsbesparing (€/week)],MATCH(B16,IF(Technologieën[Zoeksleutel bronnummer]=G16,Technologieën[Digitale zorgtoepassing]),0))</f>
        <v>0</v>
      </c>
      <c r="Q16" s="403" cm="1">
        <f t="array" ref="Q16">INDEX(Technologieën[Kostenbesparing (personeel) per handeling (€)],MATCH(B16,IF(Technologieën[Zoeksleutel bronnummer]=G16,Technologieën[Digitale zorgtoepassing]),0))</f>
        <v>0</v>
      </c>
      <c r="R16" s="403" cm="1">
        <f t="array" ref="R16">INDEX(Technologieën[Besparing overige kosten (€/jaar)],MATCH(B16,IF(Technologieën[Zoeksleutel bronnummer]=G16,Technologieën[Digitale zorgtoepassing]),0))</f>
        <v>0</v>
      </c>
      <c r="S16" s="405" cm="1">
        <f t="array" ref="S16">INDEX(Technologieën[Jaarlijkse besparing zorgpersoneel (FTE)],MATCH(B16,IF(Technologieën[Zoeksleutel bronnummer]=G16,Technologieën[Digitale zorgtoepassing]),0))</f>
        <v>0</v>
      </c>
      <c r="T16" s="406" cm="1">
        <f t="array" ref="T16">(INDEX(Technologieën[QALY],MATCH(B16,IF(Technologieën[Zoeksleutel bronnummer]=G16,Technologieën[Digitale zorgtoepassing]),0)))</f>
        <v>0</v>
      </c>
      <c r="U16" s="407">
        <f>(uniforme_input[[#This Row],[Kostenbesparing door arbeidsbesparing p. patiënt (€/week)]]/uniforme_input[[#This Row],[Uurtarief]]*60) + (uniforme_input[[#This Row],[Totaal arbeidsbesparing onafhankelijk van patiënt (FTE)]]*40*60)/uniforme_input[[#This Row],[Patiëntaantallen]]</f>
        <v>0</v>
      </c>
      <c r="V16" s="407">
        <f>(uniforme_input[[#This Row],[Kostenbesparing per handeling (€)]]/uniforme_input[[#This Row],[Uurtarief]])*60</f>
        <v>0</v>
      </c>
      <c r="W16" s="398">
        <f>uniforme_input[[#This Row],[Overige kostenbesparing (Totaal €/jaar)]]/uniforme_input[[#This Row],[Patiëntaantallen]]</f>
        <v>0</v>
      </c>
      <c r="X16" s="408">
        <f>IF(uniforme_input[[#This Row],[Bron gebruiken voor opbrengsten?]]="Ja",uniforme_input[[#This Row],[Tijdsbesparing (min/week/patiënt) - gegeven]]+uniforme_input[[#This Row],[Tijdsbesparing (min/week/patiënt) berekend]],0)</f>
        <v>139.46301369863011</v>
      </c>
      <c r="Y16" s="407">
        <f>IF(uniforme_input[[#This Row],[Bron gebruiken voor opbrengsten?]]="Ja",uniforme_input[[#This Row],[Tijdsbesparing (min/handeling) - gegeven]]+uniforme_input[[#This Row],[Tijdsbesparing (min/handeling) berekend]],0)</f>
        <v>0</v>
      </c>
      <c r="Z16" s="409">
        <f>IF(uniforme_input[[#This Row],[Bron gebruiken voor opbrengsten?]]="Ja",uniforme_input[[#This Row],[Overige kostenbesparing (€/jaar/patiënt) - gegeven]]+uniforme_input[[#This Row],[Overige kostenbesparing (€/jaar/patiënt) berekend]],0)</f>
        <v>1508.5128250932394</v>
      </c>
      <c r="AA16" s="403" cm="1">
        <f t="array" ref="AA16">INDEX(Technologieën[Jaarlijkse kosten p. patiënt],MATCH(B16,IF(Technologieën[Zoeksleutel bronnummer]=G16,Technologieën[Digitale zorgtoepassing]),0))</f>
        <v>1320</v>
      </c>
      <c r="AB16" s="403" cm="1">
        <f t="array" ref="AB16">INDEX(Technologieën[Jaarlijkse kosten p. organisatie],MATCH(B16,IF(Technologieën[Zoeksleutel bronnummer]=G16,Technologieën[Digitale zorgtoepassing]),0))/uniforme_input[[#This Row],[Aantal doelgroepen waarop toepasbaar]]</f>
        <v>0</v>
      </c>
      <c r="AC16" s="403" cm="1">
        <f t="array" ref="AC16">INDEX(Technologieën[Jaarlijkse kosten (onafh. aantal patiënt/organisatie)],MATCH(B16,IF(Technologieën[Zoeksleutel bronnummer]=G16,Technologieën[Digitale zorgtoepassing]),0))/uniforme_input[[#This Row],[Aantal doelgroepen waarop toepasbaar]]</f>
        <v>0</v>
      </c>
      <c r="AD16" s="403" cm="1">
        <f t="array" ref="AD16">INDEX(Technologieën[Initiële investering (p. patiënt)],MATCH(B16,IF(Technologieën[Zoeksleutel bronnummer]=G16,Technologieën[Digitale zorgtoepassing]),0))</f>
        <v>68.5</v>
      </c>
      <c r="AE16" s="403" cm="1">
        <f t="array" ref="AE16">INDEX(Technologieën[Initiële investering (p. organisatie)],MATCH(B16,IF(Technologieën[Zoeksleutel bronnummer]=G16,Technologieën[Digitale zorgtoepassing]),0))</f>
        <v>0</v>
      </c>
      <c r="AF16"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6" s="398">
        <f>(uniforme_input[[#This Row],[Initiële investering per organisatie]]*uniforme_input[[#This Row],[Aantal organisaties]])/uniforme_input[[#This Row],[Patiëntaantallen]]</f>
        <v>0</v>
      </c>
      <c r="AH16" s="410">
        <f>IF(uniforme_input[[#This Row],[Bron gebruiken voor kosten/investering?]]="Ja",uniforme_input[[#This Row],[Jaarlijkse kosten per patiënt]] + uniforme_input[[#This Row],[Jaarlijkse kosten per patiënt berekend]],0)</f>
        <v>1320</v>
      </c>
      <c r="AI16" s="409">
        <f>IF(uniforme_input[[#This Row],[Bron gebruiken voor kosten/investering?]]="Ja",uniforme_input[[#This Row],[Initiële investering per patiënt]]+uniforme_input[[#This Row],[Initiële investering per patiënt berekend]],0)</f>
        <v>68.5</v>
      </c>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row>
    <row r="17" spans="1:83" s="2" customFormat="1" x14ac:dyDescent="0.5">
      <c r="A17" s="51" t="str">
        <f>INDEX(Technologieën[Veld],MATCH(G17,Technologieën[Zoeksleutel bronnummer],0))</f>
        <v>Digitale hulpmiddelen - Verpleging</v>
      </c>
      <c r="B17" s="33" t="s">
        <v>26</v>
      </c>
      <c r="C17" s="32" t="s">
        <v>391</v>
      </c>
      <c r="D17" s="32" t="s">
        <v>391</v>
      </c>
      <c r="E17" s="33" t="s">
        <v>29</v>
      </c>
      <c r="F17" s="33" t="str" cm="1">
        <f t="array" ref="F17">INDEX(Berekening_patiëntaantal[Direct toepasbaar/extrapolatie/incidentie voor QALY],MATCH(B17,IF(Berekening_patiëntaantal[Doelgroep (zoeksleutel)]=E17,Berekening_patiëntaantal[Digitale zorgtoepassing]),0))</f>
        <v>Huidige toepassing</v>
      </c>
      <c r="G17" s="33" t="s">
        <v>533</v>
      </c>
      <c r="H17" s="33" t="s">
        <v>142</v>
      </c>
      <c r="I17" s="403">
        <f>INDEX(Uurloon[Uurtarief zorgpersoneel],MATCH(H17,Uurloon[Zorgverlener],0))</f>
        <v>25.33954022988506</v>
      </c>
      <c r="J17" s="404" cm="1">
        <f t="array" ref="J17">INDEX(Berekening_patiëntaantal[Patiëntaantallen],MATCH(B17,IF(Berekening_patiëntaantal[Doelgroep (zoeksleutel)]=E17,Berekening_patiëntaantal[Digitale zorgtoepassing]),0))</f>
        <v>58968.000000000007</v>
      </c>
      <c r="K17" s="404">
        <f>IFERROR(INDEX(aantal_organisaties[Aantal organisaties waarop toepasbaar],MATCH(B17,aantal_organisaties[Digitale zorgtoepassing],0)),0)</f>
        <v>150</v>
      </c>
      <c r="L17" s="397">
        <f>COUNTIF(uniforme_input[Doelgroep],E17)</f>
        <v>4</v>
      </c>
      <c r="M17" s="405" cm="1">
        <f t="array" ref="M17">INDEX(Technologieën[Tijdsbesparing p. patiënt (min/week)],MATCH(B17,IF(Technologieën[Zoeksleutel bronnummer]=G17,Technologieën[Digitale zorgtoepassing]),0))</f>
        <v>139.46301369863011</v>
      </c>
      <c r="N17" s="405" cm="1">
        <f t="array" ref="N17">INDEX(Technologieën[Tijdsbesparing per handeling (min)],MATCH(B17,IF(Technologieën[Zoeksleutel bronnummer]=G17,Technologieën[Digitale zorgtoepassing]),0))</f>
        <v>0</v>
      </c>
      <c r="O17" s="403" cm="1">
        <f t="array" ref="O17">INDEX(Technologieën[Besparing overige kosten (€/patiënt/jaar)],MATCH(B17,IF(Technologieën[Zoeksleutel bronnummer]=G17,Technologieën[Digitale zorgtoepassing]),0))</f>
        <v>1508.5128250932394</v>
      </c>
      <c r="P17" s="403" cm="1">
        <f t="array" ref="P17">INDEX(Technologieën[Kostenbesparing p. patiënt door arbeidsbesparing (€/week)],MATCH(B17,IF(Technologieën[Zoeksleutel bronnummer]=G17,Technologieën[Digitale zorgtoepassing]),0))</f>
        <v>0</v>
      </c>
      <c r="Q17" s="403" cm="1">
        <f t="array" ref="Q17">INDEX(Technologieën[Kostenbesparing (personeel) per handeling (€)],MATCH(B17,IF(Technologieën[Zoeksleutel bronnummer]=G17,Technologieën[Digitale zorgtoepassing]),0))</f>
        <v>0</v>
      </c>
      <c r="R17" s="403" cm="1">
        <f t="array" ref="R17">INDEX(Technologieën[Besparing overige kosten (€/jaar)],MATCH(B17,IF(Technologieën[Zoeksleutel bronnummer]=G17,Technologieën[Digitale zorgtoepassing]),0))</f>
        <v>0</v>
      </c>
      <c r="S17" s="405" cm="1">
        <f t="array" ref="S17">INDEX(Technologieën[Jaarlijkse besparing zorgpersoneel (FTE)],MATCH(B17,IF(Technologieën[Zoeksleutel bronnummer]=G17,Technologieën[Digitale zorgtoepassing]),0))</f>
        <v>0</v>
      </c>
      <c r="T17" s="406" cm="1">
        <f t="array" ref="T17">(INDEX(Technologieën[QALY],MATCH(B17,IF(Technologieën[Zoeksleutel bronnummer]=G17,Technologieën[Digitale zorgtoepassing]),0)))</f>
        <v>0</v>
      </c>
      <c r="U17" s="407">
        <f>(uniforme_input[[#This Row],[Kostenbesparing door arbeidsbesparing p. patiënt (€/week)]]/uniforme_input[[#This Row],[Uurtarief]]*60) + (uniforme_input[[#This Row],[Totaal arbeidsbesparing onafhankelijk van patiënt (FTE)]]*40*60)/uniforme_input[[#This Row],[Patiëntaantallen]]</f>
        <v>0</v>
      </c>
      <c r="V17" s="407">
        <f>(uniforme_input[[#This Row],[Kostenbesparing per handeling (€)]]/uniforme_input[[#This Row],[Uurtarief]])*60</f>
        <v>0</v>
      </c>
      <c r="W17" s="398">
        <f>uniforme_input[[#This Row],[Overige kostenbesparing (Totaal €/jaar)]]/uniforme_input[[#This Row],[Patiëntaantallen]]</f>
        <v>0</v>
      </c>
      <c r="X17" s="408">
        <f>IF(uniforme_input[[#This Row],[Bron gebruiken voor opbrengsten?]]="Ja",uniforme_input[[#This Row],[Tijdsbesparing (min/week/patiënt) - gegeven]]+uniforme_input[[#This Row],[Tijdsbesparing (min/week/patiënt) berekend]],0)</f>
        <v>139.46301369863011</v>
      </c>
      <c r="Y17" s="407">
        <f>IF(uniforme_input[[#This Row],[Bron gebruiken voor opbrengsten?]]="Ja",uniforme_input[[#This Row],[Tijdsbesparing (min/handeling) - gegeven]]+uniforme_input[[#This Row],[Tijdsbesparing (min/handeling) berekend]],0)</f>
        <v>0</v>
      </c>
      <c r="Z17" s="409">
        <f>IF(uniforme_input[[#This Row],[Bron gebruiken voor opbrengsten?]]="Ja",uniforme_input[[#This Row],[Overige kostenbesparing (€/jaar/patiënt) - gegeven]]+uniforme_input[[#This Row],[Overige kostenbesparing (€/jaar/patiënt) berekend]],0)</f>
        <v>1508.5128250932394</v>
      </c>
      <c r="AA17" s="403" cm="1">
        <f t="array" ref="AA17">INDEX(Technologieën[Jaarlijkse kosten p. patiënt],MATCH(B17,IF(Technologieën[Zoeksleutel bronnummer]=G17,Technologieën[Digitale zorgtoepassing]),0))</f>
        <v>1320</v>
      </c>
      <c r="AB17" s="403" cm="1">
        <f t="array" ref="AB17">INDEX(Technologieën[Jaarlijkse kosten p. organisatie],MATCH(B17,IF(Technologieën[Zoeksleutel bronnummer]=G17,Technologieën[Digitale zorgtoepassing]),0))/uniforme_input[[#This Row],[Aantal doelgroepen waarop toepasbaar]]</f>
        <v>0</v>
      </c>
      <c r="AC17" s="403" cm="1">
        <f t="array" ref="AC17">INDEX(Technologieën[Jaarlijkse kosten (onafh. aantal patiënt/organisatie)],MATCH(B17,IF(Technologieën[Zoeksleutel bronnummer]=G17,Technologieën[Digitale zorgtoepassing]),0))/uniforme_input[[#This Row],[Aantal doelgroepen waarop toepasbaar]]</f>
        <v>0</v>
      </c>
      <c r="AD17" s="403" cm="1">
        <f t="array" ref="AD17">INDEX(Technologieën[Initiële investering (p. patiënt)],MATCH(B17,IF(Technologieën[Zoeksleutel bronnummer]=G17,Technologieën[Digitale zorgtoepassing]),0))</f>
        <v>68.5</v>
      </c>
      <c r="AE17" s="403" cm="1">
        <f t="array" ref="AE17">INDEX(Technologieën[Initiële investering (p. organisatie)],MATCH(B17,IF(Technologieën[Zoeksleutel bronnummer]=G17,Technologieën[Digitale zorgtoepassing]),0))</f>
        <v>0</v>
      </c>
      <c r="AF17"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7" s="398">
        <f>(uniforme_input[[#This Row],[Initiële investering per organisatie]]*uniforme_input[[#This Row],[Aantal organisaties]])/uniforme_input[[#This Row],[Patiëntaantallen]]</f>
        <v>0</v>
      </c>
      <c r="AH17" s="410">
        <f>IF(uniforme_input[[#This Row],[Bron gebruiken voor kosten/investering?]]="Ja",uniforme_input[[#This Row],[Jaarlijkse kosten per patiënt]] + uniforme_input[[#This Row],[Jaarlijkse kosten per patiënt berekend]],0)</f>
        <v>1320</v>
      </c>
      <c r="AI17" s="409">
        <f>IF(uniforme_input[[#This Row],[Bron gebruiken voor kosten/investering?]]="Ja",uniforme_input[[#This Row],[Initiële investering per patiënt]]+uniforme_input[[#This Row],[Initiële investering per patiënt berekend]],0)</f>
        <v>68.5</v>
      </c>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row>
    <row r="18" spans="1:83" s="2" customFormat="1" x14ac:dyDescent="0.5">
      <c r="A18" s="51" t="str">
        <f>INDEX(Technologieën[Veld],MATCH(G18,Technologieën[Zoeksleutel bronnummer],0))</f>
        <v>Digitale hulpmiddelen - Verpleging</v>
      </c>
      <c r="B18" s="33" t="s">
        <v>26</v>
      </c>
      <c r="C18" s="32" t="s">
        <v>391</v>
      </c>
      <c r="D18" s="32" t="s">
        <v>391</v>
      </c>
      <c r="E18" s="33" t="s">
        <v>24</v>
      </c>
      <c r="F18" s="33" t="str" cm="1">
        <f t="array" ref="F18">INDEX(Berekening_patiëntaantal[Direct toepasbaar/extrapolatie/incidentie voor QALY],MATCH(B18,IF(Berekening_patiëntaantal[Doelgroep (zoeksleutel)]=E18,Berekening_patiëntaantal[Digitale zorgtoepassing]),0))</f>
        <v>Extrapolatie</v>
      </c>
      <c r="G18" s="33" t="s">
        <v>533</v>
      </c>
      <c r="H18" s="33" t="s">
        <v>142</v>
      </c>
      <c r="I18" s="403">
        <f>INDEX(Uurloon[Uurtarief zorgpersoneel],MATCH(H18,Uurloon[Zorgverlener],0))</f>
        <v>25.33954022988506</v>
      </c>
      <c r="J18" s="404" cm="1">
        <f t="array" ref="J18">INDEX(Berekening_patiëntaantal[Patiëntaantallen],MATCH(B18,IF(Berekening_patiëntaantal[Doelgroep (zoeksleutel)]=E18,Berekening_patiëntaantal[Digitale zorgtoepassing]),0))</f>
        <v>8009.8200000000006</v>
      </c>
      <c r="K18" s="404">
        <f>IFERROR(INDEX(aantal_organisaties[Aantal organisaties waarop toepasbaar],MATCH(B18,aantal_organisaties[Digitale zorgtoepassing],0)),0)</f>
        <v>150</v>
      </c>
      <c r="L18" s="397">
        <f>COUNTIF(uniforme_input[Doelgroep],E18)</f>
        <v>12</v>
      </c>
      <c r="M18" s="405" cm="1">
        <f t="array" ref="M18">INDEX(Technologieën[Tijdsbesparing p. patiënt (min/week)],MATCH(B18,IF(Technologieën[Zoeksleutel bronnummer]=G18,Technologieën[Digitale zorgtoepassing]),0))</f>
        <v>139.46301369863011</v>
      </c>
      <c r="N18" s="405" cm="1">
        <f t="array" ref="N18">INDEX(Technologieën[Tijdsbesparing per handeling (min)],MATCH(B18,IF(Technologieën[Zoeksleutel bronnummer]=G18,Technologieën[Digitale zorgtoepassing]),0))</f>
        <v>0</v>
      </c>
      <c r="O18" s="403" cm="1">
        <f t="array" ref="O18">INDEX(Technologieën[Besparing overige kosten (€/patiënt/jaar)],MATCH(B18,IF(Technologieën[Zoeksleutel bronnummer]=G18,Technologieën[Digitale zorgtoepassing]),0))</f>
        <v>1508.5128250932394</v>
      </c>
      <c r="P18" s="403" cm="1">
        <f t="array" ref="P18">INDEX(Technologieën[Kostenbesparing p. patiënt door arbeidsbesparing (€/week)],MATCH(B18,IF(Technologieën[Zoeksleutel bronnummer]=G18,Technologieën[Digitale zorgtoepassing]),0))</f>
        <v>0</v>
      </c>
      <c r="Q18" s="403" cm="1">
        <f t="array" ref="Q18">INDEX(Technologieën[Kostenbesparing (personeel) per handeling (€)],MATCH(B18,IF(Technologieën[Zoeksleutel bronnummer]=G18,Technologieën[Digitale zorgtoepassing]),0))</f>
        <v>0</v>
      </c>
      <c r="R18" s="403" cm="1">
        <f t="array" ref="R18">INDEX(Technologieën[Besparing overige kosten (€/jaar)],MATCH(B18,IF(Technologieën[Zoeksleutel bronnummer]=G18,Technologieën[Digitale zorgtoepassing]),0))</f>
        <v>0</v>
      </c>
      <c r="S18" s="405" cm="1">
        <f t="array" ref="S18">INDEX(Technologieën[Jaarlijkse besparing zorgpersoneel (FTE)],MATCH(B18,IF(Technologieën[Zoeksleutel bronnummer]=G18,Technologieën[Digitale zorgtoepassing]),0))</f>
        <v>0</v>
      </c>
      <c r="T18" s="406" cm="1">
        <f t="array" ref="T18">(INDEX(Technologieën[QALY],MATCH(B18,IF(Technologieën[Zoeksleutel bronnummer]=G18,Technologieën[Digitale zorgtoepassing]),0)))</f>
        <v>0</v>
      </c>
      <c r="U18" s="407">
        <f>(uniforme_input[[#This Row],[Kostenbesparing door arbeidsbesparing p. patiënt (€/week)]]/uniforme_input[[#This Row],[Uurtarief]]*60) + (uniforme_input[[#This Row],[Totaal arbeidsbesparing onafhankelijk van patiënt (FTE)]]*40*60)/uniforme_input[[#This Row],[Patiëntaantallen]]</f>
        <v>0</v>
      </c>
      <c r="V18" s="407">
        <f>(uniforme_input[[#This Row],[Kostenbesparing per handeling (€)]]/uniforme_input[[#This Row],[Uurtarief]])*60</f>
        <v>0</v>
      </c>
      <c r="W18" s="398">
        <f>uniforme_input[[#This Row],[Overige kostenbesparing (Totaal €/jaar)]]/uniforme_input[[#This Row],[Patiëntaantallen]]</f>
        <v>0</v>
      </c>
      <c r="X18" s="408">
        <f>IF(uniforme_input[[#This Row],[Bron gebruiken voor opbrengsten?]]="Ja",uniforme_input[[#This Row],[Tijdsbesparing (min/week/patiënt) - gegeven]]+uniforme_input[[#This Row],[Tijdsbesparing (min/week/patiënt) berekend]],0)</f>
        <v>139.46301369863011</v>
      </c>
      <c r="Y18" s="407">
        <f>IF(uniforme_input[[#This Row],[Bron gebruiken voor opbrengsten?]]="Ja",uniforme_input[[#This Row],[Tijdsbesparing (min/handeling) - gegeven]]+uniforme_input[[#This Row],[Tijdsbesparing (min/handeling) berekend]],0)</f>
        <v>0</v>
      </c>
      <c r="Z18" s="409">
        <f>IF(uniforme_input[[#This Row],[Bron gebruiken voor opbrengsten?]]="Ja",uniforme_input[[#This Row],[Overige kostenbesparing (€/jaar/patiënt) - gegeven]]+uniforme_input[[#This Row],[Overige kostenbesparing (€/jaar/patiënt) berekend]],0)</f>
        <v>1508.5128250932394</v>
      </c>
      <c r="AA18" s="403" cm="1">
        <f t="array" ref="AA18">INDEX(Technologieën[Jaarlijkse kosten p. patiënt],MATCH(B18,IF(Technologieën[Zoeksleutel bronnummer]=G18,Technologieën[Digitale zorgtoepassing]),0))</f>
        <v>1320</v>
      </c>
      <c r="AB18" s="403" cm="1">
        <f t="array" ref="AB18">INDEX(Technologieën[Jaarlijkse kosten p. organisatie],MATCH(B18,IF(Technologieën[Zoeksleutel bronnummer]=G18,Technologieën[Digitale zorgtoepassing]),0))/uniforme_input[[#This Row],[Aantal doelgroepen waarop toepasbaar]]</f>
        <v>0</v>
      </c>
      <c r="AC18" s="403" cm="1">
        <f t="array" ref="AC18">INDEX(Technologieën[Jaarlijkse kosten (onafh. aantal patiënt/organisatie)],MATCH(B18,IF(Technologieën[Zoeksleutel bronnummer]=G18,Technologieën[Digitale zorgtoepassing]),0))/uniforme_input[[#This Row],[Aantal doelgroepen waarop toepasbaar]]</f>
        <v>0</v>
      </c>
      <c r="AD18" s="403" cm="1">
        <f t="array" ref="AD18">INDEX(Technologieën[Initiële investering (p. patiënt)],MATCH(B18,IF(Technologieën[Zoeksleutel bronnummer]=G18,Technologieën[Digitale zorgtoepassing]),0))</f>
        <v>68.5</v>
      </c>
      <c r="AE18" s="403" cm="1">
        <f t="array" ref="AE18">INDEX(Technologieën[Initiële investering (p. organisatie)],MATCH(B18,IF(Technologieën[Zoeksleutel bronnummer]=G18,Technologieën[Digitale zorgtoepassing]),0))</f>
        <v>0</v>
      </c>
      <c r="AF18"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8" s="398">
        <f>(uniforme_input[[#This Row],[Initiële investering per organisatie]]*uniforme_input[[#This Row],[Aantal organisaties]])/uniforme_input[[#This Row],[Patiëntaantallen]]</f>
        <v>0</v>
      </c>
      <c r="AH18" s="410">
        <f>IF(uniforme_input[[#This Row],[Bron gebruiken voor kosten/investering?]]="Ja",uniforme_input[[#This Row],[Jaarlijkse kosten per patiënt]] + uniforme_input[[#This Row],[Jaarlijkse kosten per patiënt berekend]],0)</f>
        <v>1320</v>
      </c>
      <c r="AI18" s="409">
        <f>IF(uniforme_input[[#This Row],[Bron gebruiken voor kosten/investering?]]="Ja",uniforme_input[[#This Row],[Initiële investering per patiënt]]+uniforme_input[[#This Row],[Initiële investering per patiënt berekend]],0)</f>
        <v>68.5</v>
      </c>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row>
    <row r="19" spans="1:83" s="2" customFormat="1" x14ac:dyDescent="0.5">
      <c r="A19" s="51" t="str">
        <f>INDEX(Technologieën[Veld],MATCH(G19,Technologieën[Zoeksleutel bronnummer],0))</f>
        <v>Digitale hulpmiddelen - Verpleging</v>
      </c>
      <c r="B19" s="33" t="s">
        <v>26</v>
      </c>
      <c r="C19" s="32" t="s">
        <v>390</v>
      </c>
      <c r="D19" s="32" t="s">
        <v>391</v>
      </c>
      <c r="E19" s="33" t="s">
        <v>20</v>
      </c>
      <c r="F19" s="33" t="str" cm="1">
        <f t="array" ref="F19">INDEX(Berekening_patiëntaantal[Direct toepasbaar/extrapolatie/incidentie voor QALY],MATCH(B19,IF(Berekening_patiëntaantal[Doelgroep (zoeksleutel)]=E19,Berekening_patiëntaantal[Digitale zorgtoepassing]),0))</f>
        <v>Huidige toepassing</v>
      </c>
      <c r="G19" s="33" t="s">
        <v>534</v>
      </c>
      <c r="H19" s="33" t="s">
        <v>142</v>
      </c>
      <c r="I19" s="403">
        <f>INDEX(Uurloon[Uurtarief zorgpersoneel],MATCH(H19,Uurloon[Zorgverlener],0))</f>
        <v>25.33954022988506</v>
      </c>
      <c r="J19" s="404" cm="1">
        <f t="array" ref="J19">INDEX(Berekening_patiëntaantal[Patiëntaantallen],MATCH(B19,IF(Berekening_patiëntaantal[Doelgroep (zoeksleutel)]=E19,Berekening_patiëntaantal[Digitale zorgtoepassing]),0))</f>
        <v>12606.3</v>
      </c>
      <c r="K19" s="404">
        <f>IFERROR(INDEX(aantal_organisaties[Aantal organisaties waarop toepasbaar],MATCH(B19,aantal_organisaties[Digitale zorgtoepassing],0)),0)</f>
        <v>150</v>
      </c>
      <c r="L19" s="397">
        <f>COUNTIF(uniforme_input[Doelgroep],E19)</f>
        <v>14</v>
      </c>
      <c r="M19" s="405" cm="1">
        <f t="array" ref="M19">INDEX(Technologieën[Tijdsbesparing p. patiënt (min/week)],MATCH(B19,IF(Technologieën[Zoeksleutel bronnummer]=G19,Technologieën[Digitale zorgtoepassing]),0))</f>
        <v>0</v>
      </c>
      <c r="N19" s="405" cm="1">
        <f t="array" ref="N19">INDEX(Technologieën[Tijdsbesparing per handeling (min)],MATCH(B19,IF(Technologieën[Zoeksleutel bronnummer]=G19,Technologieën[Digitale zorgtoepassing]),0))</f>
        <v>0</v>
      </c>
      <c r="O19" s="403" cm="1">
        <f t="array" ref="O19">INDEX(Technologieën[Besparing overige kosten (€/patiënt/jaar)],MATCH(B19,IF(Technologieën[Zoeksleutel bronnummer]=G19,Technologieën[Digitale zorgtoepassing]),0))</f>
        <v>0</v>
      </c>
      <c r="P19" s="403" cm="1">
        <f t="array" ref="P19">INDEX(Technologieën[Kostenbesparing p. patiënt door arbeidsbesparing (€/week)],MATCH(B19,IF(Technologieën[Zoeksleutel bronnummer]=G19,Technologieën[Digitale zorgtoepassing]),0))</f>
        <v>0</v>
      </c>
      <c r="Q19" s="403" cm="1">
        <f t="array" ref="Q19">INDEX(Technologieën[Kostenbesparing (personeel) per handeling (€)],MATCH(B19,IF(Technologieën[Zoeksleutel bronnummer]=G19,Technologieën[Digitale zorgtoepassing]),0))</f>
        <v>0</v>
      </c>
      <c r="R19" s="403" cm="1">
        <f t="array" ref="R19">INDEX(Technologieën[Besparing overige kosten (€/jaar)],MATCH(B19,IF(Technologieën[Zoeksleutel bronnummer]=G19,Technologieën[Digitale zorgtoepassing]),0))</f>
        <v>0</v>
      </c>
      <c r="S19" s="405" cm="1">
        <f t="array" ref="S19">INDEX(Technologieën[Jaarlijkse besparing zorgpersoneel (FTE)],MATCH(B19,IF(Technologieën[Zoeksleutel bronnummer]=G19,Technologieën[Digitale zorgtoepassing]),0))</f>
        <v>0</v>
      </c>
      <c r="T19" s="406" cm="1">
        <f t="array" ref="T19">(INDEX(Technologieën[QALY],MATCH(B19,IF(Technologieën[Zoeksleutel bronnummer]=G19,Technologieën[Digitale zorgtoepassing]),0)))</f>
        <v>0</v>
      </c>
      <c r="U19" s="407">
        <f>(uniforme_input[[#This Row],[Kostenbesparing door arbeidsbesparing p. patiënt (€/week)]]/uniforme_input[[#This Row],[Uurtarief]]*60) + (uniforme_input[[#This Row],[Totaal arbeidsbesparing onafhankelijk van patiënt (FTE)]]*40*60)/uniforme_input[[#This Row],[Patiëntaantallen]]</f>
        <v>0</v>
      </c>
      <c r="V19" s="407">
        <f>(uniforme_input[[#This Row],[Kostenbesparing per handeling (€)]]/uniforme_input[[#This Row],[Uurtarief]])*60</f>
        <v>0</v>
      </c>
      <c r="W19" s="398">
        <f>uniforme_input[[#This Row],[Overige kostenbesparing (Totaal €/jaar)]]/uniforme_input[[#This Row],[Patiëntaantallen]]</f>
        <v>0</v>
      </c>
      <c r="X19" s="408">
        <f>IF(uniforme_input[[#This Row],[Bron gebruiken voor opbrengsten?]]="Ja",uniforme_input[[#This Row],[Tijdsbesparing (min/week/patiënt) - gegeven]]+uniforme_input[[#This Row],[Tijdsbesparing (min/week/patiënt) berekend]],0)</f>
        <v>0</v>
      </c>
      <c r="Y19" s="407">
        <f>IF(uniforme_input[[#This Row],[Bron gebruiken voor opbrengsten?]]="Ja",uniforme_input[[#This Row],[Tijdsbesparing (min/handeling) - gegeven]]+uniforme_input[[#This Row],[Tijdsbesparing (min/handeling) berekend]],0)</f>
        <v>0</v>
      </c>
      <c r="Z19" s="409">
        <f>IF(uniforme_input[[#This Row],[Bron gebruiken voor opbrengsten?]]="Ja",uniforme_input[[#This Row],[Overige kostenbesparing (€/jaar/patiënt) - gegeven]]+uniforme_input[[#This Row],[Overige kostenbesparing (€/jaar/patiënt) berekend]],0)</f>
        <v>0</v>
      </c>
      <c r="AA19" s="403" cm="1">
        <f t="array" ref="AA19">INDEX(Technologieën[Jaarlijkse kosten p. patiënt],MATCH(B19,IF(Technologieën[Zoeksleutel bronnummer]=G19,Technologieën[Digitale zorgtoepassing]),0))</f>
        <v>958.80000000000007</v>
      </c>
      <c r="AB19" s="403" cm="1">
        <f t="array" ref="AB19">INDEX(Technologieën[Jaarlijkse kosten p. organisatie],MATCH(B19,IF(Technologieën[Zoeksleutel bronnummer]=G19,Technologieën[Digitale zorgtoepassing]),0))/uniforme_input[[#This Row],[Aantal doelgroepen waarop toepasbaar]]</f>
        <v>71.428571428571431</v>
      </c>
      <c r="AC19" s="403" cm="1">
        <f t="array" ref="AC19">INDEX(Technologieën[Jaarlijkse kosten (onafh. aantal patiënt/organisatie)],MATCH(B19,IF(Technologieën[Zoeksleutel bronnummer]=G19,Technologieën[Digitale zorgtoepassing]),0))/uniforme_input[[#This Row],[Aantal doelgroepen waarop toepasbaar]]</f>
        <v>0</v>
      </c>
      <c r="AD19" s="403" cm="1">
        <f t="array" ref="AD19">INDEX(Technologieën[Initiële investering (p. patiënt)],MATCH(B19,IF(Technologieën[Zoeksleutel bronnummer]=G19,Technologieën[Digitale zorgtoepassing]),0))</f>
        <v>52.02</v>
      </c>
      <c r="AE19" s="403" cm="1">
        <f t="array" ref="AE19">INDEX(Technologieën[Initiële investering (p. organisatie)],MATCH(B19,IF(Technologieën[Zoeksleutel bronnummer]=G19,Technologieën[Digitale zorgtoepassing]),0))</f>
        <v>6300</v>
      </c>
      <c r="AF19" s="398">
        <f>((uniforme_input[[#This Row],[Jaarlijkse kosten per organisatie]]*uniforme_input[[#This Row],[Aantal organisaties]])/uniforme_input[[#This Row],[Patiëntaantallen]])+(uniforme_input[[#This Row],[Jaarlijkse kosten algemeen (onafhankelijk van patiënt/organisatie)]]/uniforme_input[[#This Row],[Patiëntaantallen]])</f>
        <v>0.84991517846518916</v>
      </c>
      <c r="AG19" s="398">
        <f>(uniforme_input[[#This Row],[Initiële investering per organisatie]]*uniforme_input[[#This Row],[Aantal organisaties]])/uniforme_input[[#This Row],[Patiëntaantallen]]</f>
        <v>74.96251874062969</v>
      </c>
      <c r="AH19" s="410">
        <f>IF(uniforme_input[[#This Row],[Bron gebruiken voor kosten/investering?]]="Ja",uniforme_input[[#This Row],[Jaarlijkse kosten per patiënt]] + uniforme_input[[#This Row],[Jaarlijkse kosten per patiënt berekend]],0)</f>
        <v>959.64991517846522</v>
      </c>
      <c r="AI19" s="409">
        <f>IF(uniforme_input[[#This Row],[Bron gebruiken voor kosten/investering?]]="Ja",uniforme_input[[#This Row],[Initiële investering per patiënt]]+uniforme_input[[#This Row],[Initiële investering per patiënt berekend]],0)</f>
        <v>126.9825187406297</v>
      </c>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row>
    <row r="20" spans="1:83" s="2" customFormat="1" x14ac:dyDescent="0.5">
      <c r="A20" s="51" t="str">
        <f>INDEX(Technologieën[Veld],MATCH(G20,Technologieën[Zoeksleutel bronnummer],0))</f>
        <v>Digitale hulpmiddelen - Verpleging</v>
      </c>
      <c r="B20" s="33" t="s">
        <v>26</v>
      </c>
      <c r="C20" s="32" t="s">
        <v>390</v>
      </c>
      <c r="D20" s="32" t="s">
        <v>391</v>
      </c>
      <c r="E20" s="33" t="s">
        <v>27</v>
      </c>
      <c r="F20" s="33" t="str" cm="1">
        <f t="array" ref="F20">INDEX(Berekening_patiëntaantal[Direct toepasbaar/extrapolatie/incidentie voor QALY],MATCH(B20,IF(Berekening_patiëntaantal[Doelgroep (zoeksleutel)]=E20,Berekening_patiëntaantal[Digitale zorgtoepassing]),0))</f>
        <v>Huidige toepassing</v>
      </c>
      <c r="G20" s="33" t="s">
        <v>534</v>
      </c>
      <c r="H20" s="33" t="s">
        <v>142</v>
      </c>
      <c r="I20" s="403">
        <f>INDEX(Uurloon[Uurtarief zorgpersoneel],MATCH(H20,Uurloon[Zorgverlener],0))</f>
        <v>25.33954022988506</v>
      </c>
      <c r="J20" s="404" cm="1">
        <f t="array" ref="J20">INDEX(Berekening_patiëntaantal[Patiëntaantallen],MATCH(B20,IF(Berekening_patiëntaantal[Doelgroep (zoeksleutel)]=E20,Berekening_patiëntaantal[Digitale zorgtoepassing]),0))</f>
        <v>3174</v>
      </c>
      <c r="K20" s="404">
        <f>IFERROR(INDEX(aantal_organisaties[Aantal organisaties waarop toepasbaar],MATCH(B20,aantal_organisaties[Digitale zorgtoepassing],0)),0)</f>
        <v>150</v>
      </c>
      <c r="L20" s="397">
        <f>COUNTIF(uniforme_input[Doelgroep],E20)</f>
        <v>12</v>
      </c>
      <c r="M20" s="405" cm="1">
        <f t="array" ref="M20">INDEX(Technologieën[Tijdsbesparing p. patiënt (min/week)],MATCH(B20,IF(Technologieën[Zoeksleutel bronnummer]=G20,Technologieën[Digitale zorgtoepassing]),0))</f>
        <v>0</v>
      </c>
      <c r="N20" s="405" cm="1">
        <f t="array" ref="N20">INDEX(Technologieën[Tijdsbesparing per handeling (min)],MATCH(B20,IF(Technologieën[Zoeksleutel bronnummer]=G20,Technologieën[Digitale zorgtoepassing]),0))</f>
        <v>0</v>
      </c>
      <c r="O20" s="403" cm="1">
        <f t="array" ref="O20">INDEX(Technologieën[Besparing overige kosten (€/patiënt/jaar)],MATCH(B20,IF(Technologieën[Zoeksleutel bronnummer]=G20,Technologieën[Digitale zorgtoepassing]),0))</f>
        <v>0</v>
      </c>
      <c r="P20" s="403" cm="1">
        <f t="array" ref="P20">INDEX(Technologieën[Kostenbesparing p. patiënt door arbeidsbesparing (€/week)],MATCH(B20,IF(Technologieën[Zoeksleutel bronnummer]=G20,Technologieën[Digitale zorgtoepassing]),0))</f>
        <v>0</v>
      </c>
      <c r="Q20" s="403" cm="1">
        <f t="array" ref="Q20">INDEX(Technologieën[Kostenbesparing (personeel) per handeling (€)],MATCH(B20,IF(Technologieën[Zoeksleutel bronnummer]=G20,Technologieën[Digitale zorgtoepassing]),0))</f>
        <v>0</v>
      </c>
      <c r="R20" s="403" cm="1">
        <f t="array" ref="R20">INDEX(Technologieën[Besparing overige kosten (€/jaar)],MATCH(B20,IF(Technologieën[Zoeksleutel bronnummer]=G20,Technologieën[Digitale zorgtoepassing]),0))</f>
        <v>0</v>
      </c>
      <c r="S20" s="405" cm="1">
        <f t="array" ref="S20">INDEX(Technologieën[Jaarlijkse besparing zorgpersoneel (FTE)],MATCH(B20,IF(Technologieën[Zoeksleutel bronnummer]=G20,Technologieën[Digitale zorgtoepassing]),0))</f>
        <v>0</v>
      </c>
      <c r="T20" s="406" cm="1">
        <f t="array" ref="T20">(INDEX(Technologieën[QALY],MATCH(B20,IF(Technologieën[Zoeksleutel bronnummer]=G20,Technologieën[Digitale zorgtoepassing]),0)))</f>
        <v>0</v>
      </c>
      <c r="U20" s="407">
        <f>(uniforme_input[[#This Row],[Kostenbesparing door arbeidsbesparing p. patiënt (€/week)]]/uniforme_input[[#This Row],[Uurtarief]]*60) + (uniforme_input[[#This Row],[Totaal arbeidsbesparing onafhankelijk van patiënt (FTE)]]*40*60)/uniforme_input[[#This Row],[Patiëntaantallen]]</f>
        <v>0</v>
      </c>
      <c r="V20" s="407">
        <f>(uniforme_input[[#This Row],[Kostenbesparing per handeling (€)]]/uniforme_input[[#This Row],[Uurtarief]])*60</f>
        <v>0</v>
      </c>
      <c r="W20" s="398">
        <f>uniforme_input[[#This Row],[Overige kostenbesparing (Totaal €/jaar)]]/uniforme_input[[#This Row],[Patiëntaantallen]]</f>
        <v>0</v>
      </c>
      <c r="X20" s="408">
        <f>IF(uniforme_input[[#This Row],[Bron gebruiken voor opbrengsten?]]="Ja",uniforme_input[[#This Row],[Tijdsbesparing (min/week/patiënt) - gegeven]]+uniforme_input[[#This Row],[Tijdsbesparing (min/week/patiënt) berekend]],0)</f>
        <v>0</v>
      </c>
      <c r="Y20" s="407">
        <f>IF(uniforme_input[[#This Row],[Bron gebruiken voor opbrengsten?]]="Ja",uniforme_input[[#This Row],[Tijdsbesparing (min/handeling) - gegeven]]+uniforme_input[[#This Row],[Tijdsbesparing (min/handeling) berekend]],0)</f>
        <v>0</v>
      </c>
      <c r="Z20" s="409">
        <f>IF(uniforme_input[[#This Row],[Bron gebruiken voor opbrengsten?]]="Ja",uniforme_input[[#This Row],[Overige kostenbesparing (€/jaar/patiënt) - gegeven]]+uniforme_input[[#This Row],[Overige kostenbesparing (€/jaar/patiënt) berekend]],0)</f>
        <v>0</v>
      </c>
      <c r="AA20" s="403" cm="1">
        <f t="array" ref="AA20">INDEX(Technologieën[Jaarlijkse kosten p. patiënt],MATCH(B20,IF(Technologieën[Zoeksleutel bronnummer]=G20,Technologieën[Digitale zorgtoepassing]),0))</f>
        <v>958.80000000000007</v>
      </c>
      <c r="AB20" s="403" cm="1">
        <f t="array" ref="AB20">INDEX(Technologieën[Jaarlijkse kosten p. organisatie],MATCH(B20,IF(Technologieën[Zoeksleutel bronnummer]=G20,Technologieën[Digitale zorgtoepassing]),0))/uniforme_input[[#This Row],[Aantal doelgroepen waarop toepasbaar]]</f>
        <v>83.333333333333329</v>
      </c>
      <c r="AC20" s="403" cm="1">
        <f t="array" ref="AC20">INDEX(Technologieën[Jaarlijkse kosten (onafh. aantal patiënt/organisatie)],MATCH(B20,IF(Technologieën[Zoeksleutel bronnummer]=G20,Technologieën[Digitale zorgtoepassing]),0))/uniforme_input[[#This Row],[Aantal doelgroepen waarop toepasbaar]]</f>
        <v>0</v>
      </c>
      <c r="AD20" s="403" cm="1">
        <f t="array" ref="AD20">INDEX(Technologieën[Initiële investering (p. patiënt)],MATCH(B20,IF(Technologieën[Zoeksleutel bronnummer]=G20,Technologieën[Digitale zorgtoepassing]),0))</f>
        <v>52.02</v>
      </c>
      <c r="AE20" s="403" cm="1">
        <f t="array" ref="AE20">INDEX(Technologieën[Initiële investering (p. organisatie)],MATCH(B20,IF(Technologieën[Zoeksleutel bronnummer]=G20,Technologieën[Digitale zorgtoepassing]),0))</f>
        <v>6300</v>
      </c>
      <c r="AF20" s="398">
        <f>((uniforme_input[[#This Row],[Jaarlijkse kosten per organisatie]]*uniforme_input[[#This Row],[Aantal organisaties]])/uniforme_input[[#This Row],[Patiëntaantallen]])+(uniforme_input[[#This Row],[Jaarlijkse kosten algemeen (onafhankelijk van patiënt/organisatie)]]/uniforme_input[[#This Row],[Patiëntaantallen]])</f>
        <v>3.9382482671707626</v>
      </c>
      <c r="AG20" s="398">
        <f>(uniforme_input[[#This Row],[Initiële investering per organisatie]]*uniforme_input[[#This Row],[Aantal organisaties]])/uniforme_input[[#This Row],[Patiëntaantallen]]</f>
        <v>297.73156899810965</v>
      </c>
      <c r="AH20" s="410">
        <f>IF(uniforme_input[[#This Row],[Bron gebruiken voor kosten/investering?]]="Ja",uniforme_input[[#This Row],[Jaarlijkse kosten per patiënt]] + uniforme_input[[#This Row],[Jaarlijkse kosten per patiënt berekend]],0)</f>
        <v>962.73824826717077</v>
      </c>
      <c r="AI20" s="409">
        <f>IF(uniforme_input[[#This Row],[Bron gebruiken voor kosten/investering?]]="Ja",uniforme_input[[#This Row],[Initiële investering per patiënt]]+uniforme_input[[#This Row],[Initiële investering per patiënt berekend]],0)</f>
        <v>349.75156899810963</v>
      </c>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row>
    <row r="21" spans="1:83" s="49" customFormat="1" x14ac:dyDescent="0.5">
      <c r="A21" s="51" t="str">
        <f>INDEX(Technologieën[Veld],MATCH(G21,Technologieën[Zoeksleutel bronnummer],0))</f>
        <v>Digitale hulpmiddelen - Verpleging</v>
      </c>
      <c r="B21" s="33" t="s">
        <v>26</v>
      </c>
      <c r="C21" s="32" t="s">
        <v>390</v>
      </c>
      <c r="D21" s="32" t="s">
        <v>391</v>
      </c>
      <c r="E21" s="33" t="s">
        <v>29</v>
      </c>
      <c r="F21" s="33" t="str" cm="1">
        <f t="array" ref="F21">INDEX(Berekening_patiëntaantal[Direct toepasbaar/extrapolatie/incidentie voor QALY],MATCH(B21,IF(Berekening_patiëntaantal[Doelgroep (zoeksleutel)]=E21,Berekening_patiëntaantal[Digitale zorgtoepassing]),0))</f>
        <v>Huidige toepassing</v>
      </c>
      <c r="G21" s="33" t="s">
        <v>534</v>
      </c>
      <c r="H21" s="33" t="s">
        <v>142</v>
      </c>
      <c r="I21" s="403">
        <f>INDEX(Uurloon[Uurtarief zorgpersoneel],MATCH(H21,Uurloon[Zorgverlener],0))</f>
        <v>25.33954022988506</v>
      </c>
      <c r="J21" s="404" cm="1">
        <f t="array" ref="J21">INDEX(Berekening_patiëntaantal[Patiëntaantallen],MATCH(B21,IF(Berekening_patiëntaantal[Doelgroep (zoeksleutel)]=E21,Berekening_patiëntaantal[Digitale zorgtoepassing]),0))</f>
        <v>58968.000000000007</v>
      </c>
      <c r="K21" s="404">
        <f>IFERROR(INDEX(aantal_organisaties[Aantal organisaties waarop toepasbaar],MATCH(B21,aantal_organisaties[Digitale zorgtoepassing],0)),0)</f>
        <v>150</v>
      </c>
      <c r="L21" s="397">
        <f>COUNTIF(uniforme_input[Doelgroep],E21)</f>
        <v>4</v>
      </c>
      <c r="M21" s="405" cm="1">
        <f t="array" ref="M21">INDEX(Technologieën[Tijdsbesparing p. patiënt (min/week)],MATCH(B21,IF(Technologieën[Zoeksleutel bronnummer]=G21,Technologieën[Digitale zorgtoepassing]),0))</f>
        <v>0</v>
      </c>
      <c r="N21" s="405" cm="1">
        <f t="array" ref="N21">INDEX(Technologieën[Tijdsbesparing per handeling (min)],MATCH(B21,IF(Technologieën[Zoeksleutel bronnummer]=G21,Technologieën[Digitale zorgtoepassing]),0))</f>
        <v>0</v>
      </c>
      <c r="O21" s="403" cm="1">
        <f t="array" ref="O21">INDEX(Technologieën[Besparing overige kosten (€/patiënt/jaar)],MATCH(B21,IF(Technologieën[Zoeksleutel bronnummer]=G21,Technologieën[Digitale zorgtoepassing]),0))</f>
        <v>0</v>
      </c>
      <c r="P21" s="403" cm="1">
        <f t="array" ref="P21">INDEX(Technologieën[Kostenbesparing p. patiënt door arbeidsbesparing (€/week)],MATCH(B21,IF(Technologieën[Zoeksleutel bronnummer]=G21,Technologieën[Digitale zorgtoepassing]),0))</f>
        <v>0</v>
      </c>
      <c r="Q21" s="403" cm="1">
        <f t="array" ref="Q21">INDEX(Technologieën[Kostenbesparing (personeel) per handeling (€)],MATCH(B21,IF(Technologieën[Zoeksleutel bronnummer]=G21,Technologieën[Digitale zorgtoepassing]),0))</f>
        <v>0</v>
      </c>
      <c r="R21" s="403" cm="1">
        <f t="array" ref="R21">INDEX(Technologieën[Besparing overige kosten (€/jaar)],MATCH(B21,IF(Technologieën[Zoeksleutel bronnummer]=G21,Technologieën[Digitale zorgtoepassing]),0))</f>
        <v>0</v>
      </c>
      <c r="S21" s="405" cm="1">
        <f t="array" ref="S21">INDEX(Technologieën[Jaarlijkse besparing zorgpersoneel (FTE)],MATCH(B21,IF(Technologieën[Zoeksleutel bronnummer]=G21,Technologieën[Digitale zorgtoepassing]),0))</f>
        <v>0</v>
      </c>
      <c r="T21" s="406" cm="1">
        <f t="array" ref="T21">(INDEX(Technologieën[QALY],MATCH(B21,IF(Technologieën[Zoeksleutel bronnummer]=G21,Technologieën[Digitale zorgtoepassing]),0)))</f>
        <v>0</v>
      </c>
      <c r="U21" s="407">
        <f>(uniforme_input[[#This Row],[Kostenbesparing door arbeidsbesparing p. patiënt (€/week)]]/uniforme_input[[#This Row],[Uurtarief]]*60) + (uniforme_input[[#This Row],[Totaal arbeidsbesparing onafhankelijk van patiënt (FTE)]]*40*60)/uniforme_input[[#This Row],[Patiëntaantallen]]</f>
        <v>0</v>
      </c>
      <c r="V21" s="407">
        <f>(uniforme_input[[#This Row],[Kostenbesparing per handeling (€)]]/uniforme_input[[#This Row],[Uurtarief]])*60</f>
        <v>0</v>
      </c>
      <c r="W21" s="398">
        <f>uniforme_input[[#This Row],[Overige kostenbesparing (Totaal €/jaar)]]/uniforme_input[[#This Row],[Patiëntaantallen]]</f>
        <v>0</v>
      </c>
      <c r="X21" s="408">
        <f>IF(uniforme_input[[#This Row],[Bron gebruiken voor opbrengsten?]]="Ja",uniforme_input[[#This Row],[Tijdsbesparing (min/week/patiënt) - gegeven]]+uniforme_input[[#This Row],[Tijdsbesparing (min/week/patiënt) berekend]],0)</f>
        <v>0</v>
      </c>
      <c r="Y21" s="407">
        <f>IF(uniforme_input[[#This Row],[Bron gebruiken voor opbrengsten?]]="Ja",uniforme_input[[#This Row],[Tijdsbesparing (min/handeling) - gegeven]]+uniforme_input[[#This Row],[Tijdsbesparing (min/handeling) berekend]],0)</f>
        <v>0</v>
      </c>
      <c r="Z21" s="409">
        <f>IF(uniforme_input[[#This Row],[Bron gebruiken voor opbrengsten?]]="Ja",uniforme_input[[#This Row],[Overige kostenbesparing (€/jaar/patiënt) - gegeven]]+uniforme_input[[#This Row],[Overige kostenbesparing (€/jaar/patiënt) berekend]],0)</f>
        <v>0</v>
      </c>
      <c r="AA21" s="403" cm="1">
        <f t="array" ref="AA21">INDEX(Technologieën[Jaarlijkse kosten p. patiënt],MATCH(B21,IF(Technologieën[Zoeksleutel bronnummer]=G21,Technologieën[Digitale zorgtoepassing]),0))</f>
        <v>958.80000000000007</v>
      </c>
      <c r="AB21" s="403" cm="1">
        <f t="array" ref="AB21">INDEX(Technologieën[Jaarlijkse kosten p. organisatie],MATCH(B21,IF(Technologieën[Zoeksleutel bronnummer]=G21,Technologieën[Digitale zorgtoepassing]),0))/uniforme_input[[#This Row],[Aantal doelgroepen waarop toepasbaar]]</f>
        <v>250</v>
      </c>
      <c r="AC21" s="403" cm="1">
        <f t="array" ref="AC21">INDEX(Technologieën[Jaarlijkse kosten (onafh. aantal patiënt/organisatie)],MATCH(B21,IF(Technologieën[Zoeksleutel bronnummer]=G21,Technologieën[Digitale zorgtoepassing]),0))/uniforme_input[[#This Row],[Aantal doelgroepen waarop toepasbaar]]</f>
        <v>0</v>
      </c>
      <c r="AD21" s="403" cm="1">
        <f t="array" ref="AD21">INDEX(Technologieën[Initiële investering (p. patiënt)],MATCH(B21,IF(Technologieën[Zoeksleutel bronnummer]=G21,Technologieën[Digitale zorgtoepassing]),0))</f>
        <v>52.02</v>
      </c>
      <c r="AE21" s="403" cm="1">
        <f t="array" ref="AE21">INDEX(Technologieën[Initiële investering (p. organisatie)],MATCH(B21,IF(Technologieën[Zoeksleutel bronnummer]=G21,Technologieën[Digitale zorgtoepassing]),0))</f>
        <v>6300</v>
      </c>
      <c r="AF21" s="398">
        <f>((uniforme_input[[#This Row],[Jaarlijkse kosten per organisatie]]*uniforme_input[[#This Row],[Aantal organisaties]])/uniforme_input[[#This Row],[Patiëntaantallen]])+(uniforme_input[[#This Row],[Jaarlijkse kosten algemeen (onafhankelijk van patiënt/organisatie)]]/uniforme_input[[#This Row],[Patiëntaantallen]])</f>
        <v>0.63593813593813586</v>
      </c>
      <c r="AG21" s="398">
        <f>(uniforme_input[[#This Row],[Initiële investering per organisatie]]*uniforme_input[[#This Row],[Aantal organisaties]])/uniforme_input[[#This Row],[Patiëntaantallen]]</f>
        <v>16.025641025641022</v>
      </c>
      <c r="AH21" s="410">
        <f>IF(uniforme_input[[#This Row],[Bron gebruiken voor kosten/investering?]]="Ja",uniforme_input[[#This Row],[Jaarlijkse kosten per patiënt]] + uniforme_input[[#This Row],[Jaarlijkse kosten per patiënt berekend]],0)</f>
        <v>959.43593813593816</v>
      </c>
      <c r="AI21" s="409">
        <f>IF(uniforme_input[[#This Row],[Bron gebruiken voor kosten/investering?]]="Ja",uniforme_input[[#This Row],[Initiële investering per patiënt]]+uniforme_input[[#This Row],[Initiële investering per patiënt berekend]],0)</f>
        <v>68.045641025641032</v>
      </c>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row>
    <row r="22" spans="1:83" s="2" customFormat="1" x14ac:dyDescent="0.5">
      <c r="A22" s="51" t="str">
        <f>INDEX(Technologieën[Veld],MATCH(G22,Technologieën[Zoeksleutel bronnummer],0))</f>
        <v>Digitale hulpmiddelen - Verpleging</v>
      </c>
      <c r="B22" s="33" t="s">
        <v>26</v>
      </c>
      <c r="C22" s="32" t="s">
        <v>390</v>
      </c>
      <c r="D22" s="32" t="s">
        <v>391</v>
      </c>
      <c r="E22" s="33" t="s">
        <v>24</v>
      </c>
      <c r="F22" s="33" t="str" cm="1">
        <f t="array" ref="F22">INDEX(Berekening_patiëntaantal[Direct toepasbaar/extrapolatie/incidentie voor QALY],MATCH(B22,IF(Berekening_patiëntaantal[Doelgroep (zoeksleutel)]=E22,Berekening_patiëntaantal[Digitale zorgtoepassing]),0))</f>
        <v>Extrapolatie</v>
      </c>
      <c r="G22" s="33" t="s">
        <v>534</v>
      </c>
      <c r="H22" s="33" t="s">
        <v>142</v>
      </c>
      <c r="I22" s="403">
        <f>INDEX(Uurloon[Uurtarief zorgpersoneel],MATCH(H22,Uurloon[Zorgverlener],0))</f>
        <v>25.33954022988506</v>
      </c>
      <c r="J22" s="404" cm="1">
        <f t="array" ref="J22">INDEX(Berekening_patiëntaantal[Patiëntaantallen],MATCH(B22,IF(Berekening_patiëntaantal[Doelgroep (zoeksleutel)]=E22,Berekening_patiëntaantal[Digitale zorgtoepassing]),0))</f>
        <v>8009.8200000000006</v>
      </c>
      <c r="K22" s="404">
        <f>IFERROR(INDEX(aantal_organisaties[Aantal organisaties waarop toepasbaar],MATCH(B22,aantal_organisaties[Digitale zorgtoepassing],0)),0)</f>
        <v>150</v>
      </c>
      <c r="L22" s="397">
        <f>COUNTIF(uniforme_input[Doelgroep],E22)</f>
        <v>12</v>
      </c>
      <c r="M22" s="405" cm="1">
        <f t="array" ref="M22">INDEX(Technologieën[Tijdsbesparing p. patiënt (min/week)],MATCH(B22,IF(Technologieën[Zoeksleutel bronnummer]=G22,Technologieën[Digitale zorgtoepassing]),0))</f>
        <v>0</v>
      </c>
      <c r="N22" s="405" cm="1">
        <f t="array" ref="N22">INDEX(Technologieën[Tijdsbesparing per handeling (min)],MATCH(B22,IF(Technologieën[Zoeksleutel bronnummer]=G22,Technologieën[Digitale zorgtoepassing]),0))</f>
        <v>0</v>
      </c>
      <c r="O22" s="403" cm="1">
        <f t="array" ref="O22">INDEX(Technologieën[Besparing overige kosten (€/patiënt/jaar)],MATCH(B22,IF(Technologieën[Zoeksleutel bronnummer]=G22,Technologieën[Digitale zorgtoepassing]),0))</f>
        <v>0</v>
      </c>
      <c r="P22" s="403" cm="1">
        <f t="array" ref="P22">INDEX(Technologieën[Kostenbesparing p. patiënt door arbeidsbesparing (€/week)],MATCH(B22,IF(Technologieën[Zoeksleutel bronnummer]=G22,Technologieën[Digitale zorgtoepassing]),0))</f>
        <v>0</v>
      </c>
      <c r="Q22" s="403" cm="1">
        <f t="array" ref="Q22">INDEX(Technologieën[Kostenbesparing (personeel) per handeling (€)],MATCH(B22,IF(Technologieën[Zoeksleutel bronnummer]=G22,Technologieën[Digitale zorgtoepassing]),0))</f>
        <v>0</v>
      </c>
      <c r="R22" s="403" cm="1">
        <f t="array" ref="R22">INDEX(Technologieën[Besparing overige kosten (€/jaar)],MATCH(B22,IF(Technologieën[Zoeksleutel bronnummer]=G22,Technologieën[Digitale zorgtoepassing]),0))</f>
        <v>0</v>
      </c>
      <c r="S22" s="405" cm="1">
        <f t="array" ref="S22">INDEX(Technologieën[Jaarlijkse besparing zorgpersoneel (FTE)],MATCH(B22,IF(Technologieën[Zoeksleutel bronnummer]=G22,Technologieën[Digitale zorgtoepassing]),0))</f>
        <v>0</v>
      </c>
      <c r="T22" s="406" cm="1">
        <f t="array" ref="T22">(INDEX(Technologieën[QALY],MATCH(B22,IF(Technologieën[Zoeksleutel bronnummer]=G22,Technologieën[Digitale zorgtoepassing]),0)))</f>
        <v>0</v>
      </c>
      <c r="U22" s="407">
        <f>(uniforme_input[[#This Row],[Kostenbesparing door arbeidsbesparing p. patiënt (€/week)]]/uniforme_input[[#This Row],[Uurtarief]]*60) + (uniforme_input[[#This Row],[Totaal arbeidsbesparing onafhankelijk van patiënt (FTE)]]*40*60)/uniforme_input[[#This Row],[Patiëntaantallen]]</f>
        <v>0</v>
      </c>
      <c r="V22" s="407">
        <f>(uniforme_input[[#This Row],[Kostenbesparing per handeling (€)]]/uniforme_input[[#This Row],[Uurtarief]])*60</f>
        <v>0</v>
      </c>
      <c r="W22" s="398">
        <f>uniforme_input[[#This Row],[Overige kostenbesparing (Totaal €/jaar)]]/uniforme_input[[#This Row],[Patiëntaantallen]]</f>
        <v>0</v>
      </c>
      <c r="X22" s="408">
        <f>IF(uniforme_input[[#This Row],[Bron gebruiken voor opbrengsten?]]="Ja",uniforme_input[[#This Row],[Tijdsbesparing (min/week/patiënt) - gegeven]]+uniforme_input[[#This Row],[Tijdsbesparing (min/week/patiënt) berekend]],0)</f>
        <v>0</v>
      </c>
      <c r="Y22" s="407">
        <f>IF(uniforme_input[[#This Row],[Bron gebruiken voor opbrengsten?]]="Ja",uniforme_input[[#This Row],[Tijdsbesparing (min/handeling) - gegeven]]+uniforme_input[[#This Row],[Tijdsbesparing (min/handeling) berekend]],0)</f>
        <v>0</v>
      </c>
      <c r="Z22" s="409">
        <f>IF(uniforme_input[[#This Row],[Bron gebruiken voor opbrengsten?]]="Ja",uniforme_input[[#This Row],[Overige kostenbesparing (€/jaar/patiënt) - gegeven]]+uniforme_input[[#This Row],[Overige kostenbesparing (€/jaar/patiënt) berekend]],0)</f>
        <v>0</v>
      </c>
      <c r="AA22" s="403" cm="1">
        <f t="array" ref="AA22">INDEX(Technologieën[Jaarlijkse kosten p. patiënt],MATCH(B22,IF(Technologieën[Zoeksleutel bronnummer]=G22,Technologieën[Digitale zorgtoepassing]),0))</f>
        <v>958.80000000000007</v>
      </c>
      <c r="AB22" s="403" cm="1">
        <f t="array" ref="AB22">INDEX(Technologieën[Jaarlijkse kosten p. organisatie],MATCH(B22,IF(Technologieën[Zoeksleutel bronnummer]=G22,Technologieën[Digitale zorgtoepassing]),0))/uniforme_input[[#This Row],[Aantal doelgroepen waarop toepasbaar]]</f>
        <v>83.333333333333329</v>
      </c>
      <c r="AC22" s="403" cm="1">
        <f t="array" ref="AC22">INDEX(Technologieën[Jaarlijkse kosten (onafh. aantal patiënt/organisatie)],MATCH(B22,IF(Technologieën[Zoeksleutel bronnummer]=G22,Technologieën[Digitale zorgtoepassing]),0))/uniforme_input[[#This Row],[Aantal doelgroepen waarop toepasbaar]]</f>
        <v>0</v>
      </c>
      <c r="AD22" s="403" cm="1">
        <f t="array" ref="AD22">INDEX(Technologieën[Initiële investering (p. patiënt)],MATCH(B22,IF(Technologieën[Zoeksleutel bronnummer]=G22,Technologieën[Digitale zorgtoepassing]),0))</f>
        <v>52.02</v>
      </c>
      <c r="AE22" s="403" cm="1">
        <f t="array" ref="AE22">INDEX(Technologieën[Initiële investering (p. organisatie)],MATCH(B22,IF(Technologieën[Zoeksleutel bronnummer]=G22,Technologieën[Digitale zorgtoepassing]),0))</f>
        <v>6300</v>
      </c>
      <c r="AF22" s="398">
        <f>((uniforme_input[[#This Row],[Jaarlijkse kosten per organisatie]]*uniforme_input[[#This Row],[Aantal organisaties]])/uniforme_input[[#This Row],[Patiëntaantallen]])+(uniforme_input[[#This Row],[Jaarlijkse kosten algemeen (onafhankelijk van patiënt/organisatie)]]/uniforme_input[[#This Row],[Patiëntaantallen]])</f>
        <v>1.5605843826702721</v>
      </c>
      <c r="AG22" s="398">
        <f>(uniforme_input[[#This Row],[Initiële investering per organisatie]]*uniforme_input[[#This Row],[Aantal organisaties]])/uniforme_input[[#This Row],[Patiëntaantallen]]</f>
        <v>117.98017932987257</v>
      </c>
      <c r="AH22" s="410">
        <f>IF(uniforme_input[[#This Row],[Bron gebruiken voor kosten/investering?]]="Ja",uniforme_input[[#This Row],[Jaarlijkse kosten per patiënt]] + uniforme_input[[#This Row],[Jaarlijkse kosten per patiënt berekend]],0)</f>
        <v>960.36058438267037</v>
      </c>
      <c r="AI22" s="409">
        <f>IF(uniforme_input[[#This Row],[Bron gebruiken voor kosten/investering?]]="Ja",uniforme_input[[#This Row],[Initiële investering per patiënt]]+uniforme_input[[#This Row],[Initiële investering per patiënt berekend]],0)</f>
        <v>170.00017932987257</v>
      </c>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row>
    <row r="23" spans="1:83" x14ac:dyDescent="0.5">
      <c r="A23" s="51" t="str">
        <f>INDEX(Technologieën[Veld],MATCH(G23,Technologieën[Zoeksleutel bronnummer],0))</f>
        <v>Digitale hulpmiddelen - Diagnose</v>
      </c>
      <c r="B23" s="33" t="s">
        <v>78</v>
      </c>
      <c r="C23" s="32" t="s">
        <v>390</v>
      </c>
      <c r="D23" s="32" t="s">
        <v>391</v>
      </c>
      <c r="E23" s="33" t="s">
        <v>79</v>
      </c>
      <c r="F23" s="33" t="str" cm="1">
        <f t="array" ref="F23">INDEX(Berekening_patiëntaantal[Direct toepasbaar/extrapolatie/incidentie voor QALY],MATCH(B23,IF(Berekening_patiëntaantal[Doelgroep (zoeksleutel)]=E23,Berekening_patiëntaantal[Digitale zorgtoepassing]),0))</f>
        <v>Huidige toepassing</v>
      </c>
      <c r="G23" s="33" t="s">
        <v>536</v>
      </c>
      <c r="H23" s="33" t="s">
        <v>163</v>
      </c>
      <c r="I23" s="403">
        <f>INDEX(Uurloon[Uurtarief zorgpersoneel],MATCH(H23,Uurloon[Zorgverlener],0))</f>
        <v>27.736091954022992</v>
      </c>
      <c r="J23" s="404" cm="1">
        <f t="array" ref="J23">INDEX(Berekening_patiëntaantal[Patiëntaantallen],MATCH(B23,IF(Berekening_patiëntaantal[Doelgroep (zoeksleutel)]=E23,Berekening_patiëntaantal[Digitale zorgtoepassing]),0))</f>
        <v>446040</v>
      </c>
      <c r="K23" s="404">
        <f>IFERROR(INDEX(aantal_organisaties[Aantal organisaties waarop toepasbaar],MATCH(B23,aantal_organisaties[Digitale zorgtoepassing],0)),0)</f>
        <v>1229</v>
      </c>
      <c r="L23" s="397">
        <f>COUNTIF(uniforme_input[Doelgroep],E23)</f>
        <v>2</v>
      </c>
      <c r="M23" s="405" cm="1">
        <f t="array" ref="M23">INDEX(Technologieën[Tijdsbesparing p. patiënt (min/week)],MATCH(B23,IF(Technologieën[Zoeksleutel bronnummer]=G23,Technologieën[Digitale zorgtoepassing]),0))</f>
        <v>0</v>
      </c>
      <c r="N23" s="405" cm="1">
        <f t="array" ref="N23">INDEX(Technologieën[Tijdsbesparing per handeling (min)],MATCH(B23,IF(Technologieën[Zoeksleutel bronnummer]=G23,Technologieën[Digitale zorgtoepassing]),0))</f>
        <v>0</v>
      </c>
      <c r="O23" s="403" cm="1">
        <f t="array" ref="O23">INDEX(Technologieën[Besparing overige kosten (€/patiënt/jaar)],MATCH(B23,IF(Technologieën[Zoeksleutel bronnummer]=G23,Technologieën[Digitale zorgtoepassing]),0))</f>
        <v>0</v>
      </c>
      <c r="P23" s="403" cm="1">
        <f t="array" ref="P23">INDEX(Technologieën[Kostenbesparing p. patiënt door arbeidsbesparing (€/week)],MATCH(B23,IF(Technologieën[Zoeksleutel bronnummer]=G23,Technologieën[Digitale zorgtoepassing]),0))</f>
        <v>0</v>
      </c>
      <c r="Q23" s="403" cm="1">
        <f t="array" ref="Q23">INDEX(Technologieën[Kostenbesparing (personeel) per handeling (€)],MATCH(B23,IF(Technologieën[Zoeksleutel bronnummer]=G23,Technologieën[Digitale zorgtoepassing]),0))</f>
        <v>0</v>
      </c>
      <c r="R23" s="403" cm="1">
        <f t="array" ref="R23">INDEX(Technologieën[Besparing overige kosten (€/jaar)],MATCH(B23,IF(Technologieën[Zoeksleutel bronnummer]=G23,Technologieën[Digitale zorgtoepassing]),0))</f>
        <v>0</v>
      </c>
      <c r="S23" s="405" cm="1">
        <f t="array" ref="S23">INDEX(Technologieën[Jaarlijkse besparing zorgpersoneel (FTE)],MATCH(B23,IF(Technologieën[Zoeksleutel bronnummer]=G23,Technologieën[Digitale zorgtoepassing]),0))</f>
        <v>0</v>
      </c>
      <c r="T23" s="406" cm="1">
        <f t="array" ref="T23">(INDEX(Technologieën[QALY],MATCH(B23,IF(Technologieën[Zoeksleutel bronnummer]=G23,Technologieën[Digitale zorgtoepassing]),0)))</f>
        <v>0</v>
      </c>
      <c r="U23" s="407">
        <f>(uniforme_input[[#This Row],[Kostenbesparing door arbeidsbesparing p. patiënt (€/week)]]/uniforme_input[[#This Row],[Uurtarief]]*60) + (uniforme_input[[#This Row],[Totaal arbeidsbesparing onafhankelijk van patiënt (FTE)]]*40*60)/uniforme_input[[#This Row],[Patiëntaantallen]]</f>
        <v>0</v>
      </c>
      <c r="V23" s="407">
        <f>(uniforme_input[[#This Row],[Kostenbesparing per handeling (€)]]/uniforme_input[[#This Row],[Uurtarief]])*60</f>
        <v>0</v>
      </c>
      <c r="W23" s="398">
        <f>uniforme_input[[#This Row],[Overige kostenbesparing (Totaal €/jaar)]]/uniforme_input[[#This Row],[Patiëntaantallen]]</f>
        <v>0</v>
      </c>
      <c r="X23" s="408">
        <f>IF(uniforme_input[[#This Row],[Bron gebruiken voor opbrengsten?]]="Ja",uniforme_input[[#This Row],[Tijdsbesparing (min/week/patiënt) - gegeven]]+uniforme_input[[#This Row],[Tijdsbesparing (min/week/patiënt) berekend]],0)</f>
        <v>0</v>
      </c>
      <c r="Y23" s="407">
        <f>IF(uniforme_input[[#This Row],[Bron gebruiken voor opbrengsten?]]="Ja",uniforme_input[[#This Row],[Tijdsbesparing (min/handeling) - gegeven]]+uniforme_input[[#This Row],[Tijdsbesparing (min/handeling) berekend]],0)</f>
        <v>0</v>
      </c>
      <c r="Z23" s="409">
        <f>IF(uniforme_input[[#This Row],[Bron gebruiken voor opbrengsten?]]="Ja",uniforme_input[[#This Row],[Overige kostenbesparing (€/jaar/patiënt) - gegeven]]+uniforme_input[[#This Row],[Overige kostenbesparing (€/jaar/patiënt) berekend]],0)</f>
        <v>0</v>
      </c>
      <c r="AA23" s="403" cm="1">
        <f t="array" ref="AA23">INDEX(Technologieën[Jaarlijkse kosten p. patiënt],MATCH(B23,IF(Technologieën[Zoeksleutel bronnummer]=G23,Technologieën[Digitale zorgtoepassing]),0))</f>
        <v>0</v>
      </c>
      <c r="AB23" s="403" cm="1">
        <f t="array" ref="AB23">INDEX(Technologieën[Jaarlijkse kosten p. organisatie],MATCH(B23,IF(Technologieën[Zoeksleutel bronnummer]=G23,Technologieën[Digitale zorgtoepassing]),0))/uniforme_input[[#This Row],[Aantal doelgroepen waarop toepasbaar]]</f>
        <v>726</v>
      </c>
      <c r="AC23" s="403" cm="1">
        <f t="array" ref="AC23">INDEX(Technologieën[Jaarlijkse kosten (onafh. aantal patiënt/organisatie)],MATCH(B23,IF(Technologieën[Zoeksleutel bronnummer]=G23,Technologieën[Digitale zorgtoepassing]),0))/uniforme_input[[#This Row],[Aantal doelgroepen waarop toepasbaar]]</f>
        <v>0</v>
      </c>
      <c r="AD23" s="403" cm="1">
        <f t="array" ref="AD23">INDEX(Technologieën[Initiële investering (p. patiënt)],MATCH(B23,IF(Technologieën[Zoeksleutel bronnummer]=G23,Technologieën[Digitale zorgtoepassing]),0))</f>
        <v>0</v>
      </c>
      <c r="AE23" s="403" cm="1">
        <f t="array" ref="AE23">INDEX(Technologieën[Initiële investering (p. organisatie)],MATCH(B23,IF(Technologieën[Zoeksleutel bronnummer]=G23,Technologieën[Digitale zorgtoepassing]),0))</f>
        <v>0</v>
      </c>
      <c r="AF23" s="398">
        <f>((uniforme_input[[#This Row],[Jaarlijkse kosten per organisatie]]*uniforme_input[[#This Row],[Aantal organisaties]])/uniforme_input[[#This Row],[Patiëntaantallen]])+(uniforme_input[[#This Row],[Jaarlijkse kosten algemeen (onafhankelijk van patiënt/organisatie)]]/uniforme_input[[#This Row],[Patiëntaantallen]])</f>
        <v>2.000390099542642</v>
      </c>
      <c r="AG23" s="398">
        <f>(uniforme_input[[#This Row],[Initiële investering per organisatie]]*uniforme_input[[#This Row],[Aantal organisaties]])/uniforme_input[[#This Row],[Patiëntaantallen]]</f>
        <v>0</v>
      </c>
      <c r="AH23" s="410">
        <f>IF(uniforme_input[[#This Row],[Bron gebruiken voor kosten/investering?]]="Ja",uniforme_input[[#This Row],[Jaarlijkse kosten per patiënt]] + uniforme_input[[#This Row],[Jaarlijkse kosten per patiënt berekend]],0)</f>
        <v>2.000390099542642</v>
      </c>
      <c r="AI23" s="409">
        <f>IF(uniforme_input[[#This Row],[Bron gebruiken voor kosten/investering?]]="Ja",uniforme_input[[#This Row],[Initiële investering per patiënt]]+uniforme_input[[#This Row],[Initiële investering per patiënt berekend]],0)</f>
        <v>0</v>
      </c>
    </row>
    <row r="24" spans="1:83" x14ac:dyDescent="0.5">
      <c r="A24" s="51" t="str">
        <f>INDEX(Technologieën[Veld],MATCH(G24,Technologieën[Zoeksleutel bronnummer],0))</f>
        <v>Sensoren - Verpleging</v>
      </c>
      <c r="B24" s="33" t="s">
        <v>61</v>
      </c>
      <c r="C24" s="32" t="s">
        <v>391</v>
      </c>
      <c r="D24" s="32" t="s">
        <v>391</v>
      </c>
      <c r="E24" s="33" t="s">
        <v>62</v>
      </c>
      <c r="F24" s="33" t="str" cm="1">
        <f t="array" ref="F24">INDEX(Berekening_patiëntaantal[Direct toepasbaar/extrapolatie/incidentie voor QALY],MATCH(B24,IF(Berekening_patiëntaantal[Doelgroep (zoeksleutel)]=E24,Berekening_patiëntaantal[Digitale zorgtoepassing]),0))</f>
        <v>Huidige toepassing</v>
      </c>
      <c r="G24" s="33" t="s">
        <v>549</v>
      </c>
      <c r="H24" s="33" t="s">
        <v>144</v>
      </c>
      <c r="I24" s="403">
        <f>INDEX(Uurloon[Uurtarief zorgpersoneel],MATCH(H24,Uurloon[Zorgverlener],0))</f>
        <v>20.410632183908046</v>
      </c>
      <c r="J24" s="404" cm="1">
        <f t="array" ref="J24">INDEX(Berekening_patiëntaantal[Patiëntaantallen],MATCH(B24,IF(Berekening_patiëntaantal[Doelgroep (zoeksleutel)]=E24,Berekening_patiëntaantal[Digitale zorgtoepassing]),0))</f>
        <v>94300</v>
      </c>
      <c r="K24" s="404">
        <f>IFERROR(INDEX(aantal_organisaties[Aantal organisaties waarop toepasbaar],MATCH(B24,aantal_organisaties[Digitale zorgtoepassing],0)),0)</f>
        <v>2350</v>
      </c>
      <c r="L24" s="397">
        <f>COUNTIF(uniforme_input[Doelgroep],E24)</f>
        <v>2</v>
      </c>
      <c r="M24" s="405" cm="1">
        <f t="array" ref="M24">INDEX(Technologieën[Tijdsbesparing p. patiënt (min/week)],MATCH(B24,IF(Technologieën[Zoeksleutel bronnummer]=G24,Technologieën[Digitale zorgtoepassing]),0))</f>
        <v>26</v>
      </c>
      <c r="N24" s="405" cm="1">
        <f t="array" ref="N24">INDEX(Technologieën[Tijdsbesparing per handeling (min)],MATCH(B24,IF(Technologieën[Zoeksleutel bronnummer]=G24,Technologieën[Digitale zorgtoepassing]),0))</f>
        <v>0</v>
      </c>
      <c r="O24" s="403" cm="1">
        <f t="array" ref="O24">INDEX(Technologieën[Besparing overige kosten (€/patiënt/jaar)],MATCH(B24,IF(Technologieën[Zoeksleutel bronnummer]=G24,Technologieën[Digitale zorgtoepassing]),0))</f>
        <v>64.087154387287242</v>
      </c>
      <c r="P24" s="403" cm="1">
        <f t="array" ref="P24">INDEX(Technologieën[Kostenbesparing p. patiënt door arbeidsbesparing (€/week)],MATCH(B24,IF(Technologieën[Zoeksleutel bronnummer]=G24,Technologieën[Digitale zorgtoepassing]),0))</f>
        <v>0</v>
      </c>
      <c r="Q24" s="403" cm="1">
        <f t="array" ref="Q24">INDEX(Technologieën[Kostenbesparing (personeel) per handeling (€)],MATCH(B24,IF(Technologieën[Zoeksleutel bronnummer]=G24,Technologieën[Digitale zorgtoepassing]),0))</f>
        <v>0</v>
      </c>
      <c r="R24" s="403" cm="1">
        <f t="array" ref="R24">INDEX(Technologieën[Besparing overige kosten (€/jaar)],MATCH(B24,IF(Technologieën[Zoeksleutel bronnummer]=G24,Technologieën[Digitale zorgtoepassing]),0))</f>
        <v>0</v>
      </c>
      <c r="S24" s="405" cm="1">
        <f t="array" ref="S24">INDEX(Technologieën[Jaarlijkse besparing zorgpersoneel (FTE)],MATCH(B24,IF(Technologieën[Zoeksleutel bronnummer]=G24,Technologieën[Digitale zorgtoepassing]),0))</f>
        <v>0</v>
      </c>
      <c r="T24" s="406" cm="1">
        <f t="array" ref="T24">(INDEX(Technologieën[QALY],MATCH(B24,IF(Technologieën[Zoeksleutel bronnummer]=G24,Technologieën[Digitale zorgtoepassing]),0)))</f>
        <v>0</v>
      </c>
      <c r="U24" s="407">
        <f>(uniforme_input[[#This Row],[Kostenbesparing door arbeidsbesparing p. patiënt (€/week)]]/uniforme_input[[#This Row],[Uurtarief]]*60) + (uniforme_input[[#This Row],[Totaal arbeidsbesparing onafhankelijk van patiënt (FTE)]]*40*60)/uniforme_input[[#This Row],[Patiëntaantallen]]</f>
        <v>0</v>
      </c>
      <c r="V24" s="407">
        <f>(uniforme_input[[#This Row],[Kostenbesparing per handeling (€)]]/uniforme_input[[#This Row],[Uurtarief]])*60</f>
        <v>0</v>
      </c>
      <c r="W24" s="398">
        <f>uniforme_input[[#This Row],[Overige kostenbesparing (Totaal €/jaar)]]/uniforme_input[[#This Row],[Patiëntaantallen]]</f>
        <v>0</v>
      </c>
      <c r="X24" s="408">
        <f>IF(uniforme_input[[#This Row],[Bron gebruiken voor opbrengsten?]]="Ja",uniforme_input[[#This Row],[Tijdsbesparing (min/week/patiënt) - gegeven]]+uniforme_input[[#This Row],[Tijdsbesparing (min/week/patiënt) berekend]],0)</f>
        <v>26</v>
      </c>
      <c r="Y24" s="407">
        <f>IF(uniforme_input[[#This Row],[Bron gebruiken voor opbrengsten?]]="Ja",uniforme_input[[#This Row],[Tijdsbesparing (min/handeling) - gegeven]]+uniforme_input[[#This Row],[Tijdsbesparing (min/handeling) berekend]],0)</f>
        <v>0</v>
      </c>
      <c r="Z24" s="409">
        <f>IF(uniforme_input[[#This Row],[Bron gebruiken voor opbrengsten?]]="Ja",uniforme_input[[#This Row],[Overige kostenbesparing (€/jaar/patiënt) - gegeven]]+uniforme_input[[#This Row],[Overige kostenbesparing (€/jaar/patiënt) berekend]],0)</f>
        <v>64.087154387287242</v>
      </c>
      <c r="AA24" s="403" cm="1">
        <f t="array" ref="AA24">INDEX(Technologieën[Jaarlijkse kosten p. patiënt],MATCH(B24,IF(Technologieën[Zoeksleutel bronnummer]=G24,Technologieën[Digitale zorgtoepassing]),0))</f>
        <v>432</v>
      </c>
      <c r="AB24" s="403" cm="1">
        <f t="array" ref="AB24">INDEX(Technologieën[Jaarlijkse kosten p. organisatie],MATCH(B24,IF(Technologieën[Zoeksleutel bronnummer]=G24,Technologieën[Digitale zorgtoepassing]),0))/uniforme_input[[#This Row],[Aantal doelgroepen waarop toepasbaar]]</f>
        <v>0</v>
      </c>
      <c r="AC24" s="403" cm="1">
        <f t="array" ref="AC24">INDEX(Technologieën[Jaarlijkse kosten (onafh. aantal patiënt/organisatie)],MATCH(B24,IF(Technologieën[Zoeksleutel bronnummer]=G24,Technologieën[Digitale zorgtoepassing]),0))/uniforme_input[[#This Row],[Aantal doelgroepen waarop toepasbaar]]</f>
        <v>0</v>
      </c>
      <c r="AD24" s="403" cm="1">
        <f t="array" ref="AD24">INDEX(Technologieën[Initiële investering (p. patiënt)],MATCH(B24,IF(Technologieën[Zoeksleutel bronnummer]=G24,Technologieën[Digitale zorgtoepassing]),0))</f>
        <v>0</v>
      </c>
      <c r="AE24" s="403" cm="1">
        <f t="array" ref="AE24">INDEX(Technologieën[Initiële investering (p. organisatie)],MATCH(B24,IF(Technologieën[Zoeksleutel bronnummer]=G24,Technologieën[Digitale zorgtoepassing]),0))</f>
        <v>2736</v>
      </c>
      <c r="AF24"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24" s="398">
        <f>(uniforme_input[[#This Row],[Initiële investering per organisatie]]*uniforme_input[[#This Row],[Aantal organisaties]])/uniforme_input[[#This Row],[Patiëntaantallen]]</f>
        <v>68.182396606574756</v>
      </c>
      <c r="AH24" s="410">
        <f>IF(uniforme_input[[#This Row],[Bron gebruiken voor kosten/investering?]]="Ja",uniforme_input[[#This Row],[Jaarlijkse kosten per patiënt]] + uniforme_input[[#This Row],[Jaarlijkse kosten per patiënt berekend]],0)</f>
        <v>432</v>
      </c>
      <c r="AI24" s="409">
        <f>IF(uniforme_input[[#This Row],[Bron gebruiken voor kosten/investering?]]="Ja",uniforme_input[[#This Row],[Initiële investering per patiënt]]+uniforme_input[[#This Row],[Initiële investering per patiënt berekend]],0)</f>
        <v>68.182396606574756</v>
      </c>
    </row>
    <row r="25" spans="1:83" s="2" customFormat="1" x14ac:dyDescent="0.5">
      <c r="A25" s="51" t="str">
        <f>INDEX(Technologieën[Veld],MATCH(G25,Technologieën[Zoeksleutel bronnummer],0))</f>
        <v>Sensoren - Verpleging</v>
      </c>
      <c r="B25" s="33" t="s">
        <v>61</v>
      </c>
      <c r="C25" s="32" t="s">
        <v>391</v>
      </c>
      <c r="D25" s="32" t="s">
        <v>391</v>
      </c>
      <c r="E25" s="33" t="s">
        <v>385</v>
      </c>
      <c r="F25" s="33" t="str" cm="1">
        <f t="array" ref="F25">INDEX(Berekening_patiëntaantal[Direct toepasbaar/extrapolatie/incidentie voor QALY],MATCH(B25,IF(Berekening_patiëntaantal[Doelgroep (zoeksleutel)]=E25,Berekening_patiëntaantal[Digitale zorgtoepassing]),0))</f>
        <v>Extrapolatie</v>
      </c>
      <c r="G25" s="33" t="s">
        <v>549</v>
      </c>
      <c r="H25" s="33" t="s">
        <v>144</v>
      </c>
      <c r="I25" s="403">
        <f>INDEX(Uurloon[Uurtarief zorgpersoneel],MATCH(H25,Uurloon[Zorgverlener],0))</f>
        <v>20.410632183908046</v>
      </c>
      <c r="J25" s="404" cm="1">
        <f t="array" ref="J25">INDEX(Berekening_patiëntaantal[Patiëntaantallen],MATCH(B25,IF(Berekening_patiëntaantal[Doelgroep (zoeksleutel)]=E25,Berekening_patiëntaantal[Digitale zorgtoepassing]),0))</f>
        <v>16000</v>
      </c>
      <c r="K25" s="404">
        <f>IFERROR(INDEX(aantal_organisaties[Aantal organisaties waarop toepasbaar],MATCH(B25,aantal_organisaties[Digitale zorgtoepassing],0)),0)</f>
        <v>2350</v>
      </c>
      <c r="L25" s="397">
        <f>COUNTIF(uniforme_input[Doelgroep],E25)</f>
        <v>2</v>
      </c>
      <c r="M25" s="405" cm="1">
        <f t="array" ref="M25">INDEX(Technologieën[Tijdsbesparing p. patiënt (min/week)],MATCH(B25,IF(Technologieën[Zoeksleutel bronnummer]=G25,Technologieën[Digitale zorgtoepassing]),0))</f>
        <v>26</v>
      </c>
      <c r="N25" s="405" cm="1">
        <f t="array" ref="N25">INDEX(Technologieën[Tijdsbesparing per handeling (min)],MATCH(B25,IF(Technologieën[Zoeksleutel bronnummer]=G25,Technologieën[Digitale zorgtoepassing]),0))</f>
        <v>0</v>
      </c>
      <c r="O25" s="403" cm="1">
        <f t="array" ref="O25">INDEX(Technologieën[Besparing overige kosten (€/patiënt/jaar)],MATCH(B25,IF(Technologieën[Zoeksleutel bronnummer]=G25,Technologieën[Digitale zorgtoepassing]),0))</f>
        <v>64.087154387287242</v>
      </c>
      <c r="P25" s="403" cm="1">
        <f t="array" ref="P25">INDEX(Technologieën[Kostenbesparing p. patiënt door arbeidsbesparing (€/week)],MATCH(B25,IF(Technologieën[Zoeksleutel bronnummer]=G25,Technologieën[Digitale zorgtoepassing]),0))</f>
        <v>0</v>
      </c>
      <c r="Q25" s="403" cm="1">
        <f t="array" ref="Q25">INDEX(Technologieën[Kostenbesparing (personeel) per handeling (€)],MATCH(B25,IF(Technologieën[Zoeksleutel bronnummer]=G25,Technologieën[Digitale zorgtoepassing]),0))</f>
        <v>0</v>
      </c>
      <c r="R25" s="403" cm="1">
        <f t="array" ref="R25">INDEX(Technologieën[Besparing overige kosten (€/jaar)],MATCH(B25,IF(Technologieën[Zoeksleutel bronnummer]=G25,Technologieën[Digitale zorgtoepassing]),0))</f>
        <v>0</v>
      </c>
      <c r="S25" s="405" cm="1">
        <f t="array" ref="S25">INDEX(Technologieën[Jaarlijkse besparing zorgpersoneel (FTE)],MATCH(B25,IF(Technologieën[Zoeksleutel bronnummer]=G25,Technologieën[Digitale zorgtoepassing]),0))</f>
        <v>0</v>
      </c>
      <c r="T25" s="406" cm="1">
        <f t="array" ref="T25">(INDEX(Technologieën[QALY],MATCH(B25,IF(Technologieën[Zoeksleutel bronnummer]=G25,Technologieën[Digitale zorgtoepassing]),0)))</f>
        <v>0</v>
      </c>
      <c r="U25" s="407">
        <f>(uniforme_input[[#This Row],[Kostenbesparing door arbeidsbesparing p. patiënt (€/week)]]/uniforme_input[[#This Row],[Uurtarief]]*60) + (uniforme_input[[#This Row],[Totaal arbeidsbesparing onafhankelijk van patiënt (FTE)]]*40*60)/uniforme_input[[#This Row],[Patiëntaantallen]]</f>
        <v>0</v>
      </c>
      <c r="V25" s="407">
        <f>(uniforme_input[[#This Row],[Kostenbesparing per handeling (€)]]/uniforme_input[[#This Row],[Uurtarief]])*60</f>
        <v>0</v>
      </c>
      <c r="W25" s="398">
        <f>uniforme_input[[#This Row],[Overige kostenbesparing (Totaal €/jaar)]]/uniforme_input[[#This Row],[Patiëntaantallen]]</f>
        <v>0</v>
      </c>
      <c r="X25" s="408">
        <f>IF(uniforme_input[[#This Row],[Bron gebruiken voor opbrengsten?]]="Ja",uniforme_input[[#This Row],[Tijdsbesparing (min/week/patiënt) - gegeven]]+uniforme_input[[#This Row],[Tijdsbesparing (min/week/patiënt) berekend]],0)</f>
        <v>26</v>
      </c>
      <c r="Y25" s="407">
        <f>IF(uniforme_input[[#This Row],[Bron gebruiken voor opbrengsten?]]="Ja",uniforme_input[[#This Row],[Tijdsbesparing (min/handeling) - gegeven]]+uniforme_input[[#This Row],[Tijdsbesparing (min/handeling) berekend]],0)</f>
        <v>0</v>
      </c>
      <c r="Z25" s="409">
        <f>IF(uniforme_input[[#This Row],[Bron gebruiken voor opbrengsten?]]="Ja",uniforme_input[[#This Row],[Overige kostenbesparing (€/jaar/patiënt) - gegeven]]+uniforme_input[[#This Row],[Overige kostenbesparing (€/jaar/patiënt) berekend]],0)</f>
        <v>64.087154387287242</v>
      </c>
      <c r="AA25" s="403" cm="1">
        <f t="array" ref="AA25">INDEX(Technologieën[Jaarlijkse kosten p. patiënt],MATCH(B25,IF(Technologieën[Zoeksleutel bronnummer]=G25,Technologieën[Digitale zorgtoepassing]),0))</f>
        <v>432</v>
      </c>
      <c r="AB25" s="403" cm="1">
        <f t="array" ref="AB25">INDEX(Technologieën[Jaarlijkse kosten p. organisatie],MATCH(B25,IF(Technologieën[Zoeksleutel bronnummer]=G25,Technologieën[Digitale zorgtoepassing]),0))/uniforme_input[[#This Row],[Aantal doelgroepen waarop toepasbaar]]</f>
        <v>0</v>
      </c>
      <c r="AC25" s="403" cm="1">
        <f t="array" ref="AC25">INDEX(Technologieën[Jaarlijkse kosten (onafh. aantal patiënt/organisatie)],MATCH(B25,IF(Technologieën[Zoeksleutel bronnummer]=G25,Technologieën[Digitale zorgtoepassing]),0))/uniforme_input[[#This Row],[Aantal doelgroepen waarop toepasbaar]]</f>
        <v>0</v>
      </c>
      <c r="AD25" s="403" cm="1">
        <f t="array" ref="AD25">INDEX(Technologieën[Initiële investering (p. patiënt)],MATCH(B25,IF(Technologieën[Zoeksleutel bronnummer]=G25,Technologieën[Digitale zorgtoepassing]),0))</f>
        <v>0</v>
      </c>
      <c r="AE25" s="403" cm="1">
        <f t="array" ref="AE25">INDEX(Technologieën[Initiële investering (p. organisatie)],MATCH(B25,IF(Technologieën[Zoeksleutel bronnummer]=G25,Technologieën[Digitale zorgtoepassing]),0))</f>
        <v>2736</v>
      </c>
      <c r="AF25"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25" s="398">
        <f>(uniforme_input[[#This Row],[Initiële investering per organisatie]]*uniforme_input[[#This Row],[Aantal organisaties]])/uniforme_input[[#This Row],[Patiëntaantallen]]</f>
        <v>401.85</v>
      </c>
      <c r="AH25" s="410">
        <f>IF(uniforme_input[[#This Row],[Bron gebruiken voor kosten/investering?]]="Ja",uniforme_input[[#This Row],[Jaarlijkse kosten per patiënt]] + uniforme_input[[#This Row],[Jaarlijkse kosten per patiënt berekend]],0)</f>
        <v>432</v>
      </c>
      <c r="AI25" s="409">
        <f>IF(uniforme_input[[#This Row],[Bron gebruiken voor kosten/investering?]]="Ja",uniforme_input[[#This Row],[Initiële investering per patiënt]]+uniforme_input[[#This Row],[Initiële investering per patiënt berekend]],0)</f>
        <v>401.85</v>
      </c>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row>
    <row r="26" spans="1:83" x14ac:dyDescent="0.5">
      <c r="A26" s="51" t="str">
        <f>INDEX(Technologieën[Veld],MATCH(G26,Technologieën[Zoeksleutel bronnummer],0))</f>
        <v>Sensoren - Behandeling</v>
      </c>
      <c r="B26" s="33" t="s">
        <v>53</v>
      </c>
      <c r="C26" s="32" t="s">
        <v>391</v>
      </c>
      <c r="D26" s="32" t="s">
        <v>391</v>
      </c>
      <c r="E26" s="33" t="s">
        <v>54</v>
      </c>
      <c r="F26" s="33" t="str" cm="1">
        <f t="array" ref="F26">INDEX(Berekening_patiëntaantal[Direct toepasbaar/extrapolatie/incidentie voor QALY],MATCH(B26,IF(Berekening_patiëntaantal[Doelgroep (zoeksleutel)]=E26,Berekening_patiëntaantal[Digitale zorgtoepassing]),0))</f>
        <v>Huidige toepassing</v>
      </c>
      <c r="G26" s="33" t="s">
        <v>552</v>
      </c>
      <c r="H26" s="33" t="s">
        <v>148</v>
      </c>
      <c r="I26" s="403">
        <f>INDEX(Uurloon[Uurtarief zorgpersoneel],MATCH(H26,Uurloon[Zorgverlener],0))</f>
        <v>27.740086206896557</v>
      </c>
      <c r="J26" s="404" cm="1">
        <f t="array" ref="J26">INDEX(Berekening_patiëntaantal[Patiëntaantallen],MATCH(B26,IF(Berekening_patiëntaantal[Doelgroep (zoeksleutel)]=E26,Berekening_patiëntaantal[Digitale zorgtoepassing]),0))</f>
        <v>18000</v>
      </c>
      <c r="K26" s="404">
        <f>IFERROR(INDEX(aantal_organisaties[Aantal organisaties waarop toepasbaar],MATCH(B26,aantal_organisaties[Digitale zorgtoepassing],0)),0)</f>
        <v>113</v>
      </c>
      <c r="L26" s="397">
        <f>COUNTIF(uniforme_input[Doelgroep],E26)</f>
        <v>3</v>
      </c>
      <c r="M26" s="405" cm="1">
        <f t="array" ref="M26">INDEX(Technologieën[Tijdsbesparing p. patiënt (min/week)],MATCH(B26,IF(Technologieën[Zoeksleutel bronnummer]=G26,Technologieën[Digitale zorgtoepassing]),0))</f>
        <v>0</v>
      </c>
      <c r="N26" s="405" cm="1">
        <f t="array" ref="N26">INDEX(Technologieën[Tijdsbesparing per handeling (min)],MATCH(B26,IF(Technologieën[Zoeksleutel bronnummer]=G26,Technologieën[Digitale zorgtoepassing]),0))</f>
        <v>0</v>
      </c>
      <c r="O26" s="403" cm="1">
        <f t="array" ref="O26">INDEX(Technologieën[Besparing overige kosten (€/patiënt/jaar)],MATCH(B26,IF(Technologieën[Zoeksleutel bronnummer]=G26,Technologieën[Digitale zorgtoepassing]),0))</f>
        <v>218.08799999999997</v>
      </c>
      <c r="P26" s="403" cm="1">
        <f t="array" ref="P26">INDEX(Technologieën[Kostenbesparing p. patiënt door arbeidsbesparing (€/week)],MATCH(B26,IF(Technologieën[Zoeksleutel bronnummer]=G26,Technologieën[Digitale zorgtoepassing]),0))</f>
        <v>6.2909999999999986</v>
      </c>
      <c r="Q26" s="403" cm="1">
        <f t="array" ref="Q26">INDEX(Technologieën[Kostenbesparing (personeel) per handeling (€)],MATCH(B26,IF(Technologieën[Zoeksleutel bronnummer]=G26,Technologieën[Digitale zorgtoepassing]),0))</f>
        <v>0</v>
      </c>
      <c r="R26" s="403" cm="1">
        <f t="array" ref="R26">INDEX(Technologieën[Besparing overige kosten (€/jaar)],MATCH(B26,IF(Technologieën[Zoeksleutel bronnummer]=G26,Technologieën[Digitale zorgtoepassing]),0))</f>
        <v>0</v>
      </c>
      <c r="S26" s="405" cm="1">
        <f t="array" ref="S26">INDEX(Technologieën[Jaarlijkse besparing zorgpersoneel (FTE)],MATCH(B26,IF(Technologieën[Zoeksleutel bronnummer]=G26,Technologieën[Digitale zorgtoepassing]),0))</f>
        <v>0</v>
      </c>
      <c r="T26" s="406" cm="1">
        <f t="array" ref="T26">(INDEX(Technologieën[QALY],MATCH(B26,IF(Technologieën[Zoeksleutel bronnummer]=G26,Technologieën[Digitale zorgtoepassing]),0)))</f>
        <v>5.7000000000000002E-2</v>
      </c>
      <c r="U26" s="407">
        <f>(uniforme_input[[#This Row],[Kostenbesparing door arbeidsbesparing p. patiënt (€/week)]]/uniforme_input[[#This Row],[Uurtarief]]*60) + (uniforme_input[[#This Row],[Totaal arbeidsbesparing onafhankelijk van patiënt (FTE)]]*40*60)/uniforme_input[[#This Row],[Patiëntaantallen]]</f>
        <v>13.607023323026239</v>
      </c>
      <c r="V26" s="407">
        <f>(uniforme_input[[#This Row],[Kostenbesparing per handeling (€)]]/uniforme_input[[#This Row],[Uurtarief]])*60</f>
        <v>0</v>
      </c>
      <c r="W26" s="398">
        <f>uniforme_input[[#This Row],[Overige kostenbesparing (Totaal €/jaar)]]/uniforme_input[[#This Row],[Patiëntaantallen]]</f>
        <v>0</v>
      </c>
      <c r="X26" s="408">
        <f>IF(uniforme_input[[#This Row],[Bron gebruiken voor opbrengsten?]]="Ja",uniforme_input[[#This Row],[Tijdsbesparing (min/week/patiënt) - gegeven]]+uniforme_input[[#This Row],[Tijdsbesparing (min/week/patiënt) berekend]],0)</f>
        <v>13.607023323026239</v>
      </c>
      <c r="Y26" s="407">
        <f>IF(uniforme_input[[#This Row],[Bron gebruiken voor opbrengsten?]]="Ja",uniforme_input[[#This Row],[Tijdsbesparing (min/handeling) - gegeven]]+uniforme_input[[#This Row],[Tijdsbesparing (min/handeling) berekend]],0)</f>
        <v>0</v>
      </c>
      <c r="Z26" s="409">
        <f>IF(uniforme_input[[#This Row],[Bron gebruiken voor opbrengsten?]]="Ja",uniforme_input[[#This Row],[Overige kostenbesparing (€/jaar/patiënt) - gegeven]]+uniforme_input[[#This Row],[Overige kostenbesparing (€/jaar/patiënt) berekend]],0)</f>
        <v>218.08799999999997</v>
      </c>
      <c r="AA26" s="403" cm="1">
        <f t="array" ref="AA26">INDEX(Technologieën[Jaarlijkse kosten p. patiënt],MATCH(B26,IF(Technologieën[Zoeksleutel bronnummer]=G26,Technologieën[Digitale zorgtoepassing]),0))</f>
        <v>172.5</v>
      </c>
      <c r="AB26" s="403" cm="1">
        <f t="array" ref="AB26">INDEX(Technologieën[Jaarlijkse kosten p. organisatie],MATCH(B26,IF(Technologieën[Zoeksleutel bronnummer]=G26,Technologieën[Digitale zorgtoepassing]),0))/uniforme_input[[#This Row],[Aantal doelgroepen waarop toepasbaar]]</f>
        <v>19166.666666666664</v>
      </c>
      <c r="AC26" s="403" cm="1">
        <f t="array" ref="AC26">INDEX(Technologieën[Jaarlijkse kosten (onafh. aantal patiënt/organisatie)],MATCH(B26,IF(Technologieën[Zoeksleutel bronnummer]=G26,Technologieën[Digitale zorgtoepassing]),0))/uniforme_input[[#This Row],[Aantal doelgroepen waarop toepasbaar]]</f>
        <v>0</v>
      </c>
      <c r="AD26" s="403" cm="1">
        <f t="array" ref="AD26">INDEX(Technologieën[Initiële investering (p. patiënt)],MATCH(B26,IF(Technologieën[Zoeksleutel bronnummer]=G26,Technologieën[Digitale zorgtoepassing]),0))</f>
        <v>0</v>
      </c>
      <c r="AE26" s="403" cm="1">
        <f t="array" ref="AE26">INDEX(Technologieën[Initiële investering (p. organisatie)],MATCH(B26,IF(Technologieën[Zoeksleutel bronnummer]=G26,Technologieën[Digitale zorgtoepassing]),0))</f>
        <v>47149.999999999993</v>
      </c>
      <c r="AF26" s="398">
        <f>((uniforme_input[[#This Row],[Jaarlijkse kosten per organisatie]]*uniforme_input[[#This Row],[Aantal organisaties]])/uniforme_input[[#This Row],[Patiëntaantallen]])+(uniforme_input[[#This Row],[Jaarlijkse kosten algemeen (onafhankelijk van patiënt/organisatie)]]/uniforme_input[[#This Row],[Patiëntaantallen]])</f>
        <v>120.32407407407406</v>
      </c>
      <c r="AG26" s="398">
        <f>(uniforme_input[[#This Row],[Initiële investering per organisatie]]*uniforme_input[[#This Row],[Aantal organisaties]])/uniforme_input[[#This Row],[Patiëntaantallen]]</f>
        <v>295.99722222222215</v>
      </c>
      <c r="AH26" s="410">
        <f>IF(uniforme_input[[#This Row],[Bron gebruiken voor kosten/investering?]]="Ja",uniforme_input[[#This Row],[Jaarlijkse kosten per patiënt]] + uniforme_input[[#This Row],[Jaarlijkse kosten per patiënt berekend]],0)</f>
        <v>292.82407407407408</v>
      </c>
      <c r="AI26" s="409">
        <f>IF(uniforme_input[[#This Row],[Bron gebruiken voor kosten/investering?]]="Ja",uniforme_input[[#This Row],[Initiële investering per patiënt]]+uniforme_input[[#This Row],[Initiële investering per patiënt berekend]],0)</f>
        <v>295.99722222222215</v>
      </c>
    </row>
    <row r="27" spans="1:83" x14ac:dyDescent="0.5">
      <c r="A27" s="51" t="str">
        <f>INDEX(Technologieën[Veld],MATCH(G27,Technologieën[Zoeksleutel bronnummer],0))</f>
        <v>Sensoren - Behandeling</v>
      </c>
      <c r="B27" s="33" t="s">
        <v>53</v>
      </c>
      <c r="C27" s="32" t="s">
        <v>391</v>
      </c>
      <c r="D27" s="32" t="s">
        <v>391</v>
      </c>
      <c r="E27" s="33" t="s">
        <v>55</v>
      </c>
      <c r="F27" s="33" t="str" cm="1">
        <f t="array" ref="F27">INDEX(Berekening_patiëntaantal[Direct toepasbaar/extrapolatie/incidentie voor QALY],MATCH(B27,IF(Berekening_patiëntaantal[Doelgroep (zoeksleutel)]=E27,Berekening_patiëntaantal[Digitale zorgtoepassing]),0))</f>
        <v>Huidige toepassing</v>
      </c>
      <c r="G27" s="33" t="s">
        <v>552</v>
      </c>
      <c r="H27" s="33" t="s">
        <v>148</v>
      </c>
      <c r="I27" s="403">
        <f>INDEX(Uurloon[Uurtarief zorgpersoneel],MATCH(H27,Uurloon[Zorgverlener],0))</f>
        <v>27.740086206896557</v>
      </c>
      <c r="J27" s="404" cm="1">
        <f t="array" ref="J27">INDEX(Berekening_patiëntaantal[Patiëntaantallen],MATCH(B27,IF(Berekening_patiëntaantal[Doelgroep (zoeksleutel)]=E27,Berekening_patiëntaantal[Digitale zorgtoepassing]),0))</f>
        <v>15000</v>
      </c>
      <c r="K27" s="404">
        <f>IFERROR(INDEX(aantal_organisaties[Aantal organisaties waarop toepasbaar],MATCH(B27,aantal_organisaties[Digitale zorgtoepassing],0)),0)</f>
        <v>113</v>
      </c>
      <c r="L27" s="397">
        <f>COUNTIF(uniforme_input[Doelgroep],E27)</f>
        <v>3</v>
      </c>
      <c r="M27" s="405" cm="1">
        <f t="array" ref="M27">INDEX(Technologieën[Tijdsbesparing p. patiënt (min/week)],MATCH(B27,IF(Technologieën[Zoeksleutel bronnummer]=G27,Technologieën[Digitale zorgtoepassing]),0))</f>
        <v>0</v>
      </c>
      <c r="N27" s="405" cm="1">
        <f t="array" ref="N27">INDEX(Technologieën[Tijdsbesparing per handeling (min)],MATCH(B27,IF(Technologieën[Zoeksleutel bronnummer]=G27,Technologieën[Digitale zorgtoepassing]),0))</f>
        <v>0</v>
      </c>
      <c r="O27" s="403" cm="1">
        <f t="array" ref="O27">INDEX(Technologieën[Besparing overige kosten (€/patiënt/jaar)],MATCH(B27,IF(Technologieën[Zoeksleutel bronnummer]=G27,Technologieën[Digitale zorgtoepassing]),0))</f>
        <v>218.08799999999997</v>
      </c>
      <c r="P27" s="403" cm="1">
        <f t="array" ref="P27">INDEX(Technologieën[Kostenbesparing p. patiënt door arbeidsbesparing (€/week)],MATCH(B27,IF(Technologieën[Zoeksleutel bronnummer]=G27,Technologieën[Digitale zorgtoepassing]),0))</f>
        <v>6.2909999999999986</v>
      </c>
      <c r="Q27" s="403" cm="1">
        <f t="array" ref="Q27">INDEX(Technologieën[Kostenbesparing (personeel) per handeling (€)],MATCH(B27,IF(Technologieën[Zoeksleutel bronnummer]=G27,Technologieën[Digitale zorgtoepassing]),0))</f>
        <v>0</v>
      </c>
      <c r="R27" s="403" cm="1">
        <f t="array" ref="R27">INDEX(Technologieën[Besparing overige kosten (€/jaar)],MATCH(B27,IF(Technologieën[Zoeksleutel bronnummer]=G27,Technologieën[Digitale zorgtoepassing]),0))</f>
        <v>0</v>
      </c>
      <c r="S27" s="405" cm="1">
        <f t="array" ref="S27">INDEX(Technologieën[Jaarlijkse besparing zorgpersoneel (FTE)],MATCH(B27,IF(Technologieën[Zoeksleutel bronnummer]=G27,Technologieën[Digitale zorgtoepassing]),0))</f>
        <v>0</v>
      </c>
      <c r="T27" s="406" cm="1">
        <f t="array" ref="T27">(INDEX(Technologieën[QALY],MATCH(B27,IF(Technologieën[Zoeksleutel bronnummer]=G27,Technologieën[Digitale zorgtoepassing]),0)))</f>
        <v>5.7000000000000002E-2</v>
      </c>
      <c r="U27" s="407">
        <f>(uniforme_input[[#This Row],[Kostenbesparing door arbeidsbesparing p. patiënt (€/week)]]/uniforme_input[[#This Row],[Uurtarief]]*60) + (uniforme_input[[#This Row],[Totaal arbeidsbesparing onafhankelijk van patiënt (FTE)]]*40*60)/uniforme_input[[#This Row],[Patiëntaantallen]]</f>
        <v>13.607023323026239</v>
      </c>
      <c r="V27" s="407">
        <f>(uniforme_input[[#This Row],[Kostenbesparing per handeling (€)]]/uniforme_input[[#This Row],[Uurtarief]])*60</f>
        <v>0</v>
      </c>
      <c r="W27" s="398">
        <f>uniforme_input[[#This Row],[Overige kostenbesparing (Totaal €/jaar)]]/uniforme_input[[#This Row],[Patiëntaantallen]]</f>
        <v>0</v>
      </c>
      <c r="X27" s="408">
        <f>IF(uniforme_input[[#This Row],[Bron gebruiken voor opbrengsten?]]="Ja",uniforme_input[[#This Row],[Tijdsbesparing (min/week/patiënt) - gegeven]]+uniforme_input[[#This Row],[Tijdsbesparing (min/week/patiënt) berekend]],0)</f>
        <v>13.607023323026239</v>
      </c>
      <c r="Y27" s="407">
        <f>IF(uniforme_input[[#This Row],[Bron gebruiken voor opbrengsten?]]="Ja",uniforme_input[[#This Row],[Tijdsbesparing (min/handeling) - gegeven]]+uniforme_input[[#This Row],[Tijdsbesparing (min/handeling) berekend]],0)</f>
        <v>0</v>
      </c>
      <c r="Z27" s="409">
        <f>IF(uniforme_input[[#This Row],[Bron gebruiken voor opbrengsten?]]="Ja",uniforme_input[[#This Row],[Overige kostenbesparing (€/jaar/patiënt) - gegeven]]+uniforme_input[[#This Row],[Overige kostenbesparing (€/jaar/patiënt) berekend]],0)</f>
        <v>218.08799999999997</v>
      </c>
      <c r="AA27" s="403" cm="1">
        <f t="array" ref="AA27">INDEX(Technologieën[Jaarlijkse kosten p. patiënt],MATCH(B27,IF(Technologieën[Zoeksleutel bronnummer]=G27,Technologieën[Digitale zorgtoepassing]),0))</f>
        <v>172.5</v>
      </c>
      <c r="AB27" s="403" cm="1">
        <f t="array" ref="AB27">INDEX(Technologieën[Jaarlijkse kosten p. organisatie],MATCH(B27,IF(Technologieën[Zoeksleutel bronnummer]=G27,Technologieën[Digitale zorgtoepassing]),0))/uniforme_input[[#This Row],[Aantal doelgroepen waarop toepasbaar]]</f>
        <v>19166.666666666664</v>
      </c>
      <c r="AC27" s="403" cm="1">
        <f t="array" ref="AC27">INDEX(Technologieën[Jaarlijkse kosten (onafh. aantal patiënt/organisatie)],MATCH(B27,IF(Technologieën[Zoeksleutel bronnummer]=G27,Technologieën[Digitale zorgtoepassing]),0))/uniforme_input[[#This Row],[Aantal doelgroepen waarop toepasbaar]]</f>
        <v>0</v>
      </c>
      <c r="AD27" s="403" cm="1">
        <f t="array" ref="AD27">INDEX(Technologieën[Initiële investering (p. patiënt)],MATCH(B27,IF(Technologieën[Zoeksleutel bronnummer]=G27,Technologieën[Digitale zorgtoepassing]),0))</f>
        <v>0</v>
      </c>
      <c r="AE27" s="403" cm="1">
        <f t="array" ref="AE27">INDEX(Technologieën[Initiële investering (p. organisatie)],MATCH(B27,IF(Technologieën[Zoeksleutel bronnummer]=G27,Technologieën[Digitale zorgtoepassing]),0))</f>
        <v>47149.999999999993</v>
      </c>
      <c r="AF27" s="398">
        <f>((uniforme_input[[#This Row],[Jaarlijkse kosten per organisatie]]*uniforme_input[[#This Row],[Aantal organisaties]])/uniforme_input[[#This Row],[Patiëntaantallen]])+(uniforme_input[[#This Row],[Jaarlijkse kosten algemeen (onafhankelijk van patiënt/organisatie)]]/uniforme_input[[#This Row],[Patiëntaantallen]])</f>
        <v>144.38888888888886</v>
      </c>
      <c r="AG27" s="398">
        <f>(uniforme_input[[#This Row],[Initiële investering per organisatie]]*uniforme_input[[#This Row],[Aantal organisaties]])/uniforme_input[[#This Row],[Patiëntaantallen]]</f>
        <v>355.1966666666666</v>
      </c>
      <c r="AH27" s="410">
        <f>IF(uniforme_input[[#This Row],[Bron gebruiken voor kosten/investering?]]="Ja",uniforme_input[[#This Row],[Jaarlijkse kosten per patiënt]] + uniforme_input[[#This Row],[Jaarlijkse kosten per patiënt berekend]],0)</f>
        <v>316.88888888888886</v>
      </c>
      <c r="AI27" s="409">
        <f>IF(uniforme_input[[#This Row],[Bron gebruiken voor kosten/investering?]]="Ja",uniforme_input[[#This Row],[Initiële investering per patiënt]]+uniforme_input[[#This Row],[Initiële investering per patiënt berekend]],0)</f>
        <v>355.1966666666666</v>
      </c>
    </row>
    <row r="28" spans="1:83" x14ac:dyDescent="0.5">
      <c r="A28" s="51" t="str">
        <f>INDEX(Technologieën[Veld],MATCH(G28,Technologieën[Zoeksleutel bronnummer],0))</f>
        <v>Sensoren - Behandeling</v>
      </c>
      <c r="B28" s="33" t="s">
        <v>53</v>
      </c>
      <c r="C28" s="32" t="s">
        <v>391</v>
      </c>
      <c r="D28" s="32" t="s">
        <v>391</v>
      </c>
      <c r="E28" s="33" t="s">
        <v>722</v>
      </c>
      <c r="F28" s="33" t="str" cm="1">
        <f t="array" ref="F28">INDEX(Berekening_patiëntaantal[Direct toepasbaar/extrapolatie/incidentie voor QALY],MATCH(B28,IF(Berekening_patiëntaantal[Doelgroep (zoeksleutel)]=E28,Berekening_patiëntaantal[Digitale zorgtoepassing]),0))</f>
        <v>Extrapolatie</v>
      </c>
      <c r="G28" s="33" t="s">
        <v>552</v>
      </c>
      <c r="H28" s="33" t="s">
        <v>148</v>
      </c>
      <c r="I28" s="403">
        <f>INDEX(Uurloon[Uurtarief zorgpersoneel],MATCH(H28,Uurloon[Zorgverlener],0))</f>
        <v>27.740086206896557</v>
      </c>
      <c r="J28" s="404" cm="1">
        <f t="array" ref="J28">INDEX(Berekening_patiëntaantal[Patiëntaantallen],MATCH(B28,IF(Berekening_patiëntaantal[Doelgroep (zoeksleutel)]=E28,Berekening_patiëntaantal[Digitale zorgtoepassing]),0))</f>
        <v>249009.30694858587</v>
      </c>
      <c r="K28" s="404">
        <f>IFERROR(INDEX(aantal_organisaties[Aantal organisaties waarop toepasbaar],MATCH(B28,aantal_organisaties[Digitale zorgtoepassing],0)),0)</f>
        <v>113</v>
      </c>
      <c r="L28" s="397">
        <f>COUNTIF(uniforme_input[Doelgroep],E28)</f>
        <v>3</v>
      </c>
      <c r="M28" s="405" cm="1">
        <f t="array" ref="M28">INDEX(Technologieën[Tijdsbesparing p. patiënt (min/week)],MATCH(B28,IF(Technologieën[Zoeksleutel bronnummer]=G28,Technologieën[Digitale zorgtoepassing]),0))</f>
        <v>0</v>
      </c>
      <c r="N28" s="405" cm="1">
        <f t="array" ref="N28">INDEX(Technologieën[Tijdsbesparing per handeling (min)],MATCH(B28,IF(Technologieën[Zoeksleutel bronnummer]=G28,Technologieën[Digitale zorgtoepassing]),0))</f>
        <v>0</v>
      </c>
      <c r="O28" s="403" cm="1">
        <f t="array" ref="O28">INDEX(Technologieën[Besparing overige kosten (€/patiënt/jaar)],MATCH(B28,IF(Technologieën[Zoeksleutel bronnummer]=G28,Technologieën[Digitale zorgtoepassing]),0))</f>
        <v>218.08799999999997</v>
      </c>
      <c r="P28" s="403" cm="1">
        <f t="array" ref="P28">INDEX(Technologieën[Kostenbesparing p. patiënt door arbeidsbesparing (€/week)],MATCH(B28,IF(Technologieën[Zoeksleutel bronnummer]=G28,Technologieën[Digitale zorgtoepassing]),0))</f>
        <v>6.2909999999999986</v>
      </c>
      <c r="Q28" s="403" cm="1">
        <f t="array" ref="Q28">INDEX(Technologieën[Kostenbesparing (personeel) per handeling (€)],MATCH(B28,IF(Technologieën[Zoeksleutel bronnummer]=G28,Technologieën[Digitale zorgtoepassing]),0))</f>
        <v>0</v>
      </c>
      <c r="R28" s="403" cm="1">
        <f t="array" ref="R28">INDEX(Technologieën[Besparing overige kosten (€/jaar)],MATCH(B28,IF(Technologieën[Zoeksleutel bronnummer]=G28,Technologieën[Digitale zorgtoepassing]),0))</f>
        <v>0</v>
      </c>
      <c r="S28" s="405" cm="1">
        <f t="array" ref="S28">INDEX(Technologieën[Jaarlijkse besparing zorgpersoneel (FTE)],MATCH(B28,IF(Technologieën[Zoeksleutel bronnummer]=G28,Technologieën[Digitale zorgtoepassing]),0))</f>
        <v>0</v>
      </c>
      <c r="T28" s="406" cm="1">
        <f t="array" ref="T28">(INDEX(Technologieën[QALY],MATCH(B28,IF(Technologieën[Zoeksleutel bronnummer]=G28,Technologieën[Digitale zorgtoepassing]),0)))</f>
        <v>5.7000000000000002E-2</v>
      </c>
      <c r="U28" s="407">
        <f>(uniforme_input[[#This Row],[Kostenbesparing door arbeidsbesparing p. patiënt (€/week)]]/uniforme_input[[#This Row],[Uurtarief]]*60) + (uniforme_input[[#This Row],[Totaal arbeidsbesparing onafhankelijk van patiënt (FTE)]]*40*60)/uniforme_input[[#This Row],[Patiëntaantallen]]</f>
        <v>13.607023323026239</v>
      </c>
      <c r="V28" s="407">
        <f>(uniforme_input[[#This Row],[Kostenbesparing per handeling (€)]]/uniforme_input[[#This Row],[Uurtarief]])*60</f>
        <v>0</v>
      </c>
      <c r="W28" s="398">
        <f>uniforme_input[[#This Row],[Overige kostenbesparing (Totaal €/jaar)]]/uniforme_input[[#This Row],[Patiëntaantallen]]</f>
        <v>0</v>
      </c>
      <c r="X28" s="408">
        <f>IF(uniforme_input[[#This Row],[Bron gebruiken voor opbrengsten?]]="Ja",uniforme_input[[#This Row],[Tijdsbesparing (min/week/patiënt) - gegeven]]+uniforme_input[[#This Row],[Tijdsbesparing (min/week/patiënt) berekend]],0)</f>
        <v>13.607023323026239</v>
      </c>
      <c r="Y28" s="407">
        <f>IF(uniforme_input[[#This Row],[Bron gebruiken voor opbrengsten?]]="Ja",uniforme_input[[#This Row],[Tijdsbesparing (min/handeling) - gegeven]]+uniforme_input[[#This Row],[Tijdsbesparing (min/handeling) berekend]],0)</f>
        <v>0</v>
      </c>
      <c r="Z28" s="409">
        <f>IF(uniforme_input[[#This Row],[Bron gebruiken voor opbrengsten?]]="Ja",uniforme_input[[#This Row],[Overige kostenbesparing (€/jaar/patiënt) - gegeven]]+uniforme_input[[#This Row],[Overige kostenbesparing (€/jaar/patiënt) berekend]],0)</f>
        <v>218.08799999999997</v>
      </c>
      <c r="AA28" s="403" cm="1">
        <f t="array" ref="AA28">INDEX(Technologieën[Jaarlijkse kosten p. patiënt],MATCH(B28,IF(Technologieën[Zoeksleutel bronnummer]=G28,Technologieën[Digitale zorgtoepassing]),0))</f>
        <v>172.5</v>
      </c>
      <c r="AB28" s="403" cm="1">
        <f t="array" ref="AB28">INDEX(Technologieën[Jaarlijkse kosten p. organisatie],MATCH(B28,IF(Technologieën[Zoeksleutel bronnummer]=G28,Technologieën[Digitale zorgtoepassing]),0))/uniforme_input[[#This Row],[Aantal doelgroepen waarop toepasbaar]]</f>
        <v>19166.666666666664</v>
      </c>
      <c r="AC28" s="403" cm="1">
        <f t="array" ref="AC28">INDEX(Technologieën[Jaarlijkse kosten (onafh. aantal patiënt/organisatie)],MATCH(B28,IF(Technologieën[Zoeksleutel bronnummer]=G28,Technologieën[Digitale zorgtoepassing]),0))/uniforme_input[[#This Row],[Aantal doelgroepen waarop toepasbaar]]</f>
        <v>0</v>
      </c>
      <c r="AD28" s="403" cm="1">
        <f t="array" ref="AD28">INDEX(Technologieën[Initiële investering (p. patiënt)],MATCH(B28,IF(Technologieën[Zoeksleutel bronnummer]=G28,Technologieën[Digitale zorgtoepassing]),0))</f>
        <v>0</v>
      </c>
      <c r="AE28" s="403" cm="1">
        <f t="array" ref="AE28">INDEX(Technologieën[Initiële investering (p. organisatie)],MATCH(B28,IF(Technologieën[Zoeksleutel bronnummer]=G28,Technologieën[Digitale zorgtoepassing]),0))</f>
        <v>47149.999999999993</v>
      </c>
      <c r="AF28" s="398">
        <f>((uniforme_input[[#This Row],[Jaarlijkse kosten per organisatie]]*uniforme_input[[#This Row],[Aantal organisaties]])/uniforme_input[[#This Row],[Patiëntaantallen]])+(uniforme_input[[#This Row],[Jaarlijkse kosten algemeen (onafhankelijk van patiënt/organisatie)]]/uniforme_input[[#This Row],[Patiëntaantallen]])</f>
        <v>8.6978007363416463</v>
      </c>
      <c r="AG28" s="398">
        <f>(uniforme_input[[#This Row],[Initiële investering per organisatie]]*uniforme_input[[#This Row],[Aantal organisaties]])/uniforme_input[[#This Row],[Patiëntaantallen]]</f>
        <v>21.396589811400446</v>
      </c>
      <c r="AH28" s="410">
        <f>IF(uniforme_input[[#This Row],[Bron gebruiken voor kosten/investering?]]="Ja",uniforme_input[[#This Row],[Jaarlijkse kosten per patiënt]] + uniforme_input[[#This Row],[Jaarlijkse kosten per patiënt berekend]],0)</f>
        <v>181.19780073634163</v>
      </c>
      <c r="AI28" s="409">
        <f>IF(uniforme_input[[#This Row],[Bron gebruiken voor kosten/investering?]]="Ja",uniforme_input[[#This Row],[Initiële investering per patiënt]]+uniforme_input[[#This Row],[Initiële investering per patiënt berekend]],0)</f>
        <v>21.396589811400446</v>
      </c>
    </row>
    <row r="29" spans="1:83" x14ac:dyDescent="0.5">
      <c r="A29" s="51" t="str">
        <f>INDEX(Technologieën[Veld],MATCH(G29,Technologieën[Zoeksleutel bronnummer],0))</f>
        <v>Digitale hulpmiddelen - Verpleging</v>
      </c>
      <c r="B29" s="33" t="s">
        <v>19</v>
      </c>
      <c r="C29" s="32" t="s">
        <v>391</v>
      </c>
      <c r="D29" s="32" t="s">
        <v>391</v>
      </c>
      <c r="E29" s="33" t="s">
        <v>20</v>
      </c>
      <c r="F29" s="33" t="str" cm="1">
        <f t="array" ref="F29">INDEX(Berekening_patiëntaantal[Direct toepasbaar/extrapolatie/incidentie voor QALY],MATCH(B29,IF(Berekening_patiëntaantal[Doelgroep (zoeksleutel)]=E29,Berekening_patiëntaantal[Digitale zorgtoepassing]),0))</f>
        <v>Huidige toepassing</v>
      </c>
      <c r="G29" s="33" t="s">
        <v>559</v>
      </c>
      <c r="H29" s="33" t="s">
        <v>144</v>
      </c>
      <c r="I29" s="403">
        <f>INDEX(Uurloon[Uurtarief zorgpersoneel],MATCH(H29,Uurloon[Zorgverlener],0))</f>
        <v>20.410632183908046</v>
      </c>
      <c r="J29" s="404" cm="1">
        <f t="array" ref="J29">INDEX(Berekening_patiëntaantal[Patiëntaantallen],MATCH(B29,IF(Berekening_patiëntaantal[Doelgroep (zoeksleutel)]=E29,Berekening_patiëntaantal[Digitale zorgtoepassing]),0))</f>
        <v>7830</v>
      </c>
      <c r="K29" s="404">
        <f>IFERROR(INDEX(aantal_organisaties[Aantal organisaties waarop toepasbaar],MATCH(B29,aantal_organisaties[Digitale zorgtoepassing],0)),0)</f>
        <v>150</v>
      </c>
      <c r="L29" s="397">
        <f>COUNTIF(uniforme_input[Doelgroep],E29)</f>
        <v>14</v>
      </c>
      <c r="M29" s="405" cm="1">
        <f t="array" ref="M29">INDEX(Technologieën[Tijdsbesparing p. patiënt (min/week)],MATCH(B29,IF(Technologieën[Zoeksleutel bronnummer]=G29,Technologieën[Digitale zorgtoepassing]),0))</f>
        <v>90</v>
      </c>
      <c r="N29" s="405" cm="1">
        <f t="array" ref="N29">INDEX(Technologieën[Tijdsbesparing per handeling (min)],MATCH(B29,IF(Technologieën[Zoeksleutel bronnummer]=G29,Technologieën[Digitale zorgtoepassing]),0))</f>
        <v>0</v>
      </c>
      <c r="O29" s="403" cm="1">
        <f t="array" ref="O29">INDEX(Technologieën[Besparing overige kosten (€/patiënt/jaar)],MATCH(B29,IF(Technologieën[Zoeksleutel bronnummer]=G29,Technologieën[Digitale zorgtoepassing]),0))</f>
        <v>784.13383942357177</v>
      </c>
      <c r="P29" s="403" cm="1">
        <f t="array" ref="P29">INDEX(Technologieën[Kostenbesparing p. patiënt door arbeidsbesparing (€/week)],MATCH(B29,IF(Technologieën[Zoeksleutel bronnummer]=G29,Technologieën[Digitale zorgtoepassing]),0))</f>
        <v>0</v>
      </c>
      <c r="Q29" s="403" cm="1">
        <f t="array" ref="Q29">INDEX(Technologieën[Kostenbesparing (personeel) per handeling (€)],MATCH(B29,IF(Technologieën[Zoeksleutel bronnummer]=G29,Technologieën[Digitale zorgtoepassing]),0))</f>
        <v>0</v>
      </c>
      <c r="R29" s="403" cm="1">
        <f t="array" ref="R29">INDEX(Technologieën[Besparing overige kosten (€/jaar)],MATCH(B29,IF(Technologieën[Zoeksleutel bronnummer]=G29,Technologieën[Digitale zorgtoepassing]),0))</f>
        <v>0</v>
      </c>
      <c r="S29" s="405" cm="1">
        <f t="array" ref="S29">INDEX(Technologieën[Jaarlijkse besparing zorgpersoneel (FTE)],MATCH(B29,IF(Technologieën[Zoeksleutel bronnummer]=G29,Technologieën[Digitale zorgtoepassing]),0))</f>
        <v>0</v>
      </c>
      <c r="T29" s="406" cm="1">
        <f t="array" ref="T29">(INDEX(Technologieën[QALY],MATCH(B29,IF(Technologieën[Zoeksleutel bronnummer]=G29,Technologieën[Digitale zorgtoepassing]),0)))</f>
        <v>0</v>
      </c>
      <c r="U29" s="407">
        <f>(uniforme_input[[#This Row],[Kostenbesparing door arbeidsbesparing p. patiënt (€/week)]]/uniforme_input[[#This Row],[Uurtarief]]*60) + (uniforme_input[[#This Row],[Totaal arbeidsbesparing onafhankelijk van patiënt (FTE)]]*40*60)/uniforme_input[[#This Row],[Patiëntaantallen]]</f>
        <v>0</v>
      </c>
      <c r="V29" s="407">
        <f>(uniforme_input[[#This Row],[Kostenbesparing per handeling (€)]]/uniforme_input[[#This Row],[Uurtarief]])*60</f>
        <v>0</v>
      </c>
      <c r="W29" s="398">
        <f>uniforme_input[[#This Row],[Overige kostenbesparing (Totaal €/jaar)]]/uniforme_input[[#This Row],[Patiëntaantallen]]</f>
        <v>0</v>
      </c>
      <c r="X29" s="408">
        <f>IF(uniforme_input[[#This Row],[Bron gebruiken voor opbrengsten?]]="Ja",uniforme_input[[#This Row],[Tijdsbesparing (min/week/patiënt) - gegeven]]+uniforme_input[[#This Row],[Tijdsbesparing (min/week/patiënt) berekend]],0)</f>
        <v>90</v>
      </c>
      <c r="Y29" s="407">
        <f>IF(uniforme_input[[#This Row],[Bron gebruiken voor opbrengsten?]]="Ja",uniforme_input[[#This Row],[Tijdsbesparing (min/handeling) - gegeven]]+uniforme_input[[#This Row],[Tijdsbesparing (min/handeling) berekend]],0)</f>
        <v>0</v>
      </c>
      <c r="Z29" s="409">
        <f>IF(uniforme_input[[#This Row],[Bron gebruiken voor opbrengsten?]]="Ja",uniforme_input[[#This Row],[Overige kostenbesparing (€/jaar/patiënt) - gegeven]]+uniforme_input[[#This Row],[Overige kostenbesparing (€/jaar/patiënt) berekend]],0)</f>
        <v>784.13383942357177</v>
      </c>
      <c r="AA29" s="403" cm="1">
        <f t="array" ref="AA29">INDEX(Technologieën[Jaarlijkse kosten p. patiënt],MATCH(B29,IF(Technologieën[Zoeksleutel bronnummer]=G29,Technologieën[Digitale zorgtoepassing]),0))</f>
        <v>1282.57</v>
      </c>
      <c r="AB29" s="403" cm="1">
        <f t="array" ref="AB29">INDEX(Technologieën[Jaarlijkse kosten p. organisatie],MATCH(B29,IF(Technologieën[Zoeksleutel bronnummer]=G29,Technologieën[Digitale zorgtoepassing]),0))/uniforme_input[[#This Row],[Aantal doelgroepen waarop toepasbaar]]</f>
        <v>0</v>
      </c>
      <c r="AC29" s="403" cm="1">
        <f t="array" ref="AC29">INDEX(Technologieën[Jaarlijkse kosten (onafh. aantal patiënt/organisatie)],MATCH(B29,IF(Technologieën[Zoeksleutel bronnummer]=G29,Technologieën[Digitale zorgtoepassing]),0))/uniforme_input[[#This Row],[Aantal doelgroepen waarop toepasbaar]]</f>
        <v>0</v>
      </c>
      <c r="AD29" s="403" cm="1">
        <f t="array" ref="AD29">INDEX(Technologieën[Initiële investering (p. patiënt)],MATCH(B29,IF(Technologieën[Zoeksleutel bronnummer]=G29,Technologieën[Digitale zorgtoepassing]),0))</f>
        <v>0</v>
      </c>
      <c r="AE29" s="403" cm="1">
        <f t="array" ref="AE29">INDEX(Technologieën[Initiële investering (p. organisatie)],MATCH(B29,IF(Technologieën[Zoeksleutel bronnummer]=G29,Technologieën[Digitale zorgtoepassing]),0))</f>
        <v>42000</v>
      </c>
      <c r="AF29"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29" s="398">
        <f>(uniforme_input[[#This Row],[Initiële investering per organisatie]]*uniforme_input[[#This Row],[Aantal organisaties]])/uniforme_input[[#This Row],[Patiëntaantallen]]</f>
        <v>804.59770114942523</v>
      </c>
      <c r="AH29" s="410">
        <f>IF(uniforme_input[[#This Row],[Bron gebruiken voor kosten/investering?]]="Ja",uniforme_input[[#This Row],[Jaarlijkse kosten per patiënt]] + uniforme_input[[#This Row],[Jaarlijkse kosten per patiënt berekend]],0)</f>
        <v>1282.57</v>
      </c>
      <c r="AI29" s="409">
        <f>IF(uniforme_input[[#This Row],[Bron gebruiken voor kosten/investering?]]="Ja",uniforme_input[[#This Row],[Initiële investering per patiënt]]+uniforme_input[[#This Row],[Initiële investering per patiënt berekend]],0)</f>
        <v>804.59770114942523</v>
      </c>
    </row>
    <row r="30" spans="1:83" x14ac:dyDescent="0.5">
      <c r="A30" s="51" t="str">
        <f>INDEX(Technologieën[Veld],MATCH(G30,Technologieën[Zoeksleutel bronnummer],0))</f>
        <v>Digitale hulpmiddelen - Verpleging</v>
      </c>
      <c r="B30" s="33" t="s">
        <v>19</v>
      </c>
      <c r="C30" s="32" t="s">
        <v>391</v>
      </c>
      <c r="D30" s="32" t="s">
        <v>391</v>
      </c>
      <c r="E30" s="33" t="s">
        <v>24</v>
      </c>
      <c r="F30" s="33" t="str" cm="1">
        <f t="array" ref="F30">INDEX(Berekening_patiëntaantal[Direct toepasbaar/extrapolatie/incidentie voor QALY],MATCH(B30,IF(Berekening_patiëntaantal[Doelgroep (zoeksleutel)]=E30,Berekening_patiëntaantal[Digitale zorgtoepassing]),0))</f>
        <v>Huidige toepassing</v>
      </c>
      <c r="G30" s="33" t="s">
        <v>559</v>
      </c>
      <c r="H30" s="33" t="s">
        <v>144</v>
      </c>
      <c r="I30" s="403">
        <f>INDEX(Uurloon[Uurtarief zorgpersoneel],MATCH(H30,Uurloon[Zorgverlener],0))</f>
        <v>20.410632183908046</v>
      </c>
      <c r="J30" s="404" cm="1">
        <f t="array" ref="J30">INDEX(Berekening_patiëntaantal[Patiëntaantallen],MATCH(B30,IF(Berekening_patiëntaantal[Doelgroep (zoeksleutel)]=E30,Berekening_patiëntaantal[Digitale zorgtoepassing]),0))</f>
        <v>5476.8</v>
      </c>
      <c r="K30" s="404">
        <f>IFERROR(INDEX(aantal_organisaties[Aantal organisaties waarop toepasbaar],MATCH(B30,aantal_organisaties[Digitale zorgtoepassing],0)),0)</f>
        <v>150</v>
      </c>
      <c r="L30" s="397">
        <f>COUNTIF(uniforme_input[Doelgroep],E30)</f>
        <v>12</v>
      </c>
      <c r="M30" s="405" cm="1">
        <f t="array" ref="M30">INDEX(Technologieën[Tijdsbesparing p. patiënt (min/week)],MATCH(B30,IF(Technologieën[Zoeksleutel bronnummer]=G30,Technologieën[Digitale zorgtoepassing]),0))</f>
        <v>90</v>
      </c>
      <c r="N30" s="405" cm="1">
        <f t="array" ref="N30">INDEX(Technologieën[Tijdsbesparing per handeling (min)],MATCH(B30,IF(Technologieën[Zoeksleutel bronnummer]=G30,Technologieën[Digitale zorgtoepassing]),0))</f>
        <v>0</v>
      </c>
      <c r="O30" s="403" cm="1">
        <f t="array" ref="O30">INDEX(Technologieën[Besparing overige kosten (€/patiënt/jaar)],MATCH(B30,IF(Technologieën[Zoeksleutel bronnummer]=G30,Technologieën[Digitale zorgtoepassing]),0))</f>
        <v>784.13383942357177</v>
      </c>
      <c r="P30" s="403" cm="1">
        <f t="array" ref="P30">INDEX(Technologieën[Kostenbesparing p. patiënt door arbeidsbesparing (€/week)],MATCH(B30,IF(Technologieën[Zoeksleutel bronnummer]=G30,Technologieën[Digitale zorgtoepassing]),0))</f>
        <v>0</v>
      </c>
      <c r="Q30" s="403" cm="1">
        <f t="array" ref="Q30">INDEX(Technologieën[Kostenbesparing (personeel) per handeling (€)],MATCH(B30,IF(Technologieën[Zoeksleutel bronnummer]=G30,Technologieën[Digitale zorgtoepassing]),0))</f>
        <v>0</v>
      </c>
      <c r="R30" s="403" cm="1">
        <f t="array" ref="R30">INDEX(Technologieën[Besparing overige kosten (€/jaar)],MATCH(B30,IF(Technologieën[Zoeksleutel bronnummer]=G30,Technologieën[Digitale zorgtoepassing]),0))</f>
        <v>0</v>
      </c>
      <c r="S30" s="405" cm="1">
        <f t="array" ref="S30">INDEX(Technologieën[Jaarlijkse besparing zorgpersoneel (FTE)],MATCH(B30,IF(Technologieën[Zoeksleutel bronnummer]=G30,Technologieën[Digitale zorgtoepassing]),0))</f>
        <v>0</v>
      </c>
      <c r="T30" s="406" cm="1">
        <f t="array" ref="T30">(INDEX(Technologieën[QALY],MATCH(B30,IF(Technologieën[Zoeksleutel bronnummer]=G30,Technologieën[Digitale zorgtoepassing]),0)))</f>
        <v>0</v>
      </c>
      <c r="U30" s="407">
        <f>(uniforme_input[[#This Row],[Kostenbesparing door arbeidsbesparing p. patiënt (€/week)]]/uniforme_input[[#This Row],[Uurtarief]]*60) + (uniforme_input[[#This Row],[Totaal arbeidsbesparing onafhankelijk van patiënt (FTE)]]*40*60)/uniforme_input[[#This Row],[Patiëntaantallen]]</f>
        <v>0</v>
      </c>
      <c r="V30" s="407">
        <f>(uniforme_input[[#This Row],[Kostenbesparing per handeling (€)]]/uniforme_input[[#This Row],[Uurtarief]])*60</f>
        <v>0</v>
      </c>
      <c r="W30" s="398">
        <f>uniforme_input[[#This Row],[Overige kostenbesparing (Totaal €/jaar)]]/uniforme_input[[#This Row],[Patiëntaantallen]]</f>
        <v>0</v>
      </c>
      <c r="X30" s="408">
        <f>IF(uniforme_input[[#This Row],[Bron gebruiken voor opbrengsten?]]="Ja",uniforme_input[[#This Row],[Tijdsbesparing (min/week/patiënt) - gegeven]]+uniforme_input[[#This Row],[Tijdsbesparing (min/week/patiënt) berekend]],0)</f>
        <v>90</v>
      </c>
      <c r="Y30" s="407">
        <f>IF(uniforme_input[[#This Row],[Bron gebruiken voor opbrengsten?]]="Ja",uniforme_input[[#This Row],[Tijdsbesparing (min/handeling) - gegeven]]+uniforme_input[[#This Row],[Tijdsbesparing (min/handeling) berekend]],0)</f>
        <v>0</v>
      </c>
      <c r="Z30" s="409">
        <f>IF(uniforme_input[[#This Row],[Bron gebruiken voor opbrengsten?]]="Ja",uniforme_input[[#This Row],[Overige kostenbesparing (€/jaar/patiënt) - gegeven]]+uniforme_input[[#This Row],[Overige kostenbesparing (€/jaar/patiënt) berekend]],0)</f>
        <v>784.13383942357177</v>
      </c>
      <c r="AA30" s="403" cm="1">
        <f t="array" ref="AA30">INDEX(Technologieën[Jaarlijkse kosten p. patiënt],MATCH(B30,IF(Technologieën[Zoeksleutel bronnummer]=G30,Technologieën[Digitale zorgtoepassing]),0))</f>
        <v>1282.57</v>
      </c>
      <c r="AB30" s="403" cm="1">
        <f t="array" ref="AB30">INDEX(Technologieën[Jaarlijkse kosten p. organisatie],MATCH(B30,IF(Technologieën[Zoeksleutel bronnummer]=G30,Technologieën[Digitale zorgtoepassing]),0))/uniforme_input[[#This Row],[Aantal doelgroepen waarop toepasbaar]]</f>
        <v>0</v>
      </c>
      <c r="AC30" s="403" cm="1">
        <f t="array" ref="AC30">INDEX(Technologieën[Jaarlijkse kosten (onafh. aantal patiënt/organisatie)],MATCH(B30,IF(Technologieën[Zoeksleutel bronnummer]=G30,Technologieën[Digitale zorgtoepassing]),0))/uniforme_input[[#This Row],[Aantal doelgroepen waarop toepasbaar]]</f>
        <v>0</v>
      </c>
      <c r="AD30" s="403" cm="1">
        <f t="array" ref="AD30">INDEX(Technologieën[Initiële investering (p. patiënt)],MATCH(B30,IF(Technologieën[Zoeksleutel bronnummer]=G30,Technologieën[Digitale zorgtoepassing]),0))</f>
        <v>0</v>
      </c>
      <c r="AE30" s="403" cm="1">
        <f t="array" ref="AE30">INDEX(Technologieën[Initiële investering (p. organisatie)],MATCH(B30,IF(Technologieën[Zoeksleutel bronnummer]=G30,Technologieën[Digitale zorgtoepassing]),0))</f>
        <v>42000</v>
      </c>
      <c r="AF30"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30" s="398">
        <f>(uniforme_input[[#This Row],[Initiële investering per organisatie]]*uniforme_input[[#This Row],[Aantal organisaties]])/uniforme_input[[#This Row],[Patiëntaantallen]]</f>
        <v>1150.3067484662577</v>
      </c>
      <c r="AH30" s="410">
        <f>IF(uniforme_input[[#This Row],[Bron gebruiken voor kosten/investering?]]="Ja",uniforme_input[[#This Row],[Jaarlijkse kosten per patiënt]] + uniforme_input[[#This Row],[Jaarlijkse kosten per patiënt berekend]],0)</f>
        <v>1282.57</v>
      </c>
      <c r="AI30" s="409">
        <f>IF(uniforme_input[[#This Row],[Bron gebruiken voor kosten/investering?]]="Ja",uniforme_input[[#This Row],[Initiële investering per patiënt]]+uniforme_input[[#This Row],[Initiële investering per patiënt berekend]],0)</f>
        <v>1150.3067484662577</v>
      </c>
    </row>
    <row r="31" spans="1:83" s="49" customFormat="1" x14ac:dyDescent="0.5">
      <c r="A31" s="51" t="str">
        <f>INDEX(Technologieën[Veld],MATCH(G31,Technologieën[Zoeksleutel bronnummer],0))</f>
        <v>Digitale hulpmiddelen - Verpleging</v>
      </c>
      <c r="B31" s="33" t="s">
        <v>19</v>
      </c>
      <c r="C31" s="32" t="s">
        <v>391</v>
      </c>
      <c r="D31" s="32" t="s">
        <v>391</v>
      </c>
      <c r="E31" s="33" t="s">
        <v>27</v>
      </c>
      <c r="F31" s="33" t="str" cm="1">
        <f t="array" ref="F31">INDEX(Berekening_patiëntaantal[Direct toepasbaar/extrapolatie/incidentie voor QALY],MATCH(B31,IF(Berekening_patiëntaantal[Doelgroep (zoeksleutel)]=E31,Berekening_patiëntaantal[Digitale zorgtoepassing]),0))</f>
        <v>Extrapolatie</v>
      </c>
      <c r="G31" s="33" t="s">
        <v>559</v>
      </c>
      <c r="H31" s="33" t="s">
        <v>144</v>
      </c>
      <c r="I31" s="403">
        <f>INDEX(Uurloon[Uurtarief zorgpersoneel],MATCH(H31,Uurloon[Zorgverlener],0))</f>
        <v>20.410632183908046</v>
      </c>
      <c r="J31" s="404" cm="1">
        <f t="array" ref="J31">INDEX(Berekening_patiëntaantal[Patiëntaantallen],MATCH(B31,IF(Berekening_patiëntaantal[Doelgroep (zoeksleutel)]=E31,Berekening_patiëntaantal[Digitale zorgtoepassing]),0))</f>
        <v>7935</v>
      </c>
      <c r="K31" s="404">
        <f>IFERROR(INDEX(aantal_organisaties[Aantal organisaties waarop toepasbaar],MATCH(B31,aantal_organisaties[Digitale zorgtoepassing],0)),0)</f>
        <v>150</v>
      </c>
      <c r="L31" s="397">
        <f>COUNTIF(uniforme_input[Doelgroep],E31)</f>
        <v>12</v>
      </c>
      <c r="M31" s="405" cm="1">
        <f t="array" ref="M31">INDEX(Technologieën[Tijdsbesparing p. patiënt (min/week)],MATCH(B31,IF(Technologieën[Zoeksleutel bronnummer]=G31,Technologieën[Digitale zorgtoepassing]),0))</f>
        <v>90</v>
      </c>
      <c r="N31" s="405" cm="1">
        <f t="array" ref="N31">INDEX(Technologieën[Tijdsbesparing per handeling (min)],MATCH(B31,IF(Technologieën[Zoeksleutel bronnummer]=G31,Technologieën[Digitale zorgtoepassing]),0))</f>
        <v>0</v>
      </c>
      <c r="O31" s="403" cm="1">
        <f t="array" ref="O31">INDEX(Technologieën[Besparing overige kosten (€/patiënt/jaar)],MATCH(B31,IF(Technologieën[Zoeksleutel bronnummer]=G31,Technologieën[Digitale zorgtoepassing]),0))</f>
        <v>784.13383942357177</v>
      </c>
      <c r="P31" s="403" cm="1">
        <f t="array" ref="P31">INDEX(Technologieën[Kostenbesparing p. patiënt door arbeidsbesparing (€/week)],MATCH(B31,IF(Technologieën[Zoeksleutel bronnummer]=G31,Technologieën[Digitale zorgtoepassing]),0))</f>
        <v>0</v>
      </c>
      <c r="Q31" s="403" cm="1">
        <f t="array" ref="Q31">INDEX(Technologieën[Kostenbesparing (personeel) per handeling (€)],MATCH(B31,IF(Technologieën[Zoeksleutel bronnummer]=G31,Technologieën[Digitale zorgtoepassing]),0))</f>
        <v>0</v>
      </c>
      <c r="R31" s="403" cm="1">
        <f t="array" ref="R31">INDEX(Technologieën[Besparing overige kosten (€/jaar)],MATCH(B31,IF(Technologieën[Zoeksleutel bronnummer]=G31,Technologieën[Digitale zorgtoepassing]),0))</f>
        <v>0</v>
      </c>
      <c r="S31" s="405" cm="1">
        <f t="array" ref="S31">INDEX(Technologieën[Jaarlijkse besparing zorgpersoneel (FTE)],MATCH(B31,IF(Technologieën[Zoeksleutel bronnummer]=G31,Technologieën[Digitale zorgtoepassing]),0))</f>
        <v>0</v>
      </c>
      <c r="T31" s="406" cm="1">
        <f t="array" ref="T31">(INDEX(Technologieën[QALY],MATCH(B31,IF(Technologieën[Zoeksleutel bronnummer]=G31,Technologieën[Digitale zorgtoepassing]),0)))</f>
        <v>0</v>
      </c>
      <c r="U31" s="407">
        <f>(uniforme_input[[#This Row],[Kostenbesparing door arbeidsbesparing p. patiënt (€/week)]]/uniforme_input[[#This Row],[Uurtarief]]*60) + (uniforme_input[[#This Row],[Totaal arbeidsbesparing onafhankelijk van patiënt (FTE)]]*40*60)/uniforme_input[[#This Row],[Patiëntaantallen]]</f>
        <v>0</v>
      </c>
      <c r="V31" s="407">
        <f>(uniforme_input[[#This Row],[Kostenbesparing per handeling (€)]]/uniforme_input[[#This Row],[Uurtarief]])*60</f>
        <v>0</v>
      </c>
      <c r="W31" s="398">
        <f>uniforme_input[[#This Row],[Overige kostenbesparing (Totaal €/jaar)]]/uniforme_input[[#This Row],[Patiëntaantallen]]</f>
        <v>0</v>
      </c>
      <c r="X31" s="408">
        <f>IF(uniforme_input[[#This Row],[Bron gebruiken voor opbrengsten?]]="Ja",uniforme_input[[#This Row],[Tijdsbesparing (min/week/patiënt) - gegeven]]+uniforme_input[[#This Row],[Tijdsbesparing (min/week/patiënt) berekend]],0)</f>
        <v>90</v>
      </c>
      <c r="Y31" s="407">
        <f>IF(uniforme_input[[#This Row],[Bron gebruiken voor opbrengsten?]]="Ja",uniforme_input[[#This Row],[Tijdsbesparing (min/handeling) - gegeven]]+uniforme_input[[#This Row],[Tijdsbesparing (min/handeling) berekend]],0)</f>
        <v>0</v>
      </c>
      <c r="Z31" s="409">
        <f>IF(uniforme_input[[#This Row],[Bron gebruiken voor opbrengsten?]]="Ja",uniforme_input[[#This Row],[Overige kostenbesparing (€/jaar/patiënt) - gegeven]]+uniforme_input[[#This Row],[Overige kostenbesparing (€/jaar/patiënt) berekend]],0)</f>
        <v>784.13383942357177</v>
      </c>
      <c r="AA31" s="403" cm="1">
        <f t="array" ref="AA31">INDEX(Technologieën[Jaarlijkse kosten p. patiënt],MATCH(B31,IF(Technologieën[Zoeksleutel bronnummer]=G31,Technologieën[Digitale zorgtoepassing]),0))</f>
        <v>1282.57</v>
      </c>
      <c r="AB31" s="403" cm="1">
        <f t="array" ref="AB31">INDEX(Technologieën[Jaarlijkse kosten p. organisatie],MATCH(B31,IF(Technologieën[Zoeksleutel bronnummer]=G31,Technologieën[Digitale zorgtoepassing]),0))/uniforme_input[[#This Row],[Aantal doelgroepen waarop toepasbaar]]</f>
        <v>0</v>
      </c>
      <c r="AC31" s="403" cm="1">
        <f t="array" ref="AC31">INDEX(Technologieën[Jaarlijkse kosten (onafh. aantal patiënt/organisatie)],MATCH(B31,IF(Technologieën[Zoeksleutel bronnummer]=G31,Technologieën[Digitale zorgtoepassing]),0))/uniforme_input[[#This Row],[Aantal doelgroepen waarop toepasbaar]]</f>
        <v>0</v>
      </c>
      <c r="AD31" s="403" cm="1">
        <f t="array" ref="AD31">INDEX(Technologieën[Initiële investering (p. patiënt)],MATCH(B31,IF(Technologieën[Zoeksleutel bronnummer]=G31,Technologieën[Digitale zorgtoepassing]),0))</f>
        <v>0</v>
      </c>
      <c r="AE31" s="403" cm="1">
        <f t="array" ref="AE31">INDEX(Technologieën[Initiële investering (p. organisatie)],MATCH(B31,IF(Technologieën[Zoeksleutel bronnummer]=G31,Technologieën[Digitale zorgtoepassing]),0))</f>
        <v>42000</v>
      </c>
      <c r="AF31"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31" s="398">
        <f>(uniforme_input[[#This Row],[Initiële investering per organisatie]]*uniforme_input[[#This Row],[Aantal organisaties]])/uniforme_input[[#This Row],[Patiëntaantallen]]</f>
        <v>793.95085066162574</v>
      </c>
      <c r="AH31" s="410">
        <f>IF(uniforme_input[[#This Row],[Bron gebruiken voor kosten/investering?]]="Ja",uniforme_input[[#This Row],[Jaarlijkse kosten per patiënt]] + uniforme_input[[#This Row],[Jaarlijkse kosten per patiënt berekend]],0)</f>
        <v>1282.57</v>
      </c>
      <c r="AI31" s="409">
        <f>IF(uniforme_input[[#This Row],[Bron gebruiken voor kosten/investering?]]="Ja",uniforme_input[[#This Row],[Initiële investering per patiënt]]+uniforme_input[[#This Row],[Initiële investering per patiënt berekend]],0)</f>
        <v>793.95085066162574</v>
      </c>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row>
    <row r="32" spans="1:83" s="49" customFormat="1" x14ac:dyDescent="0.5">
      <c r="A32" s="51" t="str">
        <f>INDEX(Technologieën[Veld],MATCH(G32,Technologieën[Zoeksleutel bronnummer],0))</f>
        <v>Digitale hulpmiddelen - Diagnose</v>
      </c>
      <c r="B32" s="33" t="s">
        <v>78</v>
      </c>
      <c r="C32" s="32" t="s">
        <v>390</v>
      </c>
      <c r="D32" s="32" t="s">
        <v>391</v>
      </c>
      <c r="E32" s="33" t="s">
        <v>699</v>
      </c>
      <c r="F32" s="33" t="str" cm="1">
        <f t="array" ref="F32">INDEX(Berekening_patiëntaantal[Direct toepasbaar/extrapolatie/incidentie voor QALY],MATCH(B32,IF(Berekening_patiëntaantal[Doelgroep (zoeksleutel)]=E32,Berekening_patiëntaantal[Digitale zorgtoepassing]),0))</f>
        <v>Huidige toepassing</v>
      </c>
      <c r="G32" s="33" t="s">
        <v>536</v>
      </c>
      <c r="H32" s="33" t="s">
        <v>700</v>
      </c>
      <c r="I32" s="403">
        <f>INDEX(Uurloon[Uurtarief zorgpersoneel],MATCH(H32,Uurloon[Zorgverlener],0))</f>
        <v>24.884195402298854</v>
      </c>
      <c r="J32" s="404" cm="1">
        <f t="array" ref="J32">INDEX(Berekening_patiëntaantal[Patiëntaantallen],MATCH(B32,IF(Berekening_patiëntaantal[Doelgroep (zoeksleutel)]=E32,Berekening_patiëntaantal[Digitale zorgtoepassing]),0))</f>
        <v>3800000</v>
      </c>
      <c r="K32" s="404">
        <f>IFERROR(INDEX(aantal_organisaties[Aantal organisaties waarop toepasbaar],MATCH(B32,aantal_organisaties[Digitale zorgtoepassing],0)),0)</f>
        <v>1229</v>
      </c>
      <c r="L32" s="397">
        <f>COUNTIF(uniforme_input[Doelgroep],E32)</f>
        <v>2</v>
      </c>
      <c r="M32" s="405" cm="1">
        <f t="array" ref="M32">INDEX(Technologieën[Tijdsbesparing p. patiënt (min/week)],MATCH(B32,IF(Technologieën[Zoeksleutel bronnummer]=G32,Technologieën[Digitale zorgtoepassing]),0))</f>
        <v>0</v>
      </c>
      <c r="N32" s="405" cm="1">
        <f t="array" ref="N32">INDEX(Technologieën[Tijdsbesparing per handeling (min)],MATCH(B32,IF(Technologieën[Zoeksleutel bronnummer]=G32,Technologieën[Digitale zorgtoepassing]),0))</f>
        <v>0</v>
      </c>
      <c r="O32" s="403" cm="1">
        <f t="array" ref="O32">INDEX(Technologieën[Besparing overige kosten (€/patiënt/jaar)],MATCH(B32,IF(Technologieën[Zoeksleutel bronnummer]=G32,Technologieën[Digitale zorgtoepassing]),0))</f>
        <v>0</v>
      </c>
      <c r="P32" s="403" cm="1">
        <f t="array" ref="P32">INDEX(Technologieën[Kostenbesparing p. patiënt door arbeidsbesparing (€/week)],MATCH(B32,IF(Technologieën[Zoeksleutel bronnummer]=G32,Technologieën[Digitale zorgtoepassing]),0))</f>
        <v>0</v>
      </c>
      <c r="Q32" s="403" cm="1">
        <f t="array" ref="Q32">INDEX(Technologieën[Kostenbesparing (personeel) per handeling (€)],MATCH(B32,IF(Technologieën[Zoeksleutel bronnummer]=G32,Technologieën[Digitale zorgtoepassing]),0))</f>
        <v>0</v>
      </c>
      <c r="R32" s="403" cm="1">
        <f t="array" ref="R32">INDEX(Technologieën[Besparing overige kosten (€/jaar)],MATCH(B32,IF(Technologieën[Zoeksleutel bronnummer]=G32,Technologieën[Digitale zorgtoepassing]),0))</f>
        <v>0</v>
      </c>
      <c r="S32" s="405" cm="1">
        <f t="array" ref="S32">INDEX(Technologieën[Jaarlijkse besparing zorgpersoneel (FTE)],MATCH(B32,IF(Technologieën[Zoeksleutel bronnummer]=G32,Technologieën[Digitale zorgtoepassing]),0))</f>
        <v>0</v>
      </c>
      <c r="T32" s="406" cm="1">
        <f t="array" ref="T32">(INDEX(Technologieën[QALY],MATCH(B32,IF(Technologieën[Zoeksleutel bronnummer]=G32,Technologieën[Digitale zorgtoepassing]),0)))</f>
        <v>0</v>
      </c>
      <c r="U32" s="407">
        <f>(uniforme_input[[#This Row],[Kostenbesparing door arbeidsbesparing p. patiënt (€/week)]]/uniforme_input[[#This Row],[Uurtarief]]*60) + (uniforme_input[[#This Row],[Totaal arbeidsbesparing onafhankelijk van patiënt (FTE)]]*40*60)/uniforme_input[[#This Row],[Patiëntaantallen]]</f>
        <v>0</v>
      </c>
      <c r="V32" s="407">
        <f>(uniforme_input[[#This Row],[Kostenbesparing per handeling (€)]]/uniforme_input[[#This Row],[Uurtarief]])*60</f>
        <v>0</v>
      </c>
      <c r="W32" s="398">
        <f>uniforme_input[[#This Row],[Overige kostenbesparing (Totaal €/jaar)]]/uniforme_input[[#This Row],[Patiëntaantallen]]</f>
        <v>0</v>
      </c>
      <c r="X32" s="408">
        <f>IF(uniforme_input[[#This Row],[Bron gebruiken voor opbrengsten?]]="Ja",uniforme_input[[#This Row],[Tijdsbesparing (min/week/patiënt) - gegeven]]+uniforme_input[[#This Row],[Tijdsbesparing (min/week/patiënt) berekend]],0)</f>
        <v>0</v>
      </c>
      <c r="Y32" s="407">
        <f>IF(uniforme_input[[#This Row],[Bron gebruiken voor opbrengsten?]]="Ja",uniforme_input[[#This Row],[Tijdsbesparing (min/handeling) - gegeven]]+uniforme_input[[#This Row],[Tijdsbesparing (min/handeling) berekend]],0)</f>
        <v>0</v>
      </c>
      <c r="Z32" s="409">
        <f>IF(uniforme_input[[#This Row],[Bron gebruiken voor opbrengsten?]]="Ja",uniforme_input[[#This Row],[Overige kostenbesparing (€/jaar/patiënt) - gegeven]]+uniforme_input[[#This Row],[Overige kostenbesparing (€/jaar/patiënt) berekend]],0)</f>
        <v>0</v>
      </c>
      <c r="AA32" s="403" cm="1">
        <f t="array" ref="AA32">INDEX(Technologieën[Jaarlijkse kosten p. patiënt],MATCH(B32,IF(Technologieën[Zoeksleutel bronnummer]=G32,Technologieën[Digitale zorgtoepassing]),0))</f>
        <v>0</v>
      </c>
      <c r="AB32" s="403" cm="1">
        <f t="array" ref="AB32">INDEX(Technologieën[Jaarlijkse kosten p. organisatie],MATCH(B32,IF(Technologieën[Zoeksleutel bronnummer]=G32,Technologieën[Digitale zorgtoepassing]),0))/uniforme_input[[#This Row],[Aantal doelgroepen waarop toepasbaar]]</f>
        <v>726</v>
      </c>
      <c r="AC32" s="403" cm="1">
        <f t="array" ref="AC32">INDEX(Technologieën[Jaarlijkse kosten (onafh. aantal patiënt/organisatie)],MATCH(B32,IF(Technologieën[Zoeksleutel bronnummer]=G32,Technologieën[Digitale zorgtoepassing]),0))/uniforme_input[[#This Row],[Aantal doelgroepen waarop toepasbaar]]</f>
        <v>0</v>
      </c>
      <c r="AD32" s="403" cm="1">
        <f t="array" ref="AD32">INDEX(Technologieën[Initiële investering (p. patiënt)],MATCH(B32,IF(Technologieën[Zoeksleutel bronnummer]=G32,Technologieën[Digitale zorgtoepassing]),0))</f>
        <v>0</v>
      </c>
      <c r="AE32" s="403" cm="1">
        <f t="array" ref="AE32">INDEX(Technologieën[Initiële investering (p. organisatie)],MATCH(B32,IF(Technologieën[Zoeksleutel bronnummer]=G32,Technologieën[Digitale zorgtoepassing]),0))</f>
        <v>0</v>
      </c>
      <c r="AF32" s="398">
        <f>((uniforme_input[[#This Row],[Jaarlijkse kosten per organisatie]]*uniforme_input[[#This Row],[Aantal organisaties]])/uniforme_input[[#This Row],[Patiëntaantallen]])+(uniforme_input[[#This Row],[Jaarlijkse kosten algemeen (onafhankelijk van patiënt/organisatie)]]/uniforme_input[[#This Row],[Patiëntaantallen]])</f>
        <v>0.2348036842105263</v>
      </c>
      <c r="AG32" s="398">
        <f>(uniforme_input[[#This Row],[Initiële investering per organisatie]]*uniforme_input[[#This Row],[Aantal organisaties]])/uniforme_input[[#This Row],[Patiëntaantallen]]</f>
        <v>0</v>
      </c>
      <c r="AH32" s="410">
        <f>IF(uniforme_input[[#This Row],[Bron gebruiken voor kosten/investering?]]="Ja",uniforme_input[[#This Row],[Jaarlijkse kosten per patiënt]] + uniforme_input[[#This Row],[Jaarlijkse kosten per patiënt berekend]],0)</f>
        <v>0.2348036842105263</v>
      </c>
      <c r="AI32" s="409">
        <f>IF(uniforme_input[[#This Row],[Bron gebruiken voor kosten/investering?]]="Ja",uniforme_input[[#This Row],[Initiële investering per patiënt]]+uniforme_input[[#This Row],[Initiële investering per patiënt berekend]],0)</f>
        <v>0</v>
      </c>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row>
    <row r="33" spans="1:83" x14ac:dyDescent="0.5">
      <c r="A33" s="51" t="str">
        <f>INDEX(Technologieën[Veld],MATCH(G33,Technologieën[Zoeksleutel bronnummer],0))</f>
        <v>Sensoren - Behandeling</v>
      </c>
      <c r="B33" s="33" t="s">
        <v>593</v>
      </c>
      <c r="C33" s="32" t="s">
        <v>391</v>
      </c>
      <c r="D33" s="32" t="s">
        <v>391</v>
      </c>
      <c r="E33" s="33" t="s">
        <v>308</v>
      </c>
      <c r="F33" s="33" t="str" cm="1">
        <f t="array" ref="F33">INDEX(Berekening_patiëntaantal[Direct toepasbaar/extrapolatie/incidentie voor QALY],MATCH(B33,IF(Berekening_patiëntaantal[Doelgroep (zoeksleutel)]=E33,Berekening_patiëntaantal[Digitale zorgtoepassing]),0))</f>
        <v>Huidige toepassing</v>
      </c>
      <c r="G33" s="33" t="s">
        <v>594</v>
      </c>
      <c r="H33" s="33" t="s">
        <v>148</v>
      </c>
      <c r="I33" s="403">
        <f>INDEX(Uurloon[Uurtarief zorgpersoneel],MATCH(H33,Uurloon[Zorgverlener],0))</f>
        <v>27.740086206896557</v>
      </c>
      <c r="J33" s="404" cm="1">
        <f t="array" ref="J33">INDEX(Berekening_patiëntaantal[Patiëntaantallen],MATCH(B33,IF(Berekening_patiëntaantal[Doelgroep (zoeksleutel)]=E33,Berekening_patiëntaantal[Digitale zorgtoepassing]),0))</f>
        <v>16883.8</v>
      </c>
      <c r="K33" s="404">
        <f>IFERROR(INDEX(aantal_organisaties[Aantal organisaties waarop toepasbaar],MATCH(B33,aantal_organisaties[Digitale zorgtoepassing],0)),0)</f>
        <v>113</v>
      </c>
      <c r="L33" s="397">
        <f>COUNTIF(uniforme_input[Doelgroep],E33)</f>
        <v>2</v>
      </c>
      <c r="M33" s="405" cm="1">
        <f t="array" ref="M33">INDEX(Technologieën[Tijdsbesparing p. patiënt (min/week)],MATCH(B33,IF(Technologieën[Zoeksleutel bronnummer]=G33,Technologieën[Digitale zorgtoepassing]),0))</f>
        <v>0</v>
      </c>
      <c r="N33" s="405" cm="1">
        <f t="array" ref="N33">INDEX(Technologieën[Tijdsbesparing per handeling (min)],MATCH(B33,IF(Technologieën[Zoeksleutel bronnummer]=G33,Technologieën[Digitale zorgtoepassing]),0))</f>
        <v>0</v>
      </c>
      <c r="O33" s="403" cm="1">
        <f t="array" ref="O33">INDEX(Technologieën[Besparing overige kosten (€/patiënt/jaar)],MATCH(B33,IF(Technologieën[Zoeksleutel bronnummer]=G33,Technologieën[Digitale zorgtoepassing]),0))</f>
        <v>355.20000000000005</v>
      </c>
      <c r="P33" s="403" cm="1">
        <f t="array" ref="P33">INDEX(Technologieën[Kostenbesparing p. patiënt door arbeidsbesparing (€/week)],MATCH(B33,IF(Technologieën[Zoeksleutel bronnummer]=G33,Technologieën[Digitale zorgtoepassing]),0))</f>
        <v>0</v>
      </c>
      <c r="Q33" s="403" cm="1">
        <f t="array" ref="Q33">INDEX(Technologieën[Kostenbesparing (personeel) per handeling (€)],MATCH(B33,IF(Technologieën[Zoeksleutel bronnummer]=G33,Technologieën[Digitale zorgtoepassing]),0))</f>
        <v>532.79999999999995</v>
      </c>
      <c r="R33" s="403" cm="1">
        <f t="array" ref="R33">INDEX(Technologieën[Besparing overige kosten (€/jaar)],MATCH(B33,IF(Technologieën[Zoeksleutel bronnummer]=G33,Technologieën[Digitale zorgtoepassing]),0))</f>
        <v>0</v>
      </c>
      <c r="S33" s="405" cm="1">
        <f t="array" ref="S33">INDEX(Technologieën[Jaarlijkse besparing zorgpersoneel (FTE)],MATCH(B33,IF(Technologieën[Zoeksleutel bronnummer]=G33,Technologieën[Digitale zorgtoepassing]),0))</f>
        <v>0</v>
      </c>
      <c r="T33" s="406" cm="1">
        <f t="array" ref="T33">(INDEX(Technologieën[QALY],MATCH(B33,IF(Technologieën[Zoeksleutel bronnummer]=G33,Technologieën[Digitale zorgtoepassing]),0)))</f>
        <v>0</v>
      </c>
      <c r="U33" s="407">
        <f>(uniforme_input[[#This Row],[Kostenbesparing door arbeidsbesparing p. patiënt (€/week)]]/uniforme_input[[#This Row],[Uurtarief]]*60) + (uniforme_input[[#This Row],[Totaal arbeidsbesparing onafhankelijk van patiënt (FTE)]]*40*60)/uniforme_input[[#This Row],[Patiëntaantallen]]</f>
        <v>0</v>
      </c>
      <c r="V33" s="407">
        <f>(uniforme_input[[#This Row],[Kostenbesparing per handeling (€)]]/uniforme_input[[#This Row],[Uurtarief]])*60</f>
        <v>1152.4117034666001</v>
      </c>
      <c r="W33" s="398">
        <f>uniforme_input[[#This Row],[Overige kostenbesparing (Totaal €/jaar)]]/uniforme_input[[#This Row],[Patiëntaantallen]]</f>
        <v>0</v>
      </c>
      <c r="X33" s="408">
        <f>IF(uniforme_input[[#This Row],[Bron gebruiken voor opbrengsten?]]="Ja",uniforme_input[[#This Row],[Tijdsbesparing (min/week/patiënt) - gegeven]]+uniforme_input[[#This Row],[Tijdsbesparing (min/week/patiënt) berekend]],0)</f>
        <v>0</v>
      </c>
      <c r="Y33" s="407">
        <f>IF(uniforme_input[[#This Row],[Bron gebruiken voor opbrengsten?]]="Ja",uniforme_input[[#This Row],[Tijdsbesparing (min/handeling) - gegeven]]+uniforme_input[[#This Row],[Tijdsbesparing (min/handeling) berekend]],0)</f>
        <v>1152.4117034666001</v>
      </c>
      <c r="Z33" s="409">
        <f>IF(uniforme_input[[#This Row],[Bron gebruiken voor opbrengsten?]]="Ja",uniforme_input[[#This Row],[Overige kostenbesparing (€/jaar/patiënt) - gegeven]]+uniforme_input[[#This Row],[Overige kostenbesparing (€/jaar/patiënt) berekend]],0)</f>
        <v>355.20000000000005</v>
      </c>
      <c r="AA33" s="403" cm="1">
        <f t="array" ref="AA33">INDEX(Technologieën[Jaarlijkse kosten p. patiënt],MATCH(B33,IF(Technologieën[Zoeksleutel bronnummer]=G33,Technologieën[Digitale zorgtoepassing]),0))</f>
        <v>115</v>
      </c>
      <c r="AB33" s="403" cm="1">
        <f t="array" ref="AB33">INDEX(Technologieën[Jaarlijkse kosten p. organisatie],MATCH(B33,IF(Technologieën[Zoeksleutel bronnummer]=G33,Technologieën[Digitale zorgtoepassing]),0))/uniforme_input[[#This Row],[Aantal doelgroepen waarop toepasbaar]]</f>
        <v>0</v>
      </c>
      <c r="AC33" s="403" cm="1">
        <f t="array" ref="AC33">INDEX(Technologieën[Jaarlijkse kosten (onafh. aantal patiënt/organisatie)],MATCH(B33,IF(Technologieën[Zoeksleutel bronnummer]=G33,Technologieën[Digitale zorgtoepassing]),0))/uniforme_input[[#This Row],[Aantal doelgroepen waarop toepasbaar]]</f>
        <v>0</v>
      </c>
      <c r="AD33" s="403" cm="1">
        <f t="array" ref="AD33">INDEX(Technologieën[Initiële investering (p. patiënt)],MATCH(B33,IF(Technologieën[Zoeksleutel bronnummer]=G33,Technologieën[Digitale zorgtoepassing]),0))</f>
        <v>0</v>
      </c>
      <c r="AE33" s="403" cm="1">
        <f t="array" ref="AE33">INDEX(Technologieën[Initiële investering (p. organisatie)],MATCH(B33,IF(Technologieën[Zoeksleutel bronnummer]=G33,Technologieën[Digitale zorgtoepassing]),0))</f>
        <v>0</v>
      </c>
      <c r="AF33"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33" s="398">
        <f>(uniforme_input[[#This Row],[Initiële investering per organisatie]]*uniforme_input[[#This Row],[Aantal organisaties]])/uniforme_input[[#This Row],[Patiëntaantallen]]</f>
        <v>0</v>
      </c>
      <c r="AH33" s="410">
        <f>IF(uniforme_input[[#This Row],[Bron gebruiken voor kosten/investering?]]="Ja",uniforme_input[[#This Row],[Jaarlijkse kosten per patiënt]] + uniforme_input[[#This Row],[Jaarlijkse kosten per patiënt berekend]],0)</f>
        <v>115</v>
      </c>
      <c r="AI33" s="409">
        <f>IF(uniforme_input[[#This Row],[Bron gebruiken voor kosten/investering?]]="Ja",uniforme_input[[#This Row],[Initiële investering per patiënt]]+uniforme_input[[#This Row],[Initiële investering per patiënt berekend]],0)</f>
        <v>0</v>
      </c>
    </row>
    <row r="34" spans="1:83" x14ac:dyDescent="0.5">
      <c r="A34" s="51" t="str">
        <f>INDEX(Technologieën[Veld],MATCH(G34,Technologieën[Zoeksleutel bronnummer],0))</f>
        <v>Software - Behandeling</v>
      </c>
      <c r="B34" s="33" t="s">
        <v>609</v>
      </c>
      <c r="C34" s="32" t="s">
        <v>391</v>
      </c>
      <c r="D34" s="32" t="s">
        <v>391</v>
      </c>
      <c r="E34" s="33" t="s">
        <v>81</v>
      </c>
      <c r="F34" s="33" t="str" cm="1">
        <f t="array" ref="F34">INDEX(Berekening_patiëntaantal[Direct toepasbaar/extrapolatie/incidentie voor QALY],MATCH(B34,IF(Berekening_patiëntaantal[Doelgroep (zoeksleutel)]=E34,Berekening_patiëntaantal[Digitale zorgtoepassing]),0))</f>
        <v>Huidige toepassing</v>
      </c>
      <c r="G34" s="33" t="s">
        <v>610</v>
      </c>
      <c r="H34" s="33" t="s">
        <v>146</v>
      </c>
      <c r="I34" s="403">
        <f>INDEX(Uurloon[Uurtarief zorgpersoneel],MATCH(H34,Uurloon[Zorgverlener],0))</f>
        <v>91.204770114942534</v>
      </c>
      <c r="J34" s="404" cm="1">
        <f t="array" ref="J34">INDEX(Berekening_patiëntaantal[Patiëntaantallen],MATCH(B34,IF(Berekening_patiëntaantal[Doelgroep (zoeksleutel)]=E34,Berekening_patiëntaantal[Digitale zorgtoepassing]),0))</f>
        <v>80000</v>
      </c>
      <c r="K34" s="404">
        <f>IFERROR(INDEX(aantal_organisaties[Aantal organisaties waarop toepasbaar],MATCH(B34,aantal_organisaties[Digitale zorgtoepassing],0)),0)</f>
        <v>0</v>
      </c>
      <c r="L34" s="397">
        <f>COUNTIF(uniforme_input[Doelgroep],E34)</f>
        <v>1</v>
      </c>
      <c r="M34" s="405" cm="1">
        <f t="array" ref="M34">INDEX(Technologieën[Tijdsbesparing p. patiënt (min/week)],MATCH(B34,IF(Technologieën[Zoeksleutel bronnummer]=G34,Technologieën[Digitale zorgtoepassing]),0))</f>
        <v>0</v>
      </c>
      <c r="N34" s="405" cm="1">
        <f t="array" ref="N34">INDEX(Technologieën[Tijdsbesparing per handeling (min)],MATCH(B34,IF(Technologieën[Zoeksleutel bronnummer]=G34,Technologieën[Digitale zorgtoepassing]),0))</f>
        <v>0</v>
      </c>
      <c r="O34" s="403" cm="1">
        <f t="array" ref="O34">INDEX(Technologieën[Besparing overige kosten (€/patiënt/jaar)],MATCH(B34,IF(Technologieën[Zoeksleutel bronnummer]=G34,Technologieën[Digitale zorgtoepassing]),0))</f>
        <v>295.2</v>
      </c>
      <c r="P34" s="403" cm="1">
        <f t="array" ref="P34">INDEX(Technologieën[Kostenbesparing p. patiënt door arbeidsbesparing (€/week)],MATCH(B34,IF(Technologieën[Zoeksleutel bronnummer]=G34,Technologieën[Digitale zorgtoepassing]),0))</f>
        <v>2.2846153846153845</v>
      </c>
      <c r="Q34" s="403" cm="1">
        <f t="array" ref="Q34">INDEX(Technologieën[Kostenbesparing (personeel) per handeling (€)],MATCH(B34,IF(Technologieën[Zoeksleutel bronnummer]=G34,Technologieën[Digitale zorgtoepassing]),0))</f>
        <v>0</v>
      </c>
      <c r="R34" s="403" cm="1">
        <f t="array" ref="R34">INDEX(Technologieën[Besparing overige kosten (€/jaar)],MATCH(B34,IF(Technologieën[Zoeksleutel bronnummer]=G34,Technologieën[Digitale zorgtoepassing]),0))</f>
        <v>0</v>
      </c>
      <c r="S34" s="405" cm="1">
        <f t="array" ref="S34">INDEX(Technologieën[Jaarlijkse besparing zorgpersoneel (FTE)],MATCH(B34,IF(Technologieën[Zoeksleutel bronnummer]=G34,Technologieën[Digitale zorgtoepassing]),0))</f>
        <v>0</v>
      </c>
      <c r="T34" s="406" cm="1">
        <f t="array" ref="T34">(INDEX(Technologieën[QALY],MATCH(B34,IF(Technologieën[Zoeksleutel bronnummer]=G34,Technologieën[Digitale zorgtoepassing]),0)))</f>
        <v>2E-3</v>
      </c>
      <c r="U34" s="407">
        <f>(uniforme_input[[#This Row],[Kostenbesparing door arbeidsbesparing p. patiënt (€/week)]]/uniforme_input[[#This Row],[Uurtarief]]*60) + (uniforme_input[[#This Row],[Totaal arbeidsbesparing onafhankelijk van patiënt (FTE)]]*40*60)/uniforme_input[[#This Row],[Patiëntaantallen]]</f>
        <v>1.5029578267032446</v>
      </c>
      <c r="V34" s="407">
        <f>(uniforme_input[[#This Row],[Kostenbesparing per handeling (€)]]/uniforme_input[[#This Row],[Uurtarief]])*60</f>
        <v>0</v>
      </c>
      <c r="W34" s="398">
        <f>uniforme_input[[#This Row],[Overige kostenbesparing (Totaal €/jaar)]]/uniforme_input[[#This Row],[Patiëntaantallen]]</f>
        <v>0</v>
      </c>
      <c r="X34" s="408">
        <f>IF(uniforme_input[[#This Row],[Bron gebruiken voor opbrengsten?]]="Ja",uniforme_input[[#This Row],[Tijdsbesparing (min/week/patiënt) - gegeven]]+uniforme_input[[#This Row],[Tijdsbesparing (min/week/patiënt) berekend]],0)</f>
        <v>1.5029578267032446</v>
      </c>
      <c r="Y34" s="407">
        <f>IF(uniforme_input[[#This Row],[Bron gebruiken voor opbrengsten?]]="Ja",uniforme_input[[#This Row],[Tijdsbesparing (min/handeling) - gegeven]]+uniforme_input[[#This Row],[Tijdsbesparing (min/handeling) berekend]],0)</f>
        <v>0</v>
      </c>
      <c r="Z34" s="409">
        <f>IF(uniforme_input[[#This Row],[Bron gebruiken voor opbrengsten?]]="Ja",uniforme_input[[#This Row],[Overige kostenbesparing (€/jaar/patiënt) - gegeven]]+uniforme_input[[#This Row],[Overige kostenbesparing (€/jaar/patiënt) berekend]],0)</f>
        <v>295.2</v>
      </c>
      <c r="AA34" s="403" cm="1">
        <f t="array" ref="AA34">INDEX(Technologieën[Jaarlijkse kosten p. patiënt],MATCH(B34,IF(Technologieën[Zoeksleutel bronnummer]=G34,Technologieën[Digitale zorgtoepassing]),0))</f>
        <v>40</v>
      </c>
      <c r="AB34" s="403" cm="1">
        <f t="array" ref="AB34">INDEX(Technologieën[Jaarlijkse kosten p. organisatie],MATCH(B34,IF(Technologieën[Zoeksleutel bronnummer]=G34,Technologieën[Digitale zorgtoepassing]),0))/uniforme_input[[#This Row],[Aantal doelgroepen waarop toepasbaar]]</f>
        <v>0</v>
      </c>
      <c r="AC34" s="403" cm="1">
        <f t="array" ref="AC34">INDEX(Technologieën[Jaarlijkse kosten (onafh. aantal patiënt/organisatie)],MATCH(B34,IF(Technologieën[Zoeksleutel bronnummer]=G34,Technologieën[Digitale zorgtoepassing]),0))/uniforme_input[[#This Row],[Aantal doelgroepen waarop toepasbaar]]</f>
        <v>0</v>
      </c>
      <c r="AD34" s="403" cm="1">
        <f t="array" ref="AD34">INDEX(Technologieën[Initiële investering (p. patiënt)],MATCH(B34,IF(Technologieën[Zoeksleutel bronnummer]=G34,Technologieën[Digitale zorgtoepassing]),0))</f>
        <v>0</v>
      </c>
      <c r="AE34" s="403" cm="1">
        <f t="array" ref="AE34">INDEX(Technologieën[Initiële investering (p. organisatie)],MATCH(B34,IF(Technologieën[Zoeksleutel bronnummer]=G34,Technologieën[Digitale zorgtoepassing]),0))</f>
        <v>0</v>
      </c>
      <c r="AF34"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34" s="398">
        <f>(uniforme_input[[#This Row],[Initiële investering per organisatie]]*uniforme_input[[#This Row],[Aantal organisaties]])/uniforme_input[[#This Row],[Patiëntaantallen]]</f>
        <v>0</v>
      </c>
      <c r="AH34" s="410">
        <f>IF(uniforme_input[[#This Row],[Bron gebruiken voor kosten/investering?]]="Ja",uniforme_input[[#This Row],[Jaarlijkse kosten per patiënt]] + uniforme_input[[#This Row],[Jaarlijkse kosten per patiënt berekend]],0)</f>
        <v>40</v>
      </c>
      <c r="AI34" s="409">
        <f>IF(uniforme_input[[#This Row],[Bron gebruiken voor kosten/investering?]]="Ja",uniforme_input[[#This Row],[Initiële investering per patiënt]]+uniforme_input[[#This Row],[Initiële investering per patiënt berekend]],0)</f>
        <v>0</v>
      </c>
    </row>
    <row r="35" spans="1:83" x14ac:dyDescent="0.5">
      <c r="A35" s="51" t="str">
        <f>INDEX(Technologieën[Veld],MATCH(G35,Technologieën[Zoeksleutel bronnummer],0))</f>
        <v>Software - Behandeling</v>
      </c>
      <c r="B35" s="33" t="s">
        <v>609</v>
      </c>
      <c r="C35" s="32" t="s">
        <v>391</v>
      </c>
      <c r="D35" s="32" t="s">
        <v>391</v>
      </c>
      <c r="E35" s="33" t="s">
        <v>270</v>
      </c>
      <c r="F35" s="33" t="str" cm="1">
        <f t="array" ref="F35">INDEX(Berekening_patiëntaantal[Direct toepasbaar/extrapolatie/incidentie voor QALY],MATCH(B35,IF(Berekening_patiëntaantal[Doelgroep (zoeksleutel)]=E35,Berekening_patiëntaantal[Digitale zorgtoepassing]),0))</f>
        <v>Huidige toepassing</v>
      </c>
      <c r="G35" s="33" t="s">
        <v>611</v>
      </c>
      <c r="H35" s="33" t="s">
        <v>146</v>
      </c>
      <c r="I35" s="403">
        <f>INDEX(Uurloon[Uurtarief zorgpersoneel],MATCH(H35,Uurloon[Zorgverlener],0))</f>
        <v>91.204770114942534</v>
      </c>
      <c r="J35" s="404" cm="1">
        <f t="array" ref="J35">INDEX(Berekening_patiëntaantal[Patiëntaantallen],MATCH(B35,IF(Berekening_patiëntaantal[Doelgroep (zoeksleutel)]=E35,Berekening_patiëntaantal[Digitale zorgtoepassing]),0))</f>
        <v>31032</v>
      </c>
      <c r="K35" s="404">
        <f>IFERROR(INDEX(aantal_organisaties[Aantal organisaties waarop toepasbaar],MATCH(B35,aantal_organisaties[Digitale zorgtoepassing],0)),0)</f>
        <v>0</v>
      </c>
      <c r="L35" s="397">
        <f>COUNTIF(uniforme_input[Doelgroep],E35)</f>
        <v>1</v>
      </c>
      <c r="M35" s="405" cm="1">
        <f t="array" ref="M35">INDEX(Technologieën[Tijdsbesparing p. patiënt (min/week)],MATCH(B35,IF(Technologieën[Zoeksleutel bronnummer]=G35,Technologieën[Digitale zorgtoepassing]),0))</f>
        <v>0</v>
      </c>
      <c r="N35" s="405" cm="1">
        <f t="array" ref="N35">INDEX(Technologieën[Tijdsbesparing per handeling (min)],MATCH(B35,IF(Technologieën[Zoeksleutel bronnummer]=G35,Technologieën[Digitale zorgtoepassing]),0))</f>
        <v>0</v>
      </c>
      <c r="O35" s="403" cm="1">
        <f t="array" ref="O35">INDEX(Technologieën[Besparing overige kosten (€/patiënt/jaar)],MATCH(B35,IF(Technologieën[Zoeksleutel bronnummer]=G35,Technologieën[Digitale zorgtoepassing]),0))</f>
        <v>60.136000000000017</v>
      </c>
      <c r="P35" s="403" cm="1">
        <f t="array" ref="P35">INDEX(Technologieën[Kostenbesparing p. patiënt door arbeidsbesparing (€/week)],MATCH(B35,IF(Technologieën[Zoeksleutel bronnummer]=G35,Technologieën[Digitale zorgtoepassing]),0))</f>
        <v>1.7346923076923082</v>
      </c>
      <c r="Q35" s="403" cm="1">
        <f t="array" ref="Q35">INDEX(Technologieën[Kostenbesparing (personeel) per handeling (€)],MATCH(B35,IF(Technologieën[Zoeksleutel bronnummer]=G35,Technologieën[Digitale zorgtoepassing]),0))</f>
        <v>0</v>
      </c>
      <c r="R35" s="403" cm="1">
        <f t="array" ref="R35">INDEX(Technologieën[Besparing overige kosten (€/jaar)],MATCH(B35,IF(Technologieën[Zoeksleutel bronnummer]=G35,Technologieën[Digitale zorgtoepassing]),0))</f>
        <v>0</v>
      </c>
      <c r="S35" s="405" cm="1">
        <f t="array" ref="S35">INDEX(Technologieën[Jaarlijkse besparing zorgpersoneel (FTE)],MATCH(B35,IF(Technologieën[Zoeksleutel bronnummer]=G35,Technologieën[Digitale zorgtoepassing]),0))</f>
        <v>0</v>
      </c>
      <c r="T35" s="406" cm="1">
        <f t="array" ref="T35">(INDEX(Technologieën[QALY],MATCH(B35,IF(Technologieën[Zoeksleutel bronnummer]=G35,Technologieën[Digitale zorgtoepassing]),0)))</f>
        <v>0</v>
      </c>
      <c r="U35" s="407">
        <f>(uniforme_input[[#This Row],[Kostenbesparing door arbeidsbesparing p. patiënt (€/week)]]/uniforme_input[[#This Row],[Uurtarief]]*60) + (uniforme_input[[#This Row],[Totaal arbeidsbesparing onafhankelijk van patiënt (FTE)]]*40*60)/uniforme_input[[#This Row],[Patiëntaantallen]]</f>
        <v>1.1411852508412419</v>
      </c>
      <c r="V35" s="407">
        <f>(uniforme_input[[#This Row],[Kostenbesparing per handeling (€)]]/uniforme_input[[#This Row],[Uurtarief]])*60</f>
        <v>0</v>
      </c>
      <c r="W35" s="398">
        <f>uniforme_input[[#This Row],[Overige kostenbesparing (Totaal €/jaar)]]/uniforme_input[[#This Row],[Patiëntaantallen]]</f>
        <v>0</v>
      </c>
      <c r="X35" s="408">
        <f>IF(uniforme_input[[#This Row],[Bron gebruiken voor opbrengsten?]]="Ja",uniforme_input[[#This Row],[Tijdsbesparing (min/week/patiënt) - gegeven]]+uniforme_input[[#This Row],[Tijdsbesparing (min/week/patiënt) berekend]],0)</f>
        <v>1.1411852508412419</v>
      </c>
      <c r="Y35" s="407">
        <f>IF(uniforme_input[[#This Row],[Bron gebruiken voor opbrengsten?]]="Ja",uniforme_input[[#This Row],[Tijdsbesparing (min/handeling) - gegeven]]+uniforme_input[[#This Row],[Tijdsbesparing (min/handeling) berekend]],0)</f>
        <v>0</v>
      </c>
      <c r="Z35" s="409">
        <f>IF(uniforme_input[[#This Row],[Bron gebruiken voor opbrengsten?]]="Ja",uniforme_input[[#This Row],[Overige kostenbesparing (€/jaar/patiënt) - gegeven]]+uniforme_input[[#This Row],[Overige kostenbesparing (€/jaar/patiënt) berekend]],0)</f>
        <v>60.136000000000017</v>
      </c>
      <c r="AA35" s="403" cm="1">
        <f t="array" ref="AA35">INDEX(Technologieën[Jaarlijkse kosten p. patiënt],MATCH(B35,IF(Technologieën[Zoeksleutel bronnummer]=G35,Technologieën[Digitale zorgtoepassing]),0))</f>
        <v>0</v>
      </c>
      <c r="AB35" s="403" cm="1">
        <f t="array" ref="AB35">INDEX(Technologieën[Jaarlijkse kosten p. organisatie],MATCH(B35,IF(Technologieën[Zoeksleutel bronnummer]=G35,Technologieën[Digitale zorgtoepassing]),0))/uniforme_input[[#This Row],[Aantal doelgroepen waarop toepasbaar]]</f>
        <v>0</v>
      </c>
      <c r="AC35" s="403" cm="1">
        <f t="array" ref="AC35">INDEX(Technologieën[Jaarlijkse kosten (onafh. aantal patiënt/organisatie)],MATCH(B35,IF(Technologieën[Zoeksleutel bronnummer]=G35,Technologieën[Digitale zorgtoepassing]),0))/uniforme_input[[#This Row],[Aantal doelgroepen waarop toepasbaar]]</f>
        <v>0</v>
      </c>
      <c r="AD35" s="403" cm="1">
        <f t="array" ref="AD35">INDEX(Technologieën[Initiële investering (p. patiënt)],MATCH(B35,IF(Technologieën[Zoeksleutel bronnummer]=G35,Technologieën[Digitale zorgtoepassing]),0))</f>
        <v>0</v>
      </c>
      <c r="AE35" s="403" cm="1">
        <f t="array" ref="AE35">INDEX(Technologieën[Initiële investering (p. organisatie)],MATCH(B35,IF(Technologieën[Zoeksleutel bronnummer]=G35,Technologieën[Digitale zorgtoepassing]),0))</f>
        <v>0</v>
      </c>
      <c r="AF35"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35" s="398">
        <f>(uniforme_input[[#This Row],[Initiële investering per organisatie]]*uniforme_input[[#This Row],[Aantal organisaties]])/uniforme_input[[#This Row],[Patiëntaantallen]]</f>
        <v>0</v>
      </c>
      <c r="AH35" s="410">
        <f>IF(uniforme_input[[#This Row],[Bron gebruiken voor kosten/investering?]]="Ja",uniforme_input[[#This Row],[Jaarlijkse kosten per patiënt]] + uniforme_input[[#This Row],[Jaarlijkse kosten per patiënt berekend]],0)</f>
        <v>0</v>
      </c>
      <c r="AI35" s="409">
        <f>IF(uniforme_input[[#This Row],[Bron gebruiken voor kosten/investering?]]="Ja",uniforme_input[[#This Row],[Initiële investering per patiënt]]+uniforme_input[[#This Row],[Initiële investering per patiënt berekend]],0)</f>
        <v>0</v>
      </c>
    </row>
    <row r="36" spans="1:83" x14ac:dyDescent="0.5">
      <c r="A36" s="51" t="str">
        <f>INDEX(Technologieën[Veld],MATCH(G36,Technologieën[Zoeksleutel bronnummer],0))</f>
        <v>Software - Behandeling</v>
      </c>
      <c r="B36" s="33" t="s">
        <v>609</v>
      </c>
      <c r="C36" s="32" t="s">
        <v>391</v>
      </c>
      <c r="D36" s="32" t="s">
        <v>390</v>
      </c>
      <c r="E36" s="33" t="s">
        <v>95</v>
      </c>
      <c r="F36" s="33" t="str" cm="1">
        <f t="array" ref="F36">INDEX(Berekening_patiëntaantal[Direct toepasbaar/extrapolatie/incidentie voor QALY],MATCH(B36,IF(Berekening_patiëntaantal[Doelgroep (zoeksleutel)]=E36,Berekening_patiëntaantal[Digitale zorgtoepassing]),0))</f>
        <v>Huidige toepassing</v>
      </c>
      <c r="G36" s="33" t="s">
        <v>612</v>
      </c>
      <c r="H36" s="33" t="s">
        <v>146</v>
      </c>
      <c r="I36" s="403">
        <f>INDEX(Uurloon[Uurtarief zorgpersoneel],MATCH(H36,Uurloon[Zorgverlener],0))</f>
        <v>91.204770114942534</v>
      </c>
      <c r="J36" s="404" cm="1">
        <f t="array" ref="J36">INDEX(Berekening_patiëntaantal[Patiëntaantallen],MATCH(B36,IF(Berekening_patiëntaantal[Doelgroep (zoeksleutel)]=E36,Berekening_patiëntaantal[Digitale zorgtoepassing]),0))</f>
        <v>16380</v>
      </c>
      <c r="K36" s="404">
        <f>IFERROR(INDEX(aantal_organisaties[Aantal organisaties waarop toepasbaar],MATCH(B36,aantal_organisaties[Digitale zorgtoepassing],0)),0)</f>
        <v>0</v>
      </c>
      <c r="L36" s="397">
        <f>COUNTIF(uniforme_input[Doelgroep],E36)</f>
        <v>3</v>
      </c>
      <c r="M36" s="405" cm="1">
        <f t="array" ref="M36">INDEX(Technologieën[Tijdsbesparing p. patiënt (min/week)],MATCH(B36,IF(Technologieën[Zoeksleutel bronnummer]=G36,Technologieën[Digitale zorgtoepassing]),0))</f>
        <v>0</v>
      </c>
      <c r="N36" s="405" cm="1">
        <f t="array" ref="N36">INDEX(Technologieën[Tijdsbesparing per handeling (min)],MATCH(B36,IF(Technologieën[Zoeksleutel bronnummer]=G36,Technologieën[Digitale zorgtoepassing]),0))</f>
        <v>0</v>
      </c>
      <c r="O36" s="403" cm="1">
        <f t="array" ref="O36">INDEX(Technologieën[Besparing overige kosten (€/patiënt/jaar)],MATCH(B36,IF(Technologieën[Zoeksleutel bronnummer]=G36,Technologieën[Digitale zorgtoepassing]),0))</f>
        <v>0</v>
      </c>
      <c r="P36" s="403" cm="1">
        <f t="array" ref="P36">INDEX(Technologieën[Kostenbesparing p. patiënt door arbeidsbesparing (€/week)],MATCH(B36,IF(Technologieën[Zoeksleutel bronnummer]=G36,Technologieën[Digitale zorgtoepassing]),0))</f>
        <v>11.425978021978022</v>
      </c>
      <c r="Q36" s="403" cm="1">
        <f t="array" ref="Q36">INDEX(Technologieën[Kostenbesparing (personeel) per handeling (€)],MATCH(B36,IF(Technologieën[Zoeksleutel bronnummer]=G36,Technologieën[Digitale zorgtoepassing]),0))</f>
        <v>0</v>
      </c>
      <c r="R36" s="403" cm="1">
        <f t="array" ref="R36">INDEX(Technologieën[Besparing overige kosten (€/jaar)],MATCH(B36,IF(Technologieën[Zoeksleutel bronnummer]=G36,Technologieën[Digitale zorgtoepassing]),0))</f>
        <v>6488127.3600000003</v>
      </c>
      <c r="S36" s="405" cm="1">
        <f t="array" ref="S36">INDEX(Technologieën[Jaarlijkse besparing zorgpersoneel (FTE)],MATCH(B36,IF(Technologieën[Zoeksleutel bronnummer]=G36,Technologieën[Digitale zorgtoepassing]),0))</f>
        <v>0</v>
      </c>
      <c r="T36" s="406" cm="1">
        <f t="array" ref="T36">(INDEX(Technologieën[QALY],MATCH(B36,IF(Technologieën[Zoeksleutel bronnummer]=G36,Technologieën[Digitale zorgtoepassing]),0)))</f>
        <v>0</v>
      </c>
      <c r="U36" s="407">
        <f>(uniforme_input[[#This Row],[Kostenbesparing door arbeidsbesparing p. patiënt (€/week)]]/uniforme_input[[#This Row],[Uurtarief]]*60) + (uniforme_input[[#This Row],[Totaal arbeidsbesparing onafhankelijk van patiënt (FTE)]]*40*60)/uniforme_input[[#This Row],[Patiëntaantallen]]</f>
        <v>7.5166976513914019</v>
      </c>
      <c r="V36" s="407">
        <f>(uniforme_input[[#This Row],[Kostenbesparing per handeling (€)]]/uniforme_input[[#This Row],[Uurtarief]])*60</f>
        <v>0</v>
      </c>
      <c r="W36" s="398">
        <f>uniforme_input[[#This Row],[Overige kostenbesparing (Totaal €/jaar)]]/uniforme_input[[#This Row],[Patiëntaantallen]]</f>
        <v>396.10057142857147</v>
      </c>
      <c r="X36" s="408">
        <f>IF(uniforme_input[[#This Row],[Bron gebruiken voor opbrengsten?]]="Ja",uniforme_input[[#This Row],[Tijdsbesparing (min/week/patiënt) - gegeven]]+uniforme_input[[#This Row],[Tijdsbesparing (min/week/patiënt) berekend]],0)</f>
        <v>7.5166976513914019</v>
      </c>
      <c r="Y36" s="407">
        <f>IF(uniforme_input[[#This Row],[Bron gebruiken voor opbrengsten?]]="Ja",uniforme_input[[#This Row],[Tijdsbesparing (min/handeling) - gegeven]]+uniforme_input[[#This Row],[Tijdsbesparing (min/handeling) berekend]],0)</f>
        <v>0</v>
      </c>
      <c r="Z36" s="409">
        <f>IF(uniforme_input[[#This Row],[Bron gebruiken voor opbrengsten?]]="Ja",uniforme_input[[#This Row],[Overige kostenbesparing (€/jaar/patiënt) - gegeven]]+uniforme_input[[#This Row],[Overige kostenbesparing (€/jaar/patiënt) berekend]],0)</f>
        <v>396.10057142857147</v>
      </c>
      <c r="AA36" s="403" cm="1">
        <f t="array" ref="AA36">INDEX(Technologieën[Jaarlijkse kosten p. patiënt],MATCH(B36,IF(Technologieën[Zoeksleutel bronnummer]=G36,Technologieën[Digitale zorgtoepassing]),0))</f>
        <v>0</v>
      </c>
      <c r="AB36" s="403" cm="1">
        <f t="array" ref="AB36">INDEX(Technologieën[Jaarlijkse kosten p. organisatie],MATCH(B36,IF(Technologieën[Zoeksleutel bronnummer]=G36,Technologieën[Digitale zorgtoepassing]),0))/uniforme_input[[#This Row],[Aantal doelgroepen waarop toepasbaar]]</f>
        <v>0</v>
      </c>
      <c r="AC36" s="403" cm="1">
        <f t="array" ref="AC36">INDEX(Technologieën[Jaarlijkse kosten (onafh. aantal patiënt/organisatie)],MATCH(B36,IF(Technologieën[Zoeksleutel bronnummer]=G36,Technologieën[Digitale zorgtoepassing]),0))/uniforme_input[[#This Row],[Aantal doelgroepen waarop toepasbaar]]</f>
        <v>0</v>
      </c>
      <c r="AD36" s="403" cm="1">
        <f t="array" ref="AD36">INDEX(Technologieën[Initiële investering (p. patiënt)],MATCH(B36,IF(Technologieën[Zoeksleutel bronnummer]=G36,Technologieën[Digitale zorgtoepassing]),0))</f>
        <v>0</v>
      </c>
      <c r="AE36" s="403" cm="1">
        <f t="array" ref="AE36">INDEX(Technologieën[Initiële investering (p. organisatie)],MATCH(B36,IF(Technologieën[Zoeksleutel bronnummer]=G36,Technologieën[Digitale zorgtoepassing]),0))</f>
        <v>0</v>
      </c>
      <c r="AF36"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36" s="398">
        <f>(uniforme_input[[#This Row],[Initiële investering per organisatie]]*uniforme_input[[#This Row],[Aantal organisaties]])/uniforme_input[[#This Row],[Patiëntaantallen]]</f>
        <v>0</v>
      </c>
      <c r="AH36" s="410">
        <f>IF(uniforme_input[[#This Row],[Bron gebruiken voor kosten/investering?]]="Ja",uniforme_input[[#This Row],[Jaarlijkse kosten per patiënt]] + uniforme_input[[#This Row],[Jaarlijkse kosten per patiënt berekend]],0)</f>
        <v>0</v>
      </c>
      <c r="AI36" s="409">
        <f>IF(uniforme_input[[#This Row],[Bron gebruiken voor kosten/investering?]]="Ja",uniforme_input[[#This Row],[Initiële investering per patiënt]]+uniforme_input[[#This Row],[Initiële investering per patiënt berekend]],0)</f>
        <v>0</v>
      </c>
    </row>
    <row r="37" spans="1:83" x14ac:dyDescent="0.5">
      <c r="A37" s="51" t="str">
        <f>INDEX(Technologieën[Veld],MATCH(G37,Technologieën[Zoeksleutel bronnummer],0))</f>
        <v>Software - Behandeling</v>
      </c>
      <c r="B37" s="33" t="s">
        <v>609</v>
      </c>
      <c r="C37" s="32" t="s">
        <v>390</v>
      </c>
      <c r="D37" s="32" t="s">
        <v>391</v>
      </c>
      <c r="E37" s="33" t="s">
        <v>95</v>
      </c>
      <c r="F37" s="33" t="str" cm="1">
        <f t="array" ref="F37">INDEX(Berekening_patiëntaantal[Direct toepasbaar/extrapolatie/incidentie voor QALY],MATCH(B37,IF(Berekening_patiëntaantal[Doelgroep (zoeksleutel)]=E37,Berekening_patiëntaantal[Digitale zorgtoepassing]),0))</f>
        <v>Huidige toepassing</v>
      </c>
      <c r="G37" s="33" t="s">
        <v>613</v>
      </c>
      <c r="H37" s="33" t="s">
        <v>146</v>
      </c>
      <c r="I37" s="403">
        <f>INDEX(Uurloon[Uurtarief zorgpersoneel],MATCH(H37,Uurloon[Zorgverlener],0))</f>
        <v>91.204770114942534</v>
      </c>
      <c r="J37" s="404" cm="1">
        <f t="array" ref="J37">INDEX(Berekening_patiëntaantal[Patiëntaantallen],MATCH(B37,IF(Berekening_patiëntaantal[Doelgroep (zoeksleutel)]=E37,Berekening_patiëntaantal[Digitale zorgtoepassing]),0))</f>
        <v>16380</v>
      </c>
      <c r="K37" s="404">
        <f>IFERROR(INDEX(aantal_organisaties[Aantal organisaties waarop toepasbaar],MATCH(B37,aantal_organisaties[Digitale zorgtoepassing],0)),0)</f>
        <v>0</v>
      </c>
      <c r="L37" s="397">
        <f>COUNTIF(uniforme_input[Doelgroep],E37)</f>
        <v>3</v>
      </c>
      <c r="M37" s="405" cm="1">
        <f t="array" ref="M37">INDEX(Technologieën[Tijdsbesparing p. patiënt (min/week)],MATCH(B37,IF(Technologieën[Zoeksleutel bronnummer]=G37,Technologieën[Digitale zorgtoepassing]),0))</f>
        <v>0</v>
      </c>
      <c r="N37" s="405" cm="1">
        <f t="array" ref="N37">INDEX(Technologieën[Tijdsbesparing per handeling (min)],MATCH(B37,IF(Technologieën[Zoeksleutel bronnummer]=G37,Technologieën[Digitale zorgtoepassing]),0))</f>
        <v>0</v>
      </c>
      <c r="O37" s="403" cm="1">
        <f t="array" ref="O37">INDEX(Technologieën[Besparing overige kosten (€/patiënt/jaar)],MATCH(B37,IF(Technologieën[Zoeksleutel bronnummer]=G37,Technologieën[Digitale zorgtoepassing]),0))</f>
        <v>0</v>
      </c>
      <c r="P37" s="403" cm="1">
        <f t="array" ref="P37">INDEX(Technologieën[Kostenbesparing p. patiënt door arbeidsbesparing (€/week)],MATCH(B37,IF(Technologieën[Zoeksleutel bronnummer]=G37,Technologieën[Digitale zorgtoepassing]),0))</f>
        <v>0</v>
      </c>
      <c r="Q37" s="403" cm="1">
        <f t="array" ref="Q37">INDEX(Technologieën[Kostenbesparing (personeel) per handeling (€)],MATCH(B37,IF(Technologieën[Zoeksleutel bronnummer]=G37,Technologieën[Digitale zorgtoepassing]),0))</f>
        <v>0</v>
      </c>
      <c r="R37" s="403" cm="1">
        <f t="array" ref="R37">INDEX(Technologieën[Besparing overige kosten (€/jaar)],MATCH(B37,IF(Technologieën[Zoeksleutel bronnummer]=G37,Technologieën[Digitale zorgtoepassing]),0))</f>
        <v>0</v>
      </c>
      <c r="S37" s="405" cm="1">
        <f t="array" ref="S37">INDEX(Technologieën[Jaarlijkse besparing zorgpersoneel (FTE)],MATCH(B37,IF(Technologieën[Zoeksleutel bronnummer]=G37,Technologieën[Digitale zorgtoepassing]),0))</f>
        <v>0</v>
      </c>
      <c r="T37" s="406" cm="1">
        <f t="array" ref="T37">(INDEX(Technologieën[QALY],MATCH(B37,IF(Technologieën[Zoeksleutel bronnummer]=G37,Technologieën[Digitale zorgtoepassing]),0)))</f>
        <v>0.05</v>
      </c>
      <c r="U37" s="407">
        <f>(uniforme_input[[#This Row],[Kostenbesparing door arbeidsbesparing p. patiënt (€/week)]]/uniforme_input[[#This Row],[Uurtarief]]*60) + (uniforme_input[[#This Row],[Totaal arbeidsbesparing onafhankelijk van patiënt (FTE)]]*40*60)/uniforme_input[[#This Row],[Patiëntaantallen]]</f>
        <v>0</v>
      </c>
      <c r="V37" s="407">
        <f>(uniforme_input[[#This Row],[Kostenbesparing per handeling (€)]]/uniforme_input[[#This Row],[Uurtarief]])*60</f>
        <v>0</v>
      </c>
      <c r="W37" s="398">
        <f>uniforme_input[[#This Row],[Overige kostenbesparing (Totaal €/jaar)]]/uniforme_input[[#This Row],[Patiëntaantallen]]</f>
        <v>0</v>
      </c>
      <c r="X37" s="408">
        <f>IF(uniforme_input[[#This Row],[Bron gebruiken voor opbrengsten?]]="Ja",uniforme_input[[#This Row],[Tijdsbesparing (min/week/patiënt) - gegeven]]+uniforme_input[[#This Row],[Tijdsbesparing (min/week/patiënt) berekend]],0)</f>
        <v>0</v>
      </c>
      <c r="Y37" s="407">
        <f>IF(uniforme_input[[#This Row],[Bron gebruiken voor opbrengsten?]]="Ja",uniforme_input[[#This Row],[Tijdsbesparing (min/handeling) - gegeven]]+uniforme_input[[#This Row],[Tijdsbesparing (min/handeling) berekend]],0)</f>
        <v>0</v>
      </c>
      <c r="Z37" s="409">
        <f>IF(uniforme_input[[#This Row],[Bron gebruiken voor opbrengsten?]]="Ja",uniforme_input[[#This Row],[Overige kostenbesparing (€/jaar/patiënt) - gegeven]]+uniforme_input[[#This Row],[Overige kostenbesparing (€/jaar/patiënt) berekend]],0)</f>
        <v>0</v>
      </c>
      <c r="AA37" s="403" cm="1">
        <f t="array" ref="AA37">INDEX(Technologieën[Jaarlijkse kosten p. patiënt],MATCH(B37,IF(Technologieën[Zoeksleutel bronnummer]=G37,Technologieën[Digitale zorgtoepassing]),0))</f>
        <v>866</v>
      </c>
      <c r="AB37" s="403" cm="1">
        <f t="array" ref="AB37">INDEX(Technologieën[Jaarlijkse kosten p. organisatie],MATCH(B37,IF(Technologieën[Zoeksleutel bronnummer]=G37,Technologieën[Digitale zorgtoepassing]),0))/uniforme_input[[#This Row],[Aantal doelgroepen waarop toepasbaar]]</f>
        <v>0</v>
      </c>
      <c r="AC37" s="403" cm="1">
        <f t="array" ref="AC37">INDEX(Technologieën[Jaarlijkse kosten (onafh. aantal patiënt/organisatie)],MATCH(B37,IF(Technologieën[Zoeksleutel bronnummer]=G37,Technologieën[Digitale zorgtoepassing]),0))/uniforme_input[[#This Row],[Aantal doelgroepen waarop toepasbaar]]</f>
        <v>0</v>
      </c>
      <c r="AD37" s="403" cm="1">
        <f t="array" ref="AD37">INDEX(Technologieën[Initiële investering (p. patiënt)],MATCH(B37,IF(Technologieën[Zoeksleutel bronnummer]=G37,Technologieën[Digitale zorgtoepassing]),0))</f>
        <v>0</v>
      </c>
      <c r="AE37" s="403" cm="1">
        <f t="array" ref="AE37">INDEX(Technologieën[Initiële investering (p. organisatie)],MATCH(B37,IF(Technologieën[Zoeksleutel bronnummer]=G37,Technologieën[Digitale zorgtoepassing]),0))</f>
        <v>0</v>
      </c>
      <c r="AF37"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37" s="398">
        <f>(uniforme_input[[#This Row],[Initiële investering per organisatie]]*uniforme_input[[#This Row],[Aantal organisaties]])/uniforme_input[[#This Row],[Patiëntaantallen]]</f>
        <v>0</v>
      </c>
      <c r="AH37" s="410">
        <f>IF(uniforme_input[[#This Row],[Bron gebruiken voor kosten/investering?]]="Ja",uniforme_input[[#This Row],[Jaarlijkse kosten per patiënt]] + uniforme_input[[#This Row],[Jaarlijkse kosten per patiënt berekend]],0)</f>
        <v>866</v>
      </c>
      <c r="AI37" s="409">
        <f>IF(uniforme_input[[#This Row],[Bron gebruiken voor kosten/investering?]]="Ja",uniforme_input[[#This Row],[Initiële investering per patiënt]]+uniforme_input[[#This Row],[Initiële investering per patiënt berekend]],0)</f>
        <v>0</v>
      </c>
    </row>
    <row r="38" spans="1:83" x14ac:dyDescent="0.5">
      <c r="A38" s="51" t="str">
        <f>INDEX(Technologieën[Veld],MATCH(G38,Technologieën[Zoeksleutel bronnummer],0))</f>
        <v>Software - Behandeling</v>
      </c>
      <c r="B38" s="33" t="s">
        <v>609</v>
      </c>
      <c r="C38" s="32" t="s">
        <v>391</v>
      </c>
      <c r="D38" s="32" t="s">
        <v>391</v>
      </c>
      <c r="E38" s="33" t="s">
        <v>51</v>
      </c>
      <c r="F38" s="33" t="str" cm="1">
        <f t="array" ref="F38">INDEX(Berekening_patiëntaantal[Direct toepasbaar/extrapolatie/incidentie voor QALY],MATCH(B38,IF(Berekening_patiëntaantal[Doelgroep (zoeksleutel)]=E38,Berekening_patiëntaantal[Digitale zorgtoepassing]),0))</f>
        <v>Huidige toepassing</v>
      </c>
      <c r="G38" s="33" t="s">
        <v>614</v>
      </c>
      <c r="H38" s="33" t="s">
        <v>148</v>
      </c>
      <c r="I38" s="403">
        <f>INDEX(Uurloon[Uurtarief zorgpersoneel],MATCH(H38,Uurloon[Zorgverlener],0))</f>
        <v>27.740086206896557</v>
      </c>
      <c r="J38" s="404" cm="1">
        <f t="array" ref="J38">INDEX(Berekening_patiëntaantal[Patiëntaantallen],MATCH(B38,IF(Berekening_patiëntaantal[Doelgroep (zoeksleutel)]=E38,Berekening_patiëntaantal[Digitale zorgtoepassing]),0))</f>
        <v>48260</v>
      </c>
      <c r="K38" s="404">
        <f>IFERROR(INDEX(aantal_organisaties[Aantal organisaties waarop toepasbaar],MATCH(B38,aantal_organisaties[Digitale zorgtoepassing],0)),0)</f>
        <v>0</v>
      </c>
      <c r="L38" s="397">
        <f>COUNTIF(uniforme_input[Doelgroep],E38)</f>
        <v>2</v>
      </c>
      <c r="M38" s="405" cm="1">
        <f t="array" ref="M38">INDEX(Technologieën[Tijdsbesparing p. patiënt (min/week)],MATCH(B38,IF(Technologieën[Zoeksleutel bronnummer]=G38,Technologieën[Digitale zorgtoepassing]),0))</f>
        <v>0</v>
      </c>
      <c r="N38" s="405" cm="1">
        <f t="array" ref="N38">INDEX(Technologieën[Tijdsbesparing per handeling (min)],MATCH(B38,IF(Technologieën[Zoeksleutel bronnummer]=G38,Technologieën[Digitale zorgtoepassing]),0))</f>
        <v>0</v>
      </c>
      <c r="O38" s="403" cm="1">
        <f t="array" ref="O38">INDEX(Technologieën[Besparing overige kosten (€/patiënt/jaar)],MATCH(B38,IF(Technologieën[Zoeksleutel bronnummer]=G38,Technologieën[Digitale zorgtoepassing]),0))</f>
        <v>0</v>
      </c>
      <c r="P38" s="403" cm="1">
        <f t="array" ref="P38">INDEX(Technologieën[Kostenbesparing p. patiënt door arbeidsbesparing (€/week)],MATCH(B38,IF(Technologieën[Zoeksleutel bronnummer]=G38,Technologieën[Digitale zorgtoepassing]),0))</f>
        <v>0</v>
      </c>
      <c r="Q38" s="403" cm="1">
        <f t="array" ref="Q38">INDEX(Technologieën[Kostenbesparing (personeel) per handeling (€)],MATCH(B38,IF(Technologieën[Zoeksleutel bronnummer]=G38,Technologieën[Digitale zorgtoepassing]),0))</f>
        <v>0</v>
      </c>
      <c r="R38" s="403" cm="1">
        <f t="array" ref="R38">INDEX(Technologieën[Besparing overige kosten (€/jaar)],MATCH(B38,IF(Technologieën[Zoeksleutel bronnummer]=G38,Technologieën[Digitale zorgtoepassing]),0))</f>
        <v>120650000</v>
      </c>
      <c r="S38" s="405" cm="1">
        <f t="array" ref="S38">INDEX(Technologieën[Jaarlijkse besparing zorgpersoneel (FTE)],MATCH(B38,IF(Technologieën[Zoeksleutel bronnummer]=G38,Technologieën[Digitale zorgtoepassing]),0))</f>
        <v>86.465833333333336</v>
      </c>
      <c r="T38" s="406" cm="1">
        <f t="array" ref="T38">(INDEX(Technologieën[QALY],MATCH(B38,IF(Technologieën[Zoeksleutel bronnummer]=G38,Technologieën[Digitale zorgtoepassing]),0)))</f>
        <v>0</v>
      </c>
      <c r="U38" s="407">
        <f>(uniforme_input[[#This Row],[Kostenbesparing door arbeidsbesparing p. patiënt (€/week)]]/uniforme_input[[#This Row],[Uurtarief]]*60) + (uniforme_input[[#This Row],[Totaal arbeidsbesparing onafhankelijk van patiënt (FTE)]]*40*60)/uniforme_input[[#This Row],[Patiëntaantallen]]</f>
        <v>4.3</v>
      </c>
      <c r="V38" s="407">
        <f>(uniforme_input[[#This Row],[Kostenbesparing per handeling (€)]]/uniforme_input[[#This Row],[Uurtarief]])*60</f>
        <v>0</v>
      </c>
      <c r="W38" s="398">
        <f>uniforme_input[[#This Row],[Overige kostenbesparing (Totaal €/jaar)]]/uniforme_input[[#This Row],[Patiëntaantallen]]</f>
        <v>2500</v>
      </c>
      <c r="X38" s="408">
        <f>IF(uniforme_input[[#This Row],[Bron gebruiken voor opbrengsten?]]="Ja",uniforme_input[[#This Row],[Tijdsbesparing (min/week/patiënt) - gegeven]]+uniforme_input[[#This Row],[Tijdsbesparing (min/week/patiënt) berekend]],0)</f>
        <v>4.3</v>
      </c>
      <c r="Y38" s="407">
        <f>IF(uniforme_input[[#This Row],[Bron gebruiken voor opbrengsten?]]="Ja",uniforme_input[[#This Row],[Tijdsbesparing (min/handeling) - gegeven]]+uniforme_input[[#This Row],[Tijdsbesparing (min/handeling) berekend]],0)</f>
        <v>0</v>
      </c>
      <c r="Z38" s="409">
        <f>IF(uniforme_input[[#This Row],[Bron gebruiken voor opbrengsten?]]="Ja",uniforme_input[[#This Row],[Overige kostenbesparing (€/jaar/patiënt) - gegeven]]+uniforme_input[[#This Row],[Overige kostenbesparing (€/jaar/patiënt) berekend]],0)</f>
        <v>2500</v>
      </c>
      <c r="AA38" s="403" cm="1">
        <f t="array" ref="AA38">INDEX(Technologieën[Jaarlijkse kosten p. patiënt],MATCH(B38,IF(Technologieën[Zoeksleutel bronnummer]=G38,Technologieën[Digitale zorgtoepassing]),0))</f>
        <v>350</v>
      </c>
      <c r="AB38" s="403" cm="1">
        <f t="array" ref="AB38">INDEX(Technologieën[Jaarlijkse kosten p. organisatie],MATCH(B38,IF(Technologieën[Zoeksleutel bronnummer]=G38,Technologieën[Digitale zorgtoepassing]),0))/uniforme_input[[#This Row],[Aantal doelgroepen waarop toepasbaar]]</f>
        <v>0</v>
      </c>
      <c r="AC38" s="403" cm="1">
        <f t="array" ref="AC38">INDEX(Technologieën[Jaarlijkse kosten (onafh. aantal patiënt/organisatie)],MATCH(B38,IF(Technologieën[Zoeksleutel bronnummer]=G38,Technologieën[Digitale zorgtoepassing]),0))/uniforme_input[[#This Row],[Aantal doelgroepen waarop toepasbaar]]</f>
        <v>0</v>
      </c>
      <c r="AD38" s="403" cm="1">
        <f t="array" ref="AD38">INDEX(Technologieën[Initiële investering (p. patiënt)],MATCH(B38,IF(Technologieën[Zoeksleutel bronnummer]=G38,Technologieën[Digitale zorgtoepassing]),0))</f>
        <v>0</v>
      </c>
      <c r="AE38" s="403" cm="1">
        <f t="array" ref="AE38">INDEX(Technologieën[Initiële investering (p. organisatie)],MATCH(B38,IF(Technologieën[Zoeksleutel bronnummer]=G38,Technologieën[Digitale zorgtoepassing]),0))</f>
        <v>0</v>
      </c>
      <c r="AF38"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38" s="398">
        <f>(uniforme_input[[#This Row],[Initiële investering per organisatie]]*uniforme_input[[#This Row],[Aantal organisaties]])/uniforme_input[[#This Row],[Patiëntaantallen]]</f>
        <v>0</v>
      </c>
      <c r="AH38" s="410">
        <f>IF(uniforme_input[[#This Row],[Bron gebruiken voor kosten/investering?]]="Ja",uniforme_input[[#This Row],[Jaarlijkse kosten per patiënt]] + uniforme_input[[#This Row],[Jaarlijkse kosten per patiënt berekend]],0)</f>
        <v>350</v>
      </c>
      <c r="AI38" s="409">
        <f>IF(uniforme_input[[#This Row],[Bron gebruiken voor kosten/investering?]]="Ja",uniforme_input[[#This Row],[Initiële investering per patiënt]]+uniforme_input[[#This Row],[Initiële investering per patiënt berekend]],0)</f>
        <v>0</v>
      </c>
    </row>
    <row r="39" spans="1:83" ht="14.15" customHeight="1" x14ac:dyDescent="0.5">
      <c r="A39" s="51" t="str">
        <f>INDEX(Technologieën[Veld],MATCH(G39,Technologieën[Zoeksleutel bronnummer],0))</f>
        <v>Software - Behandeling</v>
      </c>
      <c r="B39" s="33" t="s">
        <v>609</v>
      </c>
      <c r="C39" s="32" t="s">
        <v>391</v>
      </c>
      <c r="D39" s="32" t="s">
        <v>390</v>
      </c>
      <c r="E39" s="33" t="s">
        <v>51</v>
      </c>
      <c r="F39" s="33" t="str" cm="1">
        <f t="array" ref="F39">INDEX(Berekening_patiëntaantal[Direct toepasbaar/extrapolatie/incidentie voor QALY],MATCH(B39,IF(Berekening_patiëntaantal[Doelgroep (zoeksleutel)]=E39,Berekening_patiëntaantal[Digitale zorgtoepassing]),0))</f>
        <v>Huidige toepassing</v>
      </c>
      <c r="G39" s="33" t="s">
        <v>615</v>
      </c>
      <c r="H39" s="33" t="s">
        <v>148</v>
      </c>
      <c r="I39" s="403">
        <f>INDEX(Uurloon[Uurtarief zorgpersoneel],MATCH(H39,Uurloon[Zorgverlener],0))</f>
        <v>27.740086206896557</v>
      </c>
      <c r="J39" s="404" cm="1">
        <f t="array" ref="J39">INDEX(Berekening_patiëntaantal[Patiëntaantallen],MATCH(B39,IF(Berekening_patiëntaantal[Doelgroep (zoeksleutel)]=E39,Berekening_patiëntaantal[Digitale zorgtoepassing]),0))</f>
        <v>48260</v>
      </c>
      <c r="K39" s="404">
        <f>IFERROR(INDEX(aantal_organisaties[Aantal organisaties waarop toepasbaar],MATCH(B39,aantal_organisaties[Digitale zorgtoepassing],0)),0)</f>
        <v>0</v>
      </c>
      <c r="L39" s="397">
        <f>COUNTIF(uniforme_input[Doelgroep],E39)</f>
        <v>2</v>
      </c>
      <c r="M39" s="405" cm="1">
        <f t="array" ref="M39">INDEX(Technologieën[Tijdsbesparing p. patiënt (min/week)],MATCH(B39,IF(Technologieën[Zoeksleutel bronnummer]=G39,Technologieën[Digitale zorgtoepassing]),0))</f>
        <v>0</v>
      </c>
      <c r="N39" s="405" cm="1">
        <f t="array" ref="N39">INDEX(Technologieën[Tijdsbesparing per handeling (min)],MATCH(B39,IF(Technologieën[Zoeksleutel bronnummer]=G39,Technologieën[Digitale zorgtoepassing]),0))</f>
        <v>0</v>
      </c>
      <c r="O39" s="403" cm="1">
        <f t="array" ref="O39">INDEX(Technologieën[Besparing overige kosten (€/patiënt/jaar)],MATCH(B39,IF(Technologieën[Zoeksleutel bronnummer]=G39,Technologieën[Digitale zorgtoepassing]),0))</f>
        <v>0</v>
      </c>
      <c r="P39" s="403" cm="1">
        <f t="array" ref="P39">INDEX(Technologieën[Kostenbesparing p. patiënt door arbeidsbesparing (€/week)],MATCH(B39,IF(Technologieën[Zoeksleutel bronnummer]=G39,Technologieën[Digitale zorgtoepassing]),0))</f>
        <v>40.46</v>
      </c>
      <c r="Q39" s="403" cm="1">
        <f t="array" ref="Q39">INDEX(Technologieën[Kostenbesparing (personeel) per handeling (€)],MATCH(B39,IF(Technologieën[Zoeksleutel bronnummer]=G39,Technologieën[Digitale zorgtoepassing]),0))</f>
        <v>0</v>
      </c>
      <c r="R39" s="403" cm="1">
        <f t="array" ref="R39">INDEX(Technologieën[Besparing overige kosten (€/jaar)],MATCH(B39,IF(Technologieën[Zoeksleutel bronnummer]=G39,Technologieën[Digitale zorgtoepassing]),0))</f>
        <v>21039200</v>
      </c>
      <c r="S39" s="405" cm="1">
        <f t="array" ref="S39">INDEX(Technologieën[Jaarlijkse besparing zorgpersoneel (FTE)],MATCH(B39,IF(Technologieën[Zoeksleutel bronnummer]=G39,Technologieën[Digitale zorgtoepassing]),0))</f>
        <v>0</v>
      </c>
      <c r="T39" s="406" cm="1">
        <f t="array" ref="T39">(INDEX(Technologieën[QALY],MATCH(B39,IF(Technologieën[Zoeksleutel bronnummer]=G39,Technologieën[Digitale zorgtoepassing]),0)))</f>
        <v>0</v>
      </c>
      <c r="U39" s="407">
        <f>(uniforme_input[[#This Row],[Kostenbesparing door arbeidsbesparing p. patiënt (€/week)]]/uniforme_input[[#This Row],[Uurtarief]]*60) + (uniforme_input[[#This Row],[Totaal arbeidsbesparing onafhankelijk van patiënt (FTE)]]*40*60)/uniforme_input[[#This Row],[Patiëntaantallen]]</f>
        <v>87.512345199434392</v>
      </c>
      <c r="V39" s="407">
        <f>(uniforme_input[[#This Row],[Kostenbesparing per handeling (€)]]/uniforme_input[[#This Row],[Uurtarief]])*60</f>
        <v>0</v>
      </c>
      <c r="W39" s="398">
        <f>uniforme_input[[#This Row],[Overige kostenbesparing (Totaal €/jaar)]]/uniforme_input[[#This Row],[Patiëntaantallen]]</f>
        <v>435.95524243680069</v>
      </c>
      <c r="X39" s="408">
        <f>IF(uniforme_input[[#This Row],[Bron gebruiken voor opbrengsten?]]="Ja",uniforme_input[[#This Row],[Tijdsbesparing (min/week/patiënt) - gegeven]]+uniforme_input[[#This Row],[Tijdsbesparing (min/week/patiënt) berekend]],0)</f>
        <v>87.512345199434392</v>
      </c>
      <c r="Y39" s="407">
        <f>IF(uniforme_input[[#This Row],[Bron gebruiken voor opbrengsten?]]="Ja",uniforme_input[[#This Row],[Tijdsbesparing (min/handeling) - gegeven]]+uniforme_input[[#This Row],[Tijdsbesparing (min/handeling) berekend]],0)</f>
        <v>0</v>
      </c>
      <c r="Z39" s="409">
        <f>IF(uniforme_input[[#This Row],[Bron gebruiken voor opbrengsten?]]="Ja",uniforme_input[[#This Row],[Overige kostenbesparing (€/jaar/patiënt) - gegeven]]+uniforme_input[[#This Row],[Overige kostenbesparing (€/jaar/patiënt) berekend]],0)</f>
        <v>435.95524243680069</v>
      </c>
      <c r="AA39" s="403" cm="1">
        <f t="array" ref="AA39">INDEX(Technologieën[Jaarlijkse kosten p. patiënt],MATCH(B39,IF(Technologieën[Zoeksleutel bronnummer]=G39,Technologieën[Digitale zorgtoepassing]),0))</f>
        <v>0</v>
      </c>
      <c r="AB39" s="403" cm="1">
        <f t="array" ref="AB39">INDEX(Technologieën[Jaarlijkse kosten p. organisatie],MATCH(B39,IF(Technologieën[Zoeksleutel bronnummer]=G39,Technologieën[Digitale zorgtoepassing]),0))/uniforme_input[[#This Row],[Aantal doelgroepen waarop toepasbaar]]</f>
        <v>0</v>
      </c>
      <c r="AC39" s="403" cm="1">
        <f t="array" ref="AC39">INDEX(Technologieën[Jaarlijkse kosten (onafh. aantal patiënt/organisatie)],MATCH(B39,IF(Technologieën[Zoeksleutel bronnummer]=G39,Technologieën[Digitale zorgtoepassing]),0))/uniforme_input[[#This Row],[Aantal doelgroepen waarop toepasbaar]]</f>
        <v>0</v>
      </c>
      <c r="AD39" s="403" cm="1">
        <f t="array" ref="AD39">INDEX(Technologieën[Initiële investering (p. patiënt)],MATCH(B39,IF(Technologieën[Zoeksleutel bronnummer]=G39,Technologieën[Digitale zorgtoepassing]),0))</f>
        <v>0</v>
      </c>
      <c r="AE39" s="403" cm="1">
        <f t="array" ref="AE39">INDEX(Technologieën[Initiële investering (p. organisatie)],MATCH(B39,IF(Technologieën[Zoeksleutel bronnummer]=G39,Technologieën[Digitale zorgtoepassing]),0))</f>
        <v>0</v>
      </c>
      <c r="AF39"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39" s="398">
        <f>(uniforme_input[[#This Row],[Initiële investering per organisatie]]*uniforme_input[[#This Row],[Aantal organisaties]])/uniforme_input[[#This Row],[Patiëntaantallen]]</f>
        <v>0</v>
      </c>
      <c r="AH39" s="410">
        <f>IF(uniforme_input[[#This Row],[Bron gebruiken voor kosten/investering?]]="Ja",uniforme_input[[#This Row],[Jaarlijkse kosten per patiënt]] + uniforme_input[[#This Row],[Jaarlijkse kosten per patiënt berekend]],0)</f>
        <v>0</v>
      </c>
      <c r="AI39" s="409">
        <f>IF(uniforme_input[[#This Row],[Bron gebruiken voor kosten/investering?]]="Ja",uniforme_input[[#This Row],[Initiële investering per patiënt]]+uniforme_input[[#This Row],[Initiële investering per patiënt berekend]],0)</f>
        <v>0</v>
      </c>
    </row>
    <row r="40" spans="1:83" s="2" customFormat="1" x14ac:dyDescent="0.5">
      <c r="A40" s="51" t="str">
        <f>INDEX(Technologieën[Veld],MATCH(G40,Technologieën[Zoeksleutel bronnummer],0))</f>
        <v>Software - Behandeling</v>
      </c>
      <c r="B40" s="33" t="s">
        <v>609</v>
      </c>
      <c r="C40" s="32" t="s">
        <v>391</v>
      </c>
      <c r="D40" s="32" t="s">
        <v>391</v>
      </c>
      <c r="E40" s="33" t="s">
        <v>94</v>
      </c>
      <c r="F40" s="33" t="str" cm="1">
        <f t="array" ref="F40">INDEX(Berekening_patiëntaantal[Direct toepasbaar/extrapolatie/incidentie voor QALY],MATCH(B40,IF(Berekening_patiëntaantal[Doelgroep (zoeksleutel)]=E40,Berekening_patiëntaantal[Digitale zorgtoepassing]),0))</f>
        <v>Huidige toepassing</v>
      </c>
      <c r="G40" s="33" t="s">
        <v>616</v>
      </c>
      <c r="H40" s="33" t="s">
        <v>146</v>
      </c>
      <c r="I40" s="403">
        <f>INDEX(Uurloon[Uurtarief zorgpersoneel],MATCH(H40,Uurloon[Zorgverlener],0))</f>
        <v>91.204770114942534</v>
      </c>
      <c r="J40" s="404" cm="1">
        <f t="array" ref="J40">INDEX(Berekening_patiëntaantal[Patiëntaantallen],MATCH(B40,IF(Berekening_patiëntaantal[Doelgroep (zoeksleutel)]=E40,Berekening_patiëntaantal[Digitale zorgtoepassing]),0))</f>
        <v>28000</v>
      </c>
      <c r="K40" s="404">
        <f>IFERROR(INDEX(aantal_organisaties[Aantal organisaties waarop toepasbaar],MATCH(B40,aantal_organisaties[Digitale zorgtoepassing],0)),0)</f>
        <v>0</v>
      </c>
      <c r="L40" s="397">
        <f>COUNTIF(uniforme_input[Doelgroep],E40)</f>
        <v>1</v>
      </c>
      <c r="M40" s="405" cm="1">
        <f t="array" ref="M40">INDEX(Technologieën[Tijdsbesparing p. patiënt (min/week)],MATCH(B40,IF(Technologieën[Zoeksleutel bronnummer]=G40,Technologieën[Digitale zorgtoepassing]),0))</f>
        <v>0</v>
      </c>
      <c r="N40" s="405" cm="1">
        <f t="array" ref="N40">INDEX(Technologieën[Tijdsbesparing per handeling (min)],MATCH(B40,IF(Technologieën[Zoeksleutel bronnummer]=G40,Technologieën[Digitale zorgtoepassing]),0))</f>
        <v>0</v>
      </c>
      <c r="O40" s="403" cm="1">
        <f t="array" ref="O40">INDEX(Technologieën[Besparing overige kosten (€/patiënt/jaar)],MATCH(B40,IF(Technologieën[Zoeksleutel bronnummer]=G40,Technologieën[Digitale zorgtoepassing]),0))</f>
        <v>72.620199999999997</v>
      </c>
      <c r="P40" s="403" cm="1">
        <f t="array" ref="P40">INDEX(Technologieën[Kostenbesparing p. patiënt door arbeidsbesparing (€/week)],MATCH(B40,IF(Technologieën[Zoeksleutel bronnummer]=G40,Technologieën[Digitale zorgtoepassing]),0))</f>
        <v>2.0948134615384615</v>
      </c>
      <c r="Q40" s="403" cm="1">
        <f t="array" ref="Q40">INDEX(Technologieën[Kostenbesparing (personeel) per handeling (€)],MATCH(B40,IF(Technologieën[Zoeksleutel bronnummer]=G40,Technologieën[Digitale zorgtoepassing]),0))</f>
        <v>0</v>
      </c>
      <c r="R40" s="403" cm="1">
        <f t="array" ref="R40">INDEX(Technologieën[Besparing overige kosten (€/jaar)],MATCH(B40,IF(Technologieën[Zoeksleutel bronnummer]=G40,Technologieën[Digitale zorgtoepassing]),0))</f>
        <v>0</v>
      </c>
      <c r="S40" s="405" cm="1">
        <f t="array" ref="S40">INDEX(Technologieën[Jaarlijkse besparing zorgpersoneel (FTE)],MATCH(B40,IF(Technologieën[Zoeksleutel bronnummer]=G40,Technologieën[Digitale zorgtoepassing]),0))</f>
        <v>0</v>
      </c>
      <c r="T40" s="406" cm="1">
        <f t="array" ref="T40">(INDEX(Technologieën[QALY],MATCH(B40,IF(Technologieën[Zoeksleutel bronnummer]=G40,Technologieën[Digitale zorgtoepassing]),0)))</f>
        <v>2.8620689655172414E-2</v>
      </c>
      <c r="U40" s="407">
        <f>(uniforme_input[[#This Row],[Kostenbesparing door arbeidsbesparing p. patiënt (€/week)]]/uniforme_input[[#This Row],[Uurtarief]]*60) + (uniforme_input[[#This Row],[Totaal arbeidsbesparing onafhankelijk van patiënt (FTE)]]*40*60)/uniforme_input[[#This Row],[Patiëntaantallen]]</f>
        <v>1.3780946712974114</v>
      </c>
      <c r="V40" s="407">
        <f>(uniforme_input[[#This Row],[Kostenbesparing per handeling (€)]]/uniforme_input[[#This Row],[Uurtarief]])*60</f>
        <v>0</v>
      </c>
      <c r="W40" s="398">
        <f>uniforme_input[[#This Row],[Overige kostenbesparing (Totaal €/jaar)]]/uniforme_input[[#This Row],[Patiëntaantallen]]</f>
        <v>0</v>
      </c>
      <c r="X40" s="408">
        <f>IF(uniforme_input[[#This Row],[Bron gebruiken voor opbrengsten?]]="Ja",uniforme_input[[#This Row],[Tijdsbesparing (min/week/patiënt) - gegeven]]+uniforme_input[[#This Row],[Tijdsbesparing (min/week/patiënt) berekend]],0)</f>
        <v>1.3780946712974114</v>
      </c>
      <c r="Y40" s="407">
        <f>IF(uniforme_input[[#This Row],[Bron gebruiken voor opbrengsten?]]="Ja",uniforme_input[[#This Row],[Tijdsbesparing (min/handeling) - gegeven]]+uniforme_input[[#This Row],[Tijdsbesparing (min/handeling) berekend]],0)</f>
        <v>0</v>
      </c>
      <c r="Z40" s="409">
        <f>IF(uniforme_input[[#This Row],[Bron gebruiken voor opbrengsten?]]="Ja",uniforme_input[[#This Row],[Overige kostenbesparing (€/jaar/patiënt) - gegeven]]+uniforme_input[[#This Row],[Overige kostenbesparing (€/jaar/patiënt) berekend]],0)</f>
        <v>72.620199999999997</v>
      </c>
      <c r="AA40" s="403" cm="1">
        <f t="array" ref="AA40">INDEX(Technologieën[Jaarlijkse kosten p. patiënt],MATCH(B40,IF(Technologieën[Zoeksleutel bronnummer]=G40,Technologieën[Digitale zorgtoepassing]),0))</f>
        <v>115</v>
      </c>
      <c r="AB40" s="403" cm="1">
        <f t="array" ref="AB40">INDEX(Technologieën[Jaarlijkse kosten p. organisatie],MATCH(B40,IF(Technologieën[Zoeksleutel bronnummer]=G40,Technologieën[Digitale zorgtoepassing]),0))/uniforme_input[[#This Row],[Aantal doelgroepen waarop toepasbaar]]</f>
        <v>0</v>
      </c>
      <c r="AC40" s="403" cm="1">
        <f t="array" ref="AC40">INDEX(Technologieën[Jaarlijkse kosten (onafh. aantal patiënt/organisatie)],MATCH(B40,IF(Technologieën[Zoeksleutel bronnummer]=G40,Technologieën[Digitale zorgtoepassing]),0))/uniforme_input[[#This Row],[Aantal doelgroepen waarop toepasbaar]]</f>
        <v>0</v>
      </c>
      <c r="AD40" s="403" cm="1">
        <f t="array" ref="AD40">INDEX(Technologieën[Initiële investering (p. patiënt)],MATCH(B40,IF(Technologieën[Zoeksleutel bronnummer]=G40,Technologieën[Digitale zorgtoepassing]),0))</f>
        <v>210.45</v>
      </c>
      <c r="AE40" s="403" cm="1">
        <f t="array" ref="AE40">INDEX(Technologieën[Initiële investering (p. organisatie)],MATCH(B40,IF(Technologieën[Zoeksleutel bronnummer]=G40,Technologieën[Digitale zorgtoepassing]),0))</f>
        <v>0</v>
      </c>
      <c r="AF40"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40" s="398">
        <f>(uniforme_input[[#This Row],[Initiële investering per organisatie]]*uniforme_input[[#This Row],[Aantal organisaties]])/uniforme_input[[#This Row],[Patiëntaantallen]]</f>
        <v>0</v>
      </c>
      <c r="AH40" s="410">
        <f>IF(uniforme_input[[#This Row],[Bron gebruiken voor kosten/investering?]]="Ja",uniforme_input[[#This Row],[Jaarlijkse kosten per patiënt]] + uniforme_input[[#This Row],[Jaarlijkse kosten per patiënt berekend]],0)</f>
        <v>115</v>
      </c>
      <c r="AI40" s="409">
        <f>IF(uniforme_input[[#This Row],[Bron gebruiken voor kosten/investering?]]="Ja",uniforme_input[[#This Row],[Initiële investering per patiënt]]+uniforme_input[[#This Row],[Initiële investering per patiënt berekend]],0)</f>
        <v>210.45</v>
      </c>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row>
    <row r="41" spans="1:83" s="2" customFormat="1" x14ac:dyDescent="0.5">
      <c r="A41" s="51" t="str">
        <f>INDEX(Technologieën[Veld],MATCH(G41,Technologieën[Zoeksleutel bronnummer],0))</f>
        <v>Software - Behandeling</v>
      </c>
      <c r="B41" s="33" t="s">
        <v>609</v>
      </c>
      <c r="C41" s="32" t="s">
        <v>391</v>
      </c>
      <c r="D41" s="32" t="s">
        <v>391</v>
      </c>
      <c r="E41" s="33" t="s">
        <v>109</v>
      </c>
      <c r="F41" s="33" t="str" cm="1">
        <f t="array" ref="F41">INDEX(Berekening_patiëntaantal[Direct toepasbaar/extrapolatie/incidentie voor QALY],MATCH(B41,IF(Berekening_patiëntaantal[Doelgroep (zoeksleutel)]=E41,Berekening_patiëntaantal[Digitale zorgtoepassing]),0))</f>
        <v>Huidige toepassing</v>
      </c>
      <c r="G41" s="33" t="s">
        <v>617</v>
      </c>
      <c r="H41" s="33" t="s">
        <v>148</v>
      </c>
      <c r="I41" s="403">
        <f>INDEX(Uurloon[Uurtarief zorgpersoneel],MATCH(H41,Uurloon[Zorgverlener],0))</f>
        <v>27.740086206896557</v>
      </c>
      <c r="J41" s="404" cm="1">
        <f t="array" ref="J41">INDEX(Berekening_patiëntaantal[Patiëntaantallen],MATCH(B41,IF(Berekening_patiëntaantal[Doelgroep (zoeksleutel)]=E41,Berekening_patiëntaantal[Digitale zorgtoepassing]),0))</f>
        <v>34000</v>
      </c>
      <c r="K41" s="404">
        <f>IFERROR(INDEX(aantal_organisaties[Aantal organisaties waarop toepasbaar],MATCH(B41,aantal_organisaties[Digitale zorgtoepassing],0)),0)</f>
        <v>0</v>
      </c>
      <c r="L41" s="397">
        <f>COUNTIF(uniforme_input[Doelgroep],E41)</f>
        <v>1</v>
      </c>
      <c r="M41" s="405" cm="1">
        <f t="array" ref="M41">INDEX(Technologieën[Tijdsbesparing p. patiënt (min/week)],MATCH(B41,IF(Technologieën[Zoeksleutel bronnummer]=G41,Technologieën[Digitale zorgtoepassing]),0))</f>
        <v>0</v>
      </c>
      <c r="N41" s="405" cm="1">
        <f t="array" ref="N41">INDEX(Technologieën[Tijdsbesparing per handeling (min)],MATCH(B41,IF(Technologieën[Zoeksleutel bronnummer]=G41,Technologieën[Digitale zorgtoepassing]),0))</f>
        <v>0</v>
      </c>
      <c r="O41" s="403" cm="1">
        <f t="array" ref="O41">INDEX(Technologieën[Besparing overige kosten (€/patiënt/jaar)],MATCH(B41,IF(Technologieën[Zoeksleutel bronnummer]=G41,Technologieën[Digitale zorgtoepassing]),0))</f>
        <v>0</v>
      </c>
      <c r="P41" s="403" cm="1">
        <f t="array" ref="P41">INDEX(Technologieën[Kostenbesparing p. patiënt door arbeidsbesparing (€/week)],MATCH(B41,IF(Technologieën[Zoeksleutel bronnummer]=G41,Technologieën[Digitale zorgtoepassing]),0))</f>
        <v>0</v>
      </c>
      <c r="Q41" s="403" cm="1">
        <f t="array" ref="Q41">INDEX(Technologieën[Kostenbesparing (personeel) per handeling (€)],MATCH(B41,IF(Technologieën[Zoeksleutel bronnummer]=G41,Technologieën[Digitale zorgtoepassing]),0))</f>
        <v>0</v>
      </c>
      <c r="R41" s="403" cm="1">
        <f t="array" ref="R41">INDEX(Technologieën[Besparing overige kosten (€/jaar)],MATCH(B41,IF(Technologieën[Zoeksleutel bronnummer]=G41,Technologieën[Digitale zorgtoepassing]),0))</f>
        <v>0</v>
      </c>
      <c r="S41" s="405" cm="1">
        <f t="array" ref="S41">INDEX(Technologieën[Jaarlijkse besparing zorgpersoneel (FTE)],MATCH(B41,IF(Technologieën[Zoeksleutel bronnummer]=G41,Technologieën[Digitale zorgtoepassing]),0))</f>
        <v>0</v>
      </c>
      <c r="T41" s="406" cm="1">
        <f t="array" ref="T41">(INDEX(Technologieën[QALY],MATCH(B41,IF(Technologieën[Zoeksleutel bronnummer]=G41,Technologieën[Digitale zorgtoepassing]),0)))</f>
        <v>4.4199999999999996E-2</v>
      </c>
      <c r="U41" s="407">
        <f>(uniforme_input[[#This Row],[Kostenbesparing door arbeidsbesparing p. patiënt (€/week)]]/uniforme_input[[#This Row],[Uurtarief]]*60) + (uniforme_input[[#This Row],[Totaal arbeidsbesparing onafhankelijk van patiënt (FTE)]]*40*60)/uniforme_input[[#This Row],[Patiëntaantallen]]</f>
        <v>0</v>
      </c>
      <c r="V41" s="407">
        <f>(uniforme_input[[#This Row],[Kostenbesparing per handeling (€)]]/uniforme_input[[#This Row],[Uurtarief]])*60</f>
        <v>0</v>
      </c>
      <c r="W41" s="398">
        <f>uniforme_input[[#This Row],[Overige kostenbesparing (Totaal €/jaar)]]/uniforme_input[[#This Row],[Patiëntaantallen]]</f>
        <v>0</v>
      </c>
      <c r="X41" s="408">
        <f>IF(uniforme_input[[#This Row],[Bron gebruiken voor opbrengsten?]]="Ja",uniforme_input[[#This Row],[Tijdsbesparing (min/week/patiënt) - gegeven]]+uniforme_input[[#This Row],[Tijdsbesparing (min/week/patiënt) berekend]],0)</f>
        <v>0</v>
      </c>
      <c r="Y41" s="407">
        <f>IF(uniforme_input[[#This Row],[Bron gebruiken voor opbrengsten?]]="Ja",uniforme_input[[#This Row],[Tijdsbesparing (min/handeling) - gegeven]]+uniforme_input[[#This Row],[Tijdsbesparing (min/handeling) berekend]],0)</f>
        <v>0</v>
      </c>
      <c r="Z41" s="409">
        <f>IF(uniforme_input[[#This Row],[Bron gebruiken voor opbrengsten?]]="Ja",uniforme_input[[#This Row],[Overige kostenbesparing (€/jaar/patiënt) - gegeven]]+uniforme_input[[#This Row],[Overige kostenbesparing (€/jaar/patiënt) berekend]],0)</f>
        <v>0</v>
      </c>
      <c r="AA41" s="403" cm="1">
        <f t="array" ref="AA41">INDEX(Technologieën[Jaarlijkse kosten p. patiënt],MATCH(B41,IF(Technologieën[Zoeksleutel bronnummer]=G41,Technologieën[Digitale zorgtoepassing]),0))</f>
        <v>830.81999999999994</v>
      </c>
      <c r="AB41" s="403" cm="1">
        <f t="array" ref="AB41">INDEX(Technologieën[Jaarlijkse kosten p. organisatie],MATCH(B41,IF(Technologieën[Zoeksleutel bronnummer]=G41,Technologieën[Digitale zorgtoepassing]),0))/uniforme_input[[#This Row],[Aantal doelgroepen waarop toepasbaar]]</f>
        <v>0</v>
      </c>
      <c r="AC41" s="403" cm="1">
        <f t="array" ref="AC41">INDEX(Technologieën[Jaarlijkse kosten (onafh. aantal patiënt/organisatie)],MATCH(B41,IF(Technologieën[Zoeksleutel bronnummer]=G41,Technologieën[Digitale zorgtoepassing]),0))/uniforme_input[[#This Row],[Aantal doelgroepen waarop toepasbaar]]</f>
        <v>0</v>
      </c>
      <c r="AD41" s="403" cm="1">
        <f t="array" ref="AD41">INDEX(Technologieën[Initiële investering (p. patiënt)],MATCH(B41,IF(Technologieën[Zoeksleutel bronnummer]=G41,Technologieën[Digitale zorgtoepassing]),0))</f>
        <v>0</v>
      </c>
      <c r="AE41" s="403" cm="1">
        <f t="array" ref="AE41">INDEX(Technologieën[Initiële investering (p. organisatie)],MATCH(B41,IF(Technologieën[Zoeksleutel bronnummer]=G41,Technologieën[Digitale zorgtoepassing]),0))</f>
        <v>0</v>
      </c>
      <c r="AF41"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41" s="398">
        <f>(uniforme_input[[#This Row],[Initiële investering per organisatie]]*uniforme_input[[#This Row],[Aantal organisaties]])/uniforme_input[[#This Row],[Patiëntaantallen]]</f>
        <v>0</v>
      </c>
      <c r="AH41" s="410">
        <f>IF(uniforme_input[[#This Row],[Bron gebruiken voor kosten/investering?]]="Ja",uniforme_input[[#This Row],[Jaarlijkse kosten per patiënt]] + uniforme_input[[#This Row],[Jaarlijkse kosten per patiënt berekend]],0)</f>
        <v>830.81999999999994</v>
      </c>
      <c r="AI41" s="409">
        <f>IF(uniforme_input[[#This Row],[Bron gebruiken voor kosten/investering?]]="Ja",uniforme_input[[#This Row],[Initiële investering per patiënt]]+uniforme_input[[#This Row],[Initiële investering per patiënt berekend]],0)</f>
        <v>0</v>
      </c>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row>
    <row r="42" spans="1:83" x14ac:dyDescent="0.5">
      <c r="A42" s="51" t="str">
        <f>INDEX(Technologieën[Veld],MATCH(G42,Technologieën[Zoeksleutel bronnummer],0))</f>
        <v>Software - Behandeling</v>
      </c>
      <c r="B42" s="33" t="s">
        <v>609</v>
      </c>
      <c r="C42" s="32" t="s">
        <v>391</v>
      </c>
      <c r="D42" s="32" t="s">
        <v>390</v>
      </c>
      <c r="E42" s="33" t="s">
        <v>95</v>
      </c>
      <c r="F42" s="33" t="str" cm="1">
        <f t="array" ref="F42">INDEX(Berekening_patiëntaantal[Direct toepasbaar/extrapolatie/incidentie voor QALY],MATCH(B42,IF(Berekening_patiëntaantal[Doelgroep (zoeksleutel)]=E42,Berekening_patiëntaantal[Digitale zorgtoepassing]),0))</f>
        <v>Huidige toepassing</v>
      </c>
      <c r="G42" s="33" t="s">
        <v>618</v>
      </c>
      <c r="H42" s="33" t="s">
        <v>146</v>
      </c>
      <c r="I42" s="403">
        <f>INDEX(Uurloon[Uurtarief zorgpersoneel],MATCH(H42,Uurloon[Zorgverlener],0))</f>
        <v>91.204770114942534</v>
      </c>
      <c r="J42" s="404" cm="1">
        <f t="array" ref="J42">INDEX(Berekening_patiëntaantal[Patiëntaantallen],MATCH(B42,IF(Berekening_patiëntaantal[Doelgroep (zoeksleutel)]=E42,Berekening_patiëntaantal[Digitale zorgtoepassing]),0))</f>
        <v>16380</v>
      </c>
      <c r="K42" s="404">
        <f>IFERROR(INDEX(aantal_organisaties[Aantal organisaties waarop toepasbaar],MATCH(B42,aantal_organisaties[Digitale zorgtoepassing],0)),0)</f>
        <v>0</v>
      </c>
      <c r="L42" s="397">
        <f>COUNTIF(uniforme_input[Doelgroep],E42)</f>
        <v>3</v>
      </c>
      <c r="M42" s="405" cm="1">
        <f t="array" ref="M42">INDEX(Technologieën[Tijdsbesparing p. patiënt (min/week)],MATCH(B42,IF(Technologieën[Zoeksleutel bronnummer]=G42,Technologieën[Digitale zorgtoepassing]),0))</f>
        <v>0</v>
      </c>
      <c r="N42" s="405" cm="1">
        <f t="array" ref="N42">INDEX(Technologieën[Tijdsbesparing per handeling (min)],MATCH(B42,IF(Technologieën[Zoeksleutel bronnummer]=G42,Technologieën[Digitale zorgtoepassing]),0))</f>
        <v>0</v>
      </c>
      <c r="O42" s="403" cm="1">
        <f t="array" ref="O42">INDEX(Technologieën[Besparing overige kosten (€/patiënt/jaar)],MATCH(B42,IF(Technologieën[Zoeksleutel bronnummer]=G42,Technologieën[Digitale zorgtoepassing]),0))</f>
        <v>0</v>
      </c>
      <c r="P42" s="403" cm="1">
        <f t="array" ref="P42">INDEX(Technologieën[Kostenbesparing p. patiënt door arbeidsbesparing (€/week)],MATCH(B42,IF(Technologieën[Zoeksleutel bronnummer]=G42,Technologieën[Digitale zorgtoepassing]),0))</f>
        <v>10.361538461538462</v>
      </c>
      <c r="Q42" s="403" cm="1">
        <f t="array" ref="Q42">INDEX(Technologieën[Kostenbesparing (personeel) per handeling (€)],MATCH(B42,IF(Technologieën[Zoeksleutel bronnummer]=G42,Technologieën[Digitale zorgtoepassing]),0))</f>
        <v>0</v>
      </c>
      <c r="R42" s="403" cm="1">
        <f t="array" ref="R42">INDEX(Technologieën[Besparing overige kosten (€/jaar)],MATCH(B42,IF(Technologieën[Zoeksleutel bronnummer]=G42,Technologieën[Digitale zorgtoepassing]),0))</f>
        <v>14709240</v>
      </c>
      <c r="S42" s="405" cm="1">
        <f t="array" ref="S42">INDEX(Technologieën[Jaarlijkse besparing zorgpersoneel (FTE)],MATCH(B42,IF(Technologieën[Zoeksleutel bronnummer]=G42,Technologieën[Digitale zorgtoepassing]),0))</f>
        <v>0</v>
      </c>
      <c r="T42" s="406" cm="1">
        <f t="array" ref="T42">(INDEX(Technologieën[QALY],MATCH(B42,IF(Technologieën[Zoeksleutel bronnummer]=G42,Technologieën[Digitale zorgtoepassing]),0)))</f>
        <v>0</v>
      </c>
      <c r="U42" s="407">
        <f>(uniforme_input[[#This Row],[Kostenbesparing door arbeidsbesparing p. patiënt (€/week)]]/uniforme_input[[#This Row],[Uurtarief]]*60) + (uniforme_input[[#This Row],[Totaal arbeidsbesparing onafhankelijk van patiënt (FTE)]]*40*60)/uniforme_input[[#This Row],[Patiëntaantallen]]</f>
        <v>6.8164450928258269</v>
      </c>
      <c r="V42" s="407">
        <f>(uniforme_input[[#This Row],[Kostenbesparing per handeling (€)]]/uniforme_input[[#This Row],[Uurtarief]])*60</f>
        <v>0</v>
      </c>
      <c r="W42" s="398">
        <f>uniforme_input[[#This Row],[Overige kostenbesparing (Totaal €/jaar)]]/uniforme_input[[#This Row],[Patiëntaantallen]]</f>
        <v>898</v>
      </c>
      <c r="X42" s="408">
        <f>IF(uniforme_input[[#This Row],[Bron gebruiken voor opbrengsten?]]="Ja",uniforme_input[[#This Row],[Tijdsbesparing (min/week/patiënt) - gegeven]]+uniforme_input[[#This Row],[Tijdsbesparing (min/week/patiënt) berekend]],0)</f>
        <v>6.8164450928258269</v>
      </c>
      <c r="Y42" s="407">
        <f>IF(uniforme_input[[#This Row],[Bron gebruiken voor opbrengsten?]]="Ja",uniforme_input[[#This Row],[Tijdsbesparing (min/handeling) - gegeven]]+uniforme_input[[#This Row],[Tijdsbesparing (min/handeling) berekend]],0)</f>
        <v>0</v>
      </c>
      <c r="Z42" s="409">
        <f>IF(uniforme_input[[#This Row],[Bron gebruiken voor opbrengsten?]]="Ja",uniforme_input[[#This Row],[Overige kostenbesparing (€/jaar/patiënt) - gegeven]]+uniforme_input[[#This Row],[Overige kostenbesparing (€/jaar/patiënt) berekend]],0)</f>
        <v>898</v>
      </c>
      <c r="AA42" s="403" cm="1">
        <f t="array" ref="AA42">INDEX(Technologieën[Jaarlijkse kosten p. patiënt],MATCH(B42,IF(Technologieën[Zoeksleutel bronnummer]=G42,Technologieën[Digitale zorgtoepassing]),0))</f>
        <v>0</v>
      </c>
      <c r="AB42" s="403" cm="1">
        <f t="array" ref="AB42">INDEX(Technologieën[Jaarlijkse kosten p. organisatie],MATCH(B42,IF(Technologieën[Zoeksleutel bronnummer]=G42,Technologieën[Digitale zorgtoepassing]),0))/uniforme_input[[#This Row],[Aantal doelgroepen waarop toepasbaar]]</f>
        <v>0</v>
      </c>
      <c r="AC42" s="403" cm="1">
        <f t="array" ref="AC42">INDEX(Technologieën[Jaarlijkse kosten (onafh. aantal patiënt/organisatie)],MATCH(B42,IF(Technologieën[Zoeksleutel bronnummer]=G42,Technologieën[Digitale zorgtoepassing]),0))/uniforme_input[[#This Row],[Aantal doelgroepen waarop toepasbaar]]</f>
        <v>0</v>
      </c>
      <c r="AD42" s="403" cm="1">
        <f t="array" ref="AD42">INDEX(Technologieën[Initiële investering (p. patiënt)],MATCH(B42,IF(Technologieën[Zoeksleutel bronnummer]=G42,Technologieën[Digitale zorgtoepassing]),0))</f>
        <v>0</v>
      </c>
      <c r="AE42" s="403" cm="1">
        <f t="array" ref="AE42">INDEX(Technologieën[Initiële investering (p. organisatie)],MATCH(B42,IF(Technologieën[Zoeksleutel bronnummer]=G42,Technologieën[Digitale zorgtoepassing]),0))</f>
        <v>0</v>
      </c>
      <c r="AF42"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42" s="398">
        <f>(uniforme_input[[#This Row],[Initiële investering per organisatie]]*uniforme_input[[#This Row],[Aantal organisaties]])/uniforme_input[[#This Row],[Patiëntaantallen]]</f>
        <v>0</v>
      </c>
      <c r="AH42" s="410">
        <f>IF(uniforme_input[[#This Row],[Bron gebruiken voor kosten/investering?]]="Ja",uniforme_input[[#This Row],[Jaarlijkse kosten per patiënt]] + uniforme_input[[#This Row],[Jaarlijkse kosten per patiënt berekend]],0)</f>
        <v>0</v>
      </c>
      <c r="AI42" s="409">
        <f>IF(uniforme_input[[#This Row],[Bron gebruiken voor kosten/investering?]]="Ja",uniforme_input[[#This Row],[Initiële investering per patiënt]]+uniforme_input[[#This Row],[Initiële investering per patiënt berekend]],0)</f>
        <v>0</v>
      </c>
    </row>
    <row r="43" spans="1:83" x14ac:dyDescent="0.5">
      <c r="A43" s="51" t="str">
        <f>INDEX(Technologieën[Veld],MATCH(G43,Technologieën[Zoeksleutel bronnummer],0))</f>
        <v>Software - Behandeling</v>
      </c>
      <c r="B43" s="33" t="s">
        <v>609</v>
      </c>
      <c r="C43" s="32" t="s">
        <v>391</v>
      </c>
      <c r="D43" s="32" t="s">
        <v>391</v>
      </c>
      <c r="E43" s="33" t="s">
        <v>597</v>
      </c>
      <c r="F43" s="33" t="str" cm="1">
        <f t="array" ref="F43">INDEX(Berekening_patiëntaantal[Direct toepasbaar/extrapolatie/incidentie voor QALY],MATCH(B43,IF(Berekening_patiëntaantal[Doelgroep (zoeksleutel)]=E43,Berekening_patiëntaantal[Digitale zorgtoepassing]),0))</f>
        <v>Extrapolatie</v>
      </c>
      <c r="G43" s="33" t="s">
        <v>610</v>
      </c>
      <c r="H43" s="33" t="s">
        <v>146</v>
      </c>
      <c r="I43" s="403">
        <f>INDEX(Uurloon[Uurtarief zorgpersoneel],MATCH(H43,Uurloon[Zorgverlener],0))</f>
        <v>91.204770114942534</v>
      </c>
      <c r="J43" s="404" cm="1">
        <f t="array" ref="J43">INDEX(Berekening_patiëntaantal[Patiëntaantallen],MATCH(B43,IF(Berekening_patiëntaantal[Doelgroep (zoeksleutel)]=E43,Berekening_patiëntaantal[Digitale zorgtoepassing]),0))</f>
        <v>371952</v>
      </c>
      <c r="K43" s="404">
        <f>IFERROR(INDEX(aantal_organisaties[Aantal organisaties waarop toepasbaar],MATCH(B43,aantal_organisaties[Digitale zorgtoepassing],0)),0)</f>
        <v>0</v>
      </c>
      <c r="L43" s="397">
        <f>COUNTIF(uniforme_input[Doelgroep],E43)</f>
        <v>8</v>
      </c>
      <c r="M43" s="405" cm="1">
        <f t="array" ref="M43">INDEX(Technologieën[Tijdsbesparing p. patiënt (min/week)],MATCH(B43,IF(Technologieën[Zoeksleutel bronnummer]=G43,Technologieën[Digitale zorgtoepassing]),0))</f>
        <v>0</v>
      </c>
      <c r="N43" s="405" cm="1">
        <f t="array" ref="N43">INDEX(Technologieën[Tijdsbesparing per handeling (min)],MATCH(B43,IF(Technologieën[Zoeksleutel bronnummer]=G43,Technologieën[Digitale zorgtoepassing]),0))</f>
        <v>0</v>
      </c>
      <c r="O43" s="403" cm="1">
        <f t="array" ref="O43">INDEX(Technologieën[Besparing overige kosten (€/patiënt/jaar)],MATCH(B43,IF(Technologieën[Zoeksleutel bronnummer]=G43,Technologieën[Digitale zorgtoepassing]),0))</f>
        <v>295.2</v>
      </c>
      <c r="P43" s="403" cm="1">
        <f t="array" ref="P43">INDEX(Technologieën[Kostenbesparing p. patiënt door arbeidsbesparing (€/week)],MATCH(B43,IF(Technologieën[Zoeksleutel bronnummer]=G43,Technologieën[Digitale zorgtoepassing]),0))</f>
        <v>2.2846153846153845</v>
      </c>
      <c r="Q43" s="403" cm="1">
        <f t="array" ref="Q43">INDEX(Technologieën[Kostenbesparing (personeel) per handeling (€)],MATCH(B43,IF(Technologieën[Zoeksleutel bronnummer]=G43,Technologieën[Digitale zorgtoepassing]),0))</f>
        <v>0</v>
      </c>
      <c r="R43" s="403" cm="1">
        <f t="array" ref="R43">INDEX(Technologieën[Besparing overige kosten (€/jaar)],MATCH(B43,IF(Technologieën[Zoeksleutel bronnummer]=G43,Technologieën[Digitale zorgtoepassing]),0))</f>
        <v>0</v>
      </c>
      <c r="S43" s="405" cm="1">
        <f t="array" ref="S43">INDEX(Technologieën[Jaarlijkse besparing zorgpersoneel (FTE)],MATCH(B43,IF(Technologieën[Zoeksleutel bronnummer]=G43,Technologieën[Digitale zorgtoepassing]),0))</f>
        <v>0</v>
      </c>
      <c r="T43" s="406" cm="1">
        <f t="array" ref="T43">(INDEX(Technologieën[QALY],MATCH(B43,IF(Technologieën[Zoeksleutel bronnummer]=G43,Technologieën[Digitale zorgtoepassing]),0)))</f>
        <v>2E-3</v>
      </c>
      <c r="U43" s="407">
        <f>(uniforme_input[[#This Row],[Kostenbesparing door arbeidsbesparing p. patiënt (€/week)]]/uniforme_input[[#This Row],[Uurtarief]]*60) + (uniforme_input[[#This Row],[Totaal arbeidsbesparing onafhankelijk van patiënt (FTE)]]*40*60)/uniforme_input[[#This Row],[Patiëntaantallen]]</f>
        <v>1.5029578267032446</v>
      </c>
      <c r="V43" s="407">
        <f>(uniforme_input[[#This Row],[Kostenbesparing per handeling (€)]]/uniforme_input[[#This Row],[Uurtarief]])*60</f>
        <v>0</v>
      </c>
      <c r="W43" s="398">
        <f>uniforme_input[[#This Row],[Overige kostenbesparing (Totaal €/jaar)]]/uniforme_input[[#This Row],[Patiëntaantallen]]</f>
        <v>0</v>
      </c>
      <c r="X43" s="408">
        <f>IF(uniforme_input[[#This Row],[Bron gebruiken voor opbrengsten?]]="Ja",uniforme_input[[#This Row],[Tijdsbesparing (min/week/patiënt) - gegeven]]+uniforme_input[[#This Row],[Tijdsbesparing (min/week/patiënt) berekend]],0)</f>
        <v>1.5029578267032446</v>
      </c>
      <c r="Y43" s="407">
        <f>IF(uniforme_input[[#This Row],[Bron gebruiken voor opbrengsten?]]="Ja",uniforme_input[[#This Row],[Tijdsbesparing (min/handeling) - gegeven]]+uniforme_input[[#This Row],[Tijdsbesparing (min/handeling) berekend]],0)</f>
        <v>0</v>
      </c>
      <c r="Z43" s="409">
        <f>IF(uniforme_input[[#This Row],[Bron gebruiken voor opbrengsten?]]="Ja",uniforme_input[[#This Row],[Overige kostenbesparing (€/jaar/patiënt) - gegeven]]+uniforme_input[[#This Row],[Overige kostenbesparing (€/jaar/patiënt) berekend]],0)</f>
        <v>295.2</v>
      </c>
      <c r="AA43" s="403" cm="1">
        <f t="array" ref="AA43">INDEX(Technologieën[Jaarlijkse kosten p. patiënt],MATCH(B43,IF(Technologieën[Zoeksleutel bronnummer]=G43,Technologieën[Digitale zorgtoepassing]),0))</f>
        <v>40</v>
      </c>
      <c r="AB43" s="403" cm="1">
        <f t="array" ref="AB43">INDEX(Technologieën[Jaarlijkse kosten p. organisatie],MATCH(B43,IF(Technologieën[Zoeksleutel bronnummer]=G43,Technologieën[Digitale zorgtoepassing]),0))/uniforme_input[[#This Row],[Aantal doelgroepen waarop toepasbaar]]</f>
        <v>0</v>
      </c>
      <c r="AC43" s="403" cm="1">
        <f t="array" ref="AC43">INDEX(Technologieën[Jaarlijkse kosten (onafh. aantal patiënt/organisatie)],MATCH(B43,IF(Technologieën[Zoeksleutel bronnummer]=G43,Technologieën[Digitale zorgtoepassing]),0))/uniforme_input[[#This Row],[Aantal doelgroepen waarop toepasbaar]]</f>
        <v>0</v>
      </c>
      <c r="AD43" s="403" cm="1">
        <f t="array" ref="AD43">INDEX(Technologieën[Initiële investering (p. patiënt)],MATCH(B43,IF(Technologieën[Zoeksleutel bronnummer]=G43,Technologieën[Digitale zorgtoepassing]),0))</f>
        <v>0</v>
      </c>
      <c r="AE43" s="403" cm="1">
        <f t="array" ref="AE43">INDEX(Technologieën[Initiële investering (p. organisatie)],MATCH(B43,IF(Technologieën[Zoeksleutel bronnummer]=G43,Technologieën[Digitale zorgtoepassing]),0))</f>
        <v>0</v>
      </c>
      <c r="AF43"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43" s="398">
        <f>(uniforme_input[[#This Row],[Initiële investering per organisatie]]*uniforme_input[[#This Row],[Aantal organisaties]])/uniforme_input[[#This Row],[Patiëntaantallen]]</f>
        <v>0</v>
      </c>
      <c r="AH43" s="410">
        <f>IF(uniforme_input[[#This Row],[Bron gebruiken voor kosten/investering?]]="Ja",uniforme_input[[#This Row],[Jaarlijkse kosten per patiënt]] + uniforme_input[[#This Row],[Jaarlijkse kosten per patiënt berekend]],0)</f>
        <v>40</v>
      </c>
      <c r="AI43" s="409">
        <f>IF(uniforme_input[[#This Row],[Bron gebruiken voor kosten/investering?]]="Ja",uniforme_input[[#This Row],[Initiële investering per patiënt]]+uniforme_input[[#This Row],[Initiële investering per patiënt berekend]],0)</f>
        <v>0</v>
      </c>
    </row>
    <row r="44" spans="1:83" x14ac:dyDescent="0.5">
      <c r="A44" s="51" t="str">
        <f>INDEX(Technologieën[Veld],MATCH(G44,Technologieën[Zoeksleutel bronnummer],0))</f>
        <v>Software - Behandeling</v>
      </c>
      <c r="B44" s="33" t="s">
        <v>609</v>
      </c>
      <c r="C44" s="32" t="s">
        <v>391</v>
      </c>
      <c r="D44" s="32" t="s">
        <v>390</v>
      </c>
      <c r="E44" s="33" t="s">
        <v>597</v>
      </c>
      <c r="F44" s="33" t="str" cm="1">
        <f t="array" ref="F44">INDEX(Berekening_patiëntaantal[Direct toepasbaar/extrapolatie/incidentie voor QALY],MATCH(B44,IF(Berekening_patiëntaantal[Doelgroep (zoeksleutel)]=E44,Berekening_patiëntaantal[Digitale zorgtoepassing]),0))</f>
        <v>Extrapolatie</v>
      </c>
      <c r="G44" s="33" t="s">
        <v>612</v>
      </c>
      <c r="H44" s="33" t="s">
        <v>146</v>
      </c>
      <c r="I44" s="403">
        <f>INDEX(Uurloon[Uurtarief zorgpersoneel],MATCH(H44,Uurloon[Zorgverlener],0))</f>
        <v>91.204770114942534</v>
      </c>
      <c r="J44" s="404" cm="1">
        <f t="array" ref="J44">INDEX(Berekening_patiëntaantal[Patiëntaantallen],MATCH(B44,IF(Berekening_patiëntaantal[Doelgroep (zoeksleutel)]=E44,Berekening_patiëntaantal[Digitale zorgtoepassing]),0))</f>
        <v>371952</v>
      </c>
      <c r="K44" s="404">
        <f>IFERROR(INDEX(aantal_organisaties[Aantal organisaties waarop toepasbaar],MATCH(B44,aantal_organisaties[Digitale zorgtoepassing],0)),0)</f>
        <v>0</v>
      </c>
      <c r="L44" s="397">
        <f>COUNTIF(uniforme_input[Doelgroep],E44)</f>
        <v>8</v>
      </c>
      <c r="M44" s="405" cm="1">
        <f t="array" ref="M44">INDEX(Technologieën[Tijdsbesparing p. patiënt (min/week)],MATCH(B44,IF(Technologieën[Zoeksleutel bronnummer]=G44,Technologieën[Digitale zorgtoepassing]),0))</f>
        <v>0</v>
      </c>
      <c r="N44" s="405" cm="1">
        <f t="array" ref="N44">INDEX(Technologieën[Tijdsbesparing per handeling (min)],MATCH(B44,IF(Technologieën[Zoeksleutel bronnummer]=G44,Technologieën[Digitale zorgtoepassing]),0))</f>
        <v>0</v>
      </c>
      <c r="O44" s="403" cm="1">
        <f t="array" ref="O44">INDEX(Technologieën[Besparing overige kosten (€/patiënt/jaar)],MATCH(B44,IF(Technologieën[Zoeksleutel bronnummer]=G44,Technologieën[Digitale zorgtoepassing]),0))</f>
        <v>0</v>
      </c>
      <c r="P44" s="403" cm="1">
        <f t="array" ref="P44">INDEX(Technologieën[Kostenbesparing p. patiënt door arbeidsbesparing (€/week)],MATCH(B44,IF(Technologieën[Zoeksleutel bronnummer]=G44,Technologieën[Digitale zorgtoepassing]),0))</f>
        <v>11.425978021978022</v>
      </c>
      <c r="Q44" s="403" cm="1">
        <f t="array" ref="Q44">INDEX(Technologieën[Kostenbesparing (personeel) per handeling (€)],MATCH(B44,IF(Technologieën[Zoeksleutel bronnummer]=G44,Technologieën[Digitale zorgtoepassing]),0))</f>
        <v>0</v>
      </c>
      <c r="R44" s="403" cm="1">
        <f t="array" ref="R44">INDEX(Technologieën[Besparing overige kosten (€/jaar)],MATCH(B44,IF(Technologieën[Zoeksleutel bronnummer]=G44,Technologieën[Digitale zorgtoepassing]),0))</f>
        <v>6488127.3600000003</v>
      </c>
      <c r="S44" s="405" cm="1">
        <f t="array" ref="S44">INDEX(Technologieën[Jaarlijkse besparing zorgpersoneel (FTE)],MATCH(B44,IF(Technologieën[Zoeksleutel bronnummer]=G44,Technologieën[Digitale zorgtoepassing]),0))</f>
        <v>0</v>
      </c>
      <c r="T44" s="406" cm="1">
        <f t="array" ref="T44">(INDEX(Technologieën[QALY],MATCH(B44,IF(Technologieën[Zoeksleutel bronnummer]=G44,Technologieën[Digitale zorgtoepassing]),0)))</f>
        <v>0</v>
      </c>
      <c r="U44" s="407">
        <f>(uniforme_input[[#This Row],[Kostenbesparing door arbeidsbesparing p. patiënt (€/week)]]/uniforme_input[[#This Row],[Uurtarief]]*60) + (uniforme_input[[#This Row],[Totaal arbeidsbesparing onafhankelijk van patiënt (FTE)]]*40*60)/uniforme_input[[#This Row],[Patiëntaantallen]]</f>
        <v>7.5166976513914019</v>
      </c>
      <c r="V44" s="407">
        <f>(uniforme_input[[#This Row],[Kostenbesparing per handeling (€)]]/uniforme_input[[#This Row],[Uurtarief]])*60</f>
        <v>0</v>
      </c>
      <c r="W44" s="398">
        <f>uniforme_input[[#This Row],[Overige kostenbesparing (Totaal €/jaar)]]/uniforme_input[[#This Row],[Patiëntaantallen]]</f>
        <v>17.443453348819205</v>
      </c>
      <c r="X44" s="408">
        <f>IF(uniforme_input[[#This Row],[Bron gebruiken voor opbrengsten?]]="Ja",uniforme_input[[#This Row],[Tijdsbesparing (min/week/patiënt) - gegeven]]+uniforme_input[[#This Row],[Tijdsbesparing (min/week/patiënt) berekend]],0)</f>
        <v>7.5166976513914019</v>
      </c>
      <c r="Y44" s="407">
        <f>IF(uniforme_input[[#This Row],[Bron gebruiken voor opbrengsten?]]="Ja",uniforme_input[[#This Row],[Tijdsbesparing (min/handeling) - gegeven]]+uniforme_input[[#This Row],[Tijdsbesparing (min/handeling) berekend]],0)</f>
        <v>0</v>
      </c>
      <c r="Z44" s="409">
        <f>IF(uniforme_input[[#This Row],[Bron gebruiken voor opbrengsten?]]="Ja",uniforme_input[[#This Row],[Overige kostenbesparing (€/jaar/patiënt) - gegeven]]+uniforme_input[[#This Row],[Overige kostenbesparing (€/jaar/patiënt) berekend]],0)</f>
        <v>17.443453348819205</v>
      </c>
      <c r="AA44" s="403" cm="1">
        <f t="array" ref="AA44">INDEX(Technologieën[Jaarlijkse kosten p. patiënt],MATCH(B44,IF(Technologieën[Zoeksleutel bronnummer]=G44,Technologieën[Digitale zorgtoepassing]),0))</f>
        <v>0</v>
      </c>
      <c r="AB44" s="403" cm="1">
        <f t="array" ref="AB44">INDEX(Technologieën[Jaarlijkse kosten p. organisatie],MATCH(B44,IF(Technologieën[Zoeksleutel bronnummer]=G44,Technologieën[Digitale zorgtoepassing]),0))/uniforme_input[[#This Row],[Aantal doelgroepen waarop toepasbaar]]</f>
        <v>0</v>
      </c>
      <c r="AC44" s="403" cm="1">
        <f t="array" ref="AC44">INDEX(Technologieën[Jaarlijkse kosten (onafh. aantal patiënt/organisatie)],MATCH(B44,IF(Technologieën[Zoeksleutel bronnummer]=G44,Technologieën[Digitale zorgtoepassing]),0))/uniforme_input[[#This Row],[Aantal doelgroepen waarop toepasbaar]]</f>
        <v>0</v>
      </c>
      <c r="AD44" s="403" cm="1">
        <f t="array" ref="AD44">INDEX(Technologieën[Initiële investering (p. patiënt)],MATCH(B44,IF(Technologieën[Zoeksleutel bronnummer]=G44,Technologieën[Digitale zorgtoepassing]),0))</f>
        <v>0</v>
      </c>
      <c r="AE44" s="403" cm="1">
        <f t="array" ref="AE44">INDEX(Technologieën[Initiële investering (p. organisatie)],MATCH(B44,IF(Technologieën[Zoeksleutel bronnummer]=G44,Technologieën[Digitale zorgtoepassing]),0))</f>
        <v>0</v>
      </c>
      <c r="AF44"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44" s="398">
        <f>(uniforme_input[[#This Row],[Initiële investering per organisatie]]*uniforme_input[[#This Row],[Aantal organisaties]])/uniforme_input[[#This Row],[Patiëntaantallen]]</f>
        <v>0</v>
      </c>
      <c r="AH44" s="410">
        <f>IF(uniforme_input[[#This Row],[Bron gebruiken voor kosten/investering?]]="Ja",uniforme_input[[#This Row],[Jaarlijkse kosten per patiënt]] + uniforme_input[[#This Row],[Jaarlijkse kosten per patiënt berekend]],0)</f>
        <v>0</v>
      </c>
      <c r="AI44" s="409">
        <f>IF(uniforme_input[[#This Row],[Bron gebruiken voor kosten/investering?]]="Ja",uniforme_input[[#This Row],[Initiële investering per patiënt]]+uniforme_input[[#This Row],[Initiële investering per patiënt berekend]],0)</f>
        <v>0</v>
      </c>
    </row>
    <row r="45" spans="1:83" x14ac:dyDescent="0.5">
      <c r="A45" s="51" t="str">
        <f>INDEX(Technologieën[Veld],MATCH(G45,Technologieën[Zoeksleutel bronnummer],0))</f>
        <v>Software - Behandeling</v>
      </c>
      <c r="B45" s="33" t="s">
        <v>609</v>
      </c>
      <c r="C45" s="32" t="s">
        <v>390</v>
      </c>
      <c r="D45" s="32" t="s">
        <v>391</v>
      </c>
      <c r="E45" s="33" t="s">
        <v>597</v>
      </c>
      <c r="F45" s="33" t="str" cm="1">
        <f t="array" ref="F45">INDEX(Berekening_patiëntaantal[Direct toepasbaar/extrapolatie/incidentie voor QALY],MATCH(B45,IF(Berekening_patiëntaantal[Doelgroep (zoeksleutel)]=E45,Berekening_patiëntaantal[Digitale zorgtoepassing]),0))</f>
        <v>Extrapolatie</v>
      </c>
      <c r="G45" s="33" t="s">
        <v>613</v>
      </c>
      <c r="H45" s="33" t="s">
        <v>146</v>
      </c>
      <c r="I45" s="403">
        <f>INDEX(Uurloon[Uurtarief zorgpersoneel],MATCH(H45,Uurloon[Zorgverlener],0))</f>
        <v>91.204770114942534</v>
      </c>
      <c r="J45" s="404" cm="1">
        <f t="array" ref="J45">INDEX(Berekening_patiëntaantal[Patiëntaantallen],MATCH(B45,IF(Berekening_patiëntaantal[Doelgroep (zoeksleutel)]=E45,Berekening_patiëntaantal[Digitale zorgtoepassing]),0))</f>
        <v>371952</v>
      </c>
      <c r="K45" s="404">
        <f>IFERROR(INDEX(aantal_organisaties[Aantal organisaties waarop toepasbaar],MATCH(B45,aantal_organisaties[Digitale zorgtoepassing],0)),0)</f>
        <v>0</v>
      </c>
      <c r="L45" s="397">
        <f>COUNTIF(uniforme_input[Doelgroep],E45)</f>
        <v>8</v>
      </c>
      <c r="M45" s="405" cm="1">
        <f t="array" ref="M45">INDEX(Technologieën[Tijdsbesparing p. patiënt (min/week)],MATCH(B45,IF(Technologieën[Zoeksleutel bronnummer]=G45,Technologieën[Digitale zorgtoepassing]),0))</f>
        <v>0</v>
      </c>
      <c r="N45" s="405" cm="1">
        <f t="array" ref="N45">INDEX(Technologieën[Tijdsbesparing per handeling (min)],MATCH(B45,IF(Technologieën[Zoeksleutel bronnummer]=G45,Technologieën[Digitale zorgtoepassing]),0))</f>
        <v>0</v>
      </c>
      <c r="O45" s="403" cm="1">
        <f t="array" ref="O45">INDEX(Technologieën[Besparing overige kosten (€/patiënt/jaar)],MATCH(B45,IF(Technologieën[Zoeksleutel bronnummer]=G45,Technologieën[Digitale zorgtoepassing]),0))</f>
        <v>0</v>
      </c>
      <c r="P45" s="403" cm="1">
        <f t="array" ref="P45">INDEX(Technologieën[Kostenbesparing p. patiënt door arbeidsbesparing (€/week)],MATCH(B45,IF(Technologieën[Zoeksleutel bronnummer]=G45,Technologieën[Digitale zorgtoepassing]),0))</f>
        <v>0</v>
      </c>
      <c r="Q45" s="403" cm="1">
        <f t="array" ref="Q45">INDEX(Technologieën[Kostenbesparing (personeel) per handeling (€)],MATCH(B45,IF(Technologieën[Zoeksleutel bronnummer]=G45,Technologieën[Digitale zorgtoepassing]),0))</f>
        <v>0</v>
      </c>
      <c r="R45" s="403" cm="1">
        <f t="array" ref="R45">INDEX(Technologieën[Besparing overige kosten (€/jaar)],MATCH(B45,IF(Technologieën[Zoeksleutel bronnummer]=G45,Technologieën[Digitale zorgtoepassing]),0))</f>
        <v>0</v>
      </c>
      <c r="S45" s="405" cm="1">
        <f t="array" ref="S45">INDEX(Technologieën[Jaarlijkse besparing zorgpersoneel (FTE)],MATCH(B45,IF(Technologieën[Zoeksleutel bronnummer]=G45,Technologieën[Digitale zorgtoepassing]),0))</f>
        <v>0</v>
      </c>
      <c r="T45" s="406" cm="1">
        <f t="array" ref="T45">(INDEX(Technologieën[QALY],MATCH(B45,IF(Technologieën[Zoeksleutel bronnummer]=G45,Technologieën[Digitale zorgtoepassing]),0)))</f>
        <v>0.05</v>
      </c>
      <c r="U45" s="407">
        <f>(uniforme_input[[#This Row],[Kostenbesparing door arbeidsbesparing p. patiënt (€/week)]]/uniforme_input[[#This Row],[Uurtarief]]*60) + (uniforme_input[[#This Row],[Totaal arbeidsbesparing onafhankelijk van patiënt (FTE)]]*40*60)/uniforme_input[[#This Row],[Patiëntaantallen]]</f>
        <v>0</v>
      </c>
      <c r="V45" s="407">
        <f>(uniforme_input[[#This Row],[Kostenbesparing per handeling (€)]]/uniforme_input[[#This Row],[Uurtarief]])*60</f>
        <v>0</v>
      </c>
      <c r="W45" s="398">
        <f>uniforme_input[[#This Row],[Overige kostenbesparing (Totaal €/jaar)]]/uniforme_input[[#This Row],[Patiëntaantallen]]</f>
        <v>0</v>
      </c>
      <c r="X45" s="408">
        <f>IF(uniforme_input[[#This Row],[Bron gebruiken voor opbrengsten?]]="Ja",uniforme_input[[#This Row],[Tijdsbesparing (min/week/patiënt) - gegeven]]+uniforme_input[[#This Row],[Tijdsbesparing (min/week/patiënt) berekend]],0)</f>
        <v>0</v>
      </c>
      <c r="Y45" s="407">
        <f>IF(uniforme_input[[#This Row],[Bron gebruiken voor opbrengsten?]]="Ja",uniforme_input[[#This Row],[Tijdsbesparing (min/handeling) - gegeven]]+uniforme_input[[#This Row],[Tijdsbesparing (min/handeling) berekend]],0)</f>
        <v>0</v>
      </c>
      <c r="Z45" s="409">
        <f>IF(uniforme_input[[#This Row],[Bron gebruiken voor opbrengsten?]]="Ja",uniforme_input[[#This Row],[Overige kostenbesparing (€/jaar/patiënt) - gegeven]]+uniforme_input[[#This Row],[Overige kostenbesparing (€/jaar/patiënt) berekend]],0)</f>
        <v>0</v>
      </c>
      <c r="AA45" s="403" cm="1">
        <f t="array" ref="AA45">INDEX(Technologieën[Jaarlijkse kosten p. patiënt],MATCH(B45,IF(Technologieën[Zoeksleutel bronnummer]=G45,Technologieën[Digitale zorgtoepassing]),0))</f>
        <v>866</v>
      </c>
      <c r="AB45" s="403" cm="1">
        <f t="array" ref="AB45">INDEX(Technologieën[Jaarlijkse kosten p. organisatie],MATCH(B45,IF(Technologieën[Zoeksleutel bronnummer]=G45,Technologieën[Digitale zorgtoepassing]),0))/uniforme_input[[#This Row],[Aantal doelgroepen waarop toepasbaar]]</f>
        <v>0</v>
      </c>
      <c r="AC45" s="403" cm="1">
        <f t="array" ref="AC45">INDEX(Technologieën[Jaarlijkse kosten (onafh. aantal patiënt/organisatie)],MATCH(B45,IF(Technologieën[Zoeksleutel bronnummer]=G45,Technologieën[Digitale zorgtoepassing]),0))/uniforme_input[[#This Row],[Aantal doelgroepen waarop toepasbaar]]</f>
        <v>0</v>
      </c>
      <c r="AD45" s="403" cm="1">
        <f t="array" ref="AD45">INDEX(Technologieën[Initiële investering (p. patiënt)],MATCH(B45,IF(Technologieën[Zoeksleutel bronnummer]=G45,Technologieën[Digitale zorgtoepassing]),0))</f>
        <v>0</v>
      </c>
      <c r="AE45" s="403" cm="1">
        <f t="array" ref="AE45">INDEX(Technologieën[Initiële investering (p. organisatie)],MATCH(B45,IF(Technologieën[Zoeksleutel bronnummer]=G45,Technologieën[Digitale zorgtoepassing]),0))</f>
        <v>0</v>
      </c>
      <c r="AF45"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45" s="398">
        <f>(uniforme_input[[#This Row],[Initiële investering per organisatie]]*uniforme_input[[#This Row],[Aantal organisaties]])/uniforme_input[[#This Row],[Patiëntaantallen]]</f>
        <v>0</v>
      </c>
      <c r="AH45" s="410">
        <f>IF(uniforme_input[[#This Row],[Bron gebruiken voor kosten/investering?]]="Ja",uniforme_input[[#This Row],[Jaarlijkse kosten per patiënt]] + uniforme_input[[#This Row],[Jaarlijkse kosten per patiënt berekend]],0)</f>
        <v>866</v>
      </c>
      <c r="AI45" s="409">
        <f>IF(uniforme_input[[#This Row],[Bron gebruiken voor kosten/investering?]]="Ja",uniforme_input[[#This Row],[Initiële investering per patiënt]]+uniforme_input[[#This Row],[Initiële investering per patiënt berekend]],0)</f>
        <v>0</v>
      </c>
    </row>
    <row r="46" spans="1:83" x14ac:dyDescent="0.5">
      <c r="A46" s="51" t="str">
        <f>INDEX(Technologieën[Veld],MATCH(G46,Technologieën[Zoeksleutel bronnummer],0))</f>
        <v>Software - Behandeling</v>
      </c>
      <c r="B46" s="33" t="s">
        <v>609</v>
      </c>
      <c r="C46" s="32" t="s">
        <v>391</v>
      </c>
      <c r="D46" s="32" t="s">
        <v>391</v>
      </c>
      <c r="E46" s="33" t="s">
        <v>597</v>
      </c>
      <c r="F46" s="33" t="str" cm="1">
        <f t="array" ref="F46">INDEX(Berekening_patiëntaantal[Direct toepasbaar/extrapolatie/incidentie voor QALY],MATCH(B46,IF(Berekening_patiëntaantal[Doelgroep (zoeksleutel)]=E46,Berekening_patiëntaantal[Digitale zorgtoepassing]),0))</f>
        <v>Extrapolatie</v>
      </c>
      <c r="G46" s="33" t="s">
        <v>614</v>
      </c>
      <c r="H46" s="33" t="s">
        <v>148</v>
      </c>
      <c r="I46" s="403">
        <f>INDEX(Uurloon[Uurtarief zorgpersoneel],MATCH(H46,Uurloon[Zorgverlener],0))</f>
        <v>27.740086206896557</v>
      </c>
      <c r="J46" s="404" cm="1">
        <f t="array" ref="J46">INDEX(Berekening_patiëntaantal[Patiëntaantallen],MATCH(B46,IF(Berekening_patiëntaantal[Doelgroep (zoeksleutel)]=E46,Berekening_patiëntaantal[Digitale zorgtoepassing]),0))</f>
        <v>371952</v>
      </c>
      <c r="K46" s="404">
        <f>IFERROR(INDEX(aantal_organisaties[Aantal organisaties waarop toepasbaar],MATCH(B46,aantal_organisaties[Digitale zorgtoepassing],0)),0)</f>
        <v>0</v>
      </c>
      <c r="L46" s="397">
        <f>COUNTIF(uniforme_input[Doelgroep],E46)</f>
        <v>8</v>
      </c>
      <c r="M46" s="405" cm="1">
        <f t="array" ref="M46">INDEX(Technologieën[Tijdsbesparing p. patiënt (min/week)],MATCH(B46,IF(Technologieën[Zoeksleutel bronnummer]=G46,Technologieën[Digitale zorgtoepassing]),0))</f>
        <v>0</v>
      </c>
      <c r="N46" s="405" cm="1">
        <f t="array" ref="N46">INDEX(Technologieën[Tijdsbesparing per handeling (min)],MATCH(B46,IF(Technologieën[Zoeksleutel bronnummer]=G46,Technologieën[Digitale zorgtoepassing]),0))</f>
        <v>0</v>
      </c>
      <c r="O46" s="403" cm="1">
        <f t="array" ref="O46">INDEX(Technologieën[Besparing overige kosten (€/patiënt/jaar)],MATCH(B46,IF(Technologieën[Zoeksleutel bronnummer]=G46,Technologieën[Digitale zorgtoepassing]),0))</f>
        <v>0</v>
      </c>
      <c r="P46" s="403" cm="1">
        <f t="array" ref="P46">INDEX(Technologieën[Kostenbesparing p. patiënt door arbeidsbesparing (€/week)],MATCH(B46,IF(Technologieën[Zoeksleutel bronnummer]=G46,Technologieën[Digitale zorgtoepassing]),0))</f>
        <v>0</v>
      </c>
      <c r="Q46" s="403" cm="1">
        <f t="array" ref="Q46">INDEX(Technologieën[Kostenbesparing (personeel) per handeling (€)],MATCH(B46,IF(Technologieën[Zoeksleutel bronnummer]=G46,Technologieën[Digitale zorgtoepassing]),0))</f>
        <v>0</v>
      </c>
      <c r="R46" s="403" cm="1">
        <f t="array" ref="R46">INDEX(Technologieën[Besparing overige kosten (€/jaar)],MATCH(B46,IF(Technologieën[Zoeksleutel bronnummer]=G46,Technologieën[Digitale zorgtoepassing]),0))</f>
        <v>120650000</v>
      </c>
      <c r="S46" s="405" cm="1">
        <f t="array" ref="S46">INDEX(Technologieën[Jaarlijkse besparing zorgpersoneel (FTE)],MATCH(B46,IF(Technologieën[Zoeksleutel bronnummer]=G46,Technologieën[Digitale zorgtoepassing]),0))</f>
        <v>86.465833333333336</v>
      </c>
      <c r="T46" s="406" cm="1">
        <f t="array" ref="T46">(INDEX(Technologieën[QALY],MATCH(B46,IF(Technologieën[Zoeksleutel bronnummer]=G46,Technologieën[Digitale zorgtoepassing]),0)))</f>
        <v>0</v>
      </c>
      <c r="U46" s="407">
        <f>(uniforme_input[[#This Row],[Kostenbesparing door arbeidsbesparing p. patiënt (€/week)]]/uniforme_input[[#This Row],[Uurtarief]]*60) + (uniforme_input[[#This Row],[Totaal arbeidsbesparing onafhankelijk van patiënt (FTE)]]*40*60)/uniforme_input[[#This Row],[Patiëntaantallen]]</f>
        <v>0.55791607519249797</v>
      </c>
      <c r="V46" s="407">
        <f>(uniforme_input[[#This Row],[Kostenbesparing per handeling (€)]]/uniforme_input[[#This Row],[Uurtarief]])*60</f>
        <v>0</v>
      </c>
      <c r="W46" s="398">
        <f>uniforme_input[[#This Row],[Overige kostenbesparing (Totaal €/jaar)]]/uniforme_input[[#This Row],[Patiëntaantallen]]</f>
        <v>324.36981115842906</v>
      </c>
      <c r="X46" s="408">
        <f>IF(uniforme_input[[#This Row],[Bron gebruiken voor opbrengsten?]]="Ja",uniforme_input[[#This Row],[Tijdsbesparing (min/week/patiënt) - gegeven]]+uniforme_input[[#This Row],[Tijdsbesparing (min/week/patiënt) berekend]],0)</f>
        <v>0.55791607519249797</v>
      </c>
      <c r="Y46" s="407">
        <f>IF(uniforme_input[[#This Row],[Bron gebruiken voor opbrengsten?]]="Ja",uniforme_input[[#This Row],[Tijdsbesparing (min/handeling) - gegeven]]+uniforme_input[[#This Row],[Tijdsbesparing (min/handeling) berekend]],0)</f>
        <v>0</v>
      </c>
      <c r="Z46" s="409">
        <f>IF(uniforme_input[[#This Row],[Bron gebruiken voor opbrengsten?]]="Ja",uniforme_input[[#This Row],[Overige kostenbesparing (€/jaar/patiënt) - gegeven]]+uniforme_input[[#This Row],[Overige kostenbesparing (€/jaar/patiënt) berekend]],0)</f>
        <v>324.36981115842906</v>
      </c>
      <c r="AA46" s="403" cm="1">
        <f t="array" ref="AA46">INDEX(Technologieën[Jaarlijkse kosten p. patiënt],MATCH(B46,IF(Technologieën[Zoeksleutel bronnummer]=G46,Technologieën[Digitale zorgtoepassing]),0))</f>
        <v>350</v>
      </c>
      <c r="AB46" s="403" cm="1">
        <f t="array" ref="AB46">INDEX(Technologieën[Jaarlijkse kosten p. organisatie],MATCH(B46,IF(Technologieën[Zoeksleutel bronnummer]=G46,Technologieën[Digitale zorgtoepassing]),0))/uniforme_input[[#This Row],[Aantal doelgroepen waarop toepasbaar]]</f>
        <v>0</v>
      </c>
      <c r="AC46" s="403" cm="1">
        <f t="array" ref="AC46">INDEX(Technologieën[Jaarlijkse kosten (onafh. aantal patiënt/organisatie)],MATCH(B46,IF(Technologieën[Zoeksleutel bronnummer]=G46,Technologieën[Digitale zorgtoepassing]),0))/uniforme_input[[#This Row],[Aantal doelgroepen waarop toepasbaar]]</f>
        <v>0</v>
      </c>
      <c r="AD46" s="403" cm="1">
        <f t="array" ref="AD46">INDEX(Technologieën[Initiële investering (p. patiënt)],MATCH(B46,IF(Technologieën[Zoeksleutel bronnummer]=G46,Technologieën[Digitale zorgtoepassing]),0))</f>
        <v>0</v>
      </c>
      <c r="AE46" s="403" cm="1">
        <f t="array" ref="AE46">INDEX(Technologieën[Initiële investering (p. organisatie)],MATCH(B46,IF(Technologieën[Zoeksleutel bronnummer]=G46,Technologieën[Digitale zorgtoepassing]),0))</f>
        <v>0</v>
      </c>
      <c r="AF46"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46" s="398">
        <f>(uniforme_input[[#This Row],[Initiële investering per organisatie]]*uniforme_input[[#This Row],[Aantal organisaties]])/uniforme_input[[#This Row],[Patiëntaantallen]]</f>
        <v>0</v>
      </c>
      <c r="AH46" s="410">
        <f>IF(uniforme_input[[#This Row],[Bron gebruiken voor kosten/investering?]]="Ja",uniforme_input[[#This Row],[Jaarlijkse kosten per patiënt]] + uniforme_input[[#This Row],[Jaarlijkse kosten per patiënt berekend]],0)</f>
        <v>350</v>
      </c>
      <c r="AI46" s="409">
        <f>IF(uniforme_input[[#This Row],[Bron gebruiken voor kosten/investering?]]="Ja",uniforme_input[[#This Row],[Initiële investering per patiënt]]+uniforme_input[[#This Row],[Initiële investering per patiënt berekend]],0)</f>
        <v>0</v>
      </c>
    </row>
    <row r="47" spans="1:83" x14ac:dyDescent="0.5">
      <c r="A47" s="51" t="str">
        <f>INDEX(Technologieën[Veld],MATCH(G47,Technologieën[Zoeksleutel bronnummer],0))</f>
        <v>Software - Behandeling</v>
      </c>
      <c r="B47" s="33" t="s">
        <v>609</v>
      </c>
      <c r="C47" s="32" t="s">
        <v>391</v>
      </c>
      <c r="D47" s="32" t="s">
        <v>390</v>
      </c>
      <c r="E47" s="33" t="s">
        <v>597</v>
      </c>
      <c r="F47" s="33" t="str" cm="1">
        <f t="array" ref="F47">INDEX(Berekening_patiëntaantal[Direct toepasbaar/extrapolatie/incidentie voor QALY],MATCH(B47,IF(Berekening_patiëntaantal[Doelgroep (zoeksleutel)]=E47,Berekening_patiëntaantal[Digitale zorgtoepassing]),0))</f>
        <v>Extrapolatie</v>
      </c>
      <c r="G47" s="33" t="s">
        <v>615</v>
      </c>
      <c r="H47" s="33" t="s">
        <v>148</v>
      </c>
      <c r="I47" s="403">
        <f>INDEX(Uurloon[Uurtarief zorgpersoneel],MATCH(H47,Uurloon[Zorgverlener],0))</f>
        <v>27.740086206896557</v>
      </c>
      <c r="J47" s="404" cm="1">
        <f t="array" ref="J47">INDEX(Berekening_patiëntaantal[Patiëntaantallen],MATCH(B47,IF(Berekening_patiëntaantal[Doelgroep (zoeksleutel)]=E47,Berekening_patiëntaantal[Digitale zorgtoepassing]),0))</f>
        <v>371952</v>
      </c>
      <c r="K47" s="404">
        <f>IFERROR(INDEX(aantal_organisaties[Aantal organisaties waarop toepasbaar],MATCH(B47,aantal_organisaties[Digitale zorgtoepassing],0)),0)</f>
        <v>0</v>
      </c>
      <c r="L47" s="397">
        <f>COUNTIF(uniforme_input[Doelgroep],E47)</f>
        <v>8</v>
      </c>
      <c r="M47" s="405" cm="1">
        <f t="array" ref="M47">INDEX(Technologieën[Tijdsbesparing p. patiënt (min/week)],MATCH(B47,IF(Technologieën[Zoeksleutel bronnummer]=G47,Technologieën[Digitale zorgtoepassing]),0))</f>
        <v>0</v>
      </c>
      <c r="N47" s="405" cm="1">
        <f t="array" ref="N47">INDEX(Technologieën[Tijdsbesparing per handeling (min)],MATCH(B47,IF(Technologieën[Zoeksleutel bronnummer]=G47,Technologieën[Digitale zorgtoepassing]),0))</f>
        <v>0</v>
      </c>
      <c r="O47" s="403" cm="1">
        <f t="array" ref="O47">INDEX(Technologieën[Besparing overige kosten (€/patiënt/jaar)],MATCH(B47,IF(Technologieën[Zoeksleutel bronnummer]=G47,Technologieën[Digitale zorgtoepassing]),0))</f>
        <v>0</v>
      </c>
      <c r="P47" s="403" cm="1">
        <f t="array" ref="P47">INDEX(Technologieën[Kostenbesparing p. patiënt door arbeidsbesparing (€/week)],MATCH(B47,IF(Technologieën[Zoeksleutel bronnummer]=G47,Technologieën[Digitale zorgtoepassing]),0))</f>
        <v>40.46</v>
      </c>
      <c r="Q47" s="403" cm="1">
        <f t="array" ref="Q47">INDEX(Technologieën[Kostenbesparing (personeel) per handeling (€)],MATCH(B47,IF(Technologieën[Zoeksleutel bronnummer]=G47,Technologieën[Digitale zorgtoepassing]),0))</f>
        <v>0</v>
      </c>
      <c r="R47" s="403" cm="1">
        <f t="array" ref="R47">INDEX(Technologieën[Besparing overige kosten (€/jaar)],MATCH(B47,IF(Technologieën[Zoeksleutel bronnummer]=G47,Technologieën[Digitale zorgtoepassing]),0))</f>
        <v>21039200</v>
      </c>
      <c r="S47" s="405" cm="1">
        <f t="array" ref="S47">INDEX(Technologieën[Jaarlijkse besparing zorgpersoneel (FTE)],MATCH(B47,IF(Technologieën[Zoeksleutel bronnummer]=G47,Technologieën[Digitale zorgtoepassing]),0))</f>
        <v>0</v>
      </c>
      <c r="T47" s="406" cm="1">
        <f t="array" ref="T47">(INDEX(Technologieën[QALY],MATCH(B47,IF(Technologieën[Zoeksleutel bronnummer]=G47,Technologieën[Digitale zorgtoepassing]),0)))</f>
        <v>0</v>
      </c>
      <c r="U47" s="407">
        <f>(uniforme_input[[#This Row],[Kostenbesparing door arbeidsbesparing p. patiënt (€/week)]]/uniforme_input[[#This Row],[Uurtarief]]*60) + (uniforme_input[[#This Row],[Totaal arbeidsbesparing onafhankelijk van patiënt (FTE)]]*40*60)/uniforme_input[[#This Row],[Patiëntaantallen]]</f>
        <v>87.512345199434392</v>
      </c>
      <c r="V47" s="407">
        <f>(uniforme_input[[#This Row],[Kostenbesparing per handeling (€)]]/uniforme_input[[#This Row],[Uurtarief]])*60</f>
        <v>0</v>
      </c>
      <c r="W47" s="398">
        <f>uniforme_input[[#This Row],[Overige kostenbesparing (Totaal €/jaar)]]/uniforme_input[[#This Row],[Patiëntaantallen]]</f>
        <v>56.564287865100873</v>
      </c>
      <c r="X47" s="408">
        <f>IF(uniforme_input[[#This Row],[Bron gebruiken voor opbrengsten?]]="Ja",uniforme_input[[#This Row],[Tijdsbesparing (min/week/patiënt) - gegeven]]+uniforme_input[[#This Row],[Tijdsbesparing (min/week/patiënt) berekend]],0)</f>
        <v>87.512345199434392</v>
      </c>
      <c r="Y47" s="407">
        <f>IF(uniforme_input[[#This Row],[Bron gebruiken voor opbrengsten?]]="Ja",uniforme_input[[#This Row],[Tijdsbesparing (min/handeling) - gegeven]]+uniforme_input[[#This Row],[Tijdsbesparing (min/handeling) berekend]],0)</f>
        <v>0</v>
      </c>
      <c r="Z47" s="409">
        <f>IF(uniforme_input[[#This Row],[Bron gebruiken voor opbrengsten?]]="Ja",uniforme_input[[#This Row],[Overige kostenbesparing (€/jaar/patiënt) - gegeven]]+uniforme_input[[#This Row],[Overige kostenbesparing (€/jaar/patiënt) berekend]],0)</f>
        <v>56.564287865100873</v>
      </c>
      <c r="AA47" s="403" cm="1">
        <f t="array" ref="AA47">INDEX(Technologieën[Jaarlijkse kosten p. patiënt],MATCH(B47,IF(Technologieën[Zoeksleutel bronnummer]=G47,Technologieën[Digitale zorgtoepassing]),0))</f>
        <v>0</v>
      </c>
      <c r="AB47" s="403" cm="1">
        <f t="array" ref="AB47">INDEX(Technologieën[Jaarlijkse kosten p. organisatie],MATCH(B47,IF(Technologieën[Zoeksleutel bronnummer]=G47,Technologieën[Digitale zorgtoepassing]),0))/uniforme_input[[#This Row],[Aantal doelgroepen waarop toepasbaar]]</f>
        <v>0</v>
      </c>
      <c r="AC47" s="403" cm="1">
        <f t="array" ref="AC47">INDEX(Technologieën[Jaarlijkse kosten (onafh. aantal patiënt/organisatie)],MATCH(B47,IF(Technologieën[Zoeksleutel bronnummer]=G47,Technologieën[Digitale zorgtoepassing]),0))/uniforme_input[[#This Row],[Aantal doelgroepen waarop toepasbaar]]</f>
        <v>0</v>
      </c>
      <c r="AD47" s="403" cm="1">
        <f t="array" ref="AD47">INDEX(Technologieën[Initiële investering (p. patiënt)],MATCH(B47,IF(Technologieën[Zoeksleutel bronnummer]=G47,Technologieën[Digitale zorgtoepassing]),0))</f>
        <v>0</v>
      </c>
      <c r="AE47" s="403" cm="1">
        <f t="array" ref="AE47">INDEX(Technologieën[Initiële investering (p. organisatie)],MATCH(B47,IF(Technologieën[Zoeksleutel bronnummer]=G47,Technologieën[Digitale zorgtoepassing]),0))</f>
        <v>0</v>
      </c>
      <c r="AF47"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47" s="398">
        <f>(uniforme_input[[#This Row],[Initiële investering per organisatie]]*uniforme_input[[#This Row],[Aantal organisaties]])/uniforme_input[[#This Row],[Patiëntaantallen]]</f>
        <v>0</v>
      </c>
      <c r="AH47" s="410">
        <f>IF(uniforme_input[[#This Row],[Bron gebruiken voor kosten/investering?]]="Ja",uniforme_input[[#This Row],[Jaarlijkse kosten per patiënt]] + uniforme_input[[#This Row],[Jaarlijkse kosten per patiënt berekend]],0)</f>
        <v>0</v>
      </c>
      <c r="AI47" s="409">
        <f>IF(uniforme_input[[#This Row],[Bron gebruiken voor kosten/investering?]]="Ja",uniforme_input[[#This Row],[Initiële investering per patiënt]]+uniforme_input[[#This Row],[Initiële investering per patiënt berekend]],0)</f>
        <v>0</v>
      </c>
    </row>
    <row r="48" spans="1:83" x14ac:dyDescent="0.5">
      <c r="A48" s="51" t="str">
        <f>INDEX(Technologieën[Veld],MATCH(G48,Technologieën[Zoeksleutel bronnummer],0))</f>
        <v>Software - Behandeling</v>
      </c>
      <c r="B48" s="33" t="s">
        <v>609</v>
      </c>
      <c r="C48" s="32" t="s">
        <v>391</v>
      </c>
      <c r="D48" s="32" t="s">
        <v>391</v>
      </c>
      <c r="E48" s="33" t="s">
        <v>597</v>
      </c>
      <c r="F48" s="33" t="str" cm="1">
        <f t="array" ref="F48">INDEX(Berekening_patiëntaantal[Direct toepasbaar/extrapolatie/incidentie voor QALY],MATCH(B48,IF(Berekening_patiëntaantal[Doelgroep (zoeksleutel)]=E48,Berekening_patiëntaantal[Digitale zorgtoepassing]),0))</f>
        <v>Extrapolatie</v>
      </c>
      <c r="G48" s="33" t="s">
        <v>616</v>
      </c>
      <c r="H48" s="33" t="s">
        <v>146</v>
      </c>
      <c r="I48" s="403">
        <f>INDEX(Uurloon[Uurtarief zorgpersoneel],MATCH(H48,Uurloon[Zorgverlener],0))</f>
        <v>91.204770114942534</v>
      </c>
      <c r="J48" s="404" cm="1">
        <f t="array" ref="J48">INDEX(Berekening_patiëntaantal[Patiëntaantallen],MATCH(B48,IF(Berekening_patiëntaantal[Doelgroep (zoeksleutel)]=E48,Berekening_patiëntaantal[Digitale zorgtoepassing]),0))</f>
        <v>371952</v>
      </c>
      <c r="K48" s="404">
        <f>IFERROR(INDEX(aantal_organisaties[Aantal organisaties waarop toepasbaar],MATCH(B48,aantal_organisaties[Digitale zorgtoepassing],0)),0)</f>
        <v>0</v>
      </c>
      <c r="L48" s="397">
        <f>COUNTIF(uniforme_input[Doelgroep],E48)</f>
        <v>8</v>
      </c>
      <c r="M48" s="405" cm="1">
        <f t="array" ref="M48">INDEX(Technologieën[Tijdsbesparing p. patiënt (min/week)],MATCH(B48,IF(Technologieën[Zoeksleutel bronnummer]=G48,Technologieën[Digitale zorgtoepassing]),0))</f>
        <v>0</v>
      </c>
      <c r="N48" s="405" cm="1">
        <f t="array" ref="N48">INDEX(Technologieën[Tijdsbesparing per handeling (min)],MATCH(B48,IF(Technologieën[Zoeksleutel bronnummer]=G48,Technologieën[Digitale zorgtoepassing]),0))</f>
        <v>0</v>
      </c>
      <c r="O48" s="403" cm="1">
        <f t="array" ref="O48">INDEX(Technologieën[Besparing overige kosten (€/patiënt/jaar)],MATCH(B48,IF(Technologieën[Zoeksleutel bronnummer]=G48,Technologieën[Digitale zorgtoepassing]),0))</f>
        <v>72.620199999999997</v>
      </c>
      <c r="P48" s="403" cm="1">
        <f t="array" ref="P48">INDEX(Technologieën[Kostenbesparing p. patiënt door arbeidsbesparing (€/week)],MATCH(B48,IF(Technologieën[Zoeksleutel bronnummer]=G48,Technologieën[Digitale zorgtoepassing]),0))</f>
        <v>2.0948134615384615</v>
      </c>
      <c r="Q48" s="403" cm="1">
        <f t="array" ref="Q48">INDEX(Technologieën[Kostenbesparing (personeel) per handeling (€)],MATCH(B48,IF(Technologieën[Zoeksleutel bronnummer]=G48,Technologieën[Digitale zorgtoepassing]),0))</f>
        <v>0</v>
      </c>
      <c r="R48" s="403" cm="1">
        <f t="array" ref="R48">INDEX(Technologieën[Besparing overige kosten (€/jaar)],MATCH(B48,IF(Technologieën[Zoeksleutel bronnummer]=G48,Technologieën[Digitale zorgtoepassing]),0))</f>
        <v>0</v>
      </c>
      <c r="S48" s="405" cm="1">
        <f t="array" ref="S48">INDEX(Technologieën[Jaarlijkse besparing zorgpersoneel (FTE)],MATCH(B48,IF(Technologieën[Zoeksleutel bronnummer]=G48,Technologieën[Digitale zorgtoepassing]),0))</f>
        <v>0</v>
      </c>
      <c r="T48" s="406" cm="1">
        <f t="array" ref="T48">(INDEX(Technologieën[QALY],MATCH(B48,IF(Technologieën[Zoeksleutel bronnummer]=G48,Technologieën[Digitale zorgtoepassing]),0)))</f>
        <v>2.8620689655172414E-2</v>
      </c>
      <c r="U48" s="407">
        <f>(uniforme_input[[#This Row],[Kostenbesparing door arbeidsbesparing p. patiënt (€/week)]]/uniforme_input[[#This Row],[Uurtarief]]*60) + (uniforme_input[[#This Row],[Totaal arbeidsbesparing onafhankelijk van patiënt (FTE)]]*40*60)/uniforme_input[[#This Row],[Patiëntaantallen]]</f>
        <v>1.3780946712974114</v>
      </c>
      <c r="V48" s="407">
        <f>(uniforme_input[[#This Row],[Kostenbesparing per handeling (€)]]/uniforme_input[[#This Row],[Uurtarief]])*60</f>
        <v>0</v>
      </c>
      <c r="W48" s="398">
        <f>uniforme_input[[#This Row],[Overige kostenbesparing (Totaal €/jaar)]]/uniforme_input[[#This Row],[Patiëntaantallen]]</f>
        <v>0</v>
      </c>
      <c r="X48" s="408">
        <f>IF(uniforme_input[[#This Row],[Bron gebruiken voor opbrengsten?]]="Ja",uniforme_input[[#This Row],[Tijdsbesparing (min/week/patiënt) - gegeven]]+uniforme_input[[#This Row],[Tijdsbesparing (min/week/patiënt) berekend]],0)</f>
        <v>1.3780946712974114</v>
      </c>
      <c r="Y48" s="407">
        <f>IF(uniforme_input[[#This Row],[Bron gebruiken voor opbrengsten?]]="Ja",uniforme_input[[#This Row],[Tijdsbesparing (min/handeling) - gegeven]]+uniforme_input[[#This Row],[Tijdsbesparing (min/handeling) berekend]],0)</f>
        <v>0</v>
      </c>
      <c r="Z48" s="409">
        <f>IF(uniforme_input[[#This Row],[Bron gebruiken voor opbrengsten?]]="Ja",uniforme_input[[#This Row],[Overige kostenbesparing (€/jaar/patiënt) - gegeven]]+uniforme_input[[#This Row],[Overige kostenbesparing (€/jaar/patiënt) berekend]],0)</f>
        <v>72.620199999999997</v>
      </c>
      <c r="AA48" s="403" cm="1">
        <f t="array" ref="AA48">INDEX(Technologieën[Jaarlijkse kosten p. patiënt],MATCH(B48,IF(Technologieën[Zoeksleutel bronnummer]=G48,Technologieën[Digitale zorgtoepassing]),0))</f>
        <v>115</v>
      </c>
      <c r="AB48" s="403" cm="1">
        <f t="array" ref="AB48">INDEX(Technologieën[Jaarlijkse kosten p. organisatie],MATCH(B48,IF(Technologieën[Zoeksleutel bronnummer]=G48,Technologieën[Digitale zorgtoepassing]),0))/uniforme_input[[#This Row],[Aantal doelgroepen waarop toepasbaar]]</f>
        <v>0</v>
      </c>
      <c r="AC48" s="403" cm="1">
        <f t="array" ref="AC48">INDEX(Technologieën[Jaarlijkse kosten (onafh. aantal patiënt/organisatie)],MATCH(B48,IF(Technologieën[Zoeksleutel bronnummer]=G48,Technologieën[Digitale zorgtoepassing]),0))/uniforme_input[[#This Row],[Aantal doelgroepen waarop toepasbaar]]</f>
        <v>0</v>
      </c>
      <c r="AD48" s="403" cm="1">
        <f t="array" ref="AD48">INDEX(Technologieën[Initiële investering (p. patiënt)],MATCH(B48,IF(Technologieën[Zoeksleutel bronnummer]=G48,Technologieën[Digitale zorgtoepassing]),0))</f>
        <v>210.45</v>
      </c>
      <c r="AE48" s="403" cm="1">
        <f t="array" ref="AE48">INDEX(Technologieën[Initiële investering (p. organisatie)],MATCH(B48,IF(Technologieën[Zoeksleutel bronnummer]=G48,Technologieën[Digitale zorgtoepassing]),0))</f>
        <v>0</v>
      </c>
      <c r="AF48"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48" s="398">
        <f>(uniforme_input[[#This Row],[Initiële investering per organisatie]]*uniforme_input[[#This Row],[Aantal organisaties]])/uniforme_input[[#This Row],[Patiëntaantallen]]</f>
        <v>0</v>
      </c>
      <c r="AH48" s="410">
        <f>IF(uniforme_input[[#This Row],[Bron gebruiken voor kosten/investering?]]="Ja",uniforme_input[[#This Row],[Jaarlijkse kosten per patiënt]] + uniforme_input[[#This Row],[Jaarlijkse kosten per patiënt berekend]],0)</f>
        <v>115</v>
      </c>
      <c r="AI48" s="409">
        <f>IF(uniforme_input[[#This Row],[Bron gebruiken voor kosten/investering?]]="Ja",uniforme_input[[#This Row],[Initiële investering per patiënt]]+uniforme_input[[#This Row],[Initiële investering per patiënt berekend]],0)</f>
        <v>210.45</v>
      </c>
    </row>
    <row r="49" spans="1:35" x14ac:dyDescent="0.5">
      <c r="A49" s="51" t="str">
        <f>INDEX(Technologieën[Veld],MATCH(G49,Technologieën[Zoeksleutel bronnummer],0))</f>
        <v>Software - Behandeling</v>
      </c>
      <c r="B49" s="33" t="s">
        <v>609</v>
      </c>
      <c r="C49" s="32" t="s">
        <v>391</v>
      </c>
      <c r="D49" s="32" t="s">
        <v>391</v>
      </c>
      <c r="E49" s="33" t="s">
        <v>597</v>
      </c>
      <c r="F49" s="33" t="str" cm="1">
        <f t="array" ref="F49">INDEX(Berekening_patiëntaantal[Direct toepasbaar/extrapolatie/incidentie voor QALY],MATCH(B49,IF(Berekening_patiëntaantal[Doelgroep (zoeksleutel)]=E49,Berekening_patiëntaantal[Digitale zorgtoepassing]),0))</f>
        <v>Extrapolatie</v>
      </c>
      <c r="G49" s="33" t="s">
        <v>617</v>
      </c>
      <c r="H49" s="33" t="s">
        <v>148</v>
      </c>
      <c r="I49" s="403">
        <f>INDEX(Uurloon[Uurtarief zorgpersoneel],MATCH(H49,Uurloon[Zorgverlener],0))</f>
        <v>27.740086206896557</v>
      </c>
      <c r="J49" s="404" cm="1">
        <f t="array" ref="J49">INDEX(Berekening_patiëntaantal[Patiëntaantallen],MATCH(B49,IF(Berekening_patiëntaantal[Doelgroep (zoeksleutel)]=E49,Berekening_patiëntaantal[Digitale zorgtoepassing]),0))</f>
        <v>371952</v>
      </c>
      <c r="K49" s="404">
        <f>IFERROR(INDEX(aantal_organisaties[Aantal organisaties waarop toepasbaar],MATCH(B49,aantal_organisaties[Digitale zorgtoepassing],0)),0)</f>
        <v>0</v>
      </c>
      <c r="L49" s="397">
        <f>COUNTIF(uniforme_input[Doelgroep],E49)</f>
        <v>8</v>
      </c>
      <c r="M49" s="405" cm="1">
        <f t="array" ref="M49">INDEX(Technologieën[Tijdsbesparing p. patiënt (min/week)],MATCH(B49,IF(Technologieën[Zoeksleutel bronnummer]=G49,Technologieën[Digitale zorgtoepassing]),0))</f>
        <v>0</v>
      </c>
      <c r="N49" s="405" cm="1">
        <f t="array" ref="N49">INDEX(Technologieën[Tijdsbesparing per handeling (min)],MATCH(B49,IF(Technologieën[Zoeksleutel bronnummer]=G49,Technologieën[Digitale zorgtoepassing]),0))</f>
        <v>0</v>
      </c>
      <c r="O49" s="403" cm="1">
        <f t="array" ref="O49">INDEX(Technologieën[Besparing overige kosten (€/patiënt/jaar)],MATCH(B49,IF(Technologieën[Zoeksleutel bronnummer]=G49,Technologieën[Digitale zorgtoepassing]),0))</f>
        <v>0</v>
      </c>
      <c r="P49" s="403" cm="1">
        <f t="array" ref="P49">INDEX(Technologieën[Kostenbesparing p. patiënt door arbeidsbesparing (€/week)],MATCH(B49,IF(Technologieën[Zoeksleutel bronnummer]=G49,Technologieën[Digitale zorgtoepassing]),0))</f>
        <v>0</v>
      </c>
      <c r="Q49" s="403" cm="1">
        <f t="array" ref="Q49">INDEX(Technologieën[Kostenbesparing (personeel) per handeling (€)],MATCH(B49,IF(Technologieën[Zoeksleutel bronnummer]=G49,Technologieën[Digitale zorgtoepassing]),0))</f>
        <v>0</v>
      </c>
      <c r="R49" s="403" cm="1">
        <f t="array" ref="R49">INDEX(Technologieën[Besparing overige kosten (€/jaar)],MATCH(B49,IF(Technologieën[Zoeksleutel bronnummer]=G49,Technologieën[Digitale zorgtoepassing]),0))</f>
        <v>0</v>
      </c>
      <c r="S49" s="405" cm="1">
        <f t="array" ref="S49">INDEX(Technologieën[Jaarlijkse besparing zorgpersoneel (FTE)],MATCH(B49,IF(Technologieën[Zoeksleutel bronnummer]=G49,Technologieën[Digitale zorgtoepassing]),0))</f>
        <v>0</v>
      </c>
      <c r="T49" s="406" cm="1">
        <f t="array" ref="T49">(INDEX(Technologieën[QALY],MATCH(B49,IF(Technologieën[Zoeksleutel bronnummer]=G49,Technologieën[Digitale zorgtoepassing]),0)))</f>
        <v>4.4199999999999996E-2</v>
      </c>
      <c r="U49" s="407">
        <f>(uniforme_input[[#This Row],[Kostenbesparing door arbeidsbesparing p. patiënt (€/week)]]/uniforme_input[[#This Row],[Uurtarief]]*60) + (uniforme_input[[#This Row],[Totaal arbeidsbesparing onafhankelijk van patiënt (FTE)]]*40*60)/uniforme_input[[#This Row],[Patiëntaantallen]]</f>
        <v>0</v>
      </c>
      <c r="V49" s="407">
        <f>(uniforme_input[[#This Row],[Kostenbesparing per handeling (€)]]/uniforme_input[[#This Row],[Uurtarief]])*60</f>
        <v>0</v>
      </c>
      <c r="W49" s="398">
        <f>uniforme_input[[#This Row],[Overige kostenbesparing (Totaal €/jaar)]]/uniforme_input[[#This Row],[Patiëntaantallen]]</f>
        <v>0</v>
      </c>
      <c r="X49" s="408">
        <f>IF(uniforme_input[[#This Row],[Bron gebruiken voor opbrengsten?]]="Ja",uniforme_input[[#This Row],[Tijdsbesparing (min/week/patiënt) - gegeven]]+uniforme_input[[#This Row],[Tijdsbesparing (min/week/patiënt) berekend]],0)</f>
        <v>0</v>
      </c>
      <c r="Y49" s="407">
        <f>IF(uniforme_input[[#This Row],[Bron gebruiken voor opbrengsten?]]="Ja",uniforme_input[[#This Row],[Tijdsbesparing (min/handeling) - gegeven]]+uniforme_input[[#This Row],[Tijdsbesparing (min/handeling) berekend]],0)</f>
        <v>0</v>
      </c>
      <c r="Z49" s="409">
        <f>IF(uniforme_input[[#This Row],[Bron gebruiken voor opbrengsten?]]="Ja",uniforme_input[[#This Row],[Overige kostenbesparing (€/jaar/patiënt) - gegeven]]+uniforme_input[[#This Row],[Overige kostenbesparing (€/jaar/patiënt) berekend]],0)</f>
        <v>0</v>
      </c>
      <c r="AA49" s="403" cm="1">
        <f t="array" ref="AA49">INDEX(Technologieën[Jaarlijkse kosten p. patiënt],MATCH(B49,IF(Technologieën[Zoeksleutel bronnummer]=G49,Technologieën[Digitale zorgtoepassing]),0))</f>
        <v>830.81999999999994</v>
      </c>
      <c r="AB49" s="403" cm="1">
        <f t="array" ref="AB49">INDEX(Technologieën[Jaarlijkse kosten p. organisatie],MATCH(B49,IF(Technologieën[Zoeksleutel bronnummer]=G49,Technologieën[Digitale zorgtoepassing]),0))/uniforme_input[[#This Row],[Aantal doelgroepen waarop toepasbaar]]</f>
        <v>0</v>
      </c>
      <c r="AC49" s="403" cm="1">
        <f t="array" ref="AC49">INDEX(Technologieën[Jaarlijkse kosten (onafh. aantal patiënt/organisatie)],MATCH(B49,IF(Technologieën[Zoeksleutel bronnummer]=G49,Technologieën[Digitale zorgtoepassing]),0))/uniforme_input[[#This Row],[Aantal doelgroepen waarop toepasbaar]]</f>
        <v>0</v>
      </c>
      <c r="AD49" s="403" cm="1">
        <f t="array" ref="AD49">INDEX(Technologieën[Initiële investering (p. patiënt)],MATCH(B49,IF(Technologieën[Zoeksleutel bronnummer]=G49,Technologieën[Digitale zorgtoepassing]),0))</f>
        <v>0</v>
      </c>
      <c r="AE49" s="403" cm="1">
        <f t="array" ref="AE49">INDEX(Technologieën[Initiële investering (p. organisatie)],MATCH(B49,IF(Technologieën[Zoeksleutel bronnummer]=G49,Technologieën[Digitale zorgtoepassing]),0))</f>
        <v>0</v>
      </c>
      <c r="AF49"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49" s="398">
        <f>(uniforme_input[[#This Row],[Initiële investering per organisatie]]*uniforme_input[[#This Row],[Aantal organisaties]])/uniforme_input[[#This Row],[Patiëntaantallen]]</f>
        <v>0</v>
      </c>
      <c r="AH49" s="410">
        <f>IF(uniforme_input[[#This Row],[Bron gebruiken voor kosten/investering?]]="Ja",uniforme_input[[#This Row],[Jaarlijkse kosten per patiënt]] + uniforme_input[[#This Row],[Jaarlijkse kosten per patiënt berekend]],0)</f>
        <v>830.81999999999994</v>
      </c>
      <c r="AI49" s="409">
        <f>IF(uniforme_input[[#This Row],[Bron gebruiken voor kosten/investering?]]="Ja",uniforme_input[[#This Row],[Initiële investering per patiënt]]+uniforme_input[[#This Row],[Initiële investering per patiënt berekend]],0)</f>
        <v>0</v>
      </c>
    </row>
    <row r="50" spans="1:35" x14ac:dyDescent="0.5">
      <c r="A50" s="51" t="str">
        <f>INDEX(Technologieën[Veld],MATCH(G50,Technologieën[Zoeksleutel bronnummer],0))</f>
        <v>Software - Behandeling</v>
      </c>
      <c r="B50" s="33" t="s">
        <v>609</v>
      </c>
      <c r="C50" s="32" t="s">
        <v>391</v>
      </c>
      <c r="D50" s="32" t="s">
        <v>390</v>
      </c>
      <c r="E50" s="33" t="s">
        <v>597</v>
      </c>
      <c r="F50" s="33" t="str" cm="1">
        <f t="array" ref="F50">INDEX(Berekening_patiëntaantal[Direct toepasbaar/extrapolatie/incidentie voor QALY],MATCH(B50,IF(Berekening_patiëntaantal[Doelgroep (zoeksleutel)]=E50,Berekening_patiëntaantal[Digitale zorgtoepassing]),0))</f>
        <v>Extrapolatie</v>
      </c>
      <c r="G50" s="33" t="s">
        <v>618</v>
      </c>
      <c r="H50" s="33" t="s">
        <v>146</v>
      </c>
      <c r="I50" s="403">
        <f>INDEX(Uurloon[Uurtarief zorgpersoneel],MATCH(H50,Uurloon[Zorgverlener],0))</f>
        <v>91.204770114942534</v>
      </c>
      <c r="J50" s="404" cm="1">
        <f t="array" ref="J50">INDEX(Berekening_patiëntaantal[Patiëntaantallen],MATCH(B50,IF(Berekening_patiëntaantal[Doelgroep (zoeksleutel)]=E50,Berekening_patiëntaantal[Digitale zorgtoepassing]),0))</f>
        <v>371952</v>
      </c>
      <c r="K50" s="404">
        <f>IFERROR(INDEX(aantal_organisaties[Aantal organisaties waarop toepasbaar],MATCH(B50,aantal_organisaties[Digitale zorgtoepassing],0)),0)</f>
        <v>0</v>
      </c>
      <c r="L50" s="397">
        <f>COUNTIF(uniforme_input[Doelgroep],E50)</f>
        <v>8</v>
      </c>
      <c r="M50" s="405" cm="1">
        <f t="array" ref="M50">INDEX(Technologieën[Tijdsbesparing p. patiënt (min/week)],MATCH(B50,IF(Technologieën[Zoeksleutel bronnummer]=G50,Technologieën[Digitale zorgtoepassing]),0))</f>
        <v>0</v>
      </c>
      <c r="N50" s="405" cm="1">
        <f t="array" ref="N50">INDEX(Technologieën[Tijdsbesparing per handeling (min)],MATCH(B50,IF(Technologieën[Zoeksleutel bronnummer]=G50,Technologieën[Digitale zorgtoepassing]),0))</f>
        <v>0</v>
      </c>
      <c r="O50" s="403" cm="1">
        <f t="array" ref="O50">INDEX(Technologieën[Besparing overige kosten (€/patiënt/jaar)],MATCH(B50,IF(Technologieën[Zoeksleutel bronnummer]=G50,Technologieën[Digitale zorgtoepassing]),0))</f>
        <v>0</v>
      </c>
      <c r="P50" s="403" cm="1">
        <f t="array" ref="P50">INDEX(Technologieën[Kostenbesparing p. patiënt door arbeidsbesparing (€/week)],MATCH(B50,IF(Technologieën[Zoeksleutel bronnummer]=G50,Technologieën[Digitale zorgtoepassing]),0))</f>
        <v>10.361538461538462</v>
      </c>
      <c r="Q50" s="403" cm="1">
        <f t="array" ref="Q50">INDEX(Technologieën[Kostenbesparing (personeel) per handeling (€)],MATCH(B50,IF(Technologieën[Zoeksleutel bronnummer]=G50,Technologieën[Digitale zorgtoepassing]),0))</f>
        <v>0</v>
      </c>
      <c r="R50" s="403" cm="1">
        <f t="array" ref="R50">INDEX(Technologieën[Besparing overige kosten (€/jaar)],MATCH(B50,IF(Technologieën[Zoeksleutel bronnummer]=G50,Technologieën[Digitale zorgtoepassing]),0))</f>
        <v>14709240</v>
      </c>
      <c r="S50" s="405" cm="1">
        <f t="array" ref="S50">INDEX(Technologieën[Jaarlijkse besparing zorgpersoneel (FTE)],MATCH(B50,IF(Technologieën[Zoeksleutel bronnummer]=G50,Technologieën[Digitale zorgtoepassing]),0))</f>
        <v>0</v>
      </c>
      <c r="T50" s="406" cm="1">
        <f t="array" ref="T50">(INDEX(Technologieën[QALY],MATCH(B50,IF(Technologieën[Zoeksleutel bronnummer]=G50,Technologieën[Digitale zorgtoepassing]),0)))</f>
        <v>0</v>
      </c>
      <c r="U50" s="407">
        <f>(uniforme_input[[#This Row],[Kostenbesparing door arbeidsbesparing p. patiënt (€/week)]]/uniforme_input[[#This Row],[Uurtarief]]*60) + (uniforme_input[[#This Row],[Totaal arbeidsbesparing onafhankelijk van patiënt (FTE)]]*40*60)/uniforme_input[[#This Row],[Patiëntaantallen]]</f>
        <v>6.8164450928258269</v>
      </c>
      <c r="V50" s="407">
        <f>(uniforme_input[[#This Row],[Kostenbesparing per handeling (€)]]/uniforme_input[[#This Row],[Uurtarief]])*60</f>
        <v>0</v>
      </c>
      <c r="W50" s="398">
        <f>uniforme_input[[#This Row],[Overige kostenbesparing (Totaal €/jaar)]]/uniforme_input[[#This Row],[Patiëntaantallen]]</f>
        <v>39.546070460704605</v>
      </c>
      <c r="X50" s="408">
        <f>IF(uniforme_input[[#This Row],[Bron gebruiken voor opbrengsten?]]="Ja",uniforme_input[[#This Row],[Tijdsbesparing (min/week/patiënt) - gegeven]]+uniforme_input[[#This Row],[Tijdsbesparing (min/week/patiënt) berekend]],0)</f>
        <v>6.8164450928258269</v>
      </c>
      <c r="Y50" s="407">
        <f>IF(uniforme_input[[#This Row],[Bron gebruiken voor opbrengsten?]]="Ja",uniforme_input[[#This Row],[Tijdsbesparing (min/handeling) - gegeven]]+uniforme_input[[#This Row],[Tijdsbesparing (min/handeling) berekend]],0)</f>
        <v>0</v>
      </c>
      <c r="Z50" s="409">
        <f>IF(uniforme_input[[#This Row],[Bron gebruiken voor opbrengsten?]]="Ja",uniforme_input[[#This Row],[Overige kostenbesparing (€/jaar/patiënt) - gegeven]]+uniforme_input[[#This Row],[Overige kostenbesparing (€/jaar/patiënt) berekend]],0)</f>
        <v>39.546070460704605</v>
      </c>
      <c r="AA50" s="403" cm="1">
        <f t="array" ref="AA50">INDEX(Technologieën[Jaarlijkse kosten p. patiënt],MATCH(B50,IF(Technologieën[Zoeksleutel bronnummer]=G50,Technologieën[Digitale zorgtoepassing]),0))</f>
        <v>0</v>
      </c>
      <c r="AB50" s="403" cm="1">
        <f t="array" ref="AB50">INDEX(Technologieën[Jaarlijkse kosten p. organisatie],MATCH(B50,IF(Technologieën[Zoeksleutel bronnummer]=G50,Technologieën[Digitale zorgtoepassing]),0))/uniforme_input[[#This Row],[Aantal doelgroepen waarop toepasbaar]]</f>
        <v>0</v>
      </c>
      <c r="AC50" s="403" cm="1">
        <f t="array" ref="AC50">INDEX(Technologieën[Jaarlijkse kosten (onafh. aantal patiënt/organisatie)],MATCH(B50,IF(Technologieën[Zoeksleutel bronnummer]=G50,Technologieën[Digitale zorgtoepassing]),0))/uniforme_input[[#This Row],[Aantal doelgroepen waarop toepasbaar]]</f>
        <v>0</v>
      </c>
      <c r="AD50" s="403" cm="1">
        <f t="array" ref="AD50">INDEX(Technologieën[Initiële investering (p. patiënt)],MATCH(B50,IF(Technologieën[Zoeksleutel bronnummer]=G50,Technologieën[Digitale zorgtoepassing]),0))</f>
        <v>0</v>
      </c>
      <c r="AE50" s="403" cm="1">
        <f t="array" ref="AE50">INDEX(Technologieën[Initiële investering (p. organisatie)],MATCH(B50,IF(Technologieën[Zoeksleutel bronnummer]=G50,Technologieën[Digitale zorgtoepassing]),0))</f>
        <v>0</v>
      </c>
      <c r="AF50"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50" s="398">
        <f>(uniforme_input[[#This Row],[Initiële investering per organisatie]]*uniforme_input[[#This Row],[Aantal organisaties]])/uniforme_input[[#This Row],[Patiëntaantallen]]</f>
        <v>0</v>
      </c>
      <c r="AH50" s="410">
        <f>IF(uniforme_input[[#This Row],[Bron gebruiken voor kosten/investering?]]="Ja",uniforme_input[[#This Row],[Jaarlijkse kosten per patiënt]] + uniforme_input[[#This Row],[Jaarlijkse kosten per patiënt berekend]],0)</f>
        <v>0</v>
      </c>
      <c r="AI50" s="409">
        <f>IF(uniforme_input[[#This Row],[Bron gebruiken voor kosten/investering?]]="Ja",uniforme_input[[#This Row],[Initiële investering per patiënt]]+uniforme_input[[#This Row],[Initiële investering per patiënt berekend]],0)</f>
        <v>0</v>
      </c>
    </row>
    <row r="51" spans="1:35" x14ac:dyDescent="0.5">
      <c r="A51" s="51" t="str">
        <f>INDEX(Technologieën[Veld],MATCH(G51,Technologieën[Zoeksleutel bronnummer],0))</f>
        <v>Software - Diagnose</v>
      </c>
      <c r="B51" s="33" t="s">
        <v>474</v>
      </c>
      <c r="C51" s="32" t="s">
        <v>391</v>
      </c>
      <c r="D51" s="32" t="s">
        <v>390</v>
      </c>
      <c r="E51" s="33" t="s">
        <v>111</v>
      </c>
      <c r="F51" s="33" t="str" cm="1">
        <f t="array" ref="F51">INDEX(Berekening_patiëntaantal[Direct toepasbaar/extrapolatie/incidentie voor QALY],MATCH(B51,IF(Berekening_patiëntaantal[Doelgroep (zoeksleutel)]=E51,Berekening_patiëntaantal[Digitale zorgtoepassing]),0))</f>
        <v>Huidige toepassing</v>
      </c>
      <c r="G51" s="33" t="s">
        <v>510</v>
      </c>
      <c r="H51" s="33" t="s">
        <v>158</v>
      </c>
      <c r="I51" s="403">
        <f>INDEX(Uurloon[Uurtarief zorgpersoneel],MATCH(H51,Uurloon[Zorgverlener],0))</f>
        <v>65.106321839080465</v>
      </c>
      <c r="J51" s="404" cm="1">
        <f t="array" ref="J51">INDEX(Berekening_patiëntaantal[Patiëntaantallen],MATCH(B51,IF(Berekening_patiëntaantal[Doelgroep (zoeksleutel)]=E51,Berekening_patiëntaantal[Digitale zorgtoepassing]),0))</f>
        <v>915401.52</v>
      </c>
      <c r="K51" s="404">
        <f>IFERROR(INDEX(aantal_organisaties[Aantal organisaties waarop toepasbaar],MATCH(B51,aantal_organisaties[Digitale zorgtoepassing],0)),0)</f>
        <v>0</v>
      </c>
      <c r="L51" s="397">
        <f>COUNTIF(uniforme_input[Doelgroep],E51)</f>
        <v>2</v>
      </c>
      <c r="M51" s="405" cm="1">
        <f t="array" ref="M51">INDEX(Technologieën[Tijdsbesparing p. patiënt (min/week)],MATCH(B51,IF(Technologieën[Zoeksleutel bronnummer]=G51,Technologieën[Digitale zorgtoepassing]),0))</f>
        <v>0</v>
      </c>
      <c r="N51" s="405" cm="1">
        <f t="array" ref="N51">INDEX(Technologieën[Tijdsbesparing per handeling (min)],MATCH(B51,IF(Technologieën[Zoeksleutel bronnummer]=G51,Technologieën[Digitale zorgtoepassing]),0))</f>
        <v>8.1000000000000014</v>
      </c>
      <c r="O51" s="403" cm="1">
        <f t="array" ref="O51">INDEX(Technologieën[Besparing overige kosten (€/patiënt/jaar)],MATCH(B51,IF(Technologieën[Zoeksleutel bronnummer]=G51,Technologieën[Digitale zorgtoepassing]),0))</f>
        <v>0</v>
      </c>
      <c r="P51" s="403" cm="1">
        <f t="array" ref="P51">INDEX(Technologieën[Kostenbesparing p. patiënt door arbeidsbesparing (€/week)],MATCH(B51,IF(Technologieën[Zoeksleutel bronnummer]=G51,Technologieën[Digitale zorgtoepassing]),0))</f>
        <v>0</v>
      </c>
      <c r="Q51" s="403" cm="1">
        <f t="array" ref="Q51">INDEX(Technologieën[Kostenbesparing (personeel) per handeling (€)],MATCH(B51,IF(Technologieën[Zoeksleutel bronnummer]=G51,Technologieën[Digitale zorgtoepassing]),0))</f>
        <v>0</v>
      </c>
      <c r="R51" s="403" cm="1">
        <f t="array" ref="R51">INDEX(Technologieën[Besparing overige kosten (€/jaar)],MATCH(B51,IF(Technologieën[Zoeksleutel bronnummer]=G51,Technologieën[Digitale zorgtoepassing]),0))</f>
        <v>0</v>
      </c>
      <c r="S51" s="405" cm="1">
        <f t="array" ref="S51">INDEX(Technologieën[Jaarlijkse besparing zorgpersoneel (FTE)],MATCH(B51,IF(Technologieën[Zoeksleutel bronnummer]=G51,Technologieën[Digitale zorgtoepassing]),0))</f>
        <v>0</v>
      </c>
      <c r="T51" s="406" cm="1">
        <f t="array" ref="T51">(INDEX(Technologieën[QALY],MATCH(B51,IF(Technologieën[Zoeksleutel bronnummer]=G51,Technologieën[Digitale zorgtoepassing]),0)))</f>
        <v>0</v>
      </c>
      <c r="U51" s="407">
        <f>(uniforme_input[[#This Row],[Kostenbesparing door arbeidsbesparing p. patiënt (€/week)]]/uniforme_input[[#This Row],[Uurtarief]]*60) + (uniforme_input[[#This Row],[Totaal arbeidsbesparing onafhankelijk van patiënt (FTE)]]*40*60)/uniforme_input[[#This Row],[Patiëntaantallen]]</f>
        <v>0</v>
      </c>
      <c r="V51" s="407">
        <f>(uniforme_input[[#This Row],[Kostenbesparing per handeling (€)]]/uniforme_input[[#This Row],[Uurtarief]])*60</f>
        <v>0</v>
      </c>
      <c r="W51" s="398">
        <f>uniforme_input[[#This Row],[Overige kostenbesparing (Totaal €/jaar)]]/uniforme_input[[#This Row],[Patiëntaantallen]]</f>
        <v>0</v>
      </c>
      <c r="X51" s="408">
        <f>IF(uniforme_input[[#This Row],[Bron gebruiken voor opbrengsten?]]="Ja",uniforme_input[[#This Row],[Tijdsbesparing (min/week/patiënt) - gegeven]]+uniforme_input[[#This Row],[Tijdsbesparing (min/week/patiënt) berekend]],0)</f>
        <v>0</v>
      </c>
      <c r="Y51" s="407">
        <f>IF(uniforme_input[[#This Row],[Bron gebruiken voor opbrengsten?]]="Ja",uniforme_input[[#This Row],[Tijdsbesparing (min/handeling) - gegeven]]+uniforme_input[[#This Row],[Tijdsbesparing (min/handeling) berekend]],0)</f>
        <v>8.1000000000000014</v>
      </c>
      <c r="Z51" s="409">
        <f>IF(uniforme_input[[#This Row],[Bron gebruiken voor opbrengsten?]]="Ja",uniforme_input[[#This Row],[Overige kostenbesparing (€/jaar/patiënt) - gegeven]]+uniforme_input[[#This Row],[Overige kostenbesparing (€/jaar/patiënt) berekend]],0)</f>
        <v>0</v>
      </c>
      <c r="AA51" s="403" cm="1">
        <f t="array" ref="AA51">INDEX(Technologieën[Jaarlijkse kosten p. patiënt],MATCH(B51,IF(Technologieën[Zoeksleutel bronnummer]=G51,Technologieën[Digitale zorgtoepassing]),0))</f>
        <v>0</v>
      </c>
      <c r="AB51" s="403" cm="1">
        <f t="array" ref="AB51">INDEX(Technologieën[Jaarlijkse kosten p. organisatie],MATCH(B51,IF(Technologieën[Zoeksleutel bronnummer]=G51,Technologieën[Digitale zorgtoepassing]),0))/uniforme_input[[#This Row],[Aantal doelgroepen waarop toepasbaar]]</f>
        <v>0</v>
      </c>
      <c r="AC51" s="403" cm="1">
        <f t="array" ref="AC51">INDEX(Technologieën[Jaarlijkse kosten (onafh. aantal patiënt/organisatie)],MATCH(B51,IF(Technologieën[Zoeksleutel bronnummer]=G51,Technologieën[Digitale zorgtoepassing]),0))/uniforme_input[[#This Row],[Aantal doelgroepen waarop toepasbaar]]</f>
        <v>0</v>
      </c>
      <c r="AD51" s="403" cm="1">
        <f t="array" ref="AD51">INDEX(Technologieën[Initiële investering (p. patiënt)],MATCH(B51,IF(Technologieën[Zoeksleutel bronnummer]=G51,Technologieën[Digitale zorgtoepassing]),0))</f>
        <v>0</v>
      </c>
      <c r="AE51" s="403" cm="1">
        <f t="array" ref="AE51">INDEX(Technologieën[Initiële investering (p. organisatie)],MATCH(B51,IF(Technologieën[Zoeksleutel bronnummer]=G51,Technologieën[Digitale zorgtoepassing]),0))</f>
        <v>0</v>
      </c>
      <c r="AF51"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51" s="398">
        <f>(uniforme_input[[#This Row],[Initiële investering per organisatie]]*uniforme_input[[#This Row],[Aantal organisaties]])/uniforme_input[[#This Row],[Patiëntaantallen]]</f>
        <v>0</v>
      </c>
      <c r="AH51" s="410">
        <f>IF(uniforme_input[[#This Row],[Bron gebruiken voor kosten/investering?]]="Ja",uniforme_input[[#This Row],[Jaarlijkse kosten per patiënt]] + uniforme_input[[#This Row],[Jaarlijkse kosten per patiënt berekend]],0)</f>
        <v>0</v>
      </c>
      <c r="AI51" s="409">
        <f>IF(uniforme_input[[#This Row],[Bron gebruiken voor kosten/investering?]]="Ja",uniforme_input[[#This Row],[Initiële investering per patiënt]]+uniforme_input[[#This Row],[Initiële investering per patiënt berekend]],0)</f>
        <v>0</v>
      </c>
    </row>
    <row r="52" spans="1:35" x14ac:dyDescent="0.5">
      <c r="A52" s="51" t="str">
        <f>INDEX(Technologieën[Veld],MATCH(G52,Technologieën[Zoeksleutel bronnummer],0))</f>
        <v>Software - Diagnose</v>
      </c>
      <c r="B52" s="33" t="s">
        <v>474</v>
      </c>
      <c r="C52" s="32" t="s">
        <v>390</v>
      </c>
      <c r="D52" s="32" t="s">
        <v>391</v>
      </c>
      <c r="E52" s="33" t="s">
        <v>111</v>
      </c>
      <c r="F52" s="33" t="str" cm="1">
        <f t="array" ref="F52">INDEX(Berekening_patiëntaantal[Direct toepasbaar/extrapolatie/incidentie voor QALY],MATCH(B52,IF(Berekening_patiëntaantal[Doelgroep (zoeksleutel)]=E52,Berekening_patiëntaantal[Digitale zorgtoepassing]),0))</f>
        <v>Huidige toepassing</v>
      </c>
      <c r="G52" s="33" t="s">
        <v>511</v>
      </c>
      <c r="H52" s="33" t="s">
        <v>158</v>
      </c>
      <c r="I52" s="403">
        <f>INDEX(Uurloon[Uurtarief zorgpersoneel],MATCH(H52,Uurloon[Zorgverlener],0))</f>
        <v>65.106321839080465</v>
      </c>
      <c r="J52" s="404" cm="1">
        <f t="array" ref="J52">INDEX(Berekening_patiëntaantal[Patiëntaantallen],MATCH(B52,IF(Berekening_patiëntaantal[Doelgroep (zoeksleutel)]=E52,Berekening_patiëntaantal[Digitale zorgtoepassing]),0))</f>
        <v>915401.52</v>
      </c>
      <c r="K52" s="404">
        <f>IFERROR(INDEX(aantal_organisaties[Aantal organisaties waarop toepasbaar],MATCH(B52,aantal_organisaties[Digitale zorgtoepassing],0)),0)</f>
        <v>0</v>
      </c>
      <c r="L52" s="397">
        <f>COUNTIF(uniforme_input[Doelgroep],E52)</f>
        <v>2</v>
      </c>
      <c r="M52" s="405" cm="1">
        <f t="array" ref="M52">INDEX(Technologieën[Tijdsbesparing p. patiënt (min/week)],MATCH(B52,IF(Technologieën[Zoeksleutel bronnummer]=G52,Technologieën[Digitale zorgtoepassing]),0))</f>
        <v>0</v>
      </c>
      <c r="N52" s="405" cm="1">
        <f t="array" ref="N52">INDEX(Technologieën[Tijdsbesparing per handeling (min)],MATCH(B52,IF(Technologieën[Zoeksleutel bronnummer]=G52,Technologieën[Digitale zorgtoepassing]),0))</f>
        <v>0</v>
      </c>
      <c r="O52" s="403" cm="1">
        <f t="array" ref="O52">INDEX(Technologieën[Besparing overige kosten (€/patiënt/jaar)],MATCH(B52,IF(Technologieën[Zoeksleutel bronnummer]=G52,Technologieën[Digitale zorgtoepassing]),0))</f>
        <v>0</v>
      </c>
      <c r="P52" s="403" cm="1">
        <f t="array" ref="P52">INDEX(Technologieën[Kostenbesparing p. patiënt door arbeidsbesparing (€/week)],MATCH(B52,IF(Technologieën[Zoeksleutel bronnummer]=G52,Technologieën[Digitale zorgtoepassing]),0))</f>
        <v>0</v>
      </c>
      <c r="Q52" s="403" cm="1">
        <f t="array" ref="Q52">INDEX(Technologieën[Kostenbesparing (personeel) per handeling (€)],MATCH(B52,IF(Technologieën[Zoeksleutel bronnummer]=G52,Technologieën[Digitale zorgtoepassing]),0))</f>
        <v>0</v>
      </c>
      <c r="R52" s="403" cm="1">
        <f t="array" ref="R52">INDEX(Technologieën[Besparing overige kosten (€/jaar)],MATCH(B52,IF(Technologieën[Zoeksleutel bronnummer]=G52,Technologieën[Digitale zorgtoepassing]),0))</f>
        <v>0</v>
      </c>
      <c r="S52" s="405" cm="1">
        <f t="array" ref="S52">INDEX(Technologieën[Jaarlijkse besparing zorgpersoneel (FTE)],MATCH(B52,IF(Technologieën[Zoeksleutel bronnummer]=G52,Technologieën[Digitale zorgtoepassing]),0))</f>
        <v>0</v>
      </c>
      <c r="T52" s="406" cm="1">
        <f t="array" ref="T52">(INDEX(Technologieën[QALY],MATCH(B52,IF(Technologieën[Zoeksleutel bronnummer]=G52,Technologieën[Digitale zorgtoepassing]),0)))</f>
        <v>0</v>
      </c>
      <c r="U52" s="407">
        <f>(uniforme_input[[#This Row],[Kostenbesparing door arbeidsbesparing p. patiënt (€/week)]]/uniforme_input[[#This Row],[Uurtarief]]*60) + (uniforme_input[[#This Row],[Totaal arbeidsbesparing onafhankelijk van patiënt (FTE)]]*40*60)/uniforme_input[[#This Row],[Patiëntaantallen]]</f>
        <v>0</v>
      </c>
      <c r="V52" s="407">
        <f>(uniforme_input[[#This Row],[Kostenbesparing per handeling (€)]]/uniforme_input[[#This Row],[Uurtarief]])*60</f>
        <v>0</v>
      </c>
      <c r="W52" s="398">
        <f>uniforme_input[[#This Row],[Overige kostenbesparing (Totaal €/jaar)]]/uniforme_input[[#This Row],[Patiëntaantallen]]</f>
        <v>0</v>
      </c>
      <c r="X52" s="408">
        <f>IF(uniforme_input[[#This Row],[Bron gebruiken voor opbrengsten?]]="Ja",uniforme_input[[#This Row],[Tijdsbesparing (min/week/patiënt) - gegeven]]+uniforme_input[[#This Row],[Tijdsbesparing (min/week/patiënt) berekend]],0)</f>
        <v>0</v>
      </c>
      <c r="Y52" s="407">
        <f>IF(uniforme_input[[#This Row],[Bron gebruiken voor opbrengsten?]]="Ja",uniforme_input[[#This Row],[Tijdsbesparing (min/handeling) - gegeven]]+uniforme_input[[#This Row],[Tijdsbesparing (min/handeling) berekend]],0)</f>
        <v>0</v>
      </c>
      <c r="Z52" s="409">
        <f>IF(uniforme_input[[#This Row],[Bron gebruiken voor opbrengsten?]]="Ja",uniforme_input[[#This Row],[Overige kostenbesparing (€/jaar/patiënt) - gegeven]]+uniforme_input[[#This Row],[Overige kostenbesparing (€/jaar/patiënt) berekend]],0)</f>
        <v>0</v>
      </c>
      <c r="AA52" s="403" cm="1">
        <f t="array" ref="AA52">INDEX(Technologieën[Jaarlijkse kosten p. patiënt],MATCH(B52,IF(Technologieën[Zoeksleutel bronnummer]=G52,Technologieën[Digitale zorgtoepassing]),0))</f>
        <v>6.99</v>
      </c>
      <c r="AB52" s="403" cm="1">
        <f t="array" ref="AB52">INDEX(Technologieën[Jaarlijkse kosten p. organisatie],MATCH(B52,IF(Technologieën[Zoeksleutel bronnummer]=G52,Technologieën[Digitale zorgtoepassing]),0))/uniforme_input[[#This Row],[Aantal doelgroepen waarop toepasbaar]]</f>
        <v>0</v>
      </c>
      <c r="AC52" s="403" cm="1">
        <f t="array" ref="AC52">INDEX(Technologieën[Jaarlijkse kosten (onafh. aantal patiënt/organisatie)],MATCH(B52,IF(Technologieën[Zoeksleutel bronnummer]=G52,Technologieën[Digitale zorgtoepassing]),0))/uniforme_input[[#This Row],[Aantal doelgroepen waarop toepasbaar]]</f>
        <v>0</v>
      </c>
      <c r="AD52" s="403" cm="1">
        <f t="array" ref="AD52">INDEX(Technologieën[Initiële investering (p. patiënt)],MATCH(B52,IF(Technologieën[Zoeksleutel bronnummer]=G52,Technologieën[Digitale zorgtoepassing]),0))</f>
        <v>0</v>
      </c>
      <c r="AE52" s="403" cm="1">
        <f t="array" ref="AE52">INDEX(Technologieën[Initiële investering (p. organisatie)],MATCH(B52,IF(Technologieën[Zoeksleutel bronnummer]=G52,Technologieën[Digitale zorgtoepassing]),0))</f>
        <v>0</v>
      </c>
      <c r="AF52"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52" s="398">
        <f>(uniforme_input[[#This Row],[Initiële investering per organisatie]]*uniforme_input[[#This Row],[Aantal organisaties]])/uniforme_input[[#This Row],[Patiëntaantallen]]</f>
        <v>0</v>
      </c>
      <c r="AH52" s="410">
        <f>IF(uniforme_input[[#This Row],[Bron gebruiken voor kosten/investering?]]="Ja",uniforme_input[[#This Row],[Jaarlijkse kosten per patiënt]] + uniforme_input[[#This Row],[Jaarlijkse kosten per patiënt berekend]],0)</f>
        <v>6.99</v>
      </c>
      <c r="AI52" s="409">
        <f>IF(uniforme_input[[#This Row],[Bron gebruiken voor kosten/investering?]]="Ja",uniforme_input[[#This Row],[Initiële investering per patiënt]]+uniforme_input[[#This Row],[Initiële investering per patiënt berekend]],0)</f>
        <v>0</v>
      </c>
    </row>
    <row r="53" spans="1:35" x14ac:dyDescent="0.5">
      <c r="A53" s="51" t="str">
        <f>INDEX(Technologieën[Veld],MATCH(G53,Technologieën[Zoeksleutel bronnummer],0))</f>
        <v>Software - Diagnose</v>
      </c>
      <c r="B53" s="33" t="s">
        <v>473</v>
      </c>
      <c r="C53" s="32" t="s">
        <v>391</v>
      </c>
      <c r="D53" s="32" t="s">
        <v>390</v>
      </c>
      <c r="E53" s="33" t="s">
        <v>451</v>
      </c>
      <c r="F53" s="33" t="str" cm="1">
        <f t="array" ref="F53">INDEX(Berekening_patiëntaantal[Direct toepasbaar/extrapolatie/incidentie voor QALY],MATCH(B53,IF(Berekening_patiëntaantal[Doelgroep (zoeksleutel)]=E53,Berekening_patiëntaantal[Digitale zorgtoepassing]),0))</f>
        <v>Huidige toepassing</v>
      </c>
      <c r="G53" s="33" t="s">
        <v>513</v>
      </c>
      <c r="H53" s="33" t="s">
        <v>146</v>
      </c>
      <c r="I53" s="403">
        <f>INDEX(Uurloon[Uurtarief zorgpersoneel],MATCH(H53,Uurloon[Zorgverlener],0))</f>
        <v>91.204770114942534</v>
      </c>
      <c r="J53" s="404" cm="1">
        <f t="array" ref="J53">INDEX(Berekening_patiëntaantal[Patiëntaantallen],MATCH(B53,IF(Berekening_patiëntaantal[Doelgroep (zoeksleutel)]=E53,Berekening_patiëntaantal[Digitale zorgtoepassing]),0))</f>
        <v>73951</v>
      </c>
      <c r="K53" s="404">
        <f>IFERROR(INDEX(aantal_organisaties[Aantal organisaties waarop toepasbaar],MATCH(B53,aantal_organisaties[Digitale zorgtoepassing],0)),0)</f>
        <v>113</v>
      </c>
      <c r="L53" s="397">
        <f>COUNTIF(uniforme_input[Doelgroep],E53)</f>
        <v>4</v>
      </c>
      <c r="M53" s="405" cm="1">
        <f t="array" ref="M53">INDEX(Technologieën[Tijdsbesparing p. patiënt (min/week)],MATCH(B53,IF(Technologieën[Zoeksleutel bronnummer]=G53,Technologieën[Digitale zorgtoepassing]),0))</f>
        <v>0</v>
      </c>
      <c r="N53" s="405" cm="1">
        <f t="array" ref="N53">INDEX(Technologieën[Tijdsbesparing per handeling (min)],MATCH(B53,IF(Technologieën[Zoeksleutel bronnummer]=G53,Technologieën[Digitale zorgtoepassing]),0))</f>
        <v>1.7683333333333331</v>
      </c>
      <c r="O53" s="403" cm="1">
        <f t="array" ref="O53">INDEX(Technologieën[Besparing overige kosten (€/patiënt/jaar)],MATCH(B53,IF(Technologieën[Zoeksleutel bronnummer]=G53,Technologieën[Digitale zorgtoepassing]),0))</f>
        <v>0</v>
      </c>
      <c r="P53" s="403" cm="1">
        <f t="array" ref="P53">INDEX(Technologieën[Kostenbesparing p. patiënt door arbeidsbesparing (€/week)],MATCH(B53,IF(Technologieën[Zoeksleutel bronnummer]=G53,Technologieën[Digitale zorgtoepassing]),0))</f>
        <v>0</v>
      </c>
      <c r="Q53" s="403" cm="1">
        <f t="array" ref="Q53">INDEX(Technologieën[Kostenbesparing (personeel) per handeling (€)],MATCH(B53,IF(Technologieën[Zoeksleutel bronnummer]=G53,Technologieën[Digitale zorgtoepassing]),0))</f>
        <v>0</v>
      </c>
      <c r="R53" s="403" cm="1">
        <f t="array" ref="R53">INDEX(Technologieën[Besparing overige kosten (€/jaar)],MATCH(B53,IF(Technologieën[Zoeksleutel bronnummer]=G53,Technologieën[Digitale zorgtoepassing]),0))</f>
        <v>0</v>
      </c>
      <c r="S53" s="405" cm="1">
        <f t="array" ref="S53">INDEX(Technologieën[Jaarlijkse besparing zorgpersoneel (FTE)],MATCH(B53,IF(Technologieën[Zoeksleutel bronnummer]=G53,Technologieën[Digitale zorgtoepassing]),0))</f>
        <v>0</v>
      </c>
      <c r="T53" s="406" cm="1">
        <f t="array" ref="T53">(INDEX(Technologieën[QALY],MATCH(B53,IF(Technologieën[Zoeksleutel bronnummer]=G53,Technologieën[Digitale zorgtoepassing]),0)))</f>
        <v>0</v>
      </c>
      <c r="U53" s="407">
        <f>(uniforme_input[[#This Row],[Kostenbesparing door arbeidsbesparing p. patiënt (€/week)]]/uniforme_input[[#This Row],[Uurtarief]]*60) + (uniforme_input[[#This Row],[Totaal arbeidsbesparing onafhankelijk van patiënt (FTE)]]*40*60)/uniforme_input[[#This Row],[Patiëntaantallen]]</f>
        <v>0</v>
      </c>
      <c r="V53" s="407">
        <f>(uniforme_input[[#This Row],[Kostenbesparing per handeling (€)]]/uniforme_input[[#This Row],[Uurtarief]])*60</f>
        <v>0</v>
      </c>
      <c r="W53" s="398">
        <f>uniforme_input[[#This Row],[Overige kostenbesparing (Totaal €/jaar)]]/uniforme_input[[#This Row],[Patiëntaantallen]]</f>
        <v>0</v>
      </c>
      <c r="X53" s="408">
        <f>IF(uniforme_input[[#This Row],[Bron gebruiken voor opbrengsten?]]="Ja",uniforme_input[[#This Row],[Tijdsbesparing (min/week/patiënt) - gegeven]]+uniforme_input[[#This Row],[Tijdsbesparing (min/week/patiënt) berekend]],0)</f>
        <v>0</v>
      </c>
      <c r="Y53" s="407">
        <f>IF(uniforme_input[[#This Row],[Bron gebruiken voor opbrengsten?]]="Ja",uniforme_input[[#This Row],[Tijdsbesparing (min/handeling) - gegeven]]+uniforme_input[[#This Row],[Tijdsbesparing (min/handeling) berekend]],0)</f>
        <v>1.7683333333333331</v>
      </c>
      <c r="Z53" s="409">
        <f>IF(uniforme_input[[#This Row],[Bron gebruiken voor opbrengsten?]]="Ja",uniforme_input[[#This Row],[Overige kostenbesparing (€/jaar/patiënt) - gegeven]]+uniforme_input[[#This Row],[Overige kostenbesparing (€/jaar/patiënt) berekend]],0)</f>
        <v>0</v>
      </c>
      <c r="AA53" s="403" cm="1">
        <f t="array" ref="AA53">INDEX(Technologieën[Jaarlijkse kosten p. patiënt],MATCH(B53,IF(Technologieën[Zoeksleutel bronnummer]=G53,Technologieën[Digitale zorgtoepassing]),0))</f>
        <v>0</v>
      </c>
      <c r="AB53" s="403" cm="1">
        <f t="array" ref="AB53">INDEX(Technologieën[Jaarlijkse kosten p. organisatie],MATCH(B53,IF(Technologieën[Zoeksleutel bronnummer]=G53,Technologieën[Digitale zorgtoepassing]),0))/uniforme_input[[#This Row],[Aantal doelgroepen waarop toepasbaar]]</f>
        <v>0</v>
      </c>
      <c r="AC53" s="403" cm="1">
        <f t="array" ref="AC53">INDEX(Technologieën[Jaarlijkse kosten (onafh. aantal patiënt/organisatie)],MATCH(B53,IF(Technologieën[Zoeksleutel bronnummer]=G53,Technologieën[Digitale zorgtoepassing]),0))/uniforme_input[[#This Row],[Aantal doelgroepen waarop toepasbaar]]</f>
        <v>0</v>
      </c>
      <c r="AD53" s="403" cm="1">
        <f t="array" ref="AD53">INDEX(Technologieën[Initiële investering (p. patiënt)],MATCH(B53,IF(Technologieën[Zoeksleutel bronnummer]=G53,Technologieën[Digitale zorgtoepassing]),0))</f>
        <v>0</v>
      </c>
      <c r="AE53" s="403" cm="1">
        <f t="array" ref="AE53">INDEX(Technologieën[Initiële investering (p. organisatie)],MATCH(B53,IF(Technologieën[Zoeksleutel bronnummer]=G53,Technologieën[Digitale zorgtoepassing]),0))</f>
        <v>0</v>
      </c>
      <c r="AF53"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53" s="398">
        <f>(uniforme_input[[#This Row],[Initiële investering per organisatie]]*uniforme_input[[#This Row],[Aantal organisaties]])/uniforme_input[[#This Row],[Patiëntaantallen]]</f>
        <v>0</v>
      </c>
      <c r="AH53" s="410">
        <f>IF(uniforme_input[[#This Row],[Bron gebruiken voor kosten/investering?]]="Ja",uniforme_input[[#This Row],[Jaarlijkse kosten per patiënt]] + uniforme_input[[#This Row],[Jaarlijkse kosten per patiënt berekend]],0)</f>
        <v>0</v>
      </c>
      <c r="AI53" s="409">
        <f>IF(uniforme_input[[#This Row],[Bron gebruiken voor kosten/investering?]]="Ja",uniforme_input[[#This Row],[Initiële investering per patiënt]]+uniforme_input[[#This Row],[Initiële investering per patiënt berekend]],0)</f>
        <v>0</v>
      </c>
    </row>
    <row r="54" spans="1:35" x14ac:dyDescent="0.5">
      <c r="A54" s="51" t="str">
        <f>INDEX(Technologieën[Veld],MATCH(G54,Technologieën[Zoeksleutel bronnummer],0))</f>
        <v>Software - Diagnose</v>
      </c>
      <c r="B54" s="33" t="s">
        <v>473</v>
      </c>
      <c r="C54" s="32" t="s">
        <v>391</v>
      </c>
      <c r="D54" s="32" t="s">
        <v>390</v>
      </c>
      <c r="E54" s="33" t="s">
        <v>464</v>
      </c>
      <c r="F54" s="33" t="str" cm="1">
        <f t="array" ref="F54">INDEX(Berekening_patiëntaantal[Direct toepasbaar/extrapolatie/incidentie voor QALY],MATCH(B54,IF(Berekening_patiëntaantal[Doelgroep (zoeksleutel)]=E54,Berekening_patiëntaantal[Digitale zorgtoepassing]),0))</f>
        <v>Extrapolatie</v>
      </c>
      <c r="G54" s="33" t="s">
        <v>513</v>
      </c>
      <c r="H54" s="33" t="s">
        <v>146</v>
      </c>
      <c r="I54" s="403">
        <f>INDEX(Uurloon[Uurtarief zorgpersoneel],MATCH(H54,Uurloon[Zorgverlener],0))</f>
        <v>91.204770114942534</v>
      </c>
      <c r="J54" s="404" cm="1">
        <f t="array" ref="J54">INDEX(Berekening_patiëntaantal[Patiëntaantallen],MATCH(B54,IF(Berekening_patiëntaantal[Doelgroep (zoeksleutel)]=E54,Berekening_patiëntaantal[Digitale zorgtoepassing]),0))</f>
        <v>1915245</v>
      </c>
      <c r="K54" s="404">
        <f>IFERROR(INDEX(aantal_organisaties[Aantal organisaties waarop toepasbaar],MATCH(B54,aantal_organisaties[Digitale zorgtoepassing],0)),0)</f>
        <v>113</v>
      </c>
      <c r="L54" s="397">
        <f>COUNTIF(uniforme_input[Doelgroep],E54)</f>
        <v>4</v>
      </c>
      <c r="M54" s="405" cm="1">
        <f t="array" ref="M54">INDEX(Technologieën[Tijdsbesparing p. patiënt (min/week)],MATCH(B54,IF(Technologieën[Zoeksleutel bronnummer]=G54,Technologieën[Digitale zorgtoepassing]),0))</f>
        <v>0</v>
      </c>
      <c r="N54" s="405" cm="1">
        <f t="array" ref="N54">INDEX(Technologieën[Tijdsbesparing per handeling (min)],MATCH(B54,IF(Technologieën[Zoeksleutel bronnummer]=G54,Technologieën[Digitale zorgtoepassing]),0))</f>
        <v>1.7683333333333331</v>
      </c>
      <c r="O54" s="403" cm="1">
        <f t="array" ref="O54">INDEX(Technologieën[Besparing overige kosten (€/patiënt/jaar)],MATCH(B54,IF(Technologieën[Zoeksleutel bronnummer]=G54,Technologieën[Digitale zorgtoepassing]),0))</f>
        <v>0</v>
      </c>
      <c r="P54" s="403" cm="1">
        <f t="array" ref="P54">INDEX(Technologieën[Kostenbesparing p. patiënt door arbeidsbesparing (€/week)],MATCH(B54,IF(Technologieën[Zoeksleutel bronnummer]=G54,Technologieën[Digitale zorgtoepassing]),0))</f>
        <v>0</v>
      </c>
      <c r="Q54" s="403" cm="1">
        <f t="array" ref="Q54">INDEX(Technologieën[Kostenbesparing (personeel) per handeling (€)],MATCH(B54,IF(Technologieën[Zoeksleutel bronnummer]=G54,Technologieën[Digitale zorgtoepassing]),0))</f>
        <v>0</v>
      </c>
      <c r="R54" s="403" cm="1">
        <f t="array" ref="R54">INDEX(Technologieën[Besparing overige kosten (€/jaar)],MATCH(B54,IF(Technologieën[Zoeksleutel bronnummer]=G54,Technologieën[Digitale zorgtoepassing]),0))</f>
        <v>0</v>
      </c>
      <c r="S54" s="405" cm="1">
        <f t="array" ref="S54">INDEX(Technologieën[Jaarlijkse besparing zorgpersoneel (FTE)],MATCH(B54,IF(Technologieën[Zoeksleutel bronnummer]=G54,Technologieën[Digitale zorgtoepassing]),0))</f>
        <v>0</v>
      </c>
      <c r="T54" s="406" cm="1">
        <f t="array" ref="T54">(INDEX(Technologieën[QALY],MATCH(B54,IF(Technologieën[Zoeksleutel bronnummer]=G54,Technologieën[Digitale zorgtoepassing]),0)))</f>
        <v>0</v>
      </c>
      <c r="U54" s="407">
        <f>(uniforme_input[[#This Row],[Kostenbesparing door arbeidsbesparing p. patiënt (€/week)]]/uniforme_input[[#This Row],[Uurtarief]]*60) + (uniforme_input[[#This Row],[Totaal arbeidsbesparing onafhankelijk van patiënt (FTE)]]*40*60)/uniforme_input[[#This Row],[Patiëntaantallen]]</f>
        <v>0</v>
      </c>
      <c r="V54" s="407">
        <f>(uniforme_input[[#This Row],[Kostenbesparing per handeling (€)]]/uniforme_input[[#This Row],[Uurtarief]])*60</f>
        <v>0</v>
      </c>
      <c r="W54" s="398">
        <f>uniforme_input[[#This Row],[Overige kostenbesparing (Totaal €/jaar)]]/uniforme_input[[#This Row],[Patiëntaantallen]]</f>
        <v>0</v>
      </c>
      <c r="X54" s="408">
        <f>IF(uniforme_input[[#This Row],[Bron gebruiken voor opbrengsten?]]="Ja",uniforme_input[[#This Row],[Tijdsbesparing (min/week/patiënt) - gegeven]]+uniforme_input[[#This Row],[Tijdsbesparing (min/week/patiënt) berekend]],0)</f>
        <v>0</v>
      </c>
      <c r="Y54" s="407">
        <f>IF(uniforme_input[[#This Row],[Bron gebruiken voor opbrengsten?]]="Ja",uniforme_input[[#This Row],[Tijdsbesparing (min/handeling) - gegeven]]+uniforme_input[[#This Row],[Tijdsbesparing (min/handeling) berekend]],0)</f>
        <v>1.7683333333333331</v>
      </c>
      <c r="Z54" s="409">
        <f>IF(uniforme_input[[#This Row],[Bron gebruiken voor opbrengsten?]]="Ja",uniforme_input[[#This Row],[Overige kostenbesparing (€/jaar/patiënt) - gegeven]]+uniforme_input[[#This Row],[Overige kostenbesparing (€/jaar/patiënt) berekend]],0)</f>
        <v>0</v>
      </c>
      <c r="AA54" s="403" cm="1">
        <f t="array" ref="AA54">INDEX(Technologieën[Jaarlijkse kosten p. patiënt],MATCH(B54,IF(Technologieën[Zoeksleutel bronnummer]=G54,Technologieën[Digitale zorgtoepassing]),0))</f>
        <v>0</v>
      </c>
      <c r="AB54" s="403" cm="1">
        <f t="array" ref="AB54">INDEX(Technologieën[Jaarlijkse kosten p. organisatie],MATCH(B54,IF(Technologieën[Zoeksleutel bronnummer]=G54,Technologieën[Digitale zorgtoepassing]),0))/uniforme_input[[#This Row],[Aantal doelgroepen waarop toepasbaar]]</f>
        <v>0</v>
      </c>
      <c r="AC54" s="403" cm="1">
        <f t="array" ref="AC54">INDEX(Technologieën[Jaarlijkse kosten (onafh. aantal patiënt/organisatie)],MATCH(B54,IF(Technologieën[Zoeksleutel bronnummer]=G54,Technologieën[Digitale zorgtoepassing]),0))/uniforme_input[[#This Row],[Aantal doelgroepen waarop toepasbaar]]</f>
        <v>0</v>
      </c>
      <c r="AD54" s="403" cm="1">
        <f t="array" ref="AD54">INDEX(Technologieën[Initiële investering (p. patiënt)],MATCH(B54,IF(Technologieën[Zoeksleutel bronnummer]=G54,Technologieën[Digitale zorgtoepassing]),0))</f>
        <v>0</v>
      </c>
      <c r="AE54" s="403" cm="1">
        <f t="array" ref="AE54">INDEX(Technologieën[Initiële investering (p. organisatie)],MATCH(B54,IF(Technologieën[Zoeksleutel bronnummer]=G54,Technologieën[Digitale zorgtoepassing]),0))</f>
        <v>0</v>
      </c>
      <c r="AF54"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54" s="398">
        <f>(uniforme_input[[#This Row],[Initiële investering per organisatie]]*uniforme_input[[#This Row],[Aantal organisaties]])/uniforme_input[[#This Row],[Patiëntaantallen]]</f>
        <v>0</v>
      </c>
      <c r="AH54" s="410">
        <f>IF(uniforme_input[[#This Row],[Bron gebruiken voor kosten/investering?]]="Ja",uniforme_input[[#This Row],[Jaarlijkse kosten per patiënt]] + uniforme_input[[#This Row],[Jaarlijkse kosten per patiënt berekend]],0)</f>
        <v>0</v>
      </c>
      <c r="AI54" s="409">
        <f>IF(uniforme_input[[#This Row],[Bron gebruiken voor kosten/investering?]]="Ja",uniforme_input[[#This Row],[Initiële investering per patiënt]]+uniforme_input[[#This Row],[Initiële investering per patiënt berekend]],0)</f>
        <v>0</v>
      </c>
    </row>
    <row r="55" spans="1:35" x14ac:dyDescent="0.5">
      <c r="A55" s="51" t="str">
        <f>INDEX(Technologieën[Veld],MATCH(G55,Technologieën[Zoeksleutel bronnummer],0))</f>
        <v>Software - Diagnose</v>
      </c>
      <c r="B55" s="33" t="s">
        <v>473</v>
      </c>
      <c r="C55" s="32" t="s">
        <v>391</v>
      </c>
      <c r="D55" s="32" t="s">
        <v>390</v>
      </c>
      <c r="E55" s="33" t="s">
        <v>455</v>
      </c>
      <c r="F55" s="33" t="str" cm="1">
        <f t="array" ref="F55">INDEX(Berekening_patiëntaantal[Direct toepasbaar/extrapolatie/incidentie voor QALY],MATCH(B55,IF(Berekening_patiëntaantal[Doelgroep (zoeksleutel)]=E55,Berekening_patiëntaantal[Digitale zorgtoepassing]),0))</f>
        <v>Huidige toepassing</v>
      </c>
      <c r="G55" s="33" t="s">
        <v>512</v>
      </c>
      <c r="H55" s="33" t="s">
        <v>146</v>
      </c>
      <c r="I55" s="403">
        <f>INDEX(Uurloon[Uurtarief zorgpersoneel],MATCH(H55,Uurloon[Zorgverlener],0))</f>
        <v>91.204770114942534</v>
      </c>
      <c r="J55" s="404" cm="1">
        <f t="array" ref="J55">INDEX(Berekening_patiëntaantal[Patiëntaantallen],MATCH(B55,IF(Berekening_patiëntaantal[Doelgroep (zoeksleutel)]=E55,Berekening_patiëntaantal[Digitale zorgtoepassing]),0))</f>
        <v>10804</v>
      </c>
      <c r="K55" s="404">
        <f>IFERROR(INDEX(aantal_organisaties[Aantal organisaties waarop toepasbaar],MATCH(B55,aantal_organisaties[Digitale zorgtoepassing],0)),0)</f>
        <v>113</v>
      </c>
      <c r="L55" s="397">
        <f>COUNTIF(uniforme_input[Doelgroep],E55)</f>
        <v>3</v>
      </c>
      <c r="M55" s="405" cm="1">
        <f t="array" ref="M55">INDEX(Technologieën[Tijdsbesparing p. patiënt (min/week)],MATCH(B55,IF(Technologieën[Zoeksleutel bronnummer]=G55,Technologieën[Digitale zorgtoepassing]),0))</f>
        <v>0</v>
      </c>
      <c r="N55" s="405" cm="1">
        <f t="array" ref="N55">INDEX(Technologieën[Tijdsbesparing per handeling (min)],MATCH(B55,IF(Technologieën[Zoeksleutel bronnummer]=G55,Technologieën[Digitale zorgtoepassing]),0))</f>
        <v>1.5</v>
      </c>
      <c r="O55" s="403" cm="1">
        <f t="array" ref="O55">INDEX(Technologieën[Besparing overige kosten (€/patiënt/jaar)],MATCH(B55,IF(Technologieën[Zoeksleutel bronnummer]=G55,Technologieën[Digitale zorgtoepassing]),0))</f>
        <v>0</v>
      </c>
      <c r="P55" s="403" cm="1">
        <f t="array" ref="P55">INDEX(Technologieën[Kostenbesparing p. patiënt door arbeidsbesparing (€/week)],MATCH(B55,IF(Technologieën[Zoeksleutel bronnummer]=G55,Technologieën[Digitale zorgtoepassing]),0))</f>
        <v>0</v>
      </c>
      <c r="Q55" s="403" cm="1">
        <f t="array" ref="Q55">INDEX(Technologieën[Kostenbesparing (personeel) per handeling (€)],MATCH(B55,IF(Technologieën[Zoeksleutel bronnummer]=G55,Technologieën[Digitale zorgtoepassing]),0))</f>
        <v>0</v>
      </c>
      <c r="R55" s="403" cm="1">
        <f t="array" ref="R55">INDEX(Technologieën[Besparing overige kosten (€/jaar)],MATCH(B55,IF(Technologieën[Zoeksleutel bronnummer]=G55,Technologieën[Digitale zorgtoepassing]),0))</f>
        <v>0</v>
      </c>
      <c r="S55" s="405" cm="1">
        <f t="array" ref="S55">INDEX(Technologieën[Jaarlijkse besparing zorgpersoneel (FTE)],MATCH(B55,IF(Technologieën[Zoeksleutel bronnummer]=G55,Technologieën[Digitale zorgtoepassing]),0))</f>
        <v>0</v>
      </c>
      <c r="T55" s="406" cm="1">
        <f t="array" ref="T55">(INDEX(Technologieën[QALY],MATCH(B55,IF(Technologieën[Zoeksleutel bronnummer]=G55,Technologieën[Digitale zorgtoepassing]),0)))</f>
        <v>0</v>
      </c>
      <c r="U55" s="407">
        <f>(uniforme_input[[#This Row],[Kostenbesparing door arbeidsbesparing p. patiënt (€/week)]]/uniforme_input[[#This Row],[Uurtarief]]*60) + (uniforme_input[[#This Row],[Totaal arbeidsbesparing onafhankelijk van patiënt (FTE)]]*40*60)/uniforme_input[[#This Row],[Patiëntaantallen]]</f>
        <v>0</v>
      </c>
      <c r="V55" s="407">
        <f>(uniforme_input[[#This Row],[Kostenbesparing per handeling (€)]]/uniforme_input[[#This Row],[Uurtarief]])*60</f>
        <v>0</v>
      </c>
      <c r="W55" s="398">
        <f>uniforme_input[[#This Row],[Overige kostenbesparing (Totaal €/jaar)]]/uniforme_input[[#This Row],[Patiëntaantallen]]</f>
        <v>0</v>
      </c>
      <c r="X55" s="408">
        <f>IF(uniforme_input[[#This Row],[Bron gebruiken voor opbrengsten?]]="Ja",uniforme_input[[#This Row],[Tijdsbesparing (min/week/patiënt) - gegeven]]+uniforme_input[[#This Row],[Tijdsbesparing (min/week/patiënt) berekend]],0)</f>
        <v>0</v>
      </c>
      <c r="Y55" s="407">
        <f>IF(uniforme_input[[#This Row],[Bron gebruiken voor opbrengsten?]]="Ja",uniforme_input[[#This Row],[Tijdsbesparing (min/handeling) - gegeven]]+uniforme_input[[#This Row],[Tijdsbesparing (min/handeling) berekend]],0)</f>
        <v>1.5</v>
      </c>
      <c r="Z55" s="409">
        <f>IF(uniforme_input[[#This Row],[Bron gebruiken voor opbrengsten?]]="Ja",uniforme_input[[#This Row],[Overige kostenbesparing (€/jaar/patiënt) - gegeven]]+uniforme_input[[#This Row],[Overige kostenbesparing (€/jaar/patiënt) berekend]],0)</f>
        <v>0</v>
      </c>
      <c r="AA55" s="403" cm="1">
        <f t="array" ref="AA55">INDEX(Technologieën[Jaarlijkse kosten p. patiënt],MATCH(B55,IF(Technologieën[Zoeksleutel bronnummer]=G55,Technologieën[Digitale zorgtoepassing]),0))</f>
        <v>0</v>
      </c>
      <c r="AB55" s="403" cm="1">
        <f t="array" ref="AB55">INDEX(Technologieën[Jaarlijkse kosten p. organisatie],MATCH(B55,IF(Technologieën[Zoeksleutel bronnummer]=G55,Technologieën[Digitale zorgtoepassing]),0))/uniforme_input[[#This Row],[Aantal doelgroepen waarop toepasbaar]]</f>
        <v>0</v>
      </c>
      <c r="AC55" s="403" cm="1">
        <f t="array" ref="AC55">INDEX(Technologieën[Jaarlijkse kosten (onafh. aantal patiënt/organisatie)],MATCH(B55,IF(Technologieën[Zoeksleutel bronnummer]=G55,Technologieën[Digitale zorgtoepassing]),0))/uniforme_input[[#This Row],[Aantal doelgroepen waarop toepasbaar]]</f>
        <v>0</v>
      </c>
      <c r="AD55" s="403" cm="1">
        <f t="array" ref="AD55">INDEX(Technologieën[Initiële investering (p. patiënt)],MATCH(B55,IF(Technologieën[Zoeksleutel bronnummer]=G55,Technologieën[Digitale zorgtoepassing]),0))</f>
        <v>0</v>
      </c>
      <c r="AE55" s="403" cm="1">
        <f t="array" ref="AE55">INDEX(Technologieën[Initiële investering (p. organisatie)],MATCH(B55,IF(Technologieën[Zoeksleutel bronnummer]=G55,Technologieën[Digitale zorgtoepassing]),0))</f>
        <v>0</v>
      </c>
      <c r="AF55"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55" s="398">
        <f>(uniforme_input[[#This Row],[Initiële investering per organisatie]]*uniforme_input[[#This Row],[Aantal organisaties]])/uniforme_input[[#This Row],[Patiëntaantallen]]</f>
        <v>0</v>
      </c>
      <c r="AH55" s="410">
        <f>IF(uniforme_input[[#This Row],[Bron gebruiken voor kosten/investering?]]="Ja",uniforme_input[[#This Row],[Jaarlijkse kosten per patiënt]] + uniforme_input[[#This Row],[Jaarlijkse kosten per patiënt berekend]],0)</f>
        <v>0</v>
      </c>
      <c r="AI55" s="409">
        <f>IF(uniforme_input[[#This Row],[Bron gebruiken voor kosten/investering?]]="Ja",uniforme_input[[#This Row],[Initiële investering per patiënt]]+uniforme_input[[#This Row],[Initiële investering per patiënt berekend]],0)</f>
        <v>0</v>
      </c>
    </row>
    <row r="56" spans="1:35" x14ac:dyDescent="0.5">
      <c r="A56" s="51" t="str">
        <f>INDEX(Technologieën[Veld],MATCH(G56,Technologieën[Zoeksleutel bronnummer],0))</f>
        <v>Software - Diagnose</v>
      </c>
      <c r="B56" s="33" t="s">
        <v>473</v>
      </c>
      <c r="C56" s="32" t="s">
        <v>391</v>
      </c>
      <c r="D56" s="32" t="s">
        <v>390</v>
      </c>
      <c r="E56" s="33" t="s">
        <v>464</v>
      </c>
      <c r="F56" s="33" t="str" cm="1">
        <f t="array" ref="F56">INDEX(Berekening_patiëntaantal[Direct toepasbaar/extrapolatie/incidentie voor QALY],MATCH(B56,IF(Berekening_patiëntaantal[Doelgroep (zoeksleutel)]=E56,Berekening_patiëntaantal[Digitale zorgtoepassing]),0))</f>
        <v>Extrapolatie</v>
      </c>
      <c r="G56" s="33" t="s">
        <v>512</v>
      </c>
      <c r="H56" s="33" t="s">
        <v>146</v>
      </c>
      <c r="I56" s="403">
        <f>INDEX(Uurloon[Uurtarief zorgpersoneel],MATCH(H56,Uurloon[Zorgverlener],0))</f>
        <v>91.204770114942534</v>
      </c>
      <c r="J56" s="404" cm="1">
        <f t="array" ref="J56">INDEX(Berekening_patiëntaantal[Patiëntaantallen],MATCH(B56,IF(Berekening_patiëntaantal[Doelgroep (zoeksleutel)]=E56,Berekening_patiëntaantal[Digitale zorgtoepassing]),0))</f>
        <v>1915245</v>
      </c>
      <c r="K56" s="404">
        <f>IFERROR(INDEX(aantal_organisaties[Aantal organisaties waarop toepasbaar],MATCH(B56,aantal_organisaties[Digitale zorgtoepassing],0)),0)</f>
        <v>113</v>
      </c>
      <c r="L56" s="397">
        <f>COUNTIF(uniforme_input[Doelgroep],E56)</f>
        <v>4</v>
      </c>
      <c r="M56" s="405" cm="1">
        <f t="array" ref="M56">INDEX(Technologieën[Tijdsbesparing p. patiënt (min/week)],MATCH(B56,IF(Technologieën[Zoeksleutel bronnummer]=G56,Technologieën[Digitale zorgtoepassing]),0))</f>
        <v>0</v>
      </c>
      <c r="N56" s="405" cm="1">
        <f t="array" ref="N56">INDEX(Technologieën[Tijdsbesparing per handeling (min)],MATCH(B56,IF(Technologieën[Zoeksleutel bronnummer]=G56,Technologieën[Digitale zorgtoepassing]),0))</f>
        <v>1.5</v>
      </c>
      <c r="O56" s="403" cm="1">
        <f t="array" ref="O56">INDEX(Technologieën[Besparing overige kosten (€/patiënt/jaar)],MATCH(B56,IF(Technologieën[Zoeksleutel bronnummer]=G56,Technologieën[Digitale zorgtoepassing]),0))</f>
        <v>0</v>
      </c>
      <c r="P56" s="403" cm="1">
        <f t="array" ref="P56">INDEX(Technologieën[Kostenbesparing p. patiënt door arbeidsbesparing (€/week)],MATCH(B56,IF(Technologieën[Zoeksleutel bronnummer]=G56,Technologieën[Digitale zorgtoepassing]),0))</f>
        <v>0</v>
      </c>
      <c r="Q56" s="403" cm="1">
        <f t="array" ref="Q56">INDEX(Technologieën[Kostenbesparing (personeel) per handeling (€)],MATCH(B56,IF(Technologieën[Zoeksleutel bronnummer]=G56,Technologieën[Digitale zorgtoepassing]),0))</f>
        <v>0</v>
      </c>
      <c r="R56" s="403" cm="1">
        <f t="array" ref="R56">INDEX(Technologieën[Besparing overige kosten (€/jaar)],MATCH(B56,IF(Technologieën[Zoeksleutel bronnummer]=G56,Technologieën[Digitale zorgtoepassing]),0))</f>
        <v>0</v>
      </c>
      <c r="S56" s="405" cm="1">
        <f t="array" ref="S56">INDEX(Technologieën[Jaarlijkse besparing zorgpersoneel (FTE)],MATCH(B56,IF(Technologieën[Zoeksleutel bronnummer]=G56,Technologieën[Digitale zorgtoepassing]),0))</f>
        <v>0</v>
      </c>
      <c r="T56" s="406" cm="1">
        <f t="array" ref="T56">(INDEX(Technologieën[QALY],MATCH(B56,IF(Technologieën[Zoeksleutel bronnummer]=G56,Technologieën[Digitale zorgtoepassing]),0)))</f>
        <v>0</v>
      </c>
      <c r="U56" s="407">
        <f>(uniforme_input[[#This Row],[Kostenbesparing door arbeidsbesparing p. patiënt (€/week)]]/uniforme_input[[#This Row],[Uurtarief]]*60) + (uniforme_input[[#This Row],[Totaal arbeidsbesparing onafhankelijk van patiënt (FTE)]]*40*60)/uniforme_input[[#This Row],[Patiëntaantallen]]</f>
        <v>0</v>
      </c>
      <c r="V56" s="407">
        <f>(uniforme_input[[#This Row],[Kostenbesparing per handeling (€)]]/uniforme_input[[#This Row],[Uurtarief]])*60</f>
        <v>0</v>
      </c>
      <c r="W56" s="398">
        <f>uniforme_input[[#This Row],[Overige kostenbesparing (Totaal €/jaar)]]/uniforme_input[[#This Row],[Patiëntaantallen]]</f>
        <v>0</v>
      </c>
      <c r="X56" s="408">
        <f>IF(uniforme_input[[#This Row],[Bron gebruiken voor opbrengsten?]]="Ja",uniforme_input[[#This Row],[Tijdsbesparing (min/week/patiënt) - gegeven]]+uniforme_input[[#This Row],[Tijdsbesparing (min/week/patiënt) berekend]],0)</f>
        <v>0</v>
      </c>
      <c r="Y56" s="407">
        <f>IF(uniforme_input[[#This Row],[Bron gebruiken voor opbrengsten?]]="Ja",uniforme_input[[#This Row],[Tijdsbesparing (min/handeling) - gegeven]]+uniforme_input[[#This Row],[Tijdsbesparing (min/handeling) berekend]],0)</f>
        <v>1.5</v>
      </c>
      <c r="Z56" s="409">
        <f>IF(uniforme_input[[#This Row],[Bron gebruiken voor opbrengsten?]]="Ja",uniforme_input[[#This Row],[Overige kostenbesparing (€/jaar/patiënt) - gegeven]]+uniforme_input[[#This Row],[Overige kostenbesparing (€/jaar/patiënt) berekend]],0)</f>
        <v>0</v>
      </c>
      <c r="AA56" s="403" cm="1">
        <f t="array" ref="AA56">INDEX(Technologieën[Jaarlijkse kosten p. patiënt],MATCH(B56,IF(Technologieën[Zoeksleutel bronnummer]=G56,Technologieën[Digitale zorgtoepassing]),0))</f>
        <v>0</v>
      </c>
      <c r="AB56" s="403" cm="1">
        <f t="array" ref="AB56">INDEX(Technologieën[Jaarlijkse kosten p. organisatie],MATCH(B56,IF(Technologieën[Zoeksleutel bronnummer]=G56,Technologieën[Digitale zorgtoepassing]),0))/uniforme_input[[#This Row],[Aantal doelgroepen waarop toepasbaar]]</f>
        <v>0</v>
      </c>
      <c r="AC56" s="403" cm="1">
        <f t="array" ref="AC56">INDEX(Technologieën[Jaarlijkse kosten (onafh. aantal patiënt/organisatie)],MATCH(B56,IF(Technologieën[Zoeksleutel bronnummer]=G56,Technologieën[Digitale zorgtoepassing]),0))/uniforme_input[[#This Row],[Aantal doelgroepen waarop toepasbaar]]</f>
        <v>0</v>
      </c>
      <c r="AD56" s="403" cm="1">
        <f t="array" ref="AD56">INDEX(Technologieën[Initiële investering (p. patiënt)],MATCH(B56,IF(Technologieën[Zoeksleutel bronnummer]=G56,Technologieën[Digitale zorgtoepassing]),0))</f>
        <v>0</v>
      </c>
      <c r="AE56" s="403" cm="1">
        <f t="array" ref="AE56">INDEX(Technologieën[Initiële investering (p. organisatie)],MATCH(B56,IF(Technologieën[Zoeksleutel bronnummer]=G56,Technologieën[Digitale zorgtoepassing]),0))</f>
        <v>0</v>
      </c>
      <c r="AF56"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56" s="398">
        <f>(uniforme_input[[#This Row],[Initiële investering per organisatie]]*uniforme_input[[#This Row],[Aantal organisaties]])/uniforme_input[[#This Row],[Patiëntaantallen]]</f>
        <v>0</v>
      </c>
      <c r="AH56" s="410">
        <f>IF(uniforme_input[[#This Row],[Bron gebruiken voor kosten/investering?]]="Ja",uniforme_input[[#This Row],[Jaarlijkse kosten per patiënt]] + uniforme_input[[#This Row],[Jaarlijkse kosten per patiënt berekend]],0)</f>
        <v>0</v>
      </c>
      <c r="AI56" s="409">
        <f>IF(uniforme_input[[#This Row],[Bron gebruiken voor kosten/investering?]]="Ja",uniforme_input[[#This Row],[Initiële investering per patiënt]]+uniforme_input[[#This Row],[Initiële investering per patiënt berekend]],0)</f>
        <v>0</v>
      </c>
    </row>
    <row r="57" spans="1:35" x14ac:dyDescent="0.5">
      <c r="A57" s="51" t="str">
        <f>INDEX(Technologieën[Veld],MATCH(G57,Technologieën[Zoeksleutel bronnummer],0))</f>
        <v>Software - Diagnose</v>
      </c>
      <c r="B57" s="33" t="s">
        <v>473</v>
      </c>
      <c r="C57" s="32" t="s">
        <v>390</v>
      </c>
      <c r="D57" s="32" t="s">
        <v>390</v>
      </c>
      <c r="E57" s="33" t="s">
        <v>75</v>
      </c>
      <c r="F57" s="33" t="str" cm="1">
        <f t="array" ref="F57">INDEX(Berekening_patiëntaantal[Direct toepasbaar/extrapolatie/incidentie voor QALY],MATCH(B57,IF(Berekening_patiëntaantal[Doelgroep (zoeksleutel)]=E57,Berekening_patiëntaantal[Digitale zorgtoepassing]),0))</f>
        <v>Incidentie voor QALY</v>
      </c>
      <c r="G57" s="33" t="s">
        <v>599</v>
      </c>
      <c r="H57" s="33" t="s">
        <v>146</v>
      </c>
      <c r="I57" s="403">
        <f>INDEX(Uurloon[Uurtarief zorgpersoneel],MATCH(H57,Uurloon[Zorgverlener],0))</f>
        <v>91.204770114942534</v>
      </c>
      <c r="J57" s="404" cm="1">
        <f t="array" ref="J57">INDEX(Berekening_patiëntaantal[Patiëntaantallen],MATCH(B57,IF(Berekening_patiëntaantal[Doelgroep (zoeksleutel)]=E57,Berekening_patiëntaantal[Digitale zorgtoepassing]),0))</f>
        <v>14633</v>
      </c>
      <c r="K57" s="404">
        <f>IFERROR(INDEX(aantal_organisaties[Aantal organisaties waarop toepasbaar],MATCH(B57,aantal_organisaties[Digitale zorgtoepassing],0)),0)</f>
        <v>113</v>
      </c>
      <c r="L57" s="397">
        <f>COUNTIF(uniforme_input[Doelgroep],E57)</f>
        <v>1</v>
      </c>
      <c r="M57" s="405" cm="1">
        <f t="array" ref="M57">INDEX(Technologieën[Tijdsbesparing p. patiënt (min/week)],MATCH(B57,IF(Technologieën[Zoeksleutel bronnummer]=G57,Technologieën[Digitale zorgtoepassing]),0))</f>
        <v>0</v>
      </c>
      <c r="N57" s="405" cm="1">
        <f t="array" ref="N57">INDEX(Technologieën[Tijdsbesparing per handeling (min)],MATCH(B57,IF(Technologieën[Zoeksleutel bronnummer]=G57,Technologieën[Digitale zorgtoepassing]),0))</f>
        <v>0</v>
      </c>
      <c r="O57" s="403" cm="1">
        <f t="array" ref="O57">INDEX(Technologieën[Besparing overige kosten (€/patiënt/jaar)],MATCH(B57,IF(Technologieën[Zoeksleutel bronnummer]=G57,Technologieën[Digitale zorgtoepassing]),0))</f>
        <v>0</v>
      </c>
      <c r="P57" s="403" cm="1">
        <f t="array" ref="P57">INDEX(Technologieën[Kostenbesparing p. patiënt door arbeidsbesparing (€/week)],MATCH(B57,IF(Technologieën[Zoeksleutel bronnummer]=G57,Technologieën[Digitale zorgtoepassing]),0))</f>
        <v>0</v>
      </c>
      <c r="Q57" s="403" cm="1">
        <f t="array" ref="Q57">INDEX(Technologieën[Kostenbesparing (personeel) per handeling (€)],MATCH(B57,IF(Technologieën[Zoeksleutel bronnummer]=G57,Technologieën[Digitale zorgtoepassing]),0))</f>
        <v>0</v>
      </c>
      <c r="R57" s="403" cm="1">
        <f t="array" ref="R57">INDEX(Technologieën[Besparing overige kosten (€/jaar)],MATCH(B57,IF(Technologieën[Zoeksleutel bronnummer]=G57,Technologieën[Digitale zorgtoepassing]),0))</f>
        <v>0</v>
      </c>
      <c r="S57" s="405" cm="1">
        <f t="array" ref="S57">INDEX(Technologieën[Jaarlijkse besparing zorgpersoneel (FTE)],MATCH(B57,IF(Technologieën[Zoeksleutel bronnummer]=G57,Technologieën[Digitale zorgtoepassing]),0))</f>
        <v>0</v>
      </c>
      <c r="T57" s="406" cm="1">
        <f t="array" ref="T57">(INDEX(Technologieën[QALY],MATCH(B57,IF(Technologieën[Zoeksleutel bronnummer]=G57,Technologieën[Digitale zorgtoepassing]),0)))</f>
        <v>0.04</v>
      </c>
      <c r="U57" s="407">
        <f>(uniforme_input[[#This Row],[Kostenbesparing door arbeidsbesparing p. patiënt (€/week)]]/uniforme_input[[#This Row],[Uurtarief]]*60) + (uniforme_input[[#This Row],[Totaal arbeidsbesparing onafhankelijk van patiënt (FTE)]]*40*60)/uniforme_input[[#This Row],[Patiëntaantallen]]</f>
        <v>0</v>
      </c>
      <c r="V57" s="407">
        <f>(uniforme_input[[#This Row],[Kostenbesparing per handeling (€)]]/uniforme_input[[#This Row],[Uurtarief]])*60</f>
        <v>0</v>
      </c>
      <c r="W57" s="398">
        <f>uniforme_input[[#This Row],[Overige kostenbesparing (Totaal €/jaar)]]/uniforme_input[[#This Row],[Patiëntaantallen]]</f>
        <v>0</v>
      </c>
      <c r="X57" s="408">
        <f>IF(uniforme_input[[#This Row],[Bron gebruiken voor opbrengsten?]]="Ja",uniforme_input[[#This Row],[Tijdsbesparing (min/week/patiënt) - gegeven]]+uniforme_input[[#This Row],[Tijdsbesparing (min/week/patiënt) berekend]],0)</f>
        <v>0</v>
      </c>
      <c r="Y57" s="407">
        <f>IF(uniforme_input[[#This Row],[Bron gebruiken voor opbrengsten?]]="Ja",uniforme_input[[#This Row],[Tijdsbesparing (min/handeling) - gegeven]]+uniforme_input[[#This Row],[Tijdsbesparing (min/handeling) berekend]],0)</f>
        <v>0</v>
      </c>
      <c r="Z57" s="409">
        <f>IF(uniforme_input[[#This Row],[Bron gebruiken voor opbrengsten?]]="Ja",uniforme_input[[#This Row],[Overige kostenbesparing (€/jaar/patiënt) - gegeven]]+uniforme_input[[#This Row],[Overige kostenbesparing (€/jaar/patiënt) berekend]],0)</f>
        <v>0</v>
      </c>
      <c r="AA57" s="403" cm="1">
        <f t="array" ref="AA57">INDEX(Technologieën[Jaarlijkse kosten p. patiënt],MATCH(B57,IF(Technologieën[Zoeksleutel bronnummer]=G57,Technologieën[Digitale zorgtoepassing]),0))</f>
        <v>0</v>
      </c>
      <c r="AB57" s="403" cm="1">
        <f t="array" ref="AB57">INDEX(Technologieën[Jaarlijkse kosten p. organisatie],MATCH(B57,IF(Technologieën[Zoeksleutel bronnummer]=G57,Technologieën[Digitale zorgtoepassing]),0))/uniforme_input[[#This Row],[Aantal doelgroepen waarop toepasbaar]]</f>
        <v>0</v>
      </c>
      <c r="AC57" s="403" cm="1">
        <f t="array" ref="AC57">INDEX(Technologieën[Jaarlijkse kosten (onafh. aantal patiënt/organisatie)],MATCH(B57,IF(Technologieën[Zoeksleutel bronnummer]=G57,Technologieën[Digitale zorgtoepassing]),0))/uniforme_input[[#This Row],[Aantal doelgroepen waarop toepasbaar]]</f>
        <v>0</v>
      </c>
      <c r="AD57" s="403" cm="1">
        <f t="array" ref="AD57">INDEX(Technologieën[Initiële investering (p. patiënt)],MATCH(B57,IF(Technologieën[Zoeksleutel bronnummer]=G57,Technologieën[Digitale zorgtoepassing]),0))</f>
        <v>0</v>
      </c>
      <c r="AE57" s="403" cm="1">
        <f t="array" ref="AE57">INDEX(Technologieën[Initiële investering (p. organisatie)],MATCH(B57,IF(Technologieën[Zoeksleutel bronnummer]=G57,Technologieën[Digitale zorgtoepassing]),0))</f>
        <v>0</v>
      </c>
      <c r="AF57"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57" s="398">
        <f>(uniforme_input[[#This Row],[Initiële investering per organisatie]]*uniforme_input[[#This Row],[Aantal organisaties]])/uniforme_input[[#This Row],[Patiëntaantallen]]</f>
        <v>0</v>
      </c>
      <c r="AH57" s="410">
        <f>IF(uniforme_input[[#This Row],[Bron gebruiken voor kosten/investering?]]="Ja",uniforme_input[[#This Row],[Jaarlijkse kosten per patiënt]] + uniforme_input[[#This Row],[Jaarlijkse kosten per patiënt berekend]],0)</f>
        <v>0</v>
      </c>
      <c r="AI57" s="409">
        <f>IF(uniforme_input[[#This Row],[Bron gebruiken voor kosten/investering?]]="Ja",uniforme_input[[#This Row],[Initiële investering per patiënt]]+uniforme_input[[#This Row],[Initiële investering per patiënt berekend]],0)</f>
        <v>0</v>
      </c>
    </row>
    <row r="58" spans="1:35" x14ac:dyDescent="0.5">
      <c r="A58" s="51" t="str">
        <f>INDEX(Technologieën[Veld],MATCH(G58,Technologieën[Zoeksleutel bronnummer],0))</f>
        <v>Software - Diagnose</v>
      </c>
      <c r="B58" s="33" t="s">
        <v>473</v>
      </c>
      <c r="C58" s="32" t="s">
        <v>391</v>
      </c>
      <c r="D58" s="32" t="s">
        <v>390</v>
      </c>
      <c r="E58" s="33" t="s">
        <v>451</v>
      </c>
      <c r="F58" s="33" t="str" cm="1">
        <f t="array" ref="F58">INDEX(Berekening_patiëntaantal[Direct toepasbaar/extrapolatie/incidentie voor QALY],MATCH(B58,IF(Berekening_patiëntaantal[Doelgroep (zoeksleutel)]=E58,Berekening_patiëntaantal[Digitale zorgtoepassing]),0))</f>
        <v>Huidige toepassing</v>
      </c>
      <c r="G58" s="33" t="s">
        <v>516</v>
      </c>
      <c r="H58" s="33" t="s">
        <v>146</v>
      </c>
      <c r="I58" s="403">
        <f>INDEX(Uurloon[Uurtarief zorgpersoneel],MATCH(H58,Uurloon[Zorgverlener],0))</f>
        <v>91.204770114942534</v>
      </c>
      <c r="J58" s="404" cm="1">
        <f t="array" ref="J58">INDEX(Berekening_patiëntaantal[Patiëntaantallen],MATCH(B58,IF(Berekening_patiëntaantal[Doelgroep (zoeksleutel)]=E58,Berekening_patiëntaantal[Digitale zorgtoepassing]),0))</f>
        <v>73951</v>
      </c>
      <c r="K58" s="404">
        <f>IFERROR(INDEX(aantal_organisaties[Aantal organisaties waarop toepasbaar],MATCH(B58,aantal_organisaties[Digitale zorgtoepassing],0)),0)</f>
        <v>113</v>
      </c>
      <c r="L58" s="397">
        <f>COUNTIF(uniforme_input[Doelgroep],E58)</f>
        <v>4</v>
      </c>
      <c r="M58" s="405" cm="1">
        <f t="array" ref="M58">INDEX(Technologieën[Tijdsbesparing p. patiënt (min/week)],MATCH(B58,IF(Technologieën[Zoeksleutel bronnummer]=G58,Technologieën[Digitale zorgtoepassing]),0))</f>
        <v>0</v>
      </c>
      <c r="N58" s="405" cm="1">
        <f t="array" ref="N58">INDEX(Technologieën[Tijdsbesparing per handeling (min)],MATCH(B58,IF(Technologieën[Zoeksleutel bronnummer]=G58,Technologieën[Digitale zorgtoepassing]),0))</f>
        <v>0</v>
      </c>
      <c r="O58" s="403" cm="1">
        <f t="array" ref="O58">INDEX(Technologieën[Besparing overige kosten (€/patiënt/jaar)],MATCH(B58,IF(Technologieën[Zoeksleutel bronnummer]=G58,Technologieën[Digitale zorgtoepassing]),0))</f>
        <v>0</v>
      </c>
      <c r="P58" s="403" cm="1">
        <f t="array" ref="P58">INDEX(Technologieën[Kostenbesparing p. patiënt door arbeidsbesparing (€/week)],MATCH(B58,IF(Technologieën[Zoeksleutel bronnummer]=G58,Technologieën[Digitale zorgtoepassing]),0))</f>
        <v>0</v>
      </c>
      <c r="Q58" s="403" cm="1">
        <f t="array" ref="Q58">INDEX(Technologieën[Kostenbesparing (personeel) per handeling (€)],MATCH(B58,IF(Technologieën[Zoeksleutel bronnummer]=G58,Technologieën[Digitale zorgtoepassing]),0))</f>
        <v>0</v>
      </c>
      <c r="R58" s="403" cm="1">
        <f t="array" ref="R58">INDEX(Technologieën[Besparing overige kosten (€/jaar)],MATCH(B58,IF(Technologieën[Zoeksleutel bronnummer]=G58,Technologieën[Digitale zorgtoepassing]),0))</f>
        <v>2100000</v>
      </c>
      <c r="S58" s="405" cm="1">
        <f t="array" ref="S58">INDEX(Technologieën[Jaarlijkse besparing zorgpersoneel (FTE)],MATCH(B58,IF(Technologieën[Zoeksleutel bronnummer]=G58,Technologieën[Digitale zorgtoepassing]),0))</f>
        <v>0</v>
      </c>
      <c r="T58" s="406" cm="1">
        <f t="array" ref="T58">(INDEX(Technologieën[QALY],MATCH(B58,IF(Technologieën[Zoeksleutel bronnummer]=G58,Technologieën[Digitale zorgtoepassing]),0)))</f>
        <v>0</v>
      </c>
      <c r="U58" s="407">
        <f>(uniforme_input[[#This Row],[Kostenbesparing door arbeidsbesparing p. patiënt (€/week)]]/uniforme_input[[#This Row],[Uurtarief]]*60) + (uniforme_input[[#This Row],[Totaal arbeidsbesparing onafhankelijk van patiënt (FTE)]]*40*60)/uniforme_input[[#This Row],[Patiëntaantallen]]</f>
        <v>0</v>
      </c>
      <c r="V58" s="407">
        <f>(uniforme_input[[#This Row],[Kostenbesparing per handeling (€)]]/uniforme_input[[#This Row],[Uurtarief]])*60</f>
        <v>0</v>
      </c>
      <c r="W58" s="398">
        <f>uniforme_input[[#This Row],[Overige kostenbesparing (Totaal €/jaar)]]/uniforme_input[[#This Row],[Patiëntaantallen]]</f>
        <v>28.397181917756352</v>
      </c>
      <c r="X58" s="408">
        <f>IF(uniforme_input[[#This Row],[Bron gebruiken voor opbrengsten?]]="Ja",uniforme_input[[#This Row],[Tijdsbesparing (min/week/patiënt) - gegeven]]+uniforme_input[[#This Row],[Tijdsbesparing (min/week/patiënt) berekend]],0)</f>
        <v>0</v>
      </c>
      <c r="Y58" s="407">
        <f>IF(uniforme_input[[#This Row],[Bron gebruiken voor opbrengsten?]]="Ja",uniforme_input[[#This Row],[Tijdsbesparing (min/handeling) - gegeven]]+uniforme_input[[#This Row],[Tijdsbesparing (min/handeling) berekend]],0)</f>
        <v>0</v>
      </c>
      <c r="Z58" s="409">
        <f>IF(uniforme_input[[#This Row],[Bron gebruiken voor opbrengsten?]]="Ja",uniforme_input[[#This Row],[Overige kostenbesparing (€/jaar/patiënt) - gegeven]]+uniforme_input[[#This Row],[Overige kostenbesparing (€/jaar/patiënt) berekend]],0)</f>
        <v>28.397181917756352</v>
      </c>
      <c r="AA58" s="403" cm="1">
        <f t="array" ref="AA58">INDEX(Technologieën[Jaarlijkse kosten p. patiënt],MATCH(B58,IF(Technologieën[Zoeksleutel bronnummer]=G58,Technologieën[Digitale zorgtoepassing]),0))</f>
        <v>0</v>
      </c>
      <c r="AB58" s="403" cm="1">
        <f t="array" ref="AB58">INDEX(Technologieën[Jaarlijkse kosten p. organisatie],MATCH(B58,IF(Technologieën[Zoeksleutel bronnummer]=G58,Technologieën[Digitale zorgtoepassing]),0))/uniforme_input[[#This Row],[Aantal doelgroepen waarop toepasbaar]]</f>
        <v>0</v>
      </c>
      <c r="AC58" s="403" cm="1">
        <f t="array" ref="AC58">INDEX(Technologieën[Jaarlijkse kosten (onafh. aantal patiënt/organisatie)],MATCH(B58,IF(Technologieën[Zoeksleutel bronnummer]=G58,Technologieën[Digitale zorgtoepassing]),0))/uniforme_input[[#This Row],[Aantal doelgroepen waarop toepasbaar]]</f>
        <v>0</v>
      </c>
      <c r="AD58" s="403" cm="1">
        <f t="array" ref="AD58">INDEX(Technologieën[Initiële investering (p. patiënt)],MATCH(B58,IF(Technologieën[Zoeksleutel bronnummer]=G58,Technologieën[Digitale zorgtoepassing]),0))</f>
        <v>0</v>
      </c>
      <c r="AE58" s="403" cm="1">
        <f t="array" ref="AE58">INDEX(Technologieën[Initiële investering (p. organisatie)],MATCH(B58,IF(Technologieën[Zoeksleutel bronnummer]=G58,Technologieën[Digitale zorgtoepassing]),0))</f>
        <v>0</v>
      </c>
      <c r="AF58"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58" s="398">
        <f>(uniforme_input[[#This Row],[Initiële investering per organisatie]]*uniforme_input[[#This Row],[Aantal organisaties]])/uniforme_input[[#This Row],[Patiëntaantallen]]</f>
        <v>0</v>
      </c>
      <c r="AH58" s="410">
        <f>IF(uniforme_input[[#This Row],[Bron gebruiken voor kosten/investering?]]="Ja",uniforme_input[[#This Row],[Jaarlijkse kosten per patiënt]] + uniforme_input[[#This Row],[Jaarlijkse kosten per patiënt berekend]],0)</f>
        <v>0</v>
      </c>
      <c r="AI58" s="409">
        <f>IF(uniforme_input[[#This Row],[Bron gebruiken voor kosten/investering?]]="Ja",uniforme_input[[#This Row],[Initiële investering per patiënt]]+uniforme_input[[#This Row],[Initiële investering per patiënt berekend]],0)</f>
        <v>0</v>
      </c>
    </row>
    <row r="59" spans="1:35" x14ac:dyDescent="0.5">
      <c r="A59" s="51" t="str">
        <f>INDEX(Technologieën[Veld],MATCH(G59,Technologieën[Zoeksleutel bronnummer],0))</f>
        <v>Software - Diagnose</v>
      </c>
      <c r="B59" s="33" t="s">
        <v>473</v>
      </c>
      <c r="C59" s="32" t="s">
        <v>390</v>
      </c>
      <c r="D59" s="32" t="s">
        <v>391</v>
      </c>
      <c r="E59" s="33" t="s">
        <v>451</v>
      </c>
      <c r="F59" s="33" t="str" cm="1">
        <f t="array" ref="F59">INDEX(Berekening_patiëntaantal[Direct toepasbaar/extrapolatie/incidentie voor QALY],MATCH(B59,IF(Berekening_patiëntaantal[Doelgroep (zoeksleutel)]=E59,Berekening_patiëntaantal[Digitale zorgtoepassing]),0))</f>
        <v>Huidige toepassing</v>
      </c>
      <c r="G59" s="33" t="s">
        <v>514</v>
      </c>
      <c r="H59" s="33" t="s">
        <v>146</v>
      </c>
      <c r="I59" s="403">
        <f>INDEX(Uurloon[Uurtarief zorgpersoneel],MATCH(H59,Uurloon[Zorgverlener],0))</f>
        <v>91.204770114942534</v>
      </c>
      <c r="J59" s="404" cm="1">
        <f t="array" ref="J59">INDEX(Berekening_patiëntaantal[Patiëntaantallen],MATCH(B59,IF(Berekening_patiëntaantal[Doelgroep (zoeksleutel)]=E59,Berekening_patiëntaantal[Digitale zorgtoepassing]),0))</f>
        <v>73951</v>
      </c>
      <c r="K59" s="404">
        <f>IFERROR(INDEX(aantal_organisaties[Aantal organisaties waarop toepasbaar],MATCH(B59,aantal_organisaties[Digitale zorgtoepassing],0)),0)</f>
        <v>113</v>
      </c>
      <c r="L59" s="397">
        <f>COUNTIF(uniforme_input[Doelgroep],E59)</f>
        <v>4</v>
      </c>
      <c r="M59" s="405" cm="1">
        <f t="array" ref="M59">INDEX(Technologieën[Tijdsbesparing p. patiënt (min/week)],MATCH(B59,IF(Technologieën[Zoeksleutel bronnummer]=G59,Technologieën[Digitale zorgtoepassing]),0))</f>
        <v>0</v>
      </c>
      <c r="N59" s="405" cm="1">
        <f t="array" ref="N59">INDEX(Technologieën[Tijdsbesparing per handeling (min)],MATCH(B59,IF(Technologieën[Zoeksleutel bronnummer]=G59,Technologieën[Digitale zorgtoepassing]),0))</f>
        <v>0</v>
      </c>
      <c r="O59" s="403" cm="1">
        <f t="array" ref="O59">INDEX(Technologieën[Besparing overige kosten (€/patiënt/jaar)],MATCH(B59,IF(Technologieën[Zoeksleutel bronnummer]=G59,Technologieën[Digitale zorgtoepassing]),0))</f>
        <v>0</v>
      </c>
      <c r="P59" s="403" cm="1">
        <f t="array" ref="P59">INDEX(Technologieën[Kostenbesparing p. patiënt door arbeidsbesparing (€/week)],MATCH(B59,IF(Technologieën[Zoeksleutel bronnummer]=G59,Technologieën[Digitale zorgtoepassing]),0))</f>
        <v>0</v>
      </c>
      <c r="Q59" s="403" cm="1">
        <f t="array" ref="Q59">INDEX(Technologieën[Kostenbesparing (personeel) per handeling (€)],MATCH(B59,IF(Technologieën[Zoeksleutel bronnummer]=G59,Technologieën[Digitale zorgtoepassing]),0))</f>
        <v>0</v>
      </c>
      <c r="R59" s="403" cm="1">
        <f t="array" ref="R59">INDEX(Technologieën[Besparing overige kosten (€/jaar)],MATCH(B59,IF(Technologieën[Zoeksleutel bronnummer]=G59,Technologieën[Digitale zorgtoepassing]),0))</f>
        <v>0</v>
      </c>
      <c r="S59" s="405" cm="1">
        <f t="array" ref="S59">INDEX(Technologieën[Jaarlijkse besparing zorgpersoneel (FTE)],MATCH(B59,IF(Technologieën[Zoeksleutel bronnummer]=G59,Technologieën[Digitale zorgtoepassing]),0))</f>
        <v>0</v>
      </c>
      <c r="T59" s="406" cm="1">
        <f t="array" ref="T59">(INDEX(Technologieën[QALY],MATCH(B59,IF(Technologieën[Zoeksleutel bronnummer]=G59,Technologieën[Digitale zorgtoepassing]),0)))</f>
        <v>0</v>
      </c>
      <c r="U59" s="407">
        <f>(uniforme_input[[#This Row],[Kostenbesparing door arbeidsbesparing p. patiënt (€/week)]]/uniforme_input[[#This Row],[Uurtarief]]*60) + (uniforme_input[[#This Row],[Totaal arbeidsbesparing onafhankelijk van patiënt (FTE)]]*40*60)/uniforme_input[[#This Row],[Patiëntaantallen]]</f>
        <v>0</v>
      </c>
      <c r="V59" s="407">
        <f>(uniforme_input[[#This Row],[Kostenbesparing per handeling (€)]]/uniforme_input[[#This Row],[Uurtarief]])*60</f>
        <v>0</v>
      </c>
      <c r="W59" s="398">
        <f>uniforme_input[[#This Row],[Overige kostenbesparing (Totaal €/jaar)]]/uniforme_input[[#This Row],[Patiëntaantallen]]</f>
        <v>0</v>
      </c>
      <c r="X59" s="408">
        <f>IF(uniforme_input[[#This Row],[Bron gebruiken voor opbrengsten?]]="Ja",uniforme_input[[#This Row],[Tijdsbesparing (min/week/patiënt) - gegeven]]+uniforme_input[[#This Row],[Tijdsbesparing (min/week/patiënt) berekend]],0)</f>
        <v>0</v>
      </c>
      <c r="Y59" s="407">
        <f>IF(uniforme_input[[#This Row],[Bron gebruiken voor opbrengsten?]]="Ja",uniforme_input[[#This Row],[Tijdsbesparing (min/handeling) - gegeven]]+uniforme_input[[#This Row],[Tijdsbesparing (min/handeling) berekend]],0)</f>
        <v>0</v>
      </c>
      <c r="Z59" s="409">
        <f>IF(uniforme_input[[#This Row],[Bron gebruiken voor opbrengsten?]]="Ja",uniforme_input[[#This Row],[Overige kostenbesparing (€/jaar/patiënt) - gegeven]]+uniforme_input[[#This Row],[Overige kostenbesparing (€/jaar/patiënt) berekend]],0)</f>
        <v>0</v>
      </c>
      <c r="AA59" s="403" cm="1">
        <f t="array" ref="AA59">INDEX(Technologieën[Jaarlijkse kosten p. patiënt],MATCH(B59,IF(Technologieën[Zoeksleutel bronnummer]=G59,Technologieën[Digitale zorgtoepassing]),0))</f>
        <v>7.254999999999999</v>
      </c>
      <c r="AB59" s="403" cm="1">
        <f t="array" ref="AB59">INDEX(Technologieën[Jaarlijkse kosten p. organisatie],MATCH(B59,IF(Technologieën[Zoeksleutel bronnummer]=G59,Technologieën[Digitale zorgtoepassing]),0))/uniforme_input[[#This Row],[Aantal doelgroepen waarop toepasbaar]]</f>
        <v>0</v>
      </c>
      <c r="AC59" s="403" cm="1">
        <f t="array" ref="AC59">INDEX(Technologieën[Jaarlijkse kosten (onafh. aantal patiënt/organisatie)],MATCH(B59,IF(Technologieën[Zoeksleutel bronnummer]=G59,Technologieën[Digitale zorgtoepassing]),0))/uniforme_input[[#This Row],[Aantal doelgroepen waarop toepasbaar]]</f>
        <v>0</v>
      </c>
      <c r="AD59" s="403" cm="1">
        <f t="array" ref="AD59">INDEX(Technologieën[Initiële investering (p. patiënt)],MATCH(B59,IF(Technologieën[Zoeksleutel bronnummer]=G59,Technologieën[Digitale zorgtoepassing]),0))</f>
        <v>0</v>
      </c>
      <c r="AE59" s="403" cm="1">
        <f t="array" ref="AE59">INDEX(Technologieën[Initiële investering (p. organisatie)],MATCH(B59,IF(Technologieën[Zoeksleutel bronnummer]=G59,Technologieën[Digitale zorgtoepassing]),0))</f>
        <v>0</v>
      </c>
      <c r="AF59"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59" s="398">
        <f>(uniforme_input[[#This Row],[Initiële investering per organisatie]]*uniforme_input[[#This Row],[Aantal organisaties]])/uniforme_input[[#This Row],[Patiëntaantallen]]</f>
        <v>0</v>
      </c>
      <c r="AH59" s="410">
        <f>IF(uniforme_input[[#This Row],[Bron gebruiken voor kosten/investering?]]="Ja",uniforme_input[[#This Row],[Jaarlijkse kosten per patiënt]] + uniforme_input[[#This Row],[Jaarlijkse kosten per patiënt berekend]],0)</f>
        <v>7.254999999999999</v>
      </c>
      <c r="AI59" s="409">
        <f>IF(uniforme_input[[#This Row],[Bron gebruiken voor kosten/investering?]]="Ja",uniforme_input[[#This Row],[Initiële investering per patiënt]]+uniforme_input[[#This Row],[Initiële investering per patiënt berekend]],0)</f>
        <v>0</v>
      </c>
    </row>
    <row r="60" spans="1:35" x14ac:dyDescent="0.5">
      <c r="A60" s="51" t="str">
        <f>INDEX(Technologieën[Veld],MATCH(G60,Technologieën[Zoeksleutel bronnummer],0))</f>
        <v>Software - Diagnose</v>
      </c>
      <c r="B60" s="33" t="s">
        <v>473</v>
      </c>
      <c r="C60" s="32" t="s">
        <v>390</v>
      </c>
      <c r="D60" s="32" t="s">
        <v>391</v>
      </c>
      <c r="E60" s="33" t="s">
        <v>464</v>
      </c>
      <c r="F60" s="33" t="str" cm="1">
        <f t="array" ref="F60">INDEX(Berekening_patiëntaantal[Direct toepasbaar/extrapolatie/incidentie voor QALY],MATCH(B60,IF(Berekening_patiëntaantal[Doelgroep (zoeksleutel)]=E60,Berekening_patiëntaantal[Digitale zorgtoepassing]),0))</f>
        <v>Extrapolatie</v>
      </c>
      <c r="G60" s="33" t="s">
        <v>514</v>
      </c>
      <c r="H60" s="33" t="s">
        <v>146</v>
      </c>
      <c r="I60" s="403">
        <f>INDEX(Uurloon[Uurtarief zorgpersoneel],MATCH(H60,Uurloon[Zorgverlener],0))</f>
        <v>91.204770114942534</v>
      </c>
      <c r="J60" s="404" cm="1">
        <f t="array" ref="J60">INDEX(Berekening_patiëntaantal[Patiëntaantallen],MATCH(B60,IF(Berekening_patiëntaantal[Doelgroep (zoeksleutel)]=E60,Berekening_patiëntaantal[Digitale zorgtoepassing]),0))</f>
        <v>1915245</v>
      </c>
      <c r="K60" s="404">
        <f>IFERROR(INDEX(aantal_organisaties[Aantal organisaties waarop toepasbaar],MATCH(B60,aantal_organisaties[Digitale zorgtoepassing],0)),0)</f>
        <v>113</v>
      </c>
      <c r="L60" s="397">
        <f>COUNTIF(uniforme_input[Doelgroep],E60)</f>
        <v>4</v>
      </c>
      <c r="M60" s="405" cm="1">
        <f t="array" ref="M60">INDEX(Technologieën[Tijdsbesparing p. patiënt (min/week)],MATCH(B60,IF(Technologieën[Zoeksleutel bronnummer]=G60,Technologieën[Digitale zorgtoepassing]),0))</f>
        <v>0</v>
      </c>
      <c r="N60" s="405" cm="1">
        <f t="array" ref="N60">INDEX(Technologieën[Tijdsbesparing per handeling (min)],MATCH(B60,IF(Technologieën[Zoeksleutel bronnummer]=G60,Technologieën[Digitale zorgtoepassing]),0))</f>
        <v>0</v>
      </c>
      <c r="O60" s="403" cm="1">
        <f t="array" ref="O60">INDEX(Technologieën[Besparing overige kosten (€/patiënt/jaar)],MATCH(B60,IF(Technologieën[Zoeksleutel bronnummer]=G60,Technologieën[Digitale zorgtoepassing]),0))</f>
        <v>0</v>
      </c>
      <c r="P60" s="403" cm="1">
        <f t="array" ref="P60">INDEX(Technologieën[Kostenbesparing p. patiënt door arbeidsbesparing (€/week)],MATCH(B60,IF(Technologieën[Zoeksleutel bronnummer]=G60,Technologieën[Digitale zorgtoepassing]),0))</f>
        <v>0</v>
      </c>
      <c r="Q60" s="403" cm="1">
        <f t="array" ref="Q60">INDEX(Technologieën[Kostenbesparing (personeel) per handeling (€)],MATCH(B60,IF(Technologieën[Zoeksleutel bronnummer]=G60,Technologieën[Digitale zorgtoepassing]),0))</f>
        <v>0</v>
      </c>
      <c r="R60" s="403" cm="1">
        <f t="array" ref="R60">INDEX(Technologieën[Besparing overige kosten (€/jaar)],MATCH(B60,IF(Technologieën[Zoeksleutel bronnummer]=G60,Technologieën[Digitale zorgtoepassing]),0))</f>
        <v>0</v>
      </c>
      <c r="S60" s="405" cm="1">
        <f t="array" ref="S60">INDEX(Technologieën[Jaarlijkse besparing zorgpersoneel (FTE)],MATCH(B60,IF(Technologieën[Zoeksleutel bronnummer]=G60,Technologieën[Digitale zorgtoepassing]),0))</f>
        <v>0</v>
      </c>
      <c r="T60" s="406" cm="1">
        <f t="array" ref="T60">(INDEX(Technologieën[QALY],MATCH(B60,IF(Technologieën[Zoeksleutel bronnummer]=G60,Technologieën[Digitale zorgtoepassing]),0)))</f>
        <v>0</v>
      </c>
      <c r="U60" s="407">
        <f>(uniforme_input[[#This Row],[Kostenbesparing door arbeidsbesparing p. patiënt (€/week)]]/uniforme_input[[#This Row],[Uurtarief]]*60) + (uniforme_input[[#This Row],[Totaal arbeidsbesparing onafhankelijk van patiënt (FTE)]]*40*60)/uniforme_input[[#This Row],[Patiëntaantallen]]</f>
        <v>0</v>
      </c>
      <c r="V60" s="407">
        <f>(uniforme_input[[#This Row],[Kostenbesparing per handeling (€)]]/uniforme_input[[#This Row],[Uurtarief]])*60</f>
        <v>0</v>
      </c>
      <c r="W60" s="398">
        <f>uniforme_input[[#This Row],[Overige kostenbesparing (Totaal €/jaar)]]/uniforme_input[[#This Row],[Patiëntaantallen]]</f>
        <v>0</v>
      </c>
      <c r="X60" s="408">
        <f>IF(uniforme_input[[#This Row],[Bron gebruiken voor opbrengsten?]]="Ja",uniforme_input[[#This Row],[Tijdsbesparing (min/week/patiënt) - gegeven]]+uniforme_input[[#This Row],[Tijdsbesparing (min/week/patiënt) berekend]],0)</f>
        <v>0</v>
      </c>
      <c r="Y60" s="407">
        <f>IF(uniforme_input[[#This Row],[Bron gebruiken voor opbrengsten?]]="Ja",uniforme_input[[#This Row],[Tijdsbesparing (min/handeling) - gegeven]]+uniforme_input[[#This Row],[Tijdsbesparing (min/handeling) berekend]],0)</f>
        <v>0</v>
      </c>
      <c r="Z60" s="409">
        <f>IF(uniforme_input[[#This Row],[Bron gebruiken voor opbrengsten?]]="Ja",uniforme_input[[#This Row],[Overige kostenbesparing (€/jaar/patiënt) - gegeven]]+uniforme_input[[#This Row],[Overige kostenbesparing (€/jaar/patiënt) berekend]],0)</f>
        <v>0</v>
      </c>
      <c r="AA60" s="403" cm="1">
        <f t="array" ref="AA60">INDEX(Technologieën[Jaarlijkse kosten p. patiënt],MATCH(B60,IF(Technologieën[Zoeksleutel bronnummer]=G60,Technologieën[Digitale zorgtoepassing]),0))</f>
        <v>7.254999999999999</v>
      </c>
      <c r="AB60" s="403" cm="1">
        <f t="array" ref="AB60">INDEX(Technologieën[Jaarlijkse kosten p. organisatie],MATCH(B60,IF(Technologieën[Zoeksleutel bronnummer]=G60,Technologieën[Digitale zorgtoepassing]),0))/uniforme_input[[#This Row],[Aantal doelgroepen waarop toepasbaar]]</f>
        <v>0</v>
      </c>
      <c r="AC60" s="403" cm="1">
        <f t="array" ref="AC60">INDEX(Technologieën[Jaarlijkse kosten (onafh. aantal patiënt/organisatie)],MATCH(B60,IF(Technologieën[Zoeksleutel bronnummer]=G60,Technologieën[Digitale zorgtoepassing]),0))/uniforme_input[[#This Row],[Aantal doelgroepen waarop toepasbaar]]</f>
        <v>0</v>
      </c>
      <c r="AD60" s="403" cm="1">
        <f t="array" ref="AD60">INDEX(Technologieën[Initiële investering (p. patiënt)],MATCH(B60,IF(Technologieën[Zoeksleutel bronnummer]=G60,Technologieën[Digitale zorgtoepassing]),0))</f>
        <v>0</v>
      </c>
      <c r="AE60" s="403" cm="1">
        <f t="array" ref="AE60">INDEX(Technologieën[Initiële investering (p. organisatie)],MATCH(B60,IF(Technologieën[Zoeksleutel bronnummer]=G60,Technologieën[Digitale zorgtoepassing]),0))</f>
        <v>0</v>
      </c>
      <c r="AF60"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60" s="398">
        <f>(uniforme_input[[#This Row],[Initiële investering per organisatie]]*uniforme_input[[#This Row],[Aantal organisaties]])/uniforme_input[[#This Row],[Patiëntaantallen]]</f>
        <v>0</v>
      </c>
      <c r="AH60" s="410">
        <f>IF(uniforme_input[[#This Row],[Bron gebruiken voor kosten/investering?]]="Ja",uniforme_input[[#This Row],[Jaarlijkse kosten per patiënt]] + uniforme_input[[#This Row],[Jaarlijkse kosten per patiënt berekend]],0)</f>
        <v>7.254999999999999</v>
      </c>
      <c r="AI60" s="409">
        <f>IF(uniforme_input[[#This Row],[Bron gebruiken voor kosten/investering?]]="Ja",uniforme_input[[#This Row],[Initiële investering per patiënt]]+uniforme_input[[#This Row],[Initiële investering per patiënt berekend]],0)</f>
        <v>0</v>
      </c>
    </row>
    <row r="61" spans="1:35" x14ac:dyDescent="0.5">
      <c r="A61" s="51" t="str">
        <f>INDEX(Technologieën[Veld],MATCH(G61,Technologieën[Zoeksleutel bronnummer],0))</f>
        <v>Software - Diagnose</v>
      </c>
      <c r="B61" s="33" t="s">
        <v>473</v>
      </c>
      <c r="C61" s="32" t="s">
        <v>390</v>
      </c>
      <c r="D61" s="32" t="s">
        <v>391</v>
      </c>
      <c r="E61" s="33" t="s">
        <v>455</v>
      </c>
      <c r="F61" s="33" t="str" cm="1">
        <f t="array" ref="F61">INDEX(Berekening_patiëntaantal[Direct toepasbaar/extrapolatie/incidentie voor QALY],MATCH(B61,IF(Berekening_patiëntaantal[Doelgroep (zoeksleutel)]=E61,Berekening_patiëntaantal[Digitale zorgtoepassing]),0))</f>
        <v>Huidige toepassing</v>
      </c>
      <c r="G61" s="33" t="s">
        <v>514</v>
      </c>
      <c r="H61" s="33" t="s">
        <v>146</v>
      </c>
      <c r="I61" s="403">
        <f>INDEX(Uurloon[Uurtarief zorgpersoneel],MATCH(H61,Uurloon[Zorgverlener],0))</f>
        <v>91.204770114942534</v>
      </c>
      <c r="J61" s="404" cm="1">
        <f t="array" ref="J61">INDEX(Berekening_patiëntaantal[Patiëntaantallen],MATCH(B61,IF(Berekening_patiëntaantal[Doelgroep (zoeksleutel)]=E61,Berekening_patiëntaantal[Digitale zorgtoepassing]),0))</f>
        <v>10804</v>
      </c>
      <c r="K61" s="404">
        <f>IFERROR(INDEX(aantal_organisaties[Aantal organisaties waarop toepasbaar],MATCH(B61,aantal_organisaties[Digitale zorgtoepassing],0)),0)</f>
        <v>113</v>
      </c>
      <c r="L61" s="397">
        <f>COUNTIF(uniforme_input[Doelgroep],E61)</f>
        <v>3</v>
      </c>
      <c r="M61" s="405" cm="1">
        <f t="array" ref="M61">INDEX(Technologieën[Tijdsbesparing p. patiënt (min/week)],MATCH(B61,IF(Technologieën[Zoeksleutel bronnummer]=G61,Technologieën[Digitale zorgtoepassing]),0))</f>
        <v>0</v>
      </c>
      <c r="N61" s="405" cm="1">
        <f t="array" ref="N61">INDEX(Technologieën[Tijdsbesparing per handeling (min)],MATCH(B61,IF(Technologieën[Zoeksleutel bronnummer]=G61,Technologieën[Digitale zorgtoepassing]),0))</f>
        <v>0</v>
      </c>
      <c r="O61" s="403" cm="1">
        <f t="array" ref="O61">INDEX(Technologieën[Besparing overige kosten (€/patiënt/jaar)],MATCH(B61,IF(Technologieën[Zoeksleutel bronnummer]=G61,Technologieën[Digitale zorgtoepassing]),0))</f>
        <v>0</v>
      </c>
      <c r="P61" s="403" cm="1">
        <f t="array" ref="P61">INDEX(Technologieën[Kostenbesparing p. patiënt door arbeidsbesparing (€/week)],MATCH(B61,IF(Technologieën[Zoeksleutel bronnummer]=G61,Technologieën[Digitale zorgtoepassing]),0))</f>
        <v>0</v>
      </c>
      <c r="Q61" s="403" cm="1">
        <f t="array" ref="Q61">INDEX(Technologieën[Kostenbesparing (personeel) per handeling (€)],MATCH(B61,IF(Technologieën[Zoeksleutel bronnummer]=G61,Technologieën[Digitale zorgtoepassing]),0))</f>
        <v>0</v>
      </c>
      <c r="R61" s="403" cm="1">
        <f t="array" ref="R61">INDEX(Technologieën[Besparing overige kosten (€/jaar)],MATCH(B61,IF(Technologieën[Zoeksleutel bronnummer]=G61,Technologieën[Digitale zorgtoepassing]),0))</f>
        <v>0</v>
      </c>
      <c r="S61" s="405" cm="1">
        <f t="array" ref="S61">INDEX(Technologieën[Jaarlijkse besparing zorgpersoneel (FTE)],MATCH(B61,IF(Technologieën[Zoeksleutel bronnummer]=G61,Technologieën[Digitale zorgtoepassing]),0))</f>
        <v>0</v>
      </c>
      <c r="T61" s="406" cm="1">
        <f t="array" ref="T61">(INDEX(Technologieën[QALY],MATCH(B61,IF(Technologieën[Zoeksleutel bronnummer]=G61,Technologieën[Digitale zorgtoepassing]),0)))</f>
        <v>0</v>
      </c>
      <c r="U61" s="407">
        <f>(uniforme_input[[#This Row],[Kostenbesparing door arbeidsbesparing p. patiënt (€/week)]]/uniforme_input[[#This Row],[Uurtarief]]*60) + (uniforme_input[[#This Row],[Totaal arbeidsbesparing onafhankelijk van patiënt (FTE)]]*40*60)/uniforme_input[[#This Row],[Patiëntaantallen]]</f>
        <v>0</v>
      </c>
      <c r="V61" s="407">
        <f>(uniforme_input[[#This Row],[Kostenbesparing per handeling (€)]]/uniforme_input[[#This Row],[Uurtarief]])*60</f>
        <v>0</v>
      </c>
      <c r="W61" s="398">
        <f>uniforme_input[[#This Row],[Overige kostenbesparing (Totaal €/jaar)]]/uniforme_input[[#This Row],[Patiëntaantallen]]</f>
        <v>0</v>
      </c>
      <c r="X61" s="408">
        <f>IF(uniforme_input[[#This Row],[Bron gebruiken voor opbrengsten?]]="Ja",uniforme_input[[#This Row],[Tijdsbesparing (min/week/patiënt) - gegeven]]+uniforme_input[[#This Row],[Tijdsbesparing (min/week/patiënt) berekend]],0)</f>
        <v>0</v>
      </c>
      <c r="Y61" s="407">
        <f>IF(uniforme_input[[#This Row],[Bron gebruiken voor opbrengsten?]]="Ja",uniforme_input[[#This Row],[Tijdsbesparing (min/handeling) - gegeven]]+uniforme_input[[#This Row],[Tijdsbesparing (min/handeling) berekend]],0)</f>
        <v>0</v>
      </c>
      <c r="Z61" s="409">
        <f>IF(uniforme_input[[#This Row],[Bron gebruiken voor opbrengsten?]]="Ja",uniforme_input[[#This Row],[Overige kostenbesparing (€/jaar/patiënt) - gegeven]]+uniforme_input[[#This Row],[Overige kostenbesparing (€/jaar/patiënt) berekend]],0)</f>
        <v>0</v>
      </c>
      <c r="AA61" s="403" cm="1">
        <f t="array" ref="AA61">INDEX(Technologieën[Jaarlijkse kosten p. patiënt],MATCH(B61,IF(Technologieën[Zoeksleutel bronnummer]=G61,Technologieën[Digitale zorgtoepassing]),0))</f>
        <v>7.254999999999999</v>
      </c>
      <c r="AB61" s="403" cm="1">
        <f t="array" ref="AB61">INDEX(Technologieën[Jaarlijkse kosten p. organisatie],MATCH(B61,IF(Technologieën[Zoeksleutel bronnummer]=G61,Technologieën[Digitale zorgtoepassing]),0))/uniforme_input[[#This Row],[Aantal doelgroepen waarop toepasbaar]]</f>
        <v>0</v>
      </c>
      <c r="AC61" s="403" cm="1">
        <f t="array" ref="AC61">INDEX(Technologieën[Jaarlijkse kosten (onafh. aantal patiënt/organisatie)],MATCH(B61,IF(Technologieën[Zoeksleutel bronnummer]=G61,Technologieën[Digitale zorgtoepassing]),0))/uniforme_input[[#This Row],[Aantal doelgroepen waarop toepasbaar]]</f>
        <v>0</v>
      </c>
      <c r="AD61" s="403" cm="1">
        <f t="array" ref="AD61">INDEX(Technologieën[Initiële investering (p. patiënt)],MATCH(B61,IF(Technologieën[Zoeksleutel bronnummer]=G61,Technologieën[Digitale zorgtoepassing]),0))</f>
        <v>0</v>
      </c>
      <c r="AE61" s="403" cm="1">
        <f t="array" ref="AE61">INDEX(Technologieën[Initiële investering (p. organisatie)],MATCH(B61,IF(Technologieën[Zoeksleutel bronnummer]=G61,Technologieën[Digitale zorgtoepassing]),0))</f>
        <v>0</v>
      </c>
      <c r="AF61"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61" s="398">
        <f>(uniforme_input[[#This Row],[Initiële investering per organisatie]]*uniforme_input[[#This Row],[Aantal organisaties]])/uniforme_input[[#This Row],[Patiëntaantallen]]</f>
        <v>0</v>
      </c>
      <c r="AH61" s="410">
        <f>IF(uniforme_input[[#This Row],[Bron gebruiken voor kosten/investering?]]="Ja",uniforme_input[[#This Row],[Jaarlijkse kosten per patiënt]] + uniforme_input[[#This Row],[Jaarlijkse kosten per patiënt berekend]],0)</f>
        <v>7.254999999999999</v>
      </c>
      <c r="AI61" s="409">
        <f>IF(uniforme_input[[#This Row],[Bron gebruiken voor kosten/investering?]]="Ja",uniforme_input[[#This Row],[Initiële investering per patiënt]]+uniforme_input[[#This Row],[Initiële investering per patiënt berekend]],0)</f>
        <v>0</v>
      </c>
    </row>
    <row r="62" spans="1:35" x14ac:dyDescent="0.5">
      <c r="A62" s="51" t="str">
        <f>INDEX(Technologieën[Veld],MATCH(G62,Technologieën[Zoeksleutel bronnummer],0))</f>
        <v>Software - Diagnose</v>
      </c>
      <c r="B62" s="33" t="s">
        <v>475</v>
      </c>
      <c r="C62" s="32" t="s">
        <v>391</v>
      </c>
      <c r="D62" s="32" t="s">
        <v>390</v>
      </c>
      <c r="E62" s="33" t="s">
        <v>460</v>
      </c>
      <c r="F62" s="33" t="str" cm="1">
        <f t="array" ref="F62">INDEX(Berekening_patiëntaantal[Direct toepasbaar/extrapolatie/incidentie voor QALY],MATCH(B62,IF(Berekening_patiëntaantal[Doelgroep (zoeksleutel)]=E62,Berekening_patiëntaantal[Digitale zorgtoepassing]),0))</f>
        <v>Huidige toepassing</v>
      </c>
      <c r="G62" s="33" t="s">
        <v>518</v>
      </c>
      <c r="H62" s="33" t="s">
        <v>146</v>
      </c>
      <c r="I62" s="403">
        <f>INDEX(Uurloon[Uurtarief zorgpersoneel],MATCH(H62,Uurloon[Zorgverlener],0))</f>
        <v>91.204770114942534</v>
      </c>
      <c r="J62" s="404" cm="1">
        <f t="array" ref="J62">INDEX(Berekening_patiëntaantal[Patiëntaantallen],MATCH(B62,IF(Berekening_patiëntaantal[Doelgroep (zoeksleutel)]=E62,Berekening_patiëntaantal[Digitale zorgtoepassing]),0))</f>
        <v>401986</v>
      </c>
      <c r="K62" s="404">
        <f>IFERROR(INDEX(aantal_organisaties[Aantal organisaties waarop toepasbaar],MATCH(B62,aantal_organisaties[Digitale zorgtoepassing],0)),0)</f>
        <v>0</v>
      </c>
      <c r="L62" s="397">
        <f>COUNTIF(uniforme_input[Doelgroep],E62)</f>
        <v>1</v>
      </c>
      <c r="M62" s="405" cm="1">
        <f t="array" ref="M62">INDEX(Technologieën[Tijdsbesparing p. patiënt (min/week)],MATCH(B62,IF(Technologieën[Zoeksleutel bronnummer]=G62,Technologieën[Digitale zorgtoepassing]),0))</f>
        <v>0</v>
      </c>
      <c r="N62" s="405" cm="1">
        <f t="array" ref="N62">INDEX(Technologieën[Tijdsbesparing per handeling (min)],MATCH(B62,IF(Technologieën[Zoeksleutel bronnummer]=G62,Technologieën[Digitale zorgtoepassing]),0))</f>
        <v>0.16666666666666666</v>
      </c>
      <c r="O62" s="403" cm="1">
        <f t="array" ref="O62">INDEX(Technologieën[Besparing overige kosten (€/patiënt/jaar)],MATCH(B62,IF(Technologieën[Zoeksleutel bronnummer]=G62,Technologieën[Digitale zorgtoepassing]),0))</f>
        <v>0</v>
      </c>
      <c r="P62" s="403" cm="1">
        <f t="array" ref="P62">INDEX(Technologieën[Kostenbesparing p. patiënt door arbeidsbesparing (€/week)],MATCH(B62,IF(Technologieën[Zoeksleutel bronnummer]=G62,Technologieën[Digitale zorgtoepassing]),0))</f>
        <v>0</v>
      </c>
      <c r="Q62" s="403" cm="1">
        <f t="array" ref="Q62">INDEX(Technologieën[Kostenbesparing (personeel) per handeling (€)],MATCH(B62,IF(Technologieën[Zoeksleutel bronnummer]=G62,Technologieën[Digitale zorgtoepassing]),0))</f>
        <v>0</v>
      </c>
      <c r="R62" s="403" cm="1">
        <f t="array" ref="R62">INDEX(Technologieën[Besparing overige kosten (€/jaar)],MATCH(B62,IF(Technologieën[Zoeksleutel bronnummer]=G62,Technologieën[Digitale zorgtoepassing]),0))</f>
        <v>0</v>
      </c>
      <c r="S62" s="405" cm="1">
        <f t="array" ref="S62">INDEX(Technologieën[Jaarlijkse besparing zorgpersoneel (FTE)],MATCH(B62,IF(Technologieën[Zoeksleutel bronnummer]=G62,Technologieën[Digitale zorgtoepassing]),0))</f>
        <v>0</v>
      </c>
      <c r="T62" s="406" cm="1">
        <f t="array" ref="T62">(INDEX(Technologieën[QALY],MATCH(B62,IF(Technologieën[Zoeksleutel bronnummer]=G62,Technologieën[Digitale zorgtoepassing]),0)))</f>
        <v>0</v>
      </c>
      <c r="U62" s="407">
        <f>(uniforme_input[[#This Row],[Kostenbesparing door arbeidsbesparing p. patiënt (€/week)]]/uniforme_input[[#This Row],[Uurtarief]]*60) + (uniforme_input[[#This Row],[Totaal arbeidsbesparing onafhankelijk van patiënt (FTE)]]*40*60)/uniforme_input[[#This Row],[Patiëntaantallen]]</f>
        <v>0</v>
      </c>
      <c r="V62" s="407">
        <f>(uniforme_input[[#This Row],[Kostenbesparing per handeling (€)]]/uniforme_input[[#This Row],[Uurtarief]])*60</f>
        <v>0</v>
      </c>
      <c r="W62" s="398">
        <f>uniforme_input[[#This Row],[Overige kostenbesparing (Totaal €/jaar)]]/uniforme_input[[#This Row],[Patiëntaantallen]]</f>
        <v>0</v>
      </c>
      <c r="X62" s="408">
        <f>IF(uniforme_input[[#This Row],[Bron gebruiken voor opbrengsten?]]="Ja",uniforme_input[[#This Row],[Tijdsbesparing (min/week/patiënt) - gegeven]]+uniforme_input[[#This Row],[Tijdsbesparing (min/week/patiënt) berekend]],0)</f>
        <v>0</v>
      </c>
      <c r="Y62" s="407">
        <f>IF(uniforme_input[[#This Row],[Bron gebruiken voor opbrengsten?]]="Ja",uniforme_input[[#This Row],[Tijdsbesparing (min/handeling) - gegeven]]+uniforme_input[[#This Row],[Tijdsbesparing (min/handeling) berekend]],0)</f>
        <v>0.16666666666666666</v>
      </c>
      <c r="Z62" s="409">
        <f>IF(uniforme_input[[#This Row],[Bron gebruiken voor opbrengsten?]]="Ja",uniforme_input[[#This Row],[Overige kostenbesparing (€/jaar/patiënt) - gegeven]]+uniforme_input[[#This Row],[Overige kostenbesparing (€/jaar/patiënt) berekend]],0)</f>
        <v>0</v>
      </c>
      <c r="AA62" s="403" cm="1">
        <f t="array" ref="AA62">INDEX(Technologieën[Jaarlijkse kosten p. patiënt],MATCH(B62,IF(Technologieën[Zoeksleutel bronnummer]=G62,Technologieën[Digitale zorgtoepassing]),0))</f>
        <v>0</v>
      </c>
      <c r="AB62" s="403" cm="1">
        <f t="array" ref="AB62">INDEX(Technologieën[Jaarlijkse kosten p. organisatie],MATCH(B62,IF(Technologieën[Zoeksleutel bronnummer]=G62,Technologieën[Digitale zorgtoepassing]),0))/uniforme_input[[#This Row],[Aantal doelgroepen waarop toepasbaar]]</f>
        <v>0</v>
      </c>
      <c r="AC62" s="403" cm="1">
        <f t="array" ref="AC62">INDEX(Technologieën[Jaarlijkse kosten (onafh. aantal patiënt/organisatie)],MATCH(B62,IF(Technologieën[Zoeksleutel bronnummer]=G62,Technologieën[Digitale zorgtoepassing]),0))/uniforme_input[[#This Row],[Aantal doelgroepen waarop toepasbaar]]</f>
        <v>0</v>
      </c>
      <c r="AD62" s="403" cm="1">
        <f t="array" ref="AD62">INDEX(Technologieën[Initiële investering (p. patiënt)],MATCH(B62,IF(Technologieën[Zoeksleutel bronnummer]=G62,Technologieën[Digitale zorgtoepassing]),0))</f>
        <v>0</v>
      </c>
      <c r="AE62" s="403" cm="1">
        <f t="array" ref="AE62">INDEX(Technologieën[Initiële investering (p. organisatie)],MATCH(B62,IF(Technologieën[Zoeksleutel bronnummer]=G62,Technologieën[Digitale zorgtoepassing]),0))</f>
        <v>0</v>
      </c>
      <c r="AF62"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62" s="398">
        <f>(uniforme_input[[#This Row],[Initiële investering per organisatie]]*uniforme_input[[#This Row],[Aantal organisaties]])/uniforme_input[[#This Row],[Patiëntaantallen]]</f>
        <v>0</v>
      </c>
      <c r="AH62" s="410">
        <f>IF(uniforme_input[[#This Row],[Bron gebruiken voor kosten/investering?]]="Ja",uniforme_input[[#This Row],[Jaarlijkse kosten per patiënt]] + uniforme_input[[#This Row],[Jaarlijkse kosten per patiënt berekend]],0)</f>
        <v>0</v>
      </c>
      <c r="AI62" s="409">
        <f>IF(uniforme_input[[#This Row],[Bron gebruiken voor kosten/investering?]]="Ja",uniforme_input[[#This Row],[Initiële investering per patiënt]]+uniforme_input[[#This Row],[Initiële investering per patiënt berekend]],0)</f>
        <v>0</v>
      </c>
    </row>
    <row r="63" spans="1:35" x14ac:dyDescent="0.5">
      <c r="A63" s="51" t="str">
        <f>INDEX(Technologieën[Veld],MATCH(G63,Technologieën[Zoeksleutel bronnummer],0))</f>
        <v>Software - Diagnose</v>
      </c>
      <c r="B63" s="33" t="s">
        <v>475</v>
      </c>
      <c r="C63" s="32" t="s">
        <v>391</v>
      </c>
      <c r="D63" s="32" t="s">
        <v>390</v>
      </c>
      <c r="E63" s="33" t="s">
        <v>492</v>
      </c>
      <c r="F63" s="33" t="str" cm="1">
        <f t="array" ref="F63">INDEX(Berekening_patiëntaantal[Direct toepasbaar/extrapolatie/incidentie voor QALY],MATCH(B63,IF(Berekening_patiëntaantal[Doelgroep (zoeksleutel)]=E63,Berekening_patiëntaantal[Digitale zorgtoepassing]),0))</f>
        <v>Extrapolatie</v>
      </c>
      <c r="G63" s="33" t="s">
        <v>518</v>
      </c>
      <c r="H63" s="33" t="s">
        <v>146</v>
      </c>
      <c r="I63" s="403">
        <f>INDEX(Uurloon[Uurtarief zorgpersoneel],MATCH(H63,Uurloon[Zorgverlener],0))</f>
        <v>91.204770114942534</v>
      </c>
      <c r="J63" s="404" cm="1">
        <f t="array" ref="J63">INDEX(Berekening_patiëntaantal[Patiëntaantallen],MATCH(B63,IF(Berekening_patiëntaantal[Doelgroep (zoeksleutel)]=E63,Berekening_patiëntaantal[Digitale zorgtoepassing]),0))</f>
        <v>6298014</v>
      </c>
      <c r="K63" s="404">
        <f>IFERROR(INDEX(aantal_organisaties[Aantal organisaties waarop toepasbaar],MATCH(B63,aantal_organisaties[Digitale zorgtoepassing],0)),0)</f>
        <v>0</v>
      </c>
      <c r="L63" s="397">
        <f>COUNTIF(uniforme_input[Doelgroep],E63)</f>
        <v>1</v>
      </c>
      <c r="M63" s="405" cm="1">
        <f t="array" ref="M63">INDEX(Technologieën[Tijdsbesparing p. patiënt (min/week)],MATCH(B63,IF(Technologieën[Zoeksleutel bronnummer]=G63,Technologieën[Digitale zorgtoepassing]),0))</f>
        <v>0</v>
      </c>
      <c r="N63" s="405" cm="1">
        <f t="array" ref="N63">INDEX(Technologieën[Tijdsbesparing per handeling (min)],MATCH(B63,IF(Technologieën[Zoeksleutel bronnummer]=G63,Technologieën[Digitale zorgtoepassing]),0))</f>
        <v>0.16666666666666666</v>
      </c>
      <c r="O63" s="403" cm="1">
        <f t="array" ref="O63">INDEX(Technologieën[Besparing overige kosten (€/patiënt/jaar)],MATCH(B63,IF(Technologieën[Zoeksleutel bronnummer]=G63,Technologieën[Digitale zorgtoepassing]),0))</f>
        <v>0</v>
      </c>
      <c r="P63" s="403" cm="1">
        <f t="array" ref="P63">INDEX(Technologieën[Kostenbesparing p. patiënt door arbeidsbesparing (€/week)],MATCH(B63,IF(Technologieën[Zoeksleutel bronnummer]=G63,Technologieën[Digitale zorgtoepassing]),0))</f>
        <v>0</v>
      </c>
      <c r="Q63" s="403" cm="1">
        <f t="array" ref="Q63">INDEX(Technologieën[Kostenbesparing (personeel) per handeling (€)],MATCH(B63,IF(Technologieën[Zoeksleutel bronnummer]=G63,Technologieën[Digitale zorgtoepassing]),0))</f>
        <v>0</v>
      </c>
      <c r="R63" s="403" cm="1">
        <f t="array" ref="R63">INDEX(Technologieën[Besparing overige kosten (€/jaar)],MATCH(B63,IF(Technologieën[Zoeksleutel bronnummer]=G63,Technologieën[Digitale zorgtoepassing]),0))</f>
        <v>0</v>
      </c>
      <c r="S63" s="405" cm="1">
        <f t="array" ref="S63">INDEX(Technologieën[Jaarlijkse besparing zorgpersoneel (FTE)],MATCH(B63,IF(Technologieën[Zoeksleutel bronnummer]=G63,Technologieën[Digitale zorgtoepassing]),0))</f>
        <v>0</v>
      </c>
      <c r="T63" s="406" cm="1">
        <f t="array" ref="T63">(INDEX(Technologieën[QALY],MATCH(B63,IF(Technologieën[Zoeksleutel bronnummer]=G63,Technologieën[Digitale zorgtoepassing]),0)))</f>
        <v>0</v>
      </c>
      <c r="U63" s="407">
        <f>(uniforme_input[[#This Row],[Kostenbesparing door arbeidsbesparing p. patiënt (€/week)]]/uniforme_input[[#This Row],[Uurtarief]]*60) + (uniforme_input[[#This Row],[Totaal arbeidsbesparing onafhankelijk van patiënt (FTE)]]*40*60)/uniforme_input[[#This Row],[Patiëntaantallen]]</f>
        <v>0</v>
      </c>
      <c r="V63" s="407">
        <f>(uniforme_input[[#This Row],[Kostenbesparing per handeling (€)]]/uniforme_input[[#This Row],[Uurtarief]])*60</f>
        <v>0</v>
      </c>
      <c r="W63" s="398">
        <f>uniforme_input[[#This Row],[Overige kostenbesparing (Totaal €/jaar)]]/uniforme_input[[#This Row],[Patiëntaantallen]]</f>
        <v>0</v>
      </c>
      <c r="X63" s="408">
        <f>IF(uniforme_input[[#This Row],[Bron gebruiken voor opbrengsten?]]="Ja",uniforme_input[[#This Row],[Tijdsbesparing (min/week/patiënt) - gegeven]]+uniforme_input[[#This Row],[Tijdsbesparing (min/week/patiënt) berekend]],0)</f>
        <v>0</v>
      </c>
      <c r="Y63" s="407">
        <f>IF(uniforme_input[[#This Row],[Bron gebruiken voor opbrengsten?]]="Ja",uniforme_input[[#This Row],[Tijdsbesparing (min/handeling) - gegeven]]+uniforme_input[[#This Row],[Tijdsbesparing (min/handeling) berekend]],0)</f>
        <v>0.16666666666666666</v>
      </c>
      <c r="Z63" s="409">
        <f>IF(uniforme_input[[#This Row],[Bron gebruiken voor opbrengsten?]]="Ja",uniforme_input[[#This Row],[Overige kostenbesparing (€/jaar/patiënt) - gegeven]]+uniforme_input[[#This Row],[Overige kostenbesparing (€/jaar/patiënt) berekend]],0)</f>
        <v>0</v>
      </c>
      <c r="AA63" s="403" cm="1">
        <f t="array" ref="AA63">INDEX(Technologieën[Jaarlijkse kosten p. patiënt],MATCH(B63,IF(Technologieën[Zoeksleutel bronnummer]=G63,Technologieën[Digitale zorgtoepassing]),0))</f>
        <v>0</v>
      </c>
      <c r="AB63" s="403" cm="1">
        <f t="array" ref="AB63">INDEX(Technologieën[Jaarlijkse kosten p. organisatie],MATCH(B63,IF(Technologieën[Zoeksleutel bronnummer]=G63,Technologieën[Digitale zorgtoepassing]),0))/uniforme_input[[#This Row],[Aantal doelgroepen waarop toepasbaar]]</f>
        <v>0</v>
      </c>
      <c r="AC63" s="403" cm="1">
        <f t="array" ref="AC63">INDEX(Technologieën[Jaarlijkse kosten (onafh. aantal patiënt/organisatie)],MATCH(B63,IF(Technologieën[Zoeksleutel bronnummer]=G63,Technologieën[Digitale zorgtoepassing]),0))/uniforme_input[[#This Row],[Aantal doelgroepen waarop toepasbaar]]</f>
        <v>0</v>
      </c>
      <c r="AD63" s="403" cm="1">
        <f t="array" ref="AD63">INDEX(Technologieën[Initiële investering (p. patiënt)],MATCH(B63,IF(Technologieën[Zoeksleutel bronnummer]=G63,Technologieën[Digitale zorgtoepassing]),0))</f>
        <v>0</v>
      </c>
      <c r="AE63" s="403" cm="1">
        <f t="array" ref="AE63">INDEX(Technologieën[Initiële investering (p. organisatie)],MATCH(B63,IF(Technologieën[Zoeksleutel bronnummer]=G63,Technologieën[Digitale zorgtoepassing]),0))</f>
        <v>0</v>
      </c>
      <c r="AF63"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63" s="398">
        <f>(uniforme_input[[#This Row],[Initiële investering per organisatie]]*uniforme_input[[#This Row],[Aantal organisaties]])/uniforme_input[[#This Row],[Patiëntaantallen]]</f>
        <v>0</v>
      </c>
      <c r="AH63" s="410">
        <f>IF(uniforme_input[[#This Row],[Bron gebruiken voor kosten/investering?]]="Ja",uniforme_input[[#This Row],[Jaarlijkse kosten per patiënt]] + uniforme_input[[#This Row],[Jaarlijkse kosten per patiënt berekend]],0)</f>
        <v>0</v>
      </c>
      <c r="AI63" s="409">
        <f>IF(uniforme_input[[#This Row],[Bron gebruiken voor kosten/investering?]]="Ja",uniforme_input[[#This Row],[Initiële investering per patiënt]]+uniforme_input[[#This Row],[Initiële investering per patiënt berekend]],0)</f>
        <v>0</v>
      </c>
    </row>
    <row r="64" spans="1:35" x14ac:dyDescent="0.5">
      <c r="A64" s="51" t="str">
        <f>INDEX(Technologieën[Veld],MATCH(G64,Technologieën[Zoeksleutel bronnummer],0))</f>
        <v>Software - Behandeling</v>
      </c>
      <c r="B64" s="33" t="s">
        <v>716</v>
      </c>
      <c r="C64" s="32" t="s">
        <v>391</v>
      </c>
      <c r="D64" s="32" t="s">
        <v>391</v>
      </c>
      <c r="E64" s="33" t="s">
        <v>80</v>
      </c>
      <c r="F64" s="33" t="str" cm="1">
        <f t="array" ref="F64">INDEX(Berekening_patiëntaantal[Direct toepasbaar/extrapolatie/incidentie voor QALY],MATCH(B64,IF(Berekening_patiëntaantal[Doelgroep (zoeksleutel)]=E64,Berekening_patiëntaantal[Digitale zorgtoepassing]),0))</f>
        <v>Huidige toepassing</v>
      </c>
      <c r="G64" s="33" t="s">
        <v>717</v>
      </c>
      <c r="H64" s="33" t="s">
        <v>148</v>
      </c>
      <c r="I64" s="403">
        <f>INDEX(Uurloon[Uurtarief zorgpersoneel],MATCH(H64,Uurloon[Zorgverlener],0))</f>
        <v>27.740086206896557</v>
      </c>
      <c r="J64" s="404" cm="1">
        <f t="array" ref="J64">INDEX(Berekening_patiëntaantal[Patiëntaantallen],MATCH(B64,IF(Berekening_patiëntaantal[Doelgroep (zoeksleutel)]=E64,Berekening_patiëntaantal[Digitale zorgtoepassing]),0))</f>
        <v>64868</v>
      </c>
      <c r="K64" s="404">
        <f>IFERROR(INDEX(aantal_organisaties[Aantal organisaties waarop toepasbaar],MATCH(B64,aantal_organisaties[Digitale zorgtoepassing],0)),0)</f>
        <v>0</v>
      </c>
      <c r="L64" s="397">
        <f>COUNTIF(uniforme_input[Doelgroep],E64)</f>
        <v>1</v>
      </c>
      <c r="M64" s="405" cm="1">
        <f t="array" ref="M64">INDEX(Technologieën[Tijdsbesparing p. patiënt (min/week)],MATCH(B64,IF(Technologieën[Zoeksleutel bronnummer]=G64,Technologieën[Digitale zorgtoepassing]),0))</f>
        <v>0</v>
      </c>
      <c r="N64" s="405" cm="1">
        <f t="array" ref="N64">INDEX(Technologieën[Tijdsbesparing per handeling (min)],MATCH(B64,IF(Technologieën[Zoeksleutel bronnummer]=G64,Technologieën[Digitale zorgtoepassing]),0))</f>
        <v>0</v>
      </c>
      <c r="O64" s="403" cm="1">
        <f t="array" ref="O64">INDEX(Technologieën[Besparing overige kosten (€/patiënt/jaar)],MATCH(B64,IF(Technologieën[Zoeksleutel bronnummer]=G64,Technologieën[Digitale zorgtoepassing]),0))</f>
        <v>10.036000000000001</v>
      </c>
      <c r="P64" s="403" cm="1">
        <f t="array" ref="P64">INDEX(Technologieën[Kostenbesparing p. patiënt door arbeidsbesparing (€/week)],MATCH(B64,IF(Technologieën[Zoeksleutel bronnummer]=G64,Technologieën[Digitale zorgtoepassing]),0))</f>
        <v>0</v>
      </c>
      <c r="Q64" s="403" cm="1">
        <f t="array" ref="Q64">INDEX(Technologieën[Kostenbesparing (personeel) per handeling (€)],MATCH(B64,IF(Technologieën[Zoeksleutel bronnummer]=G64,Technologieën[Digitale zorgtoepassing]),0))</f>
        <v>15.054000000000002</v>
      </c>
      <c r="R64" s="403" cm="1">
        <f t="array" ref="R64">INDEX(Technologieën[Besparing overige kosten (€/jaar)],MATCH(B64,IF(Technologieën[Zoeksleutel bronnummer]=G64,Technologieën[Digitale zorgtoepassing]),0))</f>
        <v>0</v>
      </c>
      <c r="S64" s="405" cm="1">
        <f t="array" ref="S64">INDEX(Technologieën[Jaarlijkse besparing zorgpersoneel (FTE)],MATCH(B64,IF(Technologieën[Zoeksleutel bronnummer]=G64,Technologieën[Digitale zorgtoepassing]),0))</f>
        <v>0</v>
      </c>
      <c r="T64" s="406" cm="1">
        <f t="array" ref="T64">(INDEX(Technologieën[QALY],MATCH(B64,IF(Technologieën[Zoeksleutel bronnummer]=G64,Technologieën[Digitale zorgtoepassing]),0)))</f>
        <v>1.8E-3</v>
      </c>
      <c r="U64" s="407">
        <f>(uniforme_input[[#This Row],[Kostenbesparing door arbeidsbesparing p. patiënt (€/week)]]/uniforme_input[[#This Row],[Uurtarief]]*60) + (uniforme_input[[#This Row],[Totaal arbeidsbesparing onafhankelijk van patiënt (FTE)]]*40*60)/uniforme_input[[#This Row],[Patiëntaantallen]]</f>
        <v>0</v>
      </c>
      <c r="V64" s="407">
        <f>(uniforme_input[[#This Row],[Kostenbesparing per handeling (€)]]/uniforme_input[[#This Row],[Uurtarief]])*60</f>
        <v>32.56082166664077</v>
      </c>
      <c r="W64" s="398">
        <f>uniforme_input[[#This Row],[Overige kostenbesparing (Totaal €/jaar)]]/uniforme_input[[#This Row],[Patiëntaantallen]]</f>
        <v>0</v>
      </c>
      <c r="X64" s="408">
        <f>IF(uniforme_input[[#This Row],[Bron gebruiken voor opbrengsten?]]="Ja",uniforme_input[[#This Row],[Tijdsbesparing (min/week/patiënt) - gegeven]]+uniforme_input[[#This Row],[Tijdsbesparing (min/week/patiënt) berekend]],0)</f>
        <v>0</v>
      </c>
      <c r="Y64" s="407">
        <f>IF(uniforme_input[[#This Row],[Bron gebruiken voor opbrengsten?]]="Ja",uniforme_input[[#This Row],[Tijdsbesparing (min/handeling) - gegeven]]+uniforme_input[[#This Row],[Tijdsbesparing (min/handeling) berekend]],0)</f>
        <v>32.56082166664077</v>
      </c>
      <c r="Z64" s="409">
        <f>IF(uniforme_input[[#This Row],[Bron gebruiken voor opbrengsten?]]="Ja",uniforme_input[[#This Row],[Overige kostenbesparing (€/jaar/patiënt) - gegeven]]+uniforme_input[[#This Row],[Overige kostenbesparing (€/jaar/patiënt) berekend]],0)</f>
        <v>10.036000000000001</v>
      </c>
      <c r="AA64" s="403" cm="1">
        <f t="array" ref="AA64">INDEX(Technologieën[Jaarlijkse kosten p. patiënt],MATCH(B64,IF(Technologieën[Zoeksleutel bronnummer]=G64,Technologieën[Digitale zorgtoepassing]),0))</f>
        <v>60</v>
      </c>
      <c r="AB64" s="403" cm="1">
        <f t="array" ref="AB64">INDEX(Technologieën[Jaarlijkse kosten p. organisatie],MATCH(B64,IF(Technologieën[Zoeksleutel bronnummer]=G64,Technologieën[Digitale zorgtoepassing]),0))/uniforme_input[[#This Row],[Aantal doelgroepen waarop toepasbaar]]</f>
        <v>0</v>
      </c>
      <c r="AC64" s="403" cm="1">
        <f t="array" ref="AC64">INDEX(Technologieën[Jaarlijkse kosten (onafh. aantal patiënt/organisatie)],MATCH(B64,IF(Technologieën[Zoeksleutel bronnummer]=G64,Technologieën[Digitale zorgtoepassing]),0))/uniforme_input[[#This Row],[Aantal doelgroepen waarop toepasbaar]]</f>
        <v>0</v>
      </c>
      <c r="AD64" s="403" cm="1">
        <f t="array" ref="AD64">INDEX(Technologieën[Initiële investering (p. patiënt)],MATCH(B64,IF(Technologieën[Zoeksleutel bronnummer]=G64,Technologieën[Digitale zorgtoepassing]),0))</f>
        <v>0</v>
      </c>
      <c r="AE64" s="403" cm="1">
        <f t="array" ref="AE64">INDEX(Technologieën[Initiële investering (p. organisatie)],MATCH(B64,IF(Technologieën[Zoeksleutel bronnummer]=G64,Technologieën[Digitale zorgtoepassing]),0))</f>
        <v>0</v>
      </c>
      <c r="AF64"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64" s="398">
        <f>(uniforme_input[[#This Row],[Initiële investering per organisatie]]*uniforme_input[[#This Row],[Aantal organisaties]])/uniforme_input[[#This Row],[Patiëntaantallen]]</f>
        <v>0</v>
      </c>
      <c r="AH64" s="410">
        <f>IF(uniforme_input[[#This Row],[Bron gebruiken voor kosten/investering?]]="Ja",uniforme_input[[#This Row],[Jaarlijkse kosten per patiënt]] + uniforme_input[[#This Row],[Jaarlijkse kosten per patiënt berekend]],0)</f>
        <v>60</v>
      </c>
      <c r="AI64" s="409">
        <f>IF(uniforme_input[[#This Row],[Bron gebruiken voor kosten/investering?]]="Ja",uniforme_input[[#This Row],[Initiële investering per patiënt]]+uniforme_input[[#This Row],[Initiële investering per patiënt berekend]],0)</f>
        <v>0</v>
      </c>
    </row>
    <row r="65" spans="1:83" x14ac:dyDescent="0.5">
      <c r="A65" s="51" t="str">
        <f>INDEX(Technologieën[Veld],MATCH(G65,Technologieën[Zoeksleutel bronnummer],0))</f>
        <v>Software - Diagnose</v>
      </c>
      <c r="B65" s="33" t="s">
        <v>66</v>
      </c>
      <c r="C65" s="32" t="s">
        <v>391</v>
      </c>
      <c r="D65" s="32" t="s">
        <v>390</v>
      </c>
      <c r="E65" s="33" t="s">
        <v>67</v>
      </c>
      <c r="F65" s="33" t="str" cm="1">
        <f t="array" ref="F65">INDEX(Berekening_patiëntaantal[Direct toepasbaar/extrapolatie/incidentie voor QALY],MATCH(B65,IF(Berekening_patiëntaantal[Doelgroep (zoeksleutel)]=E65,Berekening_patiëntaantal[Digitale zorgtoepassing]),0))</f>
        <v>Huidige toepassing</v>
      </c>
      <c r="G65" s="33" t="s">
        <v>520</v>
      </c>
      <c r="H65" s="33" t="s">
        <v>156</v>
      </c>
      <c r="I65" s="403">
        <f>INDEX(Uurloon[Uurtarief zorgpersoneel],MATCH(H65,Uurloon[Zorgverlener],0))</f>
        <v>40.34195402298851</v>
      </c>
      <c r="J65" s="404" cm="1">
        <f t="array" ref="J65">INDEX(Berekening_patiëntaantal[Patiëntaantallen],MATCH(B65,IF(Berekening_patiëntaantal[Doelgroep (zoeksleutel)]=E65,Berekening_patiëntaantal[Digitale zorgtoepassing]),0))</f>
        <v>23800</v>
      </c>
      <c r="K65" s="404">
        <f>IFERROR(INDEX(aantal_organisaties[Aantal organisaties waarop toepasbaar],MATCH(B65,aantal_organisaties[Digitale zorgtoepassing],0)),0)</f>
        <v>0</v>
      </c>
      <c r="L65" s="397">
        <f>COUNTIF(uniforme_input[Doelgroep],E65)</f>
        <v>1</v>
      </c>
      <c r="M65" s="405" cm="1">
        <f t="array" ref="M65">INDEX(Technologieën[Tijdsbesparing p. patiënt (min/week)],MATCH(B65,IF(Technologieën[Zoeksleutel bronnummer]=G65,Technologieën[Digitale zorgtoepassing]),0))</f>
        <v>0</v>
      </c>
      <c r="N65" s="405" cm="1">
        <f t="array" ref="N65">INDEX(Technologieën[Tijdsbesparing per handeling (min)],MATCH(B65,IF(Technologieën[Zoeksleutel bronnummer]=G65,Technologieën[Digitale zorgtoepassing]),0))</f>
        <v>15</v>
      </c>
      <c r="O65" s="403" cm="1">
        <f t="array" ref="O65">INDEX(Technologieën[Besparing overige kosten (€/patiënt/jaar)],MATCH(B65,IF(Technologieën[Zoeksleutel bronnummer]=G65,Technologieën[Digitale zorgtoepassing]),0))</f>
        <v>0</v>
      </c>
      <c r="P65" s="403" cm="1">
        <f t="array" ref="P65">INDEX(Technologieën[Kostenbesparing p. patiënt door arbeidsbesparing (€/week)],MATCH(B65,IF(Technologieën[Zoeksleutel bronnummer]=G65,Technologieën[Digitale zorgtoepassing]),0))</f>
        <v>0</v>
      </c>
      <c r="Q65" s="403" cm="1">
        <f t="array" ref="Q65">INDEX(Technologieën[Kostenbesparing (personeel) per handeling (€)],MATCH(B65,IF(Technologieën[Zoeksleutel bronnummer]=G65,Technologieën[Digitale zorgtoepassing]),0))</f>
        <v>0</v>
      </c>
      <c r="R65" s="403" cm="1">
        <f t="array" ref="R65">INDEX(Technologieën[Besparing overige kosten (€/jaar)],MATCH(B65,IF(Technologieën[Zoeksleutel bronnummer]=G65,Technologieën[Digitale zorgtoepassing]),0))</f>
        <v>0</v>
      </c>
      <c r="S65" s="405" cm="1">
        <f t="array" ref="S65">INDEX(Technologieën[Jaarlijkse besparing zorgpersoneel (FTE)],MATCH(B65,IF(Technologieën[Zoeksleutel bronnummer]=G65,Technologieën[Digitale zorgtoepassing]),0))</f>
        <v>0</v>
      </c>
      <c r="T65" s="406" cm="1">
        <f t="array" ref="T65">(INDEX(Technologieën[QALY],MATCH(B65,IF(Technologieën[Zoeksleutel bronnummer]=G65,Technologieën[Digitale zorgtoepassing]),0)))</f>
        <v>0</v>
      </c>
      <c r="U65" s="407">
        <f>(uniforme_input[[#This Row],[Kostenbesparing door arbeidsbesparing p. patiënt (€/week)]]/uniforme_input[[#This Row],[Uurtarief]]*60) + (uniforme_input[[#This Row],[Totaal arbeidsbesparing onafhankelijk van patiënt (FTE)]]*40*60)/uniforme_input[[#This Row],[Patiëntaantallen]]</f>
        <v>0</v>
      </c>
      <c r="V65" s="407">
        <f>(uniforme_input[[#This Row],[Kostenbesparing per handeling (€)]]/uniforme_input[[#This Row],[Uurtarief]])*60</f>
        <v>0</v>
      </c>
      <c r="W65" s="398">
        <f>uniforme_input[[#This Row],[Overige kostenbesparing (Totaal €/jaar)]]/uniforme_input[[#This Row],[Patiëntaantallen]]</f>
        <v>0</v>
      </c>
      <c r="X65" s="408">
        <f>IF(uniforme_input[[#This Row],[Bron gebruiken voor opbrengsten?]]="Ja",uniforme_input[[#This Row],[Tijdsbesparing (min/week/patiënt) - gegeven]]+uniforme_input[[#This Row],[Tijdsbesparing (min/week/patiënt) berekend]],0)</f>
        <v>0</v>
      </c>
      <c r="Y65" s="407">
        <f>IF(uniforme_input[[#This Row],[Bron gebruiken voor opbrengsten?]]="Ja",uniforme_input[[#This Row],[Tijdsbesparing (min/handeling) - gegeven]]+uniforme_input[[#This Row],[Tijdsbesparing (min/handeling) berekend]],0)</f>
        <v>15</v>
      </c>
      <c r="Z65" s="409">
        <f>IF(uniforme_input[[#This Row],[Bron gebruiken voor opbrengsten?]]="Ja",uniforme_input[[#This Row],[Overige kostenbesparing (€/jaar/patiënt) - gegeven]]+uniforme_input[[#This Row],[Overige kostenbesparing (€/jaar/patiënt) berekend]],0)</f>
        <v>0</v>
      </c>
      <c r="AA65" s="403" cm="1">
        <f t="array" ref="AA65">INDEX(Technologieën[Jaarlijkse kosten p. patiënt],MATCH(B65,IF(Technologieën[Zoeksleutel bronnummer]=G65,Technologieën[Digitale zorgtoepassing]),0))</f>
        <v>0</v>
      </c>
      <c r="AB65" s="403" cm="1">
        <f t="array" ref="AB65">INDEX(Technologieën[Jaarlijkse kosten p. organisatie],MATCH(B65,IF(Technologieën[Zoeksleutel bronnummer]=G65,Technologieën[Digitale zorgtoepassing]),0))/uniforme_input[[#This Row],[Aantal doelgroepen waarop toepasbaar]]</f>
        <v>0</v>
      </c>
      <c r="AC65" s="403" cm="1">
        <f t="array" ref="AC65">INDEX(Technologieën[Jaarlijkse kosten (onafh. aantal patiënt/organisatie)],MATCH(B65,IF(Technologieën[Zoeksleutel bronnummer]=G65,Technologieën[Digitale zorgtoepassing]),0))/uniforme_input[[#This Row],[Aantal doelgroepen waarop toepasbaar]]</f>
        <v>0</v>
      </c>
      <c r="AD65" s="403" cm="1">
        <f t="array" ref="AD65">INDEX(Technologieën[Initiële investering (p. patiënt)],MATCH(B65,IF(Technologieën[Zoeksleutel bronnummer]=G65,Technologieën[Digitale zorgtoepassing]),0))</f>
        <v>0</v>
      </c>
      <c r="AE65" s="403" cm="1">
        <f t="array" ref="AE65">INDEX(Technologieën[Initiële investering (p. organisatie)],MATCH(B65,IF(Technologieën[Zoeksleutel bronnummer]=G65,Technologieën[Digitale zorgtoepassing]),0))</f>
        <v>0</v>
      </c>
      <c r="AF65"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65" s="398">
        <f>(uniforme_input[[#This Row],[Initiële investering per organisatie]]*uniforme_input[[#This Row],[Aantal organisaties]])/uniforme_input[[#This Row],[Patiëntaantallen]]</f>
        <v>0</v>
      </c>
      <c r="AH65" s="410">
        <f>IF(uniforme_input[[#This Row],[Bron gebruiken voor kosten/investering?]]="Ja",uniforme_input[[#This Row],[Jaarlijkse kosten per patiënt]] + uniforme_input[[#This Row],[Jaarlijkse kosten per patiënt berekend]],0)</f>
        <v>0</v>
      </c>
      <c r="AI65" s="409">
        <f>IF(uniforme_input[[#This Row],[Bron gebruiken voor kosten/investering?]]="Ja",uniforme_input[[#This Row],[Initiële investering per patiënt]]+uniforme_input[[#This Row],[Initiële investering per patiënt berekend]],0)</f>
        <v>0</v>
      </c>
    </row>
    <row r="66" spans="1:83" x14ac:dyDescent="0.5">
      <c r="A66" s="51" t="str">
        <f>INDEX(Technologieën[Veld],MATCH(G66,Technologieën[Zoeksleutel bronnummer],0))</f>
        <v>Software - Diagnose</v>
      </c>
      <c r="B66" s="33" t="s">
        <v>66</v>
      </c>
      <c r="C66" s="32" t="s">
        <v>391</v>
      </c>
      <c r="D66" s="32" t="s">
        <v>390</v>
      </c>
      <c r="E66" s="33" t="s">
        <v>69</v>
      </c>
      <c r="F66" s="33" t="str" cm="1">
        <f t="array" ref="F66">INDEX(Berekening_patiëntaantal[Direct toepasbaar/extrapolatie/incidentie voor QALY],MATCH(B66,IF(Berekening_patiëntaantal[Doelgroep (zoeksleutel)]=E66,Berekening_patiëntaantal[Digitale zorgtoepassing]),0))</f>
        <v>Huidige toepassing</v>
      </c>
      <c r="G66" s="33" t="s">
        <v>519</v>
      </c>
      <c r="H66" s="33" t="s">
        <v>156</v>
      </c>
      <c r="I66" s="403">
        <f>INDEX(Uurloon[Uurtarief zorgpersoneel],MATCH(H66,Uurloon[Zorgverlener],0))</f>
        <v>40.34195402298851</v>
      </c>
      <c r="J66" s="404" cm="1">
        <f t="array" ref="J66">INDEX(Berekening_patiëntaantal[Patiëntaantallen],MATCH(B66,IF(Berekening_patiëntaantal[Doelgroep (zoeksleutel)]=E66,Berekening_patiëntaantal[Digitale zorgtoepassing]),0))</f>
        <v>149781.6875</v>
      </c>
      <c r="K66" s="404">
        <f>IFERROR(INDEX(aantal_organisaties[Aantal organisaties waarop toepasbaar],MATCH(B66,aantal_organisaties[Digitale zorgtoepassing],0)),0)</f>
        <v>0</v>
      </c>
      <c r="L66" s="397">
        <f>COUNTIF(uniforme_input[Doelgroep],E66)</f>
        <v>1</v>
      </c>
      <c r="M66" s="405" cm="1">
        <f t="array" ref="M66">INDEX(Technologieën[Tijdsbesparing p. patiënt (min/week)],MATCH(B66,IF(Technologieën[Zoeksleutel bronnummer]=G66,Technologieën[Digitale zorgtoepassing]),0))</f>
        <v>0</v>
      </c>
      <c r="N66" s="405" cm="1">
        <f t="array" ref="N66">INDEX(Technologieën[Tijdsbesparing per handeling (min)],MATCH(B66,IF(Technologieën[Zoeksleutel bronnummer]=G66,Technologieën[Digitale zorgtoepassing]),0))</f>
        <v>45</v>
      </c>
      <c r="O66" s="403" cm="1">
        <f t="array" ref="O66">INDEX(Technologieën[Besparing overige kosten (€/patiënt/jaar)],MATCH(B66,IF(Technologieën[Zoeksleutel bronnummer]=G66,Technologieën[Digitale zorgtoepassing]),0))</f>
        <v>0</v>
      </c>
      <c r="P66" s="403" cm="1">
        <f t="array" ref="P66">INDEX(Technologieën[Kostenbesparing p. patiënt door arbeidsbesparing (€/week)],MATCH(B66,IF(Technologieën[Zoeksleutel bronnummer]=G66,Technologieën[Digitale zorgtoepassing]),0))</f>
        <v>0</v>
      </c>
      <c r="Q66" s="403" cm="1">
        <f t="array" ref="Q66">INDEX(Technologieën[Kostenbesparing (personeel) per handeling (€)],MATCH(B66,IF(Technologieën[Zoeksleutel bronnummer]=G66,Technologieën[Digitale zorgtoepassing]),0))</f>
        <v>0</v>
      </c>
      <c r="R66" s="403" cm="1">
        <f t="array" ref="R66">INDEX(Technologieën[Besparing overige kosten (€/jaar)],MATCH(B66,IF(Technologieën[Zoeksleutel bronnummer]=G66,Technologieën[Digitale zorgtoepassing]),0))</f>
        <v>0</v>
      </c>
      <c r="S66" s="405" cm="1">
        <f t="array" ref="S66">INDEX(Technologieën[Jaarlijkse besparing zorgpersoneel (FTE)],MATCH(B66,IF(Technologieën[Zoeksleutel bronnummer]=G66,Technologieën[Digitale zorgtoepassing]),0))</f>
        <v>0</v>
      </c>
      <c r="T66" s="406" cm="1">
        <f t="array" ref="T66">(INDEX(Technologieën[QALY],MATCH(B66,IF(Technologieën[Zoeksleutel bronnummer]=G66,Technologieën[Digitale zorgtoepassing]),0)))</f>
        <v>0</v>
      </c>
      <c r="U66" s="407">
        <f>(uniforme_input[[#This Row],[Kostenbesparing door arbeidsbesparing p. patiënt (€/week)]]/uniforme_input[[#This Row],[Uurtarief]]*60) + (uniforme_input[[#This Row],[Totaal arbeidsbesparing onafhankelijk van patiënt (FTE)]]*40*60)/uniforme_input[[#This Row],[Patiëntaantallen]]</f>
        <v>0</v>
      </c>
      <c r="V66" s="407">
        <f>(uniforme_input[[#This Row],[Kostenbesparing per handeling (€)]]/uniforme_input[[#This Row],[Uurtarief]])*60</f>
        <v>0</v>
      </c>
      <c r="W66" s="398">
        <f>uniforme_input[[#This Row],[Overige kostenbesparing (Totaal €/jaar)]]/uniforme_input[[#This Row],[Patiëntaantallen]]</f>
        <v>0</v>
      </c>
      <c r="X66" s="408">
        <f>IF(uniforme_input[[#This Row],[Bron gebruiken voor opbrengsten?]]="Ja",uniforme_input[[#This Row],[Tijdsbesparing (min/week/patiënt) - gegeven]]+uniforme_input[[#This Row],[Tijdsbesparing (min/week/patiënt) berekend]],0)</f>
        <v>0</v>
      </c>
      <c r="Y66" s="407">
        <f>IF(uniforme_input[[#This Row],[Bron gebruiken voor opbrengsten?]]="Ja",uniforme_input[[#This Row],[Tijdsbesparing (min/handeling) - gegeven]]+uniforme_input[[#This Row],[Tijdsbesparing (min/handeling) berekend]],0)</f>
        <v>45</v>
      </c>
      <c r="Z66" s="409">
        <f>IF(uniforme_input[[#This Row],[Bron gebruiken voor opbrengsten?]]="Ja",uniforme_input[[#This Row],[Overige kostenbesparing (€/jaar/patiënt) - gegeven]]+uniforme_input[[#This Row],[Overige kostenbesparing (€/jaar/patiënt) berekend]],0)</f>
        <v>0</v>
      </c>
      <c r="AA66" s="403" cm="1">
        <f t="array" ref="AA66">INDEX(Technologieën[Jaarlijkse kosten p. patiënt],MATCH(B66,IF(Technologieën[Zoeksleutel bronnummer]=G66,Technologieën[Digitale zorgtoepassing]),0))</f>
        <v>0</v>
      </c>
      <c r="AB66" s="403" cm="1">
        <f t="array" ref="AB66">INDEX(Technologieën[Jaarlijkse kosten p. organisatie],MATCH(B66,IF(Technologieën[Zoeksleutel bronnummer]=G66,Technologieën[Digitale zorgtoepassing]),0))/uniforme_input[[#This Row],[Aantal doelgroepen waarop toepasbaar]]</f>
        <v>0</v>
      </c>
      <c r="AC66" s="403" cm="1">
        <f t="array" ref="AC66">INDEX(Technologieën[Jaarlijkse kosten (onafh. aantal patiënt/organisatie)],MATCH(B66,IF(Technologieën[Zoeksleutel bronnummer]=G66,Technologieën[Digitale zorgtoepassing]),0))/uniforme_input[[#This Row],[Aantal doelgroepen waarop toepasbaar]]</f>
        <v>0</v>
      </c>
      <c r="AD66" s="403" cm="1">
        <f t="array" ref="AD66">INDEX(Technologieën[Initiële investering (p. patiënt)],MATCH(B66,IF(Technologieën[Zoeksleutel bronnummer]=G66,Technologieën[Digitale zorgtoepassing]),0))</f>
        <v>0</v>
      </c>
      <c r="AE66" s="403" cm="1">
        <f t="array" ref="AE66">INDEX(Technologieën[Initiële investering (p. organisatie)],MATCH(B66,IF(Technologieën[Zoeksleutel bronnummer]=G66,Technologieën[Digitale zorgtoepassing]),0))</f>
        <v>0</v>
      </c>
      <c r="AF66"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66" s="398">
        <f>(uniforme_input[[#This Row],[Initiële investering per organisatie]]*uniforme_input[[#This Row],[Aantal organisaties]])/uniforme_input[[#This Row],[Patiëntaantallen]]</f>
        <v>0</v>
      </c>
      <c r="AH66" s="410">
        <f>IF(uniforme_input[[#This Row],[Bron gebruiken voor kosten/investering?]]="Ja",uniforme_input[[#This Row],[Jaarlijkse kosten per patiënt]] + uniforme_input[[#This Row],[Jaarlijkse kosten per patiënt berekend]],0)</f>
        <v>0</v>
      </c>
      <c r="AI66" s="409">
        <f>IF(uniforme_input[[#This Row],[Bron gebruiken voor kosten/investering?]]="Ja",uniforme_input[[#This Row],[Initiële investering per patiënt]]+uniforme_input[[#This Row],[Initiële investering per patiënt berekend]],0)</f>
        <v>0</v>
      </c>
    </row>
    <row r="67" spans="1:83" x14ac:dyDescent="0.5">
      <c r="A67" s="51" t="str">
        <f>INDEX(Technologieën[Veld],MATCH(G67,Technologieën[Zoeksleutel bronnummer],0))</f>
        <v>Software - Diagnose</v>
      </c>
      <c r="B67" s="33" t="s">
        <v>76</v>
      </c>
      <c r="C67" s="32" t="s">
        <v>391</v>
      </c>
      <c r="D67" s="32" t="s">
        <v>390</v>
      </c>
      <c r="E67" s="33" t="s">
        <v>384</v>
      </c>
      <c r="F67" s="33" t="str" cm="1">
        <f t="array" ref="F67">INDEX(Berekening_patiëntaantal[Direct toepasbaar/extrapolatie/incidentie voor QALY],MATCH(B67,IF(Berekening_patiëntaantal[Doelgroep (zoeksleutel)]=E67,Berekening_patiëntaantal[Digitale zorgtoepassing]),0))</f>
        <v>Huidige toepassing</v>
      </c>
      <c r="G67" s="33" t="s">
        <v>521</v>
      </c>
      <c r="H67" s="33" t="s">
        <v>169</v>
      </c>
      <c r="I67" s="403">
        <f>INDEX(Uurloon[Uurtarief zorgpersoneel],MATCH(H67,Uurloon[Zorgverlener],0))</f>
        <v>28.223390804597706</v>
      </c>
      <c r="J67" s="404" cm="1">
        <f t="array" ref="J67">INDEX(Berekening_patiëntaantal[Patiëntaantallen],MATCH(B67,IF(Berekening_patiëntaantal[Doelgroep (zoeksleutel)]=E67,Berekening_patiëntaantal[Digitale zorgtoepassing]),0))</f>
        <v>120000</v>
      </c>
      <c r="K67" s="404">
        <f>IFERROR(INDEX(aantal_organisaties[Aantal organisaties waarop toepasbaar],MATCH(B67,aantal_organisaties[Digitale zorgtoepassing],0)),0)</f>
        <v>0</v>
      </c>
      <c r="L67" s="397">
        <f>COUNTIF(uniforme_input[Doelgroep],E67)</f>
        <v>1</v>
      </c>
      <c r="M67" s="405" cm="1">
        <f t="array" ref="M67">INDEX(Technologieën[Tijdsbesparing p. patiënt (min/week)],MATCH(B67,IF(Technologieën[Zoeksleutel bronnummer]=G67,Technologieën[Digitale zorgtoepassing]),0))</f>
        <v>0</v>
      </c>
      <c r="N67" s="405" cm="1">
        <f t="array" ref="N67">INDEX(Technologieën[Tijdsbesparing per handeling (min)],MATCH(B67,IF(Technologieën[Zoeksleutel bronnummer]=G67,Technologieën[Digitale zorgtoepassing]),0))</f>
        <v>129.80000000000001</v>
      </c>
      <c r="O67" s="403" cm="1">
        <f t="array" ref="O67">INDEX(Technologieën[Besparing overige kosten (€/patiënt/jaar)],MATCH(B67,IF(Technologieën[Zoeksleutel bronnummer]=G67,Technologieën[Digitale zorgtoepassing]),0))</f>
        <v>0</v>
      </c>
      <c r="P67" s="403" cm="1">
        <f t="array" ref="P67">INDEX(Technologieën[Kostenbesparing p. patiënt door arbeidsbesparing (€/week)],MATCH(B67,IF(Technologieën[Zoeksleutel bronnummer]=G67,Technologieën[Digitale zorgtoepassing]),0))</f>
        <v>0</v>
      </c>
      <c r="Q67" s="403" cm="1">
        <f t="array" ref="Q67">INDEX(Technologieën[Kostenbesparing (personeel) per handeling (€)],MATCH(B67,IF(Technologieën[Zoeksleutel bronnummer]=G67,Technologieën[Digitale zorgtoepassing]),0))</f>
        <v>0</v>
      </c>
      <c r="R67" s="403" cm="1">
        <f t="array" ref="R67">INDEX(Technologieën[Besparing overige kosten (€/jaar)],MATCH(B67,IF(Technologieën[Zoeksleutel bronnummer]=G67,Technologieën[Digitale zorgtoepassing]),0))</f>
        <v>0</v>
      </c>
      <c r="S67" s="405" cm="1">
        <f t="array" ref="S67">INDEX(Technologieën[Jaarlijkse besparing zorgpersoneel (FTE)],MATCH(B67,IF(Technologieën[Zoeksleutel bronnummer]=G67,Technologieën[Digitale zorgtoepassing]),0))</f>
        <v>0</v>
      </c>
      <c r="T67" s="406" cm="1">
        <f t="array" ref="T67">(INDEX(Technologieën[QALY],MATCH(B67,IF(Technologieën[Zoeksleutel bronnummer]=G67,Technologieën[Digitale zorgtoepassing]),0)))</f>
        <v>0</v>
      </c>
      <c r="U67" s="407">
        <f>(uniforme_input[[#This Row],[Kostenbesparing door arbeidsbesparing p. patiënt (€/week)]]/uniforme_input[[#This Row],[Uurtarief]]*60) + (uniforme_input[[#This Row],[Totaal arbeidsbesparing onafhankelijk van patiënt (FTE)]]*40*60)/uniforme_input[[#This Row],[Patiëntaantallen]]</f>
        <v>0</v>
      </c>
      <c r="V67" s="407">
        <f>(uniforme_input[[#This Row],[Kostenbesparing per handeling (€)]]/uniforme_input[[#This Row],[Uurtarief]])*60</f>
        <v>0</v>
      </c>
      <c r="W67" s="398">
        <f>uniforme_input[[#This Row],[Overige kostenbesparing (Totaal €/jaar)]]/uniforme_input[[#This Row],[Patiëntaantallen]]</f>
        <v>0</v>
      </c>
      <c r="X67" s="408">
        <f>IF(uniforme_input[[#This Row],[Bron gebruiken voor opbrengsten?]]="Ja",uniforme_input[[#This Row],[Tijdsbesparing (min/week/patiënt) - gegeven]]+uniforme_input[[#This Row],[Tijdsbesparing (min/week/patiënt) berekend]],0)</f>
        <v>0</v>
      </c>
      <c r="Y67" s="407">
        <f>IF(uniforme_input[[#This Row],[Bron gebruiken voor opbrengsten?]]="Ja",uniforme_input[[#This Row],[Tijdsbesparing (min/handeling) - gegeven]]+uniforme_input[[#This Row],[Tijdsbesparing (min/handeling) berekend]],0)</f>
        <v>129.80000000000001</v>
      </c>
      <c r="Z67" s="409">
        <f>IF(uniforme_input[[#This Row],[Bron gebruiken voor opbrengsten?]]="Ja",uniforme_input[[#This Row],[Overige kostenbesparing (€/jaar/patiënt) - gegeven]]+uniforme_input[[#This Row],[Overige kostenbesparing (€/jaar/patiënt) berekend]],0)</f>
        <v>0</v>
      </c>
      <c r="AA67" s="403" cm="1">
        <f t="array" ref="AA67">INDEX(Technologieën[Jaarlijkse kosten p. patiënt],MATCH(B67,IF(Technologieën[Zoeksleutel bronnummer]=G67,Technologieën[Digitale zorgtoepassing]),0))</f>
        <v>0</v>
      </c>
      <c r="AB67" s="403" cm="1">
        <f t="array" ref="AB67">INDEX(Technologieën[Jaarlijkse kosten p. organisatie],MATCH(B67,IF(Technologieën[Zoeksleutel bronnummer]=G67,Technologieën[Digitale zorgtoepassing]),0))/uniforme_input[[#This Row],[Aantal doelgroepen waarop toepasbaar]]</f>
        <v>0</v>
      </c>
      <c r="AC67" s="403" cm="1">
        <f t="array" ref="AC67">INDEX(Technologieën[Jaarlijkse kosten (onafh. aantal patiënt/organisatie)],MATCH(B67,IF(Technologieën[Zoeksleutel bronnummer]=G67,Technologieën[Digitale zorgtoepassing]),0))/uniforme_input[[#This Row],[Aantal doelgroepen waarop toepasbaar]]</f>
        <v>0</v>
      </c>
      <c r="AD67" s="403" cm="1">
        <f t="array" ref="AD67">INDEX(Technologieën[Initiële investering (p. patiënt)],MATCH(B67,IF(Technologieën[Zoeksleutel bronnummer]=G67,Technologieën[Digitale zorgtoepassing]),0))</f>
        <v>0</v>
      </c>
      <c r="AE67" s="403" cm="1">
        <f t="array" ref="AE67">INDEX(Technologieën[Initiële investering (p. organisatie)],MATCH(B67,IF(Technologieën[Zoeksleutel bronnummer]=G67,Technologieën[Digitale zorgtoepassing]),0))</f>
        <v>0</v>
      </c>
      <c r="AF67"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67" s="398">
        <f>(uniforme_input[[#This Row],[Initiële investering per organisatie]]*uniforme_input[[#This Row],[Aantal organisaties]])/uniforme_input[[#This Row],[Patiëntaantallen]]</f>
        <v>0</v>
      </c>
      <c r="AH67" s="410">
        <f>IF(uniforme_input[[#This Row],[Bron gebruiken voor kosten/investering?]]="Ja",uniforme_input[[#This Row],[Jaarlijkse kosten per patiënt]] + uniforme_input[[#This Row],[Jaarlijkse kosten per patiënt berekend]],0)</f>
        <v>0</v>
      </c>
      <c r="AI67" s="409">
        <f>IF(uniforme_input[[#This Row],[Bron gebruiken voor kosten/investering?]]="Ja",uniforme_input[[#This Row],[Initiële investering per patiënt]]+uniforme_input[[#This Row],[Initiële investering per patiënt berekend]],0)</f>
        <v>0</v>
      </c>
    </row>
    <row r="68" spans="1:83" x14ac:dyDescent="0.5">
      <c r="A68" s="51" t="str">
        <f>INDEX(Technologieën[Veld],MATCH(G68,Technologieën[Zoeksleutel bronnummer],0))</f>
        <v>Software - Behandeling</v>
      </c>
      <c r="B68" s="33" t="s">
        <v>578</v>
      </c>
      <c r="C68" s="32" t="s">
        <v>391</v>
      </c>
      <c r="D68" s="32" t="s">
        <v>390</v>
      </c>
      <c r="E68" s="33" t="s">
        <v>577</v>
      </c>
      <c r="F68" s="33" t="str" cm="1">
        <f t="array" ref="F68">INDEX(Berekening_patiëntaantal[Direct toepasbaar/extrapolatie/incidentie voor QALY],MATCH(B68,IF(Berekening_patiëntaantal[Doelgroep (zoeksleutel)]=E68,Berekening_patiëntaantal[Digitale zorgtoepassing]),0))</f>
        <v>Huidige toepassing</v>
      </c>
      <c r="G68" s="33" t="s">
        <v>580</v>
      </c>
      <c r="H68" s="33" t="s">
        <v>156</v>
      </c>
      <c r="I68" s="403">
        <f>INDEX(Uurloon[Uurtarief zorgpersoneel],MATCH(H68,Uurloon[Zorgverlener],0))</f>
        <v>40.34195402298851</v>
      </c>
      <c r="J68" s="404" cm="1">
        <f t="array" ref="J68">INDEX(Berekening_patiëntaantal[Patiëntaantallen],MATCH(B68,IF(Berekening_patiëntaantal[Doelgroep (zoeksleutel)]=E68,Berekening_patiëntaantal[Digitale zorgtoepassing]),0))</f>
        <v>36000</v>
      </c>
      <c r="K68" s="404">
        <f>IFERROR(INDEX(aantal_organisaties[Aantal organisaties waarop toepasbaar],MATCH(B68,aantal_organisaties[Digitale zorgtoepassing],0)),0)</f>
        <v>0</v>
      </c>
      <c r="L68" s="397">
        <f>COUNTIF(uniforme_input[Doelgroep],E68)</f>
        <v>1</v>
      </c>
      <c r="M68" s="405" cm="1">
        <f t="array" ref="M68">INDEX(Technologieën[Tijdsbesparing p. patiënt (min/week)],MATCH(B68,IF(Technologieën[Zoeksleutel bronnummer]=G68,Technologieën[Digitale zorgtoepassing]),0))</f>
        <v>11.028461538461539</v>
      </c>
      <c r="N68" s="405" cm="1">
        <f t="array" ref="N68">INDEX(Technologieën[Tijdsbesparing per handeling (min)],MATCH(B68,IF(Technologieën[Zoeksleutel bronnummer]=G68,Technologieën[Digitale zorgtoepassing]),0))</f>
        <v>0</v>
      </c>
      <c r="O68" s="403" cm="1">
        <f t="array" ref="O68">INDEX(Technologieën[Besparing overige kosten (€/patiënt/jaar)],MATCH(B68,IF(Technologieën[Zoeksleutel bronnummer]=G68,Technologieën[Digitale zorgtoepassing]),0))</f>
        <v>0</v>
      </c>
      <c r="P68" s="403" cm="1">
        <f t="array" ref="P68">INDEX(Technologieën[Kostenbesparing p. patiënt door arbeidsbesparing (€/week)],MATCH(B68,IF(Technologieën[Zoeksleutel bronnummer]=G68,Technologieën[Digitale zorgtoepassing]),0))</f>
        <v>0</v>
      </c>
      <c r="Q68" s="403" cm="1">
        <f t="array" ref="Q68">INDEX(Technologieën[Kostenbesparing (personeel) per handeling (€)],MATCH(B68,IF(Technologieën[Zoeksleutel bronnummer]=G68,Technologieën[Digitale zorgtoepassing]),0))</f>
        <v>0</v>
      </c>
      <c r="R68" s="403" cm="1">
        <f t="array" ref="R68">INDEX(Technologieën[Besparing overige kosten (€/jaar)],MATCH(B68,IF(Technologieën[Zoeksleutel bronnummer]=G68,Technologieën[Digitale zorgtoepassing]),0))</f>
        <v>0</v>
      </c>
      <c r="S68" s="405" cm="1">
        <f t="array" ref="S68">INDEX(Technologieën[Jaarlijkse besparing zorgpersoneel (FTE)],MATCH(B68,IF(Technologieën[Zoeksleutel bronnummer]=G68,Technologieën[Digitale zorgtoepassing]),0))</f>
        <v>0</v>
      </c>
      <c r="T68" s="406" cm="1">
        <f t="array" ref="T68">(INDEX(Technologieën[QALY],MATCH(B68,IF(Technologieën[Zoeksleutel bronnummer]=G68,Technologieën[Digitale zorgtoepassing]),0)))</f>
        <v>0</v>
      </c>
      <c r="U68" s="407">
        <f>(uniforme_input[[#This Row],[Kostenbesparing door arbeidsbesparing p. patiënt (€/week)]]/uniforme_input[[#This Row],[Uurtarief]]*60) + (uniforme_input[[#This Row],[Totaal arbeidsbesparing onafhankelijk van patiënt (FTE)]]*40*60)/uniforme_input[[#This Row],[Patiëntaantallen]]</f>
        <v>0</v>
      </c>
      <c r="V68" s="407">
        <f>(uniforme_input[[#This Row],[Kostenbesparing per handeling (€)]]/uniforme_input[[#This Row],[Uurtarief]])*60</f>
        <v>0</v>
      </c>
      <c r="W68" s="398">
        <f>uniforme_input[[#This Row],[Overige kostenbesparing (Totaal €/jaar)]]/uniforme_input[[#This Row],[Patiëntaantallen]]</f>
        <v>0</v>
      </c>
      <c r="X68" s="408">
        <f>IF(uniforme_input[[#This Row],[Bron gebruiken voor opbrengsten?]]="Ja",uniforme_input[[#This Row],[Tijdsbesparing (min/week/patiënt) - gegeven]]+uniforme_input[[#This Row],[Tijdsbesparing (min/week/patiënt) berekend]],0)</f>
        <v>11.028461538461539</v>
      </c>
      <c r="Y68" s="407">
        <f>IF(uniforme_input[[#This Row],[Bron gebruiken voor opbrengsten?]]="Ja",uniforme_input[[#This Row],[Tijdsbesparing (min/handeling) - gegeven]]+uniforme_input[[#This Row],[Tijdsbesparing (min/handeling) berekend]],0)</f>
        <v>0</v>
      </c>
      <c r="Z68" s="409">
        <f>IF(uniforme_input[[#This Row],[Bron gebruiken voor opbrengsten?]]="Ja",uniforme_input[[#This Row],[Overige kostenbesparing (€/jaar/patiënt) - gegeven]]+uniforme_input[[#This Row],[Overige kostenbesparing (€/jaar/patiënt) berekend]],0)</f>
        <v>0</v>
      </c>
      <c r="AA68" s="403" cm="1">
        <f t="array" ref="AA68">INDEX(Technologieën[Jaarlijkse kosten p. patiënt],MATCH(B68,IF(Technologieën[Zoeksleutel bronnummer]=G68,Technologieën[Digitale zorgtoepassing]),0))</f>
        <v>0</v>
      </c>
      <c r="AB68" s="403" cm="1">
        <f t="array" ref="AB68">INDEX(Technologieën[Jaarlijkse kosten p. organisatie],MATCH(B68,IF(Technologieën[Zoeksleutel bronnummer]=G68,Technologieën[Digitale zorgtoepassing]),0))/uniforme_input[[#This Row],[Aantal doelgroepen waarop toepasbaar]]</f>
        <v>0</v>
      </c>
      <c r="AC68" s="403" cm="1">
        <f t="array" ref="AC68">INDEX(Technologieën[Jaarlijkse kosten (onafh. aantal patiënt/organisatie)],MATCH(B68,IF(Technologieën[Zoeksleutel bronnummer]=G68,Technologieën[Digitale zorgtoepassing]),0))/uniforme_input[[#This Row],[Aantal doelgroepen waarop toepasbaar]]</f>
        <v>0</v>
      </c>
      <c r="AD68" s="403" cm="1">
        <f t="array" ref="AD68">INDEX(Technologieën[Initiële investering (p. patiënt)],MATCH(B68,IF(Technologieën[Zoeksleutel bronnummer]=G68,Technologieën[Digitale zorgtoepassing]),0))</f>
        <v>0</v>
      </c>
      <c r="AE68" s="403" cm="1">
        <f t="array" ref="AE68">INDEX(Technologieën[Initiële investering (p. organisatie)],MATCH(B68,IF(Technologieën[Zoeksleutel bronnummer]=G68,Technologieën[Digitale zorgtoepassing]),0))</f>
        <v>0</v>
      </c>
      <c r="AF68"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68" s="398">
        <f>(uniforme_input[[#This Row],[Initiële investering per organisatie]]*uniforme_input[[#This Row],[Aantal organisaties]])/uniforme_input[[#This Row],[Patiëntaantallen]]</f>
        <v>0</v>
      </c>
      <c r="AH68" s="410">
        <f>IF(uniforme_input[[#This Row],[Bron gebruiken voor kosten/investering?]]="Ja",uniforme_input[[#This Row],[Jaarlijkse kosten per patiënt]] + uniforme_input[[#This Row],[Jaarlijkse kosten per patiënt berekend]],0)</f>
        <v>0</v>
      </c>
      <c r="AI68" s="409">
        <f>IF(uniforme_input[[#This Row],[Bron gebruiken voor kosten/investering?]]="Ja",uniforme_input[[#This Row],[Initiële investering per patiënt]]+uniforme_input[[#This Row],[Initiële investering per patiënt berekend]],0)</f>
        <v>0</v>
      </c>
    </row>
    <row r="69" spans="1:83" x14ac:dyDescent="0.5">
      <c r="A69" s="51" t="str">
        <f>INDEX(Technologieën[Veld],MATCH(G69,Technologieën[Zoeksleutel bronnummer],0))</f>
        <v>Software - Diagnose</v>
      </c>
      <c r="B69" s="33" t="s">
        <v>139</v>
      </c>
      <c r="C69" s="32" t="s">
        <v>391</v>
      </c>
      <c r="D69" s="32" t="s">
        <v>569</v>
      </c>
      <c r="E69" s="33" t="s">
        <v>106</v>
      </c>
      <c r="F69" s="33" t="str" cm="1">
        <f t="array" ref="F69">INDEX(Berekening_patiëntaantal[Direct toepasbaar/extrapolatie/incidentie voor QALY],MATCH(B69,IF(Berekening_patiëntaantal[Doelgroep (zoeksleutel)]=E69,Berekening_patiëntaantal[Digitale zorgtoepassing]),0))</f>
        <v>Huidige toepassing</v>
      </c>
      <c r="G69" s="33" t="s">
        <v>522</v>
      </c>
      <c r="H69" s="33" t="s">
        <v>146</v>
      </c>
      <c r="I69" s="403">
        <f>INDEX(Uurloon[Uurtarief zorgpersoneel],MATCH(H69,Uurloon[Zorgverlener],0))</f>
        <v>91.204770114942534</v>
      </c>
      <c r="J69" s="404" cm="1">
        <f t="array" ref="J69">INDEX(Berekening_patiëntaantal[Patiëntaantallen],MATCH(B69,IF(Berekening_patiëntaantal[Doelgroep (zoeksleutel)]=E69,Berekening_patiëntaantal[Digitale zorgtoepassing]),0))</f>
        <v>999999</v>
      </c>
      <c r="K69" s="404">
        <f>IFERROR(INDEX(aantal_organisaties[Aantal organisaties waarop toepasbaar],MATCH(B69,aantal_organisaties[Digitale zorgtoepassing],0)),0)</f>
        <v>0</v>
      </c>
      <c r="L69" s="397">
        <f>COUNTIF(uniforme_input[Doelgroep],E69)</f>
        <v>3</v>
      </c>
      <c r="M69" s="405" cm="1">
        <f t="array" ref="M69">INDEX(Technologieën[Tijdsbesparing p. patiënt (min/week)],MATCH(B69,IF(Technologieën[Zoeksleutel bronnummer]=G69,Technologieën[Digitale zorgtoepassing]),0))</f>
        <v>0</v>
      </c>
      <c r="N69" s="405" cm="1">
        <f t="array" ref="N69">INDEX(Technologieën[Tijdsbesparing per handeling (min)],MATCH(B69,IF(Technologieën[Zoeksleutel bronnummer]=G69,Technologieën[Digitale zorgtoepassing]),0))</f>
        <v>0</v>
      </c>
      <c r="O69" s="403" cm="1">
        <f t="array" ref="O69">INDEX(Technologieën[Besparing overige kosten (€/patiënt/jaar)],MATCH(B69,IF(Technologieën[Zoeksleutel bronnummer]=G69,Technologieën[Digitale zorgtoepassing]),0))</f>
        <v>0</v>
      </c>
      <c r="P69" s="403" cm="1">
        <f t="array" ref="P69">INDEX(Technologieën[Kostenbesparing p. patiënt door arbeidsbesparing (€/week)],MATCH(B69,IF(Technologieën[Zoeksleutel bronnummer]=G69,Technologieën[Digitale zorgtoepassing]),0))</f>
        <v>0</v>
      </c>
      <c r="Q69" s="403" cm="1">
        <f t="array" ref="Q69">INDEX(Technologieën[Kostenbesparing (personeel) per handeling (€)],MATCH(B69,IF(Technologieën[Zoeksleutel bronnummer]=G69,Technologieën[Digitale zorgtoepassing]),0))</f>
        <v>0</v>
      </c>
      <c r="R69" s="403" cm="1">
        <f t="array" ref="R69">INDEX(Technologieën[Besparing overige kosten (€/jaar)],MATCH(B69,IF(Technologieën[Zoeksleutel bronnummer]=G69,Technologieën[Digitale zorgtoepassing]),0))</f>
        <v>0</v>
      </c>
      <c r="S69" s="405" cm="1">
        <f t="array" ref="S69">INDEX(Technologieën[Jaarlijkse besparing zorgpersoneel (FTE)],MATCH(B69,IF(Technologieën[Zoeksleutel bronnummer]=G69,Technologieën[Digitale zorgtoepassing]),0))</f>
        <v>62</v>
      </c>
      <c r="T69" s="406" cm="1">
        <f t="array" ref="T69">(INDEX(Technologieën[QALY],MATCH(B69,IF(Technologieën[Zoeksleutel bronnummer]=G69,Technologieën[Digitale zorgtoepassing]),0)))</f>
        <v>0</v>
      </c>
      <c r="U69" s="407">
        <f>(uniforme_input[[#This Row],[Kostenbesparing door arbeidsbesparing p. patiënt (€/week)]]/uniforme_input[[#This Row],[Uurtarief]]*60) + (uniforme_input[[#This Row],[Totaal arbeidsbesparing onafhankelijk van patiënt (FTE)]]*40*60)/uniforme_input[[#This Row],[Patiëntaantallen]]</f>
        <v>0.1488001488001488</v>
      </c>
      <c r="V69" s="407">
        <f>(uniforme_input[[#This Row],[Kostenbesparing per handeling (€)]]/uniforme_input[[#This Row],[Uurtarief]])*60</f>
        <v>0</v>
      </c>
      <c r="W69" s="398">
        <f>uniforme_input[[#This Row],[Overige kostenbesparing (Totaal €/jaar)]]/uniforme_input[[#This Row],[Patiëntaantallen]]</f>
        <v>0</v>
      </c>
      <c r="X69" s="408">
        <f>IF(uniforme_input[[#This Row],[Bron gebruiken voor opbrengsten?]]="Ja",uniforme_input[[#This Row],[Tijdsbesparing (min/week/patiënt) - gegeven]]+uniforme_input[[#This Row],[Tijdsbesparing (min/week/patiënt) berekend]],0)</f>
        <v>0.1488001488001488</v>
      </c>
      <c r="Y69" s="407">
        <f>IF(uniforme_input[[#This Row],[Bron gebruiken voor opbrengsten?]]="Ja",uniforme_input[[#This Row],[Tijdsbesparing (min/handeling) - gegeven]]+uniforme_input[[#This Row],[Tijdsbesparing (min/handeling) berekend]],0)</f>
        <v>0</v>
      </c>
      <c r="Z69" s="409">
        <f>IF(uniforme_input[[#This Row],[Bron gebruiken voor opbrengsten?]]="Ja",uniforme_input[[#This Row],[Overige kostenbesparing (€/jaar/patiënt) - gegeven]]+uniforme_input[[#This Row],[Overige kostenbesparing (€/jaar/patiënt) berekend]],0)</f>
        <v>0</v>
      </c>
      <c r="AA69" s="403" cm="1">
        <f t="array" ref="AA69">INDEX(Technologieën[Jaarlijkse kosten p. patiënt],MATCH(B69,IF(Technologieën[Zoeksleutel bronnummer]=G69,Technologieën[Digitale zorgtoepassing]),0))</f>
        <v>0</v>
      </c>
      <c r="AB69" s="403" cm="1">
        <f t="array" ref="AB69">INDEX(Technologieën[Jaarlijkse kosten p. organisatie],MATCH(B69,IF(Technologieën[Zoeksleutel bronnummer]=G69,Technologieën[Digitale zorgtoepassing]),0))/uniforme_input[[#This Row],[Aantal doelgroepen waarop toepasbaar]]</f>
        <v>0</v>
      </c>
      <c r="AC69" s="403" cm="1">
        <f t="array" ref="AC69">INDEX(Technologieën[Jaarlijkse kosten (onafh. aantal patiënt/organisatie)],MATCH(B69,IF(Technologieën[Zoeksleutel bronnummer]=G69,Technologieën[Digitale zorgtoepassing]),0))/uniforme_input[[#This Row],[Aantal doelgroepen waarop toepasbaar]]</f>
        <v>0</v>
      </c>
      <c r="AD69" s="403" cm="1">
        <f t="array" ref="AD69">INDEX(Technologieën[Initiële investering (p. patiënt)],MATCH(B69,IF(Technologieën[Zoeksleutel bronnummer]=G69,Technologieën[Digitale zorgtoepassing]),0))</f>
        <v>0</v>
      </c>
      <c r="AE69" s="403" cm="1">
        <f t="array" ref="AE69">INDEX(Technologieën[Initiële investering (p. organisatie)],MATCH(B69,IF(Technologieën[Zoeksleutel bronnummer]=G69,Technologieën[Digitale zorgtoepassing]),0))</f>
        <v>0</v>
      </c>
      <c r="AF69"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69" s="398">
        <f>(uniforme_input[[#This Row],[Initiële investering per organisatie]]*uniforme_input[[#This Row],[Aantal organisaties]])/uniforme_input[[#This Row],[Patiëntaantallen]]</f>
        <v>0</v>
      </c>
      <c r="AH69" s="410">
        <f>IF(uniforme_input[[#This Row],[Bron gebruiken voor kosten/investering?]]="Ja",uniforme_input[[#This Row],[Jaarlijkse kosten per patiënt]] + uniforme_input[[#This Row],[Jaarlijkse kosten per patiënt berekend]],0)</f>
        <v>0</v>
      </c>
      <c r="AI69" s="409">
        <f>IF(uniforme_input[[#This Row],[Bron gebruiken voor kosten/investering?]]="Ja",uniforme_input[[#This Row],[Initiële investering per patiënt]]+uniforme_input[[#This Row],[Initiële investering per patiënt berekend]],0)</f>
        <v>0</v>
      </c>
    </row>
    <row r="70" spans="1:83" x14ac:dyDescent="0.5">
      <c r="A70" s="51" t="str">
        <f>INDEX(Technologieën[Veld],MATCH(G70,Technologieën[Zoeksleutel bronnummer],0))</f>
        <v>Software - Diagnose</v>
      </c>
      <c r="B70" s="33" t="s">
        <v>725</v>
      </c>
      <c r="C70" s="32" t="s">
        <v>391</v>
      </c>
      <c r="D70" s="32" t="s">
        <v>391</v>
      </c>
      <c r="E70" s="33" t="s">
        <v>99</v>
      </c>
      <c r="F70" s="33" t="str" cm="1">
        <f t="array" ref="F70">INDEX(Berekening_patiëntaantal[Direct toepasbaar/extrapolatie/incidentie voor QALY],MATCH(B70,IF(Berekening_patiëntaantal[Doelgroep (zoeksleutel)]=E70,Berekening_patiëntaantal[Digitale zorgtoepassing]),0))</f>
        <v>Huidige toepassing</v>
      </c>
      <c r="G70" s="33" t="s">
        <v>726</v>
      </c>
      <c r="H70" s="33" t="s">
        <v>167</v>
      </c>
      <c r="I70" s="403">
        <f>INDEX(Uurloon[Uurtarief zorgpersoneel],MATCH(H70,Uurloon[Zorgverlener],0))</f>
        <v>20.889942528735634</v>
      </c>
      <c r="J70" s="404" cm="1">
        <f t="array" ref="J70">INDEX(Berekening_patiëntaantal[Patiëntaantallen],MATCH(B70,IF(Berekening_patiëntaantal[Doelgroep (zoeksleutel)]=E70,Berekening_patiëntaantal[Digitale zorgtoepassing]),0))</f>
        <v>1977105</v>
      </c>
      <c r="K70" s="404">
        <f>IFERROR(INDEX(aantal_organisaties[Aantal organisaties waarop toepasbaar],MATCH(B70,aantal_organisaties[Digitale zorgtoepassing],0)),0)</f>
        <v>0</v>
      </c>
      <c r="L70" s="397">
        <f>COUNTIF(uniforme_input[Doelgroep],E70)</f>
        <v>1</v>
      </c>
      <c r="M70" s="405" cm="1">
        <f t="array" ref="M70">INDEX(Technologieën[Tijdsbesparing p. patiënt (min/week)],MATCH(B70,IF(Technologieën[Zoeksleutel bronnummer]=G70,Technologieën[Digitale zorgtoepassing]),0))</f>
        <v>0</v>
      </c>
      <c r="N70" s="405" cm="1">
        <f t="array" ref="N70">INDEX(Technologieën[Tijdsbesparing per handeling (min)],MATCH(B70,IF(Technologieën[Zoeksleutel bronnummer]=G70,Technologieën[Digitale zorgtoepassing]),0))</f>
        <v>1.33</v>
      </c>
      <c r="O70" s="403" cm="1">
        <f t="array" ref="O70">INDEX(Technologieën[Besparing overige kosten (€/patiënt/jaar)],MATCH(B70,IF(Technologieën[Zoeksleutel bronnummer]=G70,Technologieën[Digitale zorgtoepassing]),0))</f>
        <v>0</v>
      </c>
      <c r="P70" s="403" cm="1">
        <f t="array" ref="P70">INDEX(Technologieën[Kostenbesparing p. patiënt door arbeidsbesparing (€/week)],MATCH(B70,IF(Technologieën[Zoeksleutel bronnummer]=G70,Technologieën[Digitale zorgtoepassing]),0))</f>
        <v>0</v>
      </c>
      <c r="Q70" s="403" cm="1">
        <f t="array" ref="Q70">INDEX(Technologieën[Kostenbesparing (personeel) per handeling (€)],MATCH(B70,IF(Technologieën[Zoeksleutel bronnummer]=G70,Technologieën[Digitale zorgtoepassing]),0))</f>
        <v>0</v>
      </c>
      <c r="R70" s="403" cm="1">
        <f t="array" ref="R70">INDEX(Technologieën[Besparing overige kosten (€/jaar)],MATCH(B70,IF(Technologieën[Zoeksleutel bronnummer]=G70,Technologieën[Digitale zorgtoepassing]),0))</f>
        <v>0</v>
      </c>
      <c r="S70" s="405" cm="1">
        <f t="array" ref="S70">INDEX(Technologieën[Jaarlijkse besparing zorgpersoneel (FTE)],MATCH(B70,IF(Technologieën[Zoeksleutel bronnummer]=G70,Technologieën[Digitale zorgtoepassing]),0))</f>
        <v>0</v>
      </c>
      <c r="T70" s="406" cm="1">
        <f t="array" ref="T70">(INDEX(Technologieën[QALY],MATCH(B70,IF(Technologieën[Zoeksleutel bronnummer]=G70,Technologieën[Digitale zorgtoepassing]),0)))</f>
        <v>0</v>
      </c>
      <c r="U70" s="407">
        <f>(uniforme_input[[#This Row],[Kostenbesparing door arbeidsbesparing p. patiënt (€/week)]]/uniforme_input[[#This Row],[Uurtarief]]*60) + (uniforme_input[[#This Row],[Totaal arbeidsbesparing onafhankelijk van patiënt (FTE)]]*40*60)/uniforme_input[[#This Row],[Patiëntaantallen]]</f>
        <v>0</v>
      </c>
      <c r="V70" s="407">
        <f>(uniforme_input[[#This Row],[Kostenbesparing per handeling (€)]]/uniforme_input[[#This Row],[Uurtarief]])*60</f>
        <v>0</v>
      </c>
      <c r="W70" s="398">
        <f>uniforme_input[[#This Row],[Overige kostenbesparing (Totaal €/jaar)]]/uniforme_input[[#This Row],[Patiëntaantallen]]</f>
        <v>0</v>
      </c>
      <c r="X70" s="408">
        <f>IF(uniforme_input[[#This Row],[Bron gebruiken voor opbrengsten?]]="Ja",uniforme_input[[#This Row],[Tijdsbesparing (min/week/patiënt) - gegeven]]+uniforme_input[[#This Row],[Tijdsbesparing (min/week/patiënt) berekend]],0)</f>
        <v>0</v>
      </c>
      <c r="Y70" s="407">
        <f>IF(uniforme_input[[#This Row],[Bron gebruiken voor opbrengsten?]]="Ja",uniforme_input[[#This Row],[Tijdsbesparing (min/handeling) - gegeven]]+uniforme_input[[#This Row],[Tijdsbesparing (min/handeling) berekend]],0)</f>
        <v>1.33</v>
      </c>
      <c r="Z70" s="409">
        <f>IF(uniforme_input[[#This Row],[Bron gebruiken voor opbrengsten?]]="Ja",uniforme_input[[#This Row],[Overige kostenbesparing (€/jaar/patiënt) - gegeven]]+uniforme_input[[#This Row],[Overige kostenbesparing (€/jaar/patiënt) berekend]],0)</f>
        <v>0</v>
      </c>
      <c r="AA70" s="403" cm="1">
        <f t="array" ref="AA70">INDEX(Technologieën[Jaarlijkse kosten p. patiënt],MATCH(B70,IF(Technologieën[Zoeksleutel bronnummer]=G70,Technologieën[Digitale zorgtoepassing]),0))</f>
        <v>0</v>
      </c>
      <c r="AB70" s="403" cm="1">
        <f t="array" ref="AB70">INDEX(Technologieën[Jaarlijkse kosten p. organisatie],MATCH(B70,IF(Technologieën[Zoeksleutel bronnummer]=G70,Technologieën[Digitale zorgtoepassing]),0))/uniforme_input[[#This Row],[Aantal doelgroepen waarop toepasbaar]]</f>
        <v>0</v>
      </c>
      <c r="AC70" s="403" cm="1">
        <f t="array" ref="AC70">INDEX(Technologieën[Jaarlijkse kosten (onafh. aantal patiënt/organisatie)],MATCH(B70,IF(Technologieën[Zoeksleutel bronnummer]=G70,Technologieën[Digitale zorgtoepassing]),0))/uniforme_input[[#This Row],[Aantal doelgroepen waarop toepasbaar]]</f>
        <v>514343.98977499997</v>
      </c>
      <c r="AD70" s="403" cm="1">
        <f t="array" ref="AD70">INDEX(Technologieën[Initiële investering (p. patiënt)],MATCH(B70,IF(Technologieën[Zoeksleutel bronnummer]=G70,Technologieën[Digitale zorgtoepassing]),0))</f>
        <v>0</v>
      </c>
      <c r="AE70" s="403" cm="1">
        <f t="array" ref="AE70">INDEX(Technologieën[Initiële investering (p. organisatie)],MATCH(B70,IF(Technologieën[Zoeksleutel bronnummer]=G70,Technologieën[Digitale zorgtoepassing]),0))</f>
        <v>0</v>
      </c>
      <c r="AF70" s="398">
        <f>((uniforme_input[[#This Row],[Jaarlijkse kosten per organisatie]]*uniforme_input[[#This Row],[Aantal organisaties]])/uniforme_input[[#This Row],[Patiëntaantallen]])+(uniforme_input[[#This Row],[Jaarlijkse kosten algemeen (onafhankelijk van patiënt/organisatie)]]/uniforme_input[[#This Row],[Patiëntaantallen]])</f>
        <v>0.26015006273060864</v>
      </c>
      <c r="AG70" s="398">
        <f>(uniforme_input[[#This Row],[Initiële investering per organisatie]]*uniforme_input[[#This Row],[Aantal organisaties]])/uniforme_input[[#This Row],[Patiëntaantallen]]</f>
        <v>0</v>
      </c>
      <c r="AH70" s="410">
        <f>IF(uniforme_input[[#This Row],[Bron gebruiken voor kosten/investering?]]="Ja",uniforme_input[[#This Row],[Jaarlijkse kosten per patiënt]] + uniforme_input[[#This Row],[Jaarlijkse kosten per patiënt berekend]],0)</f>
        <v>0.26015006273060864</v>
      </c>
      <c r="AI70" s="409">
        <f>IF(uniforme_input[[#This Row],[Bron gebruiken voor kosten/investering?]]="Ja",uniforme_input[[#This Row],[Initiële investering per patiënt]]+uniforme_input[[#This Row],[Initiële investering per patiënt berekend]],0)</f>
        <v>0</v>
      </c>
    </row>
    <row r="71" spans="1:83" x14ac:dyDescent="0.5">
      <c r="A71" s="51" t="str">
        <f>INDEX(Technologieën[Veld],MATCH(G71,Technologieën[Zoeksleutel bronnummer],0))</f>
        <v>Software - Behandeling</v>
      </c>
      <c r="B71" s="33" t="s">
        <v>588</v>
      </c>
      <c r="C71" s="32" t="s">
        <v>391</v>
      </c>
      <c r="D71" s="32" t="s">
        <v>391</v>
      </c>
      <c r="E71" s="33" t="s">
        <v>104</v>
      </c>
      <c r="F71" s="33" t="str" cm="1">
        <f t="array" ref="F71">INDEX(Berekening_patiëntaantal[Direct toepasbaar/extrapolatie/incidentie voor QALY],MATCH(B71,IF(Berekening_patiëntaantal[Doelgroep (zoeksleutel)]=E71,Berekening_patiëntaantal[Digitale zorgtoepassing]),0))</f>
        <v>Huidige toepassing</v>
      </c>
      <c r="G71" s="33" t="s">
        <v>592</v>
      </c>
      <c r="H71" s="33" t="s">
        <v>171</v>
      </c>
      <c r="I71" s="403">
        <f>INDEX(Uurloon[Uurtarief zorgpersoneel],MATCH(H71,Uurloon[Zorgverlener],0))</f>
        <v>20.670258620689658</v>
      </c>
      <c r="J71" s="404" cm="1">
        <f t="array" ref="J71">INDEX(Berekening_patiëntaantal[Patiëntaantallen],MATCH(B71,IF(Berekening_patiëntaantal[Doelgroep (zoeksleutel)]=E71,Berekening_patiëntaantal[Digitale zorgtoepassing]),0))</f>
        <v>8000</v>
      </c>
      <c r="K71" s="404">
        <f>IFERROR(INDEX(aantal_organisaties[Aantal organisaties waarop toepasbaar],MATCH(B71,aantal_organisaties[Digitale zorgtoepassing],0)),0)</f>
        <v>0</v>
      </c>
      <c r="L71" s="397">
        <f>COUNTIF(uniforme_input[Doelgroep],E71)</f>
        <v>1</v>
      </c>
      <c r="M71" s="405" cm="1">
        <f t="array" ref="M71">INDEX(Technologieën[Tijdsbesparing p. patiënt (min/week)],MATCH(B71,IF(Technologieën[Zoeksleutel bronnummer]=G71,Technologieën[Digitale zorgtoepassing]),0))</f>
        <v>60</v>
      </c>
      <c r="N71" s="405" cm="1">
        <f t="array" ref="N71">INDEX(Technologieën[Tijdsbesparing per handeling (min)],MATCH(B71,IF(Technologieën[Zoeksleutel bronnummer]=G71,Technologieën[Digitale zorgtoepassing]),0))</f>
        <v>0</v>
      </c>
      <c r="O71" s="403" cm="1">
        <f t="array" ref="O71">INDEX(Technologieën[Besparing overige kosten (€/patiënt/jaar)],MATCH(B71,IF(Technologieën[Zoeksleutel bronnummer]=G71,Technologieën[Digitale zorgtoepassing]),0))</f>
        <v>0</v>
      </c>
      <c r="P71" s="403" cm="1">
        <f t="array" ref="P71">INDEX(Technologieën[Kostenbesparing p. patiënt door arbeidsbesparing (€/week)],MATCH(B71,IF(Technologieën[Zoeksleutel bronnummer]=G71,Technologieën[Digitale zorgtoepassing]),0))</f>
        <v>0</v>
      </c>
      <c r="Q71" s="403" cm="1">
        <f t="array" ref="Q71">INDEX(Technologieën[Kostenbesparing (personeel) per handeling (€)],MATCH(B71,IF(Technologieën[Zoeksleutel bronnummer]=G71,Technologieën[Digitale zorgtoepassing]),0))</f>
        <v>0</v>
      </c>
      <c r="R71" s="403" cm="1">
        <f t="array" ref="R71">INDEX(Technologieën[Besparing overige kosten (€/jaar)],MATCH(B71,IF(Technologieën[Zoeksleutel bronnummer]=G71,Technologieën[Digitale zorgtoepassing]),0))</f>
        <v>0</v>
      </c>
      <c r="S71" s="405" cm="1">
        <f t="array" ref="S71">INDEX(Technologieën[Jaarlijkse besparing zorgpersoneel (FTE)],MATCH(B71,IF(Technologieën[Zoeksleutel bronnummer]=G71,Technologieën[Digitale zorgtoepassing]),0))</f>
        <v>0</v>
      </c>
      <c r="T71" s="406" cm="1">
        <f t="array" ref="T71">(INDEX(Technologieën[QALY],MATCH(B71,IF(Technologieën[Zoeksleutel bronnummer]=G71,Technologieën[Digitale zorgtoepassing]),0)))</f>
        <v>0</v>
      </c>
      <c r="U71" s="407">
        <f>(uniforme_input[[#This Row],[Kostenbesparing door arbeidsbesparing p. patiënt (€/week)]]/uniforme_input[[#This Row],[Uurtarief]]*60) + (uniforme_input[[#This Row],[Totaal arbeidsbesparing onafhankelijk van patiënt (FTE)]]*40*60)/uniforme_input[[#This Row],[Patiëntaantallen]]</f>
        <v>0</v>
      </c>
      <c r="V71" s="407">
        <f>(uniforme_input[[#This Row],[Kostenbesparing per handeling (€)]]/uniforme_input[[#This Row],[Uurtarief]])*60</f>
        <v>0</v>
      </c>
      <c r="W71" s="398">
        <f>uniforme_input[[#This Row],[Overige kostenbesparing (Totaal €/jaar)]]/uniforme_input[[#This Row],[Patiëntaantallen]]</f>
        <v>0</v>
      </c>
      <c r="X71" s="408">
        <f>IF(uniforme_input[[#This Row],[Bron gebruiken voor opbrengsten?]]="Ja",uniforme_input[[#This Row],[Tijdsbesparing (min/week/patiënt) - gegeven]]+uniforme_input[[#This Row],[Tijdsbesparing (min/week/patiënt) berekend]],0)</f>
        <v>60</v>
      </c>
      <c r="Y71" s="407">
        <f>IF(uniforme_input[[#This Row],[Bron gebruiken voor opbrengsten?]]="Ja",uniforme_input[[#This Row],[Tijdsbesparing (min/handeling) - gegeven]]+uniforme_input[[#This Row],[Tijdsbesparing (min/handeling) berekend]],0)</f>
        <v>0</v>
      </c>
      <c r="Z71" s="409">
        <f>IF(uniforme_input[[#This Row],[Bron gebruiken voor opbrengsten?]]="Ja",uniforme_input[[#This Row],[Overige kostenbesparing (€/jaar/patiënt) - gegeven]]+uniforme_input[[#This Row],[Overige kostenbesparing (€/jaar/patiënt) berekend]],0)</f>
        <v>0</v>
      </c>
      <c r="AA71" s="403" cm="1">
        <f t="array" ref="AA71">INDEX(Technologieën[Jaarlijkse kosten p. patiënt],MATCH(B71,IF(Technologieën[Zoeksleutel bronnummer]=G71,Technologieën[Digitale zorgtoepassing]),0))</f>
        <v>140.00008499999998</v>
      </c>
      <c r="AB71" s="403" cm="1">
        <f t="array" ref="AB71">INDEX(Technologieën[Jaarlijkse kosten p. organisatie],MATCH(B71,IF(Technologieën[Zoeksleutel bronnummer]=G71,Technologieën[Digitale zorgtoepassing]),0))/uniforme_input[[#This Row],[Aantal doelgroepen waarop toepasbaar]]</f>
        <v>0</v>
      </c>
      <c r="AC71" s="403" cm="1">
        <f t="array" ref="AC71">INDEX(Technologieën[Jaarlijkse kosten (onafh. aantal patiënt/organisatie)],MATCH(B71,IF(Technologieën[Zoeksleutel bronnummer]=G71,Technologieën[Digitale zorgtoepassing]),0))/uniforme_input[[#This Row],[Aantal doelgroepen waarop toepasbaar]]</f>
        <v>0</v>
      </c>
      <c r="AD71" s="403" cm="1">
        <f t="array" ref="AD71">INDEX(Technologieën[Initiële investering (p. patiënt)],MATCH(B71,IF(Technologieën[Zoeksleutel bronnummer]=G71,Technologieën[Digitale zorgtoepassing]),0))</f>
        <v>0</v>
      </c>
      <c r="AE71" s="403" cm="1">
        <f t="array" ref="AE71">INDEX(Technologieën[Initiële investering (p. organisatie)],MATCH(B71,IF(Technologieën[Zoeksleutel bronnummer]=G71,Technologieën[Digitale zorgtoepassing]),0))</f>
        <v>0</v>
      </c>
      <c r="AF71"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71" s="398">
        <f>(uniforme_input[[#This Row],[Initiële investering per organisatie]]*uniforme_input[[#This Row],[Aantal organisaties]])/uniforme_input[[#This Row],[Patiëntaantallen]]</f>
        <v>0</v>
      </c>
      <c r="AH71" s="410">
        <f>IF(uniforme_input[[#This Row],[Bron gebruiken voor kosten/investering?]]="Ja",uniforme_input[[#This Row],[Jaarlijkse kosten per patiënt]] + uniforme_input[[#This Row],[Jaarlijkse kosten per patiënt berekend]],0)</f>
        <v>140.00008499999998</v>
      </c>
      <c r="AI71" s="409">
        <f>IF(uniforme_input[[#This Row],[Bron gebruiken voor kosten/investering?]]="Ja",uniforme_input[[#This Row],[Initiële investering per patiënt]]+uniforme_input[[#This Row],[Initiële investering per patiënt berekend]],0)</f>
        <v>0</v>
      </c>
    </row>
    <row r="72" spans="1:83" x14ac:dyDescent="0.5">
      <c r="A72" s="51" t="str">
        <f>INDEX(Technologieën[Veld],MATCH(G72,Technologieën[Zoeksleutel bronnummer],0))</f>
        <v>Software - Behandeling</v>
      </c>
      <c r="B72" s="33" t="s">
        <v>588</v>
      </c>
      <c r="C72" s="32" t="s">
        <v>391</v>
      </c>
      <c r="D72" s="32" t="s">
        <v>391</v>
      </c>
      <c r="E72" s="33" t="s">
        <v>589</v>
      </c>
      <c r="F72" s="33" t="str" cm="1">
        <f t="array" ref="F72">INDEX(Berekening_patiëntaantal[Direct toepasbaar/extrapolatie/incidentie voor QALY],MATCH(B72,IF(Berekening_patiëntaantal[Doelgroep (zoeksleutel)]=E72,Berekening_patiëntaantal[Digitale zorgtoepassing]),0))</f>
        <v>Extrapolatie</v>
      </c>
      <c r="G72" s="33" t="s">
        <v>592</v>
      </c>
      <c r="H72" s="33" t="s">
        <v>171</v>
      </c>
      <c r="I72" s="403">
        <f>INDEX(Uurloon[Uurtarief zorgpersoneel],MATCH(H72,Uurloon[Zorgverlener],0))</f>
        <v>20.670258620689658</v>
      </c>
      <c r="J72" s="404" cm="1">
        <f t="array" ref="J72">INDEX(Berekening_patiëntaantal[Patiëntaantallen],MATCH(B72,IF(Berekening_patiëntaantal[Doelgroep (zoeksleutel)]=E72,Berekening_patiëntaantal[Digitale zorgtoepassing]),0))</f>
        <v>35000</v>
      </c>
      <c r="K72" s="404">
        <f>IFERROR(INDEX(aantal_organisaties[Aantal organisaties waarop toepasbaar],MATCH(B72,aantal_organisaties[Digitale zorgtoepassing],0)),0)</f>
        <v>0</v>
      </c>
      <c r="L72" s="397">
        <f>COUNTIF(uniforme_input[Doelgroep],E72)</f>
        <v>1</v>
      </c>
      <c r="M72" s="405" cm="1">
        <f t="array" ref="M72">INDEX(Technologieën[Tijdsbesparing p. patiënt (min/week)],MATCH(B72,IF(Technologieën[Zoeksleutel bronnummer]=G72,Technologieën[Digitale zorgtoepassing]),0))</f>
        <v>60</v>
      </c>
      <c r="N72" s="405" cm="1">
        <f t="array" ref="N72">INDEX(Technologieën[Tijdsbesparing per handeling (min)],MATCH(B72,IF(Technologieën[Zoeksleutel bronnummer]=G72,Technologieën[Digitale zorgtoepassing]),0))</f>
        <v>0</v>
      </c>
      <c r="O72" s="403" cm="1">
        <f t="array" ref="O72">INDEX(Technologieën[Besparing overige kosten (€/patiënt/jaar)],MATCH(B72,IF(Technologieën[Zoeksleutel bronnummer]=G72,Technologieën[Digitale zorgtoepassing]),0))</f>
        <v>0</v>
      </c>
      <c r="P72" s="403" cm="1">
        <f t="array" ref="P72">INDEX(Technologieën[Kostenbesparing p. patiënt door arbeidsbesparing (€/week)],MATCH(B72,IF(Technologieën[Zoeksleutel bronnummer]=G72,Technologieën[Digitale zorgtoepassing]),0))</f>
        <v>0</v>
      </c>
      <c r="Q72" s="403" cm="1">
        <f t="array" ref="Q72">INDEX(Technologieën[Kostenbesparing (personeel) per handeling (€)],MATCH(B72,IF(Technologieën[Zoeksleutel bronnummer]=G72,Technologieën[Digitale zorgtoepassing]),0))</f>
        <v>0</v>
      </c>
      <c r="R72" s="403" cm="1">
        <f t="array" ref="R72">INDEX(Technologieën[Besparing overige kosten (€/jaar)],MATCH(B72,IF(Technologieën[Zoeksleutel bronnummer]=G72,Technologieën[Digitale zorgtoepassing]),0))</f>
        <v>0</v>
      </c>
      <c r="S72" s="405" cm="1">
        <f t="array" ref="S72">INDEX(Technologieën[Jaarlijkse besparing zorgpersoneel (FTE)],MATCH(B72,IF(Technologieën[Zoeksleutel bronnummer]=G72,Technologieën[Digitale zorgtoepassing]),0))</f>
        <v>0</v>
      </c>
      <c r="T72" s="406" cm="1">
        <f t="array" ref="T72">(INDEX(Technologieën[QALY],MATCH(B72,IF(Technologieën[Zoeksleutel bronnummer]=G72,Technologieën[Digitale zorgtoepassing]),0)))</f>
        <v>0</v>
      </c>
      <c r="U72" s="407">
        <f>(uniforme_input[[#This Row],[Kostenbesparing door arbeidsbesparing p. patiënt (€/week)]]/uniforme_input[[#This Row],[Uurtarief]]*60) + (uniforme_input[[#This Row],[Totaal arbeidsbesparing onafhankelijk van patiënt (FTE)]]*40*60)/uniforme_input[[#This Row],[Patiëntaantallen]]</f>
        <v>0</v>
      </c>
      <c r="V72" s="407">
        <f>(uniforme_input[[#This Row],[Kostenbesparing per handeling (€)]]/uniforme_input[[#This Row],[Uurtarief]])*60</f>
        <v>0</v>
      </c>
      <c r="W72" s="398">
        <f>uniforme_input[[#This Row],[Overige kostenbesparing (Totaal €/jaar)]]/uniforme_input[[#This Row],[Patiëntaantallen]]</f>
        <v>0</v>
      </c>
      <c r="X72" s="408">
        <f>IF(uniforme_input[[#This Row],[Bron gebruiken voor opbrengsten?]]="Ja",uniforme_input[[#This Row],[Tijdsbesparing (min/week/patiënt) - gegeven]]+uniforme_input[[#This Row],[Tijdsbesparing (min/week/patiënt) berekend]],0)</f>
        <v>60</v>
      </c>
      <c r="Y72" s="407">
        <f>IF(uniforme_input[[#This Row],[Bron gebruiken voor opbrengsten?]]="Ja",uniforme_input[[#This Row],[Tijdsbesparing (min/handeling) - gegeven]]+uniforme_input[[#This Row],[Tijdsbesparing (min/handeling) berekend]],0)</f>
        <v>0</v>
      </c>
      <c r="Z72" s="409">
        <f>IF(uniforme_input[[#This Row],[Bron gebruiken voor opbrengsten?]]="Ja",uniforme_input[[#This Row],[Overige kostenbesparing (€/jaar/patiënt) - gegeven]]+uniforme_input[[#This Row],[Overige kostenbesparing (€/jaar/patiënt) berekend]],0)</f>
        <v>0</v>
      </c>
      <c r="AA72" s="403" cm="1">
        <f t="array" ref="AA72">INDEX(Technologieën[Jaarlijkse kosten p. patiënt],MATCH(B72,IF(Technologieën[Zoeksleutel bronnummer]=G72,Technologieën[Digitale zorgtoepassing]),0))</f>
        <v>140.00008499999998</v>
      </c>
      <c r="AB72" s="403" cm="1">
        <f t="array" ref="AB72">INDEX(Technologieën[Jaarlijkse kosten p. organisatie],MATCH(B72,IF(Technologieën[Zoeksleutel bronnummer]=G72,Technologieën[Digitale zorgtoepassing]),0))/uniforme_input[[#This Row],[Aantal doelgroepen waarop toepasbaar]]</f>
        <v>0</v>
      </c>
      <c r="AC72" s="403" cm="1">
        <f t="array" ref="AC72">INDEX(Technologieën[Jaarlijkse kosten (onafh. aantal patiënt/organisatie)],MATCH(B72,IF(Technologieën[Zoeksleutel bronnummer]=G72,Technologieën[Digitale zorgtoepassing]),0))/uniforme_input[[#This Row],[Aantal doelgroepen waarop toepasbaar]]</f>
        <v>0</v>
      </c>
      <c r="AD72" s="403" cm="1">
        <f t="array" ref="AD72">INDEX(Technologieën[Initiële investering (p. patiënt)],MATCH(B72,IF(Technologieën[Zoeksleutel bronnummer]=G72,Technologieën[Digitale zorgtoepassing]),0))</f>
        <v>0</v>
      </c>
      <c r="AE72" s="403" cm="1">
        <f t="array" ref="AE72">INDEX(Technologieën[Initiële investering (p. organisatie)],MATCH(B72,IF(Technologieën[Zoeksleutel bronnummer]=G72,Technologieën[Digitale zorgtoepassing]),0))</f>
        <v>0</v>
      </c>
      <c r="AF72"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72" s="398">
        <f>(uniforme_input[[#This Row],[Initiële investering per organisatie]]*uniforme_input[[#This Row],[Aantal organisaties]])/uniforme_input[[#This Row],[Patiëntaantallen]]</f>
        <v>0</v>
      </c>
      <c r="AH72" s="410">
        <f>IF(uniforme_input[[#This Row],[Bron gebruiken voor kosten/investering?]]="Ja",uniforme_input[[#This Row],[Jaarlijkse kosten per patiënt]] + uniforme_input[[#This Row],[Jaarlijkse kosten per patiënt berekend]],0)</f>
        <v>140.00008499999998</v>
      </c>
      <c r="AI72" s="409">
        <f>IF(uniforme_input[[#This Row],[Bron gebruiken voor kosten/investering?]]="Ja",uniforme_input[[#This Row],[Initiële investering per patiënt]]+uniforme_input[[#This Row],[Initiële investering per patiënt berekend]],0)</f>
        <v>0</v>
      </c>
    </row>
    <row r="73" spans="1:83" x14ac:dyDescent="0.5">
      <c r="A73" s="51" t="str">
        <f>INDEX(Technologieën[Veld],MATCH(G73,Technologieën[Zoeksleutel bronnummer],0))</f>
        <v>Software - Behandeling</v>
      </c>
      <c r="B73" s="33" t="s">
        <v>585</v>
      </c>
      <c r="C73" s="32" t="s">
        <v>391</v>
      </c>
      <c r="D73" s="32" t="s">
        <v>391</v>
      </c>
      <c r="E73" s="33" t="s">
        <v>107</v>
      </c>
      <c r="F73" s="33" t="str" cm="1">
        <f t="array" ref="F73">INDEX(Berekening_patiëntaantal[Direct toepasbaar/extrapolatie/incidentie voor QALY],MATCH(B73,IF(Berekening_patiëntaantal[Doelgroep (zoeksleutel)]=E73,Berekening_patiëntaantal[Digitale zorgtoepassing]),0))</f>
        <v>Huidige toepassing</v>
      </c>
      <c r="G73" s="33" t="s">
        <v>587</v>
      </c>
      <c r="H73" s="33" t="s">
        <v>146</v>
      </c>
      <c r="I73" s="403">
        <f>INDEX(Uurloon[Uurtarief zorgpersoneel],MATCH(H73,Uurloon[Zorgverlener],0))</f>
        <v>91.204770114942534</v>
      </c>
      <c r="J73" s="404" cm="1">
        <f t="array" ref="J73">INDEX(Berekening_patiëntaantal[Patiëntaantallen],MATCH(B73,IF(Berekening_patiëntaantal[Doelgroep (zoeksleutel)]=E73,Berekening_patiëntaantal[Digitale zorgtoepassing]),0))</f>
        <v>57750</v>
      </c>
      <c r="K73" s="404">
        <f>IFERROR(INDEX(aantal_organisaties[Aantal organisaties waarop toepasbaar],MATCH(B73,aantal_organisaties[Digitale zorgtoepassing],0)),0)</f>
        <v>0</v>
      </c>
      <c r="L73" s="397">
        <f>COUNTIF(uniforme_input[Doelgroep],E73)</f>
        <v>1</v>
      </c>
      <c r="M73" s="405" cm="1">
        <f t="array" ref="M73">INDEX(Technologieën[Tijdsbesparing p. patiënt (min/week)],MATCH(B73,IF(Technologieën[Zoeksleutel bronnummer]=G73,Technologieën[Digitale zorgtoepassing]),0))</f>
        <v>0</v>
      </c>
      <c r="N73" s="405" cm="1">
        <f t="array" ref="N73">INDEX(Technologieën[Tijdsbesparing per handeling (min)],MATCH(B73,IF(Technologieën[Zoeksleutel bronnummer]=G73,Technologieën[Digitale zorgtoepassing]),0))</f>
        <v>0</v>
      </c>
      <c r="O73" s="403" cm="1">
        <f t="array" ref="O73">INDEX(Technologieën[Besparing overige kosten (€/patiënt/jaar)],MATCH(B73,IF(Technologieën[Zoeksleutel bronnummer]=G73,Technologieën[Digitale zorgtoepassing]),0))</f>
        <v>67.2</v>
      </c>
      <c r="P73" s="403" cm="1">
        <f t="array" ref="P73">INDEX(Technologieën[Kostenbesparing p. patiënt door arbeidsbesparing (€/week)],MATCH(B73,IF(Technologieën[Zoeksleutel bronnummer]=G73,Technologieën[Digitale zorgtoepassing]),0))</f>
        <v>0</v>
      </c>
      <c r="Q73" s="403" cm="1">
        <f t="array" ref="Q73">INDEX(Technologieën[Kostenbesparing (personeel) per handeling (€)],MATCH(B73,IF(Technologieën[Zoeksleutel bronnummer]=G73,Technologieën[Digitale zorgtoepassing]),0))</f>
        <v>100.8</v>
      </c>
      <c r="R73" s="403" cm="1">
        <f t="array" ref="R73">INDEX(Technologieën[Besparing overige kosten (€/jaar)],MATCH(B73,IF(Technologieën[Zoeksleutel bronnummer]=G73,Technologieën[Digitale zorgtoepassing]),0))</f>
        <v>0</v>
      </c>
      <c r="S73" s="405" cm="1">
        <f t="array" ref="S73">INDEX(Technologieën[Jaarlijkse besparing zorgpersoneel (FTE)],MATCH(B73,IF(Technologieën[Zoeksleutel bronnummer]=G73,Technologieën[Digitale zorgtoepassing]),0))</f>
        <v>0</v>
      </c>
      <c r="T73" s="406" cm="1">
        <f t="array" ref="T73">(INDEX(Technologieën[QALY],MATCH(B73,IF(Technologieën[Zoeksleutel bronnummer]=G73,Technologieën[Digitale zorgtoepassing]),0)))</f>
        <v>0</v>
      </c>
      <c r="U73" s="407">
        <f>(uniforme_input[[#This Row],[Kostenbesparing door arbeidsbesparing p. patiënt (€/week)]]/uniforme_input[[#This Row],[Uurtarief]]*60) + (uniforme_input[[#This Row],[Totaal arbeidsbesparing onafhankelijk van patiënt (FTE)]]*40*60)/uniforme_input[[#This Row],[Patiëntaantallen]]</f>
        <v>0</v>
      </c>
      <c r="V73" s="407">
        <f>(uniforme_input[[#This Row],[Kostenbesparing per handeling (€)]]/uniforme_input[[#This Row],[Uurtarief]])*60</f>
        <v>66.312321081209831</v>
      </c>
      <c r="W73" s="398">
        <f>uniforme_input[[#This Row],[Overige kostenbesparing (Totaal €/jaar)]]/uniforme_input[[#This Row],[Patiëntaantallen]]</f>
        <v>0</v>
      </c>
      <c r="X73" s="408">
        <f>IF(uniforme_input[[#This Row],[Bron gebruiken voor opbrengsten?]]="Ja",uniforme_input[[#This Row],[Tijdsbesparing (min/week/patiënt) - gegeven]]+uniforme_input[[#This Row],[Tijdsbesparing (min/week/patiënt) berekend]],0)</f>
        <v>0</v>
      </c>
      <c r="Y73" s="407">
        <f>IF(uniforme_input[[#This Row],[Bron gebruiken voor opbrengsten?]]="Ja",uniforme_input[[#This Row],[Tijdsbesparing (min/handeling) - gegeven]]+uniforme_input[[#This Row],[Tijdsbesparing (min/handeling) berekend]],0)</f>
        <v>66.312321081209831</v>
      </c>
      <c r="Z73" s="409">
        <f>IF(uniforme_input[[#This Row],[Bron gebruiken voor opbrengsten?]]="Ja",uniforme_input[[#This Row],[Overige kostenbesparing (€/jaar/patiënt) - gegeven]]+uniforme_input[[#This Row],[Overige kostenbesparing (€/jaar/patiënt) berekend]],0)</f>
        <v>67.2</v>
      </c>
      <c r="AA73" s="403" cm="1">
        <f t="array" ref="AA73">INDEX(Technologieën[Jaarlijkse kosten p. patiënt],MATCH(B73,IF(Technologieën[Zoeksleutel bronnummer]=G73,Technologieën[Digitale zorgtoepassing]),0))</f>
        <v>0</v>
      </c>
      <c r="AB73" s="403" cm="1">
        <f t="array" ref="AB73">INDEX(Technologieën[Jaarlijkse kosten p. organisatie],MATCH(B73,IF(Technologieën[Zoeksleutel bronnummer]=G73,Technologieën[Digitale zorgtoepassing]),0))/uniforme_input[[#This Row],[Aantal doelgroepen waarop toepasbaar]]</f>
        <v>0</v>
      </c>
      <c r="AC73" s="403" cm="1">
        <f t="array" ref="AC73">INDEX(Technologieën[Jaarlijkse kosten (onafh. aantal patiënt/organisatie)],MATCH(B73,IF(Technologieën[Zoeksleutel bronnummer]=G73,Technologieën[Digitale zorgtoepassing]),0))/uniforme_input[[#This Row],[Aantal doelgroepen waarop toepasbaar]]</f>
        <v>0</v>
      </c>
      <c r="AD73" s="403" cm="1">
        <f t="array" ref="AD73">INDEX(Technologieën[Initiële investering (p. patiënt)],MATCH(B73,IF(Technologieën[Zoeksleutel bronnummer]=G73,Technologieën[Digitale zorgtoepassing]),0))</f>
        <v>0</v>
      </c>
      <c r="AE73" s="403" cm="1">
        <f t="array" ref="AE73">INDEX(Technologieën[Initiële investering (p. organisatie)],MATCH(B73,IF(Technologieën[Zoeksleutel bronnummer]=G73,Technologieën[Digitale zorgtoepassing]),0))</f>
        <v>0</v>
      </c>
      <c r="AF73"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73" s="398">
        <f>(uniforme_input[[#This Row],[Initiële investering per organisatie]]*uniforme_input[[#This Row],[Aantal organisaties]])/uniforme_input[[#This Row],[Patiëntaantallen]]</f>
        <v>0</v>
      </c>
      <c r="AH73" s="410">
        <f>IF(uniforme_input[[#This Row],[Bron gebruiken voor kosten/investering?]]="Ja",uniforme_input[[#This Row],[Jaarlijkse kosten per patiënt]] + uniforme_input[[#This Row],[Jaarlijkse kosten per patiënt berekend]],0)</f>
        <v>0</v>
      </c>
      <c r="AI73" s="409">
        <f>IF(uniforme_input[[#This Row],[Bron gebruiken voor kosten/investering?]]="Ja",uniforme_input[[#This Row],[Initiële investering per patiënt]]+uniforme_input[[#This Row],[Initiële investering per patiënt berekend]],0)</f>
        <v>0</v>
      </c>
    </row>
    <row r="74" spans="1:83" x14ac:dyDescent="0.5">
      <c r="A74" s="51" t="str">
        <f>INDEX(Technologieën[Veld],MATCH(G74,Technologieën[Zoeksleutel bronnummer],0))</f>
        <v>Software - Behandeling</v>
      </c>
      <c r="B74" s="33" t="s">
        <v>585</v>
      </c>
      <c r="C74" s="32" t="s">
        <v>391</v>
      </c>
      <c r="D74" s="32" t="s">
        <v>390</v>
      </c>
      <c r="E74" s="33" t="s">
        <v>583</v>
      </c>
      <c r="F74" s="33" t="str" cm="1">
        <f t="array" ref="F74">INDEX(Berekening_patiëntaantal[Direct toepasbaar/extrapolatie/incidentie voor QALY],MATCH(B74,IF(Berekening_patiëntaantal[Doelgroep (zoeksleutel)]=E74,Berekening_patiëntaantal[Digitale zorgtoepassing]),0))</f>
        <v>Huidige toepassing</v>
      </c>
      <c r="G74" s="33" t="s">
        <v>586</v>
      </c>
      <c r="H74" s="33" t="s">
        <v>146</v>
      </c>
      <c r="I74" s="403">
        <f>INDEX(Uurloon[Uurtarief zorgpersoneel],MATCH(H74,Uurloon[Zorgverlener],0))</f>
        <v>91.204770114942534</v>
      </c>
      <c r="J74" s="404" cm="1">
        <f t="array" ref="J74">INDEX(Berekening_patiëntaantal[Patiëntaantallen],MATCH(B74,IF(Berekening_patiëntaantal[Doelgroep (zoeksleutel)]=E74,Berekening_patiëntaantal[Digitale zorgtoepassing]),0))</f>
        <v>5500000</v>
      </c>
      <c r="K74" s="404">
        <f>IFERROR(INDEX(aantal_organisaties[Aantal organisaties waarop toepasbaar],MATCH(B74,aantal_organisaties[Digitale zorgtoepassing],0)),0)</f>
        <v>0</v>
      </c>
      <c r="L74" s="397">
        <f>COUNTIF(uniforme_input[Doelgroep],E74)</f>
        <v>1</v>
      </c>
      <c r="M74" s="405" cm="1">
        <f t="array" ref="M74">INDEX(Technologieën[Tijdsbesparing p. patiënt (min/week)],MATCH(B74,IF(Technologieën[Zoeksleutel bronnummer]=G74,Technologieën[Digitale zorgtoepassing]),0))</f>
        <v>0</v>
      </c>
      <c r="N74" s="405" cm="1">
        <f t="array" ref="N74">INDEX(Technologieën[Tijdsbesparing per handeling (min)],MATCH(B74,IF(Technologieën[Zoeksleutel bronnummer]=G74,Technologieën[Digitale zorgtoepassing]),0))</f>
        <v>3</v>
      </c>
      <c r="O74" s="403" cm="1">
        <f t="array" ref="O74">INDEX(Technologieën[Besparing overige kosten (€/patiënt/jaar)],MATCH(B74,IF(Technologieën[Zoeksleutel bronnummer]=G74,Technologieën[Digitale zorgtoepassing]),0))</f>
        <v>0</v>
      </c>
      <c r="P74" s="403" cm="1">
        <f t="array" ref="P74">INDEX(Technologieën[Kostenbesparing p. patiënt door arbeidsbesparing (€/week)],MATCH(B74,IF(Technologieën[Zoeksleutel bronnummer]=G74,Technologieën[Digitale zorgtoepassing]),0))</f>
        <v>0</v>
      </c>
      <c r="Q74" s="403" cm="1">
        <f t="array" ref="Q74">INDEX(Technologieën[Kostenbesparing (personeel) per handeling (€)],MATCH(B74,IF(Technologieën[Zoeksleutel bronnummer]=G74,Technologieën[Digitale zorgtoepassing]),0))</f>
        <v>0</v>
      </c>
      <c r="R74" s="403" cm="1">
        <f t="array" ref="R74">INDEX(Technologieën[Besparing overige kosten (€/jaar)],MATCH(B74,IF(Technologieën[Zoeksleutel bronnummer]=G74,Technologieën[Digitale zorgtoepassing]),0))</f>
        <v>0</v>
      </c>
      <c r="S74" s="405" cm="1">
        <f t="array" ref="S74">INDEX(Technologieën[Jaarlijkse besparing zorgpersoneel (FTE)],MATCH(B74,IF(Technologieën[Zoeksleutel bronnummer]=G74,Technologieën[Digitale zorgtoepassing]),0))</f>
        <v>0</v>
      </c>
      <c r="T74" s="406" cm="1">
        <f t="array" ref="T74">(INDEX(Technologieën[QALY],MATCH(B74,IF(Technologieën[Zoeksleutel bronnummer]=G74,Technologieën[Digitale zorgtoepassing]),0)))</f>
        <v>0</v>
      </c>
      <c r="U74" s="407">
        <f>(uniforme_input[[#This Row],[Kostenbesparing door arbeidsbesparing p. patiënt (€/week)]]/uniforme_input[[#This Row],[Uurtarief]]*60) + (uniforme_input[[#This Row],[Totaal arbeidsbesparing onafhankelijk van patiënt (FTE)]]*40*60)/uniforme_input[[#This Row],[Patiëntaantallen]]</f>
        <v>0</v>
      </c>
      <c r="V74" s="407">
        <f>(uniforme_input[[#This Row],[Kostenbesparing per handeling (€)]]/uniforme_input[[#This Row],[Uurtarief]])*60</f>
        <v>0</v>
      </c>
      <c r="W74" s="398">
        <f>uniforme_input[[#This Row],[Overige kostenbesparing (Totaal €/jaar)]]/uniforme_input[[#This Row],[Patiëntaantallen]]</f>
        <v>0</v>
      </c>
      <c r="X74" s="408">
        <f>IF(uniforme_input[[#This Row],[Bron gebruiken voor opbrengsten?]]="Ja",uniforme_input[[#This Row],[Tijdsbesparing (min/week/patiënt) - gegeven]]+uniforme_input[[#This Row],[Tijdsbesparing (min/week/patiënt) berekend]],0)</f>
        <v>0</v>
      </c>
      <c r="Y74" s="407">
        <f>IF(uniforme_input[[#This Row],[Bron gebruiken voor opbrengsten?]]="Ja",uniforme_input[[#This Row],[Tijdsbesparing (min/handeling) - gegeven]]+uniforme_input[[#This Row],[Tijdsbesparing (min/handeling) berekend]],0)</f>
        <v>3</v>
      </c>
      <c r="Z74" s="409">
        <f>IF(uniforme_input[[#This Row],[Bron gebruiken voor opbrengsten?]]="Ja",uniforme_input[[#This Row],[Overige kostenbesparing (€/jaar/patiënt) - gegeven]]+uniforme_input[[#This Row],[Overige kostenbesparing (€/jaar/patiënt) berekend]],0)</f>
        <v>0</v>
      </c>
      <c r="AA74" s="403" cm="1">
        <f t="array" ref="AA74">INDEX(Technologieën[Jaarlijkse kosten p. patiënt],MATCH(B74,IF(Technologieën[Zoeksleutel bronnummer]=G74,Technologieën[Digitale zorgtoepassing]),0))</f>
        <v>0</v>
      </c>
      <c r="AB74" s="403" cm="1">
        <f t="array" ref="AB74">INDEX(Technologieën[Jaarlijkse kosten p. organisatie],MATCH(B74,IF(Technologieën[Zoeksleutel bronnummer]=G74,Technologieën[Digitale zorgtoepassing]),0))/uniforme_input[[#This Row],[Aantal doelgroepen waarop toepasbaar]]</f>
        <v>0</v>
      </c>
      <c r="AC74" s="403" cm="1">
        <f t="array" ref="AC74">INDEX(Technologieën[Jaarlijkse kosten (onafh. aantal patiënt/organisatie)],MATCH(B74,IF(Technologieën[Zoeksleutel bronnummer]=G74,Technologieën[Digitale zorgtoepassing]),0))/uniforme_input[[#This Row],[Aantal doelgroepen waarop toepasbaar]]</f>
        <v>0</v>
      </c>
      <c r="AD74" s="403" cm="1">
        <f t="array" ref="AD74">INDEX(Technologieën[Initiële investering (p. patiënt)],MATCH(B74,IF(Technologieën[Zoeksleutel bronnummer]=G74,Technologieën[Digitale zorgtoepassing]),0))</f>
        <v>0</v>
      </c>
      <c r="AE74" s="403" cm="1">
        <f t="array" ref="AE74">INDEX(Technologieën[Initiële investering (p. organisatie)],MATCH(B74,IF(Technologieën[Zoeksleutel bronnummer]=G74,Technologieën[Digitale zorgtoepassing]),0))</f>
        <v>0</v>
      </c>
      <c r="AF74"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74" s="398">
        <f>(uniforme_input[[#This Row],[Initiële investering per organisatie]]*uniforme_input[[#This Row],[Aantal organisaties]])/uniforme_input[[#This Row],[Patiëntaantallen]]</f>
        <v>0</v>
      </c>
      <c r="AH74" s="410">
        <f>IF(uniforme_input[[#This Row],[Bron gebruiken voor kosten/investering?]]="Ja",uniforme_input[[#This Row],[Jaarlijkse kosten per patiënt]] + uniforme_input[[#This Row],[Jaarlijkse kosten per patiënt berekend]],0)</f>
        <v>0</v>
      </c>
      <c r="AI74" s="409">
        <f>IF(uniforme_input[[#This Row],[Bron gebruiken voor kosten/investering?]]="Ja",uniforme_input[[#This Row],[Initiële investering per patiënt]]+uniforme_input[[#This Row],[Initiële investering per patiënt berekend]],0)</f>
        <v>0</v>
      </c>
    </row>
    <row r="75" spans="1:83" s="2" customFormat="1" x14ac:dyDescent="0.5">
      <c r="A75" s="51" t="str">
        <f>INDEX(Technologieën[Veld],MATCH(G75,Technologieën[Zoeksleutel bronnummer],0))</f>
        <v>Digitale hulpmiddelen - Verpleging</v>
      </c>
      <c r="B75" s="33" t="s">
        <v>58</v>
      </c>
      <c r="C75" s="32" t="s">
        <v>391</v>
      </c>
      <c r="D75" s="32" t="s">
        <v>390</v>
      </c>
      <c r="E75" s="33" t="s">
        <v>59</v>
      </c>
      <c r="F75" s="33" t="str" cm="1">
        <f t="array" ref="F75">INDEX(Berekening_patiëntaantal[Direct toepasbaar/extrapolatie/incidentie voor QALY],MATCH(B75,IF(Berekening_patiëntaantal[Doelgroep (zoeksleutel)]=E75,Berekening_patiëntaantal[Digitale zorgtoepassing]),0))</f>
        <v>Huidige toepassing</v>
      </c>
      <c r="G75" s="33" t="s">
        <v>523</v>
      </c>
      <c r="H75" s="33" t="s">
        <v>142</v>
      </c>
      <c r="I75" s="403">
        <f>INDEX(Uurloon[Uurtarief zorgpersoneel],MATCH(H75,Uurloon[Zorgverlener],0))</f>
        <v>25.33954022988506</v>
      </c>
      <c r="J75" s="404" cm="1">
        <f t="array" ref="J75">INDEX(Berekening_patiëntaantal[Patiëntaantallen],MATCH(B75,IF(Berekening_patiëntaantal[Doelgroep (zoeksleutel)]=E75,Berekening_patiëntaantal[Digitale zorgtoepassing]),0))</f>
        <v>150000</v>
      </c>
      <c r="K75" s="404">
        <f>IFERROR(INDEX(aantal_organisaties[Aantal organisaties waarop toepasbaar],MATCH(B75,aantal_organisaties[Digitale zorgtoepassing],0)),0)</f>
        <v>0</v>
      </c>
      <c r="L75" s="397">
        <f>COUNTIF(uniforme_input[Doelgroep],E75)</f>
        <v>2</v>
      </c>
      <c r="M75" s="405" cm="1">
        <f t="array" ref="M75">INDEX(Technologieën[Tijdsbesparing p. patiënt (min/week)],MATCH(B75,IF(Technologieën[Zoeksleutel bronnummer]=G75,Technologieën[Digitale zorgtoepassing]),0))</f>
        <v>7</v>
      </c>
      <c r="N75" s="405" cm="1">
        <f t="array" ref="N75">INDEX(Technologieën[Tijdsbesparing per handeling (min)],MATCH(B75,IF(Technologieën[Zoeksleutel bronnummer]=G75,Technologieën[Digitale zorgtoepassing]),0))</f>
        <v>0</v>
      </c>
      <c r="O75" s="403" cm="1">
        <f t="array" ref="O75">INDEX(Technologieën[Besparing overige kosten (€/patiënt/jaar)],MATCH(B75,IF(Technologieën[Zoeksleutel bronnummer]=G75,Technologieën[Digitale zorgtoepassing]),0))</f>
        <v>75.716059015268485</v>
      </c>
      <c r="P75" s="403" cm="1">
        <f t="array" ref="P75">INDEX(Technologieën[Kostenbesparing p. patiënt door arbeidsbesparing (€/week)],MATCH(B75,IF(Technologieën[Zoeksleutel bronnummer]=G75,Technologieën[Digitale zorgtoepassing]),0))</f>
        <v>0</v>
      </c>
      <c r="Q75" s="403" cm="1">
        <f t="array" ref="Q75">INDEX(Technologieën[Kostenbesparing (personeel) per handeling (€)],MATCH(B75,IF(Technologieën[Zoeksleutel bronnummer]=G75,Technologieën[Digitale zorgtoepassing]),0))</f>
        <v>0</v>
      </c>
      <c r="R75" s="403" cm="1">
        <f t="array" ref="R75">INDEX(Technologieën[Besparing overige kosten (€/jaar)],MATCH(B75,IF(Technologieën[Zoeksleutel bronnummer]=G75,Technologieën[Digitale zorgtoepassing]),0))</f>
        <v>0</v>
      </c>
      <c r="S75" s="405" cm="1">
        <f t="array" ref="S75">INDEX(Technologieën[Jaarlijkse besparing zorgpersoneel (FTE)],MATCH(B75,IF(Technologieën[Zoeksleutel bronnummer]=G75,Technologieën[Digitale zorgtoepassing]),0))</f>
        <v>0</v>
      </c>
      <c r="T75" s="406" cm="1">
        <f t="array" ref="T75">(INDEX(Technologieën[QALY],MATCH(B75,IF(Technologieën[Zoeksleutel bronnummer]=G75,Technologieën[Digitale zorgtoepassing]),0)))</f>
        <v>0</v>
      </c>
      <c r="U75" s="407">
        <f>(uniforme_input[[#This Row],[Kostenbesparing door arbeidsbesparing p. patiënt (€/week)]]/uniforme_input[[#This Row],[Uurtarief]]*60) + (uniforme_input[[#This Row],[Totaal arbeidsbesparing onafhankelijk van patiënt (FTE)]]*40*60)/uniforme_input[[#This Row],[Patiëntaantallen]]</f>
        <v>0</v>
      </c>
      <c r="V75" s="407">
        <f>(uniforme_input[[#This Row],[Kostenbesparing per handeling (€)]]/uniforme_input[[#This Row],[Uurtarief]])*60</f>
        <v>0</v>
      </c>
      <c r="W75" s="398">
        <f>uniforme_input[[#This Row],[Overige kostenbesparing (Totaal €/jaar)]]/uniforme_input[[#This Row],[Patiëntaantallen]]</f>
        <v>0</v>
      </c>
      <c r="X75" s="408">
        <f>IF(uniforme_input[[#This Row],[Bron gebruiken voor opbrengsten?]]="Ja",uniforme_input[[#This Row],[Tijdsbesparing (min/week/patiënt) - gegeven]]+uniforme_input[[#This Row],[Tijdsbesparing (min/week/patiënt) berekend]],0)</f>
        <v>7</v>
      </c>
      <c r="Y75" s="407">
        <f>IF(uniforme_input[[#This Row],[Bron gebruiken voor opbrengsten?]]="Ja",uniforme_input[[#This Row],[Tijdsbesparing (min/handeling) - gegeven]]+uniforme_input[[#This Row],[Tijdsbesparing (min/handeling) berekend]],0)</f>
        <v>0</v>
      </c>
      <c r="Z75" s="409">
        <f>IF(uniforme_input[[#This Row],[Bron gebruiken voor opbrengsten?]]="Ja",uniforme_input[[#This Row],[Overige kostenbesparing (€/jaar/patiënt) - gegeven]]+uniforme_input[[#This Row],[Overige kostenbesparing (€/jaar/patiënt) berekend]],0)</f>
        <v>75.716059015268485</v>
      </c>
      <c r="AA75" s="403" cm="1">
        <f t="array" ref="AA75">INDEX(Technologieën[Jaarlijkse kosten p. patiënt],MATCH(B75,IF(Technologieën[Zoeksleutel bronnummer]=G75,Technologieën[Digitale zorgtoepassing]),0))</f>
        <v>0</v>
      </c>
      <c r="AB75" s="403" cm="1">
        <f t="array" ref="AB75">INDEX(Technologieën[Jaarlijkse kosten p. organisatie],MATCH(B75,IF(Technologieën[Zoeksleutel bronnummer]=G75,Technologieën[Digitale zorgtoepassing]),0))/uniforme_input[[#This Row],[Aantal doelgroepen waarop toepasbaar]]</f>
        <v>0</v>
      </c>
      <c r="AC75" s="403" cm="1">
        <f t="array" ref="AC75">INDEX(Technologieën[Jaarlijkse kosten (onafh. aantal patiënt/organisatie)],MATCH(B75,IF(Technologieën[Zoeksleutel bronnummer]=G75,Technologieën[Digitale zorgtoepassing]),0))/uniforme_input[[#This Row],[Aantal doelgroepen waarop toepasbaar]]</f>
        <v>0</v>
      </c>
      <c r="AD75" s="403" cm="1">
        <f t="array" ref="AD75">INDEX(Technologieën[Initiële investering (p. patiënt)],MATCH(B75,IF(Technologieën[Zoeksleutel bronnummer]=G75,Technologieën[Digitale zorgtoepassing]),0))</f>
        <v>0</v>
      </c>
      <c r="AE75" s="403" cm="1">
        <f t="array" ref="AE75">INDEX(Technologieën[Initiële investering (p. organisatie)],MATCH(B75,IF(Technologieën[Zoeksleutel bronnummer]=G75,Technologieën[Digitale zorgtoepassing]),0))</f>
        <v>0</v>
      </c>
      <c r="AF75"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75" s="398">
        <f>(uniforme_input[[#This Row],[Initiële investering per organisatie]]*uniforme_input[[#This Row],[Aantal organisaties]])/uniforme_input[[#This Row],[Patiëntaantallen]]</f>
        <v>0</v>
      </c>
      <c r="AH75" s="410">
        <f>IF(uniforme_input[[#This Row],[Bron gebruiken voor kosten/investering?]]="Ja",uniforme_input[[#This Row],[Jaarlijkse kosten per patiënt]] + uniforme_input[[#This Row],[Jaarlijkse kosten per patiënt berekend]],0)</f>
        <v>0</v>
      </c>
      <c r="AI75" s="409">
        <f>IF(uniforme_input[[#This Row],[Bron gebruiken voor kosten/investering?]]="Ja",uniforme_input[[#This Row],[Initiële investering per patiënt]]+uniforme_input[[#This Row],[Initiële investering per patiënt berekend]],0)</f>
        <v>0</v>
      </c>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row>
    <row r="76" spans="1:83" s="2" customFormat="1" x14ac:dyDescent="0.5">
      <c r="A76" s="51" t="str">
        <f>INDEX(Technologieën[Veld],MATCH(G76,Technologieën[Zoeksleutel bronnummer],0))</f>
        <v>Digitale hulpmiddelen - Verpleging</v>
      </c>
      <c r="B76" s="33" t="s">
        <v>58</v>
      </c>
      <c r="C76" s="32" t="s">
        <v>390</v>
      </c>
      <c r="D76" s="32" t="s">
        <v>391</v>
      </c>
      <c r="E76" s="33" t="s">
        <v>59</v>
      </c>
      <c r="F76" s="33" t="str" cm="1">
        <f t="array" ref="F76">INDEX(Berekening_patiëntaantal[Direct toepasbaar/extrapolatie/incidentie voor QALY],MATCH(B76,IF(Berekening_patiëntaantal[Doelgroep (zoeksleutel)]=E76,Berekening_patiëntaantal[Digitale zorgtoepassing]),0))</f>
        <v>Huidige toepassing</v>
      </c>
      <c r="G76" s="33" t="s">
        <v>524</v>
      </c>
      <c r="H76" s="33" t="s">
        <v>142</v>
      </c>
      <c r="I76" s="403">
        <f>INDEX(Uurloon[Uurtarief zorgpersoneel],MATCH(H76,Uurloon[Zorgverlener],0))</f>
        <v>25.33954022988506</v>
      </c>
      <c r="J76" s="404" cm="1">
        <f t="array" ref="J76">INDEX(Berekening_patiëntaantal[Patiëntaantallen],MATCH(B76,IF(Berekening_patiëntaantal[Doelgroep (zoeksleutel)]=E76,Berekening_patiëntaantal[Digitale zorgtoepassing]),0))</f>
        <v>150000</v>
      </c>
      <c r="K76" s="404">
        <f>IFERROR(INDEX(aantal_organisaties[Aantal organisaties waarop toepasbaar],MATCH(B76,aantal_organisaties[Digitale zorgtoepassing],0)),0)</f>
        <v>0</v>
      </c>
      <c r="L76" s="397">
        <f>COUNTIF(uniforme_input[Doelgroep],E76)</f>
        <v>2</v>
      </c>
      <c r="M76" s="405" cm="1">
        <f t="array" ref="M76">INDEX(Technologieën[Tijdsbesparing p. patiënt (min/week)],MATCH(B76,IF(Technologieën[Zoeksleutel bronnummer]=G76,Technologieën[Digitale zorgtoepassing]),0))</f>
        <v>0</v>
      </c>
      <c r="N76" s="405" cm="1">
        <f t="array" ref="N76">INDEX(Technologieën[Tijdsbesparing per handeling (min)],MATCH(B76,IF(Technologieën[Zoeksleutel bronnummer]=G76,Technologieën[Digitale zorgtoepassing]),0))</f>
        <v>0</v>
      </c>
      <c r="O76" s="403" cm="1">
        <f t="array" ref="O76">INDEX(Technologieën[Besparing overige kosten (€/patiënt/jaar)],MATCH(B76,IF(Technologieën[Zoeksleutel bronnummer]=G76,Technologieën[Digitale zorgtoepassing]),0))</f>
        <v>0</v>
      </c>
      <c r="P76" s="403" cm="1">
        <f t="array" ref="P76">INDEX(Technologieën[Kostenbesparing p. patiënt door arbeidsbesparing (€/week)],MATCH(B76,IF(Technologieën[Zoeksleutel bronnummer]=G76,Technologieën[Digitale zorgtoepassing]),0))</f>
        <v>0</v>
      </c>
      <c r="Q76" s="403" cm="1">
        <f t="array" ref="Q76">INDEX(Technologieën[Kostenbesparing (personeel) per handeling (€)],MATCH(B76,IF(Technologieën[Zoeksleutel bronnummer]=G76,Technologieën[Digitale zorgtoepassing]),0))</f>
        <v>0</v>
      </c>
      <c r="R76" s="403" cm="1">
        <f t="array" ref="R76">INDEX(Technologieën[Besparing overige kosten (€/jaar)],MATCH(B76,IF(Technologieën[Zoeksleutel bronnummer]=G76,Technologieën[Digitale zorgtoepassing]),0))</f>
        <v>0</v>
      </c>
      <c r="S76" s="405" cm="1">
        <f t="array" ref="S76">INDEX(Technologieën[Jaarlijkse besparing zorgpersoneel (FTE)],MATCH(B76,IF(Technologieën[Zoeksleutel bronnummer]=G76,Technologieën[Digitale zorgtoepassing]),0))</f>
        <v>0</v>
      </c>
      <c r="T76" s="406" cm="1">
        <f t="array" ref="T76">(INDEX(Technologieën[QALY],MATCH(B76,IF(Technologieën[Zoeksleutel bronnummer]=G76,Technologieën[Digitale zorgtoepassing]),0)))</f>
        <v>0</v>
      </c>
      <c r="U76" s="407">
        <f>(uniforme_input[[#This Row],[Kostenbesparing door arbeidsbesparing p. patiënt (€/week)]]/uniforme_input[[#This Row],[Uurtarief]]*60) + (uniforme_input[[#This Row],[Totaal arbeidsbesparing onafhankelijk van patiënt (FTE)]]*40*60)/uniforme_input[[#This Row],[Patiëntaantallen]]</f>
        <v>0</v>
      </c>
      <c r="V76" s="407">
        <f>(uniforme_input[[#This Row],[Kostenbesparing per handeling (€)]]/uniforme_input[[#This Row],[Uurtarief]])*60</f>
        <v>0</v>
      </c>
      <c r="W76" s="398">
        <f>uniforme_input[[#This Row],[Overige kostenbesparing (Totaal €/jaar)]]/uniforme_input[[#This Row],[Patiëntaantallen]]</f>
        <v>0</v>
      </c>
      <c r="X76" s="408">
        <f>IF(uniforme_input[[#This Row],[Bron gebruiken voor opbrengsten?]]="Ja",uniforme_input[[#This Row],[Tijdsbesparing (min/week/patiënt) - gegeven]]+uniforme_input[[#This Row],[Tijdsbesparing (min/week/patiënt) berekend]],0)</f>
        <v>0</v>
      </c>
      <c r="Y76" s="407">
        <f>IF(uniforme_input[[#This Row],[Bron gebruiken voor opbrengsten?]]="Ja",uniforme_input[[#This Row],[Tijdsbesparing (min/handeling) - gegeven]]+uniforme_input[[#This Row],[Tijdsbesparing (min/handeling) berekend]],0)</f>
        <v>0</v>
      </c>
      <c r="Z76" s="409">
        <f>IF(uniforme_input[[#This Row],[Bron gebruiken voor opbrengsten?]]="Ja",uniforme_input[[#This Row],[Overige kostenbesparing (€/jaar/patiënt) - gegeven]]+uniforme_input[[#This Row],[Overige kostenbesparing (€/jaar/patiënt) berekend]],0)</f>
        <v>0</v>
      </c>
      <c r="AA76" s="403" cm="1">
        <f t="array" ref="AA76">INDEX(Technologieën[Jaarlijkse kosten p. patiënt],MATCH(B76,IF(Technologieën[Zoeksleutel bronnummer]=G76,Technologieën[Digitale zorgtoepassing]),0))</f>
        <v>191.39999999999998</v>
      </c>
      <c r="AB76" s="403" cm="1">
        <f t="array" ref="AB76">INDEX(Technologieën[Jaarlijkse kosten p. organisatie],MATCH(B76,IF(Technologieën[Zoeksleutel bronnummer]=G76,Technologieën[Digitale zorgtoepassing]),0))/uniforme_input[[#This Row],[Aantal doelgroepen waarop toepasbaar]]</f>
        <v>0</v>
      </c>
      <c r="AC76" s="403" cm="1">
        <f t="array" ref="AC76">INDEX(Technologieën[Jaarlijkse kosten (onafh. aantal patiënt/organisatie)],MATCH(B76,IF(Technologieën[Zoeksleutel bronnummer]=G76,Technologieën[Digitale zorgtoepassing]),0))/uniforme_input[[#This Row],[Aantal doelgroepen waarop toepasbaar]]</f>
        <v>0</v>
      </c>
      <c r="AD76" s="403" cm="1">
        <f t="array" ref="AD76">INDEX(Technologieën[Initiële investering (p. patiënt)],MATCH(B76,IF(Technologieën[Zoeksleutel bronnummer]=G76,Technologieën[Digitale zorgtoepassing]),0))</f>
        <v>79.95</v>
      </c>
      <c r="AE76" s="403" cm="1">
        <f t="array" ref="AE76">INDEX(Technologieën[Initiële investering (p. organisatie)],MATCH(B76,IF(Technologieën[Zoeksleutel bronnummer]=G76,Technologieën[Digitale zorgtoepassing]),0))</f>
        <v>0</v>
      </c>
      <c r="AF76"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76" s="398">
        <f>(uniforme_input[[#This Row],[Initiële investering per organisatie]]*uniforme_input[[#This Row],[Aantal organisaties]])/uniforme_input[[#This Row],[Patiëntaantallen]]</f>
        <v>0</v>
      </c>
      <c r="AH76" s="410">
        <f>IF(uniforme_input[[#This Row],[Bron gebruiken voor kosten/investering?]]="Ja",uniforme_input[[#This Row],[Jaarlijkse kosten per patiënt]] + uniforme_input[[#This Row],[Jaarlijkse kosten per patiënt berekend]],0)</f>
        <v>191.39999999999998</v>
      </c>
      <c r="AI76" s="409">
        <f>IF(uniforme_input[[#This Row],[Bron gebruiken voor kosten/investering?]]="Ja",uniforme_input[[#This Row],[Initiële investering per patiënt]]+uniforme_input[[#This Row],[Initiële investering per patiënt berekend]],0)</f>
        <v>79.95</v>
      </c>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row>
    <row r="77" spans="1:83" s="2" customFormat="1" x14ac:dyDescent="0.5">
      <c r="A77" s="51" t="str">
        <f>INDEX(Technologieën[Veld],MATCH(G77,Technologieën[Zoeksleutel bronnummer],0))</f>
        <v>Digitale hulpmiddelen - Verpleging</v>
      </c>
      <c r="B77" s="33" t="s">
        <v>105</v>
      </c>
      <c r="C77" s="32" t="s">
        <v>391</v>
      </c>
      <c r="D77" s="32" t="s">
        <v>390</v>
      </c>
      <c r="E77" s="33" t="s">
        <v>106</v>
      </c>
      <c r="F77" s="33" t="str" cm="1">
        <f t="array" ref="F77">INDEX(Berekening_patiëntaantal[Direct toepasbaar/extrapolatie/incidentie voor QALY],MATCH(B77,IF(Berekening_patiëntaantal[Doelgroep (zoeksleutel)]=E77,Berekening_patiëntaantal[Digitale zorgtoepassing]),0))</f>
        <v>Huidige toepassing</v>
      </c>
      <c r="G77" s="33" t="s">
        <v>525</v>
      </c>
      <c r="H77" s="33" t="s">
        <v>144</v>
      </c>
      <c r="I77" s="403">
        <f>INDEX(Uurloon[Uurtarief zorgpersoneel],MATCH(H77,Uurloon[Zorgverlener],0))</f>
        <v>20.410632183908046</v>
      </c>
      <c r="J77" s="404" cm="1">
        <f t="array" ref="J77">INDEX(Berekening_patiëntaantal[Patiëntaantallen],MATCH(B77,IF(Berekening_patiëntaantal[Doelgroep (zoeksleutel)]=E77,Berekening_patiëntaantal[Digitale zorgtoepassing]),0))</f>
        <v>308.94000000000005</v>
      </c>
      <c r="K77" s="404">
        <f>IFERROR(INDEX(aantal_organisaties[Aantal organisaties waarop toepasbaar],MATCH(B77,aantal_organisaties[Digitale zorgtoepassing],0)),0)</f>
        <v>0</v>
      </c>
      <c r="L77" s="397">
        <f>COUNTIF(uniforme_input[Doelgroep],E77)</f>
        <v>3</v>
      </c>
      <c r="M77" s="405" cm="1">
        <f t="array" ref="M77">INDEX(Technologieën[Tijdsbesparing p. patiënt (min/week)],MATCH(B77,IF(Technologieën[Zoeksleutel bronnummer]=G77,Technologieën[Digitale zorgtoepassing]),0))</f>
        <v>0</v>
      </c>
      <c r="N77" s="405" cm="1">
        <f t="array" ref="N77">INDEX(Technologieën[Tijdsbesparing per handeling (min)],MATCH(B77,IF(Technologieën[Zoeksleutel bronnummer]=G77,Technologieën[Digitale zorgtoepassing]),0))</f>
        <v>0</v>
      </c>
      <c r="O77" s="403" cm="1">
        <f t="array" ref="O77">INDEX(Technologieën[Besparing overige kosten (€/patiënt/jaar)],MATCH(B77,IF(Technologieën[Zoeksleutel bronnummer]=G77,Technologieën[Digitale zorgtoepassing]),0))</f>
        <v>0</v>
      </c>
      <c r="P77" s="403" cm="1">
        <f t="array" ref="P77">INDEX(Technologieën[Kostenbesparing p. patiënt door arbeidsbesparing (€/week)],MATCH(B77,IF(Technologieën[Zoeksleutel bronnummer]=G77,Technologieën[Digitale zorgtoepassing]),0))</f>
        <v>0</v>
      </c>
      <c r="Q77" s="403" cm="1">
        <f t="array" ref="Q77">INDEX(Technologieën[Kostenbesparing (personeel) per handeling (€)],MATCH(B77,IF(Technologieën[Zoeksleutel bronnummer]=G77,Technologieën[Digitale zorgtoepassing]),0))</f>
        <v>0</v>
      </c>
      <c r="R77" s="403" cm="1">
        <f t="array" ref="R77">INDEX(Technologieën[Besparing overige kosten (€/jaar)],MATCH(B77,IF(Technologieën[Zoeksleutel bronnummer]=G77,Technologieën[Digitale zorgtoepassing]),0))</f>
        <v>0</v>
      </c>
      <c r="S77" s="405" cm="1">
        <f t="array" ref="S77">INDEX(Technologieën[Jaarlijkse besparing zorgpersoneel (FTE)],MATCH(B77,IF(Technologieën[Zoeksleutel bronnummer]=G77,Technologieën[Digitale zorgtoepassing]),0))</f>
        <v>92.064120000000003</v>
      </c>
      <c r="T77" s="406" cm="1">
        <f t="array" ref="T77">(INDEX(Technologieën[QALY],MATCH(B77,IF(Technologieën[Zoeksleutel bronnummer]=G77,Technologieën[Digitale zorgtoepassing]),0)))</f>
        <v>0</v>
      </c>
      <c r="U77" s="407">
        <f>(uniforme_input[[#This Row],[Kostenbesparing door arbeidsbesparing p. patiënt (€/week)]]/uniforme_input[[#This Row],[Uurtarief]]*60) + (uniforme_input[[#This Row],[Totaal arbeidsbesparing onafhankelijk van patiënt (FTE)]]*40*60)/uniforme_input[[#This Row],[Patiëntaantallen]]</f>
        <v>715.19999999999993</v>
      </c>
      <c r="V77" s="407">
        <f>(uniforme_input[[#This Row],[Kostenbesparing per handeling (€)]]/uniforme_input[[#This Row],[Uurtarief]])*60</f>
        <v>0</v>
      </c>
      <c r="W77" s="398">
        <f>uniforme_input[[#This Row],[Overige kostenbesparing (Totaal €/jaar)]]/uniforme_input[[#This Row],[Patiëntaantallen]]</f>
        <v>0</v>
      </c>
      <c r="X77" s="408">
        <f>IF(uniforme_input[[#This Row],[Bron gebruiken voor opbrengsten?]]="Ja",uniforme_input[[#This Row],[Tijdsbesparing (min/week/patiënt) - gegeven]]+uniforme_input[[#This Row],[Tijdsbesparing (min/week/patiënt) berekend]],0)</f>
        <v>715.19999999999993</v>
      </c>
      <c r="Y77" s="407">
        <f>IF(uniforme_input[[#This Row],[Bron gebruiken voor opbrengsten?]]="Ja",uniforme_input[[#This Row],[Tijdsbesparing (min/handeling) - gegeven]]+uniforme_input[[#This Row],[Tijdsbesparing (min/handeling) berekend]],0)</f>
        <v>0</v>
      </c>
      <c r="Z77" s="409">
        <f>IF(uniforme_input[[#This Row],[Bron gebruiken voor opbrengsten?]]="Ja",uniforme_input[[#This Row],[Overige kostenbesparing (€/jaar/patiënt) - gegeven]]+uniforme_input[[#This Row],[Overige kostenbesparing (€/jaar/patiënt) berekend]],0)</f>
        <v>0</v>
      </c>
      <c r="AA77" s="403" cm="1">
        <f t="array" ref="AA77">INDEX(Technologieën[Jaarlijkse kosten p. patiënt],MATCH(B77,IF(Technologieën[Zoeksleutel bronnummer]=G77,Technologieën[Digitale zorgtoepassing]),0))</f>
        <v>0</v>
      </c>
      <c r="AB77" s="403" cm="1">
        <f t="array" ref="AB77">INDEX(Technologieën[Jaarlijkse kosten p. organisatie],MATCH(B77,IF(Technologieën[Zoeksleutel bronnummer]=G77,Technologieën[Digitale zorgtoepassing]),0))/uniforme_input[[#This Row],[Aantal doelgroepen waarop toepasbaar]]</f>
        <v>0</v>
      </c>
      <c r="AC77" s="403" cm="1">
        <f t="array" ref="AC77">INDEX(Technologieën[Jaarlijkse kosten (onafh. aantal patiënt/organisatie)],MATCH(B77,IF(Technologieën[Zoeksleutel bronnummer]=G77,Technologieën[Digitale zorgtoepassing]),0))/uniforme_input[[#This Row],[Aantal doelgroepen waarop toepasbaar]]</f>
        <v>0</v>
      </c>
      <c r="AD77" s="403" cm="1">
        <f t="array" ref="AD77">INDEX(Technologieën[Initiële investering (p. patiënt)],MATCH(B77,IF(Technologieën[Zoeksleutel bronnummer]=G77,Technologieën[Digitale zorgtoepassing]),0))</f>
        <v>0</v>
      </c>
      <c r="AE77" s="403" cm="1">
        <f t="array" ref="AE77">INDEX(Technologieën[Initiële investering (p. organisatie)],MATCH(B77,IF(Technologieën[Zoeksleutel bronnummer]=G77,Technologieën[Digitale zorgtoepassing]),0))</f>
        <v>0</v>
      </c>
      <c r="AF77"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77" s="398">
        <f>(uniforme_input[[#This Row],[Initiële investering per organisatie]]*uniforme_input[[#This Row],[Aantal organisaties]])/uniforme_input[[#This Row],[Patiëntaantallen]]</f>
        <v>0</v>
      </c>
      <c r="AH77" s="410">
        <f>IF(uniforme_input[[#This Row],[Bron gebruiken voor kosten/investering?]]="Ja",uniforme_input[[#This Row],[Jaarlijkse kosten per patiënt]] + uniforme_input[[#This Row],[Jaarlijkse kosten per patiënt berekend]],0)</f>
        <v>0</v>
      </c>
      <c r="AI77" s="409">
        <f>IF(uniforme_input[[#This Row],[Bron gebruiken voor kosten/investering?]]="Ja",uniforme_input[[#This Row],[Initiële investering per patiënt]]+uniforme_input[[#This Row],[Initiële investering per patiënt berekend]],0)</f>
        <v>0</v>
      </c>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row>
    <row r="78" spans="1:83" s="2" customFormat="1" x14ac:dyDescent="0.5">
      <c r="A78" s="51" t="str">
        <f>INDEX(Technologieën[Veld],MATCH(G78,Technologieën[Zoeksleutel bronnummer],0))</f>
        <v>Digitale hulpmiddelen - Verpleging</v>
      </c>
      <c r="B78" s="33" t="s">
        <v>105</v>
      </c>
      <c r="C78" s="32" t="s">
        <v>390</v>
      </c>
      <c r="D78" s="32" t="s">
        <v>391</v>
      </c>
      <c r="E78" s="33" t="s">
        <v>106</v>
      </c>
      <c r="F78" s="33" t="str" cm="1">
        <f t="array" ref="F78">INDEX(Berekening_patiëntaantal[Direct toepasbaar/extrapolatie/incidentie voor QALY],MATCH(B78,IF(Berekening_patiëntaantal[Doelgroep (zoeksleutel)]=E78,Berekening_patiëntaantal[Digitale zorgtoepassing]),0))</f>
        <v>Huidige toepassing</v>
      </c>
      <c r="G78" s="33" t="s">
        <v>526</v>
      </c>
      <c r="H78" s="33" t="s">
        <v>144</v>
      </c>
      <c r="I78" s="403">
        <f>INDEX(Uurloon[Uurtarief zorgpersoneel],MATCH(H78,Uurloon[Zorgverlener],0))</f>
        <v>20.410632183908046</v>
      </c>
      <c r="J78" s="404" cm="1">
        <f t="array" ref="J78">INDEX(Berekening_patiëntaantal[Patiëntaantallen],MATCH(B78,IF(Berekening_patiëntaantal[Doelgroep (zoeksleutel)]=E78,Berekening_patiëntaantal[Digitale zorgtoepassing]),0))</f>
        <v>308.94000000000005</v>
      </c>
      <c r="K78" s="404">
        <f>IFERROR(INDEX(aantal_organisaties[Aantal organisaties waarop toepasbaar],MATCH(B78,aantal_organisaties[Digitale zorgtoepassing],0)),0)</f>
        <v>0</v>
      </c>
      <c r="L78" s="397">
        <f>COUNTIF(uniforme_input[Doelgroep],E78)</f>
        <v>3</v>
      </c>
      <c r="M78" s="405" cm="1">
        <f t="array" ref="M78">INDEX(Technologieën[Tijdsbesparing p. patiënt (min/week)],MATCH(B78,IF(Technologieën[Zoeksleutel bronnummer]=G78,Technologieën[Digitale zorgtoepassing]),0))</f>
        <v>0</v>
      </c>
      <c r="N78" s="405" cm="1">
        <f t="array" ref="N78">INDEX(Technologieën[Tijdsbesparing per handeling (min)],MATCH(B78,IF(Technologieën[Zoeksleutel bronnummer]=G78,Technologieën[Digitale zorgtoepassing]),0))</f>
        <v>0</v>
      </c>
      <c r="O78" s="403" cm="1">
        <f t="array" ref="O78">INDEX(Technologieën[Besparing overige kosten (€/patiënt/jaar)],MATCH(B78,IF(Technologieën[Zoeksleutel bronnummer]=G78,Technologieën[Digitale zorgtoepassing]),0))</f>
        <v>0</v>
      </c>
      <c r="P78" s="403" cm="1">
        <f t="array" ref="P78">INDEX(Technologieën[Kostenbesparing p. patiënt door arbeidsbesparing (€/week)],MATCH(B78,IF(Technologieën[Zoeksleutel bronnummer]=G78,Technologieën[Digitale zorgtoepassing]),0))</f>
        <v>0</v>
      </c>
      <c r="Q78" s="403" cm="1">
        <f t="array" ref="Q78">INDEX(Technologieën[Kostenbesparing (personeel) per handeling (€)],MATCH(B78,IF(Technologieën[Zoeksleutel bronnummer]=G78,Technologieën[Digitale zorgtoepassing]),0))</f>
        <v>0</v>
      </c>
      <c r="R78" s="403" cm="1">
        <f t="array" ref="R78">INDEX(Technologieën[Besparing overige kosten (€/jaar)],MATCH(B78,IF(Technologieën[Zoeksleutel bronnummer]=G78,Technologieën[Digitale zorgtoepassing]),0))</f>
        <v>0</v>
      </c>
      <c r="S78" s="405" cm="1">
        <f t="array" ref="S78">INDEX(Technologieën[Jaarlijkse besparing zorgpersoneel (FTE)],MATCH(B78,IF(Technologieën[Zoeksleutel bronnummer]=G78,Technologieën[Digitale zorgtoepassing]),0))</f>
        <v>0</v>
      </c>
      <c r="T78" s="406" cm="1">
        <f t="array" ref="T78">(INDEX(Technologieën[QALY],MATCH(B78,IF(Technologieën[Zoeksleutel bronnummer]=G78,Technologieën[Digitale zorgtoepassing]),0)))</f>
        <v>0</v>
      </c>
      <c r="U78" s="407">
        <f>(uniforme_input[[#This Row],[Kostenbesparing door arbeidsbesparing p. patiënt (€/week)]]/uniforme_input[[#This Row],[Uurtarief]]*60) + (uniforme_input[[#This Row],[Totaal arbeidsbesparing onafhankelijk van patiënt (FTE)]]*40*60)/uniforme_input[[#This Row],[Patiëntaantallen]]</f>
        <v>0</v>
      </c>
      <c r="V78" s="407">
        <f>(uniforme_input[[#This Row],[Kostenbesparing per handeling (€)]]/uniforme_input[[#This Row],[Uurtarief]])*60</f>
        <v>0</v>
      </c>
      <c r="W78" s="398">
        <f>uniforme_input[[#This Row],[Overige kostenbesparing (Totaal €/jaar)]]/uniforme_input[[#This Row],[Patiëntaantallen]]</f>
        <v>0</v>
      </c>
      <c r="X78" s="408">
        <f>IF(uniforme_input[[#This Row],[Bron gebruiken voor opbrengsten?]]="Ja",uniforme_input[[#This Row],[Tijdsbesparing (min/week/patiënt) - gegeven]]+uniforme_input[[#This Row],[Tijdsbesparing (min/week/patiënt) berekend]],0)</f>
        <v>0</v>
      </c>
      <c r="Y78" s="407">
        <f>IF(uniforme_input[[#This Row],[Bron gebruiken voor opbrengsten?]]="Ja",uniforme_input[[#This Row],[Tijdsbesparing (min/handeling) - gegeven]]+uniforme_input[[#This Row],[Tijdsbesparing (min/handeling) berekend]],0)</f>
        <v>0</v>
      </c>
      <c r="Z78" s="409">
        <f>IF(uniforme_input[[#This Row],[Bron gebruiken voor opbrengsten?]]="Ja",uniforme_input[[#This Row],[Overige kostenbesparing (€/jaar/patiënt) - gegeven]]+uniforme_input[[#This Row],[Overige kostenbesparing (€/jaar/patiënt) berekend]],0)</f>
        <v>0</v>
      </c>
      <c r="AA78" s="403" cm="1">
        <f t="array" ref="AA78">INDEX(Technologieën[Jaarlijkse kosten p. patiënt],MATCH(B78,IF(Technologieën[Zoeksleutel bronnummer]=G78,Technologieën[Digitale zorgtoepassing]),0))</f>
        <v>0</v>
      </c>
      <c r="AB78" s="403" cm="1">
        <f t="array" ref="AB78">INDEX(Technologieën[Jaarlijkse kosten p. organisatie],MATCH(B78,IF(Technologieën[Zoeksleutel bronnummer]=G78,Technologieën[Digitale zorgtoepassing]),0))/uniforme_input[[#This Row],[Aantal doelgroepen waarop toepasbaar]]</f>
        <v>0</v>
      </c>
      <c r="AC78" s="403" cm="1">
        <f t="array" ref="AC78">INDEX(Technologieën[Jaarlijkse kosten (onafh. aantal patiënt/organisatie)],MATCH(B78,IF(Technologieën[Zoeksleutel bronnummer]=G78,Technologieën[Digitale zorgtoepassing]),0))/uniforme_input[[#This Row],[Aantal doelgroepen waarop toepasbaar]]</f>
        <v>0</v>
      </c>
      <c r="AD78" s="403" cm="1">
        <f t="array" ref="AD78">INDEX(Technologieën[Initiële investering (p. patiënt)],MATCH(B78,IF(Technologieën[Zoeksleutel bronnummer]=G78,Technologieën[Digitale zorgtoepassing]),0))</f>
        <v>4500</v>
      </c>
      <c r="AE78" s="403" cm="1">
        <f t="array" ref="AE78">INDEX(Technologieën[Initiële investering (p. organisatie)],MATCH(B78,IF(Technologieën[Zoeksleutel bronnummer]=G78,Technologieën[Digitale zorgtoepassing]),0))</f>
        <v>0</v>
      </c>
      <c r="AF78"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78" s="398">
        <f>(uniforme_input[[#This Row],[Initiële investering per organisatie]]*uniforme_input[[#This Row],[Aantal organisaties]])/uniforme_input[[#This Row],[Patiëntaantallen]]</f>
        <v>0</v>
      </c>
      <c r="AH78" s="410">
        <f>IF(uniforme_input[[#This Row],[Bron gebruiken voor kosten/investering?]]="Ja",uniforme_input[[#This Row],[Jaarlijkse kosten per patiënt]] + uniforme_input[[#This Row],[Jaarlijkse kosten per patiënt berekend]],0)</f>
        <v>0</v>
      </c>
      <c r="AI78" s="409">
        <f>IF(uniforme_input[[#This Row],[Bron gebruiken voor kosten/investering?]]="Ja",uniforme_input[[#This Row],[Initiële investering per patiënt]]+uniforme_input[[#This Row],[Initiële investering per patiënt berekend]],0)</f>
        <v>4500</v>
      </c>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row>
    <row r="79" spans="1:83" s="2" customFormat="1" x14ac:dyDescent="0.5">
      <c r="A79" s="51" t="str">
        <f>INDEX(Technologieën[Veld],MATCH(G79,Technologieën[Zoeksleutel bronnummer],0))</f>
        <v>Digitale hulpmiddelen - Verpleging</v>
      </c>
      <c r="B79" s="33" t="s">
        <v>32</v>
      </c>
      <c r="C79" s="32" t="s">
        <v>391</v>
      </c>
      <c r="D79" s="32" t="s">
        <v>391</v>
      </c>
      <c r="E79" s="33" t="s">
        <v>33</v>
      </c>
      <c r="F79" s="33" t="str" cm="1">
        <f t="array" ref="F79">INDEX(Berekening_patiëntaantal[Direct toepasbaar/extrapolatie/incidentie voor QALY],MATCH(B79,IF(Berekening_patiëntaantal[Doelgroep (zoeksleutel)]=E79,Berekening_patiëntaantal[Digitale zorgtoepassing]),0))</f>
        <v>Huidige toepassing</v>
      </c>
      <c r="G79" s="33" t="s">
        <v>527</v>
      </c>
      <c r="H79" s="33" t="s">
        <v>144</v>
      </c>
      <c r="I79" s="403">
        <f>INDEX(Uurloon[Uurtarief zorgpersoneel],MATCH(H79,Uurloon[Zorgverlener],0))</f>
        <v>20.410632183908046</v>
      </c>
      <c r="J79" s="404" cm="1">
        <f t="array" ref="J79">INDEX(Berekening_patiëntaantal[Patiëntaantallen],MATCH(B79,IF(Berekening_patiëntaantal[Doelgroep (zoeksleutel)]=E79,Berekening_patiëntaantal[Digitale zorgtoepassing]),0))</f>
        <v>9200</v>
      </c>
      <c r="K79" s="404">
        <f>IFERROR(INDEX(aantal_organisaties[Aantal organisaties waarop toepasbaar],MATCH(B79,aantal_organisaties[Digitale zorgtoepassing],0)),0)</f>
        <v>0</v>
      </c>
      <c r="L79" s="397">
        <f>COUNTIF(uniforme_input[Doelgroep],E79)</f>
        <v>3</v>
      </c>
      <c r="M79" s="405" cm="1">
        <f t="array" ref="M79">INDEX(Technologieën[Tijdsbesparing p. patiënt (min/week)],MATCH(B79,IF(Technologieën[Zoeksleutel bronnummer]=G79,Technologieën[Digitale zorgtoepassing]),0))</f>
        <v>106</v>
      </c>
      <c r="N79" s="405" cm="1">
        <f t="array" ref="N79">INDEX(Technologieën[Tijdsbesparing per handeling (min)],MATCH(B79,IF(Technologieën[Zoeksleutel bronnummer]=G79,Technologieën[Digitale zorgtoepassing]),0))</f>
        <v>0</v>
      </c>
      <c r="O79" s="403" cm="1">
        <f t="array" ref="O79">INDEX(Technologieën[Besparing overige kosten (€/patiënt/jaar)],MATCH(B79,IF(Technologieën[Zoeksleutel bronnummer]=G79,Technologieën[Digitale zorgtoepassing]),0))</f>
        <v>261.27839865586333</v>
      </c>
      <c r="P79" s="403" cm="1">
        <f t="array" ref="P79">INDEX(Technologieën[Kostenbesparing p. patiënt door arbeidsbesparing (€/week)],MATCH(B79,IF(Technologieën[Zoeksleutel bronnummer]=G79,Technologieën[Digitale zorgtoepassing]),0))</f>
        <v>0</v>
      </c>
      <c r="Q79" s="403" cm="1">
        <f t="array" ref="Q79">INDEX(Technologieën[Kostenbesparing (personeel) per handeling (€)],MATCH(B79,IF(Technologieën[Zoeksleutel bronnummer]=G79,Technologieën[Digitale zorgtoepassing]),0))</f>
        <v>0</v>
      </c>
      <c r="R79" s="403" cm="1">
        <f t="array" ref="R79">INDEX(Technologieën[Besparing overige kosten (€/jaar)],MATCH(B79,IF(Technologieën[Zoeksleutel bronnummer]=G79,Technologieën[Digitale zorgtoepassing]),0))</f>
        <v>6970000</v>
      </c>
      <c r="S79" s="405" cm="1">
        <f t="array" ref="S79">INDEX(Technologieën[Jaarlijkse besparing zorgpersoneel (FTE)],MATCH(B79,IF(Technologieën[Zoeksleutel bronnummer]=G79,Technologieën[Digitale zorgtoepassing]),0))</f>
        <v>0</v>
      </c>
      <c r="T79" s="406" cm="1">
        <f t="array" ref="T79">(INDEX(Technologieën[QALY],MATCH(B79,IF(Technologieën[Zoeksleutel bronnummer]=G79,Technologieën[Digitale zorgtoepassing]),0)))</f>
        <v>0</v>
      </c>
      <c r="U79" s="407">
        <f>(uniforme_input[[#This Row],[Kostenbesparing door arbeidsbesparing p. patiënt (€/week)]]/uniforme_input[[#This Row],[Uurtarief]]*60) + (uniforme_input[[#This Row],[Totaal arbeidsbesparing onafhankelijk van patiënt (FTE)]]*40*60)/uniforme_input[[#This Row],[Patiëntaantallen]]</f>
        <v>0</v>
      </c>
      <c r="V79" s="407">
        <f>(uniforme_input[[#This Row],[Kostenbesparing per handeling (€)]]/uniforme_input[[#This Row],[Uurtarief]])*60</f>
        <v>0</v>
      </c>
      <c r="W79" s="398">
        <f>uniforme_input[[#This Row],[Overige kostenbesparing (Totaal €/jaar)]]/uniforme_input[[#This Row],[Patiëntaantallen]]</f>
        <v>757.60869565217388</v>
      </c>
      <c r="X79" s="408">
        <f>IF(uniforme_input[[#This Row],[Bron gebruiken voor opbrengsten?]]="Ja",uniforme_input[[#This Row],[Tijdsbesparing (min/week/patiënt) - gegeven]]+uniforme_input[[#This Row],[Tijdsbesparing (min/week/patiënt) berekend]],0)</f>
        <v>106</v>
      </c>
      <c r="Y79" s="407">
        <f>IF(uniforme_input[[#This Row],[Bron gebruiken voor opbrengsten?]]="Ja",uniforme_input[[#This Row],[Tijdsbesparing (min/handeling) - gegeven]]+uniforme_input[[#This Row],[Tijdsbesparing (min/handeling) berekend]],0)</f>
        <v>0</v>
      </c>
      <c r="Z79" s="409">
        <f>IF(uniforme_input[[#This Row],[Bron gebruiken voor opbrengsten?]]="Ja",uniforme_input[[#This Row],[Overige kostenbesparing (€/jaar/patiënt) - gegeven]]+uniforme_input[[#This Row],[Overige kostenbesparing (€/jaar/patiënt) berekend]],0)</f>
        <v>1018.8870943080371</v>
      </c>
      <c r="AA79" s="403" cm="1">
        <f t="array" ref="AA79">INDEX(Technologieën[Jaarlijkse kosten p. patiënt],MATCH(B79,IF(Technologieën[Zoeksleutel bronnummer]=G79,Technologieën[Digitale zorgtoepassing]),0))</f>
        <v>187.82857142857142</v>
      </c>
      <c r="AB79" s="403" cm="1">
        <f t="array" ref="AB79">INDEX(Technologieën[Jaarlijkse kosten p. organisatie],MATCH(B79,IF(Technologieën[Zoeksleutel bronnummer]=G79,Technologieën[Digitale zorgtoepassing]),0))/uniforme_input[[#This Row],[Aantal doelgroepen waarop toepasbaar]]</f>
        <v>0</v>
      </c>
      <c r="AC79" s="403" cm="1">
        <f t="array" ref="AC79">INDEX(Technologieën[Jaarlijkse kosten (onafh. aantal patiënt/organisatie)],MATCH(B79,IF(Technologieën[Zoeksleutel bronnummer]=G79,Technologieën[Digitale zorgtoepassing]),0))/uniforme_input[[#This Row],[Aantal doelgroepen waarop toepasbaar]]</f>
        <v>0</v>
      </c>
      <c r="AD79" s="403" cm="1">
        <f t="array" ref="AD79">INDEX(Technologieën[Initiële investering (p. patiënt)],MATCH(B79,IF(Technologieën[Zoeksleutel bronnummer]=G79,Technologieën[Digitale zorgtoepassing]),0))</f>
        <v>660.65714285714284</v>
      </c>
      <c r="AE79" s="403" cm="1">
        <f t="array" ref="AE79">INDEX(Technologieën[Initiële investering (p. organisatie)],MATCH(B79,IF(Technologieën[Zoeksleutel bronnummer]=G79,Technologieën[Digitale zorgtoepassing]),0))</f>
        <v>0</v>
      </c>
      <c r="AF79"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79" s="398">
        <f>(uniforme_input[[#This Row],[Initiële investering per organisatie]]*uniforme_input[[#This Row],[Aantal organisaties]])/uniforme_input[[#This Row],[Patiëntaantallen]]</f>
        <v>0</v>
      </c>
      <c r="AH79" s="410">
        <f>IF(uniforme_input[[#This Row],[Bron gebruiken voor kosten/investering?]]="Ja",uniforme_input[[#This Row],[Jaarlijkse kosten per patiënt]] + uniforme_input[[#This Row],[Jaarlijkse kosten per patiënt berekend]],0)</f>
        <v>187.82857142857142</v>
      </c>
      <c r="AI79" s="409">
        <f>IF(uniforme_input[[#This Row],[Bron gebruiken voor kosten/investering?]]="Ja",uniforme_input[[#This Row],[Initiële investering per patiënt]]+uniforme_input[[#This Row],[Initiële investering per patiënt berekend]],0)</f>
        <v>660.65714285714284</v>
      </c>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row>
    <row r="80" spans="1:83" s="2" customFormat="1" x14ac:dyDescent="0.5">
      <c r="A80" s="51" t="str">
        <f>INDEX(Technologieën[Veld],MATCH(G80,Technologieën[Zoeksleutel bronnummer],0))</f>
        <v>Digitale hulpmiddelen - Verpleging</v>
      </c>
      <c r="B80" s="33" t="s">
        <v>32</v>
      </c>
      <c r="C80" s="32" t="s">
        <v>390</v>
      </c>
      <c r="D80" s="32" t="s">
        <v>391</v>
      </c>
      <c r="E80" s="33" t="s">
        <v>33</v>
      </c>
      <c r="F80" s="33" t="str" cm="1">
        <f t="array" ref="F80">INDEX(Berekening_patiëntaantal[Direct toepasbaar/extrapolatie/incidentie voor QALY],MATCH(B80,IF(Berekening_patiëntaantal[Doelgroep (zoeksleutel)]=E80,Berekening_patiëntaantal[Digitale zorgtoepassing]),0))</f>
        <v>Huidige toepassing</v>
      </c>
      <c r="G80" s="33" t="s">
        <v>528</v>
      </c>
      <c r="H80" s="33" t="s">
        <v>144</v>
      </c>
      <c r="I80" s="403">
        <f>INDEX(Uurloon[Uurtarief zorgpersoneel],MATCH(H80,Uurloon[Zorgverlener],0))</f>
        <v>20.410632183908046</v>
      </c>
      <c r="J80" s="404" cm="1">
        <f t="array" ref="J80">INDEX(Berekening_patiëntaantal[Patiëntaantallen],MATCH(B80,IF(Berekening_patiëntaantal[Doelgroep (zoeksleutel)]=E80,Berekening_patiëntaantal[Digitale zorgtoepassing]),0))</f>
        <v>9200</v>
      </c>
      <c r="K80" s="404">
        <f>IFERROR(INDEX(aantal_organisaties[Aantal organisaties waarop toepasbaar],MATCH(B80,aantal_organisaties[Digitale zorgtoepassing],0)),0)</f>
        <v>0</v>
      </c>
      <c r="L80" s="397">
        <f>COUNTIF(uniforme_input[Doelgroep],E80)</f>
        <v>3</v>
      </c>
      <c r="M80" s="405" cm="1">
        <f t="array" ref="M80">INDEX(Technologieën[Tijdsbesparing p. patiënt (min/week)],MATCH(B80,IF(Technologieën[Zoeksleutel bronnummer]=G80,Technologieën[Digitale zorgtoepassing]),0))</f>
        <v>0</v>
      </c>
      <c r="N80" s="405" cm="1">
        <f t="array" ref="N80">INDEX(Technologieën[Tijdsbesparing per handeling (min)],MATCH(B80,IF(Technologieën[Zoeksleutel bronnummer]=G80,Technologieën[Digitale zorgtoepassing]),0))</f>
        <v>0</v>
      </c>
      <c r="O80" s="403" cm="1">
        <f t="array" ref="O80">INDEX(Technologieën[Besparing overige kosten (€/patiënt/jaar)],MATCH(B80,IF(Technologieën[Zoeksleutel bronnummer]=G80,Technologieën[Digitale zorgtoepassing]),0))</f>
        <v>0</v>
      </c>
      <c r="P80" s="403" cm="1">
        <f t="array" ref="P80">INDEX(Technologieën[Kostenbesparing p. patiënt door arbeidsbesparing (€/week)],MATCH(B80,IF(Technologieën[Zoeksleutel bronnummer]=G80,Technologieën[Digitale zorgtoepassing]),0))</f>
        <v>0</v>
      </c>
      <c r="Q80" s="403" cm="1">
        <f t="array" ref="Q80">INDEX(Technologieën[Kostenbesparing (personeel) per handeling (€)],MATCH(B80,IF(Technologieën[Zoeksleutel bronnummer]=G80,Technologieën[Digitale zorgtoepassing]),0))</f>
        <v>0</v>
      </c>
      <c r="R80" s="403" cm="1">
        <f t="array" ref="R80">INDEX(Technologieën[Besparing overige kosten (€/jaar)],MATCH(B80,IF(Technologieën[Zoeksleutel bronnummer]=G80,Technologieën[Digitale zorgtoepassing]),0))</f>
        <v>0</v>
      </c>
      <c r="S80" s="405" cm="1">
        <f t="array" ref="S80">INDEX(Technologieën[Jaarlijkse besparing zorgpersoneel (FTE)],MATCH(B80,IF(Technologieën[Zoeksleutel bronnummer]=G80,Technologieën[Digitale zorgtoepassing]),0))</f>
        <v>0</v>
      </c>
      <c r="T80" s="406" cm="1">
        <f t="array" ref="T80">(INDEX(Technologieën[QALY],MATCH(B80,IF(Technologieën[Zoeksleutel bronnummer]=G80,Technologieën[Digitale zorgtoepassing]),0)))</f>
        <v>0</v>
      </c>
      <c r="U80" s="407">
        <f>(uniforme_input[[#This Row],[Kostenbesparing door arbeidsbesparing p. patiënt (€/week)]]/uniforme_input[[#This Row],[Uurtarief]]*60) + (uniforme_input[[#This Row],[Totaal arbeidsbesparing onafhankelijk van patiënt (FTE)]]*40*60)/uniforme_input[[#This Row],[Patiëntaantallen]]</f>
        <v>0</v>
      </c>
      <c r="V80" s="407">
        <f>(uniforme_input[[#This Row],[Kostenbesparing per handeling (€)]]/uniforme_input[[#This Row],[Uurtarief]])*60</f>
        <v>0</v>
      </c>
      <c r="W80" s="398">
        <f>uniforme_input[[#This Row],[Overige kostenbesparing (Totaal €/jaar)]]/uniforme_input[[#This Row],[Patiëntaantallen]]</f>
        <v>0</v>
      </c>
      <c r="X80" s="408">
        <f>IF(uniforme_input[[#This Row],[Bron gebruiken voor opbrengsten?]]="Ja",uniforme_input[[#This Row],[Tijdsbesparing (min/week/patiënt) - gegeven]]+uniforme_input[[#This Row],[Tijdsbesparing (min/week/patiënt) berekend]],0)</f>
        <v>0</v>
      </c>
      <c r="Y80" s="407">
        <f>IF(uniforme_input[[#This Row],[Bron gebruiken voor opbrengsten?]]="Ja",uniforme_input[[#This Row],[Tijdsbesparing (min/handeling) - gegeven]]+uniforme_input[[#This Row],[Tijdsbesparing (min/handeling) berekend]],0)</f>
        <v>0</v>
      </c>
      <c r="Z80" s="409">
        <f>IF(uniforme_input[[#This Row],[Bron gebruiken voor opbrengsten?]]="Ja",uniforme_input[[#This Row],[Overige kostenbesparing (€/jaar/patiënt) - gegeven]]+uniforme_input[[#This Row],[Overige kostenbesparing (€/jaar/patiënt) berekend]],0)</f>
        <v>0</v>
      </c>
      <c r="AA80" s="403" cm="1">
        <f t="array" ref="AA80">INDEX(Technologieën[Jaarlijkse kosten p. patiënt],MATCH(B80,IF(Technologieën[Zoeksleutel bronnummer]=G80,Technologieën[Digitale zorgtoepassing]),0))</f>
        <v>4097</v>
      </c>
      <c r="AB80" s="403" cm="1">
        <f t="array" ref="AB80">INDEX(Technologieën[Jaarlijkse kosten p. organisatie],MATCH(B80,IF(Technologieën[Zoeksleutel bronnummer]=G80,Technologieën[Digitale zorgtoepassing]),0))/uniforme_input[[#This Row],[Aantal doelgroepen waarop toepasbaar]]</f>
        <v>0</v>
      </c>
      <c r="AC80" s="403" cm="1">
        <f t="array" ref="AC80">INDEX(Technologieën[Jaarlijkse kosten (onafh. aantal patiënt/organisatie)],MATCH(B80,IF(Technologieën[Zoeksleutel bronnummer]=G80,Technologieën[Digitale zorgtoepassing]),0))/uniforme_input[[#This Row],[Aantal doelgroepen waarop toepasbaar]]</f>
        <v>0</v>
      </c>
      <c r="AD80" s="403" cm="1">
        <f t="array" ref="AD80">INDEX(Technologieën[Initiële investering (p. patiënt)],MATCH(B80,IF(Technologieën[Zoeksleutel bronnummer]=G80,Technologieën[Digitale zorgtoepassing]),0))</f>
        <v>61.416666666666664</v>
      </c>
      <c r="AE80" s="403" cm="1">
        <f t="array" ref="AE80">INDEX(Technologieën[Initiële investering (p. organisatie)],MATCH(B80,IF(Technologieën[Zoeksleutel bronnummer]=G80,Technologieën[Digitale zorgtoepassing]),0))</f>
        <v>0</v>
      </c>
      <c r="AF80"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80" s="398">
        <f>(uniforme_input[[#This Row],[Initiële investering per organisatie]]*uniforme_input[[#This Row],[Aantal organisaties]])/uniforme_input[[#This Row],[Patiëntaantallen]]</f>
        <v>0</v>
      </c>
      <c r="AH80" s="410">
        <f>IF(uniforme_input[[#This Row],[Bron gebruiken voor kosten/investering?]]="Ja",uniforme_input[[#This Row],[Jaarlijkse kosten per patiënt]] + uniforme_input[[#This Row],[Jaarlijkse kosten per patiënt berekend]],0)</f>
        <v>4097</v>
      </c>
      <c r="AI80" s="409">
        <f>IF(uniforme_input[[#This Row],[Bron gebruiken voor kosten/investering?]]="Ja",uniforme_input[[#This Row],[Initiële investering per patiënt]]+uniforme_input[[#This Row],[Initiële investering per patiënt berekend]],0)</f>
        <v>61.416666666666664</v>
      </c>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row>
    <row r="81" spans="1:83" s="2" customFormat="1" x14ac:dyDescent="0.5">
      <c r="A81" s="51" t="str">
        <f>INDEX(Technologieën[Veld],MATCH(G81,Technologieën[Zoeksleutel bronnummer],0))</f>
        <v>Digitale hulpmiddelen - Verpleging</v>
      </c>
      <c r="B81" s="33" t="s">
        <v>32</v>
      </c>
      <c r="C81" s="32" t="s">
        <v>390</v>
      </c>
      <c r="D81" s="32" t="s">
        <v>390</v>
      </c>
      <c r="E81" s="33" t="s">
        <v>602</v>
      </c>
      <c r="F81" s="33" t="str" cm="1">
        <f t="array" ref="F81">INDEX(Berekening_patiëntaantal[Direct toepasbaar/extrapolatie/incidentie voor QALY],MATCH(B81,IF(Berekening_patiëntaantal[Doelgroep (zoeksleutel)]=E81,Berekening_patiëntaantal[Digitale zorgtoepassing]),0))</f>
        <v>Incidentie voor QALY</v>
      </c>
      <c r="G81" s="33" t="s">
        <v>604</v>
      </c>
      <c r="H81" s="33" t="s">
        <v>144</v>
      </c>
      <c r="I81" s="403">
        <f>INDEX(Uurloon[Uurtarief zorgpersoneel],MATCH(H81,Uurloon[Zorgverlener],0))</f>
        <v>20.410632183908046</v>
      </c>
      <c r="J81" s="404" cm="1">
        <f t="array" ref="J81">INDEX(Berekening_patiëntaantal[Patiëntaantallen],MATCH(B81,IF(Berekening_patiëntaantal[Doelgroep (zoeksleutel)]=E81,Berekening_patiëntaantal[Digitale zorgtoepassing]),0))</f>
        <v>6750</v>
      </c>
      <c r="K81" s="404">
        <f>IFERROR(INDEX(aantal_organisaties[Aantal organisaties waarop toepasbaar],MATCH(B81,aantal_organisaties[Digitale zorgtoepassing],0)),0)</f>
        <v>0</v>
      </c>
      <c r="L81" s="397">
        <f>COUNTIF(uniforme_input[Doelgroep],E81)</f>
        <v>1</v>
      </c>
      <c r="M81" s="405" cm="1">
        <f t="array" ref="M81">INDEX(Technologieën[Tijdsbesparing p. patiënt (min/week)],MATCH(B81,IF(Technologieën[Zoeksleutel bronnummer]=G81,Technologieën[Digitale zorgtoepassing]),0))</f>
        <v>0</v>
      </c>
      <c r="N81" s="405" cm="1">
        <f t="array" ref="N81">INDEX(Technologieën[Tijdsbesparing per handeling (min)],MATCH(B81,IF(Technologieën[Zoeksleutel bronnummer]=G81,Technologieën[Digitale zorgtoepassing]),0))</f>
        <v>0</v>
      </c>
      <c r="O81" s="403" cm="1">
        <f t="array" ref="O81">INDEX(Technologieën[Besparing overige kosten (€/patiënt/jaar)],MATCH(B81,IF(Technologieën[Zoeksleutel bronnummer]=G81,Technologieën[Digitale zorgtoepassing]),0))</f>
        <v>0</v>
      </c>
      <c r="P81" s="403" cm="1">
        <f t="array" ref="P81">INDEX(Technologieën[Kostenbesparing p. patiënt door arbeidsbesparing (€/week)],MATCH(B81,IF(Technologieën[Zoeksleutel bronnummer]=G81,Technologieën[Digitale zorgtoepassing]),0))</f>
        <v>0</v>
      </c>
      <c r="Q81" s="403" cm="1">
        <f t="array" ref="Q81">INDEX(Technologieën[Kostenbesparing (personeel) per handeling (€)],MATCH(B81,IF(Technologieën[Zoeksleutel bronnummer]=G81,Technologieën[Digitale zorgtoepassing]),0))</f>
        <v>0</v>
      </c>
      <c r="R81" s="403" cm="1">
        <f t="array" ref="R81">INDEX(Technologieën[Besparing overige kosten (€/jaar)],MATCH(B81,IF(Technologieën[Zoeksleutel bronnummer]=G81,Technologieën[Digitale zorgtoepassing]),0))</f>
        <v>0</v>
      </c>
      <c r="S81" s="405" cm="1">
        <f t="array" ref="S81">INDEX(Technologieën[Jaarlijkse besparing zorgpersoneel (FTE)],MATCH(B81,IF(Technologieën[Zoeksleutel bronnummer]=G81,Technologieën[Digitale zorgtoepassing]),0))</f>
        <v>0</v>
      </c>
      <c r="T81" s="406" cm="1">
        <f t="array" ref="T81">(INDEX(Technologieën[QALY],MATCH(B81,IF(Technologieën[Zoeksleutel bronnummer]=G81,Technologieën[Digitale zorgtoepassing]),0)))</f>
        <v>0.28000000000000003</v>
      </c>
      <c r="U81" s="407">
        <f>(uniforme_input[[#This Row],[Kostenbesparing door arbeidsbesparing p. patiënt (€/week)]]/uniforme_input[[#This Row],[Uurtarief]]*60) + (uniforme_input[[#This Row],[Totaal arbeidsbesparing onafhankelijk van patiënt (FTE)]]*40*60)/uniforme_input[[#This Row],[Patiëntaantallen]]</f>
        <v>0</v>
      </c>
      <c r="V81" s="407">
        <f>(uniforme_input[[#This Row],[Kostenbesparing per handeling (€)]]/uniforme_input[[#This Row],[Uurtarief]])*60</f>
        <v>0</v>
      </c>
      <c r="W81" s="398">
        <f>uniforme_input[[#This Row],[Overige kostenbesparing (Totaal €/jaar)]]/uniforme_input[[#This Row],[Patiëntaantallen]]</f>
        <v>0</v>
      </c>
      <c r="X81" s="408">
        <f>IF(uniforme_input[[#This Row],[Bron gebruiken voor opbrengsten?]]="Ja",uniforme_input[[#This Row],[Tijdsbesparing (min/week/patiënt) - gegeven]]+uniforme_input[[#This Row],[Tijdsbesparing (min/week/patiënt) berekend]],0)</f>
        <v>0</v>
      </c>
      <c r="Y81" s="407">
        <f>IF(uniforme_input[[#This Row],[Bron gebruiken voor opbrengsten?]]="Ja",uniforme_input[[#This Row],[Tijdsbesparing (min/handeling) - gegeven]]+uniforme_input[[#This Row],[Tijdsbesparing (min/handeling) berekend]],0)</f>
        <v>0</v>
      </c>
      <c r="Z81" s="409">
        <f>IF(uniforme_input[[#This Row],[Bron gebruiken voor opbrengsten?]]="Ja",uniforme_input[[#This Row],[Overige kostenbesparing (€/jaar/patiënt) - gegeven]]+uniforme_input[[#This Row],[Overige kostenbesparing (€/jaar/patiënt) berekend]],0)</f>
        <v>0</v>
      </c>
      <c r="AA81" s="403" cm="1">
        <f t="array" ref="AA81">INDEX(Technologieën[Jaarlijkse kosten p. patiënt],MATCH(B81,IF(Technologieën[Zoeksleutel bronnummer]=G81,Technologieën[Digitale zorgtoepassing]),0))</f>
        <v>0</v>
      </c>
      <c r="AB81" s="403" cm="1">
        <f t="array" ref="AB81">INDEX(Technologieën[Jaarlijkse kosten p. organisatie],MATCH(B81,IF(Technologieën[Zoeksleutel bronnummer]=G81,Technologieën[Digitale zorgtoepassing]),0))/uniforme_input[[#This Row],[Aantal doelgroepen waarop toepasbaar]]</f>
        <v>0</v>
      </c>
      <c r="AC81" s="403" cm="1">
        <f t="array" ref="AC81">INDEX(Technologieën[Jaarlijkse kosten (onafh. aantal patiënt/organisatie)],MATCH(B81,IF(Technologieën[Zoeksleutel bronnummer]=G81,Technologieën[Digitale zorgtoepassing]),0))/uniforme_input[[#This Row],[Aantal doelgroepen waarop toepasbaar]]</f>
        <v>0</v>
      </c>
      <c r="AD81" s="403" cm="1">
        <f t="array" ref="AD81">INDEX(Technologieën[Initiële investering (p. patiënt)],MATCH(B81,IF(Technologieën[Zoeksleutel bronnummer]=G81,Technologieën[Digitale zorgtoepassing]),0))</f>
        <v>0</v>
      </c>
      <c r="AE81" s="403" cm="1">
        <f t="array" ref="AE81">INDEX(Technologieën[Initiële investering (p. organisatie)],MATCH(B81,IF(Technologieën[Zoeksleutel bronnummer]=G81,Technologieën[Digitale zorgtoepassing]),0))</f>
        <v>0</v>
      </c>
      <c r="AF81"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81" s="398">
        <f>(uniforme_input[[#This Row],[Initiële investering per organisatie]]*uniforme_input[[#This Row],[Aantal organisaties]])/uniforme_input[[#This Row],[Patiëntaantallen]]</f>
        <v>0</v>
      </c>
      <c r="AH81" s="410">
        <f>IF(uniforme_input[[#This Row],[Bron gebruiken voor kosten/investering?]]="Ja",uniforme_input[[#This Row],[Jaarlijkse kosten per patiënt]] + uniforme_input[[#This Row],[Jaarlijkse kosten per patiënt berekend]],0)</f>
        <v>0</v>
      </c>
      <c r="AI81" s="409">
        <f>IF(uniforme_input[[#This Row],[Bron gebruiken voor kosten/investering?]]="Ja",uniforme_input[[#This Row],[Initiële investering per patiënt]]+uniforme_input[[#This Row],[Initiële investering per patiënt berekend]],0)</f>
        <v>0</v>
      </c>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row>
    <row r="82" spans="1:83" s="2" customFormat="1" x14ac:dyDescent="0.5">
      <c r="A82" s="51" t="str">
        <f>INDEX(Technologieën[Veld],MATCH(G82,Technologieën[Zoeksleutel bronnummer],0))</f>
        <v>Sensoren - Verpleging</v>
      </c>
      <c r="B82" s="33" t="s">
        <v>46</v>
      </c>
      <c r="C82" s="32" t="s">
        <v>390</v>
      </c>
      <c r="D82" s="32" t="s">
        <v>391</v>
      </c>
      <c r="E82" s="33" t="s">
        <v>20</v>
      </c>
      <c r="F82" s="33" t="str" cm="1">
        <f t="array" ref="F82">INDEX(Berekening_patiëntaantal[Direct toepasbaar/extrapolatie/incidentie voor QALY],MATCH(B82,IF(Berekening_patiëntaantal[Doelgroep (zoeksleutel)]=E82,Berekening_patiëntaantal[Digitale zorgtoepassing]),0))</f>
        <v>Huidige toepassing</v>
      </c>
      <c r="G82" s="33" t="s">
        <v>530</v>
      </c>
      <c r="H82" s="33" t="s">
        <v>144</v>
      </c>
      <c r="I82" s="403">
        <f>INDEX(Uurloon[Uurtarief zorgpersoneel],MATCH(H82,Uurloon[Zorgverlener],0))</f>
        <v>20.410632183908046</v>
      </c>
      <c r="J82" s="404" cm="1">
        <f t="array" ref="J82">INDEX(Berekening_patiëntaantal[Patiëntaantallen],MATCH(B82,IF(Berekening_patiëntaantal[Doelgroep (zoeksleutel)]=E82,Berekening_patiëntaantal[Digitale zorgtoepassing]),0))</f>
        <v>78300</v>
      </c>
      <c r="K82" s="404">
        <f>IFERROR(INDEX(aantal_organisaties[Aantal organisaties waarop toepasbaar],MATCH(B82,aantal_organisaties[Digitale zorgtoepassing],0)),0)</f>
        <v>827</v>
      </c>
      <c r="L82" s="397">
        <f>COUNTIF(uniforme_input[Doelgroep],E82)</f>
        <v>14</v>
      </c>
      <c r="M82" s="405" cm="1">
        <f t="array" ref="M82">INDEX(Technologieën[Tijdsbesparing p. patiënt (min/week)],MATCH(B82,IF(Technologieën[Zoeksleutel bronnummer]=G82,Technologieën[Digitale zorgtoepassing]),0))</f>
        <v>0</v>
      </c>
      <c r="N82" s="405" cm="1">
        <f t="array" ref="N82">INDEX(Technologieën[Tijdsbesparing per handeling (min)],MATCH(B82,IF(Technologieën[Zoeksleutel bronnummer]=G82,Technologieën[Digitale zorgtoepassing]),0))</f>
        <v>0</v>
      </c>
      <c r="O82" s="403" cm="1">
        <f t="array" ref="O82">INDEX(Technologieën[Besparing overige kosten (€/patiënt/jaar)],MATCH(B82,IF(Technologieën[Zoeksleutel bronnummer]=G82,Technologieën[Digitale zorgtoepassing]),0))</f>
        <v>0</v>
      </c>
      <c r="P82" s="403" cm="1">
        <f t="array" ref="P82">INDEX(Technologieën[Kostenbesparing p. patiënt door arbeidsbesparing (€/week)],MATCH(B82,IF(Technologieën[Zoeksleutel bronnummer]=G82,Technologieën[Digitale zorgtoepassing]),0))</f>
        <v>0</v>
      </c>
      <c r="Q82" s="403" cm="1">
        <f t="array" ref="Q82">INDEX(Technologieën[Kostenbesparing (personeel) per handeling (€)],MATCH(B82,IF(Technologieën[Zoeksleutel bronnummer]=G82,Technologieën[Digitale zorgtoepassing]),0))</f>
        <v>0</v>
      </c>
      <c r="R82" s="403" cm="1">
        <f t="array" ref="R82">INDEX(Technologieën[Besparing overige kosten (€/jaar)],MATCH(B82,IF(Technologieën[Zoeksleutel bronnummer]=G82,Technologieën[Digitale zorgtoepassing]),0))</f>
        <v>0</v>
      </c>
      <c r="S82" s="405" cm="1">
        <f t="array" ref="S82">INDEX(Technologieën[Jaarlijkse besparing zorgpersoneel (FTE)],MATCH(B82,IF(Technologieën[Zoeksleutel bronnummer]=G82,Technologieën[Digitale zorgtoepassing]),0))</f>
        <v>0</v>
      </c>
      <c r="T82" s="406" cm="1">
        <f t="array" ref="T82">(INDEX(Technologieën[QALY],MATCH(B82,IF(Technologieën[Zoeksleutel bronnummer]=G82,Technologieën[Digitale zorgtoepassing]),0)))</f>
        <v>0</v>
      </c>
      <c r="U82" s="407">
        <f>(uniforme_input[[#This Row],[Kostenbesparing door arbeidsbesparing p. patiënt (€/week)]]/uniforme_input[[#This Row],[Uurtarief]]*60) + (uniforme_input[[#This Row],[Totaal arbeidsbesparing onafhankelijk van patiënt (FTE)]]*40*60)/uniforme_input[[#This Row],[Patiëntaantallen]]</f>
        <v>0</v>
      </c>
      <c r="V82" s="407">
        <f>(uniforme_input[[#This Row],[Kostenbesparing per handeling (€)]]/uniforme_input[[#This Row],[Uurtarief]])*60</f>
        <v>0</v>
      </c>
      <c r="W82" s="398">
        <f>uniforme_input[[#This Row],[Overige kostenbesparing (Totaal €/jaar)]]/uniforme_input[[#This Row],[Patiëntaantallen]]</f>
        <v>0</v>
      </c>
      <c r="X82" s="408">
        <f>IF(uniforme_input[[#This Row],[Bron gebruiken voor opbrengsten?]]="Ja",uniforme_input[[#This Row],[Tijdsbesparing (min/week/patiënt) - gegeven]]+uniforme_input[[#This Row],[Tijdsbesparing (min/week/patiënt) berekend]],0)</f>
        <v>0</v>
      </c>
      <c r="Y82" s="407">
        <f>IF(uniforme_input[[#This Row],[Bron gebruiken voor opbrengsten?]]="Ja",uniforme_input[[#This Row],[Tijdsbesparing (min/handeling) - gegeven]]+uniforme_input[[#This Row],[Tijdsbesparing (min/handeling) berekend]],0)</f>
        <v>0</v>
      </c>
      <c r="Z82" s="409">
        <f>IF(uniforme_input[[#This Row],[Bron gebruiken voor opbrengsten?]]="Ja",uniforme_input[[#This Row],[Overige kostenbesparing (€/jaar/patiënt) - gegeven]]+uniforme_input[[#This Row],[Overige kostenbesparing (€/jaar/patiënt) berekend]],0)</f>
        <v>0</v>
      </c>
      <c r="AA82" s="403" cm="1">
        <f t="array" ref="AA82">INDEX(Technologieën[Jaarlijkse kosten p. patiënt],MATCH(B82,IF(Technologieën[Zoeksleutel bronnummer]=G82,Technologieën[Digitale zorgtoepassing]),0))</f>
        <v>285</v>
      </c>
      <c r="AB82" s="403" cm="1">
        <f t="array" ref="AB82">INDEX(Technologieën[Jaarlijkse kosten p. organisatie],MATCH(B82,IF(Technologieën[Zoeksleutel bronnummer]=G82,Technologieën[Digitale zorgtoepassing]),0))/uniforme_input[[#This Row],[Aantal doelgroepen waarop toepasbaar]]</f>
        <v>0</v>
      </c>
      <c r="AC82" s="403" cm="1">
        <f t="array" ref="AC82">INDEX(Technologieën[Jaarlijkse kosten (onafh. aantal patiënt/organisatie)],MATCH(B82,IF(Technologieën[Zoeksleutel bronnummer]=G82,Technologieën[Digitale zorgtoepassing]),0))/uniforme_input[[#This Row],[Aantal doelgroepen waarop toepasbaar]]</f>
        <v>0</v>
      </c>
      <c r="AD82" s="403" cm="1">
        <f t="array" ref="AD82">INDEX(Technologieën[Initiële investering (p. patiënt)],MATCH(B82,IF(Technologieën[Zoeksleutel bronnummer]=G82,Technologieën[Digitale zorgtoepassing]),0))</f>
        <v>195</v>
      </c>
      <c r="AE82" s="403" cm="1">
        <f t="array" ref="AE82">INDEX(Technologieën[Initiële investering (p. organisatie)],MATCH(B82,IF(Technologieën[Zoeksleutel bronnummer]=G82,Technologieën[Digitale zorgtoepassing]),0))</f>
        <v>0</v>
      </c>
      <c r="AF82"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82" s="398">
        <f>(uniforme_input[[#This Row],[Initiële investering per organisatie]]*uniforme_input[[#This Row],[Aantal organisaties]])/uniforme_input[[#This Row],[Patiëntaantallen]]</f>
        <v>0</v>
      </c>
      <c r="AH82" s="410">
        <f>IF(uniforme_input[[#This Row],[Bron gebruiken voor kosten/investering?]]="Ja",uniforme_input[[#This Row],[Jaarlijkse kosten per patiënt]] + uniforme_input[[#This Row],[Jaarlijkse kosten per patiënt berekend]],0)</f>
        <v>285</v>
      </c>
      <c r="AI82" s="409">
        <f>IF(uniforme_input[[#This Row],[Bron gebruiken voor kosten/investering?]]="Ja",uniforme_input[[#This Row],[Initiële investering per patiënt]]+uniforme_input[[#This Row],[Initiële investering per patiënt berekend]],0)</f>
        <v>195</v>
      </c>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row>
    <row r="83" spans="1:83" s="2" customFormat="1" x14ac:dyDescent="0.5">
      <c r="A83" s="51" t="str">
        <f>INDEX(Technologieën[Veld],MATCH(G83,Technologieën[Zoeksleutel bronnummer],0))</f>
        <v>Sensoren - Verpleging</v>
      </c>
      <c r="B83" s="33" t="s">
        <v>36</v>
      </c>
      <c r="C83" s="32" t="s">
        <v>391</v>
      </c>
      <c r="D83" s="32" t="s">
        <v>391</v>
      </c>
      <c r="E83" s="33" t="s">
        <v>20</v>
      </c>
      <c r="F83" s="33" t="str" cm="1">
        <f t="array" ref="F83">INDEX(Berekening_patiëntaantal[Direct toepasbaar/extrapolatie/incidentie voor QALY],MATCH(B83,IF(Berekening_patiëntaantal[Doelgroep (zoeksleutel)]=E83,Berekening_patiëntaantal[Digitale zorgtoepassing]),0))</f>
        <v>Huidige toepassing</v>
      </c>
      <c r="G83" s="33" t="s">
        <v>531</v>
      </c>
      <c r="H83" s="33" t="s">
        <v>144</v>
      </c>
      <c r="I83" s="403">
        <f>INDEX(Uurloon[Uurtarief zorgpersoneel],MATCH(H83,Uurloon[Zorgverlener],0))</f>
        <v>20.410632183908046</v>
      </c>
      <c r="J83" s="404" cm="1">
        <f t="array" ref="J83">INDEX(Berekening_patiëntaantal[Patiëntaantallen],MATCH(B83,IF(Berekening_patiëntaantal[Doelgroep (zoeksleutel)]=E83,Berekening_patiëntaantal[Digitale zorgtoepassing]),0))</f>
        <v>8704.35</v>
      </c>
      <c r="K83" s="404">
        <f>IFERROR(INDEX(aantal_organisaties[Aantal organisaties waarop toepasbaar],MATCH(B83,aantal_organisaties[Digitale zorgtoepassing],0)),0)</f>
        <v>0</v>
      </c>
      <c r="L83" s="397">
        <f>COUNTIF(uniforme_input[Doelgroep],E83)</f>
        <v>14</v>
      </c>
      <c r="M83" s="405" cm="1">
        <f t="array" ref="M83">INDEX(Technologieën[Tijdsbesparing p. patiënt (min/week)],MATCH(B83,IF(Technologieën[Zoeksleutel bronnummer]=G83,Technologieën[Digitale zorgtoepassing]),0))</f>
        <v>0</v>
      </c>
      <c r="N83" s="405" cm="1">
        <f t="array" ref="N83">INDEX(Technologieën[Tijdsbesparing per handeling (min)],MATCH(B83,IF(Technologieën[Zoeksleutel bronnummer]=G83,Technologieën[Digitale zorgtoepassing]),0))</f>
        <v>0</v>
      </c>
      <c r="O83" s="403" cm="1">
        <f t="array" ref="O83">INDEX(Technologieën[Besparing overige kosten (€/patiënt/jaar)],MATCH(B83,IF(Technologieën[Zoeksleutel bronnummer]=G83,Technologieën[Digitale zorgtoepassing]),0))</f>
        <v>649.81285714285707</v>
      </c>
      <c r="P83" s="403" cm="1">
        <f t="array" ref="P83">INDEX(Technologieën[Kostenbesparing p. patiënt door arbeidsbesparing (€/week)],MATCH(B83,IF(Technologieën[Zoeksleutel bronnummer]=G83,Technologieën[Digitale zorgtoepassing]),0))</f>
        <v>89.680054945054948</v>
      </c>
      <c r="Q83" s="403" cm="1">
        <f t="array" ref="Q83">INDEX(Technologieën[Kostenbesparing (personeel) per handeling (€)],MATCH(B83,IF(Technologieën[Zoeksleutel bronnummer]=G83,Technologieën[Digitale zorgtoepassing]),0))</f>
        <v>0</v>
      </c>
      <c r="R83" s="403" cm="1">
        <f t="array" ref="R83">INDEX(Technologieën[Besparing overige kosten (€/jaar)],MATCH(B83,IF(Technologieën[Zoeksleutel bronnummer]=G83,Technologieën[Digitale zorgtoepassing]),0))</f>
        <v>0</v>
      </c>
      <c r="S83" s="405" cm="1">
        <f t="array" ref="S83">INDEX(Technologieën[Jaarlijkse besparing zorgpersoneel (FTE)],MATCH(B83,IF(Technologieën[Zoeksleutel bronnummer]=G83,Technologieën[Digitale zorgtoepassing]),0))</f>
        <v>0</v>
      </c>
      <c r="T83" s="406" cm="1">
        <f t="array" ref="T83">(INDEX(Technologieën[QALY],MATCH(B83,IF(Technologieën[Zoeksleutel bronnummer]=G83,Technologieën[Digitale zorgtoepassing]),0)))</f>
        <v>0</v>
      </c>
      <c r="U83" s="407">
        <f>(uniforme_input[[#This Row],[Kostenbesparing door arbeidsbesparing p. patiënt (€/week)]]/uniforme_input[[#This Row],[Uurtarief]]*60) + (uniforme_input[[#This Row],[Totaal arbeidsbesparing onafhankelijk van patiënt (FTE)]]*40*60)/uniforme_input[[#This Row],[Patiëntaantallen]]</f>
        <v>263.62746867515341</v>
      </c>
      <c r="V83" s="407">
        <f>(uniforme_input[[#This Row],[Kostenbesparing per handeling (€)]]/uniforme_input[[#This Row],[Uurtarief]])*60</f>
        <v>0</v>
      </c>
      <c r="W83" s="398">
        <f>uniforme_input[[#This Row],[Overige kostenbesparing (Totaal €/jaar)]]/uniforme_input[[#This Row],[Patiëntaantallen]]</f>
        <v>0</v>
      </c>
      <c r="X83" s="408">
        <f>IF(uniforme_input[[#This Row],[Bron gebruiken voor opbrengsten?]]="Ja",uniforme_input[[#This Row],[Tijdsbesparing (min/week/patiënt) - gegeven]]+uniforme_input[[#This Row],[Tijdsbesparing (min/week/patiënt) berekend]],0)</f>
        <v>263.62746867515341</v>
      </c>
      <c r="Y83" s="407">
        <f>IF(uniforme_input[[#This Row],[Bron gebruiken voor opbrengsten?]]="Ja",uniforme_input[[#This Row],[Tijdsbesparing (min/handeling) - gegeven]]+uniforme_input[[#This Row],[Tijdsbesparing (min/handeling) berekend]],0)</f>
        <v>0</v>
      </c>
      <c r="Z83" s="409">
        <f>IF(uniforme_input[[#This Row],[Bron gebruiken voor opbrengsten?]]="Ja",uniforme_input[[#This Row],[Overige kostenbesparing (€/jaar/patiënt) - gegeven]]+uniforme_input[[#This Row],[Overige kostenbesparing (€/jaar/patiënt) berekend]],0)</f>
        <v>649.81285714285707</v>
      </c>
      <c r="AA83" s="403" cm="1">
        <f t="array" ref="AA83">INDEX(Technologieën[Jaarlijkse kosten p. patiënt],MATCH(B83,IF(Technologieën[Zoeksleutel bronnummer]=G83,Technologieën[Digitale zorgtoepassing]),0))</f>
        <v>1800</v>
      </c>
      <c r="AB83" s="403" cm="1">
        <f t="array" ref="AB83">INDEX(Technologieën[Jaarlijkse kosten p. organisatie],MATCH(B83,IF(Technologieën[Zoeksleutel bronnummer]=G83,Technologieën[Digitale zorgtoepassing]),0))/uniforme_input[[#This Row],[Aantal doelgroepen waarop toepasbaar]]</f>
        <v>0</v>
      </c>
      <c r="AC83" s="403" cm="1">
        <f t="array" ref="AC83">INDEX(Technologieën[Jaarlijkse kosten (onafh. aantal patiënt/organisatie)],MATCH(B83,IF(Technologieën[Zoeksleutel bronnummer]=G83,Technologieën[Digitale zorgtoepassing]),0))/uniforme_input[[#This Row],[Aantal doelgroepen waarop toepasbaar]]</f>
        <v>0</v>
      </c>
      <c r="AD83" s="403" cm="1">
        <f t="array" ref="AD83">INDEX(Technologieën[Initiële investering (p. patiënt)],MATCH(B83,IF(Technologieën[Zoeksleutel bronnummer]=G83,Technologieën[Digitale zorgtoepassing]),0))</f>
        <v>0</v>
      </c>
      <c r="AE83" s="403" cm="1">
        <f t="array" ref="AE83">INDEX(Technologieën[Initiële investering (p. organisatie)],MATCH(B83,IF(Technologieën[Zoeksleutel bronnummer]=G83,Technologieën[Digitale zorgtoepassing]),0))</f>
        <v>0</v>
      </c>
      <c r="AF83"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83" s="398">
        <f>(uniforme_input[[#This Row],[Initiële investering per organisatie]]*uniforme_input[[#This Row],[Aantal organisaties]])/uniforme_input[[#This Row],[Patiëntaantallen]]</f>
        <v>0</v>
      </c>
      <c r="AH83" s="410">
        <f>IF(uniforme_input[[#This Row],[Bron gebruiken voor kosten/investering?]]="Ja",uniforme_input[[#This Row],[Jaarlijkse kosten per patiënt]] + uniforme_input[[#This Row],[Jaarlijkse kosten per patiënt berekend]],0)</f>
        <v>1800</v>
      </c>
      <c r="AI83" s="409">
        <f>IF(uniforme_input[[#This Row],[Bron gebruiken voor kosten/investering?]]="Ja",uniforme_input[[#This Row],[Initiële investering per patiënt]]+uniforme_input[[#This Row],[Initiële investering per patiënt berekend]],0)</f>
        <v>0</v>
      </c>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row>
    <row r="84" spans="1:83" s="2" customFormat="1" x14ac:dyDescent="0.5">
      <c r="A84" s="51" t="str">
        <f>INDEX(Technologieën[Veld],MATCH(G84,Technologieën[Zoeksleutel bronnummer],0))</f>
        <v>Sensoren - Verpleging</v>
      </c>
      <c r="B84" s="33" t="s">
        <v>36</v>
      </c>
      <c r="C84" s="32" t="s">
        <v>391</v>
      </c>
      <c r="D84" s="32" t="s">
        <v>391</v>
      </c>
      <c r="E84" s="33" t="s">
        <v>20</v>
      </c>
      <c r="F84" s="33" t="str" cm="1">
        <f t="array" ref="F84">INDEX(Berekening_patiëntaantal[Direct toepasbaar/extrapolatie/incidentie voor QALY],MATCH(B84,IF(Berekening_patiëntaantal[Doelgroep (zoeksleutel)]=E84,Berekening_patiëntaantal[Digitale zorgtoepassing]),0))</f>
        <v>Huidige toepassing</v>
      </c>
      <c r="G84" s="33" t="s">
        <v>532</v>
      </c>
      <c r="H84" s="33" t="s">
        <v>144</v>
      </c>
      <c r="I84" s="403">
        <f>INDEX(Uurloon[Uurtarief zorgpersoneel],MATCH(H84,Uurloon[Zorgverlener],0))</f>
        <v>20.410632183908046</v>
      </c>
      <c r="J84" s="404" cm="1">
        <f t="array" ref="J84">INDEX(Berekening_patiëntaantal[Patiëntaantallen],MATCH(B84,IF(Berekening_patiëntaantal[Doelgroep (zoeksleutel)]=E84,Berekening_patiëntaantal[Digitale zorgtoepassing]),0))</f>
        <v>8704.35</v>
      </c>
      <c r="K84" s="404">
        <f>IFERROR(INDEX(aantal_organisaties[Aantal organisaties waarop toepasbaar],MATCH(B84,aantal_organisaties[Digitale zorgtoepassing],0)),0)</f>
        <v>0</v>
      </c>
      <c r="L84" s="397">
        <f>COUNTIF(uniforme_input[Doelgroep],E84)</f>
        <v>14</v>
      </c>
      <c r="M84" s="405" cm="1">
        <f t="array" ref="M84">INDEX(Technologieën[Tijdsbesparing p. patiënt (min/week)],MATCH(B84,IF(Technologieën[Zoeksleutel bronnummer]=G84,Technologieën[Digitale zorgtoepassing]),0))</f>
        <v>5</v>
      </c>
      <c r="N84" s="405" cm="1">
        <f t="array" ref="N84">INDEX(Technologieën[Tijdsbesparing per handeling (min)],MATCH(B84,IF(Technologieën[Zoeksleutel bronnummer]=G84,Technologieën[Digitale zorgtoepassing]),0))</f>
        <v>0</v>
      </c>
      <c r="O84" s="403" cm="1">
        <f t="array" ref="O84">INDEX(Technologieën[Besparing overige kosten (€/patiënt/jaar)],MATCH(B84,IF(Technologieën[Zoeksleutel bronnummer]=G84,Technologieën[Digitale zorgtoepassing]),0))</f>
        <v>299.17571428571426</v>
      </c>
      <c r="P84" s="403" cm="1">
        <f t="array" ref="P84">INDEX(Technologieën[Kostenbesparing p. patiënt door arbeidsbesparing (€/week)],MATCH(B84,IF(Technologieën[Zoeksleutel bronnummer]=G84,Technologieën[Digitale zorgtoepassing]),0))</f>
        <v>41.288956043956041</v>
      </c>
      <c r="Q84" s="403" cm="1">
        <f t="array" ref="Q84">INDEX(Technologieën[Kostenbesparing (personeel) per handeling (€)],MATCH(B84,IF(Technologieën[Zoeksleutel bronnummer]=G84,Technologieën[Digitale zorgtoepassing]),0))</f>
        <v>0</v>
      </c>
      <c r="R84" s="403" cm="1">
        <f t="array" ref="R84">INDEX(Technologieën[Besparing overige kosten (€/jaar)],MATCH(B84,IF(Technologieën[Zoeksleutel bronnummer]=G84,Technologieën[Digitale zorgtoepassing]),0))</f>
        <v>0</v>
      </c>
      <c r="S84" s="405" cm="1">
        <f t="array" ref="S84">INDEX(Technologieën[Jaarlijkse besparing zorgpersoneel (FTE)],MATCH(B84,IF(Technologieën[Zoeksleutel bronnummer]=G84,Technologieën[Digitale zorgtoepassing]),0))</f>
        <v>0</v>
      </c>
      <c r="T84" s="406" cm="1">
        <f t="array" ref="T84">(INDEX(Technologieën[QALY],MATCH(B84,IF(Technologieën[Zoeksleutel bronnummer]=G84,Technologieën[Digitale zorgtoepassing]),0)))</f>
        <v>0</v>
      </c>
      <c r="U84" s="407">
        <f>(uniforme_input[[#This Row],[Kostenbesparing door arbeidsbesparing p. patiënt (€/week)]]/uniforme_input[[#This Row],[Uurtarief]]*60) + (uniforme_input[[#This Row],[Totaal arbeidsbesparing onafhankelijk van patiënt (FTE)]]*40*60)/uniforme_input[[#This Row],[Patiëntaantallen]]</f>
        <v>121.37484720294557</v>
      </c>
      <c r="V84" s="407">
        <f>(uniforme_input[[#This Row],[Kostenbesparing per handeling (€)]]/uniforme_input[[#This Row],[Uurtarief]])*60</f>
        <v>0</v>
      </c>
      <c r="W84" s="398">
        <f>uniforme_input[[#This Row],[Overige kostenbesparing (Totaal €/jaar)]]/uniforme_input[[#This Row],[Patiëntaantallen]]</f>
        <v>0</v>
      </c>
      <c r="X84" s="408">
        <f>IF(uniforme_input[[#This Row],[Bron gebruiken voor opbrengsten?]]="Ja",uniforme_input[[#This Row],[Tijdsbesparing (min/week/patiënt) - gegeven]]+uniforme_input[[#This Row],[Tijdsbesparing (min/week/patiënt) berekend]],0)</f>
        <v>126.37484720294557</v>
      </c>
      <c r="Y84" s="407">
        <f>IF(uniforme_input[[#This Row],[Bron gebruiken voor opbrengsten?]]="Ja",uniforme_input[[#This Row],[Tijdsbesparing (min/handeling) - gegeven]]+uniforme_input[[#This Row],[Tijdsbesparing (min/handeling) berekend]],0)</f>
        <v>0</v>
      </c>
      <c r="Z84" s="409">
        <f>IF(uniforme_input[[#This Row],[Bron gebruiken voor opbrengsten?]]="Ja",uniforme_input[[#This Row],[Overige kostenbesparing (€/jaar/patiënt) - gegeven]]+uniforme_input[[#This Row],[Overige kostenbesparing (€/jaar/patiënt) berekend]],0)</f>
        <v>299.17571428571426</v>
      </c>
      <c r="AA84" s="403" cm="1">
        <f t="array" ref="AA84">INDEX(Technologieën[Jaarlijkse kosten p. patiënt],MATCH(B84,IF(Technologieën[Zoeksleutel bronnummer]=G84,Technologieën[Digitale zorgtoepassing]),0))</f>
        <v>1956</v>
      </c>
      <c r="AB84" s="403" cm="1">
        <f t="array" ref="AB84">INDEX(Technologieën[Jaarlijkse kosten p. organisatie],MATCH(B84,IF(Technologieën[Zoeksleutel bronnummer]=G84,Technologieën[Digitale zorgtoepassing]),0))/uniforme_input[[#This Row],[Aantal doelgroepen waarop toepasbaar]]</f>
        <v>0</v>
      </c>
      <c r="AC84" s="403" cm="1">
        <f t="array" ref="AC84">INDEX(Technologieën[Jaarlijkse kosten (onafh. aantal patiënt/organisatie)],MATCH(B84,IF(Technologieën[Zoeksleutel bronnummer]=G84,Technologieën[Digitale zorgtoepassing]),0))/uniforme_input[[#This Row],[Aantal doelgroepen waarop toepasbaar]]</f>
        <v>0</v>
      </c>
      <c r="AD84" s="403" cm="1">
        <f t="array" ref="AD84">INDEX(Technologieën[Initiële investering (p. patiënt)],MATCH(B84,IF(Technologieën[Zoeksleutel bronnummer]=G84,Technologieën[Digitale zorgtoepassing]),0))</f>
        <v>0</v>
      </c>
      <c r="AE84" s="403" cm="1">
        <f t="array" ref="AE84">INDEX(Technologieën[Initiële investering (p. organisatie)],MATCH(B84,IF(Technologieën[Zoeksleutel bronnummer]=G84,Technologieën[Digitale zorgtoepassing]),0))</f>
        <v>0</v>
      </c>
      <c r="AF84"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84" s="398">
        <f>(uniforme_input[[#This Row],[Initiële investering per organisatie]]*uniforme_input[[#This Row],[Aantal organisaties]])/uniforme_input[[#This Row],[Patiëntaantallen]]</f>
        <v>0</v>
      </c>
      <c r="AH84" s="410">
        <f>IF(uniforme_input[[#This Row],[Bron gebruiken voor kosten/investering?]]="Ja",uniforme_input[[#This Row],[Jaarlijkse kosten per patiënt]] + uniforme_input[[#This Row],[Jaarlijkse kosten per patiënt berekend]],0)</f>
        <v>1956</v>
      </c>
      <c r="AI84" s="409">
        <f>IF(uniforme_input[[#This Row],[Bron gebruiken voor kosten/investering?]]="Ja",uniforme_input[[#This Row],[Initiële investering per patiënt]]+uniforme_input[[#This Row],[Initiële investering per patiënt berekend]],0)</f>
        <v>0</v>
      </c>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row>
    <row r="85" spans="1:83" s="2" customFormat="1" x14ac:dyDescent="0.5">
      <c r="A85" s="51" t="str">
        <f>INDEX(Technologieën[Veld],MATCH(G85,Technologieën[Zoeksleutel bronnummer],0))</f>
        <v>Sensoren - Verpleging</v>
      </c>
      <c r="B85" s="33" t="s">
        <v>36</v>
      </c>
      <c r="C85" s="32" t="s">
        <v>391</v>
      </c>
      <c r="D85" s="32" t="s">
        <v>391</v>
      </c>
      <c r="E85" s="33" t="s">
        <v>27</v>
      </c>
      <c r="F85" s="33" t="str" cm="1">
        <f t="array" ref="F85">INDEX(Berekening_patiëntaantal[Direct toepasbaar/extrapolatie/incidentie voor QALY],MATCH(B85,IF(Berekening_patiëntaantal[Doelgroep (zoeksleutel)]=E85,Berekening_patiëntaantal[Digitale zorgtoepassing]),0))</f>
        <v>Extrapolatie</v>
      </c>
      <c r="G85" s="33" t="s">
        <v>531</v>
      </c>
      <c r="H85" s="33" t="s">
        <v>144</v>
      </c>
      <c r="I85" s="403">
        <f>INDEX(Uurloon[Uurtarief zorgpersoneel],MATCH(H85,Uurloon[Zorgverlener],0))</f>
        <v>20.410632183908046</v>
      </c>
      <c r="J85" s="404" cm="1">
        <f t="array" ref="J85">INDEX(Berekening_patiëntaantal[Patiëntaantallen],MATCH(B85,IF(Berekening_patiëntaantal[Doelgroep (zoeksleutel)]=E85,Berekening_patiëntaantal[Digitale zorgtoepassing]),0))</f>
        <v>9521.9999999999982</v>
      </c>
      <c r="K85" s="404">
        <f>IFERROR(INDEX(aantal_organisaties[Aantal organisaties waarop toepasbaar],MATCH(B85,aantal_organisaties[Digitale zorgtoepassing],0)),0)</f>
        <v>0</v>
      </c>
      <c r="L85" s="397">
        <f>COUNTIF(uniforme_input[Doelgroep],E85)</f>
        <v>12</v>
      </c>
      <c r="M85" s="405" cm="1">
        <f t="array" ref="M85">INDEX(Technologieën[Tijdsbesparing p. patiënt (min/week)],MATCH(B85,IF(Technologieën[Zoeksleutel bronnummer]=G85,Technologieën[Digitale zorgtoepassing]),0))</f>
        <v>0</v>
      </c>
      <c r="N85" s="405" cm="1">
        <f t="array" ref="N85">INDEX(Technologieën[Tijdsbesparing per handeling (min)],MATCH(B85,IF(Technologieën[Zoeksleutel bronnummer]=G85,Technologieën[Digitale zorgtoepassing]),0))</f>
        <v>0</v>
      </c>
      <c r="O85" s="403" cm="1">
        <f t="array" ref="O85">INDEX(Technologieën[Besparing overige kosten (€/patiënt/jaar)],MATCH(B85,IF(Technologieën[Zoeksleutel bronnummer]=G85,Technologieën[Digitale zorgtoepassing]),0))</f>
        <v>649.81285714285707</v>
      </c>
      <c r="P85" s="403" cm="1">
        <f t="array" ref="P85">INDEX(Technologieën[Kostenbesparing p. patiënt door arbeidsbesparing (€/week)],MATCH(B85,IF(Technologieën[Zoeksleutel bronnummer]=G85,Technologieën[Digitale zorgtoepassing]),0))</f>
        <v>89.680054945054948</v>
      </c>
      <c r="Q85" s="403" cm="1">
        <f t="array" ref="Q85">INDEX(Technologieën[Kostenbesparing (personeel) per handeling (€)],MATCH(B85,IF(Technologieën[Zoeksleutel bronnummer]=G85,Technologieën[Digitale zorgtoepassing]),0))</f>
        <v>0</v>
      </c>
      <c r="R85" s="403" cm="1">
        <f t="array" ref="R85">INDEX(Technologieën[Besparing overige kosten (€/jaar)],MATCH(B85,IF(Technologieën[Zoeksleutel bronnummer]=G85,Technologieën[Digitale zorgtoepassing]),0))</f>
        <v>0</v>
      </c>
      <c r="S85" s="405" cm="1">
        <f t="array" ref="S85">INDEX(Technologieën[Jaarlijkse besparing zorgpersoneel (FTE)],MATCH(B85,IF(Technologieën[Zoeksleutel bronnummer]=G85,Technologieën[Digitale zorgtoepassing]),0))</f>
        <v>0</v>
      </c>
      <c r="T85" s="406" cm="1">
        <f t="array" ref="T85">(INDEX(Technologieën[QALY],MATCH(B85,IF(Technologieën[Zoeksleutel bronnummer]=G85,Technologieën[Digitale zorgtoepassing]),0)))</f>
        <v>0</v>
      </c>
      <c r="U85" s="407">
        <f>(uniforme_input[[#This Row],[Kostenbesparing door arbeidsbesparing p. patiënt (€/week)]]/uniforme_input[[#This Row],[Uurtarief]]*60) + (uniforme_input[[#This Row],[Totaal arbeidsbesparing onafhankelijk van patiënt (FTE)]]*40*60)/uniforme_input[[#This Row],[Patiëntaantallen]]</f>
        <v>263.62746867515341</v>
      </c>
      <c r="V85" s="407">
        <f>(uniforme_input[[#This Row],[Kostenbesparing per handeling (€)]]/uniforme_input[[#This Row],[Uurtarief]])*60</f>
        <v>0</v>
      </c>
      <c r="W85" s="398">
        <f>uniforme_input[[#This Row],[Overige kostenbesparing (Totaal €/jaar)]]/uniforme_input[[#This Row],[Patiëntaantallen]]</f>
        <v>0</v>
      </c>
      <c r="X85" s="408">
        <f>IF(uniforme_input[[#This Row],[Bron gebruiken voor opbrengsten?]]="Ja",uniforme_input[[#This Row],[Tijdsbesparing (min/week/patiënt) - gegeven]]+uniforme_input[[#This Row],[Tijdsbesparing (min/week/patiënt) berekend]],0)</f>
        <v>263.62746867515341</v>
      </c>
      <c r="Y85" s="407">
        <f>IF(uniforme_input[[#This Row],[Bron gebruiken voor opbrengsten?]]="Ja",uniforme_input[[#This Row],[Tijdsbesparing (min/handeling) - gegeven]]+uniforme_input[[#This Row],[Tijdsbesparing (min/handeling) berekend]],0)</f>
        <v>0</v>
      </c>
      <c r="Z85" s="409">
        <f>IF(uniforme_input[[#This Row],[Bron gebruiken voor opbrengsten?]]="Ja",uniforme_input[[#This Row],[Overige kostenbesparing (€/jaar/patiënt) - gegeven]]+uniforme_input[[#This Row],[Overige kostenbesparing (€/jaar/patiënt) berekend]],0)</f>
        <v>649.81285714285707</v>
      </c>
      <c r="AA85" s="403" cm="1">
        <f t="array" ref="AA85">INDEX(Technologieën[Jaarlijkse kosten p. patiënt],MATCH(B85,IF(Technologieën[Zoeksleutel bronnummer]=G85,Technologieën[Digitale zorgtoepassing]),0))</f>
        <v>1800</v>
      </c>
      <c r="AB85" s="403" cm="1">
        <f t="array" ref="AB85">INDEX(Technologieën[Jaarlijkse kosten p. organisatie],MATCH(B85,IF(Technologieën[Zoeksleutel bronnummer]=G85,Technologieën[Digitale zorgtoepassing]),0))/uniforme_input[[#This Row],[Aantal doelgroepen waarop toepasbaar]]</f>
        <v>0</v>
      </c>
      <c r="AC85" s="403" cm="1">
        <f t="array" ref="AC85">INDEX(Technologieën[Jaarlijkse kosten (onafh. aantal patiënt/organisatie)],MATCH(B85,IF(Technologieën[Zoeksleutel bronnummer]=G85,Technologieën[Digitale zorgtoepassing]),0))/uniforme_input[[#This Row],[Aantal doelgroepen waarop toepasbaar]]</f>
        <v>0</v>
      </c>
      <c r="AD85" s="403" cm="1">
        <f t="array" ref="AD85">INDEX(Technologieën[Initiële investering (p. patiënt)],MATCH(B85,IF(Technologieën[Zoeksleutel bronnummer]=G85,Technologieën[Digitale zorgtoepassing]),0))</f>
        <v>0</v>
      </c>
      <c r="AE85" s="403" cm="1">
        <f t="array" ref="AE85">INDEX(Technologieën[Initiële investering (p. organisatie)],MATCH(B85,IF(Technologieën[Zoeksleutel bronnummer]=G85,Technologieën[Digitale zorgtoepassing]),0))</f>
        <v>0</v>
      </c>
      <c r="AF85"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85" s="398">
        <f>(uniforme_input[[#This Row],[Initiële investering per organisatie]]*uniforme_input[[#This Row],[Aantal organisaties]])/uniforme_input[[#This Row],[Patiëntaantallen]]</f>
        <v>0</v>
      </c>
      <c r="AH85" s="410">
        <f>IF(uniforme_input[[#This Row],[Bron gebruiken voor kosten/investering?]]="Ja",uniforme_input[[#This Row],[Jaarlijkse kosten per patiënt]] + uniforme_input[[#This Row],[Jaarlijkse kosten per patiënt berekend]],0)</f>
        <v>1800</v>
      </c>
      <c r="AI85" s="409">
        <f>IF(uniforme_input[[#This Row],[Bron gebruiken voor kosten/investering?]]="Ja",uniforme_input[[#This Row],[Initiële investering per patiënt]]+uniforme_input[[#This Row],[Initiële investering per patiënt berekend]],0)</f>
        <v>0</v>
      </c>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row>
    <row r="86" spans="1:83" s="2" customFormat="1" x14ac:dyDescent="0.5">
      <c r="A86" s="51" t="str">
        <f>INDEX(Technologieën[Veld],MATCH(G86,Technologieën[Zoeksleutel bronnummer],0))</f>
        <v>Sensoren - Verpleging</v>
      </c>
      <c r="B86" s="33" t="s">
        <v>36</v>
      </c>
      <c r="C86" s="32" t="s">
        <v>391</v>
      </c>
      <c r="D86" s="32" t="s">
        <v>391</v>
      </c>
      <c r="E86" s="33" t="s">
        <v>27</v>
      </c>
      <c r="F86" s="33" t="str" cm="1">
        <f t="array" ref="F86">INDEX(Berekening_patiëntaantal[Direct toepasbaar/extrapolatie/incidentie voor QALY],MATCH(B86,IF(Berekening_patiëntaantal[Doelgroep (zoeksleutel)]=E86,Berekening_patiëntaantal[Digitale zorgtoepassing]),0))</f>
        <v>Extrapolatie</v>
      </c>
      <c r="G86" s="33" t="s">
        <v>532</v>
      </c>
      <c r="H86" s="33" t="s">
        <v>144</v>
      </c>
      <c r="I86" s="403">
        <f>INDEX(Uurloon[Uurtarief zorgpersoneel],MATCH(H86,Uurloon[Zorgverlener],0))</f>
        <v>20.410632183908046</v>
      </c>
      <c r="J86" s="404" cm="1">
        <f t="array" ref="J86">INDEX(Berekening_patiëntaantal[Patiëntaantallen],MATCH(B86,IF(Berekening_patiëntaantal[Doelgroep (zoeksleutel)]=E86,Berekening_patiëntaantal[Digitale zorgtoepassing]),0))</f>
        <v>9521.9999999999982</v>
      </c>
      <c r="K86" s="404">
        <f>IFERROR(INDEX(aantal_organisaties[Aantal organisaties waarop toepasbaar],MATCH(B86,aantal_organisaties[Digitale zorgtoepassing],0)),0)</f>
        <v>0</v>
      </c>
      <c r="L86" s="397">
        <f>COUNTIF(uniforme_input[Doelgroep],E86)</f>
        <v>12</v>
      </c>
      <c r="M86" s="405" cm="1">
        <f t="array" ref="M86">INDEX(Technologieën[Tijdsbesparing p. patiënt (min/week)],MATCH(B86,IF(Technologieën[Zoeksleutel bronnummer]=G86,Technologieën[Digitale zorgtoepassing]),0))</f>
        <v>5</v>
      </c>
      <c r="N86" s="405" cm="1">
        <f t="array" ref="N86">INDEX(Technologieën[Tijdsbesparing per handeling (min)],MATCH(B86,IF(Technologieën[Zoeksleutel bronnummer]=G86,Technologieën[Digitale zorgtoepassing]),0))</f>
        <v>0</v>
      </c>
      <c r="O86" s="403" cm="1">
        <f t="array" ref="O86">INDEX(Technologieën[Besparing overige kosten (€/patiënt/jaar)],MATCH(B86,IF(Technologieën[Zoeksleutel bronnummer]=G86,Technologieën[Digitale zorgtoepassing]),0))</f>
        <v>299.17571428571426</v>
      </c>
      <c r="P86" s="403" cm="1">
        <f t="array" ref="P86">INDEX(Technologieën[Kostenbesparing p. patiënt door arbeidsbesparing (€/week)],MATCH(B86,IF(Technologieën[Zoeksleutel bronnummer]=G86,Technologieën[Digitale zorgtoepassing]),0))</f>
        <v>41.288956043956041</v>
      </c>
      <c r="Q86" s="403" cm="1">
        <f t="array" ref="Q86">INDEX(Technologieën[Kostenbesparing (personeel) per handeling (€)],MATCH(B86,IF(Technologieën[Zoeksleutel bronnummer]=G86,Technologieën[Digitale zorgtoepassing]),0))</f>
        <v>0</v>
      </c>
      <c r="R86" s="403" cm="1">
        <f t="array" ref="R86">INDEX(Technologieën[Besparing overige kosten (€/jaar)],MATCH(B86,IF(Technologieën[Zoeksleutel bronnummer]=G86,Technologieën[Digitale zorgtoepassing]),0))</f>
        <v>0</v>
      </c>
      <c r="S86" s="405" cm="1">
        <f t="array" ref="S86">INDEX(Technologieën[Jaarlijkse besparing zorgpersoneel (FTE)],MATCH(B86,IF(Technologieën[Zoeksleutel bronnummer]=G86,Technologieën[Digitale zorgtoepassing]),0))</f>
        <v>0</v>
      </c>
      <c r="T86" s="406" cm="1">
        <f t="array" ref="T86">(INDEX(Technologieën[QALY],MATCH(B86,IF(Technologieën[Zoeksleutel bronnummer]=G86,Technologieën[Digitale zorgtoepassing]),0)))</f>
        <v>0</v>
      </c>
      <c r="U86" s="407">
        <f>(uniforme_input[[#This Row],[Kostenbesparing door arbeidsbesparing p. patiënt (€/week)]]/uniforme_input[[#This Row],[Uurtarief]]*60) + (uniforme_input[[#This Row],[Totaal arbeidsbesparing onafhankelijk van patiënt (FTE)]]*40*60)/uniforme_input[[#This Row],[Patiëntaantallen]]</f>
        <v>121.37484720294557</v>
      </c>
      <c r="V86" s="407">
        <f>(uniforme_input[[#This Row],[Kostenbesparing per handeling (€)]]/uniforme_input[[#This Row],[Uurtarief]])*60</f>
        <v>0</v>
      </c>
      <c r="W86" s="398">
        <f>uniforme_input[[#This Row],[Overige kostenbesparing (Totaal €/jaar)]]/uniforme_input[[#This Row],[Patiëntaantallen]]</f>
        <v>0</v>
      </c>
      <c r="X86" s="408">
        <f>IF(uniforme_input[[#This Row],[Bron gebruiken voor opbrengsten?]]="Ja",uniforme_input[[#This Row],[Tijdsbesparing (min/week/patiënt) - gegeven]]+uniforme_input[[#This Row],[Tijdsbesparing (min/week/patiënt) berekend]],0)</f>
        <v>126.37484720294557</v>
      </c>
      <c r="Y86" s="407">
        <f>IF(uniforme_input[[#This Row],[Bron gebruiken voor opbrengsten?]]="Ja",uniforme_input[[#This Row],[Tijdsbesparing (min/handeling) - gegeven]]+uniforme_input[[#This Row],[Tijdsbesparing (min/handeling) berekend]],0)</f>
        <v>0</v>
      </c>
      <c r="Z86" s="409">
        <f>IF(uniforme_input[[#This Row],[Bron gebruiken voor opbrengsten?]]="Ja",uniforme_input[[#This Row],[Overige kostenbesparing (€/jaar/patiënt) - gegeven]]+uniforme_input[[#This Row],[Overige kostenbesparing (€/jaar/patiënt) berekend]],0)</f>
        <v>299.17571428571426</v>
      </c>
      <c r="AA86" s="403" cm="1">
        <f t="array" ref="AA86">INDEX(Technologieën[Jaarlijkse kosten p. patiënt],MATCH(B86,IF(Technologieën[Zoeksleutel bronnummer]=G86,Technologieën[Digitale zorgtoepassing]),0))</f>
        <v>1956</v>
      </c>
      <c r="AB86" s="403" cm="1">
        <f t="array" ref="AB86">INDEX(Technologieën[Jaarlijkse kosten p. organisatie],MATCH(B86,IF(Technologieën[Zoeksleutel bronnummer]=G86,Technologieën[Digitale zorgtoepassing]),0))/uniforme_input[[#This Row],[Aantal doelgroepen waarop toepasbaar]]</f>
        <v>0</v>
      </c>
      <c r="AC86" s="403" cm="1">
        <f t="array" ref="AC86">INDEX(Technologieën[Jaarlijkse kosten (onafh. aantal patiënt/organisatie)],MATCH(B86,IF(Technologieën[Zoeksleutel bronnummer]=G86,Technologieën[Digitale zorgtoepassing]),0))/uniforme_input[[#This Row],[Aantal doelgroepen waarop toepasbaar]]</f>
        <v>0</v>
      </c>
      <c r="AD86" s="403" cm="1">
        <f t="array" ref="AD86">INDEX(Technologieën[Initiële investering (p. patiënt)],MATCH(B86,IF(Technologieën[Zoeksleutel bronnummer]=G86,Technologieën[Digitale zorgtoepassing]),0))</f>
        <v>0</v>
      </c>
      <c r="AE86" s="403" cm="1">
        <f t="array" ref="AE86">INDEX(Technologieën[Initiële investering (p. organisatie)],MATCH(B86,IF(Technologieën[Zoeksleutel bronnummer]=G86,Technologieën[Digitale zorgtoepassing]),0))</f>
        <v>0</v>
      </c>
      <c r="AF86"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86" s="398">
        <f>(uniforme_input[[#This Row],[Initiële investering per organisatie]]*uniforme_input[[#This Row],[Aantal organisaties]])/uniforme_input[[#This Row],[Patiëntaantallen]]</f>
        <v>0</v>
      </c>
      <c r="AH86" s="410">
        <f>IF(uniforme_input[[#This Row],[Bron gebruiken voor kosten/investering?]]="Ja",uniforme_input[[#This Row],[Jaarlijkse kosten per patiënt]] + uniforme_input[[#This Row],[Jaarlijkse kosten per patiënt berekend]],0)</f>
        <v>1956</v>
      </c>
      <c r="AI86" s="409">
        <f>IF(uniforme_input[[#This Row],[Bron gebruiken voor kosten/investering?]]="Ja",uniforme_input[[#This Row],[Initiële investering per patiënt]]+uniforme_input[[#This Row],[Initiële investering per patiënt berekend]],0)</f>
        <v>0</v>
      </c>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row>
    <row r="87" spans="1:83" s="2" customFormat="1" x14ac:dyDescent="0.5">
      <c r="A87" s="51" t="str">
        <f>INDEX(Technologieën[Veld],MATCH(G87,Technologieën[Zoeksleutel bronnummer],0))</f>
        <v>Sensoren - Verpleging</v>
      </c>
      <c r="B87" s="33" t="s">
        <v>36</v>
      </c>
      <c r="C87" s="32" t="s">
        <v>391</v>
      </c>
      <c r="D87" s="32" t="s">
        <v>391</v>
      </c>
      <c r="E87" s="33" t="s">
        <v>24</v>
      </c>
      <c r="F87" s="33" t="str" cm="1">
        <f t="array" ref="F87">INDEX(Berekening_patiëntaantal[Direct toepasbaar/extrapolatie/incidentie voor QALY],MATCH(B87,IF(Berekening_patiëntaantal[Doelgroep (zoeksleutel)]=E87,Berekening_patiëntaantal[Digitale zorgtoepassing]),0))</f>
        <v>Extrapolatie</v>
      </c>
      <c r="G87" s="33" t="s">
        <v>531</v>
      </c>
      <c r="H87" s="33" t="s">
        <v>144</v>
      </c>
      <c r="I87" s="403">
        <f>INDEX(Uurloon[Uurtarief zorgpersoneel],MATCH(H87,Uurloon[Zorgverlener],0))</f>
        <v>20.410632183908046</v>
      </c>
      <c r="J87" s="404" cm="1">
        <f t="array" ref="J87">INDEX(Berekening_patiëntaantal[Patiëntaantallen],MATCH(B87,IF(Berekening_patiëntaantal[Doelgroep (zoeksleutel)]=E87,Berekening_patiëntaantal[Digitale zorgtoepassing]),0))</f>
        <v>3203.9279999999999</v>
      </c>
      <c r="K87" s="404">
        <f>IFERROR(INDEX(aantal_organisaties[Aantal organisaties waarop toepasbaar],MATCH(B87,aantal_organisaties[Digitale zorgtoepassing],0)),0)</f>
        <v>0</v>
      </c>
      <c r="L87" s="397">
        <f>COUNTIF(uniforme_input[Doelgroep],E87)</f>
        <v>12</v>
      </c>
      <c r="M87" s="405" cm="1">
        <f t="array" ref="M87">INDEX(Technologieën[Tijdsbesparing p. patiënt (min/week)],MATCH(B87,IF(Technologieën[Zoeksleutel bronnummer]=G87,Technologieën[Digitale zorgtoepassing]),0))</f>
        <v>0</v>
      </c>
      <c r="N87" s="405" cm="1">
        <f t="array" ref="N87">INDEX(Technologieën[Tijdsbesparing per handeling (min)],MATCH(B87,IF(Technologieën[Zoeksleutel bronnummer]=G87,Technologieën[Digitale zorgtoepassing]),0))</f>
        <v>0</v>
      </c>
      <c r="O87" s="403" cm="1">
        <f t="array" ref="O87">INDEX(Technologieën[Besparing overige kosten (€/patiënt/jaar)],MATCH(B87,IF(Technologieën[Zoeksleutel bronnummer]=G87,Technologieën[Digitale zorgtoepassing]),0))</f>
        <v>649.81285714285707</v>
      </c>
      <c r="P87" s="403" cm="1">
        <f t="array" ref="P87">INDEX(Technologieën[Kostenbesparing p. patiënt door arbeidsbesparing (€/week)],MATCH(B87,IF(Technologieën[Zoeksleutel bronnummer]=G87,Technologieën[Digitale zorgtoepassing]),0))</f>
        <v>89.680054945054948</v>
      </c>
      <c r="Q87" s="403" cm="1">
        <f t="array" ref="Q87">INDEX(Technologieën[Kostenbesparing (personeel) per handeling (€)],MATCH(B87,IF(Technologieën[Zoeksleutel bronnummer]=G87,Technologieën[Digitale zorgtoepassing]),0))</f>
        <v>0</v>
      </c>
      <c r="R87" s="403" cm="1">
        <f t="array" ref="R87">INDEX(Technologieën[Besparing overige kosten (€/jaar)],MATCH(B87,IF(Technologieën[Zoeksleutel bronnummer]=G87,Technologieën[Digitale zorgtoepassing]),0))</f>
        <v>0</v>
      </c>
      <c r="S87" s="405" cm="1">
        <f t="array" ref="S87">INDEX(Technologieën[Jaarlijkse besparing zorgpersoneel (FTE)],MATCH(B87,IF(Technologieën[Zoeksleutel bronnummer]=G87,Technologieën[Digitale zorgtoepassing]),0))</f>
        <v>0</v>
      </c>
      <c r="T87" s="406" cm="1">
        <f t="array" ref="T87">(INDEX(Technologieën[QALY],MATCH(B87,IF(Technologieën[Zoeksleutel bronnummer]=G87,Technologieën[Digitale zorgtoepassing]),0)))</f>
        <v>0</v>
      </c>
      <c r="U87" s="407">
        <f>(uniforme_input[[#This Row],[Kostenbesparing door arbeidsbesparing p. patiënt (€/week)]]/uniforme_input[[#This Row],[Uurtarief]]*60) + (uniforme_input[[#This Row],[Totaal arbeidsbesparing onafhankelijk van patiënt (FTE)]]*40*60)/uniforme_input[[#This Row],[Patiëntaantallen]]</f>
        <v>263.62746867515341</v>
      </c>
      <c r="V87" s="407">
        <f>(uniforme_input[[#This Row],[Kostenbesparing per handeling (€)]]/uniforme_input[[#This Row],[Uurtarief]])*60</f>
        <v>0</v>
      </c>
      <c r="W87" s="398">
        <f>uniforme_input[[#This Row],[Overige kostenbesparing (Totaal €/jaar)]]/uniforme_input[[#This Row],[Patiëntaantallen]]</f>
        <v>0</v>
      </c>
      <c r="X87" s="408">
        <f>IF(uniforme_input[[#This Row],[Bron gebruiken voor opbrengsten?]]="Ja",uniforme_input[[#This Row],[Tijdsbesparing (min/week/patiënt) - gegeven]]+uniforme_input[[#This Row],[Tijdsbesparing (min/week/patiënt) berekend]],0)</f>
        <v>263.62746867515341</v>
      </c>
      <c r="Y87" s="407">
        <f>IF(uniforme_input[[#This Row],[Bron gebruiken voor opbrengsten?]]="Ja",uniforme_input[[#This Row],[Tijdsbesparing (min/handeling) - gegeven]]+uniforme_input[[#This Row],[Tijdsbesparing (min/handeling) berekend]],0)</f>
        <v>0</v>
      </c>
      <c r="Z87" s="409">
        <f>IF(uniforme_input[[#This Row],[Bron gebruiken voor opbrengsten?]]="Ja",uniforme_input[[#This Row],[Overige kostenbesparing (€/jaar/patiënt) - gegeven]]+uniforme_input[[#This Row],[Overige kostenbesparing (€/jaar/patiënt) berekend]],0)</f>
        <v>649.81285714285707</v>
      </c>
      <c r="AA87" s="403" cm="1">
        <f t="array" ref="AA87">INDEX(Technologieën[Jaarlijkse kosten p. patiënt],MATCH(B87,IF(Technologieën[Zoeksleutel bronnummer]=G87,Technologieën[Digitale zorgtoepassing]),0))</f>
        <v>1800</v>
      </c>
      <c r="AB87" s="403" cm="1">
        <f t="array" ref="AB87">INDEX(Technologieën[Jaarlijkse kosten p. organisatie],MATCH(B87,IF(Technologieën[Zoeksleutel bronnummer]=G87,Technologieën[Digitale zorgtoepassing]),0))/uniforme_input[[#This Row],[Aantal doelgroepen waarop toepasbaar]]</f>
        <v>0</v>
      </c>
      <c r="AC87" s="403" cm="1">
        <f t="array" ref="AC87">INDEX(Technologieën[Jaarlijkse kosten (onafh. aantal patiënt/organisatie)],MATCH(B87,IF(Technologieën[Zoeksleutel bronnummer]=G87,Technologieën[Digitale zorgtoepassing]),0))/uniforme_input[[#This Row],[Aantal doelgroepen waarop toepasbaar]]</f>
        <v>0</v>
      </c>
      <c r="AD87" s="403" cm="1">
        <f t="array" ref="AD87">INDEX(Technologieën[Initiële investering (p. patiënt)],MATCH(B87,IF(Technologieën[Zoeksleutel bronnummer]=G87,Technologieën[Digitale zorgtoepassing]),0))</f>
        <v>0</v>
      </c>
      <c r="AE87" s="403" cm="1">
        <f t="array" ref="AE87">INDEX(Technologieën[Initiële investering (p. organisatie)],MATCH(B87,IF(Technologieën[Zoeksleutel bronnummer]=G87,Technologieën[Digitale zorgtoepassing]),0))</f>
        <v>0</v>
      </c>
      <c r="AF87"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87" s="398">
        <f>(uniforme_input[[#This Row],[Initiële investering per organisatie]]*uniforme_input[[#This Row],[Aantal organisaties]])/uniforme_input[[#This Row],[Patiëntaantallen]]</f>
        <v>0</v>
      </c>
      <c r="AH87" s="410">
        <f>IF(uniforme_input[[#This Row],[Bron gebruiken voor kosten/investering?]]="Ja",uniforme_input[[#This Row],[Jaarlijkse kosten per patiënt]] + uniforme_input[[#This Row],[Jaarlijkse kosten per patiënt berekend]],0)</f>
        <v>1800</v>
      </c>
      <c r="AI87" s="409">
        <f>IF(uniforme_input[[#This Row],[Bron gebruiken voor kosten/investering?]]="Ja",uniforme_input[[#This Row],[Initiële investering per patiënt]]+uniforme_input[[#This Row],[Initiële investering per patiënt berekend]],0)</f>
        <v>0</v>
      </c>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row>
    <row r="88" spans="1:83" s="2" customFormat="1" x14ac:dyDescent="0.5">
      <c r="A88" s="51" t="str">
        <f>INDEX(Technologieën[Veld],MATCH(G88,Technologieën[Zoeksleutel bronnummer],0))</f>
        <v>Sensoren - Verpleging</v>
      </c>
      <c r="B88" s="33" t="s">
        <v>36</v>
      </c>
      <c r="C88" s="32" t="s">
        <v>391</v>
      </c>
      <c r="D88" s="32" t="s">
        <v>391</v>
      </c>
      <c r="E88" s="33" t="s">
        <v>24</v>
      </c>
      <c r="F88" s="33" t="str" cm="1">
        <f t="array" ref="F88">INDEX(Berekening_patiëntaantal[Direct toepasbaar/extrapolatie/incidentie voor QALY],MATCH(B88,IF(Berekening_patiëntaantal[Doelgroep (zoeksleutel)]=E88,Berekening_patiëntaantal[Digitale zorgtoepassing]),0))</f>
        <v>Extrapolatie</v>
      </c>
      <c r="G88" s="33" t="s">
        <v>532</v>
      </c>
      <c r="H88" s="33" t="s">
        <v>144</v>
      </c>
      <c r="I88" s="403">
        <f>INDEX(Uurloon[Uurtarief zorgpersoneel],MATCH(H88,Uurloon[Zorgverlener],0))</f>
        <v>20.410632183908046</v>
      </c>
      <c r="J88" s="404" cm="1">
        <f t="array" ref="J88">INDEX(Berekening_patiëntaantal[Patiëntaantallen],MATCH(B88,IF(Berekening_patiëntaantal[Doelgroep (zoeksleutel)]=E88,Berekening_patiëntaantal[Digitale zorgtoepassing]),0))</f>
        <v>3203.9279999999999</v>
      </c>
      <c r="K88" s="404">
        <f>IFERROR(INDEX(aantal_organisaties[Aantal organisaties waarop toepasbaar],MATCH(B88,aantal_organisaties[Digitale zorgtoepassing],0)),0)</f>
        <v>0</v>
      </c>
      <c r="L88" s="397">
        <f>COUNTIF(uniforme_input[Doelgroep],E88)</f>
        <v>12</v>
      </c>
      <c r="M88" s="405" cm="1">
        <f t="array" ref="M88">INDEX(Technologieën[Tijdsbesparing p. patiënt (min/week)],MATCH(B88,IF(Technologieën[Zoeksleutel bronnummer]=G88,Technologieën[Digitale zorgtoepassing]),0))</f>
        <v>5</v>
      </c>
      <c r="N88" s="405" cm="1">
        <f t="array" ref="N88">INDEX(Technologieën[Tijdsbesparing per handeling (min)],MATCH(B88,IF(Technologieën[Zoeksleutel bronnummer]=G88,Technologieën[Digitale zorgtoepassing]),0))</f>
        <v>0</v>
      </c>
      <c r="O88" s="403" cm="1">
        <f t="array" ref="O88">INDEX(Technologieën[Besparing overige kosten (€/patiënt/jaar)],MATCH(B88,IF(Technologieën[Zoeksleutel bronnummer]=G88,Technologieën[Digitale zorgtoepassing]),0))</f>
        <v>299.17571428571426</v>
      </c>
      <c r="P88" s="403" cm="1">
        <f t="array" ref="P88">INDEX(Technologieën[Kostenbesparing p. patiënt door arbeidsbesparing (€/week)],MATCH(B88,IF(Technologieën[Zoeksleutel bronnummer]=G88,Technologieën[Digitale zorgtoepassing]),0))</f>
        <v>41.288956043956041</v>
      </c>
      <c r="Q88" s="403" cm="1">
        <f t="array" ref="Q88">INDEX(Technologieën[Kostenbesparing (personeel) per handeling (€)],MATCH(B88,IF(Technologieën[Zoeksleutel bronnummer]=G88,Technologieën[Digitale zorgtoepassing]),0))</f>
        <v>0</v>
      </c>
      <c r="R88" s="403" cm="1">
        <f t="array" ref="R88">INDEX(Technologieën[Besparing overige kosten (€/jaar)],MATCH(B88,IF(Technologieën[Zoeksleutel bronnummer]=G88,Technologieën[Digitale zorgtoepassing]),0))</f>
        <v>0</v>
      </c>
      <c r="S88" s="405" cm="1">
        <f t="array" ref="S88">INDEX(Technologieën[Jaarlijkse besparing zorgpersoneel (FTE)],MATCH(B88,IF(Technologieën[Zoeksleutel bronnummer]=G88,Technologieën[Digitale zorgtoepassing]),0))</f>
        <v>0</v>
      </c>
      <c r="T88" s="406" cm="1">
        <f t="array" ref="T88">(INDEX(Technologieën[QALY],MATCH(B88,IF(Technologieën[Zoeksleutel bronnummer]=G88,Technologieën[Digitale zorgtoepassing]),0)))</f>
        <v>0</v>
      </c>
      <c r="U88" s="407">
        <f>(uniforme_input[[#This Row],[Kostenbesparing door arbeidsbesparing p. patiënt (€/week)]]/uniforme_input[[#This Row],[Uurtarief]]*60) + (uniforme_input[[#This Row],[Totaal arbeidsbesparing onafhankelijk van patiënt (FTE)]]*40*60)/uniforme_input[[#This Row],[Patiëntaantallen]]</f>
        <v>121.37484720294557</v>
      </c>
      <c r="V88" s="407">
        <f>(uniforme_input[[#This Row],[Kostenbesparing per handeling (€)]]/uniforme_input[[#This Row],[Uurtarief]])*60</f>
        <v>0</v>
      </c>
      <c r="W88" s="398">
        <f>uniforme_input[[#This Row],[Overige kostenbesparing (Totaal €/jaar)]]/uniforme_input[[#This Row],[Patiëntaantallen]]</f>
        <v>0</v>
      </c>
      <c r="X88" s="408">
        <f>IF(uniforme_input[[#This Row],[Bron gebruiken voor opbrengsten?]]="Ja",uniforme_input[[#This Row],[Tijdsbesparing (min/week/patiënt) - gegeven]]+uniforme_input[[#This Row],[Tijdsbesparing (min/week/patiënt) berekend]],0)</f>
        <v>126.37484720294557</v>
      </c>
      <c r="Y88" s="407">
        <f>IF(uniforme_input[[#This Row],[Bron gebruiken voor opbrengsten?]]="Ja",uniforme_input[[#This Row],[Tijdsbesparing (min/handeling) - gegeven]]+uniforme_input[[#This Row],[Tijdsbesparing (min/handeling) berekend]],0)</f>
        <v>0</v>
      </c>
      <c r="Z88" s="409">
        <f>IF(uniforme_input[[#This Row],[Bron gebruiken voor opbrengsten?]]="Ja",uniforme_input[[#This Row],[Overige kostenbesparing (€/jaar/patiënt) - gegeven]]+uniforme_input[[#This Row],[Overige kostenbesparing (€/jaar/patiënt) berekend]],0)</f>
        <v>299.17571428571426</v>
      </c>
      <c r="AA88" s="403" cm="1">
        <f t="array" ref="AA88">INDEX(Technologieën[Jaarlijkse kosten p. patiënt],MATCH(B88,IF(Technologieën[Zoeksleutel bronnummer]=G88,Technologieën[Digitale zorgtoepassing]),0))</f>
        <v>1956</v>
      </c>
      <c r="AB88" s="403" cm="1">
        <f t="array" ref="AB88">INDEX(Technologieën[Jaarlijkse kosten p. organisatie],MATCH(B88,IF(Technologieën[Zoeksleutel bronnummer]=G88,Technologieën[Digitale zorgtoepassing]),0))/uniforme_input[[#This Row],[Aantal doelgroepen waarop toepasbaar]]</f>
        <v>0</v>
      </c>
      <c r="AC88" s="403" cm="1">
        <f t="array" ref="AC88">INDEX(Technologieën[Jaarlijkse kosten (onafh. aantal patiënt/organisatie)],MATCH(B88,IF(Technologieën[Zoeksleutel bronnummer]=G88,Technologieën[Digitale zorgtoepassing]),0))/uniforme_input[[#This Row],[Aantal doelgroepen waarop toepasbaar]]</f>
        <v>0</v>
      </c>
      <c r="AD88" s="403" cm="1">
        <f t="array" ref="AD88">INDEX(Technologieën[Initiële investering (p. patiënt)],MATCH(B88,IF(Technologieën[Zoeksleutel bronnummer]=G88,Technologieën[Digitale zorgtoepassing]),0))</f>
        <v>0</v>
      </c>
      <c r="AE88" s="403" cm="1">
        <f t="array" ref="AE88">INDEX(Technologieën[Initiële investering (p. organisatie)],MATCH(B88,IF(Technologieën[Zoeksleutel bronnummer]=G88,Technologieën[Digitale zorgtoepassing]),0))</f>
        <v>0</v>
      </c>
      <c r="AF88"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88" s="398">
        <f>(uniforme_input[[#This Row],[Initiële investering per organisatie]]*uniforme_input[[#This Row],[Aantal organisaties]])/uniforme_input[[#This Row],[Patiëntaantallen]]</f>
        <v>0</v>
      </c>
      <c r="AH88" s="410">
        <f>IF(uniforme_input[[#This Row],[Bron gebruiken voor kosten/investering?]]="Ja",uniforme_input[[#This Row],[Jaarlijkse kosten per patiënt]] + uniforme_input[[#This Row],[Jaarlijkse kosten per patiënt berekend]],0)</f>
        <v>1956</v>
      </c>
      <c r="AI88" s="409">
        <f>IF(uniforme_input[[#This Row],[Bron gebruiken voor kosten/investering?]]="Ja",uniforme_input[[#This Row],[Initiële investering per patiënt]]+uniforme_input[[#This Row],[Initiële investering per patiënt berekend]],0)</f>
        <v>0</v>
      </c>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row>
    <row r="89" spans="1:83" s="2" customFormat="1" x14ac:dyDescent="0.5">
      <c r="A89" s="51" t="str">
        <f>INDEX(Technologieën[Veld],MATCH(G89,Technologieën[Zoeksleutel bronnummer],0))</f>
        <v>Sensoren - Verpleging</v>
      </c>
      <c r="B89" s="33" t="s">
        <v>36</v>
      </c>
      <c r="C89" s="32" t="s">
        <v>391</v>
      </c>
      <c r="D89" s="32" t="s">
        <v>391</v>
      </c>
      <c r="E89" s="33" t="s">
        <v>40</v>
      </c>
      <c r="F89" s="33" t="str" cm="1">
        <f t="array" ref="F89">INDEX(Berekening_patiëntaantal[Direct toepasbaar/extrapolatie/incidentie voor QALY],MATCH(B89,IF(Berekening_patiëntaantal[Doelgroep (zoeksleutel)]=E89,Berekening_patiëntaantal[Digitale zorgtoepassing]),0))</f>
        <v>Extrapolatie</v>
      </c>
      <c r="G89" s="33" t="s">
        <v>531</v>
      </c>
      <c r="H89" s="33" t="s">
        <v>144</v>
      </c>
      <c r="I89" s="403">
        <f>INDEX(Uurloon[Uurtarief zorgpersoneel],MATCH(H89,Uurloon[Zorgverlener],0))</f>
        <v>20.410632183908046</v>
      </c>
      <c r="J89" s="404" cm="1">
        <f t="array" ref="J89">INDEX(Berekening_patiëntaantal[Patiëntaantallen],MATCH(B89,IF(Berekening_patiëntaantal[Doelgroep (zoeksleutel)]=E89,Berekening_patiëntaantal[Digitale zorgtoepassing]),0))</f>
        <v>20531.250000000004</v>
      </c>
      <c r="K89" s="404">
        <f>IFERROR(INDEX(aantal_organisaties[Aantal organisaties waarop toepasbaar],MATCH(B89,aantal_organisaties[Digitale zorgtoepassing],0)),0)</f>
        <v>0</v>
      </c>
      <c r="L89" s="397">
        <f>COUNTIF(uniforme_input[Doelgroep],E89)</f>
        <v>2</v>
      </c>
      <c r="M89" s="405" cm="1">
        <f t="array" ref="M89">INDEX(Technologieën[Tijdsbesparing p. patiënt (min/week)],MATCH(B89,IF(Technologieën[Zoeksleutel bronnummer]=G89,Technologieën[Digitale zorgtoepassing]),0))</f>
        <v>0</v>
      </c>
      <c r="N89" s="405" cm="1">
        <f t="array" ref="N89">INDEX(Technologieën[Tijdsbesparing per handeling (min)],MATCH(B89,IF(Technologieën[Zoeksleutel bronnummer]=G89,Technologieën[Digitale zorgtoepassing]),0))</f>
        <v>0</v>
      </c>
      <c r="O89" s="403" cm="1">
        <f t="array" ref="O89">INDEX(Technologieën[Besparing overige kosten (€/patiënt/jaar)],MATCH(B89,IF(Technologieën[Zoeksleutel bronnummer]=G89,Technologieën[Digitale zorgtoepassing]),0))</f>
        <v>649.81285714285707</v>
      </c>
      <c r="P89" s="403" cm="1">
        <f t="array" ref="P89">INDEX(Technologieën[Kostenbesparing p. patiënt door arbeidsbesparing (€/week)],MATCH(B89,IF(Technologieën[Zoeksleutel bronnummer]=G89,Technologieën[Digitale zorgtoepassing]),0))</f>
        <v>89.680054945054948</v>
      </c>
      <c r="Q89" s="403" cm="1">
        <f t="array" ref="Q89">INDEX(Technologieën[Kostenbesparing (personeel) per handeling (€)],MATCH(B89,IF(Technologieën[Zoeksleutel bronnummer]=G89,Technologieën[Digitale zorgtoepassing]),0))</f>
        <v>0</v>
      </c>
      <c r="R89" s="403" cm="1">
        <f t="array" ref="R89">INDEX(Technologieën[Besparing overige kosten (€/jaar)],MATCH(B89,IF(Technologieën[Zoeksleutel bronnummer]=G89,Technologieën[Digitale zorgtoepassing]),0))</f>
        <v>0</v>
      </c>
      <c r="S89" s="405" cm="1">
        <f t="array" ref="S89">INDEX(Technologieën[Jaarlijkse besparing zorgpersoneel (FTE)],MATCH(B89,IF(Technologieën[Zoeksleutel bronnummer]=G89,Technologieën[Digitale zorgtoepassing]),0))</f>
        <v>0</v>
      </c>
      <c r="T89" s="406" cm="1">
        <f t="array" ref="T89">(INDEX(Technologieën[QALY],MATCH(B89,IF(Technologieën[Zoeksleutel bronnummer]=G89,Technologieën[Digitale zorgtoepassing]),0)))</f>
        <v>0</v>
      </c>
      <c r="U89" s="407">
        <f>(uniforme_input[[#This Row],[Kostenbesparing door arbeidsbesparing p. patiënt (€/week)]]/uniforme_input[[#This Row],[Uurtarief]]*60) + (uniforme_input[[#This Row],[Totaal arbeidsbesparing onafhankelijk van patiënt (FTE)]]*40*60)/uniforme_input[[#This Row],[Patiëntaantallen]]</f>
        <v>263.62746867515341</v>
      </c>
      <c r="V89" s="407">
        <f>(uniforme_input[[#This Row],[Kostenbesparing per handeling (€)]]/uniforme_input[[#This Row],[Uurtarief]])*60</f>
        <v>0</v>
      </c>
      <c r="W89" s="398">
        <f>uniforme_input[[#This Row],[Overige kostenbesparing (Totaal €/jaar)]]/uniforme_input[[#This Row],[Patiëntaantallen]]</f>
        <v>0</v>
      </c>
      <c r="X89" s="408">
        <f>IF(uniforme_input[[#This Row],[Bron gebruiken voor opbrengsten?]]="Ja",uniforme_input[[#This Row],[Tijdsbesparing (min/week/patiënt) - gegeven]]+uniforme_input[[#This Row],[Tijdsbesparing (min/week/patiënt) berekend]],0)</f>
        <v>263.62746867515341</v>
      </c>
      <c r="Y89" s="407">
        <f>IF(uniforme_input[[#This Row],[Bron gebruiken voor opbrengsten?]]="Ja",uniforme_input[[#This Row],[Tijdsbesparing (min/handeling) - gegeven]]+uniforme_input[[#This Row],[Tijdsbesparing (min/handeling) berekend]],0)</f>
        <v>0</v>
      </c>
      <c r="Z89" s="409">
        <f>IF(uniforme_input[[#This Row],[Bron gebruiken voor opbrengsten?]]="Ja",uniforme_input[[#This Row],[Overige kostenbesparing (€/jaar/patiënt) - gegeven]]+uniforme_input[[#This Row],[Overige kostenbesparing (€/jaar/patiënt) berekend]],0)</f>
        <v>649.81285714285707</v>
      </c>
      <c r="AA89" s="403" cm="1">
        <f t="array" ref="AA89">INDEX(Technologieën[Jaarlijkse kosten p. patiënt],MATCH(B89,IF(Technologieën[Zoeksleutel bronnummer]=G89,Technologieën[Digitale zorgtoepassing]),0))</f>
        <v>1800</v>
      </c>
      <c r="AB89" s="403" cm="1">
        <f t="array" ref="AB89">INDEX(Technologieën[Jaarlijkse kosten p. organisatie],MATCH(B89,IF(Technologieën[Zoeksleutel bronnummer]=G89,Technologieën[Digitale zorgtoepassing]),0))/uniforme_input[[#This Row],[Aantal doelgroepen waarop toepasbaar]]</f>
        <v>0</v>
      </c>
      <c r="AC89" s="403" cm="1">
        <f t="array" ref="AC89">INDEX(Technologieën[Jaarlijkse kosten (onafh. aantal patiënt/organisatie)],MATCH(B89,IF(Technologieën[Zoeksleutel bronnummer]=G89,Technologieën[Digitale zorgtoepassing]),0))/uniforme_input[[#This Row],[Aantal doelgroepen waarop toepasbaar]]</f>
        <v>0</v>
      </c>
      <c r="AD89" s="403" cm="1">
        <f t="array" ref="AD89">INDEX(Technologieën[Initiële investering (p. patiënt)],MATCH(B89,IF(Technologieën[Zoeksleutel bronnummer]=G89,Technologieën[Digitale zorgtoepassing]),0))</f>
        <v>0</v>
      </c>
      <c r="AE89" s="403" cm="1">
        <f t="array" ref="AE89">INDEX(Technologieën[Initiële investering (p. organisatie)],MATCH(B89,IF(Technologieën[Zoeksleutel bronnummer]=G89,Technologieën[Digitale zorgtoepassing]),0))</f>
        <v>0</v>
      </c>
      <c r="AF89"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89" s="398">
        <f>(uniforme_input[[#This Row],[Initiële investering per organisatie]]*uniforme_input[[#This Row],[Aantal organisaties]])/uniforme_input[[#This Row],[Patiëntaantallen]]</f>
        <v>0</v>
      </c>
      <c r="AH89" s="410">
        <f>IF(uniforme_input[[#This Row],[Bron gebruiken voor kosten/investering?]]="Ja",uniforme_input[[#This Row],[Jaarlijkse kosten per patiënt]] + uniforme_input[[#This Row],[Jaarlijkse kosten per patiënt berekend]],0)</f>
        <v>1800</v>
      </c>
      <c r="AI89" s="409">
        <f>IF(uniforme_input[[#This Row],[Bron gebruiken voor kosten/investering?]]="Ja",uniforme_input[[#This Row],[Initiële investering per patiënt]]+uniforme_input[[#This Row],[Initiële investering per patiënt berekend]],0)</f>
        <v>0</v>
      </c>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row>
    <row r="90" spans="1:83" s="2" customFormat="1" x14ac:dyDescent="0.5">
      <c r="A90" s="51" t="str">
        <f>INDEX(Technologieën[Veld],MATCH(G90,Technologieën[Zoeksleutel bronnummer],0))</f>
        <v>Sensoren - Verpleging</v>
      </c>
      <c r="B90" s="33" t="s">
        <v>36</v>
      </c>
      <c r="C90" s="32" t="s">
        <v>391</v>
      </c>
      <c r="D90" s="32" t="s">
        <v>391</v>
      </c>
      <c r="E90" s="33" t="s">
        <v>40</v>
      </c>
      <c r="F90" s="33" t="str" cm="1">
        <f t="array" ref="F90">INDEX(Berekening_patiëntaantal[Direct toepasbaar/extrapolatie/incidentie voor QALY],MATCH(B90,IF(Berekening_patiëntaantal[Doelgroep (zoeksleutel)]=E90,Berekening_patiëntaantal[Digitale zorgtoepassing]),0))</f>
        <v>Extrapolatie</v>
      </c>
      <c r="G90" s="33" t="s">
        <v>532</v>
      </c>
      <c r="H90" s="33" t="s">
        <v>144</v>
      </c>
      <c r="I90" s="403">
        <f>INDEX(Uurloon[Uurtarief zorgpersoneel],MATCH(H90,Uurloon[Zorgverlener],0))</f>
        <v>20.410632183908046</v>
      </c>
      <c r="J90" s="404" cm="1">
        <f t="array" ref="J90">INDEX(Berekening_patiëntaantal[Patiëntaantallen],MATCH(B90,IF(Berekening_patiëntaantal[Doelgroep (zoeksleutel)]=E90,Berekening_patiëntaantal[Digitale zorgtoepassing]),0))</f>
        <v>20531.250000000004</v>
      </c>
      <c r="K90" s="404">
        <f>IFERROR(INDEX(aantal_organisaties[Aantal organisaties waarop toepasbaar],MATCH(B90,aantal_organisaties[Digitale zorgtoepassing],0)),0)</f>
        <v>0</v>
      </c>
      <c r="L90" s="397">
        <f>COUNTIF(uniforme_input[Doelgroep],E90)</f>
        <v>2</v>
      </c>
      <c r="M90" s="405" cm="1">
        <f t="array" ref="M90">INDEX(Technologieën[Tijdsbesparing p. patiënt (min/week)],MATCH(B90,IF(Technologieën[Zoeksleutel bronnummer]=G90,Technologieën[Digitale zorgtoepassing]),0))</f>
        <v>5</v>
      </c>
      <c r="N90" s="405" cm="1">
        <f t="array" ref="N90">INDEX(Technologieën[Tijdsbesparing per handeling (min)],MATCH(B90,IF(Technologieën[Zoeksleutel bronnummer]=G90,Technologieën[Digitale zorgtoepassing]),0))</f>
        <v>0</v>
      </c>
      <c r="O90" s="403" cm="1">
        <f t="array" ref="O90">INDEX(Technologieën[Besparing overige kosten (€/patiënt/jaar)],MATCH(B90,IF(Technologieën[Zoeksleutel bronnummer]=G90,Technologieën[Digitale zorgtoepassing]),0))</f>
        <v>299.17571428571426</v>
      </c>
      <c r="P90" s="403" cm="1">
        <f t="array" ref="P90">INDEX(Technologieën[Kostenbesparing p. patiënt door arbeidsbesparing (€/week)],MATCH(B90,IF(Technologieën[Zoeksleutel bronnummer]=G90,Technologieën[Digitale zorgtoepassing]),0))</f>
        <v>41.288956043956041</v>
      </c>
      <c r="Q90" s="403" cm="1">
        <f t="array" ref="Q90">INDEX(Technologieën[Kostenbesparing (personeel) per handeling (€)],MATCH(B90,IF(Technologieën[Zoeksleutel bronnummer]=G90,Technologieën[Digitale zorgtoepassing]),0))</f>
        <v>0</v>
      </c>
      <c r="R90" s="403" cm="1">
        <f t="array" ref="R90">INDEX(Technologieën[Besparing overige kosten (€/jaar)],MATCH(B90,IF(Technologieën[Zoeksleutel bronnummer]=G90,Technologieën[Digitale zorgtoepassing]),0))</f>
        <v>0</v>
      </c>
      <c r="S90" s="405" cm="1">
        <f t="array" ref="S90">INDEX(Technologieën[Jaarlijkse besparing zorgpersoneel (FTE)],MATCH(B90,IF(Technologieën[Zoeksleutel bronnummer]=G90,Technologieën[Digitale zorgtoepassing]),0))</f>
        <v>0</v>
      </c>
      <c r="T90" s="406" cm="1">
        <f t="array" ref="T90">(INDEX(Technologieën[QALY],MATCH(B90,IF(Technologieën[Zoeksleutel bronnummer]=G90,Technologieën[Digitale zorgtoepassing]),0)))</f>
        <v>0</v>
      </c>
      <c r="U90" s="407">
        <f>(uniforme_input[[#This Row],[Kostenbesparing door arbeidsbesparing p. patiënt (€/week)]]/uniforme_input[[#This Row],[Uurtarief]]*60) + (uniforme_input[[#This Row],[Totaal arbeidsbesparing onafhankelijk van patiënt (FTE)]]*40*60)/uniforme_input[[#This Row],[Patiëntaantallen]]</f>
        <v>121.37484720294557</v>
      </c>
      <c r="V90" s="407">
        <f>(uniforme_input[[#This Row],[Kostenbesparing per handeling (€)]]/uniforme_input[[#This Row],[Uurtarief]])*60</f>
        <v>0</v>
      </c>
      <c r="W90" s="398">
        <f>uniforme_input[[#This Row],[Overige kostenbesparing (Totaal €/jaar)]]/uniforme_input[[#This Row],[Patiëntaantallen]]</f>
        <v>0</v>
      </c>
      <c r="X90" s="408">
        <f>IF(uniforme_input[[#This Row],[Bron gebruiken voor opbrengsten?]]="Ja",uniforme_input[[#This Row],[Tijdsbesparing (min/week/patiënt) - gegeven]]+uniforme_input[[#This Row],[Tijdsbesparing (min/week/patiënt) berekend]],0)</f>
        <v>126.37484720294557</v>
      </c>
      <c r="Y90" s="407">
        <f>IF(uniforme_input[[#This Row],[Bron gebruiken voor opbrengsten?]]="Ja",uniforme_input[[#This Row],[Tijdsbesparing (min/handeling) - gegeven]]+uniforme_input[[#This Row],[Tijdsbesparing (min/handeling) berekend]],0)</f>
        <v>0</v>
      </c>
      <c r="Z90" s="409">
        <f>IF(uniforme_input[[#This Row],[Bron gebruiken voor opbrengsten?]]="Ja",uniforme_input[[#This Row],[Overige kostenbesparing (€/jaar/patiënt) - gegeven]]+uniforme_input[[#This Row],[Overige kostenbesparing (€/jaar/patiënt) berekend]],0)</f>
        <v>299.17571428571426</v>
      </c>
      <c r="AA90" s="403" cm="1">
        <f t="array" ref="AA90">INDEX(Technologieën[Jaarlijkse kosten p. patiënt],MATCH(B90,IF(Technologieën[Zoeksleutel bronnummer]=G90,Technologieën[Digitale zorgtoepassing]),0))</f>
        <v>1956</v>
      </c>
      <c r="AB90" s="403" cm="1">
        <f t="array" ref="AB90">INDEX(Technologieën[Jaarlijkse kosten p. organisatie],MATCH(B90,IF(Technologieën[Zoeksleutel bronnummer]=G90,Technologieën[Digitale zorgtoepassing]),0))/uniforme_input[[#This Row],[Aantal doelgroepen waarop toepasbaar]]</f>
        <v>0</v>
      </c>
      <c r="AC90" s="403" cm="1">
        <f t="array" ref="AC90">INDEX(Technologieën[Jaarlijkse kosten (onafh. aantal patiënt/organisatie)],MATCH(B90,IF(Technologieën[Zoeksleutel bronnummer]=G90,Technologieën[Digitale zorgtoepassing]),0))/uniforme_input[[#This Row],[Aantal doelgroepen waarop toepasbaar]]</f>
        <v>0</v>
      </c>
      <c r="AD90" s="403" cm="1">
        <f t="array" ref="AD90">INDEX(Technologieën[Initiële investering (p. patiënt)],MATCH(B90,IF(Technologieën[Zoeksleutel bronnummer]=G90,Technologieën[Digitale zorgtoepassing]),0))</f>
        <v>0</v>
      </c>
      <c r="AE90" s="403" cm="1">
        <f t="array" ref="AE90">INDEX(Technologieën[Initiële investering (p. organisatie)],MATCH(B90,IF(Technologieën[Zoeksleutel bronnummer]=G90,Technologieën[Digitale zorgtoepassing]),0))</f>
        <v>0</v>
      </c>
      <c r="AF90"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90" s="398">
        <f>(uniforme_input[[#This Row],[Initiële investering per organisatie]]*uniforme_input[[#This Row],[Aantal organisaties]])/uniforme_input[[#This Row],[Patiëntaantallen]]</f>
        <v>0</v>
      </c>
      <c r="AH90" s="410">
        <f>IF(uniforme_input[[#This Row],[Bron gebruiken voor kosten/investering?]]="Ja",uniforme_input[[#This Row],[Jaarlijkse kosten per patiënt]] + uniforme_input[[#This Row],[Jaarlijkse kosten per patiënt berekend]],0)</f>
        <v>1956</v>
      </c>
      <c r="AI90" s="409">
        <f>IF(uniforme_input[[#This Row],[Bron gebruiken voor kosten/investering?]]="Ja",uniforme_input[[#This Row],[Initiële investering per patiënt]]+uniforme_input[[#This Row],[Initiële investering per patiënt berekend]],0)</f>
        <v>0</v>
      </c>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row>
    <row r="91" spans="1:83" s="2" customFormat="1" x14ac:dyDescent="0.5">
      <c r="A91" s="51" t="str">
        <f>INDEX(Technologieën[Veld],MATCH(G91,Technologieën[Zoeksleutel bronnummer],0))</f>
        <v>Digitale hulpmiddelen - Verpleging</v>
      </c>
      <c r="B91" s="33" t="s">
        <v>26</v>
      </c>
      <c r="C91" s="32" t="s">
        <v>391</v>
      </c>
      <c r="D91" s="32" t="s">
        <v>390</v>
      </c>
      <c r="E91" s="33" t="s">
        <v>20</v>
      </c>
      <c r="F91" s="33" t="str" cm="1">
        <f t="array" ref="F91">INDEX(Berekening_patiëntaantal[Direct toepasbaar/extrapolatie/incidentie voor QALY],MATCH(B91,IF(Berekening_patiëntaantal[Doelgroep (zoeksleutel)]=E91,Berekening_patiëntaantal[Digitale zorgtoepassing]),0))</f>
        <v>Huidige toepassing</v>
      </c>
      <c r="G91" s="33" t="s">
        <v>570</v>
      </c>
      <c r="H91" s="33" t="s">
        <v>142</v>
      </c>
      <c r="I91" s="403">
        <f>INDEX(Uurloon[Uurtarief zorgpersoneel],MATCH(H91,Uurloon[Zorgverlener],0))</f>
        <v>25.33954022988506</v>
      </c>
      <c r="J91" s="404" cm="1">
        <f t="array" ref="J91">INDEX(Berekening_patiëntaantal[Patiëntaantallen],MATCH(B91,IF(Berekening_patiëntaantal[Doelgroep (zoeksleutel)]=E91,Berekening_patiëntaantal[Digitale zorgtoepassing]),0))</f>
        <v>12606.3</v>
      </c>
      <c r="K91" s="404">
        <f>IFERROR(INDEX(aantal_organisaties[Aantal organisaties waarop toepasbaar],MATCH(B91,aantal_organisaties[Digitale zorgtoepassing],0)),0)</f>
        <v>150</v>
      </c>
      <c r="L91" s="397">
        <f>COUNTIF(uniforme_input[Doelgroep],E91)</f>
        <v>14</v>
      </c>
      <c r="M91" s="405" cm="1">
        <f t="array" ref="M91">INDEX(Technologieën[Tijdsbesparing p. patiënt (min/week)],MATCH(B91,IF(Technologieën[Zoeksleutel bronnummer]=G91,Technologieën[Digitale zorgtoepassing]),0))</f>
        <v>262.5</v>
      </c>
      <c r="N91" s="405" cm="1">
        <f t="array" ref="N91">INDEX(Technologieën[Tijdsbesparing per handeling (min)],MATCH(B91,IF(Technologieën[Zoeksleutel bronnummer]=G91,Technologieën[Digitale zorgtoepassing]),0))</f>
        <v>0</v>
      </c>
      <c r="O91" s="403" cm="1">
        <f t="array" ref="O91">INDEX(Technologieën[Besparing overige kosten (€/patiënt/jaar)],MATCH(B91,IF(Technologieën[Zoeksleutel bronnummer]=G91,Technologieën[Digitale zorgtoepassing]),0))</f>
        <v>2839.3522130725682</v>
      </c>
      <c r="P91" s="403" cm="1">
        <f t="array" ref="P91">INDEX(Technologieën[Kostenbesparing p. patiënt door arbeidsbesparing (€/week)],MATCH(B91,IF(Technologieën[Zoeksleutel bronnummer]=G91,Technologieën[Digitale zorgtoepassing]),0))</f>
        <v>0</v>
      </c>
      <c r="Q91" s="403" cm="1">
        <f t="array" ref="Q91">INDEX(Technologieën[Kostenbesparing (personeel) per handeling (€)],MATCH(B91,IF(Technologieën[Zoeksleutel bronnummer]=G91,Technologieën[Digitale zorgtoepassing]),0))</f>
        <v>0</v>
      </c>
      <c r="R91" s="403" cm="1">
        <f t="array" ref="R91">INDEX(Technologieën[Besparing overige kosten (€/jaar)],MATCH(B91,IF(Technologieën[Zoeksleutel bronnummer]=G91,Technologieën[Digitale zorgtoepassing]),0))</f>
        <v>0</v>
      </c>
      <c r="S91" s="405" cm="1">
        <f t="array" ref="S91">INDEX(Technologieën[Jaarlijkse besparing zorgpersoneel (FTE)],MATCH(B91,IF(Technologieën[Zoeksleutel bronnummer]=G91,Technologieën[Digitale zorgtoepassing]),0))</f>
        <v>0</v>
      </c>
      <c r="T91" s="406" cm="1">
        <f t="array" ref="T91">(INDEX(Technologieën[QALY],MATCH(B91,IF(Technologieën[Zoeksleutel bronnummer]=G91,Technologieën[Digitale zorgtoepassing]),0)))</f>
        <v>0</v>
      </c>
      <c r="U91" s="407">
        <f>(uniforme_input[[#This Row],[Kostenbesparing door arbeidsbesparing p. patiënt (€/week)]]/uniforme_input[[#This Row],[Uurtarief]]*60) + (uniforme_input[[#This Row],[Totaal arbeidsbesparing onafhankelijk van patiënt (FTE)]]*40*60)/uniforme_input[[#This Row],[Patiëntaantallen]]</f>
        <v>0</v>
      </c>
      <c r="V91" s="407">
        <f>(uniforme_input[[#This Row],[Kostenbesparing per handeling (€)]]/uniforme_input[[#This Row],[Uurtarief]])*60</f>
        <v>0</v>
      </c>
      <c r="W91" s="398">
        <f>uniforme_input[[#This Row],[Overige kostenbesparing (Totaal €/jaar)]]/uniforme_input[[#This Row],[Patiëntaantallen]]</f>
        <v>0</v>
      </c>
      <c r="X91" s="408">
        <f>IF(uniforme_input[[#This Row],[Bron gebruiken voor opbrengsten?]]="Ja",uniforme_input[[#This Row],[Tijdsbesparing (min/week/patiënt) - gegeven]]+uniforme_input[[#This Row],[Tijdsbesparing (min/week/patiënt) berekend]],0)</f>
        <v>262.5</v>
      </c>
      <c r="Y91" s="407">
        <f>IF(uniforme_input[[#This Row],[Bron gebruiken voor opbrengsten?]]="Ja",uniforme_input[[#This Row],[Tijdsbesparing (min/handeling) - gegeven]]+uniforme_input[[#This Row],[Tijdsbesparing (min/handeling) berekend]],0)</f>
        <v>0</v>
      </c>
      <c r="Z91" s="409">
        <f>IF(uniforme_input[[#This Row],[Bron gebruiken voor opbrengsten?]]="Ja",uniforme_input[[#This Row],[Overige kostenbesparing (€/jaar/patiënt) - gegeven]]+uniforme_input[[#This Row],[Overige kostenbesparing (€/jaar/patiënt) berekend]],0)</f>
        <v>2839.3522130725682</v>
      </c>
      <c r="AA91" s="403" cm="1">
        <f t="array" ref="AA91">INDEX(Technologieën[Jaarlijkse kosten p. patiënt],MATCH(B91,IF(Technologieën[Zoeksleutel bronnummer]=G91,Technologieën[Digitale zorgtoepassing]),0))</f>
        <v>0</v>
      </c>
      <c r="AB91" s="403" cm="1">
        <f t="array" ref="AB91">INDEX(Technologieën[Jaarlijkse kosten p. organisatie],MATCH(B91,IF(Technologieën[Zoeksleutel bronnummer]=G91,Technologieën[Digitale zorgtoepassing]),0))/uniforme_input[[#This Row],[Aantal doelgroepen waarop toepasbaar]]</f>
        <v>0</v>
      </c>
      <c r="AC91" s="403" cm="1">
        <f t="array" ref="AC91">INDEX(Technologieën[Jaarlijkse kosten (onafh. aantal patiënt/organisatie)],MATCH(B91,IF(Technologieën[Zoeksleutel bronnummer]=G91,Technologieën[Digitale zorgtoepassing]),0))/uniforme_input[[#This Row],[Aantal doelgroepen waarop toepasbaar]]</f>
        <v>0</v>
      </c>
      <c r="AD91" s="403" cm="1">
        <f t="array" ref="AD91">INDEX(Technologieën[Initiële investering (p. patiënt)],MATCH(B91,IF(Technologieën[Zoeksleutel bronnummer]=G91,Technologieën[Digitale zorgtoepassing]),0))</f>
        <v>0</v>
      </c>
      <c r="AE91" s="403" cm="1">
        <f t="array" ref="AE91">INDEX(Technologieën[Initiële investering (p. organisatie)],MATCH(B91,IF(Technologieën[Zoeksleutel bronnummer]=G91,Technologieën[Digitale zorgtoepassing]),0))</f>
        <v>0</v>
      </c>
      <c r="AF91"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91" s="398">
        <f>(uniforme_input[[#This Row],[Initiële investering per organisatie]]*uniforme_input[[#This Row],[Aantal organisaties]])/uniforme_input[[#This Row],[Patiëntaantallen]]</f>
        <v>0</v>
      </c>
      <c r="AH91" s="410">
        <f>IF(uniforme_input[[#This Row],[Bron gebruiken voor kosten/investering?]]="Ja",uniforme_input[[#This Row],[Jaarlijkse kosten per patiënt]] + uniforme_input[[#This Row],[Jaarlijkse kosten per patiënt berekend]],0)</f>
        <v>0</v>
      </c>
      <c r="AI91" s="409">
        <f>IF(uniforme_input[[#This Row],[Bron gebruiken voor kosten/investering?]]="Ja",uniforme_input[[#This Row],[Initiële investering per patiënt]]+uniforme_input[[#This Row],[Initiële investering per patiënt berekend]],0)</f>
        <v>0</v>
      </c>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row>
    <row r="92" spans="1:83" s="2" customFormat="1" x14ac:dyDescent="0.5">
      <c r="A92" s="51" t="str">
        <f>INDEX(Technologieën[Veld],MATCH(G92,Technologieën[Zoeksleutel bronnummer],0))</f>
        <v>Digitale hulpmiddelen - Verpleging</v>
      </c>
      <c r="B92" s="33" t="s">
        <v>26</v>
      </c>
      <c r="C92" s="32" t="s">
        <v>391</v>
      </c>
      <c r="D92" s="32" t="s">
        <v>390</v>
      </c>
      <c r="E92" s="33" t="s">
        <v>27</v>
      </c>
      <c r="F92" s="33" t="str" cm="1">
        <f t="array" ref="F92">INDEX(Berekening_patiëntaantal[Direct toepasbaar/extrapolatie/incidentie voor QALY],MATCH(B92,IF(Berekening_patiëntaantal[Doelgroep (zoeksleutel)]=E92,Berekening_patiëntaantal[Digitale zorgtoepassing]),0))</f>
        <v>Huidige toepassing</v>
      </c>
      <c r="G92" s="33" t="s">
        <v>570</v>
      </c>
      <c r="H92" s="33" t="s">
        <v>142</v>
      </c>
      <c r="I92" s="403">
        <f>INDEX(Uurloon[Uurtarief zorgpersoneel],MATCH(H92,Uurloon[Zorgverlener],0))</f>
        <v>25.33954022988506</v>
      </c>
      <c r="J92" s="404" cm="1">
        <f t="array" ref="J92">INDEX(Berekening_patiëntaantal[Patiëntaantallen],MATCH(B92,IF(Berekening_patiëntaantal[Doelgroep (zoeksleutel)]=E92,Berekening_patiëntaantal[Digitale zorgtoepassing]),0))</f>
        <v>3174</v>
      </c>
      <c r="K92" s="404">
        <f>IFERROR(INDEX(aantal_organisaties[Aantal organisaties waarop toepasbaar],MATCH(B92,aantal_organisaties[Digitale zorgtoepassing],0)),0)</f>
        <v>150</v>
      </c>
      <c r="L92" s="397">
        <f>COUNTIF(uniforme_input[Doelgroep],E92)</f>
        <v>12</v>
      </c>
      <c r="M92" s="405" cm="1">
        <f t="array" ref="M92">INDEX(Technologieën[Tijdsbesparing p. patiënt (min/week)],MATCH(B92,IF(Technologieën[Zoeksleutel bronnummer]=G92,Technologieën[Digitale zorgtoepassing]),0))</f>
        <v>262.5</v>
      </c>
      <c r="N92" s="405" cm="1">
        <f t="array" ref="N92">INDEX(Technologieën[Tijdsbesparing per handeling (min)],MATCH(B92,IF(Technologieën[Zoeksleutel bronnummer]=G92,Technologieën[Digitale zorgtoepassing]),0))</f>
        <v>0</v>
      </c>
      <c r="O92" s="403" cm="1">
        <f t="array" ref="O92">INDEX(Technologieën[Besparing overige kosten (€/patiënt/jaar)],MATCH(B92,IF(Technologieën[Zoeksleutel bronnummer]=G92,Technologieën[Digitale zorgtoepassing]),0))</f>
        <v>2839.3522130725682</v>
      </c>
      <c r="P92" s="403" cm="1">
        <f t="array" ref="P92">INDEX(Technologieën[Kostenbesparing p. patiënt door arbeidsbesparing (€/week)],MATCH(B92,IF(Technologieën[Zoeksleutel bronnummer]=G92,Technologieën[Digitale zorgtoepassing]),0))</f>
        <v>0</v>
      </c>
      <c r="Q92" s="403" cm="1">
        <f t="array" ref="Q92">INDEX(Technologieën[Kostenbesparing (personeel) per handeling (€)],MATCH(B92,IF(Technologieën[Zoeksleutel bronnummer]=G92,Technologieën[Digitale zorgtoepassing]),0))</f>
        <v>0</v>
      </c>
      <c r="R92" s="403" cm="1">
        <f t="array" ref="R92">INDEX(Technologieën[Besparing overige kosten (€/jaar)],MATCH(B92,IF(Technologieën[Zoeksleutel bronnummer]=G92,Technologieën[Digitale zorgtoepassing]),0))</f>
        <v>0</v>
      </c>
      <c r="S92" s="405" cm="1">
        <f t="array" ref="S92">INDEX(Technologieën[Jaarlijkse besparing zorgpersoneel (FTE)],MATCH(B92,IF(Technologieën[Zoeksleutel bronnummer]=G92,Technologieën[Digitale zorgtoepassing]),0))</f>
        <v>0</v>
      </c>
      <c r="T92" s="406" cm="1">
        <f t="array" ref="T92">(INDEX(Technologieën[QALY],MATCH(B92,IF(Technologieën[Zoeksleutel bronnummer]=G92,Technologieën[Digitale zorgtoepassing]),0)))</f>
        <v>0</v>
      </c>
      <c r="U92" s="407">
        <f>(uniforme_input[[#This Row],[Kostenbesparing door arbeidsbesparing p. patiënt (€/week)]]/uniforme_input[[#This Row],[Uurtarief]]*60) + (uniforme_input[[#This Row],[Totaal arbeidsbesparing onafhankelijk van patiënt (FTE)]]*40*60)/uniforme_input[[#This Row],[Patiëntaantallen]]</f>
        <v>0</v>
      </c>
      <c r="V92" s="407">
        <f>(uniforme_input[[#This Row],[Kostenbesparing per handeling (€)]]/uniforme_input[[#This Row],[Uurtarief]])*60</f>
        <v>0</v>
      </c>
      <c r="W92" s="398">
        <f>uniforme_input[[#This Row],[Overige kostenbesparing (Totaal €/jaar)]]/uniforme_input[[#This Row],[Patiëntaantallen]]</f>
        <v>0</v>
      </c>
      <c r="X92" s="408">
        <f>IF(uniforme_input[[#This Row],[Bron gebruiken voor opbrengsten?]]="Ja",uniforme_input[[#This Row],[Tijdsbesparing (min/week/patiënt) - gegeven]]+uniforme_input[[#This Row],[Tijdsbesparing (min/week/patiënt) berekend]],0)</f>
        <v>262.5</v>
      </c>
      <c r="Y92" s="407">
        <f>IF(uniforme_input[[#This Row],[Bron gebruiken voor opbrengsten?]]="Ja",uniforme_input[[#This Row],[Tijdsbesparing (min/handeling) - gegeven]]+uniforme_input[[#This Row],[Tijdsbesparing (min/handeling) berekend]],0)</f>
        <v>0</v>
      </c>
      <c r="Z92" s="409">
        <f>IF(uniforme_input[[#This Row],[Bron gebruiken voor opbrengsten?]]="Ja",uniforme_input[[#This Row],[Overige kostenbesparing (€/jaar/patiënt) - gegeven]]+uniforme_input[[#This Row],[Overige kostenbesparing (€/jaar/patiënt) berekend]],0)</f>
        <v>2839.3522130725682</v>
      </c>
      <c r="AA92" s="403" cm="1">
        <f t="array" ref="AA92">INDEX(Technologieën[Jaarlijkse kosten p. patiënt],MATCH(B92,IF(Technologieën[Zoeksleutel bronnummer]=G92,Technologieën[Digitale zorgtoepassing]),0))</f>
        <v>0</v>
      </c>
      <c r="AB92" s="403" cm="1">
        <f t="array" ref="AB92">INDEX(Technologieën[Jaarlijkse kosten p. organisatie],MATCH(B92,IF(Technologieën[Zoeksleutel bronnummer]=G92,Technologieën[Digitale zorgtoepassing]),0))/uniforme_input[[#This Row],[Aantal doelgroepen waarop toepasbaar]]</f>
        <v>0</v>
      </c>
      <c r="AC92" s="403" cm="1">
        <f t="array" ref="AC92">INDEX(Technologieën[Jaarlijkse kosten (onafh. aantal patiënt/organisatie)],MATCH(B92,IF(Technologieën[Zoeksleutel bronnummer]=G92,Technologieën[Digitale zorgtoepassing]),0))/uniforme_input[[#This Row],[Aantal doelgroepen waarop toepasbaar]]</f>
        <v>0</v>
      </c>
      <c r="AD92" s="403" cm="1">
        <f t="array" ref="AD92">INDEX(Technologieën[Initiële investering (p. patiënt)],MATCH(B92,IF(Technologieën[Zoeksleutel bronnummer]=G92,Technologieën[Digitale zorgtoepassing]),0))</f>
        <v>0</v>
      </c>
      <c r="AE92" s="403" cm="1">
        <f t="array" ref="AE92">INDEX(Technologieën[Initiële investering (p. organisatie)],MATCH(B92,IF(Technologieën[Zoeksleutel bronnummer]=G92,Technologieën[Digitale zorgtoepassing]),0))</f>
        <v>0</v>
      </c>
      <c r="AF92"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92" s="398">
        <f>(uniforme_input[[#This Row],[Initiële investering per organisatie]]*uniforme_input[[#This Row],[Aantal organisaties]])/uniforme_input[[#This Row],[Patiëntaantallen]]</f>
        <v>0</v>
      </c>
      <c r="AH92" s="410">
        <f>IF(uniforme_input[[#This Row],[Bron gebruiken voor kosten/investering?]]="Ja",uniforme_input[[#This Row],[Jaarlijkse kosten per patiënt]] + uniforme_input[[#This Row],[Jaarlijkse kosten per patiënt berekend]],0)</f>
        <v>0</v>
      </c>
      <c r="AI92" s="409">
        <f>IF(uniforme_input[[#This Row],[Bron gebruiken voor kosten/investering?]]="Ja",uniforme_input[[#This Row],[Initiële investering per patiënt]]+uniforme_input[[#This Row],[Initiële investering per patiënt berekend]],0)</f>
        <v>0</v>
      </c>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row>
    <row r="93" spans="1:83" s="2" customFormat="1" x14ac:dyDescent="0.5">
      <c r="A93" s="51" t="str">
        <f>INDEX(Technologieën[Veld],MATCH(G93,Technologieën[Zoeksleutel bronnummer],0))</f>
        <v>Digitale hulpmiddelen - Verpleging</v>
      </c>
      <c r="B93" s="33" t="s">
        <v>26</v>
      </c>
      <c r="C93" s="32" t="s">
        <v>391</v>
      </c>
      <c r="D93" s="32" t="s">
        <v>390</v>
      </c>
      <c r="E93" s="33" t="s">
        <v>29</v>
      </c>
      <c r="F93" s="33" t="str" cm="1">
        <f t="array" ref="F93">INDEX(Berekening_patiëntaantal[Direct toepasbaar/extrapolatie/incidentie voor QALY],MATCH(B93,IF(Berekening_patiëntaantal[Doelgroep (zoeksleutel)]=E93,Berekening_patiëntaantal[Digitale zorgtoepassing]),0))</f>
        <v>Huidige toepassing</v>
      </c>
      <c r="G93" s="33" t="s">
        <v>570</v>
      </c>
      <c r="H93" s="33" t="s">
        <v>142</v>
      </c>
      <c r="I93" s="403">
        <f>INDEX(Uurloon[Uurtarief zorgpersoneel],MATCH(H93,Uurloon[Zorgverlener],0))</f>
        <v>25.33954022988506</v>
      </c>
      <c r="J93" s="404" cm="1">
        <f t="array" ref="J93">INDEX(Berekening_patiëntaantal[Patiëntaantallen],MATCH(B93,IF(Berekening_patiëntaantal[Doelgroep (zoeksleutel)]=E93,Berekening_patiëntaantal[Digitale zorgtoepassing]),0))</f>
        <v>58968.000000000007</v>
      </c>
      <c r="K93" s="404">
        <f>IFERROR(INDEX(aantal_organisaties[Aantal organisaties waarop toepasbaar],MATCH(B93,aantal_organisaties[Digitale zorgtoepassing],0)),0)</f>
        <v>150</v>
      </c>
      <c r="L93" s="397">
        <f>COUNTIF(uniforme_input[Doelgroep],E93)</f>
        <v>4</v>
      </c>
      <c r="M93" s="405" cm="1">
        <f t="array" ref="M93">INDEX(Technologieën[Tijdsbesparing p. patiënt (min/week)],MATCH(B93,IF(Technologieën[Zoeksleutel bronnummer]=G93,Technologieën[Digitale zorgtoepassing]),0))</f>
        <v>262.5</v>
      </c>
      <c r="N93" s="405" cm="1">
        <f t="array" ref="N93">INDEX(Technologieën[Tijdsbesparing per handeling (min)],MATCH(B93,IF(Technologieën[Zoeksleutel bronnummer]=G93,Technologieën[Digitale zorgtoepassing]),0))</f>
        <v>0</v>
      </c>
      <c r="O93" s="403" cm="1">
        <f t="array" ref="O93">INDEX(Technologieën[Besparing overige kosten (€/patiënt/jaar)],MATCH(B93,IF(Technologieën[Zoeksleutel bronnummer]=G93,Technologieën[Digitale zorgtoepassing]),0))</f>
        <v>2839.3522130725682</v>
      </c>
      <c r="P93" s="403" cm="1">
        <f t="array" ref="P93">INDEX(Technologieën[Kostenbesparing p. patiënt door arbeidsbesparing (€/week)],MATCH(B93,IF(Technologieën[Zoeksleutel bronnummer]=G93,Technologieën[Digitale zorgtoepassing]),0))</f>
        <v>0</v>
      </c>
      <c r="Q93" s="403" cm="1">
        <f t="array" ref="Q93">INDEX(Technologieën[Kostenbesparing (personeel) per handeling (€)],MATCH(B93,IF(Technologieën[Zoeksleutel bronnummer]=G93,Technologieën[Digitale zorgtoepassing]),0))</f>
        <v>0</v>
      </c>
      <c r="R93" s="403" cm="1">
        <f t="array" ref="R93">INDEX(Technologieën[Besparing overige kosten (€/jaar)],MATCH(B93,IF(Technologieën[Zoeksleutel bronnummer]=G93,Technologieën[Digitale zorgtoepassing]),0))</f>
        <v>0</v>
      </c>
      <c r="S93" s="405" cm="1">
        <f t="array" ref="S93">INDEX(Technologieën[Jaarlijkse besparing zorgpersoneel (FTE)],MATCH(B93,IF(Technologieën[Zoeksleutel bronnummer]=G93,Technologieën[Digitale zorgtoepassing]),0))</f>
        <v>0</v>
      </c>
      <c r="T93" s="406" cm="1">
        <f t="array" ref="T93">(INDEX(Technologieën[QALY],MATCH(B93,IF(Technologieën[Zoeksleutel bronnummer]=G93,Technologieën[Digitale zorgtoepassing]),0)))</f>
        <v>0</v>
      </c>
      <c r="U93" s="407">
        <f>(uniforme_input[[#This Row],[Kostenbesparing door arbeidsbesparing p. patiënt (€/week)]]/uniforme_input[[#This Row],[Uurtarief]]*60) + (uniforme_input[[#This Row],[Totaal arbeidsbesparing onafhankelijk van patiënt (FTE)]]*40*60)/uniforme_input[[#This Row],[Patiëntaantallen]]</f>
        <v>0</v>
      </c>
      <c r="V93" s="407">
        <f>(uniforme_input[[#This Row],[Kostenbesparing per handeling (€)]]/uniforme_input[[#This Row],[Uurtarief]])*60</f>
        <v>0</v>
      </c>
      <c r="W93" s="398">
        <f>uniforme_input[[#This Row],[Overige kostenbesparing (Totaal €/jaar)]]/uniforme_input[[#This Row],[Patiëntaantallen]]</f>
        <v>0</v>
      </c>
      <c r="X93" s="408">
        <f>IF(uniforme_input[[#This Row],[Bron gebruiken voor opbrengsten?]]="Ja",uniforme_input[[#This Row],[Tijdsbesparing (min/week/patiënt) - gegeven]]+uniforme_input[[#This Row],[Tijdsbesparing (min/week/patiënt) berekend]],0)</f>
        <v>262.5</v>
      </c>
      <c r="Y93" s="407">
        <f>IF(uniforme_input[[#This Row],[Bron gebruiken voor opbrengsten?]]="Ja",uniforme_input[[#This Row],[Tijdsbesparing (min/handeling) - gegeven]]+uniforme_input[[#This Row],[Tijdsbesparing (min/handeling) berekend]],0)</f>
        <v>0</v>
      </c>
      <c r="Z93" s="409">
        <f>IF(uniforme_input[[#This Row],[Bron gebruiken voor opbrengsten?]]="Ja",uniforme_input[[#This Row],[Overige kostenbesparing (€/jaar/patiënt) - gegeven]]+uniforme_input[[#This Row],[Overige kostenbesparing (€/jaar/patiënt) berekend]],0)</f>
        <v>2839.3522130725682</v>
      </c>
      <c r="AA93" s="403" cm="1">
        <f t="array" ref="AA93">INDEX(Technologieën[Jaarlijkse kosten p. patiënt],MATCH(B93,IF(Technologieën[Zoeksleutel bronnummer]=G93,Technologieën[Digitale zorgtoepassing]),0))</f>
        <v>0</v>
      </c>
      <c r="AB93" s="403" cm="1">
        <f t="array" ref="AB93">INDEX(Technologieën[Jaarlijkse kosten p. organisatie],MATCH(B93,IF(Technologieën[Zoeksleutel bronnummer]=G93,Technologieën[Digitale zorgtoepassing]),0))/uniforme_input[[#This Row],[Aantal doelgroepen waarop toepasbaar]]</f>
        <v>0</v>
      </c>
      <c r="AC93" s="403" cm="1">
        <f t="array" ref="AC93">INDEX(Technologieën[Jaarlijkse kosten (onafh. aantal patiënt/organisatie)],MATCH(B93,IF(Technologieën[Zoeksleutel bronnummer]=G93,Technologieën[Digitale zorgtoepassing]),0))/uniforme_input[[#This Row],[Aantal doelgroepen waarop toepasbaar]]</f>
        <v>0</v>
      </c>
      <c r="AD93" s="403" cm="1">
        <f t="array" ref="AD93">INDEX(Technologieën[Initiële investering (p. patiënt)],MATCH(B93,IF(Technologieën[Zoeksleutel bronnummer]=G93,Technologieën[Digitale zorgtoepassing]),0))</f>
        <v>0</v>
      </c>
      <c r="AE93" s="403" cm="1">
        <f t="array" ref="AE93">INDEX(Technologieën[Initiële investering (p. organisatie)],MATCH(B93,IF(Technologieën[Zoeksleutel bronnummer]=G93,Technologieën[Digitale zorgtoepassing]),0))</f>
        <v>0</v>
      </c>
      <c r="AF93"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93" s="398">
        <f>(uniforme_input[[#This Row],[Initiële investering per organisatie]]*uniforme_input[[#This Row],[Aantal organisaties]])/uniforme_input[[#This Row],[Patiëntaantallen]]</f>
        <v>0</v>
      </c>
      <c r="AH93" s="410">
        <f>IF(uniforme_input[[#This Row],[Bron gebruiken voor kosten/investering?]]="Ja",uniforme_input[[#This Row],[Jaarlijkse kosten per patiënt]] + uniforme_input[[#This Row],[Jaarlijkse kosten per patiënt berekend]],0)</f>
        <v>0</v>
      </c>
      <c r="AI93" s="409">
        <f>IF(uniforme_input[[#This Row],[Bron gebruiken voor kosten/investering?]]="Ja",uniforme_input[[#This Row],[Initiële investering per patiënt]]+uniforme_input[[#This Row],[Initiële investering per patiënt berekend]],0)</f>
        <v>0</v>
      </c>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row>
    <row r="94" spans="1:83" s="2" customFormat="1" x14ac:dyDescent="0.5">
      <c r="A94" s="51" t="str">
        <f>INDEX(Technologieën[Veld],MATCH(G94,Technologieën[Zoeksleutel bronnummer],0))</f>
        <v>Digitale hulpmiddelen - Verpleging</v>
      </c>
      <c r="B94" s="33" t="s">
        <v>26</v>
      </c>
      <c r="C94" s="32" t="s">
        <v>391</v>
      </c>
      <c r="D94" s="32" t="s">
        <v>390</v>
      </c>
      <c r="E94" s="33" t="s">
        <v>24</v>
      </c>
      <c r="F94" s="33" t="str" cm="1">
        <f t="array" ref="F94">INDEX(Berekening_patiëntaantal[Direct toepasbaar/extrapolatie/incidentie voor QALY],MATCH(B94,IF(Berekening_patiëntaantal[Doelgroep (zoeksleutel)]=E94,Berekening_patiëntaantal[Digitale zorgtoepassing]),0))</f>
        <v>Extrapolatie</v>
      </c>
      <c r="G94" s="33" t="s">
        <v>570</v>
      </c>
      <c r="H94" s="33" t="s">
        <v>142</v>
      </c>
      <c r="I94" s="403">
        <f>INDEX(Uurloon[Uurtarief zorgpersoneel],MATCH(H94,Uurloon[Zorgverlener],0))</f>
        <v>25.33954022988506</v>
      </c>
      <c r="J94" s="404" cm="1">
        <f t="array" ref="J94">INDEX(Berekening_patiëntaantal[Patiëntaantallen],MATCH(B94,IF(Berekening_patiëntaantal[Doelgroep (zoeksleutel)]=E94,Berekening_patiëntaantal[Digitale zorgtoepassing]),0))</f>
        <v>8009.8200000000006</v>
      </c>
      <c r="K94" s="404">
        <f>IFERROR(INDEX(aantal_organisaties[Aantal organisaties waarop toepasbaar],MATCH(B94,aantal_organisaties[Digitale zorgtoepassing],0)),0)</f>
        <v>150</v>
      </c>
      <c r="L94" s="397">
        <f>COUNTIF(uniforme_input[Doelgroep],E94)</f>
        <v>12</v>
      </c>
      <c r="M94" s="405" cm="1">
        <f t="array" ref="M94">INDEX(Technologieën[Tijdsbesparing p. patiënt (min/week)],MATCH(B94,IF(Technologieën[Zoeksleutel bronnummer]=G94,Technologieën[Digitale zorgtoepassing]),0))</f>
        <v>262.5</v>
      </c>
      <c r="N94" s="405" cm="1">
        <f t="array" ref="N94">INDEX(Technologieën[Tijdsbesparing per handeling (min)],MATCH(B94,IF(Technologieën[Zoeksleutel bronnummer]=G94,Technologieën[Digitale zorgtoepassing]),0))</f>
        <v>0</v>
      </c>
      <c r="O94" s="403" cm="1">
        <f t="array" ref="O94">INDEX(Technologieën[Besparing overige kosten (€/patiënt/jaar)],MATCH(B94,IF(Technologieën[Zoeksleutel bronnummer]=G94,Technologieën[Digitale zorgtoepassing]),0))</f>
        <v>2839.3522130725682</v>
      </c>
      <c r="P94" s="403" cm="1">
        <f t="array" ref="P94">INDEX(Technologieën[Kostenbesparing p. patiënt door arbeidsbesparing (€/week)],MATCH(B94,IF(Technologieën[Zoeksleutel bronnummer]=G94,Technologieën[Digitale zorgtoepassing]),0))</f>
        <v>0</v>
      </c>
      <c r="Q94" s="403" cm="1">
        <f t="array" ref="Q94">INDEX(Technologieën[Kostenbesparing (personeel) per handeling (€)],MATCH(B94,IF(Technologieën[Zoeksleutel bronnummer]=G94,Technologieën[Digitale zorgtoepassing]),0))</f>
        <v>0</v>
      </c>
      <c r="R94" s="403" cm="1">
        <f t="array" ref="R94">INDEX(Technologieën[Besparing overige kosten (€/jaar)],MATCH(B94,IF(Technologieën[Zoeksleutel bronnummer]=G94,Technologieën[Digitale zorgtoepassing]),0))</f>
        <v>0</v>
      </c>
      <c r="S94" s="405" cm="1">
        <f t="array" ref="S94">INDEX(Technologieën[Jaarlijkse besparing zorgpersoneel (FTE)],MATCH(B94,IF(Technologieën[Zoeksleutel bronnummer]=G94,Technologieën[Digitale zorgtoepassing]),0))</f>
        <v>0</v>
      </c>
      <c r="T94" s="406" cm="1">
        <f t="array" ref="T94">(INDEX(Technologieën[QALY],MATCH(B94,IF(Technologieën[Zoeksleutel bronnummer]=G94,Technologieën[Digitale zorgtoepassing]),0)))</f>
        <v>0</v>
      </c>
      <c r="U94" s="407">
        <f>(uniforme_input[[#This Row],[Kostenbesparing door arbeidsbesparing p. patiënt (€/week)]]/uniforme_input[[#This Row],[Uurtarief]]*60) + (uniforme_input[[#This Row],[Totaal arbeidsbesparing onafhankelijk van patiënt (FTE)]]*40*60)/uniforme_input[[#This Row],[Patiëntaantallen]]</f>
        <v>0</v>
      </c>
      <c r="V94" s="407">
        <f>(uniforme_input[[#This Row],[Kostenbesparing per handeling (€)]]/uniforme_input[[#This Row],[Uurtarief]])*60</f>
        <v>0</v>
      </c>
      <c r="W94" s="398">
        <f>uniforme_input[[#This Row],[Overige kostenbesparing (Totaal €/jaar)]]/uniforme_input[[#This Row],[Patiëntaantallen]]</f>
        <v>0</v>
      </c>
      <c r="X94" s="408">
        <f>IF(uniforme_input[[#This Row],[Bron gebruiken voor opbrengsten?]]="Ja",uniforme_input[[#This Row],[Tijdsbesparing (min/week/patiënt) - gegeven]]+uniforme_input[[#This Row],[Tijdsbesparing (min/week/patiënt) berekend]],0)</f>
        <v>262.5</v>
      </c>
      <c r="Y94" s="407">
        <f>IF(uniforme_input[[#This Row],[Bron gebruiken voor opbrengsten?]]="Ja",uniforme_input[[#This Row],[Tijdsbesparing (min/handeling) - gegeven]]+uniforme_input[[#This Row],[Tijdsbesparing (min/handeling) berekend]],0)</f>
        <v>0</v>
      </c>
      <c r="Z94" s="409">
        <f>IF(uniforme_input[[#This Row],[Bron gebruiken voor opbrengsten?]]="Ja",uniforme_input[[#This Row],[Overige kostenbesparing (€/jaar/patiënt) - gegeven]]+uniforme_input[[#This Row],[Overige kostenbesparing (€/jaar/patiënt) berekend]],0)</f>
        <v>2839.3522130725682</v>
      </c>
      <c r="AA94" s="403" cm="1">
        <f t="array" ref="AA94">INDEX(Technologieën[Jaarlijkse kosten p. patiënt],MATCH(B94,IF(Technologieën[Zoeksleutel bronnummer]=G94,Technologieën[Digitale zorgtoepassing]),0))</f>
        <v>0</v>
      </c>
      <c r="AB94" s="403" cm="1">
        <f t="array" ref="AB94">INDEX(Technologieën[Jaarlijkse kosten p. organisatie],MATCH(B94,IF(Technologieën[Zoeksleutel bronnummer]=G94,Technologieën[Digitale zorgtoepassing]),0))/uniforme_input[[#This Row],[Aantal doelgroepen waarop toepasbaar]]</f>
        <v>0</v>
      </c>
      <c r="AC94" s="403" cm="1">
        <f t="array" ref="AC94">INDEX(Technologieën[Jaarlijkse kosten (onafh. aantal patiënt/organisatie)],MATCH(B94,IF(Technologieën[Zoeksleutel bronnummer]=G94,Technologieën[Digitale zorgtoepassing]),0))/uniforme_input[[#This Row],[Aantal doelgroepen waarop toepasbaar]]</f>
        <v>0</v>
      </c>
      <c r="AD94" s="403" cm="1">
        <f t="array" ref="AD94">INDEX(Technologieën[Initiële investering (p. patiënt)],MATCH(B94,IF(Technologieën[Zoeksleutel bronnummer]=G94,Technologieën[Digitale zorgtoepassing]),0))</f>
        <v>0</v>
      </c>
      <c r="AE94" s="403" cm="1">
        <f t="array" ref="AE94">INDEX(Technologieën[Initiële investering (p. organisatie)],MATCH(B94,IF(Technologieën[Zoeksleutel bronnummer]=G94,Technologieën[Digitale zorgtoepassing]),0))</f>
        <v>0</v>
      </c>
      <c r="AF94"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94" s="398">
        <f>(uniforme_input[[#This Row],[Initiële investering per organisatie]]*uniforme_input[[#This Row],[Aantal organisaties]])/uniforme_input[[#This Row],[Patiëntaantallen]]</f>
        <v>0</v>
      </c>
      <c r="AH94" s="410">
        <f>IF(uniforme_input[[#This Row],[Bron gebruiken voor kosten/investering?]]="Ja",uniforme_input[[#This Row],[Jaarlijkse kosten per patiënt]] + uniforme_input[[#This Row],[Jaarlijkse kosten per patiënt berekend]],0)</f>
        <v>0</v>
      </c>
      <c r="AI94" s="409">
        <f>IF(uniforme_input[[#This Row],[Bron gebruiken voor kosten/investering?]]="Ja",uniforme_input[[#This Row],[Initiële investering per patiënt]]+uniforme_input[[#This Row],[Initiële investering per patiënt berekend]],0)</f>
        <v>0</v>
      </c>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row>
    <row r="95" spans="1:83" s="2" customFormat="1" x14ac:dyDescent="0.5">
      <c r="A95" s="51" t="str">
        <f>INDEX(Technologieën[Veld],MATCH(G95,Technologieën[Zoeksleutel bronnummer],0))</f>
        <v>Digitale hulpmiddelen - Verpleging</v>
      </c>
      <c r="B95" s="33" t="s">
        <v>26</v>
      </c>
      <c r="C95" s="32" t="s">
        <v>390</v>
      </c>
      <c r="D95" s="32" t="s">
        <v>391</v>
      </c>
      <c r="E95" s="33" t="s">
        <v>20</v>
      </c>
      <c r="F95" s="33" t="str" cm="1">
        <f t="array" ref="F95">INDEX(Berekening_patiëntaantal[Direct toepasbaar/extrapolatie/incidentie voor QALY],MATCH(B95,IF(Berekening_patiëntaantal[Doelgroep (zoeksleutel)]=E95,Berekening_patiëntaantal[Digitale zorgtoepassing]),0))</f>
        <v>Huidige toepassing</v>
      </c>
      <c r="G95" s="33" t="s">
        <v>535</v>
      </c>
      <c r="H95" s="33" t="s">
        <v>142</v>
      </c>
      <c r="I95" s="403">
        <f>INDEX(Uurloon[Uurtarief zorgpersoneel],MATCH(H95,Uurloon[Zorgverlener],0))</f>
        <v>25.33954022988506</v>
      </c>
      <c r="J95" s="404" cm="1">
        <f t="array" ref="J95">INDEX(Berekening_patiëntaantal[Patiëntaantallen],MATCH(B95,IF(Berekening_patiëntaantal[Doelgroep (zoeksleutel)]=E95,Berekening_patiëntaantal[Digitale zorgtoepassing]),0))</f>
        <v>12606.3</v>
      </c>
      <c r="K95" s="404">
        <f>IFERROR(INDEX(aantal_organisaties[Aantal organisaties waarop toepasbaar],MATCH(B95,aantal_organisaties[Digitale zorgtoepassing],0)),0)</f>
        <v>150</v>
      </c>
      <c r="L95" s="397">
        <f>COUNTIF(uniforme_input[Doelgroep],E95)</f>
        <v>14</v>
      </c>
      <c r="M95" s="405" cm="1">
        <f t="array" ref="M95">INDEX(Technologieën[Tijdsbesparing p. patiënt (min/week)],MATCH(B95,IF(Technologieën[Zoeksleutel bronnummer]=G95,Technologieën[Digitale zorgtoepassing]),0))</f>
        <v>0</v>
      </c>
      <c r="N95" s="405" cm="1">
        <f t="array" ref="N95">INDEX(Technologieën[Tijdsbesparing per handeling (min)],MATCH(B95,IF(Technologieën[Zoeksleutel bronnummer]=G95,Technologieën[Digitale zorgtoepassing]),0))</f>
        <v>0</v>
      </c>
      <c r="O95" s="403" cm="1">
        <f t="array" ref="O95">INDEX(Technologieën[Besparing overige kosten (€/patiënt/jaar)],MATCH(B95,IF(Technologieën[Zoeksleutel bronnummer]=G95,Technologieën[Digitale zorgtoepassing]),0))</f>
        <v>0</v>
      </c>
      <c r="P95" s="403" cm="1">
        <f t="array" ref="P95">INDEX(Technologieën[Kostenbesparing p. patiënt door arbeidsbesparing (€/week)],MATCH(B95,IF(Technologieën[Zoeksleutel bronnummer]=G95,Technologieën[Digitale zorgtoepassing]),0))</f>
        <v>0</v>
      </c>
      <c r="Q95" s="403" cm="1">
        <f t="array" ref="Q95">INDEX(Technologieën[Kostenbesparing (personeel) per handeling (€)],MATCH(B95,IF(Technologieën[Zoeksleutel bronnummer]=G95,Technologieën[Digitale zorgtoepassing]),0))</f>
        <v>0</v>
      </c>
      <c r="R95" s="403" cm="1">
        <f t="array" ref="R95">INDEX(Technologieën[Besparing overige kosten (€/jaar)],MATCH(B95,IF(Technologieën[Zoeksleutel bronnummer]=G95,Technologieën[Digitale zorgtoepassing]),0))</f>
        <v>0</v>
      </c>
      <c r="S95" s="405" cm="1">
        <f t="array" ref="S95">INDEX(Technologieën[Jaarlijkse besparing zorgpersoneel (FTE)],MATCH(B95,IF(Technologieën[Zoeksleutel bronnummer]=G95,Technologieën[Digitale zorgtoepassing]),0))</f>
        <v>0</v>
      </c>
      <c r="T95" s="406" cm="1">
        <f t="array" ref="T95">(INDEX(Technologieën[QALY],MATCH(B95,IF(Technologieën[Zoeksleutel bronnummer]=G95,Technologieën[Digitale zorgtoepassing]),0)))</f>
        <v>0</v>
      </c>
      <c r="U95" s="407">
        <f>(uniforme_input[[#This Row],[Kostenbesparing door arbeidsbesparing p. patiënt (€/week)]]/uniforme_input[[#This Row],[Uurtarief]]*60) + (uniforme_input[[#This Row],[Totaal arbeidsbesparing onafhankelijk van patiënt (FTE)]]*40*60)/uniforme_input[[#This Row],[Patiëntaantallen]]</f>
        <v>0</v>
      </c>
      <c r="V95" s="407">
        <f>(uniforme_input[[#This Row],[Kostenbesparing per handeling (€)]]/uniforme_input[[#This Row],[Uurtarief]])*60</f>
        <v>0</v>
      </c>
      <c r="W95" s="398">
        <f>uniforme_input[[#This Row],[Overige kostenbesparing (Totaal €/jaar)]]/uniforme_input[[#This Row],[Patiëntaantallen]]</f>
        <v>0</v>
      </c>
      <c r="X95" s="408">
        <f>IF(uniforme_input[[#This Row],[Bron gebruiken voor opbrengsten?]]="Ja",uniforme_input[[#This Row],[Tijdsbesparing (min/week/patiënt) - gegeven]]+uniforme_input[[#This Row],[Tijdsbesparing (min/week/patiënt) berekend]],0)</f>
        <v>0</v>
      </c>
      <c r="Y95" s="407">
        <f>IF(uniforme_input[[#This Row],[Bron gebruiken voor opbrengsten?]]="Ja",uniforme_input[[#This Row],[Tijdsbesparing (min/handeling) - gegeven]]+uniforme_input[[#This Row],[Tijdsbesparing (min/handeling) berekend]],0)</f>
        <v>0</v>
      </c>
      <c r="Z95" s="409">
        <f>IF(uniforme_input[[#This Row],[Bron gebruiken voor opbrengsten?]]="Ja",uniforme_input[[#This Row],[Overige kostenbesparing (€/jaar/patiënt) - gegeven]]+uniforme_input[[#This Row],[Overige kostenbesparing (€/jaar/patiënt) berekend]],0)</f>
        <v>0</v>
      </c>
      <c r="AA95" s="403" cm="1">
        <f t="array" ref="AA95">INDEX(Technologieën[Jaarlijkse kosten p. patiënt],MATCH(B95,IF(Technologieën[Zoeksleutel bronnummer]=G95,Technologieën[Digitale zorgtoepassing]),0))</f>
        <v>898.80000000000007</v>
      </c>
      <c r="AB95" s="403" cm="1">
        <f t="array" ref="AB95">INDEX(Technologieën[Jaarlijkse kosten p. organisatie],MATCH(B95,IF(Technologieën[Zoeksleutel bronnummer]=G95,Technologieën[Digitale zorgtoepassing]),0))/uniforme_input[[#This Row],[Aantal doelgroepen waarop toepasbaar]]</f>
        <v>0</v>
      </c>
      <c r="AC95" s="403" cm="1">
        <f t="array" ref="AC95">INDEX(Technologieën[Jaarlijkse kosten (onafh. aantal patiënt/organisatie)],MATCH(B95,IF(Technologieën[Zoeksleutel bronnummer]=G95,Technologieën[Digitale zorgtoepassing]),0))/uniforme_input[[#This Row],[Aantal doelgroepen waarop toepasbaar]]</f>
        <v>0</v>
      </c>
      <c r="AD95" s="403" cm="1">
        <f t="array" ref="AD95">INDEX(Technologieën[Initiële investering (p. patiënt)],MATCH(B95,IF(Technologieën[Zoeksleutel bronnummer]=G95,Technologieën[Digitale zorgtoepassing]),0))</f>
        <v>68</v>
      </c>
      <c r="AE95" s="403" cm="1">
        <f t="array" ref="AE95">INDEX(Technologieën[Initiële investering (p. organisatie)],MATCH(B95,IF(Technologieën[Zoeksleutel bronnummer]=G95,Technologieën[Digitale zorgtoepassing]),0))</f>
        <v>0</v>
      </c>
      <c r="AF95"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95" s="398">
        <f>(uniforme_input[[#This Row],[Initiële investering per organisatie]]*uniforme_input[[#This Row],[Aantal organisaties]])/uniforme_input[[#This Row],[Patiëntaantallen]]</f>
        <v>0</v>
      </c>
      <c r="AH95" s="410">
        <f>IF(uniforme_input[[#This Row],[Bron gebruiken voor kosten/investering?]]="Ja",uniforme_input[[#This Row],[Jaarlijkse kosten per patiënt]] + uniforme_input[[#This Row],[Jaarlijkse kosten per patiënt berekend]],0)</f>
        <v>898.80000000000007</v>
      </c>
      <c r="AI95" s="409">
        <f>IF(uniforme_input[[#This Row],[Bron gebruiken voor kosten/investering?]]="Ja",uniforme_input[[#This Row],[Initiële investering per patiënt]]+uniforme_input[[#This Row],[Initiële investering per patiënt berekend]],0)</f>
        <v>68</v>
      </c>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row>
    <row r="96" spans="1:83" s="2" customFormat="1" x14ac:dyDescent="0.5">
      <c r="A96" s="51" t="str">
        <f>INDEX(Technologieën[Veld],MATCH(G96,Technologieën[Zoeksleutel bronnummer],0))</f>
        <v>Digitale hulpmiddelen - Verpleging</v>
      </c>
      <c r="B96" s="33" t="s">
        <v>26</v>
      </c>
      <c r="C96" s="32" t="s">
        <v>390</v>
      </c>
      <c r="D96" s="32" t="s">
        <v>391</v>
      </c>
      <c r="E96" s="33" t="s">
        <v>27</v>
      </c>
      <c r="F96" s="33" t="str" cm="1">
        <f t="array" ref="F96">INDEX(Berekening_patiëntaantal[Direct toepasbaar/extrapolatie/incidentie voor QALY],MATCH(B96,IF(Berekening_patiëntaantal[Doelgroep (zoeksleutel)]=E96,Berekening_patiëntaantal[Digitale zorgtoepassing]),0))</f>
        <v>Huidige toepassing</v>
      </c>
      <c r="G96" s="33" t="s">
        <v>535</v>
      </c>
      <c r="H96" s="33" t="s">
        <v>142</v>
      </c>
      <c r="I96" s="403">
        <f>INDEX(Uurloon[Uurtarief zorgpersoneel],MATCH(H96,Uurloon[Zorgverlener],0))</f>
        <v>25.33954022988506</v>
      </c>
      <c r="J96" s="404" cm="1">
        <f t="array" ref="J96">INDEX(Berekening_patiëntaantal[Patiëntaantallen],MATCH(B96,IF(Berekening_patiëntaantal[Doelgroep (zoeksleutel)]=E96,Berekening_patiëntaantal[Digitale zorgtoepassing]),0))</f>
        <v>3174</v>
      </c>
      <c r="K96" s="404">
        <f>IFERROR(INDEX(aantal_organisaties[Aantal organisaties waarop toepasbaar],MATCH(B96,aantal_organisaties[Digitale zorgtoepassing],0)),0)</f>
        <v>150</v>
      </c>
      <c r="L96" s="397">
        <f>COUNTIF(uniforme_input[Doelgroep],E96)</f>
        <v>12</v>
      </c>
      <c r="M96" s="405" cm="1">
        <f t="array" ref="M96">INDEX(Technologieën[Tijdsbesparing p. patiënt (min/week)],MATCH(B96,IF(Technologieën[Zoeksleutel bronnummer]=G96,Technologieën[Digitale zorgtoepassing]),0))</f>
        <v>0</v>
      </c>
      <c r="N96" s="405" cm="1">
        <f t="array" ref="N96">INDEX(Technologieën[Tijdsbesparing per handeling (min)],MATCH(B96,IF(Technologieën[Zoeksleutel bronnummer]=G96,Technologieën[Digitale zorgtoepassing]),0))</f>
        <v>0</v>
      </c>
      <c r="O96" s="403" cm="1">
        <f t="array" ref="O96">INDEX(Technologieën[Besparing overige kosten (€/patiënt/jaar)],MATCH(B96,IF(Technologieën[Zoeksleutel bronnummer]=G96,Technologieën[Digitale zorgtoepassing]),0))</f>
        <v>0</v>
      </c>
      <c r="P96" s="403" cm="1">
        <f t="array" ref="P96">INDEX(Technologieën[Kostenbesparing p. patiënt door arbeidsbesparing (€/week)],MATCH(B96,IF(Technologieën[Zoeksleutel bronnummer]=G96,Technologieën[Digitale zorgtoepassing]),0))</f>
        <v>0</v>
      </c>
      <c r="Q96" s="403" cm="1">
        <f t="array" ref="Q96">INDEX(Technologieën[Kostenbesparing (personeel) per handeling (€)],MATCH(B96,IF(Technologieën[Zoeksleutel bronnummer]=G96,Technologieën[Digitale zorgtoepassing]),0))</f>
        <v>0</v>
      </c>
      <c r="R96" s="403" cm="1">
        <f t="array" ref="R96">INDEX(Technologieën[Besparing overige kosten (€/jaar)],MATCH(B96,IF(Technologieën[Zoeksleutel bronnummer]=G96,Technologieën[Digitale zorgtoepassing]),0))</f>
        <v>0</v>
      </c>
      <c r="S96" s="405" cm="1">
        <f t="array" ref="S96">INDEX(Technologieën[Jaarlijkse besparing zorgpersoneel (FTE)],MATCH(B96,IF(Technologieën[Zoeksleutel bronnummer]=G96,Technologieën[Digitale zorgtoepassing]),0))</f>
        <v>0</v>
      </c>
      <c r="T96" s="406" cm="1">
        <f t="array" ref="T96">(INDEX(Technologieën[QALY],MATCH(B96,IF(Technologieën[Zoeksleutel bronnummer]=G96,Technologieën[Digitale zorgtoepassing]),0)))</f>
        <v>0</v>
      </c>
      <c r="U96" s="407">
        <f>(uniforme_input[[#This Row],[Kostenbesparing door arbeidsbesparing p. patiënt (€/week)]]/uniforme_input[[#This Row],[Uurtarief]]*60) + (uniforme_input[[#This Row],[Totaal arbeidsbesparing onafhankelijk van patiënt (FTE)]]*40*60)/uniforme_input[[#This Row],[Patiëntaantallen]]</f>
        <v>0</v>
      </c>
      <c r="V96" s="407">
        <f>(uniforme_input[[#This Row],[Kostenbesparing per handeling (€)]]/uniforme_input[[#This Row],[Uurtarief]])*60</f>
        <v>0</v>
      </c>
      <c r="W96" s="398">
        <f>uniforme_input[[#This Row],[Overige kostenbesparing (Totaal €/jaar)]]/uniforme_input[[#This Row],[Patiëntaantallen]]</f>
        <v>0</v>
      </c>
      <c r="X96" s="408">
        <f>IF(uniforme_input[[#This Row],[Bron gebruiken voor opbrengsten?]]="Ja",uniforme_input[[#This Row],[Tijdsbesparing (min/week/patiënt) - gegeven]]+uniforme_input[[#This Row],[Tijdsbesparing (min/week/patiënt) berekend]],0)</f>
        <v>0</v>
      </c>
      <c r="Y96" s="407">
        <f>IF(uniforme_input[[#This Row],[Bron gebruiken voor opbrengsten?]]="Ja",uniforme_input[[#This Row],[Tijdsbesparing (min/handeling) - gegeven]]+uniforme_input[[#This Row],[Tijdsbesparing (min/handeling) berekend]],0)</f>
        <v>0</v>
      </c>
      <c r="Z96" s="409">
        <f>IF(uniforme_input[[#This Row],[Bron gebruiken voor opbrengsten?]]="Ja",uniforme_input[[#This Row],[Overige kostenbesparing (€/jaar/patiënt) - gegeven]]+uniforme_input[[#This Row],[Overige kostenbesparing (€/jaar/patiënt) berekend]],0)</f>
        <v>0</v>
      </c>
      <c r="AA96" s="403" cm="1">
        <f t="array" ref="AA96">INDEX(Technologieën[Jaarlijkse kosten p. patiënt],MATCH(B96,IF(Technologieën[Zoeksleutel bronnummer]=G96,Technologieën[Digitale zorgtoepassing]),0))</f>
        <v>898.80000000000007</v>
      </c>
      <c r="AB96" s="403" cm="1">
        <f t="array" ref="AB96">INDEX(Technologieën[Jaarlijkse kosten p. organisatie],MATCH(B96,IF(Technologieën[Zoeksleutel bronnummer]=G96,Technologieën[Digitale zorgtoepassing]),0))/uniforme_input[[#This Row],[Aantal doelgroepen waarop toepasbaar]]</f>
        <v>0</v>
      </c>
      <c r="AC96" s="403" cm="1">
        <f t="array" ref="AC96">INDEX(Technologieën[Jaarlijkse kosten (onafh. aantal patiënt/organisatie)],MATCH(B96,IF(Technologieën[Zoeksleutel bronnummer]=G96,Technologieën[Digitale zorgtoepassing]),0))/uniforme_input[[#This Row],[Aantal doelgroepen waarop toepasbaar]]</f>
        <v>0</v>
      </c>
      <c r="AD96" s="403" cm="1">
        <f t="array" ref="AD96">INDEX(Technologieën[Initiële investering (p. patiënt)],MATCH(B96,IF(Technologieën[Zoeksleutel bronnummer]=G96,Technologieën[Digitale zorgtoepassing]),0))</f>
        <v>68</v>
      </c>
      <c r="AE96" s="403" cm="1">
        <f t="array" ref="AE96">INDEX(Technologieën[Initiële investering (p. organisatie)],MATCH(B96,IF(Technologieën[Zoeksleutel bronnummer]=G96,Technologieën[Digitale zorgtoepassing]),0))</f>
        <v>0</v>
      </c>
      <c r="AF96"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96" s="398">
        <f>(uniforme_input[[#This Row],[Initiële investering per organisatie]]*uniforme_input[[#This Row],[Aantal organisaties]])/uniforme_input[[#This Row],[Patiëntaantallen]]</f>
        <v>0</v>
      </c>
      <c r="AH96" s="410">
        <f>IF(uniforme_input[[#This Row],[Bron gebruiken voor kosten/investering?]]="Ja",uniforme_input[[#This Row],[Jaarlijkse kosten per patiënt]] + uniforme_input[[#This Row],[Jaarlijkse kosten per patiënt berekend]],0)</f>
        <v>898.80000000000007</v>
      </c>
      <c r="AI96" s="409">
        <f>IF(uniforme_input[[#This Row],[Bron gebruiken voor kosten/investering?]]="Ja",uniforme_input[[#This Row],[Initiële investering per patiënt]]+uniforme_input[[#This Row],[Initiële investering per patiënt berekend]],0)</f>
        <v>68</v>
      </c>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row>
    <row r="97" spans="1:83" s="2" customFormat="1" x14ac:dyDescent="0.5">
      <c r="A97" s="51" t="str">
        <f>INDEX(Technologieën[Veld],MATCH(G97,Technologieën[Zoeksleutel bronnummer],0))</f>
        <v>Digitale hulpmiddelen - Verpleging</v>
      </c>
      <c r="B97" s="33" t="s">
        <v>26</v>
      </c>
      <c r="C97" s="32" t="s">
        <v>390</v>
      </c>
      <c r="D97" s="32" t="s">
        <v>391</v>
      </c>
      <c r="E97" s="33" t="s">
        <v>29</v>
      </c>
      <c r="F97" s="33" t="str" cm="1">
        <f t="array" ref="F97">INDEX(Berekening_patiëntaantal[Direct toepasbaar/extrapolatie/incidentie voor QALY],MATCH(B97,IF(Berekening_patiëntaantal[Doelgroep (zoeksleutel)]=E97,Berekening_patiëntaantal[Digitale zorgtoepassing]),0))</f>
        <v>Huidige toepassing</v>
      </c>
      <c r="G97" s="33" t="s">
        <v>535</v>
      </c>
      <c r="H97" s="33" t="s">
        <v>142</v>
      </c>
      <c r="I97" s="403">
        <f>INDEX(Uurloon[Uurtarief zorgpersoneel],MATCH(H97,Uurloon[Zorgverlener],0))</f>
        <v>25.33954022988506</v>
      </c>
      <c r="J97" s="404" cm="1">
        <f t="array" ref="J97">INDEX(Berekening_patiëntaantal[Patiëntaantallen],MATCH(B97,IF(Berekening_patiëntaantal[Doelgroep (zoeksleutel)]=E97,Berekening_patiëntaantal[Digitale zorgtoepassing]),0))</f>
        <v>58968.000000000007</v>
      </c>
      <c r="K97" s="404">
        <f>IFERROR(INDEX(aantal_organisaties[Aantal organisaties waarop toepasbaar],MATCH(B97,aantal_organisaties[Digitale zorgtoepassing],0)),0)</f>
        <v>150</v>
      </c>
      <c r="L97" s="397">
        <f>COUNTIF(uniforme_input[Doelgroep],E97)</f>
        <v>4</v>
      </c>
      <c r="M97" s="405" cm="1">
        <f t="array" ref="M97">INDEX(Technologieën[Tijdsbesparing p. patiënt (min/week)],MATCH(B97,IF(Technologieën[Zoeksleutel bronnummer]=G97,Technologieën[Digitale zorgtoepassing]),0))</f>
        <v>0</v>
      </c>
      <c r="N97" s="405" cm="1">
        <f t="array" ref="N97">INDEX(Technologieën[Tijdsbesparing per handeling (min)],MATCH(B97,IF(Technologieën[Zoeksleutel bronnummer]=G97,Technologieën[Digitale zorgtoepassing]),0))</f>
        <v>0</v>
      </c>
      <c r="O97" s="403" cm="1">
        <f t="array" ref="O97">INDEX(Technologieën[Besparing overige kosten (€/patiënt/jaar)],MATCH(B97,IF(Technologieën[Zoeksleutel bronnummer]=G97,Technologieën[Digitale zorgtoepassing]),0))</f>
        <v>0</v>
      </c>
      <c r="P97" s="403" cm="1">
        <f t="array" ref="P97">INDEX(Technologieën[Kostenbesparing p. patiënt door arbeidsbesparing (€/week)],MATCH(B97,IF(Technologieën[Zoeksleutel bronnummer]=G97,Technologieën[Digitale zorgtoepassing]),0))</f>
        <v>0</v>
      </c>
      <c r="Q97" s="403" cm="1">
        <f t="array" ref="Q97">INDEX(Technologieën[Kostenbesparing (personeel) per handeling (€)],MATCH(B97,IF(Technologieën[Zoeksleutel bronnummer]=G97,Technologieën[Digitale zorgtoepassing]),0))</f>
        <v>0</v>
      </c>
      <c r="R97" s="403" cm="1">
        <f t="array" ref="R97">INDEX(Technologieën[Besparing overige kosten (€/jaar)],MATCH(B97,IF(Technologieën[Zoeksleutel bronnummer]=G97,Technologieën[Digitale zorgtoepassing]),0))</f>
        <v>0</v>
      </c>
      <c r="S97" s="405" cm="1">
        <f t="array" ref="S97">INDEX(Technologieën[Jaarlijkse besparing zorgpersoneel (FTE)],MATCH(B97,IF(Technologieën[Zoeksleutel bronnummer]=G97,Technologieën[Digitale zorgtoepassing]),0))</f>
        <v>0</v>
      </c>
      <c r="T97" s="406" cm="1">
        <f t="array" ref="T97">(INDEX(Technologieën[QALY],MATCH(B97,IF(Technologieën[Zoeksleutel bronnummer]=G97,Technologieën[Digitale zorgtoepassing]),0)))</f>
        <v>0</v>
      </c>
      <c r="U97" s="407">
        <f>(uniforme_input[[#This Row],[Kostenbesparing door arbeidsbesparing p. patiënt (€/week)]]/uniforme_input[[#This Row],[Uurtarief]]*60) + (uniforme_input[[#This Row],[Totaal arbeidsbesparing onafhankelijk van patiënt (FTE)]]*40*60)/uniforme_input[[#This Row],[Patiëntaantallen]]</f>
        <v>0</v>
      </c>
      <c r="V97" s="407">
        <f>(uniforme_input[[#This Row],[Kostenbesparing per handeling (€)]]/uniforme_input[[#This Row],[Uurtarief]])*60</f>
        <v>0</v>
      </c>
      <c r="W97" s="398">
        <f>uniforme_input[[#This Row],[Overige kostenbesparing (Totaal €/jaar)]]/uniforme_input[[#This Row],[Patiëntaantallen]]</f>
        <v>0</v>
      </c>
      <c r="X97" s="408">
        <f>IF(uniforme_input[[#This Row],[Bron gebruiken voor opbrengsten?]]="Ja",uniforme_input[[#This Row],[Tijdsbesparing (min/week/patiënt) - gegeven]]+uniforme_input[[#This Row],[Tijdsbesparing (min/week/patiënt) berekend]],0)</f>
        <v>0</v>
      </c>
      <c r="Y97" s="407">
        <f>IF(uniforme_input[[#This Row],[Bron gebruiken voor opbrengsten?]]="Ja",uniforme_input[[#This Row],[Tijdsbesparing (min/handeling) - gegeven]]+uniforme_input[[#This Row],[Tijdsbesparing (min/handeling) berekend]],0)</f>
        <v>0</v>
      </c>
      <c r="Z97" s="409">
        <f>IF(uniforme_input[[#This Row],[Bron gebruiken voor opbrengsten?]]="Ja",uniforme_input[[#This Row],[Overige kostenbesparing (€/jaar/patiënt) - gegeven]]+uniforme_input[[#This Row],[Overige kostenbesparing (€/jaar/patiënt) berekend]],0)</f>
        <v>0</v>
      </c>
      <c r="AA97" s="403" cm="1">
        <f t="array" ref="AA97">INDEX(Technologieën[Jaarlijkse kosten p. patiënt],MATCH(B97,IF(Technologieën[Zoeksleutel bronnummer]=G97,Technologieën[Digitale zorgtoepassing]),0))</f>
        <v>898.80000000000007</v>
      </c>
      <c r="AB97" s="403" cm="1">
        <f t="array" ref="AB97">INDEX(Technologieën[Jaarlijkse kosten p. organisatie],MATCH(B97,IF(Technologieën[Zoeksleutel bronnummer]=G97,Technologieën[Digitale zorgtoepassing]),0))/uniforme_input[[#This Row],[Aantal doelgroepen waarop toepasbaar]]</f>
        <v>0</v>
      </c>
      <c r="AC97" s="403" cm="1">
        <f t="array" ref="AC97">INDEX(Technologieën[Jaarlijkse kosten (onafh. aantal patiënt/organisatie)],MATCH(B97,IF(Technologieën[Zoeksleutel bronnummer]=G97,Technologieën[Digitale zorgtoepassing]),0))/uniforme_input[[#This Row],[Aantal doelgroepen waarop toepasbaar]]</f>
        <v>0</v>
      </c>
      <c r="AD97" s="403" cm="1">
        <f t="array" ref="AD97">INDEX(Technologieën[Initiële investering (p. patiënt)],MATCH(B97,IF(Technologieën[Zoeksleutel bronnummer]=G97,Technologieën[Digitale zorgtoepassing]),0))</f>
        <v>68</v>
      </c>
      <c r="AE97" s="403" cm="1">
        <f t="array" ref="AE97">INDEX(Technologieën[Initiële investering (p. organisatie)],MATCH(B97,IF(Technologieën[Zoeksleutel bronnummer]=G97,Technologieën[Digitale zorgtoepassing]),0))</f>
        <v>0</v>
      </c>
      <c r="AF97"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97" s="398">
        <f>(uniforme_input[[#This Row],[Initiële investering per organisatie]]*uniforme_input[[#This Row],[Aantal organisaties]])/uniforme_input[[#This Row],[Patiëntaantallen]]</f>
        <v>0</v>
      </c>
      <c r="AH97" s="410">
        <f>IF(uniforme_input[[#This Row],[Bron gebruiken voor kosten/investering?]]="Ja",uniforme_input[[#This Row],[Jaarlijkse kosten per patiënt]] + uniforme_input[[#This Row],[Jaarlijkse kosten per patiënt berekend]],0)</f>
        <v>898.80000000000007</v>
      </c>
      <c r="AI97" s="409">
        <f>IF(uniforme_input[[#This Row],[Bron gebruiken voor kosten/investering?]]="Ja",uniforme_input[[#This Row],[Initiële investering per patiënt]]+uniforme_input[[#This Row],[Initiële investering per patiënt berekend]],0)</f>
        <v>68</v>
      </c>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row>
    <row r="98" spans="1:83" s="2" customFormat="1" x14ac:dyDescent="0.5">
      <c r="A98" s="51" t="str">
        <f>INDEX(Technologieën[Veld],MATCH(G98,Technologieën[Zoeksleutel bronnummer],0))</f>
        <v>Digitale hulpmiddelen - Verpleging</v>
      </c>
      <c r="B98" s="33" t="s">
        <v>26</v>
      </c>
      <c r="C98" s="32" t="s">
        <v>390</v>
      </c>
      <c r="D98" s="32" t="s">
        <v>391</v>
      </c>
      <c r="E98" s="33" t="s">
        <v>24</v>
      </c>
      <c r="F98" s="33" t="str" cm="1">
        <f t="array" ref="F98">INDEX(Berekening_patiëntaantal[Direct toepasbaar/extrapolatie/incidentie voor QALY],MATCH(B98,IF(Berekening_patiëntaantal[Doelgroep (zoeksleutel)]=E98,Berekening_patiëntaantal[Digitale zorgtoepassing]),0))</f>
        <v>Extrapolatie</v>
      </c>
      <c r="G98" s="33" t="s">
        <v>535</v>
      </c>
      <c r="H98" s="33" t="s">
        <v>142</v>
      </c>
      <c r="I98" s="403">
        <f>INDEX(Uurloon[Uurtarief zorgpersoneel],MATCH(H98,Uurloon[Zorgverlener],0))</f>
        <v>25.33954022988506</v>
      </c>
      <c r="J98" s="404" cm="1">
        <f t="array" ref="J98">INDEX(Berekening_patiëntaantal[Patiëntaantallen],MATCH(B98,IF(Berekening_patiëntaantal[Doelgroep (zoeksleutel)]=E98,Berekening_patiëntaantal[Digitale zorgtoepassing]),0))</f>
        <v>8009.8200000000006</v>
      </c>
      <c r="K98" s="404">
        <f>IFERROR(INDEX(aantal_organisaties[Aantal organisaties waarop toepasbaar],MATCH(B98,aantal_organisaties[Digitale zorgtoepassing],0)),0)</f>
        <v>150</v>
      </c>
      <c r="L98" s="397">
        <f>COUNTIF(uniforme_input[Doelgroep],E98)</f>
        <v>12</v>
      </c>
      <c r="M98" s="405" cm="1">
        <f t="array" ref="M98">INDEX(Technologieën[Tijdsbesparing p. patiënt (min/week)],MATCH(B98,IF(Technologieën[Zoeksleutel bronnummer]=G98,Technologieën[Digitale zorgtoepassing]),0))</f>
        <v>0</v>
      </c>
      <c r="N98" s="405" cm="1">
        <f t="array" ref="N98">INDEX(Technologieën[Tijdsbesparing per handeling (min)],MATCH(B98,IF(Technologieën[Zoeksleutel bronnummer]=G98,Technologieën[Digitale zorgtoepassing]),0))</f>
        <v>0</v>
      </c>
      <c r="O98" s="403" cm="1">
        <f t="array" ref="O98">INDEX(Technologieën[Besparing overige kosten (€/patiënt/jaar)],MATCH(B98,IF(Technologieën[Zoeksleutel bronnummer]=G98,Technologieën[Digitale zorgtoepassing]),0))</f>
        <v>0</v>
      </c>
      <c r="P98" s="403" cm="1">
        <f t="array" ref="P98">INDEX(Technologieën[Kostenbesparing p. patiënt door arbeidsbesparing (€/week)],MATCH(B98,IF(Technologieën[Zoeksleutel bronnummer]=G98,Technologieën[Digitale zorgtoepassing]),0))</f>
        <v>0</v>
      </c>
      <c r="Q98" s="403" cm="1">
        <f t="array" ref="Q98">INDEX(Technologieën[Kostenbesparing (personeel) per handeling (€)],MATCH(B98,IF(Technologieën[Zoeksleutel bronnummer]=G98,Technologieën[Digitale zorgtoepassing]),0))</f>
        <v>0</v>
      </c>
      <c r="R98" s="403" cm="1">
        <f t="array" ref="R98">INDEX(Technologieën[Besparing overige kosten (€/jaar)],MATCH(B98,IF(Technologieën[Zoeksleutel bronnummer]=G98,Technologieën[Digitale zorgtoepassing]),0))</f>
        <v>0</v>
      </c>
      <c r="S98" s="405" cm="1">
        <f t="array" ref="S98">INDEX(Technologieën[Jaarlijkse besparing zorgpersoneel (FTE)],MATCH(B98,IF(Technologieën[Zoeksleutel bronnummer]=G98,Technologieën[Digitale zorgtoepassing]),0))</f>
        <v>0</v>
      </c>
      <c r="T98" s="406" cm="1">
        <f t="array" ref="T98">(INDEX(Technologieën[QALY],MATCH(B98,IF(Technologieën[Zoeksleutel bronnummer]=G98,Technologieën[Digitale zorgtoepassing]),0)))</f>
        <v>0</v>
      </c>
      <c r="U98" s="407">
        <f>(uniforme_input[[#This Row],[Kostenbesparing door arbeidsbesparing p. patiënt (€/week)]]/uniforme_input[[#This Row],[Uurtarief]]*60) + (uniforme_input[[#This Row],[Totaal arbeidsbesparing onafhankelijk van patiënt (FTE)]]*40*60)/uniforme_input[[#This Row],[Patiëntaantallen]]</f>
        <v>0</v>
      </c>
      <c r="V98" s="407">
        <f>(uniforme_input[[#This Row],[Kostenbesparing per handeling (€)]]/uniforme_input[[#This Row],[Uurtarief]])*60</f>
        <v>0</v>
      </c>
      <c r="W98" s="398">
        <f>uniforme_input[[#This Row],[Overige kostenbesparing (Totaal €/jaar)]]/uniforme_input[[#This Row],[Patiëntaantallen]]</f>
        <v>0</v>
      </c>
      <c r="X98" s="408">
        <f>IF(uniforme_input[[#This Row],[Bron gebruiken voor opbrengsten?]]="Ja",uniforme_input[[#This Row],[Tijdsbesparing (min/week/patiënt) - gegeven]]+uniforme_input[[#This Row],[Tijdsbesparing (min/week/patiënt) berekend]],0)</f>
        <v>0</v>
      </c>
      <c r="Y98" s="407">
        <f>IF(uniforme_input[[#This Row],[Bron gebruiken voor opbrengsten?]]="Ja",uniforme_input[[#This Row],[Tijdsbesparing (min/handeling) - gegeven]]+uniforme_input[[#This Row],[Tijdsbesparing (min/handeling) berekend]],0)</f>
        <v>0</v>
      </c>
      <c r="Z98" s="409">
        <f>IF(uniforme_input[[#This Row],[Bron gebruiken voor opbrengsten?]]="Ja",uniforme_input[[#This Row],[Overige kostenbesparing (€/jaar/patiënt) - gegeven]]+uniforme_input[[#This Row],[Overige kostenbesparing (€/jaar/patiënt) berekend]],0)</f>
        <v>0</v>
      </c>
      <c r="AA98" s="403" cm="1">
        <f t="array" ref="AA98">INDEX(Technologieën[Jaarlijkse kosten p. patiënt],MATCH(B98,IF(Technologieën[Zoeksleutel bronnummer]=G98,Technologieën[Digitale zorgtoepassing]),0))</f>
        <v>898.80000000000007</v>
      </c>
      <c r="AB98" s="403" cm="1">
        <f t="array" ref="AB98">INDEX(Technologieën[Jaarlijkse kosten p. organisatie],MATCH(B98,IF(Technologieën[Zoeksleutel bronnummer]=G98,Technologieën[Digitale zorgtoepassing]),0))/uniforme_input[[#This Row],[Aantal doelgroepen waarop toepasbaar]]</f>
        <v>0</v>
      </c>
      <c r="AC98" s="403" cm="1">
        <f t="array" ref="AC98">INDEX(Technologieën[Jaarlijkse kosten (onafh. aantal patiënt/organisatie)],MATCH(B98,IF(Technologieën[Zoeksleutel bronnummer]=G98,Technologieën[Digitale zorgtoepassing]),0))/uniforme_input[[#This Row],[Aantal doelgroepen waarop toepasbaar]]</f>
        <v>0</v>
      </c>
      <c r="AD98" s="403" cm="1">
        <f t="array" ref="AD98">INDEX(Technologieën[Initiële investering (p. patiënt)],MATCH(B98,IF(Technologieën[Zoeksleutel bronnummer]=G98,Technologieën[Digitale zorgtoepassing]),0))</f>
        <v>68</v>
      </c>
      <c r="AE98" s="403" cm="1">
        <f t="array" ref="AE98">INDEX(Technologieën[Initiële investering (p. organisatie)],MATCH(B98,IF(Technologieën[Zoeksleutel bronnummer]=G98,Technologieën[Digitale zorgtoepassing]),0))</f>
        <v>0</v>
      </c>
      <c r="AF98"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98" s="398">
        <f>(uniforme_input[[#This Row],[Initiële investering per organisatie]]*uniforme_input[[#This Row],[Aantal organisaties]])/uniforme_input[[#This Row],[Patiëntaantallen]]</f>
        <v>0</v>
      </c>
      <c r="AH98" s="410">
        <f>IF(uniforme_input[[#This Row],[Bron gebruiken voor kosten/investering?]]="Ja",uniforme_input[[#This Row],[Jaarlijkse kosten per patiënt]] + uniforme_input[[#This Row],[Jaarlijkse kosten per patiënt berekend]],0)</f>
        <v>898.80000000000007</v>
      </c>
      <c r="AI98" s="409">
        <f>IF(uniforme_input[[#This Row],[Bron gebruiken voor kosten/investering?]]="Ja",uniforme_input[[#This Row],[Initiële investering per patiënt]]+uniforme_input[[#This Row],[Initiële investering per patiënt berekend]],0)</f>
        <v>68</v>
      </c>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row>
    <row r="99" spans="1:83" s="2" customFormat="1" x14ac:dyDescent="0.5">
      <c r="A99" s="51" t="str">
        <f>INDEX(Technologieën[Veld],MATCH(G99,Technologieën[Zoeksleutel bronnummer],0))</f>
        <v>Digitale hulpmiddelen - Diagnose</v>
      </c>
      <c r="B99" s="33" t="s">
        <v>78</v>
      </c>
      <c r="C99" s="32" t="s">
        <v>391</v>
      </c>
      <c r="D99" s="32" t="s">
        <v>390</v>
      </c>
      <c r="E99" s="33" t="s">
        <v>79</v>
      </c>
      <c r="F99" s="33" t="str" cm="1">
        <f t="array" ref="F99">INDEX(Berekening_patiëntaantal[Direct toepasbaar/extrapolatie/incidentie voor QALY],MATCH(B99,IF(Berekening_patiëntaantal[Doelgroep (zoeksleutel)]=E99,Berekening_patiëntaantal[Digitale zorgtoepassing]),0))</f>
        <v>Huidige toepassing</v>
      </c>
      <c r="G99" s="33" t="s">
        <v>537</v>
      </c>
      <c r="H99" s="33" t="s">
        <v>163</v>
      </c>
      <c r="I99" s="403">
        <f>INDEX(Uurloon[Uurtarief zorgpersoneel],MATCH(H99,Uurloon[Zorgverlener],0))</f>
        <v>27.736091954022992</v>
      </c>
      <c r="J99" s="404" cm="1">
        <f t="array" ref="J99">INDEX(Berekening_patiëntaantal[Patiëntaantallen],MATCH(B99,IF(Berekening_patiëntaantal[Doelgroep (zoeksleutel)]=E99,Berekening_patiëntaantal[Digitale zorgtoepassing]),0))</f>
        <v>446040</v>
      </c>
      <c r="K99" s="404">
        <f>IFERROR(INDEX(aantal_organisaties[Aantal organisaties waarop toepasbaar],MATCH(B99,aantal_organisaties[Digitale zorgtoepassing],0)),0)</f>
        <v>1229</v>
      </c>
      <c r="L99" s="397">
        <f>COUNTIF(uniforme_input[Doelgroep],E99)</f>
        <v>2</v>
      </c>
      <c r="M99" s="405" cm="1">
        <f t="array" ref="M99">INDEX(Technologieën[Tijdsbesparing p. patiënt (min/week)],MATCH(B99,IF(Technologieën[Zoeksleutel bronnummer]=G99,Technologieën[Digitale zorgtoepassing]),0))</f>
        <v>0</v>
      </c>
      <c r="N99" s="405" cm="1">
        <f t="array" ref="N99">INDEX(Technologieën[Tijdsbesparing per handeling (min)],MATCH(B99,IF(Technologieën[Zoeksleutel bronnummer]=G99,Technologieën[Digitale zorgtoepassing]),0))</f>
        <v>5</v>
      </c>
      <c r="O99" s="403" cm="1">
        <f t="array" ref="O99">INDEX(Technologieën[Besparing overige kosten (€/patiënt/jaar)],MATCH(B99,IF(Technologieën[Zoeksleutel bronnummer]=G99,Technologieën[Digitale zorgtoepassing]),0))</f>
        <v>1.5408939974457221</v>
      </c>
      <c r="P99" s="403" cm="1">
        <f t="array" ref="P99">INDEX(Technologieën[Kostenbesparing p. patiënt door arbeidsbesparing (€/week)],MATCH(B99,IF(Technologieën[Zoeksleutel bronnummer]=G99,Technologieën[Digitale zorgtoepassing]),0))</f>
        <v>0</v>
      </c>
      <c r="Q99" s="403" cm="1">
        <f t="array" ref="Q99">INDEX(Technologieën[Kostenbesparing (personeel) per handeling (€)],MATCH(B99,IF(Technologieën[Zoeksleutel bronnummer]=G99,Technologieën[Digitale zorgtoepassing]),0))</f>
        <v>0</v>
      </c>
      <c r="R99" s="403" cm="1">
        <f t="array" ref="R99">INDEX(Technologieën[Besparing overige kosten (€/jaar)],MATCH(B99,IF(Technologieën[Zoeksleutel bronnummer]=G99,Technologieën[Digitale zorgtoepassing]),0))</f>
        <v>0</v>
      </c>
      <c r="S99" s="405" cm="1">
        <f t="array" ref="S99">INDEX(Technologieën[Jaarlijkse besparing zorgpersoneel (FTE)],MATCH(B99,IF(Technologieën[Zoeksleutel bronnummer]=G99,Technologieën[Digitale zorgtoepassing]),0))</f>
        <v>0</v>
      </c>
      <c r="T99" s="406" cm="1">
        <f t="array" ref="T99">(INDEX(Technologieën[QALY],MATCH(B99,IF(Technologieën[Zoeksleutel bronnummer]=G99,Technologieën[Digitale zorgtoepassing]),0)))</f>
        <v>0</v>
      </c>
      <c r="U99" s="407">
        <f>(uniforme_input[[#This Row],[Kostenbesparing door arbeidsbesparing p. patiënt (€/week)]]/uniforme_input[[#This Row],[Uurtarief]]*60) + (uniforme_input[[#This Row],[Totaal arbeidsbesparing onafhankelijk van patiënt (FTE)]]*40*60)/uniforme_input[[#This Row],[Patiëntaantallen]]</f>
        <v>0</v>
      </c>
      <c r="V99" s="407">
        <f>(uniforme_input[[#This Row],[Kostenbesparing per handeling (€)]]/uniforme_input[[#This Row],[Uurtarief]])*60</f>
        <v>0</v>
      </c>
      <c r="W99" s="398">
        <f>uniforme_input[[#This Row],[Overige kostenbesparing (Totaal €/jaar)]]/uniforme_input[[#This Row],[Patiëntaantallen]]</f>
        <v>0</v>
      </c>
      <c r="X99" s="408">
        <f>IF(uniforme_input[[#This Row],[Bron gebruiken voor opbrengsten?]]="Ja",uniforme_input[[#This Row],[Tijdsbesparing (min/week/patiënt) - gegeven]]+uniforme_input[[#This Row],[Tijdsbesparing (min/week/patiënt) berekend]],0)</f>
        <v>0</v>
      </c>
      <c r="Y99" s="407">
        <f>IF(uniforme_input[[#This Row],[Bron gebruiken voor opbrengsten?]]="Ja",uniforme_input[[#This Row],[Tijdsbesparing (min/handeling) - gegeven]]+uniforme_input[[#This Row],[Tijdsbesparing (min/handeling) berekend]],0)</f>
        <v>5</v>
      </c>
      <c r="Z99" s="409">
        <f>IF(uniforme_input[[#This Row],[Bron gebruiken voor opbrengsten?]]="Ja",uniforme_input[[#This Row],[Overige kostenbesparing (€/jaar/patiënt) - gegeven]]+uniforme_input[[#This Row],[Overige kostenbesparing (€/jaar/patiënt) berekend]],0)</f>
        <v>1.5408939974457221</v>
      </c>
      <c r="AA99" s="403" cm="1">
        <f t="array" ref="AA99">INDEX(Technologieën[Jaarlijkse kosten p. patiënt],MATCH(B99,IF(Technologieën[Zoeksleutel bronnummer]=G99,Technologieën[Digitale zorgtoepassing]),0))</f>
        <v>0</v>
      </c>
      <c r="AB99" s="403" cm="1">
        <f t="array" ref="AB99">INDEX(Technologieën[Jaarlijkse kosten p. organisatie],MATCH(B99,IF(Technologieën[Zoeksleutel bronnummer]=G99,Technologieën[Digitale zorgtoepassing]),0))/uniforme_input[[#This Row],[Aantal doelgroepen waarop toepasbaar]]</f>
        <v>0</v>
      </c>
      <c r="AC99" s="403" cm="1">
        <f t="array" ref="AC99">INDEX(Technologieën[Jaarlijkse kosten (onafh. aantal patiënt/organisatie)],MATCH(B99,IF(Technologieën[Zoeksleutel bronnummer]=G99,Technologieën[Digitale zorgtoepassing]),0))/uniforme_input[[#This Row],[Aantal doelgroepen waarop toepasbaar]]</f>
        <v>0</v>
      </c>
      <c r="AD99" s="403" cm="1">
        <f t="array" ref="AD99">INDEX(Technologieën[Initiële investering (p. patiënt)],MATCH(B99,IF(Technologieën[Zoeksleutel bronnummer]=G99,Technologieën[Digitale zorgtoepassing]),0))</f>
        <v>0</v>
      </c>
      <c r="AE99" s="403" cm="1">
        <f t="array" ref="AE99">INDEX(Technologieën[Initiële investering (p. organisatie)],MATCH(B99,IF(Technologieën[Zoeksleutel bronnummer]=G99,Technologieën[Digitale zorgtoepassing]),0))</f>
        <v>0</v>
      </c>
      <c r="AF99"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99" s="398">
        <f>(uniforme_input[[#This Row],[Initiële investering per organisatie]]*uniforme_input[[#This Row],[Aantal organisaties]])/uniforme_input[[#This Row],[Patiëntaantallen]]</f>
        <v>0</v>
      </c>
      <c r="AH99" s="410">
        <f>IF(uniforme_input[[#This Row],[Bron gebruiken voor kosten/investering?]]="Ja",uniforme_input[[#This Row],[Jaarlijkse kosten per patiënt]] + uniforme_input[[#This Row],[Jaarlijkse kosten per patiënt berekend]],0)</f>
        <v>0</v>
      </c>
      <c r="AI99" s="409">
        <f>IF(uniforme_input[[#This Row],[Bron gebruiken voor kosten/investering?]]="Ja",uniforme_input[[#This Row],[Initiële investering per patiënt]]+uniforme_input[[#This Row],[Initiële investering per patiënt berekend]],0)</f>
        <v>0</v>
      </c>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row>
    <row r="100" spans="1:83" s="2" customFormat="1" x14ac:dyDescent="0.5">
      <c r="A100" s="51" t="str">
        <f>INDEX(Technologieën[Veld],MATCH(G100,Technologieën[Zoeksleutel bronnummer],0))</f>
        <v>Digitale hulpmiddelen - Diagnose</v>
      </c>
      <c r="B100" s="33" t="s">
        <v>82</v>
      </c>
      <c r="C100" s="32" t="s">
        <v>391</v>
      </c>
      <c r="D100" s="32" t="s">
        <v>390</v>
      </c>
      <c r="E100" s="33" t="s">
        <v>703</v>
      </c>
      <c r="F100" s="33" t="str" cm="1">
        <f t="array" ref="F100">INDEX(Berekening_patiëntaantal[Direct toepasbaar/extrapolatie/incidentie voor QALY],MATCH(B100,IF(Berekening_patiëntaantal[Doelgroep (zoeksleutel)]=E100,Berekening_patiëntaantal[Digitale zorgtoepassing]),0))</f>
        <v>Huidige toepassing</v>
      </c>
      <c r="G100" s="33" t="s">
        <v>538</v>
      </c>
      <c r="H100" s="33" t="s">
        <v>709</v>
      </c>
      <c r="I100" s="403">
        <f>INDEX(Uurloon[Uurtarief zorgpersoneel],MATCH(H100,Uurloon[Zorgverlener],0))</f>
        <v>26.322126436781613</v>
      </c>
      <c r="J100" s="404" cm="1">
        <f t="array" ref="J100">INDEX(Berekening_patiëntaantal[Patiëntaantallen],MATCH(B100,IF(Berekening_patiëntaantal[Doelgroep (zoeksleutel)]=E100,Berekening_patiëntaantal[Digitale zorgtoepassing]),0))</f>
        <v>135000</v>
      </c>
      <c r="K100" s="404">
        <f>IFERROR(INDEX(aantal_organisaties[Aantal organisaties waarop toepasbaar],MATCH(B100,aantal_organisaties[Digitale zorgtoepassing],0)),0)</f>
        <v>0</v>
      </c>
      <c r="L100" s="397">
        <f>COUNTIF(uniforme_input[Doelgroep],E100)</f>
        <v>2</v>
      </c>
      <c r="M100" s="405" cm="1">
        <f t="array" ref="M100">INDEX(Technologieën[Tijdsbesparing p. patiënt (min/week)],MATCH(B100,IF(Technologieën[Zoeksleutel bronnummer]=G100,Technologieën[Digitale zorgtoepassing]),0))</f>
        <v>0</v>
      </c>
      <c r="N100" s="405" cm="1">
        <f t="array" ref="N100">INDEX(Technologieën[Tijdsbesparing per handeling (min)],MATCH(B100,IF(Technologieën[Zoeksleutel bronnummer]=G100,Technologieën[Digitale zorgtoepassing]),0))</f>
        <v>0</v>
      </c>
      <c r="O100" s="403" cm="1">
        <f t="array" ref="O100">INDEX(Technologieën[Besparing overige kosten (€/patiënt/jaar)],MATCH(B100,IF(Technologieën[Zoeksleutel bronnummer]=G100,Technologieën[Digitale zorgtoepassing]),0))</f>
        <v>78.604651162790702</v>
      </c>
      <c r="P100" s="403" cm="1">
        <f t="array" ref="P100">INDEX(Technologieën[Kostenbesparing p. patiënt door arbeidsbesparing (€/week)],MATCH(B100,IF(Technologieën[Zoeksleutel bronnummer]=G100,Technologieën[Digitale zorgtoepassing]),0))</f>
        <v>0</v>
      </c>
      <c r="Q100" s="403" cm="1">
        <f t="array" ref="Q100">INDEX(Technologieën[Kostenbesparing (personeel) per handeling (€)],MATCH(B100,IF(Technologieën[Zoeksleutel bronnummer]=G100,Technologieën[Digitale zorgtoepassing]),0))</f>
        <v>61.395348837209298</v>
      </c>
      <c r="R100" s="403" cm="1">
        <f t="array" ref="R100">INDEX(Technologieën[Besparing overige kosten (€/jaar)],MATCH(B100,IF(Technologieën[Zoeksleutel bronnummer]=G100,Technologieën[Digitale zorgtoepassing]),0))</f>
        <v>0</v>
      </c>
      <c r="S100" s="405" cm="1">
        <f t="array" ref="S100">INDEX(Technologieën[Jaarlijkse besparing zorgpersoneel (FTE)],MATCH(B100,IF(Technologieën[Zoeksleutel bronnummer]=G100,Technologieën[Digitale zorgtoepassing]),0))</f>
        <v>0</v>
      </c>
      <c r="T100" s="406" cm="1">
        <f t="array" ref="T100">(INDEX(Technologieën[QALY],MATCH(B100,IF(Technologieën[Zoeksleutel bronnummer]=G100,Technologieën[Digitale zorgtoepassing]),0)))</f>
        <v>0</v>
      </c>
      <c r="U100" s="407">
        <f>(uniforme_input[[#This Row],[Kostenbesparing door arbeidsbesparing p. patiënt (€/week)]]/uniforme_input[[#This Row],[Uurtarief]]*60) + (uniforme_input[[#This Row],[Totaal arbeidsbesparing onafhankelijk van patiënt (FTE)]]*40*60)/uniforme_input[[#This Row],[Patiëntaantallen]]</f>
        <v>0</v>
      </c>
      <c r="V100" s="407">
        <f>(uniforme_input[[#This Row],[Kostenbesparing per handeling (€)]]/uniforme_input[[#This Row],[Uurtarief]])*60</f>
        <v>139.94769530037118</v>
      </c>
      <c r="W100" s="398">
        <f>uniforme_input[[#This Row],[Overige kostenbesparing (Totaal €/jaar)]]/uniforme_input[[#This Row],[Patiëntaantallen]]</f>
        <v>0</v>
      </c>
      <c r="X100" s="408">
        <f>IF(uniforme_input[[#This Row],[Bron gebruiken voor opbrengsten?]]="Ja",uniforme_input[[#This Row],[Tijdsbesparing (min/week/patiënt) - gegeven]]+uniforme_input[[#This Row],[Tijdsbesparing (min/week/patiënt) berekend]],0)</f>
        <v>0</v>
      </c>
      <c r="Y100" s="407">
        <f>IF(uniforme_input[[#This Row],[Bron gebruiken voor opbrengsten?]]="Ja",uniforme_input[[#This Row],[Tijdsbesparing (min/handeling) - gegeven]]+uniforme_input[[#This Row],[Tijdsbesparing (min/handeling) berekend]],0)</f>
        <v>139.94769530037118</v>
      </c>
      <c r="Z100" s="409">
        <f>IF(uniforme_input[[#This Row],[Bron gebruiken voor opbrengsten?]]="Ja",uniforme_input[[#This Row],[Overige kostenbesparing (€/jaar/patiënt) - gegeven]]+uniforme_input[[#This Row],[Overige kostenbesparing (€/jaar/patiënt) berekend]],0)</f>
        <v>78.604651162790702</v>
      </c>
      <c r="AA100" s="403" cm="1">
        <f t="array" ref="AA100">INDEX(Technologieën[Jaarlijkse kosten p. patiënt],MATCH(B100,IF(Technologieën[Zoeksleutel bronnummer]=G100,Technologieën[Digitale zorgtoepassing]),0))</f>
        <v>0</v>
      </c>
      <c r="AB100" s="403" cm="1">
        <f t="array" ref="AB100">INDEX(Technologieën[Jaarlijkse kosten p. organisatie],MATCH(B100,IF(Technologieën[Zoeksleutel bronnummer]=G100,Technologieën[Digitale zorgtoepassing]),0))/uniforme_input[[#This Row],[Aantal doelgroepen waarop toepasbaar]]</f>
        <v>0</v>
      </c>
      <c r="AC100" s="403" cm="1">
        <f t="array" ref="AC100">INDEX(Technologieën[Jaarlijkse kosten (onafh. aantal patiënt/organisatie)],MATCH(B100,IF(Technologieën[Zoeksleutel bronnummer]=G100,Technologieën[Digitale zorgtoepassing]),0))/uniforme_input[[#This Row],[Aantal doelgroepen waarop toepasbaar]]</f>
        <v>0</v>
      </c>
      <c r="AD100" s="403" cm="1">
        <f t="array" ref="AD100">INDEX(Technologieën[Initiële investering (p. patiënt)],MATCH(B100,IF(Technologieën[Zoeksleutel bronnummer]=G100,Technologieën[Digitale zorgtoepassing]),0))</f>
        <v>0</v>
      </c>
      <c r="AE100" s="403" cm="1">
        <f t="array" ref="AE100">INDEX(Technologieën[Initiële investering (p. organisatie)],MATCH(B100,IF(Technologieën[Zoeksleutel bronnummer]=G100,Technologieën[Digitale zorgtoepassing]),0))</f>
        <v>0</v>
      </c>
      <c r="AF100"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00" s="398">
        <f>(uniforme_input[[#This Row],[Initiële investering per organisatie]]*uniforme_input[[#This Row],[Aantal organisaties]])/uniforme_input[[#This Row],[Patiëntaantallen]]</f>
        <v>0</v>
      </c>
      <c r="AH100" s="410">
        <f>IF(uniforme_input[[#This Row],[Bron gebruiken voor kosten/investering?]]="Ja",uniforme_input[[#This Row],[Jaarlijkse kosten per patiënt]] + uniforme_input[[#This Row],[Jaarlijkse kosten per patiënt berekend]],0)</f>
        <v>0</v>
      </c>
      <c r="AI100" s="409">
        <f>IF(uniforme_input[[#This Row],[Bron gebruiken voor kosten/investering?]]="Ja",uniforme_input[[#This Row],[Initiële investering per patiënt]]+uniforme_input[[#This Row],[Initiële investering per patiënt berekend]],0)</f>
        <v>0</v>
      </c>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row>
    <row r="101" spans="1:83" s="2" customFormat="1" x14ac:dyDescent="0.5">
      <c r="A101" s="51" t="str">
        <f>INDEX(Technologieën[Veld],MATCH(G101,Technologieën[Zoeksleutel bronnummer],0))</f>
        <v>Digitale hulpmiddelen - Diagnose</v>
      </c>
      <c r="B101" s="33" t="s">
        <v>82</v>
      </c>
      <c r="C101" s="32" t="s">
        <v>390</v>
      </c>
      <c r="D101" s="32" t="s">
        <v>391</v>
      </c>
      <c r="E101" s="33" t="s">
        <v>703</v>
      </c>
      <c r="F101" s="33" t="str" cm="1">
        <f t="array" ref="F101">INDEX(Berekening_patiëntaantal[Direct toepasbaar/extrapolatie/incidentie voor QALY],MATCH(B101,IF(Berekening_patiëntaantal[Doelgroep (zoeksleutel)]=E101,Berekening_patiëntaantal[Digitale zorgtoepassing]),0))</f>
        <v>Huidige toepassing</v>
      </c>
      <c r="G101" s="33" t="s">
        <v>539</v>
      </c>
      <c r="H101" s="33" t="s">
        <v>707</v>
      </c>
      <c r="I101" s="403">
        <f>INDEX(Uurloon[Uurtarief zorgpersoneel],MATCH(H101,Uurloon[Zorgverlener],0))</f>
        <v>26.322126436781613</v>
      </c>
      <c r="J101" s="404" cm="1">
        <f t="array" ref="J101">INDEX(Berekening_patiëntaantal[Patiëntaantallen],MATCH(B101,IF(Berekening_patiëntaantal[Doelgroep (zoeksleutel)]=E101,Berekening_patiëntaantal[Digitale zorgtoepassing]),0))</f>
        <v>135000</v>
      </c>
      <c r="K101" s="404">
        <f>IFERROR(INDEX(aantal_organisaties[Aantal organisaties waarop toepasbaar],MATCH(B101,aantal_organisaties[Digitale zorgtoepassing],0)),0)</f>
        <v>0</v>
      </c>
      <c r="L101" s="397">
        <f>COUNTIF(uniforme_input[Doelgroep],E101)</f>
        <v>2</v>
      </c>
      <c r="M101" s="405" cm="1">
        <f t="array" ref="M101">INDEX(Technologieën[Tijdsbesparing p. patiënt (min/week)],MATCH(B101,IF(Technologieën[Zoeksleutel bronnummer]=G101,Technologieën[Digitale zorgtoepassing]),0))</f>
        <v>0</v>
      </c>
      <c r="N101" s="405" cm="1">
        <f t="array" ref="N101">INDEX(Technologieën[Tijdsbesparing per handeling (min)],MATCH(B101,IF(Technologieën[Zoeksleutel bronnummer]=G101,Technologieën[Digitale zorgtoepassing]),0))</f>
        <v>0</v>
      </c>
      <c r="O101" s="403" cm="1">
        <f t="array" ref="O101">INDEX(Technologieën[Besparing overige kosten (€/patiënt/jaar)],MATCH(B101,IF(Technologieën[Zoeksleutel bronnummer]=G101,Technologieën[Digitale zorgtoepassing]),0))</f>
        <v>0</v>
      </c>
      <c r="P101" s="403" cm="1">
        <f t="array" ref="P101">INDEX(Technologieën[Kostenbesparing p. patiënt door arbeidsbesparing (€/week)],MATCH(B101,IF(Technologieën[Zoeksleutel bronnummer]=G101,Technologieën[Digitale zorgtoepassing]),0))</f>
        <v>0</v>
      </c>
      <c r="Q101" s="403" cm="1">
        <f t="array" ref="Q101">INDEX(Technologieën[Kostenbesparing (personeel) per handeling (€)],MATCH(B101,IF(Technologieën[Zoeksleutel bronnummer]=G101,Technologieën[Digitale zorgtoepassing]),0))</f>
        <v>0</v>
      </c>
      <c r="R101" s="403" cm="1">
        <f t="array" ref="R101">INDEX(Technologieën[Besparing overige kosten (€/jaar)],MATCH(B101,IF(Technologieën[Zoeksleutel bronnummer]=G101,Technologieën[Digitale zorgtoepassing]),0))</f>
        <v>0</v>
      </c>
      <c r="S101" s="405" cm="1">
        <f t="array" ref="S101">INDEX(Technologieën[Jaarlijkse besparing zorgpersoneel (FTE)],MATCH(B101,IF(Technologieën[Zoeksleutel bronnummer]=G101,Technologieën[Digitale zorgtoepassing]),0))</f>
        <v>0</v>
      </c>
      <c r="T101" s="406" cm="1">
        <f t="array" ref="T101">(INDEX(Technologieën[QALY],MATCH(B101,IF(Technologieën[Zoeksleutel bronnummer]=G101,Technologieën[Digitale zorgtoepassing]),0)))</f>
        <v>0</v>
      </c>
      <c r="U101" s="407">
        <f>(uniforme_input[[#This Row],[Kostenbesparing door arbeidsbesparing p. patiënt (€/week)]]/uniforme_input[[#This Row],[Uurtarief]]*60) + (uniforme_input[[#This Row],[Totaal arbeidsbesparing onafhankelijk van patiënt (FTE)]]*40*60)/uniforme_input[[#This Row],[Patiëntaantallen]]</f>
        <v>0</v>
      </c>
      <c r="V101" s="407">
        <f>(uniforme_input[[#This Row],[Kostenbesparing per handeling (€)]]/uniforme_input[[#This Row],[Uurtarief]])*60</f>
        <v>0</v>
      </c>
      <c r="W101" s="398">
        <f>uniforme_input[[#This Row],[Overige kostenbesparing (Totaal €/jaar)]]/uniforme_input[[#This Row],[Patiëntaantallen]]</f>
        <v>0</v>
      </c>
      <c r="X101" s="408">
        <f>IF(uniforme_input[[#This Row],[Bron gebruiken voor opbrengsten?]]="Ja",uniforme_input[[#This Row],[Tijdsbesparing (min/week/patiënt) - gegeven]]+uniforme_input[[#This Row],[Tijdsbesparing (min/week/patiënt) berekend]],0)</f>
        <v>0</v>
      </c>
      <c r="Y101" s="407">
        <f>IF(uniforme_input[[#This Row],[Bron gebruiken voor opbrengsten?]]="Ja",uniforme_input[[#This Row],[Tijdsbesparing (min/handeling) - gegeven]]+uniforme_input[[#This Row],[Tijdsbesparing (min/handeling) berekend]],0)</f>
        <v>0</v>
      </c>
      <c r="Z101" s="409">
        <f>IF(uniforme_input[[#This Row],[Bron gebruiken voor opbrengsten?]]="Ja",uniforme_input[[#This Row],[Overige kostenbesparing (€/jaar/patiënt) - gegeven]]+uniforme_input[[#This Row],[Overige kostenbesparing (€/jaar/patiënt) berekend]],0)</f>
        <v>0</v>
      </c>
      <c r="AA101" s="403" cm="1">
        <f t="array" ref="AA101">INDEX(Technologieën[Jaarlijkse kosten p. patiënt],MATCH(B101,IF(Technologieën[Zoeksleutel bronnummer]=G101,Technologieën[Digitale zorgtoepassing]),0))</f>
        <v>30.733333333333334</v>
      </c>
      <c r="AB101" s="403" cm="1">
        <f t="array" ref="AB101">INDEX(Technologieën[Jaarlijkse kosten p. organisatie],MATCH(B101,IF(Technologieën[Zoeksleutel bronnummer]=G101,Technologieën[Digitale zorgtoepassing]),0))/uniforme_input[[#This Row],[Aantal doelgroepen waarop toepasbaar]]</f>
        <v>0</v>
      </c>
      <c r="AC101" s="403" cm="1">
        <f t="array" ref="AC101">INDEX(Technologieën[Jaarlijkse kosten (onafh. aantal patiënt/organisatie)],MATCH(B101,IF(Technologieën[Zoeksleutel bronnummer]=G101,Technologieën[Digitale zorgtoepassing]),0))/uniforme_input[[#This Row],[Aantal doelgroepen waarop toepasbaar]]</f>
        <v>0</v>
      </c>
      <c r="AD101" s="403" cm="1">
        <f t="array" ref="AD101">INDEX(Technologieën[Initiële investering (p. patiënt)],MATCH(B101,IF(Technologieën[Zoeksleutel bronnummer]=G101,Technologieën[Digitale zorgtoepassing]),0))</f>
        <v>0</v>
      </c>
      <c r="AE101" s="403" cm="1">
        <f t="array" ref="AE101">INDEX(Technologieën[Initiële investering (p. organisatie)],MATCH(B101,IF(Technologieën[Zoeksleutel bronnummer]=G101,Technologieën[Digitale zorgtoepassing]),0))</f>
        <v>0</v>
      </c>
      <c r="AF101"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01" s="398">
        <f>(uniforme_input[[#This Row],[Initiële investering per organisatie]]*uniforme_input[[#This Row],[Aantal organisaties]])/uniforme_input[[#This Row],[Patiëntaantallen]]</f>
        <v>0</v>
      </c>
      <c r="AH101" s="410">
        <f>IF(uniforme_input[[#This Row],[Bron gebruiken voor kosten/investering?]]="Ja",uniforme_input[[#This Row],[Jaarlijkse kosten per patiënt]] + uniforme_input[[#This Row],[Jaarlijkse kosten per patiënt berekend]],0)</f>
        <v>30.733333333333334</v>
      </c>
      <c r="AI101" s="409">
        <f>IF(uniforme_input[[#This Row],[Bron gebruiken voor kosten/investering?]]="Ja",uniforme_input[[#This Row],[Initiële investering per patiënt]]+uniforme_input[[#This Row],[Initiële investering per patiënt berekend]],0)</f>
        <v>0</v>
      </c>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row>
    <row r="102" spans="1:83" s="2" customFormat="1" x14ac:dyDescent="0.5">
      <c r="A102" s="51" t="str">
        <f>INDEX(Technologieën[Veld],MATCH(G102,Technologieën[Zoeksleutel bronnummer],0))</f>
        <v>Sensoren - Behandeling</v>
      </c>
      <c r="B102" s="33" t="s">
        <v>88</v>
      </c>
      <c r="C102" s="32" t="s">
        <v>391</v>
      </c>
      <c r="D102" s="32" t="s">
        <v>390</v>
      </c>
      <c r="E102" s="33" t="s">
        <v>89</v>
      </c>
      <c r="F102" s="33" t="str" cm="1">
        <f t="array" ref="F102">INDEX(Berekening_patiëntaantal[Direct toepasbaar/extrapolatie/incidentie voor QALY],MATCH(B102,IF(Berekening_patiëntaantal[Doelgroep (zoeksleutel)]=E102,Berekening_patiëntaantal[Digitale zorgtoepassing]),0))</f>
        <v>Huidige toepassing</v>
      </c>
      <c r="G102" s="33" t="s">
        <v>541</v>
      </c>
      <c r="H102" s="33" t="s">
        <v>148</v>
      </c>
      <c r="I102" s="403">
        <f>INDEX(Uurloon[Uurtarief zorgpersoneel],MATCH(H102,Uurloon[Zorgverlener],0))</f>
        <v>27.740086206896557</v>
      </c>
      <c r="J102" s="404" cm="1">
        <f t="array" ref="J102">INDEX(Berekening_patiëntaantal[Patiëntaantallen],MATCH(B102,IF(Berekening_patiëntaantal[Doelgroep (zoeksleutel)]=E102,Berekening_patiëntaantal[Digitale zorgtoepassing]),0))</f>
        <v>110000</v>
      </c>
      <c r="K102" s="404">
        <f>IFERROR(INDEX(aantal_organisaties[Aantal organisaties waarop toepasbaar],MATCH(B102,aantal_organisaties[Digitale zorgtoepassing],0)),0)</f>
        <v>0</v>
      </c>
      <c r="L102" s="397">
        <f>COUNTIF(uniforme_input[Doelgroep],E102)</f>
        <v>3</v>
      </c>
      <c r="M102" s="405" cm="1">
        <f t="array" ref="M102">INDEX(Technologieën[Tijdsbesparing p. patiënt (min/week)],MATCH(B102,IF(Technologieën[Zoeksleutel bronnummer]=G102,Technologieën[Digitale zorgtoepassing]),0))</f>
        <v>0</v>
      </c>
      <c r="N102" s="405" cm="1">
        <f t="array" ref="N102">INDEX(Technologieën[Tijdsbesparing per handeling (min)],MATCH(B102,IF(Technologieën[Zoeksleutel bronnummer]=G102,Technologieën[Digitale zorgtoepassing]),0))</f>
        <v>0</v>
      </c>
      <c r="O102" s="403" cm="1">
        <f t="array" ref="O102">INDEX(Technologieën[Besparing overige kosten (€/patiënt/jaar)],MATCH(B102,IF(Technologieën[Zoeksleutel bronnummer]=G102,Technologieën[Digitale zorgtoepassing]),0))</f>
        <v>0</v>
      </c>
      <c r="P102" s="403" cm="1">
        <f t="array" ref="P102">INDEX(Technologieën[Kostenbesparing p. patiënt door arbeidsbesparing (€/week)],MATCH(B102,IF(Technologieën[Zoeksleutel bronnummer]=G102,Technologieën[Digitale zorgtoepassing]),0))</f>
        <v>3.1468531468531467</v>
      </c>
      <c r="Q102" s="403" cm="1">
        <f t="array" ref="Q102">INDEX(Technologieën[Kostenbesparing (personeel) per handeling (€)],MATCH(B102,IF(Technologieën[Zoeksleutel bronnummer]=G102,Technologieën[Digitale zorgtoepassing]),0))</f>
        <v>0</v>
      </c>
      <c r="R102" s="403" cm="1">
        <f t="array" ref="R102">INDEX(Technologieën[Besparing overige kosten (€/jaar)],MATCH(B102,IF(Technologieën[Zoeksleutel bronnummer]=G102,Technologieën[Digitale zorgtoepassing]),0))</f>
        <v>12000000</v>
      </c>
      <c r="S102" s="405" cm="1">
        <f t="array" ref="S102">INDEX(Technologieën[Jaarlijkse besparing zorgpersoneel (FTE)],MATCH(B102,IF(Technologieën[Zoeksleutel bronnummer]=G102,Technologieën[Digitale zorgtoepassing]),0))</f>
        <v>0</v>
      </c>
      <c r="T102" s="406" cm="1">
        <f t="array" ref="T102">(INDEX(Technologieën[QALY],MATCH(B102,IF(Technologieën[Zoeksleutel bronnummer]=G102,Technologieën[Digitale zorgtoepassing]),0)))</f>
        <v>0</v>
      </c>
      <c r="U102" s="407">
        <f>(uniforme_input[[#This Row],[Kostenbesparing door arbeidsbesparing p. patiënt (€/week)]]/uniforme_input[[#This Row],[Uurtarief]]*60) + (uniforme_input[[#This Row],[Totaal arbeidsbesparing onafhankelijk van patiënt (FTE)]]*40*60)/uniforme_input[[#This Row],[Patiëntaantallen]]</f>
        <v>6.8064384300380372</v>
      </c>
      <c r="V102" s="407">
        <f>(uniforme_input[[#This Row],[Kostenbesparing per handeling (€)]]/uniforme_input[[#This Row],[Uurtarief]])*60</f>
        <v>0</v>
      </c>
      <c r="W102" s="398">
        <f>uniforme_input[[#This Row],[Overige kostenbesparing (Totaal €/jaar)]]/uniforme_input[[#This Row],[Patiëntaantallen]]</f>
        <v>109.09090909090909</v>
      </c>
      <c r="X102" s="408">
        <f>IF(uniforme_input[[#This Row],[Bron gebruiken voor opbrengsten?]]="Ja",uniforme_input[[#This Row],[Tijdsbesparing (min/week/patiënt) - gegeven]]+uniforme_input[[#This Row],[Tijdsbesparing (min/week/patiënt) berekend]],0)</f>
        <v>6.8064384300380372</v>
      </c>
      <c r="Y102" s="407">
        <f>IF(uniforme_input[[#This Row],[Bron gebruiken voor opbrengsten?]]="Ja",uniforme_input[[#This Row],[Tijdsbesparing (min/handeling) - gegeven]]+uniforme_input[[#This Row],[Tijdsbesparing (min/handeling) berekend]],0)</f>
        <v>0</v>
      </c>
      <c r="Z102" s="409">
        <f>IF(uniforme_input[[#This Row],[Bron gebruiken voor opbrengsten?]]="Ja",uniforme_input[[#This Row],[Overige kostenbesparing (€/jaar/patiënt) - gegeven]]+uniforme_input[[#This Row],[Overige kostenbesparing (€/jaar/patiënt) berekend]],0)</f>
        <v>109.09090909090909</v>
      </c>
      <c r="AA102" s="403" cm="1">
        <f t="array" ref="AA102">INDEX(Technologieën[Jaarlijkse kosten p. patiënt],MATCH(B102,IF(Technologieën[Zoeksleutel bronnummer]=G102,Technologieën[Digitale zorgtoepassing]),0))</f>
        <v>0</v>
      </c>
      <c r="AB102" s="403" cm="1">
        <f t="array" ref="AB102">INDEX(Technologieën[Jaarlijkse kosten p. organisatie],MATCH(B102,IF(Technologieën[Zoeksleutel bronnummer]=G102,Technologieën[Digitale zorgtoepassing]),0))/uniforme_input[[#This Row],[Aantal doelgroepen waarop toepasbaar]]</f>
        <v>0</v>
      </c>
      <c r="AC102" s="403" cm="1">
        <f t="array" ref="AC102">INDEX(Technologieën[Jaarlijkse kosten (onafh. aantal patiënt/organisatie)],MATCH(B102,IF(Technologieën[Zoeksleutel bronnummer]=G102,Technologieën[Digitale zorgtoepassing]),0))/uniforme_input[[#This Row],[Aantal doelgroepen waarop toepasbaar]]</f>
        <v>0</v>
      </c>
      <c r="AD102" s="403" cm="1">
        <f t="array" ref="AD102">INDEX(Technologieën[Initiële investering (p. patiënt)],MATCH(B102,IF(Technologieën[Zoeksleutel bronnummer]=G102,Technologieën[Digitale zorgtoepassing]),0))</f>
        <v>0</v>
      </c>
      <c r="AE102" s="403" cm="1">
        <f t="array" ref="AE102">INDEX(Technologieën[Initiële investering (p. organisatie)],MATCH(B102,IF(Technologieën[Zoeksleutel bronnummer]=G102,Technologieën[Digitale zorgtoepassing]),0))</f>
        <v>0</v>
      </c>
      <c r="AF102"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02" s="398">
        <f>(uniforme_input[[#This Row],[Initiële investering per organisatie]]*uniforme_input[[#This Row],[Aantal organisaties]])/uniforme_input[[#This Row],[Patiëntaantallen]]</f>
        <v>0</v>
      </c>
      <c r="AH102" s="410">
        <f>IF(uniforme_input[[#This Row],[Bron gebruiken voor kosten/investering?]]="Ja",uniforme_input[[#This Row],[Jaarlijkse kosten per patiënt]] + uniforme_input[[#This Row],[Jaarlijkse kosten per patiënt berekend]],0)</f>
        <v>0</v>
      </c>
      <c r="AI102" s="409">
        <f>IF(uniforme_input[[#This Row],[Bron gebruiken voor kosten/investering?]]="Ja",uniforme_input[[#This Row],[Initiële investering per patiënt]]+uniforme_input[[#This Row],[Initiële investering per patiënt berekend]],0)</f>
        <v>0</v>
      </c>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row>
    <row r="103" spans="1:83" s="2" customFormat="1" x14ac:dyDescent="0.5">
      <c r="A103" s="51" t="str">
        <f>INDEX(Technologieën[Veld],MATCH(G103,Technologieën[Zoeksleutel bronnummer],0))</f>
        <v>Sensoren - Behandeling</v>
      </c>
      <c r="B103" s="33" t="s">
        <v>88</v>
      </c>
      <c r="C103" s="32" t="s">
        <v>391</v>
      </c>
      <c r="D103" s="32" t="s">
        <v>390</v>
      </c>
      <c r="E103" s="33" t="s">
        <v>91</v>
      </c>
      <c r="F103" s="33" t="str" cm="1">
        <f t="array" ref="F103">INDEX(Berekening_patiëntaantal[Direct toepasbaar/extrapolatie/incidentie voor QALY],MATCH(B103,IF(Berekening_patiëntaantal[Doelgroep (zoeksleutel)]=E103,Berekening_patiëntaantal[Digitale zorgtoepassing]),0))</f>
        <v>Huidige toepassing</v>
      </c>
      <c r="G103" s="33" t="s">
        <v>542</v>
      </c>
      <c r="H103" s="33" t="s">
        <v>144</v>
      </c>
      <c r="I103" s="403">
        <f>INDEX(Uurloon[Uurtarief zorgpersoneel],MATCH(H103,Uurloon[Zorgverlener],0))</f>
        <v>20.410632183908046</v>
      </c>
      <c r="J103" s="404" cm="1">
        <f t="array" ref="J103">INDEX(Berekening_patiëntaantal[Patiëntaantallen],MATCH(B103,IF(Berekening_patiëntaantal[Doelgroep (zoeksleutel)]=E103,Berekening_patiëntaantal[Digitale zorgtoepassing]),0))</f>
        <v>1752</v>
      </c>
      <c r="K103" s="404">
        <f>IFERROR(INDEX(aantal_organisaties[Aantal organisaties waarop toepasbaar],MATCH(B103,aantal_organisaties[Digitale zorgtoepassing],0)),0)</f>
        <v>0</v>
      </c>
      <c r="L103" s="397">
        <f>COUNTIF(uniforme_input[Doelgroep],E103)</f>
        <v>1</v>
      </c>
      <c r="M103" s="405" cm="1">
        <f t="array" ref="M103">INDEX(Technologieën[Tijdsbesparing p. patiënt (min/week)],MATCH(B103,IF(Technologieën[Zoeksleutel bronnummer]=G103,Technologieën[Digitale zorgtoepassing]),0))</f>
        <v>254</v>
      </c>
      <c r="N103" s="405" cm="1">
        <f t="array" ref="N103">INDEX(Technologieën[Tijdsbesparing per handeling (min)],MATCH(B103,IF(Technologieën[Zoeksleutel bronnummer]=G103,Technologieën[Digitale zorgtoepassing]),0))</f>
        <v>0</v>
      </c>
      <c r="O103" s="403" cm="1">
        <f t="array" ref="O103">INDEX(Technologieën[Besparing overige kosten (€/patiënt/jaar)],MATCH(B103,IF(Technologieën[Zoeksleutel bronnummer]=G103,Technologieën[Digitale zorgtoepassing]),0))</f>
        <v>0</v>
      </c>
      <c r="P103" s="403" cm="1">
        <f t="array" ref="P103">INDEX(Technologieën[Kostenbesparing p. patiënt door arbeidsbesparing (€/week)],MATCH(B103,IF(Technologieën[Zoeksleutel bronnummer]=G103,Technologieën[Digitale zorgtoepassing]),0))</f>
        <v>0</v>
      </c>
      <c r="Q103" s="403" cm="1">
        <f t="array" ref="Q103">INDEX(Technologieën[Kostenbesparing (personeel) per handeling (€)],MATCH(B103,IF(Technologieën[Zoeksleutel bronnummer]=G103,Technologieën[Digitale zorgtoepassing]),0))</f>
        <v>0</v>
      </c>
      <c r="R103" s="403" cm="1">
        <f t="array" ref="R103">INDEX(Technologieën[Besparing overige kosten (€/jaar)],MATCH(B103,IF(Technologieën[Zoeksleutel bronnummer]=G103,Technologieën[Digitale zorgtoepassing]),0))</f>
        <v>0</v>
      </c>
      <c r="S103" s="405" cm="1">
        <f t="array" ref="S103">INDEX(Technologieën[Jaarlijkse besparing zorgpersoneel (FTE)],MATCH(B103,IF(Technologieën[Zoeksleutel bronnummer]=G103,Technologieën[Digitale zorgtoepassing]),0))</f>
        <v>0</v>
      </c>
      <c r="T103" s="406" cm="1">
        <f t="array" ref="T103">(INDEX(Technologieën[QALY],MATCH(B103,IF(Technologieën[Zoeksleutel bronnummer]=G103,Technologieën[Digitale zorgtoepassing]),0)))</f>
        <v>0</v>
      </c>
      <c r="U103" s="407">
        <f>(uniforme_input[[#This Row],[Kostenbesparing door arbeidsbesparing p. patiënt (€/week)]]/uniforme_input[[#This Row],[Uurtarief]]*60) + (uniforme_input[[#This Row],[Totaal arbeidsbesparing onafhankelijk van patiënt (FTE)]]*40*60)/uniforme_input[[#This Row],[Patiëntaantallen]]</f>
        <v>0</v>
      </c>
      <c r="V103" s="407">
        <f>(uniforme_input[[#This Row],[Kostenbesparing per handeling (€)]]/uniforme_input[[#This Row],[Uurtarief]])*60</f>
        <v>0</v>
      </c>
      <c r="W103" s="398">
        <f>uniforme_input[[#This Row],[Overige kostenbesparing (Totaal €/jaar)]]/uniforme_input[[#This Row],[Patiëntaantallen]]</f>
        <v>0</v>
      </c>
      <c r="X103" s="408">
        <f>IF(uniforme_input[[#This Row],[Bron gebruiken voor opbrengsten?]]="Ja",uniforme_input[[#This Row],[Tijdsbesparing (min/week/patiënt) - gegeven]]+uniforme_input[[#This Row],[Tijdsbesparing (min/week/patiënt) berekend]],0)</f>
        <v>254</v>
      </c>
      <c r="Y103" s="407">
        <f>IF(uniforme_input[[#This Row],[Bron gebruiken voor opbrengsten?]]="Ja",uniforme_input[[#This Row],[Tijdsbesparing (min/handeling) - gegeven]]+uniforme_input[[#This Row],[Tijdsbesparing (min/handeling) berekend]],0)</f>
        <v>0</v>
      </c>
      <c r="Z103" s="409">
        <f>IF(uniforme_input[[#This Row],[Bron gebruiken voor opbrengsten?]]="Ja",uniforme_input[[#This Row],[Overige kostenbesparing (€/jaar/patiënt) - gegeven]]+uniforme_input[[#This Row],[Overige kostenbesparing (€/jaar/patiënt) berekend]],0)</f>
        <v>0</v>
      </c>
      <c r="AA103" s="403" cm="1">
        <f t="array" ref="AA103">INDEX(Technologieën[Jaarlijkse kosten p. patiënt],MATCH(B103,IF(Technologieën[Zoeksleutel bronnummer]=G103,Technologieën[Digitale zorgtoepassing]),0))</f>
        <v>0</v>
      </c>
      <c r="AB103" s="403" cm="1">
        <f t="array" ref="AB103">INDEX(Technologieën[Jaarlijkse kosten p. organisatie],MATCH(B103,IF(Technologieën[Zoeksleutel bronnummer]=G103,Technologieën[Digitale zorgtoepassing]),0))/uniforme_input[[#This Row],[Aantal doelgroepen waarop toepasbaar]]</f>
        <v>0</v>
      </c>
      <c r="AC103" s="403" cm="1">
        <f t="array" ref="AC103">INDEX(Technologieën[Jaarlijkse kosten (onafh. aantal patiënt/organisatie)],MATCH(B103,IF(Technologieën[Zoeksleutel bronnummer]=G103,Technologieën[Digitale zorgtoepassing]),0))/uniforme_input[[#This Row],[Aantal doelgroepen waarop toepasbaar]]</f>
        <v>0</v>
      </c>
      <c r="AD103" s="403" cm="1">
        <f t="array" ref="AD103">INDEX(Technologieën[Initiële investering (p. patiënt)],MATCH(B103,IF(Technologieën[Zoeksleutel bronnummer]=G103,Technologieën[Digitale zorgtoepassing]),0))</f>
        <v>0</v>
      </c>
      <c r="AE103" s="403" cm="1">
        <f t="array" ref="AE103">INDEX(Technologieën[Initiële investering (p. organisatie)],MATCH(B103,IF(Technologieën[Zoeksleutel bronnummer]=G103,Technologieën[Digitale zorgtoepassing]),0))</f>
        <v>0</v>
      </c>
      <c r="AF103"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03" s="398">
        <f>(uniforme_input[[#This Row],[Initiële investering per organisatie]]*uniforme_input[[#This Row],[Aantal organisaties]])/uniforme_input[[#This Row],[Patiëntaantallen]]</f>
        <v>0</v>
      </c>
      <c r="AH103" s="410">
        <f>IF(uniforme_input[[#This Row],[Bron gebruiken voor kosten/investering?]]="Ja",uniforme_input[[#This Row],[Jaarlijkse kosten per patiënt]] + uniforme_input[[#This Row],[Jaarlijkse kosten per patiënt berekend]],0)</f>
        <v>0</v>
      </c>
      <c r="AI103" s="409">
        <f>IF(uniforme_input[[#This Row],[Bron gebruiken voor kosten/investering?]]="Ja",uniforme_input[[#This Row],[Initiële investering per patiënt]]+uniforme_input[[#This Row],[Initiële investering per patiënt berekend]],0)</f>
        <v>0</v>
      </c>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row>
    <row r="104" spans="1:83" s="2" customFormat="1" x14ac:dyDescent="0.5">
      <c r="A104" s="51" t="str">
        <f>INDEX(Technologieën[Veld],MATCH(G104,Technologieën[Zoeksleutel bronnummer],0))</f>
        <v>Sensoren - Behandeling</v>
      </c>
      <c r="B104" s="33" t="s">
        <v>88</v>
      </c>
      <c r="C104" s="32" t="s">
        <v>390</v>
      </c>
      <c r="D104" s="32" t="s">
        <v>391</v>
      </c>
      <c r="E104" s="33" t="s">
        <v>89</v>
      </c>
      <c r="F104" s="33" t="str" cm="1">
        <f t="array" ref="F104">INDEX(Berekening_patiëntaantal[Direct toepasbaar/extrapolatie/incidentie voor QALY],MATCH(B104,IF(Berekening_patiëntaantal[Doelgroep (zoeksleutel)]=E104,Berekening_patiëntaantal[Digitale zorgtoepassing]),0))</f>
        <v>Huidige toepassing</v>
      </c>
      <c r="G104" s="33" t="s">
        <v>540</v>
      </c>
      <c r="H104" s="33" t="s">
        <v>148</v>
      </c>
      <c r="I104" s="403">
        <f>INDEX(Uurloon[Uurtarief zorgpersoneel],MATCH(H104,Uurloon[Zorgverlener],0))</f>
        <v>27.740086206896557</v>
      </c>
      <c r="J104" s="404" cm="1">
        <f t="array" ref="J104">INDEX(Berekening_patiëntaantal[Patiëntaantallen],MATCH(B104,IF(Berekening_patiëntaantal[Doelgroep (zoeksleutel)]=E104,Berekening_patiëntaantal[Digitale zorgtoepassing]),0))</f>
        <v>110000</v>
      </c>
      <c r="K104" s="404">
        <f>IFERROR(INDEX(aantal_organisaties[Aantal organisaties waarop toepasbaar],MATCH(B104,aantal_organisaties[Digitale zorgtoepassing],0)),0)</f>
        <v>0</v>
      </c>
      <c r="L104" s="397">
        <f>COUNTIF(uniforme_input[Doelgroep],E104)</f>
        <v>3</v>
      </c>
      <c r="M104" s="405" cm="1">
        <f t="array" ref="M104">INDEX(Technologieën[Tijdsbesparing p. patiënt (min/week)],MATCH(B104,IF(Technologieën[Zoeksleutel bronnummer]=G104,Technologieën[Digitale zorgtoepassing]),0))</f>
        <v>0</v>
      </c>
      <c r="N104" s="405" cm="1">
        <f t="array" ref="N104">INDEX(Technologieën[Tijdsbesparing per handeling (min)],MATCH(B104,IF(Technologieën[Zoeksleutel bronnummer]=G104,Technologieën[Digitale zorgtoepassing]),0))</f>
        <v>0</v>
      </c>
      <c r="O104" s="403" cm="1">
        <f t="array" ref="O104">INDEX(Technologieën[Besparing overige kosten (€/patiënt/jaar)],MATCH(B104,IF(Technologieën[Zoeksleutel bronnummer]=G104,Technologieën[Digitale zorgtoepassing]),0))</f>
        <v>0</v>
      </c>
      <c r="P104" s="403" cm="1">
        <f t="array" ref="P104">INDEX(Technologieën[Kostenbesparing p. patiënt door arbeidsbesparing (€/week)],MATCH(B104,IF(Technologieën[Zoeksleutel bronnummer]=G104,Technologieën[Digitale zorgtoepassing]),0))</f>
        <v>0</v>
      </c>
      <c r="Q104" s="403" cm="1">
        <f t="array" ref="Q104">INDEX(Technologieën[Kostenbesparing (personeel) per handeling (€)],MATCH(B104,IF(Technologieën[Zoeksleutel bronnummer]=G104,Technologieën[Digitale zorgtoepassing]),0))</f>
        <v>0</v>
      </c>
      <c r="R104" s="403" cm="1">
        <f t="array" ref="R104">INDEX(Technologieën[Besparing overige kosten (€/jaar)],MATCH(B104,IF(Technologieën[Zoeksleutel bronnummer]=G104,Technologieën[Digitale zorgtoepassing]),0))</f>
        <v>0</v>
      </c>
      <c r="S104" s="405" cm="1">
        <f t="array" ref="S104">INDEX(Technologieën[Jaarlijkse besparing zorgpersoneel (FTE)],MATCH(B104,IF(Technologieën[Zoeksleutel bronnummer]=G104,Technologieën[Digitale zorgtoepassing]),0))</f>
        <v>0</v>
      </c>
      <c r="T104" s="406" cm="1">
        <f t="array" ref="T104">(INDEX(Technologieën[QALY],MATCH(B104,IF(Technologieën[Zoeksleutel bronnummer]=G104,Technologieën[Digitale zorgtoepassing]),0)))</f>
        <v>0</v>
      </c>
      <c r="U104" s="407">
        <f>(uniforme_input[[#This Row],[Kostenbesparing door arbeidsbesparing p. patiënt (€/week)]]/uniforme_input[[#This Row],[Uurtarief]]*60) + (uniforme_input[[#This Row],[Totaal arbeidsbesparing onafhankelijk van patiënt (FTE)]]*40*60)/uniforme_input[[#This Row],[Patiëntaantallen]]</f>
        <v>0</v>
      </c>
      <c r="V104" s="407">
        <f>(uniforme_input[[#This Row],[Kostenbesparing per handeling (€)]]/uniforme_input[[#This Row],[Uurtarief]])*60</f>
        <v>0</v>
      </c>
      <c r="W104" s="398">
        <f>uniforme_input[[#This Row],[Overige kostenbesparing (Totaal €/jaar)]]/uniforme_input[[#This Row],[Patiëntaantallen]]</f>
        <v>0</v>
      </c>
      <c r="X104" s="408">
        <f>IF(uniforme_input[[#This Row],[Bron gebruiken voor opbrengsten?]]="Ja",uniforme_input[[#This Row],[Tijdsbesparing (min/week/patiënt) - gegeven]]+uniforme_input[[#This Row],[Tijdsbesparing (min/week/patiënt) berekend]],0)</f>
        <v>0</v>
      </c>
      <c r="Y104" s="407">
        <f>IF(uniforme_input[[#This Row],[Bron gebruiken voor opbrengsten?]]="Ja",uniforme_input[[#This Row],[Tijdsbesparing (min/handeling) - gegeven]]+uniforme_input[[#This Row],[Tijdsbesparing (min/handeling) berekend]],0)</f>
        <v>0</v>
      </c>
      <c r="Z104" s="409">
        <f>IF(uniforme_input[[#This Row],[Bron gebruiken voor opbrengsten?]]="Ja",uniforme_input[[#This Row],[Overige kostenbesparing (€/jaar/patiënt) - gegeven]]+uniforme_input[[#This Row],[Overige kostenbesparing (€/jaar/patiënt) berekend]],0)</f>
        <v>0</v>
      </c>
      <c r="AA104" s="403" cm="1">
        <f t="array" ref="AA104">INDEX(Technologieën[Jaarlijkse kosten p. patiënt],MATCH(B104,IF(Technologieën[Zoeksleutel bronnummer]=G104,Technologieën[Digitale zorgtoepassing]),0))</f>
        <v>0</v>
      </c>
      <c r="AB104" s="403" cm="1">
        <f t="array" ref="AB104">INDEX(Technologieën[Jaarlijkse kosten p. organisatie],MATCH(B104,IF(Technologieën[Zoeksleutel bronnummer]=G104,Technologieën[Digitale zorgtoepassing]),0))/uniforme_input[[#This Row],[Aantal doelgroepen waarop toepasbaar]]</f>
        <v>0</v>
      </c>
      <c r="AC104" s="403" cm="1">
        <f t="array" ref="AC104">INDEX(Technologieën[Jaarlijkse kosten (onafh. aantal patiënt/organisatie)],MATCH(B104,IF(Technologieën[Zoeksleutel bronnummer]=G104,Technologieën[Digitale zorgtoepassing]),0))/uniforme_input[[#This Row],[Aantal doelgroepen waarop toepasbaar]]</f>
        <v>0</v>
      </c>
      <c r="AD104" s="403" cm="1">
        <f t="array" ref="AD104">INDEX(Technologieën[Initiële investering (p. patiënt)],MATCH(B104,IF(Technologieën[Zoeksleutel bronnummer]=G104,Technologieën[Digitale zorgtoepassing]),0))</f>
        <v>1925</v>
      </c>
      <c r="AE104" s="403" cm="1">
        <f t="array" ref="AE104">INDEX(Technologieën[Initiële investering (p. organisatie)],MATCH(B104,IF(Technologieën[Zoeksleutel bronnummer]=G104,Technologieën[Digitale zorgtoepassing]),0))</f>
        <v>0</v>
      </c>
      <c r="AF104"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04" s="398">
        <f>(uniforme_input[[#This Row],[Initiële investering per organisatie]]*uniforme_input[[#This Row],[Aantal organisaties]])/uniforme_input[[#This Row],[Patiëntaantallen]]</f>
        <v>0</v>
      </c>
      <c r="AH104" s="410">
        <f>IF(uniforme_input[[#This Row],[Bron gebruiken voor kosten/investering?]]="Ja",uniforme_input[[#This Row],[Jaarlijkse kosten per patiënt]] + uniforme_input[[#This Row],[Jaarlijkse kosten per patiënt berekend]],0)</f>
        <v>0</v>
      </c>
      <c r="AI104" s="409">
        <f>IF(uniforme_input[[#This Row],[Bron gebruiken voor kosten/investering?]]="Ja",uniforme_input[[#This Row],[Initiële investering per patiënt]]+uniforme_input[[#This Row],[Initiële investering per patiënt berekend]],0)</f>
        <v>1925</v>
      </c>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row>
    <row r="105" spans="1:83" s="2" customFormat="1" x14ac:dyDescent="0.5">
      <c r="A105" s="51" t="str">
        <f>INDEX(Technologieën[Veld],MATCH(G105,Technologieën[Zoeksleutel bronnummer],0))</f>
        <v>Sensoren - Behandeling</v>
      </c>
      <c r="B105" s="33" t="s">
        <v>88</v>
      </c>
      <c r="C105" s="32" t="s">
        <v>390</v>
      </c>
      <c r="D105" s="32" t="s">
        <v>391</v>
      </c>
      <c r="E105" s="33" t="s">
        <v>89</v>
      </c>
      <c r="F105" s="33" t="str" cm="1">
        <f t="array" ref="F105">INDEX(Berekening_patiëntaantal[Direct toepasbaar/extrapolatie/incidentie voor QALY],MATCH(B105,IF(Berekening_patiëntaantal[Doelgroep (zoeksleutel)]=E105,Berekening_patiëntaantal[Digitale zorgtoepassing]),0))</f>
        <v>Huidige toepassing</v>
      </c>
      <c r="G105" s="33" t="s">
        <v>543</v>
      </c>
      <c r="H105" s="33" t="s">
        <v>148</v>
      </c>
      <c r="I105" s="403">
        <f>INDEX(Uurloon[Uurtarief zorgpersoneel],MATCH(H105,Uurloon[Zorgverlener],0))</f>
        <v>27.740086206896557</v>
      </c>
      <c r="J105" s="404" cm="1">
        <f t="array" ref="J105">INDEX(Berekening_patiëntaantal[Patiëntaantallen],MATCH(B105,IF(Berekening_patiëntaantal[Doelgroep (zoeksleutel)]=E105,Berekening_patiëntaantal[Digitale zorgtoepassing]),0))</f>
        <v>110000</v>
      </c>
      <c r="K105" s="404">
        <f>IFERROR(INDEX(aantal_organisaties[Aantal organisaties waarop toepasbaar],MATCH(B105,aantal_organisaties[Digitale zorgtoepassing],0)),0)</f>
        <v>0</v>
      </c>
      <c r="L105" s="397">
        <f>COUNTIF(uniforme_input[Doelgroep],E105)</f>
        <v>3</v>
      </c>
      <c r="M105" s="405" cm="1">
        <f t="array" ref="M105">INDEX(Technologieën[Tijdsbesparing p. patiënt (min/week)],MATCH(B105,IF(Technologieën[Zoeksleutel bronnummer]=G105,Technologieën[Digitale zorgtoepassing]),0))</f>
        <v>0</v>
      </c>
      <c r="N105" s="405" cm="1">
        <f t="array" ref="N105">INDEX(Technologieën[Tijdsbesparing per handeling (min)],MATCH(B105,IF(Technologieën[Zoeksleutel bronnummer]=G105,Technologieën[Digitale zorgtoepassing]),0))</f>
        <v>0</v>
      </c>
      <c r="O105" s="403" cm="1">
        <f t="array" ref="O105">INDEX(Technologieën[Besparing overige kosten (€/patiënt/jaar)],MATCH(B105,IF(Technologieën[Zoeksleutel bronnummer]=G105,Technologieën[Digitale zorgtoepassing]),0))</f>
        <v>0</v>
      </c>
      <c r="P105" s="403" cm="1">
        <f t="array" ref="P105">INDEX(Technologieën[Kostenbesparing p. patiënt door arbeidsbesparing (€/week)],MATCH(B105,IF(Technologieën[Zoeksleutel bronnummer]=G105,Technologieën[Digitale zorgtoepassing]),0))</f>
        <v>0</v>
      </c>
      <c r="Q105" s="403" cm="1">
        <f t="array" ref="Q105">INDEX(Technologieën[Kostenbesparing (personeel) per handeling (€)],MATCH(B105,IF(Technologieën[Zoeksleutel bronnummer]=G105,Technologieën[Digitale zorgtoepassing]),0))</f>
        <v>0</v>
      </c>
      <c r="R105" s="403" cm="1">
        <f t="array" ref="R105">INDEX(Technologieën[Besparing overige kosten (€/jaar)],MATCH(B105,IF(Technologieën[Zoeksleutel bronnummer]=G105,Technologieën[Digitale zorgtoepassing]),0))</f>
        <v>0</v>
      </c>
      <c r="S105" s="405" cm="1">
        <f t="array" ref="S105">INDEX(Technologieën[Jaarlijkse besparing zorgpersoneel (FTE)],MATCH(B105,IF(Technologieën[Zoeksleutel bronnummer]=G105,Technologieën[Digitale zorgtoepassing]),0))</f>
        <v>0</v>
      </c>
      <c r="T105" s="406" cm="1">
        <f t="array" ref="T105">(INDEX(Technologieën[QALY],MATCH(B105,IF(Technologieën[Zoeksleutel bronnummer]=G105,Technologieën[Digitale zorgtoepassing]),0)))</f>
        <v>0.03</v>
      </c>
      <c r="U105" s="407">
        <f>(uniforme_input[[#This Row],[Kostenbesparing door arbeidsbesparing p. patiënt (€/week)]]/uniforme_input[[#This Row],[Uurtarief]]*60) + (uniforme_input[[#This Row],[Totaal arbeidsbesparing onafhankelijk van patiënt (FTE)]]*40*60)/uniforme_input[[#This Row],[Patiëntaantallen]]</f>
        <v>0</v>
      </c>
      <c r="V105" s="407">
        <f>(uniforme_input[[#This Row],[Kostenbesparing per handeling (€)]]/uniforme_input[[#This Row],[Uurtarief]])*60</f>
        <v>0</v>
      </c>
      <c r="W105" s="398">
        <f>uniforme_input[[#This Row],[Overige kostenbesparing (Totaal €/jaar)]]/uniforme_input[[#This Row],[Patiëntaantallen]]</f>
        <v>0</v>
      </c>
      <c r="X105" s="408">
        <f>IF(uniforme_input[[#This Row],[Bron gebruiken voor opbrengsten?]]="Ja",uniforme_input[[#This Row],[Tijdsbesparing (min/week/patiënt) - gegeven]]+uniforme_input[[#This Row],[Tijdsbesparing (min/week/patiënt) berekend]],0)</f>
        <v>0</v>
      </c>
      <c r="Y105" s="407">
        <f>IF(uniforme_input[[#This Row],[Bron gebruiken voor opbrengsten?]]="Ja",uniforme_input[[#This Row],[Tijdsbesparing (min/handeling) - gegeven]]+uniforme_input[[#This Row],[Tijdsbesparing (min/handeling) berekend]],0)</f>
        <v>0</v>
      </c>
      <c r="Z105" s="409">
        <f>IF(uniforme_input[[#This Row],[Bron gebruiken voor opbrengsten?]]="Ja",uniforme_input[[#This Row],[Overige kostenbesparing (€/jaar/patiënt) - gegeven]]+uniforme_input[[#This Row],[Overige kostenbesparing (€/jaar/patiënt) berekend]],0)</f>
        <v>0</v>
      </c>
      <c r="AA105" s="403" cm="1">
        <f t="array" ref="AA105">INDEX(Technologieën[Jaarlijkse kosten p. patiënt],MATCH(B105,IF(Technologieën[Zoeksleutel bronnummer]=G105,Technologieën[Digitale zorgtoepassing]),0))</f>
        <v>933</v>
      </c>
      <c r="AB105" s="403" cm="1">
        <f t="array" ref="AB105">INDEX(Technologieën[Jaarlijkse kosten p. organisatie],MATCH(B105,IF(Technologieën[Zoeksleutel bronnummer]=G105,Technologieën[Digitale zorgtoepassing]),0))/uniforme_input[[#This Row],[Aantal doelgroepen waarop toepasbaar]]</f>
        <v>0</v>
      </c>
      <c r="AC105" s="403" cm="1">
        <f t="array" ref="AC105">INDEX(Technologieën[Jaarlijkse kosten (onafh. aantal patiënt/organisatie)],MATCH(B105,IF(Technologieën[Zoeksleutel bronnummer]=G105,Technologieën[Digitale zorgtoepassing]),0))/uniforme_input[[#This Row],[Aantal doelgroepen waarop toepasbaar]]</f>
        <v>0</v>
      </c>
      <c r="AD105" s="403" cm="1">
        <f t="array" ref="AD105">INDEX(Technologieën[Initiële investering (p. patiënt)],MATCH(B105,IF(Technologieën[Zoeksleutel bronnummer]=G105,Technologieën[Digitale zorgtoepassing]),0))</f>
        <v>0</v>
      </c>
      <c r="AE105" s="403" cm="1">
        <f t="array" ref="AE105">INDEX(Technologieën[Initiële investering (p. organisatie)],MATCH(B105,IF(Technologieën[Zoeksleutel bronnummer]=G105,Technologieën[Digitale zorgtoepassing]),0))</f>
        <v>0</v>
      </c>
      <c r="AF105"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05" s="398">
        <f>(uniforme_input[[#This Row],[Initiële investering per organisatie]]*uniforme_input[[#This Row],[Aantal organisaties]])/uniforme_input[[#This Row],[Patiëntaantallen]]</f>
        <v>0</v>
      </c>
      <c r="AH105" s="410">
        <f>IF(uniforme_input[[#This Row],[Bron gebruiken voor kosten/investering?]]="Ja",uniforme_input[[#This Row],[Jaarlijkse kosten per patiënt]] + uniforme_input[[#This Row],[Jaarlijkse kosten per patiënt berekend]],0)</f>
        <v>933</v>
      </c>
      <c r="AI105" s="409">
        <f>IF(uniforme_input[[#This Row],[Bron gebruiken voor kosten/investering?]]="Ja",uniforme_input[[#This Row],[Initiële investering per patiënt]]+uniforme_input[[#This Row],[Initiële investering per patiënt berekend]],0)</f>
        <v>0</v>
      </c>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row>
    <row r="106" spans="1:83" s="2" customFormat="1" x14ac:dyDescent="0.5">
      <c r="A106" s="51" t="str">
        <f>INDEX(Technologieën[Veld],MATCH(G106,Technologieën[Zoeksleutel bronnummer],0))</f>
        <v>Sensoren - Verpleging</v>
      </c>
      <c r="B106" s="33" t="s">
        <v>42</v>
      </c>
      <c r="C106" s="32" t="s">
        <v>391</v>
      </c>
      <c r="D106" s="32" t="s">
        <v>391</v>
      </c>
      <c r="E106" s="33" t="s">
        <v>348</v>
      </c>
      <c r="F106" s="33" t="str" cm="1">
        <f t="array" ref="F106">INDEX(Berekening_patiëntaantal[Direct toepasbaar/extrapolatie/incidentie voor QALY],MATCH(B106,IF(Berekening_patiëntaantal[Doelgroep (zoeksleutel)]=E106,Berekening_patiëntaantal[Digitale zorgtoepassing]),0))</f>
        <v>Huidige toepassing</v>
      </c>
      <c r="G106" s="33" t="s">
        <v>544</v>
      </c>
      <c r="H106" s="33" t="s">
        <v>144</v>
      </c>
      <c r="I106" s="403">
        <f>INDEX(Uurloon[Uurtarief zorgpersoneel],MATCH(H106,Uurloon[Zorgverlener],0))</f>
        <v>20.410632183908046</v>
      </c>
      <c r="J106" s="404" cm="1">
        <f t="array" ref="J106">INDEX(Berekening_patiëntaantal[Patiëntaantallen],MATCH(B106,IF(Berekening_patiëntaantal[Doelgroep (zoeksleutel)]=E106,Berekening_patiëntaantal[Digitale zorgtoepassing]),0))</f>
        <v>32602.499999999996</v>
      </c>
      <c r="K106" s="404">
        <f>IFERROR(INDEX(aantal_organisaties[Aantal organisaties waarop toepasbaar],MATCH(B106,aantal_organisaties[Digitale zorgtoepassing],0)),0)</f>
        <v>0</v>
      </c>
      <c r="L106" s="397">
        <f>COUNTIF(uniforme_input[Doelgroep],E106)</f>
        <v>4</v>
      </c>
      <c r="M106" s="405" cm="1">
        <f t="array" ref="M106">INDEX(Technologieën[Tijdsbesparing p. patiënt (min/week)],MATCH(B106,IF(Technologieën[Zoeksleutel bronnummer]=G106,Technologieën[Digitale zorgtoepassing]),0))</f>
        <v>112</v>
      </c>
      <c r="N106" s="405" cm="1">
        <f t="array" ref="N106">INDEX(Technologieën[Tijdsbesparing per handeling (min)],MATCH(B106,IF(Technologieën[Zoeksleutel bronnummer]=G106,Technologieën[Digitale zorgtoepassing]),0))</f>
        <v>0</v>
      </c>
      <c r="O106" s="403" cm="1">
        <f t="array" ref="O106">INDEX(Technologieën[Besparing overige kosten (€/patiënt/jaar)],MATCH(B106,IF(Technologieën[Zoeksleutel bronnummer]=G106,Technologieën[Digitale zorgtoepassing]),0))</f>
        <v>513.31774197600657</v>
      </c>
      <c r="P106" s="403" cm="1">
        <f t="array" ref="P106">INDEX(Technologieën[Kostenbesparing p. patiënt door arbeidsbesparing (€/week)],MATCH(B106,IF(Technologieën[Zoeksleutel bronnummer]=G106,Technologieën[Digitale zorgtoepassing]),0))</f>
        <v>0</v>
      </c>
      <c r="Q106" s="403" cm="1">
        <f t="array" ref="Q106">INDEX(Technologieën[Kostenbesparing (personeel) per handeling (€)],MATCH(B106,IF(Technologieën[Zoeksleutel bronnummer]=G106,Technologieën[Digitale zorgtoepassing]),0))</f>
        <v>0</v>
      </c>
      <c r="R106" s="403" cm="1">
        <f t="array" ref="R106">INDEX(Technologieën[Besparing overige kosten (€/jaar)],MATCH(B106,IF(Technologieën[Zoeksleutel bronnummer]=G106,Technologieën[Digitale zorgtoepassing]),0))</f>
        <v>0</v>
      </c>
      <c r="S106" s="405" cm="1">
        <f t="array" ref="S106">INDEX(Technologieën[Jaarlijkse besparing zorgpersoneel (FTE)],MATCH(B106,IF(Technologieën[Zoeksleutel bronnummer]=G106,Technologieën[Digitale zorgtoepassing]),0))</f>
        <v>0</v>
      </c>
      <c r="T106" s="406" cm="1">
        <f t="array" ref="T106">(INDEX(Technologieën[QALY],MATCH(B106,IF(Technologieën[Zoeksleutel bronnummer]=G106,Technologieën[Digitale zorgtoepassing]),0)))</f>
        <v>0</v>
      </c>
      <c r="U106" s="407">
        <f>(uniforme_input[[#This Row],[Kostenbesparing door arbeidsbesparing p. patiënt (€/week)]]/uniforme_input[[#This Row],[Uurtarief]]*60) + (uniforme_input[[#This Row],[Totaal arbeidsbesparing onafhankelijk van patiënt (FTE)]]*40*60)/uniforme_input[[#This Row],[Patiëntaantallen]]</f>
        <v>0</v>
      </c>
      <c r="V106" s="407">
        <f>(uniforme_input[[#This Row],[Kostenbesparing per handeling (€)]]/uniforme_input[[#This Row],[Uurtarief]])*60</f>
        <v>0</v>
      </c>
      <c r="W106" s="398">
        <f>uniforme_input[[#This Row],[Overige kostenbesparing (Totaal €/jaar)]]/uniforme_input[[#This Row],[Patiëntaantallen]]</f>
        <v>0</v>
      </c>
      <c r="X106" s="408">
        <f>IF(uniforme_input[[#This Row],[Bron gebruiken voor opbrengsten?]]="Ja",uniforme_input[[#This Row],[Tijdsbesparing (min/week/patiënt) - gegeven]]+uniforme_input[[#This Row],[Tijdsbesparing (min/week/patiënt) berekend]],0)</f>
        <v>112</v>
      </c>
      <c r="Y106" s="407">
        <f>IF(uniforme_input[[#This Row],[Bron gebruiken voor opbrengsten?]]="Ja",uniforme_input[[#This Row],[Tijdsbesparing (min/handeling) - gegeven]]+uniforme_input[[#This Row],[Tijdsbesparing (min/handeling) berekend]],0)</f>
        <v>0</v>
      </c>
      <c r="Z106" s="409">
        <f>IF(uniforme_input[[#This Row],[Bron gebruiken voor opbrengsten?]]="Ja",uniforme_input[[#This Row],[Overige kostenbesparing (€/jaar/patiënt) - gegeven]]+uniforme_input[[#This Row],[Overige kostenbesparing (€/jaar/patiënt) berekend]],0)</f>
        <v>513.31774197600657</v>
      </c>
      <c r="AA106" s="403" cm="1">
        <f t="array" ref="AA106">INDEX(Technologieën[Jaarlijkse kosten p. patiënt],MATCH(B106,IF(Technologieën[Zoeksleutel bronnummer]=G106,Technologieën[Digitale zorgtoepassing]),0))</f>
        <v>3733.9500000000003</v>
      </c>
      <c r="AB106" s="403" cm="1">
        <f t="array" ref="AB106">INDEX(Technologieën[Jaarlijkse kosten p. organisatie],MATCH(B106,IF(Technologieën[Zoeksleutel bronnummer]=G106,Technologieën[Digitale zorgtoepassing]),0))/uniforme_input[[#This Row],[Aantal doelgroepen waarop toepasbaar]]</f>
        <v>0</v>
      </c>
      <c r="AC106" s="403" cm="1">
        <f t="array" ref="AC106">INDEX(Technologieën[Jaarlijkse kosten (onafh. aantal patiënt/organisatie)],MATCH(B106,IF(Technologieën[Zoeksleutel bronnummer]=G106,Technologieën[Digitale zorgtoepassing]),0))/uniforme_input[[#This Row],[Aantal doelgroepen waarop toepasbaar]]</f>
        <v>0</v>
      </c>
      <c r="AD106" s="403" cm="1">
        <f t="array" ref="AD106">INDEX(Technologieën[Initiële investering (p. patiënt)],MATCH(B106,IF(Technologieën[Zoeksleutel bronnummer]=G106,Technologieën[Digitale zorgtoepassing]),0))</f>
        <v>0</v>
      </c>
      <c r="AE106" s="403" cm="1">
        <f t="array" ref="AE106">INDEX(Technologieën[Initiële investering (p. organisatie)],MATCH(B106,IF(Technologieën[Zoeksleutel bronnummer]=G106,Technologieën[Digitale zorgtoepassing]),0))</f>
        <v>0</v>
      </c>
      <c r="AF106"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06" s="398">
        <f>(uniforme_input[[#This Row],[Initiële investering per organisatie]]*uniforme_input[[#This Row],[Aantal organisaties]])/uniforme_input[[#This Row],[Patiëntaantallen]]</f>
        <v>0</v>
      </c>
      <c r="AH106" s="410">
        <f>IF(uniforme_input[[#This Row],[Bron gebruiken voor kosten/investering?]]="Ja",uniforme_input[[#This Row],[Jaarlijkse kosten per patiënt]] + uniforme_input[[#This Row],[Jaarlijkse kosten per patiënt berekend]],0)</f>
        <v>3733.9500000000003</v>
      </c>
      <c r="AI106" s="409">
        <f>IF(uniforme_input[[#This Row],[Bron gebruiken voor kosten/investering?]]="Ja",uniforme_input[[#This Row],[Initiële investering per patiënt]]+uniforme_input[[#This Row],[Initiële investering per patiënt berekend]],0)</f>
        <v>0</v>
      </c>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row>
    <row r="107" spans="1:83" s="2" customFormat="1" x14ac:dyDescent="0.5">
      <c r="A107" s="51" t="str">
        <f>INDEX(Technologieën[Veld],MATCH(G107,Technologieën[Zoeksleutel bronnummer],0))</f>
        <v>Sensoren - Verpleging</v>
      </c>
      <c r="B107" s="33" t="s">
        <v>42</v>
      </c>
      <c r="C107" s="32" t="s">
        <v>391</v>
      </c>
      <c r="D107" s="32" t="s">
        <v>391</v>
      </c>
      <c r="E107" s="33" t="s">
        <v>348</v>
      </c>
      <c r="F107" s="33" t="str" cm="1">
        <f t="array" ref="F107">INDEX(Berekening_patiëntaantal[Direct toepasbaar/extrapolatie/incidentie voor QALY],MATCH(B107,IF(Berekening_patiëntaantal[Doelgroep (zoeksleutel)]=E107,Berekening_patiëntaantal[Digitale zorgtoepassing]),0))</f>
        <v>Huidige toepassing</v>
      </c>
      <c r="G107" s="33" t="s">
        <v>545</v>
      </c>
      <c r="H107" s="33" t="s">
        <v>144</v>
      </c>
      <c r="I107" s="403">
        <f>INDEX(Uurloon[Uurtarief zorgpersoneel],MATCH(H107,Uurloon[Zorgverlener],0))</f>
        <v>20.410632183908046</v>
      </c>
      <c r="J107" s="404" cm="1">
        <f t="array" ref="J107">INDEX(Berekening_patiëntaantal[Patiëntaantallen],MATCH(B107,IF(Berekening_patiëntaantal[Doelgroep (zoeksleutel)]=E107,Berekening_patiëntaantal[Digitale zorgtoepassing]),0))</f>
        <v>32602.499999999996</v>
      </c>
      <c r="K107" s="404">
        <f>IFERROR(INDEX(aantal_organisaties[Aantal organisaties waarop toepasbaar],MATCH(B107,aantal_organisaties[Digitale zorgtoepassing],0)),0)</f>
        <v>0</v>
      </c>
      <c r="L107" s="397">
        <f>COUNTIF(uniforme_input[Doelgroep],E107)</f>
        <v>4</v>
      </c>
      <c r="M107" s="405" cm="1">
        <f t="array" ref="M107">INDEX(Technologieën[Tijdsbesparing p. patiënt (min/week)],MATCH(B107,IF(Technologieën[Zoeksleutel bronnummer]=G107,Technologieën[Digitale zorgtoepassing]),0))</f>
        <v>203</v>
      </c>
      <c r="N107" s="405" cm="1">
        <f t="array" ref="N107">INDEX(Technologieën[Tijdsbesparing per handeling (min)],MATCH(B107,IF(Technologieën[Zoeksleutel bronnummer]=G107,Technologieën[Digitale zorgtoepassing]),0))</f>
        <v>0</v>
      </c>
      <c r="O107" s="403" cm="1">
        <f t="array" ref="O107">INDEX(Technologieën[Besparing overige kosten (€/patiënt/jaar)],MATCH(B107,IF(Technologieën[Zoeksleutel bronnummer]=G107,Technologieën[Digitale zorgtoepassing]),0))</f>
        <v>1540.9752823315121</v>
      </c>
      <c r="P107" s="403" cm="1">
        <f t="array" ref="P107">INDEX(Technologieën[Kostenbesparing p. patiënt door arbeidsbesparing (€/week)],MATCH(B107,IF(Technologieën[Zoeksleutel bronnummer]=G107,Technologieën[Digitale zorgtoepassing]),0))</f>
        <v>0</v>
      </c>
      <c r="Q107" s="403" cm="1">
        <f t="array" ref="Q107">INDEX(Technologieën[Kostenbesparing (personeel) per handeling (€)],MATCH(B107,IF(Technologieën[Zoeksleutel bronnummer]=G107,Technologieën[Digitale zorgtoepassing]),0))</f>
        <v>0</v>
      </c>
      <c r="R107" s="403" cm="1">
        <f t="array" ref="R107">INDEX(Technologieën[Besparing overige kosten (€/jaar)],MATCH(B107,IF(Technologieën[Zoeksleutel bronnummer]=G107,Technologieën[Digitale zorgtoepassing]),0))</f>
        <v>0</v>
      </c>
      <c r="S107" s="405" cm="1">
        <f t="array" ref="S107">INDEX(Technologieën[Jaarlijkse besparing zorgpersoneel (FTE)],MATCH(B107,IF(Technologieën[Zoeksleutel bronnummer]=G107,Technologieën[Digitale zorgtoepassing]),0))</f>
        <v>0</v>
      </c>
      <c r="T107" s="406" cm="1">
        <f t="array" ref="T107">(INDEX(Technologieën[QALY],MATCH(B107,IF(Technologieën[Zoeksleutel bronnummer]=G107,Technologieën[Digitale zorgtoepassing]),0)))</f>
        <v>0</v>
      </c>
      <c r="U107" s="407">
        <f>(uniforme_input[[#This Row],[Kostenbesparing door arbeidsbesparing p. patiënt (€/week)]]/uniforme_input[[#This Row],[Uurtarief]]*60) + (uniforme_input[[#This Row],[Totaal arbeidsbesparing onafhankelijk van patiënt (FTE)]]*40*60)/uniforme_input[[#This Row],[Patiëntaantallen]]</f>
        <v>0</v>
      </c>
      <c r="V107" s="407">
        <f>(uniforme_input[[#This Row],[Kostenbesparing per handeling (€)]]/uniforme_input[[#This Row],[Uurtarief]])*60</f>
        <v>0</v>
      </c>
      <c r="W107" s="398">
        <f>uniforme_input[[#This Row],[Overige kostenbesparing (Totaal €/jaar)]]/uniforme_input[[#This Row],[Patiëntaantallen]]</f>
        <v>0</v>
      </c>
      <c r="X107" s="408">
        <f>IF(uniforme_input[[#This Row],[Bron gebruiken voor opbrengsten?]]="Ja",uniforme_input[[#This Row],[Tijdsbesparing (min/week/patiënt) - gegeven]]+uniforme_input[[#This Row],[Tijdsbesparing (min/week/patiënt) berekend]],0)</f>
        <v>203</v>
      </c>
      <c r="Y107" s="407">
        <f>IF(uniforme_input[[#This Row],[Bron gebruiken voor opbrengsten?]]="Ja",uniforme_input[[#This Row],[Tijdsbesparing (min/handeling) - gegeven]]+uniforme_input[[#This Row],[Tijdsbesparing (min/handeling) berekend]],0)</f>
        <v>0</v>
      </c>
      <c r="Z107" s="409">
        <f>IF(uniforme_input[[#This Row],[Bron gebruiken voor opbrengsten?]]="Ja",uniforme_input[[#This Row],[Overige kostenbesparing (€/jaar/patiënt) - gegeven]]+uniforme_input[[#This Row],[Overige kostenbesparing (€/jaar/patiënt) berekend]],0)</f>
        <v>1540.9752823315121</v>
      </c>
      <c r="AA107" s="403" cm="1">
        <f t="array" ref="AA107">INDEX(Technologieën[Jaarlijkse kosten p. patiënt],MATCH(B107,IF(Technologieën[Zoeksleutel bronnummer]=G107,Technologieën[Digitale zorgtoepassing]),0))</f>
        <v>2023.8333333333333</v>
      </c>
      <c r="AB107" s="403" cm="1">
        <f t="array" ref="AB107">INDEX(Technologieën[Jaarlijkse kosten p. organisatie],MATCH(B107,IF(Technologieën[Zoeksleutel bronnummer]=G107,Technologieën[Digitale zorgtoepassing]),0))/uniforme_input[[#This Row],[Aantal doelgroepen waarop toepasbaar]]</f>
        <v>0</v>
      </c>
      <c r="AC107" s="403" cm="1">
        <f t="array" ref="AC107">INDEX(Technologieën[Jaarlijkse kosten (onafh. aantal patiënt/organisatie)],MATCH(B107,IF(Technologieën[Zoeksleutel bronnummer]=G107,Technologieën[Digitale zorgtoepassing]),0))/uniforme_input[[#This Row],[Aantal doelgroepen waarop toepasbaar]]</f>
        <v>0</v>
      </c>
      <c r="AD107" s="403" cm="1">
        <f t="array" ref="AD107">INDEX(Technologieën[Initiële investering (p. patiënt)],MATCH(B107,IF(Technologieën[Zoeksleutel bronnummer]=G107,Technologieën[Digitale zorgtoepassing]),0))</f>
        <v>0</v>
      </c>
      <c r="AE107" s="403" cm="1">
        <f t="array" ref="AE107">INDEX(Technologieën[Initiële investering (p. organisatie)],MATCH(B107,IF(Technologieën[Zoeksleutel bronnummer]=G107,Technologieën[Digitale zorgtoepassing]),0))</f>
        <v>0</v>
      </c>
      <c r="AF107"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07" s="398">
        <f>(uniforme_input[[#This Row],[Initiële investering per organisatie]]*uniforme_input[[#This Row],[Aantal organisaties]])/uniforme_input[[#This Row],[Patiëntaantallen]]</f>
        <v>0</v>
      </c>
      <c r="AH107" s="410">
        <f>IF(uniforme_input[[#This Row],[Bron gebruiken voor kosten/investering?]]="Ja",uniforme_input[[#This Row],[Jaarlijkse kosten per patiënt]] + uniforme_input[[#This Row],[Jaarlijkse kosten per patiënt berekend]],0)</f>
        <v>2023.8333333333333</v>
      </c>
      <c r="AI107" s="409">
        <f>IF(uniforme_input[[#This Row],[Bron gebruiken voor kosten/investering?]]="Ja",uniforme_input[[#This Row],[Initiële investering per patiënt]]+uniforme_input[[#This Row],[Initiële investering per patiënt berekend]],0)</f>
        <v>0</v>
      </c>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row>
    <row r="108" spans="1:83" s="2" customFormat="1" x14ac:dyDescent="0.5">
      <c r="A108" s="51" t="str">
        <f>INDEX(Technologieën[Veld],MATCH(G108,Technologieën[Zoeksleutel bronnummer],0))</f>
        <v>Sensoren - Verpleging</v>
      </c>
      <c r="B108" s="33" t="s">
        <v>42</v>
      </c>
      <c r="C108" s="32" t="s">
        <v>391</v>
      </c>
      <c r="D108" s="32" t="s">
        <v>390</v>
      </c>
      <c r="E108" s="33" t="s">
        <v>348</v>
      </c>
      <c r="F108" s="33" t="str" cm="1">
        <f t="array" ref="F108">INDEX(Berekening_patiëntaantal[Direct toepasbaar/extrapolatie/incidentie voor QALY],MATCH(B108,IF(Berekening_patiëntaantal[Doelgroep (zoeksleutel)]=E108,Berekening_patiëntaantal[Digitale zorgtoepassing]),0))</f>
        <v>Huidige toepassing</v>
      </c>
      <c r="G108" s="33" t="s">
        <v>546</v>
      </c>
      <c r="H108" s="33" t="s">
        <v>144</v>
      </c>
      <c r="I108" s="403">
        <f>INDEX(Uurloon[Uurtarief zorgpersoneel],MATCH(H108,Uurloon[Zorgverlener],0))</f>
        <v>20.410632183908046</v>
      </c>
      <c r="J108" s="404" cm="1">
        <f t="array" ref="J108">INDEX(Berekening_patiëntaantal[Patiëntaantallen],MATCH(B108,IF(Berekening_patiëntaantal[Doelgroep (zoeksleutel)]=E108,Berekening_patiëntaantal[Digitale zorgtoepassing]),0))</f>
        <v>32602.499999999996</v>
      </c>
      <c r="K108" s="404">
        <f>IFERROR(INDEX(aantal_organisaties[Aantal organisaties waarop toepasbaar],MATCH(B108,aantal_organisaties[Digitale zorgtoepassing],0)),0)</f>
        <v>0</v>
      </c>
      <c r="L108" s="397">
        <f>COUNTIF(uniforme_input[Doelgroep],E108)</f>
        <v>4</v>
      </c>
      <c r="M108" s="405" cm="1">
        <f t="array" ref="M108">INDEX(Technologieën[Tijdsbesparing p. patiënt (min/week)],MATCH(B108,IF(Technologieën[Zoeksleutel bronnummer]=G108,Technologieën[Digitale zorgtoepassing]),0))</f>
        <v>120</v>
      </c>
      <c r="N108" s="405" cm="1">
        <f t="array" ref="N108">INDEX(Technologieën[Tijdsbesparing per handeling (min)],MATCH(B108,IF(Technologieën[Zoeksleutel bronnummer]=G108,Technologieën[Digitale zorgtoepassing]),0))</f>
        <v>0</v>
      </c>
      <c r="O108" s="403" cm="1">
        <f t="array" ref="O108">INDEX(Technologieën[Besparing overige kosten (€/patiënt/jaar)],MATCH(B108,IF(Technologieën[Zoeksleutel bronnummer]=G108,Technologieën[Digitale zorgtoepassing]),0))</f>
        <v>295.78686640286412</v>
      </c>
      <c r="P108" s="403" cm="1">
        <f t="array" ref="P108">INDEX(Technologieën[Kostenbesparing p. patiënt door arbeidsbesparing (€/week)],MATCH(B108,IF(Technologieën[Zoeksleutel bronnummer]=G108,Technologieën[Digitale zorgtoepassing]),0))</f>
        <v>0</v>
      </c>
      <c r="Q108" s="403" cm="1">
        <f t="array" ref="Q108">INDEX(Technologieën[Kostenbesparing (personeel) per handeling (€)],MATCH(B108,IF(Technologieën[Zoeksleutel bronnummer]=G108,Technologieën[Digitale zorgtoepassing]),0))</f>
        <v>0</v>
      </c>
      <c r="R108" s="403" cm="1">
        <f t="array" ref="R108">INDEX(Technologieën[Besparing overige kosten (€/jaar)],MATCH(B108,IF(Technologieën[Zoeksleutel bronnummer]=G108,Technologieën[Digitale zorgtoepassing]),0))</f>
        <v>0</v>
      </c>
      <c r="S108" s="405" cm="1">
        <f t="array" ref="S108">INDEX(Technologieën[Jaarlijkse besparing zorgpersoneel (FTE)],MATCH(B108,IF(Technologieën[Zoeksleutel bronnummer]=G108,Technologieën[Digitale zorgtoepassing]),0))</f>
        <v>0</v>
      </c>
      <c r="T108" s="406" cm="1">
        <f t="array" ref="T108">(INDEX(Technologieën[QALY],MATCH(B108,IF(Technologieën[Zoeksleutel bronnummer]=G108,Technologieën[Digitale zorgtoepassing]),0)))</f>
        <v>0</v>
      </c>
      <c r="U108" s="407">
        <f>(uniforme_input[[#This Row],[Kostenbesparing door arbeidsbesparing p. patiënt (€/week)]]/uniforme_input[[#This Row],[Uurtarief]]*60) + (uniforme_input[[#This Row],[Totaal arbeidsbesparing onafhankelijk van patiënt (FTE)]]*40*60)/uniforme_input[[#This Row],[Patiëntaantallen]]</f>
        <v>0</v>
      </c>
      <c r="V108" s="407">
        <f>(uniforme_input[[#This Row],[Kostenbesparing per handeling (€)]]/uniforme_input[[#This Row],[Uurtarief]])*60</f>
        <v>0</v>
      </c>
      <c r="W108" s="398">
        <f>uniforme_input[[#This Row],[Overige kostenbesparing (Totaal €/jaar)]]/uniforme_input[[#This Row],[Patiëntaantallen]]</f>
        <v>0</v>
      </c>
      <c r="X108" s="408">
        <f>IF(uniforme_input[[#This Row],[Bron gebruiken voor opbrengsten?]]="Ja",uniforme_input[[#This Row],[Tijdsbesparing (min/week/patiënt) - gegeven]]+uniforme_input[[#This Row],[Tijdsbesparing (min/week/patiënt) berekend]],0)</f>
        <v>120</v>
      </c>
      <c r="Y108" s="407">
        <f>IF(uniforme_input[[#This Row],[Bron gebruiken voor opbrengsten?]]="Ja",uniforme_input[[#This Row],[Tijdsbesparing (min/handeling) - gegeven]]+uniforme_input[[#This Row],[Tijdsbesparing (min/handeling) berekend]],0)</f>
        <v>0</v>
      </c>
      <c r="Z108" s="409">
        <f>IF(uniforme_input[[#This Row],[Bron gebruiken voor opbrengsten?]]="Ja",uniforme_input[[#This Row],[Overige kostenbesparing (€/jaar/patiënt) - gegeven]]+uniforme_input[[#This Row],[Overige kostenbesparing (€/jaar/patiënt) berekend]],0)</f>
        <v>295.78686640286412</v>
      </c>
      <c r="AA108" s="403" cm="1">
        <f t="array" ref="AA108">INDEX(Technologieën[Jaarlijkse kosten p. patiënt],MATCH(B108,IF(Technologieën[Zoeksleutel bronnummer]=G108,Technologieën[Digitale zorgtoepassing]),0))</f>
        <v>0</v>
      </c>
      <c r="AB108" s="403" cm="1">
        <f t="array" ref="AB108">INDEX(Technologieën[Jaarlijkse kosten p. organisatie],MATCH(B108,IF(Technologieën[Zoeksleutel bronnummer]=G108,Technologieën[Digitale zorgtoepassing]),0))/uniforme_input[[#This Row],[Aantal doelgroepen waarop toepasbaar]]</f>
        <v>0</v>
      </c>
      <c r="AC108" s="403" cm="1">
        <f t="array" ref="AC108">INDEX(Technologieën[Jaarlijkse kosten (onafh. aantal patiënt/organisatie)],MATCH(B108,IF(Technologieën[Zoeksleutel bronnummer]=G108,Technologieën[Digitale zorgtoepassing]),0))/uniforme_input[[#This Row],[Aantal doelgroepen waarop toepasbaar]]</f>
        <v>0</v>
      </c>
      <c r="AD108" s="403" cm="1">
        <f t="array" ref="AD108">INDEX(Technologieën[Initiële investering (p. patiënt)],MATCH(B108,IF(Technologieën[Zoeksleutel bronnummer]=G108,Technologieën[Digitale zorgtoepassing]),0))</f>
        <v>0</v>
      </c>
      <c r="AE108" s="403" cm="1">
        <f t="array" ref="AE108">INDEX(Technologieën[Initiële investering (p. organisatie)],MATCH(B108,IF(Technologieën[Zoeksleutel bronnummer]=G108,Technologieën[Digitale zorgtoepassing]),0))</f>
        <v>0</v>
      </c>
      <c r="AF108"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08" s="398">
        <f>(uniforme_input[[#This Row],[Initiële investering per organisatie]]*uniforme_input[[#This Row],[Aantal organisaties]])/uniforme_input[[#This Row],[Patiëntaantallen]]</f>
        <v>0</v>
      </c>
      <c r="AH108" s="410">
        <f>IF(uniforme_input[[#This Row],[Bron gebruiken voor kosten/investering?]]="Ja",uniforme_input[[#This Row],[Jaarlijkse kosten per patiënt]] + uniforme_input[[#This Row],[Jaarlijkse kosten per patiënt berekend]],0)</f>
        <v>0</v>
      </c>
      <c r="AI108" s="409">
        <f>IF(uniforme_input[[#This Row],[Bron gebruiken voor kosten/investering?]]="Ja",uniforme_input[[#This Row],[Initiële investering per patiënt]]+uniforme_input[[#This Row],[Initiële investering per patiënt berekend]],0)</f>
        <v>0</v>
      </c>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row>
    <row r="109" spans="1:83" s="2" customFormat="1" x14ac:dyDescent="0.5">
      <c r="A109" s="51" t="str">
        <f>INDEX(Technologieën[Veld],MATCH(G109,Technologieën[Zoeksleutel bronnummer],0))</f>
        <v>Sensoren - Verpleging</v>
      </c>
      <c r="B109" s="33" t="s">
        <v>42</v>
      </c>
      <c r="C109" s="32" t="s">
        <v>391</v>
      </c>
      <c r="D109" s="32" t="s">
        <v>390</v>
      </c>
      <c r="E109" s="33" t="s">
        <v>348</v>
      </c>
      <c r="F109" s="33" t="str" cm="1">
        <f t="array" ref="F109">INDEX(Berekening_patiëntaantal[Direct toepasbaar/extrapolatie/incidentie voor QALY],MATCH(B109,IF(Berekening_patiëntaantal[Doelgroep (zoeksleutel)]=E109,Berekening_patiëntaantal[Digitale zorgtoepassing]),0))</f>
        <v>Huidige toepassing</v>
      </c>
      <c r="G109" s="33" t="s">
        <v>547</v>
      </c>
      <c r="H109" s="33" t="s">
        <v>144</v>
      </c>
      <c r="I109" s="403">
        <f>INDEX(Uurloon[Uurtarief zorgpersoneel],MATCH(H109,Uurloon[Zorgverlener],0))</f>
        <v>20.410632183908046</v>
      </c>
      <c r="J109" s="404" cm="1">
        <f t="array" ref="J109">INDEX(Berekening_patiëntaantal[Patiëntaantallen],MATCH(B109,IF(Berekening_patiëntaantal[Doelgroep (zoeksleutel)]=E109,Berekening_patiëntaantal[Digitale zorgtoepassing]),0))</f>
        <v>32602.499999999996</v>
      </c>
      <c r="K109" s="404">
        <f>IFERROR(INDEX(aantal_organisaties[Aantal organisaties waarop toepasbaar],MATCH(B109,aantal_organisaties[Digitale zorgtoepassing],0)),0)</f>
        <v>0</v>
      </c>
      <c r="L109" s="397">
        <f>COUNTIF(uniforme_input[Doelgroep],E109)</f>
        <v>4</v>
      </c>
      <c r="M109" s="405" cm="1">
        <f t="array" ref="M109">INDEX(Technologieën[Tijdsbesparing p. patiënt (min/week)],MATCH(B109,IF(Technologieën[Zoeksleutel bronnummer]=G109,Technologieën[Digitale zorgtoepassing]),0))</f>
        <v>87</v>
      </c>
      <c r="N109" s="405" cm="1">
        <f t="array" ref="N109">INDEX(Technologieën[Tijdsbesparing per handeling (min)],MATCH(B109,IF(Technologieën[Zoeksleutel bronnummer]=G109,Technologieën[Digitale zorgtoepassing]),0))</f>
        <v>0</v>
      </c>
      <c r="O109" s="403" cm="1">
        <f t="array" ref="O109">INDEX(Technologieën[Besparing overige kosten (€/patiënt/jaar)],MATCH(B109,IF(Technologieën[Zoeksleutel bronnummer]=G109,Technologieën[Digitale zorgtoepassing]),0))</f>
        <v>783.44547814207658</v>
      </c>
      <c r="P109" s="403" cm="1">
        <f t="array" ref="P109">INDEX(Technologieën[Kostenbesparing p. patiënt door arbeidsbesparing (€/week)],MATCH(B109,IF(Technologieën[Zoeksleutel bronnummer]=G109,Technologieën[Digitale zorgtoepassing]),0))</f>
        <v>0</v>
      </c>
      <c r="Q109" s="403" cm="1">
        <f t="array" ref="Q109">INDEX(Technologieën[Kostenbesparing (personeel) per handeling (€)],MATCH(B109,IF(Technologieën[Zoeksleutel bronnummer]=G109,Technologieën[Digitale zorgtoepassing]),0))</f>
        <v>0</v>
      </c>
      <c r="R109" s="403" cm="1">
        <f t="array" ref="R109">INDEX(Technologieën[Besparing overige kosten (€/jaar)],MATCH(B109,IF(Technologieën[Zoeksleutel bronnummer]=G109,Technologieën[Digitale zorgtoepassing]),0))</f>
        <v>0</v>
      </c>
      <c r="S109" s="405" cm="1">
        <f t="array" ref="S109">INDEX(Technologieën[Jaarlijkse besparing zorgpersoneel (FTE)],MATCH(B109,IF(Technologieën[Zoeksleutel bronnummer]=G109,Technologieën[Digitale zorgtoepassing]),0))</f>
        <v>0</v>
      </c>
      <c r="T109" s="406" cm="1">
        <f t="array" ref="T109">(INDEX(Technologieën[QALY],MATCH(B109,IF(Technologieën[Zoeksleutel bronnummer]=G109,Technologieën[Digitale zorgtoepassing]),0)))</f>
        <v>0</v>
      </c>
      <c r="U109" s="407">
        <f>(uniforme_input[[#This Row],[Kostenbesparing door arbeidsbesparing p. patiënt (€/week)]]/uniforme_input[[#This Row],[Uurtarief]]*60) + (uniforme_input[[#This Row],[Totaal arbeidsbesparing onafhankelijk van patiënt (FTE)]]*40*60)/uniforme_input[[#This Row],[Patiëntaantallen]]</f>
        <v>0</v>
      </c>
      <c r="V109" s="407">
        <f>(uniforme_input[[#This Row],[Kostenbesparing per handeling (€)]]/uniforme_input[[#This Row],[Uurtarief]])*60</f>
        <v>0</v>
      </c>
      <c r="W109" s="398">
        <f>uniforme_input[[#This Row],[Overige kostenbesparing (Totaal €/jaar)]]/uniforme_input[[#This Row],[Patiëntaantallen]]</f>
        <v>0</v>
      </c>
      <c r="X109" s="408">
        <f>IF(uniforme_input[[#This Row],[Bron gebruiken voor opbrengsten?]]="Ja",uniforme_input[[#This Row],[Tijdsbesparing (min/week/patiënt) - gegeven]]+uniforme_input[[#This Row],[Tijdsbesparing (min/week/patiënt) berekend]],0)</f>
        <v>87</v>
      </c>
      <c r="Y109" s="407">
        <f>IF(uniforme_input[[#This Row],[Bron gebruiken voor opbrengsten?]]="Ja",uniforme_input[[#This Row],[Tijdsbesparing (min/handeling) - gegeven]]+uniforme_input[[#This Row],[Tijdsbesparing (min/handeling) berekend]],0)</f>
        <v>0</v>
      </c>
      <c r="Z109" s="409">
        <f>IF(uniforme_input[[#This Row],[Bron gebruiken voor opbrengsten?]]="Ja",uniforme_input[[#This Row],[Overige kostenbesparing (€/jaar/patiënt) - gegeven]]+uniforme_input[[#This Row],[Overige kostenbesparing (€/jaar/patiënt) berekend]],0)</f>
        <v>783.44547814207658</v>
      </c>
      <c r="AA109" s="403" cm="1">
        <f t="array" ref="AA109">INDEX(Technologieën[Jaarlijkse kosten p. patiënt],MATCH(B109,IF(Technologieën[Zoeksleutel bronnummer]=G109,Technologieën[Digitale zorgtoepassing]),0))</f>
        <v>0</v>
      </c>
      <c r="AB109" s="403" cm="1">
        <f t="array" ref="AB109">INDEX(Technologieën[Jaarlijkse kosten p. organisatie],MATCH(B109,IF(Technologieën[Zoeksleutel bronnummer]=G109,Technologieën[Digitale zorgtoepassing]),0))/uniforme_input[[#This Row],[Aantal doelgroepen waarop toepasbaar]]</f>
        <v>0</v>
      </c>
      <c r="AC109" s="403" cm="1">
        <f t="array" ref="AC109">INDEX(Technologieën[Jaarlijkse kosten (onafh. aantal patiënt/organisatie)],MATCH(B109,IF(Technologieën[Zoeksleutel bronnummer]=G109,Technologieën[Digitale zorgtoepassing]),0))/uniforme_input[[#This Row],[Aantal doelgroepen waarop toepasbaar]]</f>
        <v>0</v>
      </c>
      <c r="AD109" s="403" cm="1">
        <f t="array" ref="AD109">INDEX(Technologieën[Initiële investering (p. patiënt)],MATCH(B109,IF(Technologieën[Zoeksleutel bronnummer]=G109,Technologieën[Digitale zorgtoepassing]),0))</f>
        <v>0</v>
      </c>
      <c r="AE109" s="403" cm="1">
        <f t="array" ref="AE109">INDEX(Technologieën[Initiële investering (p. organisatie)],MATCH(B109,IF(Technologieën[Zoeksleutel bronnummer]=G109,Technologieën[Digitale zorgtoepassing]),0))</f>
        <v>0</v>
      </c>
      <c r="AF109"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09" s="398">
        <f>(uniforme_input[[#This Row],[Initiële investering per organisatie]]*uniforme_input[[#This Row],[Aantal organisaties]])/uniforme_input[[#This Row],[Patiëntaantallen]]</f>
        <v>0</v>
      </c>
      <c r="AH109" s="410">
        <f>IF(uniforme_input[[#This Row],[Bron gebruiken voor kosten/investering?]]="Ja",uniforme_input[[#This Row],[Jaarlijkse kosten per patiënt]] + uniforme_input[[#This Row],[Jaarlijkse kosten per patiënt berekend]],0)</f>
        <v>0</v>
      </c>
      <c r="AI109" s="409">
        <f>IF(uniforme_input[[#This Row],[Bron gebruiken voor kosten/investering?]]="Ja",uniforme_input[[#This Row],[Initiële investering per patiënt]]+uniforme_input[[#This Row],[Initiële investering per patiënt berekend]],0)</f>
        <v>0</v>
      </c>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row>
    <row r="110" spans="1:83" s="2" customFormat="1" x14ac:dyDescent="0.5">
      <c r="A110" s="51" t="str">
        <f>INDEX(Technologieën[Veld],MATCH(G110,Technologieën[Zoeksleutel bronnummer],0))</f>
        <v>Sensoren - Verpleging</v>
      </c>
      <c r="B110" s="33" t="s">
        <v>42</v>
      </c>
      <c r="C110" s="32" t="s">
        <v>391</v>
      </c>
      <c r="D110" s="32" t="s">
        <v>391</v>
      </c>
      <c r="E110" s="33" t="s">
        <v>44</v>
      </c>
      <c r="F110" s="33" t="str" cm="1">
        <f t="array" ref="F110">INDEX(Berekening_patiëntaantal[Direct toepasbaar/extrapolatie/incidentie voor QALY],MATCH(B110,IF(Berekening_patiëntaantal[Doelgroep (zoeksleutel)]=E110,Berekening_patiëntaantal[Digitale zorgtoepassing]),0))</f>
        <v>Extrapolatie</v>
      </c>
      <c r="G110" s="33" t="s">
        <v>544</v>
      </c>
      <c r="H110" s="33" t="s">
        <v>144</v>
      </c>
      <c r="I110" s="403">
        <f>INDEX(Uurloon[Uurtarief zorgpersoneel],MATCH(H110,Uurloon[Zorgverlener],0))</f>
        <v>20.410632183908046</v>
      </c>
      <c r="J110" s="404" cm="1">
        <f t="array" ref="J110">INDEX(Berekening_patiëntaantal[Patiëntaantallen],MATCH(B110,IF(Berekening_patiëntaantal[Doelgroep (zoeksleutel)]=E110,Berekening_patiëntaantal[Digitale zorgtoepassing]),0))</f>
        <v>2256.25</v>
      </c>
      <c r="K110" s="404">
        <f>IFERROR(INDEX(aantal_organisaties[Aantal organisaties waarop toepasbaar],MATCH(B110,aantal_organisaties[Digitale zorgtoepassing],0)),0)</f>
        <v>0</v>
      </c>
      <c r="L110" s="397">
        <f>COUNTIF(uniforme_input[Doelgroep],E110)</f>
        <v>4</v>
      </c>
      <c r="M110" s="405" cm="1">
        <f t="array" ref="M110">INDEX(Technologieën[Tijdsbesparing p. patiënt (min/week)],MATCH(B110,IF(Technologieën[Zoeksleutel bronnummer]=G110,Technologieën[Digitale zorgtoepassing]),0))</f>
        <v>112</v>
      </c>
      <c r="N110" s="405" cm="1">
        <f t="array" ref="N110">INDEX(Technologieën[Tijdsbesparing per handeling (min)],MATCH(B110,IF(Technologieën[Zoeksleutel bronnummer]=G110,Technologieën[Digitale zorgtoepassing]),0))</f>
        <v>0</v>
      </c>
      <c r="O110" s="403" cm="1">
        <f t="array" ref="O110">INDEX(Technologieën[Besparing overige kosten (€/patiënt/jaar)],MATCH(B110,IF(Technologieën[Zoeksleutel bronnummer]=G110,Technologieën[Digitale zorgtoepassing]),0))</f>
        <v>513.31774197600657</v>
      </c>
      <c r="P110" s="403" cm="1">
        <f t="array" ref="P110">INDEX(Technologieën[Kostenbesparing p. patiënt door arbeidsbesparing (€/week)],MATCH(B110,IF(Technologieën[Zoeksleutel bronnummer]=G110,Technologieën[Digitale zorgtoepassing]),0))</f>
        <v>0</v>
      </c>
      <c r="Q110" s="403" cm="1">
        <f t="array" ref="Q110">INDEX(Technologieën[Kostenbesparing (personeel) per handeling (€)],MATCH(B110,IF(Technologieën[Zoeksleutel bronnummer]=G110,Technologieën[Digitale zorgtoepassing]),0))</f>
        <v>0</v>
      </c>
      <c r="R110" s="403" cm="1">
        <f t="array" ref="R110">INDEX(Technologieën[Besparing overige kosten (€/jaar)],MATCH(B110,IF(Technologieën[Zoeksleutel bronnummer]=G110,Technologieën[Digitale zorgtoepassing]),0))</f>
        <v>0</v>
      </c>
      <c r="S110" s="405" cm="1">
        <f t="array" ref="S110">INDEX(Technologieën[Jaarlijkse besparing zorgpersoneel (FTE)],MATCH(B110,IF(Technologieën[Zoeksleutel bronnummer]=G110,Technologieën[Digitale zorgtoepassing]),0))</f>
        <v>0</v>
      </c>
      <c r="T110" s="406" cm="1">
        <f t="array" ref="T110">(INDEX(Technologieën[QALY],MATCH(B110,IF(Technologieën[Zoeksleutel bronnummer]=G110,Technologieën[Digitale zorgtoepassing]),0)))</f>
        <v>0</v>
      </c>
      <c r="U110" s="407">
        <f>(uniforme_input[[#This Row],[Kostenbesparing door arbeidsbesparing p. patiënt (€/week)]]/uniforme_input[[#This Row],[Uurtarief]]*60) + (uniforme_input[[#This Row],[Totaal arbeidsbesparing onafhankelijk van patiënt (FTE)]]*40*60)/uniforme_input[[#This Row],[Patiëntaantallen]]</f>
        <v>0</v>
      </c>
      <c r="V110" s="407">
        <f>(uniforme_input[[#This Row],[Kostenbesparing per handeling (€)]]/uniforme_input[[#This Row],[Uurtarief]])*60</f>
        <v>0</v>
      </c>
      <c r="W110" s="398">
        <f>uniforme_input[[#This Row],[Overige kostenbesparing (Totaal €/jaar)]]/uniforme_input[[#This Row],[Patiëntaantallen]]</f>
        <v>0</v>
      </c>
      <c r="X110" s="408">
        <f>IF(uniforme_input[[#This Row],[Bron gebruiken voor opbrengsten?]]="Ja",uniforme_input[[#This Row],[Tijdsbesparing (min/week/patiënt) - gegeven]]+uniforme_input[[#This Row],[Tijdsbesparing (min/week/patiënt) berekend]],0)</f>
        <v>112</v>
      </c>
      <c r="Y110" s="407">
        <f>IF(uniforme_input[[#This Row],[Bron gebruiken voor opbrengsten?]]="Ja",uniforme_input[[#This Row],[Tijdsbesparing (min/handeling) - gegeven]]+uniforme_input[[#This Row],[Tijdsbesparing (min/handeling) berekend]],0)</f>
        <v>0</v>
      </c>
      <c r="Z110" s="409">
        <f>IF(uniforme_input[[#This Row],[Bron gebruiken voor opbrengsten?]]="Ja",uniforme_input[[#This Row],[Overige kostenbesparing (€/jaar/patiënt) - gegeven]]+uniforme_input[[#This Row],[Overige kostenbesparing (€/jaar/patiënt) berekend]],0)</f>
        <v>513.31774197600657</v>
      </c>
      <c r="AA110" s="403" cm="1">
        <f t="array" ref="AA110">INDEX(Technologieën[Jaarlijkse kosten p. patiënt],MATCH(B110,IF(Technologieën[Zoeksleutel bronnummer]=G110,Technologieën[Digitale zorgtoepassing]),0))</f>
        <v>3733.9500000000003</v>
      </c>
      <c r="AB110" s="403" cm="1">
        <f t="array" ref="AB110">INDEX(Technologieën[Jaarlijkse kosten p. organisatie],MATCH(B110,IF(Technologieën[Zoeksleutel bronnummer]=G110,Technologieën[Digitale zorgtoepassing]),0))/uniforme_input[[#This Row],[Aantal doelgroepen waarop toepasbaar]]</f>
        <v>0</v>
      </c>
      <c r="AC110" s="403" cm="1">
        <f t="array" ref="AC110">INDEX(Technologieën[Jaarlijkse kosten (onafh. aantal patiënt/organisatie)],MATCH(B110,IF(Technologieën[Zoeksleutel bronnummer]=G110,Technologieën[Digitale zorgtoepassing]),0))/uniforme_input[[#This Row],[Aantal doelgroepen waarop toepasbaar]]</f>
        <v>0</v>
      </c>
      <c r="AD110" s="403" cm="1">
        <f t="array" ref="AD110">INDEX(Technologieën[Initiële investering (p. patiënt)],MATCH(B110,IF(Technologieën[Zoeksleutel bronnummer]=G110,Technologieën[Digitale zorgtoepassing]),0))</f>
        <v>0</v>
      </c>
      <c r="AE110" s="403" cm="1">
        <f t="array" ref="AE110">INDEX(Technologieën[Initiële investering (p. organisatie)],MATCH(B110,IF(Technologieën[Zoeksleutel bronnummer]=G110,Technologieën[Digitale zorgtoepassing]),0))</f>
        <v>0</v>
      </c>
      <c r="AF110"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10" s="398">
        <f>(uniforme_input[[#This Row],[Initiële investering per organisatie]]*uniforme_input[[#This Row],[Aantal organisaties]])/uniforme_input[[#This Row],[Patiëntaantallen]]</f>
        <v>0</v>
      </c>
      <c r="AH110" s="410">
        <f>IF(uniforme_input[[#This Row],[Bron gebruiken voor kosten/investering?]]="Ja",uniforme_input[[#This Row],[Jaarlijkse kosten per patiënt]] + uniforme_input[[#This Row],[Jaarlijkse kosten per patiënt berekend]],0)</f>
        <v>3733.9500000000003</v>
      </c>
      <c r="AI110" s="409">
        <f>IF(uniforme_input[[#This Row],[Bron gebruiken voor kosten/investering?]]="Ja",uniforme_input[[#This Row],[Initiële investering per patiënt]]+uniforme_input[[#This Row],[Initiële investering per patiënt berekend]],0)</f>
        <v>0</v>
      </c>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row>
    <row r="111" spans="1:83" s="2" customFormat="1" x14ac:dyDescent="0.5">
      <c r="A111" s="51" t="str">
        <f>INDEX(Technologieën[Veld],MATCH(G111,Technologieën[Zoeksleutel bronnummer],0))</f>
        <v>Sensoren - Verpleging</v>
      </c>
      <c r="B111" s="33" t="s">
        <v>42</v>
      </c>
      <c r="C111" s="32" t="s">
        <v>391</v>
      </c>
      <c r="D111" s="32" t="s">
        <v>391</v>
      </c>
      <c r="E111" s="33" t="s">
        <v>44</v>
      </c>
      <c r="F111" s="33" t="str" cm="1">
        <f t="array" ref="F111">INDEX(Berekening_patiëntaantal[Direct toepasbaar/extrapolatie/incidentie voor QALY],MATCH(B111,IF(Berekening_patiëntaantal[Doelgroep (zoeksleutel)]=E111,Berekening_patiëntaantal[Digitale zorgtoepassing]),0))</f>
        <v>Extrapolatie</v>
      </c>
      <c r="G111" s="33" t="s">
        <v>545</v>
      </c>
      <c r="H111" s="33" t="s">
        <v>144</v>
      </c>
      <c r="I111" s="403">
        <f>INDEX(Uurloon[Uurtarief zorgpersoneel],MATCH(H111,Uurloon[Zorgverlener],0))</f>
        <v>20.410632183908046</v>
      </c>
      <c r="J111" s="404" cm="1">
        <f t="array" ref="J111">INDEX(Berekening_patiëntaantal[Patiëntaantallen],MATCH(B111,IF(Berekening_patiëntaantal[Doelgroep (zoeksleutel)]=E111,Berekening_patiëntaantal[Digitale zorgtoepassing]),0))</f>
        <v>2256.25</v>
      </c>
      <c r="K111" s="404">
        <f>IFERROR(INDEX(aantal_organisaties[Aantal organisaties waarop toepasbaar],MATCH(B111,aantal_organisaties[Digitale zorgtoepassing],0)),0)</f>
        <v>0</v>
      </c>
      <c r="L111" s="397">
        <f>COUNTIF(uniforme_input[Doelgroep],E111)</f>
        <v>4</v>
      </c>
      <c r="M111" s="405" cm="1">
        <f t="array" ref="M111">INDEX(Technologieën[Tijdsbesparing p. patiënt (min/week)],MATCH(B111,IF(Technologieën[Zoeksleutel bronnummer]=G111,Technologieën[Digitale zorgtoepassing]),0))</f>
        <v>203</v>
      </c>
      <c r="N111" s="405" cm="1">
        <f t="array" ref="N111">INDEX(Technologieën[Tijdsbesparing per handeling (min)],MATCH(B111,IF(Technologieën[Zoeksleutel bronnummer]=G111,Technologieën[Digitale zorgtoepassing]),0))</f>
        <v>0</v>
      </c>
      <c r="O111" s="403" cm="1">
        <f t="array" ref="O111">INDEX(Technologieën[Besparing overige kosten (€/patiënt/jaar)],MATCH(B111,IF(Technologieën[Zoeksleutel bronnummer]=G111,Technologieën[Digitale zorgtoepassing]),0))</f>
        <v>1540.9752823315121</v>
      </c>
      <c r="P111" s="403" cm="1">
        <f t="array" ref="P111">INDEX(Technologieën[Kostenbesparing p. patiënt door arbeidsbesparing (€/week)],MATCH(B111,IF(Technologieën[Zoeksleutel bronnummer]=G111,Technologieën[Digitale zorgtoepassing]),0))</f>
        <v>0</v>
      </c>
      <c r="Q111" s="403" cm="1">
        <f t="array" ref="Q111">INDEX(Technologieën[Kostenbesparing (personeel) per handeling (€)],MATCH(B111,IF(Technologieën[Zoeksleutel bronnummer]=G111,Technologieën[Digitale zorgtoepassing]),0))</f>
        <v>0</v>
      </c>
      <c r="R111" s="403" cm="1">
        <f t="array" ref="R111">INDEX(Technologieën[Besparing overige kosten (€/jaar)],MATCH(B111,IF(Technologieën[Zoeksleutel bronnummer]=G111,Technologieën[Digitale zorgtoepassing]),0))</f>
        <v>0</v>
      </c>
      <c r="S111" s="405" cm="1">
        <f t="array" ref="S111">INDEX(Technologieën[Jaarlijkse besparing zorgpersoneel (FTE)],MATCH(B111,IF(Technologieën[Zoeksleutel bronnummer]=G111,Technologieën[Digitale zorgtoepassing]),0))</f>
        <v>0</v>
      </c>
      <c r="T111" s="406" cm="1">
        <f t="array" ref="T111">(INDEX(Technologieën[QALY],MATCH(B111,IF(Technologieën[Zoeksleutel bronnummer]=G111,Technologieën[Digitale zorgtoepassing]),0)))</f>
        <v>0</v>
      </c>
      <c r="U111" s="407">
        <f>(uniforme_input[[#This Row],[Kostenbesparing door arbeidsbesparing p. patiënt (€/week)]]/uniforme_input[[#This Row],[Uurtarief]]*60) + (uniforme_input[[#This Row],[Totaal arbeidsbesparing onafhankelijk van patiënt (FTE)]]*40*60)/uniforme_input[[#This Row],[Patiëntaantallen]]</f>
        <v>0</v>
      </c>
      <c r="V111" s="407">
        <f>(uniforme_input[[#This Row],[Kostenbesparing per handeling (€)]]/uniforme_input[[#This Row],[Uurtarief]])*60</f>
        <v>0</v>
      </c>
      <c r="W111" s="398">
        <f>uniforme_input[[#This Row],[Overige kostenbesparing (Totaal €/jaar)]]/uniforme_input[[#This Row],[Patiëntaantallen]]</f>
        <v>0</v>
      </c>
      <c r="X111" s="408">
        <f>IF(uniforme_input[[#This Row],[Bron gebruiken voor opbrengsten?]]="Ja",uniforme_input[[#This Row],[Tijdsbesparing (min/week/patiënt) - gegeven]]+uniforme_input[[#This Row],[Tijdsbesparing (min/week/patiënt) berekend]],0)</f>
        <v>203</v>
      </c>
      <c r="Y111" s="407">
        <f>IF(uniforme_input[[#This Row],[Bron gebruiken voor opbrengsten?]]="Ja",uniforme_input[[#This Row],[Tijdsbesparing (min/handeling) - gegeven]]+uniforme_input[[#This Row],[Tijdsbesparing (min/handeling) berekend]],0)</f>
        <v>0</v>
      </c>
      <c r="Z111" s="409">
        <f>IF(uniforme_input[[#This Row],[Bron gebruiken voor opbrengsten?]]="Ja",uniforme_input[[#This Row],[Overige kostenbesparing (€/jaar/patiënt) - gegeven]]+uniforme_input[[#This Row],[Overige kostenbesparing (€/jaar/patiënt) berekend]],0)</f>
        <v>1540.9752823315121</v>
      </c>
      <c r="AA111" s="403" cm="1">
        <f t="array" ref="AA111">INDEX(Technologieën[Jaarlijkse kosten p. patiënt],MATCH(B111,IF(Technologieën[Zoeksleutel bronnummer]=G111,Technologieën[Digitale zorgtoepassing]),0))</f>
        <v>2023.8333333333333</v>
      </c>
      <c r="AB111" s="403" cm="1">
        <f t="array" ref="AB111">INDEX(Technologieën[Jaarlijkse kosten p. organisatie],MATCH(B111,IF(Technologieën[Zoeksleutel bronnummer]=G111,Technologieën[Digitale zorgtoepassing]),0))/uniforme_input[[#This Row],[Aantal doelgroepen waarop toepasbaar]]</f>
        <v>0</v>
      </c>
      <c r="AC111" s="403" cm="1">
        <f t="array" ref="AC111">INDEX(Technologieën[Jaarlijkse kosten (onafh. aantal patiënt/organisatie)],MATCH(B111,IF(Technologieën[Zoeksleutel bronnummer]=G111,Technologieën[Digitale zorgtoepassing]),0))/uniforme_input[[#This Row],[Aantal doelgroepen waarop toepasbaar]]</f>
        <v>0</v>
      </c>
      <c r="AD111" s="403" cm="1">
        <f t="array" ref="AD111">INDEX(Technologieën[Initiële investering (p. patiënt)],MATCH(B111,IF(Technologieën[Zoeksleutel bronnummer]=G111,Technologieën[Digitale zorgtoepassing]),0))</f>
        <v>0</v>
      </c>
      <c r="AE111" s="403" cm="1">
        <f t="array" ref="AE111">INDEX(Technologieën[Initiële investering (p. organisatie)],MATCH(B111,IF(Technologieën[Zoeksleutel bronnummer]=G111,Technologieën[Digitale zorgtoepassing]),0))</f>
        <v>0</v>
      </c>
      <c r="AF111"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11" s="398">
        <f>(uniforme_input[[#This Row],[Initiële investering per organisatie]]*uniforme_input[[#This Row],[Aantal organisaties]])/uniforme_input[[#This Row],[Patiëntaantallen]]</f>
        <v>0</v>
      </c>
      <c r="AH111" s="410">
        <f>IF(uniforme_input[[#This Row],[Bron gebruiken voor kosten/investering?]]="Ja",uniforme_input[[#This Row],[Jaarlijkse kosten per patiënt]] + uniforme_input[[#This Row],[Jaarlijkse kosten per patiënt berekend]],0)</f>
        <v>2023.8333333333333</v>
      </c>
      <c r="AI111" s="409">
        <f>IF(uniforme_input[[#This Row],[Bron gebruiken voor kosten/investering?]]="Ja",uniforme_input[[#This Row],[Initiële investering per patiënt]]+uniforme_input[[#This Row],[Initiële investering per patiënt berekend]],0)</f>
        <v>0</v>
      </c>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row>
    <row r="112" spans="1:83" s="2" customFormat="1" x14ac:dyDescent="0.5">
      <c r="A112" s="51" t="str">
        <f>INDEX(Technologieën[Veld],MATCH(G112,Technologieën[Zoeksleutel bronnummer],0))</f>
        <v>Sensoren - Verpleging</v>
      </c>
      <c r="B112" s="33" t="s">
        <v>42</v>
      </c>
      <c r="C112" s="32" t="s">
        <v>391</v>
      </c>
      <c r="D112" s="32" t="s">
        <v>390</v>
      </c>
      <c r="E112" s="33" t="s">
        <v>44</v>
      </c>
      <c r="F112" s="33" t="str" cm="1">
        <f t="array" ref="F112">INDEX(Berekening_patiëntaantal[Direct toepasbaar/extrapolatie/incidentie voor QALY],MATCH(B112,IF(Berekening_patiëntaantal[Doelgroep (zoeksleutel)]=E112,Berekening_patiëntaantal[Digitale zorgtoepassing]),0))</f>
        <v>Extrapolatie</v>
      </c>
      <c r="G112" s="33" t="s">
        <v>546</v>
      </c>
      <c r="H112" s="33" t="s">
        <v>144</v>
      </c>
      <c r="I112" s="403">
        <f>INDEX(Uurloon[Uurtarief zorgpersoneel],MATCH(H112,Uurloon[Zorgverlener],0))</f>
        <v>20.410632183908046</v>
      </c>
      <c r="J112" s="404" cm="1">
        <f t="array" ref="J112">INDEX(Berekening_patiëntaantal[Patiëntaantallen],MATCH(B112,IF(Berekening_patiëntaantal[Doelgroep (zoeksleutel)]=E112,Berekening_patiëntaantal[Digitale zorgtoepassing]),0))</f>
        <v>2256.25</v>
      </c>
      <c r="K112" s="404">
        <f>IFERROR(INDEX(aantal_organisaties[Aantal organisaties waarop toepasbaar],MATCH(B112,aantal_organisaties[Digitale zorgtoepassing],0)),0)</f>
        <v>0</v>
      </c>
      <c r="L112" s="397">
        <f>COUNTIF(uniforme_input[Doelgroep],E112)</f>
        <v>4</v>
      </c>
      <c r="M112" s="405" cm="1">
        <f t="array" ref="M112">INDEX(Technologieën[Tijdsbesparing p. patiënt (min/week)],MATCH(B112,IF(Technologieën[Zoeksleutel bronnummer]=G112,Technologieën[Digitale zorgtoepassing]),0))</f>
        <v>120</v>
      </c>
      <c r="N112" s="405" cm="1">
        <f t="array" ref="N112">INDEX(Technologieën[Tijdsbesparing per handeling (min)],MATCH(B112,IF(Technologieën[Zoeksleutel bronnummer]=G112,Technologieën[Digitale zorgtoepassing]),0))</f>
        <v>0</v>
      </c>
      <c r="O112" s="403" cm="1">
        <f t="array" ref="O112">INDEX(Technologieën[Besparing overige kosten (€/patiënt/jaar)],MATCH(B112,IF(Technologieën[Zoeksleutel bronnummer]=G112,Technologieën[Digitale zorgtoepassing]),0))</f>
        <v>295.78686640286412</v>
      </c>
      <c r="P112" s="403" cm="1">
        <f t="array" ref="P112">INDEX(Technologieën[Kostenbesparing p. patiënt door arbeidsbesparing (€/week)],MATCH(B112,IF(Technologieën[Zoeksleutel bronnummer]=G112,Technologieën[Digitale zorgtoepassing]),0))</f>
        <v>0</v>
      </c>
      <c r="Q112" s="403" cm="1">
        <f t="array" ref="Q112">INDEX(Technologieën[Kostenbesparing (personeel) per handeling (€)],MATCH(B112,IF(Technologieën[Zoeksleutel bronnummer]=G112,Technologieën[Digitale zorgtoepassing]),0))</f>
        <v>0</v>
      </c>
      <c r="R112" s="403" cm="1">
        <f t="array" ref="R112">INDEX(Technologieën[Besparing overige kosten (€/jaar)],MATCH(B112,IF(Technologieën[Zoeksleutel bronnummer]=G112,Technologieën[Digitale zorgtoepassing]),0))</f>
        <v>0</v>
      </c>
      <c r="S112" s="405" cm="1">
        <f t="array" ref="S112">INDEX(Technologieën[Jaarlijkse besparing zorgpersoneel (FTE)],MATCH(B112,IF(Technologieën[Zoeksleutel bronnummer]=G112,Technologieën[Digitale zorgtoepassing]),0))</f>
        <v>0</v>
      </c>
      <c r="T112" s="406" cm="1">
        <f t="array" ref="T112">(INDEX(Technologieën[QALY],MATCH(B112,IF(Technologieën[Zoeksleutel bronnummer]=G112,Technologieën[Digitale zorgtoepassing]),0)))</f>
        <v>0</v>
      </c>
      <c r="U112" s="407">
        <f>(uniforme_input[[#This Row],[Kostenbesparing door arbeidsbesparing p. patiënt (€/week)]]/uniforme_input[[#This Row],[Uurtarief]]*60) + (uniforme_input[[#This Row],[Totaal arbeidsbesparing onafhankelijk van patiënt (FTE)]]*40*60)/uniforme_input[[#This Row],[Patiëntaantallen]]</f>
        <v>0</v>
      </c>
      <c r="V112" s="407">
        <f>(uniforme_input[[#This Row],[Kostenbesparing per handeling (€)]]/uniforme_input[[#This Row],[Uurtarief]])*60</f>
        <v>0</v>
      </c>
      <c r="W112" s="398">
        <f>uniforme_input[[#This Row],[Overige kostenbesparing (Totaal €/jaar)]]/uniforme_input[[#This Row],[Patiëntaantallen]]</f>
        <v>0</v>
      </c>
      <c r="X112" s="408">
        <f>IF(uniforme_input[[#This Row],[Bron gebruiken voor opbrengsten?]]="Ja",uniforme_input[[#This Row],[Tijdsbesparing (min/week/patiënt) - gegeven]]+uniforme_input[[#This Row],[Tijdsbesparing (min/week/patiënt) berekend]],0)</f>
        <v>120</v>
      </c>
      <c r="Y112" s="407">
        <f>IF(uniforme_input[[#This Row],[Bron gebruiken voor opbrengsten?]]="Ja",uniforme_input[[#This Row],[Tijdsbesparing (min/handeling) - gegeven]]+uniforme_input[[#This Row],[Tijdsbesparing (min/handeling) berekend]],0)</f>
        <v>0</v>
      </c>
      <c r="Z112" s="409">
        <f>IF(uniforme_input[[#This Row],[Bron gebruiken voor opbrengsten?]]="Ja",uniforme_input[[#This Row],[Overige kostenbesparing (€/jaar/patiënt) - gegeven]]+uniforme_input[[#This Row],[Overige kostenbesparing (€/jaar/patiënt) berekend]],0)</f>
        <v>295.78686640286412</v>
      </c>
      <c r="AA112" s="403" cm="1">
        <f t="array" ref="AA112">INDEX(Technologieën[Jaarlijkse kosten p. patiënt],MATCH(B112,IF(Technologieën[Zoeksleutel bronnummer]=G112,Technologieën[Digitale zorgtoepassing]),0))</f>
        <v>0</v>
      </c>
      <c r="AB112" s="403" cm="1">
        <f t="array" ref="AB112">INDEX(Technologieën[Jaarlijkse kosten p. organisatie],MATCH(B112,IF(Technologieën[Zoeksleutel bronnummer]=G112,Technologieën[Digitale zorgtoepassing]),0))/uniforme_input[[#This Row],[Aantal doelgroepen waarop toepasbaar]]</f>
        <v>0</v>
      </c>
      <c r="AC112" s="403" cm="1">
        <f t="array" ref="AC112">INDEX(Technologieën[Jaarlijkse kosten (onafh. aantal patiënt/organisatie)],MATCH(B112,IF(Technologieën[Zoeksleutel bronnummer]=G112,Technologieën[Digitale zorgtoepassing]),0))/uniforme_input[[#This Row],[Aantal doelgroepen waarop toepasbaar]]</f>
        <v>0</v>
      </c>
      <c r="AD112" s="403" cm="1">
        <f t="array" ref="AD112">INDEX(Technologieën[Initiële investering (p. patiënt)],MATCH(B112,IF(Technologieën[Zoeksleutel bronnummer]=G112,Technologieën[Digitale zorgtoepassing]),0))</f>
        <v>0</v>
      </c>
      <c r="AE112" s="403" cm="1">
        <f t="array" ref="AE112">INDEX(Technologieën[Initiële investering (p. organisatie)],MATCH(B112,IF(Technologieën[Zoeksleutel bronnummer]=G112,Technologieën[Digitale zorgtoepassing]),0))</f>
        <v>0</v>
      </c>
      <c r="AF112"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12" s="398">
        <f>(uniforme_input[[#This Row],[Initiële investering per organisatie]]*uniforme_input[[#This Row],[Aantal organisaties]])/uniforme_input[[#This Row],[Patiëntaantallen]]</f>
        <v>0</v>
      </c>
      <c r="AH112" s="410">
        <f>IF(uniforme_input[[#This Row],[Bron gebruiken voor kosten/investering?]]="Ja",uniforme_input[[#This Row],[Jaarlijkse kosten per patiënt]] + uniforme_input[[#This Row],[Jaarlijkse kosten per patiënt berekend]],0)</f>
        <v>0</v>
      </c>
      <c r="AI112" s="409">
        <f>IF(uniforme_input[[#This Row],[Bron gebruiken voor kosten/investering?]]="Ja",uniforme_input[[#This Row],[Initiële investering per patiënt]]+uniforme_input[[#This Row],[Initiële investering per patiënt berekend]],0)</f>
        <v>0</v>
      </c>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row>
    <row r="113" spans="1:83" s="2" customFormat="1" x14ac:dyDescent="0.5">
      <c r="A113" s="51" t="str">
        <f>INDEX(Technologieën[Veld],MATCH(G113,Technologieën[Zoeksleutel bronnummer],0))</f>
        <v>Sensoren - Verpleging</v>
      </c>
      <c r="B113" s="33" t="s">
        <v>42</v>
      </c>
      <c r="C113" s="32" t="s">
        <v>391</v>
      </c>
      <c r="D113" s="32" t="s">
        <v>390</v>
      </c>
      <c r="E113" s="33" t="s">
        <v>44</v>
      </c>
      <c r="F113" s="33" t="str" cm="1">
        <f t="array" ref="F113">INDEX(Berekening_patiëntaantal[Direct toepasbaar/extrapolatie/incidentie voor QALY],MATCH(B113,IF(Berekening_patiëntaantal[Doelgroep (zoeksleutel)]=E113,Berekening_patiëntaantal[Digitale zorgtoepassing]),0))</f>
        <v>Extrapolatie</v>
      </c>
      <c r="G113" s="33" t="s">
        <v>547</v>
      </c>
      <c r="H113" s="33" t="s">
        <v>144</v>
      </c>
      <c r="I113" s="403">
        <f>INDEX(Uurloon[Uurtarief zorgpersoneel],MATCH(H113,Uurloon[Zorgverlener],0))</f>
        <v>20.410632183908046</v>
      </c>
      <c r="J113" s="404" cm="1">
        <f t="array" ref="J113">INDEX(Berekening_patiëntaantal[Patiëntaantallen],MATCH(B113,IF(Berekening_patiëntaantal[Doelgroep (zoeksleutel)]=E113,Berekening_patiëntaantal[Digitale zorgtoepassing]),0))</f>
        <v>2256.25</v>
      </c>
      <c r="K113" s="404">
        <f>IFERROR(INDEX(aantal_organisaties[Aantal organisaties waarop toepasbaar],MATCH(B113,aantal_organisaties[Digitale zorgtoepassing],0)),0)</f>
        <v>0</v>
      </c>
      <c r="L113" s="397">
        <f>COUNTIF(uniforme_input[Doelgroep],E113)</f>
        <v>4</v>
      </c>
      <c r="M113" s="405" cm="1">
        <f t="array" ref="M113">INDEX(Technologieën[Tijdsbesparing p. patiënt (min/week)],MATCH(B113,IF(Technologieën[Zoeksleutel bronnummer]=G113,Technologieën[Digitale zorgtoepassing]),0))</f>
        <v>87</v>
      </c>
      <c r="N113" s="405" cm="1">
        <f t="array" ref="N113">INDEX(Technologieën[Tijdsbesparing per handeling (min)],MATCH(B113,IF(Technologieën[Zoeksleutel bronnummer]=G113,Technologieën[Digitale zorgtoepassing]),0))</f>
        <v>0</v>
      </c>
      <c r="O113" s="403" cm="1">
        <f t="array" ref="O113">INDEX(Technologieën[Besparing overige kosten (€/patiënt/jaar)],MATCH(B113,IF(Technologieën[Zoeksleutel bronnummer]=G113,Technologieën[Digitale zorgtoepassing]),0))</f>
        <v>783.44547814207658</v>
      </c>
      <c r="P113" s="403" cm="1">
        <f t="array" ref="P113">INDEX(Technologieën[Kostenbesparing p. patiënt door arbeidsbesparing (€/week)],MATCH(B113,IF(Technologieën[Zoeksleutel bronnummer]=G113,Technologieën[Digitale zorgtoepassing]),0))</f>
        <v>0</v>
      </c>
      <c r="Q113" s="403" cm="1">
        <f t="array" ref="Q113">INDEX(Technologieën[Kostenbesparing (personeel) per handeling (€)],MATCH(B113,IF(Technologieën[Zoeksleutel bronnummer]=G113,Technologieën[Digitale zorgtoepassing]),0))</f>
        <v>0</v>
      </c>
      <c r="R113" s="403" cm="1">
        <f t="array" ref="R113">INDEX(Technologieën[Besparing overige kosten (€/jaar)],MATCH(B113,IF(Technologieën[Zoeksleutel bronnummer]=G113,Technologieën[Digitale zorgtoepassing]),0))</f>
        <v>0</v>
      </c>
      <c r="S113" s="405" cm="1">
        <f t="array" ref="S113">INDEX(Technologieën[Jaarlijkse besparing zorgpersoneel (FTE)],MATCH(B113,IF(Technologieën[Zoeksleutel bronnummer]=G113,Technologieën[Digitale zorgtoepassing]),0))</f>
        <v>0</v>
      </c>
      <c r="T113" s="406" cm="1">
        <f t="array" ref="T113">(INDEX(Technologieën[QALY],MATCH(B113,IF(Technologieën[Zoeksleutel bronnummer]=G113,Technologieën[Digitale zorgtoepassing]),0)))</f>
        <v>0</v>
      </c>
      <c r="U113" s="407">
        <f>(uniforme_input[[#This Row],[Kostenbesparing door arbeidsbesparing p. patiënt (€/week)]]/uniforme_input[[#This Row],[Uurtarief]]*60) + (uniforme_input[[#This Row],[Totaal arbeidsbesparing onafhankelijk van patiënt (FTE)]]*40*60)/uniforme_input[[#This Row],[Patiëntaantallen]]</f>
        <v>0</v>
      </c>
      <c r="V113" s="407">
        <f>(uniforme_input[[#This Row],[Kostenbesparing per handeling (€)]]/uniforme_input[[#This Row],[Uurtarief]])*60</f>
        <v>0</v>
      </c>
      <c r="W113" s="398">
        <f>uniforme_input[[#This Row],[Overige kostenbesparing (Totaal €/jaar)]]/uniforme_input[[#This Row],[Patiëntaantallen]]</f>
        <v>0</v>
      </c>
      <c r="X113" s="408">
        <f>IF(uniforme_input[[#This Row],[Bron gebruiken voor opbrengsten?]]="Ja",uniforme_input[[#This Row],[Tijdsbesparing (min/week/patiënt) - gegeven]]+uniforme_input[[#This Row],[Tijdsbesparing (min/week/patiënt) berekend]],0)</f>
        <v>87</v>
      </c>
      <c r="Y113" s="407">
        <f>IF(uniforme_input[[#This Row],[Bron gebruiken voor opbrengsten?]]="Ja",uniforme_input[[#This Row],[Tijdsbesparing (min/handeling) - gegeven]]+uniforme_input[[#This Row],[Tijdsbesparing (min/handeling) berekend]],0)</f>
        <v>0</v>
      </c>
      <c r="Z113" s="409">
        <f>IF(uniforme_input[[#This Row],[Bron gebruiken voor opbrengsten?]]="Ja",uniforme_input[[#This Row],[Overige kostenbesparing (€/jaar/patiënt) - gegeven]]+uniforme_input[[#This Row],[Overige kostenbesparing (€/jaar/patiënt) berekend]],0)</f>
        <v>783.44547814207658</v>
      </c>
      <c r="AA113" s="403" cm="1">
        <f t="array" ref="AA113">INDEX(Technologieën[Jaarlijkse kosten p. patiënt],MATCH(B113,IF(Technologieën[Zoeksleutel bronnummer]=G113,Technologieën[Digitale zorgtoepassing]),0))</f>
        <v>0</v>
      </c>
      <c r="AB113" s="403" cm="1">
        <f t="array" ref="AB113">INDEX(Technologieën[Jaarlijkse kosten p. organisatie],MATCH(B113,IF(Technologieën[Zoeksleutel bronnummer]=G113,Technologieën[Digitale zorgtoepassing]),0))/uniforme_input[[#This Row],[Aantal doelgroepen waarop toepasbaar]]</f>
        <v>0</v>
      </c>
      <c r="AC113" s="403" cm="1">
        <f t="array" ref="AC113">INDEX(Technologieën[Jaarlijkse kosten (onafh. aantal patiënt/organisatie)],MATCH(B113,IF(Technologieën[Zoeksleutel bronnummer]=G113,Technologieën[Digitale zorgtoepassing]),0))/uniforme_input[[#This Row],[Aantal doelgroepen waarop toepasbaar]]</f>
        <v>0</v>
      </c>
      <c r="AD113" s="403" cm="1">
        <f t="array" ref="AD113">INDEX(Technologieën[Initiële investering (p. patiënt)],MATCH(B113,IF(Technologieën[Zoeksleutel bronnummer]=G113,Technologieën[Digitale zorgtoepassing]),0))</f>
        <v>0</v>
      </c>
      <c r="AE113" s="403" cm="1">
        <f t="array" ref="AE113">INDEX(Technologieën[Initiële investering (p. organisatie)],MATCH(B113,IF(Technologieën[Zoeksleutel bronnummer]=G113,Technologieën[Digitale zorgtoepassing]),0))</f>
        <v>0</v>
      </c>
      <c r="AF113"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13" s="398">
        <f>(uniforme_input[[#This Row],[Initiële investering per organisatie]]*uniforme_input[[#This Row],[Aantal organisaties]])/uniforme_input[[#This Row],[Patiëntaantallen]]</f>
        <v>0</v>
      </c>
      <c r="AH113" s="410">
        <f>IF(uniforme_input[[#This Row],[Bron gebruiken voor kosten/investering?]]="Ja",uniforme_input[[#This Row],[Jaarlijkse kosten per patiënt]] + uniforme_input[[#This Row],[Jaarlijkse kosten per patiënt berekend]],0)</f>
        <v>0</v>
      </c>
      <c r="AI113" s="409">
        <f>IF(uniforme_input[[#This Row],[Bron gebruiken voor kosten/investering?]]="Ja",uniforme_input[[#This Row],[Initiële investering per patiënt]]+uniforme_input[[#This Row],[Initiële investering per patiënt berekend]],0)</f>
        <v>0</v>
      </c>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row>
    <row r="114" spans="1:83" s="2" customFormat="1" x14ac:dyDescent="0.5">
      <c r="A114" s="51" t="str">
        <f>INDEX(Technologieën[Veld],MATCH(G114,Technologieën[Zoeksleutel bronnummer],0))</f>
        <v>Sensoren - Verpleging</v>
      </c>
      <c r="B114" s="33" t="s">
        <v>61</v>
      </c>
      <c r="C114" s="32" t="s">
        <v>391</v>
      </c>
      <c r="D114" s="32" t="s">
        <v>391</v>
      </c>
      <c r="E114" s="33" t="s">
        <v>62</v>
      </c>
      <c r="F114" s="33" t="str" cm="1">
        <f t="array" ref="F114">INDEX(Berekening_patiëntaantal[Direct toepasbaar/extrapolatie/incidentie voor QALY],MATCH(B114,IF(Berekening_patiëntaantal[Doelgroep (zoeksleutel)]=E114,Berekening_patiëntaantal[Digitale zorgtoepassing]),0))</f>
        <v>Huidige toepassing</v>
      </c>
      <c r="G114" s="33" t="s">
        <v>548</v>
      </c>
      <c r="H114" s="33" t="s">
        <v>144</v>
      </c>
      <c r="I114" s="403">
        <f>INDEX(Uurloon[Uurtarief zorgpersoneel],MATCH(H114,Uurloon[Zorgverlener],0))</f>
        <v>20.410632183908046</v>
      </c>
      <c r="J114" s="404" cm="1">
        <f t="array" ref="J114">INDEX(Berekening_patiëntaantal[Patiëntaantallen],MATCH(B114,IF(Berekening_patiëntaantal[Doelgroep (zoeksleutel)]=E114,Berekening_patiëntaantal[Digitale zorgtoepassing]),0))</f>
        <v>94300</v>
      </c>
      <c r="K114" s="404">
        <f>IFERROR(INDEX(aantal_organisaties[Aantal organisaties waarop toepasbaar],MATCH(B114,aantal_organisaties[Digitale zorgtoepassing],0)),0)</f>
        <v>2350</v>
      </c>
      <c r="L114" s="397">
        <f>COUNTIF(uniforme_input[Doelgroep],E114)</f>
        <v>2</v>
      </c>
      <c r="M114" s="405" cm="1">
        <f t="array" ref="M114">INDEX(Technologieën[Tijdsbesparing p. patiënt (min/week)],MATCH(B114,IF(Technologieën[Zoeksleutel bronnummer]=G114,Technologieën[Digitale zorgtoepassing]),0))</f>
        <v>0</v>
      </c>
      <c r="N114" s="405" cm="1">
        <f t="array" ref="N114">INDEX(Technologieën[Tijdsbesparing per handeling (min)],MATCH(B114,IF(Technologieën[Zoeksleutel bronnummer]=G114,Technologieën[Digitale zorgtoepassing]),0))</f>
        <v>0</v>
      </c>
      <c r="O114" s="403" cm="1">
        <f t="array" ref="O114">INDEX(Technologieën[Besparing overige kosten (€/patiënt/jaar)],MATCH(B114,IF(Technologieën[Zoeksleutel bronnummer]=G114,Technologieën[Digitale zorgtoepassing]),0))</f>
        <v>869.09895318980841</v>
      </c>
      <c r="P114" s="403" cm="1">
        <f t="array" ref="P114">INDEX(Technologieën[Kostenbesparing p. patiënt door arbeidsbesparing (€/week)],MATCH(B114,IF(Technologieën[Zoeksleutel bronnummer]=G114,Technologieën[Digitale zorgtoepassing]),0))</f>
        <v>11.584800741427246</v>
      </c>
      <c r="Q114" s="403" cm="1">
        <f t="array" ref="Q114">INDEX(Technologieën[Kostenbesparing (personeel) per handeling (€)],MATCH(B114,IF(Technologieën[Zoeksleutel bronnummer]=G114,Technologieën[Digitale zorgtoepassing]),0))</f>
        <v>0</v>
      </c>
      <c r="R114" s="403" cm="1">
        <f t="array" ref="R114">INDEX(Technologieën[Besparing overige kosten (€/jaar)],MATCH(B114,IF(Technologieën[Zoeksleutel bronnummer]=G114,Technologieën[Digitale zorgtoepassing]),0))</f>
        <v>0</v>
      </c>
      <c r="S114" s="405" cm="1">
        <f t="array" ref="S114">INDEX(Technologieën[Jaarlijkse besparing zorgpersoneel (FTE)],MATCH(B114,IF(Technologieën[Zoeksleutel bronnummer]=G114,Technologieën[Digitale zorgtoepassing]),0))</f>
        <v>0</v>
      </c>
      <c r="T114" s="406" cm="1">
        <f t="array" ref="T114">(INDEX(Technologieën[QALY],MATCH(B114,IF(Technologieën[Zoeksleutel bronnummer]=G114,Technologieën[Digitale zorgtoepassing]),0)))</f>
        <v>0</v>
      </c>
      <c r="U114" s="407">
        <f>(uniforme_input[[#This Row],[Kostenbesparing door arbeidsbesparing p. patiënt (€/week)]]/uniforme_input[[#This Row],[Uurtarief]]*60) + (uniforme_input[[#This Row],[Totaal arbeidsbesparing onafhankelijk van patiënt (FTE)]]*40*60)/uniforme_input[[#This Row],[Patiëntaantallen]]</f>
        <v>34.055194284165751</v>
      </c>
      <c r="V114" s="407">
        <f>(uniforme_input[[#This Row],[Kostenbesparing per handeling (€)]]/uniforme_input[[#This Row],[Uurtarief]])*60</f>
        <v>0</v>
      </c>
      <c r="W114" s="398">
        <f>uniforme_input[[#This Row],[Overige kostenbesparing (Totaal €/jaar)]]/uniforme_input[[#This Row],[Patiëntaantallen]]</f>
        <v>0</v>
      </c>
      <c r="X114" s="408">
        <f>IF(uniforme_input[[#This Row],[Bron gebruiken voor opbrengsten?]]="Ja",uniforme_input[[#This Row],[Tijdsbesparing (min/week/patiënt) - gegeven]]+uniforme_input[[#This Row],[Tijdsbesparing (min/week/patiënt) berekend]],0)</f>
        <v>34.055194284165751</v>
      </c>
      <c r="Y114" s="407">
        <f>IF(uniforme_input[[#This Row],[Bron gebruiken voor opbrengsten?]]="Ja",uniforme_input[[#This Row],[Tijdsbesparing (min/handeling) - gegeven]]+uniforme_input[[#This Row],[Tijdsbesparing (min/handeling) berekend]],0)</f>
        <v>0</v>
      </c>
      <c r="Z114" s="409">
        <f>IF(uniforme_input[[#This Row],[Bron gebruiken voor opbrengsten?]]="Ja",uniforme_input[[#This Row],[Overige kostenbesparing (€/jaar/patiënt) - gegeven]]+uniforme_input[[#This Row],[Overige kostenbesparing (€/jaar/patiënt) berekend]],0)</f>
        <v>869.09895318980841</v>
      </c>
      <c r="AA114" s="403" cm="1">
        <f t="array" ref="AA114">INDEX(Technologieën[Jaarlijkse kosten p. patiënt],MATCH(B114,IF(Technologieën[Zoeksleutel bronnummer]=G114,Technologieën[Digitale zorgtoepassing]),0))</f>
        <v>512.04819277108436</v>
      </c>
      <c r="AB114" s="403" cm="1">
        <f t="array" ref="AB114">INDEX(Technologieën[Jaarlijkse kosten p. organisatie],MATCH(B114,IF(Technologieën[Zoeksleutel bronnummer]=G114,Technologieën[Digitale zorgtoepassing]),0))/uniforme_input[[#This Row],[Aantal doelgroepen waarop toepasbaar]]</f>
        <v>0</v>
      </c>
      <c r="AC114" s="403" cm="1">
        <f t="array" ref="AC114">INDEX(Technologieën[Jaarlijkse kosten (onafh. aantal patiënt/organisatie)],MATCH(B114,IF(Technologieën[Zoeksleutel bronnummer]=G114,Technologieën[Digitale zorgtoepassing]),0))/uniforme_input[[#This Row],[Aantal doelgroepen waarop toepasbaar]]</f>
        <v>0</v>
      </c>
      <c r="AD114" s="403" cm="1">
        <f t="array" ref="AD114">INDEX(Technologieën[Initiële investering (p. patiënt)],MATCH(B114,IF(Technologieën[Zoeksleutel bronnummer]=G114,Technologieën[Digitale zorgtoepassing]),0))</f>
        <v>0</v>
      </c>
      <c r="AE114" s="403" cm="1">
        <f t="array" ref="AE114">INDEX(Technologieën[Initiële investering (p. organisatie)],MATCH(B114,IF(Technologieën[Zoeksleutel bronnummer]=G114,Technologieën[Digitale zorgtoepassing]),0))</f>
        <v>0</v>
      </c>
      <c r="AF114"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14" s="398">
        <f>(uniforme_input[[#This Row],[Initiële investering per organisatie]]*uniforme_input[[#This Row],[Aantal organisaties]])/uniforme_input[[#This Row],[Patiëntaantallen]]</f>
        <v>0</v>
      </c>
      <c r="AH114" s="410">
        <f>IF(uniforme_input[[#This Row],[Bron gebruiken voor kosten/investering?]]="Ja",uniforme_input[[#This Row],[Jaarlijkse kosten per patiënt]] + uniforme_input[[#This Row],[Jaarlijkse kosten per patiënt berekend]],0)</f>
        <v>512.04819277108436</v>
      </c>
      <c r="AI114" s="409">
        <f>IF(uniforme_input[[#This Row],[Bron gebruiken voor kosten/investering?]]="Ja",uniforme_input[[#This Row],[Initiële investering per patiënt]]+uniforme_input[[#This Row],[Initiële investering per patiënt berekend]],0)</f>
        <v>0</v>
      </c>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row>
    <row r="115" spans="1:83" s="2" customFormat="1" x14ac:dyDescent="0.5">
      <c r="A115" s="51" t="str">
        <f>INDEX(Technologieën[Veld],MATCH(G115,Technologieën[Zoeksleutel bronnummer],0))</f>
        <v>Sensoren - Verpleging</v>
      </c>
      <c r="B115" s="33" t="s">
        <v>61</v>
      </c>
      <c r="C115" s="32" t="s">
        <v>391</v>
      </c>
      <c r="D115" s="32" t="s">
        <v>391</v>
      </c>
      <c r="E115" s="33" t="s">
        <v>385</v>
      </c>
      <c r="F115" s="33" t="str" cm="1">
        <f t="array" ref="F115">INDEX(Berekening_patiëntaantal[Direct toepasbaar/extrapolatie/incidentie voor QALY],MATCH(B115,IF(Berekening_patiëntaantal[Doelgroep (zoeksleutel)]=E115,Berekening_patiëntaantal[Digitale zorgtoepassing]),0))</f>
        <v>Extrapolatie</v>
      </c>
      <c r="G115" s="33" t="s">
        <v>548</v>
      </c>
      <c r="H115" s="33" t="s">
        <v>144</v>
      </c>
      <c r="I115" s="403">
        <f>INDEX(Uurloon[Uurtarief zorgpersoneel],MATCH(H115,Uurloon[Zorgverlener],0))</f>
        <v>20.410632183908046</v>
      </c>
      <c r="J115" s="404" cm="1">
        <f t="array" ref="J115">INDEX(Berekening_patiëntaantal[Patiëntaantallen],MATCH(B115,IF(Berekening_patiëntaantal[Doelgroep (zoeksleutel)]=E115,Berekening_patiëntaantal[Digitale zorgtoepassing]),0))</f>
        <v>16000</v>
      </c>
      <c r="K115" s="404">
        <f>IFERROR(INDEX(aantal_organisaties[Aantal organisaties waarop toepasbaar],MATCH(B115,aantal_organisaties[Digitale zorgtoepassing],0)),0)</f>
        <v>2350</v>
      </c>
      <c r="L115" s="397">
        <f>COUNTIF(uniforme_input[Doelgroep],E115)</f>
        <v>2</v>
      </c>
      <c r="M115" s="405" cm="1">
        <f t="array" ref="M115">INDEX(Technologieën[Tijdsbesparing p. patiënt (min/week)],MATCH(B115,IF(Technologieën[Zoeksleutel bronnummer]=G115,Technologieën[Digitale zorgtoepassing]),0))</f>
        <v>0</v>
      </c>
      <c r="N115" s="405" cm="1">
        <f t="array" ref="N115">INDEX(Technologieën[Tijdsbesparing per handeling (min)],MATCH(B115,IF(Technologieën[Zoeksleutel bronnummer]=G115,Technologieën[Digitale zorgtoepassing]),0))</f>
        <v>0</v>
      </c>
      <c r="O115" s="403" cm="1">
        <f t="array" ref="O115">INDEX(Technologieën[Besparing overige kosten (€/patiënt/jaar)],MATCH(B115,IF(Technologieën[Zoeksleutel bronnummer]=G115,Technologieën[Digitale zorgtoepassing]),0))</f>
        <v>869.09895318980841</v>
      </c>
      <c r="P115" s="403" cm="1">
        <f t="array" ref="P115">INDEX(Technologieën[Kostenbesparing p. patiënt door arbeidsbesparing (€/week)],MATCH(B115,IF(Technologieën[Zoeksleutel bronnummer]=G115,Technologieën[Digitale zorgtoepassing]),0))</f>
        <v>11.584800741427246</v>
      </c>
      <c r="Q115" s="403" cm="1">
        <f t="array" ref="Q115">INDEX(Technologieën[Kostenbesparing (personeel) per handeling (€)],MATCH(B115,IF(Technologieën[Zoeksleutel bronnummer]=G115,Technologieën[Digitale zorgtoepassing]),0))</f>
        <v>0</v>
      </c>
      <c r="R115" s="403" cm="1">
        <f t="array" ref="R115">INDEX(Technologieën[Besparing overige kosten (€/jaar)],MATCH(B115,IF(Technologieën[Zoeksleutel bronnummer]=G115,Technologieën[Digitale zorgtoepassing]),0))</f>
        <v>0</v>
      </c>
      <c r="S115" s="405" cm="1">
        <f t="array" ref="S115">INDEX(Technologieën[Jaarlijkse besparing zorgpersoneel (FTE)],MATCH(B115,IF(Technologieën[Zoeksleutel bronnummer]=G115,Technologieën[Digitale zorgtoepassing]),0))</f>
        <v>0</v>
      </c>
      <c r="T115" s="406" cm="1">
        <f t="array" ref="T115">(INDEX(Technologieën[QALY],MATCH(B115,IF(Technologieën[Zoeksleutel bronnummer]=G115,Technologieën[Digitale zorgtoepassing]),0)))</f>
        <v>0</v>
      </c>
      <c r="U115" s="407">
        <f>(uniforme_input[[#This Row],[Kostenbesparing door arbeidsbesparing p. patiënt (€/week)]]/uniforme_input[[#This Row],[Uurtarief]]*60) + (uniforme_input[[#This Row],[Totaal arbeidsbesparing onafhankelijk van patiënt (FTE)]]*40*60)/uniforme_input[[#This Row],[Patiëntaantallen]]</f>
        <v>34.055194284165751</v>
      </c>
      <c r="V115" s="407">
        <f>(uniforme_input[[#This Row],[Kostenbesparing per handeling (€)]]/uniforme_input[[#This Row],[Uurtarief]])*60</f>
        <v>0</v>
      </c>
      <c r="W115" s="398">
        <f>uniforme_input[[#This Row],[Overige kostenbesparing (Totaal €/jaar)]]/uniforme_input[[#This Row],[Patiëntaantallen]]</f>
        <v>0</v>
      </c>
      <c r="X115" s="408">
        <f>IF(uniforme_input[[#This Row],[Bron gebruiken voor opbrengsten?]]="Ja",uniforme_input[[#This Row],[Tijdsbesparing (min/week/patiënt) - gegeven]]+uniforme_input[[#This Row],[Tijdsbesparing (min/week/patiënt) berekend]],0)</f>
        <v>34.055194284165751</v>
      </c>
      <c r="Y115" s="407">
        <f>IF(uniforme_input[[#This Row],[Bron gebruiken voor opbrengsten?]]="Ja",uniforme_input[[#This Row],[Tijdsbesparing (min/handeling) - gegeven]]+uniforme_input[[#This Row],[Tijdsbesparing (min/handeling) berekend]],0)</f>
        <v>0</v>
      </c>
      <c r="Z115" s="409">
        <f>IF(uniforme_input[[#This Row],[Bron gebruiken voor opbrengsten?]]="Ja",uniforme_input[[#This Row],[Overige kostenbesparing (€/jaar/patiënt) - gegeven]]+uniforme_input[[#This Row],[Overige kostenbesparing (€/jaar/patiënt) berekend]],0)</f>
        <v>869.09895318980841</v>
      </c>
      <c r="AA115" s="403" cm="1">
        <f t="array" ref="AA115">INDEX(Technologieën[Jaarlijkse kosten p. patiënt],MATCH(B115,IF(Technologieën[Zoeksleutel bronnummer]=G115,Technologieën[Digitale zorgtoepassing]),0))</f>
        <v>512.04819277108436</v>
      </c>
      <c r="AB115" s="403" cm="1">
        <f t="array" ref="AB115">INDEX(Technologieën[Jaarlijkse kosten p. organisatie],MATCH(B115,IF(Technologieën[Zoeksleutel bronnummer]=G115,Technologieën[Digitale zorgtoepassing]),0))/uniforme_input[[#This Row],[Aantal doelgroepen waarop toepasbaar]]</f>
        <v>0</v>
      </c>
      <c r="AC115" s="403" cm="1">
        <f t="array" ref="AC115">INDEX(Technologieën[Jaarlijkse kosten (onafh. aantal patiënt/organisatie)],MATCH(B115,IF(Technologieën[Zoeksleutel bronnummer]=G115,Technologieën[Digitale zorgtoepassing]),0))/uniforme_input[[#This Row],[Aantal doelgroepen waarop toepasbaar]]</f>
        <v>0</v>
      </c>
      <c r="AD115" s="403" cm="1">
        <f t="array" ref="AD115">INDEX(Technologieën[Initiële investering (p. patiënt)],MATCH(B115,IF(Technologieën[Zoeksleutel bronnummer]=G115,Technologieën[Digitale zorgtoepassing]),0))</f>
        <v>0</v>
      </c>
      <c r="AE115" s="403" cm="1">
        <f t="array" ref="AE115">INDEX(Technologieën[Initiële investering (p. organisatie)],MATCH(B115,IF(Technologieën[Zoeksleutel bronnummer]=G115,Technologieën[Digitale zorgtoepassing]),0))</f>
        <v>0</v>
      </c>
      <c r="AF115"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15" s="398">
        <f>(uniforme_input[[#This Row],[Initiële investering per organisatie]]*uniforme_input[[#This Row],[Aantal organisaties]])/uniforme_input[[#This Row],[Patiëntaantallen]]</f>
        <v>0</v>
      </c>
      <c r="AH115" s="410">
        <f>IF(uniforme_input[[#This Row],[Bron gebruiken voor kosten/investering?]]="Ja",uniforme_input[[#This Row],[Jaarlijkse kosten per patiënt]] + uniforme_input[[#This Row],[Jaarlijkse kosten per patiënt berekend]],0)</f>
        <v>512.04819277108436</v>
      </c>
      <c r="AI115" s="409">
        <f>IF(uniforme_input[[#This Row],[Bron gebruiken voor kosten/investering?]]="Ja",uniforme_input[[#This Row],[Initiële investering per patiënt]]+uniforme_input[[#This Row],[Initiële investering per patiënt berekend]],0)</f>
        <v>0</v>
      </c>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row>
    <row r="116" spans="1:83" s="2" customFormat="1" x14ac:dyDescent="0.5">
      <c r="A116" s="51" t="str">
        <f>INDEX(Technologieën[Veld],MATCH(G116,Technologieën[Zoeksleutel bronnummer],0))</f>
        <v>Sensoren - Behandeling</v>
      </c>
      <c r="B116" s="33" t="s">
        <v>53</v>
      </c>
      <c r="C116" s="32" t="s">
        <v>391</v>
      </c>
      <c r="D116" s="32" t="s">
        <v>390</v>
      </c>
      <c r="E116" s="33" t="s">
        <v>54</v>
      </c>
      <c r="F116" s="33" t="str" cm="1">
        <f t="array" ref="F116">INDEX(Berekening_patiëntaantal[Direct toepasbaar/extrapolatie/incidentie voor QALY],MATCH(B116,IF(Berekening_patiëntaantal[Doelgroep (zoeksleutel)]=E116,Berekening_patiëntaantal[Digitale zorgtoepassing]),0))</f>
        <v>Huidige toepassing</v>
      </c>
      <c r="G116" s="33" t="s">
        <v>550</v>
      </c>
      <c r="H116" s="33" t="s">
        <v>148</v>
      </c>
      <c r="I116" s="403">
        <f>INDEX(Uurloon[Uurtarief zorgpersoneel],MATCH(H116,Uurloon[Zorgverlener],0))</f>
        <v>27.740086206896557</v>
      </c>
      <c r="J116" s="404" cm="1">
        <f t="array" ref="J116">INDEX(Berekening_patiëntaantal[Patiëntaantallen],MATCH(B116,IF(Berekening_patiëntaantal[Doelgroep (zoeksleutel)]=E116,Berekening_patiëntaantal[Digitale zorgtoepassing]),0))</f>
        <v>18000</v>
      </c>
      <c r="K116" s="404">
        <f>IFERROR(INDEX(aantal_organisaties[Aantal organisaties waarop toepasbaar],MATCH(B116,aantal_organisaties[Digitale zorgtoepassing],0)),0)</f>
        <v>113</v>
      </c>
      <c r="L116" s="397">
        <f>COUNTIF(uniforme_input[Doelgroep],E116)</f>
        <v>3</v>
      </c>
      <c r="M116" s="405" cm="1">
        <f t="array" ref="M116">INDEX(Technologieën[Tijdsbesparing p. patiënt (min/week)],MATCH(B116,IF(Technologieën[Zoeksleutel bronnummer]=G116,Technologieën[Digitale zorgtoepassing]),0))</f>
        <v>0</v>
      </c>
      <c r="N116" s="405" cm="1">
        <f t="array" ref="N116">INDEX(Technologieën[Tijdsbesparing per handeling (min)],MATCH(B116,IF(Technologieën[Zoeksleutel bronnummer]=G116,Technologieën[Digitale zorgtoepassing]),0))</f>
        <v>0</v>
      </c>
      <c r="O116" s="403" cm="1">
        <f t="array" ref="O116">INDEX(Technologieën[Besparing overige kosten (€/patiënt/jaar)],MATCH(B116,IF(Technologieën[Zoeksleutel bronnummer]=G116,Technologieën[Digitale zorgtoepassing]),0))</f>
        <v>210</v>
      </c>
      <c r="P116" s="403" cm="1">
        <f t="array" ref="P116">INDEX(Technologieën[Kostenbesparing p. patiënt door arbeidsbesparing (€/week)],MATCH(B116,IF(Technologieën[Zoeksleutel bronnummer]=G116,Technologieën[Digitale zorgtoepassing]),0))</f>
        <v>6.0576923076923075</v>
      </c>
      <c r="Q116" s="403" cm="1">
        <f t="array" ref="Q116">INDEX(Technologieën[Kostenbesparing (personeel) per handeling (€)],MATCH(B116,IF(Technologieën[Zoeksleutel bronnummer]=G116,Technologieën[Digitale zorgtoepassing]),0))</f>
        <v>0</v>
      </c>
      <c r="R116" s="403" cm="1">
        <f t="array" ref="R116">INDEX(Technologieën[Besparing overige kosten (€/jaar)],MATCH(B116,IF(Technologieën[Zoeksleutel bronnummer]=G116,Technologieën[Digitale zorgtoepassing]),0))</f>
        <v>0</v>
      </c>
      <c r="S116" s="405" cm="1">
        <f t="array" ref="S116">INDEX(Technologieën[Jaarlijkse besparing zorgpersoneel (FTE)],MATCH(B116,IF(Technologieën[Zoeksleutel bronnummer]=G116,Technologieën[Digitale zorgtoepassing]),0))</f>
        <v>0</v>
      </c>
      <c r="T116" s="406" cm="1">
        <f t="array" ref="T116">(INDEX(Technologieën[QALY],MATCH(B116,IF(Technologieën[Zoeksleutel bronnummer]=G116,Technologieën[Digitale zorgtoepassing]),0)))</f>
        <v>0</v>
      </c>
      <c r="U116" s="407">
        <f>(uniforme_input[[#This Row],[Kostenbesparing door arbeidsbesparing p. patiënt (€/week)]]/uniforme_input[[#This Row],[Uurtarief]]*60) + (uniforme_input[[#This Row],[Totaal arbeidsbesparing onafhankelijk van patiënt (FTE)]]*40*60)/uniforme_input[[#This Row],[Patiëntaantallen]]</f>
        <v>13.102393977823221</v>
      </c>
      <c r="V116" s="407">
        <f>(uniforme_input[[#This Row],[Kostenbesparing per handeling (€)]]/uniforme_input[[#This Row],[Uurtarief]])*60</f>
        <v>0</v>
      </c>
      <c r="W116" s="398">
        <f>uniforme_input[[#This Row],[Overige kostenbesparing (Totaal €/jaar)]]/uniforme_input[[#This Row],[Patiëntaantallen]]</f>
        <v>0</v>
      </c>
      <c r="X116" s="408">
        <f>IF(uniforme_input[[#This Row],[Bron gebruiken voor opbrengsten?]]="Ja",uniforme_input[[#This Row],[Tijdsbesparing (min/week/patiënt) - gegeven]]+uniforme_input[[#This Row],[Tijdsbesparing (min/week/patiënt) berekend]],0)</f>
        <v>13.102393977823221</v>
      </c>
      <c r="Y116" s="407">
        <f>IF(uniforme_input[[#This Row],[Bron gebruiken voor opbrengsten?]]="Ja",uniforme_input[[#This Row],[Tijdsbesparing (min/handeling) - gegeven]]+uniforme_input[[#This Row],[Tijdsbesparing (min/handeling) berekend]],0)</f>
        <v>0</v>
      </c>
      <c r="Z116" s="409">
        <f>IF(uniforme_input[[#This Row],[Bron gebruiken voor opbrengsten?]]="Ja",uniforme_input[[#This Row],[Overige kostenbesparing (€/jaar/patiënt) - gegeven]]+uniforme_input[[#This Row],[Overige kostenbesparing (€/jaar/patiënt) berekend]],0)</f>
        <v>210</v>
      </c>
      <c r="AA116" s="403" cm="1">
        <f t="array" ref="AA116">INDEX(Technologieën[Jaarlijkse kosten p. patiënt],MATCH(B116,IF(Technologieën[Zoeksleutel bronnummer]=G116,Technologieën[Digitale zorgtoepassing]),0))</f>
        <v>0</v>
      </c>
      <c r="AB116" s="403" cm="1">
        <f t="array" ref="AB116">INDEX(Technologieën[Jaarlijkse kosten p. organisatie],MATCH(B116,IF(Technologieën[Zoeksleutel bronnummer]=G116,Technologieën[Digitale zorgtoepassing]),0))/uniforme_input[[#This Row],[Aantal doelgroepen waarop toepasbaar]]</f>
        <v>0</v>
      </c>
      <c r="AC116" s="403" cm="1">
        <f t="array" ref="AC116">INDEX(Technologieën[Jaarlijkse kosten (onafh. aantal patiënt/organisatie)],MATCH(B116,IF(Technologieën[Zoeksleutel bronnummer]=G116,Technologieën[Digitale zorgtoepassing]),0))/uniforme_input[[#This Row],[Aantal doelgroepen waarop toepasbaar]]</f>
        <v>0</v>
      </c>
      <c r="AD116" s="403" cm="1">
        <f t="array" ref="AD116">INDEX(Technologieën[Initiële investering (p. patiënt)],MATCH(B116,IF(Technologieën[Zoeksleutel bronnummer]=G116,Technologieën[Digitale zorgtoepassing]),0))</f>
        <v>0</v>
      </c>
      <c r="AE116" s="403" cm="1">
        <f t="array" ref="AE116">INDEX(Technologieën[Initiële investering (p. organisatie)],MATCH(B116,IF(Technologieën[Zoeksleutel bronnummer]=G116,Technologieën[Digitale zorgtoepassing]),0))</f>
        <v>0</v>
      </c>
      <c r="AF116"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16" s="398">
        <f>(uniforme_input[[#This Row],[Initiële investering per organisatie]]*uniforme_input[[#This Row],[Aantal organisaties]])/uniforme_input[[#This Row],[Patiëntaantallen]]</f>
        <v>0</v>
      </c>
      <c r="AH116" s="410">
        <f>IF(uniforme_input[[#This Row],[Bron gebruiken voor kosten/investering?]]="Ja",uniforme_input[[#This Row],[Jaarlijkse kosten per patiënt]] + uniforme_input[[#This Row],[Jaarlijkse kosten per patiënt berekend]],0)</f>
        <v>0</v>
      </c>
      <c r="AI116" s="409">
        <f>IF(uniforme_input[[#This Row],[Bron gebruiken voor kosten/investering?]]="Ja",uniforme_input[[#This Row],[Initiële investering per patiënt]]+uniforme_input[[#This Row],[Initiële investering per patiënt berekend]],0)</f>
        <v>0</v>
      </c>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row>
    <row r="117" spans="1:83" s="2" customFormat="1" x14ac:dyDescent="0.5">
      <c r="A117" s="51" t="str">
        <f>INDEX(Technologieën[Veld],MATCH(G117,Technologieën[Zoeksleutel bronnummer],0))</f>
        <v>Sensoren - Behandeling</v>
      </c>
      <c r="B117" s="33" t="s">
        <v>53</v>
      </c>
      <c r="C117" s="32" t="s">
        <v>391</v>
      </c>
      <c r="D117" s="32" t="s">
        <v>390</v>
      </c>
      <c r="E117" s="33" t="s">
        <v>55</v>
      </c>
      <c r="F117" s="33" t="str" cm="1">
        <f t="array" ref="F117">INDEX(Berekening_patiëntaantal[Direct toepasbaar/extrapolatie/incidentie voor QALY],MATCH(B117,IF(Berekening_patiëntaantal[Doelgroep (zoeksleutel)]=E117,Berekening_patiëntaantal[Digitale zorgtoepassing]),0))</f>
        <v>Huidige toepassing</v>
      </c>
      <c r="G117" s="33" t="s">
        <v>550</v>
      </c>
      <c r="H117" s="33" t="s">
        <v>148</v>
      </c>
      <c r="I117" s="403">
        <f>INDEX(Uurloon[Uurtarief zorgpersoneel],MATCH(H117,Uurloon[Zorgverlener],0))</f>
        <v>27.740086206896557</v>
      </c>
      <c r="J117" s="404" cm="1">
        <f t="array" ref="J117">INDEX(Berekening_patiëntaantal[Patiëntaantallen],MATCH(B117,IF(Berekening_patiëntaantal[Doelgroep (zoeksleutel)]=E117,Berekening_patiëntaantal[Digitale zorgtoepassing]),0))</f>
        <v>15000</v>
      </c>
      <c r="K117" s="404">
        <f>IFERROR(INDEX(aantal_organisaties[Aantal organisaties waarop toepasbaar],MATCH(B117,aantal_organisaties[Digitale zorgtoepassing],0)),0)</f>
        <v>113</v>
      </c>
      <c r="L117" s="397">
        <f>COUNTIF(uniforme_input[Doelgroep],E117)</f>
        <v>3</v>
      </c>
      <c r="M117" s="405" cm="1">
        <f t="array" ref="M117">INDEX(Technologieën[Tijdsbesparing p. patiënt (min/week)],MATCH(B117,IF(Technologieën[Zoeksleutel bronnummer]=G117,Technologieën[Digitale zorgtoepassing]),0))</f>
        <v>0</v>
      </c>
      <c r="N117" s="405" cm="1">
        <f t="array" ref="N117">INDEX(Technologieën[Tijdsbesparing per handeling (min)],MATCH(B117,IF(Technologieën[Zoeksleutel bronnummer]=G117,Technologieën[Digitale zorgtoepassing]),0))</f>
        <v>0</v>
      </c>
      <c r="O117" s="403" cm="1">
        <f t="array" ref="O117">INDEX(Technologieën[Besparing overige kosten (€/patiënt/jaar)],MATCH(B117,IF(Technologieën[Zoeksleutel bronnummer]=G117,Technologieën[Digitale zorgtoepassing]),0))</f>
        <v>210</v>
      </c>
      <c r="P117" s="403" cm="1">
        <f t="array" ref="P117">INDEX(Technologieën[Kostenbesparing p. patiënt door arbeidsbesparing (€/week)],MATCH(B117,IF(Technologieën[Zoeksleutel bronnummer]=G117,Technologieën[Digitale zorgtoepassing]),0))</f>
        <v>6.0576923076923075</v>
      </c>
      <c r="Q117" s="403" cm="1">
        <f t="array" ref="Q117">INDEX(Technologieën[Kostenbesparing (personeel) per handeling (€)],MATCH(B117,IF(Technologieën[Zoeksleutel bronnummer]=G117,Technologieën[Digitale zorgtoepassing]),0))</f>
        <v>0</v>
      </c>
      <c r="R117" s="403" cm="1">
        <f t="array" ref="R117">INDEX(Technologieën[Besparing overige kosten (€/jaar)],MATCH(B117,IF(Technologieën[Zoeksleutel bronnummer]=G117,Technologieën[Digitale zorgtoepassing]),0))</f>
        <v>0</v>
      </c>
      <c r="S117" s="405" cm="1">
        <f t="array" ref="S117">INDEX(Technologieën[Jaarlijkse besparing zorgpersoneel (FTE)],MATCH(B117,IF(Technologieën[Zoeksleutel bronnummer]=G117,Technologieën[Digitale zorgtoepassing]),0))</f>
        <v>0</v>
      </c>
      <c r="T117" s="406" cm="1">
        <f t="array" ref="T117">(INDEX(Technologieën[QALY],MATCH(B117,IF(Technologieën[Zoeksleutel bronnummer]=G117,Technologieën[Digitale zorgtoepassing]),0)))</f>
        <v>0</v>
      </c>
      <c r="U117" s="407">
        <f>(uniforme_input[[#This Row],[Kostenbesparing door arbeidsbesparing p. patiënt (€/week)]]/uniforme_input[[#This Row],[Uurtarief]]*60) + (uniforme_input[[#This Row],[Totaal arbeidsbesparing onafhankelijk van patiënt (FTE)]]*40*60)/uniforme_input[[#This Row],[Patiëntaantallen]]</f>
        <v>13.102393977823221</v>
      </c>
      <c r="V117" s="407">
        <f>(uniforme_input[[#This Row],[Kostenbesparing per handeling (€)]]/uniforme_input[[#This Row],[Uurtarief]])*60</f>
        <v>0</v>
      </c>
      <c r="W117" s="398">
        <f>uniforme_input[[#This Row],[Overige kostenbesparing (Totaal €/jaar)]]/uniforme_input[[#This Row],[Patiëntaantallen]]</f>
        <v>0</v>
      </c>
      <c r="X117" s="408">
        <f>IF(uniforme_input[[#This Row],[Bron gebruiken voor opbrengsten?]]="Ja",uniforme_input[[#This Row],[Tijdsbesparing (min/week/patiënt) - gegeven]]+uniforme_input[[#This Row],[Tijdsbesparing (min/week/patiënt) berekend]],0)</f>
        <v>13.102393977823221</v>
      </c>
      <c r="Y117" s="407">
        <f>IF(uniforme_input[[#This Row],[Bron gebruiken voor opbrengsten?]]="Ja",uniforme_input[[#This Row],[Tijdsbesparing (min/handeling) - gegeven]]+uniforme_input[[#This Row],[Tijdsbesparing (min/handeling) berekend]],0)</f>
        <v>0</v>
      </c>
      <c r="Z117" s="409">
        <f>IF(uniforme_input[[#This Row],[Bron gebruiken voor opbrengsten?]]="Ja",uniforme_input[[#This Row],[Overige kostenbesparing (€/jaar/patiënt) - gegeven]]+uniforme_input[[#This Row],[Overige kostenbesparing (€/jaar/patiënt) berekend]],0)</f>
        <v>210</v>
      </c>
      <c r="AA117" s="403" cm="1">
        <f t="array" ref="AA117">INDEX(Technologieën[Jaarlijkse kosten p. patiënt],MATCH(B117,IF(Technologieën[Zoeksleutel bronnummer]=G117,Technologieën[Digitale zorgtoepassing]),0))</f>
        <v>0</v>
      </c>
      <c r="AB117" s="403" cm="1">
        <f t="array" ref="AB117">INDEX(Technologieën[Jaarlijkse kosten p. organisatie],MATCH(B117,IF(Technologieën[Zoeksleutel bronnummer]=G117,Technologieën[Digitale zorgtoepassing]),0))/uniforme_input[[#This Row],[Aantal doelgroepen waarop toepasbaar]]</f>
        <v>0</v>
      </c>
      <c r="AC117" s="403" cm="1">
        <f t="array" ref="AC117">INDEX(Technologieën[Jaarlijkse kosten (onafh. aantal patiënt/organisatie)],MATCH(B117,IF(Technologieën[Zoeksleutel bronnummer]=G117,Technologieën[Digitale zorgtoepassing]),0))/uniforme_input[[#This Row],[Aantal doelgroepen waarop toepasbaar]]</f>
        <v>0</v>
      </c>
      <c r="AD117" s="403" cm="1">
        <f t="array" ref="AD117">INDEX(Technologieën[Initiële investering (p. patiënt)],MATCH(B117,IF(Technologieën[Zoeksleutel bronnummer]=G117,Technologieën[Digitale zorgtoepassing]),0))</f>
        <v>0</v>
      </c>
      <c r="AE117" s="403" cm="1">
        <f t="array" ref="AE117">INDEX(Technologieën[Initiële investering (p. organisatie)],MATCH(B117,IF(Technologieën[Zoeksleutel bronnummer]=G117,Technologieën[Digitale zorgtoepassing]),0))</f>
        <v>0</v>
      </c>
      <c r="AF117"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17" s="398">
        <f>(uniforme_input[[#This Row],[Initiële investering per organisatie]]*uniforme_input[[#This Row],[Aantal organisaties]])/uniforme_input[[#This Row],[Patiëntaantallen]]</f>
        <v>0</v>
      </c>
      <c r="AH117" s="410">
        <f>IF(uniforme_input[[#This Row],[Bron gebruiken voor kosten/investering?]]="Ja",uniforme_input[[#This Row],[Jaarlijkse kosten per patiënt]] + uniforme_input[[#This Row],[Jaarlijkse kosten per patiënt berekend]],0)</f>
        <v>0</v>
      </c>
      <c r="AI117" s="409">
        <f>IF(uniforme_input[[#This Row],[Bron gebruiken voor kosten/investering?]]="Ja",uniforme_input[[#This Row],[Initiële investering per patiënt]]+uniforme_input[[#This Row],[Initiële investering per patiënt berekend]],0)</f>
        <v>0</v>
      </c>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row>
    <row r="118" spans="1:83" s="2" customFormat="1" x14ac:dyDescent="0.5">
      <c r="A118" s="51" t="str">
        <f>INDEX(Technologieën[Veld],MATCH(G118,Technologieën[Zoeksleutel bronnummer],0))</f>
        <v>Sensoren - Behandeling</v>
      </c>
      <c r="B118" s="33" t="s">
        <v>53</v>
      </c>
      <c r="C118" s="32" t="s">
        <v>391</v>
      </c>
      <c r="D118" s="32" t="s">
        <v>390</v>
      </c>
      <c r="E118" s="33" t="s">
        <v>722</v>
      </c>
      <c r="F118" s="33" t="str" cm="1">
        <f t="array" ref="F118">INDEX(Berekening_patiëntaantal[Direct toepasbaar/extrapolatie/incidentie voor QALY],MATCH(B118,IF(Berekening_patiëntaantal[Doelgroep (zoeksleutel)]=E118,Berekening_patiëntaantal[Digitale zorgtoepassing]),0))</f>
        <v>Extrapolatie</v>
      </c>
      <c r="G118" s="33" t="s">
        <v>550</v>
      </c>
      <c r="H118" s="33" t="s">
        <v>148</v>
      </c>
      <c r="I118" s="403">
        <f>INDEX(Uurloon[Uurtarief zorgpersoneel],MATCH(H118,Uurloon[Zorgverlener],0))</f>
        <v>27.740086206896557</v>
      </c>
      <c r="J118" s="404" cm="1">
        <f t="array" ref="J118">INDEX(Berekening_patiëntaantal[Patiëntaantallen],MATCH(B118,IF(Berekening_patiëntaantal[Doelgroep (zoeksleutel)]=E118,Berekening_patiëntaantal[Digitale zorgtoepassing]),0))</f>
        <v>249009.30694858587</v>
      </c>
      <c r="K118" s="404">
        <f>IFERROR(INDEX(aantal_organisaties[Aantal organisaties waarop toepasbaar],MATCH(B118,aantal_organisaties[Digitale zorgtoepassing],0)),0)</f>
        <v>113</v>
      </c>
      <c r="L118" s="397">
        <f>COUNTIF(uniforme_input[Doelgroep],E118)</f>
        <v>3</v>
      </c>
      <c r="M118" s="405" cm="1">
        <f t="array" ref="M118">INDEX(Technologieën[Tijdsbesparing p. patiënt (min/week)],MATCH(B118,IF(Technologieën[Zoeksleutel bronnummer]=G118,Technologieën[Digitale zorgtoepassing]),0))</f>
        <v>0</v>
      </c>
      <c r="N118" s="405" cm="1">
        <f t="array" ref="N118">INDEX(Technologieën[Tijdsbesparing per handeling (min)],MATCH(B118,IF(Technologieën[Zoeksleutel bronnummer]=G118,Technologieën[Digitale zorgtoepassing]),0))</f>
        <v>0</v>
      </c>
      <c r="O118" s="403" cm="1">
        <f t="array" ref="O118">INDEX(Technologieën[Besparing overige kosten (€/patiënt/jaar)],MATCH(B118,IF(Technologieën[Zoeksleutel bronnummer]=G118,Technologieën[Digitale zorgtoepassing]),0))</f>
        <v>210</v>
      </c>
      <c r="P118" s="403" cm="1">
        <f t="array" ref="P118">INDEX(Technologieën[Kostenbesparing p. patiënt door arbeidsbesparing (€/week)],MATCH(B118,IF(Technologieën[Zoeksleutel bronnummer]=G118,Technologieën[Digitale zorgtoepassing]),0))</f>
        <v>6.0576923076923075</v>
      </c>
      <c r="Q118" s="403" cm="1">
        <f t="array" ref="Q118">INDEX(Technologieën[Kostenbesparing (personeel) per handeling (€)],MATCH(B118,IF(Technologieën[Zoeksleutel bronnummer]=G118,Technologieën[Digitale zorgtoepassing]),0))</f>
        <v>0</v>
      </c>
      <c r="R118" s="403" cm="1">
        <f t="array" ref="R118">INDEX(Technologieën[Besparing overige kosten (€/jaar)],MATCH(B118,IF(Technologieën[Zoeksleutel bronnummer]=G118,Technologieën[Digitale zorgtoepassing]),0))</f>
        <v>0</v>
      </c>
      <c r="S118" s="405" cm="1">
        <f t="array" ref="S118">INDEX(Technologieën[Jaarlijkse besparing zorgpersoneel (FTE)],MATCH(B118,IF(Technologieën[Zoeksleutel bronnummer]=G118,Technologieën[Digitale zorgtoepassing]),0))</f>
        <v>0</v>
      </c>
      <c r="T118" s="406" cm="1">
        <f t="array" ref="T118">(INDEX(Technologieën[QALY],MATCH(B118,IF(Technologieën[Zoeksleutel bronnummer]=G118,Technologieën[Digitale zorgtoepassing]),0)))</f>
        <v>0</v>
      </c>
      <c r="U118" s="407">
        <f>(uniforme_input[[#This Row],[Kostenbesparing door arbeidsbesparing p. patiënt (€/week)]]/uniforme_input[[#This Row],[Uurtarief]]*60) + (uniforme_input[[#This Row],[Totaal arbeidsbesparing onafhankelijk van patiënt (FTE)]]*40*60)/uniforme_input[[#This Row],[Patiëntaantallen]]</f>
        <v>13.102393977823221</v>
      </c>
      <c r="V118" s="407">
        <f>(uniforme_input[[#This Row],[Kostenbesparing per handeling (€)]]/uniforme_input[[#This Row],[Uurtarief]])*60</f>
        <v>0</v>
      </c>
      <c r="W118" s="398">
        <f>uniforme_input[[#This Row],[Overige kostenbesparing (Totaal €/jaar)]]/uniforme_input[[#This Row],[Patiëntaantallen]]</f>
        <v>0</v>
      </c>
      <c r="X118" s="408">
        <f>IF(uniforme_input[[#This Row],[Bron gebruiken voor opbrengsten?]]="Ja",uniforme_input[[#This Row],[Tijdsbesparing (min/week/patiënt) - gegeven]]+uniforme_input[[#This Row],[Tijdsbesparing (min/week/patiënt) berekend]],0)</f>
        <v>13.102393977823221</v>
      </c>
      <c r="Y118" s="407">
        <f>IF(uniforme_input[[#This Row],[Bron gebruiken voor opbrengsten?]]="Ja",uniforme_input[[#This Row],[Tijdsbesparing (min/handeling) - gegeven]]+uniforme_input[[#This Row],[Tijdsbesparing (min/handeling) berekend]],0)</f>
        <v>0</v>
      </c>
      <c r="Z118" s="409">
        <f>IF(uniforme_input[[#This Row],[Bron gebruiken voor opbrengsten?]]="Ja",uniforme_input[[#This Row],[Overige kostenbesparing (€/jaar/patiënt) - gegeven]]+uniforme_input[[#This Row],[Overige kostenbesparing (€/jaar/patiënt) berekend]],0)</f>
        <v>210</v>
      </c>
      <c r="AA118" s="403" cm="1">
        <f t="array" ref="AA118">INDEX(Technologieën[Jaarlijkse kosten p. patiënt],MATCH(B118,IF(Technologieën[Zoeksleutel bronnummer]=G118,Technologieën[Digitale zorgtoepassing]),0))</f>
        <v>0</v>
      </c>
      <c r="AB118" s="403" cm="1">
        <f t="array" ref="AB118">INDEX(Technologieën[Jaarlijkse kosten p. organisatie],MATCH(B118,IF(Technologieën[Zoeksleutel bronnummer]=G118,Technologieën[Digitale zorgtoepassing]),0))/uniforme_input[[#This Row],[Aantal doelgroepen waarop toepasbaar]]</f>
        <v>0</v>
      </c>
      <c r="AC118" s="403" cm="1">
        <f t="array" ref="AC118">INDEX(Technologieën[Jaarlijkse kosten (onafh. aantal patiënt/organisatie)],MATCH(B118,IF(Technologieën[Zoeksleutel bronnummer]=G118,Technologieën[Digitale zorgtoepassing]),0))/uniforme_input[[#This Row],[Aantal doelgroepen waarop toepasbaar]]</f>
        <v>0</v>
      </c>
      <c r="AD118" s="403" cm="1">
        <f t="array" ref="AD118">INDEX(Technologieën[Initiële investering (p. patiënt)],MATCH(B118,IF(Technologieën[Zoeksleutel bronnummer]=G118,Technologieën[Digitale zorgtoepassing]),0))</f>
        <v>0</v>
      </c>
      <c r="AE118" s="403" cm="1">
        <f t="array" ref="AE118">INDEX(Technologieën[Initiële investering (p. organisatie)],MATCH(B118,IF(Technologieën[Zoeksleutel bronnummer]=G118,Technologieën[Digitale zorgtoepassing]),0))</f>
        <v>0</v>
      </c>
      <c r="AF118"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18" s="398">
        <f>(uniforme_input[[#This Row],[Initiële investering per organisatie]]*uniforme_input[[#This Row],[Aantal organisaties]])/uniforme_input[[#This Row],[Patiëntaantallen]]</f>
        <v>0</v>
      </c>
      <c r="AH118" s="410">
        <f>IF(uniforme_input[[#This Row],[Bron gebruiken voor kosten/investering?]]="Ja",uniforme_input[[#This Row],[Jaarlijkse kosten per patiënt]] + uniforme_input[[#This Row],[Jaarlijkse kosten per patiënt berekend]],0)</f>
        <v>0</v>
      </c>
      <c r="AI118" s="409">
        <f>IF(uniforme_input[[#This Row],[Bron gebruiken voor kosten/investering?]]="Ja",uniforme_input[[#This Row],[Initiële investering per patiënt]]+uniforme_input[[#This Row],[Initiële investering per patiënt berekend]],0)</f>
        <v>0</v>
      </c>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row>
    <row r="119" spans="1:83" s="2" customFormat="1" x14ac:dyDescent="0.5">
      <c r="A119" s="51" t="str">
        <f>INDEX(Technologieën[Veld],MATCH(G119,Technologieën[Zoeksleutel bronnummer],0))</f>
        <v>Sensoren - Behandeling</v>
      </c>
      <c r="B119" s="33" t="s">
        <v>53</v>
      </c>
      <c r="C119" s="32" t="s">
        <v>390</v>
      </c>
      <c r="D119" s="32" t="s">
        <v>391</v>
      </c>
      <c r="E119" s="33" t="s">
        <v>54</v>
      </c>
      <c r="F119" s="33" t="str" cm="1">
        <f t="array" ref="F119">INDEX(Berekening_patiëntaantal[Direct toepasbaar/extrapolatie/incidentie voor QALY],MATCH(B119,IF(Berekening_patiëntaantal[Doelgroep (zoeksleutel)]=E119,Berekening_patiëntaantal[Digitale zorgtoepassing]),0))</f>
        <v>Huidige toepassing</v>
      </c>
      <c r="G119" s="33" t="s">
        <v>551</v>
      </c>
      <c r="H119" s="33" t="s">
        <v>148</v>
      </c>
      <c r="I119" s="403">
        <f>INDEX(Uurloon[Uurtarief zorgpersoneel],MATCH(H119,Uurloon[Zorgverlener],0))</f>
        <v>27.740086206896557</v>
      </c>
      <c r="J119" s="404" cm="1">
        <f t="array" ref="J119">INDEX(Berekening_patiëntaantal[Patiëntaantallen],MATCH(B119,IF(Berekening_patiëntaantal[Doelgroep (zoeksleutel)]=E119,Berekening_patiëntaantal[Digitale zorgtoepassing]),0))</f>
        <v>18000</v>
      </c>
      <c r="K119" s="404">
        <f>IFERROR(INDEX(aantal_organisaties[Aantal organisaties waarop toepasbaar],MATCH(B119,aantal_organisaties[Digitale zorgtoepassing],0)),0)</f>
        <v>113</v>
      </c>
      <c r="L119" s="397">
        <f>COUNTIF(uniforme_input[Doelgroep],E119)</f>
        <v>3</v>
      </c>
      <c r="M119" s="405" cm="1">
        <f t="array" ref="M119">INDEX(Technologieën[Tijdsbesparing p. patiënt (min/week)],MATCH(B119,IF(Technologieën[Zoeksleutel bronnummer]=G119,Technologieën[Digitale zorgtoepassing]),0))</f>
        <v>0</v>
      </c>
      <c r="N119" s="405" cm="1">
        <f t="array" ref="N119">INDEX(Technologieën[Tijdsbesparing per handeling (min)],MATCH(B119,IF(Technologieën[Zoeksleutel bronnummer]=G119,Technologieën[Digitale zorgtoepassing]),0))</f>
        <v>0</v>
      </c>
      <c r="O119" s="403" cm="1">
        <f t="array" ref="O119">INDEX(Technologieën[Besparing overige kosten (€/patiënt/jaar)],MATCH(B119,IF(Technologieën[Zoeksleutel bronnummer]=G119,Technologieën[Digitale zorgtoepassing]),0))</f>
        <v>0</v>
      </c>
      <c r="P119" s="403" cm="1">
        <f t="array" ref="P119">INDEX(Technologieën[Kostenbesparing p. patiënt door arbeidsbesparing (€/week)],MATCH(B119,IF(Technologieën[Zoeksleutel bronnummer]=G119,Technologieën[Digitale zorgtoepassing]),0))</f>
        <v>0</v>
      </c>
      <c r="Q119" s="403" cm="1">
        <f t="array" ref="Q119">INDEX(Technologieën[Kostenbesparing (personeel) per handeling (€)],MATCH(B119,IF(Technologieën[Zoeksleutel bronnummer]=G119,Technologieën[Digitale zorgtoepassing]),0))</f>
        <v>0</v>
      </c>
      <c r="R119" s="403" cm="1">
        <f t="array" ref="R119">INDEX(Technologieën[Besparing overige kosten (€/jaar)],MATCH(B119,IF(Technologieën[Zoeksleutel bronnummer]=G119,Technologieën[Digitale zorgtoepassing]),0))</f>
        <v>0</v>
      </c>
      <c r="S119" s="405" cm="1">
        <f t="array" ref="S119">INDEX(Technologieën[Jaarlijkse besparing zorgpersoneel (FTE)],MATCH(B119,IF(Technologieën[Zoeksleutel bronnummer]=G119,Technologieën[Digitale zorgtoepassing]),0))</f>
        <v>0</v>
      </c>
      <c r="T119" s="406" cm="1">
        <f t="array" ref="T119">(INDEX(Technologieën[QALY],MATCH(B119,IF(Technologieën[Zoeksleutel bronnummer]=G119,Technologieën[Digitale zorgtoepassing]),0)))</f>
        <v>0</v>
      </c>
      <c r="U119" s="407">
        <f>(uniforme_input[[#This Row],[Kostenbesparing door arbeidsbesparing p. patiënt (€/week)]]/uniforme_input[[#This Row],[Uurtarief]]*60) + (uniforme_input[[#This Row],[Totaal arbeidsbesparing onafhankelijk van patiënt (FTE)]]*40*60)/uniforme_input[[#This Row],[Patiëntaantallen]]</f>
        <v>0</v>
      </c>
      <c r="V119" s="407">
        <f>(uniforme_input[[#This Row],[Kostenbesparing per handeling (€)]]/uniforme_input[[#This Row],[Uurtarief]])*60</f>
        <v>0</v>
      </c>
      <c r="W119" s="398">
        <f>uniforme_input[[#This Row],[Overige kostenbesparing (Totaal €/jaar)]]/uniforme_input[[#This Row],[Patiëntaantallen]]</f>
        <v>0</v>
      </c>
      <c r="X119" s="408">
        <f>IF(uniforme_input[[#This Row],[Bron gebruiken voor opbrengsten?]]="Ja",uniforme_input[[#This Row],[Tijdsbesparing (min/week/patiënt) - gegeven]]+uniforme_input[[#This Row],[Tijdsbesparing (min/week/patiënt) berekend]],0)</f>
        <v>0</v>
      </c>
      <c r="Y119" s="407">
        <f>IF(uniforme_input[[#This Row],[Bron gebruiken voor opbrengsten?]]="Ja",uniforme_input[[#This Row],[Tijdsbesparing (min/handeling) - gegeven]]+uniforme_input[[#This Row],[Tijdsbesparing (min/handeling) berekend]],0)</f>
        <v>0</v>
      </c>
      <c r="Z119" s="409">
        <f>IF(uniforme_input[[#This Row],[Bron gebruiken voor opbrengsten?]]="Ja",uniforme_input[[#This Row],[Overige kostenbesparing (€/jaar/patiënt) - gegeven]]+uniforme_input[[#This Row],[Overige kostenbesparing (€/jaar/patiënt) berekend]],0)</f>
        <v>0</v>
      </c>
      <c r="AA119" s="403" cm="1">
        <f t="array" ref="AA119">INDEX(Technologieën[Jaarlijkse kosten p. patiënt],MATCH(B119,IF(Technologieën[Zoeksleutel bronnummer]=G119,Technologieën[Digitale zorgtoepassing]),0))</f>
        <v>100</v>
      </c>
      <c r="AB119" s="403" cm="1">
        <f t="array" ref="AB119">INDEX(Technologieën[Jaarlijkse kosten p. organisatie],MATCH(B119,IF(Technologieën[Zoeksleutel bronnummer]=G119,Technologieën[Digitale zorgtoepassing]),0))/uniforme_input[[#This Row],[Aantal doelgroepen waarop toepasbaar]]</f>
        <v>0</v>
      </c>
      <c r="AC119" s="403" cm="1">
        <f t="array" ref="AC119">INDEX(Technologieën[Jaarlijkse kosten (onafh. aantal patiënt/organisatie)],MATCH(B119,IF(Technologieën[Zoeksleutel bronnummer]=G119,Technologieën[Digitale zorgtoepassing]),0))/uniforme_input[[#This Row],[Aantal doelgroepen waarop toepasbaar]]</f>
        <v>0</v>
      </c>
      <c r="AD119" s="403" cm="1">
        <f t="array" ref="AD119">INDEX(Technologieën[Initiële investering (p. patiënt)],MATCH(B119,IF(Technologieën[Zoeksleutel bronnummer]=G119,Technologieën[Digitale zorgtoepassing]),0))</f>
        <v>0</v>
      </c>
      <c r="AE119" s="403" cm="1">
        <f t="array" ref="AE119">INDEX(Technologieën[Initiële investering (p. organisatie)],MATCH(B119,IF(Technologieën[Zoeksleutel bronnummer]=G119,Technologieën[Digitale zorgtoepassing]),0))</f>
        <v>0</v>
      </c>
      <c r="AF119"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19" s="398">
        <f>(uniforme_input[[#This Row],[Initiële investering per organisatie]]*uniforme_input[[#This Row],[Aantal organisaties]])/uniforme_input[[#This Row],[Patiëntaantallen]]</f>
        <v>0</v>
      </c>
      <c r="AH119" s="410">
        <f>IF(uniforme_input[[#This Row],[Bron gebruiken voor kosten/investering?]]="Ja",uniforme_input[[#This Row],[Jaarlijkse kosten per patiënt]] + uniforme_input[[#This Row],[Jaarlijkse kosten per patiënt berekend]],0)</f>
        <v>100</v>
      </c>
      <c r="AI119" s="409">
        <f>IF(uniforme_input[[#This Row],[Bron gebruiken voor kosten/investering?]]="Ja",uniforme_input[[#This Row],[Initiële investering per patiënt]]+uniforme_input[[#This Row],[Initiële investering per patiënt berekend]],0)</f>
        <v>0</v>
      </c>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row>
    <row r="120" spans="1:83" s="2" customFormat="1" x14ac:dyDescent="0.5">
      <c r="A120" s="51" t="str">
        <f>INDEX(Technologieën[Veld],MATCH(G120,Technologieën[Zoeksleutel bronnummer],0))</f>
        <v>Sensoren - Behandeling</v>
      </c>
      <c r="B120" s="33" t="s">
        <v>53</v>
      </c>
      <c r="C120" s="32" t="s">
        <v>390</v>
      </c>
      <c r="D120" s="32" t="s">
        <v>391</v>
      </c>
      <c r="E120" s="33" t="s">
        <v>55</v>
      </c>
      <c r="F120" s="33" t="str" cm="1">
        <f t="array" ref="F120">INDEX(Berekening_patiëntaantal[Direct toepasbaar/extrapolatie/incidentie voor QALY],MATCH(B120,IF(Berekening_patiëntaantal[Doelgroep (zoeksleutel)]=E120,Berekening_patiëntaantal[Digitale zorgtoepassing]),0))</f>
        <v>Huidige toepassing</v>
      </c>
      <c r="G120" s="33" t="s">
        <v>551</v>
      </c>
      <c r="H120" s="33" t="s">
        <v>148</v>
      </c>
      <c r="I120" s="403">
        <f>INDEX(Uurloon[Uurtarief zorgpersoneel],MATCH(H120,Uurloon[Zorgverlener],0))</f>
        <v>27.740086206896557</v>
      </c>
      <c r="J120" s="404" cm="1">
        <f t="array" ref="J120">INDEX(Berekening_patiëntaantal[Patiëntaantallen],MATCH(B120,IF(Berekening_patiëntaantal[Doelgroep (zoeksleutel)]=E120,Berekening_patiëntaantal[Digitale zorgtoepassing]),0))</f>
        <v>15000</v>
      </c>
      <c r="K120" s="404">
        <f>IFERROR(INDEX(aantal_organisaties[Aantal organisaties waarop toepasbaar],MATCH(B120,aantal_organisaties[Digitale zorgtoepassing],0)),0)</f>
        <v>113</v>
      </c>
      <c r="L120" s="397">
        <f>COUNTIF(uniforme_input[Doelgroep],E120)</f>
        <v>3</v>
      </c>
      <c r="M120" s="405" cm="1">
        <f t="array" ref="M120">INDEX(Technologieën[Tijdsbesparing p. patiënt (min/week)],MATCH(B120,IF(Technologieën[Zoeksleutel bronnummer]=G120,Technologieën[Digitale zorgtoepassing]),0))</f>
        <v>0</v>
      </c>
      <c r="N120" s="405" cm="1">
        <f t="array" ref="N120">INDEX(Technologieën[Tijdsbesparing per handeling (min)],MATCH(B120,IF(Technologieën[Zoeksleutel bronnummer]=G120,Technologieën[Digitale zorgtoepassing]),0))</f>
        <v>0</v>
      </c>
      <c r="O120" s="403" cm="1">
        <f t="array" ref="O120">INDEX(Technologieën[Besparing overige kosten (€/patiënt/jaar)],MATCH(B120,IF(Technologieën[Zoeksleutel bronnummer]=G120,Technologieën[Digitale zorgtoepassing]),0))</f>
        <v>0</v>
      </c>
      <c r="P120" s="403" cm="1">
        <f t="array" ref="P120">INDEX(Technologieën[Kostenbesparing p. patiënt door arbeidsbesparing (€/week)],MATCH(B120,IF(Technologieën[Zoeksleutel bronnummer]=G120,Technologieën[Digitale zorgtoepassing]),0))</f>
        <v>0</v>
      </c>
      <c r="Q120" s="403" cm="1">
        <f t="array" ref="Q120">INDEX(Technologieën[Kostenbesparing (personeel) per handeling (€)],MATCH(B120,IF(Technologieën[Zoeksleutel bronnummer]=G120,Technologieën[Digitale zorgtoepassing]),0))</f>
        <v>0</v>
      </c>
      <c r="R120" s="403" cm="1">
        <f t="array" ref="R120">INDEX(Technologieën[Besparing overige kosten (€/jaar)],MATCH(B120,IF(Technologieën[Zoeksleutel bronnummer]=G120,Technologieën[Digitale zorgtoepassing]),0))</f>
        <v>0</v>
      </c>
      <c r="S120" s="405" cm="1">
        <f t="array" ref="S120">INDEX(Technologieën[Jaarlijkse besparing zorgpersoneel (FTE)],MATCH(B120,IF(Technologieën[Zoeksleutel bronnummer]=G120,Technologieën[Digitale zorgtoepassing]),0))</f>
        <v>0</v>
      </c>
      <c r="T120" s="406" cm="1">
        <f t="array" ref="T120">(INDEX(Technologieën[QALY],MATCH(B120,IF(Technologieën[Zoeksleutel bronnummer]=G120,Technologieën[Digitale zorgtoepassing]),0)))</f>
        <v>0</v>
      </c>
      <c r="U120" s="407">
        <f>(uniforme_input[[#This Row],[Kostenbesparing door arbeidsbesparing p. patiënt (€/week)]]/uniforme_input[[#This Row],[Uurtarief]]*60) + (uniforme_input[[#This Row],[Totaal arbeidsbesparing onafhankelijk van patiënt (FTE)]]*40*60)/uniforme_input[[#This Row],[Patiëntaantallen]]</f>
        <v>0</v>
      </c>
      <c r="V120" s="407">
        <f>(uniforme_input[[#This Row],[Kostenbesparing per handeling (€)]]/uniforme_input[[#This Row],[Uurtarief]])*60</f>
        <v>0</v>
      </c>
      <c r="W120" s="398">
        <f>uniforme_input[[#This Row],[Overige kostenbesparing (Totaal €/jaar)]]/uniforme_input[[#This Row],[Patiëntaantallen]]</f>
        <v>0</v>
      </c>
      <c r="X120" s="408">
        <f>IF(uniforme_input[[#This Row],[Bron gebruiken voor opbrengsten?]]="Ja",uniforme_input[[#This Row],[Tijdsbesparing (min/week/patiënt) - gegeven]]+uniforme_input[[#This Row],[Tijdsbesparing (min/week/patiënt) berekend]],0)</f>
        <v>0</v>
      </c>
      <c r="Y120" s="407">
        <f>IF(uniforme_input[[#This Row],[Bron gebruiken voor opbrengsten?]]="Ja",uniforme_input[[#This Row],[Tijdsbesparing (min/handeling) - gegeven]]+uniforme_input[[#This Row],[Tijdsbesparing (min/handeling) berekend]],0)</f>
        <v>0</v>
      </c>
      <c r="Z120" s="409">
        <f>IF(uniforme_input[[#This Row],[Bron gebruiken voor opbrengsten?]]="Ja",uniforme_input[[#This Row],[Overige kostenbesparing (€/jaar/patiënt) - gegeven]]+uniforme_input[[#This Row],[Overige kostenbesparing (€/jaar/patiënt) berekend]],0)</f>
        <v>0</v>
      </c>
      <c r="AA120" s="403" cm="1">
        <f t="array" ref="AA120">INDEX(Technologieën[Jaarlijkse kosten p. patiënt],MATCH(B120,IF(Technologieën[Zoeksleutel bronnummer]=G120,Technologieën[Digitale zorgtoepassing]),0))</f>
        <v>100</v>
      </c>
      <c r="AB120" s="403" cm="1">
        <f t="array" ref="AB120">INDEX(Technologieën[Jaarlijkse kosten p. organisatie],MATCH(B120,IF(Technologieën[Zoeksleutel bronnummer]=G120,Technologieën[Digitale zorgtoepassing]),0))/uniforme_input[[#This Row],[Aantal doelgroepen waarop toepasbaar]]</f>
        <v>0</v>
      </c>
      <c r="AC120" s="403" cm="1">
        <f t="array" ref="AC120">INDEX(Technologieën[Jaarlijkse kosten (onafh. aantal patiënt/organisatie)],MATCH(B120,IF(Technologieën[Zoeksleutel bronnummer]=G120,Technologieën[Digitale zorgtoepassing]),0))/uniforme_input[[#This Row],[Aantal doelgroepen waarop toepasbaar]]</f>
        <v>0</v>
      </c>
      <c r="AD120" s="403" cm="1">
        <f t="array" ref="AD120">INDEX(Technologieën[Initiële investering (p. patiënt)],MATCH(B120,IF(Technologieën[Zoeksleutel bronnummer]=G120,Technologieën[Digitale zorgtoepassing]),0))</f>
        <v>0</v>
      </c>
      <c r="AE120" s="403" cm="1">
        <f t="array" ref="AE120">INDEX(Technologieën[Initiële investering (p. organisatie)],MATCH(B120,IF(Technologieën[Zoeksleutel bronnummer]=G120,Technologieën[Digitale zorgtoepassing]),0))</f>
        <v>0</v>
      </c>
      <c r="AF120"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20" s="398">
        <f>(uniforme_input[[#This Row],[Initiële investering per organisatie]]*uniforme_input[[#This Row],[Aantal organisaties]])/uniforme_input[[#This Row],[Patiëntaantallen]]</f>
        <v>0</v>
      </c>
      <c r="AH120" s="410">
        <f>IF(uniforme_input[[#This Row],[Bron gebruiken voor kosten/investering?]]="Ja",uniforme_input[[#This Row],[Jaarlijkse kosten per patiënt]] + uniforme_input[[#This Row],[Jaarlijkse kosten per patiënt berekend]],0)</f>
        <v>100</v>
      </c>
      <c r="AI120" s="409">
        <f>IF(uniforme_input[[#This Row],[Bron gebruiken voor kosten/investering?]]="Ja",uniforme_input[[#This Row],[Initiële investering per patiënt]]+uniforme_input[[#This Row],[Initiële investering per patiënt berekend]],0)</f>
        <v>0</v>
      </c>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row>
    <row r="121" spans="1:83" s="2" customFormat="1" x14ac:dyDescent="0.5">
      <c r="A121" s="51" t="str">
        <f>INDEX(Technologieën[Veld],MATCH(G121,Technologieën[Zoeksleutel bronnummer],0))</f>
        <v>Sensoren - Behandeling</v>
      </c>
      <c r="B121" s="33" t="s">
        <v>53</v>
      </c>
      <c r="C121" s="32" t="s">
        <v>390</v>
      </c>
      <c r="D121" s="32" t="s">
        <v>391</v>
      </c>
      <c r="E121" s="33" t="s">
        <v>722</v>
      </c>
      <c r="F121" s="33" t="str" cm="1">
        <f t="array" ref="F121">INDEX(Berekening_patiëntaantal[Direct toepasbaar/extrapolatie/incidentie voor QALY],MATCH(B121,IF(Berekening_patiëntaantal[Doelgroep (zoeksleutel)]=E121,Berekening_patiëntaantal[Digitale zorgtoepassing]),0))</f>
        <v>Extrapolatie</v>
      </c>
      <c r="G121" s="33" t="s">
        <v>551</v>
      </c>
      <c r="H121" s="33" t="s">
        <v>148</v>
      </c>
      <c r="I121" s="403">
        <f>INDEX(Uurloon[Uurtarief zorgpersoneel],MATCH(H121,Uurloon[Zorgverlener],0))</f>
        <v>27.740086206896557</v>
      </c>
      <c r="J121" s="404" cm="1">
        <f t="array" ref="J121">INDEX(Berekening_patiëntaantal[Patiëntaantallen],MATCH(B121,IF(Berekening_patiëntaantal[Doelgroep (zoeksleutel)]=E121,Berekening_patiëntaantal[Digitale zorgtoepassing]),0))</f>
        <v>249009.30694858587</v>
      </c>
      <c r="K121" s="404">
        <f>IFERROR(INDEX(aantal_organisaties[Aantal organisaties waarop toepasbaar],MATCH(B121,aantal_organisaties[Digitale zorgtoepassing],0)),0)</f>
        <v>113</v>
      </c>
      <c r="L121" s="397">
        <f>COUNTIF(uniforme_input[Doelgroep],E121)</f>
        <v>3</v>
      </c>
      <c r="M121" s="405" cm="1">
        <f t="array" ref="M121">INDEX(Technologieën[Tijdsbesparing p. patiënt (min/week)],MATCH(B121,IF(Technologieën[Zoeksleutel bronnummer]=G121,Technologieën[Digitale zorgtoepassing]),0))</f>
        <v>0</v>
      </c>
      <c r="N121" s="405" cm="1">
        <f t="array" ref="N121">INDEX(Technologieën[Tijdsbesparing per handeling (min)],MATCH(B121,IF(Technologieën[Zoeksleutel bronnummer]=G121,Technologieën[Digitale zorgtoepassing]),0))</f>
        <v>0</v>
      </c>
      <c r="O121" s="403" cm="1">
        <f t="array" ref="O121">INDEX(Technologieën[Besparing overige kosten (€/patiënt/jaar)],MATCH(B121,IF(Technologieën[Zoeksleutel bronnummer]=G121,Technologieën[Digitale zorgtoepassing]),0))</f>
        <v>0</v>
      </c>
      <c r="P121" s="403" cm="1">
        <f t="array" ref="P121">INDEX(Technologieën[Kostenbesparing p. patiënt door arbeidsbesparing (€/week)],MATCH(B121,IF(Technologieën[Zoeksleutel bronnummer]=G121,Technologieën[Digitale zorgtoepassing]),0))</f>
        <v>0</v>
      </c>
      <c r="Q121" s="403" cm="1">
        <f t="array" ref="Q121">INDEX(Technologieën[Kostenbesparing (personeel) per handeling (€)],MATCH(B121,IF(Technologieën[Zoeksleutel bronnummer]=G121,Technologieën[Digitale zorgtoepassing]),0))</f>
        <v>0</v>
      </c>
      <c r="R121" s="403" cm="1">
        <f t="array" ref="R121">INDEX(Technologieën[Besparing overige kosten (€/jaar)],MATCH(B121,IF(Technologieën[Zoeksleutel bronnummer]=G121,Technologieën[Digitale zorgtoepassing]),0))</f>
        <v>0</v>
      </c>
      <c r="S121" s="405" cm="1">
        <f t="array" ref="S121">INDEX(Technologieën[Jaarlijkse besparing zorgpersoneel (FTE)],MATCH(B121,IF(Technologieën[Zoeksleutel bronnummer]=G121,Technologieën[Digitale zorgtoepassing]),0))</f>
        <v>0</v>
      </c>
      <c r="T121" s="406" cm="1">
        <f t="array" ref="T121">(INDEX(Technologieën[QALY],MATCH(B121,IF(Technologieën[Zoeksleutel bronnummer]=G121,Technologieën[Digitale zorgtoepassing]),0)))</f>
        <v>0</v>
      </c>
      <c r="U121" s="407">
        <f>(uniforme_input[[#This Row],[Kostenbesparing door arbeidsbesparing p. patiënt (€/week)]]/uniforme_input[[#This Row],[Uurtarief]]*60) + (uniforme_input[[#This Row],[Totaal arbeidsbesparing onafhankelijk van patiënt (FTE)]]*40*60)/uniforme_input[[#This Row],[Patiëntaantallen]]</f>
        <v>0</v>
      </c>
      <c r="V121" s="407">
        <f>(uniforme_input[[#This Row],[Kostenbesparing per handeling (€)]]/uniforme_input[[#This Row],[Uurtarief]])*60</f>
        <v>0</v>
      </c>
      <c r="W121" s="398">
        <f>uniforme_input[[#This Row],[Overige kostenbesparing (Totaal €/jaar)]]/uniforme_input[[#This Row],[Patiëntaantallen]]</f>
        <v>0</v>
      </c>
      <c r="X121" s="408">
        <f>IF(uniforme_input[[#This Row],[Bron gebruiken voor opbrengsten?]]="Ja",uniforme_input[[#This Row],[Tijdsbesparing (min/week/patiënt) - gegeven]]+uniforme_input[[#This Row],[Tijdsbesparing (min/week/patiënt) berekend]],0)</f>
        <v>0</v>
      </c>
      <c r="Y121" s="407">
        <f>IF(uniforme_input[[#This Row],[Bron gebruiken voor opbrengsten?]]="Ja",uniforme_input[[#This Row],[Tijdsbesparing (min/handeling) - gegeven]]+uniforme_input[[#This Row],[Tijdsbesparing (min/handeling) berekend]],0)</f>
        <v>0</v>
      </c>
      <c r="Z121" s="409">
        <f>IF(uniforme_input[[#This Row],[Bron gebruiken voor opbrengsten?]]="Ja",uniforme_input[[#This Row],[Overige kostenbesparing (€/jaar/patiënt) - gegeven]]+uniforme_input[[#This Row],[Overige kostenbesparing (€/jaar/patiënt) berekend]],0)</f>
        <v>0</v>
      </c>
      <c r="AA121" s="403" cm="1">
        <f t="array" ref="AA121">INDEX(Technologieën[Jaarlijkse kosten p. patiënt],MATCH(B121,IF(Technologieën[Zoeksleutel bronnummer]=G121,Technologieën[Digitale zorgtoepassing]),0))</f>
        <v>100</v>
      </c>
      <c r="AB121" s="403" cm="1">
        <f t="array" ref="AB121">INDEX(Technologieën[Jaarlijkse kosten p. organisatie],MATCH(B121,IF(Technologieën[Zoeksleutel bronnummer]=G121,Technologieën[Digitale zorgtoepassing]),0))/uniforme_input[[#This Row],[Aantal doelgroepen waarop toepasbaar]]</f>
        <v>0</v>
      </c>
      <c r="AC121" s="403" cm="1">
        <f t="array" ref="AC121">INDEX(Technologieën[Jaarlijkse kosten (onafh. aantal patiënt/organisatie)],MATCH(B121,IF(Technologieën[Zoeksleutel bronnummer]=G121,Technologieën[Digitale zorgtoepassing]),0))/uniforme_input[[#This Row],[Aantal doelgroepen waarop toepasbaar]]</f>
        <v>0</v>
      </c>
      <c r="AD121" s="403" cm="1">
        <f t="array" ref="AD121">INDEX(Technologieën[Initiële investering (p. patiënt)],MATCH(B121,IF(Technologieën[Zoeksleutel bronnummer]=G121,Technologieën[Digitale zorgtoepassing]),0))</f>
        <v>0</v>
      </c>
      <c r="AE121" s="403" cm="1">
        <f t="array" ref="AE121">INDEX(Technologieën[Initiële investering (p. organisatie)],MATCH(B121,IF(Technologieën[Zoeksleutel bronnummer]=G121,Technologieën[Digitale zorgtoepassing]),0))</f>
        <v>0</v>
      </c>
      <c r="AF121"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21" s="398">
        <f>(uniforme_input[[#This Row],[Initiële investering per organisatie]]*uniforme_input[[#This Row],[Aantal organisaties]])/uniforme_input[[#This Row],[Patiëntaantallen]]</f>
        <v>0</v>
      </c>
      <c r="AH121" s="410">
        <f>IF(uniforme_input[[#This Row],[Bron gebruiken voor kosten/investering?]]="Ja",uniforme_input[[#This Row],[Jaarlijkse kosten per patiënt]] + uniforme_input[[#This Row],[Jaarlijkse kosten per patiënt berekend]],0)</f>
        <v>100</v>
      </c>
      <c r="AI121" s="409">
        <f>IF(uniforme_input[[#This Row],[Bron gebruiken voor kosten/investering?]]="Ja",uniforme_input[[#This Row],[Initiële investering per patiënt]]+uniforme_input[[#This Row],[Initiële investering per patiënt berekend]],0)</f>
        <v>0</v>
      </c>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row>
    <row r="122" spans="1:83" s="2" customFormat="1" x14ac:dyDescent="0.5">
      <c r="A122" s="51" t="str">
        <f>INDEX(Technologieën[Veld],MATCH(G122,Technologieën[Zoeksleutel bronnummer],0))</f>
        <v>Software - Behandeling</v>
      </c>
      <c r="B122" s="33" t="s">
        <v>101</v>
      </c>
      <c r="C122" s="32" t="s">
        <v>391</v>
      </c>
      <c r="D122" s="32" t="s">
        <v>390</v>
      </c>
      <c r="E122" s="33" t="s">
        <v>83</v>
      </c>
      <c r="F122" s="33" t="str" cm="1">
        <f t="array" ref="F122">INDEX(Berekening_patiëntaantal[Direct toepasbaar/extrapolatie/incidentie voor QALY],MATCH(B122,IF(Berekening_patiëntaantal[Doelgroep (zoeksleutel)]=E122,Berekening_patiëntaantal[Digitale zorgtoepassing]),0))</f>
        <v>Huidige toepassing</v>
      </c>
      <c r="G122" s="33" t="s">
        <v>553</v>
      </c>
      <c r="H122" s="33" t="s">
        <v>144</v>
      </c>
      <c r="I122" s="403">
        <f>INDEX(Uurloon[Uurtarief zorgpersoneel],MATCH(H122,Uurloon[Zorgverlener],0))</f>
        <v>20.410632183908046</v>
      </c>
      <c r="J122" s="404" cm="1">
        <f t="array" ref="J122">INDEX(Berekening_patiëntaantal[Patiëntaantallen],MATCH(B122,IF(Berekening_patiëntaantal[Doelgroep (zoeksleutel)]=E122,Berekening_patiëntaantal[Digitale zorgtoepassing]),0))</f>
        <v>144629</v>
      </c>
      <c r="K122" s="404">
        <f>IFERROR(INDEX(aantal_organisaties[Aantal organisaties waarop toepasbaar],MATCH(B122,aantal_organisaties[Digitale zorgtoepassing],0)),0)</f>
        <v>0</v>
      </c>
      <c r="L122" s="397">
        <f>COUNTIF(uniforme_input[Doelgroep],E122)</f>
        <v>2</v>
      </c>
      <c r="M122" s="405" cm="1">
        <f t="array" ref="M122">INDEX(Technologieën[Tijdsbesparing p. patiënt (min/week)],MATCH(B122,IF(Technologieën[Zoeksleutel bronnummer]=G122,Technologieën[Digitale zorgtoepassing]),0))</f>
        <v>100.8</v>
      </c>
      <c r="N122" s="405" cm="1">
        <f t="array" ref="N122">INDEX(Technologieën[Tijdsbesparing per handeling (min)],MATCH(B122,IF(Technologieën[Zoeksleutel bronnummer]=G122,Technologieën[Digitale zorgtoepassing]),0))</f>
        <v>0</v>
      </c>
      <c r="O122" s="403" cm="1">
        <f t="array" ref="O122">INDEX(Technologieën[Besparing overige kosten (€/patiënt/jaar)],MATCH(B122,IF(Technologieën[Zoeksleutel bronnummer]=G122,Technologieën[Digitale zorgtoepassing]),0))</f>
        <v>0</v>
      </c>
      <c r="P122" s="403" cm="1">
        <f t="array" ref="P122">INDEX(Technologieën[Kostenbesparing p. patiënt door arbeidsbesparing (€/week)],MATCH(B122,IF(Technologieën[Zoeksleutel bronnummer]=G122,Technologieën[Digitale zorgtoepassing]),0))</f>
        <v>0</v>
      </c>
      <c r="Q122" s="403" cm="1">
        <f t="array" ref="Q122">INDEX(Technologieën[Kostenbesparing (personeel) per handeling (€)],MATCH(B122,IF(Technologieën[Zoeksleutel bronnummer]=G122,Technologieën[Digitale zorgtoepassing]),0))</f>
        <v>0</v>
      </c>
      <c r="R122" s="403" cm="1">
        <f t="array" ref="R122">INDEX(Technologieën[Besparing overige kosten (€/jaar)],MATCH(B122,IF(Technologieën[Zoeksleutel bronnummer]=G122,Technologieën[Digitale zorgtoepassing]),0))</f>
        <v>0</v>
      </c>
      <c r="S122" s="405" cm="1">
        <f t="array" ref="S122">INDEX(Technologieën[Jaarlijkse besparing zorgpersoneel (FTE)],MATCH(B122,IF(Technologieën[Zoeksleutel bronnummer]=G122,Technologieën[Digitale zorgtoepassing]),0))</f>
        <v>0</v>
      </c>
      <c r="T122" s="406" cm="1">
        <f t="array" ref="T122">(INDEX(Technologieën[QALY],MATCH(B122,IF(Technologieën[Zoeksleutel bronnummer]=G122,Technologieën[Digitale zorgtoepassing]),0)))</f>
        <v>0</v>
      </c>
      <c r="U122" s="407">
        <f>(uniforme_input[[#This Row],[Kostenbesparing door arbeidsbesparing p. patiënt (€/week)]]/uniforme_input[[#This Row],[Uurtarief]]*60) + (uniforme_input[[#This Row],[Totaal arbeidsbesparing onafhankelijk van patiënt (FTE)]]*40*60)/uniforme_input[[#This Row],[Patiëntaantallen]]</f>
        <v>0</v>
      </c>
      <c r="V122" s="407">
        <f>(uniforme_input[[#This Row],[Kostenbesparing per handeling (€)]]/uniforme_input[[#This Row],[Uurtarief]])*60</f>
        <v>0</v>
      </c>
      <c r="W122" s="398">
        <f>uniforme_input[[#This Row],[Overige kostenbesparing (Totaal €/jaar)]]/uniforme_input[[#This Row],[Patiëntaantallen]]</f>
        <v>0</v>
      </c>
      <c r="X122" s="408">
        <f>IF(uniforme_input[[#This Row],[Bron gebruiken voor opbrengsten?]]="Ja",uniforme_input[[#This Row],[Tijdsbesparing (min/week/patiënt) - gegeven]]+uniforme_input[[#This Row],[Tijdsbesparing (min/week/patiënt) berekend]],0)</f>
        <v>100.8</v>
      </c>
      <c r="Y122" s="407">
        <f>IF(uniforme_input[[#This Row],[Bron gebruiken voor opbrengsten?]]="Ja",uniforme_input[[#This Row],[Tijdsbesparing (min/handeling) - gegeven]]+uniforme_input[[#This Row],[Tijdsbesparing (min/handeling) berekend]],0)</f>
        <v>0</v>
      </c>
      <c r="Z122" s="409">
        <f>IF(uniforme_input[[#This Row],[Bron gebruiken voor opbrengsten?]]="Ja",uniforme_input[[#This Row],[Overige kostenbesparing (€/jaar/patiënt) - gegeven]]+uniforme_input[[#This Row],[Overige kostenbesparing (€/jaar/patiënt) berekend]],0)</f>
        <v>0</v>
      </c>
      <c r="AA122" s="403" cm="1">
        <f t="array" ref="AA122">INDEX(Technologieën[Jaarlijkse kosten p. patiënt],MATCH(B122,IF(Technologieën[Zoeksleutel bronnummer]=G122,Technologieën[Digitale zorgtoepassing]),0))</f>
        <v>0</v>
      </c>
      <c r="AB122" s="403" cm="1">
        <f t="array" ref="AB122">INDEX(Technologieën[Jaarlijkse kosten p. organisatie],MATCH(B122,IF(Technologieën[Zoeksleutel bronnummer]=G122,Technologieën[Digitale zorgtoepassing]),0))/uniforme_input[[#This Row],[Aantal doelgroepen waarop toepasbaar]]</f>
        <v>0</v>
      </c>
      <c r="AC122" s="403" cm="1">
        <f t="array" ref="AC122">INDEX(Technologieën[Jaarlijkse kosten (onafh. aantal patiënt/organisatie)],MATCH(B122,IF(Technologieën[Zoeksleutel bronnummer]=G122,Technologieën[Digitale zorgtoepassing]),0))/uniforme_input[[#This Row],[Aantal doelgroepen waarop toepasbaar]]</f>
        <v>0</v>
      </c>
      <c r="AD122" s="403" cm="1">
        <f t="array" ref="AD122">INDEX(Technologieën[Initiële investering (p. patiënt)],MATCH(B122,IF(Technologieën[Zoeksleutel bronnummer]=G122,Technologieën[Digitale zorgtoepassing]),0))</f>
        <v>0</v>
      </c>
      <c r="AE122" s="403" cm="1">
        <f t="array" ref="AE122">INDEX(Technologieën[Initiële investering (p. organisatie)],MATCH(B122,IF(Technologieën[Zoeksleutel bronnummer]=G122,Technologieën[Digitale zorgtoepassing]),0))</f>
        <v>0</v>
      </c>
      <c r="AF122"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22" s="398">
        <f>(uniforme_input[[#This Row],[Initiële investering per organisatie]]*uniforme_input[[#This Row],[Aantal organisaties]])/uniforme_input[[#This Row],[Patiëntaantallen]]</f>
        <v>0</v>
      </c>
      <c r="AH122" s="410">
        <f>IF(uniforme_input[[#This Row],[Bron gebruiken voor kosten/investering?]]="Ja",uniforme_input[[#This Row],[Jaarlijkse kosten per patiënt]] + uniforme_input[[#This Row],[Jaarlijkse kosten per patiënt berekend]],0)</f>
        <v>0</v>
      </c>
      <c r="AI122" s="409">
        <f>IF(uniforme_input[[#This Row],[Bron gebruiken voor kosten/investering?]]="Ja",uniforme_input[[#This Row],[Initiële investering per patiënt]]+uniforme_input[[#This Row],[Initiële investering per patiënt berekend]],0)</f>
        <v>0</v>
      </c>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row>
    <row r="123" spans="1:83" s="2" customFormat="1" x14ac:dyDescent="0.5">
      <c r="A123" s="51" t="str">
        <f>INDEX(Technologieën[Veld],MATCH(G123,Technologieën[Zoeksleutel bronnummer],0))</f>
        <v>Software - Behandeling</v>
      </c>
      <c r="B123" s="33" t="s">
        <v>101</v>
      </c>
      <c r="C123" s="32" t="s">
        <v>391</v>
      </c>
      <c r="D123" s="32" t="s">
        <v>390</v>
      </c>
      <c r="E123" s="33" t="s">
        <v>84</v>
      </c>
      <c r="F123" s="33" t="str" cm="1">
        <f t="array" ref="F123">INDEX(Berekening_patiëntaantal[Direct toepasbaar/extrapolatie/incidentie voor QALY],MATCH(B123,IF(Berekening_patiëntaantal[Doelgroep (zoeksleutel)]=E123,Berekening_patiëntaantal[Digitale zorgtoepassing]),0))</f>
        <v>Huidige toepassing</v>
      </c>
      <c r="G123" s="33" t="s">
        <v>555</v>
      </c>
      <c r="H123" s="33" t="s">
        <v>144</v>
      </c>
      <c r="I123" s="403">
        <f>INDEX(Uurloon[Uurtarief zorgpersoneel],MATCH(H123,Uurloon[Zorgverlener],0))</f>
        <v>20.410632183908046</v>
      </c>
      <c r="J123" s="404" cm="1">
        <f t="array" ref="J123">INDEX(Berekening_patiëntaantal[Patiëntaantallen],MATCH(B123,IF(Berekening_patiëntaantal[Doelgroep (zoeksleutel)]=E123,Berekening_patiëntaantal[Digitale zorgtoepassing]),0))</f>
        <v>91482.64984227129</v>
      </c>
      <c r="K123" s="404">
        <f>IFERROR(INDEX(aantal_organisaties[Aantal organisaties waarop toepasbaar],MATCH(B123,aantal_organisaties[Digitale zorgtoepassing],0)),0)</f>
        <v>0</v>
      </c>
      <c r="L123" s="397">
        <f>COUNTIF(uniforme_input[Doelgroep],E123)</f>
        <v>2</v>
      </c>
      <c r="M123" s="405" cm="1">
        <f t="array" ref="M123">INDEX(Technologieën[Tijdsbesparing p. patiënt (min/week)],MATCH(B123,IF(Technologieën[Zoeksleutel bronnummer]=G123,Technologieën[Digitale zorgtoepassing]),0))</f>
        <v>0</v>
      </c>
      <c r="N123" s="405" cm="1">
        <f t="array" ref="N123">INDEX(Technologieën[Tijdsbesparing per handeling (min)],MATCH(B123,IF(Technologieën[Zoeksleutel bronnummer]=G123,Technologieën[Digitale zorgtoepassing]),0))</f>
        <v>0</v>
      </c>
      <c r="O123" s="403" cm="1">
        <f t="array" ref="O123">INDEX(Technologieën[Besparing overige kosten (€/patiënt/jaar)],MATCH(B123,IF(Technologieën[Zoeksleutel bronnummer]=G123,Technologieën[Digitale zorgtoepassing]),0))</f>
        <v>0</v>
      </c>
      <c r="P123" s="403" cm="1">
        <f t="array" ref="P123">INDEX(Technologieën[Kostenbesparing p. patiënt door arbeidsbesparing (€/week)],MATCH(B123,IF(Technologieën[Zoeksleutel bronnummer]=G123,Technologieën[Digitale zorgtoepassing]),0))</f>
        <v>0</v>
      </c>
      <c r="Q123" s="403" cm="1">
        <f t="array" ref="Q123">INDEX(Technologieën[Kostenbesparing (personeel) per handeling (€)],MATCH(B123,IF(Technologieën[Zoeksleutel bronnummer]=G123,Technologieën[Digitale zorgtoepassing]),0))</f>
        <v>0</v>
      </c>
      <c r="R123" s="403" cm="1">
        <f t="array" ref="R123">INDEX(Technologieën[Besparing overige kosten (€/jaar)],MATCH(B123,IF(Technologieën[Zoeksleutel bronnummer]=G123,Technologieën[Digitale zorgtoepassing]),0))</f>
        <v>289880.06852547609</v>
      </c>
      <c r="S123" s="405" cm="1">
        <f t="array" ref="S123">INDEX(Technologieën[Jaarlijkse besparing zorgpersoneel (FTE)],MATCH(B123,IF(Technologieën[Zoeksleutel bronnummer]=G123,Technologieën[Digitale zorgtoepassing]),0))</f>
        <v>477</v>
      </c>
      <c r="T123" s="406" cm="1">
        <f t="array" ref="T123">(INDEX(Technologieën[QALY],MATCH(B123,IF(Technologieën[Zoeksleutel bronnummer]=G123,Technologieën[Digitale zorgtoepassing]),0)))</f>
        <v>0</v>
      </c>
      <c r="U123" s="407">
        <f>(uniforme_input[[#This Row],[Kostenbesparing door arbeidsbesparing p. patiënt (€/week)]]/uniforme_input[[#This Row],[Uurtarief]]*60) + (uniforme_input[[#This Row],[Totaal arbeidsbesparing onafhankelijk van patiënt (FTE)]]*40*60)/uniforme_input[[#This Row],[Patiëntaantallen]]</f>
        <v>12.513848275862069</v>
      </c>
      <c r="V123" s="407">
        <f>(uniforme_input[[#This Row],[Kostenbesparing per handeling (€)]]/uniforme_input[[#This Row],[Uurtarief]])*60</f>
        <v>0</v>
      </c>
      <c r="W123" s="398">
        <f>uniforme_input[[#This Row],[Overige kostenbesparing (Totaal €/jaar)]]/uniforme_input[[#This Row],[Patiëntaantallen]]</f>
        <v>3.1686890249164112</v>
      </c>
      <c r="X123" s="408">
        <f>IF(uniforme_input[[#This Row],[Bron gebruiken voor opbrengsten?]]="Ja",uniforme_input[[#This Row],[Tijdsbesparing (min/week/patiënt) - gegeven]]+uniforme_input[[#This Row],[Tijdsbesparing (min/week/patiënt) berekend]],0)</f>
        <v>12.513848275862069</v>
      </c>
      <c r="Y123" s="407">
        <f>IF(uniforme_input[[#This Row],[Bron gebruiken voor opbrengsten?]]="Ja",uniforme_input[[#This Row],[Tijdsbesparing (min/handeling) - gegeven]]+uniforme_input[[#This Row],[Tijdsbesparing (min/handeling) berekend]],0)</f>
        <v>0</v>
      </c>
      <c r="Z123" s="409">
        <f>IF(uniforme_input[[#This Row],[Bron gebruiken voor opbrengsten?]]="Ja",uniforme_input[[#This Row],[Overige kostenbesparing (€/jaar/patiënt) - gegeven]]+uniforme_input[[#This Row],[Overige kostenbesparing (€/jaar/patiënt) berekend]],0)</f>
        <v>3.1686890249164112</v>
      </c>
      <c r="AA123" s="403" cm="1">
        <f t="array" ref="AA123">INDEX(Technologieën[Jaarlijkse kosten p. patiënt],MATCH(B123,IF(Technologieën[Zoeksleutel bronnummer]=G123,Technologieën[Digitale zorgtoepassing]),0))</f>
        <v>0</v>
      </c>
      <c r="AB123" s="403" cm="1">
        <f t="array" ref="AB123">INDEX(Technologieën[Jaarlijkse kosten p. organisatie],MATCH(B123,IF(Technologieën[Zoeksleutel bronnummer]=G123,Technologieën[Digitale zorgtoepassing]),0))/uniforme_input[[#This Row],[Aantal doelgroepen waarop toepasbaar]]</f>
        <v>0</v>
      </c>
      <c r="AC123" s="403" cm="1">
        <f t="array" ref="AC123">INDEX(Technologieën[Jaarlijkse kosten (onafh. aantal patiënt/organisatie)],MATCH(B123,IF(Technologieën[Zoeksleutel bronnummer]=G123,Technologieën[Digitale zorgtoepassing]),0))/uniforme_input[[#This Row],[Aantal doelgroepen waarop toepasbaar]]</f>
        <v>0</v>
      </c>
      <c r="AD123" s="403" cm="1">
        <f t="array" ref="AD123">INDEX(Technologieën[Initiële investering (p. patiënt)],MATCH(B123,IF(Technologieën[Zoeksleutel bronnummer]=G123,Technologieën[Digitale zorgtoepassing]),0))</f>
        <v>0</v>
      </c>
      <c r="AE123" s="403" cm="1">
        <f t="array" ref="AE123">INDEX(Technologieën[Initiële investering (p. organisatie)],MATCH(B123,IF(Technologieën[Zoeksleutel bronnummer]=G123,Technologieën[Digitale zorgtoepassing]),0))</f>
        <v>0</v>
      </c>
      <c r="AF123"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23" s="398">
        <f>(uniforme_input[[#This Row],[Initiële investering per organisatie]]*uniforme_input[[#This Row],[Aantal organisaties]])/uniforme_input[[#This Row],[Patiëntaantallen]]</f>
        <v>0</v>
      </c>
      <c r="AH123" s="410">
        <f>IF(uniforme_input[[#This Row],[Bron gebruiken voor kosten/investering?]]="Ja",uniforme_input[[#This Row],[Jaarlijkse kosten per patiënt]] + uniforme_input[[#This Row],[Jaarlijkse kosten per patiënt berekend]],0)</f>
        <v>0</v>
      </c>
      <c r="AI123" s="409">
        <f>IF(uniforme_input[[#This Row],[Bron gebruiken voor kosten/investering?]]="Ja",uniforme_input[[#This Row],[Initiële investering per patiënt]]+uniforme_input[[#This Row],[Initiële investering per patiënt berekend]],0)</f>
        <v>0</v>
      </c>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row>
    <row r="124" spans="1:83" s="2" customFormat="1" x14ac:dyDescent="0.5">
      <c r="A124" s="51" t="str">
        <f>INDEX(Technologieën[Veld],MATCH(G124,Technologieën[Zoeksleutel bronnummer],0))</f>
        <v>Software - Behandeling</v>
      </c>
      <c r="B124" s="33" t="s">
        <v>101</v>
      </c>
      <c r="C124" s="32" t="s">
        <v>390</v>
      </c>
      <c r="D124" s="32" t="s">
        <v>391</v>
      </c>
      <c r="E124" s="33" t="s">
        <v>83</v>
      </c>
      <c r="F124" s="33" t="str" cm="1">
        <f t="array" ref="F124">INDEX(Berekening_patiëntaantal[Direct toepasbaar/extrapolatie/incidentie voor QALY],MATCH(B124,IF(Berekening_patiëntaantal[Doelgroep (zoeksleutel)]=E124,Berekening_patiëntaantal[Digitale zorgtoepassing]),0))</f>
        <v>Huidige toepassing</v>
      </c>
      <c r="G124" s="33" t="s">
        <v>554</v>
      </c>
      <c r="H124" s="33" t="s">
        <v>144</v>
      </c>
      <c r="I124" s="403">
        <f>INDEX(Uurloon[Uurtarief zorgpersoneel],MATCH(H124,Uurloon[Zorgverlener],0))</f>
        <v>20.410632183908046</v>
      </c>
      <c r="J124" s="404" cm="1">
        <f t="array" ref="J124">INDEX(Berekening_patiëntaantal[Patiëntaantallen],MATCH(B124,IF(Berekening_patiëntaantal[Doelgroep (zoeksleutel)]=E124,Berekening_patiëntaantal[Digitale zorgtoepassing]),0))</f>
        <v>144629</v>
      </c>
      <c r="K124" s="404">
        <f>IFERROR(INDEX(aantal_organisaties[Aantal organisaties waarop toepasbaar],MATCH(B124,aantal_organisaties[Digitale zorgtoepassing],0)),0)</f>
        <v>0</v>
      </c>
      <c r="L124" s="397">
        <f>COUNTIF(uniforme_input[Doelgroep],E124)</f>
        <v>2</v>
      </c>
      <c r="M124" s="405" cm="1">
        <f t="array" ref="M124">INDEX(Technologieën[Tijdsbesparing p. patiënt (min/week)],MATCH(B124,IF(Technologieën[Zoeksleutel bronnummer]=G124,Technologieën[Digitale zorgtoepassing]),0))</f>
        <v>0</v>
      </c>
      <c r="N124" s="405" cm="1">
        <f t="array" ref="N124">INDEX(Technologieën[Tijdsbesparing per handeling (min)],MATCH(B124,IF(Technologieën[Zoeksleutel bronnummer]=G124,Technologieën[Digitale zorgtoepassing]),0))</f>
        <v>0</v>
      </c>
      <c r="O124" s="403" cm="1">
        <f t="array" ref="O124">INDEX(Technologieën[Besparing overige kosten (€/patiënt/jaar)],MATCH(B124,IF(Technologieën[Zoeksleutel bronnummer]=G124,Technologieën[Digitale zorgtoepassing]),0))</f>
        <v>0</v>
      </c>
      <c r="P124" s="403" cm="1">
        <f t="array" ref="P124">INDEX(Technologieën[Kostenbesparing p. patiënt door arbeidsbesparing (€/week)],MATCH(B124,IF(Technologieën[Zoeksleutel bronnummer]=G124,Technologieën[Digitale zorgtoepassing]),0))</f>
        <v>0</v>
      </c>
      <c r="Q124" s="403" cm="1">
        <f t="array" ref="Q124">INDEX(Technologieën[Kostenbesparing (personeel) per handeling (€)],MATCH(B124,IF(Technologieën[Zoeksleutel bronnummer]=G124,Technologieën[Digitale zorgtoepassing]),0))</f>
        <v>0</v>
      </c>
      <c r="R124" s="403" cm="1">
        <f t="array" ref="R124">INDEX(Technologieën[Besparing overige kosten (€/jaar)],MATCH(B124,IF(Technologieën[Zoeksleutel bronnummer]=G124,Technologieën[Digitale zorgtoepassing]),0))</f>
        <v>0</v>
      </c>
      <c r="S124" s="405" cm="1">
        <f t="array" ref="S124">INDEX(Technologieën[Jaarlijkse besparing zorgpersoneel (FTE)],MATCH(B124,IF(Technologieën[Zoeksleutel bronnummer]=G124,Technologieën[Digitale zorgtoepassing]),0))</f>
        <v>0</v>
      </c>
      <c r="T124" s="406" cm="1">
        <f t="array" ref="T124">(INDEX(Technologieën[QALY],MATCH(B124,IF(Technologieën[Zoeksleutel bronnummer]=G124,Technologieën[Digitale zorgtoepassing]),0)))</f>
        <v>0</v>
      </c>
      <c r="U124" s="407">
        <f>(uniforme_input[[#This Row],[Kostenbesparing door arbeidsbesparing p. patiënt (€/week)]]/uniforme_input[[#This Row],[Uurtarief]]*60) + (uniforme_input[[#This Row],[Totaal arbeidsbesparing onafhankelijk van patiënt (FTE)]]*40*60)/uniforme_input[[#This Row],[Patiëntaantallen]]</f>
        <v>0</v>
      </c>
      <c r="V124" s="407">
        <f>(uniforme_input[[#This Row],[Kostenbesparing per handeling (€)]]/uniforme_input[[#This Row],[Uurtarief]])*60</f>
        <v>0</v>
      </c>
      <c r="W124" s="398">
        <f>uniforme_input[[#This Row],[Overige kostenbesparing (Totaal €/jaar)]]/uniforme_input[[#This Row],[Patiëntaantallen]]</f>
        <v>0</v>
      </c>
      <c r="X124" s="408">
        <f>IF(uniforme_input[[#This Row],[Bron gebruiken voor opbrengsten?]]="Ja",uniforme_input[[#This Row],[Tijdsbesparing (min/week/patiënt) - gegeven]]+uniforme_input[[#This Row],[Tijdsbesparing (min/week/patiënt) berekend]],0)</f>
        <v>0</v>
      </c>
      <c r="Y124" s="407">
        <f>IF(uniforme_input[[#This Row],[Bron gebruiken voor opbrengsten?]]="Ja",uniforme_input[[#This Row],[Tijdsbesparing (min/handeling) - gegeven]]+uniforme_input[[#This Row],[Tijdsbesparing (min/handeling) berekend]],0)</f>
        <v>0</v>
      </c>
      <c r="Z124" s="409">
        <f>IF(uniforme_input[[#This Row],[Bron gebruiken voor opbrengsten?]]="Ja",uniforme_input[[#This Row],[Overige kostenbesparing (€/jaar/patiënt) - gegeven]]+uniforme_input[[#This Row],[Overige kostenbesparing (€/jaar/patiënt) berekend]],0)</f>
        <v>0</v>
      </c>
      <c r="AA124" s="403" cm="1">
        <f t="array" ref="AA124">INDEX(Technologieën[Jaarlijkse kosten p. patiënt],MATCH(B124,IF(Technologieën[Zoeksleutel bronnummer]=G124,Technologieën[Digitale zorgtoepassing]),0))</f>
        <v>24</v>
      </c>
      <c r="AB124" s="403" cm="1">
        <f t="array" ref="AB124">INDEX(Technologieën[Jaarlijkse kosten p. organisatie],MATCH(B124,IF(Technologieën[Zoeksleutel bronnummer]=G124,Technologieën[Digitale zorgtoepassing]),0))/uniforme_input[[#This Row],[Aantal doelgroepen waarop toepasbaar]]</f>
        <v>0</v>
      </c>
      <c r="AC124" s="403" cm="1">
        <f t="array" ref="AC124">INDEX(Technologieën[Jaarlijkse kosten (onafh. aantal patiënt/organisatie)],MATCH(B124,IF(Technologieën[Zoeksleutel bronnummer]=G124,Technologieën[Digitale zorgtoepassing]),0))/uniforme_input[[#This Row],[Aantal doelgroepen waarop toepasbaar]]</f>
        <v>0</v>
      </c>
      <c r="AD124" s="403" cm="1">
        <f t="array" ref="AD124">INDEX(Technologieën[Initiële investering (p. patiënt)],MATCH(B124,IF(Technologieën[Zoeksleutel bronnummer]=G124,Technologieën[Digitale zorgtoepassing]),0))</f>
        <v>0</v>
      </c>
      <c r="AE124" s="403" cm="1">
        <f t="array" ref="AE124">INDEX(Technologieën[Initiële investering (p. organisatie)],MATCH(B124,IF(Technologieën[Zoeksleutel bronnummer]=G124,Technologieën[Digitale zorgtoepassing]),0))</f>
        <v>0</v>
      </c>
      <c r="AF124"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24" s="398">
        <f>(uniforme_input[[#This Row],[Initiële investering per organisatie]]*uniforme_input[[#This Row],[Aantal organisaties]])/uniforme_input[[#This Row],[Patiëntaantallen]]</f>
        <v>0</v>
      </c>
      <c r="AH124" s="410">
        <f>IF(uniforme_input[[#This Row],[Bron gebruiken voor kosten/investering?]]="Ja",uniforme_input[[#This Row],[Jaarlijkse kosten per patiënt]] + uniforme_input[[#This Row],[Jaarlijkse kosten per patiënt berekend]],0)</f>
        <v>24</v>
      </c>
      <c r="AI124" s="409">
        <f>IF(uniforme_input[[#This Row],[Bron gebruiken voor kosten/investering?]]="Ja",uniforme_input[[#This Row],[Initiële investering per patiënt]]+uniforme_input[[#This Row],[Initiële investering per patiënt berekend]],0)</f>
        <v>0</v>
      </c>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row>
    <row r="125" spans="1:83" s="2" customFormat="1" x14ac:dyDescent="0.5">
      <c r="A125" s="51" t="str">
        <f>INDEX(Technologieën[Veld],MATCH(G125,Technologieën[Zoeksleutel bronnummer],0))</f>
        <v>Software - Behandeling</v>
      </c>
      <c r="B125" s="33" t="s">
        <v>101</v>
      </c>
      <c r="C125" s="32" t="s">
        <v>390</v>
      </c>
      <c r="D125" s="32" t="s">
        <v>391</v>
      </c>
      <c r="E125" s="33" t="s">
        <v>84</v>
      </c>
      <c r="F125" s="33" t="str" cm="1">
        <f t="array" ref="F125">INDEX(Berekening_patiëntaantal[Direct toepasbaar/extrapolatie/incidentie voor QALY],MATCH(B125,IF(Berekening_patiëntaantal[Doelgroep (zoeksleutel)]=E125,Berekening_patiëntaantal[Digitale zorgtoepassing]),0))</f>
        <v>Huidige toepassing</v>
      </c>
      <c r="G125" s="33" t="s">
        <v>554</v>
      </c>
      <c r="H125" s="33" t="s">
        <v>144</v>
      </c>
      <c r="I125" s="403">
        <f>INDEX(Uurloon[Uurtarief zorgpersoneel],MATCH(H125,Uurloon[Zorgverlener],0))</f>
        <v>20.410632183908046</v>
      </c>
      <c r="J125" s="404" cm="1">
        <f t="array" ref="J125">INDEX(Berekening_patiëntaantal[Patiëntaantallen],MATCH(B125,IF(Berekening_patiëntaantal[Doelgroep (zoeksleutel)]=E125,Berekening_patiëntaantal[Digitale zorgtoepassing]),0))</f>
        <v>91482.64984227129</v>
      </c>
      <c r="K125" s="404">
        <f>IFERROR(INDEX(aantal_organisaties[Aantal organisaties waarop toepasbaar],MATCH(B125,aantal_organisaties[Digitale zorgtoepassing],0)),0)</f>
        <v>0</v>
      </c>
      <c r="L125" s="397">
        <f>COUNTIF(uniforme_input[Doelgroep],E125)</f>
        <v>2</v>
      </c>
      <c r="M125" s="405" cm="1">
        <f t="array" ref="M125">INDEX(Technologieën[Tijdsbesparing p. patiënt (min/week)],MATCH(B125,IF(Technologieën[Zoeksleutel bronnummer]=G125,Technologieën[Digitale zorgtoepassing]),0))</f>
        <v>0</v>
      </c>
      <c r="N125" s="405" cm="1">
        <f t="array" ref="N125">INDEX(Technologieën[Tijdsbesparing per handeling (min)],MATCH(B125,IF(Technologieën[Zoeksleutel bronnummer]=G125,Technologieën[Digitale zorgtoepassing]),0))</f>
        <v>0</v>
      </c>
      <c r="O125" s="403" cm="1">
        <f t="array" ref="O125">INDEX(Technologieën[Besparing overige kosten (€/patiënt/jaar)],MATCH(B125,IF(Technologieën[Zoeksleutel bronnummer]=G125,Technologieën[Digitale zorgtoepassing]),0))</f>
        <v>0</v>
      </c>
      <c r="P125" s="403" cm="1">
        <f t="array" ref="P125">INDEX(Technologieën[Kostenbesparing p. patiënt door arbeidsbesparing (€/week)],MATCH(B125,IF(Technologieën[Zoeksleutel bronnummer]=G125,Technologieën[Digitale zorgtoepassing]),0))</f>
        <v>0</v>
      </c>
      <c r="Q125" s="403" cm="1">
        <f t="array" ref="Q125">INDEX(Technologieën[Kostenbesparing (personeel) per handeling (€)],MATCH(B125,IF(Technologieën[Zoeksleutel bronnummer]=G125,Technologieën[Digitale zorgtoepassing]),0))</f>
        <v>0</v>
      </c>
      <c r="R125" s="403" cm="1">
        <f t="array" ref="R125">INDEX(Technologieën[Besparing overige kosten (€/jaar)],MATCH(B125,IF(Technologieën[Zoeksleutel bronnummer]=G125,Technologieën[Digitale zorgtoepassing]),0))</f>
        <v>0</v>
      </c>
      <c r="S125" s="405" cm="1">
        <f t="array" ref="S125">INDEX(Technologieën[Jaarlijkse besparing zorgpersoneel (FTE)],MATCH(B125,IF(Technologieën[Zoeksleutel bronnummer]=G125,Technologieën[Digitale zorgtoepassing]),0))</f>
        <v>0</v>
      </c>
      <c r="T125" s="406" cm="1">
        <f t="array" ref="T125">(INDEX(Technologieën[QALY],MATCH(B125,IF(Technologieën[Zoeksleutel bronnummer]=G125,Technologieën[Digitale zorgtoepassing]),0)))</f>
        <v>0</v>
      </c>
      <c r="U125" s="407">
        <f>(uniforme_input[[#This Row],[Kostenbesparing door arbeidsbesparing p. patiënt (€/week)]]/uniforme_input[[#This Row],[Uurtarief]]*60) + (uniforme_input[[#This Row],[Totaal arbeidsbesparing onafhankelijk van patiënt (FTE)]]*40*60)/uniforme_input[[#This Row],[Patiëntaantallen]]</f>
        <v>0</v>
      </c>
      <c r="V125" s="407">
        <f>(uniforme_input[[#This Row],[Kostenbesparing per handeling (€)]]/uniforme_input[[#This Row],[Uurtarief]])*60</f>
        <v>0</v>
      </c>
      <c r="W125" s="398">
        <f>uniforme_input[[#This Row],[Overige kostenbesparing (Totaal €/jaar)]]/uniforme_input[[#This Row],[Patiëntaantallen]]</f>
        <v>0</v>
      </c>
      <c r="X125" s="408">
        <f>IF(uniforme_input[[#This Row],[Bron gebruiken voor opbrengsten?]]="Ja",uniforme_input[[#This Row],[Tijdsbesparing (min/week/patiënt) - gegeven]]+uniforme_input[[#This Row],[Tijdsbesparing (min/week/patiënt) berekend]],0)</f>
        <v>0</v>
      </c>
      <c r="Y125" s="407">
        <f>IF(uniforme_input[[#This Row],[Bron gebruiken voor opbrengsten?]]="Ja",uniforme_input[[#This Row],[Tijdsbesparing (min/handeling) - gegeven]]+uniforme_input[[#This Row],[Tijdsbesparing (min/handeling) berekend]],0)</f>
        <v>0</v>
      </c>
      <c r="Z125" s="409">
        <f>IF(uniforme_input[[#This Row],[Bron gebruiken voor opbrengsten?]]="Ja",uniforme_input[[#This Row],[Overige kostenbesparing (€/jaar/patiënt) - gegeven]]+uniforme_input[[#This Row],[Overige kostenbesparing (€/jaar/patiënt) berekend]],0)</f>
        <v>0</v>
      </c>
      <c r="AA125" s="403" cm="1">
        <f t="array" ref="AA125">INDEX(Technologieën[Jaarlijkse kosten p. patiënt],MATCH(B125,IF(Technologieën[Zoeksleutel bronnummer]=G125,Technologieën[Digitale zorgtoepassing]),0))</f>
        <v>24</v>
      </c>
      <c r="AB125" s="403" cm="1">
        <f t="array" ref="AB125">INDEX(Technologieën[Jaarlijkse kosten p. organisatie],MATCH(B125,IF(Technologieën[Zoeksleutel bronnummer]=G125,Technologieën[Digitale zorgtoepassing]),0))/uniforme_input[[#This Row],[Aantal doelgroepen waarop toepasbaar]]</f>
        <v>0</v>
      </c>
      <c r="AC125" s="403" cm="1">
        <f t="array" ref="AC125">INDEX(Technologieën[Jaarlijkse kosten (onafh. aantal patiënt/organisatie)],MATCH(B125,IF(Technologieën[Zoeksleutel bronnummer]=G125,Technologieën[Digitale zorgtoepassing]),0))/uniforme_input[[#This Row],[Aantal doelgroepen waarop toepasbaar]]</f>
        <v>0</v>
      </c>
      <c r="AD125" s="403" cm="1">
        <f t="array" ref="AD125">INDEX(Technologieën[Initiële investering (p. patiënt)],MATCH(B125,IF(Technologieën[Zoeksleutel bronnummer]=G125,Technologieën[Digitale zorgtoepassing]),0))</f>
        <v>0</v>
      </c>
      <c r="AE125" s="403" cm="1">
        <f t="array" ref="AE125">INDEX(Technologieën[Initiële investering (p. organisatie)],MATCH(B125,IF(Technologieën[Zoeksleutel bronnummer]=G125,Technologieën[Digitale zorgtoepassing]),0))</f>
        <v>0</v>
      </c>
      <c r="AF125"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25" s="398">
        <f>(uniforme_input[[#This Row],[Initiële investering per organisatie]]*uniforme_input[[#This Row],[Aantal organisaties]])/uniforme_input[[#This Row],[Patiëntaantallen]]</f>
        <v>0</v>
      </c>
      <c r="AH125" s="410">
        <f>IF(uniforme_input[[#This Row],[Bron gebruiken voor kosten/investering?]]="Ja",uniforme_input[[#This Row],[Jaarlijkse kosten per patiënt]] + uniforme_input[[#This Row],[Jaarlijkse kosten per patiënt berekend]],0)</f>
        <v>24</v>
      </c>
      <c r="AI125" s="409">
        <f>IF(uniforme_input[[#This Row],[Bron gebruiken voor kosten/investering?]]="Ja",uniforme_input[[#This Row],[Initiële investering per patiënt]]+uniforme_input[[#This Row],[Initiële investering per patiënt berekend]],0)</f>
        <v>0</v>
      </c>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row>
    <row r="126" spans="1:83" s="2" customFormat="1" x14ac:dyDescent="0.5">
      <c r="A126" s="51" t="str">
        <f>INDEX(Technologieën[Veld],MATCH(G126,Technologieën[Zoeksleutel bronnummer],0))</f>
        <v>Digitale hulpmiddelen - Verpleging</v>
      </c>
      <c r="B126" s="33" t="s">
        <v>48</v>
      </c>
      <c r="C126" s="32" t="s">
        <v>391</v>
      </c>
      <c r="D126" s="32" t="s">
        <v>390</v>
      </c>
      <c r="E126" s="33" t="s">
        <v>49</v>
      </c>
      <c r="F126" s="33" t="str" cm="1">
        <f t="array" ref="F126">INDEX(Berekening_patiëntaantal[Direct toepasbaar/extrapolatie/incidentie voor QALY],MATCH(B126,IF(Berekening_patiëntaantal[Doelgroep (zoeksleutel)]=E126,Berekening_patiëntaantal[Digitale zorgtoepassing]),0))</f>
        <v>Huidige toepassing</v>
      </c>
      <c r="G126" s="33" t="s">
        <v>556</v>
      </c>
      <c r="H126" s="33" t="s">
        <v>144</v>
      </c>
      <c r="I126" s="403">
        <f>INDEX(Uurloon[Uurtarief zorgpersoneel],MATCH(H126,Uurloon[Zorgverlener],0))</f>
        <v>20.410632183908046</v>
      </c>
      <c r="J126" s="404" cm="1">
        <f t="array" ref="J126">INDEX(Berekening_patiëntaantal[Patiëntaantallen],MATCH(B126,IF(Berekening_patiëntaantal[Doelgroep (zoeksleutel)]=E126,Berekening_patiëntaantal[Digitale zorgtoepassing]),0))</f>
        <v>96000</v>
      </c>
      <c r="K126" s="404">
        <f>IFERROR(INDEX(aantal_organisaties[Aantal organisaties waarop toepasbaar],MATCH(B126,aantal_organisaties[Digitale zorgtoepassing],0)),0)</f>
        <v>0</v>
      </c>
      <c r="L126" s="397">
        <f>COUNTIF(uniforme_input[Doelgroep],E126)</f>
        <v>3</v>
      </c>
      <c r="M126" s="405" cm="1">
        <f t="array" ref="M126">INDEX(Technologieën[Tijdsbesparing p. patiënt (min/week)],MATCH(B126,IF(Technologieën[Zoeksleutel bronnummer]=G126,Technologieën[Digitale zorgtoepassing]),0))</f>
        <v>84</v>
      </c>
      <c r="N126" s="405" cm="1">
        <f t="array" ref="N126">INDEX(Technologieën[Tijdsbesparing per handeling (min)],MATCH(B126,IF(Technologieën[Zoeksleutel bronnummer]=G126,Technologieën[Digitale zorgtoepassing]),0))</f>
        <v>0</v>
      </c>
      <c r="O126" s="403" cm="1">
        <f t="array" ref="O126">INDEX(Technologieën[Besparing overige kosten (€/patiënt/jaar)],MATCH(B126,IF(Technologieën[Zoeksleutel bronnummer]=G126,Technologieën[Digitale zorgtoepassing]),0))</f>
        <v>207.0508064820049</v>
      </c>
      <c r="P126" s="403" cm="1">
        <f t="array" ref="P126">INDEX(Technologieën[Kostenbesparing p. patiënt door arbeidsbesparing (€/week)],MATCH(B126,IF(Technologieën[Zoeksleutel bronnummer]=G126,Technologieën[Digitale zorgtoepassing]),0))</f>
        <v>0</v>
      </c>
      <c r="Q126" s="403" cm="1">
        <f t="array" ref="Q126">INDEX(Technologieën[Kostenbesparing (personeel) per handeling (€)],MATCH(B126,IF(Technologieën[Zoeksleutel bronnummer]=G126,Technologieën[Digitale zorgtoepassing]),0))</f>
        <v>0</v>
      </c>
      <c r="R126" s="403" cm="1">
        <f t="array" ref="R126">INDEX(Technologieën[Besparing overige kosten (€/jaar)],MATCH(B126,IF(Technologieën[Zoeksleutel bronnummer]=G126,Technologieën[Digitale zorgtoepassing]),0))</f>
        <v>0</v>
      </c>
      <c r="S126" s="405" cm="1">
        <f t="array" ref="S126">INDEX(Technologieën[Jaarlijkse besparing zorgpersoneel (FTE)],MATCH(B126,IF(Technologieën[Zoeksleutel bronnummer]=G126,Technologieën[Digitale zorgtoepassing]),0))</f>
        <v>0</v>
      </c>
      <c r="T126" s="406" cm="1">
        <f t="array" ref="T126">(INDEX(Technologieën[QALY],MATCH(B126,IF(Technologieën[Zoeksleutel bronnummer]=G126,Technologieën[Digitale zorgtoepassing]),0)))</f>
        <v>0</v>
      </c>
      <c r="U126" s="407">
        <f>(uniforme_input[[#This Row],[Kostenbesparing door arbeidsbesparing p. patiënt (€/week)]]/uniforme_input[[#This Row],[Uurtarief]]*60) + (uniforme_input[[#This Row],[Totaal arbeidsbesparing onafhankelijk van patiënt (FTE)]]*40*60)/uniforme_input[[#This Row],[Patiëntaantallen]]</f>
        <v>0</v>
      </c>
      <c r="V126" s="407">
        <f>(uniforme_input[[#This Row],[Kostenbesparing per handeling (€)]]/uniforme_input[[#This Row],[Uurtarief]])*60</f>
        <v>0</v>
      </c>
      <c r="W126" s="398">
        <f>uniforme_input[[#This Row],[Overige kostenbesparing (Totaal €/jaar)]]/uniforme_input[[#This Row],[Patiëntaantallen]]</f>
        <v>0</v>
      </c>
      <c r="X126" s="408">
        <f>IF(uniforme_input[[#This Row],[Bron gebruiken voor opbrengsten?]]="Ja",uniforme_input[[#This Row],[Tijdsbesparing (min/week/patiënt) - gegeven]]+uniforme_input[[#This Row],[Tijdsbesparing (min/week/patiënt) berekend]],0)</f>
        <v>84</v>
      </c>
      <c r="Y126" s="407">
        <f>IF(uniforme_input[[#This Row],[Bron gebruiken voor opbrengsten?]]="Ja",uniforme_input[[#This Row],[Tijdsbesparing (min/handeling) - gegeven]]+uniforme_input[[#This Row],[Tijdsbesparing (min/handeling) berekend]],0)</f>
        <v>0</v>
      </c>
      <c r="Z126" s="409">
        <f>IF(uniforme_input[[#This Row],[Bron gebruiken voor opbrengsten?]]="Ja",uniforme_input[[#This Row],[Overige kostenbesparing (€/jaar/patiënt) - gegeven]]+uniforme_input[[#This Row],[Overige kostenbesparing (€/jaar/patiënt) berekend]],0)</f>
        <v>207.0508064820049</v>
      </c>
      <c r="AA126" s="403" cm="1">
        <f t="array" ref="AA126">INDEX(Technologieën[Jaarlijkse kosten p. patiënt],MATCH(B126,IF(Technologieën[Zoeksleutel bronnummer]=G126,Technologieën[Digitale zorgtoepassing]),0))</f>
        <v>0</v>
      </c>
      <c r="AB126" s="403" cm="1">
        <f t="array" ref="AB126">INDEX(Technologieën[Jaarlijkse kosten p. organisatie],MATCH(B126,IF(Technologieën[Zoeksleutel bronnummer]=G126,Technologieën[Digitale zorgtoepassing]),0))/uniforme_input[[#This Row],[Aantal doelgroepen waarop toepasbaar]]</f>
        <v>0</v>
      </c>
      <c r="AC126" s="403" cm="1">
        <f t="array" ref="AC126">INDEX(Technologieën[Jaarlijkse kosten (onafh. aantal patiënt/organisatie)],MATCH(B126,IF(Technologieën[Zoeksleutel bronnummer]=G126,Technologieën[Digitale zorgtoepassing]),0))/uniforme_input[[#This Row],[Aantal doelgroepen waarop toepasbaar]]</f>
        <v>0</v>
      </c>
      <c r="AD126" s="403" cm="1">
        <f t="array" ref="AD126">INDEX(Technologieën[Initiële investering (p. patiënt)],MATCH(B126,IF(Technologieën[Zoeksleutel bronnummer]=G126,Technologieën[Digitale zorgtoepassing]),0))</f>
        <v>0</v>
      </c>
      <c r="AE126" s="403" cm="1">
        <f t="array" ref="AE126">INDEX(Technologieën[Initiële investering (p. organisatie)],MATCH(B126,IF(Technologieën[Zoeksleutel bronnummer]=G126,Technologieën[Digitale zorgtoepassing]),0))</f>
        <v>0</v>
      </c>
      <c r="AF126"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26" s="398">
        <f>(uniforme_input[[#This Row],[Initiële investering per organisatie]]*uniforme_input[[#This Row],[Aantal organisaties]])/uniforme_input[[#This Row],[Patiëntaantallen]]</f>
        <v>0</v>
      </c>
      <c r="AH126" s="410">
        <f>IF(uniforme_input[[#This Row],[Bron gebruiken voor kosten/investering?]]="Ja",uniforme_input[[#This Row],[Jaarlijkse kosten per patiënt]] + uniforme_input[[#This Row],[Jaarlijkse kosten per patiënt berekend]],0)</f>
        <v>0</v>
      </c>
      <c r="AI126" s="409">
        <f>IF(uniforme_input[[#This Row],[Bron gebruiken voor kosten/investering?]]="Ja",uniforme_input[[#This Row],[Initiële investering per patiënt]]+uniforme_input[[#This Row],[Initiële investering per patiënt berekend]],0)</f>
        <v>0</v>
      </c>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row>
    <row r="127" spans="1:83" s="2" customFormat="1" x14ac:dyDescent="0.5">
      <c r="A127" s="51" t="str">
        <f>INDEX(Technologieën[Veld],MATCH(G127,Technologieën[Zoeksleutel bronnummer],0))</f>
        <v>Digitale hulpmiddelen - Verpleging</v>
      </c>
      <c r="B127" s="33" t="s">
        <v>48</v>
      </c>
      <c r="C127" s="32" t="s">
        <v>390</v>
      </c>
      <c r="D127" s="32" t="s">
        <v>391</v>
      </c>
      <c r="E127" s="33" t="s">
        <v>49</v>
      </c>
      <c r="F127" s="33" t="str" cm="1">
        <f t="array" ref="F127">INDEX(Berekening_patiëntaantal[Direct toepasbaar/extrapolatie/incidentie voor QALY],MATCH(B127,IF(Berekening_patiëntaantal[Doelgroep (zoeksleutel)]=E127,Berekening_patiëntaantal[Digitale zorgtoepassing]),0))</f>
        <v>Huidige toepassing</v>
      </c>
      <c r="G127" s="33" t="s">
        <v>557</v>
      </c>
      <c r="H127" s="33" t="s">
        <v>144</v>
      </c>
      <c r="I127" s="403">
        <f>INDEX(Uurloon[Uurtarief zorgpersoneel],MATCH(H127,Uurloon[Zorgverlener],0))</f>
        <v>20.410632183908046</v>
      </c>
      <c r="J127" s="404" cm="1">
        <f t="array" ref="J127">INDEX(Berekening_patiëntaantal[Patiëntaantallen],MATCH(B127,IF(Berekening_patiëntaantal[Doelgroep (zoeksleutel)]=E127,Berekening_patiëntaantal[Digitale zorgtoepassing]),0))</f>
        <v>96000</v>
      </c>
      <c r="K127" s="404">
        <f>IFERROR(INDEX(aantal_organisaties[Aantal organisaties waarop toepasbaar],MATCH(B127,aantal_organisaties[Digitale zorgtoepassing],0)),0)</f>
        <v>0</v>
      </c>
      <c r="L127" s="397">
        <f>COUNTIF(uniforme_input[Doelgroep],E127)</f>
        <v>3</v>
      </c>
      <c r="M127" s="405" cm="1">
        <f t="array" ref="M127">INDEX(Technologieën[Tijdsbesparing p. patiënt (min/week)],MATCH(B127,IF(Technologieën[Zoeksleutel bronnummer]=G127,Technologieën[Digitale zorgtoepassing]),0))</f>
        <v>0</v>
      </c>
      <c r="N127" s="405" cm="1">
        <f t="array" ref="N127">INDEX(Technologieën[Tijdsbesparing per handeling (min)],MATCH(B127,IF(Technologieën[Zoeksleutel bronnummer]=G127,Technologieën[Digitale zorgtoepassing]),0))</f>
        <v>0</v>
      </c>
      <c r="O127" s="403" cm="1">
        <f t="array" ref="O127">INDEX(Technologieën[Besparing overige kosten (€/patiënt/jaar)],MATCH(B127,IF(Technologieën[Zoeksleutel bronnummer]=G127,Technologieën[Digitale zorgtoepassing]),0))</f>
        <v>0</v>
      </c>
      <c r="P127" s="403" cm="1">
        <f t="array" ref="P127">INDEX(Technologieën[Kostenbesparing p. patiënt door arbeidsbesparing (€/week)],MATCH(B127,IF(Technologieën[Zoeksleutel bronnummer]=G127,Technologieën[Digitale zorgtoepassing]),0))</f>
        <v>0</v>
      </c>
      <c r="Q127" s="403" cm="1">
        <f t="array" ref="Q127">INDEX(Technologieën[Kostenbesparing (personeel) per handeling (€)],MATCH(B127,IF(Technologieën[Zoeksleutel bronnummer]=G127,Technologieën[Digitale zorgtoepassing]),0))</f>
        <v>0</v>
      </c>
      <c r="R127" s="403" cm="1">
        <f t="array" ref="R127">INDEX(Technologieën[Besparing overige kosten (€/jaar)],MATCH(B127,IF(Technologieën[Zoeksleutel bronnummer]=G127,Technologieën[Digitale zorgtoepassing]),0))</f>
        <v>0</v>
      </c>
      <c r="S127" s="405" cm="1">
        <f t="array" ref="S127">INDEX(Technologieën[Jaarlijkse besparing zorgpersoneel (FTE)],MATCH(B127,IF(Technologieën[Zoeksleutel bronnummer]=G127,Technologieën[Digitale zorgtoepassing]),0))</f>
        <v>0</v>
      </c>
      <c r="T127" s="406" cm="1">
        <f t="array" ref="T127">(INDEX(Technologieën[QALY],MATCH(B127,IF(Technologieën[Zoeksleutel bronnummer]=G127,Technologieën[Digitale zorgtoepassing]),0)))</f>
        <v>0</v>
      </c>
      <c r="U127" s="407">
        <f>(uniforme_input[[#This Row],[Kostenbesparing door arbeidsbesparing p. patiënt (€/week)]]/uniforme_input[[#This Row],[Uurtarief]]*60) + (uniforme_input[[#This Row],[Totaal arbeidsbesparing onafhankelijk van patiënt (FTE)]]*40*60)/uniforme_input[[#This Row],[Patiëntaantallen]]</f>
        <v>0</v>
      </c>
      <c r="V127" s="407">
        <f>(uniforme_input[[#This Row],[Kostenbesparing per handeling (€)]]/uniforme_input[[#This Row],[Uurtarief]])*60</f>
        <v>0</v>
      </c>
      <c r="W127" s="398">
        <f>uniforme_input[[#This Row],[Overige kostenbesparing (Totaal €/jaar)]]/uniforme_input[[#This Row],[Patiëntaantallen]]</f>
        <v>0</v>
      </c>
      <c r="X127" s="408">
        <f>IF(uniforme_input[[#This Row],[Bron gebruiken voor opbrengsten?]]="Ja",uniforme_input[[#This Row],[Tijdsbesparing (min/week/patiënt) - gegeven]]+uniforme_input[[#This Row],[Tijdsbesparing (min/week/patiënt) berekend]],0)</f>
        <v>0</v>
      </c>
      <c r="Y127" s="407">
        <f>IF(uniforme_input[[#This Row],[Bron gebruiken voor opbrengsten?]]="Ja",uniforme_input[[#This Row],[Tijdsbesparing (min/handeling) - gegeven]]+uniforme_input[[#This Row],[Tijdsbesparing (min/handeling) berekend]],0)</f>
        <v>0</v>
      </c>
      <c r="Z127" s="409">
        <f>IF(uniforme_input[[#This Row],[Bron gebruiken voor opbrengsten?]]="Ja",uniforme_input[[#This Row],[Overige kostenbesparing (€/jaar/patiënt) - gegeven]]+uniforme_input[[#This Row],[Overige kostenbesparing (€/jaar/patiënt) berekend]],0)</f>
        <v>0</v>
      </c>
      <c r="AA127" s="403" cm="1">
        <f t="array" ref="AA127">INDEX(Technologieën[Jaarlijkse kosten p. patiënt],MATCH(B127,IF(Technologieën[Zoeksleutel bronnummer]=G127,Technologieën[Digitale zorgtoepassing]),0))</f>
        <v>0</v>
      </c>
      <c r="AB127" s="403" cm="1">
        <f t="array" ref="AB127">INDEX(Technologieën[Jaarlijkse kosten p. organisatie],MATCH(B127,IF(Technologieën[Zoeksleutel bronnummer]=G127,Technologieën[Digitale zorgtoepassing]),0))/uniforme_input[[#This Row],[Aantal doelgroepen waarop toepasbaar]]</f>
        <v>0</v>
      </c>
      <c r="AC127" s="403" cm="1">
        <f t="array" ref="AC127">INDEX(Technologieën[Jaarlijkse kosten (onafh. aantal patiënt/organisatie)],MATCH(B127,IF(Technologieën[Zoeksleutel bronnummer]=G127,Technologieën[Digitale zorgtoepassing]),0))/uniforme_input[[#This Row],[Aantal doelgroepen waarop toepasbaar]]</f>
        <v>0</v>
      </c>
      <c r="AD127" s="403" cm="1">
        <f t="array" ref="AD127">INDEX(Technologieën[Initiële investering (p. patiënt)],MATCH(B127,IF(Technologieën[Zoeksleutel bronnummer]=G127,Technologieën[Digitale zorgtoepassing]),0))</f>
        <v>895</v>
      </c>
      <c r="AE127" s="403" cm="1">
        <f t="array" ref="AE127">INDEX(Technologieën[Initiële investering (p. organisatie)],MATCH(B127,IF(Technologieën[Zoeksleutel bronnummer]=G127,Technologieën[Digitale zorgtoepassing]),0))</f>
        <v>0</v>
      </c>
      <c r="AF127"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27" s="398">
        <f>(uniforme_input[[#This Row],[Initiële investering per organisatie]]*uniforme_input[[#This Row],[Aantal organisaties]])/uniforme_input[[#This Row],[Patiëntaantallen]]</f>
        <v>0</v>
      </c>
      <c r="AH127" s="410">
        <f>IF(uniforme_input[[#This Row],[Bron gebruiken voor kosten/investering?]]="Ja",uniforme_input[[#This Row],[Jaarlijkse kosten per patiënt]] + uniforme_input[[#This Row],[Jaarlijkse kosten per patiënt berekend]],0)</f>
        <v>0</v>
      </c>
      <c r="AI127" s="409">
        <f>IF(uniforme_input[[#This Row],[Bron gebruiken voor kosten/investering?]]="Ja",uniforme_input[[#This Row],[Initiële investering per patiënt]]+uniforme_input[[#This Row],[Initiële investering per patiënt berekend]],0)</f>
        <v>895</v>
      </c>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row>
    <row r="128" spans="1:83" s="2" customFormat="1" x14ac:dyDescent="0.5">
      <c r="A128" s="51" t="str">
        <f>INDEX(Technologieën[Veld],MATCH(G128,Technologieën[Zoeksleutel bronnummer],0))</f>
        <v>Digitale hulpmiddelen - Verpleging</v>
      </c>
      <c r="B128" s="33" t="s">
        <v>48</v>
      </c>
      <c r="C128" s="32" t="s">
        <v>391</v>
      </c>
      <c r="D128" s="32" t="s">
        <v>390</v>
      </c>
      <c r="E128" s="33" t="s">
        <v>49</v>
      </c>
      <c r="F128" s="33" t="str" cm="1">
        <f t="array" ref="F128">INDEX(Berekening_patiëntaantal[Direct toepasbaar/extrapolatie/incidentie voor QALY],MATCH(B128,IF(Berekening_patiëntaantal[Doelgroep (zoeksleutel)]=E128,Berekening_patiëntaantal[Digitale zorgtoepassing]),0))</f>
        <v>Huidige toepassing</v>
      </c>
      <c r="G128" s="33" t="s">
        <v>558</v>
      </c>
      <c r="H128" s="33" t="s">
        <v>144</v>
      </c>
      <c r="I128" s="403">
        <f>INDEX(Uurloon[Uurtarief zorgpersoneel],MATCH(H128,Uurloon[Zorgverlener],0))</f>
        <v>20.410632183908046</v>
      </c>
      <c r="J128" s="404" cm="1">
        <f t="array" ref="J128">INDEX(Berekening_patiëntaantal[Patiëntaantallen],MATCH(B128,IF(Berekening_patiëntaantal[Doelgroep (zoeksleutel)]=E128,Berekening_patiëntaantal[Digitale zorgtoepassing]),0))</f>
        <v>96000</v>
      </c>
      <c r="K128" s="404">
        <f>IFERROR(INDEX(aantal_organisaties[Aantal organisaties waarop toepasbaar],MATCH(B128,aantal_organisaties[Digitale zorgtoepassing],0)),0)</f>
        <v>0</v>
      </c>
      <c r="L128" s="397">
        <f>COUNTIF(uniforme_input[Doelgroep],E128)</f>
        <v>3</v>
      </c>
      <c r="M128" s="405" cm="1">
        <f t="array" ref="M128">INDEX(Technologieën[Tijdsbesparing p. patiënt (min/week)],MATCH(B128,IF(Technologieën[Zoeksleutel bronnummer]=G128,Technologieën[Digitale zorgtoepassing]),0))</f>
        <v>105</v>
      </c>
      <c r="N128" s="405" cm="1">
        <f t="array" ref="N128">INDEX(Technologieën[Tijdsbesparing per handeling (min)],MATCH(B128,IF(Technologieën[Zoeksleutel bronnummer]=G128,Technologieën[Digitale zorgtoepassing]),0))</f>
        <v>0</v>
      </c>
      <c r="O128" s="403" cm="1">
        <f t="array" ref="O128">INDEX(Technologieën[Besparing overige kosten (€/patiënt/jaar)],MATCH(B128,IF(Technologieën[Zoeksleutel bronnummer]=G128,Technologieën[Digitale zorgtoepassing]),0))</f>
        <v>258.81350810250615</v>
      </c>
      <c r="P128" s="403" cm="1">
        <f t="array" ref="P128">INDEX(Technologieën[Kostenbesparing p. patiënt door arbeidsbesparing (€/week)],MATCH(B128,IF(Technologieën[Zoeksleutel bronnummer]=G128,Technologieën[Digitale zorgtoepassing]),0))</f>
        <v>0</v>
      </c>
      <c r="Q128" s="403" cm="1">
        <f t="array" ref="Q128">INDEX(Technologieën[Kostenbesparing (personeel) per handeling (€)],MATCH(B128,IF(Technologieën[Zoeksleutel bronnummer]=G128,Technologieën[Digitale zorgtoepassing]),0))</f>
        <v>0</v>
      </c>
      <c r="R128" s="403" cm="1">
        <f t="array" ref="R128">INDEX(Technologieën[Besparing overige kosten (€/jaar)],MATCH(B128,IF(Technologieën[Zoeksleutel bronnummer]=G128,Technologieën[Digitale zorgtoepassing]),0))</f>
        <v>0</v>
      </c>
      <c r="S128" s="405" cm="1">
        <f t="array" ref="S128">INDEX(Technologieën[Jaarlijkse besparing zorgpersoneel (FTE)],MATCH(B128,IF(Technologieën[Zoeksleutel bronnummer]=G128,Technologieën[Digitale zorgtoepassing]),0))</f>
        <v>0</v>
      </c>
      <c r="T128" s="406" cm="1">
        <f t="array" ref="T128">(INDEX(Technologieën[QALY],MATCH(B128,IF(Technologieën[Zoeksleutel bronnummer]=G128,Technologieën[Digitale zorgtoepassing]),0)))</f>
        <v>0</v>
      </c>
      <c r="U128" s="407">
        <f>(uniforme_input[[#This Row],[Kostenbesparing door arbeidsbesparing p. patiënt (€/week)]]/uniforme_input[[#This Row],[Uurtarief]]*60) + (uniforme_input[[#This Row],[Totaal arbeidsbesparing onafhankelijk van patiënt (FTE)]]*40*60)/uniforme_input[[#This Row],[Patiëntaantallen]]</f>
        <v>0</v>
      </c>
      <c r="V128" s="407">
        <f>(uniforme_input[[#This Row],[Kostenbesparing per handeling (€)]]/uniforme_input[[#This Row],[Uurtarief]])*60</f>
        <v>0</v>
      </c>
      <c r="W128" s="398">
        <f>uniforme_input[[#This Row],[Overige kostenbesparing (Totaal €/jaar)]]/uniforme_input[[#This Row],[Patiëntaantallen]]</f>
        <v>0</v>
      </c>
      <c r="X128" s="408">
        <f>IF(uniforme_input[[#This Row],[Bron gebruiken voor opbrengsten?]]="Ja",uniforme_input[[#This Row],[Tijdsbesparing (min/week/patiënt) - gegeven]]+uniforme_input[[#This Row],[Tijdsbesparing (min/week/patiënt) berekend]],0)</f>
        <v>105</v>
      </c>
      <c r="Y128" s="407">
        <f>IF(uniforme_input[[#This Row],[Bron gebruiken voor opbrengsten?]]="Ja",uniforme_input[[#This Row],[Tijdsbesparing (min/handeling) - gegeven]]+uniforme_input[[#This Row],[Tijdsbesparing (min/handeling) berekend]],0)</f>
        <v>0</v>
      </c>
      <c r="Z128" s="409">
        <f>IF(uniforme_input[[#This Row],[Bron gebruiken voor opbrengsten?]]="Ja",uniforme_input[[#This Row],[Overige kostenbesparing (€/jaar/patiënt) - gegeven]]+uniforme_input[[#This Row],[Overige kostenbesparing (€/jaar/patiënt) berekend]],0)</f>
        <v>258.81350810250615</v>
      </c>
      <c r="AA128" s="403" cm="1">
        <f t="array" ref="AA128">INDEX(Technologieën[Jaarlijkse kosten p. patiënt],MATCH(B128,IF(Technologieën[Zoeksleutel bronnummer]=G128,Technologieën[Digitale zorgtoepassing]),0))</f>
        <v>0</v>
      </c>
      <c r="AB128" s="403" cm="1">
        <f t="array" ref="AB128">INDEX(Technologieën[Jaarlijkse kosten p. organisatie],MATCH(B128,IF(Technologieën[Zoeksleutel bronnummer]=G128,Technologieën[Digitale zorgtoepassing]),0))/uniforme_input[[#This Row],[Aantal doelgroepen waarop toepasbaar]]</f>
        <v>0</v>
      </c>
      <c r="AC128" s="403" cm="1">
        <f t="array" ref="AC128">INDEX(Technologieën[Jaarlijkse kosten (onafh. aantal patiënt/organisatie)],MATCH(B128,IF(Technologieën[Zoeksleutel bronnummer]=G128,Technologieën[Digitale zorgtoepassing]),0))/uniforme_input[[#This Row],[Aantal doelgroepen waarop toepasbaar]]</f>
        <v>0</v>
      </c>
      <c r="AD128" s="403" cm="1">
        <f t="array" ref="AD128">INDEX(Technologieën[Initiële investering (p. patiënt)],MATCH(B128,IF(Technologieën[Zoeksleutel bronnummer]=G128,Technologieën[Digitale zorgtoepassing]),0))</f>
        <v>0</v>
      </c>
      <c r="AE128" s="403" cm="1">
        <f t="array" ref="AE128">INDEX(Technologieën[Initiële investering (p. organisatie)],MATCH(B128,IF(Technologieën[Zoeksleutel bronnummer]=G128,Technologieën[Digitale zorgtoepassing]),0))</f>
        <v>0</v>
      </c>
      <c r="AF128"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28" s="398">
        <f>(uniforme_input[[#This Row],[Initiële investering per organisatie]]*uniforme_input[[#This Row],[Aantal organisaties]])/uniforme_input[[#This Row],[Patiëntaantallen]]</f>
        <v>0</v>
      </c>
      <c r="AH128" s="410">
        <f>IF(uniforme_input[[#This Row],[Bron gebruiken voor kosten/investering?]]="Ja",uniforme_input[[#This Row],[Jaarlijkse kosten per patiënt]] + uniforme_input[[#This Row],[Jaarlijkse kosten per patiënt berekend]],0)</f>
        <v>0</v>
      </c>
      <c r="AI128" s="409">
        <f>IF(uniforme_input[[#This Row],[Bron gebruiken voor kosten/investering?]]="Ja",uniforme_input[[#This Row],[Initiële investering per patiënt]]+uniforme_input[[#This Row],[Initiële investering per patiënt berekend]],0)</f>
        <v>0</v>
      </c>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row>
    <row r="129" spans="1:83" s="2" customFormat="1" x14ac:dyDescent="0.5">
      <c r="A129" s="51" t="str">
        <f>INDEX(Technologieën[Veld],MATCH(G129,Technologieën[Zoeksleutel bronnummer],0))</f>
        <v>Digitale hulpmiddelen - Verpleging</v>
      </c>
      <c r="B129" s="33" t="s">
        <v>19</v>
      </c>
      <c r="C129" s="32" t="s">
        <v>391</v>
      </c>
      <c r="D129" s="32" t="s">
        <v>390</v>
      </c>
      <c r="E129" s="33" t="s">
        <v>20</v>
      </c>
      <c r="F129" s="33" t="str" cm="1">
        <f t="array" ref="F129">INDEX(Berekening_patiëntaantal[Direct toepasbaar/extrapolatie/incidentie voor QALY],MATCH(B129,IF(Berekening_patiëntaantal[Doelgroep (zoeksleutel)]=E129,Berekening_patiëntaantal[Digitale zorgtoepassing]),0))</f>
        <v>Huidige toepassing</v>
      </c>
      <c r="G129" s="33" t="s">
        <v>560</v>
      </c>
      <c r="H129" s="33" t="s">
        <v>144</v>
      </c>
      <c r="I129" s="403">
        <f>INDEX(Uurloon[Uurtarief zorgpersoneel],MATCH(H129,Uurloon[Zorgverlener],0))</f>
        <v>20.410632183908046</v>
      </c>
      <c r="J129" s="404" cm="1">
        <f t="array" ref="J129">INDEX(Berekening_patiëntaantal[Patiëntaantallen],MATCH(B129,IF(Berekening_patiëntaantal[Doelgroep (zoeksleutel)]=E129,Berekening_patiëntaantal[Digitale zorgtoepassing]),0))</f>
        <v>7830</v>
      </c>
      <c r="K129" s="404">
        <f>IFERROR(INDEX(aantal_organisaties[Aantal organisaties waarop toepasbaar],MATCH(B129,aantal_organisaties[Digitale zorgtoepassing],0)),0)</f>
        <v>150</v>
      </c>
      <c r="L129" s="397">
        <f>COUNTIF(uniforme_input[Doelgroep],E129)</f>
        <v>14</v>
      </c>
      <c r="M129" s="405" cm="1">
        <f t="array" ref="M129">INDEX(Technologieën[Tijdsbesparing p. patiënt (min/week)],MATCH(B129,IF(Technologieën[Zoeksleutel bronnummer]=G129,Technologieën[Digitale zorgtoepassing]),0))</f>
        <v>65</v>
      </c>
      <c r="N129" s="405" cm="1">
        <f t="array" ref="N129">INDEX(Technologieën[Tijdsbesparing per handeling (min)],MATCH(B129,IF(Technologieën[Zoeksleutel bronnummer]=G129,Technologieën[Digitale zorgtoepassing]),0))</f>
        <v>0</v>
      </c>
      <c r="O129" s="403" cm="1">
        <f t="array" ref="O129">INDEX(Technologieën[Besparing overige kosten (€/patiënt/jaar)],MATCH(B129,IF(Technologieën[Zoeksleutel bronnummer]=G129,Technologieën[Digitale zorgtoepassing]),0))</f>
        <v>566.31888402813524</v>
      </c>
      <c r="P129" s="403" cm="1">
        <f t="array" ref="P129">INDEX(Technologieën[Kostenbesparing p. patiënt door arbeidsbesparing (€/week)],MATCH(B129,IF(Technologieën[Zoeksleutel bronnummer]=G129,Technologieën[Digitale zorgtoepassing]),0))</f>
        <v>0</v>
      </c>
      <c r="Q129" s="403" cm="1">
        <f t="array" ref="Q129">INDEX(Technologieën[Kostenbesparing (personeel) per handeling (€)],MATCH(B129,IF(Technologieën[Zoeksleutel bronnummer]=G129,Technologieën[Digitale zorgtoepassing]),0))</f>
        <v>0</v>
      </c>
      <c r="R129" s="403" cm="1">
        <f t="array" ref="R129">INDEX(Technologieën[Besparing overige kosten (€/jaar)],MATCH(B129,IF(Technologieën[Zoeksleutel bronnummer]=G129,Technologieën[Digitale zorgtoepassing]),0))</f>
        <v>0</v>
      </c>
      <c r="S129" s="405" cm="1">
        <f t="array" ref="S129">INDEX(Technologieën[Jaarlijkse besparing zorgpersoneel (FTE)],MATCH(B129,IF(Technologieën[Zoeksleutel bronnummer]=G129,Technologieën[Digitale zorgtoepassing]),0))</f>
        <v>0</v>
      </c>
      <c r="T129" s="406" cm="1">
        <f t="array" ref="T129">(INDEX(Technologieën[QALY],MATCH(B129,IF(Technologieën[Zoeksleutel bronnummer]=G129,Technologieën[Digitale zorgtoepassing]),0)))</f>
        <v>0</v>
      </c>
      <c r="U129" s="407">
        <f>(uniforme_input[[#This Row],[Kostenbesparing door arbeidsbesparing p. patiënt (€/week)]]/uniforme_input[[#This Row],[Uurtarief]]*60) + (uniforme_input[[#This Row],[Totaal arbeidsbesparing onafhankelijk van patiënt (FTE)]]*40*60)/uniforme_input[[#This Row],[Patiëntaantallen]]</f>
        <v>0</v>
      </c>
      <c r="V129" s="407">
        <f>(uniforme_input[[#This Row],[Kostenbesparing per handeling (€)]]/uniforme_input[[#This Row],[Uurtarief]])*60</f>
        <v>0</v>
      </c>
      <c r="W129" s="398">
        <f>uniforme_input[[#This Row],[Overige kostenbesparing (Totaal €/jaar)]]/uniforme_input[[#This Row],[Patiëntaantallen]]</f>
        <v>0</v>
      </c>
      <c r="X129" s="408">
        <f>IF(uniforme_input[[#This Row],[Bron gebruiken voor opbrengsten?]]="Ja",uniforme_input[[#This Row],[Tijdsbesparing (min/week/patiënt) - gegeven]]+uniforme_input[[#This Row],[Tijdsbesparing (min/week/patiënt) berekend]],0)</f>
        <v>65</v>
      </c>
      <c r="Y129" s="407">
        <f>IF(uniforme_input[[#This Row],[Bron gebruiken voor opbrengsten?]]="Ja",uniforme_input[[#This Row],[Tijdsbesparing (min/handeling) - gegeven]]+uniforme_input[[#This Row],[Tijdsbesparing (min/handeling) berekend]],0)</f>
        <v>0</v>
      </c>
      <c r="Z129" s="409">
        <f>IF(uniforme_input[[#This Row],[Bron gebruiken voor opbrengsten?]]="Ja",uniforme_input[[#This Row],[Overige kostenbesparing (€/jaar/patiënt) - gegeven]]+uniforme_input[[#This Row],[Overige kostenbesparing (€/jaar/patiënt) berekend]],0)</f>
        <v>566.31888402813524</v>
      </c>
      <c r="AA129" s="403" cm="1">
        <f t="array" ref="AA129">INDEX(Technologieën[Jaarlijkse kosten p. patiënt],MATCH(B129,IF(Technologieën[Zoeksleutel bronnummer]=G129,Technologieën[Digitale zorgtoepassing]),0))</f>
        <v>0</v>
      </c>
      <c r="AB129" s="403" cm="1">
        <f t="array" ref="AB129">INDEX(Technologieën[Jaarlijkse kosten p. organisatie],MATCH(B129,IF(Technologieën[Zoeksleutel bronnummer]=G129,Technologieën[Digitale zorgtoepassing]),0))/uniforme_input[[#This Row],[Aantal doelgroepen waarop toepasbaar]]</f>
        <v>0</v>
      </c>
      <c r="AC129" s="403" cm="1">
        <f t="array" ref="AC129">INDEX(Technologieën[Jaarlijkse kosten (onafh. aantal patiënt/organisatie)],MATCH(B129,IF(Technologieën[Zoeksleutel bronnummer]=G129,Technologieën[Digitale zorgtoepassing]),0))/uniforme_input[[#This Row],[Aantal doelgroepen waarop toepasbaar]]</f>
        <v>0</v>
      </c>
      <c r="AD129" s="403" cm="1">
        <f t="array" ref="AD129">INDEX(Technologieën[Initiële investering (p. patiënt)],MATCH(B129,IF(Technologieën[Zoeksleutel bronnummer]=G129,Technologieën[Digitale zorgtoepassing]),0))</f>
        <v>0</v>
      </c>
      <c r="AE129" s="403" cm="1">
        <f t="array" ref="AE129">INDEX(Technologieën[Initiële investering (p. organisatie)],MATCH(B129,IF(Technologieën[Zoeksleutel bronnummer]=G129,Technologieën[Digitale zorgtoepassing]),0))</f>
        <v>0</v>
      </c>
      <c r="AF129"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29" s="398">
        <f>(uniforme_input[[#This Row],[Initiële investering per organisatie]]*uniforme_input[[#This Row],[Aantal organisaties]])/uniforme_input[[#This Row],[Patiëntaantallen]]</f>
        <v>0</v>
      </c>
      <c r="AH129" s="410">
        <f>IF(uniforme_input[[#This Row],[Bron gebruiken voor kosten/investering?]]="Ja",uniforme_input[[#This Row],[Jaarlijkse kosten per patiënt]] + uniforme_input[[#This Row],[Jaarlijkse kosten per patiënt berekend]],0)</f>
        <v>0</v>
      </c>
      <c r="AI129" s="409">
        <f>IF(uniforme_input[[#This Row],[Bron gebruiken voor kosten/investering?]]="Ja",uniforme_input[[#This Row],[Initiële investering per patiënt]]+uniforme_input[[#This Row],[Initiële investering per patiënt berekend]],0)</f>
        <v>0</v>
      </c>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row>
    <row r="130" spans="1:83" s="2" customFormat="1" x14ac:dyDescent="0.5">
      <c r="A130" s="51" t="str">
        <f>INDEX(Technologieën[Veld],MATCH(G130,Technologieën[Zoeksleutel bronnummer],0))</f>
        <v>Digitale hulpmiddelen - Verpleging</v>
      </c>
      <c r="B130" s="33" t="s">
        <v>19</v>
      </c>
      <c r="C130" s="32" t="s">
        <v>391</v>
      </c>
      <c r="D130" s="32" t="s">
        <v>390</v>
      </c>
      <c r="E130" s="33" t="s">
        <v>20</v>
      </c>
      <c r="F130" s="33" t="str" cm="1">
        <f t="array" ref="F130">INDEX(Berekening_patiëntaantal[Direct toepasbaar/extrapolatie/incidentie voor QALY],MATCH(B130,IF(Berekening_patiëntaantal[Doelgroep (zoeksleutel)]=E130,Berekening_patiëntaantal[Digitale zorgtoepassing]),0))</f>
        <v>Huidige toepassing</v>
      </c>
      <c r="G130" s="33" t="s">
        <v>564</v>
      </c>
      <c r="H130" s="33" t="s">
        <v>144</v>
      </c>
      <c r="I130" s="403">
        <f>INDEX(Uurloon[Uurtarief zorgpersoneel],MATCH(H130,Uurloon[Zorgverlener],0))</f>
        <v>20.410632183908046</v>
      </c>
      <c r="J130" s="404" cm="1">
        <f t="array" ref="J130">INDEX(Berekening_patiëntaantal[Patiëntaantallen],MATCH(B130,IF(Berekening_patiëntaantal[Doelgroep (zoeksleutel)]=E130,Berekening_patiëntaantal[Digitale zorgtoepassing]),0))</f>
        <v>7830</v>
      </c>
      <c r="K130" s="404">
        <f>IFERROR(INDEX(aantal_organisaties[Aantal organisaties waarop toepasbaar],MATCH(B130,aantal_organisaties[Digitale zorgtoepassing],0)),0)</f>
        <v>150</v>
      </c>
      <c r="L130" s="397">
        <f>COUNTIF(uniforme_input[Doelgroep],E130)</f>
        <v>14</v>
      </c>
      <c r="M130" s="405" cm="1">
        <f t="array" ref="M130">INDEX(Technologieën[Tijdsbesparing p. patiënt (min/week)],MATCH(B130,IF(Technologieën[Zoeksleutel bronnummer]=G130,Technologieën[Digitale zorgtoepassing]),0))</f>
        <v>79</v>
      </c>
      <c r="N130" s="405" cm="1">
        <f t="array" ref="N130">INDEX(Technologieën[Tijdsbesparing per handeling (min)],MATCH(B130,IF(Technologieën[Zoeksleutel bronnummer]=G130,Technologieën[Digitale zorgtoepassing]),0))</f>
        <v>0</v>
      </c>
      <c r="O130" s="403" cm="1">
        <f t="array" ref="O130">INDEX(Technologieën[Besparing overige kosten (€/patiënt/jaar)],MATCH(B130,IF(Technologieën[Zoeksleutel bronnummer]=G130,Technologieën[Digitale zorgtoepassing]),0))</f>
        <v>688.29525904957973</v>
      </c>
      <c r="P130" s="403" cm="1">
        <f t="array" ref="P130">INDEX(Technologieën[Kostenbesparing p. patiënt door arbeidsbesparing (€/week)],MATCH(B130,IF(Technologieën[Zoeksleutel bronnummer]=G130,Technologieën[Digitale zorgtoepassing]),0))</f>
        <v>0</v>
      </c>
      <c r="Q130" s="403" cm="1">
        <f t="array" ref="Q130">INDEX(Technologieën[Kostenbesparing (personeel) per handeling (€)],MATCH(B130,IF(Technologieën[Zoeksleutel bronnummer]=G130,Technologieën[Digitale zorgtoepassing]),0))</f>
        <v>0</v>
      </c>
      <c r="R130" s="403" cm="1">
        <f t="array" ref="R130">INDEX(Technologieën[Besparing overige kosten (€/jaar)],MATCH(B130,IF(Technologieën[Zoeksleutel bronnummer]=G130,Technologieën[Digitale zorgtoepassing]),0))</f>
        <v>0</v>
      </c>
      <c r="S130" s="405" cm="1">
        <f t="array" ref="S130">INDEX(Technologieën[Jaarlijkse besparing zorgpersoneel (FTE)],MATCH(B130,IF(Technologieën[Zoeksleutel bronnummer]=G130,Technologieën[Digitale zorgtoepassing]),0))</f>
        <v>0</v>
      </c>
      <c r="T130" s="406" cm="1">
        <f t="array" ref="T130">(INDEX(Technologieën[QALY],MATCH(B130,IF(Technologieën[Zoeksleutel bronnummer]=G130,Technologieën[Digitale zorgtoepassing]),0)))</f>
        <v>0</v>
      </c>
      <c r="U130" s="407">
        <f>(uniforme_input[[#This Row],[Kostenbesparing door arbeidsbesparing p. patiënt (€/week)]]/uniforme_input[[#This Row],[Uurtarief]]*60) + (uniforme_input[[#This Row],[Totaal arbeidsbesparing onafhankelijk van patiënt (FTE)]]*40*60)/uniforme_input[[#This Row],[Patiëntaantallen]]</f>
        <v>0</v>
      </c>
      <c r="V130" s="407">
        <f>(uniforme_input[[#This Row],[Kostenbesparing per handeling (€)]]/uniforme_input[[#This Row],[Uurtarief]])*60</f>
        <v>0</v>
      </c>
      <c r="W130" s="398">
        <f>uniforme_input[[#This Row],[Overige kostenbesparing (Totaal €/jaar)]]/uniforme_input[[#This Row],[Patiëntaantallen]]</f>
        <v>0</v>
      </c>
      <c r="X130" s="408">
        <f>IF(uniforme_input[[#This Row],[Bron gebruiken voor opbrengsten?]]="Ja",uniforme_input[[#This Row],[Tijdsbesparing (min/week/patiënt) - gegeven]]+uniforme_input[[#This Row],[Tijdsbesparing (min/week/patiënt) berekend]],0)</f>
        <v>79</v>
      </c>
      <c r="Y130" s="407">
        <f>IF(uniforme_input[[#This Row],[Bron gebruiken voor opbrengsten?]]="Ja",uniforme_input[[#This Row],[Tijdsbesparing (min/handeling) - gegeven]]+uniforme_input[[#This Row],[Tijdsbesparing (min/handeling) berekend]],0)</f>
        <v>0</v>
      </c>
      <c r="Z130" s="409">
        <f>IF(uniforme_input[[#This Row],[Bron gebruiken voor opbrengsten?]]="Ja",uniforme_input[[#This Row],[Overige kostenbesparing (€/jaar/patiënt) - gegeven]]+uniforme_input[[#This Row],[Overige kostenbesparing (€/jaar/patiënt) berekend]],0)</f>
        <v>688.29525904957973</v>
      </c>
      <c r="AA130" s="403" cm="1">
        <f t="array" ref="AA130">INDEX(Technologieën[Jaarlijkse kosten p. patiënt],MATCH(B130,IF(Technologieën[Zoeksleutel bronnummer]=G130,Technologieën[Digitale zorgtoepassing]),0))</f>
        <v>0</v>
      </c>
      <c r="AB130" s="403" cm="1">
        <f t="array" ref="AB130">INDEX(Technologieën[Jaarlijkse kosten p. organisatie],MATCH(B130,IF(Technologieën[Zoeksleutel bronnummer]=G130,Technologieën[Digitale zorgtoepassing]),0))/uniforme_input[[#This Row],[Aantal doelgroepen waarop toepasbaar]]</f>
        <v>0</v>
      </c>
      <c r="AC130" s="403" cm="1">
        <f t="array" ref="AC130">INDEX(Technologieën[Jaarlijkse kosten (onafh. aantal patiënt/organisatie)],MATCH(B130,IF(Technologieën[Zoeksleutel bronnummer]=G130,Technologieën[Digitale zorgtoepassing]),0))/uniforme_input[[#This Row],[Aantal doelgroepen waarop toepasbaar]]</f>
        <v>0</v>
      </c>
      <c r="AD130" s="403" cm="1">
        <f t="array" ref="AD130">INDEX(Technologieën[Initiële investering (p. patiënt)],MATCH(B130,IF(Technologieën[Zoeksleutel bronnummer]=G130,Technologieën[Digitale zorgtoepassing]),0))</f>
        <v>0</v>
      </c>
      <c r="AE130" s="403" cm="1">
        <f t="array" ref="AE130">INDEX(Technologieën[Initiële investering (p. organisatie)],MATCH(B130,IF(Technologieën[Zoeksleutel bronnummer]=G130,Technologieën[Digitale zorgtoepassing]),0))</f>
        <v>0</v>
      </c>
      <c r="AF130"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30" s="398">
        <f>(uniforme_input[[#This Row],[Initiële investering per organisatie]]*uniforme_input[[#This Row],[Aantal organisaties]])/uniforme_input[[#This Row],[Patiëntaantallen]]</f>
        <v>0</v>
      </c>
      <c r="AH130" s="410">
        <f>IF(uniforme_input[[#This Row],[Bron gebruiken voor kosten/investering?]]="Ja",uniforme_input[[#This Row],[Jaarlijkse kosten per patiënt]] + uniforme_input[[#This Row],[Jaarlijkse kosten per patiënt berekend]],0)</f>
        <v>0</v>
      </c>
      <c r="AI130" s="409">
        <f>IF(uniforme_input[[#This Row],[Bron gebruiken voor kosten/investering?]]="Ja",uniforme_input[[#This Row],[Initiële investering per patiënt]]+uniforme_input[[#This Row],[Initiële investering per patiënt berekend]],0)</f>
        <v>0</v>
      </c>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row>
    <row r="131" spans="1:83" s="2" customFormat="1" x14ac:dyDescent="0.5">
      <c r="A131" s="51" t="str">
        <f>INDEX(Technologieën[Veld],MATCH(G131,Technologieën[Zoeksleutel bronnummer],0))</f>
        <v>Digitale hulpmiddelen - Verpleging</v>
      </c>
      <c r="B131" s="33" t="s">
        <v>19</v>
      </c>
      <c r="C131" s="32" t="s">
        <v>391</v>
      </c>
      <c r="D131" s="32" t="s">
        <v>390</v>
      </c>
      <c r="E131" s="33" t="s">
        <v>24</v>
      </c>
      <c r="F131" s="33" t="str" cm="1">
        <f t="array" ref="F131">INDEX(Berekening_patiëntaantal[Direct toepasbaar/extrapolatie/incidentie voor QALY],MATCH(B131,IF(Berekening_patiëntaantal[Doelgroep (zoeksleutel)]=E131,Berekening_patiëntaantal[Digitale zorgtoepassing]),0))</f>
        <v>Huidige toepassing</v>
      </c>
      <c r="G131" s="33" t="s">
        <v>560</v>
      </c>
      <c r="H131" s="33" t="s">
        <v>144</v>
      </c>
      <c r="I131" s="403">
        <f>INDEX(Uurloon[Uurtarief zorgpersoneel],MATCH(H131,Uurloon[Zorgverlener],0))</f>
        <v>20.410632183908046</v>
      </c>
      <c r="J131" s="404" cm="1">
        <f t="array" ref="J131">INDEX(Berekening_patiëntaantal[Patiëntaantallen],MATCH(B131,IF(Berekening_patiëntaantal[Doelgroep (zoeksleutel)]=E131,Berekening_patiëntaantal[Digitale zorgtoepassing]),0))</f>
        <v>5476.8</v>
      </c>
      <c r="K131" s="404">
        <f>IFERROR(INDEX(aantal_organisaties[Aantal organisaties waarop toepasbaar],MATCH(B131,aantal_organisaties[Digitale zorgtoepassing],0)),0)</f>
        <v>150</v>
      </c>
      <c r="L131" s="397">
        <f>COUNTIF(uniforme_input[Doelgroep],E131)</f>
        <v>12</v>
      </c>
      <c r="M131" s="405" cm="1">
        <f t="array" ref="M131">INDEX(Technologieën[Tijdsbesparing p. patiënt (min/week)],MATCH(B131,IF(Technologieën[Zoeksleutel bronnummer]=G131,Technologieën[Digitale zorgtoepassing]),0))</f>
        <v>65</v>
      </c>
      <c r="N131" s="405" cm="1">
        <f t="array" ref="N131">INDEX(Technologieën[Tijdsbesparing per handeling (min)],MATCH(B131,IF(Technologieën[Zoeksleutel bronnummer]=G131,Technologieën[Digitale zorgtoepassing]),0))</f>
        <v>0</v>
      </c>
      <c r="O131" s="403" cm="1">
        <f t="array" ref="O131">INDEX(Technologieën[Besparing overige kosten (€/patiënt/jaar)],MATCH(B131,IF(Technologieën[Zoeksleutel bronnummer]=G131,Technologieën[Digitale zorgtoepassing]),0))</f>
        <v>566.31888402813524</v>
      </c>
      <c r="P131" s="403" cm="1">
        <f t="array" ref="P131">INDEX(Technologieën[Kostenbesparing p. patiënt door arbeidsbesparing (€/week)],MATCH(B131,IF(Technologieën[Zoeksleutel bronnummer]=G131,Technologieën[Digitale zorgtoepassing]),0))</f>
        <v>0</v>
      </c>
      <c r="Q131" s="403" cm="1">
        <f t="array" ref="Q131">INDEX(Technologieën[Kostenbesparing (personeel) per handeling (€)],MATCH(B131,IF(Technologieën[Zoeksleutel bronnummer]=G131,Technologieën[Digitale zorgtoepassing]),0))</f>
        <v>0</v>
      </c>
      <c r="R131" s="403" cm="1">
        <f t="array" ref="R131">INDEX(Technologieën[Besparing overige kosten (€/jaar)],MATCH(B131,IF(Technologieën[Zoeksleutel bronnummer]=G131,Technologieën[Digitale zorgtoepassing]),0))</f>
        <v>0</v>
      </c>
      <c r="S131" s="405" cm="1">
        <f t="array" ref="S131">INDEX(Technologieën[Jaarlijkse besparing zorgpersoneel (FTE)],MATCH(B131,IF(Technologieën[Zoeksleutel bronnummer]=G131,Technologieën[Digitale zorgtoepassing]),0))</f>
        <v>0</v>
      </c>
      <c r="T131" s="406" cm="1">
        <f t="array" ref="T131">(INDEX(Technologieën[QALY],MATCH(B131,IF(Technologieën[Zoeksleutel bronnummer]=G131,Technologieën[Digitale zorgtoepassing]),0)))</f>
        <v>0</v>
      </c>
      <c r="U131" s="407">
        <f>(uniforme_input[[#This Row],[Kostenbesparing door arbeidsbesparing p. patiënt (€/week)]]/uniforme_input[[#This Row],[Uurtarief]]*60) + (uniforme_input[[#This Row],[Totaal arbeidsbesparing onafhankelijk van patiënt (FTE)]]*40*60)/uniforme_input[[#This Row],[Patiëntaantallen]]</f>
        <v>0</v>
      </c>
      <c r="V131" s="407">
        <f>(uniforme_input[[#This Row],[Kostenbesparing per handeling (€)]]/uniforme_input[[#This Row],[Uurtarief]])*60</f>
        <v>0</v>
      </c>
      <c r="W131" s="398">
        <f>uniforme_input[[#This Row],[Overige kostenbesparing (Totaal €/jaar)]]/uniforme_input[[#This Row],[Patiëntaantallen]]</f>
        <v>0</v>
      </c>
      <c r="X131" s="408">
        <f>IF(uniforme_input[[#This Row],[Bron gebruiken voor opbrengsten?]]="Ja",uniforme_input[[#This Row],[Tijdsbesparing (min/week/patiënt) - gegeven]]+uniforme_input[[#This Row],[Tijdsbesparing (min/week/patiënt) berekend]],0)</f>
        <v>65</v>
      </c>
      <c r="Y131" s="407">
        <f>IF(uniforme_input[[#This Row],[Bron gebruiken voor opbrengsten?]]="Ja",uniforme_input[[#This Row],[Tijdsbesparing (min/handeling) - gegeven]]+uniforme_input[[#This Row],[Tijdsbesparing (min/handeling) berekend]],0)</f>
        <v>0</v>
      </c>
      <c r="Z131" s="409">
        <f>IF(uniforme_input[[#This Row],[Bron gebruiken voor opbrengsten?]]="Ja",uniforme_input[[#This Row],[Overige kostenbesparing (€/jaar/patiënt) - gegeven]]+uniforme_input[[#This Row],[Overige kostenbesparing (€/jaar/patiënt) berekend]],0)</f>
        <v>566.31888402813524</v>
      </c>
      <c r="AA131" s="403" cm="1">
        <f t="array" ref="AA131">INDEX(Technologieën[Jaarlijkse kosten p. patiënt],MATCH(B131,IF(Technologieën[Zoeksleutel bronnummer]=G131,Technologieën[Digitale zorgtoepassing]),0))</f>
        <v>0</v>
      </c>
      <c r="AB131" s="403" cm="1">
        <f t="array" ref="AB131">INDEX(Technologieën[Jaarlijkse kosten p. organisatie],MATCH(B131,IF(Technologieën[Zoeksleutel bronnummer]=G131,Technologieën[Digitale zorgtoepassing]),0))/uniforme_input[[#This Row],[Aantal doelgroepen waarop toepasbaar]]</f>
        <v>0</v>
      </c>
      <c r="AC131" s="403" cm="1">
        <f t="array" ref="AC131">INDEX(Technologieën[Jaarlijkse kosten (onafh. aantal patiënt/organisatie)],MATCH(B131,IF(Technologieën[Zoeksleutel bronnummer]=G131,Technologieën[Digitale zorgtoepassing]),0))/uniforme_input[[#This Row],[Aantal doelgroepen waarop toepasbaar]]</f>
        <v>0</v>
      </c>
      <c r="AD131" s="403" cm="1">
        <f t="array" ref="AD131">INDEX(Technologieën[Initiële investering (p. patiënt)],MATCH(B131,IF(Technologieën[Zoeksleutel bronnummer]=G131,Technologieën[Digitale zorgtoepassing]),0))</f>
        <v>0</v>
      </c>
      <c r="AE131" s="403" cm="1">
        <f t="array" ref="AE131">INDEX(Technologieën[Initiële investering (p. organisatie)],MATCH(B131,IF(Technologieën[Zoeksleutel bronnummer]=G131,Technologieën[Digitale zorgtoepassing]),0))</f>
        <v>0</v>
      </c>
      <c r="AF131"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31" s="398">
        <f>(uniforme_input[[#This Row],[Initiële investering per organisatie]]*uniforme_input[[#This Row],[Aantal organisaties]])/uniforme_input[[#This Row],[Patiëntaantallen]]</f>
        <v>0</v>
      </c>
      <c r="AH131" s="410">
        <f>IF(uniforme_input[[#This Row],[Bron gebruiken voor kosten/investering?]]="Ja",uniforme_input[[#This Row],[Jaarlijkse kosten per patiënt]] + uniforme_input[[#This Row],[Jaarlijkse kosten per patiënt berekend]],0)</f>
        <v>0</v>
      </c>
      <c r="AI131" s="409">
        <f>IF(uniforme_input[[#This Row],[Bron gebruiken voor kosten/investering?]]="Ja",uniforme_input[[#This Row],[Initiële investering per patiënt]]+uniforme_input[[#This Row],[Initiële investering per patiënt berekend]],0)</f>
        <v>0</v>
      </c>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row>
    <row r="132" spans="1:83" s="2" customFormat="1" x14ac:dyDescent="0.5">
      <c r="A132" s="51" t="str">
        <f>INDEX(Technologieën[Veld],MATCH(G132,Technologieën[Zoeksleutel bronnummer],0))</f>
        <v>Digitale hulpmiddelen - Verpleging</v>
      </c>
      <c r="B132" s="33" t="s">
        <v>19</v>
      </c>
      <c r="C132" s="32" t="s">
        <v>391</v>
      </c>
      <c r="D132" s="32" t="s">
        <v>390</v>
      </c>
      <c r="E132" s="33" t="s">
        <v>24</v>
      </c>
      <c r="F132" s="33" t="str" cm="1">
        <f t="array" ref="F132">INDEX(Berekening_patiëntaantal[Direct toepasbaar/extrapolatie/incidentie voor QALY],MATCH(B132,IF(Berekening_patiëntaantal[Doelgroep (zoeksleutel)]=E132,Berekening_patiëntaantal[Digitale zorgtoepassing]),0))</f>
        <v>Huidige toepassing</v>
      </c>
      <c r="G132" s="33" t="s">
        <v>564</v>
      </c>
      <c r="H132" s="33" t="s">
        <v>144</v>
      </c>
      <c r="I132" s="403">
        <f>INDEX(Uurloon[Uurtarief zorgpersoneel],MATCH(H132,Uurloon[Zorgverlener],0))</f>
        <v>20.410632183908046</v>
      </c>
      <c r="J132" s="404" cm="1">
        <f t="array" ref="J132">INDEX(Berekening_patiëntaantal[Patiëntaantallen],MATCH(B132,IF(Berekening_patiëntaantal[Doelgroep (zoeksleutel)]=E132,Berekening_patiëntaantal[Digitale zorgtoepassing]),0))</f>
        <v>5476.8</v>
      </c>
      <c r="K132" s="404">
        <f>IFERROR(INDEX(aantal_organisaties[Aantal organisaties waarop toepasbaar],MATCH(B132,aantal_organisaties[Digitale zorgtoepassing],0)),0)</f>
        <v>150</v>
      </c>
      <c r="L132" s="397">
        <f>COUNTIF(uniforme_input[Doelgroep],E132)</f>
        <v>12</v>
      </c>
      <c r="M132" s="405" cm="1">
        <f t="array" ref="M132">INDEX(Technologieën[Tijdsbesparing p. patiënt (min/week)],MATCH(B132,IF(Technologieën[Zoeksleutel bronnummer]=G132,Technologieën[Digitale zorgtoepassing]),0))</f>
        <v>79</v>
      </c>
      <c r="N132" s="405" cm="1">
        <f t="array" ref="N132">INDEX(Technologieën[Tijdsbesparing per handeling (min)],MATCH(B132,IF(Technologieën[Zoeksleutel bronnummer]=G132,Technologieën[Digitale zorgtoepassing]),0))</f>
        <v>0</v>
      </c>
      <c r="O132" s="403" cm="1">
        <f t="array" ref="O132">INDEX(Technologieën[Besparing overige kosten (€/patiënt/jaar)],MATCH(B132,IF(Technologieën[Zoeksleutel bronnummer]=G132,Technologieën[Digitale zorgtoepassing]),0))</f>
        <v>688.29525904957973</v>
      </c>
      <c r="P132" s="403" cm="1">
        <f t="array" ref="P132">INDEX(Technologieën[Kostenbesparing p. patiënt door arbeidsbesparing (€/week)],MATCH(B132,IF(Technologieën[Zoeksleutel bronnummer]=G132,Technologieën[Digitale zorgtoepassing]),0))</f>
        <v>0</v>
      </c>
      <c r="Q132" s="403" cm="1">
        <f t="array" ref="Q132">INDEX(Technologieën[Kostenbesparing (personeel) per handeling (€)],MATCH(B132,IF(Technologieën[Zoeksleutel bronnummer]=G132,Technologieën[Digitale zorgtoepassing]),0))</f>
        <v>0</v>
      </c>
      <c r="R132" s="403" cm="1">
        <f t="array" ref="R132">INDEX(Technologieën[Besparing overige kosten (€/jaar)],MATCH(B132,IF(Technologieën[Zoeksleutel bronnummer]=G132,Technologieën[Digitale zorgtoepassing]),0))</f>
        <v>0</v>
      </c>
      <c r="S132" s="405" cm="1">
        <f t="array" ref="S132">INDEX(Technologieën[Jaarlijkse besparing zorgpersoneel (FTE)],MATCH(B132,IF(Technologieën[Zoeksleutel bronnummer]=G132,Technologieën[Digitale zorgtoepassing]),0))</f>
        <v>0</v>
      </c>
      <c r="T132" s="406" cm="1">
        <f t="array" ref="T132">(INDEX(Technologieën[QALY],MATCH(B132,IF(Technologieën[Zoeksleutel bronnummer]=G132,Technologieën[Digitale zorgtoepassing]),0)))</f>
        <v>0</v>
      </c>
      <c r="U132" s="407">
        <f>(uniforme_input[[#This Row],[Kostenbesparing door arbeidsbesparing p. patiënt (€/week)]]/uniforme_input[[#This Row],[Uurtarief]]*60) + (uniforme_input[[#This Row],[Totaal arbeidsbesparing onafhankelijk van patiënt (FTE)]]*40*60)/uniforme_input[[#This Row],[Patiëntaantallen]]</f>
        <v>0</v>
      </c>
      <c r="V132" s="407">
        <f>(uniforme_input[[#This Row],[Kostenbesparing per handeling (€)]]/uniforme_input[[#This Row],[Uurtarief]])*60</f>
        <v>0</v>
      </c>
      <c r="W132" s="398">
        <f>uniforme_input[[#This Row],[Overige kostenbesparing (Totaal €/jaar)]]/uniforme_input[[#This Row],[Patiëntaantallen]]</f>
        <v>0</v>
      </c>
      <c r="X132" s="408">
        <f>IF(uniforme_input[[#This Row],[Bron gebruiken voor opbrengsten?]]="Ja",uniforme_input[[#This Row],[Tijdsbesparing (min/week/patiënt) - gegeven]]+uniforme_input[[#This Row],[Tijdsbesparing (min/week/patiënt) berekend]],0)</f>
        <v>79</v>
      </c>
      <c r="Y132" s="407">
        <f>IF(uniforme_input[[#This Row],[Bron gebruiken voor opbrengsten?]]="Ja",uniforme_input[[#This Row],[Tijdsbesparing (min/handeling) - gegeven]]+uniforme_input[[#This Row],[Tijdsbesparing (min/handeling) berekend]],0)</f>
        <v>0</v>
      </c>
      <c r="Z132" s="409">
        <f>IF(uniforme_input[[#This Row],[Bron gebruiken voor opbrengsten?]]="Ja",uniforme_input[[#This Row],[Overige kostenbesparing (€/jaar/patiënt) - gegeven]]+uniforme_input[[#This Row],[Overige kostenbesparing (€/jaar/patiënt) berekend]],0)</f>
        <v>688.29525904957973</v>
      </c>
      <c r="AA132" s="403" cm="1">
        <f t="array" ref="AA132">INDEX(Technologieën[Jaarlijkse kosten p. patiënt],MATCH(B132,IF(Technologieën[Zoeksleutel bronnummer]=G132,Technologieën[Digitale zorgtoepassing]),0))</f>
        <v>0</v>
      </c>
      <c r="AB132" s="403" cm="1">
        <f t="array" ref="AB132">INDEX(Technologieën[Jaarlijkse kosten p. organisatie],MATCH(B132,IF(Technologieën[Zoeksleutel bronnummer]=G132,Technologieën[Digitale zorgtoepassing]),0))/uniforme_input[[#This Row],[Aantal doelgroepen waarop toepasbaar]]</f>
        <v>0</v>
      </c>
      <c r="AC132" s="403" cm="1">
        <f t="array" ref="AC132">INDEX(Technologieën[Jaarlijkse kosten (onafh. aantal patiënt/organisatie)],MATCH(B132,IF(Technologieën[Zoeksleutel bronnummer]=G132,Technologieën[Digitale zorgtoepassing]),0))/uniforme_input[[#This Row],[Aantal doelgroepen waarop toepasbaar]]</f>
        <v>0</v>
      </c>
      <c r="AD132" s="403" cm="1">
        <f t="array" ref="AD132">INDEX(Technologieën[Initiële investering (p. patiënt)],MATCH(B132,IF(Technologieën[Zoeksleutel bronnummer]=G132,Technologieën[Digitale zorgtoepassing]),0))</f>
        <v>0</v>
      </c>
      <c r="AE132" s="403" cm="1">
        <f t="array" ref="AE132">INDEX(Technologieën[Initiële investering (p. organisatie)],MATCH(B132,IF(Technologieën[Zoeksleutel bronnummer]=G132,Technologieën[Digitale zorgtoepassing]),0))</f>
        <v>0</v>
      </c>
      <c r="AF132"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32" s="398">
        <f>(uniforme_input[[#This Row],[Initiële investering per organisatie]]*uniforme_input[[#This Row],[Aantal organisaties]])/uniforme_input[[#This Row],[Patiëntaantallen]]</f>
        <v>0</v>
      </c>
      <c r="AH132" s="410">
        <f>IF(uniforme_input[[#This Row],[Bron gebruiken voor kosten/investering?]]="Ja",uniforme_input[[#This Row],[Jaarlijkse kosten per patiënt]] + uniforme_input[[#This Row],[Jaarlijkse kosten per patiënt berekend]],0)</f>
        <v>0</v>
      </c>
      <c r="AI132" s="409">
        <f>IF(uniforme_input[[#This Row],[Bron gebruiken voor kosten/investering?]]="Ja",uniforme_input[[#This Row],[Initiële investering per patiënt]]+uniforme_input[[#This Row],[Initiële investering per patiënt berekend]],0)</f>
        <v>0</v>
      </c>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row>
    <row r="133" spans="1:83" s="2" customFormat="1" x14ac:dyDescent="0.5">
      <c r="A133" s="51" t="str">
        <f>INDEX(Technologieën[Veld],MATCH(G133,Technologieën[Zoeksleutel bronnummer],0))</f>
        <v>Digitale hulpmiddelen - Verpleging</v>
      </c>
      <c r="B133" s="33" t="s">
        <v>19</v>
      </c>
      <c r="C133" s="32" t="s">
        <v>391</v>
      </c>
      <c r="D133" s="32" t="s">
        <v>390</v>
      </c>
      <c r="E133" s="33" t="s">
        <v>27</v>
      </c>
      <c r="F133" s="33" t="str" cm="1">
        <f t="array" ref="F133">INDEX(Berekening_patiëntaantal[Direct toepasbaar/extrapolatie/incidentie voor QALY],MATCH(B133,IF(Berekening_patiëntaantal[Doelgroep (zoeksleutel)]=E133,Berekening_patiëntaantal[Digitale zorgtoepassing]),0))</f>
        <v>Extrapolatie</v>
      </c>
      <c r="G133" s="33" t="s">
        <v>560</v>
      </c>
      <c r="H133" s="33" t="s">
        <v>144</v>
      </c>
      <c r="I133" s="403">
        <f>INDEX(Uurloon[Uurtarief zorgpersoneel],MATCH(H133,Uurloon[Zorgverlener],0))</f>
        <v>20.410632183908046</v>
      </c>
      <c r="J133" s="404" cm="1">
        <f t="array" ref="J133">INDEX(Berekening_patiëntaantal[Patiëntaantallen],MATCH(B133,IF(Berekening_patiëntaantal[Doelgroep (zoeksleutel)]=E133,Berekening_patiëntaantal[Digitale zorgtoepassing]),0))</f>
        <v>7935</v>
      </c>
      <c r="K133" s="404">
        <f>IFERROR(INDEX(aantal_organisaties[Aantal organisaties waarop toepasbaar],MATCH(B133,aantal_organisaties[Digitale zorgtoepassing],0)),0)</f>
        <v>150</v>
      </c>
      <c r="L133" s="397">
        <f>COUNTIF(uniforme_input[Doelgroep],E133)</f>
        <v>12</v>
      </c>
      <c r="M133" s="405" cm="1">
        <f t="array" ref="M133">INDEX(Technologieën[Tijdsbesparing p. patiënt (min/week)],MATCH(B133,IF(Technologieën[Zoeksleutel bronnummer]=G133,Technologieën[Digitale zorgtoepassing]),0))</f>
        <v>65</v>
      </c>
      <c r="N133" s="405" cm="1">
        <f t="array" ref="N133">INDEX(Technologieën[Tijdsbesparing per handeling (min)],MATCH(B133,IF(Technologieën[Zoeksleutel bronnummer]=G133,Technologieën[Digitale zorgtoepassing]),0))</f>
        <v>0</v>
      </c>
      <c r="O133" s="403" cm="1">
        <f t="array" ref="O133">INDEX(Technologieën[Besparing overige kosten (€/patiënt/jaar)],MATCH(B133,IF(Technologieën[Zoeksleutel bronnummer]=G133,Technologieën[Digitale zorgtoepassing]),0))</f>
        <v>566.31888402813524</v>
      </c>
      <c r="P133" s="403" cm="1">
        <f t="array" ref="P133">INDEX(Technologieën[Kostenbesparing p. patiënt door arbeidsbesparing (€/week)],MATCH(B133,IF(Technologieën[Zoeksleutel bronnummer]=G133,Technologieën[Digitale zorgtoepassing]),0))</f>
        <v>0</v>
      </c>
      <c r="Q133" s="403" cm="1">
        <f t="array" ref="Q133">INDEX(Technologieën[Kostenbesparing (personeel) per handeling (€)],MATCH(B133,IF(Technologieën[Zoeksleutel bronnummer]=G133,Technologieën[Digitale zorgtoepassing]),0))</f>
        <v>0</v>
      </c>
      <c r="R133" s="403" cm="1">
        <f t="array" ref="R133">INDEX(Technologieën[Besparing overige kosten (€/jaar)],MATCH(B133,IF(Technologieën[Zoeksleutel bronnummer]=G133,Technologieën[Digitale zorgtoepassing]),0))</f>
        <v>0</v>
      </c>
      <c r="S133" s="405" cm="1">
        <f t="array" ref="S133">INDEX(Technologieën[Jaarlijkse besparing zorgpersoneel (FTE)],MATCH(B133,IF(Technologieën[Zoeksleutel bronnummer]=G133,Technologieën[Digitale zorgtoepassing]),0))</f>
        <v>0</v>
      </c>
      <c r="T133" s="406" cm="1">
        <f t="array" ref="T133">(INDEX(Technologieën[QALY],MATCH(B133,IF(Technologieën[Zoeksleutel bronnummer]=G133,Technologieën[Digitale zorgtoepassing]),0)))</f>
        <v>0</v>
      </c>
      <c r="U133" s="407">
        <f>(uniforme_input[[#This Row],[Kostenbesparing door arbeidsbesparing p. patiënt (€/week)]]/uniforme_input[[#This Row],[Uurtarief]]*60) + (uniforme_input[[#This Row],[Totaal arbeidsbesparing onafhankelijk van patiënt (FTE)]]*40*60)/uniforme_input[[#This Row],[Patiëntaantallen]]</f>
        <v>0</v>
      </c>
      <c r="V133" s="407">
        <f>(uniforme_input[[#This Row],[Kostenbesparing per handeling (€)]]/uniforme_input[[#This Row],[Uurtarief]])*60</f>
        <v>0</v>
      </c>
      <c r="W133" s="398">
        <f>uniforme_input[[#This Row],[Overige kostenbesparing (Totaal €/jaar)]]/uniforme_input[[#This Row],[Patiëntaantallen]]</f>
        <v>0</v>
      </c>
      <c r="X133" s="408">
        <f>IF(uniforme_input[[#This Row],[Bron gebruiken voor opbrengsten?]]="Ja",uniforme_input[[#This Row],[Tijdsbesparing (min/week/patiënt) - gegeven]]+uniforme_input[[#This Row],[Tijdsbesparing (min/week/patiënt) berekend]],0)</f>
        <v>65</v>
      </c>
      <c r="Y133" s="407">
        <f>IF(uniforme_input[[#This Row],[Bron gebruiken voor opbrengsten?]]="Ja",uniforme_input[[#This Row],[Tijdsbesparing (min/handeling) - gegeven]]+uniforme_input[[#This Row],[Tijdsbesparing (min/handeling) berekend]],0)</f>
        <v>0</v>
      </c>
      <c r="Z133" s="409">
        <f>IF(uniforme_input[[#This Row],[Bron gebruiken voor opbrengsten?]]="Ja",uniforme_input[[#This Row],[Overige kostenbesparing (€/jaar/patiënt) - gegeven]]+uniforme_input[[#This Row],[Overige kostenbesparing (€/jaar/patiënt) berekend]],0)</f>
        <v>566.31888402813524</v>
      </c>
      <c r="AA133" s="403" cm="1">
        <f t="array" ref="AA133">INDEX(Technologieën[Jaarlijkse kosten p. patiënt],MATCH(B133,IF(Technologieën[Zoeksleutel bronnummer]=G133,Technologieën[Digitale zorgtoepassing]),0))</f>
        <v>0</v>
      </c>
      <c r="AB133" s="403" cm="1">
        <f t="array" ref="AB133">INDEX(Technologieën[Jaarlijkse kosten p. organisatie],MATCH(B133,IF(Technologieën[Zoeksleutel bronnummer]=G133,Technologieën[Digitale zorgtoepassing]),0))/uniforme_input[[#This Row],[Aantal doelgroepen waarop toepasbaar]]</f>
        <v>0</v>
      </c>
      <c r="AC133" s="403" cm="1">
        <f t="array" ref="AC133">INDEX(Technologieën[Jaarlijkse kosten (onafh. aantal patiënt/organisatie)],MATCH(B133,IF(Technologieën[Zoeksleutel bronnummer]=G133,Technologieën[Digitale zorgtoepassing]),0))/uniforme_input[[#This Row],[Aantal doelgroepen waarop toepasbaar]]</f>
        <v>0</v>
      </c>
      <c r="AD133" s="403" cm="1">
        <f t="array" ref="AD133">INDEX(Technologieën[Initiële investering (p. patiënt)],MATCH(B133,IF(Technologieën[Zoeksleutel bronnummer]=G133,Technologieën[Digitale zorgtoepassing]),0))</f>
        <v>0</v>
      </c>
      <c r="AE133" s="403" cm="1">
        <f t="array" ref="AE133">INDEX(Technologieën[Initiële investering (p. organisatie)],MATCH(B133,IF(Technologieën[Zoeksleutel bronnummer]=G133,Technologieën[Digitale zorgtoepassing]),0))</f>
        <v>0</v>
      </c>
      <c r="AF133"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33" s="398">
        <f>(uniforme_input[[#This Row],[Initiële investering per organisatie]]*uniforme_input[[#This Row],[Aantal organisaties]])/uniforme_input[[#This Row],[Patiëntaantallen]]</f>
        <v>0</v>
      </c>
      <c r="AH133" s="410">
        <f>IF(uniforme_input[[#This Row],[Bron gebruiken voor kosten/investering?]]="Ja",uniforme_input[[#This Row],[Jaarlijkse kosten per patiënt]] + uniforme_input[[#This Row],[Jaarlijkse kosten per patiënt berekend]],0)</f>
        <v>0</v>
      </c>
      <c r="AI133" s="409">
        <f>IF(uniforme_input[[#This Row],[Bron gebruiken voor kosten/investering?]]="Ja",uniforme_input[[#This Row],[Initiële investering per patiënt]]+uniforme_input[[#This Row],[Initiële investering per patiënt berekend]],0)</f>
        <v>0</v>
      </c>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row>
    <row r="134" spans="1:83" s="2" customFormat="1" x14ac:dyDescent="0.5">
      <c r="A134" s="51" t="str">
        <f>INDEX(Technologieën[Veld],MATCH(G134,Technologieën[Zoeksleutel bronnummer],0))</f>
        <v>Digitale hulpmiddelen - Verpleging</v>
      </c>
      <c r="B134" s="33" t="s">
        <v>19</v>
      </c>
      <c r="C134" s="32" t="s">
        <v>391</v>
      </c>
      <c r="D134" s="32" t="s">
        <v>390</v>
      </c>
      <c r="E134" s="33" t="s">
        <v>27</v>
      </c>
      <c r="F134" s="33" t="str" cm="1">
        <f t="array" ref="F134">INDEX(Berekening_patiëntaantal[Direct toepasbaar/extrapolatie/incidentie voor QALY],MATCH(B134,IF(Berekening_patiëntaantal[Doelgroep (zoeksleutel)]=E134,Berekening_patiëntaantal[Digitale zorgtoepassing]),0))</f>
        <v>Extrapolatie</v>
      </c>
      <c r="G134" s="33" t="s">
        <v>564</v>
      </c>
      <c r="H134" s="33" t="s">
        <v>144</v>
      </c>
      <c r="I134" s="403">
        <f>INDEX(Uurloon[Uurtarief zorgpersoneel],MATCH(H134,Uurloon[Zorgverlener],0))</f>
        <v>20.410632183908046</v>
      </c>
      <c r="J134" s="404" cm="1">
        <f t="array" ref="J134">INDEX(Berekening_patiëntaantal[Patiëntaantallen],MATCH(B134,IF(Berekening_patiëntaantal[Doelgroep (zoeksleutel)]=E134,Berekening_patiëntaantal[Digitale zorgtoepassing]),0))</f>
        <v>7935</v>
      </c>
      <c r="K134" s="404">
        <f>IFERROR(INDEX(aantal_organisaties[Aantal organisaties waarop toepasbaar],MATCH(B134,aantal_organisaties[Digitale zorgtoepassing],0)),0)</f>
        <v>150</v>
      </c>
      <c r="L134" s="397">
        <f>COUNTIF(uniforme_input[Doelgroep],E134)</f>
        <v>12</v>
      </c>
      <c r="M134" s="405" cm="1">
        <f t="array" ref="M134">INDEX(Technologieën[Tijdsbesparing p. patiënt (min/week)],MATCH(B134,IF(Technologieën[Zoeksleutel bronnummer]=G134,Technologieën[Digitale zorgtoepassing]),0))</f>
        <v>79</v>
      </c>
      <c r="N134" s="405" cm="1">
        <f t="array" ref="N134">INDEX(Technologieën[Tijdsbesparing per handeling (min)],MATCH(B134,IF(Technologieën[Zoeksleutel bronnummer]=G134,Technologieën[Digitale zorgtoepassing]),0))</f>
        <v>0</v>
      </c>
      <c r="O134" s="403" cm="1">
        <f t="array" ref="O134">INDEX(Technologieën[Besparing overige kosten (€/patiënt/jaar)],MATCH(B134,IF(Technologieën[Zoeksleutel bronnummer]=G134,Technologieën[Digitale zorgtoepassing]),0))</f>
        <v>688.29525904957973</v>
      </c>
      <c r="P134" s="403" cm="1">
        <f t="array" ref="P134">INDEX(Technologieën[Kostenbesparing p. patiënt door arbeidsbesparing (€/week)],MATCH(B134,IF(Technologieën[Zoeksleutel bronnummer]=G134,Technologieën[Digitale zorgtoepassing]),0))</f>
        <v>0</v>
      </c>
      <c r="Q134" s="403" cm="1">
        <f t="array" ref="Q134">INDEX(Technologieën[Kostenbesparing (personeel) per handeling (€)],MATCH(B134,IF(Technologieën[Zoeksleutel bronnummer]=G134,Technologieën[Digitale zorgtoepassing]),0))</f>
        <v>0</v>
      </c>
      <c r="R134" s="403" cm="1">
        <f t="array" ref="R134">INDEX(Technologieën[Besparing overige kosten (€/jaar)],MATCH(B134,IF(Technologieën[Zoeksleutel bronnummer]=G134,Technologieën[Digitale zorgtoepassing]),0))</f>
        <v>0</v>
      </c>
      <c r="S134" s="405" cm="1">
        <f t="array" ref="S134">INDEX(Technologieën[Jaarlijkse besparing zorgpersoneel (FTE)],MATCH(B134,IF(Technologieën[Zoeksleutel bronnummer]=G134,Technologieën[Digitale zorgtoepassing]),0))</f>
        <v>0</v>
      </c>
      <c r="T134" s="406" cm="1">
        <f t="array" ref="T134">(INDEX(Technologieën[QALY],MATCH(B134,IF(Technologieën[Zoeksleutel bronnummer]=G134,Technologieën[Digitale zorgtoepassing]),0)))</f>
        <v>0</v>
      </c>
      <c r="U134" s="407">
        <f>(uniforme_input[[#This Row],[Kostenbesparing door arbeidsbesparing p. patiënt (€/week)]]/uniforme_input[[#This Row],[Uurtarief]]*60) + (uniforme_input[[#This Row],[Totaal arbeidsbesparing onafhankelijk van patiënt (FTE)]]*40*60)/uniforme_input[[#This Row],[Patiëntaantallen]]</f>
        <v>0</v>
      </c>
      <c r="V134" s="407">
        <f>(uniforme_input[[#This Row],[Kostenbesparing per handeling (€)]]/uniforme_input[[#This Row],[Uurtarief]])*60</f>
        <v>0</v>
      </c>
      <c r="W134" s="398">
        <f>uniforme_input[[#This Row],[Overige kostenbesparing (Totaal €/jaar)]]/uniforme_input[[#This Row],[Patiëntaantallen]]</f>
        <v>0</v>
      </c>
      <c r="X134" s="408">
        <f>IF(uniforme_input[[#This Row],[Bron gebruiken voor opbrengsten?]]="Ja",uniforme_input[[#This Row],[Tijdsbesparing (min/week/patiënt) - gegeven]]+uniforme_input[[#This Row],[Tijdsbesparing (min/week/patiënt) berekend]],0)</f>
        <v>79</v>
      </c>
      <c r="Y134" s="407">
        <f>IF(uniforme_input[[#This Row],[Bron gebruiken voor opbrengsten?]]="Ja",uniforme_input[[#This Row],[Tijdsbesparing (min/handeling) - gegeven]]+uniforme_input[[#This Row],[Tijdsbesparing (min/handeling) berekend]],0)</f>
        <v>0</v>
      </c>
      <c r="Z134" s="409">
        <f>IF(uniforme_input[[#This Row],[Bron gebruiken voor opbrengsten?]]="Ja",uniforme_input[[#This Row],[Overige kostenbesparing (€/jaar/patiënt) - gegeven]]+uniforme_input[[#This Row],[Overige kostenbesparing (€/jaar/patiënt) berekend]],0)</f>
        <v>688.29525904957973</v>
      </c>
      <c r="AA134" s="403" cm="1">
        <f t="array" ref="AA134">INDEX(Technologieën[Jaarlijkse kosten p. patiënt],MATCH(B134,IF(Technologieën[Zoeksleutel bronnummer]=G134,Technologieën[Digitale zorgtoepassing]),0))</f>
        <v>0</v>
      </c>
      <c r="AB134" s="403" cm="1">
        <f t="array" ref="AB134">INDEX(Technologieën[Jaarlijkse kosten p. organisatie],MATCH(B134,IF(Technologieën[Zoeksleutel bronnummer]=G134,Technologieën[Digitale zorgtoepassing]),0))/uniforme_input[[#This Row],[Aantal doelgroepen waarop toepasbaar]]</f>
        <v>0</v>
      </c>
      <c r="AC134" s="403" cm="1">
        <f t="array" ref="AC134">INDEX(Technologieën[Jaarlijkse kosten (onafh. aantal patiënt/organisatie)],MATCH(B134,IF(Technologieën[Zoeksleutel bronnummer]=G134,Technologieën[Digitale zorgtoepassing]),0))/uniforme_input[[#This Row],[Aantal doelgroepen waarop toepasbaar]]</f>
        <v>0</v>
      </c>
      <c r="AD134" s="403" cm="1">
        <f t="array" ref="AD134">INDEX(Technologieën[Initiële investering (p. patiënt)],MATCH(B134,IF(Technologieën[Zoeksleutel bronnummer]=G134,Technologieën[Digitale zorgtoepassing]),0))</f>
        <v>0</v>
      </c>
      <c r="AE134" s="403" cm="1">
        <f t="array" ref="AE134">INDEX(Technologieën[Initiële investering (p. organisatie)],MATCH(B134,IF(Technologieën[Zoeksleutel bronnummer]=G134,Technologieën[Digitale zorgtoepassing]),0))</f>
        <v>0</v>
      </c>
      <c r="AF134"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34" s="398">
        <f>(uniforme_input[[#This Row],[Initiële investering per organisatie]]*uniforme_input[[#This Row],[Aantal organisaties]])/uniforme_input[[#This Row],[Patiëntaantallen]]</f>
        <v>0</v>
      </c>
      <c r="AH134" s="410">
        <f>IF(uniforme_input[[#This Row],[Bron gebruiken voor kosten/investering?]]="Ja",uniforme_input[[#This Row],[Jaarlijkse kosten per patiënt]] + uniforme_input[[#This Row],[Jaarlijkse kosten per patiënt berekend]],0)</f>
        <v>0</v>
      </c>
      <c r="AI134" s="409">
        <f>IF(uniforme_input[[#This Row],[Bron gebruiken voor kosten/investering?]]="Ja",uniforme_input[[#This Row],[Initiële investering per patiënt]]+uniforme_input[[#This Row],[Initiële investering per patiënt berekend]],0)</f>
        <v>0</v>
      </c>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row>
    <row r="135" spans="1:83" s="2" customFormat="1" ht="17.5" thickBot="1" x14ac:dyDescent="0.55000000000000004">
      <c r="A135" s="51" t="str">
        <f>INDEX(Technologieën[Veld],MATCH(G135,Technologieën[Zoeksleutel bronnummer],0))</f>
        <v>Digitale hulpmiddelen - Verpleging</v>
      </c>
      <c r="B135" s="33" t="s">
        <v>19</v>
      </c>
      <c r="C135" s="32" t="s">
        <v>390</v>
      </c>
      <c r="D135" s="32" t="s">
        <v>391</v>
      </c>
      <c r="E135" s="33" t="s">
        <v>20</v>
      </c>
      <c r="F135" s="33" t="str" cm="1">
        <f t="array" ref="F135">INDEX(Berekening_patiëntaantal[Direct toepasbaar/extrapolatie/incidentie voor QALY],MATCH(B135,IF(Berekening_patiëntaantal[Doelgroep (zoeksleutel)]=E135,Berekening_patiëntaantal[Digitale zorgtoepassing]),0))</f>
        <v>Huidige toepassing</v>
      </c>
      <c r="G135" s="40" t="s">
        <v>561</v>
      </c>
      <c r="H135" s="33" t="s">
        <v>144</v>
      </c>
      <c r="I135" s="403">
        <f>INDEX(Uurloon[Uurtarief zorgpersoneel],MATCH(H135,Uurloon[Zorgverlener],0))</f>
        <v>20.410632183908046</v>
      </c>
      <c r="J135" s="404" cm="1">
        <f t="array" ref="J135">INDEX(Berekening_patiëntaantal[Patiëntaantallen],MATCH(B135,IF(Berekening_patiëntaantal[Doelgroep (zoeksleutel)]=E135,Berekening_patiëntaantal[Digitale zorgtoepassing]),0))</f>
        <v>7830</v>
      </c>
      <c r="K135" s="404">
        <f>IFERROR(INDEX(aantal_organisaties[Aantal organisaties waarop toepasbaar],MATCH(B135,aantal_organisaties[Digitale zorgtoepassing],0)),0)</f>
        <v>150</v>
      </c>
      <c r="L135" s="397">
        <f>COUNTIF(uniforme_input[Doelgroep],E135)</f>
        <v>14</v>
      </c>
      <c r="M135" s="405" cm="1">
        <f t="array" ref="M135">INDEX(Technologieën[Tijdsbesparing p. patiënt (min/week)],MATCH(B135,IF(Technologieën[Zoeksleutel bronnummer]=G135,Technologieën[Digitale zorgtoepassing]),0))</f>
        <v>0</v>
      </c>
      <c r="N135" s="405" cm="1">
        <f t="array" ref="N135">INDEX(Technologieën[Tijdsbesparing per handeling (min)],MATCH(B135,IF(Technologieën[Zoeksleutel bronnummer]=G135,Technologieën[Digitale zorgtoepassing]),0))</f>
        <v>0</v>
      </c>
      <c r="O135" s="403" cm="1">
        <f t="array" ref="O135">INDEX(Technologieën[Besparing overige kosten (€/patiënt/jaar)],MATCH(B135,IF(Technologieën[Zoeksleutel bronnummer]=G135,Technologieën[Digitale zorgtoepassing]),0))</f>
        <v>0</v>
      </c>
      <c r="P135" s="403" cm="1">
        <f t="array" ref="P135">INDEX(Technologieën[Kostenbesparing p. patiënt door arbeidsbesparing (€/week)],MATCH(B135,IF(Technologieën[Zoeksleutel bronnummer]=G135,Technologieën[Digitale zorgtoepassing]),0))</f>
        <v>0</v>
      </c>
      <c r="Q135" s="403" cm="1">
        <f t="array" ref="Q135">INDEX(Technologieën[Kostenbesparing (personeel) per handeling (€)],MATCH(B135,IF(Technologieën[Zoeksleutel bronnummer]=G135,Technologieën[Digitale zorgtoepassing]),0))</f>
        <v>0</v>
      </c>
      <c r="R135" s="403" cm="1">
        <f t="array" ref="R135">INDEX(Technologieën[Besparing overige kosten (€/jaar)],MATCH(B135,IF(Technologieën[Zoeksleutel bronnummer]=G135,Technologieën[Digitale zorgtoepassing]),0))</f>
        <v>0</v>
      </c>
      <c r="S135" s="405" cm="1">
        <f t="array" ref="S135">INDEX(Technologieën[Jaarlijkse besparing zorgpersoneel (FTE)],MATCH(B135,IF(Technologieën[Zoeksleutel bronnummer]=G135,Technologieën[Digitale zorgtoepassing]),0))</f>
        <v>0</v>
      </c>
      <c r="T135" s="406" cm="1">
        <f t="array" ref="T135">(INDEX(Technologieën[QALY],MATCH(B135,IF(Technologieën[Zoeksleutel bronnummer]=G135,Technologieën[Digitale zorgtoepassing]),0)))</f>
        <v>0</v>
      </c>
      <c r="U135" s="407">
        <f>(uniforme_input[[#This Row],[Kostenbesparing door arbeidsbesparing p. patiënt (€/week)]]/uniforme_input[[#This Row],[Uurtarief]]*60) + (uniforme_input[[#This Row],[Totaal arbeidsbesparing onafhankelijk van patiënt (FTE)]]*40*60)/uniforme_input[[#This Row],[Patiëntaantallen]]</f>
        <v>0</v>
      </c>
      <c r="V135" s="407">
        <f>(uniforme_input[[#This Row],[Kostenbesparing per handeling (€)]]/uniforme_input[[#This Row],[Uurtarief]])*60</f>
        <v>0</v>
      </c>
      <c r="W135" s="398">
        <f>uniforme_input[[#This Row],[Overige kostenbesparing (Totaal €/jaar)]]/uniforme_input[[#This Row],[Patiëntaantallen]]</f>
        <v>0</v>
      </c>
      <c r="X135" s="408">
        <f>IF(uniforme_input[[#This Row],[Bron gebruiken voor opbrengsten?]]="Ja",uniforme_input[[#This Row],[Tijdsbesparing (min/week/patiënt) - gegeven]]+uniforme_input[[#This Row],[Tijdsbesparing (min/week/patiënt) berekend]],0)</f>
        <v>0</v>
      </c>
      <c r="Y135" s="407">
        <f>IF(uniforme_input[[#This Row],[Bron gebruiken voor opbrengsten?]]="Ja",uniforme_input[[#This Row],[Tijdsbesparing (min/handeling) - gegeven]]+uniforme_input[[#This Row],[Tijdsbesparing (min/handeling) berekend]],0)</f>
        <v>0</v>
      </c>
      <c r="Z135" s="409">
        <f>IF(uniforme_input[[#This Row],[Bron gebruiken voor opbrengsten?]]="Ja",uniforme_input[[#This Row],[Overige kostenbesparing (€/jaar/patiënt) - gegeven]]+uniforme_input[[#This Row],[Overige kostenbesparing (€/jaar/patiënt) berekend]],0)</f>
        <v>0</v>
      </c>
      <c r="AA135" s="403" cm="1">
        <f t="array" ref="AA135">INDEX(Technologieën[Jaarlijkse kosten p. patiënt],MATCH(B135,IF(Technologieën[Zoeksleutel bronnummer]=G135,Technologieën[Digitale zorgtoepassing]),0))</f>
        <v>390</v>
      </c>
      <c r="AB135" s="403" cm="1">
        <f t="array" ref="AB135">INDEX(Technologieën[Jaarlijkse kosten p. organisatie],MATCH(B135,IF(Technologieën[Zoeksleutel bronnummer]=G135,Technologieën[Digitale zorgtoepassing]),0))/uniforme_input[[#This Row],[Aantal doelgroepen waarop toepasbaar]]</f>
        <v>0</v>
      </c>
      <c r="AC135" s="403" cm="1">
        <f t="array" ref="AC135">INDEX(Technologieën[Jaarlijkse kosten (onafh. aantal patiënt/organisatie)],MATCH(B135,IF(Technologieën[Zoeksleutel bronnummer]=G135,Technologieën[Digitale zorgtoepassing]),0))/uniforme_input[[#This Row],[Aantal doelgroepen waarop toepasbaar]]</f>
        <v>0</v>
      </c>
      <c r="AD135" s="403" cm="1">
        <f t="array" ref="AD135">INDEX(Technologieën[Initiële investering (p. patiënt)],MATCH(B135,IF(Technologieën[Zoeksleutel bronnummer]=G135,Technologieën[Digitale zorgtoepassing]),0))</f>
        <v>1490</v>
      </c>
      <c r="AE135" s="403" cm="1">
        <f t="array" ref="AE135">INDEX(Technologieën[Initiële investering (p. organisatie)],MATCH(B135,IF(Technologieën[Zoeksleutel bronnummer]=G135,Technologieën[Digitale zorgtoepassing]),0))</f>
        <v>0</v>
      </c>
      <c r="AF135"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35" s="398">
        <f>(uniforme_input[[#This Row],[Initiële investering per organisatie]]*uniforme_input[[#This Row],[Aantal organisaties]])/uniforme_input[[#This Row],[Patiëntaantallen]]</f>
        <v>0</v>
      </c>
      <c r="AH135" s="410">
        <f>IF(uniforme_input[[#This Row],[Bron gebruiken voor kosten/investering?]]="Ja",uniforme_input[[#This Row],[Jaarlijkse kosten per patiënt]] + uniforme_input[[#This Row],[Jaarlijkse kosten per patiënt berekend]],0)</f>
        <v>390</v>
      </c>
      <c r="AI135" s="409">
        <f>IF(uniforme_input[[#This Row],[Bron gebruiken voor kosten/investering?]]="Ja",uniforme_input[[#This Row],[Initiële investering per patiënt]]+uniforme_input[[#This Row],[Initiële investering per patiënt berekend]],0)</f>
        <v>1490</v>
      </c>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row>
    <row r="136" spans="1:83" x14ac:dyDescent="0.5">
      <c r="A136" s="51" t="str">
        <f>INDEX(Technologieën[Veld],MATCH(G136,Technologieën[Zoeksleutel bronnummer],0))</f>
        <v>Digitale hulpmiddelen - Verpleging</v>
      </c>
      <c r="B136" s="33" t="s">
        <v>19</v>
      </c>
      <c r="C136" s="32" t="s">
        <v>390</v>
      </c>
      <c r="D136" s="32" t="s">
        <v>391</v>
      </c>
      <c r="E136" s="33" t="s">
        <v>20</v>
      </c>
      <c r="F136" s="33" t="str" cm="1">
        <f t="array" ref="F136">INDEX(Berekening_patiëntaantal[Direct toepasbaar/extrapolatie/incidentie voor QALY],MATCH(B136,IF(Berekening_patiëntaantal[Doelgroep (zoeksleutel)]=E136,Berekening_patiëntaantal[Digitale zorgtoepassing]),0))</f>
        <v>Huidige toepassing</v>
      </c>
      <c r="G136" s="33" t="s">
        <v>562</v>
      </c>
      <c r="H136" s="33" t="s">
        <v>144</v>
      </c>
      <c r="I136" s="403">
        <f>INDEX(Uurloon[Uurtarief zorgpersoneel],MATCH(H136,Uurloon[Zorgverlener],0))</f>
        <v>20.410632183908046</v>
      </c>
      <c r="J136" s="404" cm="1">
        <f t="array" ref="J136">INDEX(Berekening_patiëntaantal[Patiëntaantallen],MATCH(B136,IF(Berekening_patiëntaantal[Doelgroep (zoeksleutel)]=E136,Berekening_patiëntaantal[Digitale zorgtoepassing]),0))</f>
        <v>7830</v>
      </c>
      <c r="K136" s="404">
        <f>IFERROR(INDEX(aantal_organisaties[Aantal organisaties waarop toepasbaar],MATCH(B136,aantal_organisaties[Digitale zorgtoepassing],0)),0)</f>
        <v>150</v>
      </c>
      <c r="L136" s="397">
        <f>COUNTIF(uniforme_input[Doelgroep],E136)</f>
        <v>14</v>
      </c>
      <c r="M136" s="405" cm="1">
        <f t="array" ref="M136">INDEX(Technologieën[Tijdsbesparing p. patiënt (min/week)],MATCH(B136,IF(Technologieën[Zoeksleutel bronnummer]=G136,Technologieën[Digitale zorgtoepassing]),0))</f>
        <v>0</v>
      </c>
      <c r="N136" s="405" cm="1">
        <f t="array" ref="N136">INDEX(Technologieën[Tijdsbesparing per handeling (min)],MATCH(B136,IF(Technologieën[Zoeksleutel bronnummer]=G136,Technologieën[Digitale zorgtoepassing]),0))</f>
        <v>0</v>
      </c>
      <c r="O136" s="403" cm="1">
        <f t="array" ref="O136">INDEX(Technologieën[Besparing overige kosten (€/patiënt/jaar)],MATCH(B136,IF(Technologieën[Zoeksleutel bronnummer]=G136,Technologieën[Digitale zorgtoepassing]),0))</f>
        <v>0</v>
      </c>
      <c r="P136" s="403" cm="1">
        <f t="array" ref="P136">INDEX(Technologieën[Kostenbesparing p. patiënt door arbeidsbesparing (€/week)],MATCH(B136,IF(Technologieën[Zoeksleutel bronnummer]=G136,Technologieën[Digitale zorgtoepassing]),0))</f>
        <v>0</v>
      </c>
      <c r="Q136" s="403" cm="1">
        <f t="array" ref="Q136">INDEX(Technologieën[Kostenbesparing (personeel) per handeling (€)],MATCH(B136,IF(Technologieën[Zoeksleutel bronnummer]=G136,Technologieën[Digitale zorgtoepassing]),0))</f>
        <v>0</v>
      </c>
      <c r="R136" s="403" cm="1">
        <f t="array" ref="R136">INDEX(Technologieën[Besparing overige kosten (€/jaar)],MATCH(B136,IF(Technologieën[Zoeksleutel bronnummer]=G136,Technologieën[Digitale zorgtoepassing]),0))</f>
        <v>0</v>
      </c>
      <c r="S136" s="405" cm="1">
        <f t="array" ref="S136">INDEX(Technologieën[Jaarlijkse besparing zorgpersoneel (FTE)],MATCH(B136,IF(Technologieën[Zoeksleutel bronnummer]=G136,Technologieën[Digitale zorgtoepassing]),0))</f>
        <v>0</v>
      </c>
      <c r="T136" s="406" cm="1">
        <f t="array" ref="T136">(INDEX(Technologieën[QALY],MATCH(B136,IF(Technologieën[Zoeksleutel bronnummer]=G136,Technologieën[Digitale zorgtoepassing]),0)))</f>
        <v>0</v>
      </c>
      <c r="U136" s="407">
        <f>(uniforme_input[[#This Row],[Kostenbesparing door arbeidsbesparing p. patiënt (€/week)]]/uniforme_input[[#This Row],[Uurtarief]]*60) + (uniforme_input[[#This Row],[Totaal arbeidsbesparing onafhankelijk van patiënt (FTE)]]*40*60)/uniforme_input[[#This Row],[Patiëntaantallen]]</f>
        <v>0</v>
      </c>
      <c r="V136" s="407">
        <f>(uniforme_input[[#This Row],[Kostenbesparing per handeling (€)]]/uniforme_input[[#This Row],[Uurtarief]])*60</f>
        <v>0</v>
      </c>
      <c r="W136" s="398">
        <f>uniforme_input[[#This Row],[Overige kostenbesparing (Totaal €/jaar)]]/uniforme_input[[#This Row],[Patiëntaantallen]]</f>
        <v>0</v>
      </c>
      <c r="X136" s="408">
        <f>IF(uniforme_input[[#This Row],[Bron gebruiken voor opbrengsten?]]="Ja",uniforme_input[[#This Row],[Tijdsbesparing (min/week/patiënt) - gegeven]]+uniforme_input[[#This Row],[Tijdsbesparing (min/week/patiënt) berekend]],0)</f>
        <v>0</v>
      </c>
      <c r="Y136" s="407">
        <f>IF(uniforme_input[[#This Row],[Bron gebruiken voor opbrengsten?]]="Ja",uniforme_input[[#This Row],[Tijdsbesparing (min/handeling) - gegeven]]+uniforme_input[[#This Row],[Tijdsbesparing (min/handeling) berekend]],0)</f>
        <v>0</v>
      </c>
      <c r="Z136" s="409">
        <f>IF(uniforme_input[[#This Row],[Bron gebruiken voor opbrengsten?]]="Ja",uniforme_input[[#This Row],[Overige kostenbesparing (€/jaar/patiënt) - gegeven]]+uniforme_input[[#This Row],[Overige kostenbesparing (€/jaar/patiënt) berekend]],0)</f>
        <v>0</v>
      </c>
      <c r="AA136" s="403" cm="1">
        <f t="array" ref="AA136">INDEX(Technologieën[Jaarlijkse kosten p. patiënt],MATCH(B136,IF(Technologieën[Zoeksleutel bronnummer]=G136,Technologieën[Digitale zorgtoepassing]),0))</f>
        <v>455</v>
      </c>
      <c r="AB136" s="403" cm="1">
        <f t="array" ref="AB136">INDEX(Technologieën[Jaarlijkse kosten p. organisatie],MATCH(B136,IF(Technologieën[Zoeksleutel bronnummer]=G136,Technologieën[Digitale zorgtoepassing]),0))/uniforme_input[[#This Row],[Aantal doelgroepen waarop toepasbaar]]</f>
        <v>0</v>
      </c>
      <c r="AC136" s="403" cm="1">
        <f t="array" ref="AC136">INDEX(Technologieën[Jaarlijkse kosten (onafh. aantal patiënt/organisatie)],MATCH(B136,IF(Technologieën[Zoeksleutel bronnummer]=G136,Technologieën[Digitale zorgtoepassing]),0))/uniforme_input[[#This Row],[Aantal doelgroepen waarop toepasbaar]]</f>
        <v>0</v>
      </c>
      <c r="AD136" s="403" cm="1">
        <f t="array" ref="AD136">INDEX(Technologieën[Initiële investering (p. patiënt)],MATCH(B136,IF(Technologieën[Zoeksleutel bronnummer]=G136,Technologieën[Digitale zorgtoepassing]),0))</f>
        <v>355</v>
      </c>
      <c r="AE136" s="403" cm="1">
        <f t="array" ref="AE136">INDEX(Technologieën[Initiële investering (p. organisatie)],MATCH(B136,IF(Technologieën[Zoeksleutel bronnummer]=G136,Technologieën[Digitale zorgtoepassing]),0))</f>
        <v>0</v>
      </c>
      <c r="AF136"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36" s="398">
        <f>(uniforme_input[[#This Row],[Initiële investering per organisatie]]*uniforme_input[[#This Row],[Aantal organisaties]])/uniforme_input[[#This Row],[Patiëntaantallen]]</f>
        <v>0</v>
      </c>
      <c r="AH136" s="410">
        <f>IF(uniforme_input[[#This Row],[Bron gebruiken voor kosten/investering?]]="Ja",uniforme_input[[#This Row],[Jaarlijkse kosten per patiënt]] + uniforme_input[[#This Row],[Jaarlijkse kosten per patiënt berekend]],0)</f>
        <v>455</v>
      </c>
      <c r="AI136" s="409">
        <f>IF(uniforme_input[[#This Row],[Bron gebruiken voor kosten/investering?]]="Ja",uniforme_input[[#This Row],[Initiële investering per patiënt]]+uniforme_input[[#This Row],[Initiële investering per patiënt berekend]],0)</f>
        <v>355</v>
      </c>
    </row>
    <row r="137" spans="1:83" x14ac:dyDescent="0.5">
      <c r="A137" s="51" t="str">
        <f>INDEX(Technologieën[Veld],MATCH(G137,Technologieën[Zoeksleutel bronnummer],0))</f>
        <v>Digitale hulpmiddelen - Verpleging</v>
      </c>
      <c r="B137" s="33" t="s">
        <v>19</v>
      </c>
      <c r="C137" s="32" t="s">
        <v>390</v>
      </c>
      <c r="D137" s="32" t="s">
        <v>391</v>
      </c>
      <c r="E137" s="33" t="s">
        <v>20</v>
      </c>
      <c r="F137" s="33" t="str" cm="1">
        <f t="array" ref="F137">INDEX(Berekening_patiëntaantal[Direct toepasbaar/extrapolatie/incidentie voor QALY],MATCH(B137,IF(Berekening_patiëntaantal[Doelgroep (zoeksleutel)]=E137,Berekening_patiëntaantal[Digitale zorgtoepassing]),0))</f>
        <v>Huidige toepassing</v>
      </c>
      <c r="G137" s="33" t="s">
        <v>563</v>
      </c>
      <c r="H137" s="33" t="s">
        <v>144</v>
      </c>
      <c r="I137" s="403">
        <f>INDEX(Uurloon[Uurtarief zorgpersoneel],MATCH(H137,Uurloon[Zorgverlener],0))</f>
        <v>20.410632183908046</v>
      </c>
      <c r="J137" s="404" cm="1">
        <f t="array" ref="J137">INDEX(Berekening_patiëntaantal[Patiëntaantallen],MATCH(B137,IF(Berekening_patiëntaantal[Doelgroep (zoeksleutel)]=E137,Berekening_patiëntaantal[Digitale zorgtoepassing]),0))</f>
        <v>7830</v>
      </c>
      <c r="K137" s="404">
        <f>IFERROR(INDEX(aantal_organisaties[Aantal organisaties waarop toepasbaar],MATCH(B137,aantal_organisaties[Digitale zorgtoepassing],0)),0)</f>
        <v>150</v>
      </c>
      <c r="L137" s="397">
        <f>COUNTIF(uniforme_input[Doelgroep],E137)</f>
        <v>14</v>
      </c>
      <c r="M137" s="405" cm="1">
        <f t="array" ref="M137">INDEX(Technologieën[Tijdsbesparing p. patiënt (min/week)],MATCH(B137,IF(Technologieën[Zoeksleutel bronnummer]=G137,Technologieën[Digitale zorgtoepassing]),0))</f>
        <v>0</v>
      </c>
      <c r="N137" s="405" cm="1">
        <f t="array" ref="N137">INDEX(Technologieën[Tijdsbesparing per handeling (min)],MATCH(B137,IF(Technologieën[Zoeksleutel bronnummer]=G137,Technologieën[Digitale zorgtoepassing]),0))</f>
        <v>0</v>
      </c>
      <c r="O137" s="403" cm="1">
        <f t="array" ref="O137">INDEX(Technologieën[Besparing overige kosten (€/patiënt/jaar)],MATCH(B137,IF(Technologieën[Zoeksleutel bronnummer]=G137,Technologieën[Digitale zorgtoepassing]),0))</f>
        <v>0</v>
      </c>
      <c r="P137" s="403" cm="1">
        <f t="array" ref="P137">INDEX(Technologieën[Kostenbesparing p. patiënt door arbeidsbesparing (€/week)],MATCH(B137,IF(Technologieën[Zoeksleutel bronnummer]=G137,Technologieën[Digitale zorgtoepassing]),0))</f>
        <v>0</v>
      </c>
      <c r="Q137" s="403" cm="1">
        <f t="array" ref="Q137">INDEX(Technologieën[Kostenbesparing (personeel) per handeling (€)],MATCH(B137,IF(Technologieën[Zoeksleutel bronnummer]=G137,Technologieën[Digitale zorgtoepassing]),0))</f>
        <v>0</v>
      </c>
      <c r="R137" s="403" cm="1">
        <f t="array" ref="R137">INDEX(Technologieën[Besparing overige kosten (€/jaar)],MATCH(B137,IF(Technologieën[Zoeksleutel bronnummer]=G137,Technologieën[Digitale zorgtoepassing]),0))</f>
        <v>0</v>
      </c>
      <c r="S137" s="405" cm="1">
        <f t="array" ref="S137">INDEX(Technologieën[Jaarlijkse besparing zorgpersoneel (FTE)],MATCH(B137,IF(Technologieën[Zoeksleutel bronnummer]=G137,Technologieën[Digitale zorgtoepassing]),0))</f>
        <v>0</v>
      </c>
      <c r="T137" s="406" cm="1">
        <f t="array" ref="T137">(INDEX(Technologieën[QALY],MATCH(B137,IF(Technologieën[Zoeksleutel bronnummer]=G137,Technologieën[Digitale zorgtoepassing]),0)))</f>
        <v>0</v>
      </c>
      <c r="U137" s="407">
        <f>(uniforme_input[[#This Row],[Kostenbesparing door arbeidsbesparing p. patiënt (€/week)]]/uniforme_input[[#This Row],[Uurtarief]]*60) + (uniforme_input[[#This Row],[Totaal arbeidsbesparing onafhankelijk van patiënt (FTE)]]*40*60)/uniforme_input[[#This Row],[Patiëntaantallen]]</f>
        <v>0</v>
      </c>
      <c r="V137" s="407">
        <f>(uniforme_input[[#This Row],[Kostenbesparing per handeling (€)]]/uniforme_input[[#This Row],[Uurtarief]])*60</f>
        <v>0</v>
      </c>
      <c r="W137" s="398">
        <f>uniforme_input[[#This Row],[Overige kostenbesparing (Totaal €/jaar)]]/uniforme_input[[#This Row],[Patiëntaantallen]]</f>
        <v>0</v>
      </c>
      <c r="X137" s="408">
        <f>IF(uniforme_input[[#This Row],[Bron gebruiken voor opbrengsten?]]="Ja",uniforme_input[[#This Row],[Tijdsbesparing (min/week/patiënt) - gegeven]]+uniforme_input[[#This Row],[Tijdsbesparing (min/week/patiënt) berekend]],0)</f>
        <v>0</v>
      </c>
      <c r="Y137" s="407">
        <f>IF(uniforme_input[[#This Row],[Bron gebruiken voor opbrengsten?]]="Ja",uniforme_input[[#This Row],[Tijdsbesparing (min/handeling) - gegeven]]+uniforme_input[[#This Row],[Tijdsbesparing (min/handeling) berekend]],0)</f>
        <v>0</v>
      </c>
      <c r="Z137" s="409">
        <f>IF(uniforme_input[[#This Row],[Bron gebruiken voor opbrengsten?]]="Ja",uniforme_input[[#This Row],[Overige kostenbesparing (€/jaar/patiënt) - gegeven]]+uniforme_input[[#This Row],[Overige kostenbesparing (€/jaar/patiënt) berekend]],0)</f>
        <v>0</v>
      </c>
      <c r="AA137" s="403" cm="1">
        <f t="array" ref="AA137">INDEX(Technologieën[Jaarlijkse kosten p. patiënt],MATCH(B137,IF(Technologieën[Zoeksleutel bronnummer]=G137,Technologieën[Digitale zorgtoepassing]),0))</f>
        <v>0</v>
      </c>
      <c r="AB137" s="403" cm="1">
        <f t="array" ref="AB137">INDEX(Technologieën[Jaarlijkse kosten p. organisatie],MATCH(B137,IF(Technologieën[Zoeksleutel bronnummer]=G137,Technologieën[Digitale zorgtoepassing]),0))/uniforme_input[[#This Row],[Aantal doelgroepen waarop toepasbaar]]</f>
        <v>0</v>
      </c>
      <c r="AC137" s="403" cm="1">
        <f t="array" ref="AC137">INDEX(Technologieën[Jaarlijkse kosten (onafh. aantal patiënt/organisatie)],MATCH(B137,IF(Technologieën[Zoeksleutel bronnummer]=G137,Technologieën[Digitale zorgtoepassing]),0))/uniforme_input[[#This Row],[Aantal doelgroepen waarop toepasbaar]]</f>
        <v>0</v>
      </c>
      <c r="AD137" s="403" cm="1">
        <f t="array" ref="AD137">INDEX(Technologieën[Initiële investering (p. patiënt)],MATCH(B137,IF(Technologieën[Zoeksleutel bronnummer]=G137,Technologieën[Digitale zorgtoepassing]),0))</f>
        <v>495</v>
      </c>
      <c r="AE137" s="403" cm="1">
        <f t="array" ref="AE137">INDEX(Technologieën[Initiële investering (p. organisatie)],MATCH(B137,IF(Technologieën[Zoeksleutel bronnummer]=G137,Technologieën[Digitale zorgtoepassing]),0))</f>
        <v>0</v>
      </c>
      <c r="AF137"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37" s="398">
        <f>(uniforme_input[[#This Row],[Initiële investering per organisatie]]*uniforme_input[[#This Row],[Aantal organisaties]])/uniforme_input[[#This Row],[Patiëntaantallen]]</f>
        <v>0</v>
      </c>
      <c r="AH137" s="410">
        <f>IF(uniforme_input[[#This Row],[Bron gebruiken voor kosten/investering?]]="Ja",uniforme_input[[#This Row],[Jaarlijkse kosten per patiënt]] + uniforme_input[[#This Row],[Jaarlijkse kosten per patiënt berekend]],0)</f>
        <v>0</v>
      </c>
      <c r="AI137" s="409">
        <f>IF(uniforme_input[[#This Row],[Bron gebruiken voor kosten/investering?]]="Ja",uniforme_input[[#This Row],[Initiële investering per patiënt]]+uniforme_input[[#This Row],[Initiële investering per patiënt berekend]],0)</f>
        <v>495</v>
      </c>
    </row>
    <row r="138" spans="1:83" x14ac:dyDescent="0.5">
      <c r="A138" s="51" t="str">
        <f>INDEX(Technologieën[Veld],MATCH(G138,Technologieën[Zoeksleutel bronnummer],0))</f>
        <v>Digitale hulpmiddelen - Verpleging</v>
      </c>
      <c r="B138" s="33" t="s">
        <v>19</v>
      </c>
      <c r="C138" s="32" t="s">
        <v>390</v>
      </c>
      <c r="D138" s="32" t="s">
        <v>391</v>
      </c>
      <c r="E138" s="33" t="s">
        <v>24</v>
      </c>
      <c r="F138" s="33" t="str" cm="1">
        <f t="array" ref="F138">INDEX(Berekening_patiëntaantal[Direct toepasbaar/extrapolatie/incidentie voor QALY],MATCH(B138,IF(Berekening_patiëntaantal[Doelgroep (zoeksleutel)]=E138,Berekening_patiëntaantal[Digitale zorgtoepassing]),0))</f>
        <v>Huidige toepassing</v>
      </c>
      <c r="G138" s="33" t="s">
        <v>561</v>
      </c>
      <c r="H138" s="33" t="s">
        <v>144</v>
      </c>
      <c r="I138" s="403">
        <f>INDEX(Uurloon[Uurtarief zorgpersoneel],MATCH(H138,Uurloon[Zorgverlener],0))</f>
        <v>20.410632183908046</v>
      </c>
      <c r="J138" s="404" cm="1">
        <f t="array" ref="J138">INDEX(Berekening_patiëntaantal[Patiëntaantallen],MATCH(B138,IF(Berekening_patiëntaantal[Doelgroep (zoeksleutel)]=E138,Berekening_patiëntaantal[Digitale zorgtoepassing]),0))</f>
        <v>5476.8</v>
      </c>
      <c r="K138" s="404">
        <f>IFERROR(INDEX(aantal_organisaties[Aantal organisaties waarop toepasbaar],MATCH(B138,aantal_organisaties[Digitale zorgtoepassing],0)),0)</f>
        <v>150</v>
      </c>
      <c r="L138" s="397">
        <f>COUNTIF(uniforme_input[Doelgroep],E138)</f>
        <v>12</v>
      </c>
      <c r="M138" s="405" cm="1">
        <f t="array" ref="M138">INDEX(Technologieën[Tijdsbesparing p. patiënt (min/week)],MATCH(B138,IF(Technologieën[Zoeksleutel bronnummer]=G138,Technologieën[Digitale zorgtoepassing]),0))</f>
        <v>0</v>
      </c>
      <c r="N138" s="405" cm="1">
        <f t="array" ref="N138">INDEX(Technologieën[Tijdsbesparing per handeling (min)],MATCH(B138,IF(Technologieën[Zoeksleutel bronnummer]=G138,Technologieën[Digitale zorgtoepassing]),0))</f>
        <v>0</v>
      </c>
      <c r="O138" s="403" cm="1">
        <f t="array" ref="O138">INDEX(Technologieën[Besparing overige kosten (€/patiënt/jaar)],MATCH(B138,IF(Technologieën[Zoeksleutel bronnummer]=G138,Technologieën[Digitale zorgtoepassing]),0))</f>
        <v>0</v>
      </c>
      <c r="P138" s="403" cm="1">
        <f t="array" ref="P138">INDEX(Technologieën[Kostenbesparing p. patiënt door arbeidsbesparing (€/week)],MATCH(B138,IF(Technologieën[Zoeksleutel bronnummer]=G138,Technologieën[Digitale zorgtoepassing]),0))</f>
        <v>0</v>
      </c>
      <c r="Q138" s="403" cm="1">
        <f t="array" ref="Q138">INDEX(Technologieën[Kostenbesparing (personeel) per handeling (€)],MATCH(B138,IF(Technologieën[Zoeksleutel bronnummer]=G138,Technologieën[Digitale zorgtoepassing]),0))</f>
        <v>0</v>
      </c>
      <c r="R138" s="403" cm="1">
        <f t="array" ref="R138">INDEX(Technologieën[Besparing overige kosten (€/jaar)],MATCH(B138,IF(Technologieën[Zoeksleutel bronnummer]=G138,Technologieën[Digitale zorgtoepassing]),0))</f>
        <v>0</v>
      </c>
      <c r="S138" s="405" cm="1">
        <f t="array" ref="S138">INDEX(Technologieën[Jaarlijkse besparing zorgpersoneel (FTE)],MATCH(B138,IF(Technologieën[Zoeksleutel bronnummer]=G138,Technologieën[Digitale zorgtoepassing]),0))</f>
        <v>0</v>
      </c>
      <c r="T138" s="406" cm="1">
        <f t="array" ref="T138">(INDEX(Technologieën[QALY],MATCH(B138,IF(Technologieën[Zoeksleutel bronnummer]=G138,Technologieën[Digitale zorgtoepassing]),0)))</f>
        <v>0</v>
      </c>
      <c r="U138" s="407">
        <f>(uniforme_input[[#This Row],[Kostenbesparing door arbeidsbesparing p. patiënt (€/week)]]/uniforme_input[[#This Row],[Uurtarief]]*60) + (uniforme_input[[#This Row],[Totaal arbeidsbesparing onafhankelijk van patiënt (FTE)]]*40*60)/uniforme_input[[#This Row],[Patiëntaantallen]]</f>
        <v>0</v>
      </c>
      <c r="V138" s="407">
        <f>(uniforme_input[[#This Row],[Kostenbesparing per handeling (€)]]/uniforme_input[[#This Row],[Uurtarief]])*60</f>
        <v>0</v>
      </c>
      <c r="W138" s="398">
        <f>uniforme_input[[#This Row],[Overige kostenbesparing (Totaal €/jaar)]]/uniforme_input[[#This Row],[Patiëntaantallen]]</f>
        <v>0</v>
      </c>
      <c r="X138" s="408">
        <f>IF(uniforme_input[[#This Row],[Bron gebruiken voor opbrengsten?]]="Ja",uniforme_input[[#This Row],[Tijdsbesparing (min/week/patiënt) - gegeven]]+uniforme_input[[#This Row],[Tijdsbesparing (min/week/patiënt) berekend]],0)</f>
        <v>0</v>
      </c>
      <c r="Y138" s="407">
        <f>IF(uniforme_input[[#This Row],[Bron gebruiken voor opbrengsten?]]="Ja",uniforme_input[[#This Row],[Tijdsbesparing (min/handeling) - gegeven]]+uniforme_input[[#This Row],[Tijdsbesparing (min/handeling) berekend]],0)</f>
        <v>0</v>
      </c>
      <c r="Z138" s="409">
        <f>IF(uniforme_input[[#This Row],[Bron gebruiken voor opbrengsten?]]="Ja",uniforme_input[[#This Row],[Overige kostenbesparing (€/jaar/patiënt) - gegeven]]+uniforme_input[[#This Row],[Overige kostenbesparing (€/jaar/patiënt) berekend]],0)</f>
        <v>0</v>
      </c>
      <c r="AA138" s="403" cm="1">
        <f t="array" ref="AA138">INDEX(Technologieën[Jaarlijkse kosten p. patiënt],MATCH(B138,IF(Technologieën[Zoeksleutel bronnummer]=G138,Technologieën[Digitale zorgtoepassing]),0))</f>
        <v>390</v>
      </c>
      <c r="AB138" s="403" cm="1">
        <f t="array" ref="AB138">INDEX(Technologieën[Jaarlijkse kosten p. organisatie],MATCH(B138,IF(Technologieën[Zoeksleutel bronnummer]=G138,Technologieën[Digitale zorgtoepassing]),0))/uniforme_input[[#This Row],[Aantal doelgroepen waarop toepasbaar]]</f>
        <v>0</v>
      </c>
      <c r="AC138" s="403" cm="1">
        <f t="array" ref="AC138">INDEX(Technologieën[Jaarlijkse kosten (onafh. aantal patiënt/organisatie)],MATCH(B138,IF(Technologieën[Zoeksleutel bronnummer]=G138,Technologieën[Digitale zorgtoepassing]),0))/uniforme_input[[#This Row],[Aantal doelgroepen waarop toepasbaar]]</f>
        <v>0</v>
      </c>
      <c r="AD138" s="403" cm="1">
        <f t="array" ref="AD138">INDEX(Technologieën[Initiële investering (p. patiënt)],MATCH(B138,IF(Technologieën[Zoeksleutel bronnummer]=G138,Technologieën[Digitale zorgtoepassing]),0))</f>
        <v>1490</v>
      </c>
      <c r="AE138" s="403" cm="1">
        <f t="array" ref="AE138">INDEX(Technologieën[Initiële investering (p. organisatie)],MATCH(B138,IF(Technologieën[Zoeksleutel bronnummer]=G138,Technologieën[Digitale zorgtoepassing]),0))</f>
        <v>0</v>
      </c>
      <c r="AF138"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38" s="398">
        <f>(uniforme_input[[#This Row],[Initiële investering per organisatie]]*uniforme_input[[#This Row],[Aantal organisaties]])/uniforme_input[[#This Row],[Patiëntaantallen]]</f>
        <v>0</v>
      </c>
      <c r="AH138" s="410">
        <f>IF(uniforme_input[[#This Row],[Bron gebruiken voor kosten/investering?]]="Ja",uniforme_input[[#This Row],[Jaarlijkse kosten per patiënt]] + uniforme_input[[#This Row],[Jaarlijkse kosten per patiënt berekend]],0)</f>
        <v>390</v>
      </c>
      <c r="AI138" s="409">
        <f>IF(uniforme_input[[#This Row],[Bron gebruiken voor kosten/investering?]]="Ja",uniforme_input[[#This Row],[Initiële investering per patiënt]]+uniforme_input[[#This Row],[Initiële investering per patiënt berekend]],0)</f>
        <v>1490</v>
      </c>
    </row>
    <row r="139" spans="1:83" x14ac:dyDescent="0.5">
      <c r="A139" s="51" t="str">
        <f>INDEX(Technologieën[Veld],MATCH(G139,Technologieën[Zoeksleutel bronnummer],0))</f>
        <v>Digitale hulpmiddelen - Verpleging</v>
      </c>
      <c r="B139" s="33" t="s">
        <v>19</v>
      </c>
      <c r="C139" s="32" t="s">
        <v>390</v>
      </c>
      <c r="D139" s="32" t="s">
        <v>391</v>
      </c>
      <c r="E139" s="33" t="s">
        <v>24</v>
      </c>
      <c r="F139" s="33" t="str" cm="1">
        <f t="array" ref="F139">INDEX(Berekening_patiëntaantal[Direct toepasbaar/extrapolatie/incidentie voor QALY],MATCH(B139,IF(Berekening_patiëntaantal[Doelgroep (zoeksleutel)]=E139,Berekening_patiëntaantal[Digitale zorgtoepassing]),0))</f>
        <v>Huidige toepassing</v>
      </c>
      <c r="G139" s="33" t="s">
        <v>562</v>
      </c>
      <c r="H139" s="33" t="s">
        <v>144</v>
      </c>
      <c r="I139" s="403">
        <f>INDEX(Uurloon[Uurtarief zorgpersoneel],MATCH(H139,Uurloon[Zorgverlener],0))</f>
        <v>20.410632183908046</v>
      </c>
      <c r="J139" s="404" cm="1">
        <f t="array" ref="J139">INDEX(Berekening_patiëntaantal[Patiëntaantallen],MATCH(B139,IF(Berekening_patiëntaantal[Doelgroep (zoeksleutel)]=E139,Berekening_patiëntaantal[Digitale zorgtoepassing]),0))</f>
        <v>5476.8</v>
      </c>
      <c r="K139" s="404">
        <f>IFERROR(INDEX(aantal_organisaties[Aantal organisaties waarop toepasbaar],MATCH(B139,aantal_organisaties[Digitale zorgtoepassing],0)),0)</f>
        <v>150</v>
      </c>
      <c r="L139" s="397">
        <f>COUNTIF(uniforme_input[Doelgroep],E139)</f>
        <v>12</v>
      </c>
      <c r="M139" s="405" cm="1">
        <f t="array" ref="M139">INDEX(Technologieën[Tijdsbesparing p. patiënt (min/week)],MATCH(B139,IF(Technologieën[Zoeksleutel bronnummer]=G139,Technologieën[Digitale zorgtoepassing]),0))</f>
        <v>0</v>
      </c>
      <c r="N139" s="405" cm="1">
        <f t="array" ref="N139">INDEX(Technologieën[Tijdsbesparing per handeling (min)],MATCH(B139,IF(Technologieën[Zoeksleutel bronnummer]=G139,Technologieën[Digitale zorgtoepassing]),0))</f>
        <v>0</v>
      </c>
      <c r="O139" s="403" cm="1">
        <f t="array" ref="O139">INDEX(Technologieën[Besparing overige kosten (€/patiënt/jaar)],MATCH(B139,IF(Technologieën[Zoeksleutel bronnummer]=G139,Technologieën[Digitale zorgtoepassing]),0))</f>
        <v>0</v>
      </c>
      <c r="P139" s="403" cm="1">
        <f t="array" ref="P139">INDEX(Technologieën[Kostenbesparing p. patiënt door arbeidsbesparing (€/week)],MATCH(B139,IF(Technologieën[Zoeksleutel bronnummer]=G139,Technologieën[Digitale zorgtoepassing]),0))</f>
        <v>0</v>
      </c>
      <c r="Q139" s="403" cm="1">
        <f t="array" ref="Q139">INDEX(Technologieën[Kostenbesparing (personeel) per handeling (€)],MATCH(B139,IF(Technologieën[Zoeksleutel bronnummer]=G139,Technologieën[Digitale zorgtoepassing]),0))</f>
        <v>0</v>
      </c>
      <c r="R139" s="403" cm="1">
        <f t="array" ref="R139">INDEX(Technologieën[Besparing overige kosten (€/jaar)],MATCH(B139,IF(Technologieën[Zoeksleutel bronnummer]=G139,Technologieën[Digitale zorgtoepassing]),0))</f>
        <v>0</v>
      </c>
      <c r="S139" s="405" cm="1">
        <f t="array" ref="S139">INDEX(Technologieën[Jaarlijkse besparing zorgpersoneel (FTE)],MATCH(B139,IF(Technologieën[Zoeksleutel bronnummer]=G139,Technologieën[Digitale zorgtoepassing]),0))</f>
        <v>0</v>
      </c>
      <c r="T139" s="406" cm="1">
        <f t="array" ref="T139">(INDEX(Technologieën[QALY],MATCH(B139,IF(Technologieën[Zoeksleutel bronnummer]=G139,Technologieën[Digitale zorgtoepassing]),0)))</f>
        <v>0</v>
      </c>
      <c r="U139" s="407">
        <f>(uniforme_input[[#This Row],[Kostenbesparing door arbeidsbesparing p. patiënt (€/week)]]/uniforme_input[[#This Row],[Uurtarief]]*60) + (uniforme_input[[#This Row],[Totaal arbeidsbesparing onafhankelijk van patiënt (FTE)]]*40*60)/uniforme_input[[#This Row],[Patiëntaantallen]]</f>
        <v>0</v>
      </c>
      <c r="V139" s="407">
        <f>(uniforme_input[[#This Row],[Kostenbesparing per handeling (€)]]/uniforme_input[[#This Row],[Uurtarief]])*60</f>
        <v>0</v>
      </c>
      <c r="W139" s="398">
        <f>uniforme_input[[#This Row],[Overige kostenbesparing (Totaal €/jaar)]]/uniforme_input[[#This Row],[Patiëntaantallen]]</f>
        <v>0</v>
      </c>
      <c r="X139" s="408">
        <f>IF(uniforme_input[[#This Row],[Bron gebruiken voor opbrengsten?]]="Ja",uniforme_input[[#This Row],[Tijdsbesparing (min/week/patiënt) - gegeven]]+uniforme_input[[#This Row],[Tijdsbesparing (min/week/patiënt) berekend]],0)</f>
        <v>0</v>
      </c>
      <c r="Y139" s="407">
        <f>IF(uniforme_input[[#This Row],[Bron gebruiken voor opbrengsten?]]="Ja",uniforme_input[[#This Row],[Tijdsbesparing (min/handeling) - gegeven]]+uniforme_input[[#This Row],[Tijdsbesparing (min/handeling) berekend]],0)</f>
        <v>0</v>
      </c>
      <c r="Z139" s="409">
        <f>IF(uniforme_input[[#This Row],[Bron gebruiken voor opbrengsten?]]="Ja",uniforme_input[[#This Row],[Overige kostenbesparing (€/jaar/patiënt) - gegeven]]+uniforme_input[[#This Row],[Overige kostenbesparing (€/jaar/patiënt) berekend]],0)</f>
        <v>0</v>
      </c>
      <c r="AA139" s="403" cm="1">
        <f t="array" ref="AA139">INDEX(Technologieën[Jaarlijkse kosten p. patiënt],MATCH(B139,IF(Technologieën[Zoeksleutel bronnummer]=G139,Technologieën[Digitale zorgtoepassing]),0))</f>
        <v>455</v>
      </c>
      <c r="AB139" s="403" cm="1">
        <f t="array" ref="AB139">INDEX(Technologieën[Jaarlijkse kosten p. organisatie],MATCH(B139,IF(Technologieën[Zoeksleutel bronnummer]=G139,Technologieën[Digitale zorgtoepassing]),0))/uniforme_input[[#This Row],[Aantal doelgroepen waarop toepasbaar]]</f>
        <v>0</v>
      </c>
      <c r="AC139" s="403" cm="1">
        <f t="array" ref="AC139">INDEX(Technologieën[Jaarlijkse kosten (onafh. aantal patiënt/organisatie)],MATCH(B139,IF(Technologieën[Zoeksleutel bronnummer]=G139,Technologieën[Digitale zorgtoepassing]),0))/uniforme_input[[#This Row],[Aantal doelgroepen waarop toepasbaar]]</f>
        <v>0</v>
      </c>
      <c r="AD139" s="403" cm="1">
        <f t="array" ref="AD139">INDEX(Technologieën[Initiële investering (p. patiënt)],MATCH(B139,IF(Technologieën[Zoeksleutel bronnummer]=G139,Technologieën[Digitale zorgtoepassing]),0))</f>
        <v>355</v>
      </c>
      <c r="AE139" s="403" cm="1">
        <f t="array" ref="AE139">INDEX(Technologieën[Initiële investering (p. organisatie)],MATCH(B139,IF(Technologieën[Zoeksleutel bronnummer]=G139,Technologieën[Digitale zorgtoepassing]),0))</f>
        <v>0</v>
      </c>
      <c r="AF139"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39" s="398">
        <f>(uniforme_input[[#This Row],[Initiële investering per organisatie]]*uniforme_input[[#This Row],[Aantal organisaties]])/uniforme_input[[#This Row],[Patiëntaantallen]]</f>
        <v>0</v>
      </c>
      <c r="AH139" s="410">
        <f>IF(uniforme_input[[#This Row],[Bron gebruiken voor kosten/investering?]]="Ja",uniforme_input[[#This Row],[Jaarlijkse kosten per patiënt]] + uniforme_input[[#This Row],[Jaarlijkse kosten per patiënt berekend]],0)</f>
        <v>455</v>
      </c>
      <c r="AI139" s="409">
        <f>IF(uniforme_input[[#This Row],[Bron gebruiken voor kosten/investering?]]="Ja",uniforme_input[[#This Row],[Initiële investering per patiënt]]+uniforme_input[[#This Row],[Initiële investering per patiënt berekend]],0)</f>
        <v>355</v>
      </c>
    </row>
    <row r="140" spans="1:83" x14ac:dyDescent="0.5">
      <c r="A140" s="51" t="str">
        <f>INDEX(Technologieën[Veld],MATCH(G140,Technologieën[Zoeksleutel bronnummer],0))</f>
        <v>Digitale hulpmiddelen - Verpleging</v>
      </c>
      <c r="B140" s="33" t="s">
        <v>19</v>
      </c>
      <c r="C140" s="32" t="s">
        <v>390</v>
      </c>
      <c r="D140" s="32" t="s">
        <v>391</v>
      </c>
      <c r="E140" s="33" t="s">
        <v>24</v>
      </c>
      <c r="F140" s="33" t="str" cm="1">
        <f t="array" ref="F140">INDEX(Berekening_patiëntaantal[Direct toepasbaar/extrapolatie/incidentie voor QALY],MATCH(B140,IF(Berekening_patiëntaantal[Doelgroep (zoeksleutel)]=E140,Berekening_patiëntaantal[Digitale zorgtoepassing]),0))</f>
        <v>Huidige toepassing</v>
      </c>
      <c r="G140" s="33" t="s">
        <v>563</v>
      </c>
      <c r="H140" s="33" t="s">
        <v>144</v>
      </c>
      <c r="I140" s="403">
        <f>INDEX(Uurloon[Uurtarief zorgpersoneel],MATCH(H140,Uurloon[Zorgverlener],0))</f>
        <v>20.410632183908046</v>
      </c>
      <c r="J140" s="404" cm="1">
        <f t="array" ref="J140">INDEX(Berekening_patiëntaantal[Patiëntaantallen],MATCH(B140,IF(Berekening_patiëntaantal[Doelgroep (zoeksleutel)]=E140,Berekening_patiëntaantal[Digitale zorgtoepassing]),0))</f>
        <v>5476.8</v>
      </c>
      <c r="K140" s="404">
        <f>IFERROR(INDEX(aantal_organisaties[Aantal organisaties waarop toepasbaar],MATCH(B140,aantal_organisaties[Digitale zorgtoepassing],0)),0)</f>
        <v>150</v>
      </c>
      <c r="L140" s="397">
        <f>COUNTIF(uniforme_input[Doelgroep],E140)</f>
        <v>12</v>
      </c>
      <c r="M140" s="405" cm="1">
        <f t="array" ref="M140">INDEX(Technologieën[Tijdsbesparing p. patiënt (min/week)],MATCH(B140,IF(Technologieën[Zoeksleutel bronnummer]=G140,Technologieën[Digitale zorgtoepassing]),0))</f>
        <v>0</v>
      </c>
      <c r="N140" s="405" cm="1">
        <f t="array" ref="N140">INDEX(Technologieën[Tijdsbesparing per handeling (min)],MATCH(B140,IF(Technologieën[Zoeksleutel bronnummer]=G140,Technologieën[Digitale zorgtoepassing]),0))</f>
        <v>0</v>
      </c>
      <c r="O140" s="403" cm="1">
        <f t="array" ref="O140">INDEX(Technologieën[Besparing overige kosten (€/patiënt/jaar)],MATCH(B140,IF(Technologieën[Zoeksleutel bronnummer]=G140,Technologieën[Digitale zorgtoepassing]),0))</f>
        <v>0</v>
      </c>
      <c r="P140" s="403" cm="1">
        <f t="array" ref="P140">INDEX(Technologieën[Kostenbesparing p. patiënt door arbeidsbesparing (€/week)],MATCH(B140,IF(Technologieën[Zoeksleutel bronnummer]=G140,Technologieën[Digitale zorgtoepassing]),0))</f>
        <v>0</v>
      </c>
      <c r="Q140" s="403" cm="1">
        <f t="array" ref="Q140">INDEX(Technologieën[Kostenbesparing (personeel) per handeling (€)],MATCH(B140,IF(Technologieën[Zoeksleutel bronnummer]=G140,Technologieën[Digitale zorgtoepassing]),0))</f>
        <v>0</v>
      </c>
      <c r="R140" s="403" cm="1">
        <f t="array" ref="R140">INDEX(Technologieën[Besparing overige kosten (€/jaar)],MATCH(B140,IF(Technologieën[Zoeksleutel bronnummer]=G140,Technologieën[Digitale zorgtoepassing]),0))</f>
        <v>0</v>
      </c>
      <c r="S140" s="405" cm="1">
        <f t="array" ref="S140">INDEX(Technologieën[Jaarlijkse besparing zorgpersoneel (FTE)],MATCH(B140,IF(Technologieën[Zoeksleutel bronnummer]=G140,Technologieën[Digitale zorgtoepassing]),0))</f>
        <v>0</v>
      </c>
      <c r="T140" s="406" cm="1">
        <f t="array" ref="T140">(INDEX(Technologieën[QALY],MATCH(B140,IF(Technologieën[Zoeksleutel bronnummer]=G140,Technologieën[Digitale zorgtoepassing]),0)))</f>
        <v>0</v>
      </c>
      <c r="U140" s="407">
        <f>(uniforme_input[[#This Row],[Kostenbesparing door arbeidsbesparing p. patiënt (€/week)]]/uniforme_input[[#This Row],[Uurtarief]]*60) + (uniforme_input[[#This Row],[Totaal arbeidsbesparing onafhankelijk van patiënt (FTE)]]*40*60)/uniforme_input[[#This Row],[Patiëntaantallen]]</f>
        <v>0</v>
      </c>
      <c r="V140" s="407">
        <f>(uniforme_input[[#This Row],[Kostenbesparing per handeling (€)]]/uniforme_input[[#This Row],[Uurtarief]])*60</f>
        <v>0</v>
      </c>
      <c r="W140" s="398">
        <f>uniforme_input[[#This Row],[Overige kostenbesparing (Totaal €/jaar)]]/uniforme_input[[#This Row],[Patiëntaantallen]]</f>
        <v>0</v>
      </c>
      <c r="X140" s="408">
        <f>IF(uniforme_input[[#This Row],[Bron gebruiken voor opbrengsten?]]="Ja",uniforme_input[[#This Row],[Tijdsbesparing (min/week/patiënt) - gegeven]]+uniforme_input[[#This Row],[Tijdsbesparing (min/week/patiënt) berekend]],0)</f>
        <v>0</v>
      </c>
      <c r="Y140" s="407">
        <f>IF(uniforme_input[[#This Row],[Bron gebruiken voor opbrengsten?]]="Ja",uniforme_input[[#This Row],[Tijdsbesparing (min/handeling) - gegeven]]+uniforme_input[[#This Row],[Tijdsbesparing (min/handeling) berekend]],0)</f>
        <v>0</v>
      </c>
      <c r="Z140" s="409">
        <f>IF(uniforme_input[[#This Row],[Bron gebruiken voor opbrengsten?]]="Ja",uniforme_input[[#This Row],[Overige kostenbesparing (€/jaar/patiënt) - gegeven]]+uniforme_input[[#This Row],[Overige kostenbesparing (€/jaar/patiënt) berekend]],0)</f>
        <v>0</v>
      </c>
      <c r="AA140" s="403" cm="1">
        <f t="array" ref="AA140">INDEX(Technologieën[Jaarlijkse kosten p. patiënt],MATCH(B140,IF(Technologieën[Zoeksleutel bronnummer]=G140,Technologieën[Digitale zorgtoepassing]),0))</f>
        <v>0</v>
      </c>
      <c r="AB140" s="403" cm="1">
        <f t="array" ref="AB140">INDEX(Technologieën[Jaarlijkse kosten p. organisatie],MATCH(B140,IF(Technologieën[Zoeksleutel bronnummer]=G140,Technologieën[Digitale zorgtoepassing]),0))/uniforme_input[[#This Row],[Aantal doelgroepen waarop toepasbaar]]</f>
        <v>0</v>
      </c>
      <c r="AC140" s="403" cm="1">
        <f t="array" ref="AC140">INDEX(Technologieën[Jaarlijkse kosten (onafh. aantal patiënt/organisatie)],MATCH(B140,IF(Technologieën[Zoeksleutel bronnummer]=G140,Technologieën[Digitale zorgtoepassing]),0))/uniforme_input[[#This Row],[Aantal doelgroepen waarop toepasbaar]]</f>
        <v>0</v>
      </c>
      <c r="AD140" s="403" cm="1">
        <f t="array" ref="AD140">INDEX(Technologieën[Initiële investering (p. patiënt)],MATCH(B140,IF(Technologieën[Zoeksleutel bronnummer]=G140,Technologieën[Digitale zorgtoepassing]),0))</f>
        <v>495</v>
      </c>
      <c r="AE140" s="403" cm="1">
        <f t="array" ref="AE140">INDEX(Technologieën[Initiële investering (p. organisatie)],MATCH(B140,IF(Technologieën[Zoeksleutel bronnummer]=G140,Technologieën[Digitale zorgtoepassing]),0))</f>
        <v>0</v>
      </c>
      <c r="AF140"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40" s="398">
        <f>(uniforme_input[[#This Row],[Initiële investering per organisatie]]*uniforme_input[[#This Row],[Aantal organisaties]])/uniforme_input[[#This Row],[Patiëntaantallen]]</f>
        <v>0</v>
      </c>
      <c r="AH140" s="410">
        <f>IF(uniforme_input[[#This Row],[Bron gebruiken voor kosten/investering?]]="Ja",uniforme_input[[#This Row],[Jaarlijkse kosten per patiënt]] + uniforme_input[[#This Row],[Jaarlijkse kosten per patiënt berekend]],0)</f>
        <v>0</v>
      </c>
      <c r="AI140" s="409">
        <f>IF(uniforme_input[[#This Row],[Bron gebruiken voor kosten/investering?]]="Ja",uniforme_input[[#This Row],[Initiële investering per patiënt]]+uniforme_input[[#This Row],[Initiële investering per patiënt berekend]],0)</f>
        <v>495</v>
      </c>
    </row>
    <row r="141" spans="1:83" x14ac:dyDescent="0.5">
      <c r="A141" s="51" t="str">
        <f>INDEX(Technologieën[Veld],MATCH(G141,Technologieën[Zoeksleutel bronnummer],0))</f>
        <v>Digitale hulpmiddelen - Verpleging</v>
      </c>
      <c r="B141" s="33" t="s">
        <v>19</v>
      </c>
      <c r="C141" s="32" t="s">
        <v>390</v>
      </c>
      <c r="D141" s="32" t="s">
        <v>391</v>
      </c>
      <c r="E141" s="33" t="s">
        <v>27</v>
      </c>
      <c r="F141" s="33" t="str" cm="1">
        <f t="array" ref="F141">INDEX(Berekening_patiëntaantal[Direct toepasbaar/extrapolatie/incidentie voor QALY],MATCH(B141,IF(Berekening_patiëntaantal[Doelgroep (zoeksleutel)]=E141,Berekening_patiëntaantal[Digitale zorgtoepassing]),0))</f>
        <v>Extrapolatie</v>
      </c>
      <c r="G141" s="33" t="s">
        <v>561</v>
      </c>
      <c r="H141" s="33" t="s">
        <v>144</v>
      </c>
      <c r="I141" s="403">
        <f>INDEX(Uurloon[Uurtarief zorgpersoneel],MATCH(H141,Uurloon[Zorgverlener],0))</f>
        <v>20.410632183908046</v>
      </c>
      <c r="J141" s="404" cm="1">
        <f t="array" ref="J141">INDEX(Berekening_patiëntaantal[Patiëntaantallen],MATCH(B141,IF(Berekening_patiëntaantal[Doelgroep (zoeksleutel)]=E141,Berekening_patiëntaantal[Digitale zorgtoepassing]),0))</f>
        <v>7935</v>
      </c>
      <c r="K141" s="404">
        <f>IFERROR(INDEX(aantal_organisaties[Aantal organisaties waarop toepasbaar],MATCH(B141,aantal_organisaties[Digitale zorgtoepassing],0)),0)</f>
        <v>150</v>
      </c>
      <c r="L141" s="397">
        <f>COUNTIF(uniforme_input[Doelgroep],E141)</f>
        <v>12</v>
      </c>
      <c r="M141" s="405" cm="1">
        <f t="array" ref="M141">INDEX(Technologieën[Tijdsbesparing p. patiënt (min/week)],MATCH(B141,IF(Technologieën[Zoeksleutel bronnummer]=G141,Technologieën[Digitale zorgtoepassing]),0))</f>
        <v>0</v>
      </c>
      <c r="N141" s="405" cm="1">
        <f t="array" ref="N141">INDEX(Technologieën[Tijdsbesparing per handeling (min)],MATCH(B141,IF(Technologieën[Zoeksleutel bronnummer]=G141,Technologieën[Digitale zorgtoepassing]),0))</f>
        <v>0</v>
      </c>
      <c r="O141" s="403" cm="1">
        <f t="array" ref="O141">INDEX(Technologieën[Besparing overige kosten (€/patiënt/jaar)],MATCH(B141,IF(Technologieën[Zoeksleutel bronnummer]=G141,Technologieën[Digitale zorgtoepassing]),0))</f>
        <v>0</v>
      </c>
      <c r="P141" s="403" cm="1">
        <f t="array" ref="P141">INDEX(Technologieën[Kostenbesparing p. patiënt door arbeidsbesparing (€/week)],MATCH(B141,IF(Technologieën[Zoeksleutel bronnummer]=G141,Technologieën[Digitale zorgtoepassing]),0))</f>
        <v>0</v>
      </c>
      <c r="Q141" s="403" cm="1">
        <f t="array" ref="Q141">INDEX(Technologieën[Kostenbesparing (personeel) per handeling (€)],MATCH(B141,IF(Technologieën[Zoeksleutel bronnummer]=G141,Technologieën[Digitale zorgtoepassing]),0))</f>
        <v>0</v>
      </c>
      <c r="R141" s="403" cm="1">
        <f t="array" ref="R141">INDEX(Technologieën[Besparing overige kosten (€/jaar)],MATCH(B141,IF(Technologieën[Zoeksleutel bronnummer]=G141,Technologieën[Digitale zorgtoepassing]),0))</f>
        <v>0</v>
      </c>
      <c r="S141" s="405" cm="1">
        <f t="array" ref="S141">INDEX(Technologieën[Jaarlijkse besparing zorgpersoneel (FTE)],MATCH(B141,IF(Technologieën[Zoeksleutel bronnummer]=G141,Technologieën[Digitale zorgtoepassing]),0))</f>
        <v>0</v>
      </c>
      <c r="T141" s="406" cm="1">
        <f t="array" ref="T141">(INDEX(Technologieën[QALY],MATCH(B141,IF(Technologieën[Zoeksleutel bronnummer]=G141,Technologieën[Digitale zorgtoepassing]),0)))</f>
        <v>0</v>
      </c>
      <c r="U141" s="407">
        <f>(uniforme_input[[#This Row],[Kostenbesparing door arbeidsbesparing p. patiënt (€/week)]]/uniforme_input[[#This Row],[Uurtarief]]*60) + (uniforme_input[[#This Row],[Totaal arbeidsbesparing onafhankelijk van patiënt (FTE)]]*40*60)/uniforme_input[[#This Row],[Patiëntaantallen]]</f>
        <v>0</v>
      </c>
      <c r="V141" s="407">
        <f>(uniforme_input[[#This Row],[Kostenbesparing per handeling (€)]]/uniforme_input[[#This Row],[Uurtarief]])*60</f>
        <v>0</v>
      </c>
      <c r="W141" s="398">
        <f>uniforme_input[[#This Row],[Overige kostenbesparing (Totaal €/jaar)]]/uniforme_input[[#This Row],[Patiëntaantallen]]</f>
        <v>0</v>
      </c>
      <c r="X141" s="408">
        <f>IF(uniforme_input[[#This Row],[Bron gebruiken voor opbrengsten?]]="Ja",uniforme_input[[#This Row],[Tijdsbesparing (min/week/patiënt) - gegeven]]+uniforme_input[[#This Row],[Tijdsbesparing (min/week/patiënt) berekend]],0)</f>
        <v>0</v>
      </c>
      <c r="Y141" s="407">
        <f>IF(uniforme_input[[#This Row],[Bron gebruiken voor opbrengsten?]]="Ja",uniforme_input[[#This Row],[Tijdsbesparing (min/handeling) - gegeven]]+uniforme_input[[#This Row],[Tijdsbesparing (min/handeling) berekend]],0)</f>
        <v>0</v>
      </c>
      <c r="Z141" s="409">
        <f>IF(uniforme_input[[#This Row],[Bron gebruiken voor opbrengsten?]]="Ja",uniforme_input[[#This Row],[Overige kostenbesparing (€/jaar/patiënt) - gegeven]]+uniforme_input[[#This Row],[Overige kostenbesparing (€/jaar/patiënt) berekend]],0)</f>
        <v>0</v>
      </c>
      <c r="AA141" s="403" cm="1">
        <f t="array" ref="AA141">INDEX(Technologieën[Jaarlijkse kosten p. patiënt],MATCH(B141,IF(Technologieën[Zoeksleutel bronnummer]=G141,Technologieën[Digitale zorgtoepassing]),0))</f>
        <v>390</v>
      </c>
      <c r="AB141" s="403" cm="1">
        <f t="array" ref="AB141">INDEX(Technologieën[Jaarlijkse kosten p. organisatie],MATCH(B141,IF(Technologieën[Zoeksleutel bronnummer]=G141,Technologieën[Digitale zorgtoepassing]),0))/uniforme_input[[#This Row],[Aantal doelgroepen waarop toepasbaar]]</f>
        <v>0</v>
      </c>
      <c r="AC141" s="403" cm="1">
        <f t="array" ref="AC141">INDEX(Technologieën[Jaarlijkse kosten (onafh. aantal patiënt/organisatie)],MATCH(B141,IF(Technologieën[Zoeksleutel bronnummer]=G141,Technologieën[Digitale zorgtoepassing]),0))/uniforme_input[[#This Row],[Aantal doelgroepen waarop toepasbaar]]</f>
        <v>0</v>
      </c>
      <c r="AD141" s="403" cm="1">
        <f t="array" ref="AD141">INDEX(Technologieën[Initiële investering (p. patiënt)],MATCH(B141,IF(Technologieën[Zoeksleutel bronnummer]=G141,Technologieën[Digitale zorgtoepassing]),0))</f>
        <v>1490</v>
      </c>
      <c r="AE141" s="403" cm="1">
        <f t="array" ref="AE141">INDEX(Technologieën[Initiële investering (p. organisatie)],MATCH(B141,IF(Technologieën[Zoeksleutel bronnummer]=G141,Technologieën[Digitale zorgtoepassing]),0))</f>
        <v>0</v>
      </c>
      <c r="AF141"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41" s="398">
        <f>(uniforme_input[[#This Row],[Initiële investering per organisatie]]*uniforme_input[[#This Row],[Aantal organisaties]])/uniforme_input[[#This Row],[Patiëntaantallen]]</f>
        <v>0</v>
      </c>
      <c r="AH141" s="410">
        <f>IF(uniforme_input[[#This Row],[Bron gebruiken voor kosten/investering?]]="Ja",uniforme_input[[#This Row],[Jaarlijkse kosten per patiënt]] + uniforme_input[[#This Row],[Jaarlijkse kosten per patiënt berekend]],0)</f>
        <v>390</v>
      </c>
      <c r="AI141" s="409">
        <f>IF(uniforme_input[[#This Row],[Bron gebruiken voor kosten/investering?]]="Ja",uniforme_input[[#This Row],[Initiële investering per patiënt]]+uniforme_input[[#This Row],[Initiële investering per patiënt berekend]],0)</f>
        <v>1490</v>
      </c>
    </row>
    <row r="142" spans="1:83" x14ac:dyDescent="0.5">
      <c r="A142" s="51" t="str">
        <f>INDEX(Technologieën[Veld],MATCH(G142,Technologieën[Zoeksleutel bronnummer],0))</f>
        <v>Digitale hulpmiddelen - Verpleging</v>
      </c>
      <c r="B142" s="33" t="s">
        <v>19</v>
      </c>
      <c r="C142" s="32" t="s">
        <v>390</v>
      </c>
      <c r="D142" s="32" t="s">
        <v>391</v>
      </c>
      <c r="E142" s="33" t="s">
        <v>27</v>
      </c>
      <c r="F142" s="33" t="str" cm="1">
        <f t="array" ref="F142">INDEX(Berekening_patiëntaantal[Direct toepasbaar/extrapolatie/incidentie voor QALY],MATCH(B142,IF(Berekening_patiëntaantal[Doelgroep (zoeksleutel)]=E142,Berekening_patiëntaantal[Digitale zorgtoepassing]),0))</f>
        <v>Extrapolatie</v>
      </c>
      <c r="G142" s="33" t="s">
        <v>562</v>
      </c>
      <c r="H142" s="33" t="s">
        <v>144</v>
      </c>
      <c r="I142" s="403">
        <f>INDEX(Uurloon[Uurtarief zorgpersoneel],MATCH(H142,Uurloon[Zorgverlener],0))</f>
        <v>20.410632183908046</v>
      </c>
      <c r="J142" s="404" cm="1">
        <f t="array" ref="J142">INDEX(Berekening_patiëntaantal[Patiëntaantallen],MATCH(B142,IF(Berekening_patiëntaantal[Doelgroep (zoeksleutel)]=E142,Berekening_patiëntaantal[Digitale zorgtoepassing]),0))</f>
        <v>7935</v>
      </c>
      <c r="K142" s="404">
        <f>IFERROR(INDEX(aantal_organisaties[Aantal organisaties waarop toepasbaar],MATCH(B142,aantal_organisaties[Digitale zorgtoepassing],0)),0)</f>
        <v>150</v>
      </c>
      <c r="L142" s="397">
        <f>COUNTIF(uniforme_input[Doelgroep],E142)</f>
        <v>12</v>
      </c>
      <c r="M142" s="405" cm="1">
        <f t="array" ref="M142">INDEX(Technologieën[Tijdsbesparing p. patiënt (min/week)],MATCH(B142,IF(Technologieën[Zoeksleutel bronnummer]=G142,Technologieën[Digitale zorgtoepassing]),0))</f>
        <v>0</v>
      </c>
      <c r="N142" s="405" cm="1">
        <f t="array" ref="N142">INDEX(Technologieën[Tijdsbesparing per handeling (min)],MATCH(B142,IF(Technologieën[Zoeksleutel bronnummer]=G142,Technologieën[Digitale zorgtoepassing]),0))</f>
        <v>0</v>
      </c>
      <c r="O142" s="403" cm="1">
        <f t="array" ref="O142">INDEX(Technologieën[Besparing overige kosten (€/patiënt/jaar)],MATCH(B142,IF(Technologieën[Zoeksleutel bronnummer]=G142,Technologieën[Digitale zorgtoepassing]),0))</f>
        <v>0</v>
      </c>
      <c r="P142" s="403" cm="1">
        <f t="array" ref="P142">INDEX(Technologieën[Kostenbesparing p. patiënt door arbeidsbesparing (€/week)],MATCH(B142,IF(Technologieën[Zoeksleutel bronnummer]=G142,Technologieën[Digitale zorgtoepassing]),0))</f>
        <v>0</v>
      </c>
      <c r="Q142" s="403" cm="1">
        <f t="array" ref="Q142">INDEX(Technologieën[Kostenbesparing (personeel) per handeling (€)],MATCH(B142,IF(Technologieën[Zoeksleutel bronnummer]=G142,Technologieën[Digitale zorgtoepassing]),0))</f>
        <v>0</v>
      </c>
      <c r="R142" s="403" cm="1">
        <f t="array" ref="R142">INDEX(Technologieën[Besparing overige kosten (€/jaar)],MATCH(B142,IF(Technologieën[Zoeksleutel bronnummer]=G142,Technologieën[Digitale zorgtoepassing]),0))</f>
        <v>0</v>
      </c>
      <c r="S142" s="405" cm="1">
        <f t="array" ref="S142">INDEX(Technologieën[Jaarlijkse besparing zorgpersoneel (FTE)],MATCH(B142,IF(Technologieën[Zoeksleutel bronnummer]=G142,Technologieën[Digitale zorgtoepassing]),0))</f>
        <v>0</v>
      </c>
      <c r="T142" s="406" cm="1">
        <f t="array" ref="T142">(INDEX(Technologieën[QALY],MATCH(B142,IF(Technologieën[Zoeksleutel bronnummer]=G142,Technologieën[Digitale zorgtoepassing]),0)))</f>
        <v>0</v>
      </c>
      <c r="U142" s="407">
        <f>(uniforme_input[[#This Row],[Kostenbesparing door arbeidsbesparing p. patiënt (€/week)]]/uniforme_input[[#This Row],[Uurtarief]]*60) + (uniforme_input[[#This Row],[Totaal arbeidsbesparing onafhankelijk van patiënt (FTE)]]*40*60)/uniforme_input[[#This Row],[Patiëntaantallen]]</f>
        <v>0</v>
      </c>
      <c r="V142" s="407">
        <f>(uniforme_input[[#This Row],[Kostenbesparing per handeling (€)]]/uniforme_input[[#This Row],[Uurtarief]])*60</f>
        <v>0</v>
      </c>
      <c r="W142" s="398">
        <f>uniforme_input[[#This Row],[Overige kostenbesparing (Totaal €/jaar)]]/uniforme_input[[#This Row],[Patiëntaantallen]]</f>
        <v>0</v>
      </c>
      <c r="X142" s="408">
        <f>IF(uniforme_input[[#This Row],[Bron gebruiken voor opbrengsten?]]="Ja",uniforme_input[[#This Row],[Tijdsbesparing (min/week/patiënt) - gegeven]]+uniforme_input[[#This Row],[Tijdsbesparing (min/week/patiënt) berekend]],0)</f>
        <v>0</v>
      </c>
      <c r="Y142" s="407">
        <f>IF(uniforme_input[[#This Row],[Bron gebruiken voor opbrengsten?]]="Ja",uniforme_input[[#This Row],[Tijdsbesparing (min/handeling) - gegeven]]+uniforme_input[[#This Row],[Tijdsbesparing (min/handeling) berekend]],0)</f>
        <v>0</v>
      </c>
      <c r="Z142" s="409">
        <f>IF(uniforme_input[[#This Row],[Bron gebruiken voor opbrengsten?]]="Ja",uniforme_input[[#This Row],[Overige kostenbesparing (€/jaar/patiënt) - gegeven]]+uniforme_input[[#This Row],[Overige kostenbesparing (€/jaar/patiënt) berekend]],0)</f>
        <v>0</v>
      </c>
      <c r="AA142" s="403" cm="1">
        <f t="array" ref="AA142">INDEX(Technologieën[Jaarlijkse kosten p. patiënt],MATCH(B142,IF(Technologieën[Zoeksleutel bronnummer]=G142,Technologieën[Digitale zorgtoepassing]),0))</f>
        <v>455</v>
      </c>
      <c r="AB142" s="403" cm="1">
        <f t="array" ref="AB142">INDEX(Technologieën[Jaarlijkse kosten p. organisatie],MATCH(B142,IF(Technologieën[Zoeksleutel bronnummer]=G142,Technologieën[Digitale zorgtoepassing]),0))/uniforme_input[[#This Row],[Aantal doelgroepen waarop toepasbaar]]</f>
        <v>0</v>
      </c>
      <c r="AC142" s="403" cm="1">
        <f t="array" ref="AC142">INDEX(Technologieën[Jaarlijkse kosten (onafh. aantal patiënt/organisatie)],MATCH(B142,IF(Technologieën[Zoeksleutel bronnummer]=G142,Technologieën[Digitale zorgtoepassing]),0))/uniforme_input[[#This Row],[Aantal doelgroepen waarop toepasbaar]]</f>
        <v>0</v>
      </c>
      <c r="AD142" s="403" cm="1">
        <f t="array" ref="AD142">INDEX(Technologieën[Initiële investering (p. patiënt)],MATCH(B142,IF(Technologieën[Zoeksleutel bronnummer]=G142,Technologieën[Digitale zorgtoepassing]),0))</f>
        <v>355</v>
      </c>
      <c r="AE142" s="403" cm="1">
        <f t="array" ref="AE142">INDEX(Technologieën[Initiële investering (p. organisatie)],MATCH(B142,IF(Technologieën[Zoeksleutel bronnummer]=G142,Technologieën[Digitale zorgtoepassing]),0))</f>
        <v>0</v>
      </c>
      <c r="AF142"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42" s="398">
        <f>(uniforme_input[[#This Row],[Initiële investering per organisatie]]*uniforme_input[[#This Row],[Aantal organisaties]])/uniforme_input[[#This Row],[Patiëntaantallen]]</f>
        <v>0</v>
      </c>
      <c r="AH142" s="410">
        <f>IF(uniforme_input[[#This Row],[Bron gebruiken voor kosten/investering?]]="Ja",uniforme_input[[#This Row],[Jaarlijkse kosten per patiënt]] + uniforme_input[[#This Row],[Jaarlijkse kosten per patiënt berekend]],0)</f>
        <v>455</v>
      </c>
      <c r="AI142" s="409">
        <f>IF(uniforme_input[[#This Row],[Bron gebruiken voor kosten/investering?]]="Ja",uniforme_input[[#This Row],[Initiële investering per patiënt]]+uniforme_input[[#This Row],[Initiële investering per patiënt berekend]],0)</f>
        <v>355</v>
      </c>
    </row>
    <row r="143" spans="1:83" x14ac:dyDescent="0.5">
      <c r="A143" s="51" t="str">
        <f>INDEX(Technologieën[Veld],MATCH(G143,Technologieën[Zoeksleutel bronnummer],0))</f>
        <v>Digitale hulpmiddelen - Verpleging</v>
      </c>
      <c r="B143" s="33" t="s">
        <v>19</v>
      </c>
      <c r="C143" s="32" t="s">
        <v>390</v>
      </c>
      <c r="D143" s="32" t="s">
        <v>391</v>
      </c>
      <c r="E143" s="33" t="s">
        <v>27</v>
      </c>
      <c r="F143" s="33" t="str" cm="1">
        <f t="array" ref="F143">INDEX(Berekening_patiëntaantal[Direct toepasbaar/extrapolatie/incidentie voor QALY],MATCH(B143,IF(Berekening_patiëntaantal[Doelgroep (zoeksleutel)]=E143,Berekening_patiëntaantal[Digitale zorgtoepassing]),0))</f>
        <v>Extrapolatie</v>
      </c>
      <c r="G143" s="33" t="s">
        <v>563</v>
      </c>
      <c r="H143" s="33" t="s">
        <v>144</v>
      </c>
      <c r="I143" s="403">
        <f>INDEX(Uurloon[Uurtarief zorgpersoneel],MATCH(H143,Uurloon[Zorgverlener],0))</f>
        <v>20.410632183908046</v>
      </c>
      <c r="J143" s="404" cm="1">
        <f t="array" ref="J143">INDEX(Berekening_patiëntaantal[Patiëntaantallen],MATCH(B143,IF(Berekening_patiëntaantal[Doelgroep (zoeksleutel)]=E143,Berekening_patiëntaantal[Digitale zorgtoepassing]),0))</f>
        <v>7935</v>
      </c>
      <c r="K143" s="404">
        <f>IFERROR(INDEX(aantal_organisaties[Aantal organisaties waarop toepasbaar],MATCH(B143,aantal_organisaties[Digitale zorgtoepassing],0)),0)</f>
        <v>150</v>
      </c>
      <c r="L143" s="397">
        <f>COUNTIF(uniforme_input[Doelgroep],E143)</f>
        <v>12</v>
      </c>
      <c r="M143" s="405" cm="1">
        <f t="array" ref="M143">INDEX(Technologieën[Tijdsbesparing p. patiënt (min/week)],MATCH(B143,IF(Technologieën[Zoeksleutel bronnummer]=G143,Technologieën[Digitale zorgtoepassing]),0))</f>
        <v>0</v>
      </c>
      <c r="N143" s="405" cm="1">
        <f t="array" ref="N143">INDEX(Technologieën[Tijdsbesparing per handeling (min)],MATCH(B143,IF(Technologieën[Zoeksleutel bronnummer]=G143,Technologieën[Digitale zorgtoepassing]),0))</f>
        <v>0</v>
      </c>
      <c r="O143" s="403" cm="1">
        <f t="array" ref="O143">INDEX(Technologieën[Besparing overige kosten (€/patiënt/jaar)],MATCH(B143,IF(Technologieën[Zoeksleutel bronnummer]=G143,Technologieën[Digitale zorgtoepassing]),0))</f>
        <v>0</v>
      </c>
      <c r="P143" s="403" cm="1">
        <f t="array" ref="P143">INDEX(Technologieën[Kostenbesparing p. patiënt door arbeidsbesparing (€/week)],MATCH(B143,IF(Technologieën[Zoeksleutel bronnummer]=G143,Technologieën[Digitale zorgtoepassing]),0))</f>
        <v>0</v>
      </c>
      <c r="Q143" s="403" cm="1">
        <f t="array" ref="Q143">INDEX(Technologieën[Kostenbesparing (personeel) per handeling (€)],MATCH(B143,IF(Technologieën[Zoeksleutel bronnummer]=G143,Technologieën[Digitale zorgtoepassing]),0))</f>
        <v>0</v>
      </c>
      <c r="R143" s="403" cm="1">
        <f t="array" ref="R143">INDEX(Technologieën[Besparing overige kosten (€/jaar)],MATCH(B143,IF(Technologieën[Zoeksleutel bronnummer]=G143,Technologieën[Digitale zorgtoepassing]),0))</f>
        <v>0</v>
      </c>
      <c r="S143" s="405" cm="1">
        <f t="array" ref="S143">INDEX(Technologieën[Jaarlijkse besparing zorgpersoneel (FTE)],MATCH(B143,IF(Technologieën[Zoeksleutel bronnummer]=G143,Technologieën[Digitale zorgtoepassing]),0))</f>
        <v>0</v>
      </c>
      <c r="T143" s="406" cm="1">
        <f t="array" ref="T143">(INDEX(Technologieën[QALY],MATCH(B143,IF(Technologieën[Zoeksleutel bronnummer]=G143,Technologieën[Digitale zorgtoepassing]),0)))</f>
        <v>0</v>
      </c>
      <c r="U143" s="407">
        <f>(uniforme_input[[#This Row],[Kostenbesparing door arbeidsbesparing p. patiënt (€/week)]]/uniforme_input[[#This Row],[Uurtarief]]*60) + (uniforme_input[[#This Row],[Totaal arbeidsbesparing onafhankelijk van patiënt (FTE)]]*40*60)/uniforme_input[[#This Row],[Patiëntaantallen]]</f>
        <v>0</v>
      </c>
      <c r="V143" s="407">
        <f>(uniforme_input[[#This Row],[Kostenbesparing per handeling (€)]]/uniforme_input[[#This Row],[Uurtarief]])*60</f>
        <v>0</v>
      </c>
      <c r="W143" s="398">
        <f>uniforme_input[[#This Row],[Overige kostenbesparing (Totaal €/jaar)]]/uniforme_input[[#This Row],[Patiëntaantallen]]</f>
        <v>0</v>
      </c>
      <c r="X143" s="408">
        <f>IF(uniforme_input[[#This Row],[Bron gebruiken voor opbrengsten?]]="Ja",uniforme_input[[#This Row],[Tijdsbesparing (min/week/patiënt) - gegeven]]+uniforme_input[[#This Row],[Tijdsbesparing (min/week/patiënt) berekend]],0)</f>
        <v>0</v>
      </c>
      <c r="Y143" s="407">
        <f>IF(uniforme_input[[#This Row],[Bron gebruiken voor opbrengsten?]]="Ja",uniforme_input[[#This Row],[Tijdsbesparing (min/handeling) - gegeven]]+uniforme_input[[#This Row],[Tijdsbesparing (min/handeling) berekend]],0)</f>
        <v>0</v>
      </c>
      <c r="Z143" s="409">
        <f>IF(uniforme_input[[#This Row],[Bron gebruiken voor opbrengsten?]]="Ja",uniforme_input[[#This Row],[Overige kostenbesparing (€/jaar/patiënt) - gegeven]]+uniforme_input[[#This Row],[Overige kostenbesparing (€/jaar/patiënt) berekend]],0)</f>
        <v>0</v>
      </c>
      <c r="AA143" s="403" cm="1">
        <f t="array" ref="AA143">INDEX(Technologieën[Jaarlijkse kosten p. patiënt],MATCH(B143,IF(Technologieën[Zoeksleutel bronnummer]=G143,Technologieën[Digitale zorgtoepassing]),0))</f>
        <v>0</v>
      </c>
      <c r="AB143" s="403" cm="1">
        <f t="array" ref="AB143">INDEX(Technologieën[Jaarlijkse kosten p. organisatie],MATCH(B143,IF(Technologieën[Zoeksleutel bronnummer]=G143,Technologieën[Digitale zorgtoepassing]),0))/uniforme_input[[#This Row],[Aantal doelgroepen waarop toepasbaar]]</f>
        <v>0</v>
      </c>
      <c r="AC143" s="403" cm="1">
        <f t="array" ref="AC143">INDEX(Technologieën[Jaarlijkse kosten (onafh. aantal patiënt/organisatie)],MATCH(B143,IF(Technologieën[Zoeksleutel bronnummer]=G143,Technologieën[Digitale zorgtoepassing]),0))/uniforme_input[[#This Row],[Aantal doelgroepen waarop toepasbaar]]</f>
        <v>0</v>
      </c>
      <c r="AD143" s="403" cm="1">
        <f t="array" ref="AD143">INDEX(Technologieën[Initiële investering (p. patiënt)],MATCH(B143,IF(Technologieën[Zoeksleutel bronnummer]=G143,Technologieën[Digitale zorgtoepassing]),0))</f>
        <v>495</v>
      </c>
      <c r="AE143" s="403" cm="1">
        <f t="array" ref="AE143">INDEX(Technologieën[Initiële investering (p. organisatie)],MATCH(B143,IF(Technologieën[Zoeksleutel bronnummer]=G143,Technologieën[Digitale zorgtoepassing]),0))</f>
        <v>0</v>
      </c>
      <c r="AF143"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43" s="398">
        <f>(uniforme_input[[#This Row],[Initiële investering per organisatie]]*uniforme_input[[#This Row],[Aantal organisaties]])/uniforme_input[[#This Row],[Patiëntaantallen]]</f>
        <v>0</v>
      </c>
      <c r="AH143" s="410">
        <f>IF(uniforme_input[[#This Row],[Bron gebruiken voor kosten/investering?]]="Ja",uniforme_input[[#This Row],[Jaarlijkse kosten per patiënt]] + uniforme_input[[#This Row],[Jaarlijkse kosten per patiënt berekend]],0)</f>
        <v>0</v>
      </c>
      <c r="AI143" s="409">
        <f>IF(uniforme_input[[#This Row],[Bron gebruiken voor kosten/investering?]]="Ja",uniforme_input[[#This Row],[Initiële investering per patiënt]]+uniforme_input[[#This Row],[Initiële investering per patiënt berekend]],0)</f>
        <v>495</v>
      </c>
    </row>
    <row r="144" spans="1:83" x14ac:dyDescent="0.5">
      <c r="A144" s="51" t="str">
        <f>INDEX(Technologieën[Veld],MATCH(G144,Technologieën[Zoeksleutel bronnummer],0))</f>
        <v>Software - Diagnose</v>
      </c>
      <c r="B144" s="33" t="s">
        <v>56</v>
      </c>
      <c r="C144" s="32" t="s">
        <v>391</v>
      </c>
      <c r="D144" s="32" t="s">
        <v>390</v>
      </c>
      <c r="E144" s="33" t="s">
        <v>57</v>
      </c>
      <c r="F144" s="33" t="str" cm="1">
        <f t="array" ref="F144">INDEX(Berekening_patiëntaantal[Direct toepasbaar/extrapolatie/incidentie voor QALY],MATCH(B144,IF(Berekening_patiëntaantal[Doelgroep (zoeksleutel)]=E144,Berekening_patiëntaantal[Digitale zorgtoepassing]),0))</f>
        <v>Huidige toepassing</v>
      </c>
      <c r="G144" s="33" t="s">
        <v>565</v>
      </c>
      <c r="H144" s="33" t="s">
        <v>150</v>
      </c>
      <c r="I144" s="403">
        <f>INDEX(Uurloon[Uurtarief zorgpersoneel],MATCH(H144,Uurloon[Zorgverlener],0))</f>
        <v>28.558908045977013</v>
      </c>
      <c r="J144" s="404" cm="1">
        <f t="array" ref="J144">INDEX(Berekening_patiëntaantal[Patiëntaantallen],MATCH(B144,IF(Berekening_patiëntaantal[Doelgroep (zoeksleutel)]=E144,Berekening_patiëntaantal[Digitale zorgtoepassing]),0))</f>
        <v>1000000</v>
      </c>
      <c r="K144" s="404">
        <f>IFERROR(INDEX(aantal_organisaties[Aantal organisaties waarop toepasbaar],MATCH(B144,aantal_organisaties[Digitale zorgtoepassing],0)),0)</f>
        <v>0</v>
      </c>
      <c r="L144" s="397">
        <f>COUNTIF(uniforme_input[Doelgroep],E144)</f>
        <v>1</v>
      </c>
      <c r="M144" s="405" cm="1">
        <f t="array" ref="M144">INDEX(Technologieën[Tijdsbesparing p. patiënt (min/week)],MATCH(B144,IF(Technologieën[Zoeksleutel bronnummer]=G144,Technologieën[Digitale zorgtoepassing]),0))</f>
        <v>0</v>
      </c>
      <c r="N144" s="405" cm="1">
        <f t="array" ref="N144">INDEX(Technologieën[Tijdsbesparing per handeling (min)],MATCH(B144,IF(Technologieën[Zoeksleutel bronnummer]=G144,Technologieën[Digitale zorgtoepassing]),0))</f>
        <v>2.4</v>
      </c>
      <c r="O144" s="403" cm="1">
        <f t="array" ref="O144">INDEX(Technologieën[Besparing overige kosten (€/patiënt/jaar)],MATCH(B144,IF(Technologieën[Zoeksleutel bronnummer]=G144,Technologieën[Digitale zorgtoepassing]),0))</f>
        <v>0</v>
      </c>
      <c r="P144" s="403" cm="1">
        <f t="array" ref="P144">INDEX(Technologieën[Kostenbesparing p. patiënt door arbeidsbesparing (€/week)],MATCH(B144,IF(Technologieën[Zoeksleutel bronnummer]=G144,Technologieën[Digitale zorgtoepassing]),0))</f>
        <v>0</v>
      </c>
      <c r="Q144" s="403" cm="1">
        <f t="array" ref="Q144">INDEX(Technologieën[Kostenbesparing (personeel) per handeling (€)],MATCH(B144,IF(Technologieën[Zoeksleutel bronnummer]=G144,Technologieën[Digitale zorgtoepassing]),0))</f>
        <v>0</v>
      </c>
      <c r="R144" s="403" cm="1">
        <f t="array" ref="R144">INDEX(Technologieën[Besparing overige kosten (€/jaar)],MATCH(B144,IF(Technologieën[Zoeksleutel bronnummer]=G144,Technologieën[Digitale zorgtoepassing]),0))</f>
        <v>0</v>
      </c>
      <c r="S144" s="405" cm="1">
        <f t="array" ref="S144">INDEX(Technologieën[Jaarlijkse besparing zorgpersoneel (FTE)],MATCH(B144,IF(Technologieën[Zoeksleutel bronnummer]=G144,Technologieën[Digitale zorgtoepassing]),0))</f>
        <v>0</v>
      </c>
      <c r="T144" s="406" cm="1">
        <f t="array" ref="T144">(INDEX(Technologieën[QALY],MATCH(B144,IF(Technologieën[Zoeksleutel bronnummer]=G144,Technologieën[Digitale zorgtoepassing]),0)))</f>
        <v>0</v>
      </c>
      <c r="U144" s="407">
        <f>(uniforme_input[[#This Row],[Kostenbesparing door arbeidsbesparing p. patiënt (€/week)]]/uniforme_input[[#This Row],[Uurtarief]]*60) + (uniforme_input[[#This Row],[Totaal arbeidsbesparing onafhankelijk van patiënt (FTE)]]*40*60)/uniforme_input[[#This Row],[Patiëntaantallen]]</f>
        <v>0</v>
      </c>
      <c r="V144" s="407">
        <f>(uniforme_input[[#This Row],[Kostenbesparing per handeling (€)]]/uniforme_input[[#This Row],[Uurtarief]])*60</f>
        <v>0</v>
      </c>
      <c r="W144" s="398">
        <f>uniforme_input[[#This Row],[Overige kostenbesparing (Totaal €/jaar)]]/uniforme_input[[#This Row],[Patiëntaantallen]]</f>
        <v>0</v>
      </c>
      <c r="X144" s="408">
        <f>IF(uniforme_input[[#This Row],[Bron gebruiken voor opbrengsten?]]="Ja",uniforme_input[[#This Row],[Tijdsbesparing (min/week/patiënt) - gegeven]]+uniforme_input[[#This Row],[Tijdsbesparing (min/week/patiënt) berekend]],0)</f>
        <v>0</v>
      </c>
      <c r="Y144" s="407">
        <f>IF(uniforme_input[[#This Row],[Bron gebruiken voor opbrengsten?]]="Ja",uniforme_input[[#This Row],[Tijdsbesparing (min/handeling) - gegeven]]+uniforme_input[[#This Row],[Tijdsbesparing (min/handeling) berekend]],0)</f>
        <v>2.4</v>
      </c>
      <c r="Z144" s="409">
        <f>IF(uniforme_input[[#This Row],[Bron gebruiken voor opbrengsten?]]="Ja",uniforme_input[[#This Row],[Overige kostenbesparing (€/jaar/patiënt) - gegeven]]+uniforme_input[[#This Row],[Overige kostenbesparing (€/jaar/patiënt) berekend]],0)</f>
        <v>0</v>
      </c>
      <c r="AA144" s="403" cm="1">
        <f t="array" ref="AA144">INDEX(Technologieën[Jaarlijkse kosten p. patiënt],MATCH(B144,IF(Technologieën[Zoeksleutel bronnummer]=G144,Technologieën[Digitale zorgtoepassing]),0))</f>
        <v>0</v>
      </c>
      <c r="AB144" s="403" cm="1">
        <f t="array" ref="AB144">INDEX(Technologieën[Jaarlijkse kosten p. organisatie],MATCH(B144,IF(Technologieën[Zoeksleutel bronnummer]=G144,Technologieën[Digitale zorgtoepassing]),0))/uniforme_input[[#This Row],[Aantal doelgroepen waarop toepasbaar]]</f>
        <v>0</v>
      </c>
      <c r="AC144" s="403" cm="1">
        <f t="array" ref="AC144">INDEX(Technologieën[Jaarlijkse kosten (onafh. aantal patiënt/organisatie)],MATCH(B144,IF(Technologieën[Zoeksleutel bronnummer]=G144,Technologieën[Digitale zorgtoepassing]),0))/uniforme_input[[#This Row],[Aantal doelgroepen waarop toepasbaar]]</f>
        <v>0</v>
      </c>
      <c r="AD144" s="403" cm="1">
        <f t="array" ref="AD144">INDEX(Technologieën[Initiële investering (p. patiënt)],MATCH(B144,IF(Technologieën[Zoeksleutel bronnummer]=G144,Technologieën[Digitale zorgtoepassing]),0))</f>
        <v>0</v>
      </c>
      <c r="AE144" s="403" cm="1">
        <f t="array" ref="AE144">INDEX(Technologieën[Initiële investering (p. organisatie)],MATCH(B144,IF(Technologieën[Zoeksleutel bronnummer]=G144,Technologieën[Digitale zorgtoepassing]),0))</f>
        <v>0</v>
      </c>
      <c r="AF144"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44" s="398">
        <f>(uniforme_input[[#This Row],[Initiële investering per organisatie]]*uniforme_input[[#This Row],[Aantal organisaties]])/uniforme_input[[#This Row],[Patiëntaantallen]]</f>
        <v>0</v>
      </c>
      <c r="AH144" s="410">
        <f>IF(uniforme_input[[#This Row],[Bron gebruiken voor kosten/investering?]]="Ja",uniforme_input[[#This Row],[Jaarlijkse kosten per patiënt]] + uniforme_input[[#This Row],[Jaarlijkse kosten per patiënt berekend]],0)</f>
        <v>0</v>
      </c>
      <c r="AI144" s="409">
        <f>IF(uniforme_input[[#This Row],[Bron gebruiken voor kosten/investering?]]="Ja",uniforme_input[[#This Row],[Initiële investering per patiënt]]+uniforme_input[[#This Row],[Initiële investering per patiënt berekend]],0)</f>
        <v>0</v>
      </c>
    </row>
    <row r="145" spans="1:35" x14ac:dyDescent="0.5">
      <c r="A145" s="51" t="str">
        <f>INDEX(Technologieën[Veld],MATCH(G145,Technologieën[Zoeksleutel bronnummer],0))</f>
        <v>Digitale hulpmiddelen - Verpleging</v>
      </c>
      <c r="B145" s="33" t="s">
        <v>85</v>
      </c>
      <c r="C145" s="32" t="s">
        <v>391</v>
      </c>
      <c r="D145" s="32" t="s">
        <v>390</v>
      </c>
      <c r="E145" s="33" t="s">
        <v>86</v>
      </c>
      <c r="F145" s="33" t="str" cm="1">
        <f t="array" ref="F145">INDEX(Berekening_patiëntaantal[Direct toepasbaar/extrapolatie/incidentie voor QALY],MATCH(B145,IF(Berekening_patiëntaantal[Doelgroep (zoeksleutel)]=E145,Berekening_patiëntaantal[Digitale zorgtoepassing]),0))</f>
        <v>Huidige toepassing</v>
      </c>
      <c r="G145" s="33" t="s">
        <v>566</v>
      </c>
      <c r="H145" s="33" t="s">
        <v>144</v>
      </c>
      <c r="I145" s="403">
        <f>INDEX(Uurloon[Uurtarief zorgpersoneel],MATCH(H145,Uurloon[Zorgverlener],0))</f>
        <v>20.410632183908046</v>
      </c>
      <c r="J145" s="404" cm="1">
        <f t="array" ref="J145">INDEX(Berekening_patiëntaantal[Patiëntaantallen],MATCH(B145,IF(Berekening_patiëntaantal[Doelgroep (zoeksleutel)]=E145,Berekening_patiëntaantal[Digitale zorgtoepassing]),0))</f>
        <v>86400</v>
      </c>
      <c r="K145" s="404">
        <f>IFERROR(INDEX(aantal_organisaties[Aantal organisaties waarop toepasbaar],MATCH(B145,aantal_organisaties[Digitale zorgtoepassing],0)),0)</f>
        <v>0</v>
      </c>
      <c r="L145" s="397">
        <f>COUNTIF(uniforme_input[Doelgroep],E145)</f>
        <v>2</v>
      </c>
      <c r="M145" s="405" cm="1">
        <f t="array" ref="M145">INDEX(Technologieën[Tijdsbesparing p. patiënt (min/week)],MATCH(B145,IF(Technologieën[Zoeksleutel bronnummer]=G145,Technologieën[Digitale zorgtoepassing]),0))</f>
        <v>36.4</v>
      </c>
      <c r="N145" s="405" cm="1">
        <f t="array" ref="N145">INDEX(Technologieën[Tijdsbesparing per handeling (min)],MATCH(B145,IF(Technologieën[Zoeksleutel bronnummer]=G145,Technologieën[Digitale zorgtoepassing]),0))</f>
        <v>0</v>
      </c>
      <c r="O145" s="403" cm="1">
        <f t="array" ref="O145">INDEX(Technologieën[Besparing overige kosten (€/patiënt/jaar)],MATCH(B145,IF(Technologieën[Zoeksleutel bronnummer]=G145,Technologieën[Digitale zorgtoepassing]),0))</f>
        <v>317.13857505575567</v>
      </c>
      <c r="P145" s="403" cm="1">
        <f t="array" ref="P145">INDEX(Technologieën[Kostenbesparing p. patiënt door arbeidsbesparing (€/week)],MATCH(B145,IF(Technologieën[Zoeksleutel bronnummer]=G145,Technologieën[Digitale zorgtoepassing]),0))</f>
        <v>0</v>
      </c>
      <c r="Q145" s="403" cm="1">
        <f t="array" ref="Q145">INDEX(Technologieën[Kostenbesparing (personeel) per handeling (€)],MATCH(B145,IF(Technologieën[Zoeksleutel bronnummer]=G145,Technologieën[Digitale zorgtoepassing]),0))</f>
        <v>0</v>
      </c>
      <c r="R145" s="403" cm="1">
        <f t="array" ref="R145">INDEX(Technologieën[Besparing overige kosten (€/jaar)],MATCH(B145,IF(Technologieën[Zoeksleutel bronnummer]=G145,Technologieën[Digitale zorgtoepassing]),0))</f>
        <v>0</v>
      </c>
      <c r="S145" s="405" cm="1">
        <f t="array" ref="S145">INDEX(Technologieën[Jaarlijkse besparing zorgpersoneel (FTE)],MATCH(B145,IF(Technologieën[Zoeksleutel bronnummer]=G145,Technologieën[Digitale zorgtoepassing]),0))</f>
        <v>0</v>
      </c>
      <c r="T145" s="406" cm="1">
        <f t="array" ref="T145">(INDEX(Technologieën[QALY],MATCH(B145,IF(Technologieën[Zoeksleutel bronnummer]=G145,Technologieën[Digitale zorgtoepassing]),0)))</f>
        <v>0</v>
      </c>
      <c r="U145" s="407">
        <f>(uniforme_input[[#This Row],[Kostenbesparing door arbeidsbesparing p. patiënt (€/week)]]/uniforme_input[[#This Row],[Uurtarief]]*60) + (uniforme_input[[#This Row],[Totaal arbeidsbesparing onafhankelijk van patiënt (FTE)]]*40*60)/uniforme_input[[#This Row],[Patiëntaantallen]]</f>
        <v>0</v>
      </c>
      <c r="V145" s="407">
        <f>(uniforme_input[[#This Row],[Kostenbesparing per handeling (€)]]/uniforme_input[[#This Row],[Uurtarief]])*60</f>
        <v>0</v>
      </c>
      <c r="W145" s="398">
        <f>uniforme_input[[#This Row],[Overige kostenbesparing (Totaal €/jaar)]]/uniforme_input[[#This Row],[Patiëntaantallen]]</f>
        <v>0</v>
      </c>
      <c r="X145" s="408">
        <f>IF(uniforme_input[[#This Row],[Bron gebruiken voor opbrengsten?]]="Ja",uniforme_input[[#This Row],[Tijdsbesparing (min/week/patiënt) - gegeven]]+uniforme_input[[#This Row],[Tijdsbesparing (min/week/patiënt) berekend]],0)</f>
        <v>36.4</v>
      </c>
      <c r="Y145" s="407">
        <f>IF(uniforme_input[[#This Row],[Bron gebruiken voor opbrengsten?]]="Ja",uniforme_input[[#This Row],[Tijdsbesparing (min/handeling) - gegeven]]+uniforme_input[[#This Row],[Tijdsbesparing (min/handeling) berekend]],0)</f>
        <v>0</v>
      </c>
      <c r="Z145" s="409">
        <f>IF(uniforme_input[[#This Row],[Bron gebruiken voor opbrengsten?]]="Ja",uniforme_input[[#This Row],[Overige kostenbesparing (€/jaar/patiënt) - gegeven]]+uniforme_input[[#This Row],[Overige kostenbesparing (€/jaar/patiënt) berekend]],0)</f>
        <v>317.13857505575567</v>
      </c>
      <c r="AA145" s="403" cm="1">
        <f t="array" ref="AA145">INDEX(Technologieën[Jaarlijkse kosten p. patiënt],MATCH(B145,IF(Technologieën[Zoeksleutel bronnummer]=G145,Technologieën[Digitale zorgtoepassing]),0))</f>
        <v>0</v>
      </c>
      <c r="AB145" s="403" cm="1">
        <f t="array" ref="AB145">INDEX(Technologieën[Jaarlijkse kosten p. organisatie],MATCH(B145,IF(Technologieën[Zoeksleutel bronnummer]=G145,Technologieën[Digitale zorgtoepassing]),0))/uniforme_input[[#This Row],[Aantal doelgroepen waarop toepasbaar]]</f>
        <v>0</v>
      </c>
      <c r="AC145" s="403" cm="1">
        <f t="array" ref="AC145">INDEX(Technologieën[Jaarlijkse kosten (onafh. aantal patiënt/organisatie)],MATCH(B145,IF(Technologieën[Zoeksleutel bronnummer]=G145,Technologieën[Digitale zorgtoepassing]),0))/uniforme_input[[#This Row],[Aantal doelgroepen waarop toepasbaar]]</f>
        <v>0</v>
      </c>
      <c r="AD145" s="403" cm="1">
        <f t="array" ref="AD145">INDEX(Technologieën[Initiële investering (p. patiënt)],MATCH(B145,IF(Technologieën[Zoeksleutel bronnummer]=G145,Technologieën[Digitale zorgtoepassing]),0))</f>
        <v>0</v>
      </c>
      <c r="AE145" s="403" cm="1">
        <f t="array" ref="AE145">INDEX(Technologieën[Initiële investering (p. organisatie)],MATCH(B145,IF(Technologieën[Zoeksleutel bronnummer]=G145,Technologieën[Digitale zorgtoepassing]),0))</f>
        <v>0</v>
      </c>
      <c r="AF145"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45" s="398">
        <f>(uniforme_input[[#This Row],[Initiële investering per organisatie]]*uniforme_input[[#This Row],[Aantal organisaties]])/uniforme_input[[#This Row],[Patiëntaantallen]]</f>
        <v>0</v>
      </c>
      <c r="AH145" s="410">
        <f>IF(uniforme_input[[#This Row],[Bron gebruiken voor kosten/investering?]]="Ja",uniforme_input[[#This Row],[Jaarlijkse kosten per patiënt]] + uniforme_input[[#This Row],[Jaarlijkse kosten per patiënt berekend]],0)</f>
        <v>0</v>
      </c>
      <c r="AI145" s="409">
        <f>IF(uniforme_input[[#This Row],[Bron gebruiken voor kosten/investering?]]="Ja",uniforme_input[[#This Row],[Initiële investering per patiënt]]+uniforme_input[[#This Row],[Initiële investering per patiënt berekend]],0)</f>
        <v>0</v>
      </c>
    </row>
    <row r="146" spans="1:35" x14ac:dyDescent="0.5">
      <c r="A146" s="51" t="str">
        <f>INDEX(Technologieën[Veld],MATCH(G146,Technologieën[Zoeksleutel bronnummer],0))</f>
        <v>Digitale hulpmiddelen - Verpleging</v>
      </c>
      <c r="B146" s="33" t="s">
        <v>85</v>
      </c>
      <c r="C146" s="32" t="s">
        <v>390</v>
      </c>
      <c r="D146" s="32" t="s">
        <v>391</v>
      </c>
      <c r="E146" s="33" t="s">
        <v>86</v>
      </c>
      <c r="F146" s="33" t="str" cm="1">
        <f t="array" ref="F146">INDEX(Berekening_patiëntaantal[Direct toepasbaar/extrapolatie/incidentie voor QALY],MATCH(B146,IF(Berekening_patiëntaantal[Doelgroep (zoeksleutel)]=E146,Berekening_patiëntaantal[Digitale zorgtoepassing]),0))</f>
        <v>Huidige toepassing</v>
      </c>
      <c r="G146" s="33" t="s">
        <v>567</v>
      </c>
      <c r="H146" s="33" t="s">
        <v>144</v>
      </c>
      <c r="I146" s="403">
        <f>INDEX(Uurloon[Uurtarief zorgpersoneel],MATCH(H146,Uurloon[Zorgverlener],0))</f>
        <v>20.410632183908046</v>
      </c>
      <c r="J146" s="404" cm="1">
        <f t="array" ref="J146">INDEX(Berekening_patiëntaantal[Patiëntaantallen],MATCH(B146,IF(Berekening_patiëntaantal[Doelgroep (zoeksleutel)]=E146,Berekening_patiëntaantal[Digitale zorgtoepassing]),0))</f>
        <v>86400</v>
      </c>
      <c r="K146" s="404">
        <f>IFERROR(INDEX(aantal_organisaties[Aantal organisaties waarop toepasbaar],MATCH(B146,aantal_organisaties[Digitale zorgtoepassing],0)),0)</f>
        <v>0</v>
      </c>
      <c r="L146" s="397">
        <f>COUNTIF(uniforme_input[Doelgroep],E146)</f>
        <v>2</v>
      </c>
      <c r="M146" s="405" cm="1">
        <f t="array" ref="M146">INDEX(Technologieën[Tijdsbesparing p. patiënt (min/week)],MATCH(B146,IF(Technologieën[Zoeksleutel bronnummer]=G146,Technologieën[Digitale zorgtoepassing]),0))</f>
        <v>0</v>
      </c>
      <c r="N146" s="405" cm="1">
        <f t="array" ref="N146">INDEX(Technologieën[Tijdsbesparing per handeling (min)],MATCH(B146,IF(Technologieën[Zoeksleutel bronnummer]=G146,Technologieën[Digitale zorgtoepassing]),0))</f>
        <v>0</v>
      </c>
      <c r="O146" s="403" cm="1">
        <f t="array" ref="O146">INDEX(Technologieën[Besparing overige kosten (€/patiënt/jaar)],MATCH(B146,IF(Technologieën[Zoeksleutel bronnummer]=G146,Technologieën[Digitale zorgtoepassing]),0))</f>
        <v>0</v>
      </c>
      <c r="P146" s="403" cm="1">
        <f t="array" ref="P146">INDEX(Technologieën[Kostenbesparing p. patiënt door arbeidsbesparing (€/week)],MATCH(B146,IF(Technologieën[Zoeksleutel bronnummer]=G146,Technologieën[Digitale zorgtoepassing]),0))</f>
        <v>0</v>
      </c>
      <c r="Q146" s="403" cm="1">
        <f t="array" ref="Q146">INDEX(Technologieën[Kostenbesparing (personeel) per handeling (€)],MATCH(B146,IF(Technologieën[Zoeksleutel bronnummer]=G146,Technologieën[Digitale zorgtoepassing]),0))</f>
        <v>0</v>
      </c>
      <c r="R146" s="403" cm="1">
        <f t="array" ref="R146">INDEX(Technologieën[Besparing overige kosten (€/jaar)],MATCH(B146,IF(Technologieën[Zoeksleutel bronnummer]=G146,Technologieën[Digitale zorgtoepassing]),0))</f>
        <v>0</v>
      </c>
      <c r="S146" s="405" cm="1">
        <f t="array" ref="S146">INDEX(Technologieën[Jaarlijkse besparing zorgpersoneel (FTE)],MATCH(B146,IF(Technologieën[Zoeksleutel bronnummer]=G146,Technologieën[Digitale zorgtoepassing]),0))</f>
        <v>0</v>
      </c>
      <c r="T146" s="406" cm="1">
        <f t="array" ref="T146">(INDEX(Technologieën[QALY],MATCH(B146,IF(Technologieën[Zoeksleutel bronnummer]=G146,Technologieën[Digitale zorgtoepassing]),0)))</f>
        <v>0</v>
      </c>
      <c r="U146" s="407">
        <f>(uniforme_input[[#This Row],[Kostenbesparing door arbeidsbesparing p. patiënt (€/week)]]/uniforme_input[[#This Row],[Uurtarief]]*60) + (uniforme_input[[#This Row],[Totaal arbeidsbesparing onafhankelijk van patiënt (FTE)]]*40*60)/uniforme_input[[#This Row],[Patiëntaantallen]]</f>
        <v>0</v>
      </c>
      <c r="V146" s="407">
        <f>(uniforme_input[[#This Row],[Kostenbesparing per handeling (€)]]/uniforme_input[[#This Row],[Uurtarief]])*60</f>
        <v>0</v>
      </c>
      <c r="W146" s="398">
        <f>uniforme_input[[#This Row],[Overige kostenbesparing (Totaal €/jaar)]]/uniforme_input[[#This Row],[Patiëntaantallen]]</f>
        <v>0</v>
      </c>
      <c r="X146" s="408">
        <f>IF(uniforme_input[[#This Row],[Bron gebruiken voor opbrengsten?]]="Ja",uniforme_input[[#This Row],[Tijdsbesparing (min/week/patiënt) - gegeven]]+uniforme_input[[#This Row],[Tijdsbesparing (min/week/patiënt) berekend]],0)</f>
        <v>0</v>
      </c>
      <c r="Y146" s="407">
        <f>IF(uniforme_input[[#This Row],[Bron gebruiken voor opbrengsten?]]="Ja",uniforme_input[[#This Row],[Tijdsbesparing (min/handeling) - gegeven]]+uniforme_input[[#This Row],[Tijdsbesparing (min/handeling) berekend]],0)</f>
        <v>0</v>
      </c>
      <c r="Z146" s="409">
        <f>IF(uniforme_input[[#This Row],[Bron gebruiken voor opbrengsten?]]="Ja",uniforme_input[[#This Row],[Overige kostenbesparing (€/jaar/patiënt) - gegeven]]+uniforme_input[[#This Row],[Overige kostenbesparing (€/jaar/patiënt) berekend]],0)</f>
        <v>0</v>
      </c>
      <c r="AA146" s="403" cm="1">
        <f t="array" ref="AA146">INDEX(Technologieën[Jaarlijkse kosten p. patiënt],MATCH(B146,IF(Technologieën[Zoeksleutel bronnummer]=G146,Technologieën[Digitale zorgtoepassing]),0))</f>
        <v>530.40000000000009</v>
      </c>
      <c r="AB146" s="403" cm="1">
        <f t="array" ref="AB146">INDEX(Technologieën[Jaarlijkse kosten p. organisatie],MATCH(B146,IF(Technologieën[Zoeksleutel bronnummer]=G146,Technologieën[Digitale zorgtoepassing]),0))/uniforme_input[[#This Row],[Aantal doelgroepen waarop toepasbaar]]</f>
        <v>0</v>
      </c>
      <c r="AC146" s="403" cm="1">
        <f t="array" ref="AC146">INDEX(Technologieën[Jaarlijkse kosten (onafh. aantal patiënt/organisatie)],MATCH(B146,IF(Technologieën[Zoeksleutel bronnummer]=G146,Technologieën[Digitale zorgtoepassing]),0))/uniforme_input[[#This Row],[Aantal doelgroepen waarop toepasbaar]]</f>
        <v>0</v>
      </c>
      <c r="AD146" s="403" cm="1">
        <f t="array" ref="AD146">INDEX(Technologieën[Initiële investering (p. patiënt)],MATCH(B146,IF(Technologieën[Zoeksleutel bronnummer]=G146,Technologieën[Digitale zorgtoepassing]),0))</f>
        <v>329</v>
      </c>
      <c r="AE146" s="403" cm="1">
        <f t="array" ref="AE146">INDEX(Technologieën[Initiële investering (p. organisatie)],MATCH(B146,IF(Technologieën[Zoeksleutel bronnummer]=G146,Technologieën[Digitale zorgtoepassing]),0))</f>
        <v>0</v>
      </c>
      <c r="AF146"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46" s="398">
        <f>(uniforme_input[[#This Row],[Initiële investering per organisatie]]*uniforme_input[[#This Row],[Aantal organisaties]])/uniforme_input[[#This Row],[Patiëntaantallen]]</f>
        <v>0</v>
      </c>
      <c r="AH146" s="410">
        <f>IF(uniforme_input[[#This Row],[Bron gebruiken voor kosten/investering?]]="Ja",uniforme_input[[#This Row],[Jaarlijkse kosten per patiënt]] + uniforme_input[[#This Row],[Jaarlijkse kosten per patiënt berekend]],0)</f>
        <v>530.40000000000009</v>
      </c>
      <c r="AI146" s="409">
        <f>IF(uniforme_input[[#This Row],[Bron gebruiken voor kosten/investering?]]="Ja",uniforme_input[[#This Row],[Initiële investering per patiënt]]+uniforme_input[[#This Row],[Initiële investering per patiënt berekend]],0)</f>
        <v>329</v>
      </c>
    </row>
    <row r="147" spans="1:35" x14ac:dyDescent="0.5">
      <c r="A147" s="51" t="str">
        <f>INDEX(Technologieën[Veld],MATCH(G147,Technologieën[Zoeksleutel bronnummer],0))</f>
        <v>Digitale hulpmiddelen - Verpleging</v>
      </c>
      <c r="B147" s="33" t="s">
        <v>32</v>
      </c>
      <c r="C147" s="32" t="s">
        <v>391</v>
      </c>
      <c r="D147" s="32" t="s">
        <v>391</v>
      </c>
      <c r="E147" s="33" t="s">
        <v>33</v>
      </c>
      <c r="F147" s="33" t="str" cm="1">
        <f t="array" ref="F147">INDEX(Berekening_patiëntaantal[Direct toepasbaar/extrapolatie/incidentie voor QALY],MATCH(B147,IF(Berekening_patiëntaantal[Doelgroep (zoeksleutel)]=E147,Berekening_patiëntaantal[Digitale zorgtoepassing]),0))</f>
        <v>Huidige toepassing</v>
      </c>
      <c r="G147" s="33" t="s">
        <v>621</v>
      </c>
      <c r="H147" s="33" t="s">
        <v>144</v>
      </c>
      <c r="I147" s="403">
        <f>INDEX(Uurloon[Uurtarief zorgpersoneel],MATCH(H147,Uurloon[Zorgverlener],0))</f>
        <v>20.410632183908046</v>
      </c>
      <c r="J147" s="404" cm="1">
        <f t="array" ref="J147">INDEX(Berekening_patiëntaantal[Patiëntaantallen],MATCH(B147,IF(Berekening_patiëntaantal[Doelgroep (zoeksleutel)]=E147,Berekening_patiëntaantal[Digitale zorgtoepassing]),0))</f>
        <v>9200</v>
      </c>
      <c r="K147" s="404">
        <f>IFERROR(INDEX(aantal_organisaties[Aantal organisaties waarop toepasbaar],MATCH(B147,aantal_organisaties[Digitale zorgtoepassing],0)),0)</f>
        <v>0</v>
      </c>
      <c r="L147" s="397">
        <f>COUNTIF(uniforme_input[Doelgroep],E147)</f>
        <v>3</v>
      </c>
      <c r="M147" s="405" cm="1">
        <f t="array" ref="M147">INDEX(Technologieën[Tijdsbesparing p. patiënt (min/week)],MATCH(B147,IF(Technologieën[Zoeksleutel bronnummer]=G147,Technologieën[Digitale zorgtoepassing]),0))</f>
        <v>0</v>
      </c>
      <c r="N147" s="405" cm="1">
        <f t="array" ref="N147">INDEX(Technologieën[Tijdsbesparing per handeling (min)],MATCH(B147,IF(Technologieën[Zoeksleutel bronnummer]=G147,Technologieën[Digitale zorgtoepassing]),0))</f>
        <v>0</v>
      </c>
      <c r="O147" s="403" cm="1">
        <f t="array" ref="O147">INDEX(Technologieën[Besparing overige kosten (€/patiënt/jaar)],MATCH(B147,IF(Technologieën[Zoeksleutel bronnummer]=G147,Technologieën[Digitale zorgtoepassing]),0))</f>
        <v>0</v>
      </c>
      <c r="P147" s="403" cm="1">
        <f t="array" ref="P147">INDEX(Technologieën[Kostenbesparing p. patiënt door arbeidsbesparing (€/week)],MATCH(B147,IF(Technologieën[Zoeksleutel bronnummer]=G147,Technologieën[Digitale zorgtoepassing]),0))</f>
        <v>61.81318681318681</v>
      </c>
      <c r="Q147" s="403" cm="1">
        <f t="array" ref="Q147">INDEX(Technologieën[Kostenbesparing (personeel) per handeling (€)],MATCH(B147,IF(Technologieën[Zoeksleutel bronnummer]=G147,Technologieën[Digitale zorgtoepassing]),0))</f>
        <v>0</v>
      </c>
      <c r="R147" s="403" cm="1">
        <f t="array" ref="R147">INDEX(Technologieën[Besparing overige kosten (€/jaar)],MATCH(B147,IF(Technologieën[Zoeksleutel bronnummer]=G147,Technologieën[Digitale zorgtoepassing]),0))</f>
        <v>6970000</v>
      </c>
      <c r="S147" s="405" cm="1">
        <f t="array" ref="S147">INDEX(Technologieën[Jaarlijkse besparing zorgpersoneel (FTE)],MATCH(B147,IF(Technologieën[Zoeksleutel bronnummer]=G147,Technologieën[Digitale zorgtoepassing]),0))</f>
        <v>0</v>
      </c>
      <c r="T147" s="406" cm="1">
        <f t="array" ref="T147">(INDEX(Technologieën[QALY],MATCH(B147,IF(Technologieën[Zoeksleutel bronnummer]=G147,Technologieën[Digitale zorgtoepassing]),0)))</f>
        <v>0</v>
      </c>
      <c r="U147" s="407">
        <f>(uniforme_input[[#This Row],[Kostenbesparing door arbeidsbesparing p. patiënt (€/week)]]/uniforme_input[[#This Row],[Uurtarief]]*60) + (uniforme_input[[#This Row],[Totaal arbeidsbesparing onafhankelijk van patiënt (FTE)]]*40*60)/uniforme_input[[#This Row],[Patiëntaantallen]]</f>
        <v>181.70878664479869</v>
      </c>
      <c r="V147" s="407">
        <f>(uniforme_input[[#This Row],[Kostenbesparing per handeling (€)]]/uniforme_input[[#This Row],[Uurtarief]])*60</f>
        <v>0</v>
      </c>
      <c r="W147" s="398">
        <f>uniforme_input[[#This Row],[Overige kostenbesparing (Totaal €/jaar)]]/uniforme_input[[#This Row],[Patiëntaantallen]]</f>
        <v>757.60869565217388</v>
      </c>
      <c r="X147" s="408">
        <f>IF(uniforme_input[[#This Row],[Bron gebruiken voor opbrengsten?]]="Ja",uniforme_input[[#This Row],[Tijdsbesparing (min/week/patiënt) - gegeven]]+uniforme_input[[#This Row],[Tijdsbesparing (min/week/patiënt) berekend]],0)</f>
        <v>181.70878664479869</v>
      </c>
      <c r="Y147" s="407">
        <f>IF(uniforme_input[[#This Row],[Bron gebruiken voor opbrengsten?]]="Ja",uniforme_input[[#This Row],[Tijdsbesparing (min/handeling) - gegeven]]+uniforme_input[[#This Row],[Tijdsbesparing (min/handeling) berekend]],0)</f>
        <v>0</v>
      </c>
      <c r="Z147" s="409">
        <f>IF(uniforme_input[[#This Row],[Bron gebruiken voor opbrengsten?]]="Ja",uniforme_input[[#This Row],[Overige kostenbesparing (€/jaar/patiënt) - gegeven]]+uniforme_input[[#This Row],[Overige kostenbesparing (€/jaar/patiënt) berekend]],0)</f>
        <v>757.60869565217388</v>
      </c>
      <c r="AA147" s="403" cm="1">
        <f t="array" ref="AA147">INDEX(Technologieën[Jaarlijkse kosten p. patiënt],MATCH(B147,IF(Technologieën[Zoeksleutel bronnummer]=G147,Technologieën[Digitale zorgtoepassing]),0))</f>
        <v>0</v>
      </c>
      <c r="AB147" s="403" cm="1">
        <f t="array" ref="AB147">INDEX(Technologieën[Jaarlijkse kosten p. organisatie],MATCH(B147,IF(Technologieën[Zoeksleutel bronnummer]=G147,Technologieën[Digitale zorgtoepassing]),0))/uniforme_input[[#This Row],[Aantal doelgroepen waarop toepasbaar]]</f>
        <v>0</v>
      </c>
      <c r="AC147" s="403" cm="1">
        <f t="array" ref="AC147">INDEX(Technologieën[Jaarlijkse kosten (onafh. aantal patiënt/organisatie)],MATCH(B147,IF(Technologieën[Zoeksleutel bronnummer]=G147,Technologieën[Digitale zorgtoepassing]),0))/uniforme_input[[#This Row],[Aantal doelgroepen waarop toepasbaar]]</f>
        <v>0</v>
      </c>
      <c r="AD147" s="403" cm="1">
        <f t="array" ref="AD147">INDEX(Technologieën[Initiële investering (p. patiënt)],MATCH(B147,IF(Technologieën[Zoeksleutel bronnummer]=G147,Technologieën[Digitale zorgtoepassing]),0))</f>
        <v>0</v>
      </c>
      <c r="AE147" s="403" cm="1">
        <f t="array" ref="AE147">INDEX(Technologieën[Initiële investering (p. organisatie)],MATCH(B147,IF(Technologieën[Zoeksleutel bronnummer]=G147,Technologieën[Digitale zorgtoepassing]),0))</f>
        <v>0</v>
      </c>
      <c r="AF147"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47" s="398">
        <f>(uniforme_input[[#This Row],[Initiële investering per organisatie]]*uniforme_input[[#This Row],[Aantal organisaties]])/uniforme_input[[#This Row],[Patiëntaantallen]]</f>
        <v>0</v>
      </c>
      <c r="AH147" s="410">
        <f>IF(uniforme_input[[#This Row],[Bron gebruiken voor kosten/investering?]]="Ja",uniforme_input[[#This Row],[Jaarlijkse kosten per patiënt]] + uniforme_input[[#This Row],[Jaarlijkse kosten per patiënt berekend]],0)</f>
        <v>0</v>
      </c>
      <c r="AI147" s="409">
        <f>IF(uniforme_input[[#This Row],[Bron gebruiken voor kosten/investering?]]="Ja",uniforme_input[[#This Row],[Initiële investering per patiënt]]+uniforme_input[[#This Row],[Initiële investering per patiënt berekend]],0)</f>
        <v>0</v>
      </c>
    </row>
    <row r="148" spans="1:35" x14ac:dyDescent="0.5">
      <c r="A148" s="51" t="str">
        <f>INDEX(Technologieën[Veld],MATCH(G148,Technologieën[Zoeksleutel bronnummer],0))</f>
        <v>Software - Diagnose</v>
      </c>
      <c r="B148" s="33" t="s">
        <v>472</v>
      </c>
      <c r="C148" s="32" t="s">
        <v>390</v>
      </c>
      <c r="D148" s="32" t="s">
        <v>390</v>
      </c>
      <c r="E148" s="33" t="s">
        <v>71</v>
      </c>
      <c r="F148" s="33" t="str" cm="1">
        <f t="array" ref="F148">INDEX(Berekening_patiëntaantal[Direct toepasbaar/extrapolatie/incidentie voor QALY],MATCH(B148,IF(Berekening_patiëntaantal[Doelgroep (zoeksleutel)]=E148,Berekening_patiëntaantal[Digitale zorgtoepassing]),0))</f>
        <v>Incidentie voor QALY</v>
      </c>
      <c r="G148" s="33" t="s">
        <v>623</v>
      </c>
      <c r="H148" s="33" t="s">
        <v>146</v>
      </c>
      <c r="I148" s="403">
        <f>INDEX(Uurloon[Uurtarief zorgpersoneel],MATCH(H148,Uurloon[Zorgverlener],0))</f>
        <v>91.204770114942534</v>
      </c>
      <c r="J148" s="404" cm="1">
        <f t="array" ref="J148">INDEX(Berekening_patiëntaantal[Patiëntaantallen],MATCH(B148,IF(Berekening_patiëntaantal[Doelgroep (zoeksleutel)]=E148,Berekening_patiëntaantal[Digitale zorgtoepassing]),0))</f>
        <v>439.46999999999997</v>
      </c>
      <c r="K148" s="404">
        <f>IFERROR(INDEX(aantal_organisaties[Aantal organisaties waarop toepasbaar],MATCH(B148,aantal_organisaties[Digitale zorgtoepassing],0)),0)</f>
        <v>113</v>
      </c>
      <c r="L148" s="397">
        <f>COUNTIF(uniforme_input[Doelgroep],E148)</f>
        <v>1</v>
      </c>
      <c r="M148" s="405" cm="1">
        <f t="array" ref="M148">INDEX(Technologieën[Tijdsbesparing p. patiënt (min/week)],MATCH(B148,IF(Technologieën[Zoeksleutel bronnummer]=G148,Technologieën[Digitale zorgtoepassing]),0))</f>
        <v>0</v>
      </c>
      <c r="N148" s="405" cm="1">
        <f t="array" ref="N148">INDEX(Technologieën[Tijdsbesparing per handeling (min)],MATCH(B148,IF(Technologieën[Zoeksleutel bronnummer]=G148,Technologieën[Digitale zorgtoepassing]),0))</f>
        <v>0</v>
      </c>
      <c r="O148" s="403" cm="1">
        <f t="array" ref="O148">INDEX(Technologieën[Besparing overige kosten (€/patiënt/jaar)],MATCH(B148,IF(Technologieën[Zoeksleutel bronnummer]=G148,Technologieën[Digitale zorgtoepassing]),0))</f>
        <v>0</v>
      </c>
      <c r="P148" s="403" cm="1">
        <f t="array" ref="P148">INDEX(Technologieën[Kostenbesparing p. patiënt door arbeidsbesparing (€/week)],MATCH(B148,IF(Technologieën[Zoeksleutel bronnummer]=G148,Technologieën[Digitale zorgtoepassing]),0))</f>
        <v>0</v>
      </c>
      <c r="Q148" s="403" cm="1">
        <f t="array" ref="Q148">INDEX(Technologieën[Kostenbesparing (personeel) per handeling (€)],MATCH(B148,IF(Technologieën[Zoeksleutel bronnummer]=G148,Technologieën[Digitale zorgtoepassing]),0))</f>
        <v>0</v>
      </c>
      <c r="R148" s="403" cm="1">
        <f t="array" ref="R148">INDEX(Technologieën[Besparing overige kosten (€/jaar)],MATCH(B148,IF(Technologieën[Zoeksleutel bronnummer]=G148,Technologieën[Digitale zorgtoepassing]),0))</f>
        <v>0</v>
      </c>
      <c r="S148" s="405" cm="1">
        <f t="array" ref="S148">INDEX(Technologieën[Jaarlijkse besparing zorgpersoneel (FTE)],MATCH(B148,IF(Technologieën[Zoeksleutel bronnummer]=G148,Technologieën[Digitale zorgtoepassing]),0))</f>
        <v>0</v>
      </c>
      <c r="T148" s="406" cm="1">
        <f t="array" ref="T148">(INDEX(Technologieën[QALY],MATCH(B148,IF(Technologieën[Zoeksleutel bronnummer]=G148,Technologieën[Digitale zorgtoepassing]),0)))</f>
        <v>0.46</v>
      </c>
      <c r="U148" s="407">
        <f>(uniforme_input[[#This Row],[Kostenbesparing door arbeidsbesparing p. patiënt (€/week)]]/uniforme_input[[#This Row],[Uurtarief]]*60) + (uniforme_input[[#This Row],[Totaal arbeidsbesparing onafhankelijk van patiënt (FTE)]]*40*60)/uniforme_input[[#This Row],[Patiëntaantallen]]</f>
        <v>0</v>
      </c>
      <c r="V148" s="407">
        <f>(uniforme_input[[#This Row],[Kostenbesparing per handeling (€)]]/uniforme_input[[#This Row],[Uurtarief]])*60</f>
        <v>0</v>
      </c>
      <c r="W148" s="398">
        <f>uniforme_input[[#This Row],[Overige kostenbesparing (Totaal €/jaar)]]/uniforme_input[[#This Row],[Patiëntaantallen]]</f>
        <v>0</v>
      </c>
      <c r="X148" s="408">
        <f>IF(uniforme_input[[#This Row],[Bron gebruiken voor opbrengsten?]]="Ja",uniforme_input[[#This Row],[Tijdsbesparing (min/week/patiënt) - gegeven]]+uniforme_input[[#This Row],[Tijdsbesparing (min/week/patiënt) berekend]],0)</f>
        <v>0</v>
      </c>
      <c r="Y148" s="407">
        <f>IF(uniforme_input[[#This Row],[Bron gebruiken voor opbrengsten?]]="Ja",uniforme_input[[#This Row],[Tijdsbesparing (min/handeling) - gegeven]]+uniforme_input[[#This Row],[Tijdsbesparing (min/handeling) berekend]],0)</f>
        <v>0</v>
      </c>
      <c r="Z148" s="409">
        <f>IF(uniforme_input[[#This Row],[Bron gebruiken voor opbrengsten?]]="Ja",uniforme_input[[#This Row],[Overige kostenbesparing (€/jaar/patiënt) - gegeven]]+uniforme_input[[#This Row],[Overige kostenbesparing (€/jaar/patiënt) berekend]],0)</f>
        <v>0</v>
      </c>
      <c r="AA148" s="403" cm="1">
        <f t="array" ref="AA148">INDEX(Technologieën[Jaarlijkse kosten p. patiënt],MATCH(B148,IF(Technologieën[Zoeksleutel bronnummer]=G148,Technologieën[Digitale zorgtoepassing]),0))</f>
        <v>0</v>
      </c>
      <c r="AB148" s="403" cm="1">
        <f t="array" ref="AB148">INDEX(Technologieën[Jaarlijkse kosten p. organisatie],MATCH(B148,IF(Technologieën[Zoeksleutel bronnummer]=G148,Technologieën[Digitale zorgtoepassing]),0))/uniforme_input[[#This Row],[Aantal doelgroepen waarop toepasbaar]]</f>
        <v>0</v>
      </c>
      <c r="AC148" s="403" cm="1">
        <f t="array" ref="AC148">INDEX(Technologieën[Jaarlijkse kosten (onafh. aantal patiënt/organisatie)],MATCH(B148,IF(Technologieën[Zoeksleutel bronnummer]=G148,Technologieën[Digitale zorgtoepassing]),0))/uniforme_input[[#This Row],[Aantal doelgroepen waarop toepasbaar]]</f>
        <v>0</v>
      </c>
      <c r="AD148" s="403" cm="1">
        <f t="array" ref="AD148">INDEX(Technologieën[Initiële investering (p. patiënt)],MATCH(B148,IF(Technologieën[Zoeksleutel bronnummer]=G148,Technologieën[Digitale zorgtoepassing]),0))</f>
        <v>0</v>
      </c>
      <c r="AE148" s="403" cm="1">
        <f t="array" ref="AE148">INDEX(Technologieën[Initiële investering (p. organisatie)],MATCH(B148,IF(Technologieën[Zoeksleutel bronnummer]=G148,Technologieën[Digitale zorgtoepassing]),0))</f>
        <v>0</v>
      </c>
      <c r="AF148"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48" s="398">
        <f>(uniforme_input[[#This Row],[Initiële investering per organisatie]]*uniforme_input[[#This Row],[Aantal organisaties]])/uniforme_input[[#This Row],[Patiëntaantallen]]</f>
        <v>0</v>
      </c>
      <c r="AH148" s="410">
        <f>IF(uniforme_input[[#This Row],[Bron gebruiken voor kosten/investering?]]="Ja",uniforme_input[[#This Row],[Jaarlijkse kosten per patiënt]] + uniforme_input[[#This Row],[Jaarlijkse kosten per patiënt berekend]],0)</f>
        <v>0</v>
      </c>
      <c r="AI148" s="409">
        <f>IF(uniforme_input[[#This Row],[Bron gebruiken voor kosten/investering?]]="Ja",uniforme_input[[#This Row],[Initiële investering per patiënt]]+uniforme_input[[#This Row],[Initiële investering per patiënt berekend]],0)</f>
        <v>0</v>
      </c>
    </row>
    <row r="149" spans="1:35" x14ac:dyDescent="0.5">
      <c r="A149" s="51" t="str">
        <f>INDEX(Technologieën[Veld],MATCH(G149,Technologieën[Zoeksleutel bronnummer],0))</f>
        <v>Digitale hulpmiddelen - Diagnose</v>
      </c>
      <c r="B149" s="33" t="s">
        <v>78</v>
      </c>
      <c r="C149" s="32" t="s">
        <v>391</v>
      </c>
      <c r="D149" s="32" t="s">
        <v>390</v>
      </c>
      <c r="E149" s="33" t="s">
        <v>699</v>
      </c>
      <c r="F149" s="33" t="str" cm="1">
        <f t="array" ref="F149">INDEX(Berekening_patiëntaantal[Direct toepasbaar/extrapolatie/incidentie voor QALY],MATCH(B149,IF(Berekening_patiëntaantal[Doelgroep (zoeksleutel)]=E149,Berekening_patiëntaantal[Digitale zorgtoepassing]),0))</f>
        <v>Huidige toepassing</v>
      </c>
      <c r="G149" s="33" t="s">
        <v>537</v>
      </c>
      <c r="H149" s="33" t="s">
        <v>700</v>
      </c>
      <c r="I149" s="403">
        <f>INDEX(Uurloon[Uurtarief zorgpersoneel],MATCH(H149,Uurloon[Zorgverlener],0))</f>
        <v>24.884195402298854</v>
      </c>
      <c r="J149" s="404" cm="1">
        <f t="array" ref="J149">INDEX(Berekening_patiëntaantal[Patiëntaantallen],MATCH(B149,IF(Berekening_patiëntaantal[Doelgroep (zoeksleutel)]=E149,Berekening_patiëntaantal[Digitale zorgtoepassing]),0))</f>
        <v>3800000</v>
      </c>
      <c r="K149" s="404">
        <f>IFERROR(INDEX(aantal_organisaties[Aantal organisaties waarop toepasbaar],MATCH(B149,aantal_organisaties[Digitale zorgtoepassing],0)),0)</f>
        <v>1229</v>
      </c>
      <c r="L149" s="397">
        <f>COUNTIF(uniforme_input[Doelgroep],E149)</f>
        <v>2</v>
      </c>
      <c r="M149" s="405" cm="1">
        <f t="array" ref="M149">INDEX(Technologieën[Tijdsbesparing p. patiënt (min/week)],MATCH(B149,IF(Technologieën[Zoeksleutel bronnummer]=G149,Technologieën[Digitale zorgtoepassing]),0))</f>
        <v>0</v>
      </c>
      <c r="N149" s="405" cm="1">
        <f t="array" ref="N149">INDEX(Technologieën[Tijdsbesparing per handeling (min)],MATCH(B149,IF(Technologieën[Zoeksleutel bronnummer]=G149,Technologieën[Digitale zorgtoepassing]),0))</f>
        <v>5</v>
      </c>
      <c r="O149" s="403" cm="1">
        <f t="array" ref="O149">INDEX(Technologieën[Besparing overige kosten (€/patiënt/jaar)],MATCH(B149,IF(Technologieën[Zoeksleutel bronnummer]=G149,Technologieën[Digitale zorgtoepassing]),0))</f>
        <v>1.5408939974457221</v>
      </c>
      <c r="P149" s="403" cm="1">
        <f t="array" ref="P149">INDEX(Technologieën[Kostenbesparing p. patiënt door arbeidsbesparing (€/week)],MATCH(B149,IF(Technologieën[Zoeksleutel bronnummer]=G149,Technologieën[Digitale zorgtoepassing]),0))</f>
        <v>0</v>
      </c>
      <c r="Q149" s="403" cm="1">
        <f t="array" ref="Q149">INDEX(Technologieën[Kostenbesparing (personeel) per handeling (€)],MATCH(B149,IF(Technologieën[Zoeksleutel bronnummer]=G149,Technologieën[Digitale zorgtoepassing]),0))</f>
        <v>0</v>
      </c>
      <c r="R149" s="403" cm="1">
        <f t="array" ref="R149">INDEX(Technologieën[Besparing overige kosten (€/jaar)],MATCH(B149,IF(Technologieën[Zoeksleutel bronnummer]=G149,Technologieën[Digitale zorgtoepassing]),0))</f>
        <v>0</v>
      </c>
      <c r="S149" s="405" cm="1">
        <f t="array" ref="S149">INDEX(Technologieën[Jaarlijkse besparing zorgpersoneel (FTE)],MATCH(B149,IF(Technologieën[Zoeksleutel bronnummer]=G149,Technologieën[Digitale zorgtoepassing]),0))</f>
        <v>0</v>
      </c>
      <c r="T149" s="406" cm="1">
        <f t="array" ref="T149">(INDEX(Technologieën[QALY],MATCH(B149,IF(Technologieën[Zoeksleutel bronnummer]=G149,Technologieën[Digitale zorgtoepassing]),0)))</f>
        <v>0</v>
      </c>
      <c r="U149" s="407">
        <f>(uniforme_input[[#This Row],[Kostenbesparing door arbeidsbesparing p. patiënt (€/week)]]/uniforme_input[[#This Row],[Uurtarief]]*60) + (uniforme_input[[#This Row],[Totaal arbeidsbesparing onafhankelijk van patiënt (FTE)]]*40*60)/uniforme_input[[#This Row],[Patiëntaantallen]]</f>
        <v>0</v>
      </c>
      <c r="V149" s="407">
        <f>(uniforme_input[[#This Row],[Kostenbesparing per handeling (€)]]/uniforme_input[[#This Row],[Uurtarief]])*60</f>
        <v>0</v>
      </c>
      <c r="W149" s="398">
        <f>uniforme_input[[#This Row],[Overige kostenbesparing (Totaal €/jaar)]]/uniforme_input[[#This Row],[Patiëntaantallen]]</f>
        <v>0</v>
      </c>
      <c r="X149" s="408">
        <f>IF(uniforme_input[[#This Row],[Bron gebruiken voor opbrengsten?]]="Ja",uniforme_input[[#This Row],[Tijdsbesparing (min/week/patiënt) - gegeven]]+uniforme_input[[#This Row],[Tijdsbesparing (min/week/patiënt) berekend]],0)</f>
        <v>0</v>
      </c>
      <c r="Y149" s="407">
        <f>IF(uniforme_input[[#This Row],[Bron gebruiken voor opbrengsten?]]="Ja",uniforme_input[[#This Row],[Tijdsbesparing (min/handeling) - gegeven]]+uniforme_input[[#This Row],[Tijdsbesparing (min/handeling) berekend]],0)</f>
        <v>5</v>
      </c>
      <c r="Z149" s="409">
        <f>IF(uniforme_input[[#This Row],[Bron gebruiken voor opbrengsten?]]="Ja",uniforme_input[[#This Row],[Overige kostenbesparing (€/jaar/patiënt) - gegeven]]+uniforme_input[[#This Row],[Overige kostenbesparing (€/jaar/patiënt) berekend]],0)</f>
        <v>1.5408939974457221</v>
      </c>
      <c r="AA149" s="403" cm="1">
        <f t="array" ref="AA149">INDEX(Technologieën[Jaarlijkse kosten p. patiënt],MATCH(B149,IF(Technologieën[Zoeksleutel bronnummer]=G149,Technologieën[Digitale zorgtoepassing]),0))</f>
        <v>0</v>
      </c>
      <c r="AB149" s="403" cm="1">
        <f t="array" ref="AB149">INDEX(Technologieën[Jaarlijkse kosten p. organisatie],MATCH(B149,IF(Technologieën[Zoeksleutel bronnummer]=G149,Technologieën[Digitale zorgtoepassing]),0))/uniforme_input[[#This Row],[Aantal doelgroepen waarop toepasbaar]]</f>
        <v>0</v>
      </c>
      <c r="AC149" s="403" cm="1">
        <f t="array" ref="AC149">INDEX(Technologieën[Jaarlijkse kosten (onafh. aantal patiënt/organisatie)],MATCH(B149,IF(Technologieën[Zoeksleutel bronnummer]=G149,Technologieën[Digitale zorgtoepassing]),0))/uniforme_input[[#This Row],[Aantal doelgroepen waarop toepasbaar]]</f>
        <v>0</v>
      </c>
      <c r="AD149" s="403" cm="1">
        <f t="array" ref="AD149">INDEX(Technologieën[Initiële investering (p. patiënt)],MATCH(B149,IF(Technologieën[Zoeksleutel bronnummer]=G149,Technologieën[Digitale zorgtoepassing]),0))</f>
        <v>0</v>
      </c>
      <c r="AE149" s="403" cm="1">
        <f t="array" ref="AE149">INDEX(Technologieën[Initiële investering (p. organisatie)],MATCH(B149,IF(Technologieën[Zoeksleutel bronnummer]=G149,Technologieën[Digitale zorgtoepassing]),0))</f>
        <v>0</v>
      </c>
      <c r="AF149"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49" s="398">
        <f>(uniforme_input[[#This Row],[Initiële investering per organisatie]]*uniforme_input[[#This Row],[Aantal organisaties]])/uniforme_input[[#This Row],[Patiëntaantallen]]</f>
        <v>0</v>
      </c>
      <c r="AH149" s="410">
        <f>IF(uniforme_input[[#This Row],[Bron gebruiken voor kosten/investering?]]="Ja",uniforme_input[[#This Row],[Jaarlijkse kosten per patiënt]] + uniforme_input[[#This Row],[Jaarlijkse kosten per patiënt berekend]],0)</f>
        <v>0</v>
      </c>
      <c r="AI149" s="409">
        <f>IF(uniforme_input[[#This Row],[Bron gebruiken voor kosten/investering?]]="Ja",uniforme_input[[#This Row],[Initiële investering per patiënt]]+uniforme_input[[#This Row],[Initiële investering per patiënt berekend]],0)</f>
        <v>0</v>
      </c>
    </row>
    <row r="150" spans="1:35" x14ac:dyDescent="0.5">
      <c r="A150" s="51" t="str">
        <f>INDEX(Technologieën[Veld],MATCH(G150,Technologieën[Zoeksleutel bronnummer],0))</f>
        <v>Digitale hulpmiddelen - Diagnose</v>
      </c>
      <c r="B150" s="33" t="s">
        <v>82</v>
      </c>
      <c r="C150" s="32" t="s">
        <v>391</v>
      </c>
      <c r="D150" s="32" t="s">
        <v>390</v>
      </c>
      <c r="E150" s="33" t="s">
        <v>702</v>
      </c>
      <c r="F150" s="33" t="str" cm="1">
        <f t="array" ref="F150">INDEX(Berekening_patiëntaantal[Direct toepasbaar/extrapolatie/incidentie voor QALY],MATCH(B150,IF(Berekening_patiëntaantal[Doelgroep (zoeksleutel)]=E150,Berekening_patiëntaantal[Digitale zorgtoepassing]),0))</f>
        <v>Huidige toepassing</v>
      </c>
      <c r="G150" s="33" t="s">
        <v>538</v>
      </c>
      <c r="H150" s="33" t="s">
        <v>707</v>
      </c>
      <c r="I150" s="403">
        <f>INDEX(Uurloon[Uurtarief zorgpersoneel],MATCH(H150,Uurloon[Zorgverlener],0))</f>
        <v>26.322126436781613</v>
      </c>
      <c r="J150" s="404" cm="1">
        <f t="array" ref="J150">INDEX(Berekening_patiëntaantal[Patiëntaantallen],MATCH(B150,IF(Berekening_patiëntaantal[Doelgroep (zoeksleutel)]=E150,Berekening_patiëntaantal[Digitale zorgtoepassing]),0))</f>
        <v>79084.2</v>
      </c>
      <c r="K150" s="404">
        <f>IFERROR(INDEX(aantal_organisaties[Aantal organisaties waarop toepasbaar],MATCH(B150,aantal_organisaties[Digitale zorgtoepassing],0)),0)</f>
        <v>0</v>
      </c>
      <c r="L150" s="397">
        <f>COUNTIF(uniforme_input[Doelgroep],E150)</f>
        <v>2</v>
      </c>
      <c r="M150" s="405" cm="1">
        <f t="array" ref="M150">INDEX(Technologieën[Tijdsbesparing p. patiënt (min/week)],MATCH(B150,IF(Technologieën[Zoeksleutel bronnummer]=G150,Technologieën[Digitale zorgtoepassing]),0))</f>
        <v>0</v>
      </c>
      <c r="N150" s="405" cm="1">
        <f t="array" ref="N150">INDEX(Technologieën[Tijdsbesparing per handeling (min)],MATCH(B150,IF(Technologieën[Zoeksleutel bronnummer]=G150,Technologieën[Digitale zorgtoepassing]),0))</f>
        <v>0</v>
      </c>
      <c r="O150" s="403" cm="1">
        <f t="array" ref="O150">INDEX(Technologieën[Besparing overige kosten (€/patiënt/jaar)],MATCH(B150,IF(Technologieën[Zoeksleutel bronnummer]=G150,Technologieën[Digitale zorgtoepassing]),0))</f>
        <v>78.604651162790702</v>
      </c>
      <c r="P150" s="403" cm="1">
        <f t="array" ref="P150">INDEX(Technologieën[Kostenbesparing p. patiënt door arbeidsbesparing (€/week)],MATCH(B150,IF(Technologieën[Zoeksleutel bronnummer]=G150,Technologieën[Digitale zorgtoepassing]),0))</f>
        <v>0</v>
      </c>
      <c r="Q150" s="403" cm="1">
        <f t="array" ref="Q150">INDEX(Technologieën[Kostenbesparing (personeel) per handeling (€)],MATCH(B150,IF(Technologieën[Zoeksleutel bronnummer]=G150,Technologieën[Digitale zorgtoepassing]),0))</f>
        <v>61.395348837209298</v>
      </c>
      <c r="R150" s="403" cm="1">
        <f t="array" ref="R150">INDEX(Technologieën[Besparing overige kosten (€/jaar)],MATCH(B150,IF(Technologieën[Zoeksleutel bronnummer]=G150,Technologieën[Digitale zorgtoepassing]),0))</f>
        <v>0</v>
      </c>
      <c r="S150" s="405" cm="1">
        <f t="array" ref="S150">INDEX(Technologieën[Jaarlijkse besparing zorgpersoneel (FTE)],MATCH(B150,IF(Technologieën[Zoeksleutel bronnummer]=G150,Technologieën[Digitale zorgtoepassing]),0))</f>
        <v>0</v>
      </c>
      <c r="T150" s="406" cm="1">
        <f t="array" ref="T150">(INDEX(Technologieën[QALY],MATCH(B150,IF(Technologieën[Zoeksleutel bronnummer]=G150,Technologieën[Digitale zorgtoepassing]),0)))</f>
        <v>0</v>
      </c>
      <c r="U150" s="407">
        <f>(uniforme_input[[#This Row],[Kostenbesparing door arbeidsbesparing p. patiënt (€/week)]]/uniforme_input[[#This Row],[Uurtarief]]*60) + (uniforme_input[[#This Row],[Totaal arbeidsbesparing onafhankelijk van patiënt (FTE)]]*40*60)/uniforme_input[[#This Row],[Patiëntaantallen]]</f>
        <v>0</v>
      </c>
      <c r="V150" s="407">
        <f>(uniforme_input[[#This Row],[Kostenbesparing per handeling (€)]]/uniforme_input[[#This Row],[Uurtarief]])*60</f>
        <v>139.94769530037118</v>
      </c>
      <c r="W150" s="398">
        <f>uniforme_input[[#This Row],[Overige kostenbesparing (Totaal €/jaar)]]/uniforme_input[[#This Row],[Patiëntaantallen]]</f>
        <v>0</v>
      </c>
      <c r="X150" s="408">
        <f>IF(uniforme_input[[#This Row],[Bron gebruiken voor opbrengsten?]]="Ja",uniforme_input[[#This Row],[Tijdsbesparing (min/week/patiënt) - gegeven]]+uniforme_input[[#This Row],[Tijdsbesparing (min/week/patiënt) berekend]],0)</f>
        <v>0</v>
      </c>
      <c r="Y150" s="407">
        <f>IF(uniforme_input[[#This Row],[Bron gebruiken voor opbrengsten?]]="Ja",uniforme_input[[#This Row],[Tijdsbesparing (min/handeling) - gegeven]]+uniforme_input[[#This Row],[Tijdsbesparing (min/handeling) berekend]],0)</f>
        <v>139.94769530037118</v>
      </c>
      <c r="Z150" s="409">
        <f>IF(uniforme_input[[#This Row],[Bron gebruiken voor opbrengsten?]]="Ja",uniforme_input[[#This Row],[Overige kostenbesparing (€/jaar/patiënt) - gegeven]]+uniforme_input[[#This Row],[Overige kostenbesparing (€/jaar/patiënt) berekend]],0)</f>
        <v>78.604651162790702</v>
      </c>
      <c r="AA150" s="403" cm="1">
        <f t="array" ref="AA150">INDEX(Technologieën[Jaarlijkse kosten p. patiënt],MATCH(B150,IF(Technologieën[Zoeksleutel bronnummer]=G150,Technologieën[Digitale zorgtoepassing]),0))</f>
        <v>0</v>
      </c>
      <c r="AB150" s="403" cm="1">
        <f t="array" ref="AB150">INDEX(Technologieën[Jaarlijkse kosten p. organisatie],MATCH(B150,IF(Technologieën[Zoeksleutel bronnummer]=G150,Technologieën[Digitale zorgtoepassing]),0))/uniforme_input[[#This Row],[Aantal doelgroepen waarop toepasbaar]]</f>
        <v>0</v>
      </c>
      <c r="AC150" s="403" cm="1">
        <f t="array" ref="AC150">INDEX(Technologieën[Jaarlijkse kosten (onafh. aantal patiënt/organisatie)],MATCH(B150,IF(Technologieën[Zoeksleutel bronnummer]=G150,Technologieën[Digitale zorgtoepassing]),0))/uniforme_input[[#This Row],[Aantal doelgroepen waarop toepasbaar]]</f>
        <v>0</v>
      </c>
      <c r="AD150" s="403" cm="1">
        <f t="array" ref="AD150">INDEX(Technologieën[Initiële investering (p. patiënt)],MATCH(B150,IF(Technologieën[Zoeksleutel bronnummer]=G150,Technologieën[Digitale zorgtoepassing]),0))</f>
        <v>0</v>
      </c>
      <c r="AE150" s="403" cm="1">
        <f t="array" ref="AE150">INDEX(Technologieën[Initiële investering (p. organisatie)],MATCH(B150,IF(Technologieën[Zoeksleutel bronnummer]=G150,Technologieën[Digitale zorgtoepassing]),0))</f>
        <v>0</v>
      </c>
      <c r="AF150"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50" s="398">
        <f>(uniforme_input[[#This Row],[Initiële investering per organisatie]]*uniforme_input[[#This Row],[Aantal organisaties]])/uniforme_input[[#This Row],[Patiëntaantallen]]</f>
        <v>0</v>
      </c>
      <c r="AH150" s="410">
        <f>IF(uniforme_input[[#This Row],[Bron gebruiken voor kosten/investering?]]="Ja",uniforme_input[[#This Row],[Jaarlijkse kosten per patiënt]] + uniforme_input[[#This Row],[Jaarlijkse kosten per patiënt berekend]],0)</f>
        <v>0</v>
      </c>
      <c r="AI150" s="409">
        <f>IF(uniforme_input[[#This Row],[Bron gebruiken voor kosten/investering?]]="Ja",uniforme_input[[#This Row],[Initiële investering per patiënt]]+uniforme_input[[#This Row],[Initiële investering per patiënt berekend]],0)</f>
        <v>0</v>
      </c>
    </row>
    <row r="151" spans="1:35" x14ac:dyDescent="0.5">
      <c r="A151" s="51" t="str">
        <f>INDEX(Technologieën[Veld],MATCH(G151,Technologieën[Zoeksleutel bronnummer],0))</f>
        <v>Digitale hulpmiddelen - Diagnose</v>
      </c>
      <c r="B151" s="33" t="s">
        <v>82</v>
      </c>
      <c r="C151" s="32" t="s">
        <v>390</v>
      </c>
      <c r="D151" s="32" t="s">
        <v>391</v>
      </c>
      <c r="E151" s="33" t="s">
        <v>702</v>
      </c>
      <c r="F151" s="33" t="str" cm="1">
        <f t="array" ref="F151">INDEX(Berekening_patiëntaantal[Direct toepasbaar/extrapolatie/incidentie voor QALY],MATCH(B151,IF(Berekening_patiëntaantal[Doelgroep (zoeksleutel)]=E151,Berekening_patiëntaantal[Digitale zorgtoepassing]),0))</f>
        <v>Huidige toepassing</v>
      </c>
      <c r="G151" s="33" t="s">
        <v>539</v>
      </c>
      <c r="H151" s="33" t="s">
        <v>707</v>
      </c>
      <c r="I151" s="403">
        <f>INDEX(Uurloon[Uurtarief zorgpersoneel],MATCH(H151,Uurloon[Zorgverlener],0))</f>
        <v>26.322126436781613</v>
      </c>
      <c r="J151" s="404" cm="1">
        <f t="array" ref="J151">INDEX(Berekening_patiëntaantal[Patiëntaantallen],MATCH(B151,IF(Berekening_patiëntaantal[Doelgroep (zoeksleutel)]=E151,Berekening_patiëntaantal[Digitale zorgtoepassing]),0))</f>
        <v>79084.2</v>
      </c>
      <c r="K151" s="404">
        <f>IFERROR(INDEX(aantal_organisaties[Aantal organisaties waarop toepasbaar],MATCH(B151,aantal_organisaties[Digitale zorgtoepassing],0)),0)</f>
        <v>0</v>
      </c>
      <c r="L151" s="397">
        <f>COUNTIF(uniforme_input[Doelgroep],E151)</f>
        <v>2</v>
      </c>
      <c r="M151" s="405" cm="1">
        <f t="array" ref="M151">INDEX(Technologieën[Tijdsbesparing p. patiënt (min/week)],MATCH(B151,IF(Technologieën[Zoeksleutel bronnummer]=G151,Technologieën[Digitale zorgtoepassing]),0))</f>
        <v>0</v>
      </c>
      <c r="N151" s="405" cm="1">
        <f t="array" ref="N151">INDEX(Technologieën[Tijdsbesparing per handeling (min)],MATCH(B151,IF(Technologieën[Zoeksleutel bronnummer]=G151,Technologieën[Digitale zorgtoepassing]),0))</f>
        <v>0</v>
      </c>
      <c r="O151" s="403" cm="1">
        <f t="array" ref="O151">INDEX(Technologieën[Besparing overige kosten (€/patiënt/jaar)],MATCH(B151,IF(Technologieën[Zoeksleutel bronnummer]=G151,Technologieën[Digitale zorgtoepassing]),0))</f>
        <v>0</v>
      </c>
      <c r="P151" s="403" cm="1">
        <f t="array" ref="P151">INDEX(Technologieën[Kostenbesparing p. patiënt door arbeidsbesparing (€/week)],MATCH(B151,IF(Technologieën[Zoeksleutel bronnummer]=G151,Technologieën[Digitale zorgtoepassing]),0))</f>
        <v>0</v>
      </c>
      <c r="Q151" s="403" cm="1">
        <f t="array" ref="Q151">INDEX(Technologieën[Kostenbesparing (personeel) per handeling (€)],MATCH(B151,IF(Technologieën[Zoeksleutel bronnummer]=G151,Technologieën[Digitale zorgtoepassing]),0))</f>
        <v>0</v>
      </c>
      <c r="R151" s="403" cm="1">
        <f t="array" ref="R151">INDEX(Technologieën[Besparing overige kosten (€/jaar)],MATCH(B151,IF(Technologieën[Zoeksleutel bronnummer]=G151,Technologieën[Digitale zorgtoepassing]),0))</f>
        <v>0</v>
      </c>
      <c r="S151" s="405" cm="1">
        <f t="array" ref="S151">INDEX(Technologieën[Jaarlijkse besparing zorgpersoneel (FTE)],MATCH(B151,IF(Technologieën[Zoeksleutel bronnummer]=G151,Technologieën[Digitale zorgtoepassing]),0))</f>
        <v>0</v>
      </c>
      <c r="T151" s="406" cm="1">
        <f t="array" ref="T151">(INDEX(Technologieën[QALY],MATCH(B151,IF(Technologieën[Zoeksleutel bronnummer]=G151,Technologieën[Digitale zorgtoepassing]),0)))</f>
        <v>0</v>
      </c>
      <c r="U151" s="407">
        <f>(uniforme_input[[#This Row],[Kostenbesparing door arbeidsbesparing p. patiënt (€/week)]]/uniforme_input[[#This Row],[Uurtarief]]*60) + (uniforme_input[[#This Row],[Totaal arbeidsbesparing onafhankelijk van patiënt (FTE)]]*40*60)/uniforme_input[[#This Row],[Patiëntaantallen]]</f>
        <v>0</v>
      </c>
      <c r="V151" s="407">
        <f>(uniforme_input[[#This Row],[Kostenbesparing per handeling (€)]]/uniforme_input[[#This Row],[Uurtarief]])*60</f>
        <v>0</v>
      </c>
      <c r="W151" s="398">
        <f>uniforme_input[[#This Row],[Overige kostenbesparing (Totaal €/jaar)]]/uniforme_input[[#This Row],[Patiëntaantallen]]</f>
        <v>0</v>
      </c>
      <c r="X151" s="408">
        <f>IF(uniforme_input[[#This Row],[Bron gebruiken voor opbrengsten?]]="Ja",uniforme_input[[#This Row],[Tijdsbesparing (min/week/patiënt) - gegeven]]+uniforme_input[[#This Row],[Tijdsbesparing (min/week/patiënt) berekend]],0)</f>
        <v>0</v>
      </c>
      <c r="Y151" s="407">
        <f>IF(uniforme_input[[#This Row],[Bron gebruiken voor opbrengsten?]]="Ja",uniforme_input[[#This Row],[Tijdsbesparing (min/handeling) - gegeven]]+uniforme_input[[#This Row],[Tijdsbesparing (min/handeling) berekend]],0)</f>
        <v>0</v>
      </c>
      <c r="Z151" s="409">
        <f>IF(uniforme_input[[#This Row],[Bron gebruiken voor opbrengsten?]]="Ja",uniforme_input[[#This Row],[Overige kostenbesparing (€/jaar/patiënt) - gegeven]]+uniforme_input[[#This Row],[Overige kostenbesparing (€/jaar/patiënt) berekend]],0)</f>
        <v>0</v>
      </c>
      <c r="AA151" s="403" cm="1">
        <f t="array" ref="AA151">INDEX(Technologieën[Jaarlijkse kosten p. patiënt],MATCH(B151,IF(Technologieën[Zoeksleutel bronnummer]=G151,Technologieën[Digitale zorgtoepassing]),0))</f>
        <v>30.733333333333334</v>
      </c>
      <c r="AB151" s="403" cm="1">
        <f t="array" ref="AB151">INDEX(Technologieën[Jaarlijkse kosten p. organisatie],MATCH(B151,IF(Technologieën[Zoeksleutel bronnummer]=G151,Technologieën[Digitale zorgtoepassing]),0))/uniforme_input[[#This Row],[Aantal doelgroepen waarop toepasbaar]]</f>
        <v>0</v>
      </c>
      <c r="AC151" s="403" cm="1">
        <f t="array" ref="AC151">INDEX(Technologieën[Jaarlijkse kosten (onafh. aantal patiënt/organisatie)],MATCH(B151,IF(Technologieën[Zoeksleutel bronnummer]=G151,Technologieën[Digitale zorgtoepassing]),0))/uniforme_input[[#This Row],[Aantal doelgroepen waarop toepasbaar]]</f>
        <v>0</v>
      </c>
      <c r="AD151" s="403" cm="1">
        <f t="array" ref="AD151">INDEX(Technologieën[Initiële investering (p. patiënt)],MATCH(B151,IF(Technologieën[Zoeksleutel bronnummer]=G151,Technologieën[Digitale zorgtoepassing]),0))</f>
        <v>0</v>
      </c>
      <c r="AE151" s="403" cm="1">
        <f t="array" ref="AE151">INDEX(Technologieën[Initiële investering (p. organisatie)],MATCH(B151,IF(Technologieën[Zoeksleutel bronnummer]=G151,Technologieën[Digitale zorgtoepassing]),0))</f>
        <v>0</v>
      </c>
      <c r="AF151" s="398">
        <f>((uniforme_input[[#This Row],[Jaarlijkse kosten per organisatie]]*uniforme_input[[#This Row],[Aantal organisaties]])/uniforme_input[[#This Row],[Patiëntaantallen]])+(uniforme_input[[#This Row],[Jaarlijkse kosten algemeen (onafhankelijk van patiënt/organisatie)]]/uniforme_input[[#This Row],[Patiëntaantallen]])</f>
        <v>0</v>
      </c>
      <c r="AG151" s="398">
        <f>(uniforme_input[[#This Row],[Initiële investering per organisatie]]*uniforme_input[[#This Row],[Aantal organisaties]])/uniforme_input[[#This Row],[Patiëntaantallen]]</f>
        <v>0</v>
      </c>
      <c r="AH151" s="410">
        <f>IF(uniforme_input[[#This Row],[Bron gebruiken voor kosten/investering?]]="Ja",uniforme_input[[#This Row],[Jaarlijkse kosten per patiënt]] + uniforme_input[[#This Row],[Jaarlijkse kosten per patiënt berekend]],0)</f>
        <v>30.733333333333334</v>
      </c>
      <c r="AI151" s="409">
        <f>IF(uniforme_input[[#This Row],[Bron gebruiken voor kosten/investering?]]="Ja",uniforme_input[[#This Row],[Initiële investering per patiënt]]+uniforme_input[[#This Row],[Initiële investering per patiënt berekend]],0)</f>
        <v>0</v>
      </c>
    </row>
  </sheetData>
  <sheetProtection algorithmName="SHA-512" hashValue="0K3Kwe9XoMjZV6k2m3hqcBPK7UYBoTftSrQENXCnzxbip9xnlHYP+AvasPM91K8NO2F2A5NhW0CNFz8YMfDZGA==" saltValue="kGX1nk5LObWrkmPE4vXV9A==" spinCount="100000" sheet="1" objects="1" scenarios="1" selectLockedCells="1" selectUnlockedCells="1"/>
  <mergeCells count="5">
    <mergeCell ref="AH5:AI5"/>
    <mergeCell ref="X5:Z5"/>
    <mergeCell ref="M4:W5"/>
    <mergeCell ref="AA4:AG5"/>
    <mergeCell ref="A1:C2"/>
  </mergeCells>
  <phoneticPr fontId="4" type="noConversion"/>
  <pageMargins left="0.7" right="0.7" top="0.75" bottom="0.75" header="0.3" footer="0.3"/>
  <pageSetup paperSize="9" orientation="portrait" r:id="rId1"/>
  <legacyDrawing r:id="rId2"/>
  <tableParts count="1">
    <tablePart r:id="rId3"/>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B6084-45B9-4B0D-A2C3-4DC67F7E65C8}">
  <sheetPr codeName="Blad17">
    <tabColor theme="8"/>
  </sheetPr>
  <dimension ref="A1:AB70"/>
  <sheetViews>
    <sheetView showGridLines="0" zoomScale="85" zoomScaleNormal="85" workbookViewId="0">
      <selection activeCell="D28" sqref="D28"/>
    </sheetView>
  </sheetViews>
  <sheetFormatPr defaultRowHeight="17" x14ac:dyDescent="0.5"/>
  <cols>
    <col min="1" max="1" width="27.53515625" style="36" customWidth="1"/>
    <col min="2" max="2" width="36.07421875" style="36" customWidth="1"/>
    <col min="3" max="3" width="30.84375" style="36" bestFit="1" customWidth="1"/>
    <col min="4" max="4" width="17.23046875" style="36" bestFit="1" customWidth="1"/>
    <col min="5" max="5" width="23.23046875" style="36" bestFit="1" customWidth="1"/>
    <col min="6" max="6" width="23.23046875" style="36" customWidth="1"/>
    <col min="7" max="7" width="25.765625" style="4" bestFit="1" customWidth="1"/>
    <col min="8" max="8" width="20.84375" style="4" bestFit="1" customWidth="1"/>
    <col min="9" max="10" width="20.3046875" customWidth="1"/>
    <col min="11" max="11" width="16.07421875" customWidth="1"/>
    <col min="12" max="12" width="20.765625" style="4" customWidth="1"/>
    <col min="13" max="18" width="15.53515625" style="4" customWidth="1"/>
    <col min="19" max="19" width="18.07421875" bestFit="1" customWidth="1"/>
    <col min="20" max="20" width="21.3046875" bestFit="1" customWidth="1"/>
    <col min="21" max="21" width="12.4609375" bestFit="1" customWidth="1"/>
    <col min="22" max="22" width="12.4609375" customWidth="1"/>
    <col min="23" max="23" width="13.69140625" bestFit="1" customWidth="1"/>
    <col min="24" max="24" width="13.765625" bestFit="1" customWidth="1"/>
    <col min="25" max="25" width="12.4609375" bestFit="1" customWidth="1"/>
    <col min="26" max="26" width="18.69140625" bestFit="1" customWidth="1"/>
    <col min="27" max="28" width="15.23046875" bestFit="1" customWidth="1"/>
  </cols>
  <sheetData>
    <row r="1" spans="1:28" x14ac:dyDescent="0.5">
      <c r="A1" s="476" t="s">
        <v>1032</v>
      </c>
      <c r="B1" s="477"/>
      <c r="C1" s="478"/>
    </row>
    <row r="2" spans="1:28" ht="17.5" thickBot="1" x14ac:dyDescent="0.55000000000000004">
      <c r="A2" s="479"/>
      <c r="B2" s="480"/>
      <c r="C2" s="481"/>
    </row>
    <row r="4" spans="1:28" ht="17.5" thickBot="1" x14ac:dyDescent="0.55000000000000004">
      <c r="A4" s="520"/>
      <c r="B4" s="520"/>
      <c r="C4" s="520"/>
      <c r="D4" s="520"/>
      <c r="E4" s="520"/>
      <c r="F4" s="520"/>
      <c r="G4" s="520"/>
      <c r="H4" s="520"/>
      <c r="I4" s="428" t="s">
        <v>203</v>
      </c>
      <c r="J4" s="518" t="s">
        <v>13</v>
      </c>
      <c r="K4" s="518"/>
      <c r="L4" s="518"/>
      <c r="M4" s="518"/>
      <c r="N4" s="518"/>
      <c r="O4" s="518"/>
      <c r="P4" s="519" t="s">
        <v>4</v>
      </c>
      <c r="Q4" s="519"/>
      <c r="R4" s="519"/>
      <c r="S4" s="519"/>
      <c r="T4" s="519"/>
      <c r="U4" s="519"/>
      <c r="V4" s="519"/>
      <c r="W4" s="519"/>
      <c r="X4" s="519"/>
      <c r="Y4" s="502" t="s">
        <v>1057</v>
      </c>
      <c r="Z4" s="502"/>
      <c r="AA4" s="502"/>
      <c r="AB4" s="502"/>
    </row>
    <row r="5" spans="1:28" s="5" customFormat="1" ht="74.25" customHeight="1" thickBot="1" x14ac:dyDescent="0.55000000000000004">
      <c r="A5" s="16" t="s">
        <v>5</v>
      </c>
      <c r="B5" s="16" t="s">
        <v>751</v>
      </c>
      <c r="C5" s="16" t="s">
        <v>378</v>
      </c>
      <c r="D5" s="25" t="s">
        <v>1069</v>
      </c>
      <c r="E5" s="16" t="s">
        <v>619</v>
      </c>
      <c r="F5" s="171" t="s">
        <v>140</v>
      </c>
      <c r="G5" s="16" t="s">
        <v>775</v>
      </c>
      <c r="H5" s="16" t="s">
        <v>397</v>
      </c>
      <c r="I5" s="16" t="s">
        <v>494</v>
      </c>
      <c r="J5" s="16" t="s">
        <v>404</v>
      </c>
      <c r="K5" s="16" t="s">
        <v>626</v>
      </c>
      <c r="L5" s="16" t="s">
        <v>405</v>
      </c>
      <c r="M5" s="16" t="s">
        <v>406</v>
      </c>
      <c r="N5" s="16" t="s">
        <v>409</v>
      </c>
      <c r="O5" s="16" t="s">
        <v>449</v>
      </c>
      <c r="P5" s="16" t="s">
        <v>412</v>
      </c>
      <c r="Q5" s="16" t="s">
        <v>606</v>
      </c>
      <c r="R5" s="16" t="s">
        <v>6</v>
      </c>
      <c r="S5" s="16" t="s">
        <v>607</v>
      </c>
      <c r="T5" s="171" t="s">
        <v>387</v>
      </c>
      <c r="U5" s="171" t="s">
        <v>389</v>
      </c>
      <c r="V5" s="171" t="s">
        <v>388</v>
      </c>
      <c r="W5" s="171" t="s">
        <v>443</v>
      </c>
      <c r="X5" s="171" t="s">
        <v>984</v>
      </c>
      <c r="Y5" s="16" t="s">
        <v>1064</v>
      </c>
      <c r="Z5" s="16" t="s">
        <v>1065</v>
      </c>
      <c r="AA5" s="16" t="s">
        <v>1066</v>
      </c>
      <c r="AB5" s="16" t="s">
        <v>1067</v>
      </c>
    </row>
    <row r="6" spans="1:28" x14ac:dyDescent="0.5">
      <c r="A6" s="2" t="str">
        <f>INDEX(Technologieën[Veld],MATCH(B6,Technologieën[Digitale zorgtoepassing],0))</f>
        <v>Digitale hulpmiddelen - Verpleging</v>
      </c>
      <c r="B6" s="33" t="s">
        <v>58</v>
      </c>
      <c r="C6" s="33" t="s">
        <v>59</v>
      </c>
      <c r="D6" s="444" cm="1">
        <f t="array" ref="D6">INDEX(Berekening_patiëntaantal[Percentage van patiëntaantallen in Wlz (overige is Zvw)],MATCH(B6,IF(Berekening_patiëntaantal[Doelgroep (zoeksleutel)]=C6,Berekening_patiëntaantal[Digitale zorgtoepassing]),0))</f>
        <v>0.45</v>
      </c>
      <c r="E6" s="33" t="str" cm="1">
        <f t="array" ref="E6">INDEX(Berekening_patiëntaantal[Direct toepasbaar/extrapolatie/incidentie voor QALY],MATCH(B6,IF(Berekening_patiëntaantal[Doelgroep (zoeksleutel)]=C6,Berekening_patiëntaantal[Digitale zorgtoepassing]),0))</f>
        <v>Huidige toepassing</v>
      </c>
      <c r="F6" s="33" t="s">
        <v>144</v>
      </c>
      <c r="G6" s="33" t="s">
        <v>391</v>
      </c>
      <c r="H6" s="135">
        <f>INDEX(Uurloon[Uurtarief zorgpersoneel],MATCH(F6,Uurloon[Zorgverlener],0))</f>
        <v>20.410632183908046</v>
      </c>
      <c r="I6" s="411">
        <f>SUMIFS(Berekening_patiëntaantal[Patiëntaantallen],Berekening_patiëntaantal[Doelgroep (zoeksleutel)],C6,Berekening_patiëntaantal[Digitale zorgtoepassing],B6)</f>
        <v>150000</v>
      </c>
      <c r="J6" s="397">
        <f>IFERROR(AVERAGEIFS(uniforme_input[Tijdsbesparing (min/week/patiënt)],uniforme_input[Doelgroep],C6,uniforme_input[Digitale zorgtoepassing],B6,uniforme_input[Tijdsbesparing (min/week/patiënt)],"&gt; 0")*(Berekening_impact[[#This Row],[Patiëntaantal (direct toepasbaar/extrapolatie)]])/60,0)</f>
        <v>17500</v>
      </c>
      <c r="K6" s="397">
        <f>IFERROR(AVERAGEIFS(uniforme_input[Tijdsbesparing (min/handeling)],uniforme_input[Doelgroep],C6,uniforme_input[Digitale zorgtoepassing],B6,uniforme_input[Tijdsbesparing (min/handeling)],"&gt; 0")*(Berekening_impact[[#This Row],[Patiëntaantal (direct toepasbaar/extrapolatie)]])/60,0)/52</f>
        <v>0</v>
      </c>
      <c r="L6" s="397">
        <f t="shared" ref="L6:L9" si="0">($J6/40)+($K6/40)</f>
        <v>437.5</v>
      </c>
      <c r="M6" s="412">
        <f t="shared" ref="M6:M9" si="1">IF($J6*H6&gt;0,$J6*H6,K6*H6)*52</f>
        <v>18573675.287356321</v>
      </c>
      <c r="N6" s="412">
        <f>IFERROR(AVERAGEIFS(uniforme_input[Overige kostenbesparing (€/jaar/patiënt)],uniforme_input[Doelgroep],C6,uniforme_input[Digitale zorgtoepassing],B6,uniforme_input[Overige kostenbesparing (€/jaar/patiënt)],"&gt;0")*Berekening_impact[[#This Row],[Patiëntaantal (direct toepasbaar/extrapolatie)]],0)</f>
        <v>11357408.852290273</v>
      </c>
      <c r="O6" s="412" cm="1">
        <f t="array" ref="O6">IFERROR(AVERAGEIFS(uniforme_input[QALY per patiënt],uniforme_input[Doelgroep],C6,uniforme_input[Digitale zorgtoepassing],B6,uniforme_input[QALY per patiënt],"&gt;0")*Berekening_impact[[#This Row],[Patiëntaantal (direct toepasbaar/extrapolatie)]]*QALY[Waarde gezond levensjaar],0)</f>
        <v>0</v>
      </c>
      <c r="P6" s="412">
        <f>IFERROR((AVERAGEIFS(uniforme_input[Jaarlijkse kosten per patiënt totaal],uniforme_input[Digitale zorgtoepassing],B6,uniforme_input[Doelgroep],C6,uniforme_input[Bron gebruiken voor kosten/investering?],"Ja"))*I6,0)</f>
        <v>28709999.999999996</v>
      </c>
      <c r="Q6" s="412">
        <f>Berekening_impact[[#This Row],[Jaarlijkse kosten (totaal)]]+Berekening_impact[[#This Row],[Schatting kosten (€)]]</f>
        <v>28709999.999999996</v>
      </c>
      <c r="R6" s="412">
        <f>IFERROR((AVERAGEIFS(uniforme_input[Intiële investering per patiënt totaal],uniforme_input[Digitale zorgtoepassing],B6,uniforme_input[Doelgroep],C6,uniforme_input[Bron gebruiken voor kosten/investering?],"Ja",uniforme_input[Direct toepasbaar/extrapolatie/incidentie voor QALY],"&lt;&gt;Extrapolatie"))*I6,0)</f>
        <v>11992500</v>
      </c>
      <c r="S6" s="412">
        <f>Berekening_impact[[#This Row],[Initiële investering]]+Berekening_impact[[#This Row],[Schatting investering (€)]]</f>
        <v>11992500</v>
      </c>
      <c r="T6" s="443" t="s">
        <v>390</v>
      </c>
      <c r="U6" s="443" t="s">
        <v>390</v>
      </c>
      <c r="V6" s="398">
        <f>IF(Berekening_impact[[#This Row],[Kosten schatten?]] = "Ja", (Berekening_impact[[#This Row],[Totaal arbeidsbesparing (€/jaar)]]+Berekening_impact[[#This Row],[Overige kostenbesparing (totaal/jaar totaal potentieel)]])*INDEX(schatting_kosten[Verhouding kosten/omzet],MATCH(A6,schatting_kosten[Veld],0)),0)</f>
        <v>0</v>
      </c>
      <c r="W6"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6" s="286" t="s">
        <v>391</v>
      </c>
      <c r="Y6" s="130">
        <f>Berekening_impact[[#This Row],[Totaal arbeidsbesparing (€/jaar)]]*Berekening_impact[[#This Row],[Percentage van patiëntaantallen in Wlz (overige is Zvw)]]</f>
        <v>8358153.8793103443</v>
      </c>
      <c r="Z6" s="130">
        <f>Berekening_impact[[#This Row],[Overige kostenbesparing (totaal/jaar totaal potentieel)]]*Berekening_impact[[#This Row],[Percentage van patiëntaantallen in Wlz (overige is Zvw)]]</f>
        <v>5110833.9835306229</v>
      </c>
      <c r="AA6" s="130">
        <f>Berekening_impact[[#This Row],[Jaarlijkse kosten (totaal) - incl. schatting]]*Berekening_impact[[#This Row],[Percentage van patiëntaantallen in Wlz (overige is Zvw)]]</f>
        <v>12919499.999999998</v>
      </c>
      <c r="AB6" s="130">
        <f>Berekening_impact[[#This Row],[Initiële investering (totaal) - incl. schatting]]*Berekening_impact[[#This Row],[Percentage van patiëntaantallen in Wlz (overige is Zvw)]]</f>
        <v>5396625</v>
      </c>
    </row>
    <row r="7" spans="1:28" x14ac:dyDescent="0.5">
      <c r="A7" s="2" t="str">
        <f>INDEX(Technologieën[Veld],MATCH(B7,Technologieën[Digitale zorgtoepassing],0))</f>
        <v>Digitale hulpmiddelen - Verpleging</v>
      </c>
      <c r="B7" s="33" t="s">
        <v>105</v>
      </c>
      <c r="C7" s="33" t="s">
        <v>106</v>
      </c>
      <c r="D7" s="444" cm="1">
        <f t="array" ref="D7">INDEX(Berekening_patiëntaantal[Percentage van patiëntaantallen in Wlz (overige is Zvw)],MATCH(B7,IF(Berekening_patiëntaantal[Doelgroep (zoeksleutel)]=C7,Berekening_patiëntaantal[Digitale zorgtoepassing]),0))</f>
        <v>1</v>
      </c>
      <c r="E7" s="33" t="str" cm="1">
        <f t="array" ref="E7">INDEX(Berekening_patiëntaantal[Direct toepasbaar/extrapolatie/incidentie voor QALY],MATCH(B7,IF(Berekening_patiëntaantal[Doelgroep (zoeksleutel)]=C7,Berekening_patiëntaantal[Digitale zorgtoepassing]),0))</f>
        <v>Huidige toepassing</v>
      </c>
      <c r="F7" s="33" t="s">
        <v>148</v>
      </c>
      <c r="G7" s="33" t="s">
        <v>776</v>
      </c>
      <c r="H7" s="135">
        <f>INDEX(Uurloon[Uurtarief zorgpersoneel],MATCH(F7,Uurloon[Zorgverlener],0))</f>
        <v>27.740086206896557</v>
      </c>
      <c r="I7" s="411">
        <f>SUMIFS(Berekening_patiëntaantal[Patiëntaantallen],Berekening_patiëntaantal[Doelgroep (zoeksleutel)],C7,Berekening_patiëntaantal[Digitale zorgtoepassing],B7)</f>
        <v>308.94000000000005</v>
      </c>
      <c r="J7" s="397">
        <f>IFERROR(AVERAGEIFS(uniforme_input[Tijdsbesparing (min/week/patiënt)],uniforme_input[Doelgroep],C7,uniforme_input[Digitale zorgtoepassing],B7,uniforme_input[Tijdsbesparing (min/week/patiënt)],"&gt; 0")*(Berekening_impact[[#This Row],[Patiëntaantal (direct toepasbaar/extrapolatie)]])/60,0)</f>
        <v>3682.5648000000001</v>
      </c>
      <c r="K7" s="397">
        <f>IFERROR(AVERAGEIFS(uniforme_input[Tijdsbesparing (min/handeling)],uniforme_input[Doelgroep],C7,uniforme_input[Digitale zorgtoepassing],B7,uniforme_input[Tijdsbesparing (min/handeling)],"&gt; 0")*(Berekening_impact[[#This Row],[Patiëntaantal (direct toepasbaar/extrapolatie)]])/60,0)/52</f>
        <v>0</v>
      </c>
      <c r="L7" s="397">
        <f t="shared" si="0"/>
        <v>92.064120000000003</v>
      </c>
      <c r="M7" s="412">
        <f t="shared" si="1"/>
        <v>5312042.5807531038</v>
      </c>
      <c r="N7" s="412">
        <f>IFERROR(AVERAGEIFS(uniforme_input[Overige kostenbesparing (€/jaar/patiënt)],uniforme_input[Doelgroep],C7,uniforme_input[Digitale zorgtoepassing],B7,uniforme_input[Overige kostenbesparing (€/jaar/patiënt)],"&gt;0")*Berekening_impact[[#This Row],[Patiëntaantal (direct toepasbaar/extrapolatie)]],0)</f>
        <v>0</v>
      </c>
      <c r="O7" s="412" cm="1">
        <f t="array" ref="O7">IFERROR(AVERAGEIFS(uniforme_input[QALY per patiënt],uniforme_input[Doelgroep],C7,uniforme_input[Digitale zorgtoepassing],B7,uniforme_input[QALY per patiënt],"&gt;0")*Berekening_impact[[#This Row],[Patiëntaantal (direct toepasbaar/extrapolatie)]]*QALY[Waarde gezond levensjaar],0)</f>
        <v>0</v>
      </c>
      <c r="P7" s="412">
        <f>IFERROR((AVERAGEIFS(uniforme_input[Jaarlijkse kosten per patiënt totaal],uniforme_input[Digitale zorgtoepassing],B7,uniforme_input[Doelgroep],C7,uniforme_input[Bron gebruiken voor kosten/investering?],"Ja"))*I7,0)</f>
        <v>0</v>
      </c>
      <c r="Q7" s="412">
        <f>Berekening_impact[[#This Row],[Jaarlijkse kosten (totaal)]]+Berekening_impact[[#This Row],[Schatting kosten (€)]]</f>
        <v>0</v>
      </c>
      <c r="R7" s="412">
        <f>IFERROR((AVERAGEIFS(uniforme_input[Intiële investering per patiënt totaal],uniforme_input[Digitale zorgtoepassing],B7,uniforme_input[Doelgroep],C7,uniforme_input[Bron gebruiken voor kosten/investering?],"Ja",uniforme_input[Direct toepasbaar/extrapolatie/incidentie voor QALY],"&lt;&gt;Extrapolatie"))*I7,0)</f>
        <v>1390230.0000000002</v>
      </c>
      <c r="S7" s="412">
        <f>Berekening_impact[[#This Row],[Initiële investering]]+Berekening_impact[[#This Row],[Schatting investering (€)]]</f>
        <v>1390230.0000000002</v>
      </c>
      <c r="T7" s="443" t="s">
        <v>390</v>
      </c>
      <c r="U7" s="443" t="s">
        <v>390</v>
      </c>
      <c r="V7" s="398">
        <f>IF(Berekening_impact[[#This Row],[Kosten schatten?]] = "Ja", (Berekening_impact[[#This Row],[Totaal arbeidsbesparing (€/jaar)]]+Berekening_impact[[#This Row],[Overige kostenbesparing (totaal/jaar totaal potentieel)]])*INDEX(schatting_kosten[Verhouding kosten/omzet],MATCH(A7,schatting_kosten[Veld],0)),0)</f>
        <v>0</v>
      </c>
      <c r="W7"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7" s="286" t="s">
        <v>390</v>
      </c>
      <c r="Y7" s="130">
        <f>Berekening_impact[[#This Row],[Totaal arbeidsbesparing (€/jaar)]]*Berekening_impact[[#This Row],[Percentage van patiëntaantallen in Wlz (overige is Zvw)]]</f>
        <v>5312042.5807531038</v>
      </c>
      <c r="Z7" s="130">
        <f>Berekening_impact[[#This Row],[Overige kostenbesparing (totaal/jaar totaal potentieel)]]*Berekening_impact[[#This Row],[Percentage van patiëntaantallen in Wlz (overige is Zvw)]]</f>
        <v>0</v>
      </c>
      <c r="AA7" s="130">
        <f>Berekening_impact[[#This Row],[Jaarlijkse kosten (totaal) - incl. schatting]]*Berekening_impact[[#This Row],[Percentage van patiëntaantallen in Wlz (overige is Zvw)]]</f>
        <v>0</v>
      </c>
      <c r="AB7" s="130">
        <f>Berekening_impact[[#This Row],[Initiële investering (totaal) - incl. schatting]]*Berekening_impact[[#This Row],[Percentage van patiëntaantallen in Wlz (overige is Zvw)]]</f>
        <v>1390230.0000000002</v>
      </c>
    </row>
    <row r="8" spans="1:28" x14ac:dyDescent="0.5">
      <c r="A8" s="2" t="str">
        <f>INDEX(Technologieën[Veld],MATCH(B8,Technologieën[Digitale zorgtoepassing],0))</f>
        <v>Digitale hulpmiddelen - Verpleging</v>
      </c>
      <c r="B8" s="33" t="s">
        <v>32</v>
      </c>
      <c r="C8" s="33" t="s">
        <v>33</v>
      </c>
      <c r="D8" s="444" cm="1">
        <f t="array" ref="D8">INDEX(Berekening_patiëntaantal[Percentage van patiëntaantallen in Wlz (overige is Zvw)],MATCH(B8,IF(Berekening_patiëntaantal[Doelgroep (zoeksleutel)]=C8,Berekening_patiëntaantal[Digitale zorgtoepassing]),0))</f>
        <v>1</v>
      </c>
      <c r="E8" s="33" t="str" cm="1">
        <f t="array" ref="E8">INDEX(Berekening_patiëntaantal[Direct toepasbaar/extrapolatie/incidentie voor QALY],MATCH(B8,IF(Berekening_patiëntaantal[Doelgroep (zoeksleutel)]=C8,Berekening_patiëntaantal[Digitale zorgtoepassing]),0))</f>
        <v>Huidige toepassing</v>
      </c>
      <c r="F8" s="33" t="s">
        <v>144</v>
      </c>
      <c r="G8" s="33" t="s">
        <v>391</v>
      </c>
      <c r="H8" s="135">
        <f>INDEX(Uurloon[Uurtarief zorgpersoneel],MATCH(F8,Uurloon[Zorgverlener],0))</f>
        <v>20.410632183908046</v>
      </c>
      <c r="I8" s="411">
        <f>SUMIFS(Berekening_patiëntaantal[Patiëntaantallen],Berekening_patiëntaantal[Doelgroep (zoeksleutel)],C8,Berekening_patiëntaantal[Digitale zorgtoepassing],B8)</f>
        <v>9200</v>
      </c>
      <c r="J8" s="397">
        <f>IFERROR(AVERAGEIFS(uniforme_input[Tijdsbesparing (min/week/patiënt)],uniforme_input[Doelgroep],C8,uniforme_input[Digitale zorgtoepassing],B8,uniforme_input[Tijdsbesparing (min/week/patiënt)],"&gt; 0")*(Berekening_impact[[#This Row],[Patiëntaantal (direct toepasbaar/extrapolatie)]])/60,0)</f>
        <v>22057.673642767899</v>
      </c>
      <c r="K8" s="397">
        <f>IFERROR(AVERAGEIFS(uniforme_input[Tijdsbesparing (min/handeling)],uniforme_input[Doelgroep],C8,uniforme_input[Digitale zorgtoepassing],B8,uniforme_input[Tijdsbesparing (min/handeling)],"&gt; 0")*(Berekening_impact[[#This Row],[Patiëntaantal (direct toepasbaar/extrapolatie)]])/60,0)/52</f>
        <v>0</v>
      </c>
      <c r="L8" s="397">
        <f t="shared" si="0"/>
        <v>551.44184106919749</v>
      </c>
      <c r="M8" s="412">
        <f t="shared" si="1"/>
        <v>23410975.304871373</v>
      </c>
      <c r="N8" s="412">
        <f>IFERROR(AVERAGEIFS(uniforme_input[Overige kostenbesparing (€/jaar/patiënt)],uniforme_input[Doelgroep],C8,uniforme_input[Digitale zorgtoepassing],B8,uniforme_input[Overige kostenbesparing (€/jaar/patiënt)],"&gt;0")*Berekening_impact[[#This Row],[Patiëntaantal (direct toepasbaar/extrapolatie)]],0)</f>
        <v>8171880.6338169705</v>
      </c>
      <c r="O8" s="412" cm="1">
        <f t="array" ref="O8">IFERROR(AVERAGEIFS(uniforme_input[QALY per patiënt],uniforme_input[Doelgroep],C8,uniforme_input[Digitale zorgtoepassing],B8,uniforme_input[QALY per patiënt],"&gt;0")*Berekening_impact[[#This Row],[Patiëntaantal (direct toepasbaar/extrapolatie)]]*QALY[Waarde gezond levensjaar],0)</f>
        <v>0</v>
      </c>
      <c r="P8" s="412">
        <f>IFERROR((AVERAGEIFS(uniforme_input[Jaarlijkse kosten per patiënt totaal],uniforme_input[Digitale zorgtoepassing],B8,uniforme_input[Doelgroep],C8,uniforme_input[Bron gebruiken voor kosten/investering?],"Ja"))*I8,0)</f>
        <v>13140140.952380951</v>
      </c>
      <c r="Q8" s="412">
        <f>Berekening_impact[[#This Row],[Jaarlijkse kosten (totaal)]]+Berekening_impact[[#This Row],[Schatting kosten (€)]]</f>
        <v>13140140.952380951</v>
      </c>
      <c r="R8" s="412">
        <f>IFERROR((AVERAGEIFS(uniforme_input[Intiële investering per patiënt totaal],uniforme_input[Digitale zorgtoepassing],B8,uniforme_input[Doelgroep],C8,uniforme_input[Bron gebruiken voor kosten/investering?],"Ja",uniforme_input[Direct toepasbaar/extrapolatie/incidentie voor QALY],"&lt;&gt;Extrapolatie"))*I8,0)</f>
        <v>2214359.6825396824</v>
      </c>
      <c r="S8" s="412">
        <f>Berekening_impact[[#This Row],[Initiële investering]]+Berekening_impact[[#This Row],[Schatting investering (€)]]</f>
        <v>2214359.6825396824</v>
      </c>
      <c r="T8" s="443" t="s">
        <v>390</v>
      </c>
      <c r="U8" s="443" t="s">
        <v>390</v>
      </c>
      <c r="V8" s="398">
        <f>IF(Berekening_impact[[#This Row],[Kosten schatten?]] = "Ja", (Berekening_impact[[#This Row],[Totaal arbeidsbesparing (€/jaar)]]+Berekening_impact[[#This Row],[Overige kostenbesparing (totaal/jaar totaal potentieel)]])*INDEX(schatting_kosten[Verhouding kosten/omzet],MATCH(A8,schatting_kosten[Veld],0)),0)</f>
        <v>0</v>
      </c>
      <c r="W8"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8" s="286" t="s">
        <v>391</v>
      </c>
      <c r="Y8" s="130">
        <f>Berekening_impact[[#This Row],[Totaal arbeidsbesparing (€/jaar)]]*Berekening_impact[[#This Row],[Percentage van patiëntaantallen in Wlz (overige is Zvw)]]</f>
        <v>23410975.304871373</v>
      </c>
      <c r="Z8" s="130">
        <f>Berekening_impact[[#This Row],[Overige kostenbesparing (totaal/jaar totaal potentieel)]]*Berekening_impact[[#This Row],[Percentage van patiëntaantallen in Wlz (overige is Zvw)]]</f>
        <v>8171880.6338169705</v>
      </c>
      <c r="AA8" s="130">
        <f>Berekening_impact[[#This Row],[Jaarlijkse kosten (totaal) - incl. schatting]]*Berekening_impact[[#This Row],[Percentage van patiëntaantallen in Wlz (overige is Zvw)]]</f>
        <v>13140140.952380951</v>
      </c>
      <c r="AB8" s="130">
        <f>Berekening_impact[[#This Row],[Initiële investering (totaal) - incl. schatting]]*Berekening_impact[[#This Row],[Percentage van patiëntaantallen in Wlz (overige is Zvw)]]</f>
        <v>2214359.6825396824</v>
      </c>
    </row>
    <row r="9" spans="1:28" x14ac:dyDescent="0.5">
      <c r="A9" s="2" t="str">
        <f>INDEX(Technologieën[Veld],MATCH(B9,Technologieën[Digitale zorgtoepassing],0))</f>
        <v>Digitale hulpmiddelen - Verpleging</v>
      </c>
      <c r="B9" s="33" t="s">
        <v>32</v>
      </c>
      <c r="C9" s="33" t="s">
        <v>602</v>
      </c>
      <c r="D9" s="444" cm="1">
        <f t="array" ref="D9">INDEX(Berekening_patiëntaantal[Percentage van patiëntaantallen in Wlz (overige is Zvw)],MATCH(B9,IF(Berekening_patiëntaantal[Doelgroep (zoeksleutel)]=C9,Berekening_patiëntaantal[Digitale zorgtoepassing]),0))</f>
        <v>0</v>
      </c>
      <c r="E9" s="33" t="str" cm="1">
        <f t="array" ref="E9">INDEX(Berekening_patiëntaantal[Direct toepasbaar/extrapolatie/incidentie voor QALY],MATCH(B9,IF(Berekening_patiëntaantal[Doelgroep (zoeksleutel)]=C9,Berekening_patiëntaantal[Digitale zorgtoepassing]),0))</f>
        <v>Incidentie voor QALY</v>
      </c>
      <c r="F9" s="33" t="s">
        <v>144</v>
      </c>
      <c r="G9" s="33" t="s">
        <v>391</v>
      </c>
      <c r="H9" s="135">
        <f>INDEX(Uurloon[Uurtarief zorgpersoneel],MATCH(F9,Uurloon[Zorgverlener],0))</f>
        <v>20.410632183908046</v>
      </c>
      <c r="I9" s="411">
        <f>SUMIFS(Berekening_patiëntaantal[Patiëntaantallen],Berekening_patiëntaantal[Doelgroep (zoeksleutel)],C9,Berekening_patiëntaantal[Digitale zorgtoepassing],B9)</f>
        <v>6750</v>
      </c>
      <c r="J9" s="397">
        <f>IFERROR(AVERAGEIFS(uniforme_input[Tijdsbesparing (min/week/patiënt)],uniforme_input[Doelgroep],C9,uniforme_input[Digitale zorgtoepassing],B9,uniforme_input[Tijdsbesparing (min/week/patiënt)],"&gt; 0")*(Berekening_impact[[#This Row],[Patiëntaantal (direct toepasbaar/extrapolatie)]])/60,0)</f>
        <v>0</v>
      </c>
      <c r="K9" s="397">
        <f>IFERROR(AVERAGEIFS(uniforme_input[Tijdsbesparing (min/handeling)],uniforme_input[Doelgroep],C9,uniforme_input[Digitale zorgtoepassing],B9,uniforme_input[Tijdsbesparing (min/handeling)],"&gt; 0")*(Berekening_impact[[#This Row],[Patiëntaantal (direct toepasbaar/extrapolatie)]])/60,0)/52</f>
        <v>0</v>
      </c>
      <c r="L9" s="397">
        <f t="shared" si="0"/>
        <v>0</v>
      </c>
      <c r="M9" s="412">
        <f t="shared" si="1"/>
        <v>0</v>
      </c>
      <c r="N9" s="412">
        <f>IFERROR(AVERAGEIFS(uniforme_input[Overige kostenbesparing (€/jaar/patiënt)],uniforme_input[Doelgroep],C9,uniforme_input[Digitale zorgtoepassing],B9,uniforme_input[Overige kostenbesparing (€/jaar/patiënt)],"&gt;0")*Berekening_impact[[#This Row],[Patiëntaantal (direct toepasbaar/extrapolatie)]],0)</f>
        <v>0</v>
      </c>
      <c r="O9" s="412" cm="1">
        <f t="array" ref="O9">IFERROR(AVERAGEIFS(uniforme_input[QALY per patiënt],uniforme_input[Doelgroep],C9,uniforme_input[Digitale zorgtoepassing],B9,uniforme_input[QALY per patiënt],"&gt;0")*Berekening_impact[[#This Row],[Patiëntaantal (direct toepasbaar/extrapolatie)]]*QALY[Waarde gezond levensjaar],0)</f>
        <v>94500000.000000015</v>
      </c>
      <c r="P9" s="412">
        <f>IFERROR((AVERAGEIFS(uniforme_input[Jaarlijkse kosten per patiënt totaal],uniforme_input[Digitale zorgtoepassing],B9,uniforme_input[Doelgroep],C9,uniforme_input[Bron gebruiken voor kosten/investering?],"Ja"))*I9,0)</f>
        <v>0</v>
      </c>
      <c r="Q9" s="412">
        <f>Berekening_impact[[#This Row],[Jaarlijkse kosten (totaal)]]+Berekening_impact[[#This Row],[Schatting kosten (€)]]</f>
        <v>0</v>
      </c>
      <c r="R9" s="412">
        <f>IFERROR((AVERAGEIFS(uniforme_input[Intiële investering per patiënt totaal],uniforme_input[Digitale zorgtoepassing],B9,uniforme_input[Doelgroep],C9,uniforme_input[Bron gebruiken voor kosten/investering?],"Ja",uniforme_input[Direct toepasbaar/extrapolatie/incidentie voor QALY],"&lt;&gt;Extrapolatie"))*I9,0)</f>
        <v>0</v>
      </c>
      <c r="S9" s="412">
        <f>Berekening_impact[[#This Row],[Initiële investering]]+Berekening_impact[[#This Row],[Schatting investering (€)]]</f>
        <v>0</v>
      </c>
      <c r="T9" s="443" t="s">
        <v>390</v>
      </c>
      <c r="U9" s="443" t="s">
        <v>390</v>
      </c>
      <c r="V9" s="398">
        <f>IF(Berekening_impact[[#This Row],[Kosten schatten?]] = "Ja", (Berekening_impact[[#This Row],[Totaal arbeidsbesparing (€/jaar)]]+Berekening_impact[[#This Row],[Overige kostenbesparing (totaal/jaar totaal potentieel)]])*INDEX(schatting_kosten[Verhouding kosten/omzet],MATCH(A9,schatting_kosten[Veld],0)),0)</f>
        <v>0</v>
      </c>
      <c r="W9"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9" s="286" t="s">
        <v>390</v>
      </c>
      <c r="Y9" s="130">
        <f>Berekening_impact[[#This Row],[Totaal arbeidsbesparing (€/jaar)]]*Berekening_impact[[#This Row],[Percentage van patiëntaantallen in Wlz (overige is Zvw)]]</f>
        <v>0</v>
      </c>
      <c r="Z9" s="130">
        <f>Berekening_impact[[#This Row],[Overige kostenbesparing (totaal/jaar totaal potentieel)]]*Berekening_impact[[#This Row],[Percentage van patiëntaantallen in Wlz (overige is Zvw)]]</f>
        <v>0</v>
      </c>
      <c r="AA9" s="130">
        <f>Berekening_impact[[#This Row],[Jaarlijkse kosten (totaal) - incl. schatting]]*Berekening_impact[[#This Row],[Percentage van patiëntaantallen in Wlz (overige is Zvw)]]</f>
        <v>0</v>
      </c>
      <c r="AB9" s="130">
        <f>Berekening_impact[[#This Row],[Initiële investering (totaal) - incl. schatting]]*Berekening_impact[[#This Row],[Percentage van patiëntaantallen in Wlz (overige is Zvw)]]</f>
        <v>0</v>
      </c>
    </row>
    <row r="10" spans="1:28" x14ac:dyDescent="0.5">
      <c r="A10" s="2" t="str">
        <f>INDEX(Technologieën[Veld],MATCH(B10,Technologieën[Digitale zorgtoepassing],0))</f>
        <v>Software - Behandeling</v>
      </c>
      <c r="B10" s="33" t="s">
        <v>609</v>
      </c>
      <c r="C10" s="33" t="s">
        <v>597</v>
      </c>
      <c r="D10" s="444" cm="1">
        <f t="array" ref="D10">INDEX(Berekening_patiëntaantal[Percentage van patiëntaantallen in Wlz (overige is Zvw)],MATCH(B10,IF(Berekening_patiëntaantal[Doelgroep (zoeksleutel)]=C10,Berekening_patiëntaantal[Digitale zorgtoepassing]),0))</f>
        <v>0</v>
      </c>
      <c r="E10" s="33" t="str" cm="1">
        <f t="array" ref="E10">INDEX(Berekening_patiëntaantal[Direct toepasbaar/extrapolatie/incidentie voor QALY],MATCH(B10,IF(Berekening_patiëntaantal[Doelgroep (zoeksleutel)]=C10,Berekening_patiëntaantal[Digitale zorgtoepassing]),0))</f>
        <v>Extrapolatie</v>
      </c>
      <c r="F10" s="33" t="s">
        <v>148</v>
      </c>
      <c r="G10" s="33" t="s">
        <v>391</v>
      </c>
      <c r="H10" s="135">
        <f>INDEX(Uurloon[Uurtarief zorgpersoneel],MATCH(F10,Uurloon[Zorgverlener],0))</f>
        <v>27.740086206896557</v>
      </c>
      <c r="I10" s="411">
        <f>SUMIFS(Berekening_patiëntaantal[Patiëntaantallen],Berekening_patiëntaantal[Doelgroep (zoeksleutel)],C10,Berekening_patiëntaantal[Digitale zorgtoepassing],B10)</f>
        <v>371952</v>
      </c>
      <c r="J10" s="397">
        <f>IFERROR(AVERAGEIFS(uniforme_input[Tijdsbesparing (min/week/patiënt)],uniforme_input[Doelgroep],C10,uniforme_input[Digitale zorgtoepassing],B10,uniforme_input[Tijdsbesparing (min/week/patiënt)],"&gt; 0")*(Berekening_impact[[#This Row],[Patiëntaantal (direct toepasbaar/extrapolatie)]])/60,0)</f>
        <v>108779.90047320403</v>
      </c>
      <c r="K10" s="397">
        <f>IFERROR(AVERAGEIFS(uniforme_input[Tijdsbesparing (min/handeling)],uniforme_input[Doelgroep],C10,uniforme_input[Digitale zorgtoepassing],B10,uniforme_input[Tijdsbesparing (min/handeling)],"&gt; 0")*(Berekening_impact[[#This Row],[Patiëntaantal (direct toepasbaar/extrapolatie)]])/60,0)/52</f>
        <v>0</v>
      </c>
      <c r="L10" s="397">
        <f t="shared" ref="L10:L41" si="2">($J10/40)+($K10/40)</f>
        <v>2719.4975118301008</v>
      </c>
      <c r="M10" s="412">
        <f t="shared" ref="M10:M41" si="3">IF($J10*H10&gt;0,$J10*H10,K10*H10)*52</f>
        <v>156913318.46862397</v>
      </c>
      <c r="N10" s="412">
        <f>IFERROR(AVERAGEIFS(uniforme_input[Overige kostenbesparing (€/jaar/patiënt)],uniforme_input[Doelgroep],C10,uniforme_input[Digitale zorgtoepassing],B10,uniforme_input[Overige kostenbesparing (€/jaar/patiënt)],"&gt;0")*Berekening_impact[[#This Row],[Patiëntaantal (direct toepasbaar/extrapolatie)]],0)</f>
        <v>49949671.065066673</v>
      </c>
      <c r="O10" s="412" cm="1">
        <f t="array" ref="O10">IFERROR(AVERAGEIFS(uniforme_input[QALY per patiënt],uniforme_input[Doelgroep],C10,uniforme_input[Digitale zorgtoepassing],B10,uniforme_input[QALY per patiënt],"&gt;0")*Berekening_impact[[#This Row],[Patiëntaantal (direct toepasbaar/extrapolatie)]]*QALY[Waarde gezond levensjaar],0)</f>
        <v>580341314.48275852</v>
      </c>
      <c r="P10" s="412">
        <f>IFERROR((AVERAGEIFS(uniforme_input[Jaarlijkse kosten per patiënt totaal],uniforme_input[Digitale zorgtoepassing],B10,uniforme_input[Doelgroep],C10,uniforme_input[Bron gebruiken voor kosten/investering?],"Ja"))*I10,0)</f>
        <v>163794270.52799997</v>
      </c>
      <c r="Q10" s="412">
        <f>Berekening_impact[[#This Row],[Jaarlijkse kosten (totaal)]]+Berekening_impact[[#This Row],[Schatting kosten (€)]]</f>
        <v>163794270.52799997</v>
      </c>
      <c r="R10" s="412">
        <f>IFERROR((AVERAGEIFS(uniforme_input[Intiële investering per patiënt totaal],uniforme_input[Digitale zorgtoepassing],B10,uniforme_input[Doelgroep],C10,uniforme_input[Bron gebruiken voor kosten/investering?],"Ja",uniforme_input[Direct toepasbaar/extrapolatie/incidentie voor QALY],"&lt;&gt;Extrapolatie"))*I10,0)</f>
        <v>0</v>
      </c>
      <c r="S10" s="412">
        <f>Berekening_impact[[#This Row],[Initiële investering]]+Berekening_impact[[#This Row],[Schatting investering (€)]]</f>
        <v>0</v>
      </c>
      <c r="T10" s="443" t="s">
        <v>390</v>
      </c>
      <c r="U10" s="443" t="s">
        <v>390</v>
      </c>
      <c r="V10" s="398">
        <f>IF(Berekening_impact[[#This Row],[Kosten schatten?]] = "Ja", (Berekening_impact[[#This Row],[Totaal arbeidsbesparing (€/jaar)]]+Berekening_impact[[#This Row],[Overige kostenbesparing (totaal/jaar totaal potentieel)]])*INDEX(schatting_kosten[Verhouding kosten/omzet],MATCH(A10,schatting_kosten[Veld],0)),0)</f>
        <v>0</v>
      </c>
      <c r="W10"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10" s="286" t="s">
        <v>391</v>
      </c>
      <c r="Y10" s="130">
        <f>Berekening_impact[[#This Row],[Totaal arbeidsbesparing (€/jaar)]]*Berekening_impact[[#This Row],[Percentage van patiëntaantallen in Wlz (overige is Zvw)]]</f>
        <v>0</v>
      </c>
      <c r="Z10" s="130">
        <f>Berekening_impact[[#This Row],[Overige kostenbesparing (totaal/jaar totaal potentieel)]]*Berekening_impact[[#This Row],[Percentage van patiëntaantallen in Wlz (overige is Zvw)]]</f>
        <v>0</v>
      </c>
      <c r="AA10" s="130">
        <f>Berekening_impact[[#This Row],[Jaarlijkse kosten (totaal) - incl. schatting]]*Berekening_impact[[#This Row],[Percentage van patiëntaantallen in Wlz (overige is Zvw)]]</f>
        <v>0</v>
      </c>
      <c r="AB10" s="130">
        <f>Berekening_impact[[#This Row],[Initiële investering (totaal) - incl. schatting]]*Berekening_impact[[#This Row],[Percentage van patiëntaantallen in Wlz (overige is Zvw)]]</f>
        <v>0</v>
      </c>
    </row>
    <row r="11" spans="1:28" x14ac:dyDescent="0.5">
      <c r="A11" s="2" t="str">
        <f>INDEX(Technologieën[Veld],MATCH(B11,Technologieën[Digitale zorgtoepassing],0))</f>
        <v>Digitale hulpmiddelen - Verpleging</v>
      </c>
      <c r="B11" s="33" t="s">
        <v>26</v>
      </c>
      <c r="C11" s="33" t="s">
        <v>20</v>
      </c>
      <c r="D11" s="444" cm="1">
        <f t="array" ref="D11">INDEX(Berekening_patiëntaantal[Percentage van patiëntaantallen in Wlz (overige is Zvw)],MATCH(B11,IF(Berekening_patiëntaantal[Doelgroep (zoeksleutel)]=C11,Berekening_patiëntaantal[Digitale zorgtoepassing]),0))</f>
        <v>0.45</v>
      </c>
      <c r="E11" s="33" t="str" cm="1">
        <f t="array" ref="E11">INDEX(Berekening_patiëntaantal[Direct toepasbaar/extrapolatie/incidentie voor QALY],MATCH(B11,IF(Berekening_patiëntaantal[Doelgroep (zoeksleutel)]=C11,Berekening_patiëntaantal[Digitale zorgtoepassing]),0))</f>
        <v>Huidige toepassing</v>
      </c>
      <c r="F11" s="33" t="s">
        <v>142</v>
      </c>
      <c r="G11" s="33" t="s">
        <v>391</v>
      </c>
      <c r="H11" s="135">
        <f>INDEX(Uurloon[Uurtarief zorgpersoneel],MATCH(F11,Uurloon[Zorgverlener],0))</f>
        <v>25.33954022988506</v>
      </c>
      <c r="I11" s="411">
        <f>SUMIFS(Berekening_patiëntaantal[Patiëntaantallen],Berekening_patiëntaantal[Doelgroep (zoeksleutel)],C11,Berekening_patiëntaantal[Digitale zorgtoepassing],B11)</f>
        <v>42186.3</v>
      </c>
      <c r="J11" s="397">
        <f>IFERROR(AVERAGEIFS(uniforme_input[Tijdsbesparing (min/week/patiënt)],uniforme_input[Doelgroep],C11,uniforme_input[Digitale zorgtoepassing],B11,uniforme_input[Tijdsbesparing (min/week/patiënt)],"&gt; 0")*(Berekening_impact[[#This Row],[Patiëntaantal (direct toepasbaar/extrapolatie)]])/60,0)</f>
        <v>141311.10237328766</v>
      </c>
      <c r="K11" s="397">
        <f>IFERROR(AVERAGEIFS(uniforme_input[Tijdsbesparing (min/handeling)],uniforme_input[Doelgroep],C11,uniforme_input[Digitale zorgtoepassing],B11,uniforme_input[Tijdsbesparing (min/handeling)],"&gt; 0")*(Berekening_impact[[#This Row],[Patiëntaantal (direct toepasbaar/extrapolatie)]])/60,0)/52</f>
        <v>0</v>
      </c>
      <c r="L11" s="397">
        <f t="shared" si="2"/>
        <v>3532.7775593321917</v>
      </c>
      <c r="M11" s="412">
        <f t="shared" si="3"/>
        <v>186199434.90290111</v>
      </c>
      <c r="N11" s="412">
        <f>IFERROR(AVERAGEIFS(uniforme_input[Overige kostenbesparing (€/jaar/patiënt)],uniforme_input[Doelgroep],C11,uniforme_input[Digitale zorgtoepassing],B11,uniforme_input[Overige kostenbesparing (€/jaar/patiënt)],"&gt;0")*Berekening_impact[[#This Row],[Patiëntaantal (direct toepasbaar/extrapolatie)]],0)</f>
        <v>91710169.429787114</v>
      </c>
      <c r="O11" s="412" cm="1">
        <f t="array" ref="O11">IFERROR(AVERAGEIFS(uniforme_input[QALY per patiënt],uniforme_input[Doelgroep],C11,uniforme_input[Digitale zorgtoepassing],B11,uniforme_input[QALY per patiënt],"&gt;0")*Berekening_impact[[#This Row],[Patiëntaantal (direct toepasbaar/extrapolatie)]]*QALY[Waarde gezond levensjaar],0)</f>
        <v>0</v>
      </c>
      <c r="P11" s="412">
        <f>IFERROR((AVERAGEIFS(uniforme_input[Jaarlijkse kosten per patiënt totaal],uniforme_input[Digitale zorgtoepassing],B11,uniforme_input[Doelgroep],C11,uniforme_input[Bron gebruiken voor kosten/investering?],"Ja"))*I11,0)</f>
        <v>44695680.552231103</v>
      </c>
      <c r="Q11" s="412">
        <f>Berekening_impact[[#This Row],[Jaarlijkse kosten (totaal)]]+Berekening_impact[[#This Row],[Schatting kosten (€)]]</f>
        <v>44695680.552231103</v>
      </c>
      <c r="R11" s="412">
        <f>IFERROR((AVERAGEIFS(uniforme_input[Intiële investering per patiënt totaal],uniforme_input[Digitale zorgtoepassing],B11,uniforme_input[Doelgroep],C11,uniforme_input[Bron gebruiken voor kosten/investering?],"Ja",uniforme_input[Direct toepasbaar/extrapolatie/incidentie voor QALY],"&lt;&gt;Extrapolatie"))*I11,0)</f>
        <v>3705117.5267826091</v>
      </c>
      <c r="S11" s="412">
        <f>Berekening_impact[[#This Row],[Initiële investering]]+Berekening_impact[[#This Row],[Schatting investering (€)]]</f>
        <v>3705117.5267826091</v>
      </c>
      <c r="T11" s="443" t="s">
        <v>390</v>
      </c>
      <c r="U11" s="443" t="s">
        <v>390</v>
      </c>
      <c r="V11" s="398">
        <f>IF(Berekening_impact[[#This Row],[Kosten schatten?]] = "Ja", (Berekening_impact[[#This Row],[Totaal arbeidsbesparing (€/jaar)]]+Berekening_impact[[#This Row],[Overige kostenbesparing (totaal/jaar totaal potentieel)]])*INDEX(schatting_kosten[Verhouding kosten/omzet],MATCH(A11,schatting_kosten[Veld],0)),0)</f>
        <v>0</v>
      </c>
      <c r="W11"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11" s="286" t="s">
        <v>391</v>
      </c>
      <c r="Y11" s="130">
        <f>Berekening_impact[[#This Row],[Totaal arbeidsbesparing (€/jaar)]]*Berekening_impact[[#This Row],[Percentage van patiëntaantallen in Wlz (overige is Zvw)]]</f>
        <v>83789745.706305504</v>
      </c>
      <c r="Z11" s="130">
        <f>Berekening_impact[[#This Row],[Overige kostenbesparing (totaal/jaar totaal potentieel)]]*Berekening_impact[[#This Row],[Percentage van patiëntaantallen in Wlz (overige is Zvw)]]</f>
        <v>41269576.243404202</v>
      </c>
      <c r="AA11" s="130">
        <f>Berekening_impact[[#This Row],[Jaarlijkse kosten (totaal) - incl. schatting]]*Berekening_impact[[#This Row],[Percentage van patiëntaantallen in Wlz (overige is Zvw)]]</f>
        <v>20113056.248503998</v>
      </c>
      <c r="AB11" s="130">
        <f>Berekening_impact[[#This Row],[Initiële investering (totaal) - incl. schatting]]*Berekening_impact[[#This Row],[Percentage van patiëntaantallen in Wlz (overige is Zvw)]]</f>
        <v>1667302.8870521742</v>
      </c>
    </row>
    <row r="12" spans="1:28" x14ac:dyDescent="0.5">
      <c r="A12" s="2" t="str">
        <f>INDEX(Technologieën[Veld],MATCH(B12,Technologieën[Digitale zorgtoepassing],0))</f>
        <v>Digitale hulpmiddelen - Verpleging</v>
      </c>
      <c r="B12" s="33" t="s">
        <v>26</v>
      </c>
      <c r="C12" s="33" t="s">
        <v>27</v>
      </c>
      <c r="D12" s="444" cm="1">
        <f t="array" ref="D12">INDEX(Berekening_patiëntaantal[Percentage van patiëntaantallen in Wlz (overige is Zvw)],MATCH(B12,IF(Berekening_patiëntaantal[Doelgroep (zoeksleutel)]=C12,Berekening_patiëntaantal[Digitale zorgtoepassing]),0))</f>
        <v>1</v>
      </c>
      <c r="E12" s="33" t="str" cm="1">
        <f t="array" ref="E12">INDEX(Berekening_patiëntaantal[Direct toepasbaar/extrapolatie/incidentie voor QALY],MATCH(B12,IF(Berekening_patiëntaantal[Doelgroep (zoeksleutel)]=C12,Berekening_patiëntaantal[Digitale zorgtoepassing]),0))</f>
        <v>Huidige toepassing</v>
      </c>
      <c r="F12" s="33" t="s">
        <v>142</v>
      </c>
      <c r="G12" s="33" t="s">
        <v>391</v>
      </c>
      <c r="H12" s="135">
        <f>INDEX(Uurloon[Uurtarief zorgpersoneel],MATCH(F12,Uurloon[Zorgverlener],0))</f>
        <v>25.33954022988506</v>
      </c>
      <c r="I12" s="411">
        <f>SUMIFS(Berekening_patiëntaantal[Patiëntaantallen],Berekening_patiëntaantal[Doelgroep (zoeksleutel)],C12,Berekening_patiëntaantal[Digitale zorgtoepassing],B12)</f>
        <v>9839.4</v>
      </c>
      <c r="J12" s="397">
        <f>IFERROR(AVERAGEIFS(uniforme_input[Tijdsbesparing (min/week/patiënt)],uniforme_input[Doelgroep],C12,uniforme_input[Digitale zorgtoepassing],B12,uniforme_input[Tijdsbesparing (min/week/patiënt)],"&gt; 0")*(Berekening_impact[[#This Row],[Patiëntaantal (direct toepasbaar/extrapolatie)]])/60,0)</f>
        <v>32958.957308219178</v>
      </c>
      <c r="K12" s="397">
        <f>IFERROR(AVERAGEIFS(uniforme_input[Tijdsbesparing (min/handeling)],uniforme_input[Doelgroep],C12,uniforme_input[Digitale zorgtoepassing],B12,uniforme_input[Tijdsbesparing (min/handeling)],"&gt; 0")*(Berekening_impact[[#This Row],[Patiëntaantal (direct toepasbaar/extrapolatie)]])/60,0)/52</f>
        <v>0</v>
      </c>
      <c r="L12" s="397">
        <f t="shared" si="2"/>
        <v>823.97393270547946</v>
      </c>
      <c r="M12" s="412">
        <f t="shared" si="3"/>
        <v>43428570.881627575</v>
      </c>
      <c r="N12" s="412">
        <f>IFERROR(AVERAGEIFS(uniforme_input[Overige kostenbesparing (€/jaar/patiënt)],uniforme_input[Doelgroep],C12,uniforme_input[Digitale zorgtoepassing],B12,uniforme_input[Overige kostenbesparing (€/jaar/patiënt)],"&gt;0")*Berekening_impact[[#This Row],[Patiëntaantal (direct toepasbaar/extrapolatie)]],0)</f>
        <v>21390191.628264327</v>
      </c>
      <c r="O12" s="412" cm="1">
        <f t="array" ref="O12">IFERROR(AVERAGEIFS(uniforme_input[QALY per patiënt],uniforme_input[Doelgroep],C12,uniforme_input[Digitale zorgtoepassing],B12,uniforme_input[QALY per patiënt],"&gt;0")*Berekening_impact[[#This Row],[Patiëntaantal (direct toepasbaar/extrapolatie)]]*QALY[Waarde gezond levensjaar],0)</f>
        <v>0</v>
      </c>
      <c r="P12" s="412">
        <f>IFERROR((AVERAGEIFS(uniforme_input[Jaarlijkse kosten per patiënt totaal],uniforme_input[Digitale zorgtoepassing],B12,uniforme_input[Doelgroep],C12,uniforme_input[Bron gebruiken voor kosten/investering?],"Ja"))*I12,0)</f>
        <v>10434809.146666668</v>
      </c>
      <c r="Q12" s="412">
        <f>Berekening_impact[[#This Row],[Jaarlijkse kosten (totaal)]]+Berekening_impact[[#This Row],[Schatting kosten (€)]]</f>
        <v>10434809.146666668</v>
      </c>
      <c r="R12" s="412">
        <f>IFERROR((AVERAGEIFS(uniforme_input[Intiële investering per patiënt totaal],uniforme_input[Digitale zorgtoepassing],B12,uniforme_input[Doelgroep],C12,uniforme_input[Bron gebruiken voor kosten/investering?],"Ja",uniforme_input[Direct toepasbaar/extrapolatie/incidentie voor QALY],"&lt;&gt;Extrapolatie"))*I12,0)</f>
        <v>1594807.8959999999</v>
      </c>
      <c r="S12" s="412">
        <f>Berekening_impact[[#This Row],[Initiële investering]]+Berekening_impact[[#This Row],[Schatting investering (€)]]</f>
        <v>1594807.8959999999</v>
      </c>
      <c r="T12" s="443" t="s">
        <v>390</v>
      </c>
      <c r="U12" s="443" t="s">
        <v>390</v>
      </c>
      <c r="V12" s="398">
        <f>IF(Berekening_impact[[#This Row],[Kosten schatten?]] = "Ja", (Berekening_impact[[#This Row],[Totaal arbeidsbesparing (€/jaar)]]+Berekening_impact[[#This Row],[Overige kostenbesparing (totaal/jaar totaal potentieel)]])*INDEX(schatting_kosten[Verhouding kosten/omzet],MATCH(A12,schatting_kosten[Veld],0)),0)</f>
        <v>0</v>
      </c>
      <c r="W12"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12" s="286" t="s">
        <v>391</v>
      </c>
      <c r="Y12" s="130">
        <f>Berekening_impact[[#This Row],[Totaal arbeidsbesparing (€/jaar)]]*Berekening_impact[[#This Row],[Percentage van patiëntaantallen in Wlz (overige is Zvw)]]</f>
        <v>43428570.881627575</v>
      </c>
      <c r="Z12" s="130">
        <f>Berekening_impact[[#This Row],[Overige kostenbesparing (totaal/jaar totaal potentieel)]]*Berekening_impact[[#This Row],[Percentage van patiëntaantallen in Wlz (overige is Zvw)]]</f>
        <v>21390191.628264327</v>
      </c>
      <c r="AA12" s="130">
        <f>Berekening_impact[[#This Row],[Jaarlijkse kosten (totaal) - incl. schatting]]*Berekening_impact[[#This Row],[Percentage van patiëntaantallen in Wlz (overige is Zvw)]]</f>
        <v>10434809.146666668</v>
      </c>
      <c r="AB12" s="130">
        <f>Berekening_impact[[#This Row],[Initiële investering (totaal) - incl. schatting]]*Berekening_impact[[#This Row],[Percentage van patiëntaantallen in Wlz (overige is Zvw)]]</f>
        <v>1594807.8959999999</v>
      </c>
    </row>
    <row r="13" spans="1:28" x14ac:dyDescent="0.5">
      <c r="A13" s="2" t="str">
        <f>INDEX(Technologieën[Veld],MATCH(B13,Technologieën[Digitale zorgtoepassing],0))</f>
        <v>Digitale hulpmiddelen - Verpleging</v>
      </c>
      <c r="B13" s="33" t="s">
        <v>26</v>
      </c>
      <c r="C13" s="33" t="s">
        <v>29</v>
      </c>
      <c r="D13" s="444" cm="1">
        <f t="array" ref="D13">INDEX(Berekening_patiëntaantal[Percentage van patiëntaantallen in Wlz (overige is Zvw)],MATCH(B13,IF(Berekening_patiëntaantal[Doelgroep (zoeksleutel)]=C13,Berekening_patiëntaantal[Digitale zorgtoepassing]),0))</f>
        <v>0.70000000000000007</v>
      </c>
      <c r="E13" s="33" t="str" cm="1">
        <f t="array" ref="E13">INDEX(Berekening_patiëntaantal[Direct toepasbaar/extrapolatie/incidentie voor QALY],MATCH(B13,IF(Berekening_patiëntaantal[Doelgroep (zoeksleutel)]=C13,Berekening_patiëntaantal[Digitale zorgtoepassing]),0))</f>
        <v>Huidige toepassing</v>
      </c>
      <c r="F13" s="33" t="s">
        <v>142</v>
      </c>
      <c r="G13" s="33" t="s">
        <v>391</v>
      </c>
      <c r="H13" s="135">
        <f>INDEX(Uurloon[Uurtarief zorgpersoneel],MATCH(F13,Uurloon[Zorgverlener],0))</f>
        <v>25.33954022988506</v>
      </c>
      <c r="I13" s="411">
        <f>SUMIFS(Berekening_patiëntaantal[Patiëntaantallen],Berekening_patiëntaantal[Doelgroep (zoeksleutel)],C13,Berekening_patiëntaantal[Digitale zorgtoepassing],B13)</f>
        <v>77688</v>
      </c>
      <c r="J13" s="397">
        <f>IFERROR(AVERAGEIFS(uniforme_input[Tijdsbesparing (min/week/patiënt)],uniforme_input[Doelgroep],C13,uniforme_input[Digitale zorgtoepassing],B13,uniforme_input[Tijdsbesparing (min/week/patiënt)],"&gt; 0")*(Berekening_impact[[#This Row],[Patiëntaantal (direct toepasbaar/extrapolatie)]])/60,0)</f>
        <v>260230.85506849314</v>
      </c>
      <c r="K13" s="397">
        <f>IFERROR(AVERAGEIFS(uniforme_input[Tijdsbesparing (min/handeling)],uniforme_input[Doelgroep],C13,uniforme_input[Digitale zorgtoepassing],B13,uniforme_input[Tijdsbesparing (min/handeling)],"&gt; 0")*(Berekening_impact[[#This Row],[Patiëntaantal (direct toepasbaar/extrapolatie)]])/60,0)/52</f>
        <v>0</v>
      </c>
      <c r="L13" s="397">
        <f t="shared" si="2"/>
        <v>6505.7713767123287</v>
      </c>
      <c r="M13" s="412">
        <f t="shared" si="3"/>
        <v>342894771.49540442</v>
      </c>
      <c r="N13" s="412">
        <f>IFERROR(AVERAGEIFS(uniforme_input[Overige kostenbesparing (€/jaar/patiënt)],uniforme_input[Doelgroep],C13,uniforme_input[Digitale zorgtoepassing],B13,uniforme_input[Overige kostenbesparing (€/jaar/patiënt)],"&gt;0")*Berekening_impact[[#This Row],[Patiëntaantal (direct toepasbaar/extrapolatie)]],0)</f>
        <v>168888469.54251266</v>
      </c>
      <c r="O13" s="412" cm="1">
        <f t="array" ref="O13">IFERROR(AVERAGEIFS(uniforme_input[QALY per patiënt],uniforme_input[Doelgroep],C13,uniforme_input[Digitale zorgtoepassing],B13,uniforme_input[QALY per patiënt],"&gt;0")*Berekening_impact[[#This Row],[Patiëntaantal (direct toepasbaar/extrapolatie)]]*QALY[Waarde gezond levensjaar],0)</f>
        <v>0</v>
      </c>
      <c r="P13" s="412">
        <f>IFERROR((AVERAGEIFS(uniforme_input[Jaarlijkse kosten per patiënt totaal],uniforme_input[Digitale zorgtoepassing],B13,uniforme_input[Doelgroep],C13,uniforme_input[Bron gebruiken voor kosten/investering?],"Ja"))*I13,0)</f>
        <v>82303597.853968248</v>
      </c>
      <c r="Q13" s="412">
        <f>Berekening_impact[[#This Row],[Jaarlijkse kosten (totaal)]]+Berekening_impact[[#This Row],[Schatting kosten (€)]]</f>
        <v>82303597.853968248</v>
      </c>
      <c r="R13" s="412">
        <f>IFERROR((AVERAGEIFS(uniforme_input[Intiële investering per patiënt totaal],uniforme_input[Digitale zorgtoepassing],B13,uniforme_input[Doelgroep],C13,uniforme_input[Bron gebruiken voor kosten/investering?],"Ja",uniforme_input[Direct toepasbaar/extrapolatie/incidentie voor QALY],"&lt;&gt;Extrapolatie"))*I13,0)</f>
        <v>5296913.92</v>
      </c>
      <c r="S13" s="412">
        <f>Berekening_impact[[#This Row],[Initiële investering]]+Berekening_impact[[#This Row],[Schatting investering (€)]]</f>
        <v>5296913.92</v>
      </c>
      <c r="T13" s="443" t="s">
        <v>390</v>
      </c>
      <c r="U13" s="443" t="s">
        <v>390</v>
      </c>
      <c r="V13" s="398">
        <f>IF(Berekening_impact[[#This Row],[Kosten schatten?]] = "Ja", (Berekening_impact[[#This Row],[Totaal arbeidsbesparing (€/jaar)]]+Berekening_impact[[#This Row],[Overige kostenbesparing (totaal/jaar totaal potentieel)]])*INDEX(schatting_kosten[Verhouding kosten/omzet],MATCH(A13,schatting_kosten[Veld],0)),0)</f>
        <v>0</v>
      </c>
      <c r="W13"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13" s="286" t="s">
        <v>391</v>
      </c>
      <c r="Y13" s="130">
        <f>Berekening_impact[[#This Row],[Totaal arbeidsbesparing (€/jaar)]]*Berekening_impact[[#This Row],[Percentage van patiëntaantallen in Wlz (overige is Zvw)]]</f>
        <v>240026340.04678312</v>
      </c>
      <c r="Z13" s="130">
        <f>Berekening_impact[[#This Row],[Overige kostenbesparing (totaal/jaar totaal potentieel)]]*Berekening_impact[[#This Row],[Percentage van patiëntaantallen in Wlz (overige is Zvw)]]</f>
        <v>118221928.67975888</v>
      </c>
      <c r="AA13" s="130">
        <f>Berekening_impact[[#This Row],[Jaarlijkse kosten (totaal) - incl. schatting]]*Berekening_impact[[#This Row],[Percentage van patiëntaantallen in Wlz (overige is Zvw)]]</f>
        <v>57612518.497777782</v>
      </c>
      <c r="AB13" s="130">
        <f>Berekening_impact[[#This Row],[Initiële investering (totaal) - incl. schatting]]*Berekening_impact[[#This Row],[Percentage van patiëntaantallen in Wlz (overige is Zvw)]]</f>
        <v>3707839.7440000004</v>
      </c>
    </row>
    <row r="14" spans="1:28" x14ac:dyDescent="0.5">
      <c r="A14" s="2" t="str">
        <f>INDEX(Technologieën[Veld],MATCH(B14,Technologieën[Digitale zorgtoepassing],0))</f>
        <v>Digitale hulpmiddelen - Diagnose</v>
      </c>
      <c r="B14" s="33" t="s">
        <v>78</v>
      </c>
      <c r="C14" s="33" t="s">
        <v>79</v>
      </c>
      <c r="D14" s="444" cm="1">
        <f t="array" ref="D14">INDEX(Berekening_patiëntaantal[Percentage van patiëntaantallen in Wlz (overige is Zvw)],MATCH(B14,IF(Berekening_patiëntaantal[Doelgroep (zoeksleutel)]=C14,Berekening_patiëntaantal[Digitale zorgtoepassing]),0))</f>
        <v>0</v>
      </c>
      <c r="E14" s="33" t="str" cm="1">
        <f t="array" ref="E14">INDEX(Berekening_patiëntaantal[Direct toepasbaar/extrapolatie/incidentie voor QALY],MATCH(B14,IF(Berekening_patiëntaantal[Doelgroep (zoeksleutel)]=C14,Berekening_patiëntaantal[Digitale zorgtoepassing]),0))</f>
        <v>Huidige toepassing</v>
      </c>
      <c r="F14" s="33" t="s">
        <v>163</v>
      </c>
      <c r="G14" s="33" t="s">
        <v>777</v>
      </c>
      <c r="H14" s="135">
        <f>INDEX(Uurloon[Uurtarief zorgpersoneel],MATCH(F14,Uurloon[Zorgverlener],0))</f>
        <v>27.736091954022992</v>
      </c>
      <c r="I14" s="411">
        <f>SUMIFS(Berekening_patiëntaantal[Patiëntaantallen],Berekening_patiëntaantal[Doelgroep (zoeksleutel)],C14,Berekening_patiëntaantal[Digitale zorgtoepassing],B14)</f>
        <v>446040</v>
      </c>
      <c r="J14" s="397">
        <f>IFERROR(AVERAGEIFS(uniforme_input[Tijdsbesparing (min/week/patiënt)],uniforme_input[Doelgroep],C14,uniforme_input[Digitale zorgtoepassing],B14,uniforme_input[Tijdsbesparing (min/week/patiënt)],"&gt; 0")*(Berekening_impact[[#This Row],[Patiëntaantal (direct toepasbaar/extrapolatie)]])/60,0)</f>
        <v>0</v>
      </c>
      <c r="K14" s="397">
        <f>IFERROR(AVERAGEIFS(uniforme_input[Tijdsbesparing (min/handeling)],uniforme_input[Doelgroep],C14,uniforme_input[Digitale zorgtoepassing],B14,uniforme_input[Tijdsbesparing (min/handeling)],"&gt; 0")*(Berekening_impact[[#This Row],[Patiëntaantal (direct toepasbaar/extrapolatie)]])/60,0)/52</f>
        <v>714.80769230769226</v>
      </c>
      <c r="L14" s="397">
        <f t="shared" si="2"/>
        <v>17.870192307692307</v>
      </c>
      <c r="M14" s="412">
        <f t="shared" si="3"/>
        <v>1030950.5379310346</v>
      </c>
      <c r="N14" s="412">
        <f>IFERROR(AVERAGEIFS(uniforme_input[Overige kostenbesparing (€/jaar/patiënt)],uniforme_input[Doelgroep],C14,uniforme_input[Digitale zorgtoepassing],B14,uniforme_input[Overige kostenbesparing (€/jaar/patiënt)],"&gt;0")*Berekening_impact[[#This Row],[Patiëntaantal (direct toepasbaar/extrapolatie)]],0)</f>
        <v>687300.35862068983</v>
      </c>
      <c r="O14" s="412" cm="1">
        <f t="array" ref="O14">IFERROR(AVERAGEIFS(uniforme_input[QALY per patiënt],uniforme_input[Doelgroep],C14,uniforme_input[Digitale zorgtoepassing],B14,uniforme_input[QALY per patiënt],"&gt;0")*Berekening_impact[[#This Row],[Patiëntaantal (direct toepasbaar/extrapolatie)]]*QALY[Waarde gezond levensjaar],0)</f>
        <v>0</v>
      </c>
      <c r="P14" s="412">
        <f>IFERROR((AVERAGEIFS(uniforme_input[Jaarlijkse kosten per patiënt totaal],uniforme_input[Digitale zorgtoepassing],B14,uniforme_input[Doelgroep],C14,uniforme_input[Bron gebruiken voor kosten/investering?],"Ja"))*I14,0)</f>
        <v>892254</v>
      </c>
      <c r="Q14" s="412">
        <f>Berekening_impact[[#This Row],[Jaarlijkse kosten (totaal)]]+Berekening_impact[[#This Row],[Schatting kosten (€)]]</f>
        <v>892254</v>
      </c>
      <c r="R14" s="412">
        <f>IFERROR((AVERAGEIFS(uniforme_input[Intiële investering per patiënt totaal],uniforme_input[Digitale zorgtoepassing],B14,uniforme_input[Doelgroep],C14,uniforme_input[Bron gebruiken voor kosten/investering?],"Ja",uniforme_input[Direct toepasbaar/extrapolatie/incidentie voor QALY],"&lt;&gt;Extrapolatie"))*I14,0)</f>
        <v>0</v>
      </c>
      <c r="S14" s="412">
        <f>Berekening_impact[[#This Row],[Initiële investering]]+Berekening_impact[[#This Row],[Schatting investering (€)]]</f>
        <v>0</v>
      </c>
      <c r="T14" s="443" t="s">
        <v>390</v>
      </c>
      <c r="U14" s="443" t="s">
        <v>390</v>
      </c>
      <c r="V14" s="398">
        <f>IF(Berekening_impact[[#This Row],[Kosten schatten?]] = "Ja", (Berekening_impact[[#This Row],[Totaal arbeidsbesparing (€/jaar)]]+Berekening_impact[[#This Row],[Overige kostenbesparing (totaal/jaar totaal potentieel)]])*INDEX(schatting_kosten[Verhouding kosten/omzet],MATCH(A14,schatting_kosten[Veld],0)),0)</f>
        <v>0</v>
      </c>
      <c r="W14"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14" s="286" t="s">
        <v>391</v>
      </c>
      <c r="Y14" s="130">
        <f>Berekening_impact[[#This Row],[Totaal arbeidsbesparing (€/jaar)]]*Berekening_impact[[#This Row],[Percentage van patiëntaantallen in Wlz (overige is Zvw)]]</f>
        <v>0</v>
      </c>
      <c r="Z14" s="130">
        <f>Berekening_impact[[#This Row],[Overige kostenbesparing (totaal/jaar totaal potentieel)]]*Berekening_impact[[#This Row],[Percentage van patiëntaantallen in Wlz (overige is Zvw)]]</f>
        <v>0</v>
      </c>
      <c r="AA14" s="130">
        <f>Berekening_impact[[#This Row],[Jaarlijkse kosten (totaal) - incl. schatting]]*Berekening_impact[[#This Row],[Percentage van patiëntaantallen in Wlz (overige is Zvw)]]</f>
        <v>0</v>
      </c>
      <c r="AB14" s="130">
        <f>Berekening_impact[[#This Row],[Initiële investering (totaal) - incl. schatting]]*Berekening_impact[[#This Row],[Percentage van patiëntaantallen in Wlz (overige is Zvw)]]</f>
        <v>0</v>
      </c>
    </row>
    <row r="15" spans="1:28" x14ac:dyDescent="0.5">
      <c r="A15" s="2" t="str">
        <f>INDEX(Technologieën[Veld],MATCH(B15,Technologieën[Digitale zorgtoepassing],0))</f>
        <v>Digitale hulpmiddelen - Diagnose</v>
      </c>
      <c r="B15" s="33" t="s">
        <v>82</v>
      </c>
      <c r="C15" s="33" t="s">
        <v>703</v>
      </c>
      <c r="D15" s="444" cm="1">
        <f t="array" ref="D15">INDEX(Berekening_patiëntaantal[Percentage van patiëntaantallen in Wlz (overige is Zvw)],MATCH(B15,IF(Berekening_patiëntaantal[Doelgroep (zoeksleutel)]=C15,Berekening_patiëntaantal[Digitale zorgtoepassing]),0))</f>
        <v>0</v>
      </c>
      <c r="E15" s="33" t="str" cm="1">
        <f t="array" ref="E15">INDEX(Berekening_patiëntaantal[Direct toepasbaar/extrapolatie/incidentie voor QALY],MATCH(B15,IF(Berekening_patiëntaantal[Doelgroep (zoeksleutel)]=C15,Berekening_patiëntaantal[Digitale zorgtoepassing]),0))</f>
        <v>Huidige toepassing</v>
      </c>
      <c r="F15" s="33" t="s">
        <v>707</v>
      </c>
      <c r="G15" s="33" t="s">
        <v>778</v>
      </c>
      <c r="H15" s="135">
        <f>INDEX(Uurloon[Uurtarief zorgpersoneel],MATCH(F15,Uurloon[Zorgverlener],0))</f>
        <v>26.322126436781613</v>
      </c>
      <c r="I15" s="411">
        <f>SUMIFS(Berekening_patiëntaantal[Patiëntaantallen],Berekening_patiëntaantal[Doelgroep (zoeksleutel)],C15,Berekening_patiëntaantal[Digitale zorgtoepassing],B15)</f>
        <v>135000</v>
      </c>
      <c r="J15" s="397">
        <f>IFERROR(AVERAGEIFS(uniforme_input[Tijdsbesparing (min/week/patiënt)],uniforme_input[Doelgroep],C15,uniforme_input[Digitale zorgtoepassing],B15,uniforme_input[Tijdsbesparing (min/week/patiënt)],"&gt; 0")*(Berekening_impact[[#This Row],[Patiëntaantal (direct toepasbaar/extrapolatie)]])/60,0)</f>
        <v>0</v>
      </c>
      <c r="K15" s="397">
        <f>IFERROR(AVERAGEIFS(uniforme_input[Tijdsbesparing (min/handeling)],uniforme_input[Doelgroep],C15,uniforme_input[Digitale zorgtoepassing],B15,uniforme_input[Tijdsbesparing (min/handeling)],"&gt; 0")*(Berekening_impact[[#This Row],[Patiëntaantal (direct toepasbaar/extrapolatie)]])/60,0)/52</f>
        <v>6055.4291235737528</v>
      </c>
      <c r="L15" s="397">
        <f t="shared" si="2"/>
        <v>151.38572808934381</v>
      </c>
      <c r="M15" s="412">
        <f t="shared" si="3"/>
        <v>8288372.0930232555</v>
      </c>
      <c r="N15" s="412">
        <f>IFERROR(AVERAGEIFS(uniforme_input[Overige kostenbesparing (€/jaar/patiënt)],uniforme_input[Doelgroep],C15,uniforme_input[Digitale zorgtoepassing],B15,uniforme_input[Overige kostenbesparing (€/jaar/patiënt)],"&gt;0")*Berekening_impact[[#This Row],[Patiëntaantal (direct toepasbaar/extrapolatie)]],0)</f>
        <v>10611627.906976745</v>
      </c>
      <c r="O15" s="412" cm="1">
        <f t="array" ref="O15">IFERROR(AVERAGEIFS(uniforme_input[QALY per patiënt],uniforme_input[Doelgroep],C15,uniforme_input[Digitale zorgtoepassing],B15,uniforme_input[QALY per patiënt],"&gt;0")*Berekening_impact[[#This Row],[Patiëntaantal (direct toepasbaar/extrapolatie)]]*QALY[Waarde gezond levensjaar],0)</f>
        <v>0</v>
      </c>
      <c r="P15" s="412">
        <f>IFERROR((AVERAGEIFS(uniforme_input[Jaarlijkse kosten per patiënt totaal],uniforme_input[Digitale zorgtoepassing],B15,uniforme_input[Doelgroep],C15,uniforme_input[Bron gebruiken voor kosten/investering?],"Ja"))*I15,0)</f>
        <v>4149000</v>
      </c>
      <c r="Q15" s="412">
        <f>Berekening_impact[[#This Row],[Jaarlijkse kosten (totaal)]]+Berekening_impact[[#This Row],[Schatting kosten (€)]]</f>
        <v>4149000</v>
      </c>
      <c r="R15" s="412">
        <f>IFERROR((AVERAGEIFS(uniforme_input[Intiële investering per patiënt totaal],uniforme_input[Digitale zorgtoepassing],B15,uniforme_input[Doelgroep],C15,uniforme_input[Bron gebruiken voor kosten/investering?],"Ja",uniforme_input[Direct toepasbaar/extrapolatie/incidentie voor QALY],"&lt;&gt;Extrapolatie"))*I15,0)</f>
        <v>0</v>
      </c>
      <c r="S15" s="412">
        <f>Berekening_impact[[#This Row],[Initiële investering]]+Berekening_impact[[#This Row],[Schatting investering (€)]]</f>
        <v>0</v>
      </c>
      <c r="T15" s="443" t="s">
        <v>390</v>
      </c>
      <c r="U15" s="443" t="s">
        <v>390</v>
      </c>
      <c r="V15" s="398">
        <f>IF(Berekening_impact[[#This Row],[Kosten schatten?]] = "Ja", (Berekening_impact[[#This Row],[Totaal arbeidsbesparing (€/jaar)]]+Berekening_impact[[#This Row],[Overige kostenbesparing (totaal/jaar totaal potentieel)]])*INDEX(schatting_kosten[Verhouding kosten/omzet],MATCH(A15,schatting_kosten[Veld],0)),0)</f>
        <v>0</v>
      </c>
      <c r="W15"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15" s="286" t="s">
        <v>391</v>
      </c>
      <c r="Y15" s="130">
        <f>Berekening_impact[[#This Row],[Totaal arbeidsbesparing (€/jaar)]]*Berekening_impact[[#This Row],[Percentage van patiëntaantallen in Wlz (overige is Zvw)]]</f>
        <v>0</v>
      </c>
      <c r="Z15" s="130">
        <f>Berekening_impact[[#This Row],[Overige kostenbesparing (totaal/jaar totaal potentieel)]]*Berekening_impact[[#This Row],[Percentage van patiëntaantallen in Wlz (overige is Zvw)]]</f>
        <v>0</v>
      </c>
      <c r="AA15" s="130">
        <f>Berekening_impact[[#This Row],[Jaarlijkse kosten (totaal) - incl. schatting]]*Berekening_impact[[#This Row],[Percentage van patiëntaantallen in Wlz (overige is Zvw)]]</f>
        <v>0</v>
      </c>
      <c r="AB15" s="130">
        <f>Berekening_impact[[#This Row],[Initiële investering (totaal) - incl. schatting]]*Berekening_impact[[#This Row],[Percentage van patiëntaantallen in Wlz (overige is Zvw)]]</f>
        <v>0</v>
      </c>
    </row>
    <row r="16" spans="1:28" x14ac:dyDescent="0.5">
      <c r="A16" s="2" t="str">
        <f>INDEX(Technologieën[Veld],MATCH(B16,Technologieën[Digitale zorgtoepassing],0))</f>
        <v>Digitale hulpmiddelen - Verpleging</v>
      </c>
      <c r="B16" s="33" t="s">
        <v>48</v>
      </c>
      <c r="C16" s="33" t="s">
        <v>49</v>
      </c>
      <c r="D16" s="444" cm="1">
        <f t="array" ref="D16">INDEX(Berekening_patiëntaantal[Percentage van patiëntaantallen in Wlz (overige is Zvw)],MATCH(B16,IF(Berekening_patiëntaantal[Doelgroep (zoeksleutel)]=C16,Berekening_patiëntaantal[Digitale zorgtoepassing]),0))</f>
        <v>0.70000000000000007</v>
      </c>
      <c r="E16" s="33" t="str" cm="1">
        <f t="array" ref="E16">INDEX(Berekening_patiëntaantal[Direct toepasbaar/extrapolatie/incidentie voor QALY],MATCH(B16,IF(Berekening_patiëntaantal[Doelgroep (zoeksleutel)]=C16,Berekening_patiëntaantal[Digitale zorgtoepassing]),0))</f>
        <v>Huidige toepassing</v>
      </c>
      <c r="F16" s="33" t="s">
        <v>144</v>
      </c>
      <c r="G16" s="33" t="s">
        <v>391</v>
      </c>
      <c r="H16" s="135">
        <f>INDEX(Uurloon[Uurtarief zorgpersoneel],MATCH(F16,Uurloon[Zorgverlener],0))</f>
        <v>20.410632183908046</v>
      </c>
      <c r="I16" s="411">
        <f>SUMIFS(Berekening_patiëntaantal[Patiëntaantallen],Berekening_patiëntaantal[Doelgroep (zoeksleutel)],C16,Berekening_patiëntaantal[Digitale zorgtoepassing],B16)</f>
        <v>96000</v>
      </c>
      <c r="J16" s="397">
        <f>IFERROR(AVERAGEIFS(uniforme_input[Tijdsbesparing (min/week/patiënt)],uniforme_input[Doelgroep],C16,uniforme_input[Digitale zorgtoepassing],B16,uniforme_input[Tijdsbesparing (min/week/patiënt)],"&gt; 0")*(Berekening_impact[[#This Row],[Patiëntaantal (direct toepasbaar/extrapolatie)]])/60,0)</f>
        <v>151200</v>
      </c>
      <c r="K16" s="397">
        <f>IFERROR(AVERAGEIFS(uniforme_input[Tijdsbesparing (min/handeling)],uniforme_input[Doelgroep],C16,uniforme_input[Digitale zorgtoepassing],B16,uniforme_input[Tijdsbesparing (min/handeling)],"&gt; 0")*(Berekening_impact[[#This Row],[Patiëntaantal (direct toepasbaar/extrapolatie)]])/60,0)/52</f>
        <v>0</v>
      </c>
      <c r="L16" s="397">
        <f t="shared" si="2"/>
        <v>3780</v>
      </c>
      <c r="M16" s="412">
        <f t="shared" si="3"/>
        <v>160476554.48275864</v>
      </c>
      <c r="N16" s="412">
        <f>IFERROR(AVERAGEIFS(uniforme_input[Overige kostenbesparing (€/jaar/patiënt)],uniforme_input[Doelgroep],C16,uniforme_input[Digitale zorgtoepassing],B16,uniforme_input[Overige kostenbesparing (€/jaar/patiënt)],"&gt;0")*Berekening_impact[[#This Row],[Patiëntaantal (direct toepasbaar/extrapolatie)]],0)</f>
        <v>22361487.100056529</v>
      </c>
      <c r="O16" s="412" cm="1">
        <f t="array" ref="O16">IFERROR(AVERAGEIFS(uniforme_input[QALY per patiënt],uniforme_input[Doelgroep],C16,uniforme_input[Digitale zorgtoepassing],B16,uniforme_input[QALY per patiënt],"&gt;0")*Berekening_impact[[#This Row],[Patiëntaantal (direct toepasbaar/extrapolatie)]]*QALY[Waarde gezond levensjaar],0)</f>
        <v>0</v>
      </c>
      <c r="P16" s="412">
        <f>IFERROR((AVERAGEIFS(uniforme_input[Jaarlijkse kosten per patiënt totaal],uniforme_input[Digitale zorgtoepassing],B16,uniforme_input[Doelgroep],C16,uniforme_input[Bron gebruiken voor kosten/investering?],"Ja"))*I16,0)</f>
        <v>0</v>
      </c>
      <c r="Q16" s="412">
        <f>Berekening_impact[[#This Row],[Jaarlijkse kosten (totaal)]]+Berekening_impact[[#This Row],[Schatting kosten (€)]]</f>
        <v>0</v>
      </c>
      <c r="R16" s="412">
        <f>IFERROR((AVERAGEIFS(uniforme_input[Intiële investering per patiënt totaal],uniforme_input[Digitale zorgtoepassing],B16,uniforme_input[Doelgroep],C16,uniforme_input[Bron gebruiken voor kosten/investering?],"Ja",uniforme_input[Direct toepasbaar/extrapolatie/incidentie voor QALY],"&lt;&gt;Extrapolatie"))*I16,0)</f>
        <v>85920000</v>
      </c>
      <c r="S16" s="412">
        <f>Berekening_impact[[#This Row],[Initiële investering]]+Berekening_impact[[#This Row],[Schatting investering (€)]]</f>
        <v>85920000</v>
      </c>
      <c r="T16" s="443" t="s">
        <v>390</v>
      </c>
      <c r="U16" s="443" t="s">
        <v>390</v>
      </c>
      <c r="V16" s="398">
        <f>IF(Berekening_impact[[#This Row],[Kosten schatten?]] = "Ja", (Berekening_impact[[#This Row],[Totaal arbeidsbesparing (€/jaar)]]+Berekening_impact[[#This Row],[Overige kostenbesparing (totaal/jaar totaal potentieel)]])*INDEX(schatting_kosten[Verhouding kosten/omzet],MATCH(A16,schatting_kosten[Veld],0)),0)</f>
        <v>0</v>
      </c>
      <c r="W16"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16" s="286" t="s">
        <v>390</v>
      </c>
      <c r="Y16" s="130">
        <f>Berekening_impact[[#This Row],[Totaal arbeidsbesparing (€/jaar)]]*Berekening_impact[[#This Row],[Percentage van patiëntaantallen in Wlz (overige is Zvw)]]</f>
        <v>112333588.13793106</v>
      </c>
      <c r="Z16" s="130">
        <f>Berekening_impact[[#This Row],[Overige kostenbesparing (totaal/jaar totaal potentieel)]]*Berekening_impact[[#This Row],[Percentage van patiëntaantallen in Wlz (overige is Zvw)]]</f>
        <v>15653040.970039573</v>
      </c>
      <c r="AA16" s="130">
        <f>Berekening_impact[[#This Row],[Jaarlijkse kosten (totaal) - incl. schatting]]*Berekening_impact[[#This Row],[Percentage van patiëntaantallen in Wlz (overige is Zvw)]]</f>
        <v>0</v>
      </c>
      <c r="AB16" s="130">
        <f>Berekening_impact[[#This Row],[Initiële investering (totaal) - incl. schatting]]*Berekening_impact[[#This Row],[Percentage van patiëntaantallen in Wlz (overige is Zvw)]]</f>
        <v>60144000.000000007</v>
      </c>
    </row>
    <row r="17" spans="1:28" x14ac:dyDescent="0.5">
      <c r="A17" s="2" t="str">
        <f>INDEX(Technologieën[Veld],MATCH(B17,Technologieën[Digitale zorgtoepassing],0))</f>
        <v>Digitale hulpmiddelen - Verpleging</v>
      </c>
      <c r="B17" s="33" t="s">
        <v>19</v>
      </c>
      <c r="C17" s="33" t="s">
        <v>24</v>
      </c>
      <c r="D17" s="444" cm="1">
        <f t="array" ref="D17">INDEX(Berekening_patiëntaantal[Percentage van patiëntaantallen in Wlz (overige is Zvw)],MATCH(B17,IF(Berekening_patiëntaantal[Doelgroep (zoeksleutel)]=C17,Berekening_patiëntaantal[Digitale zorgtoepassing]),0))</f>
        <v>1</v>
      </c>
      <c r="E17" s="33" t="str" cm="1">
        <f t="array" ref="E17">INDEX(Berekening_patiëntaantal[Direct toepasbaar/extrapolatie/incidentie voor QALY],MATCH(B17,IF(Berekening_patiëntaantal[Doelgroep (zoeksleutel)]=C17,Berekening_patiëntaantal[Digitale zorgtoepassing]),0))</f>
        <v>Huidige toepassing</v>
      </c>
      <c r="F17" s="33" t="s">
        <v>144</v>
      </c>
      <c r="G17" s="33" t="s">
        <v>391</v>
      </c>
      <c r="H17" s="135">
        <f>INDEX(Uurloon[Uurtarief zorgpersoneel],MATCH(F17,Uurloon[Zorgverlener],0))</f>
        <v>20.410632183908046</v>
      </c>
      <c r="I17" s="411">
        <f>SUMIFS(Berekening_patiëntaantal[Patiëntaantallen],Berekening_patiëntaantal[Doelgroep (zoeksleutel)],C17,Berekening_patiëntaantal[Digitale zorgtoepassing],B17)</f>
        <v>10816.68</v>
      </c>
      <c r="J17" s="397">
        <f>IFERROR(AVERAGEIFS(uniforme_input[Tijdsbesparing (min/week/patiënt)],uniforme_input[Doelgroep],C17,uniforme_input[Digitale zorgtoepassing],B17,uniforme_input[Tijdsbesparing (min/week/patiënt)],"&gt; 0")*(Berekening_impact[[#This Row],[Patiëntaantal (direct toepasbaar/extrapolatie)]])/60,0)</f>
        <v>14061.684000000001</v>
      </c>
      <c r="K17" s="397">
        <f>IFERROR(AVERAGEIFS(uniforme_input[Tijdsbesparing (min/handeling)],uniforme_input[Doelgroep],C17,uniforme_input[Digitale zorgtoepassing],B17,uniforme_input[Tijdsbesparing (min/handeling)],"&gt; 0")*(Berekening_impact[[#This Row],[Patiëntaantal (direct toepasbaar/extrapolatie)]])/60,0)/52</f>
        <v>0</v>
      </c>
      <c r="L17" s="397">
        <f t="shared" si="2"/>
        <v>351.5421</v>
      </c>
      <c r="M17" s="412">
        <f t="shared" si="3"/>
        <v>14924408.720537931</v>
      </c>
      <c r="N17" s="412">
        <f>IFERROR(AVERAGEIFS(uniforme_input[Overige kostenbesparing (€/jaar/patiënt)],uniforme_input[Doelgroep],C17,uniforme_input[Digitale zorgtoepassing],B17,uniforme_input[Overige kostenbesparing (€/jaar/patiënt)],"&gt;0")*Berekening_impact[[#This Row],[Patiëntaantal (direct toepasbaar/extrapolatie)]],0)</f>
        <v>7350828.1757873399</v>
      </c>
      <c r="O17" s="412" cm="1">
        <f t="array" ref="O17">IFERROR(AVERAGEIFS(uniforme_input[QALY per patiënt],uniforme_input[Doelgroep],C17,uniforme_input[Digitale zorgtoepassing],B17,uniforme_input[QALY per patiënt],"&gt;0")*Berekening_impact[[#This Row],[Patiëntaantal (direct toepasbaar/extrapolatie)]]*QALY[Waarde gezond levensjaar],0)</f>
        <v>0</v>
      </c>
      <c r="P17" s="412">
        <f>IFERROR((AVERAGEIFS(uniforme_input[Jaarlijkse kosten per patiënt totaal],uniforme_input[Digitale zorgtoepassing],B17,uniforme_input[Doelgroep],C17,uniforme_input[Bron gebruiken voor kosten/investering?],"Ja"))*I17,0)</f>
        <v>5753310.9668999994</v>
      </c>
      <c r="Q17" s="412">
        <f>Berekening_impact[[#This Row],[Jaarlijkse kosten (totaal)]]+Berekening_impact[[#This Row],[Schatting kosten (€)]]</f>
        <v>5753310.9668999994</v>
      </c>
      <c r="R17" s="412">
        <f>IFERROR((AVERAGEIFS(uniforme_input[Intiële investering per patiënt totaal],uniforme_input[Digitale zorgtoepassing],B17,uniforme_input[Doelgroep],C17,uniforme_input[Bron gebruiken voor kosten/investering?],"Ja",uniforme_input[Direct toepasbaar/extrapolatie/incidentie voor QALY],"&lt;&gt;Extrapolatie"))*I17,0)</f>
        <v>9438382.8000000007</v>
      </c>
      <c r="S17" s="412">
        <f>Berekening_impact[[#This Row],[Initiële investering]]+Berekening_impact[[#This Row],[Schatting investering (€)]]</f>
        <v>9438382.8000000007</v>
      </c>
      <c r="T17" s="443" t="s">
        <v>390</v>
      </c>
      <c r="U17" s="443" t="s">
        <v>390</v>
      </c>
      <c r="V17" s="398">
        <f>IF(Berekening_impact[[#This Row],[Kosten schatten?]] = "Ja", (Berekening_impact[[#This Row],[Totaal arbeidsbesparing (€/jaar)]]+Berekening_impact[[#This Row],[Overige kostenbesparing (totaal/jaar totaal potentieel)]])*INDEX(schatting_kosten[Verhouding kosten/omzet],MATCH(A17,schatting_kosten[Veld],0)),0)</f>
        <v>0</v>
      </c>
      <c r="W17"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17" s="286" t="s">
        <v>391</v>
      </c>
      <c r="Y17" s="130">
        <f>Berekening_impact[[#This Row],[Totaal arbeidsbesparing (€/jaar)]]*Berekening_impact[[#This Row],[Percentage van patiëntaantallen in Wlz (overige is Zvw)]]</f>
        <v>14924408.720537931</v>
      </c>
      <c r="Z17" s="130">
        <f>Berekening_impact[[#This Row],[Overige kostenbesparing (totaal/jaar totaal potentieel)]]*Berekening_impact[[#This Row],[Percentage van patiëntaantallen in Wlz (overige is Zvw)]]</f>
        <v>7350828.1757873399</v>
      </c>
      <c r="AA17" s="130">
        <f>Berekening_impact[[#This Row],[Jaarlijkse kosten (totaal) - incl. schatting]]*Berekening_impact[[#This Row],[Percentage van patiëntaantallen in Wlz (overige is Zvw)]]</f>
        <v>5753310.9668999994</v>
      </c>
      <c r="AB17" s="130">
        <f>Berekening_impact[[#This Row],[Initiële investering (totaal) - incl. schatting]]*Berekening_impact[[#This Row],[Percentage van patiëntaantallen in Wlz (overige is Zvw)]]</f>
        <v>9438382.8000000007</v>
      </c>
    </row>
    <row r="18" spans="1:28" x14ac:dyDescent="0.5">
      <c r="A18" s="2" t="str">
        <f>INDEX(Technologieën[Veld],MATCH(B18,Technologieën[Digitale zorgtoepassing],0))</f>
        <v>Digitale hulpmiddelen - Verpleging</v>
      </c>
      <c r="B18" s="33" t="s">
        <v>19</v>
      </c>
      <c r="C18" s="33" t="s">
        <v>20</v>
      </c>
      <c r="D18" s="444" cm="1">
        <f t="array" ref="D18">INDEX(Berekening_patiëntaantal[Percentage van patiëntaantallen in Wlz (overige is Zvw)],MATCH(B18,IF(Berekening_patiëntaantal[Doelgroep (zoeksleutel)]=C18,Berekening_patiëntaantal[Digitale zorgtoepassing]),0))</f>
        <v>1</v>
      </c>
      <c r="E18" s="33" t="str" cm="1">
        <f t="array" ref="E18">INDEX(Berekening_patiëntaantal[Direct toepasbaar/extrapolatie/incidentie voor QALY],MATCH(B18,IF(Berekening_patiëntaantal[Doelgroep (zoeksleutel)]=C18,Berekening_patiëntaantal[Digitale zorgtoepassing]),0))</f>
        <v>Huidige toepassing</v>
      </c>
      <c r="F18" s="33" t="s">
        <v>144</v>
      </c>
      <c r="G18" s="33" t="s">
        <v>391</v>
      </c>
      <c r="H18" s="135">
        <f>INDEX(Uurloon[Uurtarief zorgpersoneel],MATCH(F18,Uurloon[Zorgverlener],0))</f>
        <v>20.410632183908046</v>
      </c>
      <c r="I18" s="411">
        <f>SUMIFS(Berekening_patiëntaantal[Patiëntaantallen],Berekening_patiëntaantal[Doelgroep (zoeksleutel)],C18,Berekening_patiëntaantal[Digitale zorgtoepassing],B18)</f>
        <v>24425.25</v>
      </c>
      <c r="J18" s="397">
        <f>IFERROR(AVERAGEIFS(uniforme_input[Tijdsbesparing (min/week/patiënt)],uniforme_input[Doelgroep],C18,uniforme_input[Digitale zorgtoepassing],B18,uniforme_input[Tijdsbesparing (min/week/patiënt)],"&gt; 0")*(Berekening_impact[[#This Row],[Patiëntaantal (direct toepasbaar/extrapolatie)]])/60,0)</f>
        <v>31752.825000000001</v>
      </c>
      <c r="K18" s="397">
        <f>IFERROR(AVERAGEIFS(uniforme_input[Tijdsbesparing (min/handeling)],uniforme_input[Doelgroep],C18,uniforme_input[Digitale zorgtoepassing],B18,uniforme_input[Tijdsbesparing (min/handeling)],"&gt; 0")*(Berekening_impact[[#This Row],[Patiëntaantal (direct toepasbaar/extrapolatie)]])/60,0)/52</f>
        <v>0</v>
      </c>
      <c r="L18" s="397">
        <f t="shared" si="2"/>
        <v>793.82062500000006</v>
      </c>
      <c r="M18" s="412">
        <f t="shared" si="3"/>
        <v>33700952.057500005</v>
      </c>
      <c r="N18" s="412">
        <f>IFERROR(AVERAGEIFS(uniforme_input[Overige kostenbesparing (€/jaar/patiënt)],uniforme_input[Doelgroep],C18,uniforme_input[Digitale zorgtoepassing],B18,uniforme_input[Overige kostenbesparing (€/jaar/patiënt)],"&gt;0")*Berekening_impact[[#This Row],[Patiëntaantal (direct toepasbaar/extrapolatie)]],0)</f>
        <v>16598976.386529852</v>
      </c>
      <c r="O18" s="412" cm="1">
        <f t="array" ref="O18">IFERROR(AVERAGEIFS(uniforme_input[QALY per patiënt],uniforme_input[Doelgroep],C18,uniforme_input[Digitale zorgtoepassing],B18,uniforme_input[QALY per patiënt],"&gt;0")*Berekening_impact[[#This Row],[Patiëntaantal (direct toepasbaar/extrapolatie)]]*QALY[Waarde gezond levensjaar],0)</f>
        <v>0</v>
      </c>
      <c r="P18" s="412">
        <f>IFERROR((AVERAGEIFS(uniforme_input[Jaarlijkse kosten per patiënt totaal],uniforme_input[Digitale zorgtoepassing],B18,uniforme_input[Doelgroep],C18,uniforme_input[Bron gebruiken voor kosten/investering?],"Ja"))*I18,0)</f>
        <v>12991607.285624998</v>
      </c>
      <c r="Q18" s="412">
        <f>Berekening_impact[[#This Row],[Jaarlijkse kosten (totaal)]]+Berekening_impact[[#This Row],[Schatting kosten (€)]]</f>
        <v>12991607.285624998</v>
      </c>
      <c r="R18" s="412">
        <f>IFERROR((AVERAGEIFS(uniforme_input[Intiële investering per patiënt totaal],uniforme_input[Digitale zorgtoepassing],B18,uniforme_input[Doelgroep],C18,uniforme_input[Bron gebruiken voor kosten/investering?],"Ja",uniforme_input[Direct toepasbaar/extrapolatie/incidentie voor QALY],"&lt;&gt;Extrapolatie"))*I18,0)</f>
        <v>19201896.25</v>
      </c>
      <c r="S18" s="412">
        <f>Berekening_impact[[#This Row],[Initiële investering]]+Berekening_impact[[#This Row],[Schatting investering (€)]]</f>
        <v>19201896.25</v>
      </c>
      <c r="T18" s="443" t="s">
        <v>390</v>
      </c>
      <c r="U18" s="443" t="s">
        <v>390</v>
      </c>
      <c r="V18" s="398">
        <f>IF(Berekening_impact[[#This Row],[Kosten schatten?]] = "Ja", (Berekening_impact[[#This Row],[Totaal arbeidsbesparing (€/jaar)]]+Berekening_impact[[#This Row],[Overige kostenbesparing (totaal/jaar totaal potentieel)]])*INDEX(schatting_kosten[Verhouding kosten/omzet],MATCH(A18,schatting_kosten[Veld],0)),0)</f>
        <v>0</v>
      </c>
      <c r="W18"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18" s="286" t="s">
        <v>391</v>
      </c>
      <c r="Y18" s="130">
        <f>Berekening_impact[[#This Row],[Totaal arbeidsbesparing (€/jaar)]]*Berekening_impact[[#This Row],[Percentage van patiëntaantallen in Wlz (overige is Zvw)]]</f>
        <v>33700952.057500005</v>
      </c>
      <c r="Z18" s="130">
        <f>Berekening_impact[[#This Row],[Overige kostenbesparing (totaal/jaar totaal potentieel)]]*Berekening_impact[[#This Row],[Percentage van patiëntaantallen in Wlz (overige is Zvw)]]</f>
        <v>16598976.386529852</v>
      </c>
      <c r="AA18" s="130">
        <f>Berekening_impact[[#This Row],[Jaarlijkse kosten (totaal) - incl. schatting]]*Berekening_impact[[#This Row],[Percentage van patiëntaantallen in Wlz (overige is Zvw)]]</f>
        <v>12991607.285624998</v>
      </c>
      <c r="AB18" s="130">
        <f>Berekening_impact[[#This Row],[Initiële investering (totaal) - incl. schatting]]*Berekening_impact[[#This Row],[Percentage van patiëntaantallen in Wlz (overige is Zvw)]]</f>
        <v>19201896.25</v>
      </c>
    </row>
    <row r="19" spans="1:28" x14ac:dyDescent="0.5">
      <c r="A19" s="2" t="str">
        <f>INDEX(Technologieën[Veld],MATCH(B19,Technologieën[Digitale zorgtoepassing],0))</f>
        <v>Sensoren - Behandeling</v>
      </c>
      <c r="B19" s="33" t="s">
        <v>53</v>
      </c>
      <c r="C19" s="33" t="s">
        <v>722</v>
      </c>
      <c r="D19" s="444" cm="1">
        <f t="array" ref="D19">INDEX(Berekening_patiëntaantal[Percentage van patiëntaantallen in Wlz (overige is Zvw)],MATCH(B19,IF(Berekening_patiëntaantal[Doelgroep (zoeksleutel)]=C19,Berekening_patiëntaantal[Digitale zorgtoepassing]),0))</f>
        <v>0</v>
      </c>
      <c r="E19" s="33" t="str" cm="1">
        <f t="array" ref="E19">INDEX(Berekening_patiëntaantal[Direct toepasbaar/extrapolatie/incidentie voor QALY],MATCH(B19,IF(Berekening_patiëntaantal[Doelgroep (zoeksleutel)]=C19,Berekening_patiëntaantal[Digitale zorgtoepassing]),0))</f>
        <v>Extrapolatie</v>
      </c>
      <c r="F19" s="33" t="s">
        <v>148</v>
      </c>
      <c r="G19" s="33" t="s">
        <v>391</v>
      </c>
      <c r="H19" s="135">
        <f>INDEX(Uurloon[Uurtarief zorgpersoneel],MATCH(F19,Uurloon[Zorgverlener],0))</f>
        <v>27.740086206896557</v>
      </c>
      <c r="I19" s="411">
        <f>SUMIFS(Berekening_patiëntaantal[Patiëntaantallen],Berekening_patiëntaantal[Doelgroep (zoeksleutel)],C19,Berekening_patiëntaantal[Digitale zorgtoepassing],B19)</f>
        <v>249009.30694858587</v>
      </c>
      <c r="J19" s="397">
        <f>IFERROR(AVERAGEIFS(uniforme_input[Tijdsbesparing (min/week/patiënt)],uniforme_input[Doelgroep],C19,uniforme_input[Digitale zorgtoepassing],B19,uniforme_input[Tijdsbesparing (min/week/patiënt)],"&gt; 0")*(Berekening_impact[[#This Row],[Patiëntaantal (direct toepasbaar/extrapolatie)]])/60,0)</f>
        <v>55424.112425709107</v>
      </c>
      <c r="K19" s="397">
        <f>IFERROR(AVERAGEIFS(uniforme_input[Tijdsbesparing (min/handeling)],uniforme_input[Doelgroep],C19,uniforme_input[Digitale zorgtoepassing],B19,uniforme_input[Tijdsbesparing (min/handeling)],"&gt; 0")*(Berekening_impact[[#This Row],[Patiëntaantal (direct toepasbaar/extrapolatie)]])/60,0)/52</f>
        <v>0</v>
      </c>
      <c r="L19" s="397">
        <f t="shared" si="2"/>
        <v>1385.6028106427277</v>
      </c>
      <c r="M19" s="412">
        <f t="shared" si="3"/>
        <v>79948422.144754648</v>
      </c>
      <c r="N19" s="412">
        <f>IFERROR(AVERAGEIFS(uniforme_input[Overige kostenbesparing (€/jaar/patiënt)],uniforme_input[Doelgroep],C19,uniforme_input[Digitale zorgtoepassing],B19,uniforme_input[Overige kostenbesparing (€/jaar/patiënt)],"&gt;0")*Berekening_impact[[#This Row],[Patiëntaantal (direct toepasbaar/extrapolatie)]],0)</f>
        <v>53298948.096503109</v>
      </c>
      <c r="O19" s="412" cm="1">
        <f t="array" ref="O19">IFERROR(AVERAGEIFS(uniforme_input[QALY per patiënt],uniforme_input[Doelgroep],C19,uniforme_input[Digitale zorgtoepassing],B19,uniforme_input[QALY per patiënt],"&gt;0")*Berekening_impact[[#This Row],[Patiëntaantal (direct toepasbaar/extrapolatie)]]*QALY[Waarde gezond levensjaar],0)</f>
        <v>709676524.80346978</v>
      </c>
      <c r="P19" s="412">
        <f>IFERROR((AVERAGEIFS(uniforme_input[Jaarlijkse kosten per patiënt totaal],uniforme_input[Digitale zorgtoepassing],B19,uniforme_input[Doelgroep],C19,uniforme_input[Bron gebruiken voor kosten/investering?],"Ja"))*I19,0)</f>
        <v>35010434.738411486</v>
      </c>
      <c r="Q19" s="412">
        <f>Berekening_impact[[#This Row],[Jaarlijkse kosten (totaal)]]+Berekening_impact[[#This Row],[Schatting kosten (€)]]</f>
        <v>35010434.738411486</v>
      </c>
      <c r="R19" s="412">
        <f>IFERROR((AVERAGEIFS(uniforme_input[Intiële investering per patiënt totaal],uniforme_input[Digitale zorgtoepassing],B19,uniforme_input[Doelgroep],C19,uniforme_input[Bron gebruiken voor kosten/investering?],"Ja",uniforme_input[Direct toepasbaar/extrapolatie/incidentie voor QALY],"&lt;&gt;Extrapolatie"))*I19,0)</f>
        <v>0</v>
      </c>
      <c r="S19" s="412">
        <f>Berekening_impact[[#This Row],[Initiële investering]]+Berekening_impact[[#This Row],[Schatting investering (€)]]</f>
        <v>0</v>
      </c>
      <c r="T19" s="443" t="s">
        <v>390</v>
      </c>
      <c r="U19" s="443" t="s">
        <v>390</v>
      </c>
      <c r="V19" s="398">
        <f>IF(Berekening_impact[[#This Row],[Kosten schatten?]] = "Ja", (Berekening_impact[[#This Row],[Totaal arbeidsbesparing (€/jaar)]]+Berekening_impact[[#This Row],[Overige kostenbesparing (totaal/jaar totaal potentieel)]])*INDEX(schatting_kosten[Verhouding kosten/omzet],MATCH(A19,schatting_kosten[Veld],0)),0)</f>
        <v>0</v>
      </c>
      <c r="W19"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19" s="286" t="s">
        <v>391</v>
      </c>
      <c r="Y19" s="130">
        <f>Berekening_impact[[#This Row],[Totaal arbeidsbesparing (€/jaar)]]*Berekening_impact[[#This Row],[Percentage van patiëntaantallen in Wlz (overige is Zvw)]]</f>
        <v>0</v>
      </c>
      <c r="Z19" s="130">
        <f>Berekening_impact[[#This Row],[Overige kostenbesparing (totaal/jaar totaal potentieel)]]*Berekening_impact[[#This Row],[Percentage van patiëntaantallen in Wlz (overige is Zvw)]]</f>
        <v>0</v>
      </c>
      <c r="AA19" s="130">
        <f>Berekening_impact[[#This Row],[Jaarlijkse kosten (totaal) - incl. schatting]]*Berekening_impact[[#This Row],[Percentage van patiëntaantallen in Wlz (overige is Zvw)]]</f>
        <v>0</v>
      </c>
      <c r="AB19" s="130">
        <f>Berekening_impact[[#This Row],[Initiële investering (totaal) - incl. schatting]]*Berekening_impact[[#This Row],[Percentage van patiëntaantallen in Wlz (overige is Zvw)]]</f>
        <v>0</v>
      </c>
    </row>
    <row r="20" spans="1:28" x14ac:dyDescent="0.5">
      <c r="A20" s="2" t="str">
        <f>INDEX(Technologieën[Veld],MATCH(B20,Technologieën[Digitale zorgtoepassing],0))</f>
        <v>Digitale hulpmiddelen - Verpleging</v>
      </c>
      <c r="B20" s="33" t="s">
        <v>85</v>
      </c>
      <c r="C20" s="33" t="s">
        <v>86</v>
      </c>
      <c r="D20" s="444" cm="1">
        <f t="array" ref="D20">INDEX(Berekening_patiëntaantal[Percentage van patiëntaantallen in Wlz (overige is Zvw)],MATCH(B20,IF(Berekening_patiëntaantal[Doelgroep (zoeksleutel)]=C20,Berekening_patiëntaantal[Digitale zorgtoepassing]),0))</f>
        <v>0.45</v>
      </c>
      <c r="E20" s="33" t="str" cm="1">
        <f t="array" ref="E20">INDEX(Berekening_patiëntaantal[Direct toepasbaar/extrapolatie/incidentie voor QALY],MATCH(B20,IF(Berekening_patiëntaantal[Doelgroep (zoeksleutel)]=C20,Berekening_patiëntaantal[Digitale zorgtoepassing]),0))</f>
        <v>Huidige toepassing</v>
      </c>
      <c r="F20" s="33" t="s">
        <v>144</v>
      </c>
      <c r="G20" s="33" t="s">
        <v>391</v>
      </c>
      <c r="H20" s="135">
        <f>INDEX(Uurloon[Uurtarief zorgpersoneel],MATCH(F20,Uurloon[Zorgverlener],0))</f>
        <v>20.410632183908046</v>
      </c>
      <c r="I20" s="411">
        <f>SUMIFS(Berekening_patiëntaantal[Patiëntaantallen],Berekening_patiëntaantal[Doelgroep (zoeksleutel)],C20,Berekening_patiëntaantal[Digitale zorgtoepassing],B20)</f>
        <v>86400</v>
      </c>
      <c r="J20" s="397">
        <f>IFERROR(AVERAGEIFS(uniforme_input[Tijdsbesparing (min/week/patiënt)],uniforme_input[Doelgroep],C20,uniforme_input[Digitale zorgtoepassing],B20,uniforme_input[Tijdsbesparing (min/week/patiënt)],"&gt; 0")*(Berekening_impact[[#This Row],[Patiëntaantal (direct toepasbaar/extrapolatie)]])/60,0)</f>
        <v>52416</v>
      </c>
      <c r="K20" s="397">
        <f>IFERROR(AVERAGEIFS(uniforme_input[Tijdsbesparing (min/handeling)],uniforme_input[Doelgroep],C20,uniforme_input[Digitale zorgtoepassing],B20,uniforme_input[Tijdsbesparing (min/handeling)],"&gt; 0")*(Berekening_impact[[#This Row],[Patiëntaantal (direct toepasbaar/extrapolatie)]])/60,0)/52</f>
        <v>0</v>
      </c>
      <c r="L20" s="397">
        <f t="shared" si="2"/>
        <v>1310.4000000000001</v>
      </c>
      <c r="M20" s="412">
        <f t="shared" si="3"/>
        <v>55631872.220689654</v>
      </c>
      <c r="N20" s="412">
        <f>IFERROR(AVERAGEIFS(uniforme_input[Overige kostenbesparing (€/jaar/patiënt)],uniforme_input[Doelgroep],C20,uniforme_input[Digitale zorgtoepassing],B20,uniforme_input[Overige kostenbesparing (€/jaar/patiënt)],"&gt;0")*Berekening_impact[[#This Row],[Patiëntaantal (direct toepasbaar/extrapolatie)]],0)</f>
        <v>27400772.884817291</v>
      </c>
      <c r="O20" s="412" cm="1">
        <f t="array" ref="O20">IFERROR(AVERAGEIFS(uniforme_input[QALY per patiënt],uniforme_input[Doelgroep],C20,uniforme_input[Digitale zorgtoepassing],B20,uniforme_input[QALY per patiënt],"&gt;0")*Berekening_impact[[#This Row],[Patiëntaantal (direct toepasbaar/extrapolatie)]]*QALY[Waarde gezond levensjaar],0)</f>
        <v>0</v>
      </c>
      <c r="P20" s="412">
        <f>IFERROR((AVERAGEIFS(uniforme_input[Jaarlijkse kosten per patiënt totaal],uniforme_input[Digitale zorgtoepassing],B20,uniforme_input[Doelgroep],C20,uniforme_input[Bron gebruiken voor kosten/investering?],"Ja"))*I20,0)</f>
        <v>45826560.000000007</v>
      </c>
      <c r="Q20" s="412">
        <f>Berekening_impact[[#This Row],[Jaarlijkse kosten (totaal)]]+Berekening_impact[[#This Row],[Schatting kosten (€)]]</f>
        <v>45826560.000000007</v>
      </c>
      <c r="R20" s="412">
        <f>IFERROR((AVERAGEIFS(uniforme_input[Intiële investering per patiënt totaal],uniforme_input[Digitale zorgtoepassing],B20,uniforme_input[Doelgroep],C20,uniforme_input[Bron gebruiken voor kosten/investering?],"Ja",uniforme_input[Direct toepasbaar/extrapolatie/incidentie voor QALY],"&lt;&gt;Extrapolatie"))*I20,0)</f>
        <v>28425600</v>
      </c>
      <c r="S20" s="412">
        <f>Berekening_impact[[#This Row],[Initiële investering]]+Berekening_impact[[#This Row],[Schatting investering (€)]]</f>
        <v>28425600</v>
      </c>
      <c r="T20" s="443" t="s">
        <v>390</v>
      </c>
      <c r="U20" s="443" t="s">
        <v>390</v>
      </c>
      <c r="V20" s="398">
        <f>IF(Berekening_impact[[#This Row],[Kosten schatten?]] = "Ja", (Berekening_impact[[#This Row],[Totaal arbeidsbesparing (€/jaar)]]+Berekening_impact[[#This Row],[Overige kostenbesparing (totaal/jaar totaal potentieel)]])*INDEX(schatting_kosten[Verhouding kosten/omzet],MATCH(A20,schatting_kosten[Veld],0)),0)</f>
        <v>0</v>
      </c>
      <c r="W20"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20" s="286" t="s">
        <v>391</v>
      </c>
      <c r="Y20" s="130">
        <f>Berekening_impact[[#This Row],[Totaal arbeidsbesparing (€/jaar)]]*Berekening_impact[[#This Row],[Percentage van patiëntaantallen in Wlz (overige is Zvw)]]</f>
        <v>25034342.499310344</v>
      </c>
      <c r="Z20" s="130">
        <f>Berekening_impact[[#This Row],[Overige kostenbesparing (totaal/jaar totaal potentieel)]]*Berekening_impact[[#This Row],[Percentage van patiëntaantallen in Wlz (overige is Zvw)]]</f>
        <v>12330347.798167782</v>
      </c>
      <c r="AA20" s="130">
        <f>Berekening_impact[[#This Row],[Jaarlijkse kosten (totaal) - incl. schatting]]*Berekening_impact[[#This Row],[Percentage van patiëntaantallen in Wlz (overige is Zvw)]]</f>
        <v>20621952.000000004</v>
      </c>
      <c r="AB20" s="130">
        <f>Berekening_impact[[#This Row],[Initiële investering (totaal) - incl. schatting]]*Berekening_impact[[#This Row],[Percentage van patiëntaantallen in Wlz (overige is Zvw)]]</f>
        <v>12791520</v>
      </c>
    </row>
    <row r="21" spans="1:28" x14ac:dyDescent="0.5">
      <c r="A21" s="2" t="str">
        <f>INDEX(Technologieën[Veld],MATCH(B21,Technologieën[Digitale zorgtoepassing],0))</f>
        <v>Sensoren - Behandeling</v>
      </c>
      <c r="B21" s="33" t="s">
        <v>88</v>
      </c>
      <c r="C21" s="33" t="s">
        <v>89</v>
      </c>
      <c r="D21" s="444" cm="1">
        <f t="array" ref="D21">INDEX(Berekening_patiëntaantal[Percentage van patiëntaantallen in Wlz (overige is Zvw)],MATCH(B21,IF(Berekening_patiëntaantal[Doelgroep (zoeksleutel)]=C21,Berekening_patiëntaantal[Digitale zorgtoepassing]),0))</f>
        <v>0</v>
      </c>
      <c r="E21" s="33" t="str" cm="1">
        <f t="array" ref="E21">INDEX(Berekening_patiëntaantal[Direct toepasbaar/extrapolatie/incidentie voor QALY],MATCH(B21,IF(Berekening_patiëntaantal[Doelgroep (zoeksleutel)]=C21,Berekening_patiëntaantal[Digitale zorgtoepassing]),0))</f>
        <v>Huidige toepassing</v>
      </c>
      <c r="F21" s="33" t="s">
        <v>148</v>
      </c>
      <c r="G21" s="33" t="s">
        <v>391</v>
      </c>
      <c r="H21" s="135">
        <f>INDEX(Uurloon[Uurtarief zorgpersoneel],MATCH(F21,Uurloon[Zorgverlener],0))</f>
        <v>27.740086206896557</v>
      </c>
      <c r="I21" s="411">
        <f>SUMIFS(Berekening_patiëntaantal[Patiëntaantallen],Berekening_patiëntaantal[Doelgroep (zoeksleutel)],C21,Berekening_patiëntaantal[Digitale zorgtoepassing],B21)</f>
        <v>110000</v>
      </c>
      <c r="J21" s="397">
        <f>IFERROR(AVERAGEIFS(uniforme_input[Tijdsbesparing (min/week/patiënt)],uniforme_input[Doelgroep],C21,uniforme_input[Digitale zorgtoepassing],B21,uniforme_input[Tijdsbesparing (min/week/patiënt)],"&gt; 0")*(Berekening_impact[[#This Row],[Patiëntaantal (direct toepasbaar/extrapolatie)]])/60,0)</f>
        <v>12478.470455069735</v>
      </c>
      <c r="K21" s="397">
        <f>IFERROR(AVERAGEIFS(uniforme_input[Tijdsbesparing (min/handeling)],uniforme_input[Doelgroep],C21,uniforme_input[Digitale zorgtoepassing],B21,uniforme_input[Tijdsbesparing (min/handeling)],"&gt; 0")*(Berekening_impact[[#This Row],[Patiëntaantal (direct toepasbaar/extrapolatie)]])/60,0)/52</f>
        <v>0</v>
      </c>
      <c r="L21" s="397">
        <f t="shared" si="2"/>
        <v>311.96176137674337</v>
      </c>
      <c r="M21" s="412">
        <f t="shared" si="3"/>
        <v>18000000</v>
      </c>
      <c r="N21" s="412">
        <f>IFERROR(AVERAGEIFS(uniforme_input[Overige kostenbesparing (€/jaar/patiënt)],uniforme_input[Doelgroep],C21,uniforme_input[Digitale zorgtoepassing],B21,uniforme_input[Overige kostenbesparing (€/jaar/patiënt)],"&gt;0")*Berekening_impact[[#This Row],[Patiëntaantal (direct toepasbaar/extrapolatie)]],0)</f>
        <v>12000000</v>
      </c>
      <c r="O21" s="412" cm="1">
        <f t="array" ref="O21">IFERROR(AVERAGEIFS(uniforme_input[QALY per patiënt],uniforme_input[Doelgroep],C21,uniforme_input[Digitale zorgtoepassing],B21,uniforme_input[QALY per patiënt],"&gt;0")*Berekening_impact[[#This Row],[Patiëntaantal (direct toepasbaar/extrapolatie)]]*QALY[Waarde gezond levensjaar],0)</f>
        <v>165000000</v>
      </c>
      <c r="P21" s="412">
        <f>IFERROR((AVERAGEIFS(uniforme_input[Jaarlijkse kosten per patiënt totaal],uniforme_input[Digitale zorgtoepassing],B21,uniforme_input[Doelgroep],C21,uniforme_input[Bron gebruiken voor kosten/investering?],"Ja"))*I21,0)</f>
        <v>51315000</v>
      </c>
      <c r="Q21" s="412">
        <f>Berekening_impact[[#This Row],[Jaarlijkse kosten (totaal)]]+Berekening_impact[[#This Row],[Schatting kosten (€)]]</f>
        <v>51315000</v>
      </c>
      <c r="R21" s="412">
        <f>IFERROR((AVERAGEIFS(uniforme_input[Intiële investering per patiënt totaal],uniforme_input[Digitale zorgtoepassing],B21,uniforme_input[Doelgroep],C21,uniforme_input[Bron gebruiken voor kosten/investering?],"Ja",uniforme_input[Direct toepasbaar/extrapolatie/incidentie voor QALY],"&lt;&gt;Extrapolatie"))*I21,0)</f>
        <v>105875000</v>
      </c>
      <c r="S21" s="412">
        <f>Berekening_impact[[#This Row],[Initiële investering]]+Berekening_impact[[#This Row],[Schatting investering (€)]]</f>
        <v>105875000</v>
      </c>
      <c r="T21" s="443" t="s">
        <v>390</v>
      </c>
      <c r="U21" s="443" t="s">
        <v>390</v>
      </c>
      <c r="V21" s="398">
        <f>IF(Berekening_impact[[#This Row],[Kosten schatten?]] = "Ja", (Berekening_impact[[#This Row],[Totaal arbeidsbesparing (€/jaar)]]+Berekening_impact[[#This Row],[Overige kostenbesparing (totaal/jaar totaal potentieel)]])*INDEX(schatting_kosten[Verhouding kosten/omzet],MATCH(A21,schatting_kosten[Veld],0)),0)</f>
        <v>0</v>
      </c>
      <c r="W21"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21" s="286" t="s">
        <v>391</v>
      </c>
      <c r="Y21" s="130">
        <f>Berekening_impact[[#This Row],[Totaal arbeidsbesparing (€/jaar)]]*Berekening_impact[[#This Row],[Percentage van patiëntaantallen in Wlz (overige is Zvw)]]</f>
        <v>0</v>
      </c>
      <c r="Z21" s="130">
        <f>Berekening_impact[[#This Row],[Overige kostenbesparing (totaal/jaar totaal potentieel)]]*Berekening_impact[[#This Row],[Percentage van patiëntaantallen in Wlz (overige is Zvw)]]</f>
        <v>0</v>
      </c>
      <c r="AA21" s="130">
        <f>Berekening_impact[[#This Row],[Jaarlijkse kosten (totaal) - incl. schatting]]*Berekening_impact[[#This Row],[Percentage van patiëntaantallen in Wlz (overige is Zvw)]]</f>
        <v>0</v>
      </c>
      <c r="AB21" s="130">
        <f>Berekening_impact[[#This Row],[Initiële investering (totaal) - incl. schatting]]*Berekening_impact[[#This Row],[Percentage van patiëntaantallen in Wlz (overige is Zvw)]]</f>
        <v>0</v>
      </c>
    </row>
    <row r="22" spans="1:28" x14ac:dyDescent="0.5">
      <c r="A22" s="2" t="str">
        <f>INDEX(Technologieën[Veld],MATCH(B22,Technologieën[Digitale zorgtoepassing],0))</f>
        <v>Sensoren - Behandeling</v>
      </c>
      <c r="B22" s="33" t="s">
        <v>88</v>
      </c>
      <c r="C22" s="33" t="s">
        <v>91</v>
      </c>
      <c r="D22" s="444" cm="1">
        <f t="array" ref="D22">INDEX(Berekening_patiëntaantal[Percentage van patiëntaantallen in Wlz (overige is Zvw)],MATCH(B22,IF(Berekening_patiëntaantal[Doelgroep (zoeksleutel)]=C22,Berekening_patiëntaantal[Digitale zorgtoepassing]),0))</f>
        <v>0</v>
      </c>
      <c r="E22" s="33" t="str" cm="1">
        <f t="array" ref="E22">INDEX(Berekening_patiëntaantal[Direct toepasbaar/extrapolatie/incidentie voor QALY],MATCH(B22,IF(Berekening_patiëntaantal[Doelgroep (zoeksleutel)]=C22,Berekening_patiëntaantal[Digitale zorgtoepassing]),0))</f>
        <v>Huidige toepassing</v>
      </c>
      <c r="F22" s="33" t="s">
        <v>144</v>
      </c>
      <c r="G22" s="33" t="s">
        <v>779</v>
      </c>
      <c r="H22" s="135">
        <f>INDEX(Uurloon[Uurtarief zorgpersoneel],MATCH(F22,Uurloon[Zorgverlener],0))</f>
        <v>20.410632183908046</v>
      </c>
      <c r="I22" s="411">
        <f>SUMIFS(Berekening_patiëntaantal[Patiëntaantallen],Berekening_patiëntaantal[Doelgroep (zoeksleutel)],C22,Berekening_patiëntaantal[Digitale zorgtoepassing],B22)</f>
        <v>1752</v>
      </c>
      <c r="J22" s="397">
        <f>IFERROR(AVERAGEIFS(uniforme_input[Tijdsbesparing (min/week/patiënt)],uniforme_input[Doelgroep],C22,uniforme_input[Digitale zorgtoepassing],B22,uniforme_input[Tijdsbesparing (min/week/patiënt)],"&gt; 0")*(Berekening_impact[[#This Row],[Patiëntaantal (direct toepasbaar/extrapolatie)]])/60,0)</f>
        <v>7416.8</v>
      </c>
      <c r="K22" s="397">
        <f>IFERROR(AVERAGEIFS(uniforme_input[Tijdsbesparing (min/handeling)],uniforme_input[Doelgroep],C22,uniforme_input[Digitale zorgtoepassing],B22,uniforme_input[Tijdsbesparing (min/handeling)],"&gt; 0")*(Berekening_impact[[#This Row],[Patiëntaantal (direct toepasbaar/extrapolatie)]])/60,0)/52</f>
        <v>0</v>
      </c>
      <c r="L22" s="397">
        <f t="shared" si="2"/>
        <v>185.42000000000002</v>
      </c>
      <c r="M22" s="412">
        <f t="shared" si="3"/>
        <v>7871841.9926436786</v>
      </c>
      <c r="N22" s="412">
        <f>IFERROR(AVERAGEIFS(uniforme_input[Overige kostenbesparing (€/jaar/patiënt)],uniforme_input[Doelgroep],C22,uniforme_input[Digitale zorgtoepassing],B22,uniforme_input[Overige kostenbesparing (€/jaar/patiënt)],"&gt;0")*Berekening_impact[[#This Row],[Patiëntaantal (direct toepasbaar/extrapolatie)]],0)</f>
        <v>0</v>
      </c>
      <c r="O22" s="412" cm="1">
        <f t="array" ref="O22">IFERROR(AVERAGEIFS(uniforme_input[QALY per patiënt],uniforme_input[Doelgroep],C22,uniforme_input[Digitale zorgtoepassing],B22,uniforme_input[QALY per patiënt],"&gt;0")*Berekening_impact[[#This Row],[Patiëntaantal (direct toepasbaar/extrapolatie)]]*QALY[Waarde gezond levensjaar],0)</f>
        <v>0</v>
      </c>
      <c r="P22" s="412">
        <f>IFERROR((AVERAGEIFS(uniforme_input[Jaarlijkse kosten per patiënt totaal],uniforme_input[Digitale zorgtoepassing],B22,uniforme_input[Doelgroep],C22,uniforme_input[Bron gebruiken voor kosten/investering?],"Ja"))*I22,0)</f>
        <v>0</v>
      </c>
      <c r="Q22" s="412">
        <f>Berekening_impact[[#This Row],[Jaarlijkse kosten (totaal)]]+Berekening_impact[[#This Row],[Schatting kosten (€)]]</f>
        <v>0</v>
      </c>
      <c r="R22" s="412">
        <f>IFERROR((AVERAGEIFS(uniforme_input[Intiële investering per patiënt totaal],uniforme_input[Digitale zorgtoepassing],B22,uniforme_input[Doelgroep],C22,uniforme_input[Bron gebruiken voor kosten/investering?],"Ja",uniforme_input[Direct toepasbaar/extrapolatie/incidentie voor QALY],"&lt;&gt;Extrapolatie"))*I22,0)</f>
        <v>0</v>
      </c>
      <c r="S22" s="412">
        <f>Berekening_impact[[#This Row],[Initiële investering]]+Berekening_impact[[#This Row],[Schatting investering (€)]]</f>
        <v>0</v>
      </c>
      <c r="T22" s="443" t="s">
        <v>390</v>
      </c>
      <c r="U22" s="443" t="s">
        <v>390</v>
      </c>
      <c r="V22" s="398">
        <f>IF(Berekening_impact[[#This Row],[Kosten schatten?]] = "Ja", (Berekening_impact[[#This Row],[Totaal arbeidsbesparing (€/jaar)]]+Berekening_impact[[#This Row],[Overige kostenbesparing (totaal/jaar totaal potentieel)]])*INDEX(schatting_kosten[Verhouding kosten/omzet],MATCH(A22,schatting_kosten[Veld],0)),0)</f>
        <v>0</v>
      </c>
      <c r="W22"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22" s="286" t="s">
        <v>390</v>
      </c>
      <c r="Y22" s="130">
        <f>Berekening_impact[[#This Row],[Totaal arbeidsbesparing (€/jaar)]]*Berekening_impact[[#This Row],[Percentage van patiëntaantallen in Wlz (overige is Zvw)]]</f>
        <v>0</v>
      </c>
      <c r="Z22" s="130">
        <f>Berekening_impact[[#This Row],[Overige kostenbesparing (totaal/jaar totaal potentieel)]]*Berekening_impact[[#This Row],[Percentage van patiëntaantallen in Wlz (overige is Zvw)]]</f>
        <v>0</v>
      </c>
      <c r="AA22" s="130">
        <f>Berekening_impact[[#This Row],[Jaarlijkse kosten (totaal) - incl. schatting]]*Berekening_impact[[#This Row],[Percentage van patiëntaantallen in Wlz (overige is Zvw)]]</f>
        <v>0</v>
      </c>
      <c r="AB22" s="130">
        <f>Berekening_impact[[#This Row],[Initiële investering (totaal) - incl. schatting]]*Berekening_impact[[#This Row],[Percentage van patiëntaantallen in Wlz (overige is Zvw)]]</f>
        <v>0</v>
      </c>
    </row>
    <row r="23" spans="1:28" x14ac:dyDescent="0.5">
      <c r="A23" s="2" t="str">
        <f>INDEX(Technologieën[Veld],MATCH(B23,Technologieën[Digitale zorgtoepassing],0))</f>
        <v>Sensoren - Behandeling</v>
      </c>
      <c r="B23" s="33" t="s">
        <v>53</v>
      </c>
      <c r="C23" s="33" t="s">
        <v>54</v>
      </c>
      <c r="D23" s="444" cm="1">
        <f t="array" ref="D23">INDEX(Berekening_patiëntaantal[Percentage van patiëntaantallen in Wlz (overige is Zvw)],MATCH(B23,IF(Berekening_patiëntaantal[Doelgroep (zoeksleutel)]=C23,Berekening_patiëntaantal[Digitale zorgtoepassing]),0))</f>
        <v>0</v>
      </c>
      <c r="E23" s="33" t="str" cm="1">
        <f t="array" ref="E23">INDEX(Berekening_patiëntaantal[Direct toepasbaar/extrapolatie/incidentie voor QALY],MATCH(B23,IF(Berekening_patiëntaantal[Doelgroep (zoeksleutel)]=C23,Berekening_patiëntaantal[Digitale zorgtoepassing]),0))</f>
        <v>Huidige toepassing</v>
      </c>
      <c r="F23" s="33" t="s">
        <v>148</v>
      </c>
      <c r="G23" s="33" t="s">
        <v>391</v>
      </c>
      <c r="H23" s="135">
        <f>INDEX(Uurloon[Uurtarief zorgpersoneel],MATCH(F23,Uurloon[Zorgverlener],0))</f>
        <v>27.740086206896557</v>
      </c>
      <c r="I23" s="411">
        <f>SUMIFS(Berekening_patiëntaantal[Patiëntaantallen],Berekening_patiëntaantal[Doelgroep (zoeksleutel)],C23,Berekening_patiëntaantal[Digitale zorgtoepassing],B23)</f>
        <v>18000</v>
      </c>
      <c r="J23" s="397">
        <f>IFERROR(AVERAGEIFS(uniforme_input[Tijdsbesparing (min/week/patiënt)],uniforme_input[Doelgroep],C23,uniforme_input[Digitale zorgtoepassing],B23,uniforme_input[Tijdsbesparing (min/week/patiënt)],"&gt; 0")*(Berekening_impact[[#This Row],[Patiëntaantal (direct toepasbaar/extrapolatie)]])/60,0)</f>
        <v>4006.4125951274186</v>
      </c>
      <c r="K23" s="397">
        <f>IFERROR(AVERAGEIFS(uniforme_input[Tijdsbesparing (min/handeling)],uniforme_input[Doelgroep],C23,uniforme_input[Digitale zorgtoepassing],B23,uniforme_input[Tijdsbesparing (min/handeling)],"&gt; 0")*(Berekening_impact[[#This Row],[Patiëntaantal (direct toepasbaar/extrapolatie)]])/60,0)/52</f>
        <v>0</v>
      </c>
      <c r="L23" s="397">
        <f t="shared" si="2"/>
        <v>100.16031487818546</v>
      </c>
      <c r="M23" s="412">
        <f t="shared" si="3"/>
        <v>5779187.9999999981</v>
      </c>
      <c r="N23" s="412">
        <f>IFERROR(AVERAGEIFS(uniforme_input[Overige kostenbesparing (€/jaar/patiënt)],uniforme_input[Doelgroep],C23,uniforme_input[Digitale zorgtoepassing],B23,uniforme_input[Overige kostenbesparing (€/jaar/patiënt)],"&gt;0")*Berekening_impact[[#This Row],[Patiëntaantal (direct toepasbaar/extrapolatie)]],0)</f>
        <v>3852791.9999999995</v>
      </c>
      <c r="O23" s="412" cm="1">
        <f t="array" ref="O23">IFERROR(AVERAGEIFS(uniforme_input[QALY per patiënt],uniforme_input[Doelgroep],C23,uniforme_input[Digitale zorgtoepassing],B23,uniforme_input[QALY per patiënt],"&gt;0")*Berekening_impact[[#This Row],[Patiëntaantal (direct toepasbaar/extrapolatie)]]*QALY[Waarde gezond levensjaar],0)</f>
        <v>51300000</v>
      </c>
      <c r="P23" s="412">
        <f>IFERROR((AVERAGEIFS(uniforme_input[Jaarlijkse kosten per patiënt totaal],uniforme_input[Digitale zorgtoepassing],B23,uniforme_input[Doelgroep],C23,uniforme_input[Bron gebruiken voor kosten/investering?],"Ja"))*I23,0)</f>
        <v>3535416.6666666665</v>
      </c>
      <c r="Q23" s="412">
        <f>Berekening_impact[[#This Row],[Jaarlijkse kosten (totaal)]]+Berekening_impact[[#This Row],[Schatting kosten (€)]]</f>
        <v>3535416.6666666665</v>
      </c>
      <c r="R23" s="412">
        <f>IFERROR((AVERAGEIFS(uniforme_input[Intiële investering per patiënt totaal],uniforme_input[Digitale zorgtoepassing],B23,uniforme_input[Doelgroep],C23,uniforme_input[Bron gebruiken voor kosten/investering?],"Ja",uniforme_input[Direct toepasbaar/extrapolatie/incidentie voor QALY],"&lt;&gt;Extrapolatie"))*I23,0)</f>
        <v>2663974.9999999995</v>
      </c>
      <c r="S23" s="412">
        <f>Berekening_impact[[#This Row],[Initiële investering]]+Berekening_impact[[#This Row],[Schatting investering (€)]]</f>
        <v>2663974.9999999995</v>
      </c>
      <c r="T23" s="443" t="s">
        <v>390</v>
      </c>
      <c r="U23" s="443" t="s">
        <v>390</v>
      </c>
      <c r="V23" s="398">
        <f>IF(Berekening_impact[[#This Row],[Kosten schatten?]] = "Ja", (Berekening_impact[[#This Row],[Totaal arbeidsbesparing (€/jaar)]]+Berekening_impact[[#This Row],[Overige kostenbesparing (totaal/jaar totaal potentieel)]])*INDEX(schatting_kosten[Verhouding kosten/omzet],MATCH(A23,schatting_kosten[Veld],0)),0)</f>
        <v>0</v>
      </c>
      <c r="W23"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23" s="286" t="s">
        <v>391</v>
      </c>
      <c r="Y23" s="130">
        <f>Berekening_impact[[#This Row],[Totaal arbeidsbesparing (€/jaar)]]*Berekening_impact[[#This Row],[Percentage van patiëntaantallen in Wlz (overige is Zvw)]]</f>
        <v>0</v>
      </c>
      <c r="Z23" s="130">
        <f>Berekening_impact[[#This Row],[Overige kostenbesparing (totaal/jaar totaal potentieel)]]*Berekening_impact[[#This Row],[Percentage van patiëntaantallen in Wlz (overige is Zvw)]]</f>
        <v>0</v>
      </c>
      <c r="AA23" s="130">
        <f>Berekening_impact[[#This Row],[Jaarlijkse kosten (totaal) - incl. schatting]]*Berekening_impact[[#This Row],[Percentage van patiëntaantallen in Wlz (overige is Zvw)]]</f>
        <v>0</v>
      </c>
      <c r="AB23" s="130">
        <f>Berekening_impact[[#This Row],[Initiële investering (totaal) - incl. schatting]]*Berekening_impact[[#This Row],[Percentage van patiëntaantallen in Wlz (overige is Zvw)]]</f>
        <v>0</v>
      </c>
    </row>
    <row r="24" spans="1:28" x14ac:dyDescent="0.5">
      <c r="A24" s="2" t="str">
        <f>INDEX(Technologieën[Veld],MATCH(B24,Technologieën[Digitale zorgtoepassing],0))</f>
        <v>Sensoren - Behandeling</v>
      </c>
      <c r="B24" s="33" t="s">
        <v>53</v>
      </c>
      <c r="C24" s="33" t="s">
        <v>55</v>
      </c>
      <c r="D24" s="444" cm="1">
        <f t="array" ref="D24">INDEX(Berekening_patiëntaantal[Percentage van patiëntaantallen in Wlz (overige is Zvw)],MATCH(B24,IF(Berekening_patiëntaantal[Doelgroep (zoeksleutel)]=C24,Berekening_patiëntaantal[Digitale zorgtoepassing]),0))</f>
        <v>0</v>
      </c>
      <c r="E24" s="33" t="str" cm="1">
        <f t="array" ref="E24">INDEX(Berekening_patiëntaantal[Direct toepasbaar/extrapolatie/incidentie voor QALY],MATCH(B24,IF(Berekening_patiëntaantal[Doelgroep (zoeksleutel)]=C24,Berekening_patiëntaantal[Digitale zorgtoepassing]),0))</f>
        <v>Huidige toepassing</v>
      </c>
      <c r="F24" s="33" t="s">
        <v>148</v>
      </c>
      <c r="G24" s="33" t="s">
        <v>391</v>
      </c>
      <c r="H24" s="135">
        <f>INDEX(Uurloon[Uurtarief zorgpersoneel],MATCH(F24,Uurloon[Zorgverlener],0))</f>
        <v>27.740086206896557</v>
      </c>
      <c r="I24" s="411">
        <f>SUMIFS(Berekening_patiëntaantal[Patiëntaantallen],Berekening_patiëntaantal[Doelgroep (zoeksleutel)],C24,Berekening_patiëntaantal[Digitale zorgtoepassing],B24)</f>
        <v>15000</v>
      </c>
      <c r="J24" s="397">
        <f>IFERROR(AVERAGEIFS(uniforme_input[Tijdsbesparing (min/week/patiënt)],uniforme_input[Doelgroep],C24,uniforme_input[Digitale zorgtoepassing],B24,uniforme_input[Tijdsbesparing (min/week/patiënt)],"&gt; 0")*(Berekening_impact[[#This Row],[Patiëntaantal (direct toepasbaar/extrapolatie)]])/60,0)</f>
        <v>3338.6771626061823</v>
      </c>
      <c r="K24" s="397">
        <f>IFERROR(AVERAGEIFS(uniforme_input[Tijdsbesparing (min/handeling)],uniforme_input[Doelgroep],C24,uniforme_input[Digitale zorgtoepassing],B24,uniforme_input[Tijdsbesparing (min/handeling)],"&gt; 0")*(Berekening_impact[[#This Row],[Patiëntaantal (direct toepasbaar/extrapolatie)]])/60,0)/52</f>
        <v>0</v>
      </c>
      <c r="L24" s="397">
        <f t="shared" si="2"/>
        <v>83.466929065154559</v>
      </c>
      <c r="M24" s="412">
        <f t="shared" si="3"/>
        <v>4815989.9999999991</v>
      </c>
      <c r="N24" s="412">
        <f>IFERROR(AVERAGEIFS(uniforme_input[Overige kostenbesparing (€/jaar/patiënt)],uniforme_input[Doelgroep],C24,uniforme_input[Digitale zorgtoepassing],B24,uniforme_input[Overige kostenbesparing (€/jaar/patiënt)],"&gt;0")*Berekening_impact[[#This Row],[Patiëntaantal (direct toepasbaar/extrapolatie)]],0)</f>
        <v>3210659.9999999995</v>
      </c>
      <c r="O24" s="412" cm="1">
        <f t="array" ref="O24">IFERROR(AVERAGEIFS(uniforme_input[QALY per patiënt],uniforme_input[Doelgroep],C24,uniforme_input[Digitale zorgtoepassing],B24,uniforme_input[QALY per patiënt],"&gt;0")*Berekening_impact[[#This Row],[Patiëntaantal (direct toepasbaar/extrapolatie)]]*QALY[Waarde gezond levensjaar],0)</f>
        <v>42750000</v>
      </c>
      <c r="P24" s="412">
        <f>IFERROR((AVERAGEIFS(uniforme_input[Jaarlijkse kosten per patiënt totaal],uniforme_input[Digitale zorgtoepassing],B24,uniforme_input[Doelgroep],C24,uniforme_input[Bron gebruiken voor kosten/investering?],"Ja"))*I24,0)</f>
        <v>3126666.6666666665</v>
      </c>
      <c r="Q24" s="412">
        <f>Berekening_impact[[#This Row],[Jaarlijkse kosten (totaal)]]+Berekening_impact[[#This Row],[Schatting kosten (€)]]</f>
        <v>3126666.6666666665</v>
      </c>
      <c r="R24" s="412">
        <f>IFERROR((AVERAGEIFS(uniforme_input[Intiële investering per patiënt totaal],uniforme_input[Digitale zorgtoepassing],B24,uniforme_input[Doelgroep],C24,uniforme_input[Bron gebruiken voor kosten/investering?],"Ja",uniforme_input[Direct toepasbaar/extrapolatie/incidentie voor QALY],"&lt;&gt;Extrapolatie"))*I24,0)</f>
        <v>2663974.9999999995</v>
      </c>
      <c r="S24" s="412">
        <f>Berekening_impact[[#This Row],[Initiële investering]]+Berekening_impact[[#This Row],[Schatting investering (€)]]</f>
        <v>2663974.9999999995</v>
      </c>
      <c r="T24" s="443" t="s">
        <v>390</v>
      </c>
      <c r="U24" s="443" t="s">
        <v>390</v>
      </c>
      <c r="V24" s="398">
        <f>IF(Berekening_impact[[#This Row],[Kosten schatten?]] = "Ja", (Berekening_impact[[#This Row],[Totaal arbeidsbesparing (€/jaar)]]+Berekening_impact[[#This Row],[Overige kostenbesparing (totaal/jaar totaal potentieel)]])*INDEX(schatting_kosten[Verhouding kosten/omzet],MATCH(A24,schatting_kosten[Veld],0)),0)</f>
        <v>0</v>
      </c>
      <c r="W24"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24" s="286" t="s">
        <v>391</v>
      </c>
      <c r="Y24" s="130">
        <f>Berekening_impact[[#This Row],[Totaal arbeidsbesparing (€/jaar)]]*Berekening_impact[[#This Row],[Percentage van patiëntaantallen in Wlz (overige is Zvw)]]</f>
        <v>0</v>
      </c>
      <c r="Z24" s="130">
        <f>Berekening_impact[[#This Row],[Overige kostenbesparing (totaal/jaar totaal potentieel)]]*Berekening_impact[[#This Row],[Percentage van patiëntaantallen in Wlz (overige is Zvw)]]</f>
        <v>0</v>
      </c>
      <c r="AA24" s="130">
        <f>Berekening_impact[[#This Row],[Jaarlijkse kosten (totaal) - incl. schatting]]*Berekening_impact[[#This Row],[Percentage van patiëntaantallen in Wlz (overige is Zvw)]]</f>
        <v>0</v>
      </c>
      <c r="AB24" s="130">
        <f>Berekening_impact[[#This Row],[Initiële investering (totaal) - incl. schatting]]*Berekening_impact[[#This Row],[Percentage van patiëntaantallen in Wlz (overige is Zvw)]]</f>
        <v>0</v>
      </c>
    </row>
    <row r="25" spans="1:28" x14ac:dyDescent="0.5">
      <c r="A25" s="2" t="str">
        <f>INDEX(Technologieën[Veld],MATCH(B25,Technologieën[Digitale zorgtoepassing],0))</f>
        <v>Sensoren - Verpleging</v>
      </c>
      <c r="B25" s="33" t="s">
        <v>36</v>
      </c>
      <c r="C25" s="33" t="s">
        <v>40</v>
      </c>
      <c r="D25" s="444" cm="1">
        <f t="array" ref="D25">INDEX(Berekening_patiëntaantal[Percentage van patiëntaantallen in Wlz (overige is Zvw)],MATCH(B25,IF(Berekening_patiëntaantal[Doelgroep (zoeksleutel)]=C25,Berekening_patiëntaantal[Digitale zorgtoepassing]),0))</f>
        <v>0.45</v>
      </c>
      <c r="E25" s="33" t="str" cm="1">
        <f t="array" ref="E25">INDEX(Berekening_patiëntaantal[Direct toepasbaar/extrapolatie/incidentie voor QALY],MATCH(B25,IF(Berekening_patiëntaantal[Doelgroep (zoeksleutel)]=C25,Berekening_patiëntaantal[Digitale zorgtoepassing]),0))</f>
        <v>Extrapolatie</v>
      </c>
      <c r="F25" s="33" t="s">
        <v>144</v>
      </c>
      <c r="G25" s="33" t="s">
        <v>391</v>
      </c>
      <c r="H25" s="135">
        <f>INDEX(Uurloon[Uurtarief zorgpersoneel],MATCH(F25,Uurloon[Zorgverlener],0))</f>
        <v>20.410632183908046</v>
      </c>
      <c r="I25" s="411">
        <f>SUMIFS(Berekening_patiëntaantal[Patiëntaantallen],Berekening_patiëntaantal[Doelgroep (zoeksleutel)],C25,Berekening_patiëntaantal[Digitale zorgtoepassing],B25)</f>
        <v>20531.250000000004</v>
      </c>
      <c r="J25" s="397">
        <f>IFERROR(AVERAGEIFS(uniforme_input[Tijdsbesparing (min/week/patiënt)],uniforme_input[Doelgroep],C25,uniforme_input[Digitale zorgtoepassing],B25,uniforme_input[Tijdsbesparing (min/week/patiënt)],"&gt; 0")*(Berekening_impact[[#This Row],[Patiëntaantal (direct toepasbaar/extrapolatie)]])/60,0)</f>
        <v>66726.958732268511</v>
      </c>
      <c r="K25" s="397">
        <f>IFERROR(AVERAGEIFS(uniforme_input[Tijdsbesparing (min/handeling)],uniforme_input[Doelgroep],C25,uniforme_input[Digitale zorgtoepassing],B25,uniforme_input[Tijdsbesparing (min/handeling)],"&gt; 0")*(Berekening_impact[[#This Row],[Patiëntaantal (direct toepasbaar/extrapolatie)]])/60,0)/52</f>
        <v>0</v>
      </c>
      <c r="L25" s="397">
        <f t="shared" si="2"/>
        <v>1668.1739683067128</v>
      </c>
      <c r="M25" s="412">
        <f t="shared" si="3"/>
        <v>70820849.394627482</v>
      </c>
      <c r="N25" s="412">
        <f>IFERROR(AVERAGEIFS(uniforme_input[Overige kostenbesparing (€/jaar/patiënt)],uniforme_input[Doelgroep],C25,uniforme_input[Digitale zorgtoepassing],B25,uniforme_input[Overige kostenbesparing (€/jaar/patiënt)],"&gt;0")*Berekening_impact[[#This Row],[Patiëntaantal (direct toepasbaar/extrapolatie)]],0)</f>
        <v>9741960.8035714291</v>
      </c>
      <c r="O25" s="412" cm="1">
        <f t="array" ref="O25">IFERROR(AVERAGEIFS(uniforme_input[QALY per patiënt],uniforme_input[Doelgroep],C25,uniforme_input[Digitale zorgtoepassing],B25,uniforme_input[QALY per patiënt],"&gt;0")*Berekening_impact[[#This Row],[Patiëntaantal (direct toepasbaar/extrapolatie)]]*QALY[Waarde gezond levensjaar],0)</f>
        <v>0</v>
      </c>
      <c r="P25" s="412">
        <f>IFERROR((AVERAGEIFS(uniforme_input[Jaarlijkse kosten per patiënt totaal],uniforme_input[Digitale zorgtoepassing],B25,uniforme_input[Doelgroep],C25,uniforme_input[Bron gebruiken voor kosten/investering?],"Ja"))*I25,0)</f>
        <v>38557687.500000007</v>
      </c>
      <c r="Q25" s="412">
        <f>Berekening_impact[[#This Row],[Jaarlijkse kosten (totaal)]]+Berekening_impact[[#This Row],[Schatting kosten (€)]]</f>
        <v>38557687.500000007</v>
      </c>
      <c r="R25" s="412">
        <f>IFERROR((AVERAGEIFS(uniforme_input[Intiële investering per patiënt totaal],uniforme_input[Digitale zorgtoepassing],B25,uniforme_input[Doelgroep],C25,uniforme_input[Bron gebruiken voor kosten/investering?],"Ja",uniforme_input[Direct toepasbaar/extrapolatie/incidentie voor QALY],"&lt;&gt;Extrapolatie"))*I25,0)</f>
        <v>0</v>
      </c>
      <c r="S25" s="412">
        <f>Berekening_impact[[#This Row],[Initiële investering]]+Berekening_impact[[#This Row],[Schatting investering (€)]]</f>
        <v>0</v>
      </c>
      <c r="T25" s="443" t="s">
        <v>390</v>
      </c>
      <c r="U25" s="443" t="s">
        <v>390</v>
      </c>
      <c r="V25" s="398">
        <f>IF(Berekening_impact[[#This Row],[Kosten schatten?]] = "Ja", (Berekening_impact[[#This Row],[Totaal arbeidsbesparing (€/jaar)]]+Berekening_impact[[#This Row],[Overige kostenbesparing (totaal/jaar totaal potentieel)]])*INDEX(schatting_kosten[Verhouding kosten/omzet],MATCH(A25,schatting_kosten[Veld],0)),0)</f>
        <v>0</v>
      </c>
      <c r="W25"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25" s="286" t="s">
        <v>391</v>
      </c>
      <c r="Y25" s="130">
        <f>Berekening_impact[[#This Row],[Totaal arbeidsbesparing (€/jaar)]]*Berekening_impact[[#This Row],[Percentage van patiëntaantallen in Wlz (overige is Zvw)]]</f>
        <v>31869382.227582369</v>
      </c>
      <c r="Z25" s="130">
        <f>Berekening_impact[[#This Row],[Overige kostenbesparing (totaal/jaar totaal potentieel)]]*Berekening_impact[[#This Row],[Percentage van patiëntaantallen in Wlz (overige is Zvw)]]</f>
        <v>4383882.3616071437</v>
      </c>
      <c r="AA25" s="130">
        <f>Berekening_impact[[#This Row],[Jaarlijkse kosten (totaal) - incl. schatting]]*Berekening_impact[[#This Row],[Percentage van patiëntaantallen in Wlz (overige is Zvw)]]</f>
        <v>17350959.375000004</v>
      </c>
      <c r="AB25" s="130">
        <f>Berekening_impact[[#This Row],[Initiële investering (totaal) - incl. schatting]]*Berekening_impact[[#This Row],[Percentage van patiëntaantallen in Wlz (overige is Zvw)]]</f>
        <v>0</v>
      </c>
    </row>
    <row r="26" spans="1:28" x14ac:dyDescent="0.5">
      <c r="A26" s="2" t="str">
        <f>INDEX(Technologieën[Veld],MATCH(B26,Technologieën[Digitale zorgtoepassing],0))</f>
        <v>Sensoren - Behandeling</v>
      </c>
      <c r="B26" s="33" t="s">
        <v>593</v>
      </c>
      <c r="C26" s="33" t="s">
        <v>308</v>
      </c>
      <c r="D26" s="444" cm="1">
        <f t="array" ref="D26">INDEX(Berekening_patiëntaantal[Percentage van patiëntaantallen in Wlz (overige is Zvw)],MATCH(B26,IF(Berekening_patiëntaantal[Doelgroep (zoeksleutel)]=C26,Berekening_patiëntaantal[Digitale zorgtoepassing]),0))</f>
        <v>0</v>
      </c>
      <c r="E26" s="33" t="str" cm="1">
        <f t="array" ref="E26">INDEX(Berekening_patiëntaantal[Direct toepasbaar/extrapolatie/incidentie voor QALY],MATCH(B26,IF(Berekening_patiëntaantal[Doelgroep (zoeksleutel)]=C26,Berekening_patiëntaantal[Digitale zorgtoepassing]),0))</f>
        <v>Huidige toepassing</v>
      </c>
      <c r="F26" s="33" t="s">
        <v>148</v>
      </c>
      <c r="G26" s="33" t="s">
        <v>391</v>
      </c>
      <c r="H26" s="135">
        <f>INDEX(Uurloon[Uurtarief zorgpersoneel],MATCH(F26,Uurloon[Zorgverlener],0))</f>
        <v>27.740086206896557</v>
      </c>
      <c r="I26" s="411">
        <f>SUMIFS(Berekening_patiëntaantal[Patiëntaantallen],Berekening_patiëntaantal[Doelgroep (zoeksleutel)],C26,Berekening_patiëntaantal[Digitale zorgtoepassing],B26)</f>
        <v>16883.8</v>
      </c>
      <c r="J26" s="397">
        <f>IFERROR(AVERAGEIFS(uniforme_input[Tijdsbesparing (min/week/patiënt)],uniforme_input[Doelgroep],C26,uniforme_input[Digitale zorgtoepassing],B26,uniforme_input[Tijdsbesparing (min/week/patiënt)],"&gt; 0")*(Berekening_impact[[#This Row],[Patiëntaantal (direct toepasbaar/extrapolatie)]])/60,0)</f>
        <v>0</v>
      </c>
      <c r="K26" s="397">
        <f>IFERROR(AVERAGEIFS(uniforme_input[Tijdsbesparing (min/handeling)],uniforme_input[Doelgroep],C26,uniforme_input[Digitale zorgtoepassing],B26,uniforme_input[Tijdsbesparing (min/handeling)],"&gt; 0")*(Berekening_impact[[#This Row],[Patiëntaantal (direct toepasbaar/extrapolatie)]])/60,0)/52</f>
        <v>6236.2463842914685</v>
      </c>
      <c r="L26" s="397">
        <f t="shared" si="2"/>
        <v>155.90615960728672</v>
      </c>
      <c r="M26" s="412">
        <f t="shared" si="3"/>
        <v>8995688.6399999987</v>
      </c>
      <c r="N26" s="412">
        <f>IFERROR(AVERAGEIFS(uniforme_input[Overige kostenbesparing (€/jaar/patiënt)],uniforme_input[Doelgroep],C26,uniforme_input[Digitale zorgtoepassing],B26,uniforme_input[Overige kostenbesparing (€/jaar/patiënt)],"&gt;0")*Berekening_impact[[#This Row],[Patiëntaantal (direct toepasbaar/extrapolatie)]],0)</f>
        <v>5997125.7600000007</v>
      </c>
      <c r="O26" s="412" cm="1">
        <f t="array" ref="O26">IFERROR(AVERAGEIFS(uniforme_input[QALY per patiënt],uniforme_input[Doelgroep],C26,uniforme_input[Digitale zorgtoepassing],B26,uniforme_input[QALY per patiënt],"&gt;0")*Berekening_impact[[#This Row],[Patiëntaantal (direct toepasbaar/extrapolatie)]]*QALY[Waarde gezond levensjaar],0)</f>
        <v>0</v>
      </c>
      <c r="P26" s="412">
        <f>IFERROR((AVERAGEIFS(uniforme_input[Jaarlijkse kosten per patiënt totaal],uniforme_input[Digitale zorgtoepassing],B26,uniforme_input[Doelgroep],C26,uniforme_input[Bron gebruiken voor kosten/investering?],"Ja"))*I26,0)</f>
        <v>1140318.5</v>
      </c>
      <c r="Q26" s="412">
        <f>Berekening_impact[[#This Row],[Jaarlijkse kosten (totaal)]]+Berekening_impact[[#This Row],[Schatting kosten (€)]]</f>
        <v>1140318.5</v>
      </c>
      <c r="R26" s="412">
        <f>IFERROR((AVERAGEIFS(uniforme_input[Intiële investering per patiënt totaal],uniforme_input[Digitale zorgtoepassing],B26,uniforme_input[Doelgroep],C26,uniforme_input[Bron gebruiken voor kosten/investering?],"Ja",uniforme_input[Direct toepasbaar/extrapolatie/incidentie voor QALY],"&lt;&gt;Extrapolatie"))*I26,0)</f>
        <v>0</v>
      </c>
      <c r="S26" s="412">
        <f>Berekening_impact[[#This Row],[Initiële investering]]+Berekening_impact[[#This Row],[Schatting investering (€)]]</f>
        <v>0</v>
      </c>
      <c r="T26" s="443" t="s">
        <v>390</v>
      </c>
      <c r="U26" s="443" t="s">
        <v>390</v>
      </c>
      <c r="V26" s="398">
        <f>IF(Berekening_impact[[#This Row],[Kosten schatten?]] = "Ja", (Berekening_impact[[#This Row],[Totaal arbeidsbesparing (€/jaar)]]+Berekening_impact[[#This Row],[Overige kostenbesparing (totaal/jaar totaal potentieel)]])*INDEX(schatting_kosten[Verhouding kosten/omzet],MATCH(A26,schatting_kosten[Veld],0)),0)</f>
        <v>0</v>
      </c>
      <c r="W26"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26" s="286" t="s">
        <v>391</v>
      </c>
      <c r="Y26" s="130">
        <f>Berekening_impact[[#This Row],[Totaal arbeidsbesparing (€/jaar)]]*Berekening_impact[[#This Row],[Percentage van patiëntaantallen in Wlz (overige is Zvw)]]</f>
        <v>0</v>
      </c>
      <c r="Z26" s="130">
        <f>Berekening_impact[[#This Row],[Overige kostenbesparing (totaal/jaar totaal potentieel)]]*Berekening_impact[[#This Row],[Percentage van patiëntaantallen in Wlz (overige is Zvw)]]</f>
        <v>0</v>
      </c>
      <c r="AA26" s="130">
        <f>Berekening_impact[[#This Row],[Jaarlijkse kosten (totaal) - incl. schatting]]*Berekening_impact[[#This Row],[Percentage van patiëntaantallen in Wlz (overige is Zvw)]]</f>
        <v>0</v>
      </c>
      <c r="AB26" s="130">
        <f>Berekening_impact[[#This Row],[Initiële investering (totaal) - incl. schatting]]*Berekening_impact[[#This Row],[Percentage van patiëntaantallen in Wlz (overige is Zvw)]]</f>
        <v>0</v>
      </c>
    </row>
    <row r="27" spans="1:28" x14ac:dyDescent="0.5">
      <c r="A27" s="2" t="str">
        <f>INDEX(Technologieën[Veld],MATCH(B27,Technologieën[Digitale zorgtoepassing],0))</f>
        <v>Sensoren - Verpleging</v>
      </c>
      <c r="B27" s="33" t="s">
        <v>46</v>
      </c>
      <c r="C27" s="33" t="s">
        <v>20</v>
      </c>
      <c r="D27" s="444" cm="1">
        <f t="array" ref="D27">INDEX(Berekening_patiëntaantal[Percentage van patiëntaantallen in Wlz (overige is Zvw)],MATCH(B27,IF(Berekening_patiëntaantal[Doelgroep (zoeksleutel)]=C27,Berekening_patiëntaantal[Digitale zorgtoepassing]),0))</f>
        <v>1</v>
      </c>
      <c r="E27" s="33" t="str" cm="1">
        <f t="array" ref="E27">INDEX(Berekening_patiëntaantal[Direct toepasbaar/extrapolatie/incidentie voor QALY],MATCH(B27,IF(Berekening_patiëntaantal[Doelgroep (zoeksleutel)]=C27,Berekening_patiëntaantal[Digitale zorgtoepassing]),0))</f>
        <v>Huidige toepassing</v>
      </c>
      <c r="F27" s="33" t="s">
        <v>144</v>
      </c>
      <c r="G27" s="33" t="s">
        <v>391</v>
      </c>
      <c r="H27" s="135">
        <f>INDEX(Uurloon[Uurtarief zorgpersoneel],MATCH(F27,Uurloon[Zorgverlener],0))</f>
        <v>20.410632183908046</v>
      </c>
      <c r="I27" s="411">
        <f>SUMIFS(Berekening_patiëntaantal[Patiëntaantallen],Berekening_patiëntaantal[Doelgroep (zoeksleutel)],C27,Berekening_patiëntaantal[Digitale zorgtoepassing],B27)</f>
        <v>78300</v>
      </c>
      <c r="J27" s="397">
        <f>IFERROR(AVERAGEIFS(uniforme_input[Tijdsbesparing (min/week/patiënt)],uniforme_input[Doelgroep],C27,uniforme_input[Digitale zorgtoepassing],B27,uniforme_input[Tijdsbesparing (min/week/patiënt)],"&gt; 0")*(Berekening_impact[[#This Row],[Patiëntaantal (direct toepasbaar/extrapolatie)]])/60,0)</f>
        <v>39182.262018803114</v>
      </c>
      <c r="K27" s="397">
        <f>IFERROR(AVERAGEIFS(uniforme_input[Tijdsbesparing (min/handeling)],uniforme_input[Doelgroep],C27,uniforme_input[Digitale zorgtoepassing],B27,uniforme_input[Tijdsbesparing (min/handeling)],"&gt; 0")*(Berekening_impact[[#This Row],[Patiëntaantal (direct toepasbaar/extrapolatie)]])/60,0)/52</f>
        <v>0</v>
      </c>
      <c r="L27" s="397">
        <f t="shared" si="2"/>
        <v>979.55655047007781</v>
      </c>
      <c r="M27" s="412">
        <f t="shared" si="3"/>
        <v>41586206.38636364</v>
      </c>
      <c r="N27" s="412">
        <f>IFERROR(AVERAGEIFS(uniforme_input[Overige kostenbesparing (€/jaar/patiënt)],uniforme_input[Doelgroep],C27,uniforme_input[Digitale zorgtoepassing],B27,uniforme_input[Overige kostenbesparing (€/jaar/patiënt)],"&gt;0")*Berekening_impact[[#This Row],[Patiëntaantal (direct toepasbaar/extrapolatie)]],0)</f>
        <v>3957119.0717213121</v>
      </c>
      <c r="O27" s="412" cm="1">
        <f t="array" ref="O27">IFERROR(AVERAGEIFS(uniforme_input[QALY per patiënt],uniforme_input[Doelgroep],C27,uniforme_input[Digitale zorgtoepassing],B27,uniforme_input[QALY per patiënt],"&gt;0")*Berekening_impact[[#This Row],[Patiëntaantal (direct toepasbaar/extrapolatie)]]*QALY[Waarde gezond levensjaar],0)</f>
        <v>0</v>
      </c>
      <c r="P27" s="412">
        <f>IFERROR((AVERAGEIFS(uniforme_input[Jaarlijkse kosten per patiënt totaal],uniforme_input[Digitale zorgtoepassing],B27,uniforme_input[Doelgroep],C27,uniforme_input[Bron gebruiken voor kosten/investering?],"Ja"))*I27,0)</f>
        <v>11157750</v>
      </c>
      <c r="Q27" s="412">
        <f>Berekening_impact[[#This Row],[Jaarlijkse kosten (totaal)]]+Berekening_impact[[#This Row],[Schatting kosten (€)]]</f>
        <v>11157750</v>
      </c>
      <c r="R27" s="412">
        <f>IFERROR((AVERAGEIFS(uniforme_input[Intiële investering per patiënt totaal],uniforme_input[Digitale zorgtoepassing],B27,uniforme_input[Doelgroep],C27,uniforme_input[Bron gebruiken voor kosten/investering?],"Ja",uniforme_input[Direct toepasbaar/extrapolatie/incidentie voor QALY],"&lt;&gt;Extrapolatie"))*I27,0)</f>
        <v>35553631.75</v>
      </c>
      <c r="S27" s="412">
        <f>Berekening_impact[[#This Row],[Initiële investering]]+Berekening_impact[[#This Row],[Schatting investering (€)]]</f>
        <v>35553631.75</v>
      </c>
      <c r="T27" s="443" t="s">
        <v>390</v>
      </c>
      <c r="U27" s="443" t="s">
        <v>390</v>
      </c>
      <c r="V27" s="398">
        <f>IF(Berekening_impact[[#This Row],[Kosten schatten?]] = "Ja", (Berekening_impact[[#This Row],[Totaal arbeidsbesparing (€/jaar)]]+Berekening_impact[[#This Row],[Overige kostenbesparing (totaal/jaar totaal potentieel)]])*INDEX(schatting_kosten[Verhouding kosten/omzet],MATCH(A27,schatting_kosten[Veld],0)),0)</f>
        <v>0</v>
      </c>
      <c r="W27"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27" s="286" t="s">
        <v>391</v>
      </c>
      <c r="Y27" s="130">
        <f>Berekening_impact[[#This Row],[Totaal arbeidsbesparing (€/jaar)]]*Berekening_impact[[#This Row],[Percentage van patiëntaantallen in Wlz (overige is Zvw)]]</f>
        <v>41586206.38636364</v>
      </c>
      <c r="Z27" s="130">
        <f>Berekening_impact[[#This Row],[Overige kostenbesparing (totaal/jaar totaal potentieel)]]*Berekening_impact[[#This Row],[Percentage van patiëntaantallen in Wlz (overige is Zvw)]]</f>
        <v>3957119.0717213121</v>
      </c>
      <c r="AA27" s="130">
        <f>Berekening_impact[[#This Row],[Jaarlijkse kosten (totaal) - incl. schatting]]*Berekening_impact[[#This Row],[Percentage van patiëntaantallen in Wlz (overige is Zvw)]]</f>
        <v>11157750</v>
      </c>
      <c r="AB27" s="130">
        <f>Berekening_impact[[#This Row],[Initiële investering (totaal) - incl. schatting]]*Berekening_impact[[#This Row],[Percentage van patiëntaantallen in Wlz (overige is Zvw)]]</f>
        <v>35553631.75</v>
      </c>
    </row>
    <row r="28" spans="1:28" x14ac:dyDescent="0.5">
      <c r="A28" s="2" t="str">
        <f>INDEX(Technologieën[Veld],MATCH(B28,Technologieën[Digitale zorgtoepassing],0))</f>
        <v>Software - Behandeling</v>
      </c>
      <c r="B28" s="33" t="s">
        <v>588</v>
      </c>
      <c r="C28" s="33" t="s">
        <v>589</v>
      </c>
      <c r="D28" s="444" cm="1">
        <f t="array" ref="D28">INDEX(Berekening_patiëntaantal[Percentage van patiëntaantallen in Wlz (overige is Zvw)],MATCH(B28,IF(Berekening_patiëntaantal[Doelgroep (zoeksleutel)]=C28,Berekening_patiëntaantal[Digitale zorgtoepassing]),0))</f>
        <v>0</v>
      </c>
      <c r="E28" s="33" t="str" cm="1">
        <f t="array" ref="E28">INDEX(Berekening_patiëntaantal[Direct toepasbaar/extrapolatie/incidentie voor QALY],MATCH(B28,IF(Berekening_patiëntaantal[Doelgroep (zoeksleutel)]=C28,Berekening_patiëntaantal[Digitale zorgtoepassing]),0))</f>
        <v>Extrapolatie</v>
      </c>
      <c r="F28" s="33" t="s">
        <v>171</v>
      </c>
      <c r="G28" s="33" t="s">
        <v>778</v>
      </c>
      <c r="H28" s="135">
        <f>INDEX(Uurloon[Uurtarief zorgpersoneel],MATCH(F28,Uurloon[Zorgverlener],0))</f>
        <v>20.670258620689658</v>
      </c>
      <c r="I28" s="411">
        <f>SUMIFS(Berekening_patiëntaantal[Patiëntaantallen],Berekening_patiëntaantal[Doelgroep (zoeksleutel)],C28,Berekening_patiëntaantal[Digitale zorgtoepassing],B28)</f>
        <v>35000</v>
      </c>
      <c r="J28" s="397">
        <f>IFERROR(AVERAGEIFS(uniforme_input[Tijdsbesparing (min/week/patiënt)],uniforme_input[Doelgroep],C28,uniforme_input[Digitale zorgtoepassing],B28,uniforme_input[Tijdsbesparing (min/week/patiënt)],"&gt; 0")*(Berekening_impact[[#This Row],[Patiëntaantal (direct toepasbaar/extrapolatie)]])/60,0)</f>
        <v>35000</v>
      </c>
      <c r="K28" s="397">
        <f>IFERROR(AVERAGEIFS(uniforme_input[Tijdsbesparing (min/handeling)],uniforme_input[Doelgroep],C28,uniforme_input[Digitale zorgtoepassing],B28,uniforme_input[Tijdsbesparing (min/handeling)],"&gt; 0")*(Berekening_impact[[#This Row],[Patiëntaantal (direct toepasbaar/extrapolatie)]])/60,0)/52</f>
        <v>0</v>
      </c>
      <c r="L28" s="397">
        <f t="shared" si="2"/>
        <v>875</v>
      </c>
      <c r="M28" s="412">
        <f t="shared" si="3"/>
        <v>37619870.689655177</v>
      </c>
      <c r="N28" s="412">
        <f>IFERROR(AVERAGEIFS(uniforme_input[Overige kostenbesparing (€/jaar/patiënt)],uniforme_input[Doelgroep],C28,uniforme_input[Digitale zorgtoepassing],B28,uniforme_input[Overige kostenbesparing (€/jaar/patiënt)],"&gt;0")*Berekening_impact[[#This Row],[Patiëntaantal (direct toepasbaar/extrapolatie)]],0)</f>
        <v>0</v>
      </c>
      <c r="O28" s="412" cm="1">
        <f t="array" ref="O28">IFERROR(AVERAGEIFS(uniforme_input[QALY per patiënt],uniforme_input[Doelgroep],C28,uniforme_input[Digitale zorgtoepassing],B28,uniforme_input[QALY per patiënt],"&gt;0")*Berekening_impact[[#This Row],[Patiëntaantal (direct toepasbaar/extrapolatie)]]*QALY[Waarde gezond levensjaar],0)</f>
        <v>0</v>
      </c>
      <c r="P28" s="412">
        <f>IFERROR((AVERAGEIFS(uniforme_input[Jaarlijkse kosten per patiënt totaal],uniforme_input[Digitale zorgtoepassing],B28,uniforme_input[Doelgroep],C28,uniforme_input[Bron gebruiken voor kosten/investering?],"Ja"))*I28,0)</f>
        <v>4900002.9749999996</v>
      </c>
      <c r="Q28" s="412">
        <f>Berekening_impact[[#This Row],[Jaarlijkse kosten (totaal)]]+Berekening_impact[[#This Row],[Schatting kosten (€)]]</f>
        <v>4900002.9749999996</v>
      </c>
      <c r="R28" s="412">
        <f>IFERROR((AVERAGEIFS(uniforme_input[Intiële investering per patiënt totaal],uniforme_input[Digitale zorgtoepassing],B28,uniforme_input[Doelgroep],C28,uniforme_input[Bron gebruiken voor kosten/investering?],"Ja",uniforme_input[Direct toepasbaar/extrapolatie/incidentie voor QALY],"&lt;&gt;Extrapolatie"))*I28,0)</f>
        <v>0</v>
      </c>
      <c r="S28" s="412">
        <f>Berekening_impact[[#This Row],[Initiële investering]]+Berekening_impact[[#This Row],[Schatting investering (€)]]</f>
        <v>0</v>
      </c>
      <c r="T28" s="443" t="s">
        <v>390</v>
      </c>
      <c r="U28" s="443" t="s">
        <v>390</v>
      </c>
      <c r="V28" s="398">
        <f>IF(Berekening_impact[[#This Row],[Kosten schatten?]] = "Ja", (Berekening_impact[[#This Row],[Totaal arbeidsbesparing (€/jaar)]]+Berekening_impact[[#This Row],[Overige kostenbesparing (totaal/jaar totaal potentieel)]])*INDEX(schatting_kosten[Verhouding kosten/omzet],MATCH(A28,schatting_kosten[Veld],0)),0)</f>
        <v>0</v>
      </c>
      <c r="W28"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28" s="286" t="s">
        <v>391</v>
      </c>
      <c r="Y28" s="130">
        <f>Berekening_impact[[#This Row],[Totaal arbeidsbesparing (€/jaar)]]*Berekening_impact[[#This Row],[Percentage van patiëntaantallen in Wlz (overige is Zvw)]]</f>
        <v>0</v>
      </c>
      <c r="Z28" s="130">
        <f>Berekening_impact[[#This Row],[Overige kostenbesparing (totaal/jaar totaal potentieel)]]*Berekening_impact[[#This Row],[Percentage van patiëntaantallen in Wlz (overige is Zvw)]]</f>
        <v>0</v>
      </c>
      <c r="AA28" s="130">
        <f>Berekening_impact[[#This Row],[Jaarlijkse kosten (totaal) - incl. schatting]]*Berekening_impact[[#This Row],[Percentage van patiëntaantallen in Wlz (overige is Zvw)]]</f>
        <v>0</v>
      </c>
      <c r="AB28" s="130">
        <f>Berekening_impact[[#This Row],[Initiële investering (totaal) - incl. schatting]]*Berekening_impact[[#This Row],[Percentage van patiëntaantallen in Wlz (overige is Zvw)]]</f>
        <v>0</v>
      </c>
    </row>
    <row r="29" spans="1:28" x14ac:dyDescent="0.5">
      <c r="A29" s="2" t="str">
        <f>INDEX(Technologieën[Veld],MATCH(B29,Technologieën[Digitale zorgtoepassing],0))</f>
        <v>Sensoren - Verpleging</v>
      </c>
      <c r="B29" s="33" t="s">
        <v>36</v>
      </c>
      <c r="C29" s="33" t="s">
        <v>20</v>
      </c>
      <c r="D29" s="444" cm="1">
        <f t="array" ref="D29">INDEX(Berekening_patiëntaantal[Percentage van patiëntaantallen in Wlz (overige is Zvw)],MATCH(B29,IF(Berekening_patiëntaantal[Doelgroep (zoeksleutel)]=C29,Berekening_patiëntaantal[Digitale zorgtoepassing]),0))</f>
        <v>0</v>
      </c>
      <c r="E29" s="33" t="str" cm="1">
        <f t="array" ref="E29">INDEX(Berekening_patiëntaantal[Direct toepasbaar/extrapolatie/incidentie voor QALY],MATCH(B29,IF(Berekening_patiëntaantal[Doelgroep (zoeksleutel)]=C29,Berekening_patiëntaantal[Digitale zorgtoepassing]),0))</f>
        <v>Huidige toepassing</v>
      </c>
      <c r="F29" s="33" t="s">
        <v>144</v>
      </c>
      <c r="G29" s="33" t="s">
        <v>780</v>
      </c>
      <c r="H29" s="135">
        <f>INDEX(Uurloon[Uurtarief zorgpersoneel],MATCH(F29,Uurloon[Zorgverlener],0))</f>
        <v>20.410632183908046</v>
      </c>
      <c r="I29" s="411">
        <f>SUMIFS(Berekening_patiëntaantal[Patiëntaantallen],Berekening_patiëntaantal[Doelgroep (zoeksleutel)],C29,Berekening_patiëntaantal[Digitale zorgtoepassing],B29)</f>
        <v>33064.35</v>
      </c>
      <c r="J29" s="397">
        <f>IFERROR(AVERAGEIFS(uniforme_input[Tijdsbesparing (min/week/patiënt)],uniforme_input[Doelgroep],C29,uniforme_input[Digitale zorgtoepassing],B29,uniforme_input[Tijdsbesparing (min/week/patiënt)],"&gt; 0")*(Berekening_impact[[#This Row],[Patiëntaantal (direct toepasbaar/extrapolatie)]])/60,0)</f>
        <v>107459.77560836685</v>
      </c>
      <c r="K29" s="397">
        <f>IFERROR(AVERAGEIFS(uniforme_input[Tijdsbesparing (min/handeling)],uniforme_input[Doelgroep],C29,uniforme_input[Digitale zorgtoepassing],B29,uniforme_input[Tijdsbesparing (min/handeling)],"&gt; 0")*(Berekening_impact[[#This Row],[Patiëntaantal (direct toepasbaar/extrapolatie)]])/60,0)/52</f>
        <v>0</v>
      </c>
      <c r="L29" s="397">
        <f t="shared" si="2"/>
        <v>2686.4943902091713</v>
      </c>
      <c r="M29" s="412">
        <f t="shared" si="3"/>
        <v>114052741.63439882</v>
      </c>
      <c r="N29" s="412">
        <f>IFERROR(AVERAGEIFS(uniforme_input[Overige kostenbesparing (€/jaar/patiënt)],uniforme_input[Doelgroep],C29,uniforme_input[Digitale zorgtoepassing],B29,uniforme_input[Overige kostenbesparing (€/jaar/patiënt)],"&gt;0")*Berekening_impact[[#This Row],[Patiëntaantal (direct toepasbaar/extrapolatie)]],0)</f>
        <v>15688845.135857139</v>
      </c>
      <c r="O29" s="412" cm="1">
        <f t="array" ref="O29">IFERROR(AVERAGEIFS(uniforme_input[QALY per patiënt],uniforme_input[Doelgroep],C29,uniforme_input[Digitale zorgtoepassing],B29,uniforme_input[QALY per patiënt],"&gt;0")*Berekening_impact[[#This Row],[Patiëntaantal (direct toepasbaar/extrapolatie)]]*QALY[Waarde gezond levensjaar],0)</f>
        <v>0</v>
      </c>
      <c r="P29" s="412">
        <f>IFERROR((AVERAGEIFS(uniforme_input[Jaarlijkse kosten per patiënt totaal],uniforme_input[Digitale zorgtoepassing],B29,uniforme_input[Doelgroep],C29,uniforme_input[Bron gebruiken voor kosten/investering?],"Ja"))*I29,0)</f>
        <v>62094849.299999997</v>
      </c>
      <c r="Q29" s="412">
        <f>Berekening_impact[[#This Row],[Jaarlijkse kosten (totaal)]]+Berekening_impact[[#This Row],[Schatting kosten (€)]]</f>
        <v>62094849.299999997</v>
      </c>
      <c r="R29" s="412">
        <f>IFERROR((AVERAGEIFS(uniforme_input[Intiële investering per patiënt totaal],uniforme_input[Digitale zorgtoepassing],B29,uniforme_input[Doelgroep],C29,uniforme_input[Bron gebruiken voor kosten/investering?],"Ja",uniforme_input[Direct toepasbaar/extrapolatie/incidentie voor QALY],"&lt;&gt;Extrapolatie"))*I29,0)</f>
        <v>0</v>
      </c>
      <c r="S29" s="412">
        <f>Berekening_impact[[#This Row],[Initiële investering]]+Berekening_impact[[#This Row],[Schatting investering (€)]]</f>
        <v>0</v>
      </c>
      <c r="T29" s="443" t="s">
        <v>390</v>
      </c>
      <c r="U29" s="443" t="s">
        <v>390</v>
      </c>
      <c r="V29" s="398">
        <f>IF(Berekening_impact[[#This Row],[Kosten schatten?]] = "Ja", (Berekening_impact[[#This Row],[Totaal arbeidsbesparing (€/jaar)]]+Berekening_impact[[#This Row],[Overige kostenbesparing (totaal/jaar totaal potentieel)]])*INDEX(schatting_kosten[Verhouding kosten/omzet],MATCH(A29,schatting_kosten[Veld],0)),0)</f>
        <v>0</v>
      </c>
      <c r="W29"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29" s="286" t="s">
        <v>391</v>
      </c>
      <c r="Y29" s="130">
        <f>Berekening_impact[[#This Row],[Totaal arbeidsbesparing (€/jaar)]]*Berekening_impact[[#This Row],[Percentage van patiëntaantallen in Wlz (overige is Zvw)]]</f>
        <v>0</v>
      </c>
      <c r="Z29" s="130">
        <f>Berekening_impact[[#This Row],[Overige kostenbesparing (totaal/jaar totaal potentieel)]]*Berekening_impact[[#This Row],[Percentage van patiëntaantallen in Wlz (overige is Zvw)]]</f>
        <v>0</v>
      </c>
      <c r="AA29" s="130">
        <f>Berekening_impact[[#This Row],[Jaarlijkse kosten (totaal) - incl. schatting]]*Berekening_impact[[#This Row],[Percentage van patiëntaantallen in Wlz (overige is Zvw)]]</f>
        <v>0</v>
      </c>
      <c r="AB29" s="130">
        <f>Berekening_impact[[#This Row],[Initiële investering (totaal) - incl. schatting]]*Berekening_impact[[#This Row],[Percentage van patiëntaantallen in Wlz (overige is Zvw)]]</f>
        <v>0</v>
      </c>
    </row>
    <row r="30" spans="1:28" x14ac:dyDescent="0.5">
      <c r="A30" s="2" t="str">
        <f>INDEX(Technologieën[Veld],MATCH(B30,Technologieën[Digitale zorgtoepassing],0))</f>
        <v>Digitale hulpmiddelen - Verpleging</v>
      </c>
      <c r="B30" s="33" t="s">
        <v>26</v>
      </c>
      <c r="C30" s="33" t="s">
        <v>24</v>
      </c>
      <c r="D30" s="444" cm="1">
        <f t="array" ref="D30">INDEX(Berekening_patiëntaantal[Percentage van patiëntaantallen in Wlz (overige is Zvw)],MATCH(B30,IF(Berekening_patiëntaantal[Doelgroep (zoeksleutel)]=C30,Berekening_patiëntaantal[Digitale zorgtoepassing]),0))</f>
        <v>0.45</v>
      </c>
      <c r="E30" s="33" t="str" cm="1">
        <f t="array" ref="E30">INDEX(Berekening_patiëntaantal[Direct toepasbaar/extrapolatie/incidentie voor QALY],MATCH(B30,IF(Berekening_patiëntaantal[Doelgroep (zoeksleutel)]=C30,Berekening_patiëntaantal[Digitale zorgtoepassing]),0))</f>
        <v>Extrapolatie</v>
      </c>
      <c r="F30" s="33" t="s">
        <v>142</v>
      </c>
      <c r="G30" s="33" t="s">
        <v>780</v>
      </c>
      <c r="H30" s="135">
        <f>INDEX(Uurloon[Uurtarief zorgpersoneel],MATCH(F30,Uurloon[Zorgverlener],0))</f>
        <v>25.33954022988506</v>
      </c>
      <c r="I30" s="411">
        <f>SUMIFS(Berekening_patiëntaantal[Patiëntaantallen],Berekening_patiëntaantal[Doelgroep (zoeksleutel)],C30,Berekening_patiëntaantal[Digitale zorgtoepassing],B30)</f>
        <v>8009.8200000000006</v>
      </c>
      <c r="J30" s="397">
        <f>IFERROR(AVERAGEIFS(uniforme_input[Tijdsbesparing (min/week/patiënt)],uniforme_input[Doelgroep],C30,uniforme_input[Digitale zorgtoepassing],B30,uniforme_input[Tijdsbesparing (min/week/patiënt)],"&gt; 0")*(Berekening_impact[[#This Row],[Patiëntaantal (direct toepasbaar/extrapolatie)]])/60,0)</f>
        <v>26830.428219863017</v>
      </c>
      <c r="K30" s="397">
        <f>IFERROR(AVERAGEIFS(uniforme_input[Tijdsbesparing (min/handeling)],uniforme_input[Doelgroep],C30,uniforme_input[Digitale zorgtoepassing],B30,uniforme_input[Tijdsbesparing (min/handeling)],"&gt; 0")*(Berekening_impact[[#This Row],[Patiëntaantal (direct toepasbaar/extrapolatie)]])/60,0)/52</f>
        <v>0</v>
      </c>
      <c r="L30" s="397">
        <f t="shared" si="2"/>
        <v>670.76070549657538</v>
      </c>
      <c r="M30" s="412">
        <f t="shared" si="3"/>
        <v>35353277.193637639</v>
      </c>
      <c r="N30" s="412">
        <f>IFERROR(AVERAGEIFS(uniforme_input[Overige kostenbesparing (€/jaar/patiënt)],uniforme_input[Doelgroep],C30,uniforme_input[Digitale zorgtoepassing],B30,uniforme_input[Overige kostenbesparing (€/jaar/patiënt)],"&gt;0")*Berekening_impact[[#This Row],[Patiëntaantal (direct toepasbaar/extrapolatie)]],0)</f>
        <v>17412808.170000628</v>
      </c>
      <c r="O30" s="412" cm="1">
        <f t="array" ref="O30">IFERROR(AVERAGEIFS(uniforme_input[QALY per patiënt],uniforme_input[Doelgroep],C30,uniforme_input[Digitale zorgtoepassing],B30,uniforme_input[QALY per patiënt],"&gt;0")*Berekening_impact[[#This Row],[Patiëntaantal (direct toepasbaar/extrapolatie)]]*QALY[Waarde gezond levensjaar],0)</f>
        <v>0</v>
      </c>
      <c r="P30" s="412">
        <f>IFERROR((AVERAGEIFS(uniforme_input[Jaarlijkse kosten per patiënt totaal],uniforme_input[Digitale zorgtoepassing],B30,uniforme_input[Doelgroep],C30,uniforme_input[Bron gebruiken voor kosten/investering?],"Ja"))*I30,0)</f>
        <v>8488168.0106666684</v>
      </c>
      <c r="Q30" s="412">
        <f>Berekening_impact[[#This Row],[Jaarlijkse kosten (totaal)]]+Berekening_impact[[#This Row],[Schatting kosten (€)]]</f>
        <v>8488168.0106666684</v>
      </c>
      <c r="R30" s="412">
        <f>IFERROR((AVERAGEIFS(uniforme_input[Intiële investering per patiënt totaal],uniforme_input[Digitale zorgtoepassing],B30,uniforme_input[Doelgroep],C30,uniforme_input[Bron gebruiken voor kosten/investering?],"Ja",uniforme_input[Direct toepasbaar/extrapolatie/incidentie voor QALY],"&lt;&gt;Extrapolatie"))*I30,0)</f>
        <v>0</v>
      </c>
      <c r="S30" s="412">
        <f>Berekening_impact[[#This Row],[Initiële investering]]+Berekening_impact[[#This Row],[Schatting investering (€)]]</f>
        <v>0</v>
      </c>
      <c r="T30" s="443" t="s">
        <v>390</v>
      </c>
      <c r="U30" s="443" t="s">
        <v>390</v>
      </c>
      <c r="V30" s="398">
        <f>IF(Berekening_impact[[#This Row],[Kosten schatten?]] = "Ja", (Berekening_impact[[#This Row],[Totaal arbeidsbesparing (€/jaar)]]+Berekening_impact[[#This Row],[Overige kostenbesparing (totaal/jaar totaal potentieel)]])*INDEX(schatting_kosten[Verhouding kosten/omzet],MATCH(A30,schatting_kosten[Veld],0)),0)</f>
        <v>0</v>
      </c>
      <c r="W30"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30" s="286" t="s">
        <v>391</v>
      </c>
      <c r="Y30" s="130">
        <f>Berekening_impact[[#This Row],[Totaal arbeidsbesparing (€/jaar)]]*Berekening_impact[[#This Row],[Percentage van patiëntaantallen in Wlz (overige is Zvw)]]</f>
        <v>15908974.737136938</v>
      </c>
      <c r="Z30" s="130">
        <f>Berekening_impact[[#This Row],[Overige kostenbesparing (totaal/jaar totaal potentieel)]]*Berekening_impact[[#This Row],[Percentage van patiëntaantallen in Wlz (overige is Zvw)]]</f>
        <v>7835763.6765002823</v>
      </c>
      <c r="AA30" s="130">
        <f>Berekening_impact[[#This Row],[Jaarlijkse kosten (totaal) - incl. schatting]]*Berekening_impact[[#This Row],[Percentage van patiëntaantallen in Wlz (overige is Zvw)]]</f>
        <v>3819675.6048000008</v>
      </c>
      <c r="AB30" s="130">
        <f>Berekening_impact[[#This Row],[Initiële investering (totaal) - incl. schatting]]*Berekening_impact[[#This Row],[Percentage van patiëntaantallen in Wlz (overige is Zvw)]]</f>
        <v>0</v>
      </c>
    </row>
    <row r="31" spans="1:28" x14ac:dyDescent="0.5">
      <c r="A31" s="2" t="str">
        <f>INDEX(Technologieën[Veld],MATCH(B31,Technologieën[Digitale zorgtoepassing],0))</f>
        <v>Sensoren - Verpleging</v>
      </c>
      <c r="B31" s="33" t="s">
        <v>36</v>
      </c>
      <c r="C31" s="33" t="s">
        <v>27</v>
      </c>
      <c r="D31" s="444" cm="1">
        <f t="array" ref="D31">INDEX(Berekening_patiëntaantal[Percentage van patiëntaantallen in Wlz (overige is Zvw)],MATCH(B31,IF(Berekening_patiëntaantal[Doelgroep (zoeksleutel)]=C31,Berekening_patiëntaantal[Digitale zorgtoepassing]),0))</f>
        <v>0.45</v>
      </c>
      <c r="E31" s="33" t="str" cm="1">
        <f t="array" ref="E31">INDEX(Berekening_patiëntaantal[Direct toepasbaar/extrapolatie/incidentie voor QALY],MATCH(B31,IF(Berekening_patiëntaantal[Doelgroep (zoeksleutel)]=C31,Berekening_patiëntaantal[Digitale zorgtoepassing]),0))</f>
        <v>Extrapolatie</v>
      </c>
      <c r="F31" s="33" t="s">
        <v>144</v>
      </c>
      <c r="G31" s="33" t="s">
        <v>780</v>
      </c>
      <c r="H31" s="135">
        <f>INDEX(Uurloon[Uurtarief zorgpersoneel],MATCH(F31,Uurloon[Zorgverlener],0))</f>
        <v>20.410632183908046</v>
      </c>
      <c r="I31" s="411">
        <f>SUMIFS(Berekening_patiëntaantal[Patiëntaantallen],Berekening_patiëntaantal[Doelgroep (zoeksleutel)],C31,Berekening_patiëntaantal[Digitale zorgtoepassing],B31)</f>
        <v>9521.9999999999982</v>
      </c>
      <c r="J31" s="397">
        <f>IFERROR(AVERAGEIFS(uniforme_input[Tijdsbesparing (min/week/patiënt)],uniforme_input[Doelgroep],C31,uniforme_input[Digitale zorgtoepassing],B31,uniforme_input[Tijdsbesparing (min/week/patiënt)],"&gt; 0")*(Berekening_impact[[#This Row],[Patiëntaantal (direct toepasbaar/extrapolatie)]])/60,0)</f>
        <v>30946.683764927151</v>
      </c>
      <c r="K31" s="397">
        <f>IFERROR(AVERAGEIFS(uniforme_input[Tijdsbesparing (min/handeling)],uniforme_input[Doelgroep],C31,uniforme_input[Digitale zorgtoepassing],B31,uniforme_input[Tijdsbesparing (min/handeling)],"&gt; 0")*(Berekening_impact[[#This Row],[Patiëntaantal (direct toepasbaar/extrapolatie)]])/60,0)/52</f>
        <v>0</v>
      </c>
      <c r="L31" s="397">
        <f t="shared" si="2"/>
        <v>773.6670941231788</v>
      </c>
      <c r="M31" s="412">
        <f t="shared" si="3"/>
        <v>32845351.741157629</v>
      </c>
      <c r="N31" s="412">
        <f>IFERROR(AVERAGEIFS(uniforme_input[Overige kostenbesparing (€/jaar/patiënt)],uniforme_input[Doelgroep],C31,uniforme_input[Digitale zorgtoepassing],B31,uniforme_input[Overige kostenbesparing (€/jaar/patiënt)],"&gt;0")*Berekening_impact[[#This Row],[Patiëntaantal (direct toepasbaar/extrapolatie)]],0)</f>
        <v>4518134.5885714274</v>
      </c>
      <c r="O31" s="412" cm="1">
        <f t="array" ref="O31">IFERROR(AVERAGEIFS(uniforme_input[QALY per patiënt],uniforme_input[Doelgroep],C31,uniforme_input[Digitale zorgtoepassing],B31,uniforme_input[QALY per patiënt],"&gt;0")*Berekening_impact[[#This Row],[Patiëntaantal (direct toepasbaar/extrapolatie)]]*QALY[Waarde gezond levensjaar],0)</f>
        <v>0</v>
      </c>
      <c r="P31" s="412">
        <f>IFERROR((AVERAGEIFS(uniforme_input[Jaarlijkse kosten per patiënt totaal],uniforme_input[Digitale zorgtoepassing],B31,uniforme_input[Doelgroep],C31,uniforme_input[Bron gebruiken voor kosten/investering?],"Ja"))*I31,0)</f>
        <v>17882315.999999996</v>
      </c>
      <c r="Q31" s="412">
        <f>Berekening_impact[[#This Row],[Jaarlijkse kosten (totaal)]]+Berekening_impact[[#This Row],[Schatting kosten (€)]]</f>
        <v>17882315.999999996</v>
      </c>
      <c r="R31" s="412">
        <f>IFERROR((AVERAGEIFS(uniforme_input[Intiële investering per patiënt totaal],uniforme_input[Digitale zorgtoepassing],B31,uniforme_input[Doelgroep],C31,uniforme_input[Bron gebruiken voor kosten/investering?],"Ja",uniforme_input[Direct toepasbaar/extrapolatie/incidentie voor QALY],"&lt;&gt;Extrapolatie"))*I31,0)</f>
        <v>0</v>
      </c>
      <c r="S31" s="412">
        <f>Berekening_impact[[#This Row],[Initiële investering]]+Berekening_impact[[#This Row],[Schatting investering (€)]]</f>
        <v>0</v>
      </c>
      <c r="T31" s="443" t="s">
        <v>390</v>
      </c>
      <c r="U31" s="443" t="s">
        <v>390</v>
      </c>
      <c r="V31" s="398">
        <f>IF(Berekening_impact[[#This Row],[Kosten schatten?]] = "Ja", (Berekening_impact[[#This Row],[Totaal arbeidsbesparing (€/jaar)]]+Berekening_impact[[#This Row],[Overige kostenbesparing (totaal/jaar totaal potentieel)]])*INDEX(schatting_kosten[Verhouding kosten/omzet],MATCH(A31,schatting_kosten[Veld],0)),0)</f>
        <v>0</v>
      </c>
      <c r="W31"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31" s="286" t="s">
        <v>391</v>
      </c>
      <c r="Y31" s="130">
        <f>Berekening_impact[[#This Row],[Totaal arbeidsbesparing (€/jaar)]]*Berekening_impact[[#This Row],[Percentage van patiëntaantallen in Wlz (overige is Zvw)]]</f>
        <v>14780408.283520933</v>
      </c>
      <c r="Z31" s="130">
        <f>Berekening_impact[[#This Row],[Overige kostenbesparing (totaal/jaar totaal potentieel)]]*Berekening_impact[[#This Row],[Percentage van patiëntaantallen in Wlz (overige is Zvw)]]</f>
        <v>2033160.5648571423</v>
      </c>
      <c r="AA31" s="130">
        <f>Berekening_impact[[#This Row],[Jaarlijkse kosten (totaal) - incl. schatting]]*Berekening_impact[[#This Row],[Percentage van patiëntaantallen in Wlz (overige is Zvw)]]</f>
        <v>8047042.1999999983</v>
      </c>
      <c r="AB31" s="130">
        <f>Berekening_impact[[#This Row],[Initiële investering (totaal) - incl. schatting]]*Berekening_impact[[#This Row],[Percentage van patiëntaantallen in Wlz (overige is Zvw)]]</f>
        <v>0</v>
      </c>
    </row>
    <row r="32" spans="1:28" x14ac:dyDescent="0.5">
      <c r="A32" s="2" t="str">
        <f>INDEX(Technologieën[Veld],MATCH(B32,Technologieën[Digitale zorgtoepassing],0))</f>
        <v>Sensoren - Verpleging</v>
      </c>
      <c r="B32" s="33" t="s">
        <v>42</v>
      </c>
      <c r="C32" s="33" t="s">
        <v>348</v>
      </c>
      <c r="D32" s="444" cm="1">
        <f t="array" ref="D32">INDEX(Berekening_patiëntaantal[Percentage van patiëntaantallen in Wlz (overige is Zvw)],MATCH(B32,IF(Berekening_patiëntaantal[Doelgroep (zoeksleutel)]=C32,Berekening_patiëntaantal[Digitale zorgtoepassing]),0))</f>
        <v>1</v>
      </c>
      <c r="E32" s="33" t="str" cm="1">
        <f t="array" ref="E32">INDEX(Berekening_patiëntaantal[Direct toepasbaar/extrapolatie/incidentie voor QALY],MATCH(B32,IF(Berekening_patiëntaantal[Doelgroep (zoeksleutel)]=C32,Berekening_patiëntaantal[Digitale zorgtoepassing]),0))</f>
        <v>Huidige toepassing</v>
      </c>
      <c r="F32" s="33" t="s">
        <v>144</v>
      </c>
      <c r="G32" s="33" t="s">
        <v>780</v>
      </c>
      <c r="H32" s="135">
        <f>INDEX(Uurloon[Uurtarief zorgpersoneel],MATCH(F32,Uurloon[Zorgverlener],0))</f>
        <v>20.410632183908046</v>
      </c>
      <c r="I32" s="411">
        <f>SUMIFS(Berekening_patiëntaantal[Patiëntaantallen],Berekening_patiëntaantal[Doelgroep (zoeksleutel)],C32,Berekening_patiëntaantal[Digitale zorgtoepassing],B32)</f>
        <v>32602.499999999996</v>
      </c>
      <c r="J32" s="397">
        <f>IFERROR(AVERAGEIFS(uniforme_input[Tijdsbesparing (min/week/patiënt)],uniforme_input[Doelgroep],C32,uniforme_input[Digitale zorgtoepassing],B32,uniforme_input[Tijdsbesparing (min/week/patiënt)],"&gt; 0")*(Berekening_impact[[#This Row],[Patiëntaantal (direct toepasbaar/extrapolatie)]])/60,0)</f>
        <v>70910.437499999985</v>
      </c>
      <c r="K32" s="397">
        <f>IFERROR(AVERAGEIFS(uniforme_input[Tijdsbesparing (min/handeling)],uniforme_input[Doelgroep],C32,uniforme_input[Digitale zorgtoepassing],B32,uniforme_input[Tijdsbesparing (min/handeling)],"&gt; 0")*(Berekening_impact[[#This Row],[Patiëntaantal (direct toepasbaar/extrapolatie)]])/60,0)/52</f>
        <v>0</v>
      </c>
      <c r="L32" s="397">
        <f t="shared" si="2"/>
        <v>1772.7609374999997</v>
      </c>
      <c r="M32" s="412">
        <f t="shared" si="3"/>
        <v>75260996.606249988</v>
      </c>
      <c r="N32" s="412">
        <f>IFERROR(AVERAGEIFS(uniforme_input[Overige kostenbesparing (€/jaar/patiënt)],uniforme_input[Doelgroep],C32,uniforme_input[Digitale zorgtoepassing],B32,uniforme_input[Overige kostenbesparing (€/jaar/patiënt)],"&gt;0")*Berekening_impact[[#This Row],[Patiëntaantal (direct toepasbaar/extrapolatie)]],0)</f>
        <v>25540190.209503077</v>
      </c>
      <c r="O32" s="412" cm="1">
        <f t="array" ref="O32">IFERROR(AVERAGEIFS(uniforme_input[QALY per patiënt],uniforme_input[Doelgroep],C32,uniforme_input[Digitale zorgtoepassing],B32,uniforme_input[QALY per patiënt],"&gt;0")*Berekening_impact[[#This Row],[Patiëntaantal (direct toepasbaar/extrapolatie)]]*QALY[Waarde gezond levensjaar],0)</f>
        <v>0</v>
      </c>
      <c r="P32" s="412">
        <f>IFERROR((AVERAGEIFS(uniforme_input[Jaarlijkse kosten per patiënt totaal],uniforme_input[Digitale zorgtoepassing],B32,uniforme_input[Doelgroep],C32,uniforme_input[Bron gebruiken voor kosten/investering?],"Ja"))*I32,0)</f>
        <v>93859065.5625</v>
      </c>
      <c r="Q32" s="412">
        <f>Berekening_impact[[#This Row],[Jaarlijkse kosten (totaal)]]+Berekening_impact[[#This Row],[Schatting kosten (€)]]</f>
        <v>93859065.5625</v>
      </c>
      <c r="R32" s="412">
        <f>IFERROR((AVERAGEIFS(uniforme_input[Intiële investering per patiënt totaal],uniforme_input[Digitale zorgtoepassing],B32,uniforme_input[Doelgroep],C32,uniforme_input[Bron gebruiken voor kosten/investering?],"Ja",uniforme_input[Direct toepasbaar/extrapolatie/incidentie voor QALY],"&lt;&gt;Extrapolatie"))*I32,0)</f>
        <v>0</v>
      </c>
      <c r="S32" s="412">
        <f>Berekening_impact[[#This Row],[Initiële investering]]+Berekening_impact[[#This Row],[Schatting investering (€)]]</f>
        <v>0</v>
      </c>
      <c r="T32" s="443" t="s">
        <v>390</v>
      </c>
      <c r="U32" s="443" t="s">
        <v>390</v>
      </c>
      <c r="V32" s="398">
        <f>IF(Berekening_impact[[#This Row],[Kosten schatten?]] = "Ja", (Berekening_impact[[#This Row],[Totaal arbeidsbesparing (€/jaar)]]+Berekening_impact[[#This Row],[Overige kostenbesparing (totaal/jaar totaal potentieel)]])*INDEX(schatting_kosten[Verhouding kosten/omzet],MATCH(A32,schatting_kosten[Veld],0)),0)</f>
        <v>0</v>
      </c>
      <c r="W32"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32" s="286" t="s">
        <v>391</v>
      </c>
      <c r="Y32" s="130">
        <f>Berekening_impact[[#This Row],[Totaal arbeidsbesparing (€/jaar)]]*Berekening_impact[[#This Row],[Percentage van patiëntaantallen in Wlz (overige is Zvw)]]</f>
        <v>75260996.606249988</v>
      </c>
      <c r="Z32" s="130">
        <f>Berekening_impact[[#This Row],[Overige kostenbesparing (totaal/jaar totaal potentieel)]]*Berekening_impact[[#This Row],[Percentage van patiëntaantallen in Wlz (overige is Zvw)]]</f>
        <v>25540190.209503077</v>
      </c>
      <c r="AA32" s="130">
        <f>Berekening_impact[[#This Row],[Jaarlijkse kosten (totaal) - incl. schatting]]*Berekening_impact[[#This Row],[Percentage van patiëntaantallen in Wlz (overige is Zvw)]]</f>
        <v>93859065.5625</v>
      </c>
      <c r="AB32" s="130">
        <f>Berekening_impact[[#This Row],[Initiële investering (totaal) - incl. schatting]]*Berekening_impact[[#This Row],[Percentage van patiëntaantallen in Wlz (overige is Zvw)]]</f>
        <v>0</v>
      </c>
    </row>
    <row r="33" spans="1:28" x14ac:dyDescent="0.5">
      <c r="A33" s="2" t="str">
        <f>INDEX(Technologieën[Veld],MATCH(B33,Technologieën[Digitale zorgtoepassing],0))</f>
        <v>Software - Diagnose</v>
      </c>
      <c r="B33" s="33" t="s">
        <v>472</v>
      </c>
      <c r="C33" s="33" t="s">
        <v>465</v>
      </c>
      <c r="D33" s="444" cm="1">
        <f t="array" ref="D33">INDEX(Berekening_patiëntaantal[Percentage van patiëntaantallen in Wlz (overige is Zvw)],MATCH(B33,IF(Berekening_patiëntaantal[Doelgroep (zoeksleutel)]=C33,Berekening_patiëntaantal[Digitale zorgtoepassing]),0))</f>
        <v>0</v>
      </c>
      <c r="E33" s="33" t="str" cm="1">
        <f t="array" ref="E33">INDEX(Berekening_patiëntaantal[Direct toepasbaar/extrapolatie/incidentie voor QALY],MATCH(B33,IF(Berekening_patiëntaantal[Doelgroep (zoeksleutel)]=C33,Berekening_patiëntaantal[Digitale zorgtoepassing]),0))</f>
        <v>Extrapolatie</v>
      </c>
      <c r="F33" s="33" t="s">
        <v>146</v>
      </c>
      <c r="G33" s="33" t="s">
        <v>781</v>
      </c>
      <c r="H33" s="135">
        <f>INDEX(Uurloon[Uurtarief zorgpersoneel],MATCH(F33,Uurloon[Zorgverlener],0))</f>
        <v>91.204770114942534</v>
      </c>
      <c r="I33" s="411">
        <f>SUMIFS(Berekening_patiëntaantal[Patiëntaantallen],Berekening_patiëntaantal[Doelgroep (zoeksleutel)],C33,Berekening_patiëntaantal[Digitale zorgtoepassing],B33)</f>
        <v>974188</v>
      </c>
      <c r="J33" s="397">
        <f>IFERROR(AVERAGEIFS(uniforme_input[Tijdsbesparing (min/week/patiënt)],uniforme_input[Doelgroep],C33,uniforme_input[Digitale zorgtoepassing],B33,uniforme_input[Tijdsbesparing (min/week/patiënt)],"&gt; 0")*(Berekening_impact[[#This Row],[Patiëntaantal (direct toepasbaar/extrapolatie)]])/60,0)</f>
        <v>0</v>
      </c>
      <c r="K33" s="397">
        <f>IFERROR(AVERAGEIFS(uniforme_input[Tijdsbesparing (min/handeling)],uniforme_input[Doelgroep],C33,uniforme_input[Digitale zorgtoepassing],B33,uniforme_input[Tijdsbesparing (min/handeling)],"&gt; 0")*(Berekening_impact[[#This Row],[Patiëntaantal (direct toepasbaar/extrapolatie)]])/60,0)/52</f>
        <v>4683.5961538461543</v>
      </c>
      <c r="L33" s="397">
        <f t="shared" si="2"/>
        <v>117.08990384615386</v>
      </c>
      <c r="M33" s="412">
        <f t="shared" si="3"/>
        <v>22212648.147183914</v>
      </c>
      <c r="N33" s="412">
        <f>IFERROR(AVERAGEIFS(uniforme_input[Overige kostenbesparing (€/jaar/patiënt)],uniforme_input[Doelgroep],C33,uniforme_input[Digitale zorgtoepassing],B33,uniforme_input[Overige kostenbesparing (€/jaar/patiënt)],"&gt;0")*Berekening_impact[[#This Row],[Patiëntaantal (direct toepasbaar/extrapolatie)]],0)</f>
        <v>0</v>
      </c>
      <c r="O33" s="412" cm="1">
        <f t="array" ref="O33">IFERROR(AVERAGEIFS(uniforme_input[QALY per patiënt],uniforme_input[Doelgroep],C33,uniforme_input[Digitale zorgtoepassing],B33,uniforme_input[QALY per patiënt],"&gt;0")*Berekening_impact[[#This Row],[Patiëntaantal (direct toepasbaar/extrapolatie)]]*QALY[Waarde gezond levensjaar],0)</f>
        <v>0</v>
      </c>
      <c r="P33" s="412">
        <f>IFERROR((AVERAGEIFS(uniforme_input[Jaarlijkse kosten per patiënt totaal],uniforme_input[Digitale zorgtoepassing],B33,uniforme_input[Doelgroep],C33,uniforme_input[Bron gebruiken voor kosten/investering?],"Ja"))*I33,0)</f>
        <v>16561196</v>
      </c>
      <c r="Q33" s="412">
        <f>Berekening_impact[[#This Row],[Jaarlijkse kosten (totaal)]]+Berekening_impact[[#This Row],[Schatting kosten (€)]]</f>
        <v>16561196</v>
      </c>
      <c r="R33" s="412">
        <f>IFERROR((AVERAGEIFS(uniforme_input[Intiële investering per patiënt totaal],uniforme_input[Digitale zorgtoepassing],B33,uniforme_input[Doelgroep],C33,uniforme_input[Bron gebruiken voor kosten/investering?],"Ja",uniforme_input[Direct toepasbaar/extrapolatie/incidentie voor QALY],"&lt;&gt;Extrapolatie"))*I33,0)</f>
        <v>0</v>
      </c>
      <c r="S33" s="412">
        <f>Berekening_impact[[#This Row],[Initiële investering]]+Berekening_impact[[#This Row],[Schatting investering (€)]]</f>
        <v>0</v>
      </c>
      <c r="T33" s="443" t="s">
        <v>390</v>
      </c>
      <c r="U33" s="443" t="s">
        <v>390</v>
      </c>
      <c r="V33" s="398">
        <f>IF(Berekening_impact[[#This Row],[Kosten schatten?]] = "Ja", (Berekening_impact[[#This Row],[Totaal arbeidsbesparing (€/jaar)]]+Berekening_impact[[#This Row],[Overige kostenbesparing (totaal/jaar totaal potentieel)]])*INDEX(schatting_kosten[Verhouding kosten/omzet],MATCH(A33,schatting_kosten[Veld],0)),0)</f>
        <v>0</v>
      </c>
      <c r="W33"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33" s="286" t="s">
        <v>391</v>
      </c>
      <c r="Y33" s="130">
        <f>Berekening_impact[[#This Row],[Totaal arbeidsbesparing (€/jaar)]]*Berekening_impact[[#This Row],[Percentage van patiëntaantallen in Wlz (overige is Zvw)]]</f>
        <v>0</v>
      </c>
      <c r="Z33" s="130">
        <f>Berekening_impact[[#This Row],[Overige kostenbesparing (totaal/jaar totaal potentieel)]]*Berekening_impact[[#This Row],[Percentage van patiëntaantallen in Wlz (overige is Zvw)]]</f>
        <v>0</v>
      </c>
      <c r="AA33" s="130">
        <f>Berekening_impact[[#This Row],[Jaarlijkse kosten (totaal) - incl. schatting]]*Berekening_impact[[#This Row],[Percentage van patiëntaantallen in Wlz (overige is Zvw)]]</f>
        <v>0</v>
      </c>
      <c r="AB33" s="130">
        <f>Berekening_impact[[#This Row],[Initiële investering (totaal) - incl. schatting]]*Berekening_impact[[#This Row],[Percentage van patiëntaantallen in Wlz (overige is Zvw)]]</f>
        <v>0</v>
      </c>
    </row>
    <row r="34" spans="1:28" x14ac:dyDescent="0.5">
      <c r="A34" s="2" t="str">
        <f>INDEX(Technologieën[Veld],MATCH(B34,Technologieën[Digitale zorgtoepassing],0))</f>
        <v>Sensoren - Verpleging</v>
      </c>
      <c r="B34" s="33" t="s">
        <v>61</v>
      </c>
      <c r="C34" s="33" t="s">
        <v>62</v>
      </c>
      <c r="D34" s="444" cm="1">
        <f t="array" ref="D34">INDEX(Berekening_patiëntaantal[Percentage van patiëntaantallen in Wlz (overige is Zvw)],MATCH(B34,IF(Berekening_patiëntaantal[Doelgroep (zoeksleutel)]=C34,Berekening_patiëntaantal[Digitale zorgtoepassing]),0))</f>
        <v>1</v>
      </c>
      <c r="E34" s="33" t="str" cm="1">
        <f t="array" ref="E34">INDEX(Berekening_patiëntaantal[Direct toepasbaar/extrapolatie/incidentie voor QALY],MATCH(B34,IF(Berekening_patiëntaantal[Doelgroep (zoeksleutel)]=C34,Berekening_patiëntaantal[Digitale zorgtoepassing]),0))</f>
        <v>Huidige toepassing</v>
      </c>
      <c r="F34" s="33" t="s">
        <v>144</v>
      </c>
      <c r="G34" s="33" t="s">
        <v>391</v>
      </c>
      <c r="H34" s="135">
        <f>INDEX(Uurloon[Uurtarief zorgpersoneel],MATCH(F34,Uurloon[Zorgverlener],0))</f>
        <v>20.410632183908046</v>
      </c>
      <c r="I34" s="411">
        <f>SUMIFS(Berekening_patiëntaantal[Patiëntaantallen],Berekening_patiëntaantal[Doelgroep (zoeksleutel)],C34,Berekening_patiëntaantal[Digitale zorgtoepassing],B34)</f>
        <v>94300</v>
      </c>
      <c r="J34" s="397">
        <f>IFERROR(AVERAGEIFS(uniforme_input[Tijdsbesparing (min/week/patiënt)],uniforme_input[Doelgroep],C34,uniforme_input[Digitale zorgtoepassing],B34,uniforme_input[Tijdsbesparing (min/week/patiënt)],"&gt; 0")*(Berekening_impact[[#This Row],[Patiëntaantal (direct toepasbaar/extrapolatie)]])/60,0)</f>
        <v>47193.373508306919</v>
      </c>
      <c r="K34" s="397">
        <f>IFERROR(AVERAGEIFS(uniforme_input[Tijdsbesparing (min/handeling)],uniforme_input[Doelgroep],C34,uniforme_input[Digitale zorgtoepassing],B34,uniforme_input[Tijdsbesparing (min/handeling)],"&gt; 0")*(Berekening_impact[[#This Row],[Patiëntaantal (direct toepasbaar/extrapolatie)]])/60,0)/52</f>
        <v>0</v>
      </c>
      <c r="L34" s="397">
        <f t="shared" si="2"/>
        <v>1179.8343377076731</v>
      </c>
      <c r="M34" s="412">
        <f t="shared" si="3"/>
        <v>50088822.586183816</v>
      </c>
      <c r="N34" s="412">
        <f>IFERROR(AVERAGEIFS(uniforme_input[Overige kostenbesparing (€/jaar/patiënt)],uniforme_input[Doelgroep],C34,uniforme_input[Digitale zorgtoepassing],B34,uniforme_input[Overige kostenbesparing (€/jaar/patiënt)],"&gt;0")*Berekening_impact[[#This Row],[Patiëntaantal (direct toepasbaar/extrapolatie)]],0)</f>
        <v>43999724.972260058</v>
      </c>
      <c r="O34" s="412" cm="1">
        <f t="array" ref="O34">IFERROR(AVERAGEIFS(uniforme_input[QALY per patiënt],uniforme_input[Doelgroep],C34,uniforme_input[Digitale zorgtoepassing],B34,uniforme_input[QALY per patiënt],"&gt;0")*Berekening_impact[[#This Row],[Patiëntaantal (direct toepasbaar/extrapolatie)]]*QALY[Waarde gezond levensjaar],0)</f>
        <v>0</v>
      </c>
      <c r="P34" s="412">
        <f>IFERROR((AVERAGEIFS(uniforme_input[Jaarlijkse kosten per patiënt totaal],uniforme_input[Digitale zorgtoepassing],B34,uniforme_input[Doelgroep],C34,uniforme_input[Bron gebruiken voor kosten/investering?],"Ja"))*I34,0)</f>
        <v>44511872.289156631</v>
      </c>
      <c r="Q34" s="412">
        <f>Berekening_impact[[#This Row],[Jaarlijkse kosten (totaal)]]+Berekening_impact[[#This Row],[Schatting kosten (€)]]</f>
        <v>44511872.289156631</v>
      </c>
      <c r="R34" s="412">
        <f>IFERROR((AVERAGEIFS(uniforme_input[Intiële investering per patiënt totaal],uniforme_input[Digitale zorgtoepassing],B34,uniforme_input[Doelgroep],C34,uniforme_input[Bron gebruiken voor kosten/investering?],"Ja",uniforme_input[Direct toepasbaar/extrapolatie/incidentie voor QALY],"&lt;&gt;Extrapolatie"))*I34,0)</f>
        <v>3214799.9999999995</v>
      </c>
      <c r="S34" s="412">
        <f>Berekening_impact[[#This Row],[Initiële investering]]+Berekening_impact[[#This Row],[Schatting investering (€)]]</f>
        <v>3214799.9999999995</v>
      </c>
      <c r="T34" s="443" t="s">
        <v>390</v>
      </c>
      <c r="U34" s="443" t="s">
        <v>390</v>
      </c>
      <c r="V34" s="398">
        <f>IF(Berekening_impact[[#This Row],[Kosten schatten?]] = "Ja", (Berekening_impact[[#This Row],[Totaal arbeidsbesparing (€/jaar)]]+Berekening_impact[[#This Row],[Overige kostenbesparing (totaal/jaar totaal potentieel)]])*INDEX(schatting_kosten[Verhouding kosten/omzet],MATCH(A34,schatting_kosten[Veld],0)),0)</f>
        <v>0</v>
      </c>
      <c r="W34"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34" s="286" t="s">
        <v>391</v>
      </c>
      <c r="Y34" s="130">
        <f>Berekening_impact[[#This Row],[Totaal arbeidsbesparing (€/jaar)]]*Berekening_impact[[#This Row],[Percentage van patiëntaantallen in Wlz (overige is Zvw)]]</f>
        <v>50088822.586183816</v>
      </c>
      <c r="Z34" s="130">
        <f>Berekening_impact[[#This Row],[Overige kostenbesparing (totaal/jaar totaal potentieel)]]*Berekening_impact[[#This Row],[Percentage van patiëntaantallen in Wlz (overige is Zvw)]]</f>
        <v>43999724.972260058</v>
      </c>
      <c r="AA34" s="130">
        <f>Berekening_impact[[#This Row],[Jaarlijkse kosten (totaal) - incl. schatting]]*Berekening_impact[[#This Row],[Percentage van patiëntaantallen in Wlz (overige is Zvw)]]</f>
        <v>44511872.289156631</v>
      </c>
      <c r="AB34" s="130">
        <f>Berekening_impact[[#This Row],[Initiële investering (totaal) - incl. schatting]]*Berekening_impact[[#This Row],[Percentage van patiëntaantallen in Wlz (overige is Zvw)]]</f>
        <v>3214799.9999999995</v>
      </c>
    </row>
    <row r="35" spans="1:28" x14ac:dyDescent="0.5">
      <c r="A35" s="2" t="str">
        <f>INDEX(Technologieën[Veld],MATCH(B35,Technologieën[Digitale zorgtoepassing],0))</f>
        <v>Sensoren - Verpleging</v>
      </c>
      <c r="B35" s="33" t="s">
        <v>36</v>
      </c>
      <c r="C35" s="33" t="s">
        <v>24</v>
      </c>
      <c r="D35" s="444" cm="1">
        <f t="array" ref="D35">INDEX(Berekening_patiëntaantal[Percentage van patiëntaantallen in Wlz (overige is Zvw)],MATCH(B35,IF(Berekening_patiëntaantal[Doelgroep (zoeksleutel)]=C35,Berekening_patiëntaantal[Digitale zorgtoepassing]),0))</f>
        <v>0.45</v>
      </c>
      <c r="E35" s="33" t="str" cm="1">
        <f t="array" ref="E35">INDEX(Berekening_patiëntaantal[Direct toepasbaar/extrapolatie/incidentie voor QALY],MATCH(B35,IF(Berekening_patiëntaantal[Doelgroep (zoeksleutel)]=C35,Berekening_patiëntaantal[Digitale zorgtoepassing]),0))</f>
        <v>Extrapolatie</v>
      </c>
      <c r="F35" s="33" t="s">
        <v>144</v>
      </c>
      <c r="G35" s="33" t="s">
        <v>780</v>
      </c>
      <c r="H35" s="135">
        <f>INDEX(Uurloon[Uurtarief zorgpersoneel],MATCH(F35,Uurloon[Zorgverlener],0))</f>
        <v>20.410632183908046</v>
      </c>
      <c r="I35" s="411">
        <f>SUMIFS(Berekening_patiëntaantal[Patiëntaantallen],Berekening_patiëntaantal[Doelgroep (zoeksleutel)],C35,Berekening_patiëntaantal[Digitale zorgtoepassing],B35)</f>
        <v>3203.9279999999999</v>
      </c>
      <c r="J35" s="397">
        <f>IFERROR(AVERAGEIFS(uniforme_input[Tijdsbesparing (min/week/patiënt)],uniforme_input[Doelgroep],C35,uniforme_input[Digitale zorgtoepassing],B35,uniforme_input[Tijdsbesparing (min/week/patiënt)],"&gt; 0")*(Berekening_impact[[#This Row],[Patiëntaantal (direct toepasbaar/extrapolatie)]])/60,0)</f>
        <v>10412.827832555717</v>
      </c>
      <c r="K35" s="397">
        <f>IFERROR(AVERAGEIFS(uniforme_input[Tijdsbesparing (min/handeling)],uniforme_input[Doelgroep],C35,uniforme_input[Digitale zorgtoepassing],B35,uniforme_input[Tijdsbesparing (min/handeling)],"&gt; 0")*(Berekening_impact[[#This Row],[Patiëntaantal (direct toepasbaar/extrapolatie)]])/60,0)/52</f>
        <v>0</v>
      </c>
      <c r="L35" s="397">
        <f t="shared" si="2"/>
        <v>260.32069581389294</v>
      </c>
      <c r="M35" s="412">
        <f t="shared" si="3"/>
        <v>11051684.74200207</v>
      </c>
      <c r="N35" s="412">
        <f>IFERROR(AVERAGEIFS(uniforme_input[Overige kostenbesparing (€/jaar/patiënt)],uniforme_input[Doelgroep],C35,uniforme_input[Digitale zorgtoepassing],B35,uniforme_input[Overige kostenbesparing (€/jaar/patiënt)],"&gt;0")*Berekening_impact[[#This Row],[Patiëntaantal (direct toepasbaar/extrapolatie)]],0)</f>
        <v>1520245.5278399996</v>
      </c>
      <c r="O35" s="412" cm="1">
        <f t="array" ref="O35">IFERROR(AVERAGEIFS(uniforme_input[QALY per patiënt],uniforme_input[Doelgroep],C35,uniforme_input[Digitale zorgtoepassing],B35,uniforme_input[QALY per patiënt],"&gt;0")*Berekening_impact[[#This Row],[Patiëntaantal (direct toepasbaar/extrapolatie)]]*QALY[Waarde gezond levensjaar],0)</f>
        <v>0</v>
      </c>
      <c r="P35" s="412">
        <f>IFERROR((AVERAGEIFS(uniforme_input[Jaarlijkse kosten per patiënt totaal],uniforme_input[Digitale zorgtoepassing],B35,uniforme_input[Doelgroep],C35,uniforme_input[Bron gebruiken voor kosten/investering?],"Ja"))*I35,0)</f>
        <v>6016976.784</v>
      </c>
      <c r="Q35" s="412">
        <f>Berekening_impact[[#This Row],[Jaarlijkse kosten (totaal)]]+Berekening_impact[[#This Row],[Schatting kosten (€)]]</f>
        <v>6016976.784</v>
      </c>
      <c r="R35" s="412">
        <f>IFERROR((AVERAGEIFS(uniforme_input[Intiële investering per patiënt totaal],uniforme_input[Digitale zorgtoepassing],B35,uniforme_input[Doelgroep],C35,uniforme_input[Bron gebruiken voor kosten/investering?],"Ja",uniforme_input[Direct toepasbaar/extrapolatie/incidentie voor QALY],"&lt;&gt;Extrapolatie"))*I35,0)</f>
        <v>0</v>
      </c>
      <c r="S35" s="412">
        <f>Berekening_impact[[#This Row],[Initiële investering]]+Berekening_impact[[#This Row],[Schatting investering (€)]]</f>
        <v>0</v>
      </c>
      <c r="T35" s="443" t="s">
        <v>390</v>
      </c>
      <c r="U35" s="443" t="s">
        <v>390</v>
      </c>
      <c r="V35" s="398">
        <f>IF(Berekening_impact[[#This Row],[Kosten schatten?]] = "Ja", (Berekening_impact[[#This Row],[Totaal arbeidsbesparing (€/jaar)]]+Berekening_impact[[#This Row],[Overige kostenbesparing (totaal/jaar totaal potentieel)]])*INDEX(schatting_kosten[Verhouding kosten/omzet],MATCH(A35,schatting_kosten[Veld],0)),0)</f>
        <v>0</v>
      </c>
      <c r="W35"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35" s="286" t="s">
        <v>391</v>
      </c>
      <c r="Y35" s="130">
        <f>Berekening_impact[[#This Row],[Totaal arbeidsbesparing (€/jaar)]]*Berekening_impact[[#This Row],[Percentage van patiëntaantallen in Wlz (overige is Zvw)]]</f>
        <v>4973258.133900932</v>
      </c>
      <c r="Z35" s="130">
        <f>Berekening_impact[[#This Row],[Overige kostenbesparing (totaal/jaar totaal potentieel)]]*Berekening_impact[[#This Row],[Percentage van patiëntaantallen in Wlz (overige is Zvw)]]</f>
        <v>684110.48752799991</v>
      </c>
      <c r="AA35" s="130">
        <f>Berekening_impact[[#This Row],[Jaarlijkse kosten (totaal) - incl. schatting]]*Berekening_impact[[#This Row],[Percentage van patiëntaantallen in Wlz (overige is Zvw)]]</f>
        <v>2707639.5528000002</v>
      </c>
      <c r="AB35" s="130">
        <f>Berekening_impact[[#This Row],[Initiële investering (totaal) - incl. schatting]]*Berekening_impact[[#This Row],[Percentage van patiëntaantallen in Wlz (overige is Zvw)]]</f>
        <v>0</v>
      </c>
    </row>
    <row r="36" spans="1:28" x14ac:dyDescent="0.5">
      <c r="A36" s="2" t="str">
        <f>INDEX(Technologieën[Veld],MATCH(B36,Technologieën[Digitale zorgtoepassing],0))</f>
        <v>Software - Behandeling</v>
      </c>
      <c r="B36" s="33" t="s">
        <v>716</v>
      </c>
      <c r="C36" s="33" t="s">
        <v>80</v>
      </c>
      <c r="D36" s="444" cm="1">
        <f t="array" ref="D36">INDEX(Berekening_patiëntaantal[Percentage van patiëntaantallen in Wlz (overige is Zvw)],MATCH(B36,IF(Berekening_patiëntaantal[Doelgroep (zoeksleutel)]=C36,Berekening_patiëntaantal[Digitale zorgtoepassing]),0))</f>
        <v>0</v>
      </c>
      <c r="E36" s="33" t="str" cm="1">
        <f t="array" ref="E36">INDEX(Berekening_patiëntaantal[Direct toepasbaar/extrapolatie/incidentie voor QALY],MATCH(B36,IF(Berekening_patiëntaantal[Doelgroep (zoeksleutel)]=C36,Berekening_patiëntaantal[Digitale zorgtoepassing]),0))</f>
        <v>Huidige toepassing</v>
      </c>
      <c r="F36" s="33" t="s">
        <v>148</v>
      </c>
      <c r="G36" s="33" t="s">
        <v>391</v>
      </c>
      <c r="H36" s="135">
        <f>INDEX(Uurloon[Uurtarief zorgpersoneel],MATCH(F36,Uurloon[Zorgverlener],0))</f>
        <v>27.740086206896557</v>
      </c>
      <c r="I36" s="411">
        <f>SUMIFS(Berekening_patiëntaantal[Patiëntaantallen],Berekening_patiëntaantal[Doelgroep (zoeksleutel)],C36,Berekening_patiëntaantal[Digitale zorgtoepassing],B36)</f>
        <v>64868</v>
      </c>
      <c r="J36" s="397">
        <f>IFERROR(AVERAGEIFS(uniforme_input[Tijdsbesparing (min/week/patiënt)],uniforme_input[Doelgroep],C36,uniforme_input[Digitale zorgtoepassing],B36,uniforme_input[Tijdsbesparing (min/week/patiënt)],"&gt; 0")*(Berekening_impact[[#This Row],[Patiëntaantal (direct toepasbaar/extrapolatie)]])/60,0)</f>
        <v>0</v>
      </c>
      <c r="K36" s="397">
        <f>IFERROR(AVERAGEIFS(uniforme_input[Tijdsbesparing (min/handeling)],uniforme_input[Doelgroep],C36,uniforme_input[Digitale zorgtoepassing],B36,uniforme_input[Tijdsbesparing (min/handeling)],"&gt; 0")*(Berekening_impact[[#This Row],[Patiëntaantal (direct toepasbaar/extrapolatie)]])/60,0)/52</f>
        <v>676.97287816399148</v>
      </c>
      <c r="L36" s="397">
        <f t="shared" si="2"/>
        <v>16.924321954099788</v>
      </c>
      <c r="M36" s="412">
        <f t="shared" si="3"/>
        <v>976522.87200000021</v>
      </c>
      <c r="N36" s="412">
        <f>IFERROR(AVERAGEIFS(uniforme_input[Overige kostenbesparing (€/jaar/patiënt)],uniforme_input[Doelgroep],C36,uniforme_input[Digitale zorgtoepassing],B36,uniforme_input[Overige kostenbesparing (€/jaar/patiënt)],"&gt;0")*Berekening_impact[[#This Row],[Patiëntaantal (direct toepasbaar/extrapolatie)]],0)</f>
        <v>651015.24800000014</v>
      </c>
      <c r="O36" s="412" cm="1">
        <f t="array" ref="O36">IFERROR(AVERAGEIFS(uniforme_input[QALY per patiënt],uniforme_input[Doelgroep],C36,uniforme_input[Digitale zorgtoepassing],B36,uniforme_input[QALY per patiënt],"&gt;0")*Berekening_impact[[#This Row],[Patiëntaantal (direct toepasbaar/extrapolatie)]]*QALY[Waarde gezond levensjaar],0)</f>
        <v>5838120</v>
      </c>
      <c r="P36" s="412">
        <f>IFERROR((AVERAGEIFS(uniforme_input[Jaarlijkse kosten per patiënt totaal],uniforme_input[Digitale zorgtoepassing],B36,uniforme_input[Doelgroep],C36,uniforme_input[Bron gebruiken voor kosten/investering?],"Ja"))*I36,0)</f>
        <v>3892080</v>
      </c>
      <c r="Q36" s="412">
        <f>Berekening_impact[[#This Row],[Jaarlijkse kosten (totaal)]]+Berekening_impact[[#This Row],[Schatting kosten (€)]]</f>
        <v>3892080</v>
      </c>
      <c r="R36" s="412">
        <f>IFERROR((AVERAGEIFS(uniforme_input[Intiële investering per patiënt totaal],uniforme_input[Digitale zorgtoepassing],B36,uniforme_input[Doelgroep],C36,uniforme_input[Bron gebruiken voor kosten/investering?],"Ja",uniforme_input[Direct toepasbaar/extrapolatie/incidentie voor QALY],"&lt;&gt;Extrapolatie"))*I36,0)</f>
        <v>0</v>
      </c>
      <c r="S36" s="412">
        <f>Berekening_impact[[#This Row],[Initiële investering]]+Berekening_impact[[#This Row],[Schatting investering (€)]]</f>
        <v>0</v>
      </c>
      <c r="T36" s="443" t="s">
        <v>390</v>
      </c>
      <c r="U36" s="443" t="s">
        <v>390</v>
      </c>
      <c r="V36" s="398">
        <f>IF(Berekening_impact[[#This Row],[Kosten schatten?]] = "Ja", (Berekening_impact[[#This Row],[Totaal arbeidsbesparing (€/jaar)]]+Berekening_impact[[#This Row],[Overige kostenbesparing (totaal/jaar totaal potentieel)]])*INDEX(schatting_kosten[Verhouding kosten/omzet],MATCH(A36,schatting_kosten[Veld],0)),0)</f>
        <v>0</v>
      </c>
      <c r="W36"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36" s="286" t="s">
        <v>391</v>
      </c>
      <c r="Y36" s="130">
        <f>Berekening_impact[[#This Row],[Totaal arbeidsbesparing (€/jaar)]]*Berekening_impact[[#This Row],[Percentage van patiëntaantallen in Wlz (overige is Zvw)]]</f>
        <v>0</v>
      </c>
      <c r="Z36" s="130">
        <f>Berekening_impact[[#This Row],[Overige kostenbesparing (totaal/jaar totaal potentieel)]]*Berekening_impact[[#This Row],[Percentage van patiëntaantallen in Wlz (overige is Zvw)]]</f>
        <v>0</v>
      </c>
      <c r="AA36" s="130">
        <f>Berekening_impact[[#This Row],[Jaarlijkse kosten (totaal) - incl. schatting]]*Berekening_impact[[#This Row],[Percentage van patiëntaantallen in Wlz (overige is Zvw)]]</f>
        <v>0</v>
      </c>
      <c r="AB36" s="130">
        <f>Berekening_impact[[#This Row],[Initiële investering (totaal) - incl. schatting]]*Berekening_impact[[#This Row],[Percentage van patiëntaantallen in Wlz (overige is Zvw)]]</f>
        <v>0</v>
      </c>
    </row>
    <row r="37" spans="1:28" x14ac:dyDescent="0.5">
      <c r="A37" s="2" t="str">
        <f>INDEX(Technologieën[Veld],MATCH(B37,Technologieën[Digitale zorgtoepassing],0))</f>
        <v>Software - Behandeling</v>
      </c>
      <c r="B37" s="33" t="s">
        <v>609</v>
      </c>
      <c r="C37" s="33" t="s">
        <v>81</v>
      </c>
      <c r="D37" s="444" cm="1">
        <f t="array" ref="D37">INDEX(Berekening_patiëntaantal[Percentage van patiëntaantallen in Wlz (overige is Zvw)],MATCH(B37,IF(Berekening_patiëntaantal[Doelgroep (zoeksleutel)]=C37,Berekening_patiëntaantal[Digitale zorgtoepassing]),0))</f>
        <v>0</v>
      </c>
      <c r="E37" s="33" t="str" cm="1">
        <f t="array" ref="E37">INDEX(Berekening_patiëntaantal[Direct toepasbaar/extrapolatie/incidentie voor QALY],MATCH(B37,IF(Berekening_patiëntaantal[Doelgroep (zoeksleutel)]=C37,Berekening_patiëntaantal[Digitale zorgtoepassing]),0))</f>
        <v>Huidige toepassing</v>
      </c>
      <c r="F37" s="33" t="s">
        <v>146</v>
      </c>
      <c r="G37" s="33" t="s">
        <v>391</v>
      </c>
      <c r="H37" s="135">
        <f>INDEX(Uurloon[Uurtarief zorgpersoneel],MATCH(F37,Uurloon[Zorgverlener],0))</f>
        <v>91.204770114942534</v>
      </c>
      <c r="I37" s="411">
        <f>SUMIFS(Berekening_patiëntaantal[Patiëntaantallen],Berekening_patiëntaantal[Doelgroep (zoeksleutel)],C37,Berekening_patiëntaantal[Digitale zorgtoepassing],B37)</f>
        <v>80000</v>
      </c>
      <c r="J37" s="397">
        <f>IFERROR(AVERAGEIFS(uniforme_input[Tijdsbesparing (min/week/patiënt)],uniforme_input[Doelgroep],C37,uniforme_input[Digitale zorgtoepassing],B37,uniforme_input[Tijdsbesparing (min/week/patiënt)],"&gt; 0")*(Berekening_impact[[#This Row],[Patiëntaantal (direct toepasbaar/extrapolatie)]])/60,0)</f>
        <v>2003.9437689376596</v>
      </c>
      <c r="K37" s="397">
        <f>IFERROR(AVERAGEIFS(uniforme_input[Tijdsbesparing (min/handeling)],uniforme_input[Doelgroep],C37,uniforme_input[Digitale zorgtoepassing],B37,uniforme_input[Tijdsbesparing (min/handeling)],"&gt; 0")*(Berekening_impact[[#This Row],[Patiëntaantal (direct toepasbaar/extrapolatie)]])/60,0)/52</f>
        <v>0</v>
      </c>
      <c r="L37" s="397">
        <f t="shared" si="2"/>
        <v>50.098594223441488</v>
      </c>
      <c r="M37" s="412">
        <f t="shared" si="3"/>
        <v>9504000</v>
      </c>
      <c r="N37" s="412">
        <f>IFERROR(AVERAGEIFS(uniforme_input[Overige kostenbesparing (€/jaar/patiënt)],uniforme_input[Doelgroep],C37,uniforme_input[Digitale zorgtoepassing],B37,uniforme_input[Overige kostenbesparing (€/jaar/patiënt)],"&gt;0")*Berekening_impact[[#This Row],[Patiëntaantal (direct toepasbaar/extrapolatie)]],0)</f>
        <v>23616000</v>
      </c>
      <c r="O37" s="412" cm="1">
        <f t="array" ref="O37">IFERROR(AVERAGEIFS(uniforme_input[QALY per patiënt],uniforme_input[Doelgroep],C37,uniforme_input[Digitale zorgtoepassing],B37,uniforme_input[QALY per patiënt],"&gt;0")*Berekening_impact[[#This Row],[Patiëntaantal (direct toepasbaar/extrapolatie)]]*QALY[Waarde gezond levensjaar],0)</f>
        <v>8000000</v>
      </c>
      <c r="P37" s="412">
        <f>IFERROR((AVERAGEIFS(uniforme_input[Jaarlijkse kosten per patiënt totaal],uniforme_input[Digitale zorgtoepassing],B37,uniforme_input[Doelgroep],C37,uniforme_input[Bron gebruiken voor kosten/investering?],"Ja"))*I37,0)</f>
        <v>3200000</v>
      </c>
      <c r="Q37" s="412">
        <f>Berekening_impact[[#This Row],[Jaarlijkse kosten (totaal)]]+Berekening_impact[[#This Row],[Schatting kosten (€)]]</f>
        <v>3200000</v>
      </c>
      <c r="R37" s="412">
        <f>IFERROR((AVERAGEIFS(uniforme_input[Intiële investering per patiënt totaal],uniforme_input[Digitale zorgtoepassing],B37,uniforme_input[Doelgroep],C37,uniforme_input[Bron gebruiken voor kosten/investering?],"Ja",uniforme_input[Direct toepasbaar/extrapolatie/incidentie voor QALY],"&lt;&gt;Extrapolatie"))*I37,0)</f>
        <v>0</v>
      </c>
      <c r="S37" s="412">
        <f>Berekening_impact[[#This Row],[Initiële investering]]+Berekening_impact[[#This Row],[Schatting investering (€)]]</f>
        <v>0</v>
      </c>
      <c r="T37" s="443" t="s">
        <v>390</v>
      </c>
      <c r="U37" s="443" t="s">
        <v>390</v>
      </c>
      <c r="V37" s="398">
        <f>IF(Berekening_impact[[#This Row],[Kosten schatten?]] = "Ja", (Berekening_impact[[#This Row],[Totaal arbeidsbesparing (€/jaar)]]+Berekening_impact[[#This Row],[Overige kostenbesparing (totaal/jaar totaal potentieel)]])*INDEX(schatting_kosten[Verhouding kosten/omzet],MATCH(A37,schatting_kosten[Veld],0)),0)</f>
        <v>0</v>
      </c>
      <c r="W37"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37" s="286" t="s">
        <v>391</v>
      </c>
      <c r="Y37" s="130">
        <f>Berekening_impact[[#This Row],[Totaal arbeidsbesparing (€/jaar)]]*Berekening_impact[[#This Row],[Percentage van patiëntaantallen in Wlz (overige is Zvw)]]</f>
        <v>0</v>
      </c>
      <c r="Z37" s="130">
        <f>Berekening_impact[[#This Row],[Overige kostenbesparing (totaal/jaar totaal potentieel)]]*Berekening_impact[[#This Row],[Percentage van patiëntaantallen in Wlz (overige is Zvw)]]</f>
        <v>0</v>
      </c>
      <c r="AA37" s="130">
        <f>Berekening_impact[[#This Row],[Jaarlijkse kosten (totaal) - incl. schatting]]*Berekening_impact[[#This Row],[Percentage van patiëntaantallen in Wlz (overige is Zvw)]]</f>
        <v>0</v>
      </c>
      <c r="AB37" s="130">
        <f>Berekening_impact[[#This Row],[Initiële investering (totaal) - incl. schatting]]*Berekening_impact[[#This Row],[Percentage van patiëntaantallen in Wlz (overige is Zvw)]]</f>
        <v>0</v>
      </c>
    </row>
    <row r="38" spans="1:28" x14ac:dyDescent="0.5">
      <c r="A38" s="2" t="str">
        <f>INDEX(Technologieën[Veld],MATCH(B38,Technologieën[Digitale zorgtoepassing],0))</f>
        <v>Software - Behandeling</v>
      </c>
      <c r="B38" s="33" t="s">
        <v>588</v>
      </c>
      <c r="C38" s="33" t="s">
        <v>104</v>
      </c>
      <c r="D38" s="444" cm="1">
        <f t="array" ref="D38">INDEX(Berekening_patiëntaantal[Percentage van patiëntaantallen in Wlz (overige is Zvw)],MATCH(B38,IF(Berekening_patiëntaantal[Doelgroep (zoeksleutel)]=C38,Berekening_patiëntaantal[Digitale zorgtoepassing]),0))</f>
        <v>0</v>
      </c>
      <c r="E38" s="33" t="str" cm="1">
        <f t="array" ref="E38">INDEX(Berekening_patiëntaantal[Direct toepasbaar/extrapolatie/incidentie voor QALY],MATCH(B38,IF(Berekening_patiëntaantal[Doelgroep (zoeksleutel)]=C38,Berekening_patiëntaantal[Digitale zorgtoepassing]),0))</f>
        <v>Huidige toepassing</v>
      </c>
      <c r="F38" s="33" t="s">
        <v>171</v>
      </c>
      <c r="G38" s="33" t="s">
        <v>391</v>
      </c>
      <c r="H38" s="135">
        <f>INDEX(Uurloon[Uurtarief zorgpersoneel],MATCH(F38,Uurloon[Zorgverlener],0))</f>
        <v>20.670258620689658</v>
      </c>
      <c r="I38" s="411">
        <f>SUMIFS(Berekening_patiëntaantal[Patiëntaantallen],Berekening_patiëntaantal[Doelgroep (zoeksleutel)],C38,Berekening_patiëntaantal[Digitale zorgtoepassing],B38)</f>
        <v>8000</v>
      </c>
      <c r="J38" s="397">
        <f>IFERROR(AVERAGEIFS(uniforme_input[Tijdsbesparing (min/week/patiënt)],uniforme_input[Doelgroep],C38,uniforme_input[Digitale zorgtoepassing],B38,uniforme_input[Tijdsbesparing (min/week/patiënt)],"&gt; 0")*(Berekening_impact[[#This Row],[Patiëntaantal (direct toepasbaar/extrapolatie)]])/60,0)</f>
        <v>8000</v>
      </c>
      <c r="K38" s="397">
        <f>IFERROR(AVERAGEIFS(uniforme_input[Tijdsbesparing (min/handeling)],uniforme_input[Doelgroep],C38,uniforme_input[Digitale zorgtoepassing],B38,uniforme_input[Tijdsbesparing (min/handeling)],"&gt; 0")*(Berekening_impact[[#This Row],[Patiëntaantal (direct toepasbaar/extrapolatie)]])/60,0)/52</f>
        <v>0</v>
      </c>
      <c r="L38" s="397">
        <f t="shared" si="2"/>
        <v>200</v>
      </c>
      <c r="M38" s="412">
        <f t="shared" si="3"/>
        <v>8598827.5862068981</v>
      </c>
      <c r="N38" s="412">
        <f>IFERROR(AVERAGEIFS(uniforme_input[Overige kostenbesparing (€/jaar/patiënt)],uniforme_input[Doelgroep],C38,uniforme_input[Digitale zorgtoepassing],B38,uniforme_input[Overige kostenbesparing (€/jaar/patiënt)],"&gt;0")*Berekening_impact[[#This Row],[Patiëntaantal (direct toepasbaar/extrapolatie)]],0)</f>
        <v>0</v>
      </c>
      <c r="O38" s="412" cm="1">
        <f t="array" ref="O38">IFERROR(AVERAGEIFS(uniforme_input[QALY per patiënt],uniforme_input[Doelgroep],C38,uniforme_input[Digitale zorgtoepassing],B38,uniforme_input[QALY per patiënt],"&gt;0")*Berekening_impact[[#This Row],[Patiëntaantal (direct toepasbaar/extrapolatie)]]*QALY[Waarde gezond levensjaar],0)</f>
        <v>0</v>
      </c>
      <c r="P38" s="412">
        <f>IFERROR((AVERAGEIFS(uniforme_input[Jaarlijkse kosten per patiënt totaal],uniforme_input[Digitale zorgtoepassing],B38,uniforme_input[Doelgroep],C38,uniforme_input[Bron gebruiken voor kosten/investering?],"Ja"))*I38,0)</f>
        <v>1120000.68</v>
      </c>
      <c r="Q38" s="412">
        <f>Berekening_impact[[#This Row],[Jaarlijkse kosten (totaal)]]+Berekening_impact[[#This Row],[Schatting kosten (€)]]</f>
        <v>1120000.68</v>
      </c>
      <c r="R38" s="412">
        <f>IFERROR((AVERAGEIFS(uniforme_input[Intiële investering per patiënt totaal],uniforme_input[Digitale zorgtoepassing],B38,uniforme_input[Doelgroep],C38,uniforme_input[Bron gebruiken voor kosten/investering?],"Ja",uniforme_input[Direct toepasbaar/extrapolatie/incidentie voor QALY],"&lt;&gt;Extrapolatie"))*I38,0)</f>
        <v>0</v>
      </c>
      <c r="S38" s="412">
        <f>Berekening_impact[[#This Row],[Initiële investering]]+Berekening_impact[[#This Row],[Schatting investering (€)]]</f>
        <v>0</v>
      </c>
      <c r="T38" s="443" t="s">
        <v>390</v>
      </c>
      <c r="U38" s="443" t="s">
        <v>390</v>
      </c>
      <c r="V38" s="398">
        <f>IF(Berekening_impact[[#This Row],[Kosten schatten?]] = "Ja", (Berekening_impact[[#This Row],[Totaal arbeidsbesparing (€/jaar)]]+Berekening_impact[[#This Row],[Overige kostenbesparing (totaal/jaar totaal potentieel)]])*INDEX(schatting_kosten[Verhouding kosten/omzet],MATCH(A38,schatting_kosten[Veld],0)),0)</f>
        <v>0</v>
      </c>
      <c r="W38"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38" s="286" t="s">
        <v>391</v>
      </c>
      <c r="Y38" s="130">
        <f>Berekening_impact[[#This Row],[Totaal arbeidsbesparing (€/jaar)]]*Berekening_impact[[#This Row],[Percentage van patiëntaantallen in Wlz (overige is Zvw)]]</f>
        <v>0</v>
      </c>
      <c r="Z38" s="130">
        <f>Berekening_impact[[#This Row],[Overige kostenbesparing (totaal/jaar totaal potentieel)]]*Berekening_impact[[#This Row],[Percentage van patiëntaantallen in Wlz (overige is Zvw)]]</f>
        <v>0</v>
      </c>
      <c r="AA38" s="130">
        <f>Berekening_impact[[#This Row],[Jaarlijkse kosten (totaal) - incl. schatting]]*Berekening_impact[[#This Row],[Percentage van patiëntaantallen in Wlz (overige is Zvw)]]</f>
        <v>0</v>
      </c>
      <c r="AB38" s="130">
        <f>Berekening_impact[[#This Row],[Initiële investering (totaal) - incl. schatting]]*Berekening_impact[[#This Row],[Percentage van patiëntaantallen in Wlz (overige is Zvw)]]</f>
        <v>0</v>
      </c>
    </row>
    <row r="39" spans="1:28" x14ac:dyDescent="0.5">
      <c r="A39" s="2" t="str">
        <f>INDEX(Technologieën[Veld],MATCH(B39,Technologieën[Digitale zorgtoepassing],0))</f>
        <v>Digitale hulpmiddelen - Verpleging</v>
      </c>
      <c r="B39" s="33" t="s">
        <v>19</v>
      </c>
      <c r="C39" s="33" t="s">
        <v>27</v>
      </c>
      <c r="D39" s="444" cm="1">
        <f t="array" ref="D39">INDEX(Berekening_patiëntaantal[Percentage van patiëntaantallen in Wlz (overige is Zvw)],MATCH(B39,IF(Berekening_patiëntaantal[Doelgroep (zoeksleutel)]=C39,Berekening_patiëntaantal[Digitale zorgtoepassing]),0))</f>
        <v>0.45</v>
      </c>
      <c r="E39" s="33" t="str" cm="1">
        <f t="array" ref="E39">INDEX(Berekening_patiëntaantal[Direct toepasbaar/extrapolatie/incidentie voor QALY],MATCH(B39,IF(Berekening_patiëntaantal[Doelgroep (zoeksleutel)]=C39,Berekening_patiëntaantal[Digitale zorgtoepassing]),0))</f>
        <v>Extrapolatie</v>
      </c>
      <c r="F39" s="33" t="s">
        <v>144</v>
      </c>
      <c r="G39" s="33" t="s">
        <v>391</v>
      </c>
      <c r="H39" s="135">
        <f>INDEX(Uurloon[Uurtarief zorgpersoneel],MATCH(F39,Uurloon[Zorgverlener],0))</f>
        <v>20.410632183908046</v>
      </c>
      <c r="I39" s="411">
        <f>SUMIFS(Berekening_patiëntaantal[Patiëntaantallen],Berekening_patiëntaantal[Doelgroep (zoeksleutel)],C39,Berekening_patiëntaantal[Digitale zorgtoepassing],B39)</f>
        <v>7935</v>
      </c>
      <c r="J39" s="397">
        <f>IFERROR(AVERAGEIFS(uniforme_input[Tijdsbesparing (min/week/patiënt)],uniforme_input[Doelgroep],C39,uniforme_input[Digitale zorgtoepassing],B39,uniforme_input[Tijdsbesparing (min/week/patiënt)],"&gt; 0")*(Berekening_impact[[#This Row],[Patiëntaantal (direct toepasbaar/extrapolatie)]])/60,0)</f>
        <v>10315.5</v>
      </c>
      <c r="K39" s="397">
        <f>IFERROR(AVERAGEIFS(uniforme_input[Tijdsbesparing (min/handeling)],uniforme_input[Doelgroep],C39,uniforme_input[Digitale zorgtoepassing],B39,uniforme_input[Tijdsbesparing (min/handeling)],"&gt; 0")*(Berekening_impact[[#This Row],[Patiëntaantal (direct toepasbaar/extrapolatie)]])/60,0)/52</f>
        <v>0</v>
      </c>
      <c r="L39" s="397">
        <f t="shared" si="2"/>
        <v>257.88749999999999</v>
      </c>
      <c r="M39" s="412">
        <f t="shared" si="3"/>
        <v>10948385.567241378</v>
      </c>
      <c r="N39" s="412">
        <f>IFERROR(AVERAGEIFS(uniforme_input[Overige kostenbesparing (€/jaar/patiënt)],uniforme_input[Doelgroep],C39,uniforme_input[Digitale zorgtoepassing],B39,uniforme_input[Overige kostenbesparing (€/jaar/patiënt)],"&gt;0")*Berekening_impact[[#This Row],[Patiëntaantal (direct toepasbaar/extrapolatie)]],0)</f>
        <v>5392488.4137159036</v>
      </c>
      <c r="O39" s="412" cm="1">
        <f t="array" ref="O39">IFERROR(AVERAGEIFS(uniforme_input[QALY per patiënt],uniforme_input[Doelgroep],C39,uniforme_input[Digitale zorgtoepassing],B39,uniforme_input[QALY per patiënt],"&gt;0")*Berekening_impact[[#This Row],[Patiëntaantal (direct toepasbaar/extrapolatie)]]*QALY[Waarde gezond levensjaar],0)</f>
        <v>0</v>
      </c>
      <c r="P39" s="412">
        <f>IFERROR((AVERAGEIFS(uniforme_input[Jaarlijkse kosten per patiënt totaal],uniforme_input[Digitale zorgtoepassing],B39,uniforme_input[Doelgroep],C39,uniforme_input[Bron gebruiken voor kosten/investering?],"Ja"))*I39,0)</f>
        <v>4220566.9874999998</v>
      </c>
      <c r="Q39" s="412">
        <f>Berekening_impact[[#This Row],[Jaarlijkse kosten (totaal)]]+Berekening_impact[[#This Row],[Schatting kosten (€)]]</f>
        <v>4220566.9874999998</v>
      </c>
      <c r="R39" s="412">
        <f>IFERROR((AVERAGEIFS(uniforme_input[Intiële investering per patiënt totaal],uniforme_input[Digitale zorgtoepassing],B39,uniforme_input[Doelgroep],C39,uniforme_input[Bron gebruiken voor kosten/investering?],"Ja",uniforme_input[Direct toepasbaar/extrapolatie/incidentie voor QALY],"&lt;&gt;Extrapolatie"))*I39,0)</f>
        <v>0</v>
      </c>
      <c r="S39" s="412">
        <f>Berekening_impact[[#This Row],[Initiële investering]]+Berekening_impact[[#This Row],[Schatting investering (€)]]</f>
        <v>0</v>
      </c>
      <c r="T39" s="443" t="s">
        <v>390</v>
      </c>
      <c r="U39" s="443" t="s">
        <v>390</v>
      </c>
      <c r="V39" s="398">
        <f>IF(Berekening_impact[[#This Row],[Kosten schatten?]] = "Ja", (Berekening_impact[[#This Row],[Totaal arbeidsbesparing (€/jaar)]]+Berekening_impact[[#This Row],[Overige kostenbesparing (totaal/jaar totaal potentieel)]])*INDEX(schatting_kosten[Verhouding kosten/omzet],MATCH(A39,schatting_kosten[Veld],0)),0)</f>
        <v>0</v>
      </c>
      <c r="W39"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39" s="286" t="s">
        <v>391</v>
      </c>
      <c r="Y39" s="130">
        <f>Berekening_impact[[#This Row],[Totaal arbeidsbesparing (€/jaar)]]*Berekening_impact[[#This Row],[Percentage van patiëntaantallen in Wlz (overige is Zvw)]]</f>
        <v>4926773.5052586207</v>
      </c>
      <c r="Z39" s="130">
        <f>Berekening_impact[[#This Row],[Overige kostenbesparing (totaal/jaar totaal potentieel)]]*Berekening_impact[[#This Row],[Percentage van patiëntaantallen in Wlz (overige is Zvw)]]</f>
        <v>2426619.7861721567</v>
      </c>
      <c r="AA39" s="130">
        <f>Berekening_impact[[#This Row],[Jaarlijkse kosten (totaal) - incl. schatting]]*Berekening_impact[[#This Row],[Percentage van patiëntaantallen in Wlz (overige is Zvw)]]</f>
        <v>1899255.1443749999</v>
      </c>
      <c r="AB39" s="130">
        <f>Berekening_impact[[#This Row],[Initiële investering (totaal) - incl. schatting]]*Berekening_impact[[#This Row],[Percentage van patiëntaantallen in Wlz (overige is Zvw)]]</f>
        <v>0</v>
      </c>
    </row>
    <row r="40" spans="1:28" x14ac:dyDescent="0.5">
      <c r="A40" s="2" t="str">
        <f>INDEX(Technologieën[Veld],MATCH(B40,Technologieën[Digitale zorgtoepassing],0))</f>
        <v>Software - Behandeling</v>
      </c>
      <c r="B40" s="33" t="s">
        <v>585</v>
      </c>
      <c r="C40" s="33" t="s">
        <v>107</v>
      </c>
      <c r="D40" s="444" cm="1">
        <f t="array" ref="D40">INDEX(Berekening_patiëntaantal[Percentage van patiëntaantallen in Wlz (overige is Zvw)],MATCH(B40,IF(Berekening_patiëntaantal[Doelgroep (zoeksleutel)]=C40,Berekening_patiëntaantal[Digitale zorgtoepassing]),0))</f>
        <v>0</v>
      </c>
      <c r="E40" s="33" t="str" cm="1">
        <f t="array" ref="E40">INDEX(Berekening_patiëntaantal[Direct toepasbaar/extrapolatie/incidentie voor QALY],MATCH(B40,IF(Berekening_patiëntaantal[Doelgroep (zoeksleutel)]=C40,Berekening_patiëntaantal[Digitale zorgtoepassing]),0))</f>
        <v>Huidige toepassing</v>
      </c>
      <c r="F40" s="33" t="s">
        <v>146</v>
      </c>
      <c r="G40" s="33" t="s">
        <v>391</v>
      </c>
      <c r="H40" s="135">
        <f>INDEX(Uurloon[Uurtarief zorgpersoneel],MATCH(F40,Uurloon[Zorgverlener],0))</f>
        <v>91.204770114942534</v>
      </c>
      <c r="I40" s="411">
        <f>SUMIFS(Berekening_patiëntaantal[Patiëntaantallen],Berekening_patiëntaantal[Doelgroep (zoeksleutel)],C40,Berekening_patiëntaantal[Digitale zorgtoepassing],B40)</f>
        <v>57750</v>
      </c>
      <c r="J40" s="397">
        <f>IFERROR(AVERAGEIFS(uniforme_input[Tijdsbesparing (min/week/patiënt)],uniforme_input[Doelgroep],C40,uniforme_input[Digitale zorgtoepassing],B40,uniforme_input[Tijdsbesparing (min/week/patiënt)],"&gt; 0")*(Berekening_impact[[#This Row],[Patiëntaantal (direct toepasbaar/extrapolatie)]])/60,0)</f>
        <v>0</v>
      </c>
      <c r="K40" s="397">
        <f>IFERROR(AVERAGEIFS(uniforme_input[Tijdsbesparing (min/handeling)],uniforme_input[Doelgroep],C40,uniforme_input[Digitale zorgtoepassing],B40,uniforme_input[Tijdsbesparing (min/handeling)],"&gt; 0")*(Berekening_impact[[#This Row],[Patiëntaantal (direct toepasbaar/extrapolatie)]])/60,0)/52</f>
        <v>1227.4155584743166</v>
      </c>
      <c r="L40" s="397">
        <f t="shared" si="2"/>
        <v>30.685388961857917</v>
      </c>
      <c r="M40" s="412">
        <f t="shared" si="3"/>
        <v>5821200.0000000009</v>
      </c>
      <c r="N40" s="412">
        <f>IFERROR(AVERAGEIFS(uniforme_input[Overige kostenbesparing (€/jaar/patiënt)],uniforme_input[Doelgroep],C40,uniforme_input[Digitale zorgtoepassing],B40,uniforme_input[Overige kostenbesparing (€/jaar/patiënt)],"&gt;0")*Berekening_impact[[#This Row],[Patiëntaantal (direct toepasbaar/extrapolatie)]],0)</f>
        <v>3880800</v>
      </c>
      <c r="O40" s="412" cm="1">
        <f t="array" ref="O40">IFERROR(AVERAGEIFS(uniforme_input[QALY per patiënt],uniforme_input[Doelgroep],C40,uniforme_input[Digitale zorgtoepassing],B40,uniforme_input[QALY per patiënt],"&gt;0")*Berekening_impact[[#This Row],[Patiëntaantal (direct toepasbaar/extrapolatie)]]*QALY[Waarde gezond levensjaar],0)</f>
        <v>0</v>
      </c>
      <c r="P40" s="412">
        <f>IFERROR((AVERAGEIFS(uniforme_input[Jaarlijkse kosten per patiënt totaal],uniforme_input[Digitale zorgtoepassing],B40,uniforme_input[Doelgroep],C40,uniforme_input[Bron gebruiken voor kosten/investering?],"Ja"))*I40,0)</f>
        <v>0</v>
      </c>
      <c r="Q40" s="412">
        <f>Berekening_impact[[#This Row],[Jaarlijkse kosten (totaal)]]+Berekening_impact[[#This Row],[Schatting kosten (€)]]</f>
        <v>0</v>
      </c>
      <c r="R40" s="412">
        <f>IFERROR((AVERAGEIFS(uniforme_input[Intiële investering per patiënt totaal],uniforme_input[Digitale zorgtoepassing],B40,uniforme_input[Doelgroep],C40,uniforme_input[Bron gebruiken voor kosten/investering?],"Ja",uniforme_input[Direct toepasbaar/extrapolatie/incidentie voor QALY],"&lt;&gt;Extrapolatie"))*I40,0)</f>
        <v>0</v>
      </c>
      <c r="S40" s="412">
        <f>Berekening_impact[[#This Row],[Initiële investering]]+Berekening_impact[[#This Row],[Schatting investering (€)]]</f>
        <v>0</v>
      </c>
      <c r="T40" s="443" t="s">
        <v>390</v>
      </c>
      <c r="U40" s="443" t="s">
        <v>390</v>
      </c>
      <c r="V40" s="398">
        <f>IF(Berekening_impact[[#This Row],[Kosten schatten?]] = "Ja", (Berekening_impact[[#This Row],[Totaal arbeidsbesparing (€/jaar)]]+Berekening_impact[[#This Row],[Overige kostenbesparing (totaal/jaar totaal potentieel)]])*INDEX(schatting_kosten[Verhouding kosten/omzet],MATCH(A40,schatting_kosten[Veld],0)),0)</f>
        <v>0</v>
      </c>
      <c r="W40"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40" s="286" t="s">
        <v>390</v>
      </c>
      <c r="Y40" s="130">
        <f>Berekening_impact[[#This Row],[Totaal arbeidsbesparing (€/jaar)]]*Berekening_impact[[#This Row],[Percentage van patiëntaantallen in Wlz (overige is Zvw)]]</f>
        <v>0</v>
      </c>
      <c r="Z40" s="130">
        <f>Berekening_impact[[#This Row],[Overige kostenbesparing (totaal/jaar totaal potentieel)]]*Berekening_impact[[#This Row],[Percentage van patiëntaantallen in Wlz (overige is Zvw)]]</f>
        <v>0</v>
      </c>
      <c r="AA40" s="130">
        <f>Berekening_impact[[#This Row],[Jaarlijkse kosten (totaal) - incl. schatting]]*Berekening_impact[[#This Row],[Percentage van patiëntaantallen in Wlz (overige is Zvw)]]</f>
        <v>0</v>
      </c>
      <c r="AB40" s="130">
        <f>Berekening_impact[[#This Row],[Initiële investering (totaal) - incl. schatting]]*Berekening_impact[[#This Row],[Percentage van patiëntaantallen in Wlz (overige is Zvw)]]</f>
        <v>0</v>
      </c>
    </row>
    <row r="41" spans="1:28" x14ac:dyDescent="0.5">
      <c r="A41" s="2" t="str">
        <f>INDEX(Technologieën[Veld],MATCH(B41,Technologieën[Digitale zorgtoepassing],0))</f>
        <v>Software - Behandeling</v>
      </c>
      <c r="B41" s="33" t="s">
        <v>585</v>
      </c>
      <c r="C41" s="33" t="s">
        <v>583</v>
      </c>
      <c r="D41" s="444" cm="1">
        <f t="array" ref="D41">INDEX(Berekening_patiëntaantal[Percentage van patiëntaantallen in Wlz (overige is Zvw)],MATCH(B41,IF(Berekening_patiëntaantal[Doelgroep (zoeksleutel)]=C41,Berekening_patiëntaantal[Digitale zorgtoepassing]),0))</f>
        <v>0</v>
      </c>
      <c r="E41" s="33" t="str" cm="1">
        <f t="array" ref="E41">INDEX(Berekening_patiëntaantal[Direct toepasbaar/extrapolatie/incidentie voor QALY],MATCH(B41,IF(Berekening_patiëntaantal[Doelgroep (zoeksleutel)]=C41,Berekening_patiëntaantal[Digitale zorgtoepassing]),0))</f>
        <v>Huidige toepassing</v>
      </c>
      <c r="F41" s="33" t="s">
        <v>146</v>
      </c>
      <c r="G41" s="33" t="s">
        <v>391</v>
      </c>
      <c r="H41" s="135">
        <f>INDEX(Uurloon[Uurtarief zorgpersoneel],MATCH(F41,Uurloon[Zorgverlener],0))</f>
        <v>91.204770114942534</v>
      </c>
      <c r="I41" s="411">
        <f>SUMIFS(Berekening_patiëntaantal[Patiëntaantallen],Berekening_patiëntaantal[Doelgroep (zoeksleutel)],C41,Berekening_patiëntaantal[Digitale zorgtoepassing],B41)</f>
        <v>5500000</v>
      </c>
      <c r="J41" s="397">
        <f>IFERROR(AVERAGEIFS(uniforme_input[Tijdsbesparing (min/week/patiënt)],uniforme_input[Doelgroep],C41,uniforme_input[Digitale zorgtoepassing],B41,uniforme_input[Tijdsbesparing (min/week/patiënt)],"&gt; 0")*(Berekening_impact[[#This Row],[Patiëntaantal (direct toepasbaar/extrapolatie)]])/60,0)</f>
        <v>0</v>
      </c>
      <c r="K41" s="397">
        <f>IFERROR(AVERAGEIFS(uniforme_input[Tijdsbesparing (min/handeling)],uniforme_input[Doelgroep],C41,uniforme_input[Digitale zorgtoepassing],B41,uniforme_input[Tijdsbesparing (min/handeling)],"&gt; 0")*(Berekening_impact[[#This Row],[Patiëntaantal (direct toepasbaar/extrapolatie)]])/60,0)/52</f>
        <v>5288.4615384615381</v>
      </c>
      <c r="L41" s="397">
        <f t="shared" si="2"/>
        <v>132.21153846153845</v>
      </c>
      <c r="M41" s="412">
        <f t="shared" si="3"/>
        <v>25081311.781609196</v>
      </c>
      <c r="N41" s="412">
        <f>IFERROR(AVERAGEIFS(uniforme_input[Overige kostenbesparing (€/jaar/patiënt)],uniforme_input[Doelgroep],C41,uniforme_input[Digitale zorgtoepassing],B41,uniforme_input[Overige kostenbesparing (€/jaar/patiënt)],"&gt;0")*Berekening_impact[[#This Row],[Patiëntaantal (direct toepasbaar/extrapolatie)]],0)</f>
        <v>0</v>
      </c>
      <c r="O41" s="412" cm="1">
        <f t="array" ref="O41">IFERROR(AVERAGEIFS(uniforme_input[QALY per patiënt],uniforme_input[Doelgroep],C41,uniforme_input[Digitale zorgtoepassing],B41,uniforme_input[QALY per patiënt],"&gt;0")*Berekening_impact[[#This Row],[Patiëntaantal (direct toepasbaar/extrapolatie)]]*QALY[Waarde gezond levensjaar],0)</f>
        <v>0</v>
      </c>
      <c r="P41" s="412">
        <f>IFERROR((AVERAGEIFS(uniforme_input[Jaarlijkse kosten per patiënt totaal],uniforme_input[Digitale zorgtoepassing],B41,uniforme_input[Doelgroep],C41,uniforme_input[Bron gebruiken voor kosten/investering?],"Ja"))*I41,0)</f>
        <v>0</v>
      </c>
      <c r="Q41" s="412">
        <f>Berekening_impact[[#This Row],[Jaarlijkse kosten (totaal)]]+Berekening_impact[[#This Row],[Schatting kosten (€)]]</f>
        <v>13746327.977794986</v>
      </c>
      <c r="R41" s="412">
        <f>IFERROR((AVERAGEIFS(uniforme_input[Intiële investering per patiënt totaal],uniforme_input[Digitale zorgtoepassing],B41,uniforme_input[Doelgroep],C41,uniforme_input[Bron gebruiken voor kosten/investering?],"Ja",uniforme_input[Direct toepasbaar/extrapolatie/incidentie voor QALY],"&lt;&gt;Extrapolatie"))*I41,0)</f>
        <v>0</v>
      </c>
      <c r="S41" s="412">
        <f>Berekening_impact[[#This Row],[Initiële investering]]+Berekening_impact[[#This Row],[Schatting investering (€)]]</f>
        <v>0</v>
      </c>
      <c r="T41" s="443" t="s">
        <v>391</v>
      </c>
      <c r="U41" s="443" t="s">
        <v>390</v>
      </c>
      <c r="V41" s="398">
        <f>IF(Berekening_impact[[#This Row],[Kosten schatten?]] = "Ja", (Berekening_impact[[#This Row],[Totaal arbeidsbesparing (€/jaar)]]+Berekening_impact[[#This Row],[Overige kostenbesparing (totaal/jaar totaal potentieel)]])*INDEX(schatting_kosten[Verhouding kosten/omzet],MATCH(A41,schatting_kosten[Veld],0)),0)</f>
        <v>13746327.977794986</v>
      </c>
      <c r="W41"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41" s="286" t="s">
        <v>390</v>
      </c>
      <c r="Y41" s="130">
        <f>Berekening_impact[[#This Row],[Totaal arbeidsbesparing (€/jaar)]]*Berekening_impact[[#This Row],[Percentage van patiëntaantallen in Wlz (overige is Zvw)]]</f>
        <v>0</v>
      </c>
      <c r="Z41" s="130">
        <f>Berekening_impact[[#This Row],[Overige kostenbesparing (totaal/jaar totaal potentieel)]]*Berekening_impact[[#This Row],[Percentage van patiëntaantallen in Wlz (overige is Zvw)]]</f>
        <v>0</v>
      </c>
      <c r="AA41" s="130">
        <f>Berekening_impact[[#This Row],[Jaarlijkse kosten (totaal) - incl. schatting]]*Berekening_impact[[#This Row],[Percentage van patiëntaantallen in Wlz (overige is Zvw)]]</f>
        <v>0</v>
      </c>
      <c r="AB41" s="130">
        <f>Berekening_impact[[#This Row],[Initiële investering (totaal) - incl. schatting]]*Berekening_impact[[#This Row],[Percentage van patiëntaantallen in Wlz (overige is Zvw)]]</f>
        <v>0</v>
      </c>
    </row>
    <row r="42" spans="1:28" x14ac:dyDescent="0.5">
      <c r="A42" s="2" t="str">
        <f>INDEX(Technologieën[Veld],MATCH(B42,Technologieën[Digitale zorgtoepassing],0))</f>
        <v>Software - Behandeling</v>
      </c>
      <c r="B42" s="33" t="s">
        <v>609</v>
      </c>
      <c r="C42" s="33" t="s">
        <v>270</v>
      </c>
      <c r="D42" s="444" cm="1">
        <f t="array" ref="D42">INDEX(Berekening_patiëntaantal[Percentage van patiëntaantallen in Wlz (overige is Zvw)],MATCH(B42,IF(Berekening_patiëntaantal[Doelgroep (zoeksleutel)]=C42,Berekening_patiëntaantal[Digitale zorgtoepassing]),0))</f>
        <v>0</v>
      </c>
      <c r="E42" s="33" t="str" cm="1">
        <f t="array" ref="E42">INDEX(Berekening_patiëntaantal[Direct toepasbaar/extrapolatie/incidentie voor QALY],MATCH(B42,IF(Berekening_patiëntaantal[Doelgroep (zoeksleutel)]=C42,Berekening_patiëntaantal[Digitale zorgtoepassing]),0))</f>
        <v>Huidige toepassing</v>
      </c>
      <c r="F42" s="33" t="s">
        <v>146</v>
      </c>
      <c r="G42" s="33" t="s">
        <v>391</v>
      </c>
      <c r="H42" s="135">
        <f>INDEX(Uurloon[Uurtarief zorgpersoneel],MATCH(F42,Uurloon[Zorgverlener],0))</f>
        <v>91.204770114942534</v>
      </c>
      <c r="I42" s="411">
        <f>SUMIFS(Berekening_patiëntaantal[Patiëntaantallen],Berekening_patiëntaantal[Doelgroep (zoeksleutel)],C42,Berekening_patiëntaantal[Digitale zorgtoepassing],B42)</f>
        <v>31032</v>
      </c>
      <c r="J42" s="397">
        <f>IFERROR(AVERAGEIFS(uniforme_input[Tijdsbesparing (min/week/patiënt)],uniforme_input[Doelgroep],C42,uniforme_input[Digitale zorgtoepassing],B42,uniforme_input[Tijdsbesparing (min/week/patiënt)],"&gt; 0")*(Berekening_impact[[#This Row],[Patiëntaantal (direct toepasbaar/extrapolatie)]])/60,0)</f>
        <v>590.22101173509031</v>
      </c>
      <c r="K42" s="397">
        <f>IFERROR(AVERAGEIFS(uniforme_input[Tijdsbesparing (min/handeling)],uniforme_input[Doelgroep],C42,uniforme_input[Digitale zorgtoepassing],B42,uniforme_input[Tijdsbesparing (min/handeling)],"&gt; 0")*(Berekening_impact[[#This Row],[Patiëntaantal (direct toepasbaar/extrapolatie)]])/60,0)/52</f>
        <v>0</v>
      </c>
      <c r="L42" s="397">
        <f t="shared" ref="L42:L58" si="4">($J42/40)+($K42/40)</f>
        <v>14.755525293377257</v>
      </c>
      <c r="M42" s="412">
        <f t="shared" ref="M42:M58" si="5">IF($J42*H42&gt;0,$J42*H42,K42*H42)*52</f>
        <v>2799210.5280000013</v>
      </c>
      <c r="N42" s="412">
        <f>IFERROR(AVERAGEIFS(uniforme_input[Overige kostenbesparing (€/jaar/patiënt)],uniforme_input[Doelgroep],C42,uniforme_input[Digitale zorgtoepassing],B42,uniforme_input[Overige kostenbesparing (€/jaar/patiënt)],"&gt;0")*Berekening_impact[[#This Row],[Patiëntaantal (direct toepasbaar/extrapolatie)]],0)</f>
        <v>1866140.3520000004</v>
      </c>
      <c r="O42" s="412" cm="1">
        <f t="array" ref="O42">IFERROR(AVERAGEIFS(uniforme_input[QALY per patiënt],uniforme_input[Doelgroep],C42,uniforme_input[Digitale zorgtoepassing],B42,uniforme_input[QALY per patiënt],"&gt;0")*Berekening_impact[[#This Row],[Patiëntaantal (direct toepasbaar/extrapolatie)]]*QALY[Waarde gezond levensjaar],0)</f>
        <v>0</v>
      </c>
      <c r="P42" s="412">
        <f>IFERROR((AVERAGEIFS(uniforme_input[Jaarlijkse kosten per patiënt totaal],uniforme_input[Digitale zorgtoepassing],B42,uniforme_input[Doelgroep],C42,uniforme_input[Bron gebruiken voor kosten/investering?],"Ja"))*I42,0)</f>
        <v>0</v>
      </c>
      <c r="Q42" s="412">
        <f>Berekening_impact[[#This Row],[Jaarlijkse kosten (totaal)]]+Berekening_impact[[#This Row],[Schatting kosten (€)]]</f>
        <v>0</v>
      </c>
      <c r="R42" s="412">
        <f>IFERROR((AVERAGEIFS(uniforme_input[Intiële investering per patiënt totaal],uniforme_input[Digitale zorgtoepassing],B42,uniforme_input[Doelgroep],C42,uniforme_input[Bron gebruiken voor kosten/investering?],"Ja",uniforme_input[Direct toepasbaar/extrapolatie/incidentie voor QALY],"&lt;&gt;Extrapolatie"))*I42,0)</f>
        <v>0</v>
      </c>
      <c r="S42" s="412">
        <f>Berekening_impact[[#This Row],[Initiële investering]]+Berekening_impact[[#This Row],[Schatting investering (€)]]</f>
        <v>0</v>
      </c>
      <c r="T42" s="443" t="s">
        <v>390</v>
      </c>
      <c r="U42" s="443" t="s">
        <v>390</v>
      </c>
      <c r="V42" s="398">
        <f>IF(Berekening_impact[[#This Row],[Kosten schatten?]] = "Ja", (Berekening_impact[[#This Row],[Totaal arbeidsbesparing (€/jaar)]]+Berekening_impact[[#This Row],[Overige kostenbesparing (totaal/jaar totaal potentieel)]])*INDEX(schatting_kosten[Verhouding kosten/omzet],MATCH(A42,schatting_kosten[Veld],0)),0)</f>
        <v>0</v>
      </c>
      <c r="W42"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42" s="286" t="s">
        <v>390</v>
      </c>
      <c r="Y42" s="130">
        <f>Berekening_impact[[#This Row],[Totaal arbeidsbesparing (€/jaar)]]*Berekening_impact[[#This Row],[Percentage van patiëntaantallen in Wlz (overige is Zvw)]]</f>
        <v>0</v>
      </c>
      <c r="Z42" s="130">
        <f>Berekening_impact[[#This Row],[Overige kostenbesparing (totaal/jaar totaal potentieel)]]*Berekening_impact[[#This Row],[Percentage van patiëntaantallen in Wlz (overige is Zvw)]]</f>
        <v>0</v>
      </c>
      <c r="AA42" s="130">
        <f>Berekening_impact[[#This Row],[Jaarlijkse kosten (totaal) - incl. schatting]]*Berekening_impact[[#This Row],[Percentage van patiëntaantallen in Wlz (overige is Zvw)]]</f>
        <v>0</v>
      </c>
      <c r="AB42" s="130">
        <f>Berekening_impact[[#This Row],[Initiële investering (totaal) - incl. schatting]]*Berekening_impact[[#This Row],[Percentage van patiëntaantallen in Wlz (overige is Zvw)]]</f>
        <v>0</v>
      </c>
    </row>
    <row r="43" spans="1:28" x14ac:dyDescent="0.5">
      <c r="A43" s="2" t="str">
        <f>INDEX(Technologieën[Veld],MATCH(B43,Technologieën[Digitale zorgtoepassing],0))</f>
        <v>Software - Behandeling</v>
      </c>
      <c r="B43" s="33" t="s">
        <v>609</v>
      </c>
      <c r="C43" s="33" t="s">
        <v>95</v>
      </c>
      <c r="D43" s="444" cm="1">
        <f t="array" ref="D43">INDEX(Berekening_patiëntaantal[Percentage van patiëntaantallen in Wlz (overige is Zvw)],MATCH(B43,IF(Berekening_patiëntaantal[Doelgroep (zoeksleutel)]=C43,Berekening_patiëntaantal[Digitale zorgtoepassing]),0))</f>
        <v>0</v>
      </c>
      <c r="E43" s="33" t="str" cm="1">
        <f t="array" ref="E43">INDEX(Berekening_patiëntaantal[Direct toepasbaar/extrapolatie/incidentie voor QALY],MATCH(B43,IF(Berekening_patiëntaantal[Doelgroep (zoeksleutel)]=C43,Berekening_patiëntaantal[Digitale zorgtoepassing]),0))</f>
        <v>Huidige toepassing</v>
      </c>
      <c r="F43" s="33" t="s">
        <v>146</v>
      </c>
      <c r="G43" s="33" t="s">
        <v>391</v>
      </c>
      <c r="H43" s="135">
        <f>INDEX(Uurloon[Uurtarief zorgpersoneel],MATCH(F43,Uurloon[Zorgverlener],0))</f>
        <v>91.204770114942534</v>
      </c>
      <c r="I43" s="411">
        <f>SUMIFS(Berekening_patiëntaantal[Patiëntaantallen],Berekening_patiëntaantal[Doelgroep (zoeksleutel)],C43,Berekening_patiëntaantal[Digitale zorgtoepassing],B43)</f>
        <v>16380</v>
      </c>
      <c r="J43" s="397">
        <f>IFERROR(AVERAGEIFS(uniforme_input[Tijdsbesparing (min/week/patiënt)],uniforme_input[Doelgroep],C43,uniforme_input[Digitale zorgtoepassing],B43,uniforme_input[Tijdsbesparing (min/week/patiënt)],"&gt; 0")*(Berekening_impact[[#This Row],[Patiëntaantal (direct toepasbaar/extrapolatie)]])/60,0)</f>
        <v>1956.4739845856518</v>
      </c>
      <c r="K43" s="397">
        <f>IFERROR(AVERAGEIFS(uniforme_input[Tijdsbesparing (min/handeling)],uniforme_input[Doelgroep],C43,uniforme_input[Digitale zorgtoepassing],B43,uniforme_input[Tijdsbesparing (min/handeling)],"&gt; 0")*(Berekening_impact[[#This Row],[Patiëntaantal (direct toepasbaar/extrapolatie)]])/60,0)/52</f>
        <v>0</v>
      </c>
      <c r="L43" s="397">
        <f t="shared" si="4"/>
        <v>48.911849614641298</v>
      </c>
      <c r="M43" s="412">
        <f t="shared" si="5"/>
        <v>9278867.5199999996</v>
      </c>
      <c r="N43" s="412">
        <f>IFERROR(AVERAGEIFS(uniforme_input[Overige kostenbesparing (€/jaar/patiënt)],uniforme_input[Doelgroep],C43,uniforme_input[Digitale zorgtoepassing],B43,uniforme_input[Overige kostenbesparing (€/jaar/patiënt)],"&gt;0")*Berekening_impact[[#This Row],[Patiëntaantal (direct toepasbaar/extrapolatie)]],0)</f>
        <v>10598683.680000002</v>
      </c>
      <c r="O43" s="412" cm="1">
        <f t="array" ref="O43">IFERROR(AVERAGEIFS(uniforme_input[QALY per patiënt],uniforme_input[Doelgroep],C43,uniforme_input[Digitale zorgtoepassing],B43,uniforme_input[QALY per patiënt],"&gt;0")*Berekening_impact[[#This Row],[Patiëntaantal (direct toepasbaar/extrapolatie)]]*QALY[Waarde gezond levensjaar],0)</f>
        <v>40950000</v>
      </c>
      <c r="P43" s="412">
        <f>IFERROR((AVERAGEIFS(uniforme_input[Jaarlijkse kosten per patiënt totaal],uniforme_input[Digitale zorgtoepassing],B43,uniforme_input[Doelgroep],C43,uniforme_input[Bron gebruiken voor kosten/investering?],"Ja"))*I43,0)</f>
        <v>14185080</v>
      </c>
      <c r="Q43" s="412">
        <f>Berekening_impact[[#This Row],[Jaarlijkse kosten (totaal)]]+Berekening_impact[[#This Row],[Schatting kosten (€)]]</f>
        <v>14185080</v>
      </c>
      <c r="R43" s="412">
        <f>IFERROR((AVERAGEIFS(uniforme_input[Intiële investering per patiënt totaal],uniforme_input[Digitale zorgtoepassing],B43,uniforme_input[Doelgroep],C43,uniforme_input[Bron gebruiken voor kosten/investering?],"Ja",uniforme_input[Direct toepasbaar/extrapolatie/incidentie voor QALY],"&lt;&gt;Extrapolatie"))*I43,0)</f>
        <v>0</v>
      </c>
      <c r="S43" s="412">
        <f>Berekening_impact[[#This Row],[Initiële investering]]+Berekening_impact[[#This Row],[Schatting investering (€)]]</f>
        <v>0</v>
      </c>
      <c r="T43" s="443" t="s">
        <v>390</v>
      </c>
      <c r="U43" s="443" t="s">
        <v>390</v>
      </c>
      <c r="V43" s="398">
        <f>IF(Berekening_impact[[#This Row],[Kosten schatten?]] = "Ja", (Berekening_impact[[#This Row],[Totaal arbeidsbesparing (€/jaar)]]+Berekening_impact[[#This Row],[Overige kostenbesparing (totaal/jaar totaal potentieel)]])*INDEX(schatting_kosten[Verhouding kosten/omzet],MATCH(A43,schatting_kosten[Veld],0)),0)</f>
        <v>0</v>
      </c>
      <c r="W43"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43" s="286" t="s">
        <v>391</v>
      </c>
      <c r="Y43" s="130">
        <f>Berekening_impact[[#This Row],[Totaal arbeidsbesparing (€/jaar)]]*Berekening_impact[[#This Row],[Percentage van patiëntaantallen in Wlz (overige is Zvw)]]</f>
        <v>0</v>
      </c>
      <c r="Z43" s="130">
        <f>Berekening_impact[[#This Row],[Overige kostenbesparing (totaal/jaar totaal potentieel)]]*Berekening_impact[[#This Row],[Percentage van patiëntaantallen in Wlz (overige is Zvw)]]</f>
        <v>0</v>
      </c>
      <c r="AA43" s="130">
        <f>Berekening_impact[[#This Row],[Jaarlijkse kosten (totaal) - incl. schatting]]*Berekening_impact[[#This Row],[Percentage van patiëntaantallen in Wlz (overige is Zvw)]]</f>
        <v>0</v>
      </c>
      <c r="AB43" s="130">
        <f>Berekening_impact[[#This Row],[Initiële investering (totaal) - incl. schatting]]*Berekening_impact[[#This Row],[Percentage van patiëntaantallen in Wlz (overige is Zvw)]]</f>
        <v>0</v>
      </c>
    </row>
    <row r="44" spans="1:28" x14ac:dyDescent="0.5">
      <c r="A44" s="2" t="str">
        <f>INDEX(Technologieën[Veld],MATCH(B44,Technologieën[Digitale zorgtoepassing],0))</f>
        <v>Software - Behandeling</v>
      </c>
      <c r="B44" s="33" t="s">
        <v>609</v>
      </c>
      <c r="C44" s="33" t="s">
        <v>51</v>
      </c>
      <c r="D44" s="444" cm="1">
        <f t="array" ref="D44">INDEX(Berekening_patiëntaantal[Percentage van patiëntaantallen in Wlz (overige is Zvw)],MATCH(B44,IF(Berekening_patiëntaantal[Doelgroep (zoeksleutel)]=C44,Berekening_patiëntaantal[Digitale zorgtoepassing]),0))</f>
        <v>0</v>
      </c>
      <c r="E44" s="33" t="str" cm="1">
        <f t="array" ref="E44">INDEX(Berekening_patiëntaantal[Direct toepasbaar/extrapolatie/incidentie voor QALY],MATCH(B44,IF(Berekening_patiëntaantal[Doelgroep (zoeksleutel)]=C44,Berekening_patiëntaantal[Digitale zorgtoepassing]),0))</f>
        <v>Huidige toepassing</v>
      </c>
      <c r="F44" s="33" t="s">
        <v>148</v>
      </c>
      <c r="G44" s="33" t="s">
        <v>391</v>
      </c>
      <c r="H44" s="135">
        <f>INDEX(Uurloon[Uurtarief zorgpersoneel],MATCH(F44,Uurloon[Zorgverlener],0))</f>
        <v>27.740086206896557</v>
      </c>
      <c r="I44" s="411">
        <f>SUMIFS(Berekening_patiëntaantal[Patiëntaantallen],Berekening_patiëntaantal[Doelgroep (zoeksleutel)],C44,Berekening_patiëntaantal[Digitale zorgtoepassing],B44)</f>
        <v>48260</v>
      </c>
      <c r="J44" s="397">
        <f>IFERROR(AVERAGEIFS(uniforme_input[Tijdsbesparing (min/week/patiënt)],uniforme_input[Doelgroep],C44,uniforme_input[Digitale zorgtoepassing],B44,uniforme_input[Tijdsbesparing (min/week/patiënt)],"&gt; 0")*(Berekening_impact[[#This Row],[Patiëntaantal (direct toepasbaar/extrapolatie)]])/60,0)</f>
        <v>36923.864827705867</v>
      </c>
      <c r="K44" s="397">
        <f>IFERROR(AVERAGEIFS(uniforme_input[Tijdsbesparing (min/handeling)],uniforme_input[Doelgroep],C44,uniforme_input[Digitale zorgtoepassing],B44,uniforme_input[Tijdsbesparing (min/handeling)],"&gt; 0")*(Berekening_impact[[#This Row],[Patiëntaantal (direct toepasbaar/extrapolatie)]])/60,0)/52</f>
        <v>0</v>
      </c>
      <c r="L44" s="397">
        <f t="shared" si="4"/>
        <v>923.09662069264664</v>
      </c>
      <c r="M44" s="412">
        <f t="shared" si="5"/>
        <v>53262102.057442531</v>
      </c>
      <c r="N44" s="412">
        <f>IFERROR(AVERAGEIFS(uniforme_input[Overige kostenbesparing (€/jaar/patiënt)],uniforme_input[Doelgroep],C44,uniforme_input[Digitale zorgtoepassing],B44,uniforme_input[Overige kostenbesparing (€/jaar/patiënt)],"&gt;0")*Berekening_impact[[#This Row],[Patiëntaantal (direct toepasbaar/extrapolatie)]],0)</f>
        <v>70844600</v>
      </c>
      <c r="O44" s="412" cm="1">
        <f t="array" ref="O44">IFERROR(AVERAGEIFS(uniforme_input[QALY per patiënt],uniforme_input[Doelgroep],C44,uniforme_input[Digitale zorgtoepassing],B44,uniforme_input[QALY per patiënt],"&gt;0")*Berekening_impact[[#This Row],[Patiëntaantal (direct toepasbaar/extrapolatie)]]*QALY[Waarde gezond levensjaar],0)</f>
        <v>0</v>
      </c>
      <c r="P44" s="412">
        <f>IFERROR((AVERAGEIFS(uniforme_input[Jaarlijkse kosten per patiënt totaal],uniforme_input[Digitale zorgtoepassing],B44,uniforme_input[Doelgroep],C44,uniforme_input[Bron gebruiken voor kosten/investering?],"Ja"))*I44,0)</f>
        <v>16891000</v>
      </c>
      <c r="Q44" s="412">
        <f>Berekening_impact[[#This Row],[Jaarlijkse kosten (totaal)]]+Berekening_impact[[#This Row],[Schatting kosten (€)]]</f>
        <v>16891000</v>
      </c>
      <c r="R44" s="412">
        <f>IFERROR((AVERAGEIFS(uniforme_input[Intiële investering per patiënt totaal],uniforme_input[Digitale zorgtoepassing],B44,uniforme_input[Doelgroep],C44,uniforme_input[Bron gebruiken voor kosten/investering?],"Ja",uniforme_input[Direct toepasbaar/extrapolatie/incidentie voor QALY],"&lt;&gt;Extrapolatie"))*I44,0)</f>
        <v>0</v>
      </c>
      <c r="S44" s="412">
        <f>Berekening_impact[[#This Row],[Initiële investering]]+Berekening_impact[[#This Row],[Schatting investering (€)]]</f>
        <v>0</v>
      </c>
      <c r="T44" s="443" t="s">
        <v>390</v>
      </c>
      <c r="U44" s="443" t="s">
        <v>390</v>
      </c>
      <c r="V44" s="398">
        <f>IF(Berekening_impact[[#This Row],[Kosten schatten?]] = "Ja", (Berekening_impact[[#This Row],[Totaal arbeidsbesparing (€/jaar)]]+Berekening_impact[[#This Row],[Overige kostenbesparing (totaal/jaar totaal potentieel)]])*INDEX(schatting_kosten[Verhouding kosten/omzet],MATCH(A44,schatting_kosten[Veld],0)),0)</f>
        <v>0</v>
      </c>
      <c r="W44"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44" s="286" t="s">
        <v>391</v>
      </c>
      <c r="Y44" s="130">
        <f>Berekening_impact[[#This Row],[Totaal arbeidsbesparing (€/jaar)]]*Berekening_impact[[#This Row],[Percentage van patiëntaantallen in Wlz (overige is Zvw)]]</f>
        <v>0</v>
      </c>
      <c r="Z44" s="130">
        <f>Berekening_impact[[#This Row],[Overige kostenbesparing (totaal/jaar totaal potentieel)]]*Berekening_impact[[#This Row],[Percentage van patiëntaantallen in Wlz (overige is Zvw)]]</f>
        <v>0</v>
      </c>
      <c r="AA44" s="130">
        <f>Berekening_impact[[#This Row],[Jaarlijkse kosten (totaal) - incl. schatting]]*Berekening_impact[[#This Row],[Percentage van patiëntaantallen in Wlz (overige is Zvw)]]</f>
        <v>0</v>
      </c>
      <c r="AB44" s="130">
        <f>Berekening_impact[[#This Row],[Initiële investering (totaal) - incl. schatting]]*Berekening_impact[[#This Row],[Percentage van patiëntaantallen in Wlz (overige is Zvw)]]</f>
        <v>0</v>
      </c>
    </row>
    <row r="45" spans="1:28" x14ac:dyDescent="0.5">
      <c r="A45" s="2" t="str">
        <f>INDEX(Technologieën[Veld],MATCH(B45,Technologieën[Digitale zorgtoepassing],0))</f>
        <v>Software - Behandeling</v>
      </c>
      <c r="B45" s="33" t="s">
        <v>609</v>
      </c>
      <c r="C45" s="33" t="s">
        <v>94</v>
      </c>
      <c r="D45" s="444" cm="1">
        <f t="array" ref="D45">INDEX(Berekening_patiëntaantal[Percentage van patiëntaantallen in Wlz (overige is Zvw)],MATCH(B45,IF(Berekening_patiëntaantal[Doelgroep (zoeksleutel)]=C45,Berekening_patiëntaantal[Digitale zorgtoepassing]),0))</f>
        <v>0</v>
      </c>
      <c r="E45" s="33" t="str" cm="1">
        <f t="array" ref="E45">INDEX(Berekening_patiëntaantal[Direct toepasbaar/extrapolatie/incidentie voor QALY],MATCH(B45,IF(Berekening_patiëntaantal[Doelgroep (zoeksleutel)]=C45,Berekening_patiëntaantal[Digitale zorgtoepassing]),0))</f>
        <v>Huidige toepassing</v>
      </c>
      <c r="F45" s="33" t="s">
        <v>146</v>
      </c>
      <c r="G45" s="33" t="s">
        <v>391</v>
      </c>
      <c r="H45" s="135">
        <f>INDEX(Uurloon[Uurtarief zorgpersoneel],MATCH(F45,Uurloon[Zorgverlener],0))</f>
        <v>91.204770114942534</v>
      </c>
      <c r="I45" s="411">
        <f>SUMIFS(Berekening_patiëntaantal[Patiëntaantallen],Berekening_patiëntaantal[Doelgroep (zoeksleutel)],C45,Berekening_patiëntaantal[Digitale zorgtoepassing],B45)</f>
        <v>28000</v>
      </c>
      <c r="J45" s="397">
        <f>IFERROR(AVERAGEIFS(uniforme_input[Tijdsbesparing (min/week/patiënt)],uniforme_input[Doelgroep],C45,uniforme_input[Digitale zorgtoepassing],B45,uniforme_input[Tijdsbesparing (min/week/patiënt)],"&gt; 0")*(Berekening_impact[[#This Row],[Patiëntaantal (direct toepasbaar/extrapolatie)]])/60,0)</f>
        <v>643.11084660545873</v>
      </c>
      <c r="K45" s="397">
        <f>IFERROR(AVERAGEIFS(uniforme_input[Tijdsbesparing (min/handeling)],uniforme_input[Doelgroep],C45,uniforme_input[Digitale zorgtoepassing],B45,uniforme_input[Tijdsbesparing (min/handeling)],"&gt; 0")*(Berekening_impact[[#This Row],[Patiëntaantal (direct toepasbaar/extrapolatie)]])/60,0)/52</f>
        <v>0</v>
      </c>
      <c r="L45" s="397">
        <f t="shared" si="4"/>
        <v>16.077771165136468</v>
      </c>
      <c r="M45" s="412">
        <f t="shared" si="5"/>
        <v>3050048.4000000004</v>
      </c>
      <c r="N45" s="412">
        <f>IFERROR(AVERAGEIFS(uniforme_input[Overige kostenbesparing (€/jaar/patiënt)],uniforme_input[Doelgroep],C45,uniforme_input[Digitale zorgtoepassing],B45,uniforme_input[Overige kostenbesparing (€/jaar/patiënt)],"&gt;0")*Berekening_impact[[#This Row],[Patiëntaantal (direct toepasbaar/extrapolatie)]],0)</f>
        <v>2033365.5999999999</v>
      </c>
      <c r="O45" s="412" cm="1">
        <f t="array" ref="O45">IFERROR(AVERAGEIFS(uniforme_input[QALY per patiënt],uniforme_input[Doelgroep],C45,uniforme_input[Digitale zorgtoepassing],B45,uniforme_input[QALY per patiënt],"&gt;0")*Berekening_impact[[#This Row],[Patiëntaantal (direct toepasbaar/extrapolatie)]]*QALY[Waarde gezond levensjaar],0)</f>
        <v>40068965.517241381</v>
      </c>
      <c r="P45" s="412">
        <f>IFERROR((AVERAGEIFS(uniforme_input[Jaarlijkse kosten per patiënt totaal],uniforme_input[Digitale zorgtoepassing],B45,uniforme_input[Doelgroep],C45,uniforme_input[Bron gebruiken voor kosten/investering?],"Ja"))*I45,0)</f>
        <v>3220000</v>
      </c>
      <c r="Q45" s="412">
        <f>Berekening_impact[[#This Row],[Jaarlijkse kosten (totaal)]]+Berekening_impact[[#This Row],[Schatting kosten (€)]]</f>
        <v>3220000</v>
      </c>
      <c r="R45" s="412">
        <f>IFERROR((AVERAGEIFS(uniforme_input[Intiële investering per patiënt totaal],uniforme_input[Digitale zorgtoepassing],B45,uniforme_input[Doelgroep],C45,uniforme_input[Bron gebruiken voor kosten/investering?],"Ja",uniforme_input[Direct toepasbaar/extrapolatie/incidentie voor QALY],"&lt;&gt;Extrapolatie"))*I45,0)</f>
        <v>5892600</v>
      </c>
      <c r="S45" s="412">
        <f>Berekening_impact[[#This Row],[Initiële investering]]+Berekening_impact[[#This Row],[Schatting investering (€)]]</f>
        <v>5892600</v>
      </c>
      <c r="T45" s="443" t="s">
        <v>390</v>
      </c>
      <c r="U45" s="443" t="s">
        <v>390</v>
      </c>
      <c r="V45" s="398">
        <f>IF(Berekening_impact[[#This Row],[Kosten schatten?]] = "Ja", (Berekening_impact[[#This Row],[Totaal arbeidsbesparing (€/jaar)]]+Berekening_impact[[#This Row],[Overige kostenbesparing (totaal/jaar totaal potentieel)]])*INDEX(schatting_kosten[Verhouding kosten/omzet],MATCH(A45,schatting_kosten[Veld],0)),0)</f>
        <v>0</v>
      </c>
      <c r="W45"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45" s="286" t="s">
        <v>391</v>
      </c>
      <c r="Y45" s="130">
        <f>Berekening_impact[[#This Row],[Totaal arbeidsbesparing (€/jaar)]]*Berekening_impact[[#This Row],[Percentage van patiëntaantallen in Wlz (overige is Zvw)]]</f>
        <v>0</v>
      </c>
      <c r="Z45" s="130">
        <f>Berekening_impact[[#This Row],[Overige kostenbesparing (totaal/jaar totaal potentieel)]]*Berekening_impact[[#This Row],[Percentage van patiëntaantallen in Wlz (overige is Zvw)]]</f>
        <v>0</v>
      </c>
      <c r="AA45" s="130">
        <f>Berekening_impact[[#This Row],[Jaarlijkse kosten (totaal) - incl. schatting]]*Berekening_impact[[#This Row],[Percentage van patiëntaantallen in Wlz (overige is Zvw)]]</f>
        <v>0</v>
      </c>
      <c r="AB45" s="130">
        <f>Berekening_impact[[#This Row],[Initiële investering (totaal) - incl. schatting]]*Berekening_impact[[#This Row],[Percentage van patiëntaantallen in Wlz (overige is Zvw)]]</f>
        <v>0</v>
      </c>
    </row>
    <row r="46" spans="1:28" x14ac:dyDescent="0.5">
      <c r="A46" s="2" t="str">
        <f>INDEX(Technologieën[Veld],MATCH(B46,Technologieën[Digitale zorgtoepassing],0))</f>
        <v>Software - Behandeling</v>
      </c>
      <c r="B46" s="33" t="s">
        <v>609</v>
      </c>
      <c r="C46" s="33" t="s">
        <v>109</v>
      </c>
      <c r="D46" s="444" cm="1">
        <f t="array" ref="D46">INDEX(Berekening_patiëntaantal[Percentage van patiëntaantallen in Wlz (overige is Zvw)],MATCH(B46,IF(Berekening_patiëntaantal[Doelgroep (zoeksleutel)]=C46,Berekening_patiëntaantal[Digitale zorgtoepassing]),0))</f>
        <v>0</v>
      </c>
      <c r="E46" s="33" t="str" cm="1">
        <f t="array" ref="E46">INDEX(Berekening_patiëntaantal[Direct toepasbaar/extrapolatie/incidentie voor QALY],MATCH(B46,IF(Berekening_patiëntaantal[Doelgroep (zoeksleutel)]=C46,Berekening_patiëntaantal[Digitale zorgtoepassing]),0))</f>
        <v>Huidige toepassing</v>
      </c>
      <c r="F46" s="33" t="s">
        <v>148</v>
      </c>
      <c r="G46" s="33" t="s">
        <v>391</v>
      </c>
      <c r="H46" s="135">
        <f>INDEX(Uurloon[Uurtarief zorgpersoneel],MATCH(F46,Uurloon[Zorgverlener],0))</f>
        <v>27.740086206896557</v>
      </c>
      <c r="I46" s="404">
        <f>SUMIFS(Berekening_patiëntaantal[Patiëntaantallen],Berekening_patiëntaantal[Doelgroep (zoeksleutel)],C46,Berekening_patiëntaantal[Digitale zorgtoepassing],B46)</f>
        <v>34000</v>
      </c>
      <c r="J46" s="397">
        <f>IFERROR(AVERAGEIFS(uniforme_input[Tijdsbesparing (min/week/patiënt)],uniforme_input[Doelgroep],C46,uniforme_input[Digitale zorgtoepassing],B46,uniforme_input[Tijdsbesparing (min/week/patiënt)],"&gt; 0")*(Berekening_impact[[#This Row],[Patiëntaantal (direct toepasbaar/extrapolatie)]])/60,0)</f>
        <v>0</v>
      </c>
      <c r="K46" s="397">
        <f>IFERROR(AVERAGEIFS(uniforme_input[Tijdsbesparing (min/handeling)],uniforme_input[Doelgroep],C46,uniforme_input[Digitale zorgtoepassing],B46,uniforme_input[Tijdsbesparing (min/handeling)],"&gt; 0")*(Berekening_impact[[#This Row],[Patiëntaantal (direct toepasbaar/extrapolatie)]])/60,0)/52</f>
        <v>0</v>
      </c>
      <c r="L46" s="397">
        <f t="shared" si="4"/>
        <v>0</v>
      </c>
      <c r="M46" s="412">
        <f t="shared" si="5"/>
        <v>0</v>
      </c>
      <c r="N46" s="412">
        <f>IFERROR(AVERAGEIFS(uniforme_input[Overige kostenbesparing (€/jaar/patiënt)],uniforme_input[Doelgroep],C46,uniforme_input[Digitale zorgtoepassing],B46,uniforme_input[Overige kostenbesparing (€/jaar/patiënt)],"&gt;0")*Berekening_impact[[#This Row],[Patiëntaantal (direct toepasbaar/extrapolatie)]],0)</f>
        <v>0</v>
      </c>
      <c r="O46" s="412" cm="1">
        <f t="array" ref="O46">IFERROR(AVERAGEIFS(uniforme_input[QALY per patiënt],uniforme_input[Doelgroep],C46,uniforme_input[Digitale zorgtoepassing],B46,uniforme_input[QALY per patiënt],"&gt;0")*Berekening_impact[[#This Row],[Patiëntaantal (direct toepasbaar/extrapolatie)]]*QALY[Waarde gezond levensjaar],0)</f>
        <v>75140000</v>
      </c>
      <c r="P46" s="412">
        <f>IFERROR((AVERAGEIFS(uniforme_input[Jaarlijkse kosten per patiënt totaal],uniforme_input[Digitale zorgtoepassing],B46,uniforme_input[Doelgroep],C46,uniforme_input[Bron gebruiken voor kosten/investering?],"Ja"))*I46,0)</f>
        <v>28247879.999999996</v>
      </c>
      <c r="Q46" s="412">
        <f>Berekening_impact[[#This Row],[Jaarlijkse kosten (totaal)]]+Berekening_impact[[#This Row],[Schatting kosten (€)]]</f>
        <v>28247879.999999996</v>
      </c>
      <c r="R46" s="412">
        <f>IFERROR((AVERAGEIFS(uniforme_input[Intiële investering per patiënt totaal],uniforme_input[Digitale zorgtoepassing],B46,uniforme_input[Doelgroep],C46,uniforme_input[Bron gebruiken voor kosten/investering?],"Ja",uniforme_input[Direct toepasbaar/extrapolatie/incidentie voor QALY],"&lt;&gt;Extrapolatie"))*I46,0)</f>
        <v>0</v>
      </c>
      <c r="S46" s="412">
        <f>Berekening_impact[[#This Row],[Initiële investering]]+Berekening_impact[[#This Row],[Schatting investering (€)]]</f>
        <v>0</v>
      </c>
      <c r="T46" s="443" t="s">
        <v>390</v>
      </c>
      <c r="U46" s="443" t="s">
        <v>390</v>
      </c>
      <c r="V46" s="398">
        <f>IF(Berekening_impact[[#This Row],[Kosten schatten?]] = "Ja", (Berekening_impact[[#This Row],[Totaal arbeidsbesparing (€/jaar)]]+Berekening_impact[[#This Row],[Overige kostenbesparing (totaal/jaar totaal potentieel)]])*INDEX(schatting_kosten[Verhouding kosten/omzet],MATCH(A46,schatting_kosten[Veld],0)),0)</f>
        <v>0</v>
      </c>
      <c r="W46"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46" s="286" t="s">
        <v>391</v>
      </c>
      <c r="Y46" s="130">
        <f>Berekening_impact[[#This Row],[Totaal arbeidsbesparing (€/jaar)]]*Berekening_impact[[#This Row],[Percentage van patiëntaantallen in Wlz (overige is Zvw)]]</f>
        <v>0</v>
      </c>
      <c r="Z46" s="130">
        <f>Berekening_impact[[#This Row],[Overige kostenbesparing (totaal/jaar totaal potentieel)]]*Berekening_impact[[#This Row],[Percentage van patiëntaantallen in Wlz (overige is Zvw)]]</f>
        <v>0</v>
      </c>
      <c r="AA46" s="130">
        <f>Berekening_impact[[#This Row],[Jaarlijkse kosten (totaal) - incl. schatting]]*Berekening_impact[[#This Row],[Percentage van patiëntaantallen in Wlz (overige is Zvw)]]</f>
        <v>0</v>
      </c>
      <c r="AB46" s="130">
        <f>Berekening_impact[[#This Row],[Initiële investering (totaal) - incl. schatting]]*Berekening_impact[[#This Row],[Percentage van patiëntaantallen in Wlz (overige is Zvw)]]</f>
        <v>0</v>
      </c>
    </row>
    <row r="47" spans="1:28" x14ac:dyDescent="0.5">
      <c r="A47" s="2" t="str">
        <f>INDEX(Technologieën[Veld],MATCH(B47,Technologieën[Digitale zorgtoepassing],0))</f>
        <v>Software - Behandeling</v>
      </c>
      <c r="B47" s="33" t="s">
        <v>101</v>
      </c>
      <c r="C47" s="33" t="s">
        <v>83</v>
      </c>
      <c r="D47" s="444" cm="1">
        <f t="array" ref="D47">INDEX(Berekening_patiëntaantal[Percentage van patiëntaantallen in Wlz (overige is Zvw)],MATCH(B47,IF(Berekening_patiëntaantal[Doelgroep (zoeksleutel)]=C47,Berekening_patiëntaantal[Digitale zorgtoepassing]),0))</f>
        <v>1</v>
      </c>
      <c r="E47" s="33" t="str" cm="1">
        <f t="array" ref="E47">INDEX(Berekening_patiëntaantal[Direct toepasbaar/extrapolatie/incidentie voor QALY],MATCH(B47,IF(Berekening_patiëntaantal[Doelgroep (zoeksleutel)]=C47,Berekening_patiëntaantal[Digitale zorgtoepassing]),0))</f>
        <v>Huidige toepassing</v>
      </c>
      <c r="F47" s="33" t="s">
        <v>144</v>
      </c>
      <c r="G47" s="33" t="s">
        <v>776</v>
      </c>
      <c r="H47" s="135">
        <f>INDEX(Uurloon[Uurtarief zorgpersoneel],MATCH(F47,Uurloon[Zorgverlener],0))</f>
        <v>20.410632183908046</v>
      </c>
      <c r="I47" s="411">
        <f>SUMIFS(Berekening_patiëntaantal[Patiëntaantallen],Berekening_patiëntaantal[Doelgroep (zoeksleutel)],C47,Berekening_patiëntaantal[Digitale zorgtoepassing],B47)</f>
        <v>144629</v>
      </c>
      <c r="J47" s="397">
        <f>IFERROR(AVERAGEIFS(uniforme_input[Tijdsbesparing (min/week/patiënt)],uniforme_input[Doelgroep],C47,uniforme_input[Digitale zorgtoepassing],B47,uniforme_input[Tijdsbesparing (min/week/patiënt)],"&gt; 0")*(Berekening_impact[[#This Row],[Patiëntaantal (direct toepasbaar/extrapolatie)]])/60,0)</f>
        <v>242976.72</v>
      </c>
      <c r="K47" s="397">
        <f>IFERROR(AVERAGEIFS(uniforme_input[Tijdsbesparing (min/handeling)],uniforme_input[Doelgroep],C47,uniforme_input[Digitale zorgtoepassing],B47,uniforme_input[Tijdsbesparing (min/handeling)],"&gt; 0")*(Berekening_impact[[#This Row],[Patiëntaantal (direct toepasbaar/extrapolatie)]])/60,0)/52</f>
        <v>0</v>
      </c>
      <c r="L47" s="397">
        <f t="shared" si="4"/>
        <v>6074.4179999999997</v>
      </c>
      <c r="M47" s="412">
        <f t="shared" si="5"/>
        <v>257884039.98096552</v>
      </c>
      <c r="N47" s="412">
        <f>IFERROR(AVERAGEIFS(uniforme_input[Overige kostenbesparing (€/jaar/patiënt)],uniforme_input[Doelgroep],C47,uniforme_input[Digitale zorgtoepassing],B47,uniforme_input[Overige kostenbesparing (€/jaar/patiënt)],"&gt;0")*Berekening_impact[[#This Row],[Patiëntaantal (direct toepasbaar/extrapolatie)]],0)</f>
        <v>0</v>
      </c>
      <c r="O47" s="412" cm="1">
        <f t="array" ref="O47">IFERROR(AVERAGEIFS(uniforme_input[QALY per patiënt],uniforme_input[Doelgroep],C47,uniforme_input[Digitale zorgtoepassing],B47,uniforme_input[QALY per patiënt],"&gt;0")*Berekening_impact[[#This Row],[Patiëntaantal (direct toepasbaar/extrapolatie)]]*QALY[Waarde gezond levensjaar],0)</f>
        <v>0</v>
      </c>
      <c r="P47" s="412">
        <f>IFERROR((AVERAGEIFS(uniforme_input[Jaarlijkse kosten per patiënt totaal],uniforme_input[Digitale zorgtoepassing],B47,uniforme_input[Doelgroep],C47,uniforme_input[Bron gebruiken voor kosten/investering?],"Ja"))*I47,0)</f>
        <v>3471096</v>
      </c>
      <c r="Q47" s="412">
        <f>Berekening_impact[[#This Row],[Jaarlijkse kosten (totaal)]]+Berekening_impact[[#This Row],[Schatting kosten (€)]]</f>
        <v>3471096</v>
      </c>
      <c r="R47" s="412">
        <f>IFERROR((AVERAGEIFS(uniforme_input[Intiële investering per patiënt totaal],uniforme_input[Digitale zorgtoepassing],B47,uniforme_input[Doelgroep],C47,uniforme_input[Bron gebruiken voor kosten/investering?],"Ja",uniforme_input[Direct toepasbaar/extrapolatie/incidentie voor QALY],"&lt;&gt;Extrapolatie"))*I47,0)</f>
        <v>0</v>
      </c>
      <c r="S47" s="412">
        <f>Berekening_impact[[#This Row],[Initiële investering]]+Berekening_impact[[#This Row],[Schatting investering (€)]]</f>
        <v>0</v>
      </c>
      <c r="T47" s="443" t="s">
        <v>390</v>
      </c>
      <c r="U47" s="443" t="s">
        <v>390</v>
      </c>
      <c r="V47" s="398">
        <f>IF(Berekening_impact[[#This Row],[Kosten schatten?]] = "Ja", (Berekening_impact[[#This Row],[Totaal arbeidsbesparing (€/jaar)]]+Berekening_impact[[#This Row],[Overige kostenbesparing (totaal/jaar totaal potentieel)]])*INDEX(schatting_kosten[Verhouding kosten/omzet],MATCH(A47,schatting_kosten[Veld],0)),0)</f>
        <v>0</v>
      </c>
      <c r="W47"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47" s="286" t="s">
        <v>390</v>
      </c>
      <c r="Y47" s="130">
        <f>Berekening_impact[[#This Row],[Totaal arbeidsbesparing (€/jaar)]]*Berekening_impact[[#This Row],[Percentage van patiëntaantallen in Wlz (overige is Zvw)]]</f>
        <v>257884039.98096552</v>
      </c>
      <c r="Z47" s="130">
        <f>Berekening_impact[[#This Row],[Overige kostenbesparing (totaal/jaar totaal potentieel)]]*Berekening_impact[[#This Row],[Percentage van patiëntaantallen in Wlz (overige is Zvw)]]</f>
        <v>0</v>
      </c>
      <c r="AA47" s="130">
        <f>Berekening_impact[[#This Row],[Jaarlijkse kosten (totaal) - incl. schatting]]*Berekening_impact[[#This Row],[Percentage van patiëntaantallen in Wlz (overige is Zvw)]]</f>
        <v>3471096</v>
      </c>
      <c r="AB47" s="130">
        <f>Berekening_impact[[#This Row],[Initiële investering (totaal) - incl. schatting]]*Berekening_impact[[#This Row],[Percentage van patiëntaantallen in Wlz (overige is Zvw)]]</f>
        <v>0</v>
      </c>
    </row>
    <row r="48" spans="1:28" x14ac:dyDescent="0.5">
      <c r="A48" s="2" t="str">
        <f>INDEX(Technologieën[Veld],MATCH(B48,Technologieën[Digitale zorgtoepassing],0))</f>
        <v>Software - Behandeling</v>
      </c>
      <c r="B48" s="33" t="s">
        <v>101</v>
      </c>
      <c r="C48" s="33" t="s">
        <v>84</v>
      </c>
      <c r="D48" s="444" cm="1">
        <f t="array" ref="D48">INDEX(Berekening_patiëntaantal[Percentage van patiëntaantallen in Wlz (overige is Zvw)],MATCH(B48,IF(Berekening_patiëntaantal[Doelgroep (zoeksleutel)]=C48,Berekening_patiëntaantal[Digitale zorgtoepassing]),0))</f>
        <v>0</v>
      </c>
      <c r="E48" s="33" t="str" cm="1">
        <f t="array" ref="E48">INDEX(Berekening_patiëntaantal[Direct toepasbaar/extrapolatie/incidentie voor QALY],MATCH(B48,IF(Berekening_patiëntaantal[Doelgroep (zoeksleutel)]=C48,Berekening_patiëntaantal[Digitale zorgtoepassing]),0))</f>
        <v>Huidige toepassing</v>
      </c>
      <c r="F48" s="33" t="s">
        <v>144</v>
      </c>
      <c r="G48" s="33" t="s">
        <v>776</v>
      </c>
      <c r="H48" s="135">
        <f>INDEX(Uurloon[Uurtarief zorgpersoneel],MATCH(F48,Uurloon[Zorgverlener],0))</f>
        <v>20.410632183908046</v>
      </c>
      <c r="I48" s="411">
        <f>SUMIFS(Berekening_patiëntaantal[Patiëntaantallen],Berekening_patiëntaantal[Doelgroep (zoeksleutel)],C48,Berekening_patiëntaantal[Digitale zorgtoepassing],B48)</f>
        <v>91482.64984227129</v>
      </c>
      <c r="J48" s="397">
        <f>IFERROR(AVERAGEIFS(uniforme_input[Tijdsbesparing (min/week/patiënt)],uniforme_input[Doelgroep],C48,uniforme_input[Digitale zorgtoepassing],B48,uniforme_input[Tijdsbesparing (min/week/patiënt)],"&gt; 0")*(Berekening_impact[[#This Row],[Patiëntaantal (direct toepasbaar/extrapolatie)]])/60,0)</f>
        <v>19080</v>
      </c>
      <c r="K48" s="397">
        <f>IFERROR(AVERAGEIFS(uniforme_input[Tijdsbesparing (min/handeling)],uniforme_input[Doelgroep],C48,uniforme_input[Digitale zorgtoepassing],B48,uniforme_input[Tijdsbesparing (min/handeling)],"&gt; 0")*(Berekening_impact[[#This Row],[Patiëntaantal (direct toepasbaar/extrapolatie)]])/60,0)/52</f>
        <v>0</v>
      </c>
      <c r="L48" s="397">
        <f t="shared" si="4"/>
        <v>477</v>
      </c>
      <c r="M48" s="412">
        <f t="shared" si="5"/>
        <v>20250612.827586208</v>
      </c>
      <c r="N48" s="412">
        <f>IFERROR(AVERAGEIFS(uniforme_input[Overige kostenbesparing (€/jaar/patiënt)],uniforme_input[Doelgroep],C48,uniforme_input[Digitale zorgtoepassing],B48,uniforme_input[Overige kostenbesparing (€/jaar/patiënt)],"&gt;0")*Berekening_impact[[#This Row],[Patiëntaantal (direct toepasbaar/extrapolatie)]],0)</f>
        <v>289880.06852547609</v>
      </c>
      <c r="O48" s="412" cm="1">
        <f t="array" ref="O48">IFERROR(AVERAGEIFS(uniforme_input[QALY per patiënt],uniforme_input[Doelgroep],C48,uniforme_input[Digitale zorgtoepassing],B48,uniforme_input[QALY per patiënt],"&gt;0")*Berekening_impact[[#This Row],[Patiëntaantal (direct toepasbaar/extrapolatie)]]*QALY[Waarde gezond levensjaar],0)</f>
        <v>0</v>
      </c>
      <c r="P48" s="412">
        <f>IFERROR((AVERAGEIFS(uniforme_input[Jaarlijkse kosten per patiënt totaal],uniforme_input[Digitale zorgtoepassing],B48,uniforme_input[Doelgroep],C48,uniforme_input[Bron gebruiken voor kosten/investering?],"Ja"))*I48,0)</f>
        <v>2195583.596214511</v>
      </c>
      <c r="Q48" s="412">
        <f>Berekening_impact[[#This Row],[Jaarlijkse kosten (totaal)]]+Berekening_impact[[#This Row],[Schatting kosten (€)]]</f>
        <v>2195583.596214511</v>
      </c>
      <c r="R48" s="412">
        <f>IFERROR((AVERAGEIFS(uniforme_input[Intiële investering per patiënt totaal],uniforme_input[Digitale zorgtoepassing],B48,uniforme_input[Doelgroep],C48,uniforme_input[Bron gebruiken voor kosten/investering?],"Ja",uniforme_input[Direct toepasbaar/extrapolatie/incidentie voor QALY],"&lt;&gt;Extrapolatie"))*I48,0)</f>
        <v>0</v>
      </c>
      <c r="S48" s="412">
        <f>Berekening_impact[[#This Row],[Initiële investering]]+Berekening_impact[[#This Row],[Schatting investering (€)]]</f>
        <v>0</v>
      </c>
      <c r="T48" s="443" t="s">
        <v>390</v>
      </c>
      <c r="U48" s="443" t="s">
        <v>390</v>
      </c>
      <c r="V48" s="398">
        <f>IF(Berekening_impact[[#This Row],[Kosten schatten?]] = "Ja", (Berekening_impact[[#This Row],[Totaal arbeidsbesparing (€/jaar)]]+Berekening_impact[[#This Row],[Overige kostenbesparing (totaal/jaar totaal potentieel)]])*INDEX(schatting_kosten[Verhouding kosten/omzet],MATCH(A48,schatting_kosten[Veld],0)),0)</f>
        <v>0</v>
      </c>
      <c r="W48"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48" s="286" t="s">
        <v>390</v>
      </c>
      <c r="Y48" s="130">
        <f>Berekening_impact[[#This Row],[Totaal arbeidsbesparing (€/jaar)]]*Berekening_impact[[#This Row],[Percentage van patiëntaantallen in Wlz (overige is Zvw)]]</f>
        <v>0</v>
      </c>
      <c r="Z48" s="130">
        <f>Berekening_impact[[#This Row],[Overige kostenbesparing (totaal/jaar totaal potentieel)]]*Berekening_impact[[#This Row],[Percentage van patiëntaantallen in Wlz (overige is Zvw)]]</f>
        <v>0</v>
      </c>
      <c r="AA48" s="130">
        <f>Berekening_impact[[#This Row],[Jaarlijkse kosten (totaal) - incl. schatting]]*Berekening_impact[[#This Row],[Percentage van patiëntaantallen in Wlz (overige is Zvw)]]</f>
        <v>0</v>
      </c>
      <c r="AB48" s="130">
        <f>Berekening_impact[[#This Row],[Initiële investering (totaal) - incl. schatting]]*Berekening_impact[[#This Row],[Percentage van patiëntaantallen in Wlz (overige is Zvw)]]</f>
        <v>0</v>
      </c>
    </row>
    <row r="49" spans="1:28" x14ac:dyDescent="0.5">
      <c r="A49" s="2" t="str">
        <f>INDEX(Technologieën[Veld],MATCH(B49,Technologieën[Digitale zorgtoepassing],0))</f>
        <v>Software - Behandeling</v>
      </c>
      <c r="B49" s="33" t="s">
        <v>578</v>
      </c>
      <c r="C49" s="33" t="s">
        <v>577</v>
      </c>
      <c r="D49" s="444" cm="1">
        <f t="array" ref="D49">INDEX(Berekening_patiëntaantal[Percentage van patiëntaantallen in Wlz (overige is Zvw)],MATCH(B49,IF(Berekening_patiëntaantal[Doelgroep (zoeksleutel)]=C49,Berekening_patiëntaantal[Digitale zorgtoepassing]),0))</f>
        <v>0</v>
      </c>
      <c r="E49" s="33" t="str" cm="1">
        <f t="array" ref="E49">INDEX(Berekening_patiëntaantal[Direct toepasbaar/extrapolatie/incidentie voor QALY],MATCH(B49,IF(Berekening_patiëntaantal[Doelgroep (zoeksleutel)]=C49,Berekening_patiëntaantal[Digitale zorgtoepassing]),0))</f>
        <v>Huidige toepassing</v>
      </c>
      <c r="F49" s="33" t="s">
        <v>156</v>
      </c>
      <c r="G49" s="33" t="s">
        <v>391</v>
      </c>
      <c r="H49" s="135">
        <f>INDEX(Uurloon[Uurtarief zorgpersoneel],MATCH(F49,Uurloon[Zorgverlener],0))</f>
        <v>40.34195402298851</v>
      </c>
      <c r="I49" s="411">
        <f>SUMIFS(Berekening_patiëntaantal[Patiëntaantallen],Berekening_patiëntaantal[Doelgroep (zoeksleutel)],C49,Berekening_patiëntaantal[Digitale zorgtoepassing],B49)</f>
        <v>36000</v>
      </c>
      <c r="J49" s="397">
        <f>IFERROR(AVERAGEIFS(uniforme_input[Tijdsbesparing (min/week/patiënt)],uniforme_input[Doelgroep],C49,uniforme_input[Digitale zorgtoepassing],B49,uniforme_input[Tijdsbesparing (min/week/patiënt)],"&gt; 0")*(Berekening_impact[[#This Row],[Patiëntaantal (direct toepasbaar/extrapolatie)]])/60,0)</f>
        <v>6617.0769230769229</v>
      </c>
      <c r="K49" s="397">
        <f>IFERROR(AVERAGEIFS(uniforme_input[Tijdsbesparing (min/handeling)],uniforme_input[Doelgroep],C49,uniforme_input[Digitale zorgtoepassing],B49,uniforme_input[Tijdsbesparing (min/handeling)],"&gt; 0")*(Berekening_impact[[#This Row],[Patiëntaantal (direct toepasbaar/extrapolatie)]])/60,0)/52</f>
        <v>0</v>
      </c>
      <c r="L49" s="397">
        <f t="shared" si="4"/>
        <v>165.42692307692306</v>
      </c>
      <c r="M49" s="412">
        <f t="shared" si="5"/>
        <v>13881182.27586207</v>
      </c>
      <c r="N49" s="412">
        <f>IFERROR(AVERAGEIFS(uniforme_input[Overige kostenbesparing (€/jaar/patiënt)],uniforme_input[Doelgroep],C49,uniforme_input[Digitale zorgtoepassing],B49,uniforme_input[Overige kostenbesparing (€/jaar/patiënt)],"&gt;0")*Berekening_impact[[#This Row],[Patiëntaantal (direct toepasbaar/extrapolatie)]],0)</f>
        <v>0</v>
      </c>
      <c r="O49" s="412" cm="1">
        <f t="array" ref="O49">IFERROR(AVERAGEIFS(uniforme_input[QALY per patiënt],uniforme_input[Doelgroep],C49,uniforme_input[Digitale zorgtoepassing],B49,uniforme_input[QALY per patiënt],"&gt;0")*Berekening_impact[[#This Row],[Patiëntaantal (direct toepasbaar/extrapolatie)]]*QALY[Waarde gezond levensjaar],0)</f>
        <v>0</v>
      </c>
      <c r="P49" s="412">
        <f>IFERROR((AVERAGEIFS(uniforme_input[Jaarlijkse kosten per patiënt totaal],uniforme_input[Digitale zorgtoepassing],B49,uniforme_input[Doelgroep],C49,uniforme_input[Bron gebruiken voor kosten/investering?],"Ja"))*I49,0)</f>
        <v>0</v>
      </c>
      <c r="Q49" s="412">
        <f>Berekening_impact[[#This Row],[Jaarlijkse kosten (totaal)]]+Berekening_impact[[#This Row],[Schatting kosten (€)]]</f>
        <v>7607867.0025333138</v>
      </c>
      <c r="R49" s="412">
        <f>IFERROR((AVERAGEIFS(uniforme_input[Intiële investering per patiënt totaal],uniforme_input[Digitale zorgtoepassing],B49,uniforme_input[Doelgroep],C49,uniforme_input[Bron gebruiken voor kosten/investering?],"Ja",uniforme_input[Direct toepasbaar/extrapolatie/incidentie voor QALY],"&lt;&gt;Extrapolatie"))*I49,0)</f>
        <v>0</v>
      </c>
      <c r="S49" s="412">
        <f>Berekening_impact[[#This Row],[Initiële investering]]+Berekening_impact[[#This Row],[Schatting investering (€)]]</f>
        <v>0</v>
      </c>
      <c r="T49" s="443" t="s">
        <v>391</v>
      </c>
      <c r="U49" s="443" t="s">
        <v>390</v>
      </c>
      <c r="V49" s="398">
        <f>IF(Berekening_impact[[#This Row],[Kosten schatten?]] = "Ja", (Berekening_impact[[#This Row],[Totaal arbeidsbesparing (€/jaar)]]+Berekening_impact[[#This Row],[Overige kostenbesparing (totaal/jaar totaal potentieel)]])*INDEX(schatting_kosten[Verhouding kosten/omzet],MATCH(A49,schatting_kosten[Veld],0)),0)</f>
        <v>7607867.0025333138</v>
      </c>
      <c r="W49"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49" s="286" t="s">
        <v>390</v>
      </c>
      <c r="Y49" s="130">
        <f>Berekening_impact[[#This Row],[Totaal arbeidsbesparing (€/jaar)]]*Berekening_impact[[#This Row],[Percentage van patiëntaantallen in Wlz (overige is Zvw)]]</f>
        <v>0</v>
      </c>
      <c r="Z49" s="130">
        <f>Berekening_impact[[#This Row],[Overige kostenbesparing (totaal/jaar totaal potentieel)]]*Berekening_impact[[#This Row],[Percentage van patiëntaantallen in Wlz (overige is Zvw)]]</f>
        <v>0</v>
      </c>
      <c r="AA49" s="130">
        <f>Berekening_impact[[#This Row],[Jaarlijkse kosten (totaal) - incl. schatting]]*Berekening_impact[[#This Row],[Percentage van patiëntaantallen in Wlz (overige is Zvw)]]</f>
        <v>0</v>
      </c>
      <c r="AB49" s="130">
        <f>Berekening_impact[[#This Row],[Initiële investering (totaal) - incl. schatting]]*Berekening_impact[[#This Row],[Percentage van patiëntaantallen in Wlz (overige is Zvw)]]</f>
        <v>0</v>
      </c>
    </row>
    <row r="50" spans="1:28" x14ac:dyDescent="0.5">
      <c r="A50" s="2" t="str">
        <f>INDEX(Technologieën[Veld],MATCH(B50,Technologieën[Digitale zorgtoepassing],0))</f>
        <v>Sensoren - Verpleging</v>
      </c>
      <c r="B50" s="33" t="s">
        <v>61</v>
      </c>
      <c r="C50" s="33" t="s">
        <v>385</v>
      </c>
      <c r="D50" s="444" cm="1">
        <f t="array" ref="D50">INDEX(Berekening_patiëntaantal[Percentage van patiëntaantallen in Wlz (overige is Zvw)],MATCH(B50,IF(Berekening_patiëntaantal[Doelgroep (zoeksleutel)]=C50,Berekening_patiëntaantal[Digitale zorgtoepassing]),0))</f>
        <v>0</v>
      </c>
      <c r="E50" s="33" t="str" cm="1">
        <f t="array" ref="E50">INDEX(Berekening_patiëntaantal[Direct toepasbaar/extrapolatie/incidentie voor QALY],MATCH(B50,IF(Berekening_patiëntaantal[Doelgroep (zoeksleutel)]=C50,Berekening_patiëntaantal[Digitale zorgtoepassing]),0))</f>
        <v>Extrapolatie</v>
      </c>
      <c r="F50" s="33" t="s">
        <v>144</v>
      </c>
      <c r="G50" s="33" t="s">
        <v>391</v>
      </c>
      <c r="H50" s="135">
        <f>INDEX(Uurloon[Uurtarief zorgpersoneel],MATCH(F50,Uurloon[Zorgverlener],0))</f>
        <v>20.410632183908046</v>
      </c>
      <c r="I50" s="411">
        <f>SUMIFS(Berekening_patiëntaantal[Patiëntaantallen],Berekening_patiëntaantal[Doelgroep (zoeksleutel)],C50,Berekening_patiëntaantal[Digitale zorgtoepassing],B50)</f>
        <v>16000</v>
      </c>
      <c r="J50" s="397">
        <f>IFERROR(AVERAGEIFS(uniforme_input[Tijdsbesparing (min/week/patiënt)],uniforme_input[Doelgroep],C50,uniforme_input[Digitale zorgtoepassing],B50,uniforme_input[Tijdsbesparing (min/week/patiënt)],"&gt; 0")*(Berekening_impact[[#This Row],[Patiëntaantal (direct toepasbaar/extrapolatie)]])/60,0)</f>
        <v>8007.359237888767</v>
      </c>
      <c r="K50" s="397">
        <f>IFERROR(AVERAGEIFS(uniforme_input[Tijdsbesparing (min/handeling)],uniforme_input[Doelgroep],C50,uniforme_input[Digitale zorgtoepassing],B50,uniforme_input[Tijdsbesparing (min/handeling)],"&gt; 0")*(Berekening_impact[[#This Row],[Patiëntaantal (direct toepasbaar/extrapolatie)]])/60,0)/52</f>
        <v>0</v>
      </c>
      <c r="L50" s="397">
        <f t="shared" si="4"/>
        <v>200.18398094721917</v>
      </c>
      <c r="M50" s="412">
        <f t="shared" si="5"/>
        <v>8498633.7367862239</v>
      </c>
      <c r="N50" s="412">
        <f>IFERROR(AVERAGEIFS(uniforme_input[Overige kostenbesparing (€/jaar/patiënt)],uniforme_input[Doelgroep],C50,uniforme_input[Digitale zorgtoepassing],B50,uniforme_input[Overige kostenbesparing (€/jaar/patiënt)],"&gt;0")*Berekening_impact[[#This Row],[Patiëntaantal (direct toepasbaar/extrapolatie)]],0)</f>
        <v>7465488.860616765</v>
      </c>
      <c r="O50" s="412" cm="1">
        <f t="array" ref="O50">IFERROR(AVERAGEIFS(uniforme_input[QALY per patiënt],uniforme_input[Doelgroep],C50,uniforme_input[Digitale zorgtoepassing],B50,uniforme_input[QALY per patiënt],"&gt;0")*Berekening_impact[[#This Row],[Patiëntaantal (direct toepasbaar/extrapolatie)]]*QALY[Waarde gezond levensjaar],0)</f>
        <v>0</v>
      </c>
      <c r="P50" s="412">
        <f>IFERROR((AVERAGEIFS(uniforme_input[Jaarlijkse kosten per patiënt totaal],uniforme_input[Digitale zorgtoepassing],B50,uniforme_input[Doelgroep],C50,uniforme_input[Bron gebruiken voor kosten/investering?],"Ja"))*I50,0)</f>
        <v>7552385.542168675</v>
      </c>
      <c r="Q50" s="412">
        <f>Berekening_impact[[#This Row],[Jaarlijkse kosten (totaal)]]+Berekening_impact[[#This Row],[Schatting kosten (€)]]</f>
        <v>7552385.542168675</v>
      </c>
      <c r="R50" s="412">
        <f>IFERROR((AVERAGEIFS(uniforme_input[Intiële investering per patiënt totaal],uniforme_input[Digitale zorgtoepassing],B50,uniforme_input[Doelgroep],C50,uniforme_input[Bron gebruiken voor kosten/investering?],"Ja",uniforme_input[Direct toepasbaar/extrapolatie/incidentie voor QALY],"&lt;&gt;Extrapolatie"))*I50,0)</f>
        <v>0</v>
      </c>
      <c r="S50" s="412">
        <f>Berekening_impact[[#This Row],[Initiële investering]]+Berekening_impact[[#This Row],[Schatting investering (€)]]</f>
        <v>0</v>
      </c>
      <c r="T50" s="443" t="s">
        <v>390</v>
      </c>
      <c r="U50" s="443" t="s">
        <v>390</v>
      </c>
      <c r="V50" s="398">
        <f>IF(Berekening_impact[[#This Row],[Kosten schatten?]] = "Ja", (Berekening_impact[[#This Row],[Totaal arbeidsbesparing (€/jaar)]]+Berekening_impact[[#This Row],[Overige kostenbesparing (totaal/jaar totaal potentieel)]])*INDEX(schatting_kosten[Verhouding kosten/omzet],MATCH(A50,schatting_kosten[Veld],0)),0)</f>
        <v>0</v>
      </c>
      <c r="W50"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50" s="286" t="s">
        <v>391</v>
      </c>
      <c r="Y50" s="130">
        <f>Berekening_impact[[#This Row],[Totaal arbeidsbesparing (€/jaar)]]*Berekening_impact[[#This Row],[Percentage van patiëntaantallen in Wlz (overige is Zvw)]]</f>
        <v>0</v>
      </c>
      <c r="Z50" s="130">
        <f>Berekening_impact[[#This Row],[Overige kostenbesparing (totaal/jaar totaal potentieel)]]*Berekening_impact[[#This Row],[Percentage van patiëntaantallen in Wlz (overige is Zvw)]]</f>
        <v>0</v>
      </c>
      <c r="AA50" s="130">
        <f>Berekening_impact[[#This Row],[Jaarlijkse kosten (totaal) - incl. schatting]]*Berekening_impact[[#This Row],[Percentage van patiëntaantallen in Wlz (overige is Zvw)]]</f>
        <v>0</v>
      </c>
      <c r="AB50" s="130">
        <f>Berekening_impact[[#This Row],[Initiële investering (totaal) - incl. schatting]]*Berekening_impact[[#This Row],[Percentage van patiëntaantallen in Wlz (overige is Zvw)]]</f>
        <v>0</v>
      </c>
    </row>
    <row r="51" spans="1:28" x14ac:dyDescent="0.5">
      <c r="A51" s="2" t="str">
        <f>INDEX(Technologieën[Veld],MATCH(B51,Technologieën[Digitale zorgtoepassing],0))</f>
        <v>Software - Diagnose</v>
      </c>
      <c r="B51" s="33" t="s">
        <v>474</v>
      </c>
      <c r="C51" s="33" t="s">
        <v>111</v>
      </c>
      <c r="D51" s="444" cm="1">
        <f t="array" ref="D51">INDEX(Berekening_patiëntaantal[Percentage van patiëntaantallen in Wlz (overige is Zvw)],MATCH(B51,IF(Berekening_patiëntaantal[Doelgroep (zoeksleutel)]=C51,Berekening_patiëntaantal[Digitale zorgtoepassing]),0))</f>
        <v>0</v>
      </c>
      <c r="E51" s="33" t="str" cm="1">
        <f t="array" ref="E51">INDEX(Berekening_patiëntaantal[Direct toepasbaar/extrapolatie/incidentie voor QALY],MATCH(B51,IF(Berekening_patiëntaantal[Doelgroep (zoeksleutel)]=C51,Berekening_patiëntaantal[Digitale zorgtoepassing]),0))</f>
        <v>Huidige toepassing</v>
      </c>
      <c r="F51" s="33" t="s">
        <v>158</v>
      </c>
      <c r="G51" s="33" t="s">
        <v>776</v>
      </c>
      <c r="H51" s="135">
        <f>INDEX(Uurloon[Uurtarief zorgpersoneel],MATCH(F51,Uurloon[Zorgverlener],0))</f>
        <v>65.106321839080465</v>
      </c>
      <c r="I51" s="411">
        <f>SUMIFS(Berekening_patiëntaantal[Patiëntaantallen],Berekening_patiëntaantal[Doelgroep (zoeksleutel)],C51,Berekening_patiëntaantal[Digitale zorgtoepassing],B51)</f>
        <v>915401.52</v>
      </c>
      <c r="J51" s="397">
        <f>IFERROR(AVERAGEIFS(uniforme_input[Tijdsbesparing (min/week/patiënt)],uniforme_input[Doelgroep],C51,uniforme_input[Digitale zorgtoepassing],B51,uniforme_input[Tijdsbesparing (min/week/patiënt)],"&gt; 0")*(Berekening_impact[[#This Row],[Patiëntaantal (direct toepasbaar/extrapolatie)]])/60,0)</f>
        <v>0</v>
      </c>
      <c r="K51" s="397">
        <f>IFERROR(AVERAGEIFS(uniforme_input[Tijdsbesparing (min/handeling)],uniforme_input[Doelgroep],C51,uniforme_input[Digitale zorgtoepassing],B51,uniforme_input[Tijdsbesparing (min/handeling)],"&gt; 0")*(Berekening_impact[[#This Row],[Patiëntaantal (direct toepasbaar/extrapolatie)]])/60,0)/52</f>
        <v>2376.5231769230772</v>
      </c>
      <c r="L51" s="397">
        <f t="shared" si="4"/>
        <v>59.41307942307693</v>
      </c>
      <c r="M51" s="412">
        <f t="shared" si="5"/>
        <v>8045787.5063689677</v>
      </c>
      <c r="N51" s="412">
        <f>IFERROR(AVERAGEIFS(uniforme_input[Overige kostenbesparing (€/jaar/patiënt)],uniforme_input[Doelgroep],C51,uniforme_input[Digitale zorgtoepassing],B51,uniforme_input[Overige kostenbesparing (€/jaar/patiënt)],"&gt;0")*Berekening_impact[[#This Row],[Patiëntaantal (direct toepasbaar/extrapolatie)]],0)</f>
        <v>0</v>
      </c>
      <c r="O51" s="412" cm="1">
        <f t="array" ref="O51">IFERROR(AVERAGEIFS(uniforme_input[QALY per patiënt],uniforme_input[Doelgroep],C51,uniforme_input[Digitale zorgtoepassing],B51,uniforme_input[QALY per patiënt],"&gt;0")*Berekening_impact[[#This Row],[Patiëntaantal (direct toepasbaar/extrapolatie)]]*QALY[Waarde gezond levensjaar],0)</f>
        <v>0</v>
      </c>
      <c r="P51" s="412">
        <f>IFERROR((AVERAGEIFS(uniforme_input[Jaarlijkse kosten per patiënt totaal],uniforme_input[Digitale zorgtoepassing],B51,uniforme_input[Doelgroep],C51,uniforme_input[Bron gebruiken voor kosten/investering?],"Ja"))*I51,0)</f>
        <v>6398656.6248000003</v>
      </c>
      <c r="Q51" s="412">
        <f>Berekening_impact[[#This Row],[Jaarlijkse kosten (totaal)]]+Berekening_impact[[#This Row],[Schatting kosten (€)]]</f>
        <v>6398656.6248000003</v>
      </c>
      <c r="R51" s="412">
        <f>IFERROR((AVERAGEIFS(uniforme_input[Intiële investering per patiënt totaal],uniforme_input[Digitale zorgtoepassing],B51,uniforme_input[Doelgroep],C51,uniforme_input[Bron gebruiken voor kosten/investering?],"Ja",uniforme_input[Direct toepasbaar/extrapolatie/incidentie voor QALY],"&lt;&gt;Extrapolatie"))*I51,0)</f>
        <v>0</v>
      </c>
      <c r="S51" s="412">
        <f>Berekening_impact[[#This Row],[Initiële investering]]+Berekening_impact[[#This Row],[Schatting investering (€)]]</f>
        <v>0</v>
      </c>
      <c r="T51" s="443" t="s">
        <v>390</v>
      </c>
      <c r="U51" s="443" t="s">
        <v>390</v>
      </c>
      <c r="V51" s="398">
        <f>IF(Berekening_impact[[#This Row],[Kosten schatten?]] = "Ja", (Berekening_impact[[#This Row],[Totaal arbeidsbesparing (€/jaar)]]+Berekening_impact[[#This Row],[Overige kostenbesparing (totaal/jaar totaal potentieel)]])*INDEX(schatting_kosten[Verhouding kosten/omzet],MATCH(A51,schatting_kosten[Veld],0)),0)</f>
        <v>0</v>
      </c>
      <c r="W51"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51" s="286" t="s">
        <v>391</v>
      </c>
      <c r="Y51" s="130">
        <f>Berekening_impact[[#This Row],[Totaal arbeidsbesparing (€/jaar)]]*Berekening_impact[[#This Row],[Percentage van patiëntaantallen in Wlz (overige is Zvw)]]</f>
        <v>0</v>
      </c>
      <c r="Z51" s="130">
        <f>Berekening_impact[[#This Row],[Overige kostenbesparing (totaal/jaar totaal potentieel)]]*Berekening_impact[[#This Row],[Percentage van patiëntaantallen in Wlz (overige is Zvw)]]</f>
        <v>0</v>
      </c>
      <c r="AA51" s="130">
        <f>Berekening_impact[[#This Row],[Jaarlijkse kosten (totaal) - incl. schatting]]*Berekening_impact[[#This Row],[Percentage van patiëntaantallen in Wlz (overige is Zvw)]]</f>
        <v>0</v>
      </c>
      <c r="AB51" s="130">
        <f>Berekening_impact[[#This Row],[Initiële investering (totaal) - incl. schatting]]*Berekening_impact[[#This Row],[Percentage van patiëntaantallen in Wlz (overige is Zvw)]]</f>
        <v>0</v>
      </c>
    </row>
    <row r="52" spans="1:28" x14ac:dyDescent="0.5">
      <c r="A52" s="2" t="str">
        <f>INDEX(Technologieën[Veld],MATCH(B52,Technologieën[Digitale zorgtoepassing],0))</f>
        <v>Software - Diagnose</v>
      </c>
      <c r="B52" s="33" t="s">
        <v>473</v>
      </c>
      <c r="C52" s="33" t="s">
        <v>455</v>
      </c>
      <c r="D52" s="444" cm="1">
        <f t="array" ref="D52">INDEX(Berekening_patiëntaantal[Percentage van patiëntaantallen in Wlz (overige is Zvw)],MATCH(B52,IF(Berekening_patiëntaantal[Doelgroep (zoeksleutel)]=C52,Berekening_patiëntaantal[Digitale zorgtoepassing]),0))</f>
        <v>0</v>
      </c>
      <c r="E52" s="33" t="str" cm="1">
        <f t="array" ref="E52">INDEX(Berekening_patiëntaantal[Direct toepasbaar/extrapolatie/incidentie voor QALY],MATCH(B52,IF(Berekening_patiëntaantal[Doelgroep (zoeksleutel)]=C52,Berekening_patiëntaantal[Digitale zorgtoepassing]),0))</f>
        <v>Huidige toepassing</v>
      </c>
      <c r="F52" s="33" t="s">
        <v>146</v>
      </c>
      <c r="G52" s="33" t="s">
        <v>781</v>
      </c>
      <c r="H52" s="135">
        <f>INDEX(Uurloon[Uurtarief zorgpersoneel],MATCH(F52,Uurloon[Zorgverlener],0))</f>
        <v>91.204770114942534</v>
      </c>
      <c r="I52" s="411">
        <f>SUMIFS(Berekening_patiëntaantal[Patiëntaantallen],Berekening_patiëntaantal[Doelgroep (zoeksleutel)],C52,Berekening_patiëntaantal[Digitale zorgtoepassing],B52)</f>
        <v>10804</v>
      </c>
      <c r="J52" s="397">
        <f>IFERROR(AVERAGEIFS(uniforme_input[Tijdsbesparing (min/week/patiënt)],uniforme_input[Doelgroep],C52,uniforme_input[Digitale zorgtoepassing],B52,uniforme_input[Tijdsbesparing (min/week/patiënt)],"&gt; 0")*(Berekening_impact[[#This Row],[Patiëntaantal (direct toepasbaar/extrapolatie)]])/60,0)</f>
        <v>0</v>
      </c>
      <c r="K52" s="397">
        <f>IFERROR(AVERAGEIFS(uniforme_input[Tijdsbesparing (min/handeling)],uniforme_input[Doelgroep],C52,uniforme_input[Digitale zorgtoepassing],B52,uniforme_input[Tijdsbesparing (min/handeling)],"&gt; 0")*(Berekening_impact[[#This Row],[Patiëntaantal (direct toepasbaar/extrapolatie)]])/60,0)/52</f>
        <v>5.1942307692307699</v>
      </c>
      <c r="L52" s="397">
        <f t="shared" si="4"/>
        <v>0.12985576923076925</v>
      </c>
      <c r="M52" s="412">
        <f t="shared" si="5"/>
        <v>24634.40840804598</v>
      </c>
      <c r="N52" s="412">
        <f>IFERROR(AVERAGEIFS(uniforme_input[Overige kostenbesparing (€/jaar/patiënt)],uniforme_input[Doelgroep],C52,uniforme_input[Digitale zorgtoepassing],B52,uniforme_input[Overige kostenbesparing (€/jaar/patiënt)],"&gt;0")*Berekening_impact[[#This Row],[Patiëntaantal (direct toepasbaar/extrapolatie)]],0)</f>
        <v>0</v>
      </c>
      <c r="O52" s="412" cm="1">
        <f t="array" ref="O52">IFERROR(AVERAGEIFS(uniforme_input[QALY per patiënt],uniforme_input[Doelgroep],C52,uniforme_input[Digitale zorgtoepassing],B52,uniforme_input[QALY per patiënt],"&gt;0")*Berekening_impact[[#This Row],[Patiëntaantal (direct toepasbaar/extrapolatie)]]*QALY[Waarde gezond levensjaar],0)</f>
        <v>0</v>
      </c>
      <c r="P52" s="412">
        <f>IFERROR((AVERAGEIFS(uniforme_input[Jaarlijkse kosten per patiënt totaal],uniforme_input[Digitale zorgtoepassing],B52,uniforme_input[Doelgroep],C52,uniforme_input[Bron gebruiken voor kosten/investering?],"Ja"))*I52,0)</f>
        <v>980858.17666666664</v>
      </c>
      <c r="Q52" s="412">
        <f>Berekening_impact[[#This Row],[Jaarlijkse kosten (totaal)]]+Berekening_impact[[#This Row],[Schatting kosten (€)]]</f>
        <v>980858.17666666664</v>
      </c>
      <c r="R52" s="412">
        <f>IFERROR((AVERAGEIFS(uniforme_input[Intiële investering per patiënt totaal],uniforme_input[Digitale zorgtoepassing],B52,uniforme_input[Doelgroep],C52,uniforme_input[Bron gebruiken voor kosten/investering?],"Ja",uniforme_input[Direct toepasbaar/extrapolatie/incidentie voor QALY],"&lt;&gt;Extrapolatie"))*I52,0)</f>
        <v>0</v>
      </c>
      <c r="S52" s="412">
        <f>Berekening_impact[[#This Row],[Initiële investering]]+Berekening_impact[[#This Row],[Schatting investering (€)]]</f>
        <v>0</v>
      </c>
      <c r="T52" s="443" t="s">
        <v>390</v>
      </c>
      <c r="U52" s="443" t="s">
        <v>390</v>
      </c>
      <c r="V52" s="398">
        <f>IF(Berekening_impact[[#This Row],[Kosten schatten?]] = "Ja", (Berekening_impact[[#This Row],[Totaal arbeidsbesparing (€/jaar)]]+Berekening_impact[[#This Row],[Overige kostenbesparing (totaal/jaar totaal potentieel)]])*INDEX(schatting_kosten[Verhouding kosten/omzet],MATCH(A52,schatting_kosten[Veld],0)),0)</f>
        <v>0</v>
      </c>
      <c r="W52"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52" s="286" t="s">
        <v>391</v>
      </c>
      <c r="Y52" s="130">
        <f>Berekening_impact[[#This Row],[Totaal arbeidsbesparing (€/jaar)]]*Berekening_impact[[#This Row],[Percentage van patiëntaantallen in Wlz (overige is Zvw)]]</f>
        <v>0</v>
      </c>
      <c r="Z52" s="130">
        <f>Berekening_impact[[#This Row],[Overige kostenbesparing (totaal/jaar totaal potentieel)]]*Berekening_impact[[#This Row],[Percentage van patiëntaantallen in Wlz (overige is Zvw)]]</f>
        <v>0</v>
      </c>
      <c r="AA52" s="130">
        <f>Berekening_impact[[#This Row],[Jaarlijkse kosten (totaal) - incl. schatting]]*Berekening_impact[[#This Row],[Percentage van patiëntaantallen in Wlz (overige is Zvw)]]</f>
        <v>0</v>
      </c>
      <c r="AB52" s="130">
        <f>Berekening_impact[[#This Row],[Initiële investering (totaal) - incl. schatting]]*Berekening_impact[[#This Row],[Percentage van patiëntaantallen in Wlz (overige is Zvw)]]</f>
        <v>0</v>
      </c>
    </row>
    <row r="53" spans="1:28" x14ac:dyDescent="0.5">
      <c r="A53" s="2" t="str">
        <f>INDEX(Technologieën[Veld],MATCH(B53,Technologieën[Digitale zorgtoepassing],0))</f>
        <v>Software - Diagnose</v>
      </c>
      <c r="B53" s="33" t="s">
        <v>473</v>
      </c>
      <c r="C53" s="33" t="s">
        <v>451</v>
      </c>
      <c r="D53" s="444" cm="1">
        <f t="array" ref="D53">INDEX(Berekening_patiëntaantal[Percentage van patiëntaantallen in Wlz (overige is Zvw)],MATCH(B53,IF(Berekening_patiëntaantal[Doelgroep (zoeksleutel)]=C53,Berekening_patiëntaantal[Digitale zorgtoepassing]),0))</f>
        <v>0</v>
      </c>
      <c r="E53" s="33" t="str" cm="1">
        <f t="array" ref="E53">INDEX(Berekening_patiëntaantal[Direct toepasbaar/extrapolatie/incidentie voor QALY],MATCH(B53,IF(Berekening_patiëntaantal[Doelgroep (zoeksleutel)]=C53,Berekening_patiëntaantal[Digitale zorgtoepassing]),0))</f>
        <v>Huidige toepassing</v>
      </c>
      <c r="F53" s="33" t="s">
        <v>146</v>
      </c>
      <c r="G53" s="33" t="s">
        <v>781</v>
      </c>
      <c r="H53" s="135">
        <f>INDEX(Uurloon[Uurtarief zorgpersoneel],MATCH(F53,Uurloon[Zorgverlener],0))</f>
        <v>91.204770114942534</v>
      </c>
      <c r="I53" s="411">
        <f>SUMIFS(Berekening_patiëntaantal[Patiëntaantallen],Berekening_patiëntaantal[Doelgroep (zoeksleutel)],C53,Berekening_patiëntaantal[Digitale zorgtoepassing],B53)</f>
        <v>73951</v>
      </c>
      <c r="J53" s="397">
        <f>IFERROR(AVERAGEIFS(uniforme_input[Tijdsbesparing (min/week/patiënt)],uniforme_input[Doelgroep],C53,uniforme_input[Digitale zorgtoepassing],B53,uniforme_input[Tijdsbesparing (min/week/patiënt)],"&gt; 0")*(Berekening_impact[[#This Row],[Patiëntaantal (direct toepasbaar/extrapolatie)]])/60,0)</f>
        <v>0</v>
      </c>
      <c r="K53" s="397">
        <f>IFERROR(AVERAGEIFS(uniforme_input[Tijdsbesparing (min/handeling)],uniforme_input[Doelgroep],C53,uniforme_input[Digitale zorgtoepassing],B53,uniforme_input[Tijdsbesparing (min/handeling)],"&gt; 0")*(Berekening_impact[[#This Row],[Patiëntaantal (direct toepasbaar/extrapolatie)]])/60,0)/52</f>
        <v>49.399426014957264</v>
      </c>
      <c r="L53" s="397">
        <f t="shared" si="4"/>
        <v>1.2349856503739316</v>
      </c>
      <c r="M53" s="412">
        <f t="shared" si="5"/>
        <v>234284.09126222302</v>
      </c>
      <c r="N53" s="412">
        <f>IFERROR(AVERAGEIFS(uniforme_input[Overige kostenbesparing (€/jaar/patiënt)],uniforme_input[Doelgroep],C53,uniforme_input[Digitale zorgtoepassing],B53,uniforme_input[Overige kostenbesparing (€/jaar/patiënt)],"&gt;0")*Berekening_impact[[#This Row],[Patiëntaantal (direct toepasbaar/extrapolatie)]],0)</f>
        <v>2100000</v>
      </c>
      <c r="O53" s="412" cm="1">
        <f t="array" ref="O53">IFERROR(AVERAGEIFS(uniforme_input[QALY per patiënt],uniforme_input[Doelgroep],C53,uniforme_input[Digitale zorgtoepassing],B53,uniforme_input[QALY per patiënt],"&gt;0")*Berekening_impact[[#This Row],[Patiëntaantal (direct toepasbaar/extrapolatie)]]*QALY[Waarde gezond levensjaar],0)</f>
        <v>0</v>
      </c>
      <c r="P53" s="412">
        <f>IFERROR((AVERAGEIFS(uniforme_input[Jaarlijkse kosten per patiënt totaal],uniforme_input[Digitale zorgtoepassing],B53,uniforme_input[Doelgroep],C53,uniforme_input[Bron gebruiken voor kosten/investering?],"Ja"))*I53,0)</f>
        <v>974507.25249999994</v>
      </c>
      <c r="Q53" s="412">
        <f>Berekening_impact[[#This Row],[Jaarlijkse kosten (totaal)]]+Berekening_impact[[#This Row],[Schatting kosten (€)]]</f>
        <v>974507.25249999994</v>
      </c>
      <c r="R53" s="412">
        <f>IFERROR((AVERAGEIFS(uniforme_input[Intiële investering per patiënt totaal],uniforme_input[Digitale zorgtoepassing],B53,uniforme_input[Doelgroep],C53,uniforme_input[Bron gebruiken voor kosten/investering?],"Ja",uniforme_input[Direct toepasbaar/extrapolatie/incidentie voor QALY],"&lt;&gt;Extrapolatie"))*I53,0)</f>
        <v>0</v>
      </c>
      <c r="S53" s="412">
        <f>Berekening_impact[[#This Row],[Initiële investering]]+Berekening_impact[[#This Row],[Schatting investering (€)]]</f>
        <v>0</v>
      </c>
      <c r="T53" s="443" t="s">
        <v>390</v>
      </c>
      <c r="U53" s="443" t="s">
        <v>390</v>
      </c>
      <c r="V53" s="398">
        <f>IF(Berekening_impact[[#This Row],[Kosten schatten?]] = "Ja", (Berekening_impact[[#This Row],[Totaal arbeidsbesparing (€/jaar)]]+Berekening_impact[[#This Row],[Overige kostenbesparing (totaal/jaar totaal potentieel)]])*INDEX(schatting_kosten[Verhouding kosten/omzet],MATCH(A53,schatting_kosten[Veld],0)),0)</f>
        <v>0</v>
      </c>
      <c r="W53"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53" s="286" t="s">
        <v>391</v>
      </c>
      <c r="Y53" s="130">
        <f>Berekening_impact[[#This Row],[Totaal arbeidsbesparing (€/jaar)]]*Berekening_impact[[#This Row],[Percentage van patiëntaantallen in Wlz (overige is Zvw)]]</f>
        <v>0</v>
      </c>
      <c r="Z53" s="130">
        <f>Berekening_impact[[#This Row],[Overige kostenbesparing (totaal/jaar totaal potentieel)]]*Berekening_impact[[#This Row],[Percentage van patiëntaantallen in Wlz (overige is Zvw)]]</f>
        <v>0</v>
      </c>
      <c r="AA53" s="130">
        <f>Berekening_impact[[#This Row],[Jaarlijkse kosten (totaal) - incl. schatting]]*Berekening_impact[[#This Row],[Percentage van patiëntaantallen in Wlz (overige is Zvw)]]</f>
        <v>0</v>
      </c>
      <c r="AB53" s="130">
        <f>Berekening_impact[[#This Row],[Initiële investering (totaal) - incl. schatting]]*Berekening_impact[[#This Row],[Percentage van patiëntaantallen in Wlz (overige is Zvw)]]</f>
        <v>0</v>
      </c>
    </row>
    <row r="54" spans="1:28" x14ac:dyDescent="0.5">
      <c r="A54" s="2" t="str">
        <f>INDEX(Technologieën[Veld],MATCH(B54,Technologieën[Digitale zorgtoepassing],0))</f>
        <v>Software - Diagnose</v>
      </c>
      <c r="B54" s="33" t="s">
        <v>473</v>
      </c>
      <c r="C54" s="33" t="s">
        <v>464</v>
      </c>
      <c r="D54" s="444" cm="1">
        <f t="array" ref="D54">INDEX(Berekening_patiëntaantal[Percentage van patiëntaantallen in Wlz (overige is Zvw)],MATCH(B54,IF(Berekening_patiëntaantal[Doelgroep (zoeksleutel)]=C54,Berekening_patiëntaantal[Digitale zorgtoepassing]),0))</f>
        <v>0</v>
      </c>
      <c r="E54" s="33" t="str" cm="1">
        <f t="array" ref="E54">INDEX(Berekening_patiëntaantal[Direct toepasbaar/extrapolatie/incidentie voor QALY],MATCH(B54,IF(Berekening_patiëntaantal[Doelgroep (zoeksleutel)]=C54,Berekening_patiëntaantal[Digitale zorgtoepassing]),0))</f>
        <v>Extrapolatie</v>
      </c>
      <c r="F54" s="33" t="s">
        <v>146</v>
      </c>
      <c r="G54" s="33" t="s">
        <v>781</v>
      </c>
      <c r="H54" s="135">
        <f>INDEX(Uurloon[Uurtarief zorgpersoneel],MATCH(F54,Uurloon[Zorgverlener],0))</f>
        <v>91.204770114942534</v>
      </c>
      <c r="I54" s="411">
        <f>SUMIFS(Berekening_patiëntaantal[Patiëntaantallen],Berekening_patiëntaantal[Doelgroep (zoeksleutel)],C54,Berekening_patiëntaantal[Digitale zorgtoepassing],B54)</f>
        <v>1915245</v>
      </c>
      <c r="J54" s="397">
        <f>IFERROR(AVERAGEIFS(uniforme_input[Tijdsbesparing (min/week/patiënt)],uniforme_input[Doelgroep],C54,uniforme_input[Digitale zorgtoepassing],B54,uniforme_input[Tijdsbesparing (min/week/patiënt)],"&gt; 0")*(Berekening_impact[[#This Row],[Patiëntaantal (direct toepasbaar/extrapolatie)]])/60,0)</f>
        <v>0</v>
      </c>
      <c r="K54" s="397">
        <f>IFERROR(AVERAGEIFS(uniforme_input[Tijdsbesparing (min/handeling)],uniforme_input[Doelgroep],C54,uniforme_input[Digitale zorgtoepassing],B54,uniforme_input[Tijdsbesparing (min/handeling)],"&gt; 0")*(Berekening_impact[[#This Row],[Patiëntaantal (direct toepasbaar/extrapolatie)]])/60,0)/52</f>
        <v>1159.855456730769</v>
      </c>
      <c r="L54" s="397">
        <f t="shared" si="4"/>
        <v>28.996386418269225</v>
      </c>
      <c r="M54" s="412">
        <f t="shared" si="5"/>
        <v>5500786.215479956</v>
      </c>
      <c r="N54" s="412">
        <f>IFERROR(AVERAGEIFS(uniforme_input[Overige kostenbesparing (€/jaar/patiënt)],uniforme_input[Doelgroep],C54,uniforme_input[Digitale zorgtoepassing],B54,uniforme_input[Overige kostenbesparing (€/jaar/patiënt)],"&gt;0")*Berekening_impact[[#This Row],[Patiëntaantal (direct toepasbaar/extrapolatie)]],0)</f>
        <v>0</v>
      </c>
      <c r="O54" s="412" cm="1">
        <f t="array" ref="O54">IFERROR(AVERAGEIFS(uniforme_input[QALY per patiënt],uniforme_input[Doelgroep],C54,uniforme_input[Digitale zorgtoepassing],B54,uniforme_input[QALY per patiënt],"&gt;0")*Berekening_impact[[#This Row],[Patiëntaantal (direct toepasbaar/extrapolatie)]]*QALY[Waarde gezond levensjaar],0)</f>
        <v>0</v>
      </c>
      <c r="P54" s="412">
        <f>IFERROR((AVERAGEIFS(uniforme_input[Jaarlijkse kosten per patiënt totaal],uniforme_input[Digitale zorgtoepassing],B54,uniforme_input[Doelgroep],C54,uniforme_input[Bron gebruiken voor kosten/investering?],"Ja"))*I54,0)</f>
        <v>7653801.2374999989</v>
      </c>
      <c r="Q54" s="412">
        <f>Berekening_impact[[#This Row],[Jaarlijkse kosten (totaal)]]+Berekening_impact[[#This Row],[Schatting kosten (€)]]</f>
        <v>7653801.2374999989</v>
      </c>
      <c r="R54" s="412">
        <f>IFERROR((AVERAGEIFS(uniforme_input[Intiële investering per patiënt totaal],uniforme_input[Digitale zorgtoepassing],B54,uniforme_input[Doelgroep],C54,uniforme_input[Bron gebruiken voor kosten/investering?],"Ja",uniforme_input[Direct toepasbaar/extrapolatie/incidentie voor QALY],"&lt;&gt;Extrapolatie"))*I54,0)</f>
        <v>0</v>
      </c>
      <c r="S54" s="412">
        <f>Berekening_impact[[#This Row],[Initiële investering]]+Berekening_impact[[#This Row],[Schatting investering (€)]]</f>
        <v>0</v>
      </c>
      <c r="T54" s="443" t="s">
        <v>390</v>
      </c>
      <c r="U54" s="443" t="s">
        <v>390</v>
      </c>
      <c r="V54" s="398">
        <f>IF(Berekening_impact[[#This Row],[Kosten schatten?]] = "Ja", (Berekening_impact[[#This Row],[Totaal arbeidsbesparing (€/jaar)]]+Berekening_impact[[#This Row],[Overige kostenbesparing (totaal/jaar totaal potentieel)]])*INDEX(schatting_kosten[Verhouding kosten/omzet],MATCH(A54,schatting_kosten[Veld],0)),0)</f>
        <v>0</v>
      </c>
      <c r="W54"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54" s="286" t="s">
        <v>391</v>
      </c>
      <c r="Y54" s="130">
        <f>Berekening_impact[[#This Row],[Totaal arbeidsbesparing (€/jaar)]]*Berekening_impact[[#This Row],[Percentage van patiëntaantallen in Wlz (overige is Zvw)]]</f>
        <v>0</v>
      </c>
      <c r="Z54" s="130">
        <f>Berekening_impact[[#This Row],[Overige kostenbesparing (totaal/jaar totaal potentieel)]]*Berekening_impact[[#This Row],[Percentage van patiëntaantallen in Wlz (overige is Zvw)]]</f>
        <v>0</v>
      </c>
      <c r="AA54" s="130">
        <f>Berekening_impact[[#This Row],[Jaarlijkse kosten (totaal) - incl. schatting]]*Berekening_impact[[#This Row],[Percentage van patiëntaantallen in Wlz (overige is Zvw)]]</f>
        <v>0</v>
      </c>
      <c r="AB54" s="130">
        <f>Berekening_impact[[#This Row],[Initiële investering (totaal) - incl. schatting]]*Berekening_impact[[#This Row],[Percentage van patiëntaantallen in Wlz (overige is Zvw)]]</f>
        <v>0</v>
      </c>
    </row>
    <row r="55" spans="1:28" x14ac:dyDescent="0.5">
      <c r="A55" s="2" t="str">
        <f>INDEX(Technologieën[Veld],MATCH(B55,Technologieën[Digitale zorgtoepassing],0))</f>
        <v>Sensoren - Verpleging</v>
      </c>
      <c r="B55" s="33" t="s">
        <v>42</v>
      </c>
      <c r="C55" s="33" t="s">
        <v>44</v>
      </c>
      <c r="D55" s="444" cm="1">
        <f t="array" ref="D55">INDEX(Berekening_patiëntaantal[Percentage van patiëntaantallen in Wlz (overige is Zvw)],MATCH(B55,IF(Berekening_patiëntaantal[Doelgroep (zoeksleutel)]=C55,Berekening_patiëntaantal[Digitale zorgtoepassing]),0))</f>
        <v>1</v>
      </c>
      <c r="E55" s="33" t="str" cm="1">
        <f t="array" ref="E55">INDEX(Berekening_patiëntaantal[Direct toepasbaar/extrapolatie/incidentie voor QALY],MATCH(B55,IF(Berekening_patiëntaantal[Doelgroep (zoeksleutel)]=C55,Berekening_patiëntaantal[Digitale zorgtoepassing]),0))</f>
        <v>Extrapolatie</v>
      </c>
      <c r="F55" s="33" t="s">
        <v>144</v>
      </c>
      <c r="G55" s="33" t="s">
        <v>391</v>
      </c>
      <c r="H55" s="135">
        <f>INDEX(Uurloon[Uurtarief zorgpersoneel],MATCH(F55,Uurloon[Zorgverlener],0))</f>
        <v>20.410632183908046</v>
      </c>
      <c r="I55" s="411">
        <f>SUMIFS(Berekening_patiëntaantal[Patiëntaantallen],Berekening_patiëntaantal[Doelgroep (zoeksleutel)],C55,Berekening_patiëntaantal[Digitale zorgtoepassing],B55)</f>
        <v>2256.25</v>
      </c>
      <c r="J55" s="397">
        <f>IFERROR(AVERAGEIFS(uniforme_input[Tijdsbesparing (min/week/patiënt)],uniforme_input[Doelgroep],C55,uniforme_input[Digitale zorgtoepassing],B55,uniforme_input[Tijdsbesparing (min/week/patiënt)],"&gt; 0")*(Berekening_impact[[#This Row],[Patiëntaantal (direct toepasbaar/extrapolatie)]])/60,0)</f>
        <v>4907.34375</v>
      </c>
      <c r="K55" s="397">
        <f>IFERROR(AVERAGEIFS(uniforme_input[Tijdsbesparing (min/handeling)],uniforme_input[Doelgroep],C55,uniforme_input[Digitale zorgtoepassing],B55,uniforme_input[Tijdsbesparing (min/handeling)],"&gt; 0")*(Berekening_impact[[#This Row],[Patiëntaantal (direct toepasbaar/extrapolatie)]])/60,0)/52</f>
        <v>0</v>
      </c>
      <c r="L55" s="397">
        <f t="shared" si="4"/>
        <v>122.68359375</v>
      </c>
      <c r="M55" s="412">
        <f t="shared" si="5"/>
        <v>5208423.390625</v>
      </c>
      <c r="N55" s="412">
        <f>IFERROR(AVERAGEIFS(uniforme_input[Overige kostenbesparing (€/jaar/patiënt)],uniforme_input[Doelgroep],C55,uniforme_input[Digitale zorgtoepassing],B55,uniforme_input[Overige kostenbesparing (€/jaar/patiënt)],"&gt;0")*Berekening_impact[[#This Row],[Patiëntaantal (direct toepasbaar/extrapolatie)]],0)</f>
        <v>1767504.1533683406</v>
      </c>
      <c r="O55" s="412" cm="1">
        <f t="array" ref="O55">IFERROR(AVERAGEIFS(uniforme_input[QALY per patiënt],uniforme_input[Doelgroep],C55,uniforme_input[Digitale zorgtoepassing],B55,uniforme_input[QALY per patiënt],"&gt;0")*Berekening_impact[[#This Row],[Patiëntaantal (direct toepasbaar/extrapolatie)]]*QALY[Waarde gezond levensjaar],0)</f>
        <v>0</v>
      </c>
      <c r="P55" s="412">
        <f>IFERROR((AVERAGEIFS(uniforme_input[Jaarlijkse kosten per patiënt totaal],uniforme_input[Digitale zorgtoepassing],B55,uniforme_input[Doelgroep],C55,uniforme_input[Bron gebruiken voor kosten/investering?],"Ja"))*I55,0)</f>
        <v>6495499.322916667</v>
      </c>
      <c r="Q55" s="412">
        <f>Berekening_impact[[#This Row],[Jaarlijkse kosten (totaal)]]+Berekening_impact[[#This Row],[Schatting kosten (€)]]</f>
        <v>6495499.322916667</v>
      </c>
      <c r="R55" s="412">
        <f>IFERROR((AVERAGEIFS(uniforme_input[Intiële investering per patiënt totaal],uniforme_input[Digitale zorgtoepassing],B55,uniforme_input[Doelgroep],C55,uniforme_input[Bron gebruiken voor kosten/investering?],"Ja",uniforme_input[Direct toepasbaar/extrapolatie/incidentie voor QALY],"&lt;&gt;Extrapolatie"))*I55,0)</f>
        <v>0</v>
      </c>
      <c r="S55" s="412">
        <f>Berekening_impact[[#This Row],[Initiële investering]]+Berekening_impact[[#This Row],[Schatting investering (€)]]</f>
        <v>0</v>
      </c>
      <c r="T55" s="443" t="s">
        <v>390</v>
      </c>
      <c r="U55" s="443" t="s">
        <v>390</v>
      </c>
      <c r="V55" s="398">
        <f>IF(Berekening_impact[[#This Row],[Kosten schatten?]] = "Ja", (Berekening_impact[[#This Row],[Totaal arbeidsbesparing (€/jaar)]]+Berekening_impact[[#This Row],[Overige kostenbesparing (totaal/jaar totaal potentieel)]])*INDEX(schatting_kosten[Verhouding kosten/omzet],MATCH(A55,schatting_kosten[Veld],0)),0)</f>
        <v>0</v>
      </c>
      <c r="W55"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55" s="286" t="s">
        <v>391</v>
      </c>
      <c r="Y55" s="130">
        <f>Berekening_impact[[#This Row],[Totaal arbeidsbesparing (€/jaar)]]*Berekening_impact[[#This Row],[Percentage van patiëntaantallen in Wlz (overige is Zvw)]]</f>
        <v>5208423.390625</v>
      </c>
      <c r="Z55" s="130">
        <f>Berekening_impact[[#This Row],[Overige kostenbesparing (totaal/jaar totaal potentieel)]]*Berekening_impact[[#This Row],[Percentage van patiëntaantallen in Wlz (overige is Zvw)]]</f>
        <v>1767504.1533683406</v>
      </c>
      <c r="AA55" s="130">
        <f>Berekening_impact[[#This Row],[Jaarlijkse kosten (totaal) - incl. schatting]]*Berekening_impact[[#This Row],[Percentage van patiëntaantallen in Wlz (overige is Zvw)]]</f>
        <v>6495499.322916667</v>
      </c>
      <c r="AB55" s="130">
        <f>Berekening_impact[[#This Row],[Initiële investering (totaal) - incl. schatting]]*Berekening_impact[[#This Row],[Percentage van patiëntaantallen in Wlz (overige is Zvw)]]</f>
        <v>0</v>
      </c>
    </row>
    <row r="56" spans="1:28" x14ac:dyDescent="0.5">
      <c r="A56" s="2" t="str">
        <f>INDEX(Technologieën[Veld],MATCH(B56,Technologieën[Digitale zorgtoepassing],0))</f>
        <v>Software - Diagnose</v>
      </c>
      <c r="B56" s="33" t="s">
        <v>472</v>
      </c>
      <c r="C56" s="33" t="s">
        <v>442</v>
      </c>
      <c r="D56" s="444" cm="1">
        <f t="array" ref="D56">INDEX(Berekening_patiëntaantal[Percentage van patiëntaantallen in Wlz (overige is Zvw)],MATCH(B56,IF(Berekening_patiëntaantal[Doelgroep (zoeksleutel)]=C56,Berekening_patiëntaantal[Digitale zorgtoepassing]),0))</f>
        <v>0</v>
      </c>
      <c r="E56" s="33" t="str" cm="1">
        <f t="array" ref="E56">INDEX(Berekening_patiëntaantal[Direct toepasbaar/extrapolatie/incidentie voor QALY],MATCH(B56,IF(Berekening_patiëntaantal[Doelgroep (zoeksleutel)]=C56,Berekening_patiëntaantal[Digitale zorgtoepassing]),0))</f>
        <v>Huidige toepassing</v>
      </c>
      <c r="F56" s="33" t="s">
        <v>146</v>
      </c>
      <c r="G56" s="33" t="s">
        <v>781</v>
      </c>
      <c r="H56" s="135">
        <f>INDEX(Uurloon[Uurtarief zorgpersoneel],MATCH(F56,Uurloon[Zorgverlener],0))</f>
        <v>91.204770114942534</v>
      </c>
      <c r="I56" s="411">
        <f>SUMIFS(Berekening_patiëntaantal[Patiëntaantallen],Berekening_patiëntaantal[Doelgroep (zoeksleutel)],C56,Berekening_patiëntaantal[Digitale zorgtoepassing],B56)</f>
        <v>25812</v>
      </c>
      <c r="J56" s="397">
        <f>IFERROR(AVERAGEIFS(uniforme_input[Tijdsbesparing (min/week/patiënt)],uniforme_input[Doelgroep],C56,uniforme_input[Digitale zorgtoepassing],B56,uniforme_input[Tijdsbesparing (min/week/patiënt)],"&gt; 0")*(Berekening_impact[[#This Row],[Patiëntaantal (direct toepasbaar/extrapolatie)]])/60,0)</f>
        <v>0</v>
      </c>
      <c r="K56" s="397">
        <f>IFERROR(AVERAGEIFS(uniforme_input[Tijdsbesparing (min/handeling)],uniforme_input[Doelgroep],C56,uniforme_input[Digitale zorgtoepassing],B56,uniforme_input[Tijdsbesparing (min/handeling)],"&gt; 0")*(Berekening_impact[[#This Row],[Patiëntaantal (direct toepasbaar/extrapolatie)]])/60,0)/52</f>
        <v>124.09615384615384</v>
      </c>
      <c r="L56" s="397">
        <f t="shared" si="4"/>
        <v>3.1024038461538459</v>
      </c>
      <c r="M56" s="412">
        <f t="shared" si="5"/>
        <v>588544.38155172416</v>
      </c>
      <c r="N56" s="412">
        <f>IFERROR(AVERAGEIFS(uniforme_input[Overige kostenbesparing (€/jaar/patiënt)],uniforme_input[Doelgroep],C56,uniforme_input[Digitale zorgtoepassing],B56,uniforme_input[Overige kostenbesparing (€/jaar/patiënt)],"&gt;0")*Berekening_impact[[#This Row],[Patiëntaantal (direct toepasbaar/extrapolatie)]],0)</f>
        <v>0</v>
      </c>
      <c r="O56" s="412" cm="1">
        <f t="array" ref="O56">IFERROR(AVERAGEIFS(uniforme_input[QALY per patiënt],uniforme_input[Doelgroep],C56,uniforme_input[Digitale zorgtoepassing],B56,uniforme_input[QALY per patiënt],"&gt;0")*Berekening_impact[[#This Row],[Patiëntaantal (direct toepasbaar/extrapolatie)]]*QALY[Waarde gezond levensjaar],0)</f>
        <v>0</v>
      </c>
      <c r="P56" s="412">
        <f>IFERROR((AVERAGEIFS(uniforme_input[Jaarlijkse kosten per patiënt totaal],uniforme_input[Digitale zorgtoepassing],B56,uniforme_input[Doelgroep],C56,uniforme_input[Bron gebruiken voor kosten/investering?],"Ja"))*I56,0)</f>
        <v>438804</v>
      </c>
      <c r="Q56" s="412">
        <f>Berekening_impact[[#This Row],[Jaarlijkse kosten (totaal)]]+Berekening_impact[[#This Row],[Schatting kosten (€)]]</f>
        <v>438804</v>
      </c>
      <c r="R56" s="412">
        <f>IFERROR((AVERAGEIFS(uniforme_input[Intiële investering per patiënt totaal],uniforme_input[Digitale zorgtoepassing],B56,uniforme_input[Doelgroep],C56,uniforme_input[Bron gebruiken voor kosten/investering?],"Ja",uniforme_input[Direct toepasbaar/extrapolatie/incidentie voor QALY],"&lt;&gt;Extrapolatie"))*I56,0)</f>
        <v>982608.69565217395</v>
      </c>
      <c r="S56" s="412">
        <f>Berekening_impact[[#This Row],[Initiële investering]]+Berekening_impact[[#This Row],[Schatting investering (€)]]</f>
        <v>982608.69565217395</v>
      </c>
      <c r="T56" s="443" t="s">
        <v>390</v>
      </c>
      <c r="U56" s="443" t="s">
        <v>390</v>
      </c>
      <c r="V56" s="398">
        <f>IF(Berekening_impact[[#This Row],[Kosten schatten?]] = "Ja", (Berekening_impact[[#This Row],[Totaal arbeidsbesparing (€/jaar)]]+Berekening_impact[[#This Row],[Overige kostenbesparing (totaal/jaar totaal potentieel)]])*INDEX(schatting_kosten[Verhouding kosten/omzet],MATCH(A56,schatting_kosten[Veld],0)),0)</f>
        <v>0</v>
      </c>
      <c r="W56"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56" s="286" t="s">
        <v>391</v>
      </c>
      <c r="Y56" s="130">
        <f>Berekening_impact[[#This Row],[Totaal arbeidsbesparing (€/jaar)]]*Berekening_impact[[#This Row],[Percentage van patiëntaantallen in Wlz (overige is Zvw)]]</f>
        <v>0</v>
      </c>
      <c r="Z56" s="130">
        <f>Berekening_impact[[#This Row],[Overige kostenbesparing (totaal/jaar totaal potentieel)]]*Berekening_impact[[#This Row],[Percentage van patiëntaantallen in Wlz (overige is Zvw)]]</f>
        <v>0</v>
      </c>
      <c r="AA56" s="130">
        <f>Berekening_impact[[#This Row],[Jaarlijkse kosten (totaal) - incl. schatting]]*Berekening_impact[[#This Row],[Percentage van patiëntaantallen in Wlz (overige is Zvw)]]</f>
        <v>0</v>
      </c>
      <c r="AB56" s="130">
        <f>Berekening_impact[[#This Row],[Initiële investering (totaal) - incl. schatting]]*Berekening_impact[[#This Row],[Percentage van patiëntaantallen in Wlz (overige is Zvw)]]</f>
        <v>0</v>
      </c>
    </row>
    <row r="57" spans="1:28" x14ac:dyDescent="0.5">
      <c r="A57" s="2" t="str">
        <f>INDEX(Technologieën[Veld],MATCH(B57,Technologieën[Digitale zorgtoepassing],0))</f>
        <v>Software - Diagnose</v>
      </c>
      <c r="B57" s="33" t="s">
        <v>475</v>
      </c>
      <c r="C57" s="33" t="s">
        <v>460</v>
      </c>
      <c r="D57" s="444" cm="1">
        <f t="array" ref="D57">INDEX(Berekening_patiëntaantal[Percentage van patiëntaantallen in Wlz (overige is Zvw)],MATCH(B57,IF(Berekening_patiëntaantal[Doelgroep (zoeksleutel)]=C57,Berekening_patiëntaantal[Digitale zorgtoepassing]),0))</f>
        <v>0</v>
      </c>
      <c r="E57" s="33" t="str" cm="1">
        <f t="array" ref="E57">INDEX(Berekening_patiëntaantal[Direct toepasbaar/extrapolatie/incidentie voor QALY],MATCH(B57,IF(Berekening_patiëntaantal[Doelgroep (zoeksleutel)]=C57,Berekening_patiëntaantal[Digitale zorgtoepassing]),0))</f>
        <v>Huidige toepassing</v>
      </c>
      <c r="F57" s="33" t="s">
        <v>146</v>
      </c>
      <c r="G57" s="33" t="s">
        <v>781</v>
      </c>
      <c r="H57" s="135">
        <f>INDEX(Uurloon[Uurtarief zorgpersoneel],MATCH(F57,Uurloon[Zorgverlener],0))</f>
        <v>91.204770114942534</v>
      </c>
      <c r="I57" s="411">
        <f>SUMIFS(Berekening_patiëntaantal[Patiëntaantallen],Berekening_patiëntaantal[Doelgroep (zoeksleutel)],C57,Berekening_patiëntaantal[Digitale zorgtoepassing],B57)</f>
        <v>401986</v>
      </c>
      <c r="J57" s="397">
        <f>IFERROR(AVERAGEIFS(uniforme_input[Tijdsbesparing (min/week/patiënt)],uniforme_input[Doelgroep],C57,uniforme_input[Digitale zorgtoepassing],B57,uniforme_input[Tijdsbesparing (min/week/patiënt)],"&gt; 0")*(Berekening_impact[[#This Row],[Patiëntaantal (direct toepasbaar/extrapolatie)]])/60,0)</f>
        <v>0</v>
      </c>
      <c r="K57" s="397">
        <f>IFERROR(AVERAGEIFS(uniforme_input[Tijdsbesparing (min/handeling)],uniforme_input[Doelgroep],C57,uniforme_input[Digitale zorgtoepassing],B57,uniforme_input[Tijdsbesparing (min/handeling)],"&gt; 0")*(Berekening_impact[[#This Row],[Patiëntaantal (direct toepasbaar/extrapolatie)]])/60,0)/52</f>
        <v>21.473611111111104</v>
      </c>
      <c r="L57" s="397">
        <f t="shared" si="4"/>
        <v>0.53684027777777765</v>
      </c>
      <c r="M57" s="412">
        <f t="shared" si="5"/>
        <v>101841.77977618133</v>
      </c>
      <c r="N57" s="412">
        <f>IFERROR(AVERAGEIFS(uniforme_input[Overige kostenbesparing (€/jaar/patiënt)],uniforme_input[Doelgroep],C57,uniforme_input[Digitale zorgtoepassing],B57,uniforme_input[Overige kostenbesparing (€/jaar/patiënt)],"&gt;0")*Berekening_impact[[#This Row],[Patiëntaantal (direct toepasbaar/extrapolatie)]],0)</f>
        <v>0</v>
      </c>
      <c r="O57" s="412" cm="1">
        <f t="array" ref="O57">IFERROR(AVERAGEIFS(uniforme_input[QALY per patiënt],uniforme_input[Doelgroep],C57,uniforme_input[Digitale zorgtoepassing],B57,uniforme_input[QALY per patiënt],"&gt;0")*Berekening_impact[[#This Row],[Patiëntaantal (direct toepasbaar/extrapolatie)]]*QALY[Waarde gezond levensjaar],0)</f>
        <v>0</v>
      </c>
      <c r="P57" s="412">
        <f>IFERROR((AVERAGEIFS(uniforme_input[Jaarlijkse kosten per patiënt totaal],uniforme_input[Digitale zorgtoepassing],B57,uniforme_input[Doelgroep],C57,uniforme_input[Bron gebruiken voor kosten/investering?],"Ja"))*I57,0)</f>
        <v>0</v>
      </c>
      <c r="Q57" s="412">
        <f>Berekening_impact[[#This Row],[Jaarlijkse kosten (totaal)]]+Berekening_impact[[#This Row],[Schatting kosten (€)]]</f>
        <v>86548.373823068774</v>
      </c>
      <c r="R57" s="412">
        <f>IFERROR((AVERAGEIFS(uniforme_input[Intiële investering per patiënt totaal],uniforme_input[Digitale zorgtoepassing],B57,uniforme_input[Doelgroep],C57,uniforme_input[Bron gebruiken voor kosten/investering?],"Ja",uniforme_input[Direct toepasbaar/extrapolatie/incidentie voor QALY],"&lt;&gt;Extrapolatie"))*I57,0)</f>
        <v>0</v>
      </c>
      <c r="S57" s="412">
        <f>Berekening_impact[[#This Row],[Initiële investering]]+Berekening_impact[[#This Row],[Schatting investering (€)]]</f>
        <v>0</v>
      </c>
      <c r="T57" s="443" t="s">
        <v>391</v>
      </c>
      <c r="U57" s="443" t="s">
        <v>390</v>
      </c>
      <c r="V57" s="398">
        <f>IF(Berekening_impact[[#This Row],[Kosten schatten?]] = "Ja", (Berekening_impact[[#This Row],[Totaal arbeidsbesparing (€/jaar)]]+Berekening_impact[[#This Row],[Overige kostenbesparing (totaal/jaar totaal potentieel)]])*INDEX(schatting_kosten[Verhouding kosten/omzet],MATCH(A57,schatting_kosten[Veld],0)),0)</f>
        <v>86548.373823068774</v>
      </c>
      <c r="W57"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57" s="286" t="s">
        <v>390</v>
      </c>
      <c r="Y57" s="130">
        <f>Berekening_impact[[#This Row],[Totaal arbeidsbesparing (€/jaar)]]*Berekening_impact[[#This Row],[Percentage van patiëntaantallen in Wlz (overige is Zvw)]]</f>
        <v>0</v>
      </c>
      <c r="Z57" s="130">
        <f>Berekening_impact[[#This Row],[Overige kostenbesparing (totaal/jaar totaal potentieel)]]*Berekening_impact[[#This Row],[Percentage van patiëntaantallen in Wlz (overige is Zvw)]]</f>
        <v>0</v>
      </c>
      <c r="AA57" s="130">
        <f>Berekening_impact[[#This Row],[Jaarlijkse kosten (totaal) - incl. schatting]]*Berekening_impact[[#This Row],[Percentage van patiëntaantallen in Wlz (overige is Zvw)]]</f>
        <v>0</v>
      </c>
      <c r="AB57" s="130">
        <f>Berekening_impact[[#This Row],[Initiële investering (totaal) - incl. schatting]]*Berekening_impact[[#This Row],[Percentage van patiëntaantallen in Wlz (overige is Zvw)]]</f>
        <v>0</v>
      </c>
    </row>
    <row r="58" spans="1:28" x14ac:dyDescent="0.5">
      <c r="A58" s="2" t="str">
        <f>INDEX(Technologieën[Veld],MATCH(B58,Technologieën[Digitale zorgtoepassing],0))</f>
        <v>Software - Diagnose</v>
      </c>
      <c r="B58" s="33" t="s">
        <v>475</v>
      </c>
      <c r="C58" s="33" t="s">
        <v>492</v>
      </c>
      <c r="D58" s="444" cm="1">
        <f t="array" ref="D58">INDEX(Berekening_patiëntaantal[Percentage van patiëntaantallen in Wlz (overige is Zvw)],MATCH(B58,IF(Berekening_patiëntaantal[Doelgroep (zoeksleutel)]=C58,Berekening_patiëntaantal[Digitale zorgtoepassing]),0))</f>
        <v>0</v>
      </c>
      <c r="E58" s="33" t="str" cm="1">
        <f t="array" ref="E58">INDEX(Berekening_patiëntaantal[Direct toepasbaar/extrapolatie/incidentie voor QALY],MATCH(B58,IF(Berekening_patiëntaantal[Doelgroep (zoeksleutel)]=C58,Berekening_patiëntaantal[Digitale zorgtoepassing]),0))</f>
        <v>Extrapolatie</v>
      </c>
      <c r="F58" s="33" t="s">
        <v>146</v>
      </c>
      <c r="G58" s="33" t="s">
        <v>781</v>
      </c>
      <c r="H58" s="135">
        <f>INDEX(Uurloon[Uurtarief zorgpersoneel],MATCH(F58,Uurloon[Zorgverlener],0))</f>
        <v>91.204770114942534</v>
      </c>
      <c r="I58" s="411">
        <f>SUMIFS(Berekening_patiëntaantal[Patiëntaantallen],Berekening_patiëntaantal[Doelgroep (zoeksleutel)],C58,Berekening_patiëntaantal[Digitale zorgtoepassing],B58)</f>
        <v>6298014</v>
      </c>
      <c r="J58" s="397">
        <f>IFERROR(AVERAGEIFS(uniforme_input[Tijdsbesparing (min/week/patiënt)],uniforme_input[Doelgroep],C58,uniforme_input[Digitale zorgtoepassing],B58,uniforme_input[Tijdsbesparing (min/week/patiënt)],"&gt; 0")*(Berekening_impact[[#This Row],[Patiëntaantal (direct toepasbaar/extrapolatie)]])/60,0)</f>
        <v>0</v>
      </c>
      <c r="K58" s="397">
        <f>IFERROR(AVERAGEIFS(uniforme_input[Tijdsbesparing (min/handeling)],uniforme_input[Doelgroep],C58,uniforme_input[Digitale zorgtoepassing],B58,uniforme_input[Tijdsbesparing (min/handeling)],"&gt; 0")*(Berekening_impact[[#This Row],[Patiëntaantal (direct toepasbaar/extrapolatie)]])/60,0)/52</f>
        <v>336.43237179487181</v>
      </c>
      <c r="L58" s="397">
        <f t="shared" si="4"/>
        <v>8.410809294871795</v>
      </c>
      <c r="M58" s="412">
        <f t="shared" si="5"/>
        <v>1595580.3306963602</v>
      </c>
      <c r="N58" s="412">
        <f>IFERROR(AVERAGEIFS(uniforme_input[Overige kostenbesparing (€/jaar/patiënt)],uniforme_input[Doelgroep],C58,uniforme_input[Digitale zorgtoepassing],B58,uniforme_input[Overige kostenbesparing (€/jaar/patiënt)],"&gt;0")*Berekening_impact[[#This Row],[Patiëntaantal (direct toepasbaar/extrapolatie)]],0)</f>
        <v>0</v>
      </c>
      <c r="O58" s="412" cm="1">
        <f t="array" ref="O58">IFERROR(AVERAGEIFS(uniforme_input[QALY per patiënt],uniforme_input[Doelgroep],C58,uniforme_input[Digitale zorgtoepassing],B58,uniforme_input[QALY per patiënt],"&gt;0")*Berekening_impact[[#This Row],[Patiëntaantal (direct toepasbaar/extrapolatie)]]*QALY[Waarde gezond levensjaar],0)</f>
        <v>0</v>
      </c>
      <c r="P58" s="412">
        <f>IFERROR((AVERAGEIFS(uniforme_input[Jaarlijkse kosten per patiënt totaal],uniforme_input[Digitale zorgtoepassing],B58,uniforme_input[Doelgroep],C58,uniforme_input[Bron gebruiken voor kosten/investering?],"Ja"))*I58,0)</f>
        <v>0</v>
      </c>
      <c r="Q58" s="412">
        <f>Berekening_impact[[#This Row],[Jaarlijkse kosten (totaal)]]+Berekening_impact[[#This Row],[Schatting kosten (€)]]</f>
        <v>1355974.7603521536</v>
      </c>
      <c r="R58" s="412">
        <f>IFERROR((AVERAGEIFS(uniforme_input[Intiële investering per patiënt totaal],uniforme_input[Digitale zorgtoepassing],B58,uniforme_input[Doelgroep],C58,uniforme_input[Bron gebruiken voor kosten/investering?],"Ja",uniforme_input[Direct toepasbaar/extrapolatie/incidentie voor QALY],"&lt;&gt;Extrapolatie"))*I58,0)</f>
        <v>0</v>
      </c>
      <c r="S58" s="412">
        <f>Berekening_impact[[#This Row],[Initiële investering]]+Berekening_impact[[#This Row],[Schatting investering (€)]]</f>
        <v>0</v>
      </c>
      <c r="T58" s="443" t="s">
        <v>391</v>
      </c>
      <c r="U58" s="443" t="s">
        <v>390</v>
      </c>
      <c r="V58" s="398">
        <f>IF(Berekening_impact[[#This Row],[Kosten schatten?]] = "Ja", (Berekening_impact[[#This Row],[Totaal arbeidsbesparing (€/jaar)]]+Berekening_impact[[#This Row],[Overige kostenbesparing (totaal/jaar totaal potentieel)]])*INDEX(schatting_kosten[Verhouding kosten/omzet],MATCH(A58,schatting_kosten[Veld],0)),0)</f>
        <v>1355974.7603521536</v>
      </c>
      <c r="W58"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58" s="286" t="s">
        <v>390</v>
      </c>
      <c r="Y58" s="130">
        <f>Berekening_impact[[#This Row],[Totaal arbeidsbesparing (€/jaar)]]*Berekening_impact[[#This Row],[Percentage van patiëntaantallen in Wlz (overige is Zvw)]]</f>
        <v>0</v>
      </c>
      <c r="Z58" s="130">
        <f>Berekening_impact[[#This Row],[Overige kostenbesparing (totaal/jaar totaal potentieel)]]*Berekening_impact[[#This Row],[Percentage van patiëntaantallen in Wlz (overige is Zvw)]]</f>
        <v>0</v>
      </c>
      <c r="AA58" s="130">
        <f>Berekening_impact[[#This Row],[Jaarlijkse kosten (totaal) - incl. schatting]]*Berekening_impact[[#This Row],[Percentage van patiëntaantallen in Wlz (overige is Zvw)]]</f>
        <v>0</v>
      </c>
      <c r="AB58" s="130">
        <f>Berekening_impact[[#This Row],[Initiële investering (totaal) - incl. schatting]]*Berekening_impact[[#This Row],[Percentage van patiëntaantallen in Wlz (overige is Zvw)]]</f>
        <v>0</v>
      </c>
    </row>
    <row r="59" spans="1:28" x14ac:dyDescent="0.5">
      <c r="A59" s="2" t="str">
        <f>INDEX(Technologieën[Veld],MATCH(B59,Technologieën[Digitale zorgtoepassing],0))</f>
        <v>Software - Diagnose</v>
      </c>
      <c r="B59" s="33" t="s">
        <v>66</v>
      </c>
      <c r="C59" s="33" t="s">
        <v>69</v>
      </c>
      <c r="D59" s="444" cm="1">
        <f t="array" ref="D59">INDEX(Berekening_patiëntaantal[Percentage van patiëntaantallen in Wlz (overige is Zvw)],MATCH(B59,IF(Berekening_patiëntaantal[Doelgroep (zoeksleutel)]=C59,Berekening_patiëntaantal[Digitale zorgtoepassing]),0))</f>
        <v>0</v>
      </c>
      <c r="E59" s="33" t="str" cm="1">
        <f t="array" ref="E59">INDEX(Berekening_patiëntaantal[Direct toepasbaar/extrapolatie/incidentie voor QALY],MATCH(B59,IF(Berekening_patiëntaantal[Doelgroep (zoeksleutel)]=C59,Berekening_patiëntaantal[Digitale zorgtoepassing]),0))</f>
        <v>Huidige toepassing</v>
      </c>
      <c r="F59" s="33" t="s">
        <v>156</v>
      </c>
      <c r="G59" s="33" t="s">
        <v>391</v>
      </c>
      <c r="H59" s="135">
        <f>INDEX(Uurloon[Uurtarief zorgpersoneel],MATCH(F59,Uurloon[Zorgverlener],0))</f>
        <v>40.34195402298851</v>
      </c>
      <c r="I59" s="411">
        <f>SUMIFS(Berekening_patiëntaantal[Patiëntaantallen],Berekening_patiëntaantal[Doelgroep (zoeksleutel)],C59,Berekening_patiëntaantal[Digitale zorgtoepassing],B59)</f>
        <v>149781.6875</v>
      </c>
      <c r="J59" s="397">
        <f>IFERROR(AVERAGEIFS(uniforme_input[Tijdsbesparing (min/week/patiënt)],uniforme_input[Doelgroep],C59,uniforme_input[Digitale zorgtoepassing],B59,uniforme_input[Tijdsbesparing (min/week/patiënt)],"&gt; 0")*(Berekening_impact[[#This Row],[Patiëntaantal (direct toepasbaar/extrapolatie)]])/60,0)</f>
        <v>0</v>
      </c>
      <c r="K59" s="397">
        <f>IFERROR(AVERAGEIFS(uniforme_input[Tijdsbesparing (min/handeling)],uniforme_input[Doelgroep],C59,uniforme_input[Digitale zorgtoepassing],B59,uniforme_input[Tijdsbesparing (min/handeling)],"&gt; 0")*(Berekening_impact[[#This Row],[Patiëntaantal (direct toepasbaar/extrapolatie)]])/60,0)/52</f>
        <v>2160.3128004807691</v>
      </c>
      <c r="L59" s="397">
        <f t="shared" ref="L59:L67" si="6">($J59/40)+($K59/40)</f>
        <v>54.007820012019224</v>
      </c>
      <c r="M59" s="412">
        <f t="shared" ref="M59:M67" si="7">IF($J59*H59&gt;0,$J59*H59,K59*H59)*52</f>
        <v>4531864.4629579745</v>
      </c>
      <c r="N59" s="412">
        <f>IFERROR(AVERAGEIFS(uniforme_input[Overige kostenbesparing (€/jaar/patiënt)],uniforme_input[Doelgroep],C59,uniforme_input[Digitale zorgtoepassing],B59,uniforme_input[Overige kostenbesparing (€/jaar/patiënt)],"&gt;0")*Berekening_impact[[#This Row],[Patiëntaantal (direct toepasbaar/extrapolatie)]],0)</f>
        <v>0</v>
      </c>
      <c r="O59" s="412" cm="1">
        <f t="array" ref="O59">IFERROR(AVERAGEIFS(uniforme_input[QALY per patiënt],uniforme_input[Doelgroep],C59,uniforme_input[Digitale zorgtoepassing],B59,uniforme_input[QALY per patiënt],"&gt;0")*Berekening_impact[[#This Row],[Patiëntaantal (direct toepasbaar/extrapolatie)]]*QALY[Waarde gezond levensjaar],0)</f>
        <v>0</v>
      </c>
      <c r="P59" s="412">
        <f>IFERROR((AVERAGEIFS(uniforme_input[Jaarlijkse kosten per patiënt totaal],uniforme_input[Digitale zorgtoepassing],B59,uniforme_input[Doelgroep],C59,uniforme_input[Bron gebruiken voor kosten/investering?],"Ja"))*I59,0)</f>
        <v>0</v>
      </c>
      <c r="Q59" s="412">
        <f>Berekening_impact[[#This Row],[Jaarlijkse kosten (totaal)]]+Berekening_impact[[#This Row],[Schatting kosten (€)]]</f>
        <v>3851322.1245501149</v>
      </c>
      <c r="R59" s="412">
        <f>IFERROR((AVERAGEIFS(uniforme_input[Intiële investering per patiënt totaal],uniforme_input[Digitale zorgtoepassing],B59,uniforme_input[Doelgroep],C59,uniforme_input[Bron gebruiken voor kosten/investering?],"Ja",uniforme_input[Direct toepasbaar/extrapolatie/incidentie voor QALY],"&lt;&gt;Extrapolatie"))*I59,0)</f>
        <v>0</v>
      </c>
      <c r="S59" s="412">
        <f>Berekening_impact[[#This Row],[Initiële investering]]+Berekening_impact[[#This Row],[Schatting investering (€)]]</f>
        <v>0</v>
      </c>
      <c r="T59" s="443" t="s">
        <v>391</v>
      </c>
      <c r="U59" s="443" t="s">
        <v>390</v>
      </c>
      <c r="V59" s="398">
        <f>IF(Berekening_impact[[#This Row],[Kosten schatten?]] = "Ja", (Berekening_impact[[#This Row],[Totaal arbeidsbesparing (€/jaar)]]+Berekening_impact[[#This Row],[Overige kostenbesparing (totaal/jaar totaal potentieel)]])*INDEX(schatting_kosten[Verhouding kosten/omzet],MATCH(A59,schatting_kosten[Veld],0)),0)</f>
        <v>3851322.1245501149</v>
      </c>
      <c r="W59"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59" s="286" t="s">
        <v>390</v>
      </c>
      <c r="Y59" s="130">
        <f>Berekening_impact[[#This Row],[Totaal arbeidsbesparing (€/jaar)]]*Berekening_impact[[#This Row],[Percentage van patiëntaantallen in Wlz (overige is Zvw)]]</f>
        <v>0</v>
      </c>
      <c r="Z59" s="130">
        <f>Berekening_impact[[#This Row],[Overige kostenbesparing (totaal/jaar totaal potentieel)]]*Berekening_impact[[#This Row],[Percentage van patiëntaantallen in Wlz (overige is Zvw)]]</f>
        <v>0</v>
      </c>
      <c r="AA59" s="130">
        <f>Berekening_impact[[#This Row],[Jaarlijkse kosten (totaal) - incl. schatting]]*Berekening_impact[[#This Row],[Percentage van patiëntaantallen in Wlz (overige is Zvw)]]</f>
        <v>0</v>
      </c>
      <c r="AB59" s="130">
        <f>Berekening_impact[[#This Row],[Initiële investering (totaal) - incl. schatting]]*Berekening_impact[[#This Row],[Percentage van patiëntaantallen in Wlz (overige is Zvw)]]</f>
        <v>0</v>
      </c>
    </row>
    <row r="60" spans="1:28" x14ac:dyDescent="0.5">
      <c r="A60" s="2" t="str">
        <f>INDEX(Technologieën[Veld],MATCH(B60,Technologieën[Digitale zorgtoepassing],0))</f>
        <v>Software - Diagnose</v>
      </c>
      <c r="B60" s="33" t="s">
        <v>66</v>
      </c>
      <c r="C60" s="33" t="s">
        <v>67</v>
      </c>
      <c r="D60" s="444" cm="1">
        <f t="array" ref="D60">INDEX(Berekening_patiëntaantal[Percentage van patiëntaantallen in Wlz (overige is Zvw)],MATCH(B60,IF(Berekening_patiëntaantal[Doelgroep (zoeksleutel)]=C60,Berekening_patiëntaantal[Digitale zorgtoepassing]),0))</f>
        <v>0</v>
      </c>
      <c r="E60" s="33" t="str" cm="1">
        <f t="array" ref="E60">INDEX(Berekening_patiëntaantal[Direct toepasbaar/extrapolatie/incidentie voor QALY],MATCH(B60,IF(Berekening_patiëntaantal[Doelgroep (zoeksleutel)]=C60,Berekening_patiëntaantal[Digitale zorgtoepassing]),0))</f>
        <v>Huidige toepassing</v>
      </c>
      <c r="F60" s="33" t="s">
        <v>156</v>
      </c>
      <c r="G60" s="33" t="s">
        <v>391</v>
      </c>
      <c r="H60" s="135">
        <f>INDEX(Uurloon[Uurtarief zorgpersoneel],MATCH(F60,Uurloon[Zorgverlener],0))</f>
        <v>40.34195402298851</v>
      </c>
      <c r="I60" s="411">
        <f>SUMIFS(Berekening_patiëntaantal[Patiëntaantallen],Berekening_patiëntaantal[Doelgroep (zoeksleutel)],C60,Berekening_patiëntaantal[Digitale zorgtoepassing],B60)</f>
        <v>23800</v>
      </c>
      <c r="J60" s="397">
        <f>IFERROR(AVERAGEIFS(uniforme_input[Tijdsbesparing (min/week/patiënt)],uniforme_input[Doelgroep],C60,uniforme_input[Digitale zorgtoepassing],B60,uniforme_input[Tijdsbesparing (min/week/patiënt)],"&gt; 0")*(Berekening_impact[[#This Row],[Patiëntaantal (direct toepasbaar/extrapolatie)]])/60,0)</f>
        <v>0</v>
      </c>
      <c r="K60" s="397">
        <f>IFERROR(AVERAGEIFS(uniforme_input[Tijdsbesparing (min/handeling)],uniforme_input[Doelgroep],C60,uniforme_input[Digitale zorgtoepassing],B60,uniforme_input[Tijdsbesparing (min/handeling)],"&gt; 0")*(Berekening_impact[[#This Row],[Patiëntaantal (direct toepasbaar/extrapolatie)]])/60,0)/52</f>
        <v>114.42307692307692</v>
      </c>
      <c r="L60" s="397">
        <f t="shared" si="6"/>
        <v>2.8605769230769229</v>
      </c>
      <c r="M60" s="412">
        <f t="shared" si="7"/>
        <v>240034.62643678163</v>
      </c>
      <c r="N60" s="412">
        <f>IFERROR(AVERAGEIFS(uniforme_input[Overige kostenbesparing (€/jaar/patiënt)],uniforme_input[Doelgroep],C60,uniforme_input[Digitale zorgtoepassing],B60,uniforme_input[Overige kostenbesparing (€/jaar/patiënt)],"&gt;0")*Berekening_impact[[#This Row],[Patiëntaantal (direct toepasbaar/extrapolatie)]],0)</f>
        <v>0</v>
      </c>
      <c r="O60" s="412" cm="1">
        <f t="array" ref="O60">IFERROR(AVERAGEIFS(uniforme_input[QALY per patiënt],uniforme_input[Doelgroep],C60,uniforme_input[Digitale zorgtoepassing],B60,uniforme_input[QALY per patiënt],"&gt;0")*Berekening_impact[[#This Row],[Patiëntaantal (direct toepasbaar/extrapolatie)]]*QALY[Waarde gezond levensjaar],0)</f>
        <v>0</v>
      </c>
      <c r="P60" s="412">
        <f>IFERROR((AVERAGEIFS(uniforme_input[Jaarlijkse kosten per patiënt totaal],uniforme_input[Digitale zorgtoepassing],B60,uniforme_input[Doelgroep],C60,uniforme_input[Bron gebruiken voor kosten/investering?],"Ja"))*I60,0)</f>
        <v>0</v>
      </c>
      <c r="Q60" s="412">
        <f>Berekening_impact[[#This Row],[Jaarlijkse kosten (totaal)]]+Berekening_impact[[#This Row],[Schatting kosten (€)]]</f>
        <v>203989.03696486645</v>
      </c>
      <c r="R60" s="412">
        <f>IFERROR((AVERAGEIFS(uniforme_input[Intiële investering per patiënt totaal],uniforme_input[Digitale zorgtoepassing],B60,uniforme_input[Doelgroep],C60,uniforme_input[Bron gebruiken voor kosten/investering?],"Ja",uniforme_input[Direct toepasbaar/extrapolatie/incidentie voor QALY],"&lt;&gt;Extrapolatie"))*I60,0)</f>
        <v>0</v>
      </c>
      <c r="S60" s="412">
        <f>Berekening_impact[[#This Row],[Initiële investering]]+Berekening_impact[[#This Row],[Schatting investering (€)]]</f>
        <v>0</v>
      </c>
      <c r="T60" s="443" t="s">
        <v>391</v>
      </c>
      <c r="U60" s="443" t="s">
        <v>390</v>
      </c>
      <c r="V60" s="398">
        <f>IF(Berekening_impact[[#This Row],[Kosten schatten?]] = "Ja", (Berekening_impact[[#This Row],[Totaal arbeidsbesparing (€/jaar)]]+Berekening_impact[[#This Row],[Overige kostenbesparing (totaal/jaar totaal potentieel)]])*INDEX(schatting_kosten[Verhouding kosten/omzet],MATCH(A60,schatting_kosten[Veld],0)),0)</f>
        <v>203989.03696486645</v>
      </c>
      <c r="W60"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60" s="286" t="s">
        <v>390</v>
      </c>
      <c r="Y60" s="130">
        <f>Berekening_impact[[#This Row],[Totaal arbeidsbesparing (€/jaar)]]*Berekening_impact[[#This Row],[Percentage van patiëntaantallen in Wlz (overige is Zvw)]]</f>
        <v>0</v>
      </c>
      <c r="Z60" s="130">
        <f>Berekening_impact[[#This Row],[Overige kostenbesparing (totaal/jaar totaal potentieel)]]*Berekening_impact[[#This Row],[Percentage van patiëntaantallen in Wlz (overige is Zvw)]]</f>
        <v>0</v>
      </c>
      <c r="AA60" s="130">
        <f>Berekening_impact[[#This Row],[Jaarlijkse kosten (totaal) - incl. schatting]]*Berekening_impact[[#This Row],[Percentage van patiëntaantallen in Wlz (overige is Zvw)]]</f>
        <v>0</v>
      </c>
      <c r="AB60" s="130">
        <f>Berekening_impact[[#This Row],[Initiële investering (totaal) - incl. schatting]]*Berekening_impact[[#This Row],[Percentage van patiëntaantallen in Wlz (overige is Zvw)]]</f>
        <v>0</v>
      </c>
    </row>
    <row r="61" spans="1:28" x14ac:dyDescent="0.5">
      <c r="A61" s="2" t="str">
        <f>INDEX(Technologieën[Veld],MATCH(B61,Technologieën[Digitale zorgtoepassing],0))</f>
        <v>Software - Diagnose</v>
      </c>
      <c r="B61" s="33" t="s">
        <v>76</v>
      </c>
      <c r="C61" s="33" t="s">
        <v>384</v>
      </c>
      <c r="D61" s="444" cm="1">
        <f t="array" ref="D61">INDEX(Berekening_patiëntaantal[Percentage van patiëntaantallen in Wlz (overige is Zvw)],MATCH(B61,IF(Berekening_patiëntaantal[Doelgroep (zoeksleutel)]=C61,Berekening_patiëntaantal[Digitale zorgtoepassing]),0))</f>
        <v>0</v>
      </c>
      <c r="E61" s="33" t="str" cm="1">
        <f t="array" ref="E61">INDEX(Berekening_patiëntaantal[Direct toepasbaar/extrapolatie/incidentie voor QALY],MATCH(B61,IF(Berekening_patiëntaantal[Doelgroep (zoeksleutel)]=C61,Berekening_patiëntaantal[Digitale zorgtoepassing]),0))</f>
        <v>Huidige toepassing</v>
      </c>
      <c r="F61" s="33" t="s">
        <v>169</v>
      </c>
      <c r="G61" s="33" t="s">
        <v>781</v>
      </c>
      <c r="H61" s="135">
        <f>INDEX(Uurloon[Uurtarief zorgpersoneel],MATCH(F61,Uurloon[Zorgverlener],0))</f>
        <v>28.223390804597706</v>
      </c>
      <c r="I61" s="411">
        <f>SUMIFS(Berekening_patiëntaantal[Patiëntaantallen],Berekening_patiëntaantal[Doelgroep (zoeksleutel)],C61,Berekening_patiëntaantal[Digitale zorgtoepassing],B61)</f>
        <v>120000</v>
      </c>
      <c r="J61" s="397">
        <f>IFERROR(AVERAGEIFS(uniforme_input[Tijdsbesparing (min/week/patiënt)],uniforme_input[Doelgroep],C61,uniforme_input[Digitale zorgtoepassing],B61,uniforme_input[Tijdsbesparing (min/week/patiënt)],"&gt; 0")*(Berekening_impact[[#This Row],[Patiëntaantal (direct toepasbaar/extrapolatie)]])/60,0)</f>
        <v>0</v>
      </c>
      <c r="K61" s="397">
        <f>IFERROR(AVERAGEIFS(uniforme_input[Tijdsbesparing (min/handeling)],uniforme_input[Doelgroep],C61,uniforme_input[Digitale zorgtoepassing],B61,uniforme_input[Tijdsbesparing (min/handeling)],"&gt; 0")*(Berekening_impact[[#This Row],[Patiëntaantal (direct toepasbaar/extrapolatie)]])/60,0)/52</f>
        <v>4992.3076923076933</v>
      </c>
      <c r="L61" s="397">
        <f t="shared" si="6"/>
        <v>124.80769230769234</v>
      </c>
      <c r="M61" s="412">
        <f t="shared" si="7"/>
        <v>7326792.252873566</v>
      </c>
      <c r="N61" s="412">
        <f>IFERROR(AVERAGEIFS(uniforme_input[Overige kostenbesparing (€/jaar/patiënt)],uniforme_input[Doelgroep],C61,uniforme_input[Digitale zorgtoepassing],B61,uniforme_input[Overige kostenbesparing (€/jaar/patiënt)],"&gt;0")*Berekening_impact[[#This Row],[Patiëntaantal (direct toepasbaar/extrapolatie)]],0)</f>
        <v>0</v>
      </c>
      <c r="O61" s="412" cm="1">
        <f t="array" ref="O61">IFERROR(AVERAGEIFS(uniforme_input[QALY per patiënt],uniforme_input[Doelgroep],C61,uniforme_input[Digitale zorgtoepassing],B61,uniforme_input[QALY per patiënt],"&gt;0")*Berekening_impact[[#This Row],[Patiëntaantal (direct toepasbaar/extrapolatie)]]*QALY[Waarde gezond levensjaar],0)</f>
        <v>0</v>
      </c>
      <c r="P61" s="412">
        <f>IFERROR((AVERAGEIFS(uniforme_input[Jaarlijkse kosten per patiënt totaal],uniforme_input[Digitale zorgtoepassing],B61,uniforme_input[Doelgroep],C61,uniforme_input[Bron gebruiken voor kosten/investering?],"Ja"))*I61,0)</f>
        <v>0</v>
      </c>
      <c r="Q61" s="412">
        <f>Berekening_impact[[#This Row],[Jaarlijkse kosten (totaal)]]+Berekening_impact[[#This Row],[Schatting kosten (€)]]</f>
        <v>6226540.3866594005</v>
      </c>
      <c r="R61" s="412">
        <f>IFERROR((AVERAGEIFS(uniforme_input[Intiële investering per patiënt totaal],uniforme_input[Digitale zorgtoepassing],B61,uniforme_input[Doelgroep],C61,uniforme_input[Bron gebruiken voor kosten/investering?],"Ja",uniforme_input[Direct toepasbaar/extrapolatie/incidentie voor QALY],"&lt;&gt;Extrapolatie"))*I61,0)</f>
        <v>0</v>
      </c>
      <c r="S61" s="412">
        <f>Berekening_impact[[#This Row],[Initiële investering]]+Berekening_impact[[#This Row],[Schatting investering (€)]]</f>
        <v>0</v>
      </c>
      <c r="T61" s="443" t="s">
        <v>391</v>
      </c>
      <c r="U61" s="443" t="s">
        <v>390</v>
      </c>
      <c r="V61" s="398">
        <f>IF(Berekening_impact[[#This Row],[Kosten schatten?]] = "Ja", (Berekening_impact[[#This Row],[Totaal arbeidsbesparing (€/jaar)]]+Berekening_impact[[#This Row],[Overige kostenbesparing (totaal/jaar totaal potentieel)]])*INDEX(schatting_kosten[Verhouding kosten/omzet],MATCH(A61,schatting_kosten[Veld],0)),0)</f>
        <v>6226540.3866594005</v>
      </c>
      <c r="W61"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61" s="286" t="s">
        <v>390</v>
      </c>
      <c r="Y61" s="130">
        <f>Berekening_impact[[#This Row],[Totaal arbeidsbesparing (€/jaar)]]*Berekening_impact[[#This Row],[Percentage van patiëntaantallen in Wlz (overige is Zvw)]]</f>
        <v>0</v>
      </c>
      <c r="Z61" s="130">
        <f>Berekening_impact[[#This Row],[Overige kostenbesparing (totaal/jaar totaal potentieel)]]*Berekening_impact[[#This Row],[Percentage van patiëntaantallen in Wlz (overige is Zvw)]]</f>
        <v>0</v>
      </c>
      <c r="AA61" s="130">
        <f>Berekening_impact[[#This Row],[Jaarlijkse kosten (totaal) - incl. schatting]]*Berekening_impact[[#This Row],[Percentage van patiëntaantallen in Wlz (overige is Zvw)]]</f>
        <v>0</v>
      </c>
      <c r="AB61" s="130">
        <f>Berekening_impact[[#This Row],[Initiële investering (totaal) - incl. schatting]]*Berekening_impact[[#This Row],[Percentage van patiëntaantallen in Wlz (overige is Zvw)]]</f>
        <v>0</v>
      </c>
    </row>
    <row r="62" spans="1:28" x14ac:dyDescent="0.5">
      <c r="A62" s="2" t="str">
        <f>INDEX(Technologieën[Veld],MATCH(B62,Technologieën[Digitale zorgtoepassing],0))</f>
        <v>Software - Diagnose</v>
      </c>
      <c r="B62" s="33" t="s">
        <v>139</v>
      </c>
      <c r="C62" s="33" t="s">
        <v>106</v>
      </c>
      <c r="D62" s="444" cm="1">
        <f t="array" ref="D62">INDEX(Berekening_patiëntaantal[Percentage van patiëntaantallen in Wlz (overige is Zvw)],MATCH(B62,IF(Berekening_patiëntaantal[Doelgroep (zoeksleutel)]=C62,Berekening_patiëntaantal[Digitale zorgtoepassing]),0))</f>
        <v>0</v>
      </c>
      <c r="E62" s="33" t="str" cm="1">
        <f t="array" ref="E62">INDEX(Berekening_patiëntaantal[Direct toepasbaar/extrapolatie/incidentie voor QALY],MATCH(B62,IF(Berekening_patiëntaantal[Doelgroep (zoeksleutel)]=C62,Berekening_patiëntaantal[Digitale zorgtoepassing]),0))</f>
        <v>Huidige toepassing</v>
      </c>
      <c r="F62" s="33" t="s">
        <v>146</v>
      </c>
      <c r="G62" s="33" t="s">
        <v>781</v>
      </c>
      <c r="H62" s="135">
        <f>INDEX(Uurloon[Uurtarief zorgpersoneel],MATCH(F62,Uurloon[Zorgverlener],0))</f>
        <v>91.204770114942534</v>
      </c>
      <c r="I62" s="411">
        <f>SUMIFS(Berekening_patiëntaantal[Patiëntaantallen],Berekening_patiëntaantal[Doelgroep (zoeksleutel)],C62,Berekening_patiëntaantal[Digitale zorgtoepassing],B62)</f>
        <v>999999</v>
      </c>
      <c r="J62" s="397">
        <f>IFERROR(AVERAGEIFS(uniforme_input[Tijdsbesparing (min/week/patiënt)],uniforme_input[Doelgroep],C62,uniforme_input[Digitale zorgtoepassing],B62,uniforme_input[Tijdsbesparing (min/week/patiënt)],"&gt; 0")*(Berekening_impact[[#This Row],[Patiëntaantal (direct toepasbaar/extrapolatie)]])/60,0)</f>
        <v>2480</v>
      </c>
      <c r="K62" s="397">
        <f>IFERROR(AVERAGEIFS(uniforme_input[Tijdsbesparing (min/handeling)],uniforme_input[Doelgroep],C62,uniforme_input[Digitale zorgtoepassing],B62,uniforme_input[Tijdsbesparing (min/handeling)],"&gt; 0")*(Berekening_impact[[#This Row],[Patiëntaantal (direct toepasbaar/extrapolatie)]])/60,0)/52</f>
        <v>0</v>
      </c>
      <c r="L62" s="397">
        <f t="shared" si="6"/>
        <v>62</v>
      </c>
      <c r="M62" s="412">
        <f t="shared" si="7"/>
        <v>11761767.15402299</v>
      </c>
      <c r="N62" s="412">
        <f>IFERROR(AVERAGEIFS(uniforme_input[Overige kostenbesparing (€/jaar/patiënt)],uniforme_input[Doelgroep],C62,uniforme_input[Digitale zorgtoepassing],B62,uniforme_input[Overige kostenbesparing (€/jaar/patiënt)],"&gt;0")*Berekening_impact[[#This Row],[Patiëntaantal (direct toepasbaar/extrapolatie)]],0)</f>
        <v>0</v>
      </c>
      <c r="O62" s="412" cm="1">
        <f t="array" ref="O62">IFERROR(AVERAGEIFS(uniforme_input[QALY per patiënt],uniforme_input[Doelgroep],C62,uniforme_input[Digitale zorgtoepassing],B62,uniforme_input[QALY per patiënt],"&gt;0")*Berekening_impact[[#This Row],[Patiëntaantal (direct toepasbaar/extrapolatie)]]*QALY[Waarde gezond levensjaar],0)</f>
        <v>0</v>
      </c>
      <c r="P62" s="412">
        <f>IFERROR((AVERAGEIFS(uniforme_input[Jaarlijkse kosten per patiënt totaal],uniforme_input[Digitale zorgtoepassing],B62,uniforme_input[Doelgroep],C62,uniforme_input[Bron gebruiken voor kosten/investering?],"Ja"))*I62,0)</f>
        <v>0</v>
      </c>
      <c r="Q62" s="412">
        <f>Berekening_impact[[#This Row],[Jaarlijkse kosten (totaal)]]+Berekening_impact[[#This Row],[Schatting kosten (€)]]</f>
        <v>9995522.6892485376</v>
      </c>
      <c r="R62" s="412">
        <f>IFERROR((AVERAGEIFS(uniforme_input[Intiële investering per patiënt totaal],uniforme_input[Digitale zorgtoepassing],B62,uniforme_input[Doelgroep],C62,uniforme_input[Bron gebruiken voor kosten/investering?],"Ja",uniforme_input[Direct toepasbaar/extrapolatie/incidentie voor QALY],"&lt;&gt;Extrapolatie"))*I62,0)</f>
        <v>0</v>
      </c>
      <c r="S62" s="412">
        <f>Berekening_impact[[#This Row],[Initiële investering]]+Berekening_impact[[#This Row],[Schatting investering (€)]]</f>
        <v>0</v>
      </c>
      <c r="T62" s="443" t="s">
        <v>391</v>
      </c>
      <c r="U62" s="443" t="s">
        <v>390</v>
      </c>
      <c r="V62" s="398">
        <f>IF(Berekening_impact[[#This Row],[Kosten schatten?]] = "Ja", (Berekening_impact[[#This Row],[Totaal arbeidsbesparing (€/jaar)]]+Berekening_impact[[#This Row],[Overige kostenbesparing (totaal/jaar totaal potentieel)]])*INDEX(schatting_kosten[Verhouding kosten/omzet],MATCH(A62,schatting_kosten[Veld],0)),0)</f>
        <v>9995522.6892485376</v>
      </c>
      <c r="W62"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62" s="286" t="s">
        <v>390</v>
      </c>
      <c r="Y62" s="130">
        <f>Berekening_impact[[#This Row],[Totaal arbeidsbesparing (€/jaar)]]*Berekening_impact[[#This Row],[Percentage van patiëntaantallen in Wlz (overige is Zvw)]]</f>
        <v>0</v>
      </c>
      <c r="Z62" s="130">
        <f>Berekening_impact[[#This Row],[Overige kostenbesparing (totaal/jaar totaal potentieel)]]*Berekening_impact[[#This Row],[Percentage van patiëntaantallen in Wlz (overige is Zvw)]]</f>
        <v>0</v>
      </c>
      <c r="AA62" s="130">
        <f>Berekening_impact[[#This Row],[Jaarlijkse kosten (totaal) - incl. schatting]]*Berekening_impact[[#This Row],[Percentage van patiëntaantallen in Wlz (overige is Zvw)]]</f>
        <v>0</v>
      </c>
      <c r="AB62" s="130">
        <f>Berekening_impact[[#This Row],[Initiële investering (totaal) - incl. schatting]]*Berekening_impact[[#This Row],[Percentage van patiëntaantallen in Wlz (overige is Zvw)]]</f>
        <v>0</v>
      </c>
    </row>
    <row r="63" spans="1:28" x14ac:dyDescent="0.5">
      <c r="A63" s="2" t="str">
        <f>INDEX(Technologieën[Veld],MATCH(B63,Technologieën[Digitale zorgtoepassing],0))</f>
        <v>Software - Diagnose</v>
      </c>
      <c r="B63" s="33" t="s">
        <v>725</v>
      </c>
      <c r="C63" s="33" t="s">
        <v>99</v>
      </c>
      <c r="D63" s="444" cm="1">
        <f t="array" ref="D63">INDEX(Berekening_patiëntaantal[Percentage van patiëntaantallen in Wlz (overige is Zvw)],MATCH(B63,IF(Berekening_patiëntaantal[Doelgroep (zoeksleutel)]=C63,Berekening_patiëntaantal[Digitale zorgtoepassing]),0))</f>
        <v>0</v>
      </c>
      <c r="E63" s="33" t="str" cm="1">
        <f t="array" ref="E63">INDEX(Berekening_patiëntaantal[Direct toepasbaar/extrapolatie/incidentie voor QALY],MATCH(B63,IF(Berekening_patiëntaantal[Doelgroep (zoeksleutel)]=C63,Berekening_patiëntaantal[Digitale zorgtoepassing]),0))</f>
        <v>Huidige toepassing</v>
      </c>
      <c r="F63" s="33" t="s">
        <v>167</v>
      </c>
      <c r="G63" s="33" t="s">
        <v>778</v>
      </c>
      <c r="H63" s="135">
        <f>INDEX(Uurloon[Uurtarief zorgpersoneel],MATCH(F63,Uurloon[Zorgverlener],0))</f>
        <v>20.889942528735634</v>
      </c>
      <c r="I63" s="411">
        <f>SUMIFS(Berekening_patiëntaantal[Patiëntaantallen],Berekening_patiëntaantal[Doelgroep (zoeksleutel)],C63,Berekening_patiëntaantal[Digitale zorgtoepassing],B63)</f>
        <v>1977105</v>
      </c>
      <c r="J63" s="397">
        <f>IFERROR(AVERAGEIFS(uniforme_input[Tijdsbesparing (min/week/patiënt)],uniforme_input[Doelgroep],C63,uniforme_input[Digitale zorgtoepassing],B63,uniforme_input[Tijdsbesparing (min/week/patiënt)],"&gt; 0")*(Berekening_impact[[#This Row],[Patiëntaantal (direct toepasbaar/extrapolatie)]])/60,0)</f>
        <v>0</v>
      </c>
      <c r="K63" s="397">
        <f>IFERROR(AVERAGEIFS(uniforme_input[Tijdsbesparing (min/handeling)],uniforme_input[Doelgroep],C63,uniforme_input[Digitale zorgtoepassing],B63,uniforme_input[Tijdsbesparing (min/handeling)],"&gt; 0")*(Berekening_impact[[#This Row],[Patiëntaantal (direct toepasbaar/extrapolatie)]])/60,0)/52</f>
        <v>842.80437500000016</v>
      </c>
      <c r="L63" s="397">
        <f t="shared" si="6"/>
        <v>21.070109375000005</v>
      </c>
      <c r="M63" s="412">
        <f t="shared" si="7"/>
        <v>915519.01774928195</v>
      </c>
      <c r="N63" s="412">
        <f>IFERROR(AVERAGEIFS(uniforme_input[Overige kostenbesparing (€/jaar/patiënt)],uniforme_input[Doelgroep],C63,uniforme_input[Digitale zorgtoepassing],B63,uniforme_input[Overige kostenbesparing (€/jaar/patiënt)],"&gt;0")*Berekening_impact[[#This Row],[Patiëntaantal (direct toepasbaar/extrapolatie)]],0)</f>
        <v>0</v>
      </c>
      <c r="O63" s="412" cm="1">
        <f t="array" ref="O63">IFERROR(AVERAGEIFS(uniforme_input[QALY per patiënt],uniforme_input[Doelgroep],C63,uniforme_input[Digitale zorgtoepassing],B63,uniforme_input[QALY per patiënt],"&gt;0")*Berekening_impact[[#This Row],[Patiëntaantal (direct toepasbaar/extrapolatie)]]*QALY[Waarde gezond levensjaar],0)</f>
        <v>0</v>
      </c>
      <c r="P63" s="412">
        <f>IFERROR((AVERAGEIFS(uniforme_input[Jaarlijkse kosten per patiënt totaal],uniforme_input[Digitale zorgtoepassing],B63,uniforme_input[Doelgroep],C63,uniforme_input[Bron gebruiken voor kosten/investering?],"Ja"))*I63,0)</f>
        <v>514343.98977500002</v>
      </c>
      <c r="Q63" s="412">
        <f>Berekening_impact[[#This Row],[Jaarlijkse kosten (totaal)]]+Berekening_impact[[#This Row],[Schatting kosten (€)]]</f>
        <v>514343.98977500002</v>
      </c>
      <c r="R63" s="412">
        <f>IFERROR((AVERAGEIFS(uniforme_input[Intiële investering per patiënt totaal],uniforme_input[Digitale zorgtoepassing],B63,uniforme_input[Doelgroep],C63,uniforme_input[Bron gebruiken voor kosten/investering?],"Ja",uniforme_input[Direct toepasbaar/extrapolatie/incidentie voor QALY],"&lt;&gt;Extrapolatie"))*I63,0)</f>
        <v>0</v>
      </c>
      <c r="S63" s="412">
        <f>Berekening_impact[[#This Row],[Initiële investering]]+Berekening_impact[[#This Row],[Schatting investering (€)]]</f>
        <v>205878.86949571435</v>
      </c>
      <c r="T63" s="443" t="s">
        <v>390</v>
      </c>
      <c r="U63" s="443" t="s">
        <v>391</v>
      </c>
      <c r="V63" s="398">
        <f>IF(Berekening_impact[[#This Row],[Kosten schatten?]] = "Ja", (Berekening_impact[[#This Row],[Totaal arbeidsbesparing (€/jaar)]]+Berekening_impact[[#This Row],[Overige kostenbesparing (totaal/jaar totaal potentieel)]])*INDEX(schatting_kosten[Verhouding kosten/omzet],MATCH(A63,schatting_kosten[Veld],0)),0)</f>
        <v>0</v>
      </c>
      <c r="W63"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205878.86949571435</v>
      </c>
      <c r="X63" s="286" t="s">
        <v>391</v>
      </c>
      <c r="Y63" s="130">
        <f>Berekening_impact[[#This Row],[Totaal arbeidsbesparing (€/jaar)]]*Berekening_impact[[#This Row],[Percentage van patiëntaantallen in Wlz (overige is Zvw)]]</f>
        <v>0</v>
      </c>
      <c r="Z63" s="130">
        <f>Berekening_impact[[#This Row],[Overige kostenbesparing (totaal/jaar totaal potentieel)]]*Berekening_impact[[#This Row],[Percentage van patiëntaantallen in Wlz (overige is Zvw)]]</f>
        <v>0</v>
      </c>
      <c r="AA63" s="130">
        <f>Berekening_impact[[#This Row],[Jaarlijkse kosten (totaal) - incl. schatting]]*Berekening_impact[[#This Row],[Percentage van patiëntaantallen in Wlz (overige is Zvw)]]</f>
        <v>0</v>
      </c>
      <c r="AB63" s="130">
        <f>Berekening_impact[[#This Row],[Initiële investering (totaal) - incl. schatting]]*Berekening_impact[[#This Row],[Percentage van patiëntaantallen in Wlz (overige is Zvw)]]</f>
        <v>0</v>
      </c>
    </row>
    <row r="64" spans="1:28" x14ac:dyDescent="0.5">
      <c r="A64" s="2" t="str">
        <f>INDEX(Technologieën[Veld],MATCH(B64,Technologieën[Digitale zorgtoepassing],0))</f>
        <v>Software - Diagnose</v>
      </c>
      <c r="B64" s="30" t="s">
        <v>720</v>
      </c>
      <c r="C64" s="33" t="s">
        <v>73</v>
      </c>
      <c r="D64" s="444" cm="1">
        <f t="array" ref="D64">INDEX(Berekening_patiëntaantal[Percentage van patiëntaantallen in Wlz (overige is Zvw)],MATCH(B64,IF(Berekening_patiëntaantal[Doelgroep (zoeksleutel)]=C64,Berekening_patiëntaantal[Digitale zorgtoepassing]),0))</f>
        <v>0</v>
      </c>
      <c r="E64" s="33" t="str" cm="1">
        <f t="array" ref="E64">INDEX(Berekening_patiëntaantal[Direct toepasbaar/extrapolatie/incidentie voor QALY],MATCH(B64,IF(Berekening_patiëntaantal[Doelgroep (zoeksleutel)]=C64,Berekening_patiëntaantal[Digitale zorgtoepassing]),0))</f>
        <v>Huidige toepassing</v>
      </c>
      <c r="F64" s="33" t="s">
        <v>173</v>
      </c>
      <c r="G64" s="33" t="s">
        <v>778</v>
      </c>
      <c r="H64" s="135">
        <f>INDEX(Uurloon[Uurtarief zorgpersoneel],MATCH(F64,Uurloon[Zorgverlener],0))</f>
        <v>20.889942528735634</v>
      </c>
      <c r="I64" s="411">
        <f>SUMIFS(Berekening_patiëntaantal[Patiëntaantallen],Berekening_patiëntaantal[Doelgroep (zoeksleutel)],C64,Berekening_patiëntaantal[Digitale zorgtoepassing],B64)</f>
        <v>1432900</v>
      </c>
      <c r="J64" s="397">
        <f>IFERROR(AVERAGEIFS(uniforme_input[Tijdsbesparing (min/week/patiënt)],uniforme_input[Doelgroep],C64,uniforme_input[Digitale zorgtoepassing],B64,uniforme_input[Tijdsbesparing (min/week/patiënt)],"&gt; 0")*(Berekening_impact[[#This Row],[Patiëntaantal (direct toepasbaar/extrapolatie)]])/60,0)</f>
        <v>0</v>
      </c>
      <c r="K64" s="397">
        <f>IFERROR(AVERAGEIFS(uniforme_input[Tijdsbesparing (min/handeling)],uniforme_input[Doelgroep],C64,uniforme_input[Digitale zorgtoepassing],B64,uniforme_input[Tijdsbesparing (min/handeling)],"&gt; 0")*(Berekening_impact[[#This Row],[Patiëntaantal (direct toepasbaar/extrapolatie)]])/60,0)/52</f>
        <v>574.07852564102564</v>
      </c>
      <c r="L64" s="397">
        <f t="shared" si="6"/>
        <v>14.351963141025641</v>
      </c>
      <c r="M64" s="412">
        <f t="shared" si="7"/>
        <v>623608.30519636022</v>
      </c>
      <c r="N64" s="412">
        <f>IFERROR(AVERAGEIFS(uniforme_input[Overige kostenbesparing (€/jaar/patiënt)],uniforme_input[Doelgroep],C64,uniforme_input[Digitale zorgtoepassing],B64,uniforme_input[Overige kostenbesparing (€/jaar/patiënt)],"&gt;0")*Berekening_impact[[#This Row],[Patiëntaantal (direct toepasbaar/extrapolatie)]],0)</f>
        <v>0</v>
      </c>
      <c r="O64" s="412" cm="1">
        <f t="array" ref="O64">IFERROR(AVERAGEIFS(uniforme_input[QALY per patiënt],uniforme_input[Doelgroep],C64,uniforme_input[Digitale zorgtoepassing],B64,uniforme_input[QALY per patiënt],"&gt;0")*Berekening_impact[[#This Row],[Patiëntaantal (direct toepasbaar/extrapolatie)]]*QALY[Waarde gezond levensjaar],0)</f>
        <v>0</v>
      </c>
      <c r="P64" s="412">
        <f>IFERROR((AVERAGEIFS(uniforme_input[Jaarlijkse kosten per patiënt totaal],uniforme_input[Digitale zorgtoepassing],B64,uniforme_input[Doelgroep],C64,uniforme_input[Bron gebruiken voor kosten/investering?],"Ja"))*I64,0)</f>
        <v>680000</v>
      </c>
      <c r="Q64" s="412">
        <f>Berekening_impact[[#This Row],[Jaarlijkse kosten (totaal)]]+Berekening_impact[[#This Row],[Schatting kosten (€)]]</f>
        <v>680000</v>
      </c>
      <c r="R64" s="412">
        <f>IFERROR((AVERAGEIFS(uniforme_input[Intiële investering per patiënt totaal],uniforme_input[Digitale zorgtoepassing],B64,uniforme_input[Doelgroep],C64,uniforme_input[Bron gebruiken voor kosten/investering?],"Ja",uniforme_input[Direct toepasbaar/extrapolatie/incidentie voor QALY],"&lt;&gt;Extrapolatie"))*I64,0)</f>
        <v>802500</v>
      </c>
      <c r="S64" s="412">
        <f>Berekening_impact[[#This Row],[Initiële investering]]+Berekening_impact[[#This Row],[Schatting investering (€)]]</f>
        <v>802500</v>
      </c>
      <c r="T64" s="443" t="s">
        <v>390</v>
      </c>
      <c r="U64" s="443" t="s">
        <v>390</v>
      </c>
      <c r="V64" s="398">
        <f>IF(Berekening_impact[[#This Row],[Kosten schatten?]] = "Ja", (Berekening_impact[[#This Row],[Totaal arbeidsbesparing (€/jaar)]]+Berekening_impact[[#This Row],[Overige kostenbesparing (totaal/jaar totaal potentieel)]])*INDEX(schatting_kosten[Verhouding kosten/omzet],MATCH(A64,schatting_kosten[Veld],0)),0)</f>
        <v>0</v>
      </c>
      <c r="W64"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64" s="286" t="s">
        <v>391</v>
      </c>
      <c r="Y64" s="130">
        <f>Berekening_impact[[#This Row],[Totaal arbeidsbesparing (€/jaar)]]*Berekening_impact[[#This Row],[Percentage van patiëntaantallen in Wlz (overige is Zvw)]]</f>
        <v>0</v>
      </c>
      <c r="Z64" s="130">
        <f>Berekening_impact[[#This Row],[Overige kostenbesparing (totaal/jaar totaal potentieel)]]*Berekening_impact[[#This Row],[Percentage van patiëntaantallen in Wlz (overige is Zvw)]]</f>
        <v>0</v>
      </c>
      <c r="AA64" s="130">
        <f>Berekening_impact[[#This Row],[Jaarlijkse kosten (totaal) - incl. schatting]]*Berekening_impact[[#This Row],[Percentage van patiëntaantallen in Wlz (overige is Zvw)]]</f>
        <v>0</v>
      </c>
      <c r="AB64" s="130">
        <f>Berekening_impact[[#This Row],[Initiële investering (totaal) - incl. schatting]]*Berekening_impact[[#This Row],[Percentage van patiëntaantallen in Wlz (overige is Zvw)]]</f>
        <v>0</v>
      </c>
    </row>
    <row r="65" spans="1:28" x14ac:dyDescent="0.5">
      <c r="A65" s="2" t="str">
        <f>INDEX(Technologieën[Veld],MATCH(B65,Technologieën[Digitale zorgtoepassing],0))</f>
        <v>Software - Diagnose</v>
      </c>
      <c r="B65" s="33" t="s">
        <v>56</v>
      </c>
      <c r="C65" s="33" t="s">
        <v>57</v>
      </c>
      <c r="D65" s="444" cm="1">
        <f t="array" ref="D65">INDEX(Berekening_patiëntaantal[Percentage van patiëntaantallen in Wlz (overige is Zvw)],MATCH(B65,IF(Berekening_patiëntaantal[Doelgroep (zoeksleutel)]=C65,Berekening_patiëntaantal[Digitale zorgtoepassing]),0))</f>
        <v>0</v>
      </c>
      <c r="E65" s="33" t="str" cm="1">
        <f t="array" ref="E65">INDEX(Berekening_patiëntaantal[Direct toepasbaar/extrapolatie/incidentie voor QALY],MATCH(B65,IF(Berekening_patiëntaantal[Doelgroep (zoeksleutel)]=C65,Berekening_patiëntaantal[Digitale zorgtoepassing]),0))</f>
        <v>Huidige toepassing</v>
      </c>
      <c r="F65" s="33" t="s">
        <v>150</v>
      </c>
      <c r="G65" s="33" t="s">
        <v>781</v>
      </c>
      <c r="H65" s="135">
        <f>INDEX(Uurloon[Uurtarief zorgpersoneel],MATCH(F65,Uurloon[Zorgverlener],0))</f>
        <v>28.558908045977013</v>
      </c>
      <c r="I65" s="411">
        <f>SUMIFS(Berekening_patiëntaantal[Patiëntaantallen],Berekening_patiëntaantal[Doelgroep (zoeksleutel)],C65,Berekening_patiëntaantal[Digitale zorgtoepassing],B65)</f>
        <v>1000000</v>
      </c>
      <c r="J65" s="397">
        <f>IFERROR(AVERAGEIFS(uniforme_input[Tijdsbesparing (min/week/patiënt)],uniforme_input[Doelgroep],C65,uniforme_input[Digitale zorgtoepassing],B65,uniforme_input[Tijdsbesparing (min/week/patiënt)],"&gt; 0")*(Berekening_impact[[#This Row],[Patiëntaantal (direct toepasbaar/extrapolatie)]])/60,0)</f>
        <v>0</v>
      </c>
      <c r="K65" s="397">
        <f>IFERROR(AVERAGEIFS(uniforme_input[Tijdsbesparing (min/handeling)],uniforme_input[Doelgroep],C65,uniforme_input[Digitale zorgtoepassing],B65,uniforme_input[Tijdsbesparing (min/handeling)],"&gt; 0")*(Berekening_impact[[#This Row],[Patiëntaantal (direct toepasbaar/extrapolatie)]])/60,0)/52</f>
        <v>769.23076923076928</v>
      </c>
      <c r="L65" s="397">
        <f t="shared" si="6"/>
        <v>19.230769230769234</v>
      </c>
      <c r="M65" s="412">
        <f t="shared" si="7"/>
        <v>1142356.3218390807</v>
      </c>
      <c r="N65" s="412">
        <f>IFERROR(AVERAGEIFS(uniforme_input[Overige kostenbesparing (€/jaar/patiënt)],uniforme_input[Doelgroep],C65,uniforme_input[Digitale zorgtoepassing],B65,uniforme_input[Overige kostenbesparing (€/jaar/patiënt)],"&gt;0")*Berekening_impact[[#This Row],[Patiëntaantal (direct toepasbaar/extrapolatie)]],0)</f>
        <v>0</v>
      </c>
      <c r="O65" s="412" cm="1">
        <f t="array" ref="O65">IFERROR(AVERAGEIFS(uniforme_input[QALY per patiënt],uniforme_input[Doelgroep],C65,uniforme_input[Digitale zorgtoepassing],B65,uniforme_input[QALY per patiënt],"&gt;0")*Berekening_impact[[#This Row],[Patiëntaantal (direct toepasbaar/extrapolatie)]]*QALY[Waarde gezond levensjaar],0)</f>
        <v>0</v>
      </c>
      <c r="P65" s="412">
        <f>IFERROR((AVERAGEIFS(uniforme_input[Jaarlijkse kosten per patiënt totaal],uniforme_input[Digitale zorgtoepassing],B65,uniforme_input[Doelgroep],C65,uniforme_input[Bron gebruiken voor kosten/investering?],"Ja"))*I65,0)</f>
        <v>0</v>
      </c>
      <c r="Q65" s="412">
        <f>Berekening_impact[[#This Row],[Jaarlijkse kosten (totaal)]]+Berekening_impact[[#This Row],[Schatting kosten (€)]]</f>
        <v>970810.62604129815</v>
      </c>
      <c r="R65" s="412">
        <f>IFERROR((AVERAGEIFS(uniforme_input[Intiële investering per patiënt totaal],uniforme_input[Digitale zorgtoepassing],B65,uniforme_input[Doelgroep],C65,uniforme_input[Bron gebruiken voor kosten/investering?],"Ja",uniforme_input[Direct toepasbaar/extrapolatie/incidentie voor QALY],"&lt;&gt;Extrapolatie"))*I65,0)</f>
        <v>0</v>
      </c>
      <c r="S65" s="412">
        <f>Berekening_impact[[#This Row],[Initiële investering]]+Berekening_impact[[#This Row],[Schatting investering (€)]]</f>
        <v>0</v>
      </c>
      <c r="T65" s="443" t="s">
        <v>391</v>
      </c>
      <c r="U65" s="443" t="s">
        <v>390</v>
      </c>
      <c r="V65" s="398">
        <f>IF(Berekening_impact[[#This Row],[Kosten schatten?]] = "Ja", (Berekening_impact[[#This Row],[Totaal arbeidsbesparing (€/jaar)]]+Berekening_impact[[#This Row],[Overige kostenbesparing (totaal/jaar totaal potentieel)]])*INDEX(schatting_kosten[Verhouding kosten/omzet],MATCH(A65,schatting_kosten[Veld],0)),0)</f>
        <v>970810.62604129815</v>
      </c>
      <c r="W65"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65" s="286" t="s">
        <v>390</v>
      </c>
      <c r="Y65" s="130">
        <f>Berekening_impact[[#This Row],[Totaal arbeidsbesparing (€/jaar)]]*Berekening_impact[[#This Row],[Percentage van patiëntaantallen in Wlz (overige is Zvw)]]</f>
        <v>0</v>
      </c>
      <c r="Z65" s="130">
        <f>Berekening_impact[[#This Row],[Overige kostenbesparing (totaal/jaar totaal potentieel)]]*Berekening_impact[[#This Row],[Percentage van patiëntaantallen in Wlz (overige is Zvw)]]</f>
        <v>0</v>
      </c>
      <c r="AA65" s="130">
        <f>Berekening_impact[[#This Row],[Jaarlijkse kosten (totaal) - incl. schatting]]*Berekening_impact[[#This Row],[Percentage van patiëntaantallen in Wlz (overige is Zvw)]]</f>
        <v>0</v>
      </c>
      <c r="AB65" s="130">
        <f>Berekening_impact[[#This Row],[Initiële investering (totaal) - incl. schatting]]*Berekening_impact[[#This Row],[Percentage van patiëntaantallen in Wlz (overige is Zvw)]]</f>
        <v>0</v>
      </c>
    </row>
    <row r="66" spans="1:28" x14ac:dyDescent="0.5">
      <c r="A66" s="33" t="s">
        <v>11</v>
      </c>
      <c r="B66" s="33" t="s">
        <v>472</v>
      </c>
      <c r="C66" s="33" t="s">
        <v>71</v>
      </c>
      <c r="D66" s="444" cm="1">
        <f t="array" ref="D66">INDEX(Berekening_patiëntaantal[Percentage van patiëntaantallen in Wlz (overige is Zvw)],MATCH(B66,IF(Berekening_patiëntaantal[Doelgroep (zoeksleutel)]=C66,Berekening_patiëntaantal[Digitale zorgtoepassing]),0))</f>
        <v>0</v>
      </c>
      <c r="E66" s="33" t="str" cm="1">
        <f t="array" ref="E66">INDEX(Berekening_patiëntaantal[Direct toepasbaar/extrapolatie/incidentie voor QALY],MATCH(B66,IF(Berekening_patiëntaantal[Doelgroep (zoeksleutel)]=C66,Berekening_patiëntaantal[Digitale zorgtoepassing]),0))</f>
        <v>Incidentie voor QALY</v>
      </c>
      <c r="F66" s="33" t="s">
        <v>146</v>
      </c>
      <c r="G66" s="33" t="s">
        <v>781</v>
      </c>
      <c r="H66" s="135">
        <f>INDEX(Uurloon[Uurtarief zorgpersoneel],MATCH(F66,Uurloon[Zorgverlener],0))</f>
        <v>91.204770114942534</v>
      </c>
      <c r="I66" s="411">
        <f>SUMIFS(Berekening_patiëntaantal[Patiëntaantallen],Berekening_patiëntaantal[Doelgroep (zoeksleutel)],C66,Berekening_patiëntaantal[Digitale zorgtoepassing],B66)</f>
        <v>439.46999999999997</v>
      </c>
      <c r="J66" s="397">
        <f>IFERROR(AVERAGEIFS(uniforme_input[Tijdsbesparing (min/week/patiënt)],uniforme_input[Doelgroep],C66,uniforme_input[Digitale zorgtoepassing],B66,uniforme_input[Tijdsbesparing (min/week/patiënt)],"&gt; 0")*(Berekening_impact[[#This Row],[Patiëntaantal (direct toepasbaar/extrapolatie)]])/60,0)</f>
        <v>0</v>
      </c>
      <c r="K66" s="397">
        <f>IFERROR(AVERAGEIFS(uniforme_input[Tijdsbesparing (min/handeling)],uniforme_input[Doelgroep],C66,uniforme_input[Digitale zorgtoepassing],B66,uniforme_input[Tijdsbesparing (min/handeling)],"&gt; 0")*(Berekening_impact[[#This Row],[Patiëntaantal (direct toepasbaar/extrapolatie)]])/60,0)/52</f>
        <v>0</v>
      </c>
      <c r="L66" s="397">
        <f t="shared" si="6"/>
        <v>0</v>
      </c>
      <c r="M66" s="412">
        <f t="shared" si="7"/>
        <v>0</v>
      </c>
      <c r="N66" s="412">
        <f>IFERROR(AVERAGEIFS(uniforme_input[Overige kostenbesparing (€/jaar/patiënt)],uniforme_input[Doelgroep],C66,uniforme_input[Digitale zorgtoepassing],B66,uniforme_input[Overige kostenbesparing (€/jaar/patiënt)],"&gt;0")*Berekening_impact[[#This Row],[Patiëntaantal (direct toepasbaar/extrapolatie)]],0)</f>
        <v>0</v>
      </c>
      <c r="O66" s="412" cm="1">
        <f t="array" ref="O66">IFERROR(AVERAGEIFS(uniforme_input[QALY per patiënt],uniforme_input[Doelgroep],C66,uniforme_input[Digitale zorgtoepassing],B66,uniforme_input[QALY per patiënt],"&gt;0")*Berekening_impact[[#This Row],[Patiëntaantal (direct toepasbaar/extrapolatie)]]*QALY[Waarde gezond levensjaar],0)</f>
        <v>10107810</v>
      </c>
      <c r="P66" s="412">
        <f>IFERROR((AVERAGEIFS(uniforme_input[Jaarlijkse kosten per patiënt totaal],uniforme_input[Digitale zorgtoepassing],B66,uniforme_input[Doelgroep],C66,uniforme_input[Bron gebruiken voor kosten/investering?],"Ja"))*I66,0)</f>
        <v>0</v>
      </c>
      <c r="Q66" s="412">
        <f>Berekening_impact[[#This Row],[Jaarlijkse kosten (totaal)]]+Berekening_impact[[#This Row],[Schatting kosten (€)]]</f>
        <v>0</v>
      </c>
      <c r="R66" s="412">
        <f>IFERROR((AVERAGEIFS(uniforme_input[Intiële investering per patiënt totaal],uniforme_input[Digitale zorgtoepassing],B66,uniforme_input[Doelgroep],C66,uniforme_input[Bron gebruiken voor kosten/investering?],"Ja",uniforme_input[Direct toepasbaar/extrapolatie/incidentie voor QALY],"&lt;&gt;Extrapolatie"))*I66,0)</f>
        <v>0</v>
      </c>
      <c r="S66" s="412">
        <f>Berekening_impact[[#This Row],[Initiële investering]]+Berekening_impact[[#This Row],[Schatting investering (€)]]</f>
        <v>0</v>
      </c>
      <c r="T66" s="443" t="s">
        <v>390</v>
      </c>
      <c r="U66" s="443" t="s">
        <v>390</v>
      </c>
      <c r="V66" s="398">
        <f>IF(Berekening_impact[[#This Row],[Kosten schatten?]] = "Ja", (Berekening_impact[[#This Row],[Totaal arbeidsbesparing (€/jaar)]]+Berekening_impact[[#This Row],[Overige kostenbesparing (totaal/jaar totaal potentieel)]])*INDEX(schatting_kosten[Verhouding kosten/omzet],MATCH(A66,schatting_kosten[Veld],0)),0)</f>
        <v>0</v>
      </c>
      <c r="W66"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66" s="286" t="s">
        <v>390</v>
      </c>
      <c r="Y66" s="130">
        <f>Berekening_impact[[#This Row],[Totaal arbeidsbesparing (€/jaar)]]*Berekening_impact[[#This Row],[Percentage van patiëntaantallen in Wlz (overige is Zvw)]]</f>
        <v>0</v>
      </c>
      <c r="Z66" s="130">
        <f>Berekening_impact[[#This Row],[Overige kostenbesparing (totaal/jaar totaal potentieel)]]*Berekening_impact[[#This Row],[Percentage van patiëntaantallen in Wlz (overige is Zvw)]]</f>
        <v>0</v>
      </c>
      <c r="AA66" s="130">
        <f>Berekening_impact[[#This Row],[Jaarlijkse kosten (totaal) - incl. schatting]]*Berekening_impact[[#This Row],[Percentage van patiëntaantallen in Wlz (overige is Zvw)]]</f>
        <v>0</v>
      </c>
      <c r="AB66" s="130">
        <f>Berekening_impact[[#This Row],[Initiële investering (totaal) - incl. schatting]]*Berekening_impact[[#This Row],[Percentage van patiëntaantallen in Wlz (overige is Zvw)]]</f>
        <v>0</v>
      </c>
    </row>
    <row r="67" spans="1:28" x14ac:dyDescent="0.5">
      <c r="A67" s="33" t="s">
        <v>11</v>
      </c>
      <c r="B67" s="33" t="s">
        <v>473</v>
      </c>
      <c r="C67" s="33" t="s">
        <v>75</v>
      </c>
      <c r="D67" s="444" cm="1">
        <f t="array" ref="D67">INDEX(Berekening_patiëntaantal[Percentage van patiëntaantallen in Wlz (overige is Zvw)],MATCH(B67,IF(Berekening_patiëntaantal[Doelgroep (zoeksleutel)]=C67,Berekening_patiëntaantal[Digitale zorgtoepassing]),0))</f>
        <v>0</v>
      </c>
      <c r="E67" s="33" t="str" cm="1">
        <f t="array" ref="E67">INDEX(Berekening_patiëntaantal[Direct toepasbaar/extrapolatie/incidentie voor QALY],MATCH(B67,IF(Berekening_patiëntaantal[Doelgroep (zoeksleutel)]=C67,Berekening_patiëntaantal[Digitale zorgtoepassing]),0))</f>
        <v>Incidentie voor QALY</v>
      </c>
      <c r="F67" s="33" t="s">
        <v>146</v>
      </c>
      <c r="G67" s="33" t="s">
        <v>781</v>
      </c>
      <c r="H67" s="135">
        <f>INDEX(Uurloon[Uurtarief zorgpersoneel],MATCH(F67,Uurloon[Zorgverlener],0))</f>
        <v>91.204770114942534</v>
      </c>
      <c r="I67" s="411">
        <f>SUMIFS(Berekening_patiëntaantal[Patiëntaantallen],Berekening_patiëntaantal[Doelgroep (zoeksleutel)],C67,Berekening_patiëntaantal[Digitale zorgtoepassing],B67)</f>
        <v>14633</v>
      </c>
      <c r="J67" s="397">
        <f>IFERROR(AVERAGEIFS(uniforme_input[Tijdsbesparing (min/week/patiënt)],uniforme_input[Doelgroep],C67,uniforme_input[Digitale zorgtoepassing],B67,uniforme_input[Tijdsbesparing (min/week/patiënt)],"&gt; 0")*(Berekening_impact[[#This Row],[Patiëntaantal (direct toepasbaar/extrapolatie)]])/60,0)</f>
        <v>0</v>
      </c>
      <c r="K67" s="397">
        <f>IFERROR(AVERAGEIFS(uniforme_input[Tijdsbesparing (min/handeling)],uniforme_input[Doelgroep],C67,uniforme_input[Digitale zorgtoepassing],B67,uniforme_input[Tijdsbesparing (min/handeling)],"&gt; 0")*(Berekening_impact[[#This Row],[Patiëntaantal (direct toepasbaar/extrapolatie)]])/60,0)/52</f>
        <v>0</v>
      </c>
      <c r="L67" s="397">
        <f t="shared" si="6"/>
        <v>0</v>
      </c>
      <c r="M67" s="412">
        <f t="shared" si="7"/>
        <v>0</v>
      </c>
      <c r="N67" s="412">
        <f>IFERROR(AVERAGEIFS(uniforme_input[Overige kostenbesparing (€/jaar/patiënt)],uniforme_input[Doelgroep],C67,uniforme_input[Digitale zorgtoepassing],B67,uniforme_input[Overige kostenbesparing (€/jaar/patiënt)],"&gt;0")*Berekening_impact[[#This Row],[Patiëntaantal (direct toepasbaar/extrapolatie)]],0)</f>
        <v>0</v>
      </c>
      <c r="O67" s="412" cm="1">
        <f t="array" ref="O67">IFERROR(AVERAGEIFS(uniforme_input[QALY per patiënt],uniforme_input[Doelgroep],C67,uniforme_input[Digitale zorgtoepassing],B67,uniforme_input[QALY per patiënt],"&gt;0")*Berekening_impact[[#This Row],[Patiëntaantal (direct toepasbaar/extrapolatie)]]*QALY[Waarde gezond levensjaar],0)</f>
        <v>29266000.000000004</v>
      </c>
      <c r="P67" s="412">
        <f>IFERROR((AVERAGEIFS(uniforme_input[Jaarlijkse kosten per patiënt totaal],uniforme_input[Digitale zorgtoepassing],B67,uniforme_input[Doelgroep],C67,uniforme_input[Bron gebruiken voor kosten/investering?],"Ja"))*I67,0)</f>
        <v>0</v>
      </c>
      <c r="Q67" s="412">
        <f>Berekening_impact[[#This Row],[Jaarlijkse kosten (totaal)]]+Berekening_impact[[#This Row],[Schatting kosten (€)]]</f>
        <v>0</v>
      </c>
      <c r="R67" s="412">
        <f>IFERROR((AVERAGEIFS(uniforme_input[Intiële investering per patiënt totaal],uniforme_input[Digitale zorgtoepassing],B67,uniforme_input[Doelgroep],C67,uniforme_input[Bron gebruiken voor kosten/investering?],"Ja",uniforme_input[Direct toepasbaar/extrapolatie/incidentie voor QALY],"&lt;&gt;Extrapolatie"))*I67,0)</f>
        <v>0</v>
      </c>
      <c r="S67" s="412">
        <f>Berekening_impact[[#This Row],[Initiële investering]]+Berekening_impact[[#This Row],[Schatting investering (€)]]</f>
        <v>0</v>
      </c>
      <c r="T67" s="443" t="s">
        <v>390</v>
      </c>
      <c r="U67" s="443" t="s">
        <v>390</v>
      </c>
      <c r="V67" s="398">
        <f>IF(Berekening_impact[[#This Row],[Kosten schatten?]] = "Ja", (Berekening_impact[[#This Row],[Totaal arbeidsbesparing (€/jaar)]]+Berekening_impact[[#This Row],[Overige kostenbesparing (totaal/jaar totaal potentieel)]])*INDEX(schatting_kosten[Verhouding kosten/omzet],MATCH(A67,schatting_kosten[Veld],0)),0)</f>
        <v>0</v>
      </c>
      <c r="W67"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67" s="286" t="s">
        <v>390</v>
      </c>
      <c r="Y67" s="130">
        <f>Berekening_impact[[#This Row],[Totaal arbeidsbesparing (€/jaar)]]*Berekening_impact[[#This Row],[Percentage van patiëntaantallen in Wlz (overige is Zvw)]]</f>
        <v>0</v>
      </c>
      <c r="Z67" s="130">
        <f>Berekening_impact[[#This Row],[Overige kostenbesparing (totaal/jaar totaal potentieel)]]*Berekening_impact[[#This Row],[Percentage van patiëntaantallen in Wlz (overige is Zvw)]]</f>
        <v>0</v>
      </c>
      <c r="AA67" s="130">
        <f>Berekening_impact[[#This Row],[Jaarlijkse kosten (totaal) - incl. schatting]]*Berekening_impact[[#This Row],[Percentage van patiëntaantallen in Wlz (overige is Zvw)]]</f>
        <v>0</v>
      </c>
      <c r="AB67" s="130">
        <f>Berekening_impact[[#This Row],[Initiële investering (totaal) - incl. schatting]]*Berekening_impact[[#This Row],[Percentage van patiëntaantallen in Wlz (overige is Zvw)]]</f>
        <v>0</v>
      </c>
    </row>
    <row r="68" spans="1:28" x14ac:dyDescent="0.5">
      <c r="A68" s="33" t="str">
        <f>INDEX(Technologieën[Veld],MATCH(B68,Technologieën[Digitale zorgtoepassing],0))</f>
        <v>Digitale hulpmiddelen - Diagnose</v>
      </c>
      <c r="B68" s="33" t="s">
        <v>78</v>
      </c>
      <c r="C68" s="33" t="s">
        <v>699</v>
      </c>
      <c r="D68" s="444" cm="1">
        <f t="array" ref="D68">INDEX(Berekening_patiëntaantal[Percentage van patiëntaantallen in Wlz (overige is Zvw)],MATCH(B68,IF(Berekening_patiëntaantal[Doelgroep (zoeksleutel)]=C68,Berekening_patiëntaantal[Digitale zorgtoepassing]),0))</f>
        <v>0</v>
      </c>
      <c r="E68" s="33" t="str" cm="1">
        <f t="array" ref="E68">INDEX(Berekening_patiëntaantal[Direct toepasbaar/extrapolatie/incidentie voor QALY],MATCH(B68,IF(Berekening_patiëntaantal[Doelgroep (zoeksleutel)]=C68,Berekening_patiëntaantal[Digitale zorgtoepassing]),0))</f>
        <v>Huidige toepassing</v>
      </c>
      <c r="F68" s="33" t="s">
        <v>700</v>
      </c>
      <c r="G68" s="33" t="s">
        <v>781</v>
      </c>
      <c r="H68" s="135">
        <f>INDEX(Uurloon[Uurtarief zorgpersoneel],MATCH(F68,Uurloon[Zorgverlener],0))</f>
        <v>24.884195402298854</v>
      </c>
      <c r="I68" s="411">
        <f>SUMIFS(Berekening_patiëntaantal[Patiëntaantallen],Berekening_patiëntaantal[Doelgroep (zoeksleutel)],C68,Berekening_patiëntaantal[Digitale zorgtoepassing],B68)</f>
        <v>3800000</v>
      </c>
      <c r="J68" s="397">
        <f>IFERROR(AVERAGEIFS(uniforme_input[Tijdsbesparing (min/week/patiënt)],uniforme_input[Doelgroep],C68,uniforme_input[Digitale zorgtoepassing],B68,uniforme_input[Tijdsbesparing (min/week/patiënt)],"&gt; 0")*(Berekening_impact[[#This Row],[Patiëntaantal (direct toepasbaar/extrapolatie)]])/60,0)</f>
        <v>0</v>
      </c>
      <c r="K68" s="397">
        <f>IFERROR(AVERAGEIFS(uniforme_input[Tijdsbesparing (min/handeling)],uniforme_input[Doelgroep],C68,uniforme_input[Digitale zorgtoepassing],B68,uniforme_input[Tijdsbesparing (min/handeling)],"&gt; 0")*(Berekening_impact[[#This Row],[Patiëntaantal (direct toepasbaar/extrapolatie)]])/60,0)/52</f>
        <v>6089.7435897435898</v>
      </c>
      <c r="L68" s="397">
        <f>($J68/40)+($K68/40)</f>
        <v>152.24358974358975</v>
      </c>
      <c r="M68" s="412">
        <f>IF($J68*H68&gt;0,$J68*H68,K68*H68)*52</f>
        <v>7879995.2107279701</v>
      </c>
      <c r="N68" s="412">
        <f>IFERROR(AVERAGEIFS(uniforme_input[Overige kostenbesparing (€/jaar/patiënt)],uniforme_input[Doelgroep],C68,uniforme_input[Digitale zorgtoepassing],B68,uniforme_input[Overige kostenbesparing (€/jaar/patiënt)],"&gt;0")*Berekening_impact[[#This Row],[Patiëntaantal (direct toepasbaar/extrapolatie)]],0)</f>
        <v>5855397.1902937442</v>
      </c>
      <c r="O68" s="412" cm="1">
        <f t="array" ref="O68">IFERROR(AVERAGEIFS(uniforme_input[QALY per patiënt],uniforme_input[Doelgroep],C68,uniforme_input[Digitale zorgtoepassing],B68,uniforme_input[QALY per patiënt],"&gt;0")*Berekening_impact[[#This Row],[Patiëntaantal (direct toepasbaar/extrapolatie)]]*QALY[Waarde gezond levensjaar],0)</f>
        <v>0</v>
      </c>
      <c r="P68" s="412">
        <f>IFERROR((AVERAGEIFS(uniforme_input[Jaarlijkse kosten per patiënt totaal],uniforme_input[Digitale zorgtoepassing],B68,uniforme_input[Doelgroep],C68,uniforme_input[Bron gebruiken voor kosten/investering?],"Ja"))*I68,0)</f>
        <v>892254</v>
      </c>
      <c r="Q68" s="412">
        <f>Berekening_impact[[#This Row],[Jaarlijkse kosten (totaal)]]+Berekening_impact[[#This Row],[Schatting kosten (€)]]</f>
        <v>892254</v>
      </c>
      <c r="R68" s="412">
        <f>IFERROR((AVERAGEIFS(uniforme_input[Intiële investering per patiënt totaal],uniforme_input[Digitale zorgtoepassing],B68,uniforme_input[Doelgroep],C68,uniforme_input[Bron gebruiken voor kosten/investering?],"Ja",uniforme_input[Direct toepasbaar/extrapolatie/incidentie voor QALY],"&lt;&gt;Extrapolatie"))*I68,0)</f>
        <v>0</v>
      </c>
      <c r="S68" s="412">
        <f>Berekening_impact[[#This Row],[Initiële investering]]+Berekening_impact[[#This Row],[Schatting investering (€)]]</f>
        <v>0</v>
      </c>
      <c r="T68" s="443"/>
      <c r="U68" s="443"/>
      <c r="V68" s="398">
        <f>IF(Berekening_impact[[#This Row],[Kosten schatten?]] = "Ja", (Berekening_impact[[#This Row],[Totaal arbeidsbesparing (€/jaar)]]+Berekening_impact[[#This Row],[Overige kostenbesparing (totaal/jaar totaal potentieel)]])*INDEX(schatting_kosten[Verhouding kosten/omzet],MATCH(A68,schatting_kosten[Veld],0)),0)</f>
        <v>0</v>
      </c>
      <c r="W68"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68" s="286" t="s">
        <v>391</v>
      </c>
      <c r="Y68" s="130">
        <f>Berekening_impact[[#This Row],[Totaal arbeidsbesparing (€/jaar)]]*Berekening_impact[[#This Row],[Percentage van patiëntaantallen in Wlz (overige is Zvw)]]</f>
        <v>0</v>
      </c>
      <c r="Z68" s="130">
        <f>Berekening_impact[[#This Row],[Overige kostenbesparing (totaal/jaar totaal potentieel)]]*Berekening_impact[[#This Row],[Percentage van patiëntaantallen in Wlz (overige is Zvw)]]</f>
        <v>0</v>
      </c>
      <c r="AA68" s="130">
        <f>Berekening_impact[[#This Row],[Jaarlijkse kosten (totaal) - incl. schatting]]*Berekening_impact[[#This Row],[Percentage van patiëntaantallen in Wlz (overige is Zvw)]]</f>
        <v>0</v>
      </c>
      <c r="AB68" s="130">
        <f>Berekening_impact[[#This Row],[Initiële investering (totaal) - incl. schatting]]*Berekening_impact[[#This Row],[Percentage van patiëntaantallen in Wlz (overige is Zvw)]]</f>
        <v>0</v>
      </c>
    </row>
    <row r="69" spans="1:28" x14ac:dyDescent="0.5">
      <c r="A69" s="33" t="str">
        <f>INDEX(Technologieën[Veld],MATCH(B69,Technologieën[Digitale zorgtoepassing],0))</f>
        <v>Digitale hulpmiddelen - Diagnose</v>
      </c>
      <c r="B69" s="33" t="s">
        <v>82</v>
      </c>
      <c r="C69" s="33" t="s">
        <v>702</v>
      </c>
      <c r="D69" s="444" cm="1">
        <f t="array" ref="D69">INDEX(Berekening_patiëntaantal[Percentage van patiëntaantallen in Wlz (overige is Zvw)],MATCH(B69,IF(Berekening_patiëntaantal[Doelgroep (zoeksleutel)]=C69,Berekening_patiëntaantal[Digitale zorgtoepassing]),0))</f>
        <v>0</v>
      </c>
      <c r="E69" s="33" t="str" cm="1">
        <f t="array" ref="E69">INDEX(Berekening_patiëntaantal[Direct toepasbaar/extrapolatie/incidentie voor QALY],MATCH(B69,IF(Berekening_patiëntaantal[Doelgroep (zoeksleutel)]=C69,Berekening_patiëntaantal[Digitale zorgtoepassing]),0))</f>
        <v>Huidige toepassing</v>
      </c>
      <c r="F69" s="33" t="s">
        <v>707</v>
      </c>
      <c r="G69" s="33" t="s">
        <v>781</v>
      </c>
      <c r="H69" s="172">
        <f>INDEX(Uurloon[Uurtarief zorgpersoneel],MATCH(F69,Uurloon[Zorgverlener],0))</f>
        <v>26.322126436781613</v>
      </c>
      <c r="I69" s="411">
        <f>SUMIFS(Berekening_patiëntaantal[Patiëntaantallen],Berekening_patiëntaantal[Doelgroep (zoeksleutel)],C69,Berekening_patiëntaantal[Digitale zorgtoepassing],B69)</f>
        <v>79084.2</v>
      </c>
      <c r="J69" s="397">
        <f>IFERROR(AVERAGEIFS(uniforme_input[Tijdsbesparing (min/week/patiënt)],uniforme_input[Doelgroep],C69,uniforme_input[Digitale zorgtoepassing],B69,uniforme_input[Tijdsbesparing (min/week/patiënt)],"&gt; 0")*(Berekening_impact[[#This Row],[Patiëntaantal (direct toepasbaar/extrapolatie)]])/60,0)</f>
        <v>0</v>
      </c>
      <c r="K69" s="397">
        <f>IFERROR(AVERAGEIFS(uniforme_input[Tijdsbesparing (min/handeling)],uniforme_input[Doelgroep],C69,uniforme_input[Digitale zorgtoepassing],B69,uniforme_input[Tijdsbesparing (min/handeling)],"&gt; 0")*(Berekening_impact[[#This Row],[Patiëntaantal (direct toepasbaar/extrapolatie)]])/60,0)/52</f>
        <v>3547.3242066261587</v>
      </c>
      <c r="L69" s="397">
        <f>($J69/40)+($K69/40)</f>
        <v>88.68310516565397</v>
      </c>
      <c r="M69" s="412">
        <f>IF($J69*H69&gt;0,$J69*H69,K69*H69)*52</f>
        <v>4855402.0465116277</v>
      </c>
      <c r="N69" s="412">
        <f>IFERROR(AVERAGEIFS(uniforme_input[Overige kostenbesparing (€/jaar/patiënt)],uniforme_input[Doelgroep],C69,uniforme_input[Digitale zorgtoepassing],B69,uniforme_input[Overige kostenbesparing (€/jaar/patiënt)],"&gt;0")*Berekening_impact[[#This Row],[Patiëntaantal (direct toepasbaar/extrapolatie)]],0)</f>
        <v>6216385.9534883723</v>
      </c>
      <c r="O69" s="412" cm="1">
        <f t="array" ref="O69">IFERROR(AVERAGEIFS(uniforme_input[QALY per patiënt],uniforme_input[Doelgroep],C69,uniforme_input[Digitale zorgtoepassing],B69,uniforme_input[QALY per patiënt],"&gt;0")*Berekening_impact[[#This Row],[Patiëntaantal (direct toepasbaar/extrapolatie)]]*QALY[Waarde gezond levensjaar],0)</f>
        <v>0</v>
      </c>
      <c r="P69" s="412">
        <f>IFERROR((AVERAGEIFS(uniforme_input[Jaarlijkse kosten per patiënt totaal],uniforme_input[Digitale zorgtoepassing],B69,uniforme_input[Doelgroep],C69,uniforme_input[Bron gebruiken voor kosten/investering?],"Ja"))*I69,0)</f>
        <v>2430521.08</v>
      </c>
      <c r="Q69" s="412">
        <f>Berekening_impact[[#This Row],[Jaarlijkse kosten (totaal)]]+Berekening_impact[[#This Row],[Schatting kosten (€)]]</f>
        <v>2430521.08</v>
      </c>
      <c r="R69" s="412">
        <f>IFERROR((AVERAGEIFS(uniforme_input[Intiële investering per patiënt totaal],uniforme_input[Digitale zorgtoepassing],B69,uniforme_input[Doelgroep],C69,uniforme_input[Bron gebruiken voor kosten/investering?],"Ja",uniforme_input[Direct toepasbaar/extrapolatie/incidentie voor QALY],"&lt;&gt;Extrapolatie"))*I69,0)</f>
        <v>0</v>
      </c>
      <c r="S69" s="412">
        <f>Berekening_impact[[#This Row],[Initiële investering]]+Berekening_impact[[#This Row],[Schatting investering (€)]]</f>
        <v>0</v>
      </c>
      <c r="T69" s="443" t="s">
        <v>390</v>
      </c>
      <c r="U69" s="443" t="s">
        <v>390</v>
      </c>
      <c r="V69" s="398">
        <f>IF(Berekening_impact[[#This Row],[Kosten schatten?]] = "Ja", (Berekening_impact[[#This Row],[Totaal arbeidsbesparing (€/jaar)]]+Berekening_impact[[#This Row],[Overige kostenbesparing (totaal/jaar totaal potentieel)]])*INDEX(schatting_kosten[Verhouding kosten/omzet],MATCH(A69,schatting_kosten[Veld],0)),0)</f>
        <v>0</v>
      </c>
      <c r="W69" s="398">
        <f>IF(Berekening_impact[[#This Row],[Investering schatten?]] = "Ja", (Berekening_impact[[#This Row],[Totaal arbeidsbesparing (€/jaar)]]+Berekening_impact[[#This Row],[Overige kostenbesparing (totaal/jaar totaal potentieel)]])*SUMIFS(schatting_investering[Verhouding investering/omzet],schatting_investering[Veld],"Alle velden"),0)</f>
        <v>0</v>
      </c>
      <c r="X69" s="286" t="s">
        <v>391</v>
      </c>
      <c r="Y69" s="130">
        <f>Berekening_impact[[#This Row],[Totaal arbeidsbesparing (€/jaar)]]*Berekening_impact[[#This Row],[Percentage van patiëntaantallen in Wlz (overige is Zvw)]]</f>
        <v>0</v>
      </c>
      <c r="Z69" s="130">
        <f>Berekening_impact[[#This Row],[Overige kostenbesparing (totaal/jaar totaal potentieel)]]*Berekening_impact[[#This Row],[Percentage van patiëntaantallen in Wlz (overige is Zvw)]]</f>
        <v>0</v>
      </c>
      <c r="AA69" s="130">
        <f>Berekening_impact[[#This Row],[Jaarlijkse kosten (totaal) - incl. schatting]]*Berekening_impact[[#This Row],[Percentage van patiëntaantallen in Wlz (overige is Zvw)]]</f>
        <v>0</v>
      </c>
      <c r="AB69" s="130">
        <f>Berekening_impact[[#This Row],[Initiële investering (totaal) - incl. schatting]]*Berekening_impact[[#This Row],[Percentage van patiëntaantallen in Wlz (overige is Zvw)]]</f>
        <v>0</v>
      </c>
    </row>
    <row r="70" spans="1:28" x14ac:dyDescent="0.5">
      <c r="H70" s="173"/>
    </row>
  </sheetData>
  <sheetProtection algorithmName="SHA-512" hashValue="r43BvX7J3Oi5TDYwr0Nm7uBFuqsgHsFyLzf14+Be1hY383WI//XowkGfQ4/y8kx3kcOTLTunpo5hLS2k49HSMQ==" saltValue="YyRYxsVoxMDC+MHLsTZfjQ==" spinCount="100000" sheet="1" objects="1" scenarios="1" selectLockedCells="1" selectUnlockedCells="1"/>
  <mergeCells count="5">
    <mergeCell ref="A1:C2"/>
    <mergeCell ref="J4:O4"/>
    <mergeCell ref="P4:X4"/>
    <mergeCell ref="Y4:AB4"/>
    <mergeCell ref="A4:H4"/>
  </mergeCells>
  <phoneticPr fontId="4" type="noConversion"/>
  <pageMargins left="0.7" right="0.7" top="0.75" bottom="0.75" header="0.3" footer="0.3"/>
  <pageSetup paperSize="9" orientation="portrait" r:id="rId1"/>
  <legacyDrawing r:id="rId2"/>
  <tableParts count="1">
    <tablePart r:id="rId3"/>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49694-FD51-4321-B857-11C527548185}">
  <sheetPr codeName="Blad18">
    <tabColor theme="8"/>
  </sheetPr>
  <dimension ref="A1:K40"/>
  <sheetViews>
    <sheetView showGridLines="0" zoomScale="80" zoomScaleNormal="80" workbookViewId="0">
      <selection activeCell="E12" sqref="E12"/>
    </sheetView>
  </sheetViews>
  <sheetFormatPr defaultRowHeight="17" x14ac:dyDescent="0.5"/>
  <cols>
    <col min="1" max="1" width="28.23046875" bestFit="1" customWidth="1"/>
    <col min="2" max="2" width="35" customWidth="1"/>
    <col min="3" max="3" width="24.3046875" customWidth="1"/>
    <col min="4" max="4" width="22.53515625" customWidth="1"/>
    <col min="5" max="5" width="21.3046875" customWidth="1"/>
    <col min="6" max="6" width="22.07421875" customWidth="1"/>
    <col min="7" max="8" width="24.07421875" customWidth="1"/>
    <col min="9" max="9" width="22.3046875" customWidth="1"/>
    <col min="10" max="10" width="20.3046875" customWidth="1"/>
    <col min="11" max="11" width="13.07421875" bestFit="1" customWidth="1"/>
  </cols>
  <sheetData>
    <row r="1" spans="1:11" x14ac:dyDescent="0.5">
      <c r="A1" s="476" t="s">
        <v>1032</v>
      </c>
      <c r="B1" s="477"/>
      <c r="C1" s="478"/>
    </row>
    <row r="2" spans="1:11" ht="17.5" thickBot="1" x14ac:dyDescent="0.55000000000000004">
      <c r="A2" s="479"/>
      <c r="B2" s="480"/>
      <c r="C2" s="481"/>
    </row>
    <row r="4" spans="1:11" s="39" customFormat="1" x14ac:dyDescent="0.5">
      <c r="A4" s="45"/>
      <c r="B4" s="46"/>
      <c r="C4" s="521" t="s">
        <v>203</v>
      </c>
      <c r="D4" s="521"/>
      <c r="E4" s="521"/>
      <c r="F4" s="522" t="s">
        <v>13</v>
      </c>
      <c r="G4" s="522"/>
      <c r="H4" s="522"/>
      <c r="I4" s="517" t="s">
        <v>4</v>
      </c>
      <c r="J4" s="517"/>
      <c r="K4" s="517"/>
    </row>
    <row r="5" spans="1:11" s="39" customFormat="1" ht="68" x14ac:dyDescent="0.5">
      <c r="A5" s="158" t="s">
        <v>5</v>
      </c>
      <c r="B5" s="16" t="s">
        <v>751</v>
      </c>
      <c r="C5" s="151" t="s">
        <v>379</v>
      </c>
      <c r="D5" s="151" t="s">
        <v>380</v>
      </c>
      <c r="E5" s="151" t="s">
        <v>1040</v>
      </c>
      <c r="F5" s="151" t="s">
        <v>381</v>
      </c>
      <c r="G5" s="151" t="s">
        <v>382</v>
      </c>
      <c r="H5" s="151" t="s">
        <v>383</v>
      </c>
      <c r="I5" s="151" t="s">
        <v>468</v>
      </c>
      <c r="J5" s="151" t="s">
        <v>386</v>
      </c>
      <c r="K5" s="151" t="s">
        <v>446</v>
      </c>
    </row>
    <row r="6" spans="1:11" s="3" customFormat="1" ht="21" customHeight="1" x14ac:dyDescent="0.5">
      <c r="A6" s="42" t="str">
        <f>INDEX(Technologieën[Veld],MATCH(B6,Technologieën[Digitale zorgtoepassing],0))</f>
        <v>Software - Diagnose</v>
      </c>
      <c r="B6" s="33" t="s">
        <v>474</v>
      </c>
      <c r="C6" s="397">
        <f>IF(SUMIFS(Berekening_patiëntaantal[Patiëntaantallen],Berekening_patiëntaantal[Digitale zorgtoepassing],B6,Berekening_patiëntaantal[Direct toepasbaar/extrapolatie/incidentie voor QALY],"Huidige toepassing") &lt;&gt;999999,SUMIFS(Berekening_patiëntaantal[Patiëntaantallen],Berekening_patiëntaantal[Digitale zorgtoepassing],B6,Berekening_patiëntaantal[Direct toepasbaar/extrapolatie/incidentie voor QALY],"Huidige toepassing"),"NVT")</f>
        <v>915401.52</v>
      </c>
      <c r="D6" s="397">
        <f>SUMIFS(Berekening_patiëntaantal[Patiëntaantallen],Berekening_patiëntaantal[Digitale zorgtoepassing],B6,Berekening_patiëntaantal[Direct toepasbaar/extrapolatie/incidentie voor QALY],"Extrapolatie")</f>
        <v>0</v>
      </c>
      <c r="E6" s="397">
        <f>IFERROR(MROUND(Uitkomsten_per_tech[[#This Row],[Aantal direct toepasbaar - totaal]]+Uitkomsten_per_tech[[#This Row],[Aantal extrapolatie]],10000),"NVT")</f>
        <v>920000</v>
      </c>
      <c r="F6" s="412">
        <f>SUMIFS(Berekening_impact[Totaal arbeidsbesparing (€/jaar)],Berekening_impact[Digitale zorgtoepassing],B6)</f>
        <v>8045787.5063689677</v>
      </c>
      <c r="G6" s="413">
        <f>SUMIFS(Berekening_impact[Totaal arbeidsbesparing (FTE/jaar)],Berekening_impact[Digitale zorgtoepassing],B6)</f>
        <v>59.41307942307693</v>
      </c>
      <c r="H6" s="412">
        <f>SUMIFS(Berekening_impact[Overige kostenbesparing (totaal/jaar totaal potentieel)],Berekening_impact[Digitale zorgtoepassing],B6)</f>
        <v>0</v>
      </c>
      <c r="I6" s="412">
        <f>SUMIFS(Berekening_impact[Opbrengsten door QALY''s],Berekening_impact[Digitale zorgtoepassing],B6)</f>
        <v>0</v>
      </c>
      <c r="J6" s="412">
        <f>SUMIFS(Berekening_impact[Jaarlijkse kosten (totaal) - incl. schatting],Berekening_impact[Digitale zorgtoepassing],B6)</f>
        <v>6398656.6248000003</v>
      </c>
      <c r="K6" s="412">
        <f>SUMIFS(Berekening_impact[Initiële investering (totaal) - incl. schatting],Berekening_impact[Digitale zorgtoepassing],B6)</f>
        <v>0</v>
      </c>
    </row>
    <row r="7" spans="1:11" s="3" customFormat="1" ht="21" customHeight="1" x14ac:dyDescent="0.5">
      <c r="A7" s="42" t="str">
        <f>INDEX(Technologieën[Veld],MATCH(B7,Technologieën[Digitale zorgtoepassing],0))</f>
        <v>Software - Diagnose</v>
      </c>
      <c r="B7" s="33" t="s">
        <v>473</v>
      </c>
      <c r="C7" s="397">
        <f>IF(SUMIFS(Berekening_patiëntaantal[Patiëntaantallen],Berekening_patiëntaantal[Digitale zorgtoepassing],B7,Berekening_patiëntaantal[Direct toepasbaar/extrapolatie/incidentie voor QALY],"Huidige toepassing") &lt;&gt;999999,SUMIFS(Berekening_patiëntaantal[Patiëntaantallen],Berekening_patiëntaantal[Digitale zorgtoepassing],B7,Berekening_patiëntaantal[Direct toepasbaar/extrapolatie/incidentie voor QALY],"Huidige toepassing"),"NVT")</f>
        <v>84755</v>
      </c>
      <c r="D7" s="397">
        <f>SUMIFS(Berekening_patiëntaantal[Patiëntaantallen],Berekening_patiëntaantal[Digitale zorgtoepassing],B7,Berekening_patiëntaantal[Direct toepasbaar/extrapolatie/incidentie voor QALY],"Extrapolatie")</f>
        <v>1915245</v>
      </c>
      <c r="E7" s="397">
        <f>IFERROR(MROUND(Uitkomsten_per_tech[[#This Row],[Aantal direct toepasbaar - totaal]]+Uitkomsten_per_tech[[#This Row],[Aantal extrapolatie]],10000),"NVT")</f>
        <v>2000000</v>
      </c>
      <c r="F7" s="412">
        <f>SUMIFS(Berekening_impact[Totaal arbeidsbesparing (€/jaar)],Berekening_impact[Digitale zorgtoepassing],B7)</f>
        <v>5759704.715150225</v>
      </c>
      <c r="G7" s="413">
        <f>SUMIFS(Berekening_impact[Totaal arbeidsbesparing (FTE/jaar)],Berekening_impact[Digitale zorgtoepassing],B7)</f>
        <v>30.361227837873926</v>
      </c>
      <c r="H7" s="412">
        <f>SUMIFS(Berekening_impact[Overige kostenbesparing (totaal/jaar totaal potentieel)],Berekening_impact[Digitale zorgtoepassing],B7)</f>
        <v>2100000</v>
      </c>
      <c r="I7" s="412">
        <f>SUMIFS(Berekening_impact[Opbrengsten door QALY''s],Berekening_impact[Digitale zorgtoepassing],B7)</f>
        <v>29266000.000000004</v>
      </c>
      <c r="J7" s="412">
        <f>SUMIFS(Berekening_impact[Jaarlijkse kosten (totaal) - incl. schatting],Berekening_impact[Digitale zorgtoepassing],B7)</f>
        <v>9609166.666666666</v>
      </c>
      <c r="K7" s="412">
        <f>SUMIFS(Berekening_impact[Initiële investering (totaal) - incl. schatting],Berekening_impact[Digitale zorgtoepassing],B7)</f>
        <v>0</v>
      </c>
    </row>
    <row r="8" spans="1:11" s="3" customFormat="1" ht="21" customHeight="1" x14ac:dyDescent="0.5">
      <c r="A8" s="42" t="str">
        <f>INDEX(Technologieën[Veld],MATCH(B8,Technologieën[Digitale zorgtoepassing],0))</f>
        <v>Software - Diagnose</v>
      </c>
      <c r="B8" s="33" t="s">
        <v>472</v>
      </c>
      <c r="C8" s="397">
        <f>IF(SUMIFS(Berekening_patiëntaantal[Patiëntaantallen],Berekening_patiëntaantal[Digitale zorgtoepassing],B8,Berekening_patiëntaantal[Direct toepasbaar/extrapolatie/incidentie voor QALY],"Huidige toepassing") &lt;&gt;999999,SUMIFS(Berekening_patiëntaantal[Patiëntaantallen],Berekening_patiëntaantal[Digitale zorgtoepassing],B8,Berekening_patiëntaantal[Direct toepasbaar/extrapolatie/incidentie voor QALY],"Huidige toepassing"),"NVT")</f>
        <v>25812</v>
      </c>
      <c r="D8" s="397">
        <f>SUMIFS(Berekening_patiëntaantal[Patiëntaantallen],Berekening_patiëntaantal[Digitale zorgtoepassing],B8,Berekening_patiëntaantal[Direct toepasbaar/extrapolatie/incidentie voor QALY],"Extrapolatie")</f>
        <v>974188</v>
      </c>
      <c r="E8" s="397">
        <f>IFERROR(MROUND(Uitkomsten_per_tech[[#This Row],[Aantal direct toepasbaar - totaal]]+Uitkomsten_per_tech[[#This Row],[Aantal extrapolatie]],10000),"NVT")</f>
        <v>1000000</v>
      </c>
      <c r="F8" s="412">
        <f>SUMIFS(Berekening_impact[Totaal arbeidsbesparing (€/jaar)],Berekening_impact[Digitale zorgtoepassing],B8)</f>
        <v>22801192.528735638</v>
      </c>
      <c r="G8" s="413">
        <f>SUMIFS(Berekening_impact[Totaal arbeidsbesparing (FTE/jaar)],Berekening_impact[Digitale zorgtoepassing],B8)</f>
        <v>120.19230769230771</v>
      </c>
      <c r="H8" s="412">
        <f>SUMIFS(Berekening_impact[Overige kostenbesparing (totaal/jaar totaal potentieel)],Berekening_impact[Digitale zorgtoepassing],B8)</f>
        <v>0</v>
      </c>
      <c r="I8" s="412">
        <f>SUMIFS(Berekening_impact[Opbrengsten door QALY''s],Berekening_impact[Digitale zorgtoepassing],B8)</f>
        <v>10107810</v>
      </c>
      <c r="J8" s="412">
        <f>SUMIFS(Berekening_impact[Jaarlijkse kosten (totaal) - incl. schatting],Berekening_impact[Digitale zorgtoepassing],B8)</f>
        <v>17000000</v>
      </c>
      <c r="K8" s="412">
        <f>SUMIFS(Berekening_impact[Initiële investering (totaal) - incl. schatting],Berekening_impact[Digitale zorgtoepassing],B8)</f>
        <v>982608.69565217395</v>
      </c>
    </row>
    <row r="9" spans="1:11" s="3" customFormat="1" ht="21" customHeight="1" x14ac:dyDescent="0.5">
      <c r="A9" s="42" t="str">
        <f>INDEX(Technologieën[Veld],MATCH(B9,Technologieën[Digitale zorgtoepassing],0))</f>
        <v>Software - Diagnose</v>
      </c>
      <c r="B9" s="33" t="s">
        <v>475</v>
      </c>
      <c r="C9" s="397">
        <f>IF(SUMIFS(Berekening_patiëntaantal[Patiëntaantallen],Berekening_patiëntaantal[Digitale zorgtoepassing],B9,Berekening_patiëntaantal[Direct toepasbaar/extrapolatie/incidentie voor QALY],"Huidige toepassing") &lt;&gt;999999,SUMIFS(Berekening_patiëntaantal[Patiëntaantallen],Berekening_patiëntaantal[Digitale zorgtoepassing],B9,Berekening_patiëntaantal[Direct toepasbaar/extrapolatie/incidentie voor QALY],"Huidige toepassing"),"NVT")</f>
        <v>401986</v>
      </c>
      <c r="D9" s="397">
        <f>SUMIFS(Berekening_patiëntaantal[Patiëntaantallen],Berekening_patiëntaantal[Digitale zorgtoepassing],B9,Berekening_patiëntaantal[Direct toepasbaar/extrapolatie/incidentie voor QALY],"Extrapolatie")</f>
        <v>6298014</v>
      </c>
      <c r="E9" s="397">
        <f>IFERROR(MROUND(Uitkomsten_per_tech[[#This Row],[Aantal direct toepasbaar - totaal]]+Uitkomsten_per_tech[[#This Row],[Aantal extrapolatie]],10000),"NVT")</f>
        <v>6700000</v>
      </c>
      <c r="F9" s="412">
        <f>SUMIFS(Berekening_impact[Totaal arbeidsbesparing (€/jaar)],Berekening_impact[Digitale zorgtoepassing],B9)</f>
        <v>1697422.1104725415</v>
      </c>
      <c r="G9" s="413">
        <f>SUMIFS(Berekening_impact[Totaal arbeidsbesparing (FTE/jaar)],Berekening_impact[Digitale zorgtoepassing],B9)</f>
        <v>8.9476495726495724</v>
      </c>
      <c r="H9" s="412">
        <f>SUMIFS(Berekening_impact[Overige kostenbesparing (totaal/jaar totaal potentieel)],Berekening_impact[Digitale zorgtoepassing],B9)</f>
        <v>0</v>
      </c>
      <c r="I9" s="412">
        <f>SUMIFS(Berekening_impact[Opbrengsten door QALY''s],Berekening_impact[Digitale zorgtoepassing],B9)</f>
        <v>0</v>
      </c>
      <c r="J9" s="412">
        <f>SUMIFS(Berekening_impact[Jaarlijkse kosten (totaal) - incl. schatting],Berekening_impact[Digitale zorgtoepassing],B9)</f>
        <v>1442523.1341752224</v>
      </c>
      <c r="K9" s="412">
        <f>SUMIFS(Berekening_impact[Initiële investering (totaal) - incl. schatting],Berekening_impact[Digitale zorgtoepassing],B9)</f>
        <v>0</v>
      </c>
    </row>
    <row r="10" spans="1:11" ht="21" customHeight="1" x14ac:dyDescent="0.5">
      <c r="A10" s="42" t="str">
        <f>INDEX(Technologieën[Veld],MATCH(B10,Technologieën[Digitale zorgtoepassing],0))</f>
        <v>Software - Behandeling</v>
      </c>
      <c r="B10" s="33" t="s">
        <v>716</v>
      </c>
      <c r="C10" s="397">
        <f>IF(SUMIFS(Berekening_patiëntaantal[Patiëntaantallen],Berekening_patiëntaantal[Digitale zorgtoepassing],B10,Berekening_patiëntaantal[Direct toepasbaar/extrapolatie/incidentie voor QALY],"Huidige toepassing") &lt;&gt;999999,SUMIFS(Berekening_patiëntaantal[Patiëntaantallen],Berekening_patiëntaantal[Digitale zorgtoepassing],B10,Berekening_patiëntaantal[Direct toepasbaar/extrapolatie/incidentie voor QALY],"Huidige toepassing"),"NVT")</f>
        <v>64868</v>
      </c>
      <c r="D10" s="397">
        <f>SUMIFS(Berekening_patiëntaantal[Patiëntaantallen],Berekening_patiëntaantal[Digitale zorgtoepassing],B10,Berekening_patiëntaantal[Direct toepasbaar/extrapolatie/incidentie voor QALY],"Extrapolatie")</f>
        <v>0</v>
      </c>
      <c r="E10" s="397">
        <f>IFERROR(MROUND(Uitkomsten_per_tech[[#This Row],[Aantal direct toepasbaar - totaal]]+Uitkomsten_per_tech[[#This Row],[Aantal extrapolatie]],10000),"NVT")</f>
        <v>60000</v>
      </c>
      <c r="F10" s="412">
        <f>SUMIFS(Berekening_impact[Totaal arbeidsbesparing (€/jaar)],Berekening_impact[Digitale zorgtoepassing],B10)</f>
        <v>976522.87200000021</v>
      </c>
      <c r="G10" s="413">
        <f>SUMIFS(Berekening_impact[Totaal arbeidsbesparing (FTE/jaar)],Berekening_impact[Digitale zorgtoepassing],B10)</f>
        <v>16.924321954099788</v>
      </c>
      <c r="H10" s="412">
        <f>SUMIFS(Berekening_impact[Overige kostenbesparing (totaal/jaar totaal potentieel)],Berekening_impact[Digitale zorgtoepassing],B10)</f>
        <v>651015.24800000014</v>
      </c>
      <c r="I10" s="412">
        <f>SUMIFS(Berekening_impact[Opbrengsten door QALY''s],Berekening_impact[Digitale zorgtoepassing],B10)</f>
        <v>5838120</v>
      </c>
      <c r="J10" s="412">
        <f>SUMIFS(Berekening_impact[Jaarlijkse kosten (totaal) - incl. schatting],Berekening_impact[Digitale zorgtoepassing],B10)</f>
        <v>3892080</v>
      </c>
      <c r="K10" s="412">
        <f>SUMIFS(Berekening_impact[Initiële investering (totaal) - incl. schatting],Berekening_impact[Digitale zorgtoepassing],B10)</f>
        <v>0</v>
      </c>
    </row>
    <row r="11" spans="1:11" ht="21" customHeight="1" x14ac:dyDescent="0.5">
      <c r="A11" s="42" t="str">
        <f>INDEX(Technologieën[Veld],MATCH(B11,Technologieën[Digitale zorgtoepassing],0))</f>
        <v>Software - Diagnose</v>
      </c>
      <c r="B11" s="2" t="s">
        <v>66</v>
      </c>
      <c r="C11" s="397">
        <f>IF(SUMIFS(Berekening_patiëntaantal[Patiëntaantallen],Berekening_patiëntaantal[Digitale zorgtoepassing],B11,Berekening_patiëntaantal[Direct toepasbaar/extrapolatie/incidentie voor QALY],"Huidige toepassing") &lt;&gt;999999,SUMIFS(Berekening_patiëntaantal[Patiëntaantallen],Berekening_patiëntaantal[Digitale zorgtoepassing],B11,Berekening_patiëntaantal[Direct toepasbaar/extrapolatie/incidentie voor QALY],"Huidige toepassing"),"NVT")</f>
        <v>173581.6875</v>
      </c>
      <c r="D11" s="397">
        <f>SUMIFS(Berekening_patiëntaantal[Patiëntaantallen],Berekening_patiëntaantal[Digitale zorgtoepassing],B11,Berekening_patiëntaantal[Direct toepasbaar/extrapolatie/incidentie voor QALY],"Extrapolatie")</f>
        <v>0</v>
      </c>
      <c r="E11" s="397">
        <f>IFERROR(MROUND(Uitkomsten_per_tech[[#This Row],[Aantal direct toepasbaar - totaal]]+Uitkomsten_per_tech[[#This Row],[Aantal extrapolatie]],10000),"NVT")</f>
        <v>170000</v>
      </c>
      <c r="F11" s="412">
        <f>SUMIFS(Berekening_impact[Totaal arbeidsbesparing (€/jaar)],Berekening_impact[Digitale zorgtoepassing],B11)</f>
        <v>4771899.0893947566</v>
      </c>
      <c r="G11" s="413">
        <f>SUMIFS(Berekening_impact[Totaal arbeidsbesparing (FTE/jaar)],Berekening_impact[Digitale zorgtoepassing],B11)</f>
        <v>56.868396935096143</v>
      </c>
      <c r="H11" s="412">
        <f>SUMIFS(Berekening_impact[Overige kostenbesparing (totaal/jaar totaal potentieel)],Berekening_impact[Digitale zorgtoepassing],B11)</f>
        <v>0</v>
      </c>
      <c r="I11" s="412">
        <f>SUMIFS(Berekening_impact[Opbrengsten door QALY''s],Berekening_impact[Digitale zorgtoepassing],B11)</f>
        <v>0</v>
      </c>
      <c r="J11" s="412">
        <f>SUMIFS(Berekening_impact[Jaarlijkse kosten (totaal) - incl. schatting],Berekening_impact[Digitale zorgtoepassing],B11)</f>
        <v>4055311.1615149812</v>
      </c>
      <c r="K11" s="412">
        <f>SUMIFS(Berekening_impact[Initiële investering (totaal) - incl. schatting],Berekening_impact[Digitale zorgtoepassing],B11)</f>
        <v>0</v>
      </c>
    </row>
    <row r="12" spans="1:11" ht="21" customHeight="1" x14ac:dyDescent="0.5">
      <c r="A12" s="42" t="str">
        <f>INDEX(Technologieën[Veld],MATCH(B12,Technologieën[Digitale zorgtoepassing],0))</f>
        <v>Software - Diagnose</v>
      </c>
      <c r="B12" s="43" t="s">
        <v>76</v>
      </c>
      <c r="C12" s="397">
        <f>IF(SUMIFS(Berekening_patiëntaantal[Patiëntaantallen],Berekening_patiëntaantal[Digitale zorgtoepassing],B12,Berekening_patiëntaantal[Direct toepasbaar/extrapolatie/incidentie voor QALY],"Huidige toepassing") &lt;&gt;999999,SUMIFS(Berekening_patiëntaantal[Patiëntaantallen],Berekening_patiëntaantal[Digitale zorgtoepassing],B12,Berekening_patiëntaantal[Direct toepasbaar/extrapolatie/incidentie voor QALY],"Huidige toepassing"),"NVT")</f>
        <v>120000</v>
      </c>
      <c r="D12" s="397">
        <f>SUMIFS(Berekening_patiëntaantal[Patiëntaantallen],Berekening_patiëntaantal[Digitale zorgtoepassing],B12,Berekening_patiëntaantal[Direct toepasbaar/extrapolatie/incidentie voor QALY],"Extrapolatie")</f>
        <v>0</v>
      </c>
      <c r="E12" s="397">
        <f>IFERROR(MROUND(Uitkomsten_per_tech[[#This Row],[Aantal direct toepasbaar - totaal]]+Uitkomsten_per_tech[[#This Row],[Aantal extrapolatie]],10000),"NVT")</f>
        <v>120000</v>
      </c>
      <c r="F12" s="412">
        <f>SUMIFS(Berekening_impact[Totaal arbeidsbesparing (€/jaar)],Berekening_impact[Digitale zorgtoepassing],B12)</f>
        <v>7326792.252873566</v>
      </c>
      <c r="G12" s="413">
        <f>SUMIFS(Berekening_impact[Totaal arbeidsbesparing (FTE/jaar)],Berekening_impact[Digitale zorgtoepassing],B12)</f>
        <v>124.80769230769234</v>
      </c>
      <c r="H12" s="412">
        <f>SUMIFS(Berekening_impact[Overige kostenbesparing (totaal/jaar totaal potentieel)],Berekening_impact[Digitale zorgtoepassing],B12)</f>
        <v>0</v>
      </c>
      <c r="I12" s="412">
        <f>SUMIFS(Berekening_impact[Opbrengsten door QALY''s],Berekening_impact[Digitale zorgtoepassing],B12)</f>
        <v>0</v>
      </c>
      <c r="J12" s="412">
        <f>SUMIFS(Berekening_impact[Jaarlijkse kosten (totaal) - incl. schatting],Berekening_impact[Digitale zorgtoepassing],B12)</f>
        <v>6226540.3866594005</v>
      </c>
      <c r="K12" s="412">
        <f>SUMIFS(Berekening_impact[Initiële investering (totaal) - incl. schatting],Berekening_impact[Digitale zorgtoepassing],B12)</f>
        <v>0</v>
      </c>
    </row>
    <row r="13" spans="1:11" ht="21" customHeight="1" x14ac:dyDescent="0.5">
      <c r="A13" s="42" t="str">
        <f>INDEX(Technologieën[Veld],MATCH(B13,Technologieën[Digitale zorgtoepassing],0))</f>
        <v>Software - Behandeling</v>
      </c>
      <c r="B13" s="33" t="s">
        <v>609</v>
      </c>
      <c r="C13" s="397">
        <f>IF(SUMIFS(Berekening_patiëntaantal[Patiëntaantallen],Berekening_patiëntaantal[Digitale zorgtoepassing],B13,Berekening_patiëntaantal[Direct toepasbaar/extrapolatie/incidentie voor QALY],"Huidige toepassing") &lt;&gt;999999,SUMIFS(Berekening_patiëntaantal[Patiëntaantallen],Berekening_patiëntaantal[Digitale zorgtoepassing],B13,Berekening_patiëntaantal[Direct toepasbaar/extrapolatie/incidentie voor QALY],"Huidige toepassing"),"NVT")</f>
        <v>237672</v>
      </c>
      <c r="D13" s="397">
        <f>SUMIFS(Berekening_patiëntaantal[Patiëntaantallen],Berekening_patiëntaantal[Digitale zorgtoepassing],B13,Berekening_patiëntaantal[Direct toepasbaar/extrapolatie/incidentie voor QALY],"Extrapolatie")</f>
        <v>371952</v>
      </c>
      <c r="E13" s="397">
        <f>IFERROR(MROUND(Uitkomsten_per_tech[[#This Row],[Aantal direct toepasbaar - totaal]]+Uitkomsten_per_tech[[#This Row],[Aantal extrapolatie]],10000),"NVT")</f>
        <v>610000</v>
      </c>
      <c r="F13" s="412">
        <f>SUMIFS(Berekening_impact[Totaal arbeidsbesparing (€/jaar)],Berekening_impact[Digitale zorgtoepassing],B13)</f>
        <v>234807546.97406653</v>
      </c>
      <c r="G13" s="413">
        <f>SUMIFS(Berekening_impact[Totaal arbeidsbesparing (FTE/jaar)],Berekening_impact[Digitale zorgtoepassing],B13)</f>
        <v>3772.4378728193433</v>
      </c>
      <c r="H13" s="412">
        <f>SUMIFS(Berekening_impact[Overige kostenbesparing (totaal/jaar totaal potentieel)],Berekening_impact[Digitale zorgtoepassing],B13)</f>
        <v>158908460.69706666</v>
      </c>
      <c r="I13" s="412">
        <f>SUMIFS(Berekening_impact[Opbrengsten door QALY''s],Berekening_impact[Digitale zorgtoepassing],B13)</f>
        <v>744500279.99999988</v>
      </c>
      <c r="J13" s="412">
        <f>SUMIFS(Berekening_impact[Jaarlijkse kosten (totaal) - incl. schatting],Berekening_impact[Digitale zorgtoepassing],B13)</f>
        <v>229538230.52799997</v>
      </c>
      <c r="K13" s="412">
        <f>SUMIFS(Berekening_impact[Initiële investering (totaal) - incl. schatting],Berekening_impact[Digitale zorgtoepassing],B13)</f>
        <v>5892600</v>
      </c>
    </row>
    <row r="14" spans="1:11" ht="21" customHeight="1" x14ac:dyDescent="0.5">
      <c r="A14" s="42" t="str">
        <f>INDEX(Technologieën[Veld],MATCH(B14,Technologieën[Digitale zorgtoepassing],0))</f>
        <v>Software - Diagnose</v>
      </c>
      <c r="B14" s="33" t="s">
        <v>139</v>
      </c>
      <c r="C14" s="397" t="str">
        <f>IF(SUMIFS(Berekening_patiëntaantal[Patiëntaantallen],Berekening_patiëntaantal[Digitale zorgtoepassing],B14,Berekening_patiëntaantal[Direct toepasbaar/extrapolatie/incidentie voor QALY],"Huidige toepassing") &lt;&gt;999999,SUMIFS(Berekening_patiëntaantal[Patiëntaantallen],Berekening_patiëntaantal[Digitale zorgtoepassing],B14,Berekening_patiëntaantal[Direct toepasbaar/extrapolatie/incidentie voor QALY],"Huidige toepassing"),"NVT")</f>
        <v>NVT</v>
      </c>
      <c r="D14" s="397">
        <f>SUMIFS(Berekening_patiëntaantal[Patiëntaantallen],Berekening_patiëntaantal[Digitale zorgtoepassing],B14,Berekening_patiëntaantal[Direct toepasbaar/extrapolatie/incidentie voor QALY],"Extrapolatie")</f>
        <v>0</v>
      </c>
      <c r="E14" s="397" t="str">
        <f>IFERROR(MROUND(Uitkomsten_per_tech[[#This Row],[Aantal direct toepasbaar - totaal]]+Uitkomsten_per_tech[[#This Row],[Aantal extrapolatie]],10000),"NVT")</f>
        <v>NVT</v>
      </c>
      <c r="F14" s="412">
        <f>SUMIFS(Berekening_impact[Totaal arbeidsbesparing (€/jaar)],Berekening_impact[Digitale zorgtoepassing],B14)</f>
        <v>11761767.15402299</v>
      </c>
      <c r="G14" s="413">
        <f>SUMIFS(Berekening_impact[Totaal arbeidsbesparing (FTE/jaar)],Berekening_impact[Digitale zorgtoepassing],B14)</f>
        <v>62</v>
      </c>
      <c r="H14" s="412">
        <f>SUMIFS(Berekening_impact[Overige kostenbesparing (totaal/jaar totaal potentieel)],Berekening_impact[Digitale zorgtoepassing],B14)</f>
        <v>0</v>
      </c>
      <c r="I14" s="412">
        <f>SUMIFS(Berekening_impact[Opbrengsten door QALY''s],Berekening_impact[Digitale zorgtoepassing],B14)</f>
        <v>0</v>
      </c>
      <c r="J14" s="412">
        <f>SUMIFS(Berekening_impact[Jaarlijkse kosten (totaal) - incl. schatting],Berekening_impact[Digitale zorgtoepassing],B14)</f>
        <v>9995522.6892485376</v>
      </c>
      <c r="K14" s="412">
        <f>SUMIFS(Berekening_impact[Initiële investering (totaal) - incl. schatting],Berekening_impact[Digitale zorgtoepassing],B14)</f>
        <v>0</v>
      </c>
    </row>
    <row r="15" spans="1:11" ht="21" customHeight="1" x14ac:dyDescent="0.5">
      <c r="A15" s="42" t="str">
        <f>INDEX(Technologieën[Veld],MATCH(B15,Technologieën[Digitale zorgtoepassing],0))</f>
        <v>Software - Diagnose</v>
      </c>
      <c r="B15" s="33" t="s">
        <v>725</v>
      </c>
      <c r="C15" s="397">
        <f>IF(SUMIFS(Berekening_patiëntaantal[Patiëntaantallen],Berekening_patiëntaantal[Digitale zorgtoepassing],B15,Berekening_patiëntaantal[Direct toepasbaar/extrapolatie/incidentie voor QALY],"Huidige toepassing") &lt;&gt;999999,SUMIFS(Berekening_patiëntaantal[Patiëntaantallen],Berekening_patiëntaantal[Digitale zorgtoepassing],B15,Berekening_patiëntaantal[Direct toepasbaar/extrapolatie/incidentie voor QALY],"Huidige toepassing"),"NVT")</f>
        <v>1977105</v>
      </c>
      <c r="D15" s="397">
        <f>SUMIFS(Berekening_patiëntaantal[Patiëntaantallen],Berekening_patiëntaantal[Digitale zorgtoepassing],B15,Berekening_patiëntaantal[Direct toepasbaar/extrapolatie/incidentie voor QALY],"Extrapolatie")</f>
        <v>0</v>
      </c>
      <c r="E15" s="397">
        <f>IFERROR(MROUND(Uitkomsten_per_tech[[#This Row],[Aantal direct toepasbaar - totaal]]+Uitkomsten_per_tech[[#This Row],[Aantal extrapolatie]],10000),"NVT")</f>
        <v>1980000</v>
      </c>
      <c r="F15" s="412">
        <f>SUMIFS(Berekening_impact[Totaal arbeidsbesparing (€/jaar)],Berekening_impact[Digitale zorgtoepassing],B15)</f>
        <v>915519.01774928195</v>
      </c>
      <c r="G15" s="413">
        <f>SUMIFS(Berekening_impact[Totaal arbeidsbesparing (FTE/jaar)],Berekening_impact[Digitale zorgtoepassing],B15)</f>
        <v>21.070109375000005</v>
      </c>
      <c r="H15" s="412">
        <f>SUMIFS(Berekening_impact[Overige kostenbesparing (totaal/jaar totaal potentieel)],Berekening_impact[Digitale zorgtoepassing],B15)</f>
        <v>0</v>
      </c>
      <c r="I15" s="412">
        <f>SUMIFS(Berekening_impact[Opbrengsten door QALY''s],Berekening_impact[Digitale zorgtoepassing],B15)</f>
        <v>0</v>
      </c>
      <c r="J15" s="412">
        <f>SUMIFS(Berekening_impact[Jaarlijkse kosten (totaal) - incl. schatting],Berekening_impact[Digitale zorgtoepassing],B15)</f>
        <v>514343.98977500002</v>
      </c>
      <c r="K15" s="412">
        <f>SUMIFS(Berekening_impact[Initiële investering (totaal) - incl. schatting],Berekening_impact[Digitale zorgtoepassing],B15)</f>
        <v>205878.86949571435</v>
      </c>
    </row>
    <row r="16" spans="1:11" ht="21" customHeight="1" x14ac:dyDescent="0.5">
      <c r="A16" s="42" t="str">
        <f>INDEX(Technologieën[Veld],MATCH(B16,Technologieën[Digitale zorgtoepassing],0))</f>
        <v>Software - Diagnose</v>
      </c>
      <c r="B16" s="33" t="s">
        <v>720</v>
      </c>
      <c r="C16" s="397">
        <f>IF(SUMIFS(Berekening_patiëntaantal[Patiëntaantallen],Berekening_patiëntaantal[Digitale zorgtoepassing],B16,Berekening_patiëntaantal[Direct toepasbaar/extrapolatie/incidentie voor QALY],"Huidige toepassing") &lt;&gt;999999,SUMIFS(Berekening_patiëntaantal[Patiëntaantallen],Berekening_patiëntaantal[Digitale zorgtoepassing],B16,Berekening_patiëntaantal[Direct toepasbaar/extrapolatie/incidentie voor QALY],"Huidige toepassing"),"NVT")</f>
        <v>1432900</v>
      </c>
      <c r="D16" s="397">
        <f>SUMIFS(Berekening_patiëntaantal[Patiëntaantallen],Berekening_patiëntaantal[Digitale zorgtoepassing],B16,Berekening_patiëntaantal[Direct toepasbaar/extrapolatie/incidentie voor QALY],"Extrapolatie")</f>
        <v>0</v>
      </c>
      <c r="E16" s="397">
        <f>IFERROR(MROUND(Uitkomsten_per_tech[[#This Row],[Aantal direct toepasbaar - totaal]]+Uitkomsten_per_tech[[#This Row],[Aantal extrapolatie]],10000),"NVT")</f>
        <v>1430000</v>
      </c>
      <c r="F16" s="412">
        <f>SUMIFS(Berekening_impact[Totaal arbeidsbesparing (€/jaar)],Berekening_impact[Digitale zorgtoepassing],B16)</f>
        <v>623608.30519636022</v>
      </c>
      <c r="G16" s="413">
        <f>SUMIFS(Berekening_impact[Totaal arbeidsbesparing (FTE/jaar)],Berekening_impact[Digitale zorgtoepassing],B16)</f>
        <v>14.351963141025641</v>
      </c>
      <c r="H16" s="412">
        <f>SUMIFS(Berekening_impact[Overige kostenbesparing (totaal/jaar totaal potentieel)],Berekening_impact[Digitale zorgtoepassing],B16)</f>
        <v>0</v>
      </c>
      <c r="I16" s="412">
        <f>SUMIFS(Berekening_impact[Opbrengsten door QALY''s],Berekening_impact[Digitale zorgtoepassing],B16)</f>
        <v>0</v>
      </c>
      <c r="J16" s="412">
        <f>SUMIFS(Berekening_impact[Jaarlijkse kosten (totaal) - incl. schatting],Berekening_impact[Digitale zorgtoepassing],B16)</f>
        <v>680000</v>
      </c>
      <c r="K16" s="412">
        <f>SUMIFS(Berekening_impact[Initiële investering (totaal) - incl. schatting],Berekening_impact[Digitale zorgtoepassing],B16)</f>
        <v>802500</v>
      </c>
    </row>
    <row r="17" spans="1:11" ht="21" customHeight="1" x14ac:dyDescent="0.5">
      <c r="A17" s="42" t="str">
        <f>INDEX(Technologieën[Veld],MATCH(B17,Technologieën[Digitale zorgtoepassing],0))</f>
        <v>Software - Behandeling</v>
      </c>
      <c r="B17" s="33" t="s">
        <v>585</v>
      </c>
      <c r="C17" s="397">
        <f>IF(SUMIFS(Berekening_patiëntaantal[Patiëntaantallen],Berekening_patiëntaantal[Digitale zorgtoepassing],B17,Berekening_patiëntaantal[Direct toepasbaar/extrapolatie/incidentie voor QALY],"Huidige toepassing") &lt;&gt;999999,SUMIFS(Berekening_patiëntaantal[Patiëntaantallen],Berekening_patiëntaantal[Digitale zorgtoepassing],B17,Berekening_patiëntaantal[Direct toepasbaar/extrapolatie/incidentie voor QALY],"Huidige toepassing"),"NVT")</f>
        <v>5557750</v>
      </c>
      <c r="D17" s="397">
        <f>SUMIFS(Berekening_patiëntaantal[Patiëntaantallen],Berekening_patiëntaantal[Digitale zorgtoepassing],B17,Berekening_patiëntaantal[Direct toepasbaar/extrapolatie/incidentie voor QALY],"Extrapolatie")</f>
        <v>0</v>
      </c>
      <c r="E17" s="397">
        <f>IFERROR(MROUND(Uitkomsten_per_tech[[#This Row],[Aantal direct toepasbaar - totaal]]+Uitkomsten_per_tech[[#This Row],[Aantal extrapolatie]],10000),"NVT")</f>
        <v>5560000</v>
      </c>
      <c r="F17" s="412">
        <f>SUMIFS(Berekening_impact[Totaal arbeidsbesparing (€/jaar)],Berekening_impact[Digitale zorgtoepassing],B17)</f>
        <v>30902511.781609196</v>
      </c>
      <c r="G17" s="413">
        <f>SUMIFS(Berekening_impact[Totaal arbeidsbesparing (FTE/jaar)],Berekening_impact[Digitale zorgtoepassing],B17)</f>
        <v>162.89692742339636</v>
      </c>
      <c r="H17" s="412">
        <f>SUMIFS(Berekening_impact[Overige kostenbesparing (totaal/jaar totaal potentieel)],Berekening_impact[Digitale zorgtoepassing],B17)</f>
        <v>3880800</v>
      </c>
      <c r="I17" s="412">
        <f>SUMIFS(Berekening_impact[Opbrengsten door QALY''s],Berekening_impact[Digitale zorgtoepassing],B17)</f>
        <v>0</v>
      </c>
      <c r="J17" s="412">
        <f>SUMIFS(Berekening_impact[Jaarlijkse kosten (totaal) - incl. schatting],Berekening_impact[Digitale zorgtoepassing],B17)</f>
        <v>13746327.977794986</v>
      </c>
      <c r="K17" s="412">
        <f>SUMIFS(Berekening_impact[Initiële investering (totaal) - incl. schatting],Berekening_impact[Digitale zorgtoepassing],B17)</f>
        <v>0</v>
      </c>
    </row>
    <row r="18" spans="1:11" ht="21" customHeight="1" x14ac:dyDescent="0.5">
      <c r="A18" s="42" t="str">
        <f>INDEX(Technologieën[Veld],MATCH(B18,Technologieën[Digitale zorgtoepassing],0))</f>
        <v>Digitale hulpmiddelen - Verpleging</v>
      </c>
      <c r="B18" s="33" t="s">
        <v>58</v>
      </c>
      <c r="C18" s="397">
        <f>IF(SUMIFS(Berekening_patiëntaantal[Patiëntaantallen],Berekening_patiëntaantal[Digitale zorgtoepassing],B18,Berekening_patiëntaantal[Direct toepasbaar/extrapolatie/incidentie voor QALY],"Huidige toepassing") &lt;&gt;999999,SUMIFS(Berekening_patiëntaantal[Patiëntaantallen],Berekening_patiëntaantal[Digitale zorgtoepassing],B18,Berekening_patiëntaantal[Direct toepasbaar/extrapolatie/incidentie voor QALY],"Huidige toepassing"),"NVT")</f>
        <v>150000</v>
      </c>
      <c r="D18" s="397">
        <f>SUMIFS(Berekening_patiëntaantal[Patiëntaantallen],Berekening_patiëntaantal[Digitale zorgtoepassing],B18,Berekening_patiëntaantal[Direct toepasbaar/extrapolatie/incidentie voor QALY],"Extrapolatie")</f>
        <v>0</v>
      </c>
      <c r="E18" s="397">
        <f>IFERROR(MROUND(Uitkomsten_per_tech[[#This Row],[Aantal direct toepasbaar - totaal]]+Uitkomsten_per_tech[[#This Row],[Aantal extrapolatie]],10000),"NVT")</f>
        <v>150000</v>
      </c>
      <c r="F18" s="412">
        <f>SUMIFS(Berekening_impact[Totaal arbeidsbesparing (€/jaar)],Berekening_impact[Digitale zorgtoepassing],B18)</f>
        <v>18573675.287356321</v>
      </c>
      <c r="G18" s="413">
        <f>SUMIFS(Berekening_impact[Totaal arbeidsbesparing (FTE/jaar)],Berekening_impact[Digitale zorgtoepassing],B18)</f>
        <v>437.5</v>
      </c>
      <c r="H18" s="412">
        <f>SUMIFS(Berekening_impact[Overige kostenbesparing (totaal/jaar totaal potentieel)],Berekening_impact[Digitale zorgtoepassing],B18)</f>
        <v>11357408.852290273</v>
      </c>
      <c r="I18" s="412">
        <f>SUMIFS(Berekening_impact[Opbrengsten door QALY''s],Berekening_impact[Digitale zorgtoepassing],B18)</f>
        <v>0</v>
      </c>
      <c r="J18" s="412">
        <f>SUMIFS(Berekening_impact[Jaarlijkse kosten (totaal) - incl. schatting],Berekening_impact[Digitale zorgtoepassing],B18)</f>
        <v>28709999.999999996</v>
      </c>
      <c r="K18" s="412">
        <f>SUMIFS(Berekening_impact[Initiële investering (totaal) - incl. schatting],Berekening_impact[Digitale zorgtoepassing],B18)</f>
        <v>11992500</v>
      </c>
    </row>
    <row r="19" spans="1:11" ht="21" customHeight="1" x14ac:dyDescent="0.5">
      <c r="A19" s="42" t="str">
        <f>INDEX(Technologieën[Veld],MATCH(B19,Technologieën[Digitale zorgtoepassing],0))</f>
        <v>Digitale hulpmiddelen - Verpleging</v>
      </c>
      <c r="B19" s="33" t="s">
        <v>105</v>
      </c>
      <c r="C19" s="397">
        <f>IF(SUMIFS(Berekening_patiëntaantal[Patiëntaantallen],Berekening_patiëntaantal[Digitale zorgtoepassing],B19,Berekening_patiëntaantal[Direct toepasbaar/extrapolatie/incidentie voor QALY],"Huidige toepassing") &lt;&gt;999999,SUMIFS(Berekening_patiëntaantal[Patiëntaantallen],Berekening_patiëntaantal[Digitale zorgtoepassing],B19,Berekening_patiëntaantal[Direct toepasbaar/extrapolatie/incidentie voor QALY],"Huidige toepassing"),"NVT")</f>
        <v>308.94000000000005</v>
      </c>
      <c r="D19" s="397">
        <f>SUMIFS(Berekening_patiëntaantal[Patiëntaantallen],Berekening_patiëntaantal[Digitale zorgtoepassing],B19,Berekening_patiëntaantal[Direct toepasbaar/extrapolatie/incidentie voor QALY],"Extrapolatie")</f>
        <v>0</v>
      </c>
      <c r="E19" s="397">
        <f>IFERROR(MROUND(Uitkomsten_per_tech[[#This Row],[Aantal direct toepasbaar - totaal]]+Uitkomsten_per_tech[[#This Row],[Aantal extrapolatie]],10000),"NVT")</f>
        <v>0</v>
      </c>
      <c r="F19" s="412">
        <f>SUMIFS(Berekening_impact[Totaal arbeidsbesparing (€/jaar)],Berekening_impact[Digitale zorgtoepassing],B19)</f>
        <v>5312042.5807531038</v>
      </c>
      <c r="G19" s="413">
        <f>SUMIFS(Berekening_impact[Totaal arbeidsbesparing (FTE/jaar)],Berekening_impact[Digitale zorgtoepassing],B19)</f>
        <v>92.064120000000003</v>
      </c>
      <c r="H19" s="412">
        <f>SUMIFS(Berekening_impact[Overige kostenbesparing (totaal/jaar totaal potentieel)],Berekening_impact[Digitale zorgtoepassing],B19)</f>
        <v>0</v>
      </c>
      <c r="I19" s="412">
        <f>SUMIFS(Berekening_impact[Opbrengsten door QALY''s],Berekening_impact[Digitale zorgtoepassing],B19)</f>
        <v>0</v>
      </c>
      <c r="J19" s="412">
        <f>SUMIFS(Berekening_impact[Jaarlijkse kosten (totaal) - incl. schatting],Berekening_impact[Digitale zorgtoepassing],B19)</f>
        <v>0</v>
      </c>
      <c r="K19" s="412">
        <f>SUMIFS(Berekening_impact[Initiële investering (totaal) - incl. schatting],Berekening_impact[Digitale zorgtoepassing],B19)</f>
        <v>1390230.0000000002</v>
      </c>
    </row>
    <row r="20" spans="1:11" ht="21" customHeight="1" x14ac:dyDescent="0.5">
      <c r="A20" s="42" t="str">
        <f>INDEX(Technologieën[Veld],MATCH(B20,Technologieën[Digitale zorgtoepassing],0))</f>
        <v>Digitale hulpmiddelen - Verpleging</v>
      </c>
      <c r="B20" s="41" t="s">
        <v>32</v>
      </c>
      <c r="C20" s="414">
        <f>IF(SUMIFS(Berekening_patiëntaantal[Patiëntaantallen],Berekening_patiëntaantal[Digitale zorgtoepassing],B20,Berekening_patiëntaantal[Direct toepasbaar/extrapolatie/incidentie voor QALY],"Huidige toepassing") &lt;&gt;999999,SUMIFS(Berekening_patiëntaantal[Patiëntaantallen],Berekening_patiëntaantal[Digitale zorgtoepassing],B20,Berekening_patiëntaantal[Direct toepasbaar/extrapolatie/incidentie voor QALY],"Huidige toepassing"),"NVT")</f>
        <v>9200</v>
      </c>
      <c r="D20" s="414">
        <f>SUMIFS(Berekening_patiëntaantal[Patiëntaantallen],Berekening_patiëntaantal[Digitale zorgtoepassing],B20,Berekening_patiëntaantal[Direct toepasbaar/extrapolatie/incidentie voor QALY],"Extrapolatie")</f>
        <v>0</v>
      </c>
      <c r="E20" s="414">
        <f>IFERROR(MROUND(Uitkomsten_per_tech[[#This Row],[Aantal direct toepasbaar - totaal]]+Uitkomsten_per_tech[[#This Row],[Aantal extrapolatie]],10000),"NVT")</f>
        <v>10000</v>
      </c>
      <c r="F20" s="412">
        <f>SUMIFS(Berekening_impact[Totaal arbeidsbesparing (€/jaar)],Berekening_impact[Digitale zorgtoepassing],B20)</f>
        <v>23410975.304871373</v>
      </c>
      <c r="G20" s="413">
        <f>SUMIFS(Berekening_impact[Totaal arbeidsbesparing (FTE/jaar)],Berekening_impact[Digitale zorgtoepassing],B20)</f>
        <v>551.44184106919749</v>
      </c>
      <c r="H20" s="412">
        <f>SUMIFS(Berekening_impact[Overige kostenbesparing (totaal/jaar totaal potentieel)],Berekening_impact[Digitale zorgtoepassing],B20)</f>
        <v>8171880.6338169705</v>
      </c>
      <c r="I20" s="412">
        <f>SUMIFS(Berekening_impact[Opbrengsten door QALY''s],Berekening_impact[Digitale zorgtoepassing],B20)</f>
        <v>94500000.000000015</v>
      </c>
      <c r="J20" s="415">
        <f>SUMIFS(Berekening_impact[Jaarlijkse kosten (totaal) - incl. schatting],Berekening_impact[Digitale zorgtoepassing],B20)</f>
        <v>13140140.952380951</v>
      </c>
      <c r="K20" s="415">
        <f>SUMIFS(Berekening_impact[Initiële investering (totaal) - incl. schatting],Berekening_impact[Digitale zorgtoepassing],B20)</f>
        <v>2214359.6825396824</v>
      </c>
    </row>
    <row r="21" spans="1:11" ht="21" customHeight="1" x14ac:dyDescent="0.5">
      <c r="A21" s="42" t="str">
        <f>INDEX(Technologieën[Veld],MATCH(B21,Technologieën[Digitale zorgtoepassing],0))</f>
        <v>Sensoren - Verpleging</v>
      </c>
      <c r="B21" s="33" t="s">
        <v>46</v>
      </c>
      <c r="C21" s="397">
        <f>IF(SUMIFS(Berekening_patiëntaantal[Patiëntaantallen],Berekening_patiëntaantal[Digitale zorgtoepassing],B21,Berekening_patiëntaantal[Direct toepasbaar/extrapolatie/incidentie voor QALY],"Huidige toepassing") &lt;&gt;999999,SUMIFS(Berekening_patiëntaantal[Patiëntaantallen],Berekening_patiëntaantal[Digitale zorgtoepassing],B21,Berekening_patiëntaantal[Direct toepasbaar/extrapolatie/incidentie voor QALY],"Huidige toepassing"),"NVT")</f>
        <v>78300</v>
      </c>
      <c r="D21" s="397">
        <f>SUMIFS(Berekening_patiëntaantal[Patiëntaantallen],Berekening_patiëntaantal[Digitale zorgtoepassing],B21,Berekening_patiëntaantal[Direct toepasbaar/extrapolatie/incidentie voor QALY],"Extrapolatie")</f>
        <v>0</v>
      </c>
      <c r="E21" s="397">
        <f>IFERROR(MROUND(Uitkomsten_per_tech[[#This Row],[Aantal direct toepasbaar - totaal]]+Uitkomsten_per_tech[[#This Row],[Aantal extrapolatie]],10000),"NVT")</f>
        <v>80000</v>
      </c>
      <c r="F21" s="412">
        <f>SUMIFS(Berekening_impact[Totaal arbeidsbesparing (€/jaar)],Berekening_impact[Digitale zorgtoepassing],B21)</f>
        <v>41586206.38636364</v>
      </c>
      <c r="G21" s="413">
        <f>SUMIFS(Berekening_impact[Totaal arbeidsbesparing (FTE/jaar)],Berekening_impact[Digitale zorgtoepassing],B21)</f>
        <v>979.55655047007781</v>
      </c>
      <c r="H21" s="412">
        <f>SUMIFS(Berekening_impact[Overige kostenbesparing (totaal/jaar totaal potentieel)],Berekening_impact[Digitale zorgtoepassing],B21)</f>
        <v>3957119.0717213121</v>
      </c>
      <c r="I21" s="412">
        <f>SUMIFS(Berekening_impact[Opbrengsten door QALY''s],Berekening_impact[Digitale zorgtoepassing],B21)</f>
        <v>0</v>
      </c>
      <c r="J21" s="412">
        <f>SUMIFS(Berekening_impact[Jaarlijkse kosten (totaal) - incl. schatting],Berekening_impact[Digitale zorgtoepassing],B21)</f>
        <v>11157750</v>
      </c>
      <c r="K21" s="412">
        <f>SUMIFS(Berekening_impact[Initiële investering (totaal) - incl. schatting],Berekening_impact[Digitale zorgtoepassing],B21)</f>
        <v>35553631.75</v>
      </c>
    </row>
    <row r="22" spans="1:11" ht="21" customHeight="1" x14ac:dyDescent="0.5">
      <c r="A22" s="42" t="str">
        <f>INDEX(Technologieën[Veld],MATCH(B22,Technologieën[Digitale zorgtoepassing],0))</f>
        <v>Sensoren - Verpleging</v>
      </c>
      <c r="B22" s="41" t="s">
        <v>36</v>
      </c>
      <c r="C22" s="414">
        <f>IF(SUMIFS(Berekening_patiëntaantal[Patiëntaantallen],Berekening_patiëntaantal[Digitale zorgtoepassing],B22,Berekening_patiëntaantal[Direct toepasbaar/extrapolatie/incidentie voor QALY],"Huidige toepassing") &lt;&gt;999999,SUMIFS(Berekening_patiëntaantal[Patiëntaantallen],Berekening_patiëntaantal[Digitale zorgtoepassing],B22,Berekening_patiëntaantal[Direct toepasbaar/extrapolatie/incidentie voor QALY],"Huidige toepassing"),"NVT")</f>
        <v>33064.35</v>
      </c>
      <c r="D22" s="414">
        <f>SUMIFS(Berekening_patiëntaantal[Patiëntaantallen],Berekening_patiëntaantal[Digitale zorgtoepassing],B22,Berekening_patiëntaantal[Direct toepasbaar/extrapolatie/incidentie voor QALY],"Extrapolatie")</f>
        <v>33257.178</v>
      </c>
      <c r="E22" s="414">
        <f>IFERROR(MROUND(Uitkomsten_per_tech[[#This Row],[Aantal direct toepasbaar - totaal]]+Uitkomsten_per_tech[[#This Row],[Aantal extrapolatie]],10000),"NVT")</f>
        <v>70000</v>
      </c>
      <c r="F22" s="412">
        <f>SUMIFS(Berekening_impact[Totaal arbeidsbesparing (€/jaar)],Berekening_impact[Digitale zorgtoepassing],B22)</f>
        <v>228770627.51218599</v>
      </c>
      <c r="G22" s="413">
        <f>SUMIFS(Berekening_impact[Totaal arbeidsbesparing (FTE/jaar)],Berekening_impact[Digitale zorgtoepassing],B22)</f>
        <v>5388.6561484529557</v>
      </c>
      <c r="H22" s="412">
        <f>SUMIFS(Berekening_impact[Overige kostenbesparing (totaal/jaar totaal potentieel)],Berekening_impact[Digitale zorgtoepassing],B22)</f>
        <v>31469186.055839997</v>
      </c>
      <c r="I22" s="412">
        <f>SUMIFS(Berekening_impact[Opbrengsten door QALY''s],Berekening_impact[Digitale zorgtoepassing],B22)</f>
        <v>0</v>
      </c>
      <c r="J22" s="415">
        <f>SUMIFS(Berekening_impact[Jaarlijkse kosten (totaal) - incl. schatting],Berekening_impact[Digitale zorgtoepassing],B22)</f>
        <v>124551829.58400001</v>
      </c>
      <c r="K22" s="415">
        <f>SUMIFS(Berekening_impact[Initiële investering (totaal) - incl. schatting],Berekening_impact[Digitale zorgtoepassing],B22)</f>
        <v>0</v>
      </c>
    </row>
    <row r="23" spans="1:11" ht="21" customHeight="1" x14ac:dyDescent="0.5">
      <c r="A23" s="42" t="str">
        <f>INDEX(Technologieën[Veld],MATCH(B23,Technologieën[Digitale zorgtoepassing],0))</f>
        <v>Digitale hulpmiddelen - Verpleging</v>
      </c>
      <c r="B23" s="41" t="s">
        <v>26</v>
      </c>
      <c r="C23" s="414">
        <f>IF(SUMIFS(Berekening_patiëntaantal[Patiëntaantallen],Berekening_patiëntaantal[Digitale zorgtoepassing],B23,Berekening_patiëntaantal[Direct toepasbaar/extrapolatie/incidentie voor QALY],"Huidige toepassing") &lt;&gt;999999,SUMIFS(Berekening_patiëntaantal[Patiëntaantallen],Berekening_patiëntaantal[Digitale zorgtoepassing],B23,Berekening_patiëntaantal[Direct toepasbaar/extrapolatie/incidentie voor QALY],"Huidige toepassing"),"NVT")</f>
        <v>129713.70000000001</v>
      </c>
      <c r="D23" s="414">
        <f>SUMIFS(Berekening_patiëntaantal[Patiëntaantallen],Berekening_patiëntaantal[Digitale zorgtoepassing],B23,Berekening_patiëntaantal[Direct toepasbaar/extrapolatie/incidentie voor QALY],"Extrapolatie")</f>
        <v>8009.8200000000006</v>
      </c>
      <c r="E23" s="414">
        <f>IFERROR(MROUND(Uitkomsten_per_tech[[#This Row],[Aantal direct toepasbaar - totaal]]+Uitkomsten_per_tech[[#This Row],[Aantal extrapolatie]],10000),"NVT")</f>
        <v>140000</v>
      </c>
      <c r="F23" s="412">
        <f>SUMIFS(Berekening_impact[Totaal arbeidsbesparing (€/jaar)],Berekening_impact[Digitale zorgtoepassing],B23)</f>
        <v>607876054.4735707</v>
      </c>
      <c r="G23" s="413">
        <f>SUMIFS(Berekening_impact[Totaal arbeidsbesparing (FTE/jaar)],Berekening_impact[Digitale zorgtoepassing],B23)</f>
        <v>11533.283574246574</v>
      </c>
      <c r="H23" s="412">
        <f>SUMIFS(Berekening_impact[Overige kostenbesparing (totaal/jaar totaal potentieel)],Berekening_impact[Digitale zorgtoepassing],B23)</f>
        <v>299401638.77056473</v>
      </c>
      <c r="I23" s="412">
        <f>SUMIFS(Berekening_impact[Opbrengsten door QALY''s],Berekening_impact[Digitale zorgtoepassing],B23)</f>
        <v>0</v>
      </c>
      <c r="J23" s="415">
        <f>SUMIFS(Berekening_impact[Jaarlijkse kosten (totaal) - incl. schatting],Berekening_impact[Digitale zorgtoepassing],B23)</f>
        <v>145922255.56353268</v>
      </c>
      <c r="K23" s="415">
        <f>SUMIFS(Berekening_impact[Initiële investering (totaal) - incl. schatting],Berekening_impact[Digitale zorgtoepassing],B23)</f>
        <v>10596839.342782609</v>
      </c>
    </row>
    <row r="24" spans="1:11" ht="21" customHeight="1" x14ac:dyDescent="0.5">
      <c r="A24" s="42" t="str">
        <f>INDEX(Technologieën[Veld],MATCH(B24,Technologieën[Digitale zorgtoepassing],0))</f>
        <v>Digitale hulpmiddelen - Diagnose</v>
      </c>
      <c r="B24" s="33" t="s">
        <v>78</v>
      </c>
      <c r="C24" s="397">
        <f>IF(SUMIFS(Berekening_patiëntaantal[Patiëntaantallen],Berekening_patiëntaantal[Digitale zorgtoepassing],B24,Berekening_patiëntaantal[Direct toepasbaar/extrapolatie/incidentie voor QALY],"Huidige toepassing") &lt;&gt;999999,SUMIFS(Berekening_patiëntaantal[Patiëntaantallen],Berekening_patiëntaantal[Digitale zorgtoepassing],B24,Berekening_patiëntaantal[Direct toepasbaar/extrapolatie/incidentie voor QALY],"Huidige toepassing"),"NVT")</f>
        <v>4246040</v>
      </c>
      <c r="D24" s="397">
        <f>SUMIFS(Berekening_patiëntaantal[Patiëntaantallen],Berekening_patiëntaantal[Digitale zorgtoepassing],B24,Berekening_patiëntaantal[Direct toepasbaar/extrapolatie/incidentie voor QALY],"Extrapolatie")</f>
        <v>0</v>
      </c>
      <c r="E24" s="397">
        <f>IFERROR(MROUND(Uitkomsten_per_tech[[#This Row],[Aantal direct toepasbaar - totaal]]+Uitkomsten_per_tech[[#This Row],[Aantal extrapolatie]],10000),"NVT")</f>
        <v>4250000</v>
      </c>
      <c r="F24" s="412">
        <f>SUMIFS(Berekening_impact[Totaal arbeidsbesparing (€/jaar)],Berekening_impact[Digitale zorgtoepassing],B24)</f>
        <v>8910945.7486590054</v>
      </c>
      <c r="G24" s="413">
        <f>SUMIFS(Berekening_impact[Totaal arbeidsbesparing (FTE/jaar)],Berekening_impact[Digitale zorgtoepassing],B24)</f>
        <v>170.11378205128204</v>
      </c>
      <c r="H24" s="412">
        <f>SUMIFS(Berekening_impact[Overige kostenbesparing (totaal/jaar totaal potentieel)],Berekening_impact[Digitale zorgtoepassing],B24)</f>
        <v>6542697.5489144344</v>
      </c>
      <c r="I24" s="412">
        <f>SUMIFS(Berekening_impact[Opbrengsten door QALY''s],Berekening_impact[Digitale zorgtoepassing],B24)</f>
        <v>0</v>
      </c>
      <c r="J24" s="412">
        <f>SUMIFS(Berekening_impact[Jaarlijkse kosten (totaal) - incl. schatting],Berekening_impact[Digitale zorgtoepassing],B24)</f>
        <v>1784508</v>
      </c>
      <c r="K24" s="412">
        <f>SUMIFS(Berekening_impact[Initiële investering (totaal) - incl. schatting],Berekening_impact[Digitale zorgtoepassing],B24)</f>
        <v>0</v>
      </c>
    </row>
    <row r="25" spans="1:11" ht="21" customHeight="1" x14ac:dyDescent="0.5">
      <c r="A25" s="42" t="str">
        <f>INDEX(Technologieën[Veld],MATCH(B25,Technologieën[Digitale zorgtoepassing],0))</f>
        <v>Digitale hulpmiddelen - Diagnose</v>
      </c>
      <c r="B25" s="33" t="s">
        <v>82</v>
      </c>
      <c r="C25" s="397">
        <f>IF(SUMIFS(Berekening_patiëntaantal[Patiëntaantallen],Berekening_patiëntaantal[Digitale zorgtoepassing],B25,Berekening_patiëntaantal[Direct toepasbaar/extrapolatie/incidentie voor QALY],"Huidige toepassing") &lt;&gt;999999,SUMIFS(Berekening_patiëntaantal[Patiëntaantallen],Berekening_patiëntaantal[Digitale zorgtoepassing],B25,Berekening_patiëntaantal[Direct toepasbaar/extrapolatie/incidentie voor QALY],"Huidige toepassing"),"NVT")</f>
        <v>214084.2</v>
      </c>
      <c r="D25" s="397">
        <f>SUMIFS(Berekening_patiëntaantal[Patiëntaantallen],Berekening_patiëntaantal[Digitale zorgtoepassing],B25,Berekening_patiëntaantal[Direct toepasbaar/extrapolatie/incidentie voor QALY],"Extrapolatie")</f>
        <v>0</v>
      </c>
      <c r="E25" s="397">
        <f>IFERROR(MROUND(Uitkomsten_per_tech[[#This Row],[Aantal direct toepasbaar - totaal]]+Uitkomsten_per_tech[[#This Row],[Aantal extrapolatie]],10000),"NVT")</f>
        <v>210000</v>
      </c>
      <c r="F25" s="412">
        <f>SUMIFS(Berekening_impact[Totaal arbeidsbesparing (€/jaar)],Berekening_impact[Digitale zorgtoepassing],B25)</f>
        <v>13143774.139534883</v>
      </c>
      <c r="G25" s="413">
        <f>SUMIFS(Berekening_impact[Totaal arbeidsbesparing (FTE/jaar)],Berekening_impact[Digitale zorgtoepassing],B25)</f>
        <v>240.0688332549978</v>
      </c>
      <c r="H25" s="412">
        <f>SUMIFS(Berekening_impact[Overige kostenbesparing (totaal/jaar totaal potentieel)],Berekening_impact[Digitale zorgtoepassing],B25)</f>
        <v>16828013.860465117</v>
      </c>
      <c r="I25" s="412">
        <f>SUMIFS(Berekening_impact[Opbrengsten door QALY''s],Berekening_impact[Digitale zorgtoepassing],B25)</f>
        <v>0</v>
      </c>
      <c r="J25" s="412">
        <f>SUMIFS(Berekening_impact[Jaarlijkse kosten (totaal) - incl. schatting],Berekening_impact[Digitale zorgtoepassing],B25)</f>
        <v>6579521.0800000001</v>
      </c>
      <c r="K25" s="412">
        <f>SUMIFS(Berekening_impact[Initiële investering (totaal) - incl. schatting],Berekening_impact[Digitale zorgtoepassing],B25)</f>
        <v>0</v>
      </c>
    </row>
    <row r="26" spans="1:11" ht="21" customHeight="1" x14ac:dyDescent="0.5">
      <c r="A26" s="42" t="str">
        <f>INDEX(Technologieën[Veld],MATCH(B26,Technologieën[Digitale zorgtoepassing],0))</f>
        <v>Sensoren - Behandeling</v>
      </c>
      <c r="B26" s="33" t="s">
        <v>593</v>
      </c>
      <c r="C26" s="397">
        <f>IF(SUMIFS(Berekening_patiëntaantal[Patiëntaantallen],Berekening_patiëntaantal[Digitale zorgtoepassing],B26,Berekening_patiëntaantal[Direct toepasbaar/extrapolatie/incidentie voor QALY],"Huidige toepassing") &lt;&gt;999999,SUMIFS(Berekening_patiëntaantal[Patiëntaantallen],Berekening_patiëntaantal[Digitale zorgtoepassing],B26,Berekening_patiëntaantal[Direct toepasbaar/extrapolatie/incidentie voor QALY],"Huidige toepassing"),"NVT")</f>
        <v>16883.8</v>
      </c>
      <c r="D26" s="397">
        <f>SUMIFS(Berekening_patiëntaantal[Patiëntaantallen],Berekening_patiëntaantal[Digitale zorgtoepassing],B26,Berekening_patiëntaantal[Direct toepasbaar/extrapolatie/incidentie voor QALY],"Extrapolatie")</f>
        <v>0</v>
      </c>
      <c r="E26" s="397">
        <f>IFERROR(MROUND(Uitkomsten_per_tech[[#This Row],[Aantal direct toepasbaar - totaal]]+Uitkomsten_per_tech[[#This Row],[Aantal extrapolatie]],10000),"NVT")</f>
        <v>20000</v>
      </c>
      <c r="F26" s="412">
        <f>SUMIFS(Berekening_impact[Totaal arbeidsbesparing (€/jaar)],Berekening_impact[Digitale zorgtoepassing],B26)</f>
        <v>8995688.6399999987</v>
      </c>
      <c r="G26" s="413">
        <f>SUMIFS(Berekening_impact[Totaal arbeidsbesparing (FTE/jaar)],Berekening_impact[Digitale zorgtoepassing],B26)</f>
        <v>155.90615960728672</v>
      </c>
      <c r="H26" s="412">
        <f>SUMIFS(Berekening_impact[Overige kostenbesparing (totaal/jaar totaal potentieel)],Berekening_impact[Digitale zorgtoepassing],B26)</f>
        <v>5997125.7600000007</v>
      </c>
      <c r="I26" s="412">
        <f>SUMIFS(Berekening_impact[Opbrengsten door QALY''s],Berekening_impact[Digitale zorgtoepassing],B26)</f>
        <v>0</v>
      </c>
      <c r="J26" s="412">
        <f>SUMIFS(Berekening_impact[Jaarlijkse kosten (totaal) - incl. schatting],Berekening_impact[Digitale zorgtoepassing],B26)</f>
        <v>1140318.5</v>
      </c>
      <c r="K26" s="412">
        <f>SUMIFS(Berekening_impact[Initiële investering (totaal) - incl. schatting],Berekening_impact[Digitale zorgtoepassing],B26)</f>
        <v>0</v>
      </c>
    </row>
    <row r="27" spans="1:11" ht="21" customHeight="1" x14ac:dyDescent="0.5">
      <c r="A27" s="42" t="str">
        <f>INDEX(Technologieën[Veld],MATCH(B27,Technologieën[Digitale zorgtoepassing],0))</f>
        <v>Sensoren - Behandeling</v>
      </c>
      <c r="B27" s="33" t="s">
        <v>88</v>
      </c>
      <c r="C27" s="397">
        <f>IF(SUMIFS(Berekening_patiëntaantal[Patiëntaantallen],Berekening_patiëntaantal[Digitale zorgtoepassing],B27,Berekening_patiëntaantal[Direct toepasbaar/extrapolatie/incidentie voor QALY],"Huidige toepassing") &lt;&gt;999999,SUMIFS(Berekening_patiëntaantal[Patiëntaantallen],Berekening_patiëntaantal[Digitale zorgtoepassing],B27,Berekening_patiëntaantal[Direct toepasbaar/extrapolatie/incidentie voor QALY],"Huidige toepassing"),"NVT")</f>
        <v>111752</v>
      </c>
      <c r="D27" s="397">
        <f>SUMIFS(Berekening_patiëntaantal[Patiëntaantallen],Berekening_patiëntaantal[Digitale zorgtoepassing],B27,Berekening_patiëntaantal[Direct toepasbaar/extrapolatie/incidentie voor QALY],"Extrapolatie")</f>
        <v>0</v>
      </c>
      <c r="E27" s="397">
        <f>IFERROR(MROUND(Uitkomsten_per_tech[[#This Row],[Aantal direct toepasbaar - totaal]]+Uitkomsten_per_tech[[#This Row],[Aantal extrapolatie]],10000),"NVT")</f>
        <v>110000</v>
      </c>
      <c r="F27" s="412">
        <f>SUMIFS(Berekening_impact[Totaal arbeidsbesparing (€/jaar)],Berekening_impact[Digitale zorgtoepassing],B27)</f>
        <v>25871841.992643677</v>
      </c>
      <c r="G27" s="413">
        <f>SUMIFS(Berekening_impact[Totaal arbeidsbesparing (FTE/jaar)],Berekening_impact[Digitale zorgtoepassing],B27)</f>
        <v>497.38176137674338</v>
      </c>
      <c r="H27" s="412">
        <f>SUMIFS(Berekening_impact[Overige kostenbesparing (totaal/jaar totaal potentieel)],Berekening_impact[Digitale zorgtoepassing],B27)</f>
        <v>12000000</v>
      </c>
      <c r="I27" s="412">
        <f>SUMIFS(Berekening_impact[Opbrengsten door QALY''s],Berekening_impact[Digitale zorgtoepassing],B27)</f>
        <v>165000000</v>
      </c>
      <c r="J27" s="412">
        <f>SUMIFS(Berekening_impact[Jaarlijkse kosten (totaal) - incl. schatting],Berekening_impact[Digitale zorgtoepassing],B27)</f>
        <v>51315000</v>
      </c>
      <c r="K27" s="412">
        <f>SUMIFS(Berekening_impact[Initiële investering (totaal) - incl. schatting],Berekening_impact[Digitale zorgtoepassing],B27)</f>
        <v>105875000</v>
      </c>
    </row>
    <row r="28" spans="1:11" ht="21" customHeight="1" x14ac:dyDescent="0.5">
      <c r="A28" s="42" t="str">
        <f>INDEX(Technologieën[Veld],MATCH(B28,Technologieën[Digitale zorgtoepassing],0))</f>
        <v>Software - Behandeling</v>
      </c>
      <c r="B28" s="33" t="s">
        <v>588</v>
      </c>
      <c r="C28" s="397">
        <f>IF(SUMIFS(Berekening_patiëntaantal[Patiëntaantallen],Berekening_patiëntaantal[Digitale zorgtoepassing],B28,Berekening_patiëntaantal[Direct toepasbaar/extrapolatie/incidentie voor QALY],"Huidige toepassing") &lt;&gt;999999,SUMIFS(Berekening_patiëntaantal[Patiëntaantallen],Berekening_patiëntaantal[Digitale zorgtoepassing],B28,Berekening_patiëntaantal[Direct toepasbaar/extrapolatie/incidentie voor QALY],"Huidige toepassing"),"NVT")</f>
        <v>8000</v>
      </c>
      <c r="D28" s="397">
        <f>SUMIFS(Berekening_patiëntaantal[Patiëntaantallen],Berekening_patiëntaantal[Digitale zorgtoepassing],B28,Berekening_patiëntaantal[Direct toepasbaar/extrapolatie/incidentie voor QALY],"Extrapolatie")</f>
        <v>35000</v>
      </c>
      <c r="E28" s="397">
        <f>IFERROR(MROUND(Uitkomsten_per_tech[[#This Row],[Aantal direct toepasbaar - totaal]]+Uitkomsten_per_tech[[#This Row],[Aantal extrapolatie]],10000),"NVT")</f>
        <v>40000</v>
      </c>
      <c r="F28" s="412">
        <f>SUMIFS(Berekening_impact[Totaal arbeidsbesparing (€/jaar)],Berekening_impact[Digitale zorgtoepassing],B28)</f>
        <v>46218698.275862075</v>
      </c>
      <c r="G28" s="413">
        <f>SUMIFS(Berekening_impact[Totaal arbeidsbesparing (FTE/jaar)],Berekening_impact[Digitale zorgtoepassing],B28)</f>
        <v>1075</v>
      </c>
      <c r="H28" s="412">
        <f>SUMIFS(Berekening_impact[Overige kostenbesparing (totaal/jaar totaal potentieel)],Berekening_impact[Digitale zorgtoepassing],B28)</f>
        <v>0</v>
      </c>
      <c r="I28" s="412">
        <f>SUMIFS(Berekening_impact[Opbrengsten door QALY''s],Berekening_impact[Digitale zorgtoepassing],B28)</f>
        <v>0</v>
      </c>
      <c r="J28" s="412">
        <f>SUMIFS(Berekening_impact[Jaarlijkse kosten (totaal) - incl. schatting],Berekening_impact[Digitale zorgtoepassing],B28)</f>
        <v>6020003.6549999993</v>
      </c>
      <c r="K28" s="412">
        <f>SUMIFS(Berekening_impact[Initiële investering (totaal) - incl. schatting],Berekening_impact[Digitale zorgtoepassing],B28)</f>
        <v>0</v>
      </c>
    </row>
    <row r="29" spans="1:11" ht="21" customHeight="1" x14ac:dyDescent="0.5">
      <c r="A29" s="42" t="str">
        <f>INDEX(Technologieën[Veld],MATCH(B29,Technologieën[Digitale zorgtoepassing],0))</f>
        <v>Sensoren - Verpleging</v>
      </c>
      <c r="B29" s="33" t="s">
        <v>42</v>
      </c>
      <c r="C29" s="397">
        <f>IF(SUMIFS(Berekening_patiëntaantal[Patiëntaantallen],Berekening_patiëntaantal[Digitale zorgtoepassing],B29,Berekening_patiëntaantal[Direct toepasbaar/extrapolatie/incidentie voor QALY],"Huidige toepassing") &lt;&gt;999999,SUMIFS(Berekening_patiëntaantal[Patiëntaantallen],Berekening_patiëntaantal[Digitale zorgtoepassing],B29,Berekening_patiëntaantal[Direct toepasbaar/extrapolatie/incidentie voor QALY],"Huidige toepassing"),"NVT")</f>
        <v>32602.499999999996</v>
      </c>
      <c r="D29" s="397">
        <f>SUMIFS(Berekening_patiëntaantal[Patiëntaantallen],Berekening_patiëntaantal[Digitale zorgtoepassing],B29,Berekening_patiëntaantal[Direct toepasbaar/extrapolatie/incidentie voor QALY],"Extrapolatie")</f>
        <v>2256.25</v>
      </c>
      <c r="E29" s="397">
        <f>IFERROR(MROUND(Uitkomsten_per_tech[[#This Row],[Aantal direct toepasbaar - totaal]]+Uitkomsten_per_tech[[#This Row],[Aantal extrapolatie]],10000),"NVT")</f>
        <v>30000</v>
      </c>
      <c r="F29" s="412">
        <f>SUMIFS(Berekening_impact[Totaal arbeidsbesparing (€/jaar)],Berekening_impact[Digitale zorgtoepassing],B29)</f>
        <v>80469419.996874988</v>
      </c>
      <c r="G29" s="413">
        <f>SUMIFS(Berekening_impact[Totaal arbeidsbesparing (FTE/jaar)],Berekening_impact[Digitale zorgtoepassing],B29)</f>
        <v>1895.4445312499997</v>
      </c>
      <c r="H29" s="412">
        <f>SUMIFS(Berekening_impact[Overige kostenbesparing (totaal/jaar totaal potentieel)],Berekening_impact[Digitale zorgtoepassing],B29)</f>
        <v>27307694.362871416</v>
      </c>
      <c r="I29" s="412">
        <f>SUMIFS(Berekening_impact[Opbrengsten door QALY''s],Berekening_impact[Digitale zorgtoepassing],B29)</f>
        <v>0</v>
      </c>
      <c r="J29" s="412">
        <f>SUMIFS(Berekening_impact[Jaarlijkse kosten (totaal) - incl. schatting],Berekening_impact[Digitale zorgtoepassing],B29)</f>
        <v>100354564.88541667</v>
      </c>
      <c r="K29" s="412">
        <f>SUMIFS(Berekening_impact[Initiële investering (totaal) - incl. schatting],Berekening_impact[Digitale zorgtoepassing],B29)</f>
        <v>0</v>
      </c>
    </row>
    <row r="30" spans="1:11" ht="21" customHeight="1" x14ac:dyDescent="0.5">
      <c r="A30" s="42" t="str">
        <f>INDEX(Technologieën[Veld],MATCH(B30,Technologieën[Digitale zorgtoepassing],0))</f>
        <v>Sensoren - Verpleging</v>
      </c>
      <c r="B30" s="33" t="s">
        <v>61</v>
      </c>
      <c r="C30" s="397">
        <f>IF(SUMIFS(Berekening_patiëntaantal[Patiëntaantallen],Berekening_patiëntaantal[Digitale zorgtoepassing],B30,Berekening_patiëntaantal[Direct toepasbaar/extrapolatie/incidentie voor QALY],"Huidige toepassing") &lt;&gt;999999,SUMIFS(Berekening_patiëntaantal[Patiëntaantallen],Berekening_patiëntaantal[Digitale zorgtoepassing],B30,Berekening_patiëntaantal[Direct toepasbaar/extrapolatie/incidentie voor QALY],"Huidige toepassing"),"NVT")</f>
        <v>94300</v>
      </c>
      <c r="D30" s="397">
        <f>SUMIFS(Berekening_patiëntaantal[Patiëntaantallen],Berekening_patiëntaantal[Digitale zorgtoepassing],B30,Berekening_patiëntaantal[Direct toepasbaar/extrapolatie/incidentie voor QALY],"Extrapolatie")</f>
        <v>16000</v>
      </c>
      <c r="E30" s="397">
        <f>IFERROR(MROUND(Uitkomsten_per_tech[[#This Row],[Aantal direct toepasbaar - totaal]]+Uitkomsten_per_tech[[#This Row],[Aantal extrapolatie]],10000),"NVT")</f>
        <v>110000</v>
      </c>
      <c r="F30" s="412">
        <f>SUMIFS(Berekening_impact[Totaal arbeidsbesparing (€/jaar)],Berekening_impact[Digitale zorgtoepassing],B30)</f>
        <v>58587456.32297004</v>
      </c>
      <c r="G30" s="413">
        <f>SUMIFS(Berekening_impact[Totaal arbeidsbesparing (FTE/jaar)],Berekening_impact[Digitale zorgtoepassing],B30)</f>
        <v>1380.0183186548923</v>
      </c>
      <c r="H30" s="412">
        <f>SUMIFS(Berekening_impact[Overige kostenbesparing (totaal/jaar totaal potentieel)],Berekening_impact[Digitale zorgtoepassing],B30)</f>
        <v>51465213.832876824</v>
      </c>
      <c r="I30" s="412">
        <f>SUMIFS(Berekening_impact[Opbrengsten door QALY''s],Berekening_impact[Digitale zorgtoepassing],B30)</f>
        <v>0</v>
      </c>
      <c r="J30" s="412">
        <f>SUMIFS(Berekening_impact[Jaarlijkse kosten (totaal) - incl. schatting],Berekening_impact[Digitale zorgtoepassing],B30)</f>
        <v>52064257.831325307</v>
      </c>
      <c r="K30" s="412">
        <f>SUMIFS(Berekening_impact[Initiële investering (totaal) - incl. schatting],Berekening_impact[Digitale zorgtoepassing],B30)</f>
        <v>3214799.9999999995</v>
      </c>
    </row>
    <row r="31" spans="1:11" ht="21" customHeight="1" x14ac:dyDescent="0.5">
      <c r="A31" s="42" t="str">
        <f>INDEX(Technologieën[Veld],MATCH(B31,Technologieën[Digitale zorgtoepassing],0))</f>
        <v>Sensoren - Behandeling</v>
      </c>
      <c r="B31" s="33" t="s">
        <v>53</v>
      </c>
      <c r="C31" s="397">
        <f>IF(SUMIFS(Berekening_patiëntaantal[Patiëntaantallen],Berekening_patiëntaantal[Digitale zorgtoepassing],B31,Berekening_patiëntaantal[Direct toepasbaar/extrapolatie/incidentie voor QALY],"Huidige toepassing") &lt;&gt;999999,SUMIFS(Berekening_patiëntaantal[Patiëntaantallen],Berekening_patiëntaantal[Digitale zorgtoepassing],B31,Berekening_patiëntaantal[Direct toepasbaar/extrapolatie/incidentie voor QALY],"Huidige toepassing"),"NVT")</f>
        <v>33000</v>
      </c>
      <c r="D31" s="397">
        <f>SUMIFS(Berekening_patiëntaantal[Patiëntaantallen],Berekening_patiëntaantal[Digitale zorgtoepassing],B31,Berekening_patiëntaantal[Direct toepasbaar/extrapolatie/incidentie voor QALY],"Extrapolatie")</f>
        <v>249009.30694858587</v>
      </c>
      <c r="E31" s="397">
        <f>IFERROR(MROUND(Uitkomsten_per_tech[[#This Row],[Aantal direct toepasbaar - totaal]]+Uitkomsten_per_tech[[#This Row],[Aantal extrapolatie]],10000),"NVT")</f>
        <v>280000</v>
      </c>
      <c r="F31" s="412">
        <f>SUMIFS(Berekening_impact[Totaal arbeidsbesparing (€/jaar)],Berekening_impact[Digitale zorgtoepassing],B31)</f>
        <v>90543600.144754648</v>
      </c>
      <c r="G31" s="413">
        <f>SUMIFS(Berekening_impact[Totaal arbeidsbesparing (FTE/jaar)],Berekening_impact[Digitale zorgtoepassing],B31)</f>
        <v>1569.2300545860678</v>
      </c>
      <c r="H31" s="412">
        <f>SUMIFS(Berekening_impact[Overige kostenbesparing (totaal/jaar totaal potentieel)],Berekening_impact[Digitale zorgtoepassing],B31)</f>
        <v>60362400.096503109</v>
      </c>
      <c r="I31" s="412">
        <f>SUMIFS(Berekening_impact[Opbrengsten door QALY''s],Berekening_impact[Digitale zorgtoepassing],B31)</f>
        <v>803726524.80346978</v>
      </c>
      <c r="J31" s="412">
        <f>SUMIFS(Berekening_impact[Jaarlijkse kosten (totaal) - incl. schatting],Berekening_impact[Digitale zorgtoepassing],B31)</f>
        <v>41672518.071744815</v>
      </c>
      <c r="K31" s="412">
        <f>SUMIFS(Berekening_impact[Initiële investering (totaal) - incl. schatting],Berekening_impact[Digitale zorgtoepassing],B31)</f>
        <v>5327949.9999999991</v>
      </c>
    </row>
    <row r="32" spans="1:11" x14ac:dyDescent="0.5">
      <c r="A32" s="42" t="str">
        <f>INDEX(Technologieën[Veld],MATCH(B32,Technologieën[Digitale zorgtoepassing],0))</f>
        <v>Software - Behandeling</v>
      </c>
      <c r="B32" s="33" t="s">
        <v>101</v>
      </c>
      <c r="C32" s="397">
        <f>IF(SUMIFS(Berekening_patiëntaantal[Patiëntaantallen],Berekening_patiëntaantal[Digitale zorgtoepassing],B32,Berekening_patiëntaantal[Direct toepasbaar/extrapolatie/incidentie voor QALY],"Huidige toepassing") &lt;&gt;999999,SUMIFS(Berekening_patiëntaantal[Patiëntaantallen],Berekening_patiëntaantal[Digitale zorgtoepassing],B32,Berekening_patiëntaantal[Direct toepasbaar/extrapolatie/incidentie voor QALY],"Huidige toepassing"),"NVT")</f>
        <v>236111.64984227129</v>
      </c>
      <c r="D32" s="397">
        <f>SUMIFS(Berekening_patiëntaantal[Patiëntaantallen],Berekening_patiëntaantal[Digitale zorgtoepassing],B32,Berekening_patiëntaantal[Direct toepasbaar/extrapolatie/incidentie voor QALY],"Extrapolatie")</f>
        <v>0</v>
      </c>
      <c r="E32" s="397">
        <f>IFERROR(MROUND(Uitkomsten_per_tech[[#This Row],[Aantal direct toepasbaar - totaal]]+Uitkomsten_per_tech[[#This Row],[Aantal extrapolatie]],10000),"NVT")</f>
        <v>240000</v>
      </c>
      <c r="F32" s="412">
        <f>SUMIFS(Berekening_impact[Totaal arbeidsbesparing (€/jaar)],Berekening_impact[Digitale zorgtoepassing],B32)</f>
        <v>278134652.80855173</v>
      </c>
      <c r="G32" s="413">
        <f>SUMIFS(Berekening_impact[Totaal arbeidsbesparing (FTE/jaar)],Berekening_impact[Digitale zorgtoepassing],B32)</f>
        <v>6551.4179999999997</v>
      </c>
      <c r="H32" s="412">
        <f>SUMIFS(Berekening_impact[Overige kostenbesparing (totaal/jaar totaal potentieel)],Berekening_impact[Digitale zorgtoepassing],B32)</f>
        <v>289880.06852547609</v>
      </c>
      <c r="I32" s="412">
        <f>SUMIFS(Berekening_impact[Opbrengsten door QALY''s],Berekening_impact[Digitale zorgtoepassing],B32)</f>
        <v>0</v>
      </c>
      <c r="J32" s="412">
        <f>SUMIFS(Berekening_impact[Jaarlijkse kosten (totaal) - incl. schatting],Berekening_impact[Digitale zorgtoepassing],B32)</f>
        <v>5666679.5962145105</v>
      </c>
      <c r="K32" s="412">
        <f>SUMIFS(Berekening_impact[Initiële investering (totaal) - incl. schatting],Berekening_impact[Digitale zorgtoepassing],B32)</f>
        <v>0</v>
      </c>
    </row>
    <row r="33" spans="1:11" x14ac:dyDescent="0.5">
      <c r="A33" s="42" t="str">
        <f>INDEX(Technologieën[Veld],MATCH(B33,Technologieën[Digitale zorgtoepassing],0))</f>
        <v>Digitale hulpmiddelen - Verpleging</v>
      </c>
      <c r="B33" s="33" t="s">
        <v>48</v>
      </c>
      <c r="C33" s="397">
        <f>IF(SUMIFS(Berekening_patiëntaantal[Patiëntaantallen],Berekening_patiëntaantal[Digitale zorgtoepassing],B33,Berekening_patiëntaantal[Direct toepasbaar/extrapolatie/incidentie voor QALY],"Huidige toepassing") &lt;&gt;999999,SUMIFS(Berekening_patiëntaantal[Patiëntaantallen],Berekening_patiëntaantal[Digitale zorgtoepassing],B33,Berekening_patiëntaantal[Direct toepasbaar/extrapolatie/incidentie voor QALY],"Huidige toepassing"),"NVT")</f>
        <v>96000</v>
      </c>
      <c r="D33" s="397">
        <f>SUMIFS(Berekening_patiëntaantal[Patiëntaantallen],Berekening_patiëntaantal[Digitale zorgtoepassing],B33,Berekening_patiëntaantal[Direct toepasbaar/extrapolatie/incidentie voor QALY],"Extrapolatie")</f>
        <v>0</v>
      </c>
      <c r="E33" s="397">
        <f>IFERROR(MROUND(Uitkomsten_per_tech[[#This Row],[Aantal direct toepasbaar - totaal]]+Uitkomsten_per_tech[[#This Row],[Aantal extrapolatie]],10000),"NVT")</f>
        <v>100000</v>
      </c>
      <c r="F33" s="412">
        <f>SUMIFS(Berekening_impact[Totaal arbeidsbesparing (€/jaar)],Berekening_impact[Digitale zorgtoepassing],B33)</f>
        <v>160476554.48275864</v>
      </c>
      <c r="G33" s="413">
        <f>SUMIFS(Berekening_impact[Totaal arbeidsbesparing (FTE/jaar)],Berekening_impact[Digitale zorgtoepassing],B33)</f>
        <v>3780</v>
      </c>
      <c r="H33" s="412">
        <f>SUMIFS(Berekening_impact[Overige kostenbesparing (totaal/jaar totaal potentieel)],Berekening_impact[Digitale zorgtoepassing],B33)</f>
        <v>22361487.100056529</v>
      </c>
      <c r="I33" s="412">
        <f>SUMIFS(Berekening_impact[Opbrengsten door QALY''s],Berekening_impact[Digitale zorgtoepassing],B33)</f>
        <v>0</v>
      </c>
      <c r="J33" s="412">
        <f>SUMIFS(Berekening_impact[Jaarlijkse kosten (totaal) - incl. schatting],Berekening_impact[Digitale zorgtoepassing],B33)</f>
        <v>0</v>
      </c>
      <c r="K33" s="412">
        <f>SUMIFS(Berekening_impact[Initiële investering (totaal) - incl. schatting],Berekening_impact[Digitale zorgtoepassing],B33)</f>
        <v>85920000</v>
      </c>
    </row>
    <row r="34" spans="1:11" x14ac:dyDescent="0.5">
      <c r="A34" s="42" t="str">
        <f>INDEX(Technologieën[Veld],MATCH(B34,Technologieën[Digitale zorgtoepassing],0))</f>
        <v>Digitale hulpmiddelen - Verpleging</v>
      </c>
      <c r="B34" s="41" t="s">
        <v>19</v>
      </c>
      <c r="C34" s="414">
        <f>IF(SUMIFS(Berekening_patiëntaantal[Patiëntaantallen],Berekening_patiëntaantal[Digitale zorgtoepassing],B34,Berekening_patiëntaantal[Direct toepasbaar/extrapolatie/incidentie voor QALY],"Huidige toepassing") &lt;&gt;999999,SUMIFS(Berekening_patiëntaantal[Patiëntaantallen],Berekening_patiëntaantal[Digitale zorgtoepassing],B34,Berekening_patiëntaantal[Direct toepasbaar/extrapolatie/incidentie voor QALY],"Huidige toepassing"),"NVT")</f>
        <v>35241.93</v>
      </c>
      <c r="D34" s="414">
        <f>SUMIFS(Berekening_patiëntaantal[Patiëntaantallen],Berekening_patiëntaantal[Digitale zorgtoepassing],B34,Berekening_patiëntaantal[Direct toepasbaar/extrapolatie/incidentie voor QALY],"Extrapolatie")</f>
        <v>7935</v>
      </c>
      <c r="E34" s="414">
        <f>IFERROR(MROUND(Uitkomsten_per_tech[[#This Row],[Aantal direct toepasbaar - totaal]]+Uitkomsten_per_tech[[#This Row],[Aantal extrapolatie]],10000),"NVT")</f>
        <v>40000</v>
      </c>
      <c r="F34" s="412">
        <f>SUMIFS(Berekening_impact[Totaal arbeidsbesparing (€/jaar)],Berekening_impact[Digitale zorgtoepassing],B34)</f>
        <v>59573746.345279314</v>
      </c>
      <c r="G34" s="413">
        <f>SUMIFS(Berekening_impact[Totaal arbeidsbesparing (FTE/jaar)],Berekening_impact[Digitale zorgtoepassing],B34)</f>
        <v>1403.250225</v>
      </c>
      <c r="H34" s="412">
        <f>SUMIFS(Berekening_impact[Overige kostenbesparing (totaal/jaar totaal potentieel)],Berekening_impact[Digitale zorgtoepassing],B34)</f>
        <v>29342292.976033095</v>
      </c>
      <c r="I34" s="412">
        <f>SUMIFS(Berekening_impact[Opbrengsten door QALY''s],Berekening_impact[Digitale zorgtoepassing],B34)</f>
        <v>0</v>
      </c>
      <c r="J34" s="415">
        <f>SUMIFS(Berekening_impact[Jaarlijkse kosten (totaal) - incl. schatting],Berekening_impact[Digitale zorgtoepassing],B34)</f>
        <v>22965485.240024999</v>
      </c>
      <c r="K34" s="415">
        <f>SUMIFS(Berekening_impact[Initiële investering (totaal) - incl. schatting],Berekening_impact[Digitale zorgtoepassing],B34)</f>
        <v>28640279.050000001</v>
      </c>
    </row>
    <row r="35" spans="1:11" x14ac:dyDescent="0.5">
      <c r="A35" s="42" t="str">
        <f>INDEX(Technologieën[Veld],MATCH(B35,Technologieën[Digitale zorgtoepassing],0))</f>
        <v>Software - Diagnose</v>
      </c>
      <c r="B35" s="33" t="s">
        <v>56</v>
      </c>
      <c r="C35" s="397">
        <f>IF(SUMIFS(Berekening_patiëntaantal[Patiëntaantallen],Berekening_patiëntaantal[Digitale zorgtoepassing],B35,Berekening_patiëntaantal[Direct toepasbaar/extrapolatie/incidentie voor QALY],"Huidige toepassing") &lt;&gt;999999,SUMIFS(Berekening_patiëntaantal[Patiëntaantallen],Berekening_patiëntaantal[Digitale zorgtoepassing],B35,Berekening_patiëntaantal[Direct toepasbaar/extrapolatie/incidentie voor QALY],"Huidige toepassing"),"NVT")</f>
        <v>1000000</v>
      </c>
      <c r="D35" s="397">
        <f>SUMIFS(Berekening_patiëntaantal[Patiëntaantallen],Berekening_patiëntaantal[Digitale zorgtoepassing],B35,Berekening_patiëntaantal[Direct toepasbaar/extrapolatie/incidentie voor QALY],"Extrapolatie")</f>
        <v>0</v>
      </c>
      <c r="E35" s="397">
        <f>IFERROR(MROUND(Uitkomsten_per_tech[[#This Row],[Aantal direct toepasbaar - totaal]]+Uitkomsten_per_tech[[#This Row],[Aantal extrapolatie]],10000),"NVT")</f>
        <v>1000000</v>
      </c>
      <c r="F35" s="412">
        <f>SUMIFS(Berekening_impact[Totaal arbeidsbesparing (€/jaar)],Berekening_impact[Digitale zorgtoepassing],B35)</f>
        <v>1142356.3218390807</v>
      </c>
      <c r="G35" s="413">
        <f>SUMIFS(Berekening_impact[Totaal arbeidsbesparing (FTE/jaar)],Berekening_impact[Digitale zorgtoepassing],B35)</f>
        <v>19.230769230769234</v>
      </c>
      <c r="H35" s="412">
        <f>SUMIFS(Berekening_impact[Overige kostenbesparing (totaal/jaar totaal potentieel)],Berekening_impact[Digitale zorgtoepassing],B35)</f>
        <v>0</v>
      </c>
      <c r="I35" s="412">
        <f>SUMIFS(Berekening_impact[Opbrengsten door QALY''s],Berekening_impact[Digitale zorgtoepassing],B35)</f>
        <v>0</v>
      </c>
      <c r="J35" s="412">
        <f>SUMIFS(Berekening_impact[Jaarlijkse kosten (totaal) - incl. schatting],Berekening_impact[Digitale zorgtoepassing],B35)</f>
        <v>970810.62604129815</v>
      </c>
      <c r="K35" s="412">
        <f>SUMIFS(Berekening_impact[Initiële investering (totaal) - incl. schatting],Berekening_impact[Digitale zorgtoepassing],B35)</f>
        <v>0</v>
      </c>
    </row>
    <row r="36" spans="1:11" x14ac:dyDescent="0.5">
      <c r="A36" s="42" t="str">
        <f>INDEX(Technologieën[Veld],MATCH(B36,Technologieën[Digitale zorgtoepassing],0))</f>
        <v>Digitale hulpmiddelen - Verpleging</v>
      </c>
      <c r="B36" s="33" t="s">
        <v>85</v>
      </c>
      <c r="C36" s="397">
        <f>IF(SUMIFS(Berekening_patiëntaantal[Patiëntaantallen],Berekening_patiëntaantal[Digitale zorgtoepassing],B36,Berekening_patiëntaantal[Direct toepasbaar/extrapolatie/incidentie voor QALY],"Huidige toepassing") &lt;&gt;999999,SUMIFS(Berekening_patiëntaantal[Patiëntaantallen],Berekening_patiëntaantal[Digitale zorgtoepassing],B36,Berekening_patiëntaantal[Direct toepasbaar/extrapolatie/incidentie voor QALY],"Huidige toepassing"),"NVT")</f>
        <v>86400</v>
      </c>
      <c r="D36" s="397">
        <f>SUMIFS(Berekening_patiëntaantal[Patiëntaantallen],Berekening_patiëntaantal[Digitale zorgtoepassing],B36,Berekening_patiëntaantal[Direct toepasbaar/extrapolatie/incidentie voor QALY],"Extrapolatie")</f>
        <v>0</v>
      </c>
      <c r="E36" s="397">
        <f>IFERROR(MROUND(Uitkomsten_per_tech[[#This Row],[Aantal direct toepasbaar - totaal]]+Uitkomsten_per_tech[[#This Row],[Aantal extrapolatie]],10000),"NVT")</f>
        <v>90000</v>
      </c>
      <c r="F36" s="412">
        <f>SUMIFS(Berekening_impact[Totaal arbeidsbesparing (€/jaar)],Berekening_impact[Digitale zorgtoepassing],B36)</f>
        <v>55631872.220689654</v>
      </c>
      <c r="G36" s="413">
        <f>SUMIFS(Berekening_impact[Totaal arbeidsbesparing (FTE/jaar)],Berekening_impact[Digitale zorgtoepassing],B36)</f>
        <v>1310.4000000000001</v>
      </c>
      <c r="H36" s="412">
        <f>SUMIFS(Berekening_impact[Overige kostenbesparing (totaal/jaar totaal potentieel)],Berekening_impact[Digitale zorgtoepassing],B36)</f>
        <v>27400772.884817291</v>
      </c>
      <c r="I36" s="412">
        <f>SUMIFS(Berekening_impact[Opbrengsten door QALY''s],Berekening_impact[Digitale zorgtoepassing],B36)</f>
        <v>0</v>
      </c>
      <c r="J36" s="412">
        <f>SUMIFS(Berekening_impact[Jaarlijkse kosten (totaal) - incl. schatting],Berekening_impact[Digitale zorgtoepassing],B36)</f>
        <v>45826560.000000007</v>
      </c>
      <c r="K36" s="412">
        <f>SUMIFS(Berekening_impact[Initiële investering (totaal) - incl. schatting],Berekening_impact[Digitale zorgtoepassing],B36)</f>
        <v>28425600</v>
      </c>
    </row>
    <row r="37" spans="1:11" x14ac:dyDescent="0.5">
      <c r="A37" s="42" t="str">
        <f>INDEX(Technologieën[Veld],MATCH(B37,Technologieën[Digitale zorgtoepassing],0))</f>
        <v>Software - Behandeling</v>
      </c>
      <c r="B37" s="33" t="s">
        <v>578</v>
      </c>
      <c r="C37" s="397">
        <f>IF(SUMIFS(Berekening_patiëntaantal[Patiëntaantallen],Berekening_patiëntaantal[Digitale zorgtoepassing],B37,Berekening_patiëntaantal[Direct toepasbaar/extrapolatie/incidentie voor QALY],"Huidige toepassing") &lt;&gt;999999,SUMIFS(Berekening_patiëntaantal[Patiëntaantallen],Berekening_patiëntaantal[Digitale zorgtoepassing],B37,Berekening_patiëntaantal[Direct toepasbaar/extrapolatie/incidentie voor QALY],"Huidige toepassing"),"NVT")</f>
        <v>36000</v>
      </c>
      <c r="D37" s="397">
        <f>SUMIFS(Berekening_patiëntaantal[Patiëntaantallen],Berekening_patiëntaantal[Digitale zorgtoepassing],B37,Berekening_patiëntaantal[Direct toepasbaar/extrapolatie/incidentie voor QALY],"Extrapolatie")</f>
        <v>0</v>
      </c>
      <c r="E37" s="397">
        <f>IFERROR(MROUND(Uitkomsten_per_tech[[#This Row],[Aantal direct toepasbaar - totaal]]+Uitkomsten_per_tech[[#This Row],[Aantal extrapolatie]],10000),"NVT")</f>
        <v>40000</v>
      </c>
      <c r="F37" s="412">
        <f>SUMIFS(Berekening_impact[Totaal arbeidsbesparing (€/jaar)],Berekening_impact[Digitale zorgtoepassing],B37)</f>
        <v>13881182.27586207</v>
      </c>
      <c r="G37" s="413">
        <f>SUMIFS(Berekening_impact[Totaal arbeidsbesparing (FTE/jaar)],Berekening_impact[Digitale zorgtoepassing],B37)</f>
        <v>165.42692307692306</v>
      </c>
      <c r="H37" s="412">
        <f>SUMIFS(Berekening_impact[Overige kostenbesparing (totaal/jaar totaal potentieel)],Berekening_impact[Digitale zorgtoepassing],B37)</f>
        <v>0</v>
      </c>
      <c r="I37" s="412">
        <f>SUMIFS(Berekening_impact[Opbrengsten door QALY''s],Berekening_impact[Digitale zorgtoepassing],B37)</f>
        <v>0</v>
      </c>
      <c r="J37" s="412">
        <f>SUMIFS(Berekening_impact[Jaarlijkse kosten (totaal) - incl. schatting],Berekening_impact[Digitale zorgtoepassing],B37)</f>
        <v>7607867.0025333138</v>
      </c>
      <c r="K37" s="412">
        <f>SUMIFS(Berekening_impact[Initiële investering (totaal) - incl. schatting],Berekening_impact[Digitale zorgtoepassing],B37)</f>
        <v>0</v>
      </c>
    </row>
    <row r="39" spans="1:11" x14ac:dyDescent="0.5">
      <c r="H39" s="21"/>
    </row>
    <row r="40" spans="1:11" x14ac:dyDescent="0.5">
      <c r="D40" s="21"/>
    </row>
  </sheetData>
  <sheetProtection algorithmName="SHA-512" hashValue="Zwk8Xw48C87FTjbQpkl4c2bVXz1N7fDnlcd4bUIb0cZZ4keKKYELj6mjXFA4ZUawZ7r22RjUMUOC4sg4f6U6lQ==" saltValue="lfBJfRZLYAELfETUy8xRgw==" spinCount="100000" sheet="1" objects="1" scenarios="1" selectLockedCells="1" selectUnlockedCells="1"/>
  <mergeCells count="4">
    <mergeCell ref="A1:C2"/>
    <mergeCell ref="C4:E4"/>
    <mergeCell ref="I4:K4"/>
    <mergeCell ref="F4:H4"/>
  </mergeCells>
  <phoneticPr fontId="4" type="noConversion"/>
  <pageMargins left="0.7" right="0.7" top="0.75" bottom="0.75" header="0.3" footer="0.3"/>
  <pageSetup paperSize="9" orientation="portrait" r:id="rId1"/>
  <legacy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03C0C-C67F-4162-9DD6-A3C964125138}">
  <sheetPr codeName="Blad19">
    <tabColor theme="8"/>
  </sheetPr>
  <dimension ref="A1:D13"/>
  <sheetViews>
    <sheetView showGridLines="0" zoomScale="80" zoomScaleNormal="80" workbookViewId="0">
      <selection activeCell="G19" sqref="G19"/>
    </sheetView>
  </sheetViews>
  <sheetFormatPr defaultRowHeight="17" x14ac:dyDescent="0.5"/>
  <cols>
    <col min="1" max="1" width="33.84375" customWidth="1"/>
    <col min="2" max="2" width="15.84375" customWidth="1"/>
    <col min="3" max="3" width="16.07421875" customWidth="1"/>
    <col min="4" max="4" width="23.3046875" customWidth="1"/>
  </cols>
  <sheetData>
    <row r="1" spans="1:4" ht="16.5" customHeight="1" x14ac:dyDescent="0.5">
      <c r="A1" s="523" t="s">
        <v>1032</v>
      </c>
      <c r="B1" s="524"/>
      <c r="C1" s="524"/>
      <c r="D1" s="525"/>
    </row>
    <row r="2" spans="1:4" ht="17.5" thickBot="1" x14ac:dyDescent="0.55000000000000004">
      <c r="A2" s="526"/>
      <c r="B2" s="527"/>
      <c r="C2" s="527"/>
      <c r="D2" s="528"/>
    </row>
    <row r="4" spans="1:4" s="39" customFormat="1" x14ac:dyDescent="0.5">
      <c r="A4" s="150" t="s">
        <v>5</v>
      </c>
      <c r="B4" s="150" t="s">
        <v>627</v>
      </c>
      <c r="C4" s="150" t="s">
        <v>393</v>
      </c>
      <c r="D4" s="150" t="s">
        <v>394</v>
      </c>
    </row>
    <row r="5" spans="1:4" x14ac:dyDescent="0.5">
      <c r="A5" s="120" t="s">
        <v>7</v>
      </c>
      <c r="B5" s="130">
        <f>SUMIFS(Berekening_impact[Totaal arbeidsbesparing (€/jaar)],Berekening_impact[Veld],A5,Berekening_impact[Toepassing meenemen in schatting kosten?],"Ja")+SUMIFS(Berekening_impact[Overige kostenbesparing (totaal/jaar totaal potentieel)],Berekening_impact[Veld],A5,Berekening_impact[Toepassing meenemen in schatting kosten?],"Ja")</f>
        <v>45425431.297573432</v>
      </c>
      <c r="C5" s="130">
        <f>SUMIFS(Berekening_impact[Jaarlijkse kosten (totaal)],Berekening_impact[Veld],A5,Berekening_impact[Toepassing meenemen in schatting kosten?],"Ja")</f>
        <v>8364029.0800000001</v>
      </c>
      <c r="D5" s="134">
        <f t="shared" ref="D5:D10" si="0">C5/B5</f>
        <v>0.18412657494012161</v>
      </c>
    </row>
    <row r="6" spans="1:4" x14ac:dyDescent="0.5">
      <c r="A6" s="42" t="s">
        <v>9</v>
      </c>
      <c r="B6" s="130">
        <f>SUMIFS(Berekening_impact[Totaal arbeidsbesparing (€/jaar)],Berekening_impact[Veld],A6,Berekening_impact[Toepassing meenemen in schatting kosten?],"Ja")+SUMIFS(Berekening_impact[Overige kostenbesparing (totaal/jaar totaal potentieel)],Berekening_impact[Veld],A6,Berekening_impact[Toepassing meenemen in schatting kosten?],"Ja")</f>
        <v>195898814.64125776</v>
      </c>
      <c r="C6" s="130">
        <f>SUMIFS(Berekening_impact[Jaarlijkse kosten (totaal)],Berekening_impact[Veld],A6,Berekening_impact[Toepassing meenemen in schatting kosten?],"Ja")</f>
        <v>94127836.571744829</v>
      </c>
      <c r="D6" s="134">
        <f t="shared" si="0"/>
        <v>0.48049211907748213</v>
      </c>
    </row>
    <row r="7" spans="1:4" x14ac:dyDescent="0.5">
      <c r="A7" s="120" t="s">
        <v>11</v>
      </c>
      <c r="B7" s="130">
        <f>SUMIFS(Berekening_impact[Totaal arbeidsbesparing (€/jaar)],Berekening_impact[Veld],A7,Berekening_impact[Toepassing meenemen in schatting kosten?],"Ja")+SUMIFS(Berekening_impact[Overige kostenbesparing (totaal/jaar totaal potentieel)],Berekening_impact[Veld],A7,Berekening_impact[Toepassing meenemen in schatting kosten?],"Ja")</f>
        <v>40245812.073200472</v>
      </c>
      <c r="C7" s="130">
        <f>SUMIFS(Berekening_impact[Jaarlijkse kosten (totaal)],Berekening_impact[Veld],A7,Berekening_impact[Toepassing meenemen in schatting kosten?],"Ja")</f>
        <v>34202167.28124167</v>
      </c>
      <c r="D7" s="134">
        <f t="shared" si="0"/>
        <v>0.84983170967040222</v>
      </c>
    </row>
    <row r="8" spans="1:4" x14ac:dyDescent="0.5">
      <c r="A8" s="42" t="s">
        <v>12</v>
      </c>
      <c r="B8" s="130">
        <f>SUMIFS(Berekening_impact[Totaal arbeidsbesparing (€/jaar)],Berekening_impact[Veld],A8,Berekening_impact[Toepassing meenemen in schatting kosten?],"Ja")+SUMIFS(Berekening_impact[Overige kostenbesparing (totaal/jaar totaal potentieel)],Berekening_impact[Veld],A8,Berekening_impact[Toepassing meenemen in schatting kosten?],"Ja")</f>
        <v>436896893.18699527</v>
      </c>
      <c r="C8" s="130">
        <f>SUMIFS(Berekening_impact[Jaarlijkse kosten (totaal)],Berekening_impact[Veld],A8,Berekening_impact[Toepassing meenemen in schatting kosten?],"Ja")</f>
        <v>239450314.18299997</v>
      </c>
      <c r="D8" s="134">
        <f t="shared" si="0"/>
        <v>0.54807053544441975</v>
      </c>
    </row>
    <row r="9" spans="1:4" x14ac:dyDescent="0.5">
      <c r="A9" s="121" t="s">
        <v>8</v>
      </c>
      <c r="B9" s="130">
        <f>SUMIFS(Berekening_impact[Totaal arbeidsbesparing (€/jaar)],Berekening_impact[Veld],A9,Berekening_impact[Toepassing meenemen in schatting kosten?],"Ja")+SUMIFS(Berekening_impact[Overige kostenbesparing (totaal/jaar totaal potentieel)],Berekening_impact[Veld],A9,Berekening_impact[Toepassing meenemen in schatting kosten?],"Ja")</f>
        <v>1140740317.7492898</v>
      </c>
      <c r="C9" s="130">
        <f>SUMIFS(Berekening_impact[Jaarlijkse kosten (totaal)],Berekening_impact[Veld],A9,Berekening_impact[Toepassing meenemen in schatting kosten?],"Ja")</f>
        <v>256564441.75593868</v>
      </c>
      <c r="D9" s="134">
        <f t="shared" si="0"/>
        <v>0.22491047065132841</v>
      </c>
    </row>
    <row r="10" spans="1:4" x14ac:dyDescent="0.5">
      <c r="A10" s="120" t="s">
        <v>10</v>
      </c>
      <c r="B10" s="130">
        <f>SUMIFS(Berekening_impact[Totaal arbeidsbesparing (€/jaar)],Berekening_impact[Veld],A10,Berekening_impact[Toepassing meenemen in schatting kosten?],"Ja")+SUMIFS(Berekening_impact[Overige kostenbesparing (totaal/jaar totaal potentieel)],Berekening_impact[Veld],A10,Berekening_impact[Toepassing meenemen in schatting kosten?],"Ja")</f>
        <v>523612923.54170424</v>
      </c>
      <c r="C10" s="130">
        <f>SUMIFS(Berekening_impact[Jaarlijkse kosten (totaal)],Berekening_impact[Veld],A10,Berekening_impact[Toepassing meenemen in schatting kosten?],"Ja")</f>
        <v>288128402.30074197</v>
      </c>
      <c r="D10" s="134">
        <f t="shared" si="0"/>
        <v>0.55026984504478793</v>
      </c>
    </row>
    <row r="12" spans="1:4" s="39" customFormat="1" x14ac:dyDescent="0.5">
      <c r="A12" s="150" t="s">
        <v>5</v>
      </c>
      <c r="B12" s="150" t="s">
        <v>392</v>
      </c>
      <c r="C12" s="150" t="s">
        <v>444</v>
      </c>
      <c r="D12" s="150" t="s">
        <v>445</v>
      </c>
    </row>
    <row r="13" spans="1:4" x14ac:dyDescent="0.5">
      <c r="A13" s="120" t="s">
        <v>605</v>
      </c>
      <c r="B13" s="130">
        <f>SUMIFS(Berekening_impact[Totaal arbeidsbesparing (€/jaar)],Berekening_impact[Investering schatten?],"Nee",Berekening_impact[Initiële investering],"&gt;0")+SUMIFS(Berekening_impact[Overige kostenbesparing (totaal/jaar totaal potentieel)],Berekening_impact[Investering schatten?],"Nee",Berekening_impact[Initiële investering],"&gt;0")</f>
        <v>1453369512.2715394</v>
      </c>
      <c r="C13" s="130">
        <f>SUMIFS(Berekening_impact[Initiële investering],Berekening_impact[Investering schatten?],"Nee",Berekening_impact[Initiële investering],"&gt;0")</f>
        <v>326828898.52097446</v>
      </c>
      <c r="D13" s="134">
        <f>C13/B13</f>
        <v>0.22487667159754729</v>
      </c>
    </row>
  </sheetData>
  <sheetProtection algorithmName="SHA-512" hashValue="9//xyNEd/09rTjuxVPIUwXds2nQ/oOqKAMEyqQdBd/APG0t2TSd/q/XO6IaZo6Ki4InpMd/8hRMB3Q5Gwz9daQ==" saltValue="ykoDtACIoAYOsJrje4Auyg==" spinCount="100000" sheet="1" objects="1" scenarios="1" selectLockedCells="1" selectUnlockedCells="1"/>
  <mergeCells count="1">
    <mergeCell ref="A1:D2"/>
  </mergeCells>
  <pageMargins left="0.7" right="0.7" top="0.75" bottom="0.75" header="0.3" footer="0.3"/>
  <pageSetup paperSize="9" orientation="portrait" r:id="rId1"/>
  <tableParts count="2">
    <tablePart r:id="rId2"/>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75C57-331A-4EB8-BEF8-B376BCED6C65}">
  <sheetPr codeName="Blad22">
    <tabColor theme="8"/>
  </sheetPr>
  <dimension ref="A1:BG266"/>
  <sheetViews>
    <sheetView showGridLines="0" zoomScale="80" zoomScaleNormal="80" workbookViewId="0">
      <selection activeCell="E130" sqref="E130"/>
    </sheetView>
  </sheetViews>
  <sheetFormatPr defaultRowHeight="17" x14ac:dyDescent="0.5"/>
  <cols>
    <col min="1" max="1" width="27.84375" bestFit="1" customWidth="1"/>
    <col min="2" max="2" width="35.765625" bestFit="1" customWidth="1"/>
    <col min="3" max="3" width="36.23046875" bestFit="1" customWidth="1"/>
    <col min="4" max="4" width="26.23046875" customWidth="1"/>
    <col min="5" max="5" width="25.765625" bestFit="1" customWidth="1"/>
    <col min="6" max="6" width="9" customWidth="1"/>
    <col min="7" max="7" width="17.07421875" bestFit="1" customWidth="1"/>
    <col min="8" max="8" width="13" customWidth="1"/>
    <col min="9" max="16" width="15.69140625" customWidth="1"/>
  </cols>
  <sheetData>
    <row r="1" spans="1:59" x14ac:dyDescent="0.5">
      <c r="A1" s="476" t="s">
        <v>1032</v>
      </c>
      <c r="B1" s="477"/>
      <c r="C1" s="478"/>
    </row>
    <row r="2" spans="1:59" ht="17.5" thickBot="1" x14ac:dyDescent="0.55000000000000004">
      <c r="A2" s="479"/>
      <c r="B2" s="480"/>
      <c r="C2" s="481"/>
    </row>
    <row r="3" spans="1:59" ht="17.5" thickBot="1" x14ac:dyDescent="0.55000000000000004"/>
    <row r="4" spans="1:59" s="39" customFormat="1" ht="51.5" thickBot="1" x14ac:dyDescent="0.55000000000000004">
      <c r="A4" s="28" t="s">
        <v>5</v>
      </c>
      <c r="B4" s="16" t="s">
        <v>751</v>
      </c>
      <c r="C4" s="31" t="s">
        <v>378</v>
      </c>
      <c r="D4" s="31" t="s">
        <v>619</v>
      </c>
      <c r="E4" s="31" t="s">
        <v>811</v>
      </c>
      <c r="F4" s="31" t="s">
        <v>16</v>
      </c>
      <c r="G4" s="31" t="s">
        <v>760</v>
      </c>
      <c r="H4" s="31" t="s">
        <v>632</v>
      </c>
      <c r="I4" s="31" t="s">
        <v>633</v>
      </c>
      <c r="J4" s="206" t="s">
        <v>414</v>
      </c>
      <c r="K4" s="206" t="s">
        <v>415</v>
      </c>
      <c r="L4" s="206" t="s">
        <v>416</v>
      </c>
      <c r="M4" s="206" t="s">
        <v>417</v>
      </c>
      <c r="N4" s="206" t="s">
        <v>418</v>
      </c>
      <c r="O4" s="206" t="s">
        <v>419</v>
      </c>
      <c r="P4" s="206" t="s">
        <v>420</v>
      </c>
      <c r="Q4" s="206" t="s">
        <v>421</v>
      </c>
      <c r="R4" s="206" t="s">
        <v>422</v>
      </c>
      <c r="S4" s="206" t="s">
        <v>423</v>
      </c>
      <c r="T4" s="206" t="s">
        <v>424</v>
      </c>
      <c r="U4" s="206" t="s">
        <v>425</v>
      </c>
      <c r="V4" s="206" t="s">
        <v>426</v>
      </c>
      <c r="W4" s="206" t="s">
        <v>427</v>
      </c>
      <c r="X4" s="206" t="s">
        <v>428</v>
      </c>
      <c r="Y4" s="206" t="s">
        <v>429</v>
      </c>
      <c r="Z4" s="206" t="s">
        <v>430</v>
      </c>
      <c r="AA4" s="206" t="s">
        <v>431</v>
      </c>
      <c r="AB4" s="206" t="s">
        <v>432</v>
      </c>
      <c r="AC4" s="206" t="s">
        <v>433</v>
      </c>
      <c r="AD4" s="206" t="s">
        <v>434</v>
      </c>
      <c r="AE4" s="206" t="s">
        <v>435</v>
      </c>
      <c r="AF4" s="206" t="s">
        <v>436</v>
      </c>
      <c r="AG4" s="206" t="s">
        <v>437</v>
      </c>
    </row>
    <row r="5" spans="1:59" x14ac:dyDescent="0.5">
      <c r="A5" s="30" t="str">
        <f>INDEX(Technologieën[Veld],MATCH(B5,Technologieën[Digitale zorgtoepassing],0))</f>
        <v>Sensoren - Behandeling</v>
      </c>
      <c r="B5" s="30" t="s">
        <v>593</v>
      </c>
      <c r="C5" s="30" t="s">
        <v>308</v>
      </c>
      <c r="D5" s="30" t="str" cm="1">
        <f t="array" ref="D5">INDEX(Berekening_patiëntaantal[Direct toepasbaar/extrapolatie/incidentie voor QALY],MATCH(B5,IF(Berekening_patiëntaantal[Doelgroep (zoeksleutel)]=C5,Berekening_patiëntaantal[Digitale zorgtoepassing]),0))</f>
        <v>Huidige toepassing</v>
      </c>
      <c r="E5" s="440" t="s">
        <v>812</v>
      </c>
      <c r="F5" s="30" t="str">
        <f>CONCATENATE(vertraging[[#This Row],[Digitale zorgtoepassing]],"_",vertraging[[#This Row],[Doelgroep]],"_",vertraging[[#This Row],[Uitgangssituatie/effect beleid]])</f>
        <v>(Zelf)monitoring hypertensie zwangeren_Zwangeren met hoge bloeddruk_Effect beleid</v>
      </c>
      <c r="G5" s="122" t="str">
        <f>INDEX(acceptatie_burgers[Impact afhankelijk van acceptatie burgers?],MATCH(B5,acceptatie_burgers[Digitale zorgtoepassing],0))</f>
        <v>Ja</v>
      </c>
      <c r="H5" s="441" cm="1">
        <f t="array" ref="H5">IF(vertraging[[#This Row],[Uitgangssituatie/effect beleid]]="Effect beleid",MAX(INDEX(aanname_implementatie[Coëfficient p],MATCH(B5,IF(aanname_implementatie[Doelgroep]=C5,aanname_implementatie[Digitale zorgtoepassing]),0))+SUMIFS(afslagen_beleid[Opslag p],afslagen_beleid[Impact afhankelijk van acceptatie burgers],vertraging[[#This Row],[Acceptatie burgers]]),0.01),INDEX(aanname_implementatie[Coëfficient p],MATCH(B5,IF(aanname_implementatie[Doelgroep]=C5,aanname_implementatie[Digitale zorgtoepassing]),0)))</f>
        <v>0.02</v>
      </c>
      <c r="I5" s="441" cm="1">
        <f t="array" ref="I5">IF(vertraging[[#This Row],[Uitgangssituatie/effect beleid]]="Effect beleid",MAX(INDEX(aanname_implementatie[Coëfficient q],MATCH(B5,IF(aanname_implementatie[Doelgroep]=C5,aanname_implementatie[Digitale zorgtoepassing]),0))+SUMIFS(afslagen_beleid[Opslag q],afslagen_beleid[Impact afhankelijk van acceptatie burgers],vertraging[[#This Row],[Acceptatie burgers]]),0.3),INDEX(aanname_implementatie[Coëfficient q],MATCH(B5,IF(aanname_implementatie[Doelgroep]=C5,aanname_implementatie[Digitale zorgtoepassing]),0)))</f>
        <v>0.4</v>
      </c>
      <c r="J5" s="17">
        <f>0</f>
        <v>0</v>
      </c>
      <c r="K5" s="17">
        <v>0</v>
      </c>
      <c r="L5" s="17">
        <v>0</v>
      </c>
      <c r="M5" s="17">
        <v>0</v>
      </c>
      <c r="N5" s="17">
        <v>0</v>
      </c>
      <c r="O5" s="17">
        <v>0</v>
      </c>
      <c r="P5" s="17">
        <v>0</v>
      </c>
      <c r="Q5" s="17">
        <v>0</v>
      </c>
      <c r="R5" s="17">
        <v>0</v>
      </c>
      <c r="S5" s="17">
        <v>0</v>
      </c>
      <c r="T5" s="17">
        <v>0</v>
      </c>
      <c r="U5" s="17">
        <v>0</v>
      </c>
      <c r="V5" s="124" cm="1">
        <f t="array" ref="V5">INDEX(aanname_implementatie[Huidige implementatiegraad],MATCH(B5,IF(aanname_implementatie[Doelgroep]=C5,aanname_implementatie[Digitale zorgtoepassing]),0))</f>
        <v>0.2</v>
      </c>
      <c r="W5" s="126">
        <f>V5+vertraging[[#This Row],[p]]*(1-V5)+vertraging[[#This Row],[q]]*V5*(1-V5)</f>
        <v>0.28000000000000003</v>
      </c>
      <c r="X5" s="126">
        <f>W5+vertraging[[#This Row],[p]]*(1-W5)+vertraging[[#This Row],[q]]*W5*(1-W5)</f>
        <v>0.37504000000000004</v>
      </c>
      <c r="Y5" s="126">
        <f>X5+vertraging[[#This Row],[p]]*(1-X5)+vertraging[[#This Row],[q]]*X5*(1-X5)</f>
        <v>0.48129319936000003</v>
      </c>
      <c r="Z5" s="126">
        <f>Y5+vertraging[[#This Row],[p]]*(1-Y5)+vertraging[[#This Row],[q]]*Y5*(1-Y5)</f>
        <v>0.59152735761672615</v>
      </c>
      <c r="AA5" s="126">
        <f>Z5+vertraging[[#This Row],[p]]*(1-Z5)+vertraging[[#This Row],[q]]*Z5*(1-Z5)</f>
        <v>0.69634590758747161</v>
      </c>
      <c r="AB5" s="126">
        <f>AA5+vertraging[[#This Row],[p]]*(1-AA5)+vertraging[[#This Row],[q]]*AA5*(1-AA5)</f>
        <v>0.78699830326518305</v>
      </c>
      <c r="AC5" s="126">
        <f>AB5+vertraging[[#This Row],[p]]*(1-AB5)+vertraging[[#This Row],[q]]*AB5*(1-AB5)</f>
        <v>0.85831112676904175</v>
      </c>
      <c r="AD5" s="126">
        <f>AC5+vertraging[[#This Row],[p]]*(1-AC5)+vertraging[[#This Row],[q]]*AC5*(1-AC5)</f>
        <v>0.90979015880706082</v>
      </c>
      <c r="AE5" s="126">
        <f>AD5+vertraging[[#This Row],[p]]*(1-AD5)+vertraging[[#This Row],[q]]*AD5*(1-AD5)</f>
        <v>0.94442316592887321</v>
      </c>
      <c r="AF5" s="126">
        <f>AE5+vertraging[[#This Row],[p]]*(1-AE5)+vertraging[[#This Row],[q]]*AE5*(1-AE5)</f>
        <v>0.96652992244459857</v>
      </c>
      <c r="AG5" s="126">
        <f>AF5+vertraging[[#This Row],[p]]*(1-AF5)+vertraging[[#This Row],[q]]*AF5*(1-AF5)</f>
        <v>0.98013925658124135</v>
      </c>
    </row>
    <row r="6" spans="1:59" x14ac:dyDescent="0.5">
      <c r="A6" s="30" t="str">
        <f>INDEX(Technologieën[Veld],MATCH(B6,Technologieën[Digitale zorgtoepassing],0))</f>
        <v>Software - Behandeling</v>
      </c>
      <c r="B6" s="30" t="s">
        <v>609</v>
      </c>
      <c r="C6" s="30" t="s">
        <v>270</v>
      </c>
      <c r="D6" s="30" t="str" cm="1">
        <f t="array" ref="D6">INDEX(Berekening_patiëntaantal[Direct toepasbaar/extrapolatie/incidentie voor QALY],MATCH(B6,IF(Berekening_patiëntaantal[Doelgroep (zoeksleutel)]=C6,Berekening_patiëntaantal[Digitale zorgtoepassing]),0))</f>
        <v>Huidige toepassing</v>
      </c>
      <c r="E6" s="440" t="s">
        <v>812</v>
      </c>
      <c r="F6" s="30" t="str">
        <f>CONCATENATE(vertraging[[#This Row],[Digitale zorgtoepassing]],"_",vertraging[[#This Row],[Doelgroep]],"_",vertraging[[#This Row],[Uitgangssituatie/effect beleid]])</f>
        <v>(Zelf)zorgplatform + telebegeleiding_Astma_kinderen_Effect beleid</v>
      </c>
      <c r="G6" s="122" t="str">
        <f>INDEX(acceptatie_burgers[Impact afhankelijk van acceptatie burgers?],MATCH(B6,acceptatie_burgers[Digitale zorgtoepassing],0))</f>
        <v>Ja</v>
      </c>
      <c r="H6" s="441" cm="1">
        <f t="array" ref="H6">IF(vertraging[[#This Row],[Uitgangssituatie/effect beleid]]="Effect beleid",MAX(INDEX(aanname_implementatie[Coëfficient p],MATCH(B6,IF(aanname_implementatie[Doelgroep]=C6,aanname_implementatie[Digitale zorgtoepassing]),0))+SUMIFS(afslagen_beleid[Opslag p],afslagen_beleid[Impact afhankelijk van acceptatie burgers],vertraging[[#This Row],[Acceptatie burgers]]),0.01),INDEX(aanname_implementatie[Coëfficient p],MATCH(B6,IF(aanname_implementatie[Doelgroep]=C6,aanname_implementatie[Digitale zorgtoepassing]),0)))</f>
        <v>2.5000000000000001E-2</v>
      </c>
      <c r="I6" s="441" cm="1">
        <f t="array" ref="I6">IF(vertraging[[#This Row],[Uitgangssituatie/effect beleid]]="Effect beleid",MAX(INDEX(aanname_implementatie[Coëfficient q],MATCH(B6,IF(aanname_implementatie[Doelgroep]=C6,aanname_implementatie[Digitale zorgtoepassing]),0))+SUMIFS(afslagen_beleid[Opslag q],afslagen_beleid[Impact afhankelijk van acceptatie burgers],vertraging[[#This Row],[Acceptatie burgers]]),0.3),INDEX(aanname_implementatie[Coëfficient q],MATCH(B6,IF(aanname_implementatie[Doelgroep]=C6,aanname_implementatie[Digitale zorgtoepassing]),0)))</f>
        <v>0.45</v>
      </c>
      <c r="J6" s="17">
        <f>0</f>
        <v>0</v>
      </c>
      <c r="K6" s="17">
        <v>0</v>
      </c>
      <c r="L6" s="17">
        <v>0</v>
      </c>
      <c r="M6" s="17">
        <v>0</v>
      </c>
      <c r="N6" s="17">
        <v>0</v>
      </c>
      <c r="O6" s="17">
        <v>0</v>
      </c>
      <c r="P6" s="17">
        <v>0</v>
      </c>
      <c r="Q6" s="17">
        <v>0</v>
      </c>
      <c r="R6" s="17">
        <v>0</v>
      </c>
      <c r="S6" s="17">
        <v>0</v>
      </c>
      <c r="T6" s="17">
        <v>0</v>
      </c>
      <c r="U6" s="17">
        <v>0</v>
      </c>
      <c r="V6" s="124" cm="1">
        <f t="array" ref="V6">INDEX(aanname_implementatie[Huidige implementatiegraad],MATCH(B6,IF(aanname_implementatie[Doelgroep]=C6,aanname_implementatie[Digitale zorgtoepassing]),0))</f>
        <v>0.2</v>
      </c>
      <c r="W6" s="126">
        <f>V6+vertraging[[#This Row],[p]]*(1-V6)+vertraging[[#This Row],[q]]*V6*(1-V6)</f>
        <v>0.29200000000000004</v>
      </c>
      <c r="X6" s="126">
        <f>W6+vertraging[[#This Row],[p]]*(1-W6)+vertraging[[#This Row],[q]]*W6*(1-W6)</f>
        <v>0.40273120000000007</v>
      </c>
      <c r="Y6" s="126">
        <f>X6+vertraging[[#This Row],[p]]*(1-X6)+vertraging[[#This Row],[q]]*X6*(1-X6)</f>
        <v>0.52590537124595205</v>
      </c>
      <c r="Z6" s="126">
        <f>Y6+vertraging[[#This Row],[p]]*(1-Y6)+vertraging[[#This Row],[q]]*Y6*(1-Y6)</f>
        <v>0.64995574724807748</v>
      </c>
      <c r="AA6" s="126">
        <f>Z6+vertraging[[#This Row],[p]]*(1-Z6)+vertraging[[#This Row],[q]]*Z6*(1-Z6)</f>
        <v>0.76108782680714737</v>
      </c>
      <c r="AB6" s="126">
        <f>AA6+vertraging[[#This Row],[p]]*(1-AA6)+vertraging[[#This Row],[q]]*AA6*(1-AA6)</f>
        <v>0.8488855471488731</v>
      </c>
      <c r="AC6" s="126">
        <f>AB6+vertraging[[#This Row],[p]]*(1-AB6)+vertraging[[#This Row],[q]]*AB6*(1-AB6)</f>
        <v>0.91038890221593549</v>
      </c>
      <c r="AD6" s="126">
        <f>AC6+vertraging[[#This Row],[p]]*(1-AC6)+vertraging[[#This Row],[q]]*AC6*(1-AC6)</f>
        <v>0.94934060668263687</v>
      </c>
      <c r="AE6" s="126">
        <f>AD6+vertraging[[#This Row],[p]]*(1-AD6)+vertraging[[#This Row],[q]]*AD6*(1-AD6)</f>
        <v>0.9722489501493069</v>
      </c>
      <c r="AF6" s="126">
        <f>AE6+vertraging[[#This Row],[p]]*(1-AE6)+vertraging[[#This Row],[q]]*AE6*(1-AE6)</f>
        <v>0.98508414448286907</v>
      </c>
      <c r="AG6" s="126">
        <f>AF6+vertraging[[#This Row],[p]]*(1-AF6)+vertraging[[#This Row],[q]]*AF6*(1-AF6)</f>
        <v>0.99206905861789263</v>
      </c>
    </row>
    <row r="7" spans="1:59" x14ac:dyDescent="0.5">
      <c r="A7" s="30" t="str">
        <f>INDEX(Technologieën[Veld],MATCH(B7,Technologieën[Digitale zorgtoepassing],0))</f>
        <v>Software - Behandeling</v>
      </c>
      <c r="B7" s="30" t="s">
        <v>609</v>
      </c>
      <c r="C7" s="30" t="s">
        <v>95</v>
      </c>
      <c r="D7" s="30" t="str" cm="1">
        <f t="array" ref="D7">INDEX(Berekening_patiëntaantal[Direct toepasbaar/extrapolatie/incidentie voor QALY],MATCH(B7,IF(Berekening_patiëntaantal[Doelgroep (zoeksleutel)]=C7,Berekening_patiëntaantal[Digitale zorgtoepassing]),0))</f>
        <v>Huidige toepassing</v>
      </c>
      <c r="E7" s="440" t="s">
        <v>812</v>
      </c>
      <c r="F7" s="30" t="str">
        <f>CONCATENATE(vertraging[[#This Row],[Digitale zorgtoepassing]],"_",vertraging[[#This Row],[Doelgroep]],"_",vertraging[[#This Row],[Uitgangssituatie/effect beleid]])</f>
        <v>(Zelf)zorgplatform + telebegeleiding_COPD_Effect beleid</v>
      </c>
      <c r="G7" s="122" t="str">
        <f>INDEX(acceptatie_burgers[Impact afhankelijk van acceptatie burgers?],MATCH(B7,acceptatie_burgers[Digitale zorgtoepassing],0))</f>
        <v>Ja</v>
      </c>
      <c r="H7" s="441" cm="1">
        <f t="array" ref="H7">IF(vertraging[[#This Row],[Uitgangssituatie/effect beleid]]="Effect beleid",MAX(INDEX(aanname_implementatie[Coëfficient p],MATCH(B7,IF(aanname_implementatie[Doelgroep]=C7,aanname_implementatie[Digitale zorgtoepassing]),0))+SUMIFS(afslagen_beleid[Opslag p],afslagen_beleid[Impact afhankelijk van acceptatie burgers],vertraging[[#This Row],[Acceptatie burgers]]),0.01),INDEX(aanname_implementatie[Coëfficient p],MATCH(B7,IF(aanname_implementatie[Doelgroep]=C7,aanname_implementatie[Digitale zorgtoepassing]),0)))</f>
        <v>2.5000000000000001E-2</v>
      </c>
      <c r="I7" s="441" cm="1">
        <f t="array" ref="I7">IF(vertraging[[#This Row],[Uitgangssituatie/effect beleid]]="Effect beleid",MAX(INDEX(aanname_implementatie[Coëfficient q],MATCH(B7,IF(aanname_implementatie[Doelgroep]=C7,aanname_implementatie[Digitale zorgtoepassing]),0))+SUMIFS(afslagen_beleid[Opslag q],afslagen_beleid[Impact afhankelijk van acceptatie burgers],vertraging[[#This Row],[Acceptatie burgers]]),0.3),INDEX(aanname_implementatie[Coëfficient q],MATCH(B7,IF(aanname_implementatie[Doelgroep]=C7,aanname_implementatie[Digitale zorgtoepassing]),0)))</f>
        <v>0.45</v>
      </c>
      <c r="J7" s="17">
        <f>0</f>
        <v>0</v>
      </c>
      <c r="K7" s="17">
        <v>0</v>
      </c>
      <c r="L7" s="17">
        <v>0</v>
      </c>
      <c r="M7" s="17">
        <v>0</v>
      </c>
      <c r="N7" s="17">
        <v>0</v>
      </c>
      <c r="O7" s="17">
        <v>0</v>
      </c>
      <c r="P7" s="17">
        <v>0</v>
      </c>
      <c r="Q7" s="17">
        <v>0</v>
      </c>
      <c r="R7" s="17">
        <v>0</v>
      </c>
      <c r="S7" s="17">
        <v>0</v>
      </c>
      <c r="T7" s="17">
        <v>0</v>
      </c>
      <c r="U7" s="17">
        <v>0</v>
      </c>
      <c r="V7" s="124" cm="1">
        <f t="array" ref="V7">INDEX(aanname_implementatie[Huidige implementatiegraad],MATCH(B7,IF(aanname_implementatie[Doelgroep]=C7,aanname_implementatie[Digitale zorgtoepassing]),0))</f>
        <v>0.4</v>
      </c>
      <c r="W7" s="126">
        <f>V7+vertraging[[#This Row],[p]]*(1-V7)+vertraging[[#This Row],[q]]*V7*(1-V7)</f>
        <v>0.52300000000000002</v>
      </c>
      <c r="X7" s="126">
        <f>W7+vertraging[[#This Row],[p]]*(1-W7)+vertraging[[#This Row],[q]]*W7*(1-W7)</f>
        <v>0.64718695000000004</v>
      </c>
      <c r="Y7" s="126">
        <f>X7+vertraging[[#This Row],[p]]*(1-X7)+vertraging[[#This Row],[q]]*X7*(1-X7)</f>
        <v>0.75875847703736388</v>
      </c>
      <c r="Z7" s="126">
        <f>Y7+vertraging[[#This Row],[p]]*(1-Y7)+vertraging[[#This Row],[q]]*Y7*(1-Y7)</f>
        <v>0.84715933786401665</v>
      </c>
      <c r="AA7" s="126">
        <f>Z7+vertraging[[#This Row],[p]]*(1-Z7)+vertraging[[#This Row],[q]]*Z7*(1-Z7)</f>
        <v>0.90924653177763415</v>
      </c>
      <c r="AB7" s="126">
        <f>AA7+vertraging[[#This Row],[p]]*(1-AA7)+vertraging[[#This Row],[q]]*AA7*(1-AA7)</f>
        <v>0.94864814278578335</v>
      </c>
      <c r="AC7" s="126">
        <f>AB7+vertraging[[#This Row],[p]]*(1-AB7)+vertraging[[#This Row],[q]]*AB7*(1-AB7)</f>
        <v>0.97185361900482903</v>
      </c>
      <c r="AD7" s="126">
        <f>AC7+vertraging[[#This Row],[p]]*(1-AC7)+vertraging[[#This Row],[q]]*AC7*(1-AC7)</f>
        <v>0.98486665153412889</v>
      </c>
      <c r="AE7" s="126">
        <f>AD7+vertraging[[#This Row],[p]]*(1-AD7)+vertraging[[#This Row],[q]]*AD7*(1-AD7)</f>
        <v>0.99195193384931235</v>
      </c>
      <c r="AF7" s="126">
        <f>AE7+vertraging[[#This Row],[p]]*(1-AE7)+vertraging[[#This Row],[q]]*AE7*(1-AE7)</f>
        <v>0.99574561815494433</v>
      </c>
      <c r="AG7" s="126">
        <f>AF7+vertraging[[#This Row],[p]]*(1-AF7)+vertraging[[#This Row],[q]]*AF7*(1-AF7)</f>
        <v>0.99775830463714821</v>
      </c>
    </row>
    <row r="8" spans="1:59" s="49" customFormat="1" x14ac:dyDescent="0.5">
      <c r="A8" s="30" t="str">
        <f>INDEX(Technologieën[Veld],MATCH(B8,Technologieën[Digitale zorgtoepassing],0))</f>
        <v>Software - Behandeling</v>
      </c>
      <c r="B8" s="30" t="s">
        <v>609</v>
      </c>
      <c r="C8" s="30" t="s">
        <v>51</v>
      </c>
      <c r="D8" s="30" t="str" cm="1">
        <f t="array" ref="D8">INDEX(Berekening_patiëntaantal[Direct toepasbaar/extrapolatie/incidentie voor QALY],MATCH(B8,IF(Berekening_patiëntaantal[Doelgroep (zoeksleutel)]=C8,Berekening_patiëntaantal[Digitale zorgtoepassing]),0))</f>
        <v>Huidige toepassing</v>
      </c>
      <c r="E8" s="440" t="s">
        <v>812</v>
      </c>
      <c r="F8" s="30" t="str">
        <f>CONCATENATE(vertraging[[#This Row],[Digitale zorgtoepassing]],"_",vertraging[[#This Row],[Doelgroep]],"_",vertraging[[#This Row],[Uitgangssituatie/effect beleid]])</f>
        <v>(Zelf)zorgplatform + telebegeleiding_Hartfalen_Effect beleid</v>
      </c>
      <c r="G8" s="122" t="str">
        <f>INDEX(acceptatie_burgers[Impact afhankelijk van acceptatie burgers?],MATCH(B8,acceptatie_burgers[Digitale zorgtoepassing],0))</f>
        <v>Ja</v>
      </c>
      <c r="H8" s="441" cm="1">
        <f t="array" ref="H8">IF(vertraging[[#This Row],[Uitgangssituatie/effect beleid]]="Effect beleid",MAX(INDEX(aanname_implementatie[Coëfficient p],MATCH(B8,IF(aanname_implementatie[Doelgroep]=C8,aanname_implementatie[Digitale zorgtoepassing]),0))+SUMIFS(afslagen_beleid[Opslag p],afslagen_beleid[Impact afhankelijk van acceptatie burgers],vertraging[[#This Row],[Acceptatie burgers]]),0.01),INDEX(aanname_implementatie[Coëfficient p],MATCH(B8,IF(aanname_implementatie[Doelgroep]=C8,aanname_implementatie[Digitale zorgtoepassing]),0)))</f>
        <v>2.5000000000000001E-2</v>
      </c>
      <c r="I8" s="441" cm="1">
        <f t="array" ref="I8">IF(vertraging[[#This Row],[Uitgangssituatie/effect beleid]]="Effect beleid",MAX(INDEX(aanname_implementatie[Coëfficient q],MATCH(B8,IF(aanname_implementatie[Doelgroep]=C8,aanname_implementatie[Digitale zorgtoepassing]),0))+SUMIFS(afslagen_beleid[Opslag q],afslagen_beleid[Impact afhankelijk van acceptatie burgers],vertraging[[#This Row],[Acceptatie burgers]]),0.3),INDEX(aanname_implementatie[Coëfficient q],MATCH(B8,IF(aanname_implementatie[Doelgroep]=C8,aanname_implementatie[Digitale zorgtoepassing]),0)))</f>
        <v>0.45</v>
      </c>
      <c r="J8" s="17">
        <f>0</f>
        <v>0</v>
      </c>
      <c r="K8" s="17">
        <v>0</v>
      </c>
      <c r="L8" s="17">
        <v>0</v>
      </c>
      <c r="M8" s="17">
        <v>0</v>
      </c>
      <c r="N8" s="17">
        <v>0</v>
      </c>
      <c r="O8" s="17">
        <v>0</v>
      </c>
      <c r="P8" s="17">
        <v>0</v>
      </c>
      <c r="Q8" s="17">
        <v>0</v>
      </c>
      <c r="R8" s="17">
        <v>0</v>
      </c>
      <c r="S8" s="17">
        <v>0</v>
      </c>
      <c r="T8" s="17">
        <v>0</v>
      </c>
      <c r="U8" s="17">
        <v>0</v>
      </c>
      <c r="V8" s="124" cm="1">
        <f t="array" ref="V8">INDEX(aanname_implementatie[Huidige implementatiegraad],MATCH(B8,IF(aanname_implementatie[Doelgroep]=C8,aanname_implementatie[Digitale zorgtoepassing]),0))</f>
        <v>0.6</v>
      </c>
      <c r="W8" s="126">
        <f>V8+vertraging[[#This Row],[p]]*(1-V8)+vertraging[[#This Row],[q]]*V8*(1-V8)</f>
        <v>0.71799999999999997</v>
      </c>
      <c r="X8" s="126">
        <f>W8+vertraging[[#This Row],[p]]*(1-W8)+vertraging[[#This Row],[q]]*W8*(1-W8)</f>
        <v>0.81616420000000001</v>
      </c>
      <c r="Y8" s="126">
        <f>X8+vertraging[[#This Row],[p]]*(1-X8)+vertraging[[#This Row],[q]]*X8*(1-X8)</f>
        <v>0.88827818438726203</v>
      </c>
      <c r="Z8" s="126">
        <f>Y8+vertraging[[#This Row],[p]]*(1-Y8)+vertraging[[#This Row],[q]]*Y8*(1-Y8)</f>
        <v>0.93572925296559961</v>
      </c>
      <c r="AA8" s="126">
        <f>Z8+vertraging[[#This Row],[p]]*(1-Z8)+vertraging[[#This Row],[q]]*Z8*(1-Z8)</f>
        <v>0.9643990297909778</v>
      </c>
      <c r="AB8" s="126">
        <f>AA8+vertraging[[#This Row],[p]]*(1-AA8)+vertraging[[#This Row],[q]]*AA8*(1-AA8)</f>
        <v>0.98073914755434266</v>
      </c>
      <c r="AC8" s="126">
        <f>AB8+vertraging[[#This Row],[p]]*(1-AB8)+vertraging[[#This Row],[q]]*AB8*(1-AB8)</f>
        <v>0.98972111126940987</v>
      </c>
      <c r="AD8" s="126">
        <f>AC8+vertraging[[#This Row],[p]]*(1-AC8)+vertraging[[#This Row],[q]]*AC8*(1-AC8)</f>
        <v>0.99455603841734896</v>
      </c>
      <c r="AE8" s="126">
        <f>AD8+vertraging[[#This Row],[p]]*(1-AD8)+vertraging[[#This Row],[q]]*AD8*(1-AD8)</f>
        <v>0.9971285836461371</v>
      </c>
      <c r="AF8" s="126">
        <f>AE8+vertraging[[#This Row],[p]]*(1-AE8)+vertraging[[#This Row],[q]]*AE8*(1-AE8)</f>
        <v>0.99848879614987718</v>
      </c>
      <c r="AG8" s="126">
        <f>AF8+vertraging[[#This Row],[p]]*(1-AF8)+vertraging[[#This Row],[q]]*AF8*(1-AF8)</f>
        <v>0.99920559029700107</v>
      </c>
      <c r="AH8"/>
      <c r="AI8"/>
      <c r="AJ8"/>
      <c r="AK8"/>
      <c r="AL8"/>
      <c r="AM8"/>
      <c r="AN8"/>
      <c r="AO8"/>
      <c r="AP8"/>
      <c r="AQ8"/>
      <c r="AR8"/>
      <c r="AS8"/>
      <c r="AT8"/>
      <c r="AU8"/>
      <c r="AV8"/>
      <c r="AW8"/>
      <c r="AX8"/>
      <c r="AY8"/>
      <c r="AZ8"/>
      <c r="BA8"/>
      <c r="BB8"/>
      <c r="BC8"/>
      <c r="BD8"/>
      <c r="BE8"/>
      <c r="BF8"/>
      <c r="BG8"/>
    </row>
    <row r="9" spans="1:59" s="49" customFormat="1" x14ac:dyDescent="0.5">
      <c r="A9" s="30" t="str">
        <f>INDEX(Technologieën[Veld],MATCH(B9,Technologieën[Digitale zorgtoepassing],0))</f>
        <v>Software - Behandeling</v>
      </c>
      <c r="B9" s="30" t="s">
        <v>609</v>
      </c>
      <c r="C9" s="30" t="s">
        <v>94</v>
      </c>
      <c r="D9" s="30" t="str" cm="1">
        <f t="array" ref="D9">INDEX(Berekening_patiëntaantal[Direct toepasbaar/extrapolatie/incidentie voor QALY],MATCH(B9,IF(Berekening_patiëntaantal[Doelgroep (zoeksleutel)]=C9,Berekening_patiëntaantal[Digitale zorgtoepassing]),0))</f>
        <v>Huidige toepassing</v>
      </c>
      <c r="E9" s="440" t="s">
        <v>812</v>
      </c>
      <c r="F9" s="30" t="str">
        <f>CONCATENATE(vertraging[[#This Row],[Digitale zorgtoepassing]],"_",vertraging[[#This Row],[Doelgroep]],"_",vertraging[[#This Row],[Uitgangssituatie/effect beleid]])</f>
        <v>(Zelf)zorgplatform + telebegeleiding_Hypertensie_Effect beleid</v>
      </c>
      <c r="G9" s="122" t="str">
        <f>INDEX(acceptatie_burgers[Impact afhankelijk van acceptatie burgers?],MATCH(B9,acceptatie_burgers[Digitale zorgtoepassing],0))</f>
        <v>Ja</v>
      </c>
      <c r="H9" s="441" cm="1">
        <f t="array" ref="H9">IF(vertraging[[#This Row],[Uitgangssituatie/effect beleid]]="Effect beleid",MAX(INDEX(aanname_implementatie[Coëfficient p],MATCH(B9,IF(aanname_implementatie[Doelgroep]=C9,aanname_implementatie[Digitale zorgtoepassing]),0))+SUMIFS(afslagen_beleid[Opslag p],afslagen_beleid[Impact afhankelijk van acceptatie burgers],vertraging[[#This Row],[Acceptatie burgers]]),0.01),INDEX(aanname_implementatie[Coëfficient p],MATCH(B9,IF(aanname_implementatie[Doelgroep]=C9,aanname_implementatie[Digitale zorgtoepassing]),0)))</f>
        <v>2.5000000000000001E-2</v>
      </c>
      <c r="I9" s="441" cm="1">
        <f t="array" ref="I9">IF(vertraging[[#This Row],[Uitgangssituatie/effect beleid]]="Effect beleid",MAX(INDEX(aanname_implementatie[Coëfficient q],MATCH(B9,IF(aanname_implementatie[Doelgroep]=C9,aanname_implementatie[Digitale zorgtoepassing]),0))+SUMIFS(afslagen_beleid[Opslag q],afslagen_beleid[Impact afhankelijk van acceptatie burgers],vertraging[[#This Row],[Acceptatie burgers]]),0.3),INDEX(aanname_implementatie[Coëfficient q],MATCH(B9,IF(aanname_implementatie[Doelgroep]=C9,aanname_implementatie[Digitale zorgtoepassing]),0)))</f>
        <v>0.45</v>
      </c>
      <c r="J9" s="17">
        <f>0</f>
        <v>0</v>
      </c>
      <c r="K9" s="17">
        <v>0</v>
      </c>
      <c r="L9" s="17">
        <v>0</v>
      </c>
      <c r="M9" s="17">
        <v>0</v>
      </c>
      <c r="N9" s="17">
        <v>0</v>
      </c>
      <c r="O9" s="17">
        <v>0</v>
      </c>
      <c r="P9" s="17">
        <v>0</v>
      </c>
      <c r="Q9" s="17">
        <v>0</v>
      </c>
      <c r="R9" s="17">
        <v>0</v>
      </c>
      <c r="S9" s="17">
        <v>0</v>
      </c>
      <c r="T9" s="17">
        <v>0</v>
      </c>
      <c r="U9" s="17">
        <v>0</v>
      </c>
      <c r="V9" s="124" cm="1">
        <f t="array" ref="V9">INDEX(aanname_implementatie[Huidige implementatiegraad],MATCH(B9,IF(aanname_implementatie[Doelgroep]=C9,aanname_implementatie[Digitale zorgtoepassing]),0))</f>
        <v>0.2</v>
      </c>
      <c r="W9" s="126">
        <f>V9+vertraging[[#This Row],[p]]*(1-V9)+vertraging[[#This Row],[q]]*V9*(1-V9)</f>
        <v>0.29200000000000004</v>
      </c>
      <c r="X9" s="126">
        <f>W9+vertraging[[#This Row],[p]]*(1-W9)+vertraging[[#This Row],[q]]*W9*(1-W9)</f>
        <v>0.40273120000000007</v>
      </c>
      <c r="Y9" s="126">
        <f>X9+vertraging[[#This Row],[p]]*(1-X9)+vertraging[[#This Row],[q]]*X9*(1-X9)</f>
        <v>0.52590537124595205</v>
      </c>
      <c r="Z9" s="126">
        <f>Y9+vertraging[[#This Row],[p]]*(1-Y9)+vertraging[[#This Row],[q]]*Y9*(1-Y9)</f>
        <v>0.64995574724807748</v>
      </c>
      <c r="AA9" s="126">
        <f>Z9+vertraging[[#This Row],[p]]*(1-Z9)+vertraging[[#This Row],[q]]*Z9*(1-Z9)</f>
        <v>0.76108782680714737</v>
      </c>
      <c r="AB9" s="126">
        <f>AA9+vertraging[[#This Row],[p]]*(1-AA9)+vertraging[[#This Row],[q]]*AA9*(1-AA9)</f>
        <v>0.8488855471488731</v>
      </c>
      <c r="AC9" s="126">
        <f>AB9+vertraging[[#This Row],[p]]*(1-AB9)+vertraging[[#This Row],[q]]*AB9*(1-AB9)</f>
        <v>0.91038890221593549</v>
      </c>
      <c r="AD9" s="126">
        <f>AC9+vertraging[[#This Row],[p]]*(1-AC9)+vertraging[[#This Row],[q]]*AC9*(1-AC9)</f>
        <v>0.94934060668263687</v>
      </c>
      <c r="AE9" s="126">
        <f>AD9+vertraging[[#This Row],[p]]*(1-AD9)+vertraging[[#This Row],[q]]*AD9*(1-AD9)</f>
        <v>0.9722489501493069</v>
      </c>
      <c r="AF9" s="126">
        <f>AE9+vertraging[[#This Row],[p]]*(1-AE9)+vertraging[[#This Row],[q]]*AE9*(1-AE9)</f>
        <v>0.98508414448286907</v>
      </c>
      <c r="AG9" s="126">
        <f>AF9+vertraging[[#This Row],[p]]*(1-AF9)+vertraging[[#This Row],[q]]*AF9*(1-AF9)</f>
        <v>0.99206905861789263</v>
      </c>
      <c r="AH9"/>
      <c r="AI9"/>
      <c r="AJ9"/>
      <c r="AK9"/>
      <c r="AL9"/>
      <c r="AM9"/>
      <c r="AN9"/>
      <c r="AO9"/>
      <c r="AP9"/>
      <c r="AQ9"/>
      <c r="AR9"/>
      <c r="AS9"/>
      <c r="AT9"/>
      <c r="AU9"/>
      <c r="AV9"/>
      <c r="AW9"/>
      <c r="AX9"/>
      <c r="AY9"/>
      <c r="AZ9"/>
      <c r="BA9"/>
      <c r="BB9"/>
      <c r="BC9"/>
      <c r="BD9"/>
      <c r="BE9"/>
      <c r="BF9"/>
      <c r="BG9"/>
    </row>
    <row r="10" spans="1:59" x14ac:dyDescent="0.5">
      <c r="A10" s="30" t="str">
        <f>INDEX(Technologieën[Veld],MATCH(B10,Technologieën[Digitale zorgtoepassing],0))</f>
        <v>Software - Behandeling</v>
      </c>
      <c r="B10" s="30" t="s">
        <v>609</v>
      </c>
      <c r="C10" s="30" t="s">
        <v>81</v>
      </c>
      <c r="D10" s="30" t="str" cm="1">
        <f t="array" ref="D10">INDEX(Berekening_patiëntaantal[Direct toepasbaar/extrapolatie/incidentie voor QALY],MATCH(B10,IF(Berekening_patiëntaantal[Doelgroep (zoeksleutel)]=C10,Berekening_patiëntaantal[Digitale zorgtoepassing]),0))</f>
        <v>Huidige toepassing</v>
      </c>
      <c r="E10" s="440" t="s">
        <v>812</v>
      </c>
      <c r="F10" s="30" t="str">
        <f>CONCATENATE(vertraging[[#This Row],[Digitale zorgtoepassing]],"_",vertraging[[#This Row],[Doelgroep]],"_",vertraging[[#This Row],[Uitgangssituatie/effect beleid]])</f>
        <v>(Zelf)zorgplatform + telebegeleiding_IBD_Effect beleid</v>
      </c>
      <c r="G10" s="122" t="str">
        <f>INDEX(acceptatie_burgers[Impact afhankelijk van acceptatie burgers?],MATCH(B10,acceptatie_burgers[Digitale zorgtoepassing],0))</f>
        <v>Ja</v>
      </c>
      <c r="H10" s="441" cm="1">
        <f t="array" ref="H10">IF(vertraging[[#This Row],[Uitgangssituatie/effect beleid]]="Effect beleid",MAX(INDEX(aanname_implementatie[Coëfficient p],MATCH(B10,IF(aanname_implementatie[Doelgroep]=C10,aanname_implementatie[Digitale zorgtoepassing]),0))+SUMIFS(afslagen_beleid[Opslag p],afslagen_beleid[Impact afhankelijk van acceptatie burgers],vertraging[[#This Row],[Acceptatie burgers]]),0.01),INDEX(aanname_implementatie[Coëfficient p],MATCH(B10,IF(aanname_implementatie[Doelgroep]=C10,aanname_implementatie[Digitale zorgtoepassing]),0)))</f>
        <v>2.5000000000000001E-2</v>
      </c>
      <c r="I10" s="441" cm="1">
        <f t="array" ref="I10">IF(vertraging[[#This Row],[Uitgangssituatie/effect beleid]]="Effect beleid",MAX(INDEX(aanname_implementatie[Coëfficient q],MATCH(B10,IF(aanname_implementatie[Doelgroep]=C10,aanname_implementatie[Digitale zorgtoepassing]),0))+SUMIFS(afslagen_beleid[Opslag q],afslagen_beleid[Impact afhankelijk van acceptatie burgers],vertraging[[#This Row],[Acceptatie burgers]]),0.3),INDEX(aanname_implementatie[Coëfficient q],MATCH(B10,IF(aanname_implementatie[Doelgroep]=C10,aanname_implementatie[Digitale zorgtoepassing]),0)))</f>
        <v>0.45</v>
      </c>
      <c r="J10" s="17">
        <f>0</f>
        <v>0</v>
      </c>
      <c r="K10" s="17">
        <v>0</v>
      </c>
      <c r="L10" s="17">
        <v>0</v>
      </c>
      <c r="M10" s="17">
        <v>0</v>
      </c>
      <c r="N10" s="17">
        <v>0</v>
      </c>
      <c r="O10" s="17">
        <v>0</v>
      </c>
      <c r="P10" s="17">
        <v>0</v>
      </c>
      <c r="Q10" s="17">
        <v>0</v>
      </c>
      <c r="R10" s="17">
        <v>0</v>
      </c>
      <c r="S10" s="17">
        <v>0</v>
      </c>
      <c r="T10" s="17">
        <v>0</v>
      </c>
      <c r="U10" s="17">
        <v>0</v>
      </c>
      <c r="V10" s="124" cm="1">
        <f t="array" ref="V10">INDEX(aanname_implementatie[Huidige implementatiegraad],MATCH(B10,IF(aanname_implementatie[Doelgroep]=C10,aanname_implementatie[Digitale zorgtoepassing]),0))</f>
        <v>0.6</v>
      </c>
      <c r="W10" s="126">
        <f>V10+vertraging[[#This Row],[p]]*(1-V10)+vertraging[[#This Row],[q]]*V10*(1-V10)</f>
        <v>0.71799999999999997</v>
      </c>
      <c r="X10" s="126">
        <f>W10+vertraging[[#This Row],[p]]*(1-W10)+vertraging[[#This Row],[q]]*W10*(1-W10)</f>
        <v>0.81616420000000001</v>
      </c>
      <c r="Y10" s="126">
        <f>X10+vertraging[[#This Row],[p]]*(1-X10)+vertraging[[#This Row],[q]]*X10*(1-X10)</f>
        <v>0.88827818438726203</v>
      </c>
      <c r="Z10" s="126">
        <f>Y10+vertraging[[#This Row],[p]]*(1-Y10)+vertraging[[#This Row],[q]]*Y10*(1-Y10)</f>
        <v>0.93572925296559961</v>
      </c>
      <c r="AA10" s="126">
        <f>Z10+vertraging[[#This Row],[p]]*(1-Z10)+vertraging[[#This Row],[q]]*Z10*(1-Z10)</f>
        <v>0.9643990297909778</v>
      </c>
      <c r="AB10" s="126">
        <f>AA10+vertraging[[#This Row],[p]]*(1-AA10)+vertraging[[#This Row],[q]]*AA10*(1-AA10)</f>
        <v>0.98073914755434266</v>
      </c>
      <c r="AC10" s="126">
        <f>AB10+vertraging[[#This Row],[p]]*(1-AB10)+vertraging[[#This Row],[q]]*AB10*(1-AB10)</f>
        <v>0.98972111126940987</v>
      </c>
      <c r="AD10" s="126">
        <f>AC10+vertraging[[#This Row],[p]]*(1-AC10)+vertraging[[#This Row],[q]]*AC10*(1-AC10)</f>
        <v>0.99455603841734896</v>
      </c>
      <c r="AE10" s="126">
        <f>AD10+vertraging[[#This Row],[p]]*(1-AD10)+vertraging[[#This Row],[q]]*AD10*(1-AD10)</f>
        <v>0.9971285836461371</v>
      </c>
      <c r="AF10" s="126">
        <f>AE10+vertraging[[#This Row],[p]]*(1-AE10)+vertraging[[#This Row],[q]]*AE10*(1-AE10)</f>
        <v>0.99848879614987718</v>
      </c>
      <c r="AG10" s="126">
        <f>AF10+vertraging[[#This Row],[p]]*(1-AF10)+vertraging[[#This Row],[q]]*AF10*(1-AF10)</f>
        <v>0.99920559029700107</v>
      </c>
    </row>
    <row r="11" spans="1:59" x14ac:dyDescent="0.5">
      <c r="A11" s="30" t="str">
        <f>INDEX(Technologieën[Veld],MATCH(B11,Technologieën[Digitale zorgtoepassing],0))</f>
        <v>Software - Behandeling</v>
      </c>
      <c r="B11" s="30" t="s">
        <v>609</v>
      </c>
      <c r="C11" s="30" t="s">
        <v>109</v>
      </c>
      <c r="D11" s="30" t="str" cm="1">
        <f t="array" ref="D11">INDEX(Berekening_patiëntaantal[Direct toepasbaar/extrapolatie/incidentie voor QALY],MATCH(B11,IF(Berekening_patiëntaantal[Doelgroep (zoeksleutel)]=C11,Berekening_patiëntaantal[Digitale zorgtoepassing]),0))</f>
        <v>Huidige toepassing</v>
      </c>
      <c r="E11" s="440" t="s">
        <v>812</v>
      </c>
      <c r="F11" s="30" t="str">
        <f>CONCATENATE(vertraging[[#This Row],[Digitale zorgtoepassing]],"_",vertraging[[#This Row],[Doelgroep]],"_",vertraging[[#This Row],[Uitgangssituatie/effect beleid]])</f>
        <v>(Zelf)zorgplatform + telebegeleiding_MS_Effect beleid</v>
      </c>
      <c r="G11" s="122" t="str">
        <f>INDEX(acceptatie_burgers[Impact afhankelijk van acceptatie burgers?],MATCH(B11,acceptatie_burgers[Digitale zorgtoepassing],0))</f>
        <v>Ja</v>
      </c>
      <c r="H11" s="441" cm="1">
        <f t="array" ref="H11">IF(vertraging[[#This Row],[Uitgangssituatie/effect beleid]]="Effect beleid",MAX(INDEX(aanname_implementatie[Coëfficient p],MATCH(B11,IF(aanname_implementatie[Doelgroep]=C11,aanname_implementatie[Digitale zorgtoepassing]),0))+SUMIFS(afslagen_beleid[Opslag p],afslagen_beleid[Impact afhankelijk van acceptatie burgers],vertraging[[#This Row],[Acceptatie burgers]]),0.01),INDEX(aanname_implementatie[Coëfficient p],MATCH(B11,IF(aanname_implementatie[Doelgroep]=C11,aanname_implementatie[Digitale zorgtoepassing]),0)))</f>
        <v>2.5000000000000001E-2</v>
      </c>
      <c r="I11" s="441" cm="1">
        <f t="array" ref="I11">IF(vertraging[[#This Row],[Uitgangssituatie/effect beleid]]="Effect beleid",MAX(INDEX(aanname_implementatie[Coëfficient q],MATCH(B11,IF(aanname_implementatie[Doelgroep]=C11,aanname_implementatie[Digitale zorgtoepassing]),0))+SUMIFS(afslagen_beleid[Opslag q],afslagen_beleid[Impact afhankelijk van acceptatie burgers],vertraging[[#This Row],[Acceptatie burgers]]),0.3),INDEX(aanname_implementatie[Coëfficient q],MATCH(B11,IF(aanname_implementatie[Doelgroep]=C11,aanname_implementatie[Digitale zorgtoepassing]),0)))</f>
        <v>0.45</v>
      </c>
      <c r="J11" s="17">
        <f>0</f>
        <v>0</v>
      </c>
      <c r="K11" s="17">
        <v>0</v>
      </c>
      <c r="L11" s="17">
        <v>0</v>
      </c>
      <c r="M11" s="17">
        <v>0</v>
      </c>
      <c r="N11" s="17">
        <v>0</v>
      </c>
      <c r="O11" s="17">
        <v>0</v>
      </c>
      <c r="P11" s="17">
        <v>0</v>
      </c>
      <c r="Q11" s="17">
        <v>0</v>
      </c>
      <c r="R11" s="17">
        <v>0</v>
      </c>
      <c r="S11" s="17">
        <v>0</v>
      </c>
      <c r="T11" s="17">
        <v>0</v>
      </c>
      <c r="U11" s="17">
        <v>0</v>
      </c>
      <c r="V11" s="124" cm="1">
        <f t="array" ref="V11">INDEX(aanname_implementatie[Huidige implementatiegraad],MATCH(B11,IF(aanname_implementatie[Doelgroep]=C11,aanname_implementatie[Digitale zorgtoepassing]),0))</f>
        <v>0.4</v>
      </c>
      <c r="W11" s="126">
        <f>V11+vertraging[[#This Row],[p]]*(1-V11)+vertraging[[#This Row],[q]]*V11*(1-V11)</f>
        <v>0.52300000000000002</v>
      </c>
      <c r="X11" s="126">
        <f>W11+vertraging[[#This Row],[p]]*(1-W11)+vertraging[[#This Row],[q]]*W11*(1-W11)</f>
        <v>0.64718695000000004</v>
      </c>
      <c r="Y11" s="126">
        <f>X11+vertraging[[#This Row],[p]]*(1-X11)+vertraging[[#This Row],[q]]*X11*(1-X11)</f>
        <v>0.75875847703736388</v>
      </c>
      <c r="Z11" s="126">
        <f>Y11+vertraging[[#This Row],[p]]*(1-Y11)+vertraging[[#This Row],[q]]*Y11*(1-Y11)</f>
        <v>0.84715933786401665</v>
      </c>
      <c r="AA11" s="126">
        <f>Z11+vertraging[[#This Row],[p]]*(1-Z11)+vertraging[[#This Row],[q]]*Z11*(1-Z11)</f>
        <v>0.90924653177763415</v>
      </c>
      <c r="AB11" s="126">
        <f>AA11+vertraging[[#This Row],[p]]*(1-AA11)+vertraging[[#This Row],[q]]*AA11*(1-AA11)</f>
        <v>0.94864814278578335</v>
      </c>
      <c r="AC11" s="126">
        <f>AB11+vertraging[[#This Row],[p]]*(1-AB11)+vertraging[[#This Row],[q]]*AB11*(1-AB11)</f>
        <v>0.97185361900482903</v>
      </c>
      <c r="AD11" s="126">
        <f>AC11+vertraging[[#This Row],[p]]*(1-AC11)+vertraging[[#This Row],[q]]*AC11*(1-AC11)</f>
        <v>0.98486665153412889</v>
      </c>
      <c r="AE11" s="126">
        <f>AD11+vertraging[[#This Row],[p]]*(1-AD11)+vertraging[[#This Row],[q]]*AD11*(1-AD11)</f>
        <v>0.99195193384931235</v>
      </c>
      <c r="AF11" s="126">
        <f>AE11+vertraging[[#This Row],[p]]*(1-AE11)+vertraging[[#This Row],[q]]*AE11*(1-AE11)</f>
        <v>0.99574561815494433</v>
      </c>
      <c r="AG11" s="126">
        <f>AF11+vertraging[[#This Row],[p]]*(1-AF11)+vertraging[[#This Row],[q]]*AF11*(1-AF11)</f>
        <v>0.99775830463714821</v>
      </c>
    </row>
    <row r="12" spans="1:59" s="49" customFormat="1" x14ac:dyDescent="0.5">
      <c r="A12" s="30" t="str">
        <f>INDEX(Technologieën[Veld],MATCH(B12,Technologieën[Digitale zorgtoepassing],0))</f>
        <v>Software - Behandeling</v>
      </c>
      <c r="B12" s="30" t="s">
        <v>609</v>
      </c>
      <c r="C12" s="30" t="s">
        <v>597</v>
      </c>
      <c r="D12" s="30" t="str" cm="1">
        <f t="array" ref="D12">INDEX(Berekening_patiëntaantal[Direct toepasbaar/extrapolatie/incidentie voor QALY],MATCH(B12,IF(Berekening_patiëntaantal[Doelgroep (zoeksleutel)]=C12,Berekening_patiëntaantal[Digitale zorgtoepassing]),0))</f>
        <v>Extrapolatie</v>
      </c>
      <c r="E12" s="440" t="s">
        <v>812</v>
      </c>
      <c r="F12" s="30" t="str">
        <f>CONCATENATE(vertraging[[#This Row],[Digitale zorgtoepassing]],"_",vertraging[[#This Row],[Doelgroep]],"_",vertraging[[#This Row],[Uitgangssituatie/effect beleid]])</f>
        <v>(Zelf)zorgplatform + telebegeleiding_Overig_chronisch_Effect beleid</v>
      </c>
      <c r="G12" s="122" t="str">
        <f>INDEX(acceptatie_burgers[Impact afhankelijk van acceptatie burgers?],MATCH(B12,acceptatie_burgers[Digitale zorgtoepassing],0))</f>
        <v>Ja</v>
      </c>
      <c r="H12" s="441" cm="1">
        <f t="array" ref="H12">IF(vertraging[[#This Row],[Uitgangssituatie/effect beleid]]="Effect beleid",MAX(INDEX(aanname_implementatie[Coëfficient p],MATCH(B12,IF(aanname_implementatie[Doelgroep]=C12,aanname_implementatie[Digitale zorgtoepassing]),0))+SUMIFS(afslagen_beleid[Opslag p],afslagen_beleid[Impact afhankelijk van acceptatie burgers],vertraging[[#This Row],[Acceptatie burgers]]),0.01),INDEX(aanname_implementatie[Coëfficient p],MATCH(B12,IF(aanname_implementatie[Doelgroep]=C12,aanname_implementatie[Digitale zorgtoepassing]),0)))</f>
        <v>2.5000000000000001E-2</v>
      </c>
      <c r="I12" s="441" cm="1">
        <f t="array" ref="I12">IF(vertraging[[#This Row],[Uitgangssituatie/effect beleid]]="Effect beleid",MAX(INDEX(aanname_implementatie[Coëfficient q],MATCH(B12,IF(aanname_implementatie[Doelgroep]=C12,aanname_implementatie[Digitale zorgtoepassing]),0))+SUMIFS(afslagen_beleid[Opslag q],afslagen_beleid[Impact afhankelijk van acceptatie burgers],vertraging[[#This Row],[Acceptatie burgers]]),0.3),INDEX(aanname_implementatie[Coëfficient q],MATCH(B12,IF(aanname_implementatie[Doelgroep]=C12,aanname_implementatie[Digitale zorgtoepassing]),0)))</f>
        <v>0.45</v>
      </c>
      <c r="J12" s="17">
        <f>0</f>
        <v>0</v>
      </c>
      <c r="K12" s="17">
        <v>0</v>
      </c>
      <c r="L12" s="17">
        <v>0</v>
      </c>
      <c r="M12" s="17">
        <v>0</v>
      </c>
      <c r="N12" s="17">
        <v>0</v>
      </c>
      <c r="O12" s="17">
        <v>0</v>
      </c>
      <c r="P12" s="17">
        <v>0</v>
      </c>
      <c r="Q12" s="17">
        <v>0</v>
      </c>
      <c r="R12" s="17">
        <v>0</v>
      </c>
      <c r="S12" s="17">
        <v>0</v>
      </c>
      <c r="T12" s="17">
        <v>0</v>
      </c>
      <c r="U12" s="17">
        <v>0</v>
      </c>
      <c r="V12" s="124" cm="1">
        <f t="array" ref="V12">INDEX(aanname_implementatie[Huidige implementatiegraad],MATCH(B12,IF(aanname_implementatie[Doelgroep]=C12,aanname_implementatie[Digitale zorgtoepassing]),0))</f>
        <v>0</v>
      </c>
      <c r="W12" s="126">
        <f>V12+vertraging[[#This Row],[p]]*(1-V12)+vertraging[[#This Row],[q]]*V12*(1-V12)</f>
        <v>2.5000000000000001E-2</v>
      </c>
      <c r="X12" s="126">
        <f>W12+vertraging[[#This Row],[p]]*(1-W12)+vertraging[[#This Row],[q]]*W12*(1-W12)</f>
        <v>6.0343750000000002E-2</v>
      </c>
      <c r="Y12" s="126">
        <f>X12+vertraging[[#This Row],[p]]*(1-X12)+vertraging[[#This Row],[q]]*X12*(1-X12)</f>
        <v>0.10935122807617187</v>
      </c>
      <c r="Z12" s="126">
        <f>Y12+vertraging[[#This Row],[p]]*(1-Y12)+vertraging[[#This Row],[q]]*Y12*(1-Y12)</f>
        <v>0.17544453902174978</v>
      </c>
      <c r="AA12" s="126">
        <f>Z12+vertraging[[#This Row],[p]]*(1-Z12)+vertraging[[#This Row],[q]]*Z12*(1-Z12)</f>
        <v>0.26115711428334398</v>
      </c>
      <c r="AB12" s="126">
        <f>AA12+vertraging[[#This Row],[p]]*(1-AA12)+vertraging[[#This Row],[q]]*AA12*(1-AA12)</f>
        <v>0.36645752060040354</v>
      </c>
      <c r="AC12" s="126">
        <f>AB12+vertraging[[#This Row],[p]]*(1-AB12)+vertraging[[#This Row],[q]]*AB12*(1-AB12)</f>
        <v>0.48677096537350723</v>
      </c>
      <c r="AD12" s="126">
        <f>AC12+vertraging[[#This Row],[p]]*(1-AC12)+vertraging[[#This Row],[q]]*AC12*(1-AC12)</f>
        <v>0.61202293792845253</v>
      </c>
      <c r="AE12" s="126">
        <f>AD12+vertraging[[#This Row],[p]]*(1-AD12)+vertraging[[#This Row],[q]]*AD12*(1-AD12)</f>
        <v>0.7285752521002864</v>
      </c>
      <c r="AF12" s="126">
        <f>AE12+vertraging[[#This Row],[p]]*(1-AE12)+vertraging[[#This Row],[q]]*AE12*(1-AE12)</f>
        <v>0.82434988015505994</v>
      </c>
      <c r="AG12" s="126">
        <f>AF12+vertraging[[#This Row],[p]]*(1-AF12)+vertraging[[#This Row],[q]]*AF12*(1-AF12)</f>
        <v>0.89389985301071273</v>
      </c>
      <c r="AH12"/>
      <c r="AI12"/>
      <c r="AJ12"/>
      <c r="AK12"/>
      <c r="AL12"/>
      <c r="AM12"/>
      <c r="AN12"/>
      <c r="AO12"/>
      <c r="AP12"/>
      <c r="AQ12"/>
      <c r="AR12"/>
      <c r="AS12"/>
      <c r="AT12"/>
      <c r="AU12"/>
      <c r="AV12"/>
      <c r="AW12"/>
      <c r="AX12"/>
      <c r="AY12"/>
      <c r="AZ12"/>
      <c r="BA12"/>
      <c r="BB12"/>
      <c r="BC12"/>
      <c r="BD12"/>
      <c r="BE12"/>
      <c r="BF12"/>
      <c r="BG12"/>
    </row>
    <row r="13" spans="1:59" x14ac:dyDescent="0.5">
      <c r="A13" s="33" t="str">
        <f>INDEX(Technologieën[Veld],MATCH(B13,Technologieën[Digitale zorgtoepassing],0))</f>
        <v>Software - Diagnose</v>
      </c>
      <c r="B13" s="33" t="s">
        <v>474</v>
      </c>
      <c r="C13" s="33" t="s">
        <v>111</v>
      </c>
      <c r="D13" s="33" t="str" cm="1">
        <f t="array" ref="D13">INDEX(Berekening_patiëntaantal[Direct toepasbaar/extrapolatie/incidentie voor QALY],MATCH(B13,IF(Berekening_patiëntaantal[Doelgroep (zoeksleutel)]=C13,Berekening_patiëntaantal[Digitale zorgtoepassing]),0))</f>
        <v>Huidige toepassing</v>
      </c>
      <c r="E13" s="440" t="s">
        <v>812</v>
      </c>
      <c r="F13" s="33" t="str">
        <f>CONCATENATE(vertraging[[#This Row],[Digitale zorgtoepassing]],"_",vertraging[[#This Row],[Doelgroep]],"_",vertraging[[#This Row],[Uitgangssituatie/effect beleid]])</f>
        <v>AI om diagnoses te stellen (app)_Huisartsconsult_Goedaardige huidplek_Effect beleid</v>
      </c>
      <c r="G13" s="123" t="str">
        <f>INDEX(acceptatie_burgers[Impact afhankelijk van acceptatie burgers?],MATCH(B13,acceptatie_burgers[Digitale zorgtoepassing],0))</f>
        <v>Nee</v>
      </c>
      <c r="H13" s="442" cm="1">
        <f t="array" ref="H13">IF(vertraging[[#This Row],[Uitgangssituatie/effect beleid]]="Effect beleid",MAX(INDEX(aanname_implementatie[Coëfficient p],MATCH(B13,IF(aanname_implementatie[Doelgroep]=C13,aanname_implementatie[Digitale zorgtoepassing]),0))+SUMIFS(afslagen_beleid[Opslag p],afslagen_beleid[Impact afhankelijk van acceptatie burgers],vertraging[[#This Row],[Acceptatie burgers]]),0.01),INDEX(aanname_implementatie[Coëfficient p],MATCH(B13,IF(aanname_implementatie[Doelgroep]=C13,aanname_implementatie[Digitale zorgtoepassing]),0)))</f>
        <v>0.03</v>
      </c>
      <c r="I13" s="442" cm="1">
        <f t="array" ref="I13">IF(vertraging[[#This Row],[Uitgangssituatie/effect beleid]]="Effect beleid",MAX(INDEX(aanname_implementatie[Coëfficient q],MATCH(B13,IF(aanname_implementatie[Doelgroep]=C13,aanname_implementatie[Digitale zorgtoepassing]),0))+SUMIFS(afslagen_beleid[Opslag q],afslagen_beleid[Impact afhankelijk van acceptatie burgers],vertraging[[#This Row],[Acceptatie burgers]]),0.3),INDEX(aanname_implementatie[Coëfficient q],MATCH(B13,IF(aanname_implementatie[Doelgroep]=C13,aanname_implementatie[Digitale zorgtoepassing]),0)))</f>
        <v>0.5</v>
      </c>
      <c r="J13" s="17">
        <f>0</f>
        <v>0</v>
      </c>
      <c r="K13" s="17">
        <v>0</v>
      </c>
      <c r="L13" s="17">
        <v>0</v>
      </c>
      <c r="M13" s="17">
        <v>0</v>
      </c>
      <c r="N13" s="17">
        <v>0</v>
      </c>
      <c r="O13" s="17">
        <v>0</v>
      </c>
      <c r="P13" s="17">
        <v>0</v>
      </c>
      <c r="Q13" s="17">
        <v>0</v>
      </c>
      <c r="R13" s="17">
        <v>0</v>
      </c>
      <c r="S13" s="17">
        <v>0</v>
      </c>
      <c r="T13" s="17">
        <v>0</v>
      </c>
      <c r="U13" s="17">
        <v>0</v>
      </c>
      <c r="V13" s="125" cm="1">
        <f t="array" ref="V13">INDEX(aanname_implementatie[Huidige implementatiegraad],MATCH(B13,IF(aanname_implementatie[Doelgroep]=C13,aanname_implementatie[Digitale zorgtoepassing]),0))</f>
        <v>0.4</v>
      </c>
      <c r="W13" s="126">
        <f>V13+vertraging[[#This Row],[p]]*(1-V13)+vertraging[[#This Row],[q]]*V13*(1-V13)</f>
        <v>0.53800000000000003</v>
      </c>
      <c r="X13" s="126">
        <f>W13+vertraging[[#This Row],[p]]*(1-W13)+vertraging[[#This Row],[q]]*W13*(1-W13)</f>
        <v>0.67613800000000002</v>
      </c>
      <c r="Y13" s="126">
        <f>X13+vertraging[[#This Row],[p]]*(1-X13)+vertraging[[#This Row],[q]]*X13*(1-X13)</f>
        <v>0.79534156247800003</v>
      </c>
      <c r="Z13" s="126">
        <f>Y13+vertraging[[#This Row],[p]]*(1-Y13)+vertraging[[#This Row],[q]]*Y13*(1-Y13)</f>
        <v>0.88286799634018676</v>
      </c>
      <c r="AA13" s="126">
        <f>Z13+vertraging[[#This Row],[p]]*(1-Z13)+vertraging[[#This Row],[q]]*Z13*(1-Z13)</f>
        <v>0.93808800513920654</v>
      </c>
      <c r="AB13" s="126">
        <f>AA13+vertraging[[#This Row],[p]]*(1-AA13)+vertraging[[#This Row],[q]]*AA13*(1-AA13)</f>
        <v>0.96898481486160559</v>
      </c>
      <c r="AC13" s="126">
        <f>AB13+vertraging[[#This Row],[p]]*(1-AB13)+vertraging[[#This Row],[q]]*AB13*(1-AB13)</f>
        <v>0.9849418921303702</v>
      </c>
      <c r="AD13" s="126">
        <f>AC13+vertraging[[#This Row],[p]]*(1-AC13)+vertraging[[#This Row],[q]]*AC13*(1-AC13)</f>
        <v>0.99280931599496725</v>
      </c>
      <c r="AE13" s="126">
        <f>AD13+vertraging[[#This Row],[p]]*(1-AD13)+vertraging[[#This Row],[q]]*AD13*(1-AD13)</f>
        <v>0.99659452554940442</v>
      </c>
      <c r="AF13" s="126">
        <f>AE13+vertraging[[#This Row],[p]]*(1-AE13)+vertraging[[#This Row],[q]]*AE13*(1-AE13)</f>
        <v>0.99839362838010326</v>
      </c>
      <c r="AG13" s="126">
        <f>AF13+vertraging[[#This Row],[p]]*(1-AF13)+vertraging[[#This Row],[q]]*AF13*(1-AF13)</f>
        <v>0.99924371512375787</v>
      </c>
    </row>
    <row r="14" spans="1:59" x14ac:dyDescent="0.5">
      <c r="A14" s="33" t="str">
        <f>INDEX(Technologieën[Veld],MATCH(B14,Technologieën[Digitale zorgtoepassing],0))</f>
        <v>Software - Diagnose</v>
      </c>
      <c r="B14" s="33" t="s">
        <v>473</v>
      </c>
      <c r="C14" s="33" t="s">
        <v>455</v>
      </c>
      <c r="D14" s="33" t="str" cm="1">
        <f t="array" ref="D14">INDEX(Berekening_patiëntaantal[Direct toepasbaar/extrapolatie/incidentie voor QALY],MATCH(B14,IF(Berekening_patiëntaantal[Doelgroep (zoeksleutel)]=C14,Berekening_patiëntaantal[Digitale zorgtoepassing]),0))</f>
        <v>Huidige toepassing</v>
      </c>
      <c r="E14" s="440" t="s">
        <v>812</v>
      </c>
      <c r="F14" s="33" t="str">
        <f>CONCATENATE(vertraging[[#This Row],[Digitale zorgtoepassing]],"_",vertraging[[#This Row],[Doelgroep]],"_",vertraging[[#This Row],[Uitgangssituatie/effect beleid]])</f>
        <v>AI om diagnoses te stellen (CT)_CT scan_Interstitiële longaandoening_Effect beleid</v>
      </c>
      <c r="G14" s="123" t="str">
        <f>INDEX(acceptatie_burgers[Impact afhankelijk van acceptatie burgers?],MATCH(B14,acceptatie_burgers[Digitale zorgtoepassing],0))</f>
        <v>Nee</v>
      </c>
      <c r="H14" s="442" cm="1">
        <f t="array" ref="H14">IF(vertraging[[#This Row],[Uitgangssituatie/effect beleid]]="Effect beleid",MAX(INDEX(aanname_implementatie[Coëfficient p],MATCH(B14,IF(aanname_implementatie[Doelgroep]=C14,aanname_implementatie[Digitale zorgtoepassing]),0))+SUMIFS(afslagen_beleid[Opslag p],afslagen_beleid[Impact afhankelijk van acceptatie burgers],vertraging[[#This Row],[Acceptatie burgers]]),0.01),INDEX(aanname_implementatie[Coëfficient p],MATCH(B14,IF(aanname_implementatie[Doelgroep]=C14,aanname_implementatie[Digitale zorgtoepassing]),0)))</f>
        <v>0.03</v>
      </c>
      <c r="I14" s="442" cm="1">
        <f t="array" ref="I14">IF(vertraging[[#This Row],[Uitgangssituatie/effect beleid]]="Effect beleid",MAX(INDEX(aanname_implementatie[Coëfficient q],MATCH(B14,IF(aanname_implementatie[Doelgroep]=C14,aanname_implementatie[Digitale zorgtoepassing]),0))+SUMIFS(afslagen_beleid[Opslag q],afslagen_beleid[Impact afhankelijk van acceptatie burgers],vertraging[[#This Row],[Acceptatie burgers]]),0.3),INDEX(aanname_implementatie[Coëfficient q],MATCH(B14,IF(aanname_implementatie[Doelgroep]=C14,aanname_implementatie[Digitale zorgtoepassing]),0)))</f>
        <v>0.5</v>
      </c>
      <c r="J14" s="17">
        <f>0</f>
        <v>0</v>
      </c>
      <c r="K14" s="17">
        <v>0</v>
      </c>
      <c r="L14" s="17">
        <v>0</v>
      </c>
      <c r="M14" s="17">
        <v>0</v>
      </c>
      <c r="N14" s="17">
        <v>0</v>
      </c>
      <c r="O14" s="17">
        <v>0</v>
      </c>
      <c r="P14" s="17">
        <v>0</v>
      </c>
      <c r="Q14" s="17">
        <v>0</v>
      </c>
      <c r="R14" s="17">
        <v>0</v>
      </c>
      <c r="S14" s="17">
        <v>0</v>
      </c>
      <c r="T14" s="17">
        <v>0</v>
      </c>
      <c r="U14" s="17">
        <v>0</v>
      </c>
      <c r="V14" s="125" cm="1">
        <f t="array" ref="V14">INDEX(aanname_implementatie[Huidige implementatiegraad],MATCH(B14,IF(aanname_implementatie[Doelgroep]=C14,aanname_implementatie[Digitale zorgtoepassing]),0))</f>
        <v>0.4</v>
      </c>
      <c r="W14" s="126">
        <f>V14+vertraging[[#This Row],[p]]*(1-V14)+vertraging[[#This Row],[q]]*V14*(1-V14)</f>
        <v>0.53800000000000003</v>
      </c>
      <c r="X14" s="126">
        <f>W14+vertraging[[#This Row],[p]]*(1-W14)+vertraging[[#This Row],[q]]*W14*(1-W14)</f>
        <v>0.67613800000000002</v>
      </c>
      <c r="Y14" s="126">
        <f>X14+vertraging[[#This Row],[p]]*(1-X14)+vertraging[[#This Row],[q]]*X14*(1-X14)</f>
        <v>0.79534156247800003</v>
      </c>
      <c r="Z14" s="126">
        <f>Y14+vertraging[[#This Row],[p]]*(1-Y14)+vertraging[[#This Row],[q]]*Y14*(1-Y14)</f>
        <v>0.88286799634018676</v>
      </c>
      <c r="AA14" s="126">
        <f>Z14+vertraging[[#This Row],[p]]*(1-Z14)+vertraging[[#This Row],[q]]*Z14*(1-Z14)</f>
        <v>0.93808800513920654</v>
      </c>
      <c r="AB14" s="126">
        <f>AA14+vertraging[[#This Row],[p]]*(1-AA14)+vertraging[[#This Row],[q]]*AA14*(1-AA14)</f>
        <v>0.96898481486160559</v>
      </c>
      <c r="AC14" s="126">
        <f>AB14+vertraging[[#This Row],[p]]*(1-AB14)+vertraging[[#This Row],[q]]*AB14*(1-AB14)</f>
        <v>0.9849418921303702</v>
      </c>
      <c r="AD14" s="126">
        <f>AC14+vertraging[[#This Row],[p]]*(1-AC14)+vertraging[[#This Row],[q]]*AC14*(1-AC14)</f>
        <v>0.99280931599496725</v>
      </c>
      <c r="AE14" s="126">
        <f>AD14+vertraging[[#This Row],[p]]*(1-AD14)+vertraging[[#This Row],[q]]*AD14*(1-AD14)</f>
        <v>0.99659452554940442</v>
      </c>
      <c r="AF14" s="126">
        <f>AE14+vertraging[[#This Row],[p]]*(1-AE14)+vertraging[[#This Row],[q]]*AE14*(1-AE14)</f>
        <v>0.99839362838010326</v>
      </c>
      <c r="AG14" s="126">
        <f>AF14+vertraging[[#This Row],[p]]*(1-AF14)+vertraging[[#This Row],[q]]*AF14*(1-AF14)</f>
        <v>0.99924371512375787</v>
      </c>
    </row>
    <row r="15" spans="1:59" x14ac:dyDescent="0.5">
      <c r="A15" s="33" t="str">
        <f>INDEX(Technologieën[Veld],MATCH(B15,Technologieën[Digitale zorgtoepassing],0))</f>
        <v>Software - Diagnose</v>
      </c>
      <c r="B15" s="33" t="s">
        <v>473</v>
      </c>
      <c r="C15" s="33" t="s">
        <v>451</v>
      </c>
      <c r="D15" s="33" t="str" cm="1">
        <f t="array" ref="D15">INDEX(Berekening_patiëntaantal[Direct toepasbaar/extrapolatie/incidentie voor QALY],MATCH(B15,IF(Berekening_patiëntaantal[Doelgroep (zoeksleutel)]=C15,Berekening_patiëntaantal[Digitale zorgtoepassing]),0))</f>
        <v>Huidige toepassing</v>
      </c>
      <c r="E15" s="440" t="s">
        <v>812</v>
      </c>
      <c r="F15" s="33" t="str">
        <f>CONCATENATE(vertraging[[#This Row],[Digitale zorgtoepassing]],"_",vertraging[[#This Row],[Doelgroep]],"_",vertraging[[#This Row],[Uitgangssituatie/effect beleid]])</f>
        <v>AI om diagnoses te stellen (CT)_CT scan_Longkanker_Effect beleid</v>
      </c>
      <c r="G15" s="123" t="str">
        <f>INDEX(acceptatie_burgers[Impact afhankelijk van acceptatie burgers?],MATCH(B15,acceptatie_burgers[Digitale zorgtoepassing],0))</f>
        <v>Nee</v>
      </c>
      <c r="H15" s="442" cm="1">
        <f t="array" ref="H15">IF(vertraging[[#This Row],[Uitgangssituatie/effect beleid]]="Effect beleid",MAX(INDEX(aanname_implementatie[Coëfficient p],MATCH(B15,IF(aanname_implementatie[Doelgroep]=C15,aanname_implementatie[Digitale zorgtoepassing]),0))+SUMIFS(afslagen_beleid[Opslag p],afslagen_beleid[Impact afhankelijk van acceptatie burgers],vertraging[[#This Row],[Acceptatie burgers]]),0.01),INDEX(aanname_implementatie[Coëfficient p],MATCH(B15,IF(aanname_implementatie[Doelgroep]=C15,aanname_implementatie[Digitale zorgtoepassing]),0)))</f>
        <v>0.03</v>
      </c>
      <c r="I15" s="442" cm="1">
        <f t="array" ref="I15">IF(vertraging[[#This Row],[Uitgangssituatie/effect beleid]]="Effect beleid",MAX(INDEX(aanname_implementatie[Coëfficient q],MATCH(B15,IF(aanname_implementatie[Doelgroep]=C15,aanname_implementatie[Digitale zorgtoepassing]),0))+SUMIFS(afslagen_beleid[Opslag q],afslagen_beleid[Impact afhankelijk van acceptatie burgers],vertraging[[#This Row],[Acceptatie burgers]]),0.3),INDEX(aanname_implementatie[Coëfficient q],MATCH(B15,IF(aanname_implementatie[Doelgroep]=C15,aanname_implementatie[Digitale zorgtoepassing]),0)))</f>
        <v>0.5</v>
      </c>
      <c r="J15" s="17">
        <f>0</f>
        <v>0</v>
      </c>
      <c r="K15" s="17">
        <v>0</v>
      </c>
      <c r="L15" s="17">
        <v>0</v>
      </c>
      <c r="M15" s="17">
        <v>0</v>
      </c>
      <c r="N15" s="17">
        <v>0</v>
      </c>
      <c r="O15" s="17">
        <v>0</v>
      </c>
      <c r="P15" s="17">
        <v>0</v>
      </c>
      <c r="Q15" s="17">
        <v>0</v>
      </c>
      <c r="R15" s="17">
        <v>0</v>
      </c>
      <c r="S15" s="17">
        <v>0</v>
      </c>
      <c r="T15" s="17">
        <v>0</v>
      </c>
      <c r="U15" s="17">
        <v>0</v>
      </c>
      <c r="V15" s="125" cm="1">
        <f t="array" ref="V15">INDEX(aanname_implementatie[Huidige implementatiegraad],MATCH(B15,IF(aanname_implementatie[Doelgroep]=C15,aanname_implementatie[Digitale zorgtoepassing]),0))</f>
        <v>0.4</v>
      </c>
      <c r="W15" s="126">
        <f>V15+vertraging[[#This Row],[p]]*(1-V15)+vertraging[[#This Row],[q]]*V15*(1-V15)</f>
        <v>0.53800000000000003</v>
      </c>
      <c r="X15" s="126">
        <f>W15+vertraging[[#This Row],[p]]*(1-W15)+vertraging[[#This Row],[q]]*W15*(1-W15)</f>
        <v>0.67613800000000002</v>
      </c>
      <c r="Y15" s="126">
        <f>X15+vertraging[[#This Row],[p]]*(1-X15)+vertraging[[#This Row],[q]]*X15*(1-X15)</f>
        <v>0.79534156247800003</v>
      </c>
      <c r="Z15" s="126">
        <f>Y15+vertraging[[#This Row],[p]]*(1-Y15)+vertraging[[#This Row],[q]]*Y15*(1-Y15)</f>
        <v>0.88286799634018676</v>
      </c>
      <c r="AA15" s="126">
        <f>Z15+vertraging[[#This Row],[p]]*(1-Z15)+vertraging[[#This Row],[q]]*Z15*(1-Z15)</f>
        <v>0.93808800513920654</v>
      </c>
      <c r="AB15" s="126">
        <f>AA15+vertraging[[#This Row],[p]]*(1-AA15)+vertraging[[#This Row],[q]]*AA15*(1-AA15)</f>
        <v>0.96898481486160559</v>
      </c>
      <c r="AC15" s="126">
        <f>AB15+vertraging[[#This Row],[p]]*(1-AB15)+vertraging[[#This Row],[q]]*AB15*(1-AB15)</f>
        <v>0.9849418921303702</v>
      </c>
      <c r="AD15" s="126">
        <f>AC15+vertraging[[#This Row],[p]]*(1-AC15)+vertraging[[#This Row],[q]]*AC15*(1-AC15)</f>
        <v>0.99280931599496725</v>
      </c>
      <c r="AE15" s="126">
        <f>AD15+vertraging[[#This Row],[p]]*(1-AD15)+vertraging[[#This Row],[q]]*AD15*(1-AD15)</f>
        <v>0.99659452554940442</v>
      </c>
      <c r="AF15" s="126">
        <f>AE15+vertraging[[#This Row],[p]]*(1-AE15)+vertraging[[#This Row],[q]]*AE15*(1-AE15)</f>
        <v>0.99839362838010326</v>
      </c>
      <c r="AG15" s="126">
        <f>AF15+vertraging[[#This Row],[p]]*(1-AF15)+vertraging[[#This Row],[q]]*AF15*(1-AF15)</f>
        <v>0.99924371512375787</v>
      </c>
    </row>
    <row r="16" spans="1:59" x14ac:dyDescent="0.5">
      <c r="A16" s="33" t="str">
        <f>INDEX(Technologieën[Veld],MATCH(B16,Technologieën[Digitale zorgtoepassing],0))</f>
        <v>Software - Diagnose</v>
      </c>
      <c r="B16" s="33" t="s">
        <v>473</v>
      </c>
      <c r="C16" s="33" t="s">
        <v>464</v>
      </c>
      <c r="D16" s="33" t="str" cm="1">
        <f t="array" ref="D16">INDEX(Berekening_patiëntaantal[Direct toepasbaar/extrapolatie/incidentie voor QALY],MATCH(B16,IF(Berekening_patiëntaantal[Doelgroep (zoeksleutel)]=C16,Berekening_patiëntaantal[Digitale zorgtoepassing]),0))</f>
        <v>Extrapolatie</v>
      </c>
      <c r="E16" s="440" t="s">
        <v>812</v>
      </c>
      <c r="F16" s="33" t="str">
        <f>CONCATENATE(vertraging[[#This Row],[Digitale zorgtoepassing]],"_",vertraging[[#This Row],[Doelgroep]],"_",vertraging[[#This Row],[Uitgangssituatie/effect beleid]])</f>
        <v>AI om diagnoses te stellen (CT)_CT scan_Overig_Effect beleid</v>
      </c>
      <c r="G16" s="123" t="str">
        <f>INDEX(acceptatie_burgers[Impact afhankelijk van acceptatie burgers?],MATCH(B16,acceptatie_burgers[Digitale zorgtoepassing],0))</f>
        <v>Nee</v>
      </c>
      <c r="H16" s="442" cm="1">
        <f t="array" ref="H16">IF(vertraging[[#This Row],[Uitgangssituatie/effect beleid]]="Effect beleid",MAX(INDEX(aanname_implementatie[Coëfficient p],MATCH(B16,IF(aanname_implementatie[Doelgroep]=C16,aanname_implementatie[Digitale zorgtoepassing]),0))+SUMIFS(afslagen_beleid[Opslag p],afslagen_beleid[Impact afhankelijk van acceptatie burgers],vertraging[[#This Row],[Acceptatie burgers]]),0.01),INDEX(aanname_implementatie[Coëfficient p],MATCH(B16,IF(aanname_implementatie[Doelgroep]=C16,aanname_implementatie[Digitale zorgtoepassing]),0)))</f>
        <v>0.03</v>
      </c>
      <c r="I16" s="442" cm="1">
        <f t="array" ref="I16">IF(vertraging[[#This Row],[Uitgangssituatie/effect beleid]]="Effect beleid",MAX(INDEX(aanname_implementatie[Coëfficient q],MATCH(B16,IF(aanname_implementatie[Doelgroep]=C16,aanname_implementatie[Digitale zorgtoepassing]),0))+SUMIFS(afslagen_beleid[Opslag q],afslagen_beleid[Impact afhankelijk van acceptatie burgers],vertraging[[#This Row],[Acceptatie burgers]]),0.3),INDEX(aanname_implementatie[Coëfficient q],MATCH(B16,IF(aanname_implementatie[Doelgroep]=C16,aanname_implementatie[Digitale zorgtoepassing]),0)))</f>
        <v>0.5</v>
      </c>
      <c r="J16" s="17">
        <f>0</f>
        <v>0</v>
      </c>
      <c r="K16" s="17">
        <v>0</v>
      </c>
      <c r="L16" s="17">
        <v>0</v>
      </c>
      <c r="M16" s="17">
        <v>0</v>
      </c>
      <c r="N16" s="17">
        <v>0</v>
      </c>
      <c r="O16" s="17">
        <v>0</v>
      </c>
      <c r="P16" s="17">
        <v>0</v>
      </c>
      <c r="Q16" s="17">
        <v>0</v>
      </c>
      <c r="R16" s="17">
        <v>0</v>
      </c>
      <c r="S16" s="17">
        <v>0</v>
      </c>
      <c r="T16" s="17">
        <v>0</v>
      </c>
      <c r="U16" s="17">
        <v>0</v>
      </c>
      <c r="V16" s="125" cm="1">
        <f t="array" ref="V16">INDEX(aanname_implementatie[Huidige implementatiegraad],MATCH(B16,IF(aanname_implementatie[Doelgroep]=C16,aanname_implementatie[Digitale zorgtoepassing]),0))</f>
        <v>0</v>
      </c>
      <c r="W16" s="126">
        <f>V16+vertraging[[#This Row],[p]]*(1-V16)+vertraging[[#This Row],[q]]*V16*(1-V16)</f>
        <v>0.03</v>
      </c>
      <c r="X16" s="126">
        <f>W16+vertraging[[#This Row],[p]]*(1-W16)+vertraging[[#This Row],[q]]*W16*(1-W16)</f>
        <v>7.3649999999999993E-2</v>
      </c>
      <c r="Y16" s="126">
        <f>X16+vertraging[[#This Row],[p]]*(1-X16)+vertraging[[#This Row],[q]]*X16*(1-X16)</f>
        <v>0.13555333874999997</v>
      </c>
      <c r="Z16" s="126">
        <f>Y16+vertraging[[#This Row],[p]]*(1-Y16)+vertraging[[#This Row],[q]]*Y16*(1-Y16)</f>
        <v>0.22007605413936385</v>
      </c>
      <c r="AA16" s="126">
        <f>Z16+vertraging[[#This Row],[p]]*(1-Z16)+vertraging[[#This Row],[q]]*Z16*(1-Z16)</f>
        <v>0.32929506478208875</v>
      </c>
      <c r="AB16" s="126">
        <f>AA16+vertraging[[#This Row],[p]]*(1-AA16)+vertraging[[#This Row],[q]]*AA16*(1-AA16)</f>
        <v>0.4598461253847505</v>
      </c>
      <c r="AC16" s="126">
        <f>AB16+vertraging[[#This Row],[p]]*(1-AB16)+vertraging[[#This Row],[q]]*AB16*(1-AB16)</f>
        <v>0.60024457479989934</v>
      </c>
      <c r="AD16" s="126">
        <f>AC16+vertraging[[#This Row],[p]]*(1-AC16)+vertraging[[#This Row],[q]]*AC16*(1-AC16)</f>
        <v>0.73221275016749598</v>
      </c>
      <c r="AE16" s="126">
        <f>AD16+vertraging[[#This Row],[p]]*(1-AD16)+vertraging[[#This Row],[q]]*AD16*(1-AD16)</f>
        <v>0.83828498699229514</v>
      </c>
      <c r="AF16" s="126">
        <f>AE16+vertraging[[#This Row],[p]]*(1-AE16)+vertraging[[#This Row],[q]]*AE16*(1-AE16)</f>
        <v>0.91091807117033763</v>
      </c>
      <c r="AG16" s="126">
        <f>AF16+vertraging[[#This Row],[p]]*(1-AF16)+vertraging[[#This Row],[q]]*AF16*(1-AF16)</f>
        <v>0.95416369842805215</v>
      </c>
    </row>
    <row r="17" spans="1:33" x14ac:dyDescent="0.5">
      <c r="A17" s="33" t="s">
        <v>11</v>
      </c>
      <c r="B17" s="33" t="s">
        <v>473</v>
      </c>
      <c r="C17" s="33" t="s">
        <v>75</v>
      </c>
      <c r="D17" s="33" t="str" cm="1">
        <f t="array" ref="D17">INDEX(Berekening_patiëntaantal[Direct toepasbaar/extrapolatie/incidentie voor QALY],MATCH(B17,IF(Berekening_patiëntaantal[Doelgroep (zoeksleutel)]=C17,Berekening_patiëntaantal[Digitale zorgtoepassing]),0))</f>
        <v>Incidentie voor QALY</v>
      </c>
      <c r="E17" s="440" t="s">
        <v>812</v>
      </c>
      <c r="F17" s="33" t="str">
        <f>CONCATENATE(vertraging[[#This Row],[Digitale zorgtoepassing]],"_",vertraging[[#This Row],[Doelgroep]],"_",vertraging[[#This Row],[Uitgangssituatie/effect beleid]])</f>
        <v>AI om diagnoses te stellen (CT)_Longkanker_Effect beleid</v>
      </c>
      <c r="G17" s="123" t="str">
        <f>INDEX(acceptatie_burgers[Impact afhankelijk van acceptatie burgers?],MATCH(B17,acceptatie_burgers[Digitale zorgtoepassing],0))</f>
        <v>Nee</v>
      </c>
      <c r="H17" s="442" cm="1">
        <f t="array" ref="H17">IF(vertraging[[#This Row],[Uitgangssituatie/effect beleid]]="Effect beleid",MAX(INDEX(aanname_implementatie[Coëfficient p],MATCH(B17,IF(aanname_implementatie[Doelgroep]=C17,aanname_implementatie[Digitale zorgtoepassing]),0))+SUMIFS(afslagen_beleid[Opslag p],afslagen_beleid[Impact afhankelijk van acceptatie burgers],vertraging[[#This Row],[Acceptatie burgers]]),0.01),INDEX(aanname_implementatie[Coëfficient p],MATCH(B17,IF(aanname_implementatie[Doelgroep]=C17,aanname_implementatie[Digitale zorgtoepassing]),0)))</f>
        <v>0.03</v>
      </c>
      <c r="I17" s="442" cm="1">
        <f t="array" ref="I17">IF(vertraging[[#This Row],[Uitgangssituatie/effect beleid]]="Effect beleid",MAX(INDEX(aanname_implementatie[Coëfficient q],MATCH(B17,IF(aanname_implementatie[Doelgroep]=C17,aanname_implementatie[Digitale zorgtoepassing]),0))+SUMIFS(afslagen_beleid[Opslag q],afslagen_beleid[Impact afhankelijk van acceptatie burgers],vertraging[[#This Row],[Acceptatie burgers]]),0.3),INDEX(aanname_implementatie[Coëfficient q],MATCH(B17,IF(aanname_implementatie[Doelgroep]=C17,aanname_implementatie[Digitale zorgtoepassing]),0)))</f>
        <v>0.5</v>
      </c>
      <c r="J17" s="17">
        <f>0</f>
        <v>0</v>
      </c>
      <c r="K17" s="17">
        <v>0</v>
      </c>
      <c r="L17" s="17">
        <v>0</v>
      </c>
      <c r="M17" s="17">
        <v>0</v>
      </c>
      <c r="N17" s="17">
        <v>0</v>
      </c>
      <c r="O17" s="17">
        <v>0</v>
      </c>
      <c r="P17" s="17">
        <v>0</v>
      </c>
      <c r="Q17" s="17">
        <v>0</v>
      </c>
      <c r="R17" s="17">
        <v>0</v>
      </c>
      <c r="S17" s="17">
        <v>0</v>
      </c>
      <c r="T17" s="17">
        <v>0</v>
      </c>
      <c r="U17" s="17">
        <v>0</v>
      </c>
      <c r="V17" s="125" cm="1">
        <f t="array" ref="V17">INDEX(aanname_implementatie[Huidige implementatiegraad],MATCH(B17,IF(aanname_implementatie[Doelgroep]=C17,aanname_implementatie[Digitale zorgtoepassing]),0))</f>
        <v>0.4</v>
      </c>
      <c r="W17" s="126">
        <f>V17+vertraging[[#This Row],[p]]*(1-V17)+vertraging[[#This Row],[q]]*V17*(1-V17)</f>
        <v>0.53800000000000003</v>
      </c>
      <c r="X17" s="126">
        <f>W17+vertraging[[#This Row],[p]]*(1-W17)+vertraging[[#This Row],[q]]*W17*(1-W17)</f>
        <v>0.67613800000000002</v>
      </c>
      <c r="Y17" s="126">
        <f>X17+vertraging[[#This Row],[p]]*(1-X17)+vertraging[[#This Row],[q]]*X17*(1-X17)</f>
        <v>0.79534156247800003</v>
      </c>
      <c r="Z17" s="126">
        <f>Y17+vertraging[[#This Row],[p]]*(1-Y17)+vertraging[[#This Row],[q]]*Y17*(1-Y17)</f>
        <v>0.88286799634018676</v>
      </c>
      <c r="AA17" s="126">
        <f>Z17+vertraging[[#This Row],[p]]*(1-Z17)+vertraging[[#This Row],[q]]*Z17*(1-Z17)</f>
        <v>0.93808800513920654</v>
      </c>
      <c r="AB17" s="126">
        <f>AA17+vertraging[[#This Row],[p]]*(1-AA17)+vertraging[[#This Row],[q]]*AA17*(1-AA17)</f>
        <v>0.96898481486160559</v>
      </c>
      <c r="AC17" s="126">
        <f>AB17+vertraging[[#This Row],[p]]*(1-AB17)+vertraging[[#This Row],[q]]*AB17*(1-AB17)</f>
        <v>0.9849418921303702</v>
      </c>
      <c r="AD17" s="126">
        <f>AC17+vertraging[[#This Row],[p]]*(1-AC17)+vertraging[[#This Row],[q]]*AC17*(1-AC17)</f>
        <v>0.99280931599496725</v>
      </c>
      <c r="AE17" s="126">
        <f>AD17+vertraging[[#This Row],[p]]*(1-AD17)+vertraging[[#This Row],[q]]*AD17*(1-AD17)</f>
        <v>0.99659452554940442</v>
      </c>
      <c r="AF17" s="126">
        <f>AE17+vertraging[[#This Row],[p]]*(1-AE17)+vertraging[[#This Row],[q]]*AE17*(1-AE17)</f>
        <v>0.99839362838010326</v>
      </c>
      <c r="AG17" s="126">
        <f>AF17+vertraging[[#This Row],[p]]*(1-AF17)+vertraging[[#This Row],[q]]*AF17*(1-AF17)</f>
        <v>0.99924371512375787</v>
      </c>
    </row>
    <row r="18" spans="1:33" x14ac:dyDescent="0.5">
      <c r="A18" s="33" t="str">
        <f>INDEX(Technologieën[Veld],MATCH(B18,Technologieën[Digitale zorgtoepassing],0))</f>
        <v>Software - Diagnose</v>
      </c>
      <c r="B18" s="33" t="s">
        <v>472</v>
      </c>
      <c r="C18" s="33" t="s">
        <v>465</v>
      </c>
      <c r="D18" s="33" t="str" cm="1">
        <f t="array" ref="D18">INDEX(Berekening_patiëntaantal[Direct toepasbaar/extrapolatie/incidentie voor QALY],MATCH(B18,IF(Berekening_patiëntaantal[Doelgroep (zoeksleutel)]=C18,Berekening_patiëntaantal[Digitale zorgtoepassing]),0))</f>
        <v>Extrapolatie</v>
      </c>
      <c r="E18" s="440" t="s">
        <v>812</v>
      </c>
      <c r="F18" s="33" t="str">
        <f>CONCATENATE(vertraging[[#This Row],[Digitale zorgtoepassing]],"_",vertraging[[#This Row],[Doelgroep]],"_",vertraging[[#This Row],[Uitgangssituatie/effect beleid]])</f>
        <v>AI om diagnoses te stellen (MRI)_MRI onderzoek_Overig_Effect beleid</v>
      </c>
      <c r="G18" s="123" t="str">
        <f>INDEX(acceptatie_burgers[Impact afhankelijk van acceptatie burgers?],MATCH(B18,acceptatie_burgers[Digitale zorgtoepassing],0))</f>
        <v>Nee</v>
      </c>
      <c r="H18" s="442" cm="1">
        <f t="array" ref="H18">IF(vertraging[[#This Row],[Uitgangssituatie/effect beleid]]="Effect beleid",MAX(INDEX(aanname_implementatie[Coëfficient p],MATCH(B18,IF(aanname_implementatie[Doelgroep]=C18,aanname_implementatie[Digitale zorgtoepassing]),0))+SUMIFS(afslagen_beleid[Opslag p],afslagen_beleid[Impact afhankelijk van acceptatie burgers],vertraging[[#This Row],[Acceptatie burgers]]),0.01),INDEX(aanname_implementatie[Coëfficient p],MATCH(B18,IF(aanname_implementatie[Doelgroep]=C18,aanname_implementatie[Digitale zorgtoepassing]),0)))</f>
        <v>0.03</v>
      </c>
      <c r="I18" s="442" cm="1">
        <f t="array" ref="I18">IF(vertraging[[#This Row],[Uitgangssituatie/effect beleid]]="Effect beleid",MAX(INDEX(aanname_implementatie[Coëfficient q],MATCH(B18,IF(aanname_implementatie[Doelgroep]=C18,aanname_implementatie[Digitale zorgtoepassing]),0))+SUMIFS(afslagen_beleid[Opslag q],afslagen_beleid[Impact afhankelijk van acceptatie burgers],vertraging[[#This Row],[Acceptatie burgers]]),0.3),INDEX(aanname_implementatie[Coëfficient q],MATCH(B18,IF(aanname_implementatie[Doelgroep]=C18,aanname_implementatie[Digitale zorgtoepassing]),0)))</f>
        <v>0.5</v>
      </c>
      <c r="J18" s="17">
        <f>0</f>
        <v>0</v>
      </c>
      <c r="K18" s="17">
        <v>0</v>
      </c>
      <c r="L18" s="17">
        <v>0</v>
      </c>
      <c r="M18" s="17">
        <v>0</v>
      </c>
      <c r="N18" s="17">
        <v>0</v>
      </c>
      <c r="O18" s="17">
        <v>0</v>
      </c>
      <c r="P18" s="17">
        <v>0</v>
      </c>
      <c r="Q18" s="17">
        <v>0</v>
      </c>
      <c r="R18" s="17">
        <v>0</v>
      </c>
      <c r="S18" s="17">
        <v>0</v>
      </c>
      <c r="T18" s="17">
        <v>0</v>
      </c>
      <c r="U18" s="17">
        <v>0</v>
      </c>
      <c r="V18" s="125" cm="1">
        <f t="array" ref="V18">INDEX(aanname_implementatie[Huidige implementatiegraad],MATCH(B18,IF(aanname_implementatie[Doelgroep]=C18,aanname_implementatie[Digitale zorgtoepassing]),0))</f>
        <v>0</v>
      </c>
      <c r="W18" s="126">
        <f>V18+vertraging[[#This Row],[p]]*(1-V18)+vertraging[[#This Row],[q]]*V18*(1-V18)</f>
        <v>0.03</v>
      </c>
      <c r="X18" s="126">
        <f>W18+vertraging[[#This Row],[p]]*(1-W18)+vertraging[[#This Row],[q]]*W18*(1-W18)</f>
        <v>7.3649999999999993E-2</v>
      </c>
      <c r="Y18" s="126">
        <f>X18+vertraging[[#This Row],[p]]*(1-X18)+vertraging[[#This Row],[q]]*X18*(1-X18)</f>
        <v>0.13555333874999997</v>
      </c>
      <c r="Z18" s="126">
        <f>Y18+vertraging[[#This Row],[p]]*(1-Y18)+vertraging[[#This Row],[q]]*Y18*(1-Y18)</f>
        <v>0.22007605413936385</v>
      </c>
      <c r="AA18" s="126">
        <f>Z18+vertraging[[#This Row],[p]]*(1-Z18)+vertraging[[#This Row],[q]]*Z18*(1-Z18)</f>
        <v>0.32929506478208875</v>
      </c>
      <c r="AB18" s="126">
        <f>AA18+vertraging[[#This Row],[p]]*(1-AA18)+vertraging[[#This Row],[q]]*AA18*(1-AA18)</f>
        <v>0.4598461253847505</v>
      </c>
      <c r="AC18" s="126">
        <f>AB18+vertraging[[#This Row],[p]]*(1-AB18)+vertraging[[#This Row],[q]]*AB18*(1-AB18)</f>
        <v>0.60024457479989934</v>
      </c>
      <c r="AD18" s="126">
        <f>AC18+vertraging[[#This Row],[p]]*(1-AC18)+vertraging[[#This Row],[q]]*AC18*(1-AC18)</f>
        <v>0.73221275016749598</v>
      </c>
      <c r="AE18" s="126">
        <f>AD18+vertraging[[#This Row],[p]]*(1-AD18)+vertraging[[#This Row],[q]]*AD18*(1-AD18)</f>
        <v>0.83828498699229514</v>
      </c>
      <c r="AF18" s="126">
        <f>AE18+vertraging[[#This Row],[p]]*(1-AE18)+vertraging[[#This Row],[q]]*AE18*(1-AE18)</f>
        <v>0.91091807117033763</v>
      </c>
      <c r="AG18" s="126">
        <f>AF18+vertraging[[#This Row],[p]]*(1-AF18)+vertraging[[#This Row],[q]]*AF18*(1-AF18)</f>
        <v>0.95416369842805215</v>
      </c>
    </row>
    <row r="19" spans="1:33" x14ac:dyDescent="0.5">
      <c r="A19" s="33" t="str">
        <f>INDEX(Technologieën[Veld],MATCH(B19,Technologieën[Digitale zorgtoepassing],0))</f>
        <v>Software - Diagnose</v>
      </c>
      <c r="B19" s="33" t="s">
        <v>472</v>
      </c>
      <c r="C19" s="33" t="s">
        <v>442</v>
      </c>
      <c r="D19" s="33" t="str" cm="1">
        <f t="array" ref="D19">INDEX(Berekening_patiëntaantal[Direct toepasbaar/extrapolatie/incidentie voor QALY],MATCH(B19,IF(Berekening_patiëntaantal[Doelgroep (zoeksleutel)]=C19,Berekening_patiëntaantal[Digitale zorgtoepassing]),0))</f>
        <v>Huidige toepassing</v>
      </c>
      <c r="E19" s="440" t="s">
        <v>812</v>
      </c>
      <c r="F19" s="33" t="str">
        <f>CONCATENATE(vertraging[[#This Row],[Digitale zorgtoepassing]],"_",vertraging[[#This Row],[Doelgroep]],"_",vertraging[[#This Row],[Uitgangssituatie/effect beleid]])</f>
        <v>AI om diagnoses te stellen (MRI)_MRI onderzoek_Prostaatkanker_Effect beleid</v>
      </c>
      <c r="G19" s="123" t="str">
        <f>INDEX(acceptatie_burgers[Impact afhankelijk van acceptatie burgers?],MATCH(B19,acceptatie_burgers[Digitale zorgtoepassing],0))</f>
        <v>Nee</v>
      </c>
      <c r="H19" s="442" cm="1">
        <f t="array" ref="H19">IF(vertraging[[#This Row],[Uitgangssituatie/effect beleid]]="Effect beleid",MAX(INDEX(aanname_implementatie[Coëfficient p],MATCH(B19,IF(aanname_implementatie[Doelgroep]=C19,aanname_implementatie[Digitale zorgtoepassing]),0))+SUMIFS(afslagen_beleid[Opslag p],afslagen_beleid[Impact afhankelijk van acceptatie burgers],vertraging[[#This Row],[Acceptatie burgers]]),0.01),INDEX(aanname_implementatie[Coëfficient p],MATCH(B19,IF(aanname_implementatie[Doelgroep]=C19,aanname_implementatie[Digitale zorgtoepassing]),0)))</f>
        <v>0.03</v>
      </c>
      <c r="I19" s="442" cm="1">
        <f t="array" ref="I19">IF(vertraging[[#This Row],[Uitgangssituatie/effect beleid]]="Effect beleid",MAX(INDEX(aanname_implementatie[Coëfficient q],MATCH(B19,IF(aanname_implementatie[Doelgroep]=C19,aanname_implementatie[Digitale zorgtoepassing]),0))+SUMIFS(afslagen_beleid[Opslag q],afslagen_beleid[Impact afhankelijk van acceptatie burgers],vertraging[[#This Row],[Acceptatie burgers]]),0.3),INDEX(aanname_implementatie[Coëfficient q],MATCH(B19,IF(aanname_implementatie[Doelgroep]=C19,aanname_implementatie[Digitale zorgtoepassing]),0)))</f>
        <v>0.5</v>
      </c>
      <c r="J19" s="17">
        <f>0</f>
        <v>0</v>
      </c>
      <c r="K19" s="17">
        <v>0</v>
      </c>
      <c r="L19" s="17">
        <v>0</v>
      </c>
      <c r="M19" s="17">
        <v>0</v>
      </c>
      <c r="N19" s="17">
        <v>0</v>
      </c>
      <c r="O19" s="17">
        <v>0</v>
      </c>
      <c r="P19" s="17">
        <v>0</v>
      </c>
      <c r="Q19" s="17">
        <v>0</v>
      </c>
      <c r="R19" s="17">
        <v>0</v>
      </c>
      <c r="S19" s="17">
        <v>0</v>
      </c>
      <c r="T19" s="17">
        <v>0</v>
      </c>
      <c r="U19" s="17">
        <v>0</v>
      </c>
      <c r="V19" s="125" cm="1">
        <f t="array" ref="V19">INDEX(aanname_implementatie[Huidige implementatiegraad],MATCH(B19,IF(aanname_implementatie[Doelgroep]=C19,aanname_implementatie[Digitale zorgtoepassing]),0))</f>
        <v>0.4</v>
      </c>
      <c r="W19" s="126">
        <f>V19+vertraging[[#This Row],[p]]*(1-V19)+vertraging[[#This Row],[q]]*V19*(1-V19)</f>
        <v>0.53800000000000003</v>
      </c>
      <c r="X19" s="126">
        <f>W19+vertraging[[#This Row],[p]]*(1-W19)+vertraging[[#This Row],[q]]*W19*(1-W19)</f>
        <v>0.67613800000000002</v>
      </c>
      <c r="Y19" s="126">
        <f>X19+vertraging[[#This Row],[p]]*(1-X19)+vertraging[[#This Row],[q]]*X19*(1-X19)</f>
        <v>0.79534156247800003</v>
      </c>
      <c r="Z19" s="126">
        <f>Y19+vertraging[[#This Row],[p]]*(1-Y19)+vertraging[[#This Row],[q]]*Y19*(1-Y19)</f>
        <v>0.88286799634018676</v>
      </c>
      <c r="AA19" s="126">
        <f>Z19+vertraging[[#This Row],[p]]*(1-Z19)+vertraging[[#This Row],[q]]*Z19*(1-Z19)</f>
        <v>0.93808800513920654</v>
      </c>
      <c r="AB19" s="126">
        <f>AA19+vertraging[[#This Row],[p]]*(1-AA19)+vertraging[[#This Row],[q]]*AA19*(1-AA19)</f>
        <v>0.96898481486160559</v>
      </c>
      <c r="AC19" s="126">
        <f>AB19+vertraging[[#This Row],[p]]*(1-AB19)+vertraging[[#This Row],[q]]*AB19*(1-AB19)</f>
        <v>0.9849418921303702</v>
      </c>
      <c r="AD19" s="126">
        <f>AC19+vertraging[[#This Row],[p]]*(1-AC19)+vertraging[[#This Row],[q]]*AC19*(1-AC19)</f>
        <v>0.99280931599496725</v>
      </c>
      <c r="AE19" s="126">
        <f>AD19+vertraging[[#This Row],[p]]*(1-AD19)+vertraging[[#This Row],[q]]*AD19*(1-AD19)</f>
        <v>0.99659452554940442</v>
      </c>
      <c r="AF19" s="126">
        <f>AE19+vertraging[[#This Row],[p]]*(1-AE19)+vertraging[[#This Row],[q]]*AE19*(1-AE19)</f>
        <v>0.99839362838010326</v>
      </c>
      <c r="AG19" s="126">
        <f>AF19+vertraging[[#This Row],[p]]*(1-AF19)+vertraging[[#This Row],[q]]*AF19*(1-AF19)</f>
        <v>0.99924371512375787</v>
      </c>
    </row>
    <row r="20" spans="1:33" x14ac:dyDescent="0.5">
      <c r="A20" s="33" t="str">
        <f>INDEX(Technologieën[Veld],MATCH(B20,Technologieën[Digitale zorgtoepassing],0))</f>
        <v>Software - Diagnose</v>
      </c>
      <c r="B20" s="33" t="s">
        <v>472</v>
      </c>
      <c r="C20" s="33" t="s">
        <v>71</v>
      </c>
      <c r="D20" s="33" t="str" cm="1">
        <f t="array" ref="D20">INDEX(Berekening_patiëntaantal[Direct toepasbaar/extrapolatie/incidentie voor QALY],MATCH(B20,IF(Berekening_patiëntaantal[Doelgroep (zoeksleutel)]=C20,Berekening_patiëntaantal[Digitale zorgtoepassing]),0))</f>
        <v>Incidentie voor QALY</v>
      </c>
      <c r="E20" s="440" t="s">
        <v>812</v>
      </c>
      <c r="F20" s="33" t="str">
        <f>CONCATENATE(vertraging[[#This Row],[Digitale zorgtoepassing]],"_",vertraging[[#This Row],[Doelgroep]],"_",vertraging[[#This Row],[Uitgangssituatie/effect beleid]])</f>
        <v>AI om diagnoses te stellen (MRI)_Prostaatkanker_Effect beleid</v>
      </c>
      <c r="G20" s="123" t="str">
        <f>INDEX(acceptatie_burgers[Impact afhankelijk van acceptatie burgers?],MATCH(B20,acceptatie_burgers[Digitale zorgtoepassing],0))</f>
        <v>Nee</v>
      </c>
      <c r="H20" s="442" cm="1">
        <f t="array" ref="H20">IF(vertraging[[#This Row],[Uitgangssituatie/effect beleid]]="Effect beleid",MAX(INDEX(aanname_implementatie[Coëfficient p],MATCH(B20,IF(aanname_implementatie[Doelgroep]=C20,aanname_implementatie[Digitale zorgtoepassing]),0))+SUMIFS(afslagen_beleid[Opslag p],afslagen_beleid[Impact afhankelijk van acceptatie burgers],vertraging[[#This Row],[Acceptatie burgers]]),0.01),INDEX(aanname_implementatie[Coëfficient p],MATCH(B20,IF(aanname_implementatie[Doelgroep]=C20,aanname_implementatie[Digitale zorgtoepassing]),0)))</f>
        <v>0.03</v>
      </c>
      <c r="I20" s="442" cm="1">
        <f t="array" ref="I20">IF(vertraging[[#This Row],[Uitgangssituatie/effect beleid]]="Effect beleid",MAX(INDEX(aanname_implementatie[Coëfficient q],MATCH(B20,IF(aanname_implementatie[Doelgroep]=C20,aanname_implementatie[Digitale zorgtoepassing]),0))+SUMIFS(afslagen_beleid[Opslag q],afslagen_beleid[Impact afhankelijk van acceptatie burgers],vertraging[[#This Row],[Acceptatie burgers]]),0.3),INDEX(aanname_implementatie[Coëfficient q],MATCH(B20,IF(aanname_implementatie[Doelgroep]=C20,aanname_implementatie[Digitale zorgtoepassing]),0)))</f>
        <v>0.5</v>
      </c>
      <c r="J20" s="17">
        <f>0</f>
        <v>0</v>
      </c>
      <c r="K20" s="17">
        <v>0</v>
      </c>
      <c r="L20" s="17">
        <v>0</v>
      </c>
      <c r="M20" s="17">
        <v>0</v>
      </c>
      <c r="N20" s="17">
        <v>0</v>
      </c>
      <c r="O20" s="17">
        <v>0</v>
      </c>
      <c r="P20" s="17">
        <v>0</v>
      </c>
      <c r="Q20" s="17">
        <v>0</v>
      </c>
      <c r="R20" s="17">
        <v>0</v>
      </c>
      <c r="S20" s="17">
        <v>0</v>
      </c>
      <c r="T20" s="17">
        <v>0</v>
      </c>
      <c r="U20" s="17">
        <v>0</v>
      </c>
      <c r="V20" s="125" cm="1">
        <f t="array" ref="V20">INDEX(aanname_implementatie[Huidige implementatiegraad],MATCH(B20,IF(aanname_implementatie[Doelgroep]=C20,aanname_implementatie[Digitale zorgtoepassing]),0))</f>
        <v>0.4</v>
      </c>
      <c r="W20" s="126">
        <f>V20+vertraging[[#This Row],[p]]*(1-V20)+vertraging[[#This Row],[q]]*V20*(1-V20)</f>
        <v>0.53800000000000003</v>
      </c>
      <c r="X20" s="126">
        <f>W20+vertraging[[#This Row],[p]]*(1-W20)+vertraging[[#This Row],[q]]*W20*(1-W20)</f>
        <v>0.67613800000000002</v>
      </c>
      <c r="Y20" s="126">
        <f>X20+vertraging[[#This Row],[p]]*(1-X20)+vertraging[[#This Row],[q]]*X20*(1-X20)</f>
        <v>0.79534156247800003</v>
      </c>
      <c r="Z20" s="126">
        <f>Y20+vertraging[[#This Row],[p]]*(1-Y20)+vertraging[[#This Row],[q]]*Y20*(1-Y20)</f>
        <v>0.88286799634018676</v>
      </c>
      <c r="AA20" s="126">
        <f>Z20+vertraging[[#This Row],[p]]*(1-Z20)+vertraging[[#This Row],[q]]*Z20*(1-Z20)</f>
        <v>0.93808800513920654</v>
      </c>
      <c r="AB20" s="126">
        <f>AA20+vertraging[[#This Row],[p]]*(1-AA20)+vertraging[[#This Row],[q]]*AA20*(1-AA20)</f>
        <v>0.96898481486160559</v>
      </c>
      <c r="AC20" s="126">
        <f>AB20+vertraging[[#This Row],[p]]*(1-AB20)+vertraging[[#This Row],[q]]*AB20*(1-AB20)</f>
        <v>0.9849418921303702</v>
      </c>
      <c r="AD20" s="126">
        <f>AC20+vertraging[[#This Row],[p]]*(1-AC20)+vertraging[[#This Row],[q]]*AC20*(1-AC20)</f>
        <v>0.99280931599496725</v>
      </c>
      <c r="AE20" s="126">
        <f>AD20+vertraging[[#This Row],[p]]*(1-AD20)+vertraging[[#This Row],[q]]*AD20*(1-AD20)</f>
        <v>0.99659452554940442</v>
      </c>
      <c r="AF20" s="126">
        <f>AE20+vertraging[[#This Row],[p]]*(1-AE20)+vertraging[[#This Row],[q]]*AE20*(1-AE20)</f>
        <v>0.99839362838010326</v>
      </c>
      <c r="AG20" s="126">
        <f>AF20+vertraging[[#This Row],[p]]*(1-AF20)+vertraging[[#This Row],[q]]*AF20*(1-AF20)</f>
        <v>0.99924371512375787</v>
      </c>
    </row>
    <row r="21" spans="1:33" x14ac:dyDescent="0.5">
      <c r="A21" s="33" t="str">
        <f>INDEX(Technologieën[Veld],MATCH(B21,Technologieën[Digitale zorgtoepassing],0))</f>
        <v>Software - Diagnose</v>
      </c>
      <c r="B21" s="33" t="s">
        <v>475</v>
      </c>
      <c r="C21" s="33" t="s">
        <v>460</v>
      </c>
      <c r="D21" s="33" t="str" cm="1">
        <f t="array" ref="D21">INDEX(Berekening_patiëntaantal[Direct toepasbaar/extrapolatie/incidentie voor QALY],MATCH(B21,IF(Berekening_patiëntaantal[Doelgroep (zoeksleutel)]=C21,Berekening_patiëntaantal[Digitale zorgtoepassing]),0))</f>
        <v>Huidige toepassing</v>
      </c>
      <c r="E21" s="440" t="s">
        <v>812</v>
      </c>
      <c r="F21" s="33" t="str">
        <f>CONCATENATE(vertraging[[#This Row],[Digitale zorgtoepassing]],"_",vertraging[[#This Row],[Doelgroep]],"_",vertraging[[#This Row],[Uitgangssituatie/effect beleid]])</f>
        <v>AI om diagnoses te stellen (röntgen)_Röntgenscan_Botbreuk_Effect beleid</v>
      </c>
      <c r="G21" s="123" t="str">
        <f>INDEX(acceptatie_burgers[Impact afhankelijk van acceptatie burgers?],MATCH(B21,acceptatie_burgers[Digitale zorgtoepassing],0))</f>
        <v>Nee</v>
      </c>
      <c r="H21" s="442" cm="1">
        <f t="array" ref="H21">IF(vertraging[[#This Row],[Uitgangssituatie/effect beleid]]="Effect beleid",MAX(INDEX(aanname_implementatie[Coëfficient p],MATCH(B21,IF(aanname_implementatie[Doelgroep]=C21,aanname_implementatie[Digitale zorgtoepassing]),0))+SUMIFS(afslagen_beleid[Opslag p],afslagen_beleid[Impact afhankelijk van acceptatie burgers],vertraging[[#This Row],[Acceptatie burgers]]),0.01),INDEX(aanname_implementatie[Coëfficient p],MATCH(B21,IF(aanname_implementatie[Doelgroep]=C21,aanname_implementatie[Digitale zorgtoepassing]),0)))</f>
        <v>2.5000000000000001E-2</v>
      </c>
      <c r="I21" s="442" cm="1">
        <f t="array" ref="I21">IF(vertraging[[#This Row],[Uitgangssituatie/effect beleid]]="Effect beleid",MAX(INDEX(aanname_implementatie[Coëfficient q],MATCH(B21,IF(aanname_implementatie[Doelgroep]=C21,aanname_implementatie[Digitale zorgtoepassing]),0))+SUMIFS(afslagen_beleid[Opslag q],afslagen_beleid[Impact afhankelijk van acceptatie burgers],vertraging[[#This Row],[Acceptatie burgers]]),0.3),INDEX(aanname_implementatie[Coëfficient q],MATCH(B21,IF(aanname_implementatie[Doelgroep]=C21,aanname_implementatie[Digitale zorgtoepassing]),0)))</f>
        <v>0.45</v>
      </c>
      <c r="J21" s="17">
        <f>0</f>
        <v>0</v>
      </c>
      <c r="K21" s="17">
        <v>0</v>
      </c>
      <c r="L21" s="17">
        <v>0</v>
      </c>
      <c r="M21" s="17">
        <v>0</v>
      </c>
      <c r="N21" s="17">
        <v>0</v>
      </c>
      <c r="O21" s="17">
        <v>0</v>
      </c>
      <c r="P21" s="17">
        <v>0</v>
      </c>
      <c r="Q21" s="17">
        <v>0</v>
      </c>
      <c r="R21" s="17">
        <v>0</v>
      </c>
      <c r="S21" s="17">
        <v>0</v>
      </c>
      <c r="T21" s="17">
        <v>0</v>
      </c>
      <c r="U21" s="17">
        <v>0</v>
      </c>
      <c r="V21" s="125" cm="1">
        <f t="array" ref="V21">INDEX(aanname_implementatie[Huidige implementatiegraad],MATCH(B21,IF(aanname_implementatie[Doelgroep]=C21,aanname_implementatie[Digitale zorgtoepassing]),0))</f>
        <v>0.2</v>
      </c>
      <c r="W21" s="126">
        <f>V21+vertraging[[#This Row],[p]]*(1-V21)+vertraging[[#This Row],[q]]*V21*(1-V21)</f>
        <v>0.29200000000000004</v>
      </c>
      <c r="X21" s="126">
        <f>W21+vertraging[[#This Row],[p]]*(1-W21)+vertraging[[#This Row],[q]]*W21*(1-W21)</f>
        <v>0.40273120000000007</v>
      </c>
      <c r="Y21" s="126">
        <f>X21+vertraging[[#This Row],[p]]*(1-X21)+vertraging[[#This Row],[q]]*X21*(1-X21)</f>
        <v>0.52590537124595205</v>
      </c>
      <c r="Z21" s="126">
        <f>Y21+vertraging[[#This Row],[p]]*(1-Y21)+vertraging[[#This Row],[q]]*Y21*(1-Y21)</f>
        <v>0.64995574724807748</v>
      </c>
      <c r="AA21" s="126">
        <f>Z21+vertraging[[#This Row],[p]]*(1-Z21)+vertraging[[#This Row],[q]]*Z21*(1-Z21)</f>
        <v>0.76108782680714737</v>
      </c>
      <c r="AB21" s="126">
        <f>AA21+vertraging[[#This Row],[p]]*(1-AA21)+vertraging[[#This Row],[q]]*AA21*(1-AA21)</f>
        <v>0.8488855471488731</v>
      </c>
      <c r="AC21" s="126">
        <f>AB21+vertraging[[#This Row],[p]]*(1-AB21)+vertraging[[#This Row],[q]]*AB21*(1-AB21)</f>
        <v>0.91038890221593549</v>
      </c>
      <c r="AD21" s="126">
        <f>AC21+vertraging[[#This Row],[p]]*(1-AC21)+vertraging[[#This Row],[q]]*AC21*(1-AC21)</f>
        <v>0.94934060668263687</v>
      </c>
      <c r="AE21" s="126">
        <f>AD21+vertraging[[#This Row],[p]]*(1-AD21)+vertraging[[#This Row],[q]]*AD21*(1-AD21)</f>
        <v>0.9722489501493069</v>
      </c>
      <c r="AF21" s="126">
        <f>AE21+vertraging[[#This Row],[p]]*(1-AE21)+vertraging[[#This Row],[q]]*AE21*(1-AE21)</f>
        <v>0.98508414448286907</v>
      </c>
      <c r="AG21" s="126">
        <f>AF21+vertraging[[#This Row],[p]]*(1-AF21)+vertraging[[#This Row],[q]]*AF21*(1-AF21)</f>
        <v>0.99206905861789263</v>
      </c>
    </row>
    <row r="22" spans="1:33" x14ac:dyDescent="0.5">
      <c r="A22" s="33" t="str">
        <f>INDEX(Technologieën[Veld],MATCH(B22,Technologieën[Digitale zorgtoepassing],0))</f>
        <v>Software - Diagnose</v>
      </c>
      <c r="B22" s="33" t="s">
        <v>475</v>
      </c>
      <c r="C22" s="33" t="s">
        <v>492</v>
      </c>
      <c r="D22" s="33" t="str" cm="1">
        <f t="array" ref="D22">INDEX(Berekening_patiëntaantal[Direct toepasbaar/extrapolatie/incidentie voor QALY],MATCH(B22,IF(Berekening_patiëntaantal[Doelgroep (zoeksleutel)]=C22,Berekening_patiëntaantal[Digitale zorgtoepassing]),0))</f>
        <v>Extrapolatie</v>
      </c>
      <c r="E22" s="440" t="s">
        <v>812</v>
      </c>
      <c r="F22" s="33" t="str">
        <f>CONCATENATE(vertraging[[#This Row],[Digitale zorgtoepassing]],"_",vertraging[[#This Row],[Doelgroep]],"_",vertraging[[#This Row],[Uitgangssituatie/effect beleid]])</f>
        <v>AI om diagnoses te stellen (röntgen)_Röntgenscan_Overig_Effect beleid</v>
      </c>
      <c r="G22" s="123" t="str">
        <f>INDEX(acceptatie_burgers[Impact afhankelijk van acceptatie burgers?],MATCH(B22,acceptatie_burgers[Digitale zorgtoepassing],0))</f>
        <v>Nee</v>
      </c>
      <c r="H22" s="442" cm="1">
        <f t="array" ref="H22">IF(vertraging[[#This Row],[Uitgangssituatie/effect beleid]]="Effect beleid",MAX(INDEX(aanname_implementatie[Coëfficient p],MATCH(B22,IF(aanname_implementatie[Doelgroep]=C22,aanname_implementatie[Digitale zorgtoepassing]),0))+SUMIFS(afslagen_beleid[Opslag p],afslagen_beleid[Impact afhankelijk van acceptatie burgers],vertraging[[#This Row],[Acceptatie burgers]]),0.01),INDEX(aanname_implementatie[Coëfficient p],MATCH(B22,IF(aanname_implementatie[Doelgroep]=C22,aanname_implementatie[Digitale zorgtoepassing]),0)))</f>
        <v>2.5000000000000001E-2</v>
      </c>
      <c r="I22" s="442" cm="1">
        <f t="array" ref="I22">IF(vertraging[[#This Row],[Uitgangssituatie/effect beleid]]="Effect beleid",MAX(INDEX(aanname_implementatie[Coëfficient q],MATCH(B22,IF(aanname_implementatie[Doelgroep]=C22,aanname_implementatie[Digitale zorgtoepassing]),0))+SUMIFS(afslagen_beleid[Opslag q],afslagen_beleid[Impact afhankelijk van acceptatie burgers],vertraging[[#This Row],[Acceptatie burgers]]),0.3),INDEX(aanname_implementatie[Coëfficient q],MATCH(B22,IF(aanname_implementatie[Doelgroep]=C22,aanname_implementatie[Digitale zorgtoepassing]),0)))</f>
        <v>0.45</v>
      </c>
      <c r="J22" s="17">
        <f>0</f>
        <v>0</v>
      </c>
      <c r="K22" s="17">
        <v>0</v>
      </c>
      <c r="L22" s="17">
        <v>0</v>
      </c>
      <c r="M22" s="17">
        <v>0</v>
      </c>
      <c r="N22" s="17">
        <v>0</v>
      </c>
      <c r="O22" s="17">
        <v>0</v>
      </c>
      <c r="P22" s="17">
        <v>0</v>
      </c>
      <c r="Q22" s="17">
        <v>0</v>
      </c>
      <c r="R22" s="17">
        <v>0</v>
      </c>
      <c r="S22" s="17">
        <v>0</v>
      </c>
      <c r="T22" s="17">
        <v>0</v>
      </c>
      <c r="U22" s="17">
        <v>0</v>
      </c>
      <c r="V22" s="125" cm="1">
        <f t="array" ref="V22">INDEX(aanname_implementatie[Huidige implementatiegraad],MATCH(B22,IF(aanname_implementatie[Doelgroep]=C22,aanname_implementatie[Digitale zorgtoepassing]),0))</f>
        <v>0</v>
      </c>
      <c r="W22" s="126">
        <f>V22+vertraging[[#This Row],[p]]*(1-V22)+vertraging[[#This Row],[q]]*V22*(1-V22)</f>
        <v>2.5000000000000001E-2</v>
      </c>
      <c r="X22" s="126">
        <f>W22+vertraging[[#This Row],[p]]*(1-W22)+vertraging[[#This Row],[q]]*W22*(1-W22)</f>
        <v>6.0343750000000002E-2</v>
      </c>
      <c r="Y22" s="126">
        <f>X22+vertraging[[#This Row],[p]]*(1-X22)+vertraging[[#This Row],[q]]*X22*(1-X22)</f>
        <v>0.10935122807617187</v>
      </c>
      <c r="Z22" s="126">
        <f>Y22+vertraging[[#This Row],[p]]*(1-Y22)+vertraging[[#This Row],[q]]*Y22*(1-Y22)</f>
        <v>0.17544453902174978</v>
      </c>
      <c r="AA22" s="126">
        <f>Z22+vertraging[[#This Row],[p]]*(1-Z22)+vertraging[[#This Row],[q]]*Z22*(1-Z22)</f>
        <v>0.26115711428334398</v>
      </c>
      <c r="AB22" s="126">
        <f>AA22+vertraging[[#This Row],[p]]*(1-AA22)+vertraging[[#This Row],[q]]*AA22*(1-AA22)</f>
        <v>0.36645752060040354</v>
      </c>
      <c r="AC22" s="126">
        <f>AB22+vertraging[[#This Row],[p]]*(1-AB22)+vertraging[[#This Row],[q]]*AB22*(1-AB22)</f>
        <v>0.48677096537350723</v>
      </c>
      <c r="AD22" s="126">
        <f>AC22+vertraging[[#This Row],[p]]*(1-AC22)+vertraging[[#This Row],[q]]*AC22*(1-AC22)</f>
        <v>0.61202293792845253</v>
      </c>
      <c r="AE22" s="126">
        <f>AD22+vertraging[[#This Row],[p]]*(1-AD22)+vertraging[[#This Row],[q]]*AD22*(1-AD22)</f>
        <v>0.7285752521002864</v>
      </c>
      <c r="AF22" s="126">
        <f>AE22+vertraging[[#This Row],[p]]*(1-AE22)+vertraging[[#This Row],[q]]*AE22*(1-AE22)</f>
        <v>0.82434988015505994</v>
      </c>
      <c r="AG22" s="126">
        <f>AF22+vertraging[[#This Row],[p]]*(1-AF22)+vertraging[[#This Row],[q]]*AF22*(1-AF22)</f>
        <v>0.89389985301071273</v>
      </c>
    </row>
    <row r="23" spans="1:33" x14ac:dyDescent="0.5">
      <c r="A23" s="33" t="str">
        <f>INDEX(Technologieën[Veld],MATCH(B23,Technologieën[Digitale zorgtoepassing],0))</f>
        <v>Software - Behandeling</v>
      </c>
      <c r="B23" s="33" t="s">
        <v>716</v>
      </c>
      <c r="C23" s="33" t="s">
        <v>80</v>
      </c>
      <c r="D23" s="33" t="str" cm="1">
        <f t="array" ref="D23">INDEX(Berekening_patiëntaantal[Direct toepasbaar/extrapolatie/incidentie voor QALY],MATCH(B23,IF(Berekening_patiëntaantal[Doelgroep (zoeksleutel)]=C23,Berekening_patiëntaantal[Digitale zorgtoepassing]),0))</f>
        <v>Huidige toepassing</v>
      </c>
      <c r="E23" s="440" t="s">
        <v>812</v>
      </c>
      <c r="F23" s="33" t="str">
        <f>CONCATENATE(vertraging[[#This Row],[Digitale zorgtoepassing]],"_",vertraging[[#This Row],[Doelgroep]],"_",vertraging[[#This Row],[Uitgangssituatie/effect beleid]])</f>
        <v>AI op de IC (ontslag beslissing)_IC_Effect beleid</v>
      </c>
      <c r="G23" s="123" t="str">
        <f>INDEX(acceptatie_burgers[Impact afhankelijk van acceptatie burgers?],MATCH(B23,acceptatie_burgers[Digitale zorgtoepassing],0))</f>
        <v>Nee</v>
      </c>
      <c r="H23" s="442" cm="1">
        <f t="array" ref="H23">IF(vertraging[[#This Row],[Uitgangssituatie/effect beleid]]="Effect beleid",MAX(INDEX(aanname_implementatie[Coëfficient p],MATCH(B23,IF(aanname_implementatie[Doelgroep]=C23,aanname_implementatie[Digitale zorgtoepassing]),0))+SUMIFS(afslagen_beleid[Opslag p],afslagen_beleid[Impact afhankelijk van acceptatie burgers],vertraging[[#This Row],[Acceptatie burgers]]),0.01),INDEX(aanname_implementatie[Coëfficient p],MATCH(B23,IF(aanname_implementatie[Doelgroep]=C23,aanname_implementatie[Digitale zorgtoepassing]),0)))</f>
        <v>0.02</v>
      </c>
      <c r="I23" s="442" cm="1">
        <f t="array" ref="I23">IF(vertraging[[#This Row],[Uitgangssituatie/effect beleid]]="Effect beleid",MAX(INDEX(aanname_implementatie[Coëfficient q],MATCH(B23,IF(aanname_implementatie[Doelgroep]=C23,aanname_implementatie[Digitale zorgtoepassing]),0))+SUMIFS(afslagen_beleid[Opslag q],afslagen_beleid[Impact afhankelijk van acceptatie burgers],vertraging[[#This Row],[Acceptatie burgers]]),0.3),INDEX(aanname_implementatie[Coëfficient q],MATCH(B23,IF(aanname_implementatie[Doelgroep]=C23,aanname_implementatie[Digitale zorgtoepassing]),0)))</f>
        <v>0.4</v>
      </c>
      <c r="J23" s="17">
        <f>0</f>
        <v>0</v>
      </c>
      <c r="K23" s="17">
        <v>0</v>
      </c>
      <c r="L23" s="17">
        <v>0</v>
      </c>
      <c r="M23" s="17">
        <v>0</v>
      </c>
      <c r="N23" s="17">
        <v>0</v>
      </c>
      <c r="O23" s="17">
        <v>0</v>
      </c>
      <c r="P23" s="17">
        <v>0</v>
      </c>
      <c r="Q23" s="17">
        <v>0</v>
      </c>
      <c r="R23" s="17">
        <v>0</v>
      </c>
      <c r="S23" s="17">
        <v>0</v>
      </c>
      <c r="T23" s="17">
        <v>0</v>
      </c>
      <c r="U23" s="17">
        <v>0</v>
      </c>
      <c r="V23" s="125" cm="1">
        <f t="array" ref="V23">INDEX(aanname_implementatie[Huidige implementatiegraad],MATCH(B23,IF(aanname_implementatie[Doelgroep]=C23,aanname_implementatie[Digitale zorgtoepassing]),0))</f>
        <v>0</v>
      </c>
      <c r="W23" s="126">
        <f>V23+vertraging[[#This Row],[p]]*(1-V23)+vertraging[[#This Row],[q]]*V23*(1-V23)</f>
        <v>0.02</v>
      </c>
      <c r="X23" s="126">
        <f>W23+vertraging[[#This Row],[p]]*(1-W23)+vertraging[[#This Row],[q]]*W23*(1-W23)</f>
        <v>4.7439999999999996E-2</v>
      </c>
      <c r="Y23" s="126">
        <f>X23+vertraging[[#This Row],[p]]*(1-X23)+vertraging[[#This Row],[q]]*X23*(1-X23)</f>
        <v>8.4566978560000006E-2</v>
      </c>
      <c r="Z23" s="126">
        <f>Y23+vertraging[[#This Row],[p]]*(1-Y23)+vertraging[[#This Row],[q]]*Y23*(1-Y23)</f>
        <v>0.13384180086769301</v>
      </c>
      <c r="AA23" s="126">
        <f>Z23+vertraging[[#This Row],[p]]*(1-Z23)+vertraging[[#This Row],[q]]*Z23*(1-Z23)</f>
        <v>0.19753623413361349</v>
      </c>
      <c r="AB23" s="126">
        <f>AA23+vertraging[[#This Row],[p]]*(1-AA23)+vertraging[[#This Row],[q]]*AA23*(1-AA23)</f>
        <v>0.27699177758611071</v>
      </c>
      <c r="AC23" s="126">
        <f>AB23+vertraging[[#This Row],[p]]*(1-AB23)+vertraging[[#This Row],[q]]*AB23*(1-AB23)</f>
        <v>0.37155887512870744</v>
      </c>
      <c r="AD23" s="126">
        <f>AC23+vertraging[[#This Row],[p]]*(1-AC23)+vertraging[[#This Row],[q]]*AC23*(1-AC23)</f>
        <v>0.47752884860285211</v>
      </c>
      <c r="AE23" s="126">
        <f>AD23+vertraging[[#This Row],[p]]*(1-AD23)+vertraging[[#This Row],[q]]*AD23*(1-AD23)</f>
        <v>0.5877762905727496</v>
      </c>
      <c r="AF23" s="126">
        <f>AE23+vertraging[[#This Row],[p]]*(1-AE23)+vertraging[[#This Row],[q]]*AE23*(1-AE23)</f>
        <v>0.6929388938866099</v>
      </c>
      <c r="AG23" s="126">
        <f>AF23+vertraging[[#This Row],[p]]*(1-AF23)+vertraging[[#This Row],[q]]*AF23*(1-AF23)</f>
        <v>0.78418994929920227</v>
      </c>
    </row>
    <row r="24" spans="1:33" x14ac:dyDescent="0.5">
      <c r="A24" s="33" t="str">
        <f>INDEX(Technologieën[Veld],MATCH(B24,Technologieën[Digitale zorgtoepassing],0))</f>
        <v>Software - Diagnose</v>
      </c>
      <c r="B24" s="33" t="s">
        <v>66</v>
      </c>
      <c r="C24" s="33" t="s">
        <v>69</v>
      </c>
      <c r="D24" s="33" t="str" cm="1">
        <f t="array" ref="D24">INDEX(Berekening_patiëntaantal[Direct toepasbaar/extrapolatie/incidentie voor QALY],MATCH(B24,IF(Berekening_patiëntaantal[Doelgroep (zoeksleutel)]=C24,Berekening_patiëntaantal[Digitale zorgtoepassing]),0))</f>
        <v>Huidige toepassing</v>
      </c>
      <c r="E24" s="440" t="s">
        <v>812</v>
      </c>
      <c r="F24" s="33" t="str">
        <f>CONCATENATE(vertraging[[#This Row],[Digitale zorgtoepassing]],"_",vertraging[[#This Row],[Doelgroep]],"_",vertraging[[#This Row],[Uitgangssituatie/effect beleid]])</f>
        <v>Apps voor cognitieve testen_Mild Cognitive Impairment_Effect beleid</v>
      </c>
      <c r="G24" s="123" t="str">
        <f>INDEX(acceptatie_burgers[Impact afhankelijk van acceptatie burgers?],MATCH(B24,acceptatie_burgers[Digitale zorgtoepassing],0))</f>
        <v>Ja</v>
      </c>
      <c r="H24" s="442" cm="1">
        <f t="array" ref="H24">IF(vertraging[[#This Row],[Uitgangssituatie/effect beleid]]="Effect beleid",MAX(INDEX(aanname_implementatie[Coëfficient p],MATCH(B24,IF(aanname_implementatie[Doelgroep]=C24,aanname_implementatie[Digitale zorgtoepassing]),0))+SUMIFS(afslagen_beleid[Opslag p],afslagen_beleid[Impact afhankelijk van acceptatie burgers],vertraging[[#This Row],[Acceptatie burgers]]),0.01),INDEX(aanname_implementatie[Coëfficient p],MATCH(B24,IF(aanname_implementatie[Doelgroep]=C24,aanname_implementatie[Digitale zorgtoepassing]),0)))</f>
        <v>0.02</v>
      </c>
      <c r="I24" s="442" cm="1">
        <f t="array" ref="I24">IF(vertraging[[#This Row],[Uitgangssituatie/effect beleid]]="Effect beleid",MAX(INDEX(aanname_implementatie[Coëfficient q],MATCH(B24,IF(aanname_implementatie[Doelgroep]=C24,aanname_implementatie[Digitale zorgtoepassing]),0))+SUMIFS(afslagen_beleid[Opslag q],afslagen_beleid[Impact afhankelijk van acceptatie burgers],vertraging[[#This Row],[Acceptatie burgers]]),0.3),INDEX(aanname_implementatie[Coëfficient q],MATCH(B24,IF(aanname_implementatie[Doelgroep]=C24,aanname_implementatie[Digitale zorgtoepassing]),0)))</f>
        <v>0.4</v>
      </c>
      <c r="J24" s="17">
        <f>0</f>
        <v>0</v>
      </c>
      <c r="K24" s="17">
        <v>0</v>
      </c>
      <c r="L24" s="17">
        <v>0</v>
      </c>
      <c r="M24" s="17">
        <v>0</v>
      </c>
      <c r="N24" s="17">
        <v>0</v>
      </c>
      <c r="O24" s="17">
        <v>0</v>
      </c>
      <c r="P24" s="17">
        <v>0</v>
      </c>
      <c r="Q24" s="17">
        <v>0</v>
      </c>
      <c r="R24" s="17">
        <v>0</v>
      </c>
      <c r="S24" s="17">
        <v>0</v>
      </c>
      <c r="T24" s="17">
        <v>0</v>
      </c>
      <c r="U24" s="17">
        <v>0</v>
      </c>
      <c r="V24" s="125" cm="1">
        <f t="array" ref="V24">INDEX(aanname_implementatie[Huidige implementatiegraad],MATCH(B24,IF(aanname_implementatie[Doelgroep]=C24,aanname_implementatie[Digitale zorgtoepassing]),0))</f>
        <v>0</v>
      </c>
      <c r="W24" s="126">
        <f>V24+vertraging[[#This Row],[p]]*(1-V24)+vertraging[[#This Row],[q]]*V24*(1-V24)</f>
        <v>0.02</v>
      </c>
      <c r="X24" s="126">
        <f>W24+vertraging[[#This Row],[p]]*(1-W24)+vertraging[[#This Row],[q]]*W24*(1-W24)</f>
        <v>4.7439999999999996E-2</v>
      </c>
      <c r="Y24" s="126">
        <f>X24+vertraging[[#This Row],[p]]*(1-X24)+vertraging[[#This Row],[q]]*X24*(1-X24)</f>
        <v>8.4566978560000006E-2</v>
      </c>
      <c r="Z24" s="126">
        <f>Y24+vertraging[[#This Row],[p]]*(1-Y24)+vertraging[[#This Row],[q]]*Y24*(1-Y24)</f>
        <v>0.13384180086769301</v>
      </c>
      <c r="AA24" s="126">
        <f>Z24+vertraging[[#This Row],[p]]*(1-Z24)+vertraging[[#This Row],[q]]*Z24*(1-Z24)</f>
        <v>0.19753623413361349</v>
      </c>
      <c r="AB24" s="126">
        <f>AA24+vertraging[[#This Row],[p]]*(1-AA24)+vertraging[[#This Row],[q]]*AA24*(1-AA24)</f>
        <v>0.27699177758611071</v>
      </c>
      <c r="AC24" s="126">
        <f>AB24+vertraging[[#This Row],[p]]*(1-AB24)+vertraging[[#This Row],[q]]*AB24*(1-AB24)</f>
        <v>0.37155887512870744</v>
      </c>
      <c r="AD24" s="126">
        <f>AC24+vertraging[[#This Row],[p]]*(1-AC24)+vertraging[[#This Row],[q]]*AC24*(1-AC24)</f>
        <v>0.47752884860285211</v>
      </c>
      <c r="AE24" s="126">
        <f>AD24+vertraging[[#This Row],[p]]*(1-AD24)+vertraging[[#This Row],[q]]*AD24*(1-AD24)</f>
        <v>0.5877762905727496</v>
      </c>
      <c r="AF24" s="126">
        <f>AE24+vertraging[[#This Row],[p]]*(1-AE24)+vertraging[[#This Row],[q]]*AE24*(1-AE24)</f>
        <v>0.6929388938866099</v>
      </c>
      <c r="AG24" s="126">
        <f>AF24+vertraging[[#This Row],[p]]*(1-AF24)+vertraging[[#This Row],[q]]*AF24*(1-AF24)</f>
        <v>0.78418994929920227</v>
      </c>
    </row>
    <row r="25" spans="1:33" x14ac:dyDescent="0.5">
      <c r="A25" s="30" t="str">
        <f>INDEX(Technologieën[Veld],MATCH(B25,Technologieën[Digitale zorgtoepassing],0))</f>
        <v>Software - Diagnose</v>
      </c>
      <c r="B25" s="30" t="s">
        <v>66</v>
      </c>
      <c r="C25" s="30" t="s">
        <v>67</v>
      </c>
      <c r="D25" s="30" t="str" cm="1">
        <f t="array" ref="D25">INDEX(Berekening_patiëntaantal[Direct toepasbaar/extrapolatie/incidentie voor QALY],MATCH(B25,IF(Berekening_patiëntaantal[Doelgroep (zoeksleutel)]=C25,Berekening_patiëntaantal[Digitale zorgtoepassing]),0))</f>
        <v>Huidige toepassing</v>
      </c>
      <c r="E25" s="440" t="s">
        <v>812</v>
      </c>
      <c r="F25" s="30" t="str">
        <f>CONCATENATE(vertraging[[#This Row],[Digitale zorgtoepassing]],"_",vertraging[[#This Row],[Doelgroep]],"_",vertraging[[#This Row],[Uitgangssituatie/effect beleid]])</f>
        <v>Apps voor cognitieve testen_Multiple Sclerosis_Effect beleid</v>
      </c>
      <c r="G25" s="122" t="str">
        <f>INDEX(acceptatie_burgers[Impact afhankelijk van acceptatie burgers?],MATCH(B25,acceptatie_burgers[Digitale zorgtoepassing],0))</f>
        <v>Ja</v>
      </c>
      <c r="H25" s="441" cm="1">
        <f t="array" ref="H25">IF(vertraging[[#This Row],[Uitgangssituatie/effect beleid]]="Effect beleid",MAX(INDEX(aanname_implementatie[Coëfficient p],MATCH(B25,IF(aanname_implementatie[Doelgroep]=C25,aanname_implementatie[Digitale zorgtoepassing]),0))+SUMIFS(afslagen_beleid[Opslag p],afslagen_beleid[Impact afhankelijk van acceptatie burgers],vertraging[[#This Row],[Acceptatie burgers]]),0.01),INDEX(aanname_implementatie[Coëfficient p],MATCH(B25,IF(aanname_implementatie[Doelgroep]=C25,aanname_implementatie[Digitale zorgtoepassing]),0)))</f>
        <v>0.02</v>
      </c>
      <c r="I25" s="441" cm="1">
        <f t="array" ref="I25">IF(vertraging[[#This Row],[Uitgangssituatie/effect beleid]]="Effect beleid",MAX(INDEX(aanname_implementatie[Coëfficient q],MATCH(B25,IF(aanname_implementatie[Doelgroep]=C25,aanname_implementatie[Digitale zorgtoepassing]),0))+SUMIFS(afslagen_beleid[Opslag q],afslagen_beleid[Impact afhankelijk van acceptatie burgers],vertraging[[#This Row],[Acceptatie burgers]]),0.3),INDEX(aanname_implementatie[Coëfficient q],MATCH(B25,IF(aanname_implementatie[Doelgroep]=C25,aanname_implementatie[Digitale zorgtoepassing]),0)))</f>
        <v>0.4</v>
      </c>
      <c r="J25" s="17">
        <f>0</f>
        <v>0</v>
      </c>
      <c r="K25" s="17">
        <v>0</v>
      </c>
      <c r="L25" s="17">
        <v>0</v>
      </c>
      <c r="M25" s="17">
        <v>0</v>
      </c>
      <c r="N25" s="17">
        <v>0</v>
      </c>
      <c r="O25" s="17">
        <v>0</v>
      </c>
      <c r="P25" s="17">
        <v>0</v>
      </c>
      <c r="Q25" s="17">
        <v>0</v>
      </c>
      <c r="R25" s="17">
        <v>0</v>
      </c>
      <c r="S25" s="17">
        <v>0</v>
      </c>
      <c r="T25" s="17">
        <v>0</v>
      </c>
      <c r="U25" s="17">
        <v>0</v>
      </c>
      <c r="V25" s="124" cm="1">
        <f t="array" ref="V25">INDEX(aanname_implementatie[Huidige implementatiegraad],MATCH(B25,IF(aanname_implementatie[Doelgroep]=C25,aanname_implementatie[Digitale zorgtoepassing]),0))</f>
        <v>0</v>
      </c>
      <c r="W25" s="126">
        <f>V25+vertraging[[#This Row],[p]]*(1-V25)+vertraging[[#This Row],[q]]*V25*(1-V25)</f>
        <v>0.02</v>
      </c>
      <c r="X25" s="126">
        <f>W25+vertraging[[#This Row],[p]]*(1-W25)+vertraging[[#This Row],[q]]*W25*(1-W25)</f>
        <v>4.7439999999999996E-2</v>
      </c>
      <c r="Y25" s="126">
        <f>X25+vertraging[[#This Row],[p]]*(1-X25)+vertraging[[#This Row],[q]]*X25*(1-X25)</f>
        <v>8.4566978560000006E-2</v>
      </c>
      <c r="Z25" s="126">
        <f>Y25+vertraging[[#This Row],[p]]*(1-Y25)+vertraging[[#This Row],[q]]*Y25*(1-Y25)</f>
        <v>0.13384180086769301</v>
      </c>
      <c r="AA25" s="126">
        <f>Z25+vertraging[[#This Row],[p]]*(1-Z25)+vertraging[[#This Row],[q]]*Z25*(1-Z25)</f>
        <v>0.19753623413361349</v>
      </c>
      <c r="AB25" s="126">
        <f>AA25+vertraging[[#This Row],[p]]*(1-AA25)+vertraging[[#This Row],[q]]*AA25*(1-AA25)</f>
        <v>0.27699177758611071</v>
      </c>
      <c r="AC25" s="126">
        <f>AB25+vertraging[[#This Row],[p]]*(1-AB25)+vertraging[[#This Row],[q]]*AB25*(1-AB25)</f>
        <v>0.37155887512870744</v>
      </c>
      <c r="AD25" s="126">
        <f>AC25+vertraging[[#This Row],[p]]*(1-AC25)+vertraging[[#This Row],[q]]*AC25*(1-AC25)</f>
        <v>0.47752884860285211</v>
      </c>
      <c r="AE25" s="126">
        <f>AD25+vertraging[[#This Row],[p]]*(1-AD25)+vertraging[[#This Row],[q]]*AD25*(1-AD25)</f>
        <v>0.5877762905727496</v>
      </c>
      <c r="AF25" s="126">
        <f>AE25+vertraging[[#This Row],[p]]*(1-AE25)+vertraging[[#This Row],[q]]*AE25*(1-AE25)</f>
        <v>0.6929388938866099</v>
      </c>
      <c r="AG25" s="126">
        <f>AF25+vertraging[[#This Row],[p]]*(1-AF25)+vertraging[[#This Row],[q]]*AF25*(1-AF25)</f>
        <v>0.78418994929920227</v>
      </c>
    </row>
    <row r="26" spans="1:33" x14ac:dyDescent="0.5">
      <c r="A26" s="30" t="str">
        <f>INDEX(Technologieën[Veld],MATCH(B26,Technologieën[Digitale zorgtoepassing],0))</f>
        <v>Software - Diagnose</v>
      </c>
      <c r="B26" s="30" t="s">
        <v>76</v>
      </c>
      <c r="C26" s="30" t="s">
        <v>384</v>
      </c>
      <c r="D26" s="30" t="str" cm="1">
        <f t="array" ref="D26">INDEX(Berekening_patiëntaantal[Direct toepasbaar/extrapolatie/incidentie voor QALY],MATCH(B26,IF(Berekening_patiëntaantal[Doelgroep (zoeksleutel)]=C26,Berekening_patiëntaantal[Digitale zorgtoepassing]),0))</f>
        <v>Huidige toepassing</v>
      </c>
      <c r="E26" s="440" t="s">
        <v>812</v>
      </c>
      <c r="F26" s="30" t="str">
        <f>CONCATENATE(vertraging[[#This Row],[Digitale zorgtoepassing]],"_",vertraging[[#This Row],[Doelgroep]],"_",vertraging[[#This Row],[Uitgangssituatie/effect beleid]])</f>
        <v>Deltascan voor delier opsporing_Ouderen ziekenhuis delier_Effect beleid</v>
      </c>
      <c r="G26" s="122" t="str">
        <f>INDEX(acceptatie_burgers[Impact afhankelijk van acceptatie burgers?],MATCH(B26,acceptatie_burgers[Digitale zorgtoepassing],0))</f>
        <v>Nee</v>
      </c>
      <c r="H26" s="441" cm="1">
        <f t="array" ref="H26">IF(vertraging[[#This Row],[Uitgangssituatie/effect beleid]]="Effect beleid",MAX(INDEX(aanname_implementatie[Coëfficient p],MATCH(B26,IF(aanname_implementatie[Doelgroep]=C26,aanname_implementatie[Digitale zorgtoepassing]),0))+SUMIFS(afslagen_beleid[Opslag p],afslagen_beleid[Impact afhankelijk van acceptatie burgers],vertraging[[#This Row],[Acceptatie burgers]]),0.01),INDEX(aanname_implementatie[Coëfficient p],MATCH(B26,IF(aanname_implementatie[Doelgroep]=C26,aanname_implementatie[Digitale zorgtoepassing]),0)))</f>
        <v>2.5000000000000001E-2</v>
      </c>
      <c r="I26" s="441" cm="1">
        <f t="array" ref="I26">IF(vertraging[[#This Row],[Uitgangssituatie/effect beleid]]="Effect beleid",MAX(INDEX(aanname_implementatie[Coëfficient q],MATCH(B26,IF(aanname_implementatie[Doelgroep]=C26,aanname_implementatie[Digitale zorgtoepassing]),0))+SUMIFS(afslagen_beleid[Opslag q],afslagen_beleid[Impact afhankelijk van acceptatie burgers],vertraging[[#This Row],[Acceptatie burgers]]),0.3),INDEX(aanname_implementatie[Coëfficient q],MATCH(B26,IF(aanname_implementatie[Doelgroep]=C26,aanname_implementatie[Digitale zorgtoepassing]),0)))</f>
        <v>0.45</v>
      </c>
      <c r="J26" s="17">
        <f>0</f>
        <v>0</v>
      </c>
      <c r="K26" s="17">
        <v>0</v>
      </c>
      <c r="L26" s="17">
        <v>0</v>
      </c>
      <c r="M26" s="17">
        <v>0</v>
      </c>
      <c r="N26" s="17">
        <v>0</v>
      </c>
      <c r="O26" s="17">
        <v>0</v>
      </c>
      <c r="P26" s="17">
        <v>0</v>
      </c>
      <c r="Q26" s="17">
        <v>0</v>
      </c>
      <c r="R26" s="17">
        <v>0</v>
      </c>
      <c r="S26" s="17">
        <v>0</v>
      </c>
      <c r="T26" s="17">
        <v>0</v>
      </c>
      <c r="U26" s="17">
        <v>0</v>
      </c>
      <c r="V26" s="124" cm="1">
        <f t="array" ref="V26">INDEX(aanname_implementatie[Huidige implementatiegraad],MATCH(B26,IF(aanname_implementatie[Doelgroep]=C26,aanname_implementatie[Digitale zorgtoepassing]),0))</f>
        <v>0.4</v>
      </c>
      <c r="W26" s="126">
        <f>V26+vertraging[[#This Row],[p]]*(1-V26)+vertraging[[#This Row],[q]]*V26*(1-V26)</f>
        <v>0.52300000000000002</v>
      </c>
      <c r="X26" s="126">
        <f>W26+vertraging[[#This Row],[p]]*(1-W26)+vertraging[[#This Row],[q]]*W26*(1-W26)</f>
        <v>0.64718695000000004</v>
      </c>
      <c r="Y26" s="126">
        <f>X26+vertraging[[#This Row],[p]]*(1-X26)+vertraging[[#This Row],[q]]*X26*(1-X26)</f>
        <v>0.75875847703736388</v>
      </c>
      <c r="Z26" s="126">
        <f>Y26+vertraging[[#This Row],[p]]*(1-Y26)+vertraging[[#This Row],[q]]*Y26*(1-Y26)</f>
        <v>0.84715933786401665</v>
      </c>
      <c r="AA26" s="126">
        <f>Z26+vertraging[[#This Row],[p]]*(1-Z26)+vertraging[[#This Row],[q]]*Z26*(1-Z26)</f>
        <v>0.90924653177763415</v>
      </c>
      <c r="AB26" s="126">
        <f>AA26+vertraging[[#This Row],[p]]*(1-AA26)+vertraging[[#This Row],[q]]*AA26*(1-AA26)</f>
        <v>0.94864814278578335</v>
      </c>
      <c r="AC26" s="126">
        <f>AB26+vertraging[[#This Row],[p]]*(1-AB26)+vertraging[[#This Row],[q]]*AB26*(1-AB26)</f>
        <v>0.97185361900482903</v>
      </c>
      <c r="AD26" s="126">
        <f>AC26+vertraging[[#This Row],[p]]*(1-AC26)+vertraging[[#This Row],[q]]*AC26*(1-AC26)</f>
        <v>0.98486665153412889</v>
      </c>
      <c r="AE26" s="126">
        <f>AD26+vertraging[[#This Row],[p]]*(1-AD26)+vertraging[[#This Row],[q]]*AD26*(1-AD26)</f>
        <v>0.99195193384931235</v>
      </c>
      <c r="AF26" s="126">
        <f>AE26+vertraging[[#This Row],[p]]*(1-AE26)+vertraging[[#This Row],[q]]*AE26*(1-AE26)</f>
        <v>0.99574561815494433</v>
      </c>
      <c r="AG26" s="126">
        <f>AF26+vertraging[[#This Row],[p]]*(1-AF26)+vertraging[[#This Row],[q]]*AF26*(1-AF26)</f>
        <v>0.99775830463714821</v>
      </c>
    </row>
    <row r="27" spans="1:33" x14ac:dyDescent="0.5">
      <c r="A27" s="30" t="str">
        <f>INDEX(Technologieën[Veld],MATCH(B27,Technologieën[Digitale zorgtoepassing],0))</f>
        <v>Software - Behandeling</v>
      </c>
      <c r="B27" s="30" t="s">
        <v>578</v>
      </c>
      <c r="C27" s="30" t="s">
        <v>577</v>
      </c>
      <c r="D27" s="30" t="str" cm="1">
        <f t="array" ref="D27">INDEX(Berekening_patiëntaantal[Direct toepasbaar/extrapolatie/incidentie voor QALY],MATCH(B27,IF(Berekening_patiëntaantal[Doelgroep (zoeksleutel)]=C27,Berekening_patiëntaantal[Digitale zorgtoepassing]),0))</f>
        <v>Huidige toepassing</v>
      </c>
      <c r="E27" s="440" t="s">
        <v>812</v>
      </c>
      <c r="F27" s="30" t="str">
        <f>CONCATENATE(vertraging[[#This Row],[Digitale zorgtoepassing]],"_",vertraging[[#This Row],[Doelgroep]],"_",vertraging[[#This Row],[Uitgangssituatie/effect beleid]])</f>
        <v>Digitale exposure therapie_PTSS_Effect beleid</v>
      </c>
      <c r="G27" s="122" t="str">
        <f>INDEX(acceptatie_burgers[Impact afhankelijk van acceptatie burgers?],MATCH(B27,acceptatie_burgers[Digitale zorgtoepassing],0))</f>
        <v>Ja</v>
      </c>
      <c r="H27" s="441" cm="1">
        <f t="array" ref="H27">IF(vertraging[[#This Row],[Uitgangssituatie/effect beleid]]="Effect beleid",MAX(INDEX(aanname_implementatie[Coëfficient p],MATCH(B27,IF(aanname_implementatie[Doelgroep]=C27,aanname_implementatie[Digitale zorgtoepassing]),0))+SUMIFS(afslagen_beleid[Opslag p],afslagen_beleid[Impact afhankelijk van acceptatie burgers],vertraging[[#This Row],[Acceptatie burgers]]),0.01),INDEX(aanname_implementatie[Coëfficient p],MATCH(B27,IF(aanname_implementatie[Doelgroep]=C27,aanname_implementatie[Digitale zorgtoepassing]),0)))</f>
        <v>1.4999999999999999E-2</v>
      </c>
      <c r="I27" s="441" cm="1">
        <f t="array" ref="I27">IF(vertraging[[#This Row],[Uitgangssituatie/effect beleid]]="Effect beleid",MAX(INDEX(aanname_implementatie[Coëfficient q],MATCH(B27,IF(aanname_implementatie[Doelgroep]=C27,aanname_implementatie[Digitale zorgtoepassing]),0))+SUMIFS(afslagen_beleid[Opslag q],afslagen_beleid[Impact afhankelijk van acceptatie burgers],vertraging[[#This Row],[Acceptatie burgers]]),0.3),INDEX(aanname_implementatie[Coëfficient q],MATCH(B27,IF(aanname_implementatie[Doelgroep]=C27,aanname_implementatie[Digitale zorgtoepassing]),0)))</f>
        <v>0.35</v>
      </c>
      <c r="J27" s="17">
        <f>0</f>
        <v>0</v>
      </c>
      <c r="K27" s="17">
        <v>0</v>
      </c>
      <c r="L27" s="17">
        <v>0</v>
      </c>
      <c r="M27" s="17">
        <v>0</v>
      </c>
      <c r="N27" s="17">
        <v>0</v>
      </c>
      <c r="O27" s="17">
        <v>0</v>
      </c>
      <c r="P27" s="17">
        <v>0</v>
      </c>
      <c r="Q27" s="17">
        <v>0</v>
      </c>
      <c r="R27" s="17">
        <v>0</v>
      </c>
      <c r="S27" s="17">
        <v>0</v>
      </c>
      <c r="T27" s="17">
        <v>0</v>
      </c>
      <c r="U27" s="17">
        <v>0</v>
      </c>
      <c r="V27" s="124" cm="1">
        <f t="array" ref="V27">INDEX(aanname_implementatie[Huidige implementatiegraad],MATCH(B27,IF(aanname_implementatie[Doelgroep]=C27,aanname_implementatie[Digitale zorgtoepassing]),0))</f>
        <v>0.2</v>
      </c>
      <c r="W27" s="126">
        <f>V27+vertraging[[#This Row],[p]]*(1-V27)+vertraging[[#This Row],[q]]*V27*(1-V27)</f>
        <v>0.26800000000000002</v>
      </c>
      <c r="X27" s="126">
        <f>W27+vertraging[[#This Row],[p]]*(1-W27)+vertraging[[#This Row],[q]]*W27*(1-W27)</f>
        <v>0.3476416</v>
      </c>
      <c r="Y27" s="126">
        <f>X27+vertraging[[#This Row],[p]]*(1-X27)+vertraging[[#This Row],[q]]*X27*(1-X27)</f>
        <v>0.43680239728230397</v>
      </c>
      <c r="Z27" s="126">
        <f>Y27+vertraging[[#This Row],[p]]*(1-Y27)+vertraging[[#This Row],[q]]*Y27*(1-Y27)</f>
        <v>0.53135248337682706</v>
      </c>
      <c r="AA27" s="126">
        <f>Z27+vertraging[[#This Row],[p]]*(1-Z27)+vertraging[[#This Row],[q]]*Z27*(1-Z27)</f>
        <v>0.62553815375131172</v>
      </c>
      <c r="AB27" s="126">
        <f>AA27+vertraging[[#This Row],[p]]*(1-AA27)+vertraging[[#This Row],[q]]*AA27*(1-AA27)</f>
        <v>0.71313914162849124</v>
      </c>
      <c r="AC27" s="126">
        <f>AB27+vertraging[[#This Row],[p]]*(1-AB27)+vertraging[[#This Row],[q]]*AB27*(1-AB27)</f>
        <v>0.78904215171111836</v>
      </c>
      <c r="AD27" s="126">
        <f>AC27+vertraging[[#This Row],[p]]*(1-AC27)+vertraging[[#This Row],[q]]*AC27*(1-AC27)</f>
        <v>0.85046564152242399</v>
      </c>
      <c r="AE27" s="126">
        <f>AD27+vertraging[[#This Row],[p]]*(1-AD27)+vertraging[[#This Row],[q]]*AD27*(1-AD27)</f>
        <v>0.89721949883888419</v>
      </c>
      <c r="AF27" s="126">
        <f>AE27+vertraging[[#This Row],[p]]*(1-AE27)+vertraging[[#This Row],[q]]*AE27*(1-AE27)</f>
        <v>0.93103704076606597</v>
      </c>
      <c r="AG27" s="126">
        <f>AF27+vertraging[[#This Row],[p]]*(1-AF27)+vertraging[[#This Row],[q]]*AF27*(1-AF27)</f>
        <v>0.9545439594752464</v>
      </c>
    </row>
    <row r="28" spans="1:33" x14ac:dyDescent="0.5">
      <c r="A28" s="30" t="str">
        <f>INDEX(Technologieën[Veld],MATCH(B28,Technologieën[Digitale zorgtoepassing],0))</f>
        <v>Software - Diagnose</v>
      </c>
      <c r="B28" s="30" t="s">
        <v>139</v>
      </c>
      <c r="C28" s="30" t="s">
        <v>106</v>
      </c>
      <c r="D28" s="30" t="str" cm="1">
        <f t="array" ref="D28">INDEX(Berekening_patiëntaantal[Direct toepasbaar/extrapolatie/incidentie voor QALY],MATCH(B28,IF(Berekening_patiëntaantal[Doelgroep (zoeksleutel)]=C28,Berekening_patiëntaantal[Digitale zorgtoepassing]),0))</f>
        <v>Huidige toepassing</v>
      </c>
      <c r="E28" s="440" t="s">
        <v>812</v>
      </c>
      <c r="F28" s="30" t="str">
        <f>CONCATENATE(vertraging[[#This Row],[Digitale zorgtoepassing]],"_",vertraging[[#This Row],[Doelgroep]],"_",vertraging[[#This Row],[Uitgangssituatie/effect beleid]])</f>
        <v>Digitale pathologie_NVT_Effect beleid</v>
      </c>
      <c r="G28" s="122" t="str">
        <f>INDEX(acceptatie_burgers[Impact afhankelijk van acceptatie burgers?],MATCH(B28,acceptatie_burgers[Digitale zorgtoepassing],0))</f>
        <v>Nee</v>
      </c>
      <c r="H28" s="441" cm="1">
        <f t="array" ref="H28">IF(vertraging[[#This Row],[Uitgangssituatie/effect beleid]]="Effect beleid",MAX(INDEX(aanname_implementatie[Coëfficient p],MATCH(B28,IF(aanname_implementatie[Doelgroep]=C28,aanname_implementatie[Digitale zorgtoepassing]),0))+SUMIFS(afslagen_beleid[Opslag p],afslagen_beleid[Impact afhankelijk van acceptatie burgers],vertraging[[#This Row],[Acceptatie burgers]]),0.01),INDEX(aanname_implementatie[Coëfficient p],MATCH(B28,IF(aanname_implementatie[Doelgroep]=C28,aanname_implementatie[Digitale zorgtoepassing]),0)))</f>
        <v>2.5000000000000001E-2</v>
      </c>
      <c r="I28" s="441" cm="1">
        <f t="array" ref="I28">IF(vertraging[[#This Row],[Uitgangssituatie/effect beleid]]="Effect beleid",MAX(INDEX(aanname_implementatie[Coëfficient q],MATCH(B28,IF(aanname_implementatie[Doelgroep]=C28,aanname_implementatie[Digitale zorgtoepassing]),0))+SUMIFS(afslagen_beleid[Opslag q],afslagen_beleid[Impact afhankelijk van acceptatie burgers],vertraging[[#This Row],[Acceptatie burgers]]),0.3),INDEX(aanname_implementatie[Coëfficient q],MATCH(B28,IF(aanname_implementatie[Doelgroep]=C28,aanname_implementatie[Digitale zorgtoepassing]),0)))</f>
        <v>0.45</v>
      </c>
      <c r="J28" s="17">
        <f>0</f>
        <v>0</v>
      </c>
      <c r="K28" s="17">
        <v>0</v>
      </c>
      <c r="L28" s="17">
        <v>0</v>
      </c>
      <c r="M28" s="17">
        <v>0</v>
      </c>
      <c r="N28" s="17">
        <v>0</v>
      </c>
      <c r="O28" s="17">
        <v>0</v>
      </c>
      <c r="P28" s="17">
        <v>0</v>
      </c>
      <c r="Q28" s="17">
        <v>0</v>
      </c>
      <c r="R28" s="17">
        <v>0</v>
      </c>
      <c r="S28" s="17">
        <v>0</v>
      </c>
      <c r="T28" s="17">
        <v>0</v>
      </c>
      <c r="U28" s="17">
        <v>0</v>
      </c>
      <c r="V28" s="124" cm="1">
        <f t="array" ref="V28">INDEX(aanname_implementatie[Huidige implementatiegraad],MATCH(B28,IF(aanname_implementatie[Doelgroep]=C28,aanname_implementatie[Digitale zorgtoepassing]),0))</f>
        <v>0.8</v>
      </c>
      <c r="W28" s="126">
        <f>V28+vertraging[[#This Row],[p]]*(1-V28)+vertraging[[#This Row],[q]]*V28*(1-V28)</f>
        <v>0.877</v>
      </c>
      <c r="X28" s="126">
        <f>W28+vertraging[[#This Row],[p]]*(1-W28)+vertraging[[#This Row],[q]]*W28*(1-W28)</f>
        <v>0.92861695000000011</v>
      </c>
      <c r="Y28" s="126">
        <f>X28+vertraging[[#This Row],[p]]*(1-X28)+vertraging[[#This Row],[q]]*X28*(1-X28)</f>
        <v>0.96023090582771387</v>
      </c>
      <c r="Z28" s="126">
        <f>Y28+vertraging[[#This Row],[p]]*(1-Y28)+vertraging[[#This Row],[q]]*Y28*(1-Y28)</f>
        <v>0.97840951417647182</v>
      </c>
      <c r="AA28" s="126">
        <f>Z28+vertraging[[#This Row],[p]]*(1-Z28)+vertraging[[#This Row],[q]]*Z28*(1-Z28)</f>
        <v>0.9884552278575045</v>
      </c>
      <c r="AB28" s="126">
        <f>AA28+vertraging[[#This Row],[p]]*(1-AA28)+vertraging[[#This Row],[q]]*AA28*(1-AA28)</f>
        <v>0.99387901783146992</v>
      </c>
      <c r="AC28" s="126">
        <f>AB28+vertraging[[#This Row],[p]]*(1-AB28)+vertraging[[#This Row],[q]]*AB28*(1-AB28)</f>
        <v>0.99676962447130335</v>
      </c>
      <c r="AD28" s="126">
        <f>AC28+vertraging[[#This Row],[p]]*(1-AC28)+vertraging[[#This Row],[q]]*AC28*(1-AC28)</f>
        <v>0.99829935695070882</v>
      </c>
      <c r="AE28" s="126">
        <f>AD28+vertraging[[#This Row],[p]]*(1-AD28)+vertraging[[#This Row],[q]]*AD28*(1-AD28)</f>
        <v>0.9991058609150707</v>
      </c>
      <c r="AF28" s="126">
        <f>AE28+vertraging[[#This Row],[p]]*(1-AE28)+vertraging[[#This Row],[q]]*AE28*(1-AE28)</f>
        <v>0.99953021721229562</v>
      </c>
      <c r="AG28" s="126">
        <f>AF28+vertraging[[#This Row],[p]]*(1-AF28)+vertraging[[#This Row],[q]]*AF28*(1-AF28)</f>
        <v>0.99975326472331483</v>
      </c>
    </row>
    <row r="29" spans="1:33" x14ac:dyDescent="0.5">
      <c r="A29" s="30" t="str">
        <f>INDEX(Technologieën[Veld],MATCH(B29,Technologieën[Digitale zorgtoepassing],0))</f>
        <v>Software - Behandeling</v>
      </c>
      <c r="B29" s="30" t="s">
        <v>588</v>
      </c>
      <c r="C29" s="30" t="s">
        <v>104</v>
      </c>
      <c r="D29" s="30" t="str" cm="1">
        <f t="array" ref="D29">INDEX(Berekening_patiëntaantal[Direct toepasbaar/extrapolatie/incidentie voor QALY],MATCH(B29,IF(Berekening_patiëntaantal[Doelgroep (zoeksleutel)]=C29,Berekening_patiëntaantal[Digitale zorgtoepassing]),0))</f>
        <v>Huidige toepassing</v>
      </c>
      <c r="E29" s="440" t="s">
        <v>812</v>
      </c>
      <c r="F29" s="30" t="str">
        <f>CONCATENATE(vertraging[[#This Row],[Digitale zorgtoepassing]],"_",vertraging[[#This Row],[Doelgroep]],"_",vertraging[[#This Row],[Uitgangssituatie/effect beleid]])</f>
        <v>Digitale zorg logopedie_Afasie_Effect beleid</v>
      </c>
      <c r="G29" s="122" t="str">
        <f>INDEX(acceptatie_burgers[Impact afhankelijk van acceptatie burgers?],MATCH(B29,acceptatie_burgers[Digitale zorgtoepassing],0))</f>
        <v>Ja</v>
      </c>
      <c r="H29" s="441" cm="1">
        <f t="array" ref="H29">IF(vertraging[[#This Row],[Uitgangssituatie/effect beleid]]="Effect beleid",MAX(INDEX(aanname_implementatie[Coëfficient p],MATCH(B29,IF(aanname_implementatie[Doelgroep]=C29,aanname_implementatie[Digitale zorgtoepassing]),0))+SUMIFS(afslagen_beleid[Opslag p],afslagen_beleid[Impact afhankelijk van acceptatie burgers],vertraging[[#This Row],[Acceptatie burgers]]),0.01),INDEX(aanname_implementatie[Coëfficient p],MATCH(B29,IF(aanname_implementatie[Doelgroep]=C29,aanname_implementatie[Digitale zorgtoepassing]),0)))</f>
        <v>1.4999999999999999E-2</v>
      </c>
      <c r="I29" s="441" cm="1">
        <f t="array" ref="I29">IF(vertraging[[#This Row],[Uitgangssituatie/effect beleid]]="Effect beleid",MAX(INDEX(aanname_implementatie[Coëfficient q],MATCH(B29,IF(aanname_implementatie[Doelgroep]=C29,aanname_implementatie[Digitale zorgtoepassing]),0))+SUMIFS(afslagen_beleid[Opslag q],afslagen_beleid[Impact afhankelijk van acceptatie burgers],vertraging[[#This Row],[Acceptatie burgers]]),0.3),INDEX(aanname_implementatie[Coëfficient q],MATCH(B29,IF(aanname_implementatie[Doelgroep]=C29,aanname_implementatie[Digitale zorgtoepassing]),0)))</f>
        <v>0.35</v>
      </c>
      <c r="J29" s="17">
        <f>0</f>
        <v>0</v>
      </c>
      <c r="K29" s="17">
        <v>0</v>
      </c>
      <c r="L29" s="17">
        <v>0</v>
      </c>
      <c r="M29" s="17">
        <v>0</v>
      </c>
      <c r="N29" s="17">
        <v>0</v>
      </c>
      <c r="O29" s="17">
        <v>0</v>
      </c>
      <c r="P29" s="17">
        <v>0</v>
      </c>
      <c r="Q29" s="17">
        <v>0</v>
      </c>
      <c r="R29" s="17">
        <v>0</v>
      </c>
      <c r="S29" s="17">
        <v>0</v>
      </c>
      <c r="T29" s="17">
        <v>0</v>
      </c>
      <c r="U29" s="17">
        <v>0</v>
      </c>
      <c r="V29" s="124" cm="1">
        <f t="array" ref="V29">INDEX(aanname_implementatie[Huidige implementatiegraad],MATCH(B29,IF(aanname_implementatie[Doelgroep]=C29,aanname_implementatie[Digitale zorgtoepassing]),0))</f>
        <v>0.2</v>
      </c>
      <c r="W29" s="126">
        <f>V29+vertraging[[#This Row],[p]]*(1-V29)+vertraging[[#This Row],[q]]*V29*(1-V29)</f>
        <v>0.26800000000000002</v>
      </c>
      <c r="X29" s="126">
        <f>W29+vertraging[[#This Row],[p]]*(1-W29)+vertraging[[#This Row],[q]]*W29*(1-W29)</f>
        <v>0.3476416</v>
      </c>
      <c r="Y29" s="126">
        <f>X29+vertraging[[#This Row],[p]]*(1-X29)+vertraging[[#This Row],[q]]*X29*(1-X29)</f>
        <v>0.43680239728230397</v>
      </c>
      <c r="Z29" s="126">
        <f>Y29+vertraging[[#This Row],[p]]*(1-Y29)+vertraging[[#This Row],[q]]*Y29*(1-Y29)</f>
        <v>0.53135248337682706</v>
      </c>
      <c r="AA29" s="126">
        <f>Z29+vertraging[[#This Row],[p]]*(1-Z29)+vertraging[[#This Row],[q]]*Z29*(1-Z29)</f>
        <v>0.62553815375131172</v>
      </c>
      <c r="AB29" s="126">
        <f>AA29+vertraging[[#This Row],[p]]*(1-AA29)+vertraging[[#This Row],[q]]*AA29*(1-AA29)</f>
        <v>0.71313914162849124</v>
      </c>
      <c r="AC29" s="126">
        <f>AB29+vertraging[[#This Row],[p]]*(1-AB29)+vertraging[[#This Row],[q]]*AB29*(1-AB29)</f>
        <v>0.78904215171111836</v>
      </c>
      <c r="AD29" s="126">
        <f>AC29+vertraging[[#This Row],[p]]*(1-AC29)+vertraging[[#This Row],[q]]*AC29*(1-AC29)</f>
        <v>0.85046564152242399</v>
      </c>
      <c r="AE29" s="126">
        <f>AD29+vertraging[[#This Row],[p]]*(1-AD29)+vertraging[[#This Row],[q]]*AD29*(1-AD29)</f>
        <v>0.89721949883888419</v>
      </c>
      <c r="AF29" s="126">
        <f>AE29+vertraging[[#This Row],[p]]*(1-AE29)+vertraging[[#This Row],[q]]*AE29*(1-AE29)</f>
        <v>0.93103704076606597</v>
      </c>
      <c r="AG29" s="126">
        <f>AF29+vertraging[[#This Row],[p]]*(1-AF29)+vertraging[[#This Row],[q]]*AF29*(1-AF29)</f>
        <v>0.9545439594752464</v>
      </c>
    </row>
    <row r="30" spans="1:33" x14ac:dyDescent="0.5">
      <c r="A30" s="30" t="str">
        <f>INDEX(Technologieën[Veld],MATCH(B30,Technologieën[Digitale zorgtoepassing],0))</f>
        <v>Software - Behandeling</v>
      </c>
      <c r="B30" s="30" t="s">
        <v>588</v>
      </c>
      <c r="C30" s="30" t="s">
        <v>589</v>
      </c>
      <c r="D30" s="30" t="str" cm="1">
        <f t="array" ref="D30">INDEX(Berekening_patiëntaantal[Direct toepasbaar/extrapolatie/incidentie voor QALY],MATCH(B30,IF(Berekening_patiëntaantal[Doelgroep (zoeksleutel)]=C30,Berekening_patiëntaantal[Digitale zorgtoepassing]),0))</f>
        <v>Extrapolatie</v>
      </c>
      <c r="E30" s="440" t="s">
        <v>812</v>
      </c>
      <c r="F30" s="30" t="str">
        <f>CONCATENATE(vertraging[[#This Row],[Digitale zorgtoepassing]],"_",vertraging[[#This Row],[Doelgroep]],"_",vertraging[[#This Row],[Uitgangssituatie/effect beleid]])</f>
        <v>Digitale zorg logopedie_Overige_zittingen_Effect beleid</v>
      </c>
      <c r="G30" s="122" t="str">
        <f>INDEX(acceptatie_burgers[Impact afhankelijk van acceptatie burgers?],MATCH(B30,acceptatie_burgers[Digitale zorgtoepassing],0))</f>
        <v>Ja</v>
      </c>
      <c r="H30" s="441" cm="1">
        <f t="array" ref="H30">IF(vertraging[[#This Row],[Uitgangssituatie/effect beleid]]="Effect beleid",MAX(INDEX(aanname_implementatie[Coëfficient p],MATCH(B30,IF(aanname_implementatie[Doelgroep]=C30,aanname_implementatie[Digitale zorgtoepassing]),0))+SUMIFS(afslagen_beleid[Opslag p],afslagen_beleid[Impact afhankelijk van acceptatie burgers],vertraging[[#This Row],[Acceptatie burgers]]),0.01),INDEX(aanname_implementatie[Coëfficient p],MATCH(B30,IF(aanname_implementatie[Doelgroep]=C30,aanname_implementatie[Digitale zorgtoepassing]),0)))</f>
        <v>0.01</v>
      </c>
      <c r="I30" s="441" cm="1">
        <f t="array" ref="I30">IF(vertraging[[#This Row],[Uitgangssituatie/effect beleid]]="Effect beleid",MAX(INDEX(aanname_implementatie[Coëfficient q],MATCH(B30,IF(aanname_implementatie[Doelgroep]=C30,aanname_implementatie[Digitale zorgtoepassing]),0))+SUMIFS(afslagen_beleid[Opslag q],afslagen_beleid[Impact afhankelijk van acceptatie burgers],vertraging[[#This Row],[Acceptatie burgers]]),0.3),INDEX(aanname_implementatie[Coëfficient q],MATCH(B30,IF(aanname_implementatie[Doelgroep]=C30,aanname_implementatie[Digitale zorgtoepassing]),0)))</f>
        <v>0.3</v>
      </c>
      <c r="J30" s="17">
        <f>0</f>
        <v>0</v>
      </c>
      <c r="K30" s="17">
        <v>0</v>
      </c>
      <c r="L30" s="17">
        <v>0</v>
      </c>
      <c r="M30" s="17">
        <v>0</v>
      </c>
      <c r="N30" s="17">
        <v>0</v>
      </c>
      <c r="O30" s="17">
        <v>0</v>
      </c>
      <c r="P30" s="17">
        <v>0</v>
      </c>
      <c r="Q30" s="17">
        <v>0</v>
      </c>
      <c r="R30" s="17">
        <v>0</v>
      </c>
      <c r="S30" s="17">
        <v>0</v>
      </c>
      <c r="T30" s="17">
        <v>0</v>
      </c>
      <c r="U30" s="17">
        <v>0</v>
      </c>
      <c r="V30" s="124" cm="1">
        <f t="array" ref="V30">INDEX(aanname_implementatie[Huidige implementatiegraad],MATCH(B30,IF(aanname_implementatie[Doelgroep]=C30,aanname_implementatie[Digitale zorgtoepassing]),0))</f>
        <v>0</v>
      </c>
      <c r="W30" s="126">
        <f>V30+vertraging[[#This Row],[p]]*(1-V30)+vertraging[[#This Row],[q]]*V30*(1-V30)</f>
        <v>0.01</v>
      </c>
      <c r="X30" s="126">
        <f>W30+vertraging[[#This Row],[p]]*(1-W30)+vertraging[[#This Row],[q]]*W30*(1-W30)</f>
        <v>2.2870000000000001E-2</v>
      </c>
      <c r="Y30" s="126">
        <f>X30+vertraging[[#This Row],[p]]*(1-X30)+vertraging[[#This Row],[q]]*X30*(1-X30)</f>
        <v>3.9345388929999996E-2</v>
      </c>
      <c r="Z30" s="126">
        <f>Y30+vertraging[[#This Row],[p]]*(1-Y30)+vertraging[[#This Row],[q]]*Y30*(1-Y30)</f>
        <v>6.0291133830684102E-2</v>
      </c>
      <c r="AA30" s="126">
        <f>Z30+vertraging[[#This Row],[p]]*(1-Z30)+vertraging[[#This Row],[q]]*Z30*(1-Z30)</f>
        <v>8.6685056396005655E-2</v>
      </c>
      <c r="AB30" s="126">
        <f>AA30+vertraging[[#This Row],[p]]*(1-AA30)+vertraging[[#This Row],[q]]*AA30*(1-AA30)</f>
        <v>0.11956943305013369</v>
      </c>
      <c r="AC30" s="126">
        <f>AB30+vertraging[[#This Row],[p]]*(1-AB30)+vertraging[[#This Row],[q]]*AB30*(1-AB30)</f>
        <v>0.15995551383869336</v>
      </c>
      <c r="AD30" s="126">
        <f>AC30+vertraging[[#This Row],[p]]*(1-AC30)+vertraging[[#This Row],[q]]*AC30*(1-AC30)</f>
        <v>0.20866688292969432</v>
      </c>
      <c r="AE30" s="126">
        <f>AD30+vertraging[[#This Row],[p]]*(1-AD30)+vertraging[[#This Row],[q]]*AD30*(1-AD30)</f>
        <v>0.26611771856982724</v>
      </c>
      <c r="AF30" s="126">
        <f>AE30+vertraging[[#This Row],[p]]*(1-AE30)+vertraging[[#This Row],[q]]*AE30*(1-AE30)</f>
        <v>0.33204626491403416</v>
      </c>
      <c r="AG30" s="126">
        <f>AF30+vertraging[[#This Row],[p]]*(1-AF30)+vertraging[[#This Row],[q]]*AF30*(1-AF30)</f>
        <v>0.40526326512609578</v>
      </c>
    </row>
    <row r="31" spans="1:33" x14ac:dyDescent="0.5">
      <c r="A31" s="30" t="str">
        <f>INDEX(Technologieën[Veld],MATCH(B31,Technologieën[Digitale zorgtoepassing],0))</f>
        <v>Software - Behandeling</v>
      </c>
      <c r="B31" s="30" t="s">
        <v>585</v>
      </c>
      <c r="C31" s="30" t="s">
        <v>583</v>
      </c>
      <c r="D31" s="30" t="str" cm="1">
        <f t="array" ref="D31">INDEX(Berekening_patiëntaantal[Direct toepasbaar/extrapolatie/incidentie voor QALY],MATCH(B31,IF(Berekening_patiëntaantal[Doelgroep (zoeksleutel)]=C31,Berekening_patiëntaantal[Digitale zorgtoepassing]),0))</f>
        <v>Huidige toepassing</v>
      </c>
      <c r="E31" s="440" t="s">
        <v>812</v>
      </c>
      <c r="F31" s="30" t="str">
        <f>CONCATENATE(vertraging[[#This Row],[Digitale zorgtoepassing]],"_",vertraging[[#This Row],[Doelgroep]],"_",vertraging[[#This Row],[Uitgangssituatie/effect beleid]])</f>
        <v>Digitale/slimme vervolgzorg_Herhaalpoli's_Effect beleid</v>
      </c>
      <c r="G31" s="122" t="str">
        <f>INDEX(acceptatie_burgers[Impact afhankelijk van acceptatie burgers?],MATCH(B31,acceptatie_burgers[Digitale zorgtoepassing],0))</f>
        <v>Ja</v>
      </c>
      <c r="H31" s="441" cm="1">
        <f t="array" ref="H31">IF(vertraging[[#This Row],[Uitgangssituatie/effect beleid]]="Effect beleid",MAX(INDEX(aanname_implementatie[Coëfficient p],MATCH(B31,IF(aanname_implementatie[Doelgroep]=C31,aanname_implementatie[Digitale zorgtoepassing]),0))+SUMIFS(afslagen_beleid[Opslag p],afslagen_beleid[Impact afhankelijk van acceptatie burgers],vertraging[[#This Row],[Acceptatie burgers]]),0.01),INDEX(aanname_implementatie[Coëfficient p],MATCH(B31,IF(aanname_implementatie[Doelgroep]=C31,aanname_implementatie[Digitale zorgtoepassing]),0)))</f>
        <v>0.02</v>
      </c>
      <c r="I31" s="441" cm="1">
        <f t="array" ref="I31">IF(vertraging[[#This Row],[Uitgangssituatie/effect beleid]]="Effect beleid",MAX(INDEX(aanname_implementatie[Coëfficient q],MATCH(B31,IF(aanname_implementatie[Doelgroep]=C31,aanname_implementatie[Digitale zorgtoepassing]),0))+SUMIFS(afslagen_beleid[Opslag q],afslagen_beleid[Impact afhankelijk van acceptatie burgers],vertraging[[#This Row],[Acceptatie burgers]]),0.3),INDEX(aanname_implementatie[Coëfficient q],MATCH(B31,IF(aanname_implementatie[Doelgroep]=C31,aanname_implementatie[Digitale zorgtoepassing]),0)))</f>
        <v>0.4</v>
      </c>
      <c r="J31" s="17">
        <f>0</f>
        <v>0</v>
      </c>
      <c r="K31" s="17">
        <v>0</v>
      </c>
      <c r="L31" s="17">
        <v>0</v>
      </c>
      <c r="M31" s="17">
        <v>0</v>
      </c>
      <c r="N31" s="17">
        <v>0</v>
      </c>
      <c r="O31" s="17">
        <v>0</v>
      </c>
      <c r="P31" s="17">
        <v>0</v>
      </c>
      <c r="Q31" s="17">
        <v>0</v>
      </c>
      <c r="R31" s="17">
        <v>0</v>
      </c>
      <c r="S31" s="17">
        <v>0</v>
      </c>
      <c r="T31" s="17">
        <v>0</v>
      </c>
      <c r="U31" s="17">
        <v>0</v>
      </c>
      <c r="V31" s="124" cm="1">
        <f t="array" ref="V31">INDEX(aanname_implementatie[Huidige implementatiegraad],MATCH(B31,IF(aanname_implementatie[Doelgroep]=C31,aanname_implementatie[Digitale zorgtoepassing]),0))</f>
        <v>0</v>
      </c>
      <c r="W31" s="126">
        <f>V31+vertraging[[#This Row],[p]]*(1-V31)+vertraging[[#This Row],[q]]*V31*(1-V31)</f>
        <v>0.02</v>
      </c>
      <c r="X31" s="126">
        <f>W31+vertraging[[#This Row],[p]]*(1-W31)+vertraging[[#This Row],[q]]*W31*(1-W31)</f>
        <v>4.7439999999999996E-2</v>
      </c>
      <c r="Y31" s="126">
        <f>X31+vertraging[[#This Row],[p]]*(1-X31)+vertraging[[#This Row],[q]]*X31*(1-X31)</f>
        <v>8.4566978560000006E-2</v>
      </c>
      <c r="Z31" s="126">
        <f>Y31+vertraging[[#This Row],[p]]*(1-Y31)+vertraging[[#This Row],[q]]*Y31*(1-Y31)</f>
        <v>0.13384180086769301</v>
      </c>
      <c r="AA31" s="126">
        <f>Z31+vertraging[[#This Row],[p]]*(1-Z31)+vertraging[[#This Row],[q]]*Z31*(1-Z31)</f>
        <v>0.19753623413361349</v>
      </c>
      <c r="AB31" s="126">
        <f>AA31+vertraging[[#This Row],[p]]*(1-AA31)+vertraging[[#This Row],[q]]*AA31*(1-AA31)</f>
        <v>0.27699177758611071</v>
      </c>
      <c r="AC31" s="126">
        <f>AB31+vertraging[[#This Row],[p]]*(1-AB31)+vertraging[[#This Row],[q]]*AB31*(1-AB31)</f>
        <v>0.37155887512870744</v>
      </c>
      <c r="AD31" s="126">
        <f>AC31+vertraging[[#This Row],[p]]*(1-AC31)+vertraging[[#This Row],[q]]*AC31*(1-AC31)</f>
        <v>0.47752884860285211</v>
      </c>
      <c r="AE31" s="126">
        <f>AD31+vertraging[[#This Row],[p]]*(1-AD31)+vertraging[[#This Row],[q]]*AD31*(1-AD31)</f>
        <v>0.5877762905727496</v>
      </c>
      <c r="AF31" s="126">
        <f>AE31+vertraging[[#This Row],[p]]*(1-AE31)+vertraging[[#This Row],[q]]*AE31*(1-AE31)</f>
        <v>0.6929388938866099</v>
      </c>
      <c r="AG31" s="126">
        <f>AF31+vertraging[[#This Row],[p]]*(1-AF31)+vertraging[[#This Row],[q]]*AF31*(1-AF31)</f>
        <v>0.78418994929920227</v>
      </c>
    </row>
    <row r="32" spans="1:33" x14ac:dyDescent="0.5">
      <c r="A32" s="30" t="str">
        <f>INDEX(Technologieën[Veld],MATCH(B32,Technologieën[Digitale zorgtoepassing],0))</f>
        <v>Software - Behandeling</v>
      </c>
      <c r="B32" s="30" t="s">
        <v>585</v>
      </c>
      <c r="C32" s="30" t="s">
        <v>107</v>
      </c>
      <c r="D32" s="30" t="str" cm="1">
        <f t="array" ref="D32">INDEX(Berekening_patiëntaantal[Direct toepasbaar/extrapolatie/incidentie voor QALY],MATCH(B32,IF(Berekening_patiëntaantal[Doelgroep (zoeksleutel)]=C32,Berekening_patiëntaantal[Digitale zorgtoepassing]),0))</f>
        <v>Huidige toepassing</v>
      </c>
      <c r="E32" s="440" t="s">
        <v>812</v>
      </c>
      <c r="F32" s="30" t="str">
        <f>CONCATENATE(vertraging[[#This Row],[Digitale zorgtoepassing]],"_",vertraging[[#This Row],[Doelgroep]],"_",vertraging[[#This Row],[Uitgangssituatie/effect beleid]])</f>
        <v>Digitale/slimme vervolgzorg_Simpele botbreuken_Effect beleid</v>
      </c>
      <c r="G32" s="122" t="str">
        <f>INDEX(acceptatie_burgers[Impact afhankelijk van acceptatie burgers?],MATCH(B32,acceptatie_burgers[Digitale zorgtoepassing],0))</f>
        <v>Ja</v>
      </c>
      <c r="H32" s="441" cm="1">
        <f t="array" ref="H32">IF(vertraging[[#This Row],[Uitgangssituatie/effect beleid]]="Effect beleid",MAX(INDEX(aanname_implementatie[Coëfficient p],MATCH(B32,IF(aanname_implementatie[Doelgroep]=C32,aanname_implementatie[Digitale zorgtoepassing]),0))+SUMIFS(afslagen_beleid[Opslag p],afslagen_beleid[Impact afhankelijk van acceptatie burgers],vertraging[[#This Row],[Acceptatie burgers]]),0.01),INDEX(aanname_implementatie[Coëfficient p],MATCH(B32,IF(aanname_implementatie[Doelgroep]=C32,aanname_implementatie[Digitale zorgtoepassing]),0)))</f>
        <v>2.5000000000000001E-2</v>
      </c>
      <c r="I32" s="441" cm="1">
        <f t="array" ref="I32">IF(vertraging[[#This Row],[Uitgangssituatie/effect beleid]]="Effect beleid",MAX(INDEX(aanname_implementatie[Coëfficient q],MATCH(B32,IF(aanname_implementatie[Doelgroep]=C32,aanname_implementatie[Digitale zorgtoepassing]),0))+SUMIFS(afslagen_beleid[Opslag q],afslagen_beleid[Impact afhankelijk van acceptatie burgers],vertraging[[#This Row],[Acceptatie burgers]]),0.3),INDEX(aanname_implementatie[Coëfficient q],MATCH(B32,IF(aanname_implementatie[Doelgroep]=C32,aanname_implementatie[Digitale zorgtoepassing]),0)))</f>
        <v>0.45</v>
      </c>
      <c r="J32" s="17">
        <f>0</f>
        <v>0</v>
      </c>
      <c r="K32" s="17">
        <v>0</v>
      </c>
      <c r="L32" s="17">
        <v>0</v>
      </c>
      <c r="M32" s="17">
        <v>0</v>
      </c>
      <c r="N32" s="17">
        <v>0</v>
      </c>
      <c r="O32" s="17">
        <v>0</v>
      </c>
      <c r="P32" s="17">
        <v>0</v>
      </c>
      <c r="Q32" s="17">
        <v>0</v>
      </c>
      <c r="R32" s="17">
        <v>0</v>
      </c>
      <c r="S32" s="17">
        <v>0</v>
      </c>
      <c r="T32" s="17">
        <v>0</v>
      </c>
      <c r="U32" s="17">
        <v>0</v>
      </c>
      <c r="V32" s="124" cm="1">
        <f t="array" ref="V32">INDEX(aanname_implementatie[Huidige implementatiegraad],MATCH(B32,IF(aanname_implementatie[Doelgroep]=C32,aanname_implementatie[Digitale zorgtoepassing]),0))</f>
        <v>0.4</v>
      </c>
      <c r="W32" s="126">
        <f>V32+vertraging[[#This Row],[p]]*(1-V32)+vertraging[[#This Row],[q]]*V32*(1-V32)</f>
        <v>0.52300000000000002</v>
      </c>
      <c r="X32" s="126">
        <f>W32+vertraging[[#This Row],[p]]*(1-W32)+vertraging[[#This Row],[q]]*W32*(1-W32)</f>
        <v>0.64718695000000004</v>
      </c>
      <c r="Y32" s="126">
        <f>X32+vertraging[[#This Row],[p]]*(1-X32)+vertraging[[#This Row],[q]]*X32*(1-X32)</f>
        <v>0.75875847703736388</v>
      </c>
      <c r="Z32" s="126">
        <f>Y32+vertraging[[#This Row],[p]]*(1-Y32)+vertraging[[#This Row],[q]]*Y32*(1-Y32)</f>
        <v>0.84715933786401665</v>
      </c>
      <c r="AA32" s="126">
        <f>Z32+vertraging[[#This Row],[p]]*(1-Z32)+vertraging[[#This Row],[q]]*Z32*(1-Z32)</f>
        <v>0.90924653177763415</v>
      </c>
      <c r="AB32" s="126">
        <f>AA32+vertraging[[#This Row],[p]]*(1-AA32)+vertraging[[#This Row],[q]]*AA32*(1-AA32)</f>
        <v>0.94864814278578335</v>
      </c>
      <c r="AC32" s="126">
        <f>AB32+vertraging[[#This Row],[p]]*(1-AB32)+vertraging[[#This Row],[q]]*AB32*(1-AB32)</f>
        <v>0.97185361900482903</v>
      </c>
      <c r="AD32" s="126">
        <f>AC32+vertraging[[#This Row],[p]]*(1-AC32)+vertraging[[#This Row],[q]]*AC32*(1-AC32)</f>
        <v>0.98486665153412889</v>
      </c>
      <c r="AE32" s="126">
        <f>AD32+vertraging[[#This Row],[p]]*(1-AD32)+vertraging[[#This Row],[q]]*AD32*(1-AD32)</f>
        <v>0.99195193384931235</v>
      </c>
      <c r="AF32" s="126">
        <f>AE32+vertraging[[#This Row],[p]]*(1-AE32)+vertraging[[#This Row],[q]]*AE32*(1-AE32)</f>
        <v>0.99574561815494433</v>
      </c>
      <c r="AG32" s="126">
        <f>AF32+vertraging[[#This Row],[p]]*(1-AF32)+vertraging[[#This Row],[q]]*AF32*(1-AF32)</f>
        <v>0.99775830463714821</v>
      </c>
    </row>
    <row r="33" spans="1:33" x14ac:dyDescent="0.5">
      <c r="A33" s="30" t="str">
        <f>INDEX(Technologieën[Veld],MATCH(B33,Technologieën[Digitale zorgtoepassing],0))</f>
        <v>Digitale hulpmiddelen - Verpleging</v>
      </c>
      <c r="B33" s="30" t="s">
        <v>58</v>
      </c>
      <c r="C33" s="30" t="s">
        <v>59</v>
      </c>
      <c r="D33" s="30" t="str" cm="1">
        <f t="array" ref="D33">INDEX(Berekening_patiëntaantal[Direct toepasbaar/extrapolatie/incidentie voor QALY],MATCH(B33,IF(Berekening_patiëntaantal[Doelgroep (zoeksleutel)]=C33,Berekening_patiëntaantal[Digitale zorgtoepassing]),0))</f>
        <v>Huidige toepassing</v>
      </c>
      <c r="E33" s="440" t="s">
        <v>812</v>
      </c>
      <c r="F33" s="30" t="str">
        <f>CONCATENATE(vertraging[[#This Row],[Digitale zorgtoepassing]],"_",vertraging[[#This Row],[Doelgroep]],"_",vertraging[[#This Row],[Uitgangssituatie/effect beleid]])</f>
        <v>Elektromechanisch toegangsbeheer_Alleenstaande thuiszorg cliënten_Effect beleid</v>
      </c>
      <c r="G33" s="122" t="str">
        <f>INDEX(acceptatie_burgers[Impact afhankelijk van acceptatie burgers?],MATCH(B33,acceptatie_burgers[Digitale zorgtoepassing],0))</f>
        <v>Nee</v>
      </c>
      <c r="H33" s="441" cm="1">
        <f t="array" ref="H33">IF(vertraging[[#This Row],[Uitgangssituatie/effect beleid]]="Effect beleid",MAX(INDEX(aanname_implementatie[Coëfficient p],MATCH(B33,IF(aanname_implementatie[Doelgroep]=C33,aanname_implementatie[Digitale zorgtoepassing]),0))+SUMIFS(afslagen_beleid[Opslag p],afslagen_beleid[Impact afhankelijk van acceptatie burgers],vertraging[[#This Row],[Acceptatie burgers]]),0.01),INDEX(aanname_implementatie[Coëfficient p],MATCH(B33,IF(aanname_implementatie[Doelgroep]=C33,aanname_implementatie[Digitale zorgtoepassing]),0)))</f>
        <v>2.5000000000000001E-2</v>
      </c>
      <c r="I33" s="441" cm="1">
        <f t="array" ref="I33">IF(vertraging[[#This Row],[Uitgangssituatie/effect beleid]]="Effect beleid",MAX(INDEX(aanname_implementatie[Coëfficient q],MATCH(B33,IF(aanname_implementatie[Doelgroep]=C33,aanname_implementatie[Digitale zorgtoepassing]),0))+SUMIFS(afslagen_beleid[Opslag q],afslagen_beleid[Impact afhankelijk van acceptatie burgers],vertraging[[#This Row],[Acceptatie burgers]]),0.3),INDEX(aanname_implementatie[Coëfficient q],MATCH(B33,IF(aanname_implementatie[Doelgroep]=C33,aanname_implementatie[Digitale zorgtoepassing]),0)))</f>
        <v>0.45</v>
      </c>
      <c r="J33" s="17">
        <f>0</f>
        <v>0</v>
      </c>
      <c r="K33" s="17">
        <v>0</v>
      </c>
      <c r="L33" s="17">
        <v>0</v>
      </c>
      <c r="M33" s="17">
        <v>0</v>
      </c>
      <c r="N33" s="17">
        <v>0</v>
      </c>
      <c r="O33" s="17">
        <v>0</v>
      </c>
      <c r="P33" s="17">
        <v>0</v>
      </c>
      <c r="Q33" s="17">
        <v>0</v>
      </c>
      <c r="R33" s="17">
        <v>0</v>
      </c>
      <c r="S33" s="17">
        <v>0</v>
      </c>
      <c r="T33" s="17">
        <v>0</v>
      </c>
      <c r="U33" s="17">
        <v>0</v>
      </c>
      <c r="V33" s="124" cm="1">
        <f t="array" ref="V33">INDEX(aanname_implementatie[Huidige implementatiegraad],MATCH(B33,IF(aanname_implementatie[Doelgroep]=C33,aanname_implementatie[Digitale zorgtoepassing]),0))</f>
        <v>0.4</v>
      </c>
      <c r="W33" s="126">
        <f>V33+vertraging[[#This Row],[p]]*(1-V33)+vertraging[[#This Row],[q]]*V33*(1-V33)</f>
        <v>0.52300000000000002</v>
      </c>
      <c r="X33" s="126">
        <f>W33+vertraging[[#This Row],[p]]*(1-W33)+vertraging[[#This Row],[q]]*W33*(1-W33)</f>
        <v>0.64718695000000004</v>
      </c>
      <c r="Y33" s="126">
        <f>X33+vertraging[[#This Row],[p]]*(1-X33)+vertraging[[#This Row],[q]]*X33*(1-X33)</f>
        <v>0.75875847703736388</v>
      </c>
      <c r="Z33" s="126">
        <f>Y33+vertraging[[#This Row],[p]]*(1-Y33)+vertraging[[#This Row],[q]]*Y33*(1-Y33)</f>
        <v>0.84715933786401665</v>
      </c>
      <c r="AA33" s="126">
        <f>Z33+vertraging[[#This Row],[p]]*(1-Z33)+vertraging[[#This Row],[q]]*Z33*(1-Z33)</f>
        <v>0.90924653177763415</v>
      </c>
      <c r="AB33" s="126">
        <f>AA33+vertraging[[#This Row],[p]]*(1-AA33)+vertraging[[#This Row],[q]]*AA33*(1-AA33)</f>
        <v>0.94864814278578335</v>
      </c>
      <c r="AC33" s="126">
        <f>AB33+vertraging[[#This Row],[p]]*(1-AB33)+vertraging[[#This Row],[q]]*AB33*(1-AB33)</f>
        <v>0.97185361900482903</v>
      </c>
      <c r="AD33" s="126">
        <f>AC33+vertraging[[#This Row],[p]]*(1-AC33)+vertraging[[#This Row],[q]]*AC33*(1-AC33)</f>
        <v>0.98486665153412889</v>
      </c>
      <c r="AE33" s="126">
        <f>AD33+vertraging[[#This Row],[p]]*(1-AD33)+vertraging[[#This Row],[q]]*AD33*(1-AD33)</f>
        <v>0.99195193384931235</v>
      </c>
      <c r="AF33" s="126">
        <f>AE33+vertraging[[#This Row],[p]]*(1-AE33)+vertraging[[#This Row],[q]]*AE33*(1-AE33)</f>
        <v>0.99574561815494433</v>
      </c>
      <c r="AG33" s="126">
        <f>AF33+vertraging[[#This Row],[p]]*(1-AF33)+vertraging[[#This Row],[q]]*AF33*(1-AF33)</f>
        <v>0.99775830463714821</v>
      </c>
    </row>
    <row r="34" spans="1:33" x14ac:dyDescent="0.5">
      <c r="A34" s="30" t="str">
        <f>INDEX(Technologieën[Veld],MATCH(B34,Technologieën[Digitale zorgtoepassing],0))</f>
        <v>Digitale hulpmiddelen - Verpleging</v>
      </c>
      <c r="B34" s="30" t="s">
        <v>105</v>
      </c>
      <c r="C34" s="30" t="s">
        <v>106</v>
      </c>
      <c r="D34" s="30" t="str" cm="1">
        <f t="array" ref="D34">INDEX(Berekening_patiëntaantal[Direct toepasbaar/extrapolatie/incidentie voor QALY],MATCH(B34,IF(Berekening_patiëntaantal[Doelgroep (zoeksleutel)]=C34,Berekening_patiëntaantal[Digitale zorgtoepassing]),0))</f>
        <v>Huidige toepassing</v>
      </c>
      <c r="E34" s="440" t="s">
        <v>812</v>
      </c>
      <c r="F34" s="30" t="str">
        <f>CONCATENATE(vertraging[[#This Row],[Digitale zorgtoepassing]],"_",vertraging[[#This Row],[Doelgroep]],"_",vertraging[[#This Row],[Uitgangssituatie/effect beleid]])</f>
        <v>Exoskelet_NVT_Effect beleid</v>
      </c>
      <c r="G34" s="122" t="str">
        <f>INDEX(acceptatie_burgers[Impact afhankelijk van acceptatie burgers?],MATCH(B34,acceptatie_burgers[Digitale zorgtoepassing],0))</f>
        <v>Nee</v>
      </c>
      <c r="H34" s="441" cm="1">
        <f t="array" ref="H34">IF(vertraging[[#This Row],[Uitgangssituatie/effect beleid]]="Effect beleid",MAX(INDEX(aanname_implementatie[Coëfficient p],MATCH(B34,IF(aanname_implementatie[Doelgroep]=C34,aanname_implementatie[Digitale zorgtoepassing]),0))+SUMIFS(afslagen_beleid[Opslag p],afslagen_beleid[Impact afhankelijk van acceptatie burgers],vertraging[[#This Row],[Acceptatie burgers]]),0.01),INDEX(aanname_implementatie[Coëfficient p],MATCH(B34,IF(aanname_implementatie[Doelgroep]=C34,aanname_implementatie[Digitale zorgtoepassing]),0)))</f>
        <v>1.4999999999999999E-2</v>
      </c>
      <c r="I34" s="441" cm="1">
        <f t="array" ref="I34">IF(vertraging[[#This Row],[Uitgangssituatie/effect beleid]]="Effect beleid",MAX(INDEX(aanname_implementatie[Coëfficient q],MATCH(B34,IF(aanname_implementatie[Doelgroep]=C34,aanname_implementatie[Digitale zorgtoepassing]),0))+SUMIFS(afslagen_beleid[Opslag q],afslagen_beleid[Impact afhankelijk van acceptatie burgers],vertraging[[#This Row],[Acceptatie burgers]]),0.3),INDEX(aanname_implementatie[Coëfficient q],MATCH(B34,IF(aanname_implementatie[Doelgroep]=C34,aanname_implementatie[Digitale zorgtoepassing]),0)))</f>
        <v>0.35</v>
      </c>
      <c r="J34" s="17">
        <f>0</f>
        <v>0</v>
      </c>
      <c r="K34" s="17">
        <v>0</v>
      </c>
      <c r="L34" s="17">
        <v>0</v>
      </c>
      <c r="M34" s="17">
        <v>0</v>
      </c>
      <c r="N34" s="17">
        <v>0</v>
      </c>
      <c r="O34" s="17">
        <v>0</v>
      </c>
      <c r="P34" s="17">
        <v>0</v>
      </c>
      <c r="Q34" s="17">
        <v>0</v>
      </c>
      <c r="R34" s="17">
        <v>0</v>
      </c>
      <c r="S34" s="17">
        <v>0</v>
      </c>
      <c r="T34" s="17">
        <v>0</v>
      </c>
      <c r="U34" s="17">
        <v>0</v>
      </c>
      <c r="V34" s="124" cm="1">
        <f t="array" ref="V34">INDEX(aanname_implementatie[Huidige implementatiegraad],MATCH(B34,IF(aanname_implementatie[Doelgroep]=C34,aanname_implementatie[Digitale zorgtoepassing]),0))</f>
        <v>0</v>
      </c>
      <c r="W34" s="126">
        <f>V34+vertraging[[#This Row],[p]]*(1-V34)+vertraging[[#This Row],[q]]*V34*(1-V34)</f>
        <v>1.4999999999999999E-2</v>
      </c>
      <c r="X34" s="126">
        <f>W34+vertraging[[#This Row],[p]]*(1-W34)+vertraging[[#This Row],[q]]*W34*(1-W34)</f>
        <v>3.4946249999999998E-2</v>
      </c>
      <c r="Y34" s="126">
        <f>X34+vertraging[[#This Row],[p]]*(1-X34)+vertraging[[#This Row],[q]]*X34*(1-X34)</f>
        <v>6.1225809613828119E-2</v>
      </c>
      <c r="Z34" s="126">
        <f>Y34+vertraging[[#This Row],[p]]*(1-Y34)+vertraging[[#This Row],[q]]*Y34*(1-Y34)</f>
        <v>9.5424445917456496E-2</v>
      </c>
      <c r="AA34" s="126">
        <f>Z34+vertraging[[#This Row],[p]]*(1-Z34)+vertraging[[#This Row],[q]]*Z34*(1-Z34)</f>
        <v>0.13920459659227569</v>
      </c>
      <c r="AB34" s="126">
        <f>AA34+vertraging[[#This Row],[p]]*(1-AA34)+vertraging[[#This Row],[q]]*AA34*(1-AA34)</f>
        <v>0.19405586455134166</v>
      </c>
      <c r="AC34" s="126">
        <f>AB34+vertraging[[#This Row],[p]]*(1-AB34)+vertraging[[#This Row],[q]]*AB34*(1-AB34)</f>
        <v>0.26088439167767208</v>
      </c>
      <c r="AD34" s="126">
        <f>AC34+vertraging[[#This Row],[p]]*(1-AC34)+vertraging[[#This Row],[q]]*AC34*(1-AC34)</f>
        <v>0.33945942985233207</v>
      </c>
      <c r="AE34" s="126">
        <f>AD34+vertraging[[#This Row],[p]]*(1-AD34)+vertraging[[#This Row],[q]]*AD34*(1-AD34)</f>
        <v>0.42784689227237871</v>
      </c>
      <c r="AF34" s="126">
        <f>AE34+vertraging[[#This Row],[p]]*(1-AE34)+vertraging[[#This Row],[q]]*AE34*(1-AE34)</f>
        <v>0.52210706405412921</v>
      </c>
      <c r="AG34" s="126">
        <f>AF34+vertraging[[#This Row],[p]]*(1-AF34)+vertraging[[#This Row],[q]]*AF34*(1-AF34)</f>
        <v>0.61660440529493454</v>
      </c>
    </row>
    <row r="35" spans="1:33" x14ac:dyDescent="0.5">
      <c r="A35" s="30" t="str">
        <f>INDEX(Technologieën[Veld],MATCH(B35,Technologieën[Digitale zorgtoepassing],0))</f>
        <v>Digitale hulpmiddelen - Verpleging</v>
      </c>
      <c r="B35" s="30" t="s">
        <v>32</v>
      </c>
      <c r="C35" s="30" t="s">
        <v>602</v>
      </c>
      <c r="D35" s="30" t="str" cm="1">
        <f t="array" ref="D35">INDEX(Berekening_patiëntaantal[Direct toepasbaar/extrapolatie/incidentie voor QALY],MATCH(B35,IF(Berekening_patiëntaantal[Doelgroep (zoeksleutel)]=C35,Berekening_patiëntaantal[Digitale zorgtoepassing]),0))</f>
        <v>Incidentie voor QALY</v>
      </c>
      <c r="E35" s="440" t="s">
        <v>812</v>
      </c>
      <c r="F35" s="30" t="str">
        <f>CONCATENATE(vertraging[[#This Row],[Digitale zorgtoepassing]],"_",vertraging[[#This Row],[Doelgroep]],"_",vertraging[[#This Row],[Uitgangssituatie/effect beleid]])</f>
        <v>Heupairbag_Heupfracturen_Effect beleid</v>
      </c>
      <c r="G35" s="122" t="str">
        <f>INDEX(acceptatie_burgers[Impact afhankelijk van acceptatie burgers?],MATCH(B35,acceptatie_burgers[Digitale zorgtoepassing],0))</f>
        <v>Ja</v>
      </c>
      <c r="H35" s="441" cm="1">
        <f t="array" ref="H35">IF(vertraging[[#This Row],[Uitgangssituatie/effect beleid]]="Effect beleid",MAX(INDEX(aanname_implementatie[Coëfficient p],MATCH(B35,IF(aanname_implementatie[Doelgroep]=C35,aanname_implementatie[Digitale zorgtoepassing]),0))+SUMIFS(afslagen_beleid[Opslag p],afslagen_beleid[Impact afhankelijk van acceptatie burgers],vertraging[[#This Row],[Acceptatie burgers]]),0.01),INDEX(aanname_implementatie[Coëfficient p],MATCH(B35,IF(aanname_implementatie[Doelgroep]=C35,aanname_implementatie[Digitale zorgtoepassing]),0)))</f>
        <v>0.02</v>
      </c>
      <c r="I35" s="441" cm="1">
        <f t="array" ref="I35">IF(vertraging[[#This Row],[Uitgangssituatie/effect beleid]]="Effect beleid",MAX(INDEX(aanname_implementatie[Coëfficient q],MATCH(B35,IF(aanname_implementatie[Doelgroep]=C35,aanname_implementatie[Digitale zorgtoepassing]),0))+SUMIFS(afslagen_beleid[Opslag q],afslagen_beleid[Impact afhankelijk van acceptatie burgers],vertraging[[#This Row],[Acceptatie burgers]]),0.3),INDEX(aanname_implementatie[Coëfficient q],MATCH(B35,IF(aanname_implementatie[Doelgroep]=C35,aanname_implementatie[Digitale zorgtoepassing]),0)))</f>
        <v>0.4</v>
      </c>
      <c r="J35" s="17">
        <f>0</f>
        <v>0</v>
      </c>
      <c r="K35" s="17">
        <v>0</v>
      </c>
      <c r="L35" s="17">
        <v>0</v>
      </c>
      <c r="M35" s="17">
        <v>0</v>
      </c>
      <c r="N35" s="17">
        <v>0</v>
      </c>
      <c r="O35" s="17">
        <v>0</v>
      </c>
      <c r="P35" s="17">
        <v>0</v>
      </c>
      <c r="Q35" s="17">
        <v>0</v>
      </c>
      <c r="R35" s="17">
        <v>0</v>
      </c>
      <c r="S35" s="17">
        <v>0</v>
      </c>
      <c r="T35" s="17">
        <v>0</v>
      </c>
      <c r="U35" s="17">
        <v>0</v>
      </c>
      <c r="V35" s="124" cm="1">
        <f t="array" ref="V35">INDEX(aanname_implementatie[Huidige implementatiegraad],MATCH(B35,IF(aanname_implementatie[Doelgroep]=C35,aanname_implementatie[Digitale zorgtoepassing]),0))</f>
        <v>0.4</v>
      </c>
      <c r="W35" s="126">
        <f>V35+vertraging[[#This Row],[p]]*(1-V35)+vertraging[[#This Row],[q]]*V35*(1-V35)</f>
        <v>0.50800000000000001</v>
      </c>
      <c r="X35" s="126">
        <f>W35+vertraging[[#This Row],[p]]*(1-W35)+vertraging[[#This Row],[q]]*W35*(1-W35)</f>
        <v>0.61781439999999999</v>
      </c>
      <c r="Y35" s="126">
        <f>X35+vertraging[[#This Row],[p]]*(1-X35)+vertraging[[#This Row],[q]]*X35*(1-X35)</f>
        <v>0.71990601886105599</v>
      </c>
      <c r="Z35" s="126">
        <f>Y35+vertraging[[#This Row],[p]]*(1-Y35)+vertraging[[#This Row],[q]]*Y35*(1-Y35)</f>
        <v>0.80616443563130724</v>
      </c>
      <c r="AA35" s="126">
        <f>Z35+vertraging[[#This Row],[p]]*(1-Z35)+vertraging[[#This Row],[q]]*Z35*(1-Z35)</f>
        <v>0.87254648226050635</v>
      </c>
      <c r="AB35" s="126">
        <f>AA35+vertraging[[#This Row],[p]]*(1-AA35)+vertraging[[#This Row],[q]]*AA35*(1-AA35)</f>
        <v>0.9195792000374251</v>
      </c>
      <c r="AC35" s="126">
        <f>AB35+vertraging[[#This Row],[p]]*(1-AB35)+vertraging[[#This Row],[q]]*AB35*(1-AB35)</f>
        <v>0.95076893399505846</v>
      </c>
      <c r="AD35" s="126">
        <f>AC35+vertraging[[#This Row],[p]]*(1-AC35)+vertraging[[#This Row],[q]]*AC35*(1-AC35)</f>
        <v>0.97047650257314066</v>
      </c>
      <c r="AE35" s="126">
        <f>AD35+vertraging[[#This Row],[p]]*(1-AD35)+vertraging[[#This Row],[q]]*AD35*(1-AD35)</f>
        <v>0.98252771673229611</v>
      </c>
      <c r="AF35" s="126">
        <f>AE35+vertraging[[#This Row],[p]]*(1-AE35)+vertraging[[#This Row],[q]]*AE35*(1-AE35)</f>
        <v>0.98974396343169702</v>
      </c>
      <c r="AG35" s="126">
        <f>AF35+vertraging[[#This Row],[p]]*(1-AF35)+vertraging[[#This Row],[q]]*AF35*(1-AF35)</f>
        <v>0.99400942427594807</v>
      </c>
    </row>
    <row r="36" spans="1:33" x14ac:dyDescent="0.5">
      <c r="A36" s="30" t="str">
        <f>INDEX(Technologieën[Veld],MATCH(B36,Technologieën[Digitale zorgtoepassing],0))</f>
        <v>Digitale hulpmiddelen - Verpleging</v>
      </c>
      <c r="B36" s="30" t="s">
        <v>32</v>
      </c>
      <c r="C36" s="30" t="s">
        <v>33</v>
      </c>
      <c r="D36" s="30" t="str" cm="1">
        <f t="array" ref="D36">INDEX(Berekening_patiëntaantal[Direct toepasbaar/extrapolatie/incidentie voor QALY],MATCH(B36,IF(Berekening_patiëntaantal[Doelgroep (zoeksleutel)]=C36,Berekening_patiëntaantal[Digitale zorgtoepassing]),0))</f>
        <v>Huidige toepassing</v>
      </c>
      <c r="E36" s="440" t="s">
        <v>812</v>
      </c>
      <c r="F36" s="30" t="str">
        <f>CONCATENATE(vertraging[[#This Row],[Digitale zorgtoepassing]],"_",vertraging[[#This Row],[Doelgroep]],"_",vertraging[[#This Row],[Uitgangssituatie/effect beleid]])</f>
        <v>Heupairbag_Ouderen in verpleeghuis_Effect beleid</v>
      </c>
      <c r="G36" s="122" t="str">
        <f>INDEX(acceptatie_burgers[Impact afhankelijk van acceptatie burgers?],MATCH(B36,acceptatie_burgers[Digitale zorgtoepassing],0))</f>
        <v>Ja</v>
      </c>
      <c r="H36" s="441" cm="1">
        <f t="array" ref="H36">IF(vertraging[[#This Row],[Uitgangssituatie/effect beleid]]="Effect beleid",MAX(INDEX(aanname_implementatie[Coëfficient p],MATCH(B36,IF(aanname_implementatie[Doelgroep]=C36,aanname_implementatie[Digitale zorgtoepassing]),0))+SUMIFS(afslagen_beleid[Opslag p],afslagen_beleid[Impact afhankelijk van acceptatie burgers],vertraging[[#This Row],[Acceptatie burgers]]),0.01),INDEX(aanname_implementatie[Coëfficient p],MATCH(B36,IF(aanname_implementatie[Doelgroep]=C36,aanname_implementatie[Digitale zorgtoepassing]),0)))</f>
        <v>0.02</v>
      </c>
      <c r="I36" s="441" cm="1">
        <f t="array" ref="I36">IF(vertraging[[#This Row],[Uitgangssituatie/effect beleid]]="Effect beleid",MAX(INDEX(aanname_implementatie[Coëfficient q],MATCH(B36,IF(aanname_implementatie[Doelgroep]=C36,aanname_implementatie[Digitale zorgtoepassing]),0))+SUMIFS(afslagen_beleid[Opslag q],afslagen_beleid[Impact afhankelijk van acceptatie burgers],vertraging[[#This Row],[Acceptatie burgers]]),0.3),INDEX(aanname_implementatie[Coëfficient q],MATCH(B36,IF(aanname_implementatie[Doelgroep]=C36,aanname_implementatie[Digitale zorgtoepassing]),0)))</f>
        <v>0.4</v>
      </c>
      <c r="J36" s="17">
        <f>0</f>
        <v>0</v>
      </c>
      <c r="K36" s="17">
        <v>0</v>
      </c>
      <c r="L36" s="17">
        <v>0</v>
      </c>
      <c r="M36" s="17">
        <v>0</v>
      </c>
      <c r="N36" s="17">
        <v>0</v>
      </c>
      <c r="O36" s="17">
        <v>0</v>
      </c>
      <c r="P36" s="17">
        <v>0</v>
      </c>
      <c r="Q36" s="17">
        <v>0</v>
      </c>
      <c r="R36" s="17">
        <v>0</v>
      </c>
      <c r="S36" s="17">
        <v>0</v>
      </c>
      <c r="T36" s="17">
        <v>0</v>
      </c>
      <c r="U36" s="17">
        <v>0</v>
      </c>
      <c r="V36" s="124" cm="1">
        <f t="array" ref="V36">INDEX(aanname_implementatie[Huidige implementatiegraad],MATCH(B36,IF(aanname_implementatie[Doelgroep]=C36,aanname_implementatie[Digitale zorgtoepassing]),0))</f>
        <v>0.4</v>
      </c>
      <c r="W36" s="126">
        <f>V36+vertraging[[#This Row],[p]]*(1-V36)+vertraging[[#This Row],[q]]*V36*(1-V36)</f>
        <v>0.50800000000000001</v>
      </c>
      <c r="X36" s="126">
        <f>W36+vertraging[[#This Row],[p]]*(1-W36)+vertraging[[#This Row],[q]]*W36*(1-W36)</f>
        <v>0.61781439999999999</v>
      </c>
      <c r="Y36" s="126">
        <f>X36+vertraging[[#This Row],[p]]*(1-X36)+vertraging[[#This Row],[q]]*X36*(1-X36)</f>
        <v>0.71990601886105599</v>
      </c>
      <c r="Z36" s="126">
        <f>Y36+vertraging[[#This Row],[p]]*(1-Y36)+vertraging[[#This Row],[q]]*Y36*(1-Y36)</f>
        <v>0.80616443563130724</v>
      </c>
      <c r="AA36" s="126">
        <f>Z36+vertraging[[#This Row],[p]]*(1-Z36)+vertraging[[#This Row],[q]]*Z36*(1-Z36)</f>
        <v>0.87254648226050635</v>
      </c>
      <c r="AB36" s="126">
        <f>AA36+vertraging[[#This Row],[p]]*(1-AA36)+vertraging[[#This Row],[q]]*AA36*(1-AA36)</f>
        <v>0.9195792000374251</v>
      </c>
      <c r="AC36" s="126">
        <f>AB36+vertraging[[#This Row],[p]]*(1-AB36)+vertraging[[#This Row],[q]]*AB36*(1-AB36)</f>
        <v>0.95076893399505846</v>
      </c>
      <c r="AD36" s="126">
        <f>AC36+vertraging[[#This Row],[p]]*(1-AC36)+vertraging[[#This Row],[q]]*AC36*(1-AC36)</f>
        <v>0.97047650257314066</v>
      </c>
      <c r="AE36" s="126">
        <f>AD36+vertraging[[#This Row],[p]]*(1-AD36)+vertraging[[#This Row],[q]]*AD36*(1-AD36)</f>
        <v>0.98252771673229611</v>
      </c>
      <c r="AF36" s="126">
        <f>AE36+vertraging[[#This Row],[p]]*(1-AE36)+vertraging[[#This Row],[q]]*AE36*(1-AE36)</f>
        <v>0.98974396343169702</v>
      </c>
      <c r="AG36" s="126">
        <f>AF36+vertraging[[#This Row],[p]]*(1-AF36)+vertraging[[#This Row],[q]]*AF36*(1-AF36)</f>
        <v>0.99400942427594807</v>
      </c>
    </row>
    <row r="37" spans="1:33" x14ac:dyDescent="0.5">
      <c r="A37" s="30" t="str">
        <f>INDEX(Technologieën[Veld],MATCH(B37,Technologieën[Digitale zorgtoepassing],0))</f>
        <v>Software - Diagnose</v>
      </c>
      <c r="B37" s="30" t="s">
        <v>725</v>
      </c>
      <c r="C37" s="30" t="s">
        <v>99</v>
      </c>
      <c r="D37" s="30" t="str" cm="1">
        <f t="array" ref="D37">INDEX(Berekening_patiëntaantal[Direct toepasbaar/extrapolatie/incidentie voor QALY],MATCH(B37,IF(Berekening_patiëntaantal[Doelgroep (zoeksleutel)]=C37,Berekening_patiëntaantal[Digitale zorgtoepassing]),0))</f>
        <v>Huidige toepassing</v>
      </c>
      <c r="E37" s="440" t="s">
        <v>812</v>
      </c>
      <c r="F37" s="30" t="str">
        <f>CONCATENATE(vertraging[[#This Row],[Digitale zorgtoepassing]],"_",vertraging[[#This Row],[Doelgroep]],"_",vertraging[[#This Row],[Uitgangssituatie/effect beleid]])</f>
        <v>Inzicht assistent digitale zelftriage dagpraktijk_Huisartscontacten__Effect beleid</v>
      </c>
      <c r="G37" s="122" t="str">
        <f>INDEX(acceptatie_burgers[Impact afhankelijk van acceptatie burgers?],MATCH(B37,acceptatie_burgers[Digitale zorgtoepassing],0))</f>
        <v>Ja</v>
      </c>
      <c r="H37" s="441" cm="1">
        <f t="array" ref="H37">IF(vertraging[[#This Row],[Uitgangssituatie/effect beleid]]="Effect beleid",MAX(INDEX(aanname_implementatie[Coëfficient p],MATCH(B37,IF(aanname_implementatie[Doelgroep]=C37,aanname_implementatie[Digitale zorgtoepassing]),0))+SUMIFS(afslagen_beleid[Opslag p],afslagen_beleid[Impact afhankelijk van acceptatie burgers],vertraging[[#This Row],[Acceptatie burgers]]),0.01),INDEX(aanname_implementatie[Coëfficient p],MATCH(B37,IF(aanname_implementatie[Doelgroep]=C37,aanname_implementatie[Digitale zorgtoepassing]),0)))</f>
        <v>1.4999999999999999E-2</v>
      </c>
      <c r="I37" s="441" cm="1">
        <f t="array" ref="I37">IF(vertraging[[#This Row],[Uitgangssituatie/effect beleid]]="Effect beleid",MAX(INDEX(aanname_implementatie[Coëfficient q],MATCH(B37,IF(aanname_implementatie[Doelgroep]=C37,aanname_implementatie[Digitale zorgtoepassing]),0))+SUMIFS(afslagen_beleid[Opslag q],afslagen_beleid[Impact afhankelijk van acceptatie burgers],vertraging[[#This Row],[Acceptatie burgers]]),0.3),INDEX(aanname_implementatie[Coëfficient q],MATCH(B37,IF(aanname_implementatie[Doelgroep]=C37,aanname_implementatie[Digitale zorgtoepassing]),0)))</f>
        <v>0.35</v>
      </c>
      <c r="J37" s="17">
        <f>0</f>
        <v>0</v>
      </c>
      <c r="K37" s="17">
        <v>0</v>
      </c>
      <c r="L37" s="17">
        <v>0</v>
      </c>
      <c r="M37" s="17">
        <v>0</v>
      </c>
      <c r="N37" s="17">
        <v>0</v>
      </c>
      <c r="O37" s="17">
        <v>0</v>
      </c>
      <c r="P37" s="17">
        <v>0</v>
      </c>
      <c r="Q37" s="17">
        <v>0</v>
      </c>
      <c r="R37" s="17">
        <v>0</v>
      </c>
      <c r="S37" s="17">
        <v>0</v>
      </c>
      <c r="T37" s="17">
        <v>0</v>
      </c>
      <c r="U37" s="17">
        <v>0</v>
      </c>
      <c r="V37" s="124" cm="1">
        <f t="array" ref="V37">INDEX(aanname_implementatie[Huidige implementatiegraad],MATCH(B37,IF(aanname_implementatie[Doelgroep]=C37,aanname_implementatie[Digitale zorgtoepassing]),0))</f>
        <v>0.2</v>
      </c>
      <c r="W37" s="126">
        <f>V37+vertraging[[#This Row],[p]]*(1-V37)+vertraging[[#This Row],[q]]*V37*(1-V37)</f>
        <v>0.26800000000000002</v>
      </c>
      <c r="X37" s="126">
        <f>W37+vertraging[[#This Row],[p]]*(1-W37)+vertraging[[#This Row],[q]]*W37*(1-W37)</f>
        <v>0.3476416</v>
      </c>
      <c r="Y37" s="126">
        <f>X37+vertraging[[#This Row],[p]]*(1-X37)+vertraging[[#This Row],[q]]*X37*(1-X37)</f>
        <v>0.43680239728230397</v>
      </c>
      <c r="Z37" s="126">
        <f>Y37+vertraging[[#This Row],[p]]*(1-Y37)+vertraging[[#This Row],[q]]*Y37*(1-Y37)</f>
        <v>0.53135248337682706</v>
      </c>
      <c r="AA37" s="126">
        <f>Z37+vertraging[[#This Row],[p]]*(1-Z37)+vertraging[[#This Row],[q]]*Z37*(1-Z37)</f>
        <v>0.62553815375131172</v>
      </c>
      <c r="AB37" s="126">
        <f>AA37+vertraging[[#This Row],[p]]*(1-AA37)+vertraging[[#This Row],[q]]*AA37*(1-AA37)</f>
        <v>0.71313914162849124</v>
      </c>
      <c r="AC37" s="126">
        <f>AB37+vertraging[[#This Row],[p]]*(1-AB37)+vertraging[[#This Row],[q]]*AB37*(1-AB37)</f>
        <v>0.78904215171111836</v>
      </c>
      <c r="AD37" s="126">
        <f>AC37+vertraging[[#This Row],[p]]*(1-AC37)+vertraging[[#This Row],[q]]*AC37*(1-AC37)</f>
        <v>0.85046564152242399</v>
      </c>
      <c r="AE37" s="126">
        <f>AD37+vertraging[[#This Row],[p]]*(1-AD37)+vertraging[[#This Row],[q]]*AD37*(1-AD37)</f>
        <v>0.89721949883888419</v>
      </c>
      <c r="AF37" s="126">
        <f>AE37+vertraging[[#This Row],[p]]*(1-AE37)+vertraging[[#This Row],[q]]*AE37*(1-AE37)</f>
        <v>0.93103704076606597</v>
      </c>
      <c r="AG37" s="126">
        <f>AF37+vertraging[[#This Row],[p]]*(1-AF37)+vertraging[[#This Row],[q]]*AF37*(1-AF37)</f>
        <v>0.9545439594752464</v>
      </c>
    </row>
    <row r="38" spans="1:33" x14ac:dyDescent="0.5">
      <c r="A38" s="30" t="str">
        <f>INDEX(Technologieën[Veld],MATCH(B38,Technologieën[Digitale zorgtoepassing],0))</f>
        <v>Software - Diagnose</v>
      </c>
      <c r="B38" s="30" t="s">
        <v>720</v>
      </c>
      <c r="C38" s="30" t="s">
        <v>73</v>
      </c>
      <c r="D38" s="30" t="str" cm="1">
        <f t="array" ref="D38">INDEX(Berekening_patiëntaantal[Direct toepasbaar/extrapolatie/incidentie voor QALY],MATCH(B38,IF(Berekening_patiëntaantal[Doelgroep (zoeksleutel)]=C38,Berekening_patiëntaantal[Digitale zorgtoepassing]),0))</f>
        <v>Huidige toepassing</v>
      </c>
      <c r="E38" s="440" t="s">
        <v>812</v>
      </c>
      <c r="F38" s="30" t="str">
        <f>CONCATENATE(vertraging[[#This Row],[Digitale zorgtoepassing]],"_",vertraging[[#This Row],[Doelgroep]],"_",vertraging[[#This Row],[Uitgangssituatie/effect beleid]])</f>
        <v>Inzicht triagist digitale zelftriage HAP_HAP triageconsulten_U4/U5_Effect beleid</v>
      </c>
      <c r="G38" s="122" t="str">
        <f>INDEX(acceptatie_burgers[Impact afhankelijk van acceptatie burgers?],MATCH(B38,acceptatie_burgers[Digitale zorgtoepassing],0))</f>
        <v>Ja</v>
      </c>
      <c r="H38" s="441" cm="1">
        <f t="array" ref="H38">IF(vertraging[[#This Row],[Uitgangssituatie/effect beleid]]="Effect beleid",MAX(INDEX(aanname_implementatie[Coëfficient p],MATCH(B38,IF(aanname_implementatie[Doelgroep]=C38,aanname_implementatie[Digitale zorgtoepassing]),0))+SUMIFS(afslagen_beleid[Opslag p],afslagen_beleid[Impact afhankelijk van acceptatie burgers],vertraging[[#This Row],[Acceptatie burgers]]),0.01),INDEX(aanname_implementatie[Coëfficient p],MATCH(B38,IF(aanname_implementatie[Doelgroep]=C38,aanname_implementatie[Digitale zorgtoepassing]),0)))</f>
        <v>1.4999999999999999E-2</v>
      </c>
      <c r="I38" s="441" cm="1">
        <f t="array" ref="I38">IF(vertraging[[#This Row],[Uitgangssituatie/effect beleid]]="Effect beleid",MAX(INDEX(aanname_implementatie[Coëfficient q],MATCH(B38,IF(aanname_implementatie[Doelgroep]=C38,aanname_implementatie[Digitale zorgtoepassing]),0))+SUMIFS(afslagen_beleid[Opslag q],afslagen_beleid[Impact afhankelijk van acceptatie burgers],vertraging[[#This Row],[Acceptatie burgers]]),0.3),INDEX(aanname_implementatie[Coëfficient q],MATCH(B38,IF(aanname_implementatie[Doelgroep]=C38,aanname_implementatie[Digitale zorgtoepassing]),0)))</f>
        <v>0.35</v>
      </c>
      <c r="J38" s="17">
        <f>0</f>
        <v>0</v>
      </c>
      <c r="K38" s="17">
        <v>0</v>
      </c>
      <c r="L38" s="17">
        <v>0</v>
      </c>
      <c r="M38" s="17">
        <v>0</v>
      </c>
      <c r="N38" s="17">
        <v>0</v>
      </c>
      <c r="O38" s="17">
        <v>0</v>
      </c>
      <c r="P38" s="17">
        <v>0</v>
      </c>
      <c r="Q38" s="17">
        <v>0</v>
      </c>
      <c r="R38" s="17">
        <v>0</v>
      </c>
      <c r="S38" s="17">
        <v>0</v>
      </c>
      <c r="T38" s="17">
        <v>0</v>
      </c>
      <c r="U38" s="17">
        <v>0</v>
      </c>
      <c r="V38" s="124" cm="1">
        <f t="array" ref="V38">INDEX(aanname_implementatie[Huidige implementatiegraad],MATCH(B38,IF(aanname_implementatie[Doelgroep]=C38,aanname_implementatie[Digitale zorgtoepassing]),0))</f>
        <v>0.2</v>
      </c>
      <c r="W38" s="126">
        <f>V38+vertraging[[#This Row],[p]]*(1-V38)+vertraging[[#This Row],[q]]*V38*(1-V38)</f>
        <v>0.26800000000000002</v>
      </c>
      <c r="X38" s="126">
        <f>W38+vertraging[[#This Row],[p]]*(1-W38)+vertraging[[#This Row],[q]]*W38*(1-W38)</f>
        <v>0.3476416</v>
      </c>
      <c r="Y38" s="126">
        <f>X38+vertraging[[#This Row],[p]]*(1-X38)+vertraging[[#This Row],[q]]*X38*(1-X38)</f>
        <v>0.43680239728230397</v>
      </c>
      <c r="Z38" s="126">
        <f>Y38+vertraging[[#This Row],[p]]*(1-Y38)+vertraging[[#This Row],[q]]*Y38*(1-Y38)</f>
        <v>0.53135248337682706</v>
      </c>
      <c r="AA38" s="126">
        <f>Z38+vertraging[[#This Row],[p]]*(1-Z38)+vertraging[[#This Row],[q]]*Z38*(1-Z38)</f>
        <v>0.62553815375131172</v>
      </c>
      <c r="AB38" s="126">
        <f>AA38+vertraging[[#This Row],[p]]*(1-AA38)+vertraging[[#This Row],[q]]*AA38*(1-AA38)</f>
        <v>0.71313914162849124</v>
      </c>
      <c r="AC38" s="126">
        <f>AB38+vertraging[[#This Row],[p]]*(1-AB38)+vertraging[[#This Row],[q]]*AB38*(1-AB38)</f>
        <v>0.78904215171111836</v>
      </c>
      <c r="AD38" s="126">
        <f>AC38+vertraging[[#This Row],[p]]*(1-AC38)+vertraging[[#This Row],[q]]*AC38*(1-AC38)</f>
        <v>0.85046564152242399</v>
      </c>
      <c r="AE38" s="126">
        <f>AD38+vertraging[[#This Row],[p]]*(1-AD38)+vertraging[[#This Row],[q]]*AD38*(1-AD38)</f>
        <v>0.89721949883888419</v>
      </c>
      <c r="AF38" s="126">
        <f>AE38+vertraging[[#This Row],[p]]*(1-AE38)+vertraging[[#This Row],[q]]*AE38*(1-AE38)</f>
        <v>0.93103704076606597</v>
      </c>
      <c r="AG38" s="126">
        <f>AF38+vertraging[[#This Row],[p]]*(1-AF38)+vertraging[[#This Row],[q]]*AF38*(1-AF38)</f>
        <v>0.9545439594752464</v>
      </c>
    </row>
    <row r="39" spans="1:33" x14ac:dyDescent="0.5">
      <c r="A39" s="30" t="str">
        <f>INDEX(Technologieën[Veld],MATCH(B39,Technologieën[Digitale zorgtoepassing],0))</f>
        <v>Sensoren - Verpleging</v>
      </c>
      <c r="B39" s="30" t="s">
        <v>46</v>
      </c>
      <c r="C39" s="30" t="s">
        <v>20</v>
      </c>
      <c r="D39" s="30" t="str" cm="1">
        <f t="array" ref="D39">INDEX(Berekening_patiëntaantal[Direct toepasbaar/extrapolatie/incidentie voor QALY],MATCH(B39,IF(Berekening_patiëntaantal[Doelgroep (zoeksleutel)]=C39,Berekening_patiëntaantal[Digitale zorgtoepassing]),0))</f>
        <v>Huidige toepassing</v>
      </c>
      <c r="E39" s="440" t="s">
        <v>812</v>
      </c>
      <c r="F39" s="30" t="str">
        <f>CONCATENATE(vertraging[[#This Row],[Digitale zorgtoepassing]],"_",vertraging[[#This Row],[Doelgroep]],"_",vertraging[[#This Row],[Uitgangssituatie/effect beleid]])</f>
        <v>Leefcirkels_Dementie_Effect beleid</v>
      </c>
      <c r="G39" s="122" t="str">
        <f>INDEX(acceptatie_burgers[Impact afhankelijk van acceptatie burgers?],MATCH(B39,acceptatie_burgers[Digitale zorgtoepassing],0))</f>
        <v>Ja</v>
      </c>
      <c r="H39" s="441" cm="1">
        <f t="array" ref="H39">IF(vertraging[[#This Row],[Uitgangssituatie/effect beleid]]="Effect beleid",MAX(INDEX(aanname_implementatie[Coëfficient p],MATCH(B39,IF(aanname_implementatie[Doelgroep]=C39,aanname_implementatie[Digitale zorgtoepassing]),0))+SUMIFS(afslagen_beleid[Opslag p],afslagen_beleid[Impact afhankelijk van acceptatie burgers],vertraging[[#This Row],[Acceptatie burgers]]),0.01),INDEX(aanname_implementatie[Coëfficient p],MATCH(B39,IF(aanname_implementatie[Doelgroep]=C39,aanname_implementatie[Digitale zorgtoepassing]),0)))</f>
        <v>1.4999999999999999E-2</v>
      </c>
      <c r="I39" s="441" cm="1">
        <f t="array" ref="I39">IF(vertraging[[#This Row],[Uitgangssituatie/effect beleid]]="Effect beleid",MAX(INDEX(aanname_implementatie[Coëfficient q],MATCH(B39,IF(aanname_implementatie[Doelgroep]=C39,aanname_implementatie[Digitale zorgtoepassing]),0))+SUMIFS(afslagen_beleid[Opslag q],afslagen_beleid[Impact afhankelijk van acceptatie burgers],vertraging[[#This Row],[Acceptatie burgers]]),0.3),INDEX(aanname_implementatie[Coëfficient q],MATCH(B39,IF(aanname_implementatie[Doelgroep]=C39,aanname_implementatie[Digitale zorgtoepassing]),0)))</f>
        <v>0.35</v>
      </c>
      <c r="J39" s="17">
        <f>0</f>
        <v>0</v>
      </c>
      <c r="K39" s="17">
        <v>0</v>
      </c>
      <c r="L39" s="17">
        <v>0</v>
      </c>
      <c r="M39" s="17">
        <v>0</v>
      </c>
      <c r="N39" s="17">
        <v>0</v>
      </c>
      <c r="O39" s="17">
        <v>0</v>
      </c>
      <c r="P39" s="17">
        <v>0</v>
      </c>
      <c r="Q39" s="17">
        <v>0</v>
      </c>
      <c r="R39" s="17">
        <v>0</v>
      </c>
      <c r="S39" s="17">
        <v>0</v>
      </c>
      <c r="T39" s="17">
        <v>0</v>
      </c>
      <c r="U39" s="17">
        <v>0</v>
      </c>
      <c r="V39" s="124" cm="1">
        <f t="array" ref="V39">INDEX(aanname_implementatie[Huidige implementatiegraad],MATCH(B39,IF(aanname_implementatie[Doelgroep]=C39,aanname_implementatie[Digitale zorgtoepassing]),0))</f>
        <v>0.2</v>
      </c>
      <c r="W39" s="126">
        <f>V39+vertraging[[#This Row],[p]]*(1-V39)+vertraging[[#This Row],[q]]*V39*(1-V39)</f>
        <v>0.26800000000000002</v>
      </c>
      <c r="X39" s="126">
        <f>W39+vertraging[[#This Row],[p]]*(1-W39)+vertraging[[#This Row],[q]]*W39*(1-W39)</f>
        <v>0.3476416</v>
      </c>
      <c r="Y39" s="126">
        <f>X39+vertraging[[#This Row],[p]]*(1-X39)+vertraging[[#This Row],[q]]*X39*(1-X39)</f>
        <v>0.43680239728230397</v>
      </c>
      <c r="Z39" s="126">
        <f>Y39+vertraging[[#This Row],[p]]*(1-Y39)+vertraging[[#This Row],[q]]*Y39*(1-Y39)</f>
        <v>0.53135248337682706</v>
      </c>
      <c r="AA39" s="126">
        <f>Z39+vertraging[[#This Row],[p]]*(1-Z39)+vertraging[[#This Row],[q]]*Z39*(1-Z39)</f>
        <v>0.62553815375131172</v>
      </c>
      <c r="AB39" s="126">
        <f>AA39+vertraging[[#This Row],[p]]*(1-AA39)+vertraging[[#This Row],[q]]*AA39*(1-AA39)</f>
        <v>0.71313914162849124</v>
      </c>
      <c r="AC39" s="126">
        <f>AB39+vertraging[[#This Row],[p]]*(1-AB39)+vertraging[[#This Row],[q]]*AB39*(1-AB39)</f>
        <v>0.78904215171111836</v>
      </c>
      <c r="AD39" s="126">
        <f>AC39+vertraging[[#This Row],[p]]*(1-AC39)+vertraging[[#This Row],[q]]*AC39*(1-AC39)</f>
        <v>0.85046564152242399</v>
      </c>
      <c r="AE39" s="126">
        <f>AD39+vertraging[[#This Row],[p]]*(1-AD39)+vertraging[[#This Row],[q]]*AD39*(1-AD39)</f>
        <v>0.89721949883888419</v>
      </c>
      <c r="AF39" s="126">
        <f>AE39+vertraging[[#This Row],[p]]*(1-AE39)+vertraging[[#This Row],[q]]*AE39*(1-AE39)</f>
        <v>0.93103704076606597</v>
      </c>
      <c r="AG39" s="126">
        <f>AF39+vertraging[[#This Row],[p]]*(1-AF39)+vertraging[[#This Row],[q]]*AF39*(1-AF39)</f>
        <v>0.9545439594752464</v>
      </c>
    </row>
    <row r="40" spans="1:33" x14ac:dyDescent="0.5">
      <c r="A40" s="30" t="str">
        <f>INDEX(Technologieën[Veld],MATCH(B40,Technologieën[Digitale zorgtoepassing],0))</f>
        <v>Sensoren - Verpleging</v>
      </c>
      <c r="B40" s="30" t="s">
        <v>36</v>
      </c>
      <c r="C40" s="30" t="s">
        <v>24</v>
      </c>
      <c r="D40" s="30" t="str" cm="1">
        <f t="array" ref="D40">INDEX(Berekening_patiëntaantal[Direct toepasbaar/extrapolatie/incidentie voor QALY],MATCH(B40,IF(Berekening_patiëntaantal[Doelgroep (zoeksleutel)]=C40,Berekening_patiëntaantal[Digitale zorgtoepassing]),0))</f>
        <v>Extrapolatie</v>
      </c>
      <c r="E40" s="440" t="s">
        <v>812</v>
      </c>
      <c r="F40" s="30" t="str">
        <f>CONCATENATE(vertraging[[#This Row],[Digitale zorgtoepassing]],"_",vertraging[[#This Row],[Doelgroep]],"_",vertraging[[#This Row],[Uitgangssituatie/effect beleid]])</f>
        <v>Leefstijlmonitoring_Cognitieve beperking_Effect beleid</v>
      </c>
      <c r="G40" s="122" t="str">
        <f>INDEX(acceptatie_burgers[Impact afhankelijk van acceptatie burgers?],MATCH(B40,acceptatie_burgers[Digitale zorgtoepassing],0))</f>
        <v>Ja</v>
      </c>
      <c r="H40" s="441" cm="1">
        <f t="array" ref="H40">IF(vertraging[[#This Row],[Uitgangssituatie/effect beleid]]="Effect beleid",MAX(INDEX(aanname_implementatie[Coëfficient p],MATCH(B40,IF(aanname_implementatie[Doelgroep]=C40,aanname_implementatie[Digitale zorgtoepassing]),0))+SUMIFS(afslagen_beleid[Opslag p],afslagen_beleid[Impact afhankelijk van acceptatie burgers],vertraging[[#This Row],[Acceptatie burgers]]),0.01),INDEX(aanname_implementatie[Coëfficient p],MATCH(B40,IF(aanname_implementatie[Doelgroep]=C40,aanname_implementatie[Digitale zorgtoepassing]),0)))</f>
        <v>0.02</v>
      </c>
      <c r="I40" s="441" cm="1">
        <f t="array" ref="I40">IF(vertraging[[#This Row],[Uitgangssituatie/effect beleid]]="Effect beleid",MAX(INDEX(aanname_implementatie[Coëfficient q],MATCH(B40,IF(aanname_implementatie[Doelgroep]=C40,aanname_implementatie[Digitale zorgtoepassing]),0))+SUMIFS(afslagen_beleid[Opslag q],afslagen_beleid[Impact afhankelijk van acceptatie burgers],vertraging[[#This Row],[Acceptatie burgers]]),0.3),INDEX(aanname_implementatie[Coëfficient q],MATCH(B40,IF(aanname_implementatie[Doelgroep]=C40,aanname_implementatie[Digitale zorgtoepassing]),0)))</f>
        <v>0.4</v>
      </c>
      <c r="J40" s="17">
        <f>0</f>
        <v>0</v>
      </c>
      <c r="K40" s="17">
        <v>0</v>
      </c>
      <c r="L40" s="17">
        <v>0</v>
      </c>
      <c r="M40" s="17">
        <v>0</v>
      </c>
      <c r="N40" s="17">
        <v>0</v>
      </c>
      <c r="O40" s="17">
        <v>0</v>
      </c>
      <c r="P40" s="17">
        <v>0</v>
      </c>
      <c r="Q40" s="17">
        <v>0</v>
      </c>
      <c r="R40" s="17">
        <v>0</v>
      </c>
      <c r="S40" s="17">
        <v>0</v>
      </c>
      <c r="T40" s="17">
        <v>0</v>
      </c>
      <c r="U40" s="17">
        <v>0</v>
      </c>
      <c r="V40" s="124" cm="1">
        <f t="array" ref="V40">INDEX(aanname_implementatie[Huidige implementatiegraad],MATCH(B40,IF(aanname_implementatie[Doelgroep]=C40,aanname_implementatie[Digitale zorgtoepassing]),0))</f>
        <v>0</v>
      </c>
      <c r="W40" s="126">
        <f>V40+vertraging[[#This Row],[p]]*(1-V40)+vertraging[[#This Row],[q]]*V40*(1-V40)</f>
        <v>0.02</v>
      </c>
      <c r="X40" s="126">
        <f>W40+vertraging[[#This Row],[p]]*(1-W40)+vertraging[[#This Row],[q]]*W40*(1-W40)</f>
        <v>4.7439999999999996E-2</v>
      </c>
      <c r="Y40" s="126">
        <f>X40+vertraging[[#This Row],[p]]*(1-X40)+vertraging[[#This Row],[q]]*X40*(1-X40)</f>
        <v>8.4566978560000006E-2</v>
      </c>
      <c r="Z40" s="126">
        <f>Y40+vertraging[[#This Row],[p]]*(1-Y40)+vertraging[[#This Row],[q]]*Y40*(1-Y40)</f>
        <v>0.13384180086769301</v>
      </c>
      <c r="AA40" s="126">
        <f>Z40+vertraging[[#This Row],[p]]*(1-Z40)+vertraging[[#This Row],[q]]*Z40*(1-Z40)</f>
        <v>0.19753623413361349</v>
      </c>
      <c r="AB40" s="126">
        <f>AA40+vertraging[[#This Row],[p]]*(1-AA40)+vertraging[[#This Row],[q]]*AA40*(1-AA40)</f>
        <v>0.27699177758611071</v>
      </c>
      <c r="AC40" s="126">
        <f>AB40+vertraging[[#This Row],[p]]*(1-AB40)+vertraging[[#This Row],[q]]*AB40*(1-AB40)</f>
        <v>0.37155887512870744</v>
      </c>
      <c r="AD40" s="126">
        <f>AC40+vertraging[[#This Row],[p]]*(1-AC40)+vertraging[[#This Row],[q]]*AC40*(1-AC40)</f>
        <v>0.47752884860285211</v>
      </c>
      <c r="AE40" s="126">
        <f>AD40+vertraging[[#This Row],[p]]*(1-AD40)+vertraging[[#This Row],[q]]*AD40*(1-AD40)</f>
        <v>0.5877762905727496</v>
      </c>
      <c r="AF40" s="126">
        <f>AE40+vertraging[[#This Row],[p]]*(1-AE40)+vertraging[[#This Row],[q]]*AE40*(1-AE40)</f>
        <v>0.6929388938866099</v>
      </c>
      <c r="AG40" s="126">
        <f>AF40+vertraging[[#This Row],[p]]*(1-AF40)+vertraging[[#This Row],[q]]*AF40*(1-AF40)</f>
        <v>0.78418994929920227</v>
      </c>
    </row>
    <row r="41" spans="1:33" x14ac:dyDescent="0.5">
      <c r="A41" s="30" t="str">
        <f>INDEX(Technologieën[Veld],MATCH(B41,Technologieën[Digitale zorgtoepassing],0))</f>
        <v>Sensoren - Verpleging</v>
      </c>
      <c r="B41" s="30" t="s">
        <v>36</v>
      </c>
      <c r="C41" s="30" t="s">
        <v>20</v>
      </c>
      <c r="D41" s="30" t="str" cm="1">
        <f t="array" ref="D41">INDEX(Berekening_patiëntaantal[Direct toepasbaar/extrapolatie/incidentie voor QALY],MATCH(B41,IF(Berekening_patiëntaantal[Doelgroep (zoeksleutel)]=C41,Berekening_patiëntaantal[Digitale zorgtoepassing]),0))</f>
        <v>Huidige toepassing</v>
      </c>
      <c r="E41" s="440" t="s">
        <v>812</v>
      </c>
      <c r="F41" s="30" t="str">
        <f>CONCATENATE(vertraging[[#This Row],[Digitale zorgtoepassing]],"_",vertraging[[#This Row],[Doelgroep]],"_",vertraging[[#This Row],[Uitgangssituatie/effect beleid]])</f>
        <v>Leefstijlmonitoring_Dementie_Effect beleid</v>
      </c>
      <c r="G41" s="122" t="str">
        <f>INDEX(acceptatie_burgers[Impact afhankelijk van acceptatie burgers?],MATCH(B41,acceptatie_burgers[Digitale zorgtoepassing],0))</f>
        <v>Ja</v>
      </c>
      <c r="H41" s="441" cm="1">
        <f t="array" ref="H41">IF(vertraging[[#This Row],[Uitgangssituatie/effect beleid]]="Effect beleid",MAX(INDEX(aanname_implementatie[Coëfficient p],MATCH(B41,IF(aanname_implementatie[Doelgroep]=C41,aanname_implementatie[Digitale zorgtoepassing]),0))+SUMIFS(afslagen_beleid[Opslag p],afslagen_beleid[Impact afhankelijk van acceptatie burgers],vertraging[[#This Row],[Acceptatie burgers]]),0.01),INDEX(aanname_implementatie[Coëfficient p],MATCH(B41,IF(aanname_implementatie[Doelgroep]=C41,aanname_implementatie[Digitale zorgtoepassing]),0)))</f>
        <v>0.02</v>
      </c>
      <c r="I41" s="441" cm="1">
        <f t="array" ref="I41">IF(vertraging[[#This Row],[Uitgangssituatie/effect beleid]]="Effect beleid",MAX(INDEX(aanname_implementatie[Coëfficient q],MATCH(B41,IF(aanname_implementatie[Doelgroep]=C41,aanname_implementatie[Digitale zorgtoepassing]),0))+SUMIFS(afslagen_beleid[Opslag q],afslagen_beleid[Impact afhankelijk van acceptatie burgers],vertraging[[#This Row],[Acceptatie burgers]]),0.3),INDEX(aanname_implementatie[Coëfficient q],MATCH(B41,IF(aanname_implementatie[Doelgroep]=C41,aanname_implementatie[Digitale zorgtoepassing]),0)))</f>
        <v>0.4</v>
      </c>
      <c r="J41" s="17">
        <f>0</f>
        <v>0</v>
      </c>
      <c r="K41" s="17">
        <v>0</v>
      </c>
      <c r="L41" s="17">
        <v>0</v>
      </c>
      <c r="M41" s="17">
        <v>0</v>
      </c>
      <c r="N41" s="17">
        <v>0</v>
      </c>
      <c r="O41" s="17">
        <v>0</v>
      </c>
      <c r="P41" s="17">
        <v>0</v>
      </c>
      <c r="Q41" s="17">
        <v>0</v>
      </c>
      <c r="R41" s="17">
        <v>0</v>
      </c>
      <c r="S41" s="17">
        <v>0</v>
      </c>
      <c r="T41" s="17">
        <v>0</v>
      </c>
      <c r="U41" s="17">
        <v>0</v>
      </c>
      <c r="V41" s="124" cm="1">
        <f t="array" ref="V41">INDEX(aanname_implementatie[Huidige implementatiegraad],MATCH(B41,IF(aanname_implementatie[Doelgroep]=C41,aanname_implementatie[Digitale zorgtoepassing]),0))</f>
        <v>0.2</v>
      </c>
      <c r="W41" s="126">
        <f>V41+vertraging[[#This Row],[p]]*(1-V41)+vertraging[[#This Row],[q]]*V41*(1-V41)</f>
        <v>0.28000000000000003</v>
      </c>
      <c r="X41" s="126">
        <f>W41+vertraging[[#This Row],[p]]*(1-W41)+vertraging[[#This Row],[q]]*W41*(1-W41)</f>
        <v>0.37504000000000004</v>
      </c>
      <c r="Y41" s="126">
        <f>X41+vertraging[[#This Row],[p]]*(1-X41)+vertraging[[#This Row],[q]]*X41*(1-X41)</f>
        <v>0.48129319936000003</v>
      </c>
      <c r="Z41" s="126">
        <f>Y41+vertraging[[#This Row],[p]]*(1-Y41)+vertraging[[#This Row],[q]]*Y41*(1-Y41)</f>
        <v>0.59152735761672615</v>
      </c>
      <c r="AA41" s="126">
        <f>Z41+vertraging[[#This Row],[p]]*(1-Z41)+vertraging[[#This Row],[q]]*Z41*(1-Z41)</f>
        <v>0.69634590758747161</v>
      </c>
      <c r="AB41" s="126">
        <f>AA41+vertraging[[#This Row],[p]]*(1-AA41)+vertraging[[#This Row],[q]]*AA41*(1-AA41)</f>
        <v>0.78699830326518305</v>
      </c>
      <c r="AC41" s="126">
        <f>AB41+vertraging[[#This Row],[p]]*(1-AB41)+vertraging[[#This Row],[q]]*AB41*(1-AB41)</f>
        <v>0.85831112676904175</v>
      </c>
      <c r="AD41" s="126">
        <f>AC41+vertraging[[#This Row],[p]]*(1-AC41)+vertraging[[#This Row],[q]]*AC41*(1-AC41)</f>
        <v>0.90979015880706082</v>
      </c>
      <c r="AE41" s="126">
        <f>AD41+vertraging[[#This Row],[p]]*(1-AD41)+vertraging[[#This Row],[q]]*AD41*(1-AD41)</f>
        <v>0.94442316592887321</v>
      </c>
      <c r="AF41" s="126">
        <f>AE41+vertraging[[#This Row],[p]]*(1-AE41)+vertraging[[#This Row],[q]]*AE41*(1-AE41)</f>
        <v>0.96652992244459857</v>
      </c>
      <c r="AG41" s="126">
        <f>AF41+vertraging[[#This Row],[p]]*(1-AF41)+vertraging[[#This Row],[q]]*AF41*(1-AF41)</f>
        <v>0.98013925658124135</v>
      </c>
    </row>
    <row r="42" spans="1:33" x14ac:dyDescent="0.5">
      <c r="A42" s="30" t="str">
        <f>INDEX(Technologieën[Veld],MATCH(B42,Technologieën[Digitale zorgtoepassing],0))</f>
        <v>Sensoren - Verpleging</v>
      </c>
      <c r="B42" s="30" t="s">
        <v>36</v>
      </c>
      <c r="C42" s="30" t="s">
        <v>40</v>
      </c>
      <c r="D42" s="30" t="str" cm="1">
        <f t="array" ref="D42">INDEX(Berekening_patiëntaantal[Direct toepasbaar/extrapolatie/incidentie voor QALY],MATCH(B42,IF(Berekening_patiëntaantal[Doelgroep (zoeksleutel)]=C42,Berekening_patiëntaantal[Digitale zorgtoepassing]),0))</f>
        <v>Extrapolatie</v>
      </c>
      <c r="E42" s="440" t="s">
        <v>812</v>
      </c>
      <c r="F42" s="30" t="str">
        <f>CONCATENATE(vertraging[[#This Row],[Digitale zorgtoepassing]],"_",vertraging[[#This Row],[Doelgroep]],"_",vertraging[[#This Row],[Uitgangssituatie/effect beleid]])</f>
        <v>Leefstijlmonitoring_Kwetsbare ouderen_Effect beleid</v>
      </c>
      <c r="G42" s="122" t="str">
        <f>INDEX(acceptatie_burgers[Impact afhankelijk van acceptatie burgers?],MATCH(B42,acceptatie_burgers[Digitale zorgtoepassing],0))</f>
        <v>Ja</v>
      </c>
      <c r="H42" s="441" cm="1">
        <f t="array" ref="H42">IF(vertraging[[#This Row],[Uitgangssituatie/effect beleid]]="Effect beleid",MAX(INDEX(aanname_implementatie[Coëfficient p],MATCH(B42,IF(aanname_implementatie[Doelgroep]=C42,aanname_implementatie[Digitale zorgtoepassing]),0))+SUMIFS(afslagen_beleid[Opslag p],afslagen_beleid[Impact afhankelijk van acceptatie burgers],vertraging[[#This Row],[Acceptatie burgers]]),0.01),INDEX(aanname_implementatie[Coëfficient p],MATCH(B42,IF(aanname_implementatie[Doelgroep]=C42,aanname_implementatie[Digitale zorgtoepassing]),0)))</f>
        <v>0.02</v>
      </c>
      <c r="I42" s="441" cm="1">
        <f t="array" ref="I42">IF(vertraging[[#This Row],[Uitgangssituatie/effect beleid]]="Effect beleid",MAX(INDEX(aanname_implementatie[Coëfficient q],MATCH(B42,IF(aanname_implementatie[Doelgroep]=C42,aanname_implementatie[Digitale zorgtoepassing]),0))+SUMIFS(afslagen_beleid[Opslag q],afslagen_beleid[Impact afhankelijk van acceptatie burgers],vertraging[[#This Row],[Acceptatie burgers]]),0.3),INDEX(aanname_implementatie[Coëfficient q],MATCH(B42,IF(aanname_implementatie[Doelgroep]=C42,aanname_implementatie[Digitale zorgtoepassing]),0)))</f>
        <v>0.4</v>
      </c>
      <c r="J42" s="17">
        <f>0</f>
        <v>0</v>
      </c>
      <c r="K42" s="17">
        <v>0</v>
      </c>
      <c r="L42" s="17">
        <v>0</v>
      </c>
      <c r="M42" s="17">
        <v>0</v>
      </c>
      <c r="N42" s="17">
        <v>0</v>
      </c>
      <c r="O42" s="17">
        <v>0</v>
      </c>
      <c r="P42" s="17">
        <v>0</v>
      </c>
      <c r="Q42" s="17">
        <v>0</v>
      </c>
      <c r="R42" s="17">
        <v>0</v>
      </c>
      <c r="S42" s="17">
        <v>0</v>
      </c>
      <c r="T42" s="17">
        <v>0</v>
      </c>
      <c r="U42" s="17">
        <v>0</v>
      </c>
      <c r="V42" s="124" cm="1">
        <f t="array" ref="V42">INDEX(aanname_implementatie[Huidige implementatiegraad],MATCH(B42,IF(aanname_implementatie[Doelgroep]=C42,aanname_implementatie[Digitale zorgtoepassing]),0))</f>
        <v>0</v>
      </c>
      <c r="W42" s="126">
        <f>V42+vertraging[[#This Row],[p]]*(1-V42)+vertraging[[#This Row],[q]]*V42*(1-V42)</f>
        <v>0.02</v>
      </c>
      <c r="X42" s="126">
        <f>W42+vertraging[[#This Row],[p]]*(1-W42)+vertraging[[#This Row],[q]]*W42*(1-W42)</f>
        <v>4.7439999999999996E-2</v>
      </c>
      <c r="Y42" s="126">
        <f>X42+vertraging[[#This Row],[p]]*(1-X42)+vertraging[[#This Row],[q]]*X42*(1-X42)</f>
        <v>8.4566978560000006E-2</v>
      </c>
      <c r="Z42" s="126">
        <f>Y42+vertraging[[#This Row],[p]]*(1-Y42)+vertraging[[#This Row],[q]]*Y42*(1-Y42)</f>
        <v>0.13384180086769301</v>
      </c>
      <c r="AA42" s="126">
        <f>Z42+vertraging[[#This Row],[p]]*(1-Z42)+vertraging[[#This Row],[q]]*Z42*(1-Z42)</f>
        <v>0.19753623413361349</v>
      </c>
      <c r="AB42" s="126">
        <f>AA42+vertraging[[#This Row],[p]]*(1-AA42)+vertraging[[#This Row],[q]]*AA42*(1-AA42)</f>
        <v>0.27699177758611071</v>
      </c>
      <c r="AC42" s="126">
        <f>AB42+vertraging[[#This Row],[p]]*(1-AB42)+vertraging[[#This Row],[q]]*AB42*(1-AB42)</f>
        <v>0.37155887512870744</v>
      </c>
      <c r="AD42" s="126">
        <f>AC42+vertraging[[#This Row],[p]]*(1-AC42)+vertraging[[#This Row],[q]]*AC42*(1-AC42)</f>
        <v>0.47752884860285211</v>
      </c>
      <c r="AE42" s="126">
        <f>AD42+vertraging[[#This Row],[p]]*(1-AD42)+vertraging[[#This Row],[q]]*AD42*(1-AD42)</f>
        <v>0.5877762905727496</v>
      </c>
      <c r="AF42" s="126">
        <f>AE42+vertraging[[#This Row],[p]]*(1-AE42)+vertraging[[#This Row],[q]]*AE42*(1-AE42)</f>
        <v>0.6929388938866099</v>
      </c>
      <c r="AG42" s="126">
        <f>AF42+vertraging[[#This Row],[p]]*(1-AF42)+vertraging[[#This Row],[q]]*AF42*(1-AF42)</f>
        <v>0.78418994929920227</v>
      </c>
    </row>
    <row r="43" spans="1:33" x14ac:dyDescent="0.5">
      <c r="A43" s="30" t="str">
        <f>INDEX(Technologieën[Veld],MATCH(B43,Technologieën[Digitale zorgtoepassing],0))</f>
        <v>Sensoren - Verpleging</v>
      </c>
      <c r="B43" s="30" t="s">
        <v>36</v>
      </c>
      <c r="C43" s="30" t="s">
        <v>27</v>
      </c>
      <c r="D43" s="30" t="str" cm="1">
        <f t="array" ref="D43">INDEX(Berekening_patiëntaantal[Direct toepasbaar/extrapolatie/incidentie voor QALY],MATCH(B43,IF(Berekening_patiëntaantal[Doelgroep (zoeksleutel)]=C43,Berekening_patiëntaantal[Digitale zorgtoepassing]),0))</f>
        <v>Extrapolatie</v>
      </c>
      <c r="E43" s="440" t="s">
        <v>812</v>
      </c>
      <c r="F43" s="30" t="str">
        <f>CONCATENATE(vertraging[[#This Row],[Digitale zorgtoepassing]],"_",vertraging[[#This Row],[Doelgroep]],"_",vertraging[[#This Row],[Uitgangssituatie/effect beleid]])</f>
        <v>Leefstijlmonitoring_Parkinson_Effect beleid</v>
      </c>
      <c r="G43" s="122" t="str">
        <f>INDEX(acceptatie_burgers[Impact afhankelijk van acceptatie burgers?],MATCH(B43,acceptatie_burgers[Digitale zorgtoepassing],0))</f>
        <v>Ja</v>
      </c>
      <c r="H43" s="441" cm="1">
        <f t="array" ref="H43">IF(vertraging[[#This Row],[Uitgangssituatie/effect beleid]]="Effect beleid",MAX(INDEX(aanname_implementatie[Coëfficient p],MATCH(B43,IF(aanname_implementatie[Doelgroep]=C43,aanname_implementatie[Digitale zorgtoepassing]),0))+SUMIFS(afslagen_beleid[Opslag p],afslagen_beleid[Impact afhankelijk van acceptatie burgers],vertraging[[#This Row],[Acceptatie burgers]]),0.01),INDEX(aanname_implementatie[Coëfficient p],MATCH(B43,IF(aanname_implementatie[Doelgroep]=C43,aanname_implementatie[Digitale zorgtoepassing]),0)))</f>
        <v>0.02</v>
      </c>
      <c r="I43" s="441" cm="1">
        <f t="array" ref="I43">IF(vertraging[[#This Row],[Uitgangssituatie/effect beleid]]="Effect beleid",MAX(INDEX(aanname_implementatie[Coëfficient q],MATCH(B43,IF(aanname_implementatie[Doelgroep]=C43,aanname_implementatie[Digitale zorgtoepassing]),0))+SUMIFS(afslagen_beleid[Opslag q],afslagen_beleid[Impact afhankelijk van acceptatie burgers],vertraging[[#This Row],[Acceptatie burgers]]),0.3),INDEX(aanname_implementatie[Coëfficient q],MATCH(B43,IF(aanname_implementatie[Doelgroep]=C43,aanname_implementatie[Digitale zorgtoepassing]),0)))</f>
        <v>0.4</v>
      </c>
      <c r="J43" s="17">
        <f>0</f>
        <v>0</v>
      </c>
      <c r="K43" s="17">
        <v>0</v>
      </c>
      <c r="L43" s="17">
        <v>0</v>
      </c>
      <c r="M43" s="17">
        <v>0</v>
      </c>
      <c r="N43" s="17">
        <v>0</v>
      </c>
      <c r="O43" s="17">
        <v>0</v>
      </c>
      <c r="P43" s="17">
        <v>0</v>
      </c>
      <c r="Q43" s="17">
        <v>0</v>
      </c>
      <c r="R43" s="17">
        <v>0</v>
      </c>
      <c r="S43" s="17">
        <v>0</v>
      </c>
      <c r="T43" s="17">
        <v>0</v>
      </c>
      <c r="U43" s="17">
        <v>0</v>
      </c>
      <c r="V43" s="124" cm="1">
        <f t="array" ref="V43">INDEX(aanname_implementatie[Huidige implementatiegraad],MATCH(B43,IF(aanname_implementatie[Doelgroep]=C43,aanname_implementatie[Digitale zorgtoepassing]),0))</f>
        <v>0</v>
      </c>
      <c r="W43" s="126">
        <f>V43+vertraging[[#This Row],[p]]*(1-V43)+vertraging[[#This Row],[q]]*V43*(1-V43)</f>
        <v>0.02</v>
      </c>
      <c r="X43" s="126">
        <f>W43+vertraging[[#This Row],[p]]*(1-W43)+vertraging[[#This Row],[q]]*W43*(1-W43)</f>
        <v>4.7439999999999996E-2</v>
      </c>
      <c r="Y43" s="126">
        <f>X43+vertraging[[#This Row],[p]]*(1-X43)+vertraging[[#This Row],[q]]*X43*(1-X43)</f>
        <v>8.4566978560000006E-2</v>
      </c>
      <c r="Z43" s="126">
        <f>Y43+vertraging[[#This Row],[p]]*(1-Y43)+vertraging[[#This Row],[q]]*Y43*(1-Y43)</f>
        <v>0.13384180086769301</v>
      </c>
      <c r="AA43" s="126">
        <f>Z43+vertraging[[#This Row],[p]]*(1-Z43)+vertraging[[#This Row],[q]]*Z43*(1-Z43)</f>
        <v>0.19753623413361349</v>
      </c>
      <c r="AB43" s="126">
        <f>AA43+vertraging[[#This Row],[p]]*(1-AA43)+vertraging[[#This Row],[q]]*AA43*(1-AA43)</f>
        <v>0.27699177758611071</v>
      </c>
      <c r="AC43" s="126">
        <f>AB43+vertraging[[#This Row],[p]]*(1-AB43)+vertraging[[#This Row],[q]]*AB43*(1-AB43)</f>
        <v>0.37155887512870744</v>
      </c>
      <c r="AD43" s="126">
        <f>AC43+vertraging[[#This Row],[p]]*(1-AC43)+vertraging[[#This Row],[q]]*AC43*(1-AC43)</f>
        <v>0.47752884860285211</v>
      </c>
      <c r="AE43" s="126">
        <f>AD43+vertraging[[#This Row],[p]]*(1-AD43)+vertraging[[#This Row],[q]]*AD43*(1-AD43)</f>
        <v>0.5877762905727496</v>
      </c>
      <c r="AF43" s="126">
        <f>AE43+vertraging[[#This Row],[p]]*(1-AE43)+vertraging[[#This Row],[q]]*AE43*(1-AE43)</f>
        <v>0.6929388938866099</v>
      </c>
      <c r="AG43" s="126">
        <f>AF43+vertraging[[#This Row],[p]]*(1-AF43)+vertraging[[#This Row],[q]]*AF43*(1-AF43)</f>
        <v>0.78418994929920227</v>
      </c>
    </row>
    <row r="44" spans="1:33" x14ac:dyDescent="0.5">
      <c r="A44" s="30" t="str">
        <f>INDEX(Technologieën[Veld],MATCH(B44,Technologieën[Digitale zorgtoepassing],0))</f>
        <v>Digitale hulpmiddelen - Verpleging</v>
      </c>
      <c r="B44" s="30" t="s">
        <v>26</v>
      </c>
      <c r="C44" s="30" t="s">
        <v>24</v>
      </c>
      <c r="D44" s="30" t="str" cm="1">
        <f t="array" ref="D44">INDEX(Berekening_patiëntaantal[Direct toepasbaar/extrapolatie/incidentie voor QALY],MATCH(B44,IF(Berekening_patiëntaantal[Doelgroep (zoeksleutel)]=C44,Berekening_patiëntaantal[Digitale zorgtoepassing]),0))</f>
        <v>Extrapolatie</v>
      </c>
      <c r="E44" s="440" t="s">
        <v>812</v>
      </c>
      <c r="F44" s="30" t="str">
        <f>CONCATENATE(vertraging[[#This Row],[Digitale zorgtoepassing]],"_",vertraging[[#This Row],[Doelgroep]],"_",vertraging[[#This Row],[Uitgangssituatie/effect beleid]])</f>
        <v>Medicijndispenser_Cognitieve beperking_Effect beleid</v>
      </c>
      <c r="G44" s="122" t="str">
        <f>INDEX(acceptatie_burgers[Impact afhankelijk van acceptatie burgers?],MATCH(B44,acceptatie_burgers[Digitale zorgtoepassing],0))</f>
        <v>Nee</v>
      </c>
      <c r="H44" s="441" cm="1">
        <f t="array" ref="H44">IF(vertraging[[#This Row],[Uitgangssituatie/effect beleid]]="Effect beleid",MAX(INDEX(aanname_implementatie[Coëfficient p],MATCH(B44,IF(aanname_implementatie[Doelgroep]=C44,aanname_implementatie[Digitale zorgtoepassing]),0))+SUMIFS(afslagen_beleid[Opslag p],afslagen_beleid[Impact afhankelijk van acceptatie burgers],vertraging[[#This Row],[Acceptatie burgers]]),0.01),INDEX(aanname_implementatie[Coëfficient p],MATCH(B44,IF(aanname_implementatie[Doelgroep]=C44,aanname_implementatie[Digitale zorgtoepassing]),0)))</f>
        <v>0.02</v>
      </c>
      <c r="I44" s="441" cm="1">
        <f t="array" ref="I44">IF(vertraging[[#This Row],[Uitgangssituatie/effect beleid]]="Effect beleid",MAX(INDEX(aanname_implementatie[Coëfficient q],MATCH(B44,IF(aanname_implementatie[Doelgroep]=C44,aanname_implementatie[Digitale zorgtoepassing]),0))+SUMIFS(afslagen_beleid[Opslag q],afslagen_beleid[Impact afhankelijk van acceptatie burgers],vertraging[[#This Row],[Acceptatie burgers]]),0.3),INDEX(aanname_implementatie[Coëfficient q],MATCH(B44,IF(aanname_implementatie[Doelgroep]=C44,aanname_implementatie[Digitale zorgtoepassing]),0)))</f>
        <v>0.4</v>
      </c>
      <c r="J44" s="17">
        <f>0</f>
        <v>0</v>
      </c>
      <c r="K44" s="17">
        <v>0</v>
      </c>
      <c r="L44" s="17">
        <v>0</v>
      </c>
      <c r="M44" s="17">
        <v>0</v>
      </c>
      <c r="N44" s="17">
        <v>0</v>
      </c>
      <c r="O44" s="17">
        <v>0</v>
      </c>
      <c r="P44" s="17">
        <v>0</v>
      </c>
      <c r="Q44" s="17">
        <v>0</v>
      </c>
      <c r="R44" s="17">
        <v>0</v>
      </c>
      <c r="S44" s="17">
        <v>0</v>
      </c>
      <c r="T44" s="17">
        <v>0</v>
      </c>
      <c r="U44" s="17">
        <v>0</v>
      </c>
      <c r="V44" s="124" cm="1">
        <f t="array" ref="V44">INDEX(aanname_implementatie[Huidige implementatiegraad],MATCH(B44,IF(aanname_implementatie[Doelgroep]=C44,aanname_implementatie[Digitale zorgtoepassing]),0))</f>
        <v>0</v>
      </c>
      <c r="W44" s="126">
        <f>V44+vertraging[[#This Row],[p]]*(1-V44)+vertraging[[#This Row],[q]]*V44*(1-V44)</f>
        <v>0.02</v>
      </c>
      <c r="X44" s="126">
        <f>W44+vertraging[[#This Row],[p]]*(1-W44)+vertraging[[#This Row],[q]]*W44*(1-W44)</f>
        <v>4.7439999999999996E-2</v>
      </c>
      <c r="Y44" s="126">
        <f>X44+vertraging[[#This Row],[p]]*(1-X44)+vertraging[[#This Row],[q]]*X44*(1-X44)</f>
        <v>8.4566978560000006E-2</v>
      </c>
      <c r="Z44" s="126">
        <f>Y44+vertraging[[#This Row],[p]]*(1-Y44)+vertraging[[#This Row],[q]]*Y44*(1-Y44)</f>
        <v>0.13384180086769301</v>
      </c>
      <c r="AA44" s="126">
        <f>Z44+vertraging[[#This Row],[p]]*(1-Z44)+vertraging[[#This Row],[q]]*Z44*(1-Z44)</f>
        <v>0.19753623413361349</v>
      </c>
      <c r="AB44" s="126">
        <f>AA44+vertraging[[#This Row],[p]]*(1-AA44)+vertraging[[#This Row],[q]]*AA44*(1-AA44)</f>
        <v>0.27699177758611071</v>
      </c>
      <c r="AC44" s="126">
        <f>AB44+vertraging[[#This Row],[p]]*(1-AB44)+vertraging[[#This Row],[q]]*AB44*(1-AB44)</f>
        <v>0.37155887512870744</v>
      </c>
      <c r="AD44" s="126">
        <f>AC44+vertraging[[#This Row],[p]]*(1-AC44)+vertraging[[#This Row],[q]]*AC44*(1-AC44)</f>
        <v>0.47752884860285211</v>
      </c>
      <c r="AE44" s="126">
        <f>AD44+vertraging[[#This Row],[p]]*(1-AD44)+vertraging[[#This Row],[q]]*AD44*(1-AD44)</f>
        <v>0.5877762905727496</v>
      </c>
      <c r="AF44" s="126">
        <f>AE44+vertraging[[#This Row],[p]]*(1-AE44)+vertraging[[#This Row],[q]]*AE44*(1-AE44)</f>
        <v>0.6929388938866099</v>
      </c>
      <c r="AG44" s="126">
        <f>AF44+vertraging[[#This Row],[p]]*(1-AF44)+vertraging[[#This Row],[q]]*AF44*(1-AF44)</f>
        <v>0.78418994929920227</v>
      </c>
    </row>
    <row r="45" spans="1:33" x14ac:dyDescent="0.5">
      <c r="A45" s="30" t="str">
        <f>INDEX(Technologieën[Veld],MATCH(B45,Technologieën[Digitale zorgtoepassing],0))</f>
        <v>Digitale hulpmiddelen - Verpleging</v>
      </c>
      <c r="B45" s="30" t="s">
        <v>26</v>
      </c>
      <c r="C45" s="30" t="s">
        <v>20</v>
      </c>
      <c r="D45" s="30" t="str" cm="1">
        <f t="array" ref="D45">INDEX(Berekening_patiëntaantal[Direct toepasbaar/extrapolatie/incidentie voor QALY],MATCH(B45,IF(Berekening_patiëntaantal[Doelgroep (zoeksleutel)]=C45,Berekening_patiëntaantal[Digitale zorgtoepassing]),0))</f>
        <v>Huidige toepassing</v>
      </c>
      <c r="E45" s="440" t="s">
        <v>812</v>
      </c>
      <c r="F45" s="30" t="str">
        <f>CONCATENATE(vertraging[[#This Row],[Digitale zorgtoepassing]],"_",vertraging[[#This Row],[Doelgroep]],"_",vertraging[[#This Row],[Uitgangssituatie/effect beleid]])</f>
        <v>Medicijndispenser_Dementie_Effect beleid</v>
      </c>
      <c r="G45" s="122" t="str">
        <f>INDEX(acceptatie_burgers[Impact afhankelijk van acceptatie burgers?],MATCH(B45,acceptatie_burgers[Digitale zorgtoepassing],0))</f>
        <v>Nee</v>
      </c>
      <c r="H45" s="441" cm="1">
        <f t="array" ref="H45">IF(vertraging[[#This Row],[Uitgangssituatie/effect beleid]]="Effect beleid",MAX(INDEX(aanname_implementatie[Coëfficient p],MATCH(B45,IF(aanname_implementatie[Doelgroep]=C45,aanname_implementatie[Digitale zorgtoepassing]),0))+SUMIFS(afslagen_beleid[Opslag p],afslagen_beleid[Impact afhankelijk van acceptatie burgers],vertraging[[#This Row],[Acceptatie burgers]]),0.01),INDEX(aanname_implementatie[Coëfficient p],MATCH(B45,IF(aanname_implementatie[Doelgroep]=C45,aanname_implementatie[Digitale zorgtoepassing]),0)))</f>
        <v>0.02</v>
      </c>
      <c r="I45" s="441" cm="1">
        <f t="array" ref="I45">IF(vertraging[[#This Row],[Uitgangssituatie/effect beleid]]="Effect beleid",MAX(INDEX(aanname_implementatie[Coëfficient q],MATCH(B45,IF(aanname_implementatie[Doelgroep]=C45,aanname_implementatie[Digitale zorgtoepassing]),0))+SUMIFS(afslagen_beleid[Opslag q],afslagen_beleid[Impact afhankelijk van acceptatie burgers],vertraging[[#This Row],[Acceptatie burgers]]),0.3),INDEX(aanname_implementatie[Coëfficient q],MATCH(B45,IF(aanname_implementatie[Doelgroep]=C45,aanname_implementatie[Digitale zorgtoepassing]),0)))</f>
        <v>0.4</v>
      </c>
      <c r="J45" s="17">
        <f>0</f>
        <v>0</v>
      </c>
      <c r="K45" s="17">
        <v>0</v>
      </c>
      <c r="L45" s="17">
        <v>0</v>
      </c>
      <c r="M45" s="17">
        <v>0</v>
      </c>
      <c r="N45" s="17">
        <v>0</v>
      </c>
      <c r="O45" s="17">
        <v>0</v>
      </c>
      <c r="P45" s="17">
        <v>0</v>
      </c>
      <c r="Q45" s="17">
        <v>0</v>
      </c>
      <c r="R45" s="17">
        <v>0</v>
      </c>
      <c r="S45" s="17">
        <v>0</v>
      </c>
      <c r="T45" s="17">
        <v>0</v>
      </c>
      <c r="U45" s="17">
        <v>0</v>
      </c>
      <c r="V45" s="124" cm="1">
        <f t="array" ref="V45">INDEX(aanname_implementatie[Huidige implementatiegraad],MATCH(B45,IF(aanname_implementatie[Doelgroep]=C45,aanname_implementatie[Digitale zorgtoepassing]),0))</f>
        <v>0.4</v>
      </c>
      <c r="W45" s="126">
        <f>V45+vertraging[[#This Row],[p]]*(1-V45)+vertraging[[#This Row],[q]]*V45*(1-V45)</f>
        <v>0.50800000000000001</v>
      </c>
      <c r="X45" s="126">
        <f>W45+vertraging[[#This Row],[p]]*(1-W45)+vertraging[[#This Row],[q]]*W45*(1-W45)</f>
        <v>0.61781439999999999</v>
      </c>
      <c r="Y45" s="126">
        <f>X45+vertraging[[#This Row],[p]]*(1-X45)+vertraging[[#This Row],[q]]*X45*(1-X45)</f>
        <v>0.71990601886105599</v>
      </c>
      <c r="Z45" s="126">
        <f>Y45+vertraging[[#This Row],[p]]*(1-Y45)+vertraging[[#This Row],[q]]*Y45*(1-Y45)</f>
        <v>0.80616443563130724</v>
      </c>
      <c r="AA45" s="126">
        <f>Z45+vertraging[[#This Row],[p]]*(1-Z45)+vertraging[[#This Row],[q]]*Z45*(1-Z45)</f>
        <v>0.87254648226050635</v>
      </c>
      <c r="AB45" s="126">
        <f>AA45+vertraging[[#This Row],[p]]*(1-AA45)+vertraging[[#This Row],[q]]*AA45*(1-AA45)</f>
        <v>0.9195792000374251</v>
      </c>
      <c r="AC45" s="126">
        <f>AB45+vertraging[[#This Row],[p]]*(1-AB45)+vertraging[[#This Row],[q]]*AB45*(1-AB45)</f>
        <v>0.95076893399505846</v>
      </c>
      <c r="AD45" s="126">
        <f>AC45+vertraging[[#This Row],[p]]*(1-AC45)+vertraging[[#This Row],[q]]*AC45*(1-AC45)</f>
        <v>0.97047650257314066</v>
      </c>
      <c r="AE45" s="126">
        <f>AD45+vertraging[[#This Row],[p]]*(1-AD45)+vertraging[[#This Row],[q]]*AD45*(1-AD45)</f>
        <v>0.98252771673229611</v>
      </c>
      <c r="AF45" s="126">
        <f>AE45+vertraging[[#This Row],[p]]*(1-AE45)+vertraging[[#This Row],[q]]*AE45*(1-AE45)</f>
        <v>0.98974396343169702</v>
      </c>
      <c r="AG45" s="126">
        <f>AF45+vertraging[[#This Row],[p]]*(1-AF45)+vertraging[[#This Row],[q]]*AF45*(1-AF45)</f>
        <v>0.99400942427594807</v>
      </c>
    </row>
    <row r="46" spans="1:33" x14ac:dyDescent="0.5">
      <c r="A46" s="30" t="str">
        <f>INDEX(Technologieën[Veld],MATCH(B46,Technologieën[Digitale zorgtoepassing],0))</f>
        <v>Digitale hulpmiddelen - Verpleging</v>
      </c>
      <c r="B46" s="30" t="s">
        <v>26</v>
      </c>
      <c r="C46" s="30" t="s">
        <v>27</v>
      </c>
      <c r="D46" s="30" t="str" cm="1">
        <f t="array" ref="D46">INDEX(Berekening_patiëntaantal[Direct toepasbaar/extrapolatie/incidentie voor QALY],MATCH(B46,IF(Berekening_patiëntaantal[Doelgroep (zoeksleutel)]=C46,Berekening_patiëntaantal[Digitale zorgtoepassing]),0))</f>
        <v>Huidige toepassing</v>
      </c>
      <c r="E46" s="440" t="s">
        <v>812</v>
      </c>
      <c r="F46" s="30" t="str">
        <f>CONCATENATE(vertraging[[#This Row],[Digitale zorgtoepassing]],"_",vertraging[[#This Row],[Doelgroep]],"_",vertraging[[#This Row],[Uitgangssituatie/effect beleid]])</f>
        <v>Medicijndispenser_Parkinson_Effect beleid</v>
      </c>
      <c r="G46" s="122" t="str">
        <f>INDEX(acceptatie_burgers[Impact afhankelijk van acceptatie burgers?],MATCH(B46,acceptatie_burgers[Digitale zorgtoepassing],0))</f>
        <v>Nee</v>
      </c>
      <c r="H46" s="441" cm="1">
        <f t="array" ref="H46">IF(vertraging[[#This Row],[Uitgangssituatie/effect beleid]]="Effect beleid",MAX(INDEX(aanname_implementatie[Coëfficient p],MATCH(B46,IF(aanname_implementatie[Doelgroep]=C46,aanname_implementatie[Digitale zorgtoepassing]),0))+SUMIFS(afslagen_beleid[Opslag p],afslagen_beleid[Impact afhankelijk van acceptatie burgers],vertraging[[#This Row],[Acceptatie burgers]]),0.01),INDEX(aanname_implementatie[Coëfficient p],MATCH(B46,IF(aanname_implementatie[Doelgroep]=C46,aanname_implementatie[Digitale zorgtoepassing]),0)))</f>
        <v>0.02</v>
      </c>
      <c r="I46" s="441" cm="1">
        <f t="array" ref="I46">IF(vertraging[[#This Row],[Uitgangssituatie/effect beleid]]="Effect beleid",MAX(INDEX(aanname_implementatie[Coëfficient q],MATCH(B46,IF(aanname_implementatie[Doelgroep]=C46,aanname_implementatie[Digitale zorgtoepassing]),0))+SUMIFS(afslagen_beleid[Opslag q],afslagen_beleid[Impact afhankelijk van acceptatie burgers],vertraging[[#This Row],[Acceptatie burgers]]),0.3),INDEX(aanname_implementatie[Coëfficient q],MATCH(B46,IF(aanname_implementatie[Doelgroep]=C46,aanname_implementatie[Digitale zorgtoepassing]),0)))</f>
        <v>0.4</v>
      </c>
      <c r="J46" s="17">
        <f>0</f>
        <v>0</v>
      </c>
      <c r="K46" s="17">
        <v>0</v>
      </c>
      <c r="L46" s="17">
        <v>0</v>
      </c>
      <c r="M46" s="17">
        <v>0</v>
      </c>
      <c r="N46" s="17">
        <v>0</v>
      </c>
      <c r="O46" s="17">
        <v>0</v>
      </c>
      <c r="P46" s="17">
        <v>0</v>
      </c>
      <c r="Q46" s="17">
        <v>0</v>
      </c>
      <c r="R46" s="17">
        <v>0</v>
      </c>
      <c r="S46" s="17">
        <v>0</v>
      </c>
      <c r="T46" s="17">
        <v>0</v>
      </c>
      <c r="U46" s="17">
        <v>0</v>
      </c>
      <c r="V46" s="124" cm="1">
        <f t="array" ref="V46">INDEX(aanname_implementatie[Huidige implementatiegraad],MATCH(B46,IF(aanname_implementatie[Doelgroep]=C46,aanname_implementatie[Digitale zorgtoepassing]),0))</f>
        <v>0.4</v>
      </c>
      <c r="W46" s="126">
        <f>V46+vertraging[[#This Row],[p]]*(1-V46)+vertraging[[#This Row],[q]]*V46*(1-V46)</f>
        <v>0.50800000000000001</v>
      </c>
      <c r="X46" s="126">
        <f>W46+vertraging[[#This Row],[p]]*(1-W46)+vertraging[[#This Row],[q]]*W46*(1-W46)</f>
        <v>0.61781439999999999</v>
      </c>
      <c r="Y46" s="126">
        <f>X46+vertraging[[#This Row],[p]]*(1-X46)+vertraging[[#This Row],[q]]*X46*(1-X46)</f>
        <v>0.71990601886105599</v>
      </c>
      <c r="Z46" s="126">
        <f>Y46+vertraging[[#This Row],[p]]*(1-Y46)+vertraging[[#This Row],[q]]*Y46*(1-Y46)</f>
        <v>0.80616443563130724</v>
      </c>
      <c r="AA46" s="126">
        <f>Z46+vertraging[[#This Row],[p]]*(1-Z46)+vertraging[[#This Row],[q]]*Z46*(1-Z46)</f>
        <v>0.87254648226050635</v>
      </c>
      <c r="AB46" s="126">
        <f>AA46+vertraging[[#This Row],[p]]*(1-AA46)+vertraging[[#This Row],[q]]*AA46*(1-AA46)</f>
        <v>0.9195792000374251</v>
      </c>
      <c r="AC46" s="126">
        <f>AB46+vertraging[[#This Row],[p]]*(1-AB46)+vertraging[[#This Row],[q]]*AB46*(1-AB46)</f>
        <v>0.95076893399505846</v>
      </c>
      <c r="AD46" s="126">
        <f>AC46+vertraging[[#This Row],[p]]*(1-AC46)+vertraging[[#This Row],[q]]*AC46*(1-AC46)</f>
        <v>0.97047650257314066</v>
      </c>
      <c r="AE46" s="126">
        <f>AD46+vertraging[[#This Row],[p]]*(1-AD46)+vertraging[[#This Row],[q]]*AD46*(1-AD46)</f>
        <v>0.98252771673229611</v>
      </c>
      <c r="AF46" s="126">
        <f>AE46+vertraging[[#This Row],[p]]*(1-AE46)+vertraging[[#This Row],[q]]*AE46*(1-AE46)</f>
        <v>0.98974396343169702</v>
      </c>
      <c r="AG46" s="126">
        <f>AF46+vertraging[[#This Row],[p]]*(1-AF46)+vertraging[[#This Row],[q]]*AF46*(1-AF46)</f>
        <v>0.99400942427594807</v>
      </c>
    </row>
    <row r="47" spans="1:33" x14ac:dyDescent="0.5">
      <c r="A47" s="30" t="str">
        <f>INDEX(Technologieën[Veld],MATCH(B47,Technologieën[Digitale zorgtoepassing],0))</f>
        <v>Digitale hulpmiddelen - Verpleging</v>
      </c>
      <c r="B47" s="30" t="s">
        <v>26</v>
      </c>
      <c r="C47" s="30" t="s">
        <v>29</v>
      </c>
      <c r="D47" s="30" t="str" cm="1">
        <f t="array" ref="D47">INDEX(Berekening_patiëntaantal[Direct toepasbaar/extrapolatie/incidentie voor QALY],MATCH(B47,IF(Berekening_patiëntaantal[Doelgroep (zoeksleutel)]=C47,Berekening_patiëntaantal[Digitale zorgtoepassing]),0))</f>
        <v>Huidige toepassing</v>
      </c>
      <c r="E47" s="440" t="s">
        <v>812</v>
      </c>
      <c r="F47" s="30" t="str">
        <f>CONCATENATE(vertraging[[#This Row],[Digitale zorgtoepassing]],"_",vertraging[[#This Row],[Doelgroep]],"_",vertraging[[#This Row],[Uitgangssituatie/effect beleid]])</f>
        <v>Medicijndispenser_Reumatische aandoening _Effect beleid</v>
      </c>
      <c r="G47" s="122" t="str">
        <f>INDEX(acceptatie_burgers[Impact afhankelijk van acceptatie burgers?],MATCH(B47,acceptatie_burgers[Digitale zorgtoepassing],0))</f>
        <v>Nee</v>
      </c>
      <c r="H47" s="441" cm="1">
        <f t="array" ref="H47">IF(vertraging[[#This Row],[Uitgangssituatie/effect beleid]]="Effect beleid",MAX(INDEX(aanname_implementatie[Coëfficient p],MATCH(B47,IF(aanname_implementatie[Doelgroep]=C47,aanname_implementatie[Digitale zorgtoepassing]),0))+SUMIFS(afslagen_beleid[Opslag p],afslagen_beleid[Impact afhankelijk van acceptatie burgers],vertraging[[#This Row],[Acceptatie burgers]]),0.01),INDEX(aanname_implementatie[Coëfficient p],MATCH(B47,IF(aanname_implementatie[Doelgroep]=C47,aanname_implementatie[Digitale zorgtoepassing]),0)))</f>
        <v>0.02</v>
      </c>
      <c r="I47" s="441" cm="1">
        <f t="array" ref="I47">IF(vertraging[[#This Row],[Uitgangssituatie/effect beleid]]="Effect beleid",MAX(INDEX(aanname_implementatie[Coëfficient q],MATCH(B47,IF(aanname_implementatie[Doelgroep]=C47,aanname_implementatie[Digitale zorgtoepassing]),0))+SUMIFS(afslagen_beleid[Opslag q],afslagen_beleid[Impact afhankelijk van acceptatie burgers],vertraging[[#This Row],[Acceptatie burgers]]),0.3),INDEX(aanname_implementatie[Coëfficient q],MATCH(B47,IF(aanname_implementatie[Doelgroep]=C47,aanname_implementatie[Digitale zorgtoepassing]),0)))</f>
        <v>0.4</v>
      </c>
      <c r="J47" s="17">
        <f>0</f>
        <v>0</v>
      </c>
      <c r="K47" s="17">
        <v>0</v>
      </c>
      <c r="L47" s="17">
        <v>0</v>
      </c>
      <c r="M47" s="17">
        <v>0</v>
      </c>
      <c r="N47" s="17">
        <v>0</v>
      </c>
      <c r="O47" s="17">
        <v>0</v>
      </c>
      <c r="P47" s="17">
        <v>0</v>
      </c>
      <c r="Q47" s="17">
        <v>0</v>
      </c>
      <c r="R47" s="17">
        <v>0</v>
      </c>
      <c r="S47" s="17">
        <v>0</v>
      </c>
      <c r="T47" s="17">
        <v>0</v>
      </c>
      <c r="U47" s="17">
        <v>0</v>
      </c>
      <c r="V47" s="124" cm="1">
        <f t="array" ref="V47">INDEX(aanname_implementatie[Huidige implementatiegraad],MATCH(B47,IF(aanname_implementatie[Doelgroep]=C47,aanname_implementatie[Digitale zorgtoepassing]),0))</f>
        <v>0.4</v>
      </c>
      <c r="W47" s="126">
        <f>V47+vertraging[[#This Row],[p]]*(1-V47)+vertraging[[#This Row],[q]]*V47*(1-V47)</f>
        <v>0.50800000000000001</v>
      </c>
      <c r="X47" s="126">
        <f>W47+vertraging[[#This Row],[p]]*(1-W47)+vertraging[[#This Row],[q]]*W47*(1-W47)</f>
        <v>0.61781439999999999</v>
      </c>
      <c r="Y47" s="126">
        <f>X47+vertraging[[#This Row],[p]]*(1-X47)+vertraging[[#This Row],[q]]*X47*(1-X47)</f>
        <v>0.71990601886105599</v>
      </c>
      <c r="Z47" s="126">
        <f>Y47+vertraging[[#This Row],[p]]*(1-Y47)+vertraging[[#This Row],[q]]*Y47*(1-Y47)</f>
        <v>0.80616443563130724</v>
      </c>
      <c r="AA47" s="126">
        <f>Z47+vertraging[[#This Row],[p]]*(1-Z47)+vertraging[[#This Row],[q]]*Z47*(1-Z47)</f>
        <v>0.87254648226050635</v>
      </c>
      <c r="AB47" s="126">
        <f>AA47+vertraging[[#This Row],[p]]*(1-AA47)+vertraging[[#This Row],[q]]*AA47*(1-AA47)</f>
        <v>0.9195792000374251</v>
      </c>
      <c r="AC47" s="126">
        <f>AB47+vertraging[[#This Row],[p]]*(1-AB47)+vertraging[[#This Row],[q]]*AB47*(1-AB47)</f>
        <v>0.95076893399505846</v>
      </c>
      <c r="AD47" s="126">
        <f>AC47+vertraging[[#This Row],[p]]*(1-AC47)+vertraging[[#This Row],[q]]*AC47*(1-AC47)</f>
        <v>0.97047650257314066</v>
      </c>
      <c r="AE47" s="126">
        <f>AD47+vertraging[[#This Row],[p]]*(1-AD47)+vertraging[[#This Row],[q]]*AD47*(1-AD47)</f>
        <v>0.98252771673229611</v>
      </c>
      <c r="AF47" s="126">
        <f>AE47+vertraging[[#This Row],[p]]*(1-AE47)+vertraging[[#This Row],[q]]*AE47*(1-AE47)</f>
        <v>0.98974396343169702</v>
      </c>
      <c r="AG47" s="126">
        <f>AF47+vertraging[[#This Row],[p]]*(1-AF47)+vertraging[[#This Row],[q]]*AF47*(1-AF47)</f>
        <v>0.99400942427594807</v>
      </c>
    </row>
    <row r="48" spans="1:33" x14ac:dyDescent="0.5">
      <c r="A48" s="30" t="str">
        <f>INDEX(Technologieën[Veld],MATCH(B48,Technologieën[Digitale zorgtoepassing],0))</f>
        <v>Digitale hulpmiddelen - Diagnose</v>
      </c>
      <c r="B48" s="30" t="s">
        <v>78</v>
      </c>
      <c r="C48" s="30" t="s">
        <v>699</v>
      </c>
      <c r="D48" s="30" t="str" cm="1">
        <f t="array" ref="D48">INDEX(Berekening_patiëntaantal[Direct toepasbaar/extrapolatie/incidentie voor QALY],MATCH(B48,IF(Berekening_patiëntaantal[Doelgroep (zoeksleutel)]=C48,Berekening_patiëntaantal[Digitale zorgtoepassing]),0))</f>
        <v>Huidige toepassing</v>
      </c>
      <c r="E48" s="440" t="s">
        <v>812</v>
      </c>
      <c r="F48" s="30" t="str">
        <f>CONCATENATE(vertraging[[#This Row],[Digitale zorgtoepassing]],"_",vertraging[[#This Row],[Doelgroep]],"_",vertraging[[#This Row],[Uitgangssituatie/effect beleid]])</f>
        <v>Mobiele echo's_Echo's 2e lijn_Effect beleid</v>
      </c>
      <c r="G48" s="122" t="str">
        <f>INDEX(acceptatie_burgers[Impact afhankelijk van acceptatie burgers?],MATCH(B48,acceptatie_burgers[Digitale zorgtoepassing],0))</f>
        <v>Nee</v>
      </c>
      <c r="H48" s="441" cm="1">
        <f t="array" ref="H48">IF(vertraging[[#This Row],[Uitgangssituatie/effect beleid]]="Effect beleid",MAX(INDEX(aanname_implementatie[Coëfficient p],MATCH(B48,IF(aanname_implementatie[Doelgroep]=C48,aanname_implementatie[Digitale zorgtoepassing]),0))+SUMIFS(afslagen_beleid[Opslag p],afslagen_beleid[Impact afhankelijk van acceptatie burgers],vertraging[[#This Row],[Acceptatie burgers]]),0.01),INDEX(aanname_implementatie[Coëfficient p],MATCH(B48,IF(aanname_implementatie[Doelgroep]=C48,aanname_implementatie[Digitale zorgtoepassing]),0)))</f>
        <v>2.5000000000000001E-2</v>
      </c>
      <c r="I48" s="441" cm="1">
        <f t="array" ref="I48">IF(vertraging[[#This Row],[Uitgangssituatie/effect beleid]]="Effect beleid",MAX(INDEX(aanname_implementatie[Coëfficient q],MATCH(B48,IF(aanname_implementatie[Doelgroep]=C48,aanname_implementatie[Digitale zorgtoepassing]),0))+SUMIFS(afslagen_beleid[Opslag q],afslagen_beleid[Impact afhankelijk van acceptatie burgers],vertraging[[#This Row],[Acceptatie burgers]]),0.3),INDEX(aanname_implementatie[Coëfficient q],MATCH(B48,IF(aanname_implementatie[Doelgroep]=C48,aanname_implementatie[Digitale zorgtoepassing]),0)))</f>
        <v>0.45</v>
      </c>
      <c r="J48" s="17">
        <f>0</f>
        <v>0</v>
      </c>
      <c r="K48" s="17">
        <v>0</v>
      </c>
      <c r="L48" s="17">
        <v>0</v>
      </c>
      <c r="M48" s="17">
        <v>0</v>
      </c>
      <c r="N48" s="17">
        <v>0</v>
      </c>
      <c r="O48" s="17">
        <v>0</v>
      </c>
      <c r="P48" s="17">
        <v>0</v>
      </c>
      <c r="Q48" s="17">
        <v>0</v>
      </c>
      <c r="R48" s="17">
        <v>0</v>
      </c>
      <c r="S48" s="17">
        <v>0</v>
      </c>
      <c r="T48" s="17">
        <v>0</v>
      </c>
      <c r="U48" s="17">
        <v>0</v>
      </c>
      <c r="V48" s="124" cm="1">
        <f t="array" ref="V48">INDEX(aanname_implementatie[Huidige implementatiegraad],MATCH(B48,IF(aanname_implementatie[Doelgroep]=C48,aanname_implementatie[Digitale zorgtoepassing]),0))</f>
        <v>0.2</v>
      </c>
      <c r="W48" s="126">
        <f>V48+vertraging[[#This Row],[p]]*(1-V48)+vertraging[[#This Row],[q]]*V48*(1-V48)</f>
        <v>0.29200000000000004</v>
      </c>
      <c r="X48" s="126">
        <f>W48+vertraging[[#This Row],[p]]*(1-W48)+vertraging[[#This Row],[q]]*W48*(1-W48)</f>
        <v>0.40273120000000007</v>
      </c>
      <c r="Y48" s="126">
        <f>X48+vertraging[[#This Row],[p]]*(1-X48)+vertraging[[#This Row],[q]]*X48*(1-X48)</f>
        <v>0.52590537124595205</v>
      </c>
      <c r="Z48" s="126">
        <f>Y48+vertraging[[#This Row],[p]]*(1-Y48)+vertraging[[#This Row],[q]]*Y48*(1-Y48)</f>
        <v>0.64995574724807748</v>
      </c>
      <c r="AA48" s="126">
        <f>Z48+vertraging[[#This Row],[p]]*(1-Z48)+vertraging[[#This Row],[q]]*Z48*(1-Z48)</f>
        <v>0.76108782680714737</v>
      </c>
      <c r="AB48" s="126">
        <f>AA48+vertraging[[#This Row],[p]]*(1-AA48)+vertraging[[#This Row],[q]]*AA48*(1-AA48)</f>
        <v>0.8488855471488731</v>
      </c>
      <c r="AC48" s="126">
        <f>AB48+vertraging[[#This Row],[p]]*(1-AB48)+vertraging[[#This Row],[q]]*AB48*(1-AB48)</f>
        <v>0.91038890221593549</v>
      </c>
      <c r="AD48" s="126">
        <f>AC48+vertraging[[#This Row],[p]]*(1-AC48)+vertraging[[#This Row],[q]]*AC48*(1-AC48)</f>
        <v>0.94934060668263687</v>
      </c>
      <c r="AE48" s="126">
        <f>AD48+vertraging[[#This Row],[p]]*(1-AD48)+vertraging[[#This Row],[q]]*AD48*(1-AD48)</f>
        <v>0.9722489501493069</v>
      </c>
      <c r="AF48" s="126">
        <f>AE48+vertraging[[#This Row],[p]]*(1-AE48)+vertraging[[#This Row],[q]]*AE48*(1-AE48)</f>
        <v>0.98508414448286907</v>
      </c>
      <c r="AG48" s="126">
        <f>AF48+vertraging[[#This Row],[p]]*(1-AF48)+vertraging[[#This Row],[q]]*AF48*(1-AF48)</f>
        <v>0.99206905861789263</v>
      </c>
    </row>
    <row r="49" spans="1:33" x14ac:dyDescent="0.5">
      <c r="A49" s="30" t="str">
        <f>INDEX(Technologieën[Veld],MATCH(B49,Technologieën[Digitale zorgtoepassing],0))</f>
        <v>Digitale hulpmiddelen - Diagnose</v>
      </c>
      <c r="B49" s="30" t="s">
        <v>78</v>
      </c>
      <c r="C49" s="30" t="s">
        <v>79</v>
      </c>
      <c r="D49" s="30" t="str" cm="1">
        <f t="array" ref="D49">INDEX(Berekening_patiëntaantal[Direct toepasbaar/extrapolatie/incidentie voor QALY],MATCH(B49,IF(Berekening_patiëntaantal[Doelgroep (zoeksleutel)]=C49,Berekening_patiëntaantal[Digitale zorgtoepassing]),0))</f>
        <v>Huidige toepassing</v>
      </c>
      <c r="E49" s="440" t="s">
        <v>812</v>
      </c>
      <c r="F49" s="30" t="str">
        <f>CONCATENATE(vertraging[[#This Row],[Digitale zorgtoepassing]],"_",vertraging[[#This Row],[Doelgroep]],"_",vertraging[[#This Row],[Uitgangssituatie/effect beleid]])</f>
        <v>Mobiele echo's_Echo's bij zwangere vrouwen_Effect beleid</v>
      </c>
      <c r="G49" s="122" t="str">
        <f>INDEX(acceptatie_burgers[Impact afhankelijk van acceptatie burgers?],MATCH(B49,acceptatie_burgers[Digitale zorgtoepassing],0))</f>
        <v>Nee</v>
      </c>
      <c r="H49" s="441" cm="1">
        <f t="array" ref="H49">IF(vertraging[[#This Row],[Uitgangssituatie/effect beleid]]="Effect beleid",MAX(INDEX(aanname_implementatie[Coëfficient p],MATCH(B49,IF(aanname_implementatie[Doelgroep]=C49,aanname_implementatie[Digitale zorgtoepassing]),0))+SUMIFS(afslagen_beleid[Opslag p],afslagen_beleid[Impact afhankelijk van acceptatie burgers],vertraging[[#This Row],[Acceptatie burgers]]),0.01),INDEX(aanname_implementatie[Coëfficient p],MATCH(B49,IF(aanname_implementatie[Doelgroep]=C49,aanname_implementatie[Digitale zorgtoepassing]),0)))</f>
        <v>2.5000000000000001E-2</v>
      </c>
      <c r="I49" s="441" cm="1">
        <f t="array" ref="I49">IF(vertraging[[#This Row],[Uitgangssituatie/effect beleid]]="Effect beleid",MAX(INDEX(aanname_implementatie[Coëfficient q],MATCH(B49,IF(aanname_implementatie[Doelgroep]=C49,aanname_implementatie[Digitale zorgtoepassing]),0))+SUMIFS(afslagen_beleid[Opslag q],afslagen_beleid[Impact afhankelijk van acceptatie burgers],vertraging[[#This Row],[Acceptatie burgers]]),0.3),INDEX(aanname_implementatie[Coëfficient q],MATCH(B49,IF(aanname_implementatie[Doelgroep]=C49,aanname_implementatie[Digitale zorgtoepassing]),0)))</f>
        <v>0.45</v>
      </c>
      <c r="J49" s="17">
        <f>0</f>
        <v>0</v>
      </c>
      <c r="K49" s="17">
        <v>0</v>
      </c>
      <c r="L49" s="17">
        <v>0</v>
      </c>
      <c r="M49" s="17">
        <v>0</v>
      </c>
      <c r="N49" s="17">
        <v>0</v>
      </c>
      <c r="O49" s="17">
        <v>0</v>
      </c>
      <c r="P49" s="17">
        <v>0</v>
      </c>
      <c r="Q49" s="17">
        <v>0</v>
      </c>
      <c r="R49" s="17">
        <v>0</v>
      </c>
      <c r="S49" s="17">
        <v>0</v>
      </c>
      <c r="T49" s="17">
        <v>0</v>
      </c>
      <c r="U49" s="17">
        <v>0</v>
      </c>
      <c r="V49" s="124" cm="1">
        <f t="array" ref="V49">INDEX(aanname_implementatie[Huidige implementatiegraad],MATCH(B49,IF(aanname_implementatie[Doelgroep]=C49,aanname_implementatie[Digitale zorgtoepassing]),0))</f>
        <v>0.2</v>
      </c>
      <c r="W49" s="126">
        <f>V49+vertraging[[#This Row],[p]]*(1-V49)+vertraging[[#This Row],[q]]*V49*(1-V49)</f>
        <v>0.29200000000000004</v>
      </c>
      <c r="X49" s="126">
        <f>W49+vertraging[[#This Row],[p]]*(1-W49)+vertraging[[#This Row],[q]]*W49*(1-W49)</f>
        <v>0.40273120000000007</v>
      </c>
      <c r="Y49" s="126">
        <f>X49+vertraging[[#This Row],[p]]*(1-X49)+vertraging[[#This Row],[q]]*X49*(1-X49)</f>
        <v>0.52590537124595205</v>
      </c>
      <c r="Z49" s="126">
        <f>Y49+vertraging[[#This Row],[p]]*(1-Y49)+vertraging[[#This Row],[q]]*Y49*(1-Y49)</f>
        <v>0.64995574724807748</v>
      </c>
      <c r="AA49" s="126">
        <f>Z49+vertraging[[#This Row],[p]]*(1-Z49)+vertraging[[#This Row],[q]]*Z49*(1-Z49)</f>
        <v>0.76108782680714737</v>
      </c>
      <c r="AB49" s="126">
        <f>AA49+vertraging[[#This Row],[p]]*(1-AA49)+vertraging[[#This Row],[q]]*AA49*(1-AA49)</f>
        <v>0.8488855471488731</v>
      </c>
      <c r="AC49" s="126">
        <f>AB49+vertraging[[#This Row],[p]]*(1-AB49)+vertraging[[#This Row],[q]]*AB49*(1-AB49)</f>
        <v>0.91038890221593549</v>
      </c>
      <c r="AD49" s="126">
        <f>AC49+vertraging[[#This Row],[p]]*(1-AC49)+vertraging[[#This Row],[q]]*AC49*(1-AC49)</f>
        <v>0.94934060668263687</v>
      </c>
      <c r="AE49" s="126">
        <f>AD49+vertraging[[#This Row],[p]]*(1-AD49)+vertraging[[#This Row],[q]]*AD49*(1-AD49)</f>
        <v>0.9722489501493069</v>
      </c>
      <c r="AF49" s="126">
        <f>AE49+vertraging[[#This Row],[p]]*(1-AE49)+vertraging[[#This Row],[q]]*AE49*(1-AE49)</f>
        <v>0.98508414448286907</v>
      </c>
      <c r="AG49" s="126">
        <f>AF49+vertraging[[#This Row],[p]]*(1-AF49)+vertraging[[#This Row],[q]]*AF49*(1-AF49)</f>
        <v>0.99206905861789263</v>
      </c>
    </row>
    <row r="50" spans="1:33" x14ac:dyDescent="0.5">
      <c r="A50" s="30" t="str">
        <f>INDEX(Technologieën[Veld],MATCH(B50,Technologieën[Digitale zorgtoepassing],0))</f>
        <v>Digitale hulpmiddelen - Diagnose</v>
      </c>
      <c r="B50" s="30" t="s">
        <v>82</v>
      </c>
      <c r="C50" s="30" t="s">
        <v>703</v>
      </c>
      <c r="D50" s="30" t="str" cm="1">
        <f t="array" ref="D50">INDEX(Berekening_patiëntaantal[Direct toepasbaar/extrapolatie/incidentie voor QALY],MATCH(B50,IF(Berekening_patiëntaantal[Doelgroep (zoeksleutel)]=C50,Berekening_patiëntaantal[Digitale zorgtoepassing]),0))</f>
        <v>Huidige toepassing</v>
      </c>
      <c r="E50" s="440" t="s">
        <v>812</v>
      </c>
      <c r="F50" s="30" t="str">
        <f>CONCATENATE(vertraging[[#This Row],[Digitale zorgtoepassing]],"_",vertraging[[#This Row],[Doelgroep]],"_",vertraging[[#This Row],[Uitgangssituatie/effect beleid]])</f>
        <v>Point-of-care (POC) testing_HAP contacten met labaratoriumonderzoek_Effect beleid</v>
      </c>
      <c r="G50" s="122" t="str">
        <f>INDEX(acceptatie_burgers[Impact afhankelijk van acceptatie burgers?],MATCH(B50,acceptatie_burgers[Digitale zorgtoepassing],0))</f>
        <v>Nee</v>
      </c>
      <c r="H50" s="441" cm="1">
        <f t="array" ref="H50">IF(vertraging[[#This Row],[Uitgangssituatie/effect beleid]]="Effect beleid",MAX(INDEX(aanname_implementatie[Coëfficient p],MATCH(B50,IF(aanname_implementatie[Doelgroep]=C50,aanname_implementatie[Digitale zorgtoepassing]),0))+SUMIFS(afslagen_beleid[Opslag p],afslagen_beleid[Impact afhankelijk van acceptatie burgers],vertraging[[#This Row],[Acceptatie burgers]]),0.01),INDEX(aanname_implementatie[Coëfficient p],MATCH(B50,IF(aanname_implementatie[Doelgroep]=C50,aanname_implementatie[Digitale zorgtoepassing]),0)))</f>
        <v>0.02</v>
      </c>
      <c r="I50" s="441" cm="1">
        <f t="array" ref="I50">IF(vertraging[[#This Row],[Uitgangssituatie/effect beleid]]="Effect beleid",MAX(INDEX(aanname_implementatie[Coëfficient q],MATCH(B50,IF(aanname_implementatie[Doelgroep]=C50,aanname_implementatie[Digitale zorgtoepassing]),0))+SUMIFS(afslagen_beleid[Opslag q],afslagen_beleid[Impact afhankelijk van acceptatie burgers],vertraging[[#This Row],[Acceptatie burgers]]),0.3),INDEX(aanname_implementatie[Coëfficient q],MATCH(B50,IF(aanname_implementatie[Doelgroep]=C50,aanname_implementatie[Digitale zorgtoepassing]),0)))</f>
        <v>0.4</v>
      </c>
      <c r="J50" s="17">
        <f>0</f>
        <v>0</v>
      </c>
      <c r="K50" s="17">
        <v>0</v>
      </c>
      <c r="L50" s="17">
        <v>0</v>
      </c>
      <c r="M50" s="17">
        <v>0</v>
      </c>
      <c r="N50" s="17">
        <v>0</v>
      </c>
      <c r="O50" s="17">
        <v>0</v>
      </c>
      <c r="P50" s="17">
        <v>0</v>
      </c>
      <c r="Q50" s="17">
        <v>0</v>
      </c>
      <c r="R50" s="17">
        <v>0</v>
      </c>
      <c r="S50" s="17">
        <v>0</v>
      </c>
      <c r="T50" s="17">
        <v>0</v>
      </c>
      <c r="U50" s="17">
        <v>0</v>
      </c>
      <c r="V50" s="124" cm="1">
        <f t="array" ref="V50">INDEX(aanname_implementatie[Huidige implementatiegraad],MATCH(B50,IF(aanname_implementatie[Doelgroep]=C50,aanname_implementatie[Digitale zorgtoepassing]),0))</f>
        <v>0.4</v>
      </c>
      <c r="W50" s="126">
        <f>V50+vertraging[[#This Row],[p]]*(1-V50)+vertraging[[#This Row],[q]]*V50*(1-V50)</f>
        <v>0.50800000000000001</v>
      </c>
      <c r="X50" s="126">
        <f>W50+vertraging[[#This Row],[p]]*(1-W50)+vertraging[[#This Row],[q]]*W50*(1-W50)</f>
        <v>0.61781439999999999</v>
      </c>
      <c r="Y50" s="126">
        <f>X50+vertraging[[#This Row],[p]]*(1-X50)+vertraging[[#This Row],[q]]*X50*(1-X50)</f>
        <v>0.71990601886105599</v>
      </c>
      <c r="Z50" s="126">
        <f>Y50+vertraging[[#This Row],[p]]*(1-Y50)+vertraging[[#This Row],[q]]*Y50*(1-Y50)</f>
        <v>0.80616443563130724</v>
      </c>
      <c r="AA50" s="126">
        <f>Z50+vertraging[[#This Row],[p]]*(1-Z50)+vertraging[[#This Row],[q]]*Z50*(1-Z50)</f>
        <v>0.87254648226050635</v>
      </c>
      <c r="AB50" s="126">
        <f>AA50+vertraging[[#This Row],[p]]*(1-AA50)+vertraging[[#This Row],[q]]*AA50*(1-AA50)</f>
        <v>0.9195792000374251</v>
      </c>
      <c r="AC50" s="126">
        <f>AB50+vertraging[[#This Row],[p]]*(1-AB50)+vertraging[[#This Row],[q]]*AB50*(1-AB50)</f>
        <v>0.95076893399505846</v>
      </c>
      <c r="AD50" s="126">
        <f>AC50+vertraging[[#This Row],[p]]*(1-AC50)+vertraging[[#This Row],[q]]*AC50*(1-AC50)</f>
        <v>0.97047650257314066</v>
      </c>
      <c r="AE50" s="126">
        <f>AD50+vertraging[[#This Row],[p]]*(1-AD50)+vertraging[[#This Row],[q]]*AD50*(1-AD50)</f>
        <v>0.98252771673229611</v>
      </c>
      <c r="AF50" s="126">
        <f>AE50+vertraging[[#This Row],[p]]*(1-AE50)+vertraging[[#This Row],[q]]*AE50*(1-AE50)</f>
        <v>0.98974396343169702</v>
      </c>
      <c r="AG50" s="126">
        <f>AF50+vertraging[[#This Row],[p]]*(1-AF50)+vertraging[[#This Row],[q]]*AF50*(1-AF50)</f>
        <v>0.99400942427594807</v>
      </c>
    </row>
    <row r="51" spans="1:33" x14ac:dyDescent="0.5">
      <c r="A51" s="30" t="str">
        <f>INDEX(Technologieën[Veld],MATCH(B51,Technologieën[Digitale zorgtoepassing],0))</f>
        <v>Digitale hulpmiddelen - Diagnose</v>
      </c>
      <c r="B51" s="30" t="s">
        <v>82</v>
      </c>
      <c r="C51" s="33" t="s">
        <v>702</v>
      </c>
      <c r="D51" s="30" t="str" cm="1">
        <f t="array" ref="D51">INDEX(Berekening_patiëntaantal[Direct toepasbaar/extrapolatie/incidentie voor QALY],MATCH(B51,IF(Berekening_patiëntaantal[Doelgroep (zoeksleutel)]=C51,Berekening_patiëntaantal[Digitale zorgtoepassing]),0))</f>
        <v>Huidige toepassing</v>
      </c>
      <c r="E51" s="440" t="s">
        <v>812</v>
      </c>
      <c r="F51" s="30" t="str">
        <f>CONCATENATE(vertraging[[#This Row],[Digitale zorgtoepassing]],"_",vertraging[[#This Row],[Doelgroep]],"_",vertraging[[#This Row],[Uitgangssituatie/effect beleid]])</f>
        <v>Point-of-care (POC) testing_Huisartscontacten met labaratoriumonderzoek_Effect beleid</v>
      </c>
      <c r="G51" s="122" t="str">
        <f>INDEX(acceptatie_burgers[Impact afhankelijk van acceptatie burgers?],MATCH(B51,acceptatie_burgers[Digitale zorgtoepassing],0))</f>
        <v>Nee</v>
      </c>
      <c r="H51" s="441" cm="1">
        <f t="array" ref="H51">IF(vertraging[[#This Row],[Uitgangssituatie/effect beleid]]="Effect beleid",MAX(INDEX(aanname_implementatie[Coëfficient p],MATCH(B51,IF(aanname_implementatie[Doelgroep]=C51,aanname_implementatie[Digitale zorgtoepassing]),0))+SUMIFS(afslagen_beleid[Opslag p],afslagen_beleid[Impact afhankelijk van acceptatie burgers],vertraging[[#This Row],[Acceptatie burgers]]),0.01),INDEX(aanname_implementatie[Coëfficient p],MATCH(B51,IF(aanname_implementatie[Doelgroep]=C51,aanname_implementatie[Digitale zorgtoepassing]),0)))</f>
        <v>0.02</v>
      </c>
      <c r="I51" s="441" cm="1">
        <f t="array" ref="I51">IF(vertraging[[#This Row],[Uitgangssituatie/effect beleid]]="Effect beleid",MAX(INDEX(aanname_implementatie[Coëfficient q],MATCH(B51,IF(aanname_implementatie[Doelgroep]=C51,aanname_implementatie[Digitale zorgtoepassing]),0))+SUMIFS(afslagen_beleid[Opslag q],afslagen_beleid[Impact afhankelijk van acceptatie burgers],vertraging[[#This Row],[Acceptatie burgers]]),0.3),INDEX(aanname_implementatie[Coëfficient q],MATCH(B51,IF(aanname_implementatie[Doelgroep]=C51,aanname_implementatie[Digitale zorgtoepassing]),0)))</f>
        <v>0.4</v>
      </c>
      <c r="J51" s="17">
        <f>0</f>
        <v>0</v>
      </c>
      <c r="K51" s="17">
        <v>0</v>
      </c>
      <c r="L51" s="17">
        <v>0</v>
      </c>
      <c r="M51" s="17">
        <v>0</v>
      </c>
      <c r="N51" s="17">
        <v>0</v>
      </c>
      <c r="O51" s="17">
        <v>0</v>
      </c>
      <c r="P51" s="17">
        <v>0</v>
      </c>
      <c r="Q51" s="17">
        <v>0</v>
      </c>
      <c r="R51" s="17">
        <v>0</v>
      </c>
      <c r="S51" s="17">
        <v>0</v>
      </c>
      <c r="T51" s="17">
        <v>0</v>
      </c>
      <c r="U51" s="17">
        <v>0</v>
      </c>
      <c r="V51" s="124" cm="1">
        <f t="array" ref="V51">INDEX(aanname_implementatie[Huidige implementatiegraad],MATCH(B51,IF(aanname_implementatie[Doelgroep]=C51,aanname_implementatie[Digitale zorgtoepassing]),0))</f>
        <v>0.4</v>
      </c>
      <c r="W51" s="126">
        <f>V51+vertraging[[#This Row],[p]]*(1-V51)+vertraging[[#This Row],[q]]*V51*(1-V51)</f>
        <v>0.50800000000000001</v>
      </c>
      <c r="X51" s="126">
        <f>W51+vertraging[[#This Row],[p]]*(1-W51)+vertraging[[#This Row],[q]]*W51*(1-W51)</f>
        <v>0.61781439999999999</v>
      </c>
      <c r="Y51" s="126">
        <f>X51+vertraging[[#This Row],[p]]*(1-X51)+vertraging[[#This Row],[q]]*X51*(1-X51)</f>
        <v>0.71990601886105599</v>
      </c>
      <c r="Z51" s="126">
        <f>Y51+vertraging[[#This Row],[p]]*(1-Y51)+vertraging[[#This Row],[q]]*Y51*(1-Y51)</f>
        <v>0.80616443563130724</v>
      </c>
      <c r="AA51" s="126">
        <f>Z51+vertraging[[#This Row],[p]]*(1-Z51)+vertraging[[#This Row],[q]]*Z51*(1-Z51)</f>
        <v>0.87254648226050635</v>
      </c>
      <c r="AB51" s="126">
        <f>AA51+vertraging[[#This Row],[p]]*(1-AA51)+vertraging[[#This Row],[q]]*AA51*(1-AA51)</f>
        <v>0.9195792000374251</v>
      </c>
      <c r="AC51" s="126">
        <f>AB51+vertraging[[#This Row],[p]]*(1-AB51)+vertraging[[#This Row],[q]]*AB51*(1-AB51)</f>
        <v>0.95076893399505846</v>
      </c>
      <c r="AD51" s="126">
        <f>AC51+vertraging[[#This Row],[p]]*(1-AC51)+vertraging[[#This Row],[q]]*AC51*(1-AC51)</f>
        <v>0.97047650257314066</v>
      </c>
      <c r="AE51" s="126">
        <f>AD51+vertraging[[#This Row],[p]]*(1-AD51)+vertraging[[#This Row],[q]]*AD51*(1-AD51)</f>
        <v>0.98252771673229611</v>
      </c>
      <c r="AF51" s="126">
        <f>AE51+vertraging[[#This Row],[p]]*(1-AE51)+vertraging[[#This Row],[q]]*AE51*(1-AE51)</f>
        <v>0.98974396343169702</v>
      </c>
      <c r="AG51" s="126">
        <f>AF51+vertraging[[#This Row],[p]]*(1-AF51)+vertraging[[#This Row],[q]]*AF51*(1-AF51)</f>
        <v>0.99400942427594807</v>
      </c>
    </row>
    <row r="52" spans="1:33" x14ac:dyDescent="0.5">
      <c r="A52" s="30" t="str">
        <f>INDEX(Technologieën[Veld],MATCH(B52,Technologieën[Digitale zorgtoepassing],0))</f>
        <v>Sensoren - Behandeling</v>
      </c>
      <c r="B52" s="30" t="s">
        <v>88</v>
      </c>
      <c r="C52" s="30" t="s">
        <v>89</v>
      </c>
      <c r="D52" s="30" t="str" cm="1">
        <f t="array" ref="D52">INDEX(Berekening_patiëntaantal[Direct toepasbaar/extrapolatie/incidentie voor QALY],MATCH(B52,IF(Berekening_patiëntaantal[Doelgroep (zoeksleutel)]=C52,Berekening_patiëntaantal[Digitale zorgtoepassing]),0))</f>
        <v>Huidige toepassing</v>
      </c>
      <c r="E52" s="440" t="s">
        <v>812</v>
      </c>
      <c r="F52" s="30" t="str">
        <f>CONCATENATE(vertraging[[#This Row],[Digitale zorgtoepassing]],"_",vertraging[[#This Row],[Doelgroep]],"_",vertraging[[#This Row],[Uitgangssituatie/effect beleid]])</f>
        <v>RT monitoring (glucosemeter)_Diabetes_Effect beleid</v>
      </c>
      <c r="G52" s="122" t="str">
        <f>INDEX(acceptatie_burgers[Impact afhankelijk van acceptatie burgers?],MATCH(B52,acceptatie_burgers[Digitale zorgtoepassing],0))</f>
        <v>Ja</v>
      </c>
      <c r="H52" s="441" cm="1">
        <f t="array" ref="H52">IF(vertraging[[#This Row],[Uitgangssituatie/effect beleid]]="Effect beleid",MAX(INDEX(aanname_implementatie[Coëfficient p],MATCH(B52,IF(aanname_implementatie[Doelgroep]=C52,aanname_implementatie[Digitale zorgtoepassing]),0))+SUMIFS(afslagen_beleid[Opslag p],afslagen_beleid[Impact afhankelijk van acceptatie burgers],vertraging[[#This Row],[Acceptatie burgers]]),0.01),INDEX(aanname_implementatie[Coëfficient p],MATCH(B52,IF(aanname_implementatie[Doelgroep]=C52,aanname_implementatie[Digitale zorgtoepassing]),0)))</f>
        <v>2.5000000000000001E-2</v>
      </c>
      <c r="I52" s="441" cm="1">
        <f t="array" ref="I52">IF(vertraging[[#This Row],[Uitgangssituatie/effect beleid]]="Effect beleid",MAX(INDEX(aanname_implementatie[Coëfficient q],MATCH(B52,IF(aanname_implementatie[Doelgroep]=C52,aanname_implementatie[Digitale zorgtoepassing]),0))+SUMIFS(afslagen_beleid[Opslag q],afslagen_beleid[Impact afhankelijk van acceptatie burgers],vertraging[[#This Row],[Acceptatie burgers]]),0.3),INDEX(aanname_implementatie[Coëfficient q],MATCH(B52,IF(aanname_implementatie[Doelgroep]=C52,aanname_implementatie[Digitale zorgtoepassing]),0)))</f>
        <v>0.45</v>
      </c>
      <c r="J52" s="17">
        <f>0</f>
        <v>0</v>
      </c>
      <c r="K52" s="17">
        <v>0</v>
      </c>
      <c r="L52" s="17">
        <v>0</v>
      </c>
      <c r="M52" s="17">
        <v>0</v>
      </c>
      <c r="N52" s="17">
        <v>0</v>
      </c>
      <c r="O52" s="17">
        <v>0</v>
      </c>
      <c r="P52" s="17">
        <v>0</v>
      </c>
      <c r="Q52" s="17">
        <v>0</v>
      </c>
      <c r="R52" s="17">
        <v>0</v>
      </c>
      <c r="S52" s="17">
        <v>0</v>
      </c>
      <c r="T52" s="17">
        <v>0</v>
      </c>
      <c r="U52" s="17">
        <v>0</v>
      </c>
      <c r="V52" s="124" cm="1">
        <f t="array" ref="V52">INDEX(aanname_implementatie[Huidige implementatiegraad],MATCH(B52,IF(aanname_implementatie[Doelgroep]=C52,aanname_implementatie[Digitale zorgtoepassing]),0))</f>
        <v>0.8</v>
      </c>
      <c r="W52" s="126">
        <f>V52+vertraging[[#This Row],[p]]*(1-V52)+vertraging[[#This Row],[q]]*V52*(1-V52)</f>
        <v>0.877</v>
      </c>
      <c r="X52" s="126">
        <f>W52+vertraging[[#This Row],[p]]*(1-W52)+vertraging[[#This Row],[q]]*W52*(1-W52)</f>
        <v>0.92861695000000011</v>
      </c>
      <c r="Y52" s="126">
        <f>X52+vertraging[[#This Row],[p]]*(1-X52)+vertraging[[#This Row],[q]]*X52*(1-X52)</f>
        <v>0.96023090582771387</v>
      </c>
      <c r="Z52" s="126">
        <f>Y52+vertraging[[#This Row],[p]]*(1-Y52)+vertraging[[#This Row],[q]]*Y52*(1-Y52)</f>
        <v>0.97840951417647182</v>
      </c>
      <c r="AA52" s="126">
        <f>Z52+vertraging[[#This Row],[p]]*(1-Z52)+vertraging[[#This Row],[q]]*Z52*(1-Z52)</f>
        <v>0.9884552278575045</v>
      </c>
      <c r="AB52" s="126">
        <f>AA52+vertraging[[#This Row],[p]]*(1-AA52)+vertraging[[#This Row],[q]]*AA52*(1-AA52)</f>
        <v>0.99387901783146992</v>
      </c>
      <c r="AC52" s="126">
        <f>AB52+vertraging[[#This Row],[p]]*(1-AB52)+vertraging[[#This Row],[q]]*AB52*(1-AB52)</f>
        <v>0.99676962447130335</v>
      </c>
      <c r="AD52" s="126">
        <f>AC52+vertraging[[#This Row],[p]]*(1-AC52)+vertraging[[#This Row],[q]]*AC52*(1-AC52)</f>
        <v>0.99829935695070882</v>
      </c>
      <c r="AE52" s="126">
        <f>AD52+vertraging[[#This Row],[p]]*(1-AD52)+vertraging[[#This Row],[q]]*AD52*(1-AD52)</f>
        <v>0.9991058609150707</v>
      </c>
      <c r="AF52" s="126">
        <f>AE52+vertraging[[#This Row],[p]]*(1-AE52)+vertraging[[#This Row],[q]]*AE52*(1-AE52)</f>
        <v>0.99953021721229562</v>
      </c>
      <c r="AG52" s="126">
        <f>AF52+vertraging[[#This Row],[p]]*(1-AF52)+vertraging[[#This Row],[q]]*AF52*(1-AF52)</f>
        <v>0.99975326472331483</v>
      </c>
    </row>
    <row r="53" spans="1:33" x14ac:dyDescent="0.5">
      <c r="A53" s="30" t="str">
        <f>INDEX(Technologieën[Veld],MATCH(B53,Technologieën[Digitale zorgtoepassing],0))</f>
        <v>Sensoren - Behandeling</v>
      </c>
      <c r="B53" s="30" t="s">
        <v>88</v>
      </c>
      <c r="C53" s="30" t="s">
        <v>91</v>
      </c>
      <c r="D53" s="30" t="str" cm="1">
        <f t="array" ref="D53">INDEX(Berekening_patiëntaantal[Direct toepasbaar/extrapolatie/incidentie voor QALY],MATCH(B53,IF(Berekening_patiëntaantal[Doelgroep (zoeksleutel)]=C53,Berekening_patiëntaantal[Digitale zorgtoepassing]),0))</f>
        <v>Huidige toepassing</v>
      </c>
      <c r="E53" s="440" t="s">
        <v>812</v>
      </c>
      <c r="F53" s="30" t="str">
        <f>CONCATENATE(vertraging[[#This Row],[Digitale zorgtoepassing]],"_",vertraging[[#This Row],[Doelgroep]],"_",vertraging[[#This Row],[Uitgangssituatie/effect beleid]])</f>
        <v>RT monitoring (glucosemeter)_Diabetes_thuiszorg_Effect beleid</v>
      </c>
      <c r="G53" s="122" t="str">
        <f>INDEX(acceptatie_burgers[Impact afhankelijk van acceptatie burgers?],MATCH(B53,acceptatie_burgers[Digitale zorgtoepassing],0))</f>
        <v>Ja</v>
      </c>
      <c r="H53" s="441" cm="1">
        <f t="array" ref="H53">IF(vertraging[[#This Row],[Uitgangssituatie/effect beleid]]="Effect beleid",MAX(INDEX(aanname_implementatie[Coëfficient p],MATCH(B53,IF(aanname_implementatie[Doelgroep]=C53,aanname_implementatie[Digitale zorgtoepassing]),0))+SUMIFS(afslagen_beleid[Opslag p],afslagen_beleid[Impact afhankelijk van acceptatie burgers],vertraging[[#This Row],[Acceptatie burgers]]),0.01),INDEX(aanname_implementatie[Coëfficient p],MATCH(B53,IF(aanname_implementatie[Doelgroep]=C53,aanname_implementatie[Digitale zorgtoepassing]),0)))</f>
        <v>2.5000000000000001E-2</v>
      </c>
      <c r="I53" s="441" cm="1">
        <f t="array" ref="I53">IF(vertraging[[#This Row],[Uitgangssituatie/effect beleid]]="Effect beleid",MAX(INDEX(aanname_implementatie[Coëfficient q],MATCH(B53,IF(aanname_implementatie[Doelgroep]=C53,aanname_implementatie[Digitale zorgtoepassing]),0))+SUMIFS(afslagen_beleid[Opslag q],afslagen_beleid[Impact afhankelijk van acceptatie burgers],vertraging[[#This Row],[Acceptatie burgers]]),0.3),INDEX(aanname_implementatie[Coëfficient q],MATCH(B53,IF(aanname_implementatie[Doelgroep]=C53,aanname_implementatie[Digitale zorgtoepassing]),0)))</f>
        <v>0.45</v>
      </c>
      <c r="J53" s="17">
        <f>0</f>
        <v>0</v>
      </c>
      <c r="K53" s="17">
        <v>0</v>
      </c>
      <c r="L53" s="17">
        <v>0</v>
      </c>
      <c r="M53" s="17">
        <v>0</v>
      </c>
      <c r="N53" s="17">
        <v>0</v>
      </c>
      <c r="O53" s="17">
        <v>0</v>
      </c>
      <c r="P53" s="17">
        <v>0</v>
      </c>
      <c r="Q53" s="17">
        <v>0</v>
      </c>
      <c r="R53" s="17">
        <v>0</v>
      </c>
      <c r="S53" s="17">
        <v>0</v>
      </c>
      <c r="T53" s="17">
        <v>0</v>
      </c>
      <c r="U53" s="17">
        <v>0</v>
      </c>
      <c r="V53" s="124" cm="1">
        <f t="array" ref="V53">INDEX(aanname_implementatie[Huidige implementatiegraad],MATCH(B53,IF(aanname_implementatie[Doelgroep]=C53,aanname_implementatie[Digitale zorgtoepassing]),0))</f>
        <v>0.6</v>
      </c>
      <c r="W53" s="126">
        <f>V53+vertraging[[#This Row],[p]]*(1-V53)+vertraging[[#This Row],[q]]*V53*(1-V53)</f>
        <v>0.71799999999999997</v>
      </c>
      <c r="X53" s="126">
        <f>W53+vertraging[[#This Row],[p]]*(1-W53)+vertraging[[#This Row],[q]]*W53*(1-W53)</f>
        <v>0.81616420000000001</v>
      </c>
      <c r="Y53" s="126">
        <f>X53+vertraging[[#This Row],[p]]*(1-X53)+vertraging[[#This Row],[q]]*X53*(1-X53)</f>
        <v>0.88827818438726203</v>
      </c>
      <c r="Z53" s="126">
        <f>Y53+vertraging[[#This Row],[p]]*(1-Y53)+vertraging[[#This Row],[q]]*Y53*(1-Y53)</f>
        <v>0.93572925296559961</v>
      </c>
      <c r="AA53" s="126">
        <f>Z53+vertraging[[#This Row],[p]]*(1-Z53)+vertraging[[#This Row],[q]]*Z53*(1-Z53)</f>
        <v>0.9643990297909778</v>
      </c>
      <c r="AB53" s="126">
        <f>AA53+vertraging[[#This Row],[p]]*(1-AA53)+vertraging[[#This Row],[q]]*AA53*(1-AA53)</f>
        <v>0.98073914755434266</v>
      </c>
      <c r="AC53" s="126">
        <f>AB53+vertraging[[#This Row],[p]]*(1-AB53)+vertraging[[#This Row],[q]]*AB53*(1-AB53)</f>
        <v>0.98972111126940987</v>
      </c>
      <c r="AD53" s="126">
        <f>AC53+vertraging[[#This Row],[p]]*(1-AC53)+vertraging[[#This Row],[q]]*AC53*(1-AC53)</f>
        <v>0.99455603841734896</v>
      </c>
      <c r="AE53" s="126">
        <f>AD53+vertraging[[#This Row],[p]]*(1-AD53)+vertraging[[#This Row],[q]]*AD53*(1-AD53)</f>
        <v>0.9971285836461371</v>
      </c>
      <c r="AF53" s="126">
        <f>AE53+vertraging[[#This Row],[p]]*(1-AE53)+vertraging[[#This Row],[q]]*AE53*(1-AE53)</f>
        <v>0.99848879614987718</v>
      </c>
      <c r="AG53" s="126">
        <f>AF53+vertraging[[#This Row],[p]]*(1-AF53)+vertraging[[#This Row],[q]]*AF53*(1-AF53)</f>
        <v>0.99920559029700107</v>
      </c>
    </row>
    <row r="54" spans="1:33" x14ac:dyDescent="0.5">
      <c r="A54" s="30" t="str">
        <f>INDEX(Technologieën[Veld],MATCH(B54,Technologieën[Digitale zorgtoepassing],0))</f>
        <v>Sensoren - Verpleging</v>
      </c>
      <c r="B54" s="30" t="s">
        <v>42</v>
      </c>
      <c r="C54" s="30" t="s">
        <v>348</v>
      </c>
      <c r="D54" s="30" t="str" cm="1">
        <f t="array" ref="D54">INDEX(Berekening_patiëntaantal[Direct toepasbaar/extrapolatie/incidentie voor QALY],MATCH(B54,IF(Berekening_patiëntaantal[Doelgroep (zoeksleutel)]=C54,Berekening_patiëntaantal[Digitale zorgtoepassing]),0))</f>
        <v>Huidige toepassing</v>
      </c>
      <c r="E54" s="440" t="s">
        <v>812</v>
      </c>
      <c r="F54" s="30" t="str">
        <f>CONCATENATE(vertraging[[#This Row],[Digitale zorgtoepassing]],"_",vertraging[[#This Row],[Doelgroep]],"_",vertraging[[#This Row],[Uitgangssituatie/effect beleid]])</f>
        <v>Slim incontinentiemateriaal_Urine incontinent_Effect beleid</v>
      </c>
      <c r="G54" s="122" t="str">
        <f>INDEX(acceptatie_burgers[Impact afhankelijk van acceptatie burgers?],MATCH(B54,acceptatie_burgers[Digitale zorgtoepassing],0))</f>
        <v>Ja</v>
      </c>
      <c r="H54" s="441" cm="1">
        <f t="array" ref="H54">IF(vertraging[[#This Row],[Uitgangssituatie/effect beleid]]="Effect beleid",MAX(INDEX(aanname_implementatie[Coëfficient p],MATCH(B54,IF(aanname_implementatie[Doelgroep]=C54,aanname_implementatie[Digitale zorgtoepassing]),0))+SUMIFS(afslagen_beleid[Opslag p],afslagen_beleid[Impact afhankelijk van acceptatie burgers],vertraging[[#This Row],[Acceptatie burgers]]),0.01),INDEX(aanname_implementatie[Coëfficient p],MATCH(B54,IF(aanname_implementatie[Doelgroep]=C54,aanname_implementatie[Digitale zorgtoepassing]),0)))</f>
        <v>2.5000000000000001E-2</v>
      </c>
      <c r="I54" s="441" cm="1">
        <f t="array" ref="I54">IF(vertraging[[#This Row],[Uitgangssituatie/effect beleid]]="Effect beleid",MAX(INDEX(aanname_implementatie[Coëfficient q],MATCH(B54,IF(aanname_implementatie[Doelgroep]=C54,aanname_implementatie[Digitale zorgtoepassing]),0))+SUMIFS(afslagen_beleid[Opslag q],afslagen_beleid[Impact afhankelijk van acceptatie burgers],vertraging[[#This Row],[Acceptatie burgers]]),0.3),INDEX(aanname_implementatie[Coëfficient q],MATCH(B54,IF(aanname_implementatie[Doelgroep]=C54,aanname_implementatie[Digitale zorgtoepassing]),0)))</f>
        <v>0.45</v>
      </c>
      <c r="J54" s="17">
        <f>0</f>
        <v>0</v>
      </c>
      <c r="K54" s="17">
        <v>0</v>
      </c>
      <c r="L54" s="17">
        <v>0</v>
      </c>
      <c r="M54" s="17">
        <v>0</v>
      </c>
      <c r="N54" s="17">
        <v>0</v>
      </c>
      <c r="O54" s="17">
        <v>0</v>
      </c>
      <c r="P54" s="17">
        <v>0</v>
      </c>
      <c r="Q54" s="17">
        <v>0</v>
      </c>
      <c r="R54" s="17">
        <v>0</v>
      </c>
      <c r="S54" s="17">
        <v>0</v>
      </c>
      <c r="T54" s="17">
        <v>0</v>
      </c>
      <c r="U54" s="17">
        <v>0</v>
      </c>
      <c r="V54" s="124" cm="1">
        <f t="array" ref="V54">INDEX(aanname_implementatie[Huidige implementatiegraad],MATCH(B54,IF(aanname_implementatie[Doelgroep]=C54,aanname_implementatie[Digitale zorgtoepassing]),0))</f>
        <v>0.4</v>
      </c>
      <c r="W54" s="126">
        <f>V54+vertraging[[#This Row],[p]]*(1-V54)+vertraging[[#This Row],[q]]*V54*(1-V54)</f>
        <v>0.52300000000000002</v>
      </c>
      <c r="X54" s="126">
        <f>W54+vertraging[[#This Row],[p]]*(1-W54)+vertraging[[#This Row],[q]]*W54*(1-W54)</f>
        <v>0.64718695000000004</v>
      </c>
      <c r="Y54" s="126">
        <f>X54+vertraging[[#This Row],[p]]*(1-X54)+vertraging[[#This Row],[q]]*X54*(1-X54)</f>
        <v>0.75875847703736388</v>
      </c>
      <c r="Z54" s="126">
        <f>Y54+vertraging[[#This Row],[p]]*(1-Y54)+vertraging[[#This Row],[q]]*Y54*(1-Y54)</f>
        <v>0.84715933786401665</v>
      </c>
      <c r="AA54" s="126">
        <f>Z54+vertraging[[#This Row],[p]]*(1-Z54)+vertraging[[#This Row],[q]]*Z54*(1-Z54)</f>
        <v>0.90924653177763415</v>
      </c>
      <c r="AB54" s="126">
        <f>AA54+vertraging[[#This Row],[p]]*(1-AA54)+vertraging[[#This Row],[q]]*AA54*(1-AA54)</f>
        <v>0.94864814278578335</v>
      </c>
      <c r="AC54" s="126">
        <f>AB54+vertraging[[#This Row],[p]]*(1-AB54)+vertraging[[#This Row],[q]]*AB54*(1-AB54)</f>
        <v>0.97185361900482903</v>
      </c>
      <c r="AD54" s="126">
        <f>AC54+vertraging[[#This Row],[p]]*(1-AC54)+vertraging[[#This Row],[q]]*AC54*(1-AC54)</f>
        <v>0.98486665153412889</v>
      </c>
      <c r="AE54" s="126">
        <f>AD54+vertraging[[#This Row],[p]]*(1-AD54)+vertraging[[#This Row],[q]]*AD54*(1-AD54)</f>
        <v>0.99195193384931235</v>
      </c>
      <c r="AF54" s="126">
        <f>AE54+vertraging[[#This Row],[p]]*(1-AE54)+vertraging[[#This Row],[q]]*AE54*(1-AE54)</f>
        <v>0.99574561815494433</v>
      </c>
      <c r="AG54" s="126">
        <f>AF54+vertraging[[#This Row],[p]]*(1-AF54)+vertraging[[#This Row],[q]]*AF54*(1-AF54)</f>
        <v>0.99775830463714821</v>
      </c>
    </row>
    <row r="55" spans="1:33" x14ac:dyDescent="0.5">
      <c r="A55" s="30" t="str">
        <f>INDEX(Technologieën[Veld],MATCH(B55,Technologieën[Digitale zorgtoepassing],0))</f>
        <v>Sensoren - Verpleging</v>
      </c>
      <c r="B55" s="30" t="s">
        <v>42</v>
      </c>
      <c r="C55" s="30" t="s">
        <v>44</v>
      </c>
      <c r="D55" s="30" t="str" cm="1">
        <f t="array" ref="D55">INDEX(Berekening_patiëntaantal[Direct toepasbaar/extrapolatie/incidentie voor QALY],MATCH(B55,IF(Berekening_patiëntaantal[Doelgroep (zoeksleutel)]=C55,Berekening_patiëntaantal[Digitale zorgtoepassing]),0))</f>
        <v>Extrapolatie</v>
      </c>
      <c r="E55" s="440" t="s">
        <v>812</v>
      </c>
      <c r="F55" s="30" t="str">
        <f>CONCATENATE(vertraging[[#This Row],[Digitale zorgtoepassing]],"_",vertraging[[#This Row],[Doelgroep]],"_",vertraging[[#This Row],[Uitgangssituatie/effect beleid]])</f>
        <v>Slim incontinentiemateriaal_Verstandelijk gehandicapten_Effect beleid</v>
      </c>
      <c r="G55" s="122" t="str">
        <f>INDEX(acceptatie_burgers[Impact afhankelijk van acceptatie burgers?],MATCH(B55,acceptatie_burgers[Digitale zorgtoepassing],0))</f>
        <v>Ja</v>
      </c>
      <c r="H55" s="441" cm="1">
        <f t="array" ref="H55">IF(vertraging[[#This Row],[Uitgangssituatie/effect beleid]]="Effect beleid",MAX(INDEX(aanname_implementatie[Coëfficient p],MATCH(B55,IF(aanname_implementatie[Doelgroep]=C55,aanname_implementatie[Digitale zorgtoepassing]),0))+SUMIFS(afslagen_beleid[Opslag p],afslagen_beleid[Impact afhankelijk van acceptatie burgers],vertraging[[#This Row],[Acceptatie burgers]]),0.01),INDEX(aanname_implementatie[Coëfficient p],MATCH(B55,IF(aanname_implementatie[Doelgroep]=C55,aanname_implementatie[Digitale zorgtoepassing]),0)))</f>
        <v>2.5000000000000001E-2</v>
      </c>
      <c r="I55" s="441" cm="1">
        <f t="array" ref="I55">IF(vertraging[[#This Row],[Uitgangssituatie/effect beleid]]="Effect beleid",MAX(INDEX(aanname_implementatie[Coëfficient q],MATCH(B55,IF(aanname_implementatie[Doelgroep]=C55,aanname_implementatie[Digitale zorgtoepassing]),0))+SUMIFS(afslagen_beleid[Opslag q],afslagen_beleid[Impact afhankelijk van acceptatie burgers],vertraging[[#This Row],[Acceptatie burgers]]),0.3),INDEX(aanname_implementatie[Coëfficient q],MATCH(B55,IF(aanname_implementatie[Doelgroep]=C55,aanname_implementatie[Digitale zorgtoepassing]),0)))</f>
        <v>0.45</v>
      </c>
      <c r="J55" s="17">
        <f>0</f>
        <v>0</v>
      </c>
      <c r="K55" s="17">
        <v>0</v>
      </c>
      <c r="L55" s="17">
        <v>0</v>
      </c>
      <c r="M55" s="17">
        <v>0</v>
      </c>
      <c r="N55" s="17">
        <v>0</v>
      </c>
      <c r="O55" s="17">
        <v>0</v>
      </c>
      <c r="P55" s="17">
        <v>0</v>
      </c>
      <c r="Q55" s="17">
        <v>0</v>
      </c>
      <c r="R55" s="17">
        <v>0</v>
      </c>
      <c r="S55" s="17">
        <v>0</v>
      </c>
      <c r="T55" s="17">
        <v>0</v>
      </c>
      <c r="U55" s="17">
        <v>0</v>
      </c>
      <c r="V55" s="124" cm="1">
        <f t="array" ref="V55">INDEX(aanname_implementatie[Huidige implementatiegraad],MATCH(B55,IF(aanname_implementatie[Doelgroep]=C55,aanname_implementatie[Digitale zorgtoepassing]),0))</f>
        <v>0</v>
      </c>
      <c r="W55" s="126">
        <f>V55+vertraging[[#This Row],[p]]*(1-V55)+vertraging[[#This Row],[q]]*V55*(1-V55)</f>
        <v>2.5000000000000001E-2</v>
      </c>
      <c r="X55" s="126">
        <f>W55+vertraging[[#This Row],[p]]*(1-W55)+vertraging[[#This Row],[q]]*W55*(1-W55)</f>
        <v>6.0343750000000002E-2</v>
      </c>
      <c r="Y55" s="126">
        <f>X55+vertraging[[#This Row],[p]]*(1-X55)+vertraging[[#This Row],[q]]*X55*(1-X55)</f>
        <v>0.10935122807617187</v>
      </c>
      <c r="Z55" s="126">
        <f>Y55+vertraging[[#This Row],[p]]*(1-Y55)+vertraging[[#This Row],[q]]*Y55*(1-Y55)</f>
        <v>0.17544453902174978</v>
      </c>
      <c r="AA55" s="126">
        <f>Z55+vertraging[[#This Row],[p]]*(1-Z55)+vertraging[[#This Row],[q]]*Z55*(1-Z55)</f>
        <v>0.26115711428334398</v>
      </c>
      <c r="AB55" s="126">
        <f>AA55+vertraging[[#This Row],[p]]*(1-AA55)+vertraging[[#This Row],[q]]*AA55*(1-AA55)</f>
        <v>0.36645752060040354</v>
      </c>
      <c r="AC55" s="126">
        <f>AB55+vertraging[[#This Row],[p]]*(1-AB55)+vertraging[[#This Row],[q]]*AB55*(1-AB55)</f>
        <v>0.48677096537350723</v>
      </c>
      <c r="AD55" s="126">
        <f>AC55+vertraging[[#This Row],[p]]*(1-AC55)+vertraging[[#This Row],[q]]*AC55*(1-AC55)</f>
        <v>0.61202293792845253</v>
      </c>
      <c r="AE55" s="126">
        <f>AD55+vertraging[[#This Row],[p]]*(1-AD55)+vertraging[[#This Row],[q]]*AD55*(1-AD55)</f>
        <v>0.7285752521002864</v>
      </c>
      <c r="AF55" s="126">
        <f>AE55+vertraging[[#This Row],[p]]*(1-AE55)+vertraging[[#This Row],[q]]*AE55*(1-AE55)</f>
        <v>0.82434988015505994</v>
      </c>
      <c r="AG55" s="126">
        <f>AF55+vertraging[[#This Row],[p]]*(1-AF55)+vertraging[[#This Row],[q]]*AF55*(1-AF55)</f>
        <v>0.89389985301071273</v>
      </c>
    </row>
    <row r="56" spans="1:33" x14ac:dyDescent="0.5">
      <c r="A56" s="30" t="str">
        <f>INDEX(Technologieën[Veld],MATCH(B56,Technologieën[Digitale zorgtoepassing],0))</f>
        <v>Sensoren - Verpleging</v>
      </c>
      <c r="B56" s="30" t="s">
        <v>61</v>
      </c>
      <c r="C56" s="30" t="s">
        <v>62</v>
      </c>
      <c r="D56" s="30" t="str" cm="1">
        <f t="array" ref="D56">INDEX(Berekening_patiëntaantal[Direct toepasbaar/extrapolatie/incidentie voor QALY],MATCH(B56,IF(Berekening_patiëntaantal[Doelgroep (zoeksleutel)]=C56,Berekening_patiëntaantal[Digitale zorgtoepassing]),0))</f>
        <v>Huidige toepassing</v>
      </c>
      <c r="E56" s="440" t="s">
        <v>812</v>
      </c>
      <c r="F56" s="30" t="str">
        <f>CONCATENATE(vertraging[[#This Row],[Digitale zorgtoepassing]],"_",vertraging[[#This Row],[Doelgroep]],"_",vertraging[[#This Row],[Uitgangssituatie/effect beleid]])</f>
        <v>Slimme bedsensoren_Bewoners verzorgingshuis_Effect beleid</v>
      </c>
      <c r="G56" s="122" t="str">
        <f>INDEX(acceptatie_burgers[Impact afhankelijk van acceptatie burgers?],MATCH(B56,acceptatie_burgers[Digitale zorgtoepassing],0))</f>
        <v>Ja</v>
      </c>
      <c r="H56" s="441" cm="1">
        <f t="array" ref="H56">IF(vertraging[[#This Row],[Uitgangssituatie/effect beleid]]="Effect beleid",MAX(INDEX(aanname_implementatie[Coëfficient p],MATCH(B56,IF(aanname_implementatie[Doelgroep]=C56,aanname_implementatie[Digitale zorgtoepassing]),0))+SUMIFS(afslagen_beleid[Opslag p],afslagen_beleid[Impact afhankelijk van acceptatie burgers],vertraging[[#This Row],[Acceptatie burgers]]),0.01),INDEX(aanname_implementatie[Coëfficient p],MATCH(B56,IF(aanname_implementatie[Doelgroep]=C56,aanname_implementatie[Digitale zorgtoepassing]),0)))</f>
        <v>0.02</v>
      </c>
      <c r="I56" s="441" cm="1">
        <f t="array" ref="I56">IF(vertraging[[#This Row],[Uitgangssituatie/effect beleid]]="Effect beleid",MAX(INDEX(aanname_implementatie[Coëfficient q],MATCH(B56,IF(aanname_implementatie[Doelgroep]=C56,aanname_implementatie[Digitale zorgtoepassing]),0))+SUMIFS(afslagen_beleid[Opslag q],afslagen_beleid[Impact afhankelijk van acceptatie burgers],vertraging[[#This Row],[Acceptatie burgers]]),0.3),INDEX(aanname_implementatie[Coëfficient q],MATCH(B56,IF(aanname_implementatie[Doelgroep]=C56,aanname_implementatie[Digitale zorgtoepassing]),0)))</f>
        <v>0.4</v>
      </c>
      <c r="J56" s="17">
        <f>0</f>
        <v>0</v>
      </c>
      <c r="K56" s="17">
        <v>0</v>
      </c>
      <c r="L56" s="17">
        <v>0</v>
      </c>
      <c r="M56" s="17">
        <v>0</v>
      </c>
      <c r="N56" s="17">
        <v>0</v>
      </c>
      <c r="O56" s="17">
        <v>0</v>
      </c>
      <c r="P56" s="17">
        <v>0</v>
      </c>
      <c r="Q56" s="17">
        <v>0</v>
      </c>
      <c r="R56" s="17">
        <v>0</v>
      </c>
      <c r="S56" s="17">
        <v>0</v>
      </c>
      <c r="T56" s="17">
        <v>0</v>
      </c>
      <c r="U56" s="17">
        <v>0</v>
      </c>
      <c r="V56" s="124" cm="1">
        <f t="array" ref="V56">INDEX(aanname_implementatie[Huidige implementatiegraad],MATCH(B56,IF(aanname_implementatie[Doelgroep]=C56,aanname_implementatie[Digitale zorgtoepassing]),0))</f>
        <v>0.4</v>
      </c>
      <c r="W56" s="126">
        <f>V56+vertraging[[#This Row],[p]]*(1-V56)+vertraging[[#This Row],[q]]*V56*(1-V56)</f>
        <v>0.50800000000000001</v>
      </c>
      <c r="X56" s="126">
        <f>W56+vertraging[[#This Row],[p]]*(1-W56)+vertraging[[#This Row],[q]]*W56*(1-W56)</f>
        <v>0.61781439999999999</v>
      </c>
      <c r="Y56" s="126">
        <f>X56+vertraging[[#This Row],[p]]*(1-X56)+vertraging[[#This Row],[q]]*X56*(1-X56)</f>
        <v>0.71990601886105599</v>
      </c>
      <c r="Z56" s="126">
        <f>Y56+vertraging[[#This Row],[p]]*(1-Y56)+vertraging[[#This Row],[q]]*Y56*(1-Y56)</f>
        <v>0.80616443563130724</v>
      </c>
      <c r="AA56" s="126">
        <f>Z56+vertraging[[#This Row],[p]]*(1-Z56)+vertraging[[#This Row],[q]]*Z56*(1-Z56)</f>
        <v>0.87254648226050635</v>
      </c>
      <c r="AB56" s="126">
        <f>AA56+vertraging[[#This Row],[p]]*(1-AA56)+vertraging[[#This Row],[q]]*AA56*(1-AA56)</f>
        <v>0.9195792000374251</v>
      </c>
      <c r="AC56" s="126">
        <f>AB56+vertraging[[#This Row],[p]]*(1-AB56)+vertraging[[#This Row],[q]]*AB56*(1-AB56)</f>
        <v>0.95076893399505846</v>
      </c>
      <c r="AD56" s="126">
        <f>AC56+vertraging[[#This Row],[p]]*(1-AC56)+vertraging[[#This Row],[q]]*AC56*(1-AC56)</f>
        <v>0.97047650257314066</v>
      </c>
      <c r="AE56" s="126">
        <f>AD56+vertraging[[#This Row],[p]]*(1-AD56)+vertraging[[#This Row],[q]]*AD56*(1-AD56)</f>
        <v>0.98252771673229611</v>
      </c>
      <c r="AF56" s="126">
        <f>AE56+vertraging[[#This Row],[p]]*(1-AE56)+vertraging[[#This Row],[q]]*AE56*(1-AE56)</f>
        <v>0.98974396343169702</v>
      </c>
      <c r="AG56" s="126">
        <f>AF56+vertraging[[#This Row],[p]]*(1-AF56)+vertraging[[#This Row],[q]]*AF56*(1-AF56)</f>
        <v>0.99400942427594807</v>
      </c>
    </row>
    <row r="57" spans="1:33" x14ac:dyDescent="0.5">
      <c r="A57" s="30" t="str">
        <f>INDEX(Technologieën[Veld],MATCH(B57,Technologieën[Digitale zorgtoepassing],0))</f>
        <v>Sensoren - Verpleging</v>
      </c>
      <c r="B57" s="30" t="s">
        <v>61</v>
      </c>
      <c r="C57" s="30" t="s">
        <v>385</v>
      </c>
      <c r="D57" s="30" t="str" cm="1">
        <f t="array" ref="D57">INDEX(Berekening_patiëntaantal[Direct toepasbaar/extrapolatie/incidentie voor QALY],MATCH(B57,IF(Berekening_patiëntaantal[Doelgroep (zoeksleutel)]=C57,Berekening_patiëntaantal[Digitale zorgtoepassing]),0))</f>
        <v>Extrapolatie</v>
      </c>
      <c r="E57" s="440" t="s">
        <v>812</v>
      </c>
      <c r="F57" s="30" t="str">
        <f>CONCATENATE(vertraging[[#This Row],[Digitale zorgtoepassing]],"_",vertraging[[#This Row],[Doelgroep]],"_",vertraging[[#This Row],[Uitgangssituatie/effect beleid]])</f>
        <v>Slimme bedsensoren_Epilepsie Kinderen_Effect beleid</v>
      </c>
      <c r="G57" s="122" t="str">
        <f>INDEX(acceptatie_burgers[Impact afhankelijk van acceptatie burgers?],MATCH(B57,acceptatie_burgers[Digitale zorgtoepassing],0))</f>
        <v>Ja</v>
      </c>
      <c r="H57" s="441" cm="1">
        <f t="array" ref="H57">IF(vertraging[[#This Row],[Uitgangssituatie/effect beleid]]="Effect beleid",MAX(INDEX(aanname_implementatie[Coëfficient p],MATCH(B57,IF(aanname_implementatie[Doelgroep]=C57,aanname_implementatie[Digitale zorgtoepassing]),0))+SUMIFS(afslagen_beleid[Opslag p],afslagen_beleid[Impact afhankelijk van acceptatie burgers],vertraging[[#This Row],[Acceptatie burgers]]),0.01),INDEX(aanname_implementatie[Coëfficient p],MATCH(B57,IF(aanname_implementatie[Doelgroep]=C57,aanname_implementatie[Digitale zorgtoepassing]),0)))</f>
        <v>0.02</v>
      </c>
      <c r="I57" s="441" cm="1">
        <f t="array" ref="I57">IF(vertraging[[#This Row],[Uitgangssituatie/effect beleid]]="Effect beleid",MAX(INDEX(aanname_implementatie[Coëfficient q],MATCH(B57,IF(aanname_implementatie[Doelgroep]=C57,aanname_implementatie[Digitale zorgtoepassing]),0))+SUMIFS(afslagen_beleid[Opslag q],afslagen_beleid[Impact afhankelijk van acceptatie burgers],vertraging[[#This Row],[Acceptatie burgers]]),0.3),INDEX(aanname_implementatie[Coëfficient q],MATCH(B57,IF(aanname_implementatie[Doelgroep]=C57,aanname_implementatie[Digitale zorgtoepassing]),0)))</f>
        <v>0.4</v>
      </c>
      <c r="J57" s="17">
        <f>0</f>
        <v>0</v>
      </c>
      <c r="K57" s="17">
        <v>0</v>
      </c>
      <c r="L57" s="17">
        <v>0</v>
      </c>
      <c r="M57" s="17">
        <v>0</v>
      </c>
      <c r="N57" s="17">
        <v>0</v>
      </c>
      <c r="O57" s="17">
        <v>0</v>
      </c>
      <c r="P57" s="17">
        <v>0</v>
      </c>
      <c r="Q57" s="17">
        <v>0</v>
      </c>
      <c r="R57" s="17">
        <v>0</v>
      </c>
      <c r="S57" s="17">
        <v>0</v>
      </c>
      <c r="T57" s="17">
        <v>0</v>
      </c>
      <c r="U57" s="17">
        <v>0</v>
      </c>
      <c r="V57" s="124" cm="1">
        <f t="array" ref="V57">INDEX(aanname_implementatie[Huidige implementatiegraad],MATCH(B57,IF(aanname_implementatie[Doelgroep]=C57,aanname_implementatie[Digitale zorgtoepassing]),0))</f>
        <v>0</v>
      </c>
      <c r="W57" s="126">
        <f>V57+vertraging[[#This Row],[p]]*(1-V57)+vertraging[[#This Row],[q]]*V57*(1-V57)</f>
        <v>0.02</v>
      </c>
      <c r="X57" s="126">
        <f>W57+vertraging[[#This Row],[p]]*(1-W57)+vertraging[[#This Row],[q]]*W57*(1-W57)</f>
        <v>4.7439999999999996E-2</v>
      </c>
      <c r="Y57" s="126">
        <f>X57+vertraging[[#This Row],[p]]*(1-X57)+vertraging[[#This Row],[q]]*X57*(1-X57)</f>
        <v>8.4566978560000006E-2</v>
      </c>
      <c r="Z57" s="126">
        <f>Y57+vertraging[[#This Row],[p]]*(1-Y57)+vertraging[[#This Row],[q]]*Y57*(1-Y57)</f>
        <v>0.13384180086769301</v>
      </c>
      <c r="AA57" s="126">
        <f>Z57+vertraging[[#This Row],[p]]*(1-Z57)+vertraging[[#This Row],[q]]*Z57*(1-Z57)</f>
        <v>0.19753623413361349</v>
      </c>
      <c r="AB57" s="126">
        <f>AA57+vertraging[[#This Row],[p]]*(1-AA57)+vertraging[[#This Row],[q]]*AA57*(1-AA57)</f>
        <v>0.27699177758611071</v>
      </c>
      <c r="AC57" s="126">
        <f>AB57+vertraging[[#This Row],[p]]*(1-AB57)+vertraging[[#This Row],[q]]*AB57*(1-AB57)</f>
        <v>0.37155887512870744</v>
      </c>
      <c r="AD57" s="126">
        <f>AC57+vertraging[[#This Row],[p]]*(1-AC57)+vertraging[[#This Row],[q]]*AC57*(1-AC57)</f>
        <v>0.47752884860285211</v>
      </c>
      <c r="AE57" s="126">
        <f>AD57+vertraging[[#This Row],[p]]*(1-AD57)+vertraging[[#This Row],[q]]*AD57*(1-AD57)</f>
        <v>0.5877762905727496</v>
      </c>
      <c r="AF57" s="126">
        <f>AE57+vertraging[[#This Row],[p]]*(1-AE57)+vertraging[[#This Row],[q]]*AE57*(1-AE57)</f>
        <v>0.6929388938866099</v>
      </c>
      <c r="AG57" s="126">
        <f>AF57+vertraging[[#This Row],[p]]*(1-AF57)+vertraging[[#This Row],[q]]*AF57*(1-AF57)</f>
        <v>0.78418994929920227</v>
      </c>
    </row>
    <row r="58" spans="1:33" x14ac:dyDescent="0.5">
      <c r="A58" s="30" t="str">
        <f>INDEX(Technologieën[Veld],MATCH(B58,Technologieën[Digitale zorgtoepassing],0))</f>
        <v>Sensoren - Behandeling</v>
      </c>
      <c r="B58" s="30" t="s">
        <v>53</v>
      </c>
      <c r="C58" s="30" t="s">
        <v>54</v>
      </c>
      <c r="D58" s="30" t="str" cm="1">
        <f t="array" ref="D58">INDEX(Berekening_patiëntaantal[Direct toepasbaar/extrapolatie/incidentie voor QALY],MATCH(B58,IF(Berekening_patiëntaantal[Doelgroep (zoeksleutel)]=C58,Berekening_patiëntaantal[Digitale zorgtoepassing]),0))</f>
        <v>Huidige toepassing</v>
      </c>
      <c r="E58" s="440" t="s">
        <v>812</v>
      </c>
      <c r="F58" s="30" t="str">
        <f>CONCATENATE(vertraging[[#This Row],[Digitale zorgtoepassing]],"_",vertraging[[#This Row],[Doelgroep]],"_",vertraging[[#This Row],[Uitgangssituatie/effect beleid]])</f>
        <v>Slimme pleisters_Heup_Effect beleid</v>
      </c>
      <c r="G58" s="122" t="str">
        <f>INDEX(acceptatie_burgers[Impact afhankelijk van acceptatie burgers?],MATCH(B58,acceptatie_burgers[Digitale zorgtoepassing],0))</f>
        <v>Ja</v>
      </c>
      <c r="H58" s="441" cm="1">
        <f t="array" ref="H58">IF(vertraging[[#This Row],[Uitgangssituatie/effect beleid]]="Effect beleid",MAX(INDEX(aanname_implementatie[Coëfficient p],MATCH(B58,IF(aanname_implementatie[Doelgroep]=C58,aanname_implementatie[Digitale zorgtoepassing]),0))+SUMIFS(afslagen_beleid[Opslag p],afslagen_beleid[Impact afhankelijk van acceptatie burgers],vertraging[[#This Row],[Acceptatie burgers]]),0.01),INDEX(aanname_implementatie[Coëfficient p],MATCH(B58,IF(aanname_implementatie[Doelgroep]=C58,aanname_implementatie[Digitale zorgtoepassing]),0)))</f>
        <v>0.02</v>
      </c>
      <c r="I58" s="441" cm="1">
        <f t="array" ref="I58">IF(vertraging[[#This Row],[Uitgangssituatie/effect beleid]]="Effect beleid",MAX(INDEX(aanname_implementatie[Coëfficient q],MATCH(B58,IF(aanname_implementatie[Doelgroep]=C58,aanname_implementatie[Digitale zorgtoepassing]),0))+SUMIFS(afslagen_beleid[Opslag q],afslagen_beleid[Impact afhankelijk van acceptatie burgers],vertraging[[#This Row],[Acceptatie burgers]]),0.3),INDEX(aanname_implementatie[Coëfficient q],MATCH(B58,IF(aanname_implementatie[Doelgroep]=C58,aanname_implementatie[Digitale zorgtoepassing]),0)))</f>
        <v>0.4</v>
      </c>
      <c r="J58" s="17">
        <f>0</f>
        <v>0</v>
      </c>
      <c r="K58" s="17">
        <v>0</v>
      </c>
      <c r="L58" s="17">
        <v>0</v>
      </c>
      <c r="M58" s="17">
        <v>0</v>
      </c>
      <c r="N58" s="17">
        <v>0</v>
      </c>
      <c r="O58" s="17">
        <v>0</v>
      </c>
      <c r="P58" s="17">
        <v>0</v>
      </c>
      <c r="Q58" s="17">
        <v>0</v>
      </c>
      <c r="R58" s="17">
        <v>0</v>
      </c>
      <c r="S58" s="17">
        <v>0</v>
      </c>
      <c r="T58" s="17">
        <v>0</v>
      </c>
      <c r="U58" s="17">
        <v>0</v>
      </c>
      <c r="V58" s="124" cm="1">
        <f t="array" ref="V58">INDEX(aanname_implementatie[Huidige implementatiegraad],MATCH(B58,IF(aanname_implementatie[Doelgroep]=C58,aanname_implementatie[Digitale zorgtoepassing]),0))</f>
        <v>0.4</v>
      </c>
      <c r="W58" s="126">
        <f>V58+vertraging[[#This Row],[p]]*(1-V58)+vertraging[[#This Row],[q]]*V58*(1-V58)</f>
        <v>0.50800000000000001</v>
      </c>
      <c r="X58" s="126">
        <f>W58+vertraging[[#This Row],[p]]*(1-W58)+vertraging[[#This Row],[q]]*W58*(1-W58)</f>
        <v>0.61781439999999999</v>
      </c>
      <c r="Y58" s="126">
        <f>X58+vertraging[[#This Row],[p]]*(1-X58)+vertraging[[#This Row],[q]]*X58*(1-X58)</f>
        <v>0.71990601886105599</v>
      </c>
      <c r="Z58" s="126">
        <f>Y58+vertraging[[#This Row],[p]]*(1-Y58)+vertraging[[#This Row],[q]]*Y58*(1-Y58)</f>
        <v>0.80616443563130724</v>
      </c>
      <c r="AA58" s="126">
        <f>Z58+vertraging[[#This Row],[p]]*(1-Z58)+vertraging[[#This Row],[q]]*Z58*(1-Z58)</f>
        <v>0.87254648226050635</v>
      </c>
      <c r="AB58" s="126">
        <f>AA58+vertraging[[#This Row],[p]]*(1-AA58)+vertraging[[#This Row],[q]]*AA58*(1-AA58)</f>
        <v>0.9195792000374251</v>
      </c>
      <c r="AC58" s="126">
        <f>AB58+vertraging[[#This Row],[p]]*(1-AB58)+vertraging[[#This Row],[q]]*AB58*(1-AB58)</f>
        <v>0.95076893399505846</v>
      </c>
      <c r="AD58" s="126">
        <f>AC58+vertraging[[#This Row],[p]]*(1-AC58)+vertraging[[#This Row],[q]]*AC58*(1-AC58)</f>
        <v>0.97047650257314066</v>
      </c>
      <c r="AE58" s="126">
        <f>AD58+vertraging[[#This Row],[p]]*(1-AD58)+vertraging[[#This Row],[q]]*AD58*(1-AD58)</f>
        <v>0.98252771673229611</v>
      </c>
      <c r="AF58" s="126">
        <f>AE58+vertraging[[#This Row],[p]]*(1-AE58)+vertraging[[#This Row],[q]]*AE58*(1-AE58)</f>
        <v>0.98974396343169702</v>
      </c>
      <c r="AG58" s="126">
        <f>AF58+vertraging[[#This Row],[p]]*(1-AF58)+vertraging[[#This Row],[q]]*AF58*(1-AF58)</f>
        <v>0.99400942427594807</v>
      </c>
    </row>
    <row r="59" spans="1:33" x14ac:dyDescent="0.5">
      <c r="A59" s="30" t="str">
        <f>INDEX(Technologieën[Veld],MATCH(B59,Technologieën[Digitale zorgtoepassing],0))</f>
        <v>Sensoren - Behandeling</v>
      </c>
      <c r="B59" s="30" t="s">
        <v>53</v>
      </c>
      <c r="C59" s="30" t="s">
        <v>55</v>
      </c>
      <c r="D59" s="30" t="str" cm="1">
        <f t="array" ref="D59">INDEX(Berekening_patiëntaantal[Direct toepasbaar/extrapolatie/incidentie voor QALY],MATCH(B59,IF(Berekening_patiëntaantal[Doelgroep (zoeksleutel)]=C59,Berekening_patiëntaantal[Digitale zorgtoepassing]),0))</f>
        <v>Huidige toepassing</v>
      </c>
      <c r="E59" s="440" t="s">
        <v>812</v>
      </c>
      <c r="F59" s="30" t="str">
        <f>CONCATENATE(vertraging[[#This Row],[Digitale zorgtoepassing]],"_",vertraging[[#This Row],[Doelgroep]],"_",vertraging[[#This Row],[Uitgangssituatie/effect beleid]])</f>
        <v>Slimme pleisters_Knie_Effect beleid</v>
      </c>
      <c r="G59" s="122" t="str">
        <f>INDEX(acceptatie_burgers[Impact afhankelijk van acceptatie burgers?],MATCH(B59,acceptatie_burgers[Digitale zorgtoepassing],0))</f>
        <v>Ja</v>
      </c>
      <c r="H59" s="441" cm="1">
        <f t="array" ref="H59">IF(vertraging[[#This Row],[Uitgangssituatie/effect beleid]]="Effect beleid",MAX(INDEX(aanname_implementatie[Coëfficient p],MATCH(B59,IF(aanname_implementatie[Doelgroep]=C59,aanname_implementatie[Digitale zorgtoepassing]),0))+SUMIFS(afslagen_beleid[Opslag p],afslagen_beleid[Impact afhankelijk van acceptatie burgers],vertraging[[#This Row],[Acceptatie burgers]]),0.01),INDEX(aanname_implementatie[Coëfficient p],MATCH(B59,IF(aanname_implementatie[Doelgroep]=C59,aanname_implementatie[Digitale zorgtoepassing]),0)))</f>
        <v>0.02</v>
      </c>
      <c r="I59" s="441" cm="1">
        <f t="array" ref="I59">IF(vertraging[[#This Row],[Uitgangssituatie/effect beleid]]="Effect beleid",MAX(INDEX(aanname_implementatie[Coëfficient q],MATCH(B59,IF(aanname_implementatie[Doelgroep]=C59,aanname_implementatie[Digitale zorgtoepassing]),0))+SUMIFS(afslagen_beleid[Opslag q],afslagen_beleid[Impact afhankelijk van acceptatie burgers],vertraging[[#This Row],[Acceptatie burgers]]),0.3),INDEX(aanname_implementatie[Coëfficient q],MATCH(B59,IF(aanname_implementatie[Doelgroep]=C59,aanname_implementatie[Digitale zorgtoepassing]),0)))</f>
        <v>0.4</v>
      </c>
      <c r="J59" s="17">
        <f>0</f>
        <v>0</v>
      </c>
      <c r="K59" s="17">
        <v>0</v>
      </c>
      <c r="L59" s="17">
        <v>0</v>
      </c>
      <c r="M59" s="17">
        <v>0</v>
      </c>
      <c r="N59" s="17">
        <v>0</v>
      </c>
      <c r="O59" s="17">
        <v>0</v>
      </c>
      <c r="P59" s="17">
        <v>0</v>
      </c>
      <c r="Q59" s="17">
        <v>0</v>
      </c>
      <c r="R59" s="17">
        <v>0</v>
      </c>
      <c r="S59" s="17">
        <v>0</v>
      </c>
      <c r="T59" s="17">
        <v>0</v>
      </c>
      <c r="U59" s="17">
        <v>0</v>
      </c>
      <c r="V59" s="124" cm="1">
        <f t="array" ref="V59">INDEX(aanname_implementatie[Huidige implementatiegraad],MATCH(B59,IF(aanname_implementatie[Doelgroep]=C59,aanname_implementatie[Digitale zorgtoepassing]),0))</f>
        <v>0.4</v>
      </c>
      <c r="W59" s="126">
        <f>V59+vertraging[[#This Row],[p]]*(1-V59)+vertraging[[#This Row],[q]]*V59*(1-V59)</f>
        <v>0.50800000000000001</v>
      </c>
      <c r="X59" s="126">
        <f>W59+vertraging[[#This Row],[p]]*(1-W59)+vertraging[[#This Row],[q]]*W59*(1-W59)</f>
        <v>0.61781439999999999</v>
      </c>
      <c r="Y59" s="126">
        <f>X59+vertraging[[#This Row],[p]]*(1-X59)+vertraging[[#This Row],[q]]*X59*(1-X59)</f>
        <v>0.71990601886105599</v>
      </c>
      <c r="Z59" s="126">
        <f>Y59+vertraging[[#This Row],[p]]*(1-Y59)+vertraging[[#This Row],[q]]*Y59*(1-Y59)</f>
        <v>0.80616443563130724</v>
      </c>
      <c r="AA59" s="126">
        <f>Z59+vertraging[[#This Row],[p]]*(1-Z59)+vertraging[[#This Row],[q]]*Z59*(1-Z59)</f>
        <v>0.87254648226050635</v>
      </c>
      <c r="AB59" s="126">
        <f>AA59+vertraging[[#This Row],[p]]*(1-AA59)+vertraging[[#This Row],[q]]*AA59*(1-AA59)</f>
        <v>0.9195792000374251</v>
      </c>
      <c r="AC59" s="126">
        <f>AB59+vertraging[[#This Row],[p]]*(1-AB59)+vertraging[[#This Row],[q]]*AB59*(1-AB59)</f>
        <v>0.95076893399505846</v>
      </c>
      <c r="AD59" s="126">
        <f>AC59+vertraging[[#This Row],[p]]*(1-AC59)+vertraging[[#This Row],[q]]*AC59*(1-AC59)</f>
        <v>0.97047650257314066</v>
      </c>
      <c r="AE59" s="126">
        <f>AD59+vertraging[[#This Row],[p]]*(1-AD59)+vertraging[[#This Row],[q]]*AD59*(1-AD59)</f>
        <v>0.98252771673229611</v>
      </c>
      <c r="AF59" s="126">
        <f>AE59+vertraging[[#This Row],[p]]*(1-AE59)+vertraging[[#This Row],[q]]*AE59*(1-AE59)</f>
        <v>0.98974396343169702</v>
      </c>
      <c r="AG59" s="126">
        <f>AF59+vertraging[[#This Row],[p]]*(1-AF59)+vertraging[[#This Row],[q]]*AF59*(1-AF59)</f>
        <v>0.99400942427594807</v>
      </c>
    </row>
    <row r="60" spans="1:33" x14ac:dyDescent="0.5">
      <c r="A60" s="30" t="str">
        <f>INDEX(Technologieën[Veld],MATCH(B60,Technologieën[Digitale zorgtoepassing],0))</f>
        <v>Sensoren - Behandeling</v>
      </c>
      <c r="B60" s="30" t="s">
        <v>53</v>
      </c>
      <c r="C60" s="33" t="s">
        <v>722</v>
      </c>
      <c r="D60" s="30" t="str" cm="1">
        <f t="array" ref="D60">INDEX(Berekening_patiëntaantal[Direct toepasbaar/extrapolatie/incidentie voor QALY],MATCH(B60,IF(Berekening_patiëntaantal[Doelgroep (zoeksleutel)]=C60,Berekening_patiëntaantal[Digitale zorgtoepassing]),0))</f>
        <v>Extrapolatie</v>
      </c>
      <c r="E60" s="440" t="s">
        <v>812</v>
      </c>
      <c r="F60" s="30" t="str">
        <f>CONCATENATE(vertraging[[#This Row],[Digitale zorgtoepassing]],"_",vertraging[[#This Row],[Doelgroep]],"_",vertraging[[#This Row],[Uitgangssituatie/effect beleid]])</f>
        <v>Slimme pleisters_Overige_aandoeningen_Effect beleid</v>
      </c>
      <c r="G60" s="122" t="str">
        <f>INDEX(acceptatie_burgers[Impact afhankelijk van acceptatie burgers?],MATCH(B60,acceptatie_burgers[Digitale zorgtoepassing],0))</f>
        <v>Ja</v>
      </c>
      <c r="H60" s="441" cm="1">
        <f t="array" ref="H60">IF(vertraging[[#This Row],[Uitgangssituatie/effect beleid]]="Effect beleid",MAX(INDEX(aanname_implementatie[Coëfficient p],MATCH(B60,IF(aanname_implementatie[Doelgroep]=C60,aanname_implementatie[Digitale zorgtoepassing]),0))+SUMIFS(afslagen_beleid[Opslag p],afslagen_beleid[Impact afhankelijk van acceptatie burgers],vertraging[[#This Row],[Acceptatie burgers]]),0.01),INDEX(aanname_implementatie[Coëfficient p],MATCH(B60,IF(aanname_implementatie[Doelgroep]=C60,aanname_implementatie[Digitale zorgtoepassing]),0)))</f>
        <v>0.02</v>
      </c>
      <c r="I60" s="441" cm="1">
        <f t="array" ref="I60">IF(vertraging[[#This Row],[Uitgangssituatie/effect beleid]]="Effect beleid",MAX(INDEX(aanname_implementatie[Coëfficient q],MATCH(B60,IF(aanname_implementatie[Doelgroep]=C60,aanname_implementatie[Digitale zorgtoepassing]),0))+SUMIFS(afslagen_beleid[Opslag q],afslagen_beleid[Impact afhankelijk van acceptatie burgers],vertraging[[#This Row],[Acceptatie burgers]]),0.3),INDEX(aanname_implementatie[Coëfficient q],MATCH(B60,IF(aanname_implementatie[Doelgroep]=C60,aanname_implementatie[Digitale zorgtoepassing]),0)))</f>
        <v>0.4</v>
      </c>
      <c r="J60" s="17">
        <f>0</f>
        <v>0</v>
      </c>
      <c r="K60" s="17">
        <v>0</v>
      </c>
      <c r="L60" s="17">
        <v>0</v>
      </c>
      <c r="M60" s="17">
        <v>0</v>
      </c>
      <c r="N60" s="17">
        <v>0</v>
      </c>
      <c r="O60" s="17">
        <v>0</v>
      </c>
      <c r="P60" s="17">
        <v>0</v>
      </c>
      <c r="Q60" s="17">
        <v>0</v>
      </c>
      <c r="R60" s="17">
        <v>0</v>
      </c>
      <c r="S60" s="17">
        <v>0</v>
      </c>
      <c r="T60" s="17">
        <v>0</v>
      </c>
      <c r="U60" s="17">
        <v>0</v>
      </c>
      <c r="V60" s="124" cm="1">
        <f t="array" ref="V60">INDEX(aanname_implementatie[Huidige implementatiegraad],MATCH(B60,IF(aanname_implementatie[Doelgroep]=C60,aanname_implementatie[Digitale zorgtoepassing]),0))</f>
        <v>0</v>
      </c>
      <c r="W60" s="126">
        <f>V60+vertraging[[#This Row],[p]]*(1-V60)+vertraging[[#This Row],[q]]*V60*(1-V60)</f>
        <v>0.02</v>
      </c>
      <c r="X60" s="126">
        <f>W60+vertraging[[#This Row],[p]]*(1-W60)+vertraging[[#This Row],[q]]*W60*(1-W60)</f>
        <v>4.7439999999999996E-2</v>
      </c>
      <c r="Y60" s="126">
        <f>X60+vertraging[[#This Row],[p]]*(1-X60)+vertraging[[#This Row],[q]]*X60*(1-X60)</f>
        <v>8.4566978560000006E-2</v>
      </c>
      <c r="Z60" s="126">
        <f>Y60+vertraging[[#This Row],[p]]*(1-Y60)+vertraging[[#This Row],[q]]*Y60*(1-Y60)</f>
        <v>0.13384180086769301</v>
      </c>
      <c r="AA60" s="126">
        <f>Z60+vertraging[[#This Row],[p]]*(1-Z60)+vertraging[[#This Row],[q]]*Z60*(1-Z60)</f>
        <v>0.19753623413361349</v>
      </c>
      <c r="AB60" s="126">
        <f>AA60+vertraging[[#This Row],[p]]*(1-AA60)+vertraging[[#This Row],[q]]*AA60*(1-AA60)</f>
        <v>0.27699177758611071</v>
      </c>
      <c r="AC60" s="126">
        <f>AB60+vertraging[[#This Row],[p]]*(1-AB60)+vertraging[[#This Row],[q]]*AB60*(1-AB60)</f>
        <v>0.37155887512870744</v>
      </c>
      <c r="AD60" s="126">
        <f>AC60+vertraging[[#This Row],[p]]*(1-AC60)+vertraging[[#This Row],[q]]*AC60*(1-AC60)</f>
        <v>0.47752884860285211</v>
      </c>
      <c r="AE60" s="126">
        <f>AD60+vertraging[[#This Row],[p]]*(1-AD60)+vertraging[[#This Row],[q]]*AD60*(1-AD60)</f>
        <v>0.5877762905727496</v>
      </c>
      <c r="AF60" s="126">
        <f>AE60+vertraging[[#This Row],[p]]*(1-AE60)+vertraging[[#This Row],[q]]*AE60*(1-AE60)</f>
        <v>0.6929388938866099</v>
      </c>
      <c r="AG60" s="126">
        <f>AF60+vertraging[[#This Row],[p]]*(1-AF60)+vertraging[[#This Row],[q]]*AF60*(1-AF60)</f>
        <v>0.78418994929920227</v>
      </c>
    </row>
    <row r="61" spans="1:33" x14ac:dyDescent="0.5">
      <c r="A61" s="30" t="str">
        <f>INDEX(Technologieën[Veld],MATCH(B61,Technologieën[Digitale zorgtoepassing],0))</f>
        <v>Software - Behandeling</v>
      </c>
      <c r="B61" s="30" t="s">
        <v>101</v>
      </c>
      <c r="C61" s="30" t="s">
        <v>83</v>
      </c>
      <c r="D61" s="30" t="str" cm="1">
        <f t="array" ref="D61">INDEX(Berekening_patiëntaantal[Direct toepasbaar/extrapolatie/incidentie voor QALY],MATCH(B61,IF(Berekening_patiëntaantal[Doelgroep (zoeksleutel)]=C61,Berekening_patiëntaantal[Digitale zorgtoepassing]),0))</f>
        <v>Huidige toepassing</v>
      </c>
      <c r="E61" s="440" t="s">
        <v>812</v>
      </c>
      <c r="F61" s="30" t="str">
        <f>CONCATENATE(vertraging[[#This Row],[Digitale zorgtoepassing]],"_",vertraging[[#This Row],[Doelgroep]],"_",vertraging[[#This Row],[Uitgangssituatie/effect beleid]])</f>
        <v>Spraak automatisch vastleggen_Verpleeghuis_Effect beleid</v>
      </c>
      <c r="G61" s="122" t="str">
        <f>INDEX(acceptatie_burgers[Impact afhankelijk van acceptatie burgers?],MATCH(B61,acceptatie_burgers[Digitale zorgtoepassing],0))</f>
        <v>Nee</v>
      </c>
      <c r="H61" s="441" cm="1">
        <f t="array" ref="H61">IF(vertraging[[#This Row],[Uitgangssituatie/effect beleid]]="Effect beleid",MAX(INDEX(aanname_implementatie[Coëfficient p],MATCH(B61,IF(aanname_implementatie[Doelgroep]=C61,aanname_implementatie[Digitale zorgtoepassing]),0))+SUMIFS(afslagen_beleid[Opslag p],afslagen_beleid[Impact afhankelijk van acceptatie burgers],vertraging[[#This Row],[Acceptatie burgers]]),0.01),INDEX(aanname_implementatie[Coëfficient p],MATCH(B61,IF(aanname_implementatie[Doelgroep]=C61,aanname_implementatie[Digitale zorgtoepassing]),0)))</f>
        <v>0.01</v>
      </c>
      <c r="I61" s="441" cm="1">
        <f t="array" ref="I61">IF(vertraging[[#This Row],[Uitgangssituatie/effect beleid]]="Effect beleid",MAX(INDEX(aanname_implementatie[Coëfficient q],MATCH(B61,IF(aanname_implementatie[Doelgroep]=C61,aanname_implementatie[Digitale zorgtoepassing]),0))+SUMIFS(afslagen_beleid[Opslag q],afslagen_beleid[Impact afhankelijk van acceptatie burgers],vertraging[[#This Row],[Acceptatie burgers]]),0.3),INDEX(aanname_implementatie[Coëfficient q],MATCH(B61,IF(aanname_implementatie[Doelgroep]=C61,aanname_implementatie[Digitale zorgtoepassing]),0)))</f>
        <v>0.3</v>
      </c>
      <c r="J61" s="17">
        <f>0</f>
        <v>0</v>
      </c>
      <c r="K61" s="17">
        <v>0</v>
      </c>
      <c r="L61" s="17">
        <v>0</v>
      </c>
      <c r="M61" s="17">
        <v>0</v>
      </c>
      <c r="N61" s="17">
        <v>0</v>
      </c>
      <c r="O61" s="17">
        <v>0</v>
      </c>
      <c r="P61" s="17">
        <v>0</v>
      </c>
      <c r="Q61" s="17">
        <v>0</v>
      </c>
      <c r="R61" s="17">
        <v>0</v>
      </c>
      <c r="S61" s="17">
        <v>0</v>
      </c>
      <c r="T61" s="17">
        <v>0</v>
      </c>
      <c r="U61" s="17">
        <v>0</v>
      </c>
      <c r="V61" s="124" cm="1">
        <f t="array" ref="V61">INDEX(aanname_implementatie[Huidige implementatiegraad],MATCH(B61,IF(aanname_implementatie[Doelgroep]=C61,aanname_implementatie[Digitale zorgtoepassing]),0))</f>
        <v>0.2</v>
      </c>
      <c r="W61" s="126">
        <f>V61+vertraging[[#This Row],[p]]*(1-V61)+vertraging[[#This Row],[q]]*V61*(1-V61)</f>
        <v>0.25600000000000001</v>
      </c>
      <c r="X61" s="126">
        <f>W61+vertraging[[#This Row],[p]]*(1-W61)+vertraging[[#This Row],[q]]*W61*(1-W61)</f>
        <v>0.32057920000000001</v>
      </c>
      <c r="Y61" s="126">
        <f>X61+vertraging[[#This Row],[p]]*(1-X61)+vertraging[[#This Row],[q]]*X61*(1-X61)</f>
        <v>0.39271586095820804</v>
      </c>
      <c r="Z61" s="126">
        <f>Y61+vertraging[[#This Row],[p]]*(1-Y61)+vertraging[[#This Row],[q]]*Y61*(1-Y61)</f>
        <v>0.47033573640164439</v>
      </c>
      <c r="AA61" s="126">
        <f>Z61+vertraging[[#This Row],[p]]*(1-Z61)+vertraging[[#This Row],[q]]*Z61*(1-Z61)</f>
        <v>0.55036838847717817</v>
      </c>
      <c r="AB61" s="126">
        <f>AA61+vertraging[[#This Row],[p]]*(1-AA61)+vertraging[[#This Row],[q]]*AA61*(1-AA61)</f>
        <v>0.62910361222507005</v>
      </c>
      <c r="AC61" s="126">
        <f>AB61+vertraging[[#This Row],[p]]*(1-AB61)+vertraging[[#This Row],[q]]*AB61*(1-AB61)</f>
        <v>0.70281225329595098</v>
      </c>
      <c r="AD61" s="126">
        <f>AC61+vertraging[[#This Row],[p]]*(1-AC61)+vertraging[[#This Row],[q]]*AC61*(1-AC61)</f>
        <v>0.76844428773689721</v>
      </c>
      <c r="AE61" s="126">
        <f>AD61+vertraging[[#This Row],[p]]*(1-AD61)+vertraging[[#This Row],[q]]*AD61*(1-AD61)</f>
        <v>0.82414114417395723</v>
      </c>
      <c r="AF61" s="126">
        <f>AE61+vertraging[[#This Row],[p]]*(1-AE61)+vertraging[[#This Row],[q]]*AE61*(1-AE61)</f>
        <v>0.86937948832829703</v>
      </c>
      <c r="AG61" s="126">
        <f>AF61+vertraging[[#This Row],[p]]*(1-AF61)+vertraging[[#This Row],[q]]*AF61*(1-AF61)</f>
        <v>0.90475333152571169</v>
      </c>
    </row>
    <row r="62" spans="1:33" x14ac:dyDescent="0.5">
      <c r="A62" s="30" t="str">
        <f>INDEX(Technologieën[Veld],MATCH(B62,Technologieën[Digitale zorgtoepassing],0))</f>
        <v>Software - Behandeling</v>
      </c>
      <c r="B62" s="30" t="s">
        <v>101</v>
      </c>
      <c r="C62" s="30" t="s">
        <v>84</v>
      </c>
      <c r="D62" s="30" t="str" cm="1">
        <f t="array" ref="D62">INDEX(Berekening_patiëntaantal[Direct toepasbaar/extrapolatie/incidentie voor QALY],MATCH(B62,IF(Berekening_patiëntaantal[Doelgroep (zoeksleutel)]=C62,Berekening_patiëntaantal[Digitale zorgtoepassing]),0))</f>
        <v>Huidige toepassing</v>
      </c>
      <c r="E62" s="440" t="s">
        <v>812</v>
      </c>
      <c r="F62" s="30" t="str">
        <f>CONCATENATE(vertraging[[#This Row],[Digitale zorgtoepassing]],"_",vertraging[[#This Row],[Doelgroep]],"_",vertraging[[#This Row],[Uitgangssituatie/effect beleid]])</f>
        <v>Spraak automatisch vastleggen_Wijkverpleging_Effect beleid</v>
      </c>
      <c r="G62" s="122" t="str">
        <f>INDEX(acceptatie_burgers[Impact afhankelijk van acceptatie burgers?],MATCH(B62,acceptatie_burgers[Digitale zorgtoepassing],0))</f>
        <v>Nee</v>
      </c>
      <c r="H62" s="441" cm="1">
        <f t="array" ref="H62">IF(vertraging[[#This Row],[Uitgangssituatie/effect beleid]]="Effect beleid",MAX(INDEX(aanname_implementatie[Coëfficient p],MATCH(B62,IF(aanname_implementatie[Doelgroep]=C62,aanname_implementatie[Digitale zorgtoepassing]),0))+SUMIFS(afslagen_beleid[Opslag p],afslagen_beleid[Impact afhankelijk van acceptatie burgers],vertraging[[#This Row],[Acceptatie burgers]]),0.01),INDEX(aanname_implementatie[Coëfficient p],MATCH(B62,IF(aanname_implementatie[Doelgroep]=C62,aanname_implementatie[Digitale zorgtoepassing]),0)))</f>
        <v>0.01</v>
      </c>
      <c r="I62" s="441" cm="1">
        <f t="array" ref="I62">IF(vertraging[[#This Row],[Uitgangssituatie/effect beleid]]="Effect beleid",MAX(INDEX(aanname_implementatie[Coëfficient q],MATCH(B62,IF(aanname_implementatie[Doelgroep]=C62,aanname_implementatie[Digitale zorgtoepassing]),0))+SUMIFS(afslagen_beleid[Opslag q],afslagen_beleid[Impact afhankelijk van acceptatie burgers],vertraging[[#This Row],[Acceptatie burgers]]),0.3),INDEX(aanname_implementatie[Coëfficient q],MATCH(B62,IF(aanname_implementatie[Doelgroep]=C62,aanname_implementatie[Digitale zorgtoepassing]),0)))</f>
        <v>0.3</v>
      </c>
      <c r="J62" s="17">
        <f>0</f>
        <v>0</v>
      </c>
      <c r="K62" s="17">
        <v>0</v>
      </c>
      <c r="L62" s="17">
        <v>0</v>
      </c>
      <c r="M62" s="17">
        <v>0</v>
      </c>
      <c r="N62" s="17">
        <v>0</v>
      </c>
      <c r="O62" s="17">
        <v>0</v>
      </c>
      <c r="P62" s="17">
        <v>0</v>
      </c>
      <c r="Q62" s="17">
        <v>0</v>
      </c>
      <c r="R62" s="17">
        <v>0</v>
      </c>
      <c r="S62" s="17">
        <v>0</v>
      </c>
      <c r="T62" s="17">
        <v>0</v>
      </c>
      <c r="U62" s="17">
        <v>0</v>
      </c>
      <c r="V62" s="124" cm="1">
        <f t="array" ref="V62">INDEX(aanname_implementatie[Huidige implementatiegraad],MATCH(B62,IF(aanname_implementatie[Doelgroep]=C62,aanname_implementatie[Digitale zorgtoepassing]),0))</f>
        <v>0.2</v>
      </c>
      <c r="W62" s="126">
        <f>V62+vertraging[[#This Row],[p]]*(1-V62)+vertraging[[#This Row],[q]]*V62*(1-V62)</f>
        <v>0.25600000000000001</v>
      </c>
      <c r="X62" s="126">
        <f>W62+vertraging[[#This Row],[p]]*(1-W62)+vertraging[[#This Row],[q]]*W62*(1-W62)</f>
        <v>0.32057920000000001</v>
      </c>
      <c r="Y62" s="126">
        <f>X62+vertraging[[#This Row],[p]]*(1-X62)+vertraging[[#This Row],[q]]*X62*(1-X62)</f>
        <v>0.39271586095820804</v>
      </c>
      <c r="Z62" s="126">
        <f>Y62+vertraging[[#This Row],[p]]*(1-Y62)+vertraging[[#This Row],[q]]*Y62*(1-Y62)</f>
        <v>0.47033573640164439</v>
      </c>
      <c r="AA62" s="126">
        <f>Z62+vertraging[[#This Row],[p]]*(1-Z62)+vertraging[[#This Row],[q]]*Z62*(1-Z62)</f>
        <v>0.55036838847717817</v>
      </c>
      <c r="AB62" s="126">
        <f>AA62+vertraging[[#This Row],[p]]*(1-AA62)+vertraging[[#This Row],[q]]*AA62*(1-AA62)</f>
        <v>0.62910361222507005</v>
      </c>
      <c r="AC62" s="126">
        <f>AB62+vertraging[[#This Row],[p]]*(1-AB62)+vertraging[[#This Row],[q]]*AB62*(1-AB62)</f>
        <v>0.70281225329595098</v>
      </c>
      <c r="AD62" s="126">
        <f>AC62+vertraging[[#This Row],[p]]*(1-AC62)+vertraging[[#This Row],[q]]*AC62*(1-AC62)</f>
        <v>0.76844428773689721</v>
      </c>
      <c r="AE62" s="126">
        <f>AD62+vertraging[[#This Row],[p]]*(1-AD62)+vertraging[[#This Row],[q]]*AD62*(1-AD62)</f>
        <v>0.82414114417395723</v>
      </c>
      <c r="AF62" s="126">
        <f>AE62+vertraging[[#This Row],[p]]*(1-AE62)+vertraging[[#This Row],[q]]*AE62*(1-AE62)</f>
        <v>0.86937948832829703</v>
      </c>
      <c r="AG62" s="126">
        <f>AF62+vertraging[[#This Row],[p]]*(1-AF62)+vertraging[[#This Row],[q]]*AF62*(1-AF62)</f>
        <v>0.90475333152571169</v>
      </c>
    </row>
    <row r="63" spans="1:33" x14ac:dyDescent="0.5">
      <c r="A63" s="30" t="str">
        <f>INDEX(Technologieën[Veld],MATCH(B63,Technologieën[Digitale zorgtoepassing],0))</f>
        <v>Digitale hulpmiddelen - Verpleging</v>
      </c>
      <c r="B63" s="30" t="s">
        <v>48</v>
      </c>
      <c r="C63" s="30" t="s">
        <v>49</v>
      </c>
      <c r="D63" s="30" t="str" cm="1">
        <f t="array" ref="D63">INDEX(Berekening_patiëntaantal[Direct toepasbaar/extrapolatie/incidentie voor QALY],MATCH(B63,IF(Berekening_patiëntaantal[Doelgroep (zoeksleutel)]=C63,Berekening_patiëntaantal[Digitale zorgtoepassing]),0))</f>
        <v>Huidige toepassing</v>
      </c>
      <c r="E63" s="440" t="s">
        <v>812</v>
      </c>
      <c r="F63" s="30" t="str">
        <f>CONCATENATE(vertraging[[#This Row],[Digitale zorgtoepassing]],"_",vertraging[[#This Row],[Doelgroep]],"_",vertraging[[#This Row],[Uitgangssituatie/effect beleid]])</f>
        <v>Steunkousen technologie_Steunkousen_Effect beleid</v>
      </c>
      <c r="G63" s="122" t="str">
        <f>INDEX(acceptatie_burgers[Impact afhankelijk van acceptatie burgers?],MATCH(B63,acceptatie_burgers[Digitale zorgtoepassing],0))</f>
        <v>Nee</v>
      </c>
      <c r="H63" s="441" cm="1">
        <f t="array" ref="H63">IF(vertraging[[#This Row],[Uitgangssituatie/effect beleid]]="Effect beleid",MAX(INDEX(aanname_implementatie[Coëfficient p],MATCH(B63,IF(aanname_implementatie[Doelgroep]=C63,aanname_implementatie[Digitale zorgtoepassing]),0))+SUMIFS(afslagen_beleid[Opslag p],afslagen_beleid[Impact afhankelijk van acceptatie burgers],vertraging[[#This Row],[Acceptatie burgers]]),0.01),INDEX(aanname_implementatie[Coëfficient p],MATCH(B63,IF(aanname_implementatie[Doelgroep]=C63,aanname_implementatie[Digitale zorgtoepassing]),0)))</f>
        <v>2.5000000000000001E-2</v>
      </c>
      <c r="I63" s="441" cm="1">
        <f t="array" ref="I63">IF(vertraging[[#This Row],[Uitgangssituatie/effect beleid]]="Effect beleid",MAX(INDEX(aanname_implementatie[Coëfficient q],MATCH(B63,IF(aanname_implementatie[Doelgroep]=C63,aanname_implementatie[Digitale zorgtoepassing]),0))+SUMIFS(afslagen_beleid[Opslag q],afslagen_beleid[Impact afhankelijk van acceptatie burgers],vertraging[[#This Row],[Acceptatie burgers]]),0.3),INDEX(aanname_implementatie[Coëfficient q],MATCH(B63,IF(aanname_implementatie[Doelgroep]=C63,aanname_implementatie[Digitale zorgtoepassing]),0)))</f>
        <v>0.45</v>
      </c>
      <c r="J63" s="17">
        <f>0</f>
        <v>0</v>
      </c>
      <c r="K63" s="17">
        <v>0</v>
      </c>
      <c r="L63" s="17">
        <v>0</v>
      </c>
      <c r="M63" s="17">
        <v>0</v>
      </c>
      <c r="N63" s="17">
        <v>0</v>
      </c>
      <c r="O63" s="17">
        <v>0</v>
      </c>
      <c r="P63" s="17">
        <v>0</v>
      </c>
      <c r="Q63" s="17">
        <v>0</v>
      </c>
      <c r="R63" s="17">
        <v>0</v>
      </c>
      <c r="S63" s="17">
        <v>0</v>
      </c>
      <c r="T63" s="17">
        <v>0</v>
      </c>
      <c r="U63" s="17">
        <v>0</v>
      </c>
      <c r="V63" s="124" cm="1">
        <f t="array" ref="V63">INDEX(aanname_implementatie[Huidige implementatiegraad],MATCH(B63,IF(aanname_implementatie[Doelgroep]=C63,aanname_implementatie[Digitale zorgtoepassing]),0))</f>
        <v>0.2</v>
      </c>
      <c r="W63" s="126">
        <f>V63+vertraging[[#This Row],[p]]*(1-V63)+vertraging[[#This Row],[q]]*V63*(1-V63)</f>
        <v>0.29200000000000004</v>
      </c>
      <c r="X63" s="126">
        <f>W63+vertraging[[#This Row],[p]]*(1-W63)+vertraging[[#This Row],[q]]*W63*(1-W63)</f>
        <v>0.40273120000000007</v>
      </c>
      <c r="Y63" s="126">
        <f>X63+vertraging[[#This Row],[p]]*(1-X63)+vertraging[[#This Row],[q]]*X63*(1-X63)</f>
        <v>0.52590537124595205</v>
      </c>
      <c r="Z63" s="126">
        <f>Y63+vertraging[[#This Row],[p]]*(1-Y63)+vertraging[[#This Row],[q]]*Y63*(1-Y63)</f>
        <v>0.64995574724807748</v>
      </c>
      <c r="AA63" s="126">
        <f>Z63+vertraging[[#This Row],[p]]*(1-Z63)+vertraging[[#This Row],[q]]*Z63*(1-Z63)</f>
        <v>0.76108782680714737</v>
      </c>
      <c r="AB63" s="126">
        <f>AA63+vertraging[[#This Row],[p]]*(1-AA63)+vertraging[[#This Row],[q]]*AA63*(1-AA63)</f>
        <v>0.8488855471488731</v>
      </c>
      <c r="AC63" s="126">
        <f>AB63+vertraging[[#This Row],[p]]*(1-AB63)+vertraging[[#This Row],[q]]*AB63*(1-AB63)</f>
        <v>0.91038890221593549</v>
      </c>
      <c r="AD63" s="126">
        <f>AC63+vertraging[[#This Row],[p]]*(1-AC63)+vertraging[[#This Row],[q]]*AC63*(1-AC63)</f>
        <v>0.94934060668263687</v>
      </c>
      <c r="AE63" s="126">
        <f>AD63+vertraging[[#This Row],[p]]*(1-AD63)+vertraging[[#This Row],[q]]*AD63*(1-AD63)</f>
        <v>0.9722489501493069</v>
      </c>
      <c r="AF63" s="126">
        <f>AE63+vertraging[[#This Row],[p]]*(1-AE63)+vertraging[[#This Row],[q]]*AE63*(1-AE63)</f>
        <v>0.98508414448286907</v>
      </c>
      <c r="AG63" s="126">
        <f>AF63+vertraging[[#This Row],[p]]*(1-AF63)+vertraging[[#This Row],[q]]*AF63*(1-AF63)</f>
        <v>0.99206905861789263</v>
      </c>
    </row>
    <row r="64" spans="1:33" x14ac:dyDescent="0.5">
      <c r="A64" s="30" t="str">
        <f>INDEX(Technologieën[Veld],MATCH(B64,Technologieën[Digitale zorgtoepassing],0))</f>
        <v>Digitale hulpmiddelen - Verpleging</v>
      </c>
      <c r="B64" s="30" t="s">
        <v>19</v>
      </c>
      <c r="C64" s="30" t="s">
        <v>24</v>
      </c>
      <c r="D64" s="30" t="str" cm="1">
        <f t="array" ref="D64">INDEX(Berekening_patiëntaantal[Direct toepasbaar/extrapolatie/incidentie voor QALY],MATCH(B64,IF(Berekening_patiëntaantal[Doelgroep (zoeksleutel)]=C64,Berekening_patiëntaantal[Digitale zorgtoepassing]),0))</f>
        <v>Huidige toepassing</v>
      </c>
      <c r="E64" s="440" t="s">
        <v>812</v>
      </c>
      <c r="F64" s="30" t="str">
        <f>CONCATENATE(vertraging[[#This Row],[Digitale zorgtoepassing]],"_",vertraging[[#This Row],[Doelgroep]],"_",vertraging[[#This Row],[Uitgangssituatie/effect beleid]])</f>
        <v>Structuurrobot_Cognitieve beperking_Effect beleid</v>
      </c>
      <c r="G64" s="122" t="str">
        <f>INDEX(acceptatie_burgers[Impact afhankelijk van acceptatie burgers?],MATCH(B64,acceptatie_burgers[Digitale zorgtoepassing],0))</f>
        <v>Ja</v>
      </c>
      <c r="H64" s="441" cm="1">
        <f t="array" ref="H64">IF(vertraging[[#This Row],[Uitgangssituatie/effect beleid]]="Effect beleid",MAX(INDEX(aanname_implementatie[Coëfficient p],MATCH(B64,IF(aanname_implementatie[Doelgroep]=C64,aanname_implementatie[Digitale zorgtoepassing]),0))+SUMIFS(afslagen_beleid[Opslag p],afslagen_beleid[Impact afhankelijk van acceptatie burgers],vertraging[[#This Row],[Acceptatie burgers]]),0.01),INDEX(aanname_implementatie[Coëfficient p],MATCH(B64,IF(aanname_implementatie[Doelgroep]=C64,aanname_implementatie[Digitale zorgtoepassing]),0)))</f>
        <v>0.02</v>
      </c>
      <c r="I64" s="441" cm="1">
        <f t="array" ref="I64">IF(vertraging[[#This Row],[Uitgangssituatie/effect beleid]]="Effect beleid",MAX(INDEX(aanname_implementatie[Coëfficient q],MATCH(B64,IF(aanname_implementatie[Doelgroep]=C64,aanname_implementatie[Digitale zorgtoepassing]),0))+SUMIFS(afslagen_beleid[Opslag q],afslagen_beleid[Impact afhankelijk van acceptatie burgers],vertraging[[#This Row],[Acceptatie burgers]]),0.3),INDEX(aanname_implementatie[Coëfficient q],MATCH(B64,IF(aanname_implementatie[Doelgroep]=C64,aanname_implementatie[Digitale zorgtoepassing]),0)))</f>
        <v>0.4</v>
      </c>
      <c r="J64" s="17">
        <f>0</f>
        <v>0</v>
      </c>
      <c r="K64" s="17">
        <v>0</v>
      </c>
      <c r="L64" s="17">
        <v>0</v>
      </c>
      <c r="M64" s="17">
        <v>0</v>
      </c>
      <c r="N64" s="17">
        <v>0</v>
      </c>
      <c r="O64" s="17">
        <v>0</v>
      </c>
      <c r="P64" s="17">
        <v>0</v>
      </c>
      <c r="Q64" s="17">
        <v>0</v>
      </c>
      <c r="R64" s="17">
        <v>0</v>
      </c>
      <c r="S64" s="17">
        <v>0</v>
      </c>
      <c r="T64" s="17">
        <v>0</v>
      </c>
      <c r="U64" s="17">
        <v>0</v>
      </c>
      <c r="V64" s="124" cm="1">
        <f t="array" ref="V64">INDEX(aanname_implementatie[Huidige implementatiegraad],MATCH(B64,IF(aanname_implementatie[Doelgroep]=C64,aanname_implementatie[Digitale zorgtoepassing]),0))</f>
        <v>0.2</v>
      </c>
      <c r="W64" s="126">
        <f>V64+vertraging[[#This Row],[p]]*(1-V64)+vertraging[[#This Row],[q]]*V64*(1-V64)</f>
        <v>0.28000000000000003</v>
      </c>
      <c r="X64" s="126">
        <f>W64+vertraging[[#This Row],[p]]*(1-W64)+vertraging[[#This Row],[q]]*W64*(1-W64)</f>
        <v>0.37504000000000004</v>
      </c>
      <c r="Y64" s="126">
        <f>X64+vertraging[[#This Row],[p]]*(1-X64)+vertraging[[#This Row],[q]]*X64*(1-X64)</f>
        <v>0.48129319936000003</v>
      </c>
      <c r="Z64" s="126">
        <f>Y64+vertraging[[#This Row],[p]]*(1-Y64)+vertraging[[#This Row],[q]]*Y64*(1-Y64)</f>
        <v>0.59152735761672615</v>
      </c>
      <c r="AA64" s="126">
        <f>Z64+vertraging[[#This Row],[p]]*(1-Z64)+vertraging[[#This Row],[q]]*Z64*(1-Z64)</f>
        <v>0.69634590758747161</v>
      </c>
      <c r="AB64" s="126">
        <f>AA64+vertraging[[#This Row],[p]]*(1-AA64)+vertraging[[#This Row],[q]]*AA64*(1-AA64)</f>
        <v>0.78699830326518305</v>
      </c>
      <c r="AC64" s="126">
        <f>AB64+vertraging[[#This Row],[p]]*(1-AB64)+vertraging[[#This Row],[q]]*AB64*(1-AB64)</f>
        <v>0.85831112676904175</v>
      </c>
      <c r="AD64" s="126">
        <f>AC64+vertraging[[#This Row],[p]]*(1-AC64)+vertraging[[#This Row],[q]]*AC64*(1-AC64)</f>
        <v>0.90979015880706082</v>
      </c>
      <c r="AE64" s="126">
        <f>AD64+vertraging[[#This Row],[p]]*(1-AD64)+vertraging[[#This Row],[q]]*AD64*(1-AD64)</f>
        <v>0.94442316592887321</v>
      </c>
      <c r="AF64" s="126">
        <f>AE64+vertraging[[#This Row],[p]]*(1-AE64)+vertraging[[#This Row],[q]]*AE64*(1-AE64)</f>
        <v>0.96652992244459857</v>
      </c>
      <c r="AG64" s="126">
        <f>AF64+vertraging[[#This Row],[p]]*(1-AF64)+vertraging[[#This Row],[q]]*AF64*(1-AF64)</f>
        <v>0.98013925658124135</v>
      </c>
    </row>
    <row r="65" spans="1:33" x14ac:dyDescent="0.5">
      <c r="A65" s="30" t="str">
        <f>INDEX(Technologieën[Veld],MATCH(B65,Technologieën[Digitale zorgtoepassing],0))</f>
        <v>Digitale hulpmiddelen - Verpleging</v>
      </c>
      <c r="B65" s="30" t="s">
        <v>19</v>
      </c>
      <c r="C65" s="30" t="s">
        <v>20</v>
      </c>
      <c r="D65" s="30" t="str" cm="1">
        <f t="array" ref="D65">INDEX(Berekening_patiëntaantal[Direct toepasbaar/extrapolatie/incidentie voor QALY],MATCH(B65,IF(Berekening_patiëntaantal[Doelgroep (zoeksleutel)]=C65,Berekening_patiëntaantal[Digitale zorgtoepassing]),0))</f>
        <v>Huidige toepassing</v>
      </c>
      <c r="E65" s="440" t="s">
        <v>812</v>
      </c>
      <c r="F65" s="30" t="str">
        <f>CONCATENATE(vertraging[[#This Row],[Digitale zorgtoepassing]],"_",vertraging[[#This Row],[Doelgroep]],"_",vertraging[[#This Row],[Uitgangssituatie/effect beleid]])</f>
        <v>Structuurrobot_Dementie_Effect beleid</v>
      </c>
      <c r="G65" s="122" t="str">
        <f>INDEX(acceptatie_burgers[Impact afhankelijk van acceptatie burgers?],MATCH(B65,acceptatie_burgers[Digitale zorgtoepassing],0))</f>
        <v>Ja</v>
      </c>
      <c r="H65" s="441" cm="1">
        <f t="array" ref="H65">IF(vertraging[[#This Row],[Uitgangssituatie/effect beleid]]="Effect beleid",MAX(INDEX(aanname_implementatie[Coëfficient p],MATCH(B65,IF(aanname_implementatie[Doelgroep]=C65,aanname_implementatie[Digitale zorgtoepassing]),0))+SUMIFS(afslagen_beleid[Opslag p],afslagen_beleid[Impact afhankelijk van acceptatie burgers],vertraging[[#This Row],[Acceptatie burgers]]),0.01),INDEX(aanname_implementatie[Coëfficient p],MATCH(B65,IF(aanname_implementatie[Doelgroep]=C65,aanname_implementatie[Digitale zorgtoepassing]),0)))</f>
        <v>0.02</v>
      </c>
      <c r="I65" s="441" cm="1">
        <f t="array" ref="I65">IF(vertraging[[#This Row],[Uitgangssituatie/effect beleid]]="Effect beleid",MAX(INDEX(aanname_implementatie[Coëfficient q],MATCH(B65,IF(aanname_implementatie[Doelgroep]=C65,aanname_implementatie[Digitale zorgtoepassing]),0))+SUMIFS(afslagen_beleid[Opslag q],afslagen_beleid[Impact afhankelijk van acceptatie burgers],vertraging[[#This Row],[Acceptatie burgers]]),0.3),INDEX(aanname_implementatie[Coëfficient q],MATCH(B65,IF(aanname_implementatie[Doelgroep]=C65,aanname_implementatie[Digitale zorgtoepassing]),0)))</f>
        <v>0.4</v>
      </c>
      <c r="J65" s="17">
        <f>0</f>
        <v>0</v>
      </c>
      <c r="K65" s="17">
        <v>0</v>
      </c>
      <c r="L65" s="17">
        <v>0</v>
      </c>
      <c r="M65" s="17">
        <v>0</v>
      </c>
      <c r="N65" s="17">
        <v>0</v>
      </c>
      <c r="O65" s="17">
        <v>0</v>
      </c>
      <c r="P65" s="17">
        <v>0</v>
      </c>
      <c r="Q65" s="17">
        <v>0</v>
      </c>
      <c r="R65" s="17">
        <v>0</v>
      </c>
      <c r="S65" s="17">
        <v>0</v>
      </c>
      <c r="T65" s="17">
        <v>0</v>
      </c>
      <c r="U65" s="17">
        <v>0</v>
      </c>
      <c r="V65" s="124" cm="1">
        <f t="array" ref="V65">INDEX(aanname_implementatie[Huidige implementatiegraad],MATCH(B65,IF(aanname_implementatie[Doelgroep]=C65,aanname_implementatie[Digitale zorgtoepassing]),0))</f>
        <v>0.2</v>
      </c>
      <c r="W65" s="126">
        <f>V65+vertraging[[#This Row],[p]]*(1-V65)+vertraging[[#This Row],[q]]*V65*(1-V65)</f>
        <v>0.28000000000000003</v>
      </c>
      <c r="X65" s="126">
        <f>W65+vertraging[[#This Row],[p]]*(1-W65)+vertraging[[#This Row],[q]]*W65*(1-W65)</f>
        <v>0.37504000000000004</v>
      </c>
      <c r="Y65" s="126">
        <f>X65+vertraging[[#This Row],[p]]*(1-X65)+vertraging[[#This Row],[q]]*X65*(1-X65)</f>
        <v>0.48129319936000003</v>
      </c>
      <c r="Z65" s="126">
        <f>Y65+vertraging[[#This Row],[p]]*(1-Y65)+vertraging[[#This Row],[q]]*Y65*(1-Y65)</f>
        <v>0.59152735761672615</v>
      </c>
      <c r="AA65" s="126">
        <f>Z65+vertraging[[#This Row],[p]]*(1-Z65)+vertraging[[#This Row],[q]]*Z65*(1-Z65)</f>
        <v>0.69634590758747161</v>
      </c>
      <c r="AB65" s="126">
        <f>AA65+vertraging[[#This Row],[p]]*(1-AA65)+vertraging[[#This Row],[q]]*AA65*(1-AA65)</f>
        <v>0.78699830326518305</v>
      </c>
      <c r="AC65" s="126">
        <f>AB65+vertraging[[#This Row],[p]]*(1-AB65)+vertraging[[#This Row],[q]]*AB65*(1-AB65)</f>
        <v>0.85831112676904175</v>
      </c>
      <c r="AD65" s="126">
        <f>AC65+vertraging[[#This Row],[p]]*(1-AC65)+vertraging[[#This Row],[q]]*AC65*(1-AC65)</f>
        <v>0.90979015880706082</v>
      </c>
      <c r="AE65" s="126">
        <f>AD65+vertraging[[#This Row],[p]]*(1-AD65)+vertraging[[#This Row],[q]]*AD65*(1-AD65)</f>
        <v>0.94442316592887321</v>
      </c>
      <c r="AF65" s="126">
        <f>AE65+vertraging[[#This Row],[p]]*(1-AE65)+vertraging[[#This Row],[q]]*AE65*(1-AE65)</f>
        <v>0.96652992244459857</v>
      </c>
      <c r="AG65" s="126">
        <f>AF65+vertraging[[#This Row],[p]]*(1-AF65)+vertraging[[#This Row],[q]]*AF65*(1-AF65)</f>
        <v>0.98013925658124135</v>
      </c>
    </row>
    <row r="66" spans="1:33" x14ac:dyDescent="0.5">
      <c r="A66" s="30" t="str">
        <f>INDEX(Technologieën[Veld],MATCH(B66,Technologieën[Digitale zorgtoepassing],0))</f>
        <v>Digitale hulpmiddelen - Verpleging</v>
      </c>
      <c r="B66" s="30" t="s">
        <v>19</v>
      </c>
      <c r="C66" s="30" t="s">
        <v>27</v>
      </c>
      <c r="D66" s="30" t="str" cm="1">
        <f t="array" ref="D66">INDEX(Berekening_patiëntaantal[Direct toepasbaar/extrapolatie/incidentie voor QALY],MATCH(B66,IF(Berekening_patiëntaantal[Doelgroep (zoeksleutel)]=C66,Berekening_patiëntaantal[Digitale zorgtoepassing]),0))</f>
        <v>Extrapolatie</v>
      </c>
      <c r="E66" s="440" t="s">
        <v>812</v>
      </c>
      <c r="F66" s="30" t="str">
        <f>CONCATENATE(vertraging[[#This Row],[Digitale zorgtoepassing]],"_",vertraging[[#This Row],[Doelgroep]],"_",vertraging[[#This Row],[Uitgangssituatie/effect beleid]])</f>
        <v>Structuurrobot_Parkinson_Effect beleid</v>
      </c>
      <c r="G66" s="122" t="str">
        <f>INDEX(acceptatie_burgers[Impact afhankelijk van acceptatie burgers?],MATCH(B66,acceptatie_burgers[Digitale zorgtoepassing],0))</f>
        <v>Ja</v>
      </c>
      <c r="H66" s="441" cm="1">
        <f t="array" ref="H66">IF(vertraging[[#This Row],[Uitgangssituatie/effect beleid]]="Effect beleid",MAX(INDEX(aanname_implementatie[Coëfficient p],MATCH(B66,IF(aanname_implementatie[Doelgroep]=C66,aanname_implementatie[Digitale zorgtoepassing]),0))+SUMIFS(afslagen_beleid[Opslag p],afslagen_beleid[Impact afhankelijk van acceptatie burgers],vertraging[[#This Row],[Acceptatie burgers]]),0.01),INDEX(aanname_implementatie[Coëfficient p],MATCH(B66,IF(aanname_implementatie[Doelgroep]=C66,aanname_implementatie[Digitale zorgtoepassing]),0)))</f>
        <v>0.02</v>
      </c>
      <c r="I66" s="441" cm="1">
        <f t="array" ref="I66">IF(vertraging[[#This Row],[Uitgangssituatie/effect beleid]]="Effect beleid",MAX(INDEX(aanname_implementatie[Coëfficient q],MATCH(B66,IF(aanname_implementatie[Doelgroep]=C66,aanname_implementatie[Digitale zorgtoepassing]),0))+SUMIFS(afslagen_beleid[Opslag q],afslagen_beleid[Impact afhankelijk van acceptatie burgers],vertraging[[#This Row],[Acceptatie burgers]]),0.3),INDEX(aanname_implementatie[Coëfficient q],MATCH(B66,IF(aanname_implementatie[Doelgroep]=C66,aanname_implementatie[Digitale zorgtoepassing]),0)))</f>
        <v>0.4</v>
      </c>
      <c r="J66" s="17">
        <f>0</f>
        <v>0</v>
      </c>
      <c r="K66" s="17">
        <v>0</v>
      </c>
      <c r="L66" s="17">
        <v>0</v>
      </c>
      <c r="M66" s="17">
        <v>0</v>
      </c>
      <c r="N66" s="17">
        <v>0</v>
      </c>
      <c r="O66" s="17">
        <v>0</v>
      </c>
      <c r="P66" s="17">
        <v>0</v>
      </c>
      <c r="Q66" s="17">
        <v>0</v>
      </c>
      <c r="R66" s="17">
        <v>0</v>
      </c>
      <c r="S66" s="17">
        <v>0</v>
      </c>
      <c r="T66" s="17">
        <v>0</v>
      </c>
      <c r="U66" s="17">
        <v>0</v>
      </c>
      <c r="V66" s="124" cm="1">
        <f t="array" ref="V66">INDEX(aanname_implementatie[Huidige implementatiegraad],MATCH(B66,IF(aanname_implementatie[Doelgroep]=C66,aanname_implementatie[Digitale zorgtoepassing]),0))</f>
        <v>0</v>
      </c>
      <c r="W66" s="126">
        <f>V66+vertraging[[#This Row],[p]]*(1-V66)+vertraging[[#This Row],[q]]*V66*(1-V66)</f>
        <v>0.02</v>
      </c>
      <c r="X66" s="126">
        <f>W66+vertraging[[#This Row],[p]]*(1-W66)+vertraging[[#This Row],[q]]*W66*(1-W66)</f>
        <v>4.7439999999999996E-2</v>
      </c>
      <c r="Y66" s="126">
        <f>X66+vertraging[[#This Row],[p]]*(1-X66)+vertraging[[#This Row],[q]]*X66*(1-X66)</f>
        <v>8.4566978560000006E-2</v>
      </c>
      <c r="Z66" s="126">
        <f>Y66+vertraging[[#This Row],[p]]*(1-Y66)+vertraging[[#This Row],[q]]*Y66*(1-Y66)</f>
        <v>0.13384180086769301</v>
      </c>
      <c r="AA66" s="126">
        <f>Z66+vertraging[[#This Row],[p]]*(1-Z66)+vertraging[[#This Row],[q]]*Z66*(1-Z66)</f>
        <v>0.19753623413361349</v>
      </c>
      <c r="AB66" s="126">
        <f>AA66+vertraging[[#This Row],[p]]*(1-AA66)+vertraging[[#This Row],[q]]*AA66*(1-AA66)</f>
        <v>0.27699177758611071</v>
      </c>
      <c r="AC66" s="126">
        <f>AB66+vertraging[[#This Row],[p]]*(1-AB66)+vertraging[[#This Row],[q]]*AB66*(1-AB66)</f>
        <v>0.37155887512870744</v>
      </c>
      <c r="AD66" s="126">
        <f>AC66+vertraging[[#This Row],[p]]*(1-AC66)+vertraging[[#This Row],[q]]*AC66*(1-AC66)</f>
        <v>0.47752884860285211</v>
      </c>
      <c r="AE66" s="126">
        <f>AD66+vertraging[[#This Row],[p]]*(1-AD66)+vertraging[[#This Row],[q]]*AD66*(1-AD66)</f>
        <v>0.5877762905727496</v>
      </c>
      <c r="AF66" s="126">
        <f>AE66+vertraging[[#This Row],[p]]*(1-AE66)+vertraging[[#This Row],[q]]*AE66*(1-AE66)</f>
        <v>0.6929388938866099</v>
      </c>
      <c r="AG66" s="126">
        <f>AF66+vertraging[[#This Row],[p]]*(1-AF66)+vertraging[[#This Row],[q]]*AF66*(1-AF66)</f>
        <v>0.78418994929920227</v>
      </c>
    </row>
    <row r="67" spans="1:33" x14ac:dyDescent="0.5">
      <c r="A67" s="30" t="str">
        <f>INDEX(Technologieën[Veld],MATCH(B67,Technologieën[Digitale zorgtoepassing],0))</f>
        <v>Software - Diagnose</v>
      </c>
      <c r="B67" s="30" t="s">
        <v>56</v>
      </c>
      <c r="C67" s="30" t="s">
        <v>57</v>
      </c>
      <c r="D67" s="30" t="str" cm="1">
        <f t="array" ref="D67">INDEX(Berekening_patiëntaantal[Direct toepasbaar/extrapolatie/incidentie voor QALY],MATCH(B67,IF(Berekening_patiëntaantal[Doelgroep (zoeksleutel)]=C67,Berekening_patiëntaantal[Digitale zorgtoepassing]),0))</f>
        <v>Huidige toepassing</v>
      </c>
      <c r="E67" s="440" t="s">
        <v>812</v>
      </c>
      <c r="F67" s="30" t="str">
        <f>CONCATENATE(vertraging[[#This Row],[Digitale zorgtoepassing]],"_",vertraging[[#This Row],[Doelgroep]],"_",vertraging[[#This Row],[Uitgangssituatie/effect beleid]])</f>
        <v>Virtual cockpit_MRI-scans_Effect beleid</v>
      </c>
      <c r="G67" s="122" t="str">
        <f>INDEX(acceptatie_burgers[Impact afhankelijk van acceptatie burgers?],MATCH(B67,acceptatie_burgers[Digitale zorgtoepassing],0))</f>
        <v>Nee</v>
      </c>
      <c r="H67" s="441" cm="1">
        <f t="array" ref="H67">IF(vertraging[[#This Row],[Uitgangssituatie/effect beleid]]="Effect beleid",MAX(INDEX(aanname_implementatie[Coëfficient p],MATCH(B67,IF(aanname_implementatie[Doelgroep]=C67,aanname_implementatie[Digitale zorgtoepassing]),0))+SUMIFS(afslagen_beleid[Opslag p],afslagen_beleid[Impact afhankelijk van acceptatie burgers],vertraging[[#This Row],[Acceptatie burgers]]),0.01),INDEX(aanname_implementatie[Coëfficient p],MATCH(B67,IF(aanname_implementatie[Doelgroep]=C67,aanname_implementatie[Digitale zorgtoepassing]),0)))</f>
        <v>2.5000000000000001E-2</v>
      </c>
      <c r="I67" s="441" cm="1">
        <f t="array" ref="I67">IF(vertraging[[#This Row],[Uitgangssituatie/effect beleid]]="Effect beleid",MAX(INDEX(aanname_implementatie[Coëfficient q],MATCH(B67,IF(aanname_implementatie[Doelgroep]=C67,aanname_implementatie[Digitale zorgtoepassing]),0))+SUMIFS(afslagen_beleid[Opslag q],afslagen_beleid[Impact afhankelijk van acceptatie burgers],vertraging[[#This Row],[Acceptatie burgers]]),0.3),INDEX(aanname_implementatie[Coëfficient q],MATCH(B67,IF(aanname_implementatie[Doelgroep]=C67,aanname_implementatie[Digitale zorgtoepassing]),0)))</f>
        <v>0.45</v>
      </c>
      <c r="J67" s="17">
        <f>0</f>
        <v>0</v>
      </c>
      <c r="K67" s="17">
        <v>0</v>
      </c>
      <c r="L67" s="17">
        <v>0</v>
      </c>
      <c r="M67" s="17">
        <v>0</v>
      </c>
      <c r="N67" s="17">
        <v>0</v>
      </c>
      <c r="O67" s="17">
        <v>0</v>
      </c>
      <c r="P67" s="17">
        <v>0</v>
      </c>
      <c r="Q67" s="17">
        <v>0</v>
      </c>
      <c r="R67" s="17">
        <v>0</v>
      </c>
      <c r="S67" s="17">
        <v>0</v>
      </c>
      <c r="T67" s="17">
        <v>0</v>
      </c>
      <c r="U67" s="17">
        <v>0</v>
      </c>
      <c r="V67" s="124" cm="1">
        <f t="array" ref="V67">INDEX(aanname_implementatie[Huidige implementatiegraad],MATCH(B67,IF(aanname_implementatie[Doelgroep]=C67,aanname_implementatie[Digitale zorgtoepassing]),0))</f>
        <v>0.2</v>
      </c>
      <c r="W67" s="126">
        <f>V67+vertraging[[#This Row],[p]]*(1-V67)+vertraging[[#This Row],[q]]*V67*(1-V67)</f>
        <v>0.29200000000000004</v>
      </c>
      <c r="X67" s="126">
        <f>W67+vertraging[[#This Row],[p]]*(1-W67)+vertraging[[#This Row],[q]]*W67*(1-W67)</f>
        <v>0.40273120000000007</v>
      </c>
      <c r="Y67" s="126">
        <f>X67+vertraging[[#This Row],[p]]*(1-X67)+vertraging[[#This Row],[q]]*X67*(1-X67)</f>
        <v>0.52590537124595205</v>
      </c>
      <c r="Z67" s="126">
        <f>Y67+vertraging[[#This Row],[p]]*(1-Y67)+vertraging[[#This Row],[q]]*Y67*(1-Y67)</f>
        <v>0.64995574724807748</v>
      </c>
      <c r="AA67" s="126">
        <f>Z67+vertraging[[#This Row],[p]]*(1-Z67)+vertraging[[#This Row],[q]]*Z67*(1-Z67)</f>
        <v>0.76108782680714737</v>
      </c>
      <c r="AB67" s="126">
        <f>AA67+vertraging[[#This Row],[p]]*(1-AA67)+vertraging[[#This Row],[q]]*AA67*(1-AA67)</f>
        <v>0.8488855471488731</v>
      </c>
      <c r="AC67" s="126">
        <f>AB67+vertraging[[#This Row],[p]]*(1-AB67)+vertraging[[#This Row],[q]]*AB67*(1-AB67)</f>
        <v>0.91038890221593549</v>
      </c>
      <c r="AD67" s="126">
        <f>AC67+vertraging[[#This Row],[p]]*(1-AC67)+vertraging[[#This Row],[q]]*AC67*(1-AC67)</f>
        <v>0.94934060668263687</v>
      </c>
      <c r="AE67" s="126">
        <f>AD67+vertraging[[#This Row],[p]]*(1-AD67)+vertraging[[#This Row],[q]]*AD67*(1-AD67)</f>
        <v>0.9722489501493069</v>
      </c>
      <c r="AF67" s="126">
        <f>AE67+vertraging[[#This Row],[p]]*(1-AE67)+vertraging[[#This Row],[q]]*AE67*(1-AE67)</f>
        <v>0.98508414448286907</v>
      </c>
      <c r="AG67" s="126">
        <f>AF67+vertraging[[#This Row],[p]]*(1-AF67)+vertraging[[#This Row],[q]]*AF67*(1-AF67)</f>
        <v>0.99206905861789263</v>
      </c>
    </row>
    <row r="68" spans="1:33" x14ac:dyDescent="0.5">
      <c r="A68" s="30" t="str">
        <f>INDEX(Technologieën[Veld],MATCH(B68,Technologieën[Digitale zorgtoepassing],0))</f>
        <v>Digitale hulpmiddelen - Verpleging</v>
      </c>
      <c r="B68" s="30" t="s">
        <v>85</v>
      </c>
      <c r="C68" s="30" t="s">
        <v>86</v>
      </c>
      <c r="D68" s="30" t="str" cm="1">
        <f t="array" ref="D68">INDEX(Berekening_patiëntaantal[Direct toepasbaar/extrapolatie/incidentie voor QALY],MATCH(B68,IF(Berekening_patiëntaantal[Doelgroep (zoeksleutel)]=C68,Berekening_patiëntaantal[Digitale zorgtoepassing]),0))</f>
        <v>Huidige toepassing</v>
      </c>
      <c r="E68" s="440" t="s">
        <v>812</v>
      </c>
      <c r="F68" s="30" t="str">
        <f>CONCATENATE(vertraging[[#This Row],[Digitale zorgtoepassing]],"_",vertraging[[#This Row],[Doelgroep]],"_",vertraging[[#This Row],[Uitgangssituatie/effect beleid]])</f>
        <v>Zorg op afstand met tablet_Patiënten die thuiszorg krijgen_Effect beleid</v>
      </c>
      <c r="G68" s="122" t="str">
        <f>INDEX(acceptatie_burgers[Impact afhankelijk van acceptatie burgers?],MATCH(B68,acceptatie_burgers[Digitale zorgtoepassing],0))</f>
        <v>Ja</v>
      </c>
      <c r="H68" s="441" cm="1">
        <f t="array" ref="H68">IF(vertraging[[#This Row],[Uitgangssituatie/effect beleid]]="Effect beleid",MAX(INDEX(aanname_implementatie[Coëfficient p],MATCH(B68,IF(aanname_implementatie[Doelgroep]=C68,aanname_implementatie[Digitale zorgtoepassing]),0))+SUMIFS(afslagen_beleid[Opslag p],afslagen_beleid[Impact afhankelijk van acceptatie burgers],vertraging[[#This Row],[Acceptatie burgers]]),0.01),INDEX(aanname_implementatie[Coëfficient p],MATCH(B68,IF(aanname_implementatie[Doelgroep]=C68,aanname_implementatie[Digitale zorgtoepassing]),0)))</f>
        <v>2.5000000000000001E-2</v>
      </c>
      <c r="I68" s="441" cm="1">
        <f t="array" ref="I68">IF(vertraging[[#This Row],[Uitgangssituatie/effect beleid]]="Effect beleid",MAX(INDEX(aanname_implementatie[Coëfficient q],MATCH(B68,IF(aanname_implementatie[Doelgroep]=C68,aanname_implementatie[Digitale zorgtoepassing]),0))+SUMIFS(afslagen_beleid[Opslag q],afslagen_beleid[Impact afhankelijk van acceptatie burgers],vertraging[[#This Row],[Acceptatie burgers]]),0.3),INDEX(aanname_implementatie[Coëfficient q],MATCH(B68,IF(aanname_implementatie[Doelgroep]=C68,aanname_implementatie[Digitale zorgtoepassing]),0)))</f>
        <v>0.45</v>
      </c>
      <c r="J68" s="17">
        <f>0</f>
        <v>0</v>
      </c>
      <c r="K68" s="17">
        <v>0</v>
      </c>
      <c r="L68" s="17">
        <v>0</v>
      </c>
      <c r="M68" s="17">
        <v>0</v>
      </c>
      <c r="N68" s="17">
        <v>0</v>
      </c>
      <c r="O68" s="17">
        <v>0</v>
      </c>
      <c r="P68" s="17">
        <v>0</v>
      </c>
      <c r="Q68" s="17">
        <v>0</v>
      </c>
      <c r="R68" s="17">
        <v>0</v>
      </c>
      <c r="S68" s="17">
        <v>0</v>
      </c>
      <c r="T68" s="17">
        <v>0</v>
      </c>
      <c r="U68" s="17">
        <v>0</v>
      </c>
      <c r="V68" s="124" cm="1">
        <f t="array" ref="V68">INDEX(aanname_implementatie[Huidige implementatiegraad],MATCH(B68,IF(aanname_implementatie[Doelgroep]=C68,aanname_implementatie[Digitale zorgtoepassing]),0))</f>
        <v>0.4</v>
      </c>
      <c r="W68" s="126">
        <f>V68+vertraging[[#This Row],[p]]*(1-V68)+vertraging[[#This Row],[q]]*V68*(1-V68)</f>
        <v>0.52300000000000002</v>
      </c>
      <c r="X68" s="126">
        <f>W68+vertraging[[#This Row],[p]]*(1-W68)+vertraging[[#This Row],[q]]*W68*(1-W68)</f>
        <v>0.64718695000000004</v>
      </c>
      <c r="Y68" s="126">
        <f>X68+vertraging[[#This Row],[p]]*(1-X68)+vertraging[[#This Row],[q]]*X68*(1-X68)</f>
        <v>0.75875847703736388</v>
      </c>
      <c r="Z68" s="126">
        <f>Y68+vertraging[[#This Row],[p]]*(1-Y68)+vertraging[[#This Row],[q]]*Y68*(1-Y68)</f>
        <v>0.84715933786401665</v>
      </c>
      <c r="AA68" s="126">
        <f>Z68+vertraging[[#This Row],[p]]*(1-Z68)+vertraging[[#This Row],[q]]*Z68*(1-Z68)</f>
        <v>0.90924653177763415</v>
      </c>
      <c r="AB68" s="126">
        <f>AA68+vertraging[[#This Row],[p]]*(1-AA68)+vertraging[[#This Row],[q]]*AA68*(1-AA68)</f>
        <v>0.94864814278578335</v>
      </c>
      <c r="AC68" s="126">
        <f>AB68+vertraging[[#This Row],[p]]*(1-AB68)+vertraging[[#This Row],[q]]*AB68*(1-AB68)</f>
        <v>0.97185361900482903</v>
      </c>
      <c r="AD68" s="126">
        <f>AC68+vertraging[[#This Row],[p]]*(1-AC68)+vertraging[[#This Row],[q]]*AC68*(1-AC68)</f>
        <v>0.98486665153412889</v>
      </c>
      <c r="AE68" s="126">
        <f>AD68+vertraging[[#This Row],[p]]*(1-AD68)+vertraging[[#This Row],[q]]*AD68*(1-AD68)</f>
        <v>0.99195193384931235</v>
      </c>
      <c r="AF68" s="126">
        <f>AE68+vertraging[[#This Row],[p]]*(1-AE68)+vertraging[[#This Row],[q]]*AE68*(1-AE68)</f>
        <v>0.99574561815494433</v>
      </c>
      <c r="AG68" s="126">
        <f>AF68+vertraging[[#This Row],[p]]*(1-AF68)+vertraging[[#This Row],[q]]*AF68*(1-AF68)</f>
        <v>0.99775830463714821</v>
      </c>
    </row>
    <row r="69" spans="1:33" x14ac:dyDescent="0.5">
      <c r="A69" s="30" t="str">
        <f>INDEX(Technologieën[Veld],MATCH(B69,Technologieën[Digitale zorgtoepassing],0))</f>
        <v>Sensoren - Behandeling</v>
      </c>
      <c r="B69" s="30" t="s">
        <v>593</v>
      </c>
      <c r="C69" s="30" t="s">
        <v>308</v>
      </c>
      <c r="D69" s="30" t="str" cm="1">
        <f t="array" ref="D69">INDEX(Berekening_patiëntaantal[Direct toepasbaar/extrapolatie/incidentie voor QALY],MATCH(B69,IF(Berekening_patiëntaantal[Doelgroep (zoeksleutel)]=C69,Berekening_patiëntaantal[Digitale zorgtoepassing]),0))</f>
        <v>Huidige toepassing</v>
      </c>
      <c r="E69" s="440" t="s">
        <v>813</v>
      </c>
      <c r="F69" s="30" t="str">
        <f>CONCATENATE(vertraging[[#This Row],[Digitale zorgtoepassing]],"_",vertraging[[#This Row],[Doelgroep]],"_",vertraging[[#This Row],[Uitgangssituatie/effect beleid]])</f>
        <v>(Zelf)monitoring hypertensie zwangeren_Zwangeren met hoge bloeddruk_Uitgangssituatie</v>
      </c>
      <c r="G69" s="122" t="str">
        <f>INDEX(acceptatie_burgers[Impact afhankelijk van acceptatie burgers?],MATCH(B69,acceptatie_burgers[Digitale zorgtoepassing],0))</f>
        <v>Ja</v>
      </c>
      <c r="H69" s="441" cm="1">
        <f t="array" ref="H69">IF(vertraging[[#This Row],[Uitgangssituatie/effect beleid]]="Effect beleid",MAX(INDEX(aanname_implementatie[Coëfficient p],MATCH(B69,IF(aanname_implementatie[Doelgroep]=C69,aanname_implementatie[Digitale zorgtoepassing]),0))+SUMIFS(afslagen_beleid[Opslag p],afslagen_beleid[Impact afhankelijk van acceptatie burgers],vertraging[[#This Row],[Acceptatie burgers]]),0.01),INDEX(aanname_implementatie[Coëfficient p],MATCH(B69,IF(aanname_implementatie[Doelgroep]=C69,aanname_implementatie[Digitale zorgtoepassing]),0)))</f>
        <v>0.02</v>
      </c>
      <c r="I69" s="441" cm="1">
        <f t="array" ref="I69">IF(vertraging[[#This Row],[Uitgangssituatie/effect beleid]]="Effect beleid",MAX(INDEX(aanname_implementatie[Coëfficient q],MATCH(B69,IF(aanname_implementatie[Doelgroep]=C69,aanname_implementatie[Digitale zorgtoepassing]),0))+SUMIFS(afslagen_beleid[Opslag q],afslagen_beleid[Impact afhankelijk van acceptatie burgers],vertraging[[#This Row],[Acceptatie burgers]]),0.3),INDEX(aanname_implementatie[Coëfficient q],MATCH(B69,IF(aanname_implementatie[Doelgroep]=C69,aanname_implementatie[Digitale zorgtoepassing]),0)))</f>
        <v>0.4</v>
      </c>
      <c r="J69" s="17">
        <f>0</f>
        <v>0</v>
      </c>
      <c r="K69" s="17">
        <v>0</v>
      </c>
      <c r="L69" s="17">
        <v>0</v>
      </c>
      <c r="M69" s="17">
        <v>0</v>
      </c>
      <c r="N69" s="17">
        <v>0</v>
      </c>
      <c r="O69" s="17">
        <v>0</v>
      </c>
      <c r="P69" s="17">
        <v>0</v>
      </c>
      <c r="Q69" s="17">
        <v>0</v>
      </c>
      <c r="R69" s="17">
        <v>0</v>
      </c>
      <c r="S69" s="17">
        <v>0</v>
      </c>
      <c r="T69" s="17">
        <v>0</v>
      </c>
      <c r="U69" s="17">
        <v>0</v>
      </c>
      <c r="V69" s="124" cm="1">
        <f t="array" ref="V69">INDEX(aanname_implementatie[Huidige implementatiegraad],MATCH(B69,IF(aanname_implementatie[Doelgroep]=C69,aanname_implementatie[Digitale zorgtoepassing]),0))</f>
        <v>0.2</v>
      </c>
      <c r="W69" s="126">
        <f>V69+vertraging[[#This Row],[p]]*(1-V69)+vertraging[[#This Row],[q]]*V69*(1-V69)</f>
        <v>0.28000000000000003</v>
      </c>
      <c r="X69" s="126">
        <f>W69+vertraging[[#This Row],[p]]*(1-W69)+vertraging[[#This Row],[q]]*W69*(1-W69)</f>
        <v>0.37504000000000004</v>
      </c>
      <c r="Y69" s="126">
        <f>X69+vertraging[[#This Row],[p]]*(1-X69)+vertraging[[#This Row],[q]]*X69*(1-X69)</f>
        <v>0.48129319936000003</v>
      </c>
      <c r="Z69" s="126">
        <f>Y69+vertraging[[#This Row],[p]]*(1-Y69)+vertraging[[#This Row],[q]]*Y69*(1-Y69)</f>
        <v>0.59152735761672615</v>
      </c>
      <c r="AA69" s="126">
        <f>Z69+vertraging[[#This Row],[p]]*(1-Z69)+vertraging[[#This Row],[q]]*Z69*(1-Z69)</f>
        <v>0.69634590758747161</v>
      </c>
      <c r="AB69" s="126">
        <f>AA69+vertraging[[#This Row],[p]]*(1-AA69)+vertraging[[#This Row],[q]]*AA69*(1-AA69)</f>
        <v>0.78699830326518305</v>
      </c>
      <c r="AC69" s="126">
        <f>AB69+vertraging[[#This Row],[p]]*(1-AB69)+vertraging[[#This Row],[q]]*AB69*(1-AB69)</f>
        <v>0.85831112676904175</v>
      </c>
      <c r="AD69" s="126">
        <f>AC69+vertraging[[#This Row],[p]]*(1-AC69)+vertraging[[#This Row],[q]]*AC69*(1-AC69)</f>
        <v>0.90979015880706082</v>
      </c>
      <c r="AE69" s="126">
        <f>AD69+vertraging[[#This Row],[p]]*(1-AD69)+vertraging[[#This Row],[q]]*AD69*(1-AD69)</f>
        <v>0.94442316592887321</v>
      </c>
      <c r="AF69" s="126">
        <f>AE69+vertraging[[#This Row],[p]]*(1-AE69)+vertraging[[#This Row],[q]]*AE69*(1-AE69)</f>
        <v>0.96652992244459857</v>
      </c>
      <c r="AG69" s="126">
        <f>AF69+vertraging[[#This Row],[p]]*(1-AF69)+vertraging[[#This Row],[q]]*AF69*(1-AF69)</f>
        <v>0.98013925658124135</v>
      </c>
    </row>
    <row r="70" spans="1:33" x14ac:dyDescent="0.5">
      <c r="A70" s="30" t="str">
        <f>INDEX(Technologieën[Veld],MATCH(B70,Technologieën[Digitale zorgtoepassing],0))</f>
        <v>Software - Behandeling</v>
      </c>
      <c r="B70" s="30" t="s">
        <v>609</v>
      </c>
      <c r="C70" s="30" t="s">
        <v>270</v>
      </c>
      <c r="D70" s="30" t="str" cm="1">
        <f t="array" ref="D70">INDEX(Berekening_patiëntaantal[Direct toepasbaar/extrapolatie/incidentie voor QALY],MATCH(B70,IF(Berekening_patiëntaantal[Doelgroep (zoeksleutel)]=C70,Berekening_patiëntaantal[Digitale zorgtoepassing]),0))</f>
        <v>Huidige toepassing</v>
      </c>
      <c r="E70" s="440" t="s">
        <v>813</v>
      </c>
      <c r="F70" s="30" t="str">
        <f>CONCATENATE(vertraging[[#This Row],[Digitale zorgtoepassing]],"_",vertraging[[#This Row],[Doelgroep]],"_",vertraging[[#This Row],[Uitgangssituatie/effect beleid]])</f>
        <v>(Zelf)zorgplatform + telebegeleiding_Astma_kinderen_Uitgangssituatie</v>
      </c>
      <c r="G70" s="122" t="str">
        <f>INDEX(acceptatie_burgers[Impact afhankelijk van acceptatie burgers?],MATCH(B70,acceptatie_burgers[Digitale zorgtoepassing],0))</f>
        <v>Ja</v>
      </c>
      <c r="H70" s="441" cm="1">
        <f t="array" ref="H70">IF(vertraging[[#This Row],[Uitgangssituatie/effect beleid]]="Effect beleid",MAX(INDEX(aanname_implementatie[Coëfficient p],MATCH(B70,IF(aanname_implementatie[Doelgroep]=C70,aanname_implementatie[Digitale zorgtoepassing]),0))+SUMIFS(afslagen_beleid[Opslag p],afslagen_beleid[Impact afhankelijk van acceptatie burgers],vertraging[[#This Row],[Acceptatie burgers]]),0.01),INDEX(aanname_implementatie[Coëfficient p],MATCH(B70,IF(aanname_implementatie[Doelgroep]=C70,aanname_implementatie[Digitale zorgtoepassing]),0)))</f>
        <v>2.5000000000000001E-2</v>
      </c>
      <c r="I70" s="441" cm="1">
        <f t="array" ref="I70">IF(vertraging[[#This Row],[Uitgangssituatie/effect beleid]]="Effect beleid",MAX(INDEX(aanname_implementatie[Coëfficient q],MATCH(B70,IF(aanname_implementatie[Doelgroep]=C70,aanname_implementatie[Digitale zorgtoepassing]),0))+SUMIFS(afslagen_beleid[Opslag q],afslagen_beleid[Impact afhankelijk van acceptatie burgers],vertraging[[#This Row],[Acceptatie burgers]]),0.3),INDEX(aanname_implementatie[Coëfficient q],MATCH(B70,IF(aanname_implementatie[Doelgroep]=C70,aanname_implementatie[Digitale zorgtoepassing]),0)))</f>
        <v>0.45</v>
      </c>
      <c r="J70" s="17">
        <f>0</f>
        <v>0</v>
      </c>
      <c r="K70" s="17">
        <v>0</v>
      </c>
      <c r="L70" s="17">
        <v>0</v>
      </c>
      <c r="M70" s="17">
        <v>0</v>
      </c>
      <c r="N70" s="17">
        <v>0</v>
      </c>
      <c r="O70" s="17">
        <v>0</v>
      </c>
      <c r="P70" s="17">
        <v>0</v>
      </c>
      <c r="Q70" s="17">
        <v>0</v>
      </c>
      <c r="R70" s="17">
        <v>0</v>
      </c>
      <c r="S70" s="17">
        <v>0</v>
      </c>
      <c r="T70" s="17">
        <v>0</v>
      </c>
      <c r="U70" s="17">
        <v>0</v>
      </c>
      <c r="V70" s="124" cm="1">
        <f t="array" ref="V70">INDEX(aanname_implementatie[Huidige implementatiegraad],MATCH(B70,IF(aanname_implementatie[Doelgroep]=C70,aanname_implementatie[Digitale zorgtoepassing]),0))</f>
        <v>0.2</v>
      </c>
      <c r="W70" s="126">
        <f>V70+vertraging[[#This Row],[p]]*(1-V70)+vertraging[[#This Row],[q]]*V70*(1-V70)</f>
        <v>0.29200000000000004</v>
      </c>
      <c r="X70" s="126">
        <f>W70+vertraging[[#This Row],[p]]*(1-W70)+vertraging[[#This Row],[q]]*W70*(1-W70)</f>
        <v>0.40273120000000007</v>
      </c>
      <c r="Y70" s="126">
        <f>X70+vertraging[[#This Row],[p]]*(1-X70)+vertraging[[#This Row],[q]]*X70*(1-X70)</f>
        <v>0.52590537124595205</v>
      </c>
      <c r="Z70" s="126">
        <f>Y70+vertraging[[#This Row],[p]]*(1-Y70)+vertraging[[#This Row],[q]]*Y70*(1-Y70)</f>
        <v>0.64995574724807748</v>
      </c>
      <c r="AA70" s="126">
        <f>Z70+vertraging[[#This Row],[p]]*(1-Z70)+vertraging[[#This Row],[q]]*Z70*(1-Z70)</f>
        <v>0.76108782680714737</v>
      </c>
      <c r="AB70" s="126">
        <f>AA70+vertraging[[#This Row],[p]]*(1-AA70)+vertraging[[#This Row],[q]]*AA70*(1-AA70)</f>
        <v>0.8488855471488731</v>
      </c>
      <c r="AC70" s="126">
        <f>AB70+vertraging[[#This Row],[p]]*(1-AB70)+vertraging[[#This Row],[q]]*AB70*(1-AB70)</f>
        <v>0.91038890221593549</v>
      </c>
      <c r="AD70" s="126">
        <f>AC70+vertraging[[#This Row],[p]]*(1-AC70)+vertraging[[#This Row],[q]]*AC70*(1-AC70)</f>
        <v>0.94934060668263687</v>
      </c>
      <c r="AE70" s="126">
        <f>AD70+vertraging[[#This Row],[p]]*(1-AD70)+vertraging[[#This Row],[q]]*AD70*(1-AD70)</f>
        <v>0.9722489501493069</v>
      </c>
      <c r="AF70" s="126">
        <f>AE70+vertraging[[#This Row],[p]]*(1-AE70)+vertraging[[#This Row],[q]]*AE70*(1-AE70)</f>
        <v>0.98508414448286907</v>
      </c>
      <c r="AG70" s="126">
        <f>AF70+vertraging[[#This Row],[p]]*(1-AF70)+vertraging[[#This Row],[q]]*AF70*(1-AF70)</f>
        <v>0.99206905861789263</v>
      </c>
    </row>
    <row r="71" spans="1:33" x14ac:dyDescent="0.5">
      <c r="A71" s="30" t="str">
        <f>INDEX(Technologieën[Veld],MATCH(B71,Technologieën[Digitale zorgtoepassing],0))</f>
        <v>Software - Behandeling</v>
      </c>
      <c r="B71" s="30" t="s">
        <v>609</v>
      </c>
      <c r="C71" s="30" t="s">
        <v>95</v>
      </c>
      <c r="D71" s="30" t="str" cm="1">
        <f t="array" ref="D71">INDEX(Berekening_patiëntaantal[Direct toepasbaar/extrapolatie/incidentie voor QALY],MATCH(B71,IF(Berekening_patiëntaantal[Doelgroep (zoeksleutel)]=C71,Berekening_patiëntaantal[Digitale zorgtoepassing]),0))</f>
        <v>Huidige toepassing</v>
      </c>
      <c r="E71" s="440" t="s">
        <v>813</v>
      </c>
      <c r="F71" s="30" t="str">
        <f>CONCATENATE(vertraging[[#This Row],[Digitale zorgtoepassing]],"_",vertraging[[#This Row],[Doelgroep]],"_",vertraging[[#This Row],[Uitgangssituatie/effect beleid]])</f>
        <v>(Zelf)zorgplatform + telebegeleiding_COPD_Uitgangssituatie</v>
      </c>
      <c r="G71" s="122" t="str">
        <f>INDEX(acceptatie_burgers[Impact afhankelijk van acceptatie burgers?],MATCH(B71,acceptatie_burgers[Digitale zorgtoepassing],0))</f>
        <v>Ja</v>
      </c>
      <c r="H71" s="441" cm="1">
        <f t="array" ref="H71">IF(vertraging[[#This Row],[Uitgangssituatie/effect beleid]]="Effect beleid",MAX(INDEX(aanname_implementatie[Coëfficient p],MATCH(B71,IF(aanname_implementatie[Doelgroep]=C71,aanname_implementatie[Digitale zorgtoepassing]),0))+SUMIFS(afslagen_beleid[Opslag p],afslagen_beleid[Impact afhankelijk van acceptatie burgers],vertraging[[#This Row],[Acceptatie burgers]]),0.01),INDEX(aanname_implementatie[Coëfficient p],MATCH(B71,IF(aanname_implementatie[Doelgroep]=C71,aanname_implementatie[Digitale zorgtoepassing]),0)))</f>
        <v>2.5000000000000001E-2</v>
      </c>
      <c r="I71" s="441" cm="1">
        <f t="array" ref="I71">IF(vertraging[[#This Row],[Uitgangssituatie/effect beleid]]="Effect beleid",MAX(INDEX(aanname_implementatie[Coëfficient q],MATCH(B71,IF(aanname_implementatie[Doelgroep]=C71,aanname_implementatie[Digitale zorgtoepassing]),0))+SUMIFS(afslagen_beleid[Opslag q],afslagen_beleid[Impact afhankelijk van acceptatie burgers],vertraging[[#This Row],[Acceptatie burgers]]),0.3),INDEX(aanname_implementatie[Coëfficient q],MATCH(B71,IF(aanname_implementatie[Doelgroep]=C71,aanname_implementatie[Digitale zorgtoepassing]),0)))</f>
        <v>0.45</v>
      </c>
      <c r="J71" s="17">
        <f>0</f>
        <v>0</v>
      </c>
      <c r="K71" s="17">
        <v>0</v>
      </c>
      <c r="L71" s="17">
        <v>0</v>
      </c>
      <c r="M71" s="17">
        <v>0</v>
      </c>
      <c r="N71" s="17">
        <v>0</v>
      </c>
      <c r="O71" s="17">
        <v>0</v>
      </c>
      <c r="P71" s="17">
        <v>0</v>
      </c>
      <c r="Q71" s="17">
        <v>0</v>
      </c>
      <c r="R71" s="17">
        <v>0</v>
      </c>
      <c r="S71" s="17">
        <v>0</v>
      </c>
      <c r="T71" s="17">
        <v>0</v>
      </c>
      <c r="U71" s="17">
        <v>0</v>
      </c>
      <c r="V71" s="124" cm="1">
        <f t="array" ref="V71">INDEX(aanname_implementatie[Huidige implementatiegraad],MATCH(B71,IF(aanname_implementatie[Doelgroep]=C71,aanname_implementatie[Digitale zorgtoepassing]),0))</f>
        <v>0.4</v>
      </c>
      <c r="W71" s="126">
        <f>V71+vertraging[[#This Row],[p]]*(1-V71)+vertraging[[#This Row],[q]]*V71*(1-V71)</f>
        <v>0.52300000000000002</v>
      </c>
      <c r="X71" s="126">
        <f>W71+vertraging[[#This Row],[p]]*(1-W71)+vertraging[[#This Row],[q]]*W71*(1-W71)</f>
        <v>0.64718695000000004</v>
      </c>
      <c r="Y71" s="126">
        <f>X71+vertraging[[#This Row],[p]]*(1-X71)+vertraging[[#This Row],[q]]*X71*(1-X71)</f>
        <v>0.75875847703736388</v>
      </c>
      <c r="Z71" s="126">
        <f>Y71+vertraging[[#This Row],[p]]*(1-Y71)+vertraging[[#This Row],[q]]*Y71*(1-Y71)</f>
        <v>0.84715933786401665</v>
      </c>
      <c r="AA71" s="126">
        <f>Z71+vertraging[[#This Row],[p]]*(1-Z71)+vertraging[[#This Row],[q]]*Z71*(1-Z71)</f>
        <v>0.90924653177763415</v>
      </c>
      <c r="AB71" s="126">
        <f>AA71+vertraging[[#This Row],[p]]*(1-AA71)+vertraging[[#This Row],[q]]*AA71*(1-AA71)</f>
        <v>0.94864814278578335</v>
      </c>
      <c r="AC71" s="126">
        <f>AB71+vertraging[[#This Row],[p]]*(1-AB71)+vertraging[[#This Row],[q]]*AB71*(1-AB71)</f>
        <v>0.97185361900482903</v>
      </c>
      <c r="AD71" s="126">
        <f>AC71+vertraging[[#This Row],[p]]*(1-AC71)+vertraging[[#This Row],[q]]*AC71*(1-AC71)</f>
        <v>0.98486665153412889</v>
      </c>
      <c r="AE71" s="126">
        <f>AD71+vertraging[[#This Row],[p]]*(1-AD71)+vertraging[[#This Row],[q]]*AD71*(1-AD71)</f>
        <v>0.99195193384931235</v>
      </c>
      <c r="AF71" s="126">
        <f>AE71+vertraging[[#This Row],[p]]*(1-AE71)+vertraging[[#This Row],[q]]*AE71*(1-AE71)</f>
        <v>0.99574561815494433</v>
      </c>
      <c r="AG71" s="126">
        <f>AF71+vertraging[[#This Row],[p]]*(1-AF71)+vertraging[[#This Row],[q]]*AF71*(1-AF71)</f>
        <v>0.99775830463714821</v>
      </c>
    </row>
    <row r="72" spans="1:33" x14ac:dyDescent="0.5">
      <c r="A72" s="30" t="str">
        <f>INDEX(Technologieën[Veld],MATCH(B72,Technologieën[Digitale zorgtoepassing],0))</f>
        <v>Software - Behandeling</v>
      </c>
      <c r="B72" s="30" t="s">
        <v>609</v>
      </c>
      <c r="C72" s="30" t="s">
        <v>51</v>
      </c>
      <c r="D72" s="30" t="str" cm="1">
        <f t="array" ref="D72">INDEX(Berekening_patiëntaantal[Direct toepasbaar/extrapolatie/incidentie voor QALY],MATCH(B72,IF(Berekening_patiëntaantal[Doelgroep (zoeksleutel)]=C72,Berekening_patiëntaantal[Digitale zorgtoepassing]),0))</f>
        <v>Huidige toepassing</v>
      </c>
      <c r="E72" s="440" t="s">
        <v>813</v>
      </c>
      <c r="F72" s="30" t="str">
        <f>CONCATENATE(vertraging[[#This Row],[Digitale zorgtoepassing]],"_",vertraging[[#This Row],[Doelgroep]],"_",vertraging[[#This Row],[Uitgangssituatie/effect beleid]])</f>
        <v>(Zelf)zorgplatform + telebegeleiding_Hartfalen_Uitgangssituatie</v>
      </c>
      <c r="G72" s="122" t="str">
        <f>INDEX(acceptatie_burgers[Impact afhankelijk van acceptatie burgers?],MATCH(B72,acceptatie_burgers[Digitale zorgtoepassing],0))</f>
        <v>Ja</v>
      </c>
      <c r="H72" s="441" cm="1">
        <f t="array" ref="H72">IF(vertraging[[#This Row],[Uitgangssituatie/effect beleid]]="Effect beleid",MAX(INDEX(aanname_implementatie[Coëfficient p],MATCH(B72,IF(aanname_implementatie[Doelgroep]=C72,aanname_implementatie[Digitale zorgtoepassing]),0))+SUMIFS(afslagen_beleid[Opslag p],afslagen_beleid[Impact afhankelijk van acceptatie burgers],vertraging[[#This Row],[Acceptatie burgers]]),0.01),INDEX(aanname_implementatie[Coëfficient p],MATCH(B72,IF(aanname_implementatie[Doelgroep]=C72,aanname_implementatie[Digitale zorgtoepassing]),0)))</f>
        <v>2.5000000000000001E-2</v>
      </c>
      <c r="I72" s="441" cm="1">
        <f t="array" ref="I72">IF(vertraging[[#This Row],[Uitgangssituatie/effect beleid]]="Effect beleid",MAX(INDEX(aanname_implementatie[Coëfficient q],MATCH(B72,IF(aanname_implementatie[Doelgroep]=C72,aanname_implementatie[Digitale zorgtoepassing]),0))+SUMIFS(afslagen_beleid[Opslag q],afslagen_beleid[Impact afhankelijk van acceptatie burgers],vertraging[[#This Row],[Acceptatie burgers]]),0.3),INDEX(aanname_implementatie[Coëfficient q],MATCH(B72,IF(aanname_implementatie[Doelgroep]=C72,aanname_implementatie[Digitale zorgtoepassing]),0)))</f>
        <v>0.45</v>
      </c>
      <c r="J72" s="17">
        <f>0</f>
        <v>0</v>
      </c>
      <c r="K72" s="17">
        <v>0</v>
      </c>
      <c r="L72" s="17">
        <v>0</v>
      </c>
      <c r="M72" s="17">
        <v>0</v>
      </c>
      <c r="N72" s="17">
        <v>0</v>
      </c>
      <c r="O72" s="17">
        <v>0</v>
      </c>
      <c r="P72" s="17">
        <v>0</v>
      </c>
      <c r="Q72" s="17">
        <v>0</v>
      </c>
      <c r="R72" s="17">
        <v>0</v>
      </c>
      <c r="S72" s="17">
        <v>0</v>
      </c>
      <c r="T72" s="17">
        <v>0</v>
      </c>
      <c r="U72" s="17">
        <v>0</v>
      </c>
      <c r="V72" s="124" cm="1">
        <f t="array" ref="V72">INDEX(aanname_implementatie[Huidige implementatiegraad],MATCH(B72,IF(aanname_implementatie[Doelgroep]=C72,aanname_implementatie[Digitale zorgtoepassing]),0))</f>
        <v>0.6</v>
      </c>
      <c r="W72" s="126">
        <f>V72+vertraging[[#This Row],[p]]*(1-V72)+vertraging[[#This Row],[q]]*V72*(1-V72)</f>
        <v>0.71799999999999997</v>
      </c>
      <c r="X72" s="126">
        <f>W72+vertraging[[#This Row],[p]]*(1-W72)+vertraging[[#This Row],[q]]*W72*(1-W72)</f>
        <v>0.81616420000000001</v>
      </c>
      <c r="Y72" s="126">
        <f>X72+vertraging[[#This Row],[p]]*(1-X72)+vertraging[[#This Row],[q]]*X72*(1-X72)</f>
        <v>0.88827818438726203</v>
      </c>
      <c r="Z72" s="126">
        <f>Y72+vertraging[[#This Row],[p]]*(1-Y72)+vertraging[[#This Row],[q]]*Y72*(1-Y72)</f>
        <v>0.93572925296559961</v>
      </c>
      <c r="AA72" s="126">
        <f>Z72+vertraging[[#This Row],[p]]*(1-Z72)+vertraging[[#This Row],[q]]*Z72*(1-Z72)</f>
        <v>0.9643990297909778</v>
      </c>
      <c r="AB72" s="126">
        <f>AA72+vertraging[[#This Row],[p]]*(1-AA72)+vertraging[[#This Row],[q]]*AA72*(1-AA72)</f>
        <v>0.98073914755434266</v>
      </c>
      <c r="AC72" s="126">
        <f>AB72+vertraging[[#This Row],[p]]*(1-AB72)+vertraging[[#This Row],[q]]*AB72*(1-AB72)</f>
        <v>0.98972111126940987</v>
      </c>
      <c r="AD72" s="126">
        <f>AC72+vertraging[[#This Row],[p]]*(1-AC72)+vertraging[[#This Row],[q]]*AC72*(1-AC72)</f>
        <v>0.99455603841734896</v>
      </c>
      <c r="AE72" s="126">
        <f>AD72+vertraging[[#This Row],[p]]*(1-AD72)+vertraging[[#This Row],[q]]*AD72*(1-AD72)</f>
        <v>0.9971285836461371</v>
      </c>
      <c r="AF72" s="126">
        <f>AE72+vertraging[[#This Row],[p]]*(1-AE72)+vertraging[[#This Row],[q]]*AE72*(1-AE72)</f>
        <v>0.99848879614987718</v>
      </c>
      <c r="AG72" s="126">
        <f>AF72+vertraging[[#This Row],[p]]*(1-AF72)+vertraging[[#This Row],[q]]*AF72*(1-AF72)</f>
        <v>0.99920559029700107</v>
      </c>
    </row>
    <row r="73" spans="1:33" x14ac:dyDescent="0.5">
      <c r="A73" s="30" t="str">
        <f>INDEX(Technologieën[Veld],MATCH(B73,Technologieën[Digitale zorgtoepassing],0))</f>
        <v>Software - Behandeling</v>
      </c>
      <c r="B73" s="30" t="s">
        <v>609</v>
      </c>
      <c r="C73" s="30" t="s">
        <v>94</v>
      </c>
      <c r="D73" s="30" t="str" cm="1">
        <f t="array" ref="D73">INDEX(Berekening_patiëntaantal[Direct toepasbaar/extrapolatie/incidentie voor QALY],MATCH(B73,IF(Berekening_patiëntaantal[Doelgroep (zoeksleutel)]=C73,Berekening_patiëntaantal[Digitale zorgtoepassing]),0))</f>
        <v>Huidige toepassing</v>
      </c>
      <c r="E73" s="440" t="s">
        <v>813</v>
      </c>
      <c r="F73" s="30" t="str">
        <f>CONCATENATE(vertraging[[#This Row],[Digitale zorgtoepassing]],"_",vertraging[[#This Row],[Doelgroep]],"_",vertraging[[#This Row],[Uitgangssituatie/effect beleid]])</f>
        <v>(Zelf)zorgplatform + telebegeleiding_Hypertensie_Uitgangssituatie</v>
      </c>
      <c r="G73" s="122" t="str">
        <f>INDEX(acceptatie_burgers[Impact afhankelijk van acceptatie burgers?],MATCH(B73,acceptatie_burgers[Digitale zorgtoepassing],0))</f>
        <v>Ja</v>
      </c>
      <c r="H73" s="441" cm="1">
        <f t="array" ref="H73">IF(vertraging[[#This Row],[Uitgangssituatie/effect beleid]]="Effect beleid",MAX(INDEX(aanname_implementatie[Coëfficient p],MATCH(B73,IF(aanname_implementatie[Doelgroep]=C73,aanname_implementatie[Digitale zorgtoepassing]),0))+SUMIFS(afslagen_beleid[Opslag p],afslagen_beleid[Impact afhankelijk van acceptatie burgers],vertraging[[#This Row],[Acceptatie burgers]]),0.01),INDEX(aanname_implementatie[Coëfficient p],MATCH(B73,IF(aanname_implementatie[Doelgroep]=C73,aanname_implementatie[Digitale zorgtoepassing]),0)))</f>
        <v>2.5000000000000001E-2</v>
      </c>
      <c r="I73" s="441" cm="1">
        <f t="array" ref="I73">IF(vertraging[[#This Row],[Uitgangssituatie/effect beleid]]="Effect beleid",MAX(INDEX(aanname_implementatie[Coëfficient q],MATCH(B73,IF(aanname_implementatie[Doelgroep]=C73,aanname_implementatie[Digitale zorgtoepassing]),0))+SUMIFS(afslagen_beleid[Opslag q],afslagen_beleid[Impact afhankelijk van acceptatie burgers],vertraging[[#This Row],[Acceptatie burgers]]),0.3),INDEX(aanname_implementatie[Coëfficient q],MATCH(B73,IF(aanname_implementatie[Doelgroep]=C73,aanname_implementatie[Digitale zorgtoepassing]),0)))</f>
        <v>0.45</v>
      </c>
      <c r="J73" s="17">
        <f>0</f>
        <v>0</v>
      </c>
      <c r="K73" s="17">
        <v>0</v>
      </c>
      <c r="L73" s="17">
        <v>0</v>
      </c>
      <c r="M73" s="17">
        <v>0</v>
      </c>
      <c r="N73" s="17">
        <v>0</v>
      </c>
      <c r="O73" s="17">
        <v>0</v>
      </c>
      <c r="P73" s="17">
        <v>0</v>
      </c>
      <c r="Q73" s="17">
        <v>0</v>
      </c>
      <c r="R73" s="17">
        <v>0</v>
      </c>
      <c r="S73" s="17">
        <v>0</v>
      </c>
      <c r="T73" s="17">
        <v>0</v>
      </c>
      <c r="U73" s="17">
        <v>0</v>
      </c>
      <c r="V73" s="124" cm="1">
        <f t="array" ref="V73">INDEX(aanname_implementatie[Huidige implementatiegraad],MATCH(B73,IF(aanname_implementatie[Doelgroep]=C73,aanname_implementatie[Digitale zorgtoepassing]),0))</f>
        <v>0.2</v>
      </c>
      <c r="W73" s="126">
        <f>V73+vertraging[[#This Row],[p]]*(1-V73)+vertraging[[#This Row],[q]]*V73*(1-V73)</f>
        <v>0.29200000000000004</v>
      </c>
      <c r="X73" s="126">
        <f>W73+vertraging[[#This Row],[p]]*(1-W73)+vertraging[[#This Row],[q]]*W73*(1-W73)</f>
        <v>0.40273120000000007</v>
      </c>
      <c r="Y73" s="126">
        <f>X73+vertraging[[#This Row],[p]]*(1-X73)+vertraging[[#This Row],[q]]*X73*(1-X73)</f>
        <v>0.52590537124595205</v>
      </c>
      <c r="Z73" s="126">
        <f>Y73+vertraging[[#This Row],[p]]*(1-Y73)+vertraging[[#This Row],[q]]*Y73*(1-Y73)</f>
        <v>0.64995574724807748</v>
      </c>
      <c r="AA73" s="126">
        <f>Z73+vertraging[[#This Row],[p]]*(1-Z73)+vertraging[[#This Row],[q]]*Z73*(1-Z73)</f>
        <v>0.76108782680714737</v>
      </c>
      <c r="AB73" s="126">
        <f>AA73+vertraging[[#This Row],[p]]*(1-AA73)+vertraging[[#This Row],[q]]*AA73*(1-AA73)</f>
        <v>0.8488855471488731</v>
      </c>
      <c r="AC73" s="126">
        <f>AB73+vertraging[[#This Row],[p]]*(1-AB73)+vertraging[[#This Row],[q]]*AB73*(1-AB73)</f>
        <v>0.91038890221593549</v>
      </c>
      <c r="AD73" s="126">
        <f>AC73+vertraging[[#This Row],[p]]*(1-AC73)+vertraging[[#This Row],[q]]*AC73*(1-AC73)</f>
        <v>0.94934060668263687</v>
      </c>
      <c r="AE73" s="126">
        <f>AD73+vertraging[[#This Row],[p]]*(1-AD73)+vertraging[[#This Row],[q]]*AD73*(1-AD73)</f>
        <v>0.9722489501493069</v>
      </c>
      <c r="AF73" s="126">
        <f>AE73+vertraging[[#This Row],[p]]*(1-AE73)+vertraging[[#This Row],[q]]*AE73*(1-AE73)</f>
        <v>0.98508414448286907</v>
      </c>
      <c r="AG73" s="126">
        <f>AF73+vertraging[[#This Row],[p]]*(1-AF73)+vertraging[[#This Row],[q]]*AF73*(1-AF73)</f>
        <v>0.99206905861789263</v>
      </c>
    </row>
    <row r="74" spans="1:33" x14ac:dyDescent="0.5">
      <c r="A74" s="30" t="str">
        <f>INDEX(Technologieën[Veld],MATCH(B74,Technologieën[Digitale zorgtoepassing],0))</f>
        <v>Software - Behandeling</v>
      </c>
      <c r="B74" s="30" t="s">
        <v>609</v>
      </c>
      <c r="C74" s="30" t="s">
        <v>81</v>
      </c>
      <c r="D74" s="30" t="str" cm="1">
        <f t="array" ref="D74">INDEX(Berekening_patiëntaantal[Direct toepasbaar/extrapolatie/incidentie voor QALY],MATCH(B74,IF(Berekening_patiëntaantal[Doelgroep (zoeksleutel)]=C74,Berekening_patiëntaantal[Digitale zorgtoepassing]),0))</f>
        <v>Huidige toepassing</v>
      </c>
      <c r="E74" s="440" t="s">
        <v>813</v>
      </c>
      <c r="F74" s="30" t="str">
        <f>CONCATENATE(vertraging[[#This Row],[Digitale zorgtoepassing]],"_",vertraging[[#This Row],[Doelgroep]],"_",vertraging[[#This Row],[Uitgangssituatie/effect beleid]])</f>
        <v>(Zelf)zorgplatform + telebegeleiding_IBD_Uitgangssituatie</v>
      </c>
      <c r="G74" s="122" t="str">
        <f>INDEX(acceptatie_burgers[Impact afhankelijk van acceptatie burgers?],MATCH(B74,acceptatie_burgers[Digitale zorgtoepassing],0))</f>
        <v>Ja</v>
      </c>
      <c r="H74" s="441" cm="1">
        <f t="array" ref="H74">IF(vertraging[[#This Row],[Uitgangssituatie/effect beleid]]="Effect beleid",MAX(INDEX(aanname_implementatie[Coëfficient p],MATCH(B74,IF(aanname_implementatie[Doelgroep]=C74,aanname_implementatie[Digitale zorgtoepassing]),0))+SUMIFS(afslagen_beleid[Opslag p],afslagen_beleid[Impact afhankelijk van acceptatie burgers],vertraging[[#This Row],[Acceptatie burgers]]),0.01),INDEX(aanname_implementatie[Coëfficient p],MATCH(B74,IF(aanname_implementatie[Doelgroep]=C74,aanname_implementatie[Digitale zorgtoepassing]),0)))</f>
        <v>2.5000000000000001E-2</v>
      </c>
      <c r="I74" s="441" cm="1">
        <f t="array" ref="I74">IF(vertraging[[#This Row],[Uitgangssituatie/effect beleid]]="Effect beleid",MAX(INDEX(aanname_implementatie[Coëfficient q],MATCH(B74,IF(aanname_implementatie[Doelgroep]=C74,aanname_implementatie[Digitale zorgtoepassing]),0))+SUMIFS(afslagen_beleid[Opslag q],afslagen_beleid[Impact afhankelijk van acceptatie burgers],vertraging[[#This Row],[Acceptatie burgers]]),0.3),INDEX(aanname_implementatie[Coëfficient q],MATCH(B74,IF(aanname_implementatie[Doelgroep]=C74,aanname_implementatie[Digitale zorgtoepassing]),0)))</f>
        <v>0.45</v>
      </c>
      <c r="J74" s="17">
        <f>0</f>
        <v>0</v>
      </c>
      <c r="K74" s="17">
        <v>0</v>
      </c>
      <c r="L74" s="17">
        <v>0</v>
      </c>
      <c r="M74" s="17">
        <v>0</v>
      </c>
      <c r="N74" s="17">
        <v>0</v>
      </c>
      <c r="O74" s="17">
        <v>0</v>
      </c>
      <c r="P74" s="17">
        <v>0</v>
      </c>
      <c r="Q74" s="17">
        <v>0</v>
      </c>
      <c r="R74" s="17">
        <v>0</v>
      </c>
      <c r="S74" s="17">
        <v>0</v>
      </c>
      <c r="T74" s="17">
        <v>0</v>
      </c>
      <c r="U74" s="17">
        <v>0</v>
      </c>
      <c r="V74" s="124" cm="1">
        <f t="array" ref="V74">INDEX(aanname_implementatie[Huidige implementatiegraad],MATCH(B74,IF(aanname_implementatie[Doelgroep]=C74,aanname_implementatie[Digitale zorgtoepassing]),0))</f>
        <v>0.6</v>
      </c>
      <c r="W74" s="126">
        <f>V74+vertraging[[#This Row],[p]]*(1-V74)+vertraging[[#This Row],[q]]*V74*(1-V74)</f>
        <v>0.71799999999999997</v>
      </c>
      <c r="X74" s="126">
        <f>W74+vertraging[[#This Row],[p]]*(1-W74)+vertraging[[#This Row],[q]]*W74*(1-W74)</f>
        <v>0.81616420000000001</v>
      </c>
      <c r="Y74" s="126">
        <f>X74+vertraging[[#This Row],[p]]*(1-X74)+vertraging[[#This Row],[q]]*X74*(1-X74)</f>
        <v>0.88827818438726203</v>
      </c>
      <c r="Z74" s="126">
        <f>Y74+vertraging[[#This Row],[p]]*(1-Y74)+vertraging[[#This Row],[q]]*Y74*(1-Y74)</f>
        <v>0.93572925296559961</v>
      </c>
      <c r="AA74" s="126">
        <f>Z74+vertraging[[#This Row],[p]]*(1-Z74)+vertraging[[#This Row],[q]]*Z74*(1-Z74)</f>
        <v>0.9643990297909778</v>
      </c>
      <c r="AB74" s="126">
        <f>AA74+vertraging[[#This Row],[p]]*(1-AA74)+vertraging[[#This Row],[q]]*AA74*(1-AA74)</f>
        <v>0.98073914755434266</v>
      </c>
      <c r="AC74" s="126">
        <f>AB74+vertraging[[#This Row],[p]]*(1-AB74)+vertraging[[#This Row],[q]]*AB74*(1-AB74)</f>
        <v>0.98972111126940987</v>
      </c>
      <c r="AD74" s="126">
        <f>AC74+vertraging[[#This Row],[p]]*(1-AC74)+vertraging[[#This Row],[q]]*AC74*(1-AC74)</f>
        <v>0.99455603841734896</v>
      </c>
      <c r="AE74" s="126">
        <f>AD74+vertraging[[#This Row],[p]]*(1-AD74)+vertraging[[#This Row],[q]]*AD74*(1-AD74)</f>
        <v>0.9971285836461371</v>
      </c>
      <c r="AF74" s="126">
        <f>AE74+vertraging[[#This Row],[p]]*(1-AE74)+vertraging[[#This Row],[q]]*AE74*(1-AE74)</f>
        <v>0.99848879614987718</v>
      </c>
      <c r="AG74" s="126">
        <f>AF74+vertraging[[#This Row],[p]]*(1-AF74)+vertraging[[#This Row],[q]]*AF74*(1-AF74)</f>
        <v>0.99920559029700107</v>
      </c>
    </row>
    <row r="75" spans="1:33" x14ac:dyDescent="0.5">
      <c r="A75" s="30" t="str">
        <f>INDEX(Technologieën[Veld],MATCH(B75,Technologieën[Digitale zorgtoepassing],0))</f>
        <v>Software - Behandeling</v>
      </c>
      <c r="B75" s="30" t="s">
        <v>609</v>
      </c>
      <c r="C75" s="30" t="s">
        <v>109</v>
      </c>
      <c r="D75" s="30" t="str" cm="1">
        <f t="array" ref="D75">INDEX(Berekening_patiëntaantal[Direct toepasbaar/extrapolatie/incidentie voor QALY],MATCH(B75,IF(Berekening_patiëntaantal[Doelgroep (zoeksleutel)]=C75,Berekening_patiëntaantal[Digitale zorgtoepassing]),0))</f>
        <v>Huidige toepassing</v>
      </c>
      <c r="E75" s="440" t="s">
        <v>813</v>
      </c>
      <c r="F75" s="30" t="str">
        <f>CONCATENATE(vertraging[[#This Row],[Digitale zorgtoepassing]],"_",vertraging[[#This Row],[Doelgroep]],"_",vertraging[[#This Row],[Uitgangssituatie/effect beleid]])</f>
        <v>(Zelf)zorgplatform + telebegeleiding_MS_Uitgangssituatie</v>
      </c>
      <c r="G75" s="122" t="str">
        <f>INDEX(acceptatie_burgers[Impact afhankelijk van acceptatie burgers?],MATCH(B75,acceptatie_burgers[Digitale zorgtoepassing],0))</f>
        <v>Ja</v>
      </c>
      <c r="H75" s="441" cm="1">
        <f t="array" ref="H75">IF(vertraging[[#This Row],[Uitgangssituatie/effect beleid]]="Effect beleid",MAX(INDEX(aanname_implementatie[Coëfficient p],MATCH(B75,IF(aanname_implementatie[Doelgroep]=C75,aanname_implementatie[Digitale zorgtoepassing]),0))+SUMIFS(afslagen_beleid[Opslag p],afslagen_beleid[Impact afhankelijk van acceptatie burgers],vertraging[[#This Row],[Acceptatie burgers]]),0.01),INDEX(aanname_implementatie[Coëfficient p],MATCH(B75,IF(aanname_implementatie[Doelgroep]=C75,aanname_implementatie[Digitale zorgtoepassing]),0)))</f>
        <v>2.5000000000000001E-2</v>
      </c>
      <c r="I75" s="441" cm="1">
        <f t="array" ref="I75">IF(vertraging[[#This Row],[Uitgangssituatie/effect beleid]]="Effect beleid",MAX(INDEX(aanname_implementatie[Coëfficient q],MATCH(B75,IF(aanname_implementatie[Doelgroep]=C75,aanname_implementatie[Digitale zorgtoepassing]),0))+SUMIFS(afslagen_beleid[Opslag q],afslagen_beleid[Impact afhankelijk van acceptatie burgers],vertraging[[#This Row],[Acceptatie burgers]]),0.3),INDEX(aanname_implementatie[Coëfficient q],MATCH(B75,IF(aanname_implementatie[Doelgroep]=C75,aanname_implementatie[Digitale zorgtoepassing]),0)))</f>
        <v>0.45</v>
      </c>
      <c r="J75" s="17">
        <f>0</f>
        <v>0</v>
      </c>
      <c r="K75" s="17">
        <v>0</v>
      </c>
      <c r="L75" s="17">
        <v>0</v>
      </c>
      <c r="M75" s="17">
        <v>0</v>
      </c>
      <c r="N75" s="17">
        <v>0</v>
      </c>
      <c r="O75" s="17">
        <v>0</v>
      </c>
      <c r="P75" s="17">
        <v>0</v>
      </c>
      <c r="Q75" s="17">
        <v>0</v>
      </c>
      <c r="R75" s="17">
        <v>0</v>
      </c>
      <c r="S75" s="17">
        <v>0</v>
      </c>
      <c r="T75" s="17">
        <v>0</v>
      </c>
      <c r="U75" s="17">
        <v>0</v>
      </c>
      <c r="V75" s="124" cm="1">
        <f t="array" ref="V75">INDEX(aanname_implementatie[Huidige implementatiegraad],MATCH(B75,IF(aanname_implementatie[Doelgroep]=C75,aanname_implementatie[Digitale zorgtoepassing]),0))</f>
        <v>0.4</v>
      </c>
      <c r="W75" s="126">
        <f>V75+vertraging[[#This Row],[p]]*(1-V75)+vertraging[[#This Row],[q]]*V75*(1-V75)</f>
        <v>0.52300000000000002</v>
      </c>
      <c r="X75" s="126">
        <f>W75+vertraging[[#This Row],[p]]*(1-W75)+vertraging[[#This Row],[q]]*W75*(1-W75)</f>
        <v>0.64718695000000004</v>
      </c>
      <c r="Y75" s="126">
        <f>X75+vertraging[[#This Row],[p]]*(1-X75)+vertraging[[#This Row],[q]]*X75*(1-X75)</f>
        <v>0.75875847703736388</v>
      </c>
      <c r="Z75" s="126">
        <f>Y75+vertraging[[#This Row],[p]]*(1-Y75)+vertraging[[#This Row],[q]]*Y75*(1-Y75)</f>
        <v>0.84715933786401665</v>
      </c>
      <c r="AA75" s="126">
        <f>Z75+vertraging[[#This Row],[p]]*(1-Z75)+vertraging[[#This Row],[q]]*Z75*(1-Z75)</f>
        <v>0.90924653177763415</v>
      </c>
      <c r="AB75" s="126">
        <f>AA75+vertraging[[#This Row],[p]]*(1-AA75)+vertraging[[#This Row],[q]]*AA75*(1-AA75)</f>
        <v>0.94864814278578335</v>
      </c>
      <c r="AC75" s="126">
        <f>AB75+vertraging[[#This Row],[p]]*(1-AB75)+vertraging[[#This Row],[q]]*AB75*(1-AB75)</f>
        <v>0.97185361900482903</v>
      </c>
      <c r="AD75" s="126">
        <f>AC75+vertraging[[#This Row],[p]]*(1-AC75)+vertraging[[#This Row],[q]]*AC75*(1-AC75)</f>
        <v>0.98486665153412889</v>
      </c>
      <c r="AE75" s="126">
        <f>AD75+vertraging[[#This Row],[p]]*(1-AD75)+vertraging[[#This Row],[q]]*AD75*(1-AD75)</f>
        <v>0.99195193384931235</v>
      </c>
      <c r="AF75" s="126">
        <f>AE75+vertraging[[#This Row],[p]]*(1-AE75)+vertraging[[#This Row],[q]]*AE75*(1-AE75)</f>
        <v>0.99574561815494433</v>
      </c>
      <c r="AG75" s="126">
        <f>AF75+vertraging[[#This Row],[p]]*(1-AF75)+vertraging[[#This Row],[q]]*AF75*(1-AF75)</f>
        <v>0.99775830463714821</v>
      </c>
    </row>
    <row r="76" spans="1:33" x14ac:dyDescent="0.5">
      <c r="A76" s="30" t="str">
        <f>INDEX(Technologieën[Veld],MATCH(B76,Technologieën[Digitale zorgtoepassing],0))</f>
        <v>Software - Behandeling</v>
      </c>
      <c r="B76" s="30" t="s">
        <v>609</v>
      </c>
      <c r="C76" s="30" t="s">
        <v>597</v>
      </c>
      <c r="D76" s="30" t="str" cm="1">
        <f t="array" ref="D76">INDEX(Berekening_patiëntaantal[Direct toepasbaar/extrapolatie/incidentie voor QALY],MATCH(B76,IF(Berekening_patiëntaantal[Doelgroep (zoeksleutel)]=C76,Berekening_patiëntaantal[Digitale zorgtoepassing]),0))</f>
        <v>Extrapolatie</v>
      </c>
      <c r="E76" s="440" t="s">
        <v>813</v>
      </c>
      <c r="F76" s="30" t="str">
        <f>CONCATENATE(vertraging[[#This Row],[Digitale zorgtoepassing]],"_",vertraging[[#This Row],[Doelgroep]],"_",vertraging[[#This Row],[Uitgangssituatie/effect beleid]])</f>
        <v>(Zelf)zorgplatform + telebegeleiding_Overig_chronisch_Uitgangssituatie</v>
      </c>
      <c r="G76" s="122" t="str">
        <f>INDEX(acceptatie_burgers[Impact afhankelijk van acceptatie burgers?],MATCH(B76,acceptatie_burgers[Digitale zorgtoepassing],0))</f>
        <v>Ja</v>
      </c>
      <c r="H76" s="441" cm="1">
        <f t="array" ref="H76">IF(vertraging[[#This Row],[Uitgangssituatie/effect beleid]]="Effect beleid",MAX(INDEX(aanname_implementatie[Coëfficient p],MATCH(B76,IF(aanname_implementatie[Doelgroep]=C76,aanname_implementatie[Digitale zorgtoepassing]),0))+SUMIFS(afslagen_beleid[Opslag p],afslagen_beleid[Impact afhankelijk van acceptatie burgers],vertraging[[#This Row],[Acceptatie burgers]]),0.01),INDEX(aanname_implementatie[Coëfficient p],MATCH(B76,IF(aanname_implementatie[Doelgroep]=C76,aanname_implementatie[Digitale zorgtoepassing]),0)))</f>
        <v>2.5000000000000001E-2</v>
      </c>
      <c r="I76" s="441" cm="1">
        <f t="array" ref="I76">IF(vertraging[[#This Row],[Uitgangssituatie/effect beleid]]="Effect beleid",MAX(INDEX(aanname_implementatie[Coëfficient q],MATCH(B76,IF(aanname_implementatie[Doelgroep]=C76,aanname_implementatie[Digitale zorgtoepassing]),0))+SUMIFS(afslagen_beleid[Opslag q],afslagen_beleid[Impact afhankelijk van acceptatie burgers],vertraging[[#This Row],[Acceptatie burgers]]),0.3),INDEX(aanname_implementatie[Coëfficient q],MATCH(B76,IF(aanname_implementatie[Doelgroep]=C76,aanname_implementatie[Digitale zorgtoepassing]),0)))</f>
        <v>0.45</v>
      </c>
      <c r="J76" s="17">
        <f>0</f>
        <v>0</v>
      </c>
      <c r="K76" s="17">
        <v>0</v>
      </c>
      <c r="L76" s="17">
        <v>0</v>
      </c>
      <c r="M76" s="17">
        <v>0</v>
      </c>
      <c r="N76" s="17">
        <v>0</v>
      </c>
      <c r="O76" s="17">
        <v>0</v>
      </c>
      <c r="P76" s="17">
        <v>0</v>
      </c>
      <c r="Q76" s="17">
        <v>0</v>
      </c>
      <c r="R76" s="17">
        <v>0</v>
      </c>
      <c r="S76" s="17">
        <v>0</v>
      </c>
      <c r="T76" s="17">
        <v>0</v>
      </c>
      <c r="U76" s="17">
        <v>0</v>
      </c>
      <c r="V76" s="124" cm="1">
        <f t="array" ref="V76">INDEX(aanname_implementatie[Huidige implementatiegraad],MATCH(B76,IF(aanname_implementatie[Doelgroep]=C76,aanname_implementatie[Digitale zorgtoepassing]),0))</f>
        <v>0</v>
      </c>
      <c r="W76" s="126">
        <f>V76+vertraging[[#This Row],[p]]*(1-V76)+vertraging[[#This Row],[q]]*V76*(1-V76)</f>
        <v>2.5000000000000001E-2</v>
      </c>
      <c r="X76" s="126">
        <f>W76+vertraging[[#This Row],[p]]*(1-W76)+vertraging[[#This Row],[q]]*W76*(1-W76)</f>
        <v>6.0343750000000002E-2</v>
      </c>
      <c r="Y76" s="126">
        <f>X76+vertraging[[#This Row],[p]]*(1-X76)+vertraging[[#This Row],[q]]*X76*(1-X76)</f>
        <v>0.10935122807617187</v>
      </c>
      <c r="Z76" s="126">
        <f>Y76+vertraging[[#This Row],[p]]*(1-Y76)+vertraging[[#This Row],[q]]*Y76*(1-Y76)</f>
        <v>0.17544453902174978</v>
      </c>
      <c r="AA76" s="126">
        <f>Z76+vertraging[[#This Row],[p]]*(1-Z76)+vertraging[[#This Row],[q]]*Z76*(1-Z76)</f>
        <v>0.26115711428334398</v>
      </c>
      <c r="AB76" s="126">
        <f>AA76+vertraging[[#This Row],[p]]*(1-AA76)+vertraging[[#This Row],[q]]*AA76*(1-AA76)</f>
        <v>0.36645752060040354</v>
      </c>
      <c r="AC76" s="126">
        <f>AB76+vertraging[[#This Row],[p]]*(1-AB76)+vertraging[[#This Row],[q]]*AB76*(1-AB76)</f>
        <v>0.48677096537350723</v>
      </c>
      <c r="AD76" s="126">
        <f>AC76+vertraging[[#This Row],[p]]*(1-AC76)+vertraging[[#This Row],[q]]*AC76*(1-AC76)</f>
        <v>0.61202293792845253</v>
      </c>
      <c r="AE76" s="126">
        <f>AD76+vertraging[[#This Row],[p]]*(1-AD76)+vertraging[[#This Row],[q]]*AD76*(1-AD76)</f>
        <v>0.7285752521002864</v>
      </c>
      <c r="AF76" s="126">
        <f>AE76+vertraging[[#This Row],[p]]*(1-AE76)+vertraging[[#This Row],[q]]*AE76*(1-AE76)</f>
        <v>0.82434988015505994</v>
      </c>
      <c r="AG76" s="126">
        <f>AF76+vertraging[[#This Row],[p]]*(1-AF76)+vertraging[[#This Row],[q]]*AF76*(1-AF76)</f>
        <v>0.89389985301071273</v>
      </c>
    </row>
    <row r="77" spans="1:33" x14ac:dyDescent="0.5">
      <c r="A77" s="30" t="str">
        <f>INDEX(Technologieën[Veld],MATCH(B77,Technologieën[Digitale zorgtoepassing],0))</f>
        <v>Software - Diagnose</v>
      </c>
      <c r="B77" s="30" t="s">
        <v>474</v>
      </c>
      <c r="C77" s="30" t="s">
        <v>111</v>
      </c>
      <c r="D77" s="30" t="str" cm="1">
        <f t="array" ref="D77">INDEX(Berekening_patiëntaantal[Direct toepasbaar/extrapolatie/incidentie voor QALY],MATCH(B77,IF(Berekening_patiëntaantal[Doelgroep (zoeksleutel)]=C77,Berekening_patiëntaantal[Digitale zorgtoepassing]),0))</f>
        <v>Huidige toepassing</v>
      </c>
      <c r="E77" s="440" t="s">
        <v>813</v>
      </c>
      <c r="F77" s="30" t="str">
        <f>CONCATENATE(vertraging[[#This Row],[Digitale zorgtoepassing]],"_",vertraging[[#This Row],[Doelgroep]],"_",vertraging[[#This Row],[Uitgangssituatie/effect beleid]])</f>
        <v>AI om diagnoses te stellen (app)_Huisartsconsult_Goedaardige huidplek_Uitgangssituatie</v>
      </c>
      <c r="G77" s="122" t="str">
        <f>INDEX(acceptatie_burgers[Impact afhankelijk van acceptatie burgers?],MATCH(B77,acceptatie_burgers[Digitale zorgtoepassing],0))</f>
        <v>Nee</v>
      </c>
      <c r="H77" s="441" cm="1">
        <f t="array" ref="H77">IF(vertraging[[#This Row],[Uitgangssituatie/effect beleid]]="Effect beleid",MAX(INDEX(aanname_implementatie[Coëfficient p],MATCH(B77,IF(aanname_implementatie[Doelgroep]=C77,aanname_implementatie[Digitale zorgtoepassing]),0))+SUMIFS(afslagen_beleid[Opslag p],afslagen_beleid[Impact afhankelijk van acceptatie burgers],vertraging[[#This Row],[Acceptatie burgers]]),0.01),INDEX(aanname_implementatie[Coëfficient p],MATCH(B77,IF(aanname_implementatie[Doelgroep]=C77,aanname_implementatie[Digitale zorgtoepassing]),0)))</f>
        <v>0.03</v>
      </c>
      <c r="I77" s="441" cm="1">
        <f t="array" ref="I77">IF(vertraging[[#This Row],[Uitgangssituatie/effect beleid]]="Effect beleid",MAX(INDEX(aanname_implementatie[Coëfficient q],MATCH(B77,IF(aanname_implementatie[Doelgroep]=C77,aanname_implementatie[Digitale zorgtoepassing]),0))+SUMIFS(afslagen_beleid[Opslag q],afslagen_beleid[Impact afhankelijk van acceptatie burgers],vertraging[[#This Row],[Acceptatie burgers]]),0.3),INDEX(aanname_implementatie[Coëfficient q],MATCH(B77,IF(aanname_implementatie[Doelgroep]=C77,aanname_implementatie[Digitale zorgtoepassing]),0)))</f>
        <v>0.5</v>
      </c>
      <c r="J77" s="17">
        <f>0</f>
        <v>0</v>
      </c>
      <c r="K77" s="17">
        <v>0</v>
      </c>
      <c r="L77" s="17">
        <v>0</v>
      </c>
      <c r="M77" s="17">
        <v>0</v>
      </c>
      <c r="N77" s="17">
        <v>0</v>
      </c>
      <c r="O77" s="17">
        <v>0</v>
      </c>
      <c r="P77" s="17">
        <v>0</v>
      </c>
      <c r="Q77" s="17">
        <v>0</v>
      </c>
      <c r="R77" s="17">
        <v>0</v>
      </c>
      <c r="S77" s="17">
        <v>0</v>
      </c>
      <c r="T77" s="17">
        <v>0</v>
      </c>
      <c r="U77" s="17">
        <v>0</v>
      </c>
      <c r="V77" s="124" cm="1">
        <f t="array" ref="V77">INDEX(aanname_implementatie[Huidige implementatiegraad],MATCH(B77,IF(aanname_implementatie[Doelgroep]=C77,aanname_implementatie[Digitale zorgtoepassing]),0))</f>
        <v>0.4</v>
      </c>
      <c r="W77" s="126">
        <f>V77+vertraging[[#This Row],[p]]*(1-V77)+vertraging[[#This Row],[q]]*V77*(1-V77)</f>
        <v>0.53800000000000003</v>
      </c>
      <c r="X77" s="126">
        <f>W77+vertraging[[#This Row],[p]]*(1-W77)+vertraging[[#This Row],[q]]*W77*(1-W77)</f>
        <v>0.67613800000000002</v>
      </c>
      <c r="Y77" s="126">
        <f>X77+vertraging[[#This Row],[p]]*(1-X77)+vertraging[[#This Row],[q]]*X77*(1-X77)</f>
        <v>0.79534156247800003</v>
      </c>
      <c r="Z77" s="126">
        <f>Y77+vertraging[[#This Row],[p]]*(1-Y77)+vertraging[[#This Row],[q]]*Y77*(1-Y77)</f>
        <v>0.88286799634018676</v>
      </c>
      <c r="AA77" s="126">
        <f>Z77+vertraging[[#This Row],[p]]*(1-Z77)+vertraging[[#This Row],[q]]*Z77*(1-Z77)</f>
        <v>0.93808800513920654</v>
      </c>
      <c r="AB77" s="126">
        <f>AA77+vertraging[[#This Row],[p]]*(1-AA77)+vertraging[[#This Row],[q]]*AA77*(1-AA77)</f>
        <v>0.96898481486160559</v>
      </c>
      <c r="AC77" s="126">
        <f>AB77+vertraging[[#This Row],[p]]*(1-AB77)+vertraging[[#This Row],[q]]*AB77*(1-AB77)</f>
        <v>0.9849418921303702</v>
      </c>
      <c r="AD77" s="126">
        <f>AC77+vertraging[[#This Row],[p]]*(1-AC77)+vertraging[[#This Row],[q]]*AC77*(1-AC77)</f>
        <v>0.99280931599496725</v>
      </c>
      <c r="AE77" s="126">
        <f>AD77+vertraging[[#This Row],[p]]*(1-AD77)+vertraging[[#This Row],[q]]*AD77*(1-AD77)</f>
        <v>0.99659452554940442</v>
      </c>
      <c r="AF77" s="126">
        <f>AE77+vertraging[[#This Row],[p]]*(1-AE77)+vertraging[[#This Row],[q]]*AE77*(1-AE77)</f>
        <v>0.99839362838010326</v>
      </c>
      <c r="AG77" s="126">
        <f>AF77+vertraging[[#This Row],[p]]*(1-AF77)+vertraging[[#This Row],[q]]*AF77*(1-AF77)</f>
        <v>0.99924371512375787</v>
      </c>
    </row>
    <row r="78" spans="1:33" x14ac:dyDescent="0.5">
      <c r="A78" s="30" t="str">
        <f>INDEX(Technologieën[Veld],MATCH(B78,Technologieën[Digitale zorgtoepassing],0))</f>
        <v>Software - Diagnose</v>
      </c>
      <c r="B78" s="30" t="s">
        <v>473</v>
      </c>
      <c r="C78" s="30" t="s">
        <v>455</v>
      </c>
      <c r="D78" s="30" t="str" cm="1">
        <f t="array" ref="D78">INDEX(Berekening_patiëntaantal[Direct toepasbaar/extrapolatie/incidentie voor QALY],MATCH(B78,IF(Berekening_patiëntaantal[Doelgroep (zoeksleutel)]=C78,Berekening_patiëntaantal[Digitale zorgtoepassing]),0))</f>
        <v>Huidige toepassing</v>
      </c>
      <c r="E78" s="440" t="s">
        <v>813</v>
      </c>
      <c r="F78" s="30" t="str">
        <f>CONCATENATE(vertraging[[#This Row],[Digitale zorgtoepassing]],"_",vertraging[[#This Row],[Doelgroep]],"_",vertraging[[#This Row],[Uitgangssituatie/effect beleid]])</f>
        <v>AI om diagnoses te stellen (CT)_CT scan_Interstitiële longaandoening_Uitgangssituatie</v>
      </c>
      <c r="G78" s="122" t="str">
        <f>INDEX(acceptatie_burgers[Impact afhankelijk van acceptatie burgers?],MATCH(B78,acceptatie_burgers[Digitale zorgtoepassing],0))</f>
        <v>Nee</v>
      </c>
      <c r="H78" s="441" cm="1">
        <f t="array" ref="H78">IF(vertraging[[#This Row],[Uitgangssituatie/effect beleid]]="Effect beleid",MAX(INDEX(aanname_implementatie[Coëfficient p],MATCH(B78,IF(aanname_implementatie[Doelgroep]=C78,aanname_implementatie[Digitale zorgtoepassing]),0))+SUMIFS(afslagen_beleid[Opslag p],afslagen_beleid[Impact afhankelijk van acceptatie burgers],vertraging[[#This Row],[Acceptatie burgers]]),0.01),INDEX(aanname_implementatie[Coëfficient p],MATCH(B78,IF(aanname_implementatie[Doelgroep]=C78,aanname_implementatie[Digitale zorgtoepassing]),0)))</f>
        <v>0.03</v>
      </c>
      <c r="I78" s="441" cm="1">
        <f t="array" ref="I78">IF(vertraging[[#This Row],[Uitgangssituatie/effect beleid]]="Effect beleid",MAX(INDEX(aanname_implementatie[Coëfficient q],MATCH(B78,IF(aanname_implementatie[Doelgroep]=C78,aanname_implementatie[Digitale zorgtoepassing]),0))+SUMIFS(afslagen_beleid[Opslag q],afslagen_beleid[Impact afhankelijk van acceptatie burgers],vertraging[[#This Row],[Acceptatie burgers]]),0.3),INDEX(aanname_implementatie[Coëfficient q],MATCH(B78,IF(aanname_implementatie[Doelgroep]=C78,aanname_implementatie[Digitale zorgtoepassing]),0)))</f>
        <v>0.5</v>
      </c>
      <c r="J78" s="17">
        <f>0</f>
        <v>0</v>
      </c>
      <c r="K78" s="17">
        <v>0</v>
      </c>
      <c r="L78" s="17">
        <v>0</v>
      </c>
      <c r="M78" s="17">
        <v>0</v>
      </c>
      <c r="N78" s="17">
        <v>0</v>
      </c>
      <c r="O78" s="17">
        <v>0</v>
      </c>
      <c r="P78" s="17">
        <v>0</v>
      </c>
      <c r="Q78" s="17">
        <v>0</v>
      </c>
      <c r="R78" s="17">
        <v>0</v>
      </c>
      <c r="S78" s="17">
        <v>0</v>
      </c>
      <c r="T78" s="17">
        <v>0</v>
      </c>
      <c r="U78" s="17">
        <v>0</v>
      </c>
      <c r="V78" s="124" cm="1">
        <f t="array" ref="V78">INDEX(aanname_implementatie[Huidige implementatiegraad],MATCH(B78,IF(aanname_implementatie[Doelgroep]=C78,aanname_implementatie[Digitale zorgtoepassing]),0))</f>
        <v>0.4</v>
      </c>
      <c r="W78" s="126">
        <f>V78+vertraging[[#This Row],[p]]*(1-V78)+vertraging[[#This Row],[q]]*V78*(1-V78)</f>
        <v>0.53800000000000003</v>
      </c>
      <c r="X78" s="126">
        <f>W78+vertraging[[#This Row],[p]]*(1-W78)+vertraging[[#This Row],[q]]*W78*(1-W78)</f>
        <v>0.67613800000000002</v>
      </c>
      <c r="Y78" s="126">
        <f>X78+vertraging[[#This Row],[p]]*(1-X78)+vertraging[[#This Row],[q]]*X78*(1-X78)</f>
        <v>0.79534156247800003</v>
      </c>
      <c r="Z78" s="126">
        <f>Y78+vertraging[[#This Row],[p]]*(1-Y78)+vertraging[[#This Row],[q]]*Y78*(1-Y78)</f>
        <v>0.88286799634018676</v>
      </c>
      <c r="AA78" s="126">
        <f>Z78+vertraging[[#This Row],[p]]*(1-Z78)+vertraging[[#This Row],[q]]*Z78*(1-Z78)</f>
        <v>0.93808800513920654</v>
      </c>
      <c r="AB78" s="126">
        <f>AA78+vertraging[[#This Row],[p]]*(1-AA78)+vertraging[[#This Row],[q]]*AA78*(1-AA78)</f>
        <v>0.96898481486160559</v>
      </c>
      <c r="AC78" s="126">
        <f>AB78+vertraging[[#This Row],[p]]*(1-AB78)+vertraging[[#This Row],[q]]*AB78*(1-AB78)</f>
        <v>0.9849418921303702</v>
      </c>
      <c r="AD78" s="126">
        <f>AC78+vertraging[[#This Row],[p]]*(1-AC78)+vertraging[[#This Row],[q]]*AC78*(1-AC78)</f>
        <v>0.99280931599496725</v>
      </c>
      <c r="AE78" s="126">
        <f>AD78+vertraging[[#This Row],[p]]*(1-AD78)+vertraging[[#This Row],[q]]*AD78*(1-AD78)</f>
        <v>0.99659452554940442</v>
      </c>
      <c r="AF78" s="126">
        <f>AE78+vertraging[[#This Row],[p]]*(1-AE78)+vertraging[[#This Row],[q]]*AE78*(1-AE78)</f>
        <v>0.99839362838010326</v>
      </c>
      <c r="AG78" s="126">
        <f>AF78+vertraging[[#This Row],[p]]*(1-AF78)+vertraging[[#This Row],[q]]*AF78*(1-AF78)</f>
        <v>0.99924371512375787</v>
      </c>
    </row>
    <row r="79" spans="1:33" x14ac:dyDescent="0.5">
      <c r="A79" s="30" t="str">
        <f>INDEX(Technologieën[Veld],MATCH(B79,Technologieën[Digitale zorgtoepassing],0))</f>
        <v>Software - Diagnose</v>
      </c>
      <c r="B79" s="30" t="s">
        <v>473</v>
      </c>
      <c r="C79" s="30" t="s">
        <v>451</v>
      </c>
      <c r="D79" s="30" t="str" cm="1">
        <f t="array" ref="D79">INDEX(Berekening_patiëntaantal[Direct toepasbaar/extrapolatie/incidentie voor QALY],MATCH(B79,IF(Berekening_patiëntaantal[Doelgroep (zoeksleutel)]=C79,Berekening_patiëntaantal[Digitale zorgtoepassing]),0))</f>
        <v>Huidige toepassing</v>
      </c>
      <c r="E79" s="440" t="s">
        <v>813</v>
      </c>
      <c r="F79" s="30" t="str">
        <f>CONCATENATE(vertraging[[#This Row],[Digitale zorgtoepassing]],"_",vertraging[[#This Row],[Doelgroep]],"_",vertraging[[#This Row],[Uitgangssituatie/effect beleid]])</f>
        <v>AI om diagnoses te stellen (CT)_CT scan_Longkanker_Uitgangssituatie</v>
      </c>
      <c r="G79" s="122" t="str">
        <f>INDEX(acceptatie_burgers[Impact afhankelijk van acceptatie burgers?],MATCH(B79,acceptatie_burgers[Digitale zorgtoepassing],0))</f>
        <v>Nee</v>
      </c>
      <c r="H79" s="441" cm="1">
        <f t="array" ref="H79">IF(vertraging[[#This Row],[Uitgangssituatie/effect beleid]]="Effect beleid",MAX(INDEX(aanname_implementatie[Coëfficient p],MATCH(B79,IF(aanname_implementatie[Doelgroep]=C79,aanname_implementatie[Digitale zorgtoepassing]),0))+SUMIFS(afslagen_beleid[Opslag p],afslagen_beleid[Impact afhankelijk van acceptatie burgers],vertraging[[#This Row],[Acceptatie burgers]]),0.01),INDEX(aanname_implementatie[Coëfficient p],MATCH(B79,IF(aanname_implementatie[Doelgroep]=C79,aanname_implementatie[Digitale zorgtoepassing]),0)))</f>
        <v>0.03</v>
      </c>
      <c r="I79" s="441" cm="1">
        <f t="array" ref="I79">IF(vertraging[[#This Row],[Uitgangssituatie/effect beleid]]="Effect beleid",MAX(INDEX(aanname_implementatie[Coëfficient q],MATCH(B79,IF(aanname_implementatie[Doelgroep]=C79,aanname_implementatie[Digitale zorgtoepassing]),0))+SUMIFS(afslagen_beleid[Opslag q],afslagen_beleid[Impact afhankelijk van acceptatie burgers],vertraging[[#This Row],[Acceptatie burgers]]),0.3),INDEX(aanname_implementatie[Coëfficient q],MATCH(B79,IF(aanname_implementatie[Doelgroep]=C79,aanname_implementatie[Digitale zorgtoepassing]),0)))</f>
        <v>0.5</v>
      </c>
      <c r="J79" s="17">
        <f>0</f>
        <v>0</v>
      </c>
      <c r="K79" s="17">
        <v>0</v>
      </c>
      <c r="L79" s="17">
        <v>0</v>
      </c>
      <c r="M79" s="17">
        <v>0</v>
      </c>
      <c r="N79" s="17">
        <v>0</v>
      </c>
      <c r="O79" s="17">
        <v>0</v>
      </c>
      <c r="P79" s="17">
        <v>0</v>
      </c>
      <c r="Q79" s="17">
        <v>0</v>
      </c>
      <c r="R79" s="17">
        <v>0</v>
      </c>
      <c r="S79" s="17">
        <v>0</v>
      </c>
      <c r="T79" s="17">
        <v>0</v>
      </c>
      <c r="U79" s="17">
        <v>0</v>
      </c>
      <c r="V79" s="124" cm="1">
        <f t="array" ref="V79">INDEX(aanname_implementatie[Huidige implementatiegraad],MATCH(B79,IF(aanname_implementatie[Doelgroep]=C79,aanname_implementatie[Digitale zorgtoepassing]),0))</f>
        <v>0.4</v>
      </c>
      <c r="W79" s="126">
        <f>V79+vertraging[[#This Row],[p]]*(1-V79)+vertraging[[#This Row],[q]]*V79*(1-V79)</f>
        <v>0.53800000000000003</v>
      </c>
      <c r="X79" s="126">
        <f>W79+vertraging[[#This Row],[p]]*(1-W79)+vertraging[[#This Row],[q]]*W79*(1-W79)</f>
        <v>0.67613800000000002</v>
      </c>
      <c r="Y79" s="126">
        <f>X79+vertraging[[#This Row],[p]]*(1-X79)+vertraging[[#This Row],[q]]*X79*(1-X79)</f>
        <v>0.79534156247800003</v>
      </c>
      <c r="Z79" s="126">
        <f>Y79+vertraging[[#This Row],[p]]*(1-Y79)+vertraging[[#This Row],[q]]*Y79*(1-Y79)</f>
        <v>0.88286799634018676</v>
      </c>
      <c r="AA79" s="126">
        <f>Z79+vertraging[[#This Row],[p]]*(1-Z79)+vertraging[[#This Row],[q]]*Z79*(1-Z79)</f>
        <v>0.93808800513920654</v>
      </c>
      <c r="AB79" s="126">
        <f>AA79+vertraging[[#This Row],[p]]*(1-AA79)+vertraging[[#This Row],[q]]*AA79*(1-AA79)</f>
        <v>0.96898481486160559</v>
      </c>
      <c r="AC79" s="126">
        <f>AB79+vertraging[[#This Row],[p]]*(1-AB79)+vertraging[[#This Row],[q]]*AB79*(1-AB79)</f>
        <v>0.9849418921303702</v>
      </c>
      <c r="AD79" s="126">
        <f>AC79+vertraging[[#This Row],[p]]*(1-AC79)+vertraging[[#This Row],[q]]*AC79*(1-AC79)</f>
        <v>0.99280931599496725</v>
      </c>
      <c r="AE79" s="126">
        <f>AD79+vertraging[[#This Row],[p]]*(1-AD79)+vertraging[[#This Row],[q]]*AD79*(1-AD79)</f>
        <v>0.99659452554940442</v>
      </c>
      <c r="AF79" s="126">
        <f>AE79+vertraging[[#This Row],[p]]*(1-AE79)+vertraging[[#This Row],[q]]*AE79*(1-AE79)</f>
        <v>0.99839362838010326</v>
      </c>
      <c r="AG79" s="126">
        <f>AF79+vertraging[[#This Row],[p]]*(1-AF79)+vertraging[[#This Row],[q]]*AF79*(1-AF79)</f>
        <v>0.99924371512375787</v>
      </c>
    </row>
    <row r="80" spans="1:33" x14ac:dyDescent="0.5">
      <c r="A80" s="30" t="str">
        <f>INDEX(Technologieën[Veld],MATCH(B80,Technologieën[Digitale zorgtoepassing],0))</f>
        <v>Software - Diagnose</v>
      </c>
      <c r="B80" s="30" t="s">
        <v>473</v>
      </c>
      <c r="C80" s="30" t="s">
        <v>464</v>
      </c>
      <c r="D80" s="30" t="str" cm="1">
        <f t="array" ref="D80">INDEX(Berekening_patiëntaantal[Direct toepasbaar/extrapolatie/incidentie voor QALY],MATCH(B80,IF(Berekening_patiëntaantal[Doelgroep (zoeksleutel)]=C80,Berekening_patiëntaantal[Digitale zorgtoepassing]),0))</f>
        <v>Extrapolatie</v>
      </c>
      <c r="E80" s="440" t="s">
        <v>813</v>
      </c>
      <c r="F80" s="30" t="str">
        <f>CONCATENATE(vertraging[[#This Row],[Digitale zorgtoepassing]],"_",vertraging[[#This Row],[Doelgroep]],"_",vertraging[[#This Row],[Uitgangssituatie/effect beleid]])</f>
        <v>AI om diagnoses te stellen (CT)_CT scan_Overig_Uitgangssituatie</v>
      </c>
      <c r="G80" s="122" t="str">
        <f>INDEX(acceptatie_burgers[Impact afhankelijk van acceptatie burgers?],MATCH(B80,acceptatie_burgers[Digitale zorgtoepassing],0))</f>
        <v>Nee</v>
      </c>
      <c r="H80" s="441" cm="1">
        <f t="array" ref="H80">IF(vertraging[[#This Row],[Uitgangssituatie/effect beleid]]="Effect beleid",MAX(INDEX(aanname_implementatie[Coëfficient p],MATCH(B80,IF(aanname_implementatie[Doelgroep]=C80,aanname_implementatie[Digitale zorgtoepassing]),0))+SUMIFS(afslagen_beleid[Opslag p],afslagen_beleid[Impact afhankelijk van acceptatie burgers],vertraging[[#This Row],[Acceptatie burgers]]),0.01),INDEX(aanname_implementatie[Coëfficient p],MATCH(B80,IF(aanname_implementatie[Doelgroep]=C80,aanname_implementatie[Digitale zorgtoepassing]),0)))</f>
        <v>0.03</v>
      </c>
      <c r="I80" s="441" cm="1">
        <f t="array" ref="I80">IF(vertraging[[#This Row],[Uitgangssituatie/effect beleid]]="Effect beleid",MAX(INDEX(aanname_implementatie[Coëfficient q],MATCH(B80,IF(aanname_implementatie[Doelgroep]=C80,aanname_implementatie[Digitale zorgtoepassing]),0))+SUMIFS(afslagen_beleid[Opslag q],afslagen_beleid[Impact afhankelijk van acceptatie burgers],vertraging[[#This Row],[Acceptatie burgers]]),0.3),INDEX(aanname_implementatie[Coëfficient q],MATCH(B80,IF(aanname_implementatie[Doelgroep]=C80,aanname_implementatie[Digitale zorgtoepassing]),0)))</f>
        <v>0.5</v>
      </c>
      <c r="J80" s="17">
        <f>0</f>
        <v>0</v>
      </c>
      <c r="K80" s="17">
        <v>0</v>
      </c>
      <c r="L80" s="17">
        <v>0</v>
      </c>
      <c r="M80" s="17">
        <v>0</v>
      </c>
      <c r="N80" s="17">
        <v>0</v>
      </c>
      <c r="O80" s="17">
        <v>0</v>
      </c>
      <c r="P80" s="17">
        <v>0</v>
      </c>
      <c r="Q80" s="17">
        <v>0</v>
      </c>
      <c r="R80" s="17">
        <v>0</v>
      </c>
      <c r="S80" s="17">
        <v>0</v>
      </c>
      <c r="T80" s="17">
        <v>0</v>
      </c>
      <c r="U80" s="17">
        <v>0</v>
      </c>
      <c r="V80" s="124" cm="1">
        <f t="array" ref="V80">INDEX(aanname_implementatie[Huidige implementatiegraad],MATCH(B80,IF(aanname_implementatie[Doelgroep]=C80,aanname_implementatie[Digitale zorgtoepassing]),0))</f>
        <v>0</v>
      </c>
      <c r="W80" s="126">
        <f>V80+vertraging[[#This Row],[p]]*(1-V80)+vertraging[[#This Row],[q]]*V80*(1-V80)</f>
        <v>0.03</v>
      </c>
      <c r="X80" s="126">
        <f>W80+vertraging[[#This Row],[p]]*(1-W80)+vertraging[[#This Row],[q]]*W80*(1-W80)</f>
        <v>7.3649999999999993E-2</v>
      </c>
      <c r="Y80" s="126">
        <f>X80+vertraging[[#This Row],[p]]*(1-X80)+vertraging[[#This Row],[q]]*X80*(1-X80)</f>
        <v>0.13555333874999997</v>
      </c>
      <c r="Z80" s="126">
        <f>Y80+vertraging[[#This Row],[p]]*(1-Y80)+vertraging[[#This Row],[q]]*Y80*(1-Y80)</f>
        <v>0.22007605413936385</v>
      </c>
      <c r="AA80" s="126">
        <f>Z80+vertraging[[#This Row],[p]]*(1-Z80)+vertraging[[#This Row],[q]]*Z80*(1-Z80)</f>
        <v>0.32929506478208875</v>
      </c>
      <c r="AB80" s="126">
        <f>AA80+vertraging[[#This Row],[p]]*(1-AA80)+vertraging[[#This Row],[q]]*AA80*(1-AA80)</f>
        <v>0.4598461253847505</v>
      </c>
      <c r="AC80" s="126">
        <f>AB80+vertraging[[#This Row],[p]]*(1-AB80)+vertraging[[#This Row],[q]]*AB80*(1-AB80)</f>
        <v>0.60024457479989934</v>
      </c>
      <c r="AD80" s="126">
        <f>AC80+vertraging[[#This Row],[p]]*(1-AC80)+vertraging[[#This Row],[q]]*AC80*(1-AC80)</f>
        <v>0.73221275016749598</v>
      </c>
      <c r="AE80" s="126">
        <f>AD80+vertraging[[#This Row],[p]]*(1-AD80)+vertraging[[#This Row],[q]]*AD80*(1-AD80)</f>
        <v>0.83828498699229514</v>
      </c>
      <c r="AF80" s="126">
        <f>AE80+vertraging[[#This Row],[p]]*(1-AE80)+vertraging[[#This Row],[q]]*AE80*(1-AE80)</f>
        <v>0.91091807117033763</v>
      </c>
      <c r="AG80" s="126">
        <f>AF80+vertraging[[#This Row],[p]]*(1-AF80)+vertraging[[#This Row],[q]]*AF80*(1-AF80)</f>
        <v>0.95416369842805215</v>
      </c>
    </row>
    <row r="81" spans="1:33" x14ac:dyDescent="0.5">
      <c r="A81" s="30" t="str">
        <f>INDEX(Technologieën[Veld],MATCH(B81,Technologieën[Digitale zorgtoepassing],0))</f>
        <v>Software - Diagnose</v>
      </c>
      <c r="B81" s="30" t="s">
        <v>473</v>
      </c>
      <c r="C81" s="30" t="s">
        <v>75</v>
      </c>
      <c r="D81" s="30" t="str" cm="1">
        <f t="array" ref="D81">INDEX(Berekening_patiëntaantal[Direct toepasbaar/extrapolatie/incidentie voor QALY],MATCH(B81,IF(Berekening_patiëntaantal[Doelgroep (zoeksleutel)]=C81,Berekening_patiëntaantal[Digitale zorgtoepassing]),0))</f>
        <v>Incidentie voor QALY</v>
      </c>
      <c r="E81" s="440" t="s">
        <v>813</v>
      </c>
      <c r="F81" s="30" t="str">
        <f>CONCATENATE(vertraging[[#This Row],[Digitale zorgtoepassing]],"_",vertraging[[#This Row],[Doelgroep]],"_",vertraging[[#This Row],[Uitgangssituatie/effect beleid]])</f>
        <v>AI om diagnoses te stellen (CT)_Longkanker_Uitgangssituatie</v>
      </c>
      <c r="G81" s="122" t="str">
        <f>INDEX(acceptatie_burgers[Impact afhankelijk van acceptatie burgers?],MATCH(B81,acceptatie_burgers[Digitale zorgtoepassing],0))</f>
        <v>Nee</v>
      </c>
      <c r="H81" s="441" cm="1">
        <f t="array" ref="H81">IF(vertraging[[#This Row],[Uitgangssituatie/effect beleid]]="Effect beleid",MAX(INDEX(aanname_implementatie[Coëfficient p],MATCH(B81,IF(aanname_implementatie[Doelgroep]=C81,aanname_implementatie[Digitale zorgtoepassing]),0))+SUMIFS(afslagen_beleid[Opslag p],afslagen_beleid[Impact afhankelijk van acceptatie burgers],vertraging[[#This Row],[Acceptatie burgers]]),0.01),INDEX(aanname_implementatie[Coëfficient p],MATCH(B81,IF(aanname_implementatie[Doelgroep]=C81,aanname_implementatie[Digitale zorgtoepassing]),0)))</f>
        <v>0.03</v>
      </c>
      <c r="I81" s="441" cm="1">
        <f t="array" ref="I81">IF(vertraging[[#This Row],[Uitgangssituatie/effect beleid]]="Effect beleid",MAX(INDEX(aanname_implementatie[Coëfficient q],MATCH(B81,IF(aanname_implementatie[Doelgroep]=C81,aanname_implementatie[Digitale zorgtoepassing]),0))+SUMIFS(afslagen_beleid[Opslag q],afslagen_beleid[Impact afhankelijk van acceptatie burgers],vertraging[[#This Row],[Acceptatie burgers]]),0.3),INDEX(aanname_implementatie[Coëfficient q],MATCH(B81,IF(aanname_implementatie[Doelgroep]=C81,aanname_implementatie[Digitale zorgtoepassing]),0)))</f>
        <v>0.5</v>
      </c>
      <c r="J81" s="17">
        <f>0</f>
        <v>0</v>
      </c>
      <c r="K81" s="17">
        <v>0</v>
      </c>
      <c r="L81" s="17">
        <v>0</v>
      </c>
      <c r="M81" s="17">
        <v>0</v>
      </c>
      <c r="N81" s="17">
        <v>0</v>
      </c>
      <c r="O81" s="17">
        <v>0</v>
      </c>
      <c r="P81" s="17">
        <v>0</v>
      </c>
      <c r="Q81" s="17">
        <v>0</v>
      </c>
      <c r="R81" s="17">
        <v>0</v>
      </c>
      <c r="S81" s="17">
        <v>0</v>
      </c>
      <c r="T81" s="17">
        <v>0</v>
      </c>
      <c r="U81" s="17">
        <v>0</v>
      </c>
      <c r="V81" s="124" cm="1">
        <f t="array" ref="V81">INDEX(aanname_implementatie[Huidige implementatiegraad],MATCH(B81,IF(aanname_implementatie[Doelgroep]=C81,aanname_implementatie[Digitale zorgtoepassing]),0))</f>
        <v>0.4</v>
      </c>
      <c r="W81" s="126">
        <f>V81+vertraging[[#This Row],[p]]*(1-V81)+vertraging[[#This Row],[q]]*V81*(1-V81)</f>
        <v>0.53800000000000003</v>
      </c>
      <c r="X81" s="126">
        <f>W81+vertraging[[#This Row],[p]]*(1-W81)+vertraging[[#This Row],[q]]*W81*(1-W81)</f>
        <v>0.67613800000000002</v>
      </c>
      <c r="Y81" s="126">
        <f>X81+vertraging[[#This Row],[p]]*(1-X81)+vertraging[[#This Row],[q]]*X81*(1-X81)</f>
        <v>0.79534156247800003</v>
      </c>
      <c r="Z81" s="126">
        <f>Y81+vertraging[[#This Row],[p]]*(1-Y81)+vertraging[[#This Row],[q]]*Y81*(1-Y81)</f>
        <v>0.88286799634018676</v>
      </c>
      <c r="AA81" s="126">
        <f>Z81+vertraging[[#This Row],[p]]*(1-Z81)+vertraging[[#This Row],[q]]*Z81*(1-Z81)</f>
        <v>0.93808800513920654</v>
      </c>
      <c r="AB81" s="126">
        <f>AA81+vertraging[[#This Row],[p]]*(1-AA81)+vertraging[[#This Row],[q]]*AA81*(1-AA81)</f>
        <v>0.96898481486160559</v>
      </c>
      <c r="AC81" s="126">
        <f>AB81+vertraging[[#This Row],[p]]*(1-AB81)+vertraging[[#This Row],[q]]*AB81*(1-AB81)</f>
        <v>0.9849418921303702</v>
      </c>
      <c r="AD81" s="126">
        <f>AC81+vertraging[[#This Row],[p]]*(1-AC81)+vertraging[[#This Row],[q]]*AC81*(1-AC81)</f>
        <v>0.99280931599496725</v>
      </c>
      <c r="AE81" s="126">
        <f>AD81+vertraging[[#This Row],[p]]*(1-AD81)+vertraging[[#This Row],[q]]*AD81*(1-AD81)</f>
        <v>0.99659452554940442</v>
      </c>
      <c r="AF81" s="126">
        <f>AE81+vertraging[[#This Row],[p]]*(1-AE81)+vertraging[[#This Row],[q]]*AE81*(1-AE81)</f>
        <v>0.99839362838010326</v>
      </c>
      <c r="AG81" s="126">
        <f>AF81+vertraging[[#This Row],[p]]*(1-AF81)+vertraging[[#This Row],[q]]*AF81*(1-AF81)</f>
        <v>0.99924371512375787</v>
      </c>
    </row>
    <row r="82" spans="1:33" x14ac:dyDescent="0.5">
      <c r="A82" s="30" t="str">
        <f>INDEX(Technologieën[Veld],MATCH(B82,Technologieën[Digitale zorgtoepassing],0))</f>
        <v>Software - Diagnose</v>
      </c>
      <c r="B82" s="30" t="s">
        <v>472</v>
      </c>
      <c r="C82" s="30" t="s">
        <v>465</v>
      </c>
      <c r="D82" s="30" t="str" cm="1">
        <f t="array" ref="D82">INDEX(Berekening_patiëntaantal[Direct toepasbaar/extrapolatie/incidentie voor QALY],MATCH(B82,IF(Berekening_patiëntaantal[Doelgroep (zoeksleutel)]=C82,Berekening_patiëntaantal[Digitale zorgtoepassing]),0))</f>
        <v>Extrapolatie</v>
      </c>
      <c r="E82" s="440" t="s">
        <v>813</v>
      </c>
      <c r="F82" s="30" t="str">
        <f>CONCATENATE(vertraging[[#This Row],[Digitale zorgtoepassing]],"_",vertraging[[#This Row],[Doelgroep]],"_",vertraging[[#This Row],[Uitgangssituatie/effect beleid]])</f>
        <v>AI om diagnoses te stellen (MRI)_MRI onderzoek_Overig_Uitgangssituatie</v>
      </c>
      <c r="G82" s="122" t="str">
        <f>INDEX(acceptatie_burgers[Impact afhankelijk van acceptatie burgers?],MATCH(B82,acceptatie_burgers[Digitale zorgtoepassing],0))</f>
        <v>Nee</v>
      </c>
      <c r="H82" s="441" cm="1">
        <f t="array" ref="H82">IF(vertraging[[#This Row],[Uitgangssituatie/effect beleid]]="Effect beleid",MAX(INDEX(aanname_implementatie[Coëfficient p],MATCH(B82,IF(aanname_implementatie[Doelgroep]=C82,aanname_implementatie[Digitale zorgtoepassing]),0))+SUMIFS(afslagen_beleid[Opslag p],afslagen_beleid[Impact afhankelijk van acceptatie burgers],vertraging[[#This Row],[Acceptatie burgers]]),0.01),INDEX(aanname_implementatie[Coëfficient p],MATCH(B82,IF(aanname_implementatie[Doelgroep]=C82,aanname_implementatie[Digitale zorgtoepassing]),0)))</f>
        <v>0.03</v>
      </c>
      <c r="I82" s="441" cm="1">
        <f t="array" ref="I82">IF(vertraging[[#This Row],[Uitgangssituatie/effect beleid]]="Effect beleid",MAX(INDEX(aanname_implementatie[Coëfficient q],MATCH(B82,IF(aanname_implementatie[Doelgroep]=C82,aanname_implementatie[Digitale zorgtoepassing]),0))+SUMIFS(afslagen_beleid[Opslag q],afslagen_beleid[Impact afhankelijk van acceptatie burgers],vertraging[[#This Row],[Acceptatie burgers]]),0.3),INDEX(aanname_implementatie[Coëfficient q],MATCH(B82,IF(aanname_implementatie[Doelgroep]=C82,aanname_implementatie[Digitale zorgtoepassing]),0)))</f>
        <v>0.5</v>
      </c>
      <c r="J82" s="17">
        <f>0</f>
        <v>0</v>
      </c>
      <c r="K82" s="17">
        <v>0</v>
      </c>
      <c r="L82" s="17">
        <v>0</v>
      </c>
      <c r="M82" s="17">
        <v>0</v>
      </c>
      <c r="N82" s="17">
        <v>0</v>
      </c>
      <c r="O82" s="17">
        <v>0</v>
      </c>
      <c r="P82" s="17">
        <v>0</v>
      </c>
      <c r="Q82" s="17">
        <v>0</v>
      </c>
      <c r="R82" s="17">
        <v>0</v>
      </c>
      <c r="S82" s="17">
        <v>0</v>
      </c>
      <c r="T82" s="17">
        <v>0</v>
      </c>
      <c r="U82" s="17">
        <v>0</v>
      </c>
      <c r="V82" s="124" cm="1">
        <f t="array" ref="V82">INDEX(aanname_implementatie[Huidige implementatiegraad],MATCH(B82,IF(aanname_implementatie[Doelgroep]=C82,aanname_implementatie[Digitale zorgtoepassing]),0))</f>
        <v>0</v>
      </c>
      <c r="W82" s="126">
        <f>V82+vertraging[[#This Row],[p]]*(1-V82)+vertraging[[#This Row],[q]]*V82*(1-V82)</f>
        <v>0.03</v>
      </c>
      <c r="X82" s="126">
        <f>W82+vertraging[[#This Row],[p]]*(1-W82)+vertraging[[#This Row],[q]]*W82*(1-W82)</f>
        <v>7.3649999999999993E-2</v>
      </c>
      <c r="Y82" s="126">
        <f>X82+vertraging[[#This Row],[p]]*(1-X82)+vertraging[[#This Row],[q]]*X82*(1-X82)</f>
        <v>0.13555333874999997</v>
      </c>
      <c r="Z82" s="126">
        <f>Y82+vertraging[[#This Row],[p]]*(1-Y82)+vertraging[[#This Row],[q]]*Y82*(1-Y82)</f>
        <v>0.22007605413936385</v>
      </c>
      <c r="AA82" s="126">
        <f>Z82+vertraging[[#This Row],[p]]*(1-Z82)+vertraging[[#This Row],[q]]*Z82*(1-Z82)</f>
        <v>0.32929506478208875</v>
      </c>
      <c r="AB82" s="126">
        <f>AA82+vertraging[[#This Row],[p]]*(1-AA82)+vertraging[[#This Row],[q]]*AA82*(1-AA82)</f>
        <v>0.4598461253847505</v>
      </c>
      <c r="AC82" s="126">
        <f>AB82+vertraging[[#This Row],[p]]*(1-AB82)+vertraging[[#This Row],[q]]*AB82*(1-AB82)</f>
        <v>0.60024457479989934</v>
      </c>
      <c r="AD82" s="126">
        <f>AC82+vertraging[[#This Row],[p]]*(1-AC82)+vertraging[[#This Row],[q]]*AC82*(1-AC82)</f>
        <v>0.73221275016749598</v>
      </c>
      <c r="AE82" s="126">
        <f>AD82+vertraging[[#This Row],[p]]*(1-AD82)+vertraging[[#This Row],[q]]*AD82*(1-AD82)</f>
        <v>0.83828498699229514</v>
      </c>
      <c r="AF82" s="126">
        <f>AE82+vertraging[[#This Row],[p]]*(1-AE82)+vertraging[[#This Row],[q]]*AE82*(1-AE82)</f>
        <v>0.91091807117033763</v>
      </c>
      <c r="AG82" s="126">
        <f>AF82+vertraging[[#This Row],[p]]*(1-AF82)+vertraging[[#This Row],[q]]*AF82*(1-AF82)</f>
        <v>0.95416369842805215</v>
      </c>
    </row>
    <row r="83" spans="1:33" x14ac:dyDescent="0.5">
      <c r="A83" s="30" t="str">
        <f>INDEX(Technologieën[Veld],MATCH(B83,Technologieën[Digitale zorgtoepassing],0))</f>
        <v>Software - Diagnose</v>
      </c>
      <c r="B83" s="30" t="s">
        <v>472</v>
      </c>
      <c r="C83" s="30" t="s">
        <v>442</v>
      </c>
      <c r="D83" s="30" t="str" cm="1">
        <f t="array" ref="D83">INDEX(Berekening_patiëntaantal[Direct toepasbaar/extrapolatie/incidentie voor QALY],MATCH(B83,IF(Berekening_patiëntaantal[Doelgroep (zoeksleutel)]=C83,Berekening_patiëntaantal[Digitale zorgtoepassing]),0))</f>
        <v>Huidige toepassing</v>
      </c>
      <c r="E83" s="440" t="s">
        <v>813</v>
      </c>
      <c r="F83" s="30" t="str">
        <f>CONCATENATE(vertraging[[#This Row],[Digitale zorgtoepassing]],"_",vertraging[[#This Row],[Doelgroep]],"_",vertraging[[#This Row],[Uitgangssituatie/effect beleid]])</f>
        <v>AI om diagnoses te stellen (MRI)_MRI onderzoek_Prostaatkanker_Uitgangssituatie</v>
      </c>
      <c r="G83" s="122" t="str">
        <f>INDEX(acceptatie_burgers[Impact afhankelijk van acceptatie burgers?],MATCH(B83,acceptatie_burgers[Digitale zorgtoepassing],0))</f>
        <v>Nee</v>
      </c>
      <c r="H83" s="441" cm="1">
        <f t="array" ref="H83">IF(vertraging[[#This Row],[Uitgangssituatie/effect beleid]]="Effect beleid",MAX(INDEX(aanname_implementatie[Coëfficient p],MATCH(B83,IF(aanname_implementatie[Doelgroep]=C83,aanname_implementatie[Digitale zorgtoepassing]),0))+SUMIFS(afslagen_beleid[Opslag p],afslagen_beleid[Impact afhankelijk van acceptatie burgers],vertraging[[#This Row],[Acceptatie burgers]]),0.01),INDEX(aanname_implementatie[Coëfficient p],MATCH(B83,IF(aanname_implementatie[Doelgroep]=C83,aanname_implementatie[Digitale zorgtoepassing]),0)))</f>
        <v>0.03</v>
      </c>
      <c r="I83" s="441" cm="1">
        <f t="array" ref="I83">IF(vertraging[[#This Row],[Uitgangssituatie/effect beleid]]="Effect beleid",MAX(INDEX(aanname_implementatie[Coëfficient q],MATCH(B83,IF(aanname_implementatie[Doelgroep]=C83,aanname_implementatie[Digitale zorgtoepassing]),0))+SUMIFS(afslagen_beleid[Opslag q],afslagen_beleid[Impact afhankelijk van acceptatie burgers],vertraging[[#This Row],[Acceptatie burgers]]),0.3),INDEX(aanname_implementatie[Coëfficient q],MATCH(B83,IF(aanname_implementatie[Doelgroep]=C83,aanname_implementatie[Digitale zorgtoepassing]),0)))</f>
        <v>0.5</v>
      </c>
      <c r="J83" s="17">
        <f>0</f>
        <v>0</v>
      </c>
      <c r="K83" s="17">
        <v>0</v>
      </c>
      <c r="L83" s="17">
        <v>0</v>
      </c>
      <c r="M83" s="17">
        <v>0</v>
      </c>
      <c r="N83" s="17">
        <v>0</v>
      </c>
      <c r="O83" s="17">
        <v>0</v>
      </c>
      <c r="P83" s="17">
        <v>0</v>
      </c>
      <c r="Q83" s="17">
        <v>0</v>
      </c>
      <c r="R83" s="17">
        <v>0</v>
      </c>
      <c r="S83" s="17">
        <v>0</v>
      </c>
      <c r="T83" s="17">
        <v>0</v>
      </c>
      <c r="U83" s="17">
        <v>0</v>
      </c>
      <c r="V83" s="124" cm="1">
        <f t="array" ref="V83">INDEX(aanname_implementatie[Huidige implementatiegraad],MATCH(B83,IF(aanname_implementatie[Doelgroep]=C83,aanname_implementatie[Digitale zorgtoepassing]),0))</f>
        <v>0.4</v>
      </c>
      <c r="W83" s="126">
        <f>V83+vertraging[[#This Row],[p]]*(1-V83)+vertraging[[#This Row],[q]]*V83*(1-V83)</f>
        <v>0.53800000000000003</v>
      </c>
      <c r="X83" s="126">
        <f>W83+vertraging[[#This Row],[p]]*(1-W83)+vertraging[[#This Row],[q]]*W83*(1-W83)</f>
        <v>0.67613800000000002</v>
      </c>
      <c r="Y83" s="126">
        <f>X83+vertraging[[#This Row],[p]]*(1-X83)+vertraging[[#This Row],[q]]*X83*(1-X83)</f>
        <v>0.79534156247800003</v>
      </c>
      <c r="Z83" s="126">
        <f>Y83+vertraging[[#This Row],[p]]*(1-Y83)+vertraging[[#This Row],[q]]*Y83*(1-Y83)</f>
        <v>0.88286799634018676</v>
      </c>
      <c r="AA83" s="126">
        <f>Z83+vertraging[[#This Row],[p]]*(1-Z83)+vertraging[[#This Row],[q]]*Z83*(1-Z83)</f>
        <v>0.93808800513920654</v>
      </c>
      <c r="AB83" s="126">
        <f>AA83+vertraging[[#This Row],[p]]*(1-AA83)+vertraging[[#This Row],[q]]*AA83*(1-AA83)</f>
        <v>0.96898481486160559</v>
      </c>
      <c r="AC83" s="126">
        <f>AB83+vertraging[[#This Row],[p]]*(1-AB83)+vertraging[[#This Row],[q]]*AB83*(1-AB83)</f>
        <v>0.9849418921303702</v>
      </c>
      <c r="AD83" s="126">
        <f>AC83+vertraging[[#This Row],[p]]*(1-AC83)+vertraging[[#This Row],[q]]*AC83*(1-AC83)</f>
        <v>0.99280931599496725</v>
      </c>
      <c r="AE83" s="126">
        <f>AD83+vertraging[[#This Row],[p]]*(1-AD83)+vertraging[[#This Row],[q]]*AD83*(1-AD83)</f>
        <v>0.99659452554940442</v>
      </c>
      <c r="AF83" s="126">
        <f>AE83+vertraging[[#This Row],[p]]*(1-AE83)+vertraging[[#This Row],[q]]*AE83*(1-AE83)</f>
        <v>0.99839362838010326</v>
      </c>
      <c r="AG83" s="126">
        <f>AF83+vertraging[[#This Row],[p]]*(1-AF83)+vertraging[[#This Row],[q]]*AF83*(1-AF83)</f>
        <v>0.99924371512375787</v>
      </c>
    </row>
    <row r="84" spans="1:33" x14ac:dyDescent="0.5">
      <c r="A84" s="30" t="str">
        <f>INDEX(Technologieën[Veld],MATCH(B84,Technologieën[Digitale zorgtoepassing],0))</f>
        <v>Software - Diagnose</v>
      </c>
      <c r="B84" s="30" t="s">
        <v>472</v>
      </c>
      <c r="C84" s="30" t="s">
        <v>71</v>
      </c>
      <c r="D84" s="30" t="str" cm="1">
        <f t="array" ref="D84">INDEX(Berekening_patiëntaantal[Direct toepasbaar/extrapolatie/incidentie voor QALY],MATCH(B84,IF(Berekening_patiëntaantal[Doelgroep (zoeksleutel)]=C84,Berekening_patiëntaantal[Digitale zorgtoepassing]),0))</f>
        <v>Incidentie voor QALY</v>
      </c>
      <c r="E84" s="440" t="s">
        <v>813</v>
      </c>
      <c r="F84" s="30" t="str">
        <f>CONCATENATE(vertraging[[#This Row],[Digitale zorgtoepassing]],"_",vertraging[[#This Row],[Doelgroep]],"_",vertraging[[#This Row],[Uitgangssituatie/effect beleid]])</f>
        <v>AI om diagnoses te stellen (MRI)_Prostaatkanker_Uitgangssituatie</v>
      </c>
      <c r="G84" s="122" t="str">
        <f>INDEX(acceptatie_burgers[Impact afhankelijk van acceptatie burgers?],MATCH(B84,acceptatie_burgers[Digitale zorgtoepassing],0))</f>
        <v>Nee</v>
      </c>
      <c r="H84" s="441" cm="1">
        <f t="array" ref="H84">IF(vertraging[[#This Row],[Uitgangssituatie/effect beleid]]="Effect beleid",MAX(INDEX(aanname_implementatie[Coëfficient p],MATCH(B84,IF(aanname_implementatie[Doelgroep]=C84,aanname_implementatie[Digitale zorgtoepassing]),0))+SUMIFS(afslagen_beleid[Opslag p],afslagen_beleid[Impact afhankelijk van acceptatie burgers],vertraging[[#This Row],[Acceptatie burgers]]),0.01),INDEX(aanname_implementatie[Coëfficient p],MATCH(B84,IF(aanname_implementatie[Doelgroep]=C84,aanname_implementatie[Digitale zorgtoepassing]),0)))</f>
        <v>0.03</v>
      </c>
      <c r="I84" s="441" cm="1">
        <f t="array" ref="I84">IF(vertraging[[#This Row],[Uitgangssituatie/effect beleid]]="Effect beleid",MAX(INDEX(aanname_implementatie[Coëfficient q],MATCH(B84,IF(aanname_implementatie[Doelgroep]=C84,aanname_implementatie[Digitale zorgtoepassing]),0))+SUMIFS(afslagen_beleid[Opslag q],afslagen_beleid[Impact afhankelijk van acceptatie burgers],vertraging[[#This Row],[Acceptatie burgers]]),0.3),INDEX(aanname_implementatie[Coëfficient q],MATCH(B84,IF(aanname_implementatie[Doelgroep]=C84,aanname_implementatie[Digitale zorgtoepassing]),0)))</f>
        <v>0.5</v>
      </c>
      <c r="J84" s="17">
        <f>0</f>
        <v>0</v>
      </c>
      <c r="K84" s="17">
        <v>0</v>
      </c>
      <c r="L84" s="17">
        <v>0</v>
      </c>
      <c r="M84" s="17">
        <v>0</v>
      </c>
      <c r="N84" s="17">
        <v>0</v>
      </c>
      <c r="O84" s="17">
        <v>0</v>
      </c>
      <c r="P84" s="17">
        <v>0</v>
      </c>
      <c r="Q84" s="17">
        <v>0</v>
      </c>
      <c r="R84" s="17">
        <v>0</v>
      </c>
      <c r="S84" s="17">
        <v>0</v>
      </c>
      <c r="T84" s="17">
        <v>0</v>
      </c>
      <c r="U84" s="17">
        <v>0</v>
      </c>
      <c r="V84" s="124" cm="1">
        <f t="array" ref="V84">INDEX(aanname_implementatie[Huidige implementatiegraad],MATCH(B84,IF(aanname_implementatie[Doelgroep]=C84,aanname_implementatie[Digitale zorgtoepassing]),0))</f>
        <v>0.4</v>
      </c>
      <c r="W84" s="126">
        <f>V84+vertraging[[#This Row],[p]]*(1-V84)+vertraging[[#This Row],[q]]*V84*(1-V84)</f>
        <v>0.53800000000000003</v>
      </c>
      <c r="X84" s="126">
        <f>W84+vertraging[[#This Row],[p]]*(1-W84)+vertraging[[#This Row],[q]]*W84*(1-W84)</f>
        <v>0.67613800000000002</v>
      </c>
      <c r="Y84" s="126">
        <f>X84+vertraging[[#This Row],[p]]*(1-X84)+vertraging[[#This Row],[q]]*X84*(1-X84)</f>
        <v>0.79534156247800003</v>
      </c>
      <c r="Z84" s="126">
        <f>Y84+vertraging[[#This Row],[p]]*(1-Y84)+vertraging[[#This Row],[q]]*Y84*(1-Y84)</f>
        <v>0.88286799634018676</v>
      </c>
      <c r="AA84" s="126">
        <f>Z84+vertraging[[#This Row],[p]]*(1-Z84)+vertraging[[#This Row],[q]]*Z84*(1-Z84)</f>
        <v>0.93808800513920654</v>
      </c>
      <c r="AB84" s="126">
        <f>AA84+vertraging[[#This Row],[p]]*(1-AA84)+vertraging[[#This Row],[q]]*AA84*(1-AA84)</f>
        <v>0.96898481486160559</v>
      </c>
      <c r="AC84" s="126">
        <f>AB84+vertraging[[#This Row],[p]]*(1-AB84)+vertraging[[#This Row],[q]]*AB84*(1-AB84)</f>
        <v>0.9849418921303702</v>
      </c>
      <c r="AD84" s="126">
        <f>AC84+vertraging[[#This Row],[p]]*(1-AC84)+vertraging[[#This Row],[q]]*AC84*(1-AC84)</f>
        <v>0.99280931599496725</v>
      </c>
      <c r="AE84" s="126">
        <f>AD84+vertraging[[#This Row],[p]]*(1-AD84)+vertraging[[#This Row],[q]]*AD84*(1-AD84)</f>
        <v>0.99659452554940442</v>
      </c>
      <c r="AF84" s="126">
        <f>AE84+vertraging[[#This Row],[p]]*(1-AE84)+vertraging[[#This Row],[q]]*AE84*(1-AE84)</f>
        <v>0.99839362838010326</v>
      </c>
      <c r="AG84" s="126">
        <f>AF84+vertraging[[#This Row],[p]]*(1-AF84)+vertraging[[#This Row],[q]]*AF84*(1-AF84)</f>
        <v>0.99924371512375787</v>
      </c>
    </row>
    <row r="85" spans="1:33" x14ac:dyDescent="0.5">
      <c r="A85" s="30" t="str">
        <f>INDEX(Technologieën[Veld],MATCH(B85,Technologieën[Digitale zorgtoepassing],0))</f>
        <v>Software - Diagnose</v>
      </c>
      <c r="B85" s="30" t="s">
        <v>475</v>
      </c>
      <c r="C85" s="30" t="s">
        <v>460</v>
      </c>
      <c r="D85" s="30" t="str" cm="1">
        <f t="array" ref="D85">INDEX(Berekening_patiëntaantal[Direct toepasbaar/extrapolatie/incidentie voor QALY],MATCH(B85,IF(Berekening_patiëntaantal[Doelgroep (zoeksleutel)]=C85,Berekening_patiëntaantal[Digitale zorgtoepassing]),0))</f>
        <v>Huidige toepassing</v>
      </c>
      <c r="E85" s="440" t="s">
        <v>813</v>
      </c>
      <c r="F85" s="30" t="str">
        <f>CONCATENATE(vertraging[[#This Row],[Digitale zorgtoepassing]],"_",vertraging[[#This Row],[Doelgroep]],"_",vertraging[[#This Row],[Uitgangssituatie/effect beleid]])</f>
        <v>AI om diagnoses te stellen (röntgen)_Röntgenscan_Botbreuk_Uitgangssituatie</v>
      </c>
      <c r="G85" s="122" t="str">
        <f>INDEX(acceptatie_burgers[Impact afhankelijk van acceptatie burgers?],MATCH(B85,acceptatie_burgers[Digitale zorgtoepassing],0))</f>
        <v>Nee</v>
      </c>
      <c r="H85" s="441" cm="1">
        <f t="array" ref="H85">IF(vertraging[[#This Row],[Uitgangssituatie/effect beleid]]="Effect beleid",MAX(INDEX(aanname_implementatie[Coëfficient p],MATCH(B85,IF(aanname_implementatie[Doelgroep]=C85,aanname_implementatie[Digitale zorgtoepassing]),0))+SUMIFS(afslagen_beleid[Opslag p],afslagen_beleid[Impact afhankelijk van acceptatie burgers],vertraging[[#This Row],[Acceptatie burgers]]),0.01),INDEX(aanname_implementatie[Coëfficient p],MATCH(B85,IF(aanname_implementatie[Doelgroep]=C85,aanname_implementatie[Digitale zorgtoepassing]),0)))</f>
        <v>2.5000000000000001E-2</v>
      </c>
      <c r="I85" s="441" cm="1">
        <f t="array" ref="I85">IF(vertraging[[#This Row],[Uitgangssituatie/effect beleid]]="Effect beleid",MAX(INDEX(aanname_implementatie[Coëfficient q],MATCH(B85,IF(aanname_implementatie[Doelgroep]=C85,aanname_implementatie[Digitale zorgtoepassing]),0))+SUMIFS(afslagen_beleid[Opslag q],afslagen_beleid[Impact afhankelijk van acceptatie burgers],vertraging[[#This Row],[Acceptatie burgers]]),0.3),INDEX(aanname_implementatie[Coëfficient q],MATCH(B85,IF(aanname_implementatie[Doelgroep]=C85,aanname_implementatie[Digitale zorgtoepassing]),0)))</f>
        <v>0.45</v>
      </c>
      <c r="J85" s="17">
        <f>0</f>
        <v>0</v>
      </c>
      <c r="K85" s="17">
        <v>0</v>
      </c>
      <c r="L85" s="17">
        <v>0</v>
      </c>
      <c r="M85" s="17">
        <v>0</v>
      </c>
      <c r="N85" s="17">
        <v>0</v>
      </c>
      <c r="O85" s="17">
        <v>0</v>
      </c>
      <c r="P85" s="17">
        <v>0</v>
      </c>
      <c r="Q85" s="17">
        <v>0</v>
      </c>
      <c r="R85" s="17">
        <v>0</v>
      </c>
      <c r="S85" s="17">
        <v>0</v>
      </c>
      <c r="T85" s="17">
        <v>0</v>
      </c>
      <c r="U85" s="17">
        <v>0</v>
      </c>
      <c r="V85" s="124" cm="1">
        <f t="array" ref="V85">INDEX(aanname_implementatie[Huidige implementatiegraad],MATCH(B85,IF(aanname_implementatie[Doelgroep]=C85,aanname_implementatie[Digitale zorgtoepassing]),0))</f>
        <v>0.2</v>
      </c>
      <c r="W85" s="126">
        <f>V85+vertraging[[#This Row],[p]]*(1-V85)+vertraging[[#This Row],[q]]*V85*(1-V85)</f>
        <v>0.29200000000000004</v>
      </c>
      <c r="X85" s="126">
        <f>W85+vertraging[[#This Row],[p]]*(1-W85)+vertraging[[#This Row],[q]]*W85*(1-W85)</f>
        <v>0.40273120000000007</v>
      </c>
      <c r="Y85" s="126">
        <f>X85+vertraging[[#This Row],[p]]*(1-X85)+vertraging[[#This Row],[q]]*X85*(1-X85)</f>
        <v>0.52590537124595205</v>
      </c>
      <c r="Z85" s="126">
        <f>Y85+vertraging[[#This Row],[p]]*(1-Y85)+vertraging[[#This Row],[q]]*Y85*(1-Y85)</f>
        <v>0.64995574724807748</v>
      </c>
      <c r="AA85" s="126">
        <f>Z85+vertraging[[#This Row],[p]]*(1-Z85)+vertraging[[#This Row],[q]]*Z85*(1-Z85)</f>
        <v>0.76108782680714737</v>
      </c>
      <c r="AB85" s="126">
        <f>AA85+vertraging[[#This Row],[p]]*(1-AA85)+vertraging[[#This Row],[q]]*AA85*(1-AA85)</f>
        <v>0.8488855471488731</v>
      </c>
      <c r="AC85" s="126">
        <f>AB85+vertraging[[#This Row],[p]]*(1-AB85)+vertraging[[#This Row],[q]]*AB85*(1-AB85)</f>
        <v>0.91038890221593549</v>
      </c>
      <c r="AD85" s="126">
        <f>AC85+vertraging[[#This Row],[p]]*(1-AC85)+vertraging[[#This Row],[q]]*AC85*(1-AC85)</f>
        <v>0.94934060668263687</v>
      </c>
      <c r="AE85" s="126">
        <f>AD85+vertraging[[#This Row],[p]]*(1-AD85)+vertraging[[#This Row],[q]]*AD85*(1-AD85)</f>
        <v>0.9722489501493069</v>
      </c>
      <c r="AF85" s="126">
        <f>AE85+vertraging[[#This Row],[p]]*(1-AE85)+vertraging[[#This Row],[q]]*AE85*(1-AE85)</f>
        <v>0.98508414448286907</v>
      </c>
      <c r="AG85" s="126">
        <f>AF85+vertraging[[#This Row],[p]]*(1-AF85)+vertraging[[#This Row],[q]]*AF85*(1-AF85)</f>
        <v>0.99206905861789263</v>
      </c>
    </row>
    <row r="86" spans="1:33" x14ac:dyDescent="0.5">
      <c r="A86" s="30" t="str">
        <f>INDEX(Technologieën[Veld],MATCH(B86,Technologieën[Digitale zorgtoepassing],0))</f>
        <v>Software - Diagnose</v>
      </c>
      <c r="B86" s="30" t="s">
        <v>475</v>
      </c>
      <c r="C86" s="30" t="s">
        <v>492</v>
      </c>
      <c r="D86" s="30" t="str" cm="1">
        <f t="array" ref="D86">INDEX(Berekening_patiëntaantal[Direct toepasbaar/extrapolatie/incidentie voor QALY],MATCH(B86,IF(Berekening_patiëntaantal[Doelgroep (zoeksleutel)]=C86,Berekening_patiëntaantal[Digitale zorgtoepassing]),0))</f>
        <v>Extrapolatie</v>
      </c>
      <c r="E86" s="440" t="s">
        <v>813</v>
      </c>
      <c r="F86" s="30" t="str">
        <f>CONCATENATE(vertraging[[#This Row],[Digitale zorgtoepassing]],"_",vertraging[[#This Row],[Doelgroep]],"_",vertraging[[#This Row],[Uitgangssituatie/effect beleid]])</f>
        <v>AI om diagnoses te stellen (röntgen)_Röntgenscan_Overig_Uitgangssituatie</v>
      </c>
      <c r="G86" s="122" t="str">
        <f>INDEX(acceptatie_burgers[Impact afhankelijk van acceptatie burgers?],MATCH(B86,acceptatie_burgers[Digitale zorgtoepassing],0))</f>
        <v>Nee</v>
      </c>
      <c r="H86" s="441" cm="1">
        <f t="array" ref="H86">IF(vertraging[[#This Row],[Uitgangssituatie/effect beleid]]="Effect beleid",MAX(INDEX(aanname_implementatie[Coëfficient p],MATCH(B86,IF(aanname_implementatie[Doelgroep]=C86,aanname_implementatie[Digitale zorgtoepassing]),0))+SUMIFS(afslagen_beleid[Opslag p],afslagen_beleid[Impact afhankelijk van acceptatie burgers],vertraging[[#This Row],[Acceptatie burgers]]),0.01),INDEX(aanname_implementatie[Coëfficient p],MATCH(B86,IF(aanname_implementatie[Doelgroep]=C86,aanname_implementatie[Digitale zorgtoepassing]),0)))</f>
        <v>2.5000000000000001E-2</v>
      </c>
      <c r="I86" s="441" cm="1">
        <f t="array" ref="I86">IF(vertraging[[#This Row],[Uitgangssituatie/effect beleid]]="Effect beleid",MAX(INDEX(aanname_implementatie[Coëfficient q],MATCH(B86,IF(aanname_implementatie[Doelgroep]=C86,aanname_implementatie[Digitale zorgtoepassing]),0))+SUMIFS(afslagen_beleid[Opslag q],afslagen_beleid[Impact afhankelijk van acceptatie burgers],vertraging[[#This Row],[Acceptatie burgers]]),0.3),INDEX(aanname_implementatie[Coëfficient q],MATCH(B86,IF(aanname_implementatie[Doelgroep]=C86,aanname_implementatie[Digitale zorgtoepassing]),0)))</f>
        <v>0.45</v>
      </c>
      <c r="J86" s="17">
        <f>0</f>
        <v>0</v>
      </c>
      <c r="K86" s="17">
        <v>0</v>
      </c>
      <c r="L86" s="17">
        <v>0</v>
      </c>
      <c r="M86" s="17">
        <v>0</v>
      </c>
      <c r="N86" s="17">
        <v>0</v>
      </c>
      <c r="O86" s="17">
        <v>0</v>
      </c>
      <c r="P86" s="17">
        <v>0</v>
      </c>
      <c r="Q86" s="17">
        <v>0</v>
      </c>
      <c r="R86" s="17">
        <v>0</v>
      </c>
      <c r="S86" s="17">
        <v>0</v>
      </c>
      <c r="T86" s="17">
        <v>0</v>
      </c>
      <c r="U86" s="17">
        <v>0</v>
      </c>
      <c r="V86" s="124" cm="1">
        <f t="array" ref="V86">INDEX(aanname_implementatie[Huidige implementatiegraad],MATCH(B86,IF(aanname_implementatie[Doelgroep]=C86,aanname_implementatie[Digitale zorgtoepassing]),0))</f>
        <v>0</v>
      </c>
      <c r="W86" s="126">
        <f>V86+vertraging[[#This Row],[p]]*(1-V86)+vertraging[[#This Row],[q]]*V86*(1-V86)</f>
        <v>2.5000000000000001E-2</v>
      </c>
      <c r="X86" s="126">
        <f>W86+vertraging[[#This Row],[p]]*(1-W86)+vertraging[[#This Row],[q]]*W86*(1-W86)</f>
        <v>6.0343750000000002E-2</v>
      </c>
      <c r="Y86" s="126">
        <f>X86+vertraging[[#This Row],[p]]*(1-X86)+vertraging[[#This Row],[q]]*X86*(1-X86)</f>
        <v>0.10935122807617187</v>
      </c>
      <c r="Z86" s="126">
        <f>Y86+vertraging[[#This Row],[p]]*(1-Y86)+vertraging[[#This Row],[q]]*Y86*(1-Y86)</f>
        <v>0.17544453902174978</v>
      </c>
      <c r="AA86" s="126">
        <f>Z86+vertraging[[#This Row],[p]]*(1-Z86)+vertraging[[#This Row],[q]]*Z86*(1-Z86)</f>
        <v>0.26115711428334398</v>
      </c>
      <c r="AB86" s="126">
        <f>AA86+vertraging[[#This Row],[p]]*(1-AA86)+vertraging[[#This Row],[q]]*AA86*(1-AA86)</f>
        <v>0.36645752060040354</v>
      </c>
      <c r="AC86" s="126">
        <f>AB86+vertraging[[#This Row],[p]]*(1-AB86)+vertraging[[#This Row],[q]]*AB86*(1-AB86)</f>
        <v>0.48677096537350723</v>
      </c>
      <c r="AD86" s="126">
        <f>AC86+vertraging[[#This Row],[p]]*(1-AC86)+vertraging[[#This Row],[q]]*AC86*(1-AC86)</f>
        <v>0.61202293792845253</v>
      </c>
      <c r="AE86" s="126">
        <f>AD86+vertraging[[#This Row],[p]]*(1-AD86)+vertraging[[#This Row],[q]]*AD86*(1-AD86)</f>
        <v>0.7285752521002864</v>
      </c>
      <c r="AF86" s="126">
        <f>AE86+vertraging[[#This Row],[p]]*(1-AE86)+vertraging[[#This Row],[q]]*AE86*(1-AE86)</f>
        <v>0.82434988015505994</v>
      </c>
      <c r="AG86" s="126">
        <f>AF86+vertraging[[#This Row],[p]]*(1-AF86)+vertraging[[#This Row],[q]]*AF86*(1-AF86)</f>
        <v>0.89389985301071273</v>
      </c>
    </row>
    <row r="87" spans="1:33" x14ac:dyDescent="0.5">
      <c r="A87" s="30" t="str">
        <f>INDEX(Technologieën[Veld],MATCH(B87,Technologieën[Digitale zorgtoepassing],0))</f>
        <v>Software - Behandeling</v>
      </c>
      <c r="B87" s="30" t="s">
        <v>716</v>
      </c>
      <c r="C87" s="30" t="s">
        <v>80</v>
      </c>
      <c r="D87" s="30" t="str" cm="1">
        <f t="array" ref="D87">INDEX(Berekening_patiëntaantal[Direct toepasbaar/extrapolatie/incidentie voor QALY],MATCH(B87,IF(Berekening_patiëntaantal[Doelgroep (zoeksleutel)]=C87,Berekening_patiëntaantal[Digitale zorgtoepassing]),0))</f>
        <v>Huidige toepassing</v>
      </c>
      <c r="E87" s="440" t="s">
        <v>813</v>
      </c>
      <c r="F87" s="30" t="str">
        <f>CONCATENATE(vertraging[[#This Row],[Digitale zorgtoepassing]],"_",vertraging[[#This Row],[Doelgroep]],"_",vertraging[[#This Row],[Uitgangssituatie/effect beleid]])</f>
        <v>AI op de IC (ontslag beslissing)_IC_Uitgangssituatie</v>
      </c>
      <c r="G87" s="122" t="str">
        <f>INDEX(acceptatie_burgers[Impact afhankelijk van acceptatie burgers?],MATCH(B87,acceptatie_burgers[Digitale zorgtoepassing],0))</f>
        <v>Nee</v>
      </c>
      <c r="H87" s="441" cm="1">
        <f t="array" ref="H87">IF(vertraging[[#This Row],[Uitgangssituatie/effect beleid]]="Effect beleid",MAX(INDEX(aanname_implementatie[Coëfficient p],MATCH(B87,IF(aanname_implementatie[Doelgroep]=C87,aanname_implementatie[Digitale zorgtoepassing]),0))+SUMIFS(afslagen_beleid[Opslag p],afslagen_beleid[Impact afhankelijk van acceptatie burgers],vertraging[[#This Row],[Acceptatie burgers]]),0.01),INDEX(aanname_implementatie[Coëfficient p],MATCH(B87,IF(aanname_implementatie[Doelgroep]=C87,aanname_implementatie[Digitale zorgtoepassing]),0)))</f>
        <v>0.02</v>
      </c>
      <c r="I87" s="441" cm="1">
        <f t="array" ref="I87">IF(vertraging[[#This Row],[Uitgangssituatie/effect beleid]]="Effect beleid",MAX(INDEX(aanname_implementatie[Coëfficient q],MATCH(B87,IF(aanname_implementatie[Doelgroep]=C87,aanname_implementatie[Digitale zorgtoepassing]),0))+SUMIFS(afslagen_beleid[Opslag q],afslagen_beleid[Impact afhankelijk van acceptatie burgers],vertraging[[#This Row],[Acceptatie burgers]]),0.3),INDEX(aanname_implementatie[Coëfficient q],MATCH(B87,IF(aanname_implementatie[Doelgroep]=C87,aanname_implementatie[Digitale zorgtoepassing]),0)))</f>
        <v>0.4</v>
      </c>
      <c r="J87" s="17">
        <f>0</f>
        <v>0</v>
      </c>
      <c r="K87" s="17">
        <v>0</v>
      </c>
      <c r="L87" s="17">
        <v>0</v>
      </c>
      <c r="M87" s="17">
        <v>0</v>
      </c>
      <c r="N87" s="17">
        <v>0</v>
      </c>
      <c r="O87" s="17">
        <v>0</v>
      </c>
      <c r="P87" s="17">
        <v>0</v>
      </c>
      <c r="Q87" s="17">
        <v>0</v>
      </c>
      <c r="R87" s="17">
        <v>0</v>
      </c>
      <c r="S87" s="17">
        <v>0</v>
      </c>
      <c r="T87" s="17">
        <v>0</v>
      </c>
      <c r="U87" s="17">
        <v>0</v>
      </c>
      <c r="V87" s="124" cm="1">
        <f t="array" ref="V87">INDEX(aanname_implementatie[Huidige implementatiegraad],MATCH(B87,IF(aanname_implementatie[Doelgroep]=C87,aanname_implementatie[Digitale zorgtoepassing]),0))</f>
        <v>0</v>
      </c>
      <c r="W87" s="126">
        <f>V87+vertraging[[#This Row],[p]]*(1-V87)+vertraging[[#This Row],[q]]*V87*(1-V87)</f>
        <v>0.02</v>
      </c>
      <c r="X87" s="126">
        <f>W87+vertraging[[#This Row],[p]]*(1-W87)+vertraging[[#This Row],[q]]*W87*(1-W87)</f>
        <v>4.7439999999999996E-2</v>
      </c>
      <c r="Y87" s="126">
        <f>X87+vertraging[[#This Row],[p]]*(1-X87)+vertraging[[#This Row],[q]]*X87*(1-X87)</f>
        <v>8.4566978560000006E-2</v>
      </c>
      <c r="Z87" s="126">
        <f>Y87+vertraging[[#This Row],[p]]*(1-Y87)+vertraging[[#This Row],[q]]*Y87*(1-Y87)</f>
        <v>0.13384180086769301</v>
      </c>
      <c r="AA87" s="126">
        <f>Z87+vertraging[[#This Row],[p]]*(1-Z87)+vertraging[[#This Row],[q]]*Z87*(1-Z87)</f>
        <v>0.19753623413361349</v>
      </c>
      <c r="AB87" s="126">
        <f>AA87+vertraging[[#This Row],[p]]*(1-AA87)+vertraging[[#This Row],[q]]*AA87*(1-AA87)</f>
        <v>0.27699177758611071</v>
      </c>
      <c r="AC87" s="126">
        <f>AB87+vertraging[[#This Row],[p]]*(1-AB87)+vertraging[[#This Row],[q]]*AB87*(1-AB87)</f>
        <v>0.37155887512870744</v>
      </c>
      <c r="AD87" s="126">
        <f>AC87+vertraging[[#This Row],[p]]*(1-AC87)+vertraging[[#This Row],[q]]*AC87*(1-AC87)</f>
        <v>0.47752884860285211</v>
      </c>
      <c r="AE87" s="126">
        <f>AD87+vertraging[[#This Row],[p]]*(1-AD87)+vertraging[[#This Row],[q]]*AD87*(1-AD87)</f>
        <v>0.5877762905727496</v>
      </c>
      <c r="AF87" s="126">
        <f>AE87+vertraging[[#This Row],[p]]*(1-AE87)+vertraging[[#This Row],[q]]*AE87*(1-AE87)</f>
        <v>0.6929388938866099</v>
      </c>
      <c r="AG87" s="126">
        <f>AF87+vertraging[[#This Row],[p]]*(1-AF87)+vertraging[[#This Row],[q]]*AF87*(1-AF87)</f>
        <v>0.78418994929920227</v>
      </c>
    </row>
    <row r="88" spans="1:33" x14ac:dyDescent="0.5">
      <c r="A88" s="30" t="str">
        <f>INDEX(Technologieën[Veld],MATCH(B88,Technologieën[Digitale zorgtoepassing],0))</f>
        <v>Software - Diagnose</v>
      </c>
      <c r="B88" s="30" t="s">
        <v>66</v>
      </c>
      <c r="C88" s="30" t="s">
        <v>69</v>
      </c>
      <c r="D88" s="30" t="str" cm="1">
        <f t="array" ref="D88">INDEX(Berekening_patiëntaantal[Direct toepasbaar/extrapolatie/incidentie voor QALY],MATCH(B88,IF(Berekening_patiëntaantal[Doelgroep (zoeksleutel)]=C88,Berekening_patiëntaantal[Digitale zorgtoepassing]),0))</f>
        <v>Huidige toepassing</v>
      </c>
      <c r="E88" s="440" t="s">
        <v>813</v>
      </c>
      <c r="F88" s="30" t="str">
        <f>CONCATENATE(vertraging[[#This Row],[Digitale zorgtoepassing]],"_",vertraging[[#This Row],[Doelgroep]],"_",vertraging[[#This Row],[Uitgangssituatie/effect beleid]])</f>
        <v>Apps voor cognitieve testen_Mild Cognitive Impairment_Uitgangssituatie</v>
      </c>
      <c r="G88" s="122" t="str">
        <f>INDEX(acceptatie_burgers[Impact afhankelijk van acceptatie burgers?],MATCH(B88,acceptatie_burgers[Digitale zorgtoepassing],0))</f>
        <v>Ja</v>
      </c>
      <c r="H88" s="441" cm="1">
        <f t="array" ref="H88">IF(vertraging[[#This Row],[Uitgangssituatie/effect beleid]]="Effect beleid",MAX(INDEX(aanname_implementatie[Coëfficient p],MATCH(B88,IF(aanname_implementatie[Doelgroep]=C88,aanname_implementatie[Digitale zorgtoepassing]),0))+SUMIFS(afslagen_beleid[Opslag p],afslagen_beleid[Impact afhankelijk van acceptatie burgers],vertraging[[#This Row],[Acceptatie burgers]]),0.01),INDEX(aanname_implementatie[Coëfficient p],MATCH(B88,IF(aanname_implementatie[Doelgroep]=C88,aanname_implementatie[Digitale zorgtoepassing]),0)))</f>
        <v>0.02</v>
      </c>
      <c r="I88" s="441" cm="1">
        <f t="array" ref="I88">IF(vertraging[[#This Row],[Uitgangssituatie/effect beleid]]="Effect beleid",MAX(INDEX(aanname_implementatie[Coëfficient q],MATCH(B88,IF(aanname_implementatie[Doelgroep]=C88,aanname_implementatie[Digitale zorgtoepassing]),0))+SUMIFS(afslagen_beleid[Opslag q],afslagen_beleid[Impact afhankelijk van acceptatie burgers],vertraging[[#This Row],[Acceptatie burgers]]),0.3),INDEX(aanname_implementatie[Coëfficient q],MATCH(B88,IF(aanname_implementatie[Doelgroep]=C88,aanname_implementatie[Digitale zorgtoepassing]),0)))</f>
        <v>0.4</v>
      </c>
      <c r="J88" s="17">
        <f>0</f>
        <v>0</v>
      </c>
      <c r="K88" s="17">
        <v>0</v>
      </c>
      <c r="L88" s="17">
        <v>0</v>
      </c>
      <c r="M88" s="17">
        <v>0</v>
      </c>
      <c r="N88" s="17">
        <v>0</v>
      </c>
      <c r="O88" s="17">
        <v>0</v>
      </c>
      <c r="P88" s="17">
        <v>0</v>
      </c>
      <c r="Q88" s="17">
        <v>0</v>
      </c>
      <c r="R88" s="17">
        <v>0</v>
      </c>
      <c r="S88" s="17">
        <v>0</v>
      </c>
      <c r="T88" s="17">
        <v>0</v>
      </c>
      <c r="U88" s="17">
        <v>0</v>
      </c>
      <c r="V88" s="124" cm="1">
        <f t="array" ref="V88">INDEX(aanname_implementatie[Huidige implementatiegraad],MATCH(B88,IF(aanname_implementatie[Doelgroep]=C88,aanname_implementatie[Digitale zorgtoepassing]),0))</f>
        <v>0</v>
      </c>
      <c r="W88" s="126">
        <f>V88+vertraging[[#This Row],[p]]*(1-V88)+vertraging[[#This Row],[q]]*V88*(1-V88)</f>
        <v>0.02</v>
      </c>
      <c r="X88" s="126">
        <f>W88+vertraging[[#This Row],[p]]*(1-W88)+vertraging[[#This Row],[q]]*W88*(1-W88)</f>
        <v>4.7439999999999996E-2</v>
      </c>
      <c r="Y88" s="126">
        <f>X88+vertraging[[#This Row],[p]]*(1-X88)+vertraging[[#This Row],[q]]*X88*(1-X88)</f>
        <v>8.4566978560000006E-2</v>
      </c>
      <c r="Z88" s="126">
        <f>Y88+vertraging[[#This Row],[p]]*(1-Y88)+vertraging[[#This Row],[q]]*Y88*(1-Y88)</f>
        <v>0.13384180086769301</v>
      </c>
      <c r="AA88" s="126">
        <f>Z88+vertraging[[#This Row],[p]]*(1-Z88)+vertraging[[#This Row],[q]]*Z88*(1-Z88)</f>
        <v>0.19753623413361349</v>
      </c>
      <c r="AB88" s="126">
        <f>AA88+vertraging[[#This Row],[p]]*(1-AA88)+vertraging[[#This Row],[q]]*AA88*(1-AA88)</f>
        <v>0.27699177758611071</v>
      </c>
      <c r="AC88" s="126">
        <f>AB88+vertraging[[#This Row],[p]]*(1-AB88)+vertraging[[#This Row],[q]]*AB88*(1-AB88)</f>
        <v>0.37155887512870744</v>
      </c>
      <c r="AD88" s="126">
        <f>AC88+vertraging[[#This Row],[p]]*(1-AC88)+vertraging[[#This Row],[q]]*AC88*(1-AC88)</f>
        <v>0.47752884860285211</v>
      </c>
      <c r="AE88" s="126">
        <f>AD88+vertraging[[#This Row],[p]]*(1-AD88)+vertraging[[#This Row],[q]]*AD88*(1-AD88)</f>
        <v>0.5877762905727496</v>
      </c>
      <c r="AF88" s="126">
        <f>AE88+vertraging[[#This Row],[p]]*(1-AE88)+vertraging[[#This Row],[q]]*AE88*(1-AE88)</f>
        <v>0.6929388938866099</v>
      </c>
      <c r="AG88" s="126">
        <f>AF88+vertraging[[#This Row],[p]]*(1-AF88)+vertraging[[#This Row],[q]]*AF88*(1-AF88)</f>
        <v>0.78418994929920227</v>
      </c>
    </row>
    <row r="89" spans="1:33" x14ac:dyDescent="0.5">
      <c r="A89" s="30" t="str">
        <f>INDEX(Technologieën[Veld],MATCH(B89,Technologieën[Digitale zorgtoepassing],0))</f>
        <v>Software - Diagnose</v>
      </c>
      <c r="B89" s="30" t="s">
        <v>66</v>
      </c>
      <c r="C89" s="30" t="s">
        <v>67</v>
      </c>
      <c r="D89" s="30" t="str" cm="1">
        <f t="array" ref="D89">INDEX(Berekening_patiëntaantal[Direct toepasbaar/extrapolatie/incidentie voor QALY],MATCH(B89,IF(Berekening_patiëntaantal[Doelgroep (zoeksleutel)]=C89,Berekening_patiëntaantal[Digitale zorgtoepassing]),0))</f>
        <v>Huidige toepassing</v>
      </c>
      <c r="E89" s="440" t="s">
        <v>813</v>
      </c>
      <c r="F89" s="30" t="str">
        <f>CONCATENATE(vertraging[[#This Row],[Digitale zorgtoepassing]],"_",vertraging[[#This Row],[Doelgroep]],"_",vertraging[[#This Row],[Uitgangssituatie/effect beleid]])</f>
        <v>Apps voor cognitieve testen_Multiple Sclerosis_Uitgangssituatie</v>
      </c>
      <c r="G89" s="122" t="str">
        <f>INDEX(acceptatie_burgers[Impact afhankelijk van acceptatie burgers?],MATCH(B89,acceptatie_burgers[Digitale zorgtoepassing],0))</f>
        <v>Ja</v>
      </c>
      <c r="H89" s="441" cm="1">
        <f t="array" ref="H89">IF(vertraging[[#This Row],[Uitgangssituatie/effect beleid]]="Effect beleid",MAX(INDEX(aanname_implementatie[Coëfficient p],MATCH(B89,IF(aanname_implementatie[Doelgroep]=C89,aanname_implementatie[Digitale zorgtoepassing]),0))+SUMIFS(afslagen_beleid[Opslag p],afslagen_beleid[Impact afhankelijk van acceptatie burgers],vertraging[[#This Row],[Acceptatie burgers]]),0.01),INDEX(aanname_implementatie[Coëfficient p],MATCH(B89,IF(aanname_implementatie[Doelgroep]=C89,aanname_implementatie[Digitale zorgtoepassing]),0)))</f>
        <v>0.02</v>
      </c>
      <c r="I89" s="441" cm="1">
        <f t="array" ref="I89">IF(vertraging[[#This Row],[Uitgangssituatie/effect beleid]]="Effect beleid",MAX(INDEX(aanname_implementatie[Coëfficient q],MATCH(B89,IF(aanname_implementatie[Doelgroep]=C89,aanname_implementatie[Digitale zorgtoepassing]),0))+SUMIFS(afslagen_beleid[Opslag q],afslagen_beleid[Impact afhankelijk van acceptatie burgers],vertraging[[#This Row],[Acceptatie burgers]]),0.3),INDEX(aanname_implementatie[Coëfficient q],MATCH(B89,IF(aanname_implementatie[Doelgroep]=C89,aanname_implementatie[Digitale zorgtoepassing]),0)))</f>
        <v>0.4</v>
      </c>
      <c r="J89" s="17">
        <f>0</f>
        <v>0</v>
      </c>
      <c r="K89" s="17">
        <v>0</v>
      </c>
      <c r="L89" s="17">
        <v>0</v>
      </c>
      <c r="M89" s="17">
        <v>0</v>
      </c>
      <c r="N89" s="17">
        <v>0</v>
      </c>
      <c r="O89" s="17">
        <v>0</v>
      </c>
      <c r="P89" s="17">
        <v>0</v>
      </c>
      <c r="Q89" s="17">
        <v>0</v>
      </c>
      <c r="R89" s="17">
        <v>0</v>
      </c>
      <c r="S89" s="17">
        <v>0</v>
      </c>
      <c r="T89" s="17">
        <v>0</v>
      </c>
      <c r="U89" s="17">
        <v>0</v>
      </c>
      <c r="V89" s="124" cm="1">
        <f t="array" ref="V89">INDEX(aanname_implementatie[Huidige implementatiegraad],MATCH(B89,IF(aanname_implementatie[Doelgroep]=C89,aanname_implementatie[Digitale zorgtoepassing]),0))</f>
        <v>0</v>
      </c>
      <c r="W89" s="126">
        <f>V89+vertraging[[#This Row],[p]]*(1-V89)+vertraging[[#This Row],[q]]*V89*(1-V89)</f>
        <v>0.02</v>
      </c>
      <c r="X89" s="126">
        <f>W89+vertraging[[#This Row],[p]]*(1-W89)+vertraging[[#This Row],[q]]*W89*(1-W89)</f>
        <v>4.7439999999999996E-2</v>
      </c>
      <c r="Y89" s="126">
        <f>X89+vertraging[[#This Row],[p]]*(1-X89)+vertraging[[#This Row],[q]]*X89*(1-X89)</f>
        <v>8.4566978560000006E-2</v>
      </c>
      <c r="Z89" s="126">
        <f>Y89+vertraging[[#This Row],[p]]*(1-Y89)+vertraging[[#This Row],[q]]*Y89*(1-Y89)</f>
        <v>0.13384180086769301</v>
      </c>
      <c r="AA89" s="126">
        <f>Z89+vertraging[[#This Row],[p]]*(1-Z89)+vertraging[[#This Row],[q]]*Z89*(1-Z89)</f>
        <v>0.19753623413361349</v>
      </c>
      <c r="AB89" s="126">
        <f>AA89+vertraging[[#This Row],[p]]*(1-AA89)+vertraging[[#This Row],[q]]*AA89*(1-AA89)</f>
        <v>0.27699177758611071</v>
      </c>
      <c r="AC89" s="126">
        <f>AB89+vertraging[[#This Row],[p]]*(1-AB89)+vertraging[[#This Row],[q]]*AB89*(1-AB89)</f>
        <v>0.37155887512870744</v>
      </c>
      <c r="AD89" s="126">
        <f>AC89+vertraging[[#This Row],[p]]*(1-AC89)+vertraging[[#This Row],[q]]*AC89*(1-AC89)</f>
        <v>0.47752884860285211</v>
      </c>
      <c r="AE89" s="126">
        <f>AD89+vertraging[[#This Row],[p]]*(1-AD89)+vertraging[[#This Row],[q]]*AD89*(1-AD89)</f>
        <v>0.5877762905727496</v>
      </c>
      <c r="AF89" s="126">
        <f>AE89+vertraging[[#This Row],[p]]*(1-AE89)+vertraging[[#This Row],[q]]*AE89*(1-AE89)</f>
        <v>0.6929388938866099</v>
      </c>
      <c r="AG89" s="126">
        <f>AF89+vertraging[[#This Row],[p]]*(1-AF89)+vertraging[[#This Row],[q]]*AF89*(1-AF89)</f>
        <v>0.78418994929920227</v>
      </c>
    </row>
    <row r="90" spans="1:33" x14ac:dyDescent="0.5">
      <c r="A90" s="30" t="str">
        <f>INDEX(Technologieën[Veld],MATCH(B90,Technologieën[Digitale zorgtoepassing],0))</f>
        <v>Software - Diagnose</v>
      </c>
      <c r="B90" s="30" t="s">
        <v>76</v>
      </c>
      <c r="C90" s="30" t="s">
        <v>384</v>
      </c>
      <c r="D90" s="30" t="str" cm="1">
        <f t="array" ref="D90">INDEX(Berekening_patiëntaantal[Direct toepasbaar/extrapolatie/incidentie voor QALY],MATCH(B90,IF(Berekening_patiëntaantal[Doelgroep (zoeksleutel)]=C90,Berekening_patiëntaantal[Digitale zorgtoepassing]),0))</f>
        <v>Huidige toepassing</v>
      </c>
      <c r="E90" s="440" t="s">
        <v>813</v>
      </c>
      <c r="F90" s="30" t="str">
        <f>CONCATENATE(vertraging[[#This Row],[Digitale zorgtoepassing]],"_",vertraging[[#This Row],[Doelgroep]],"_",vertraging[[#This Row],[Uitgangssituatie/effect beleid]])</f>
        <v>Deltascan voor delier opsporing_Ouderen ziekenhuis delier_Uitgangssituatie</v>
      </c>
      <c r="G90" s="122" t="str">
        <f>INDEX(acceptatie_burgers[Impact afhankelijk van acceptatie burgers?],MATCH(B90,acceptatie_burgers[Digitale zorgtoepassing],0))</f>
        <v>Nee</v>
      </c>
      <c r="H90" s="441" cm="1">
        <f t="array" ref="H90">IF(vertraging[[#This Row],[Uitgangssituatie/effect beleid]]="Effect beleid",MAX(INDEX(aanname_implementatie[Coëfficient p],MATCH(B90,IF(aanname_implementatie[Doelgroep]=C90,aanname_implementatie[Digitale zorgtoepassing]),0))+SUMIFS(afslagen_beleid[Opslag p],afslagen_beleid[Impact afhankelijk van acceptatie burgers],vertraging[[#This Row],[Acceptatie burgers]]),0.01),INDEX(aanname_implementatie[Coëfficient p],MATCH(B90,IF(aanname_implementatie[Doelgroep]=C90,aanname_implementatie[Digitale zorgtoepassing]),0)))</f>
        <v>2.5000000000000001E-2</v>
      </c>
      <c r="I90" s="441" cm="1">
        <f t="array" ref="I90">IF(vertraging[[#This Row],[Uitgangssituatie/effect beleid]]="Effect beleid",MAX(INDEX(aanname_implementatie[Coëfficient q],MATCH(B90,IF(aanname_implementatie[Doelgroep]=C90,aanname_implementatie[Digitale zorgtoepassing]),0))+SUMIFS(afslagen_beleid[Opslag q],afslagen_beleid[Impact afhankelijk van acceptatie burgers],vertraging[[#This Row],[Acceptatie burgers]]),0.3),INDEX(aanname_implementatie[Coëfficient q],MATCH(B90,IF(aanname_implementatie[Doelgroep]=C90,aanname_implementatie[Digitale zorgtoepassing]),0)))</f>
        <v>0.45</v>
      </c>
      <c r="J90" s="17">
        <f>0</f>
        <v>0</v>
      </c>
      <c r="K90" s="17">
        <v>0</v>
      </c>
      <c r="L90" s="17">
        <v>0</v>
      </c>
      <c r="M90" s="17">
        <v>0</v>
      </c>
      <c r="N90" s="17">
        <v>0</v>
      </c>
      <c r="O90" s="17">
        <v>0</v>
      </c>
      <c r="P90" s="17">
        <v>0</v>
      </c>
      <c r="Q90" s="17">
        <v>0</v>
      </c>
      <c r="R90" s="17">
        <v>0</v>
      </c>
      <c r="S90" s="17">
        <v>0</v>
      </c>
      <c r="T90" s="17">
        <v>0</v>
      </c>
      <c r="U90" s="17">
        <v>0</v>
      </c>
      <c r="V90" s="124" cm="1">
        <f t="array" ref="V90">INDEX(aanname_implementatie[Huidige implementatiegraad],MATCH(B90,IF(aanname_implementatie[Doelgroep]=C90,aanname_implementatie[Digitale zorgtoepassing]),0))</f>
        <v>0.4</v>
      </c>
      <c r="W90" s="126">
        <f>V90+vertraging[[#This Row],[p]]*(1-V90)+vertraging[[#This Row],[q]]*V90*(1-V90)</f>
        <v>0.52300000000000002</v>
      </c>
      <c r="X90" s="126">
        <f>W90+vertraging[[#This Row],[p]]*(1-W90)+vertraging[[#This Row],[q]]*W90*(1-W90)</f>
        <v>0.64718695000000004</v>
      </c>
      <c r="Y90" s="126">
        <f>X90+vertraging[[#This Row],[p]]*(1-X90)+vertraging[[#This Row],[q]]*X90*(1-X90)</f>
        <v>0.75875847703736388</v>
      </c>
      <c r="Z90" s="126">
        <f>Y90+vertraging[[#This Row],[p]]*(1-Y90)+vertraging[[#This Row],[q]]*Y90*(1-Y90)</f>
        <v>0.84715933786401665</v>
      </c>
      <c r="AA90" s="126">
        <f>Z90+vertraging[[#This Row],[p]]*(1-Z90)+vertraging[[#This Row],[q]]*Z90*(1-Z90)</f>
        <v>0.90924653177763415</v>
      </c>
      <c r="AB90" s="126">
        <f>AA90+vertraging[[#This Row],[p]]*(1-AA90)+vertraging[[#This Row],[q]]*AA90*(1-AA90)</f>
        <v>0.94864814278578335</v>
      </c>
      <c r="AC90" s="126">
        <f>AB90+vertraging[[#This Row],[p]]*(1-AB90)+vertraging[[#This Row],[q]]*AB90*(1-AB90)</f>
        <v>0.97185361900482903</v>
      </c>
      <c r="AD90" s="126">
        <f>AC90+vertraging[[#This Row],[p]]*(1-AC90)+vertraging[[#This Row],[q]]*AC90*(1-AC90)</f>
        <v>0.98486665153412889</v>
      </c>
      <c r="AE90" s="126">
        <f>AD90+vertraging[[#This Row],[p]]*(1-AD90)+vertraging[[#This Row],[q]]*AD90*(1-AD90)</f>
        <v>0.99195193384931235</v>
      </c>
      <c r="AF90" s="126">
        <f>AE90+vertraging[[#This Row],[p]]*(1-AE90)+vertraging[[#This Row],[q]]*AE90*(1-AE90)</f>
        <v>0.99574561815494433</v>
      </c>
      <c r="AG90" s="126">
        <f>AF90+vertraging[[#This Row],[p]]*(1-AF90)+vertraging[[#This Row],[q]]*AF90*(1-AF90)</f>
        <v>0.99775830463714821</v>
      </c>
    </row>
    <row r="91" spans="1:33" x14ac:dyDescent="0.5">
      <c r="A91" s="30" t="str">
        <f>INDEX(Technologieën[Veld],MATCH(B91,Technologieën[Digitale zorgtoepassing],0))</f>
        <v>Software - Behandeling</v>
      </c>
      <c r="B91" s="30" t="s">
        <v>578</v>
      </c>
      <c r="C91" s="30" t="s">
        <v>577</v>
      </c>
      <c r="D91" s="30" t="str" cm="1">
        <f t="array" ref="D91">INDEX(Berekening_patiëntaantal[Direct toepasbaar/extrapolatie/incidentie voor QALY],MATCH(B91,IF(Berekening_patiëntaantal[Doelgroep (zoeksleutel)]=C91,Berekening_patiëntaantal[Digitale zorgtoepassing]),0))</f>
        <v>Huidige toepassing</v>
      </c>
      <c r="E91" s="440" t="s">
        <v>813</v>
      </c>
      <c r="F91" s="30" t="str">
        <f>CONCATENATE(vertraging[[#This Row],[Digitale zorgtoepassing]],"_",vertraging[[#This Row],[Doelgroep]],"_",vertraging[[#This Row],[Uitgangssituatie/effect beleid]])</f>
        <v>Digitale exposure therapie_PTSS_Uitgangssituatie</v>
      </c>
      <c r="G91" s="122" t="str">
        <f>INDEX(acceptatie_burgers[Impact afhankelijk van acceptatie burgers?],MATCH(B91,acceptatie_burgers[Digitale zorgtoepassing],0))</f>
        <v>Ja</v>
      </c>
      <c r="H91" s="441" cm="1">
        <f t="array" ref="H91">IF(vertraging[[#This Row],[Uitgangssituatie/effect beleid]]="Effect beleid",MAX(INDEX(aanname_implementatie[Coëfficient p],MATCH(B91,IF(aanname_implementatie[Doelgroep]=C91,aanname_implementatie[Digitale zorgtoepassing]),0))+SUMIFS(afslagen_beleid[Opslag p],afslagen_beleid[Impact afhankelijk van acceptatie burgers],vertraging[[#This Row],[Acceptatie burgers]]),0.01),INDEX(aanname_implementatie[Coëfficient p],MATCH(B91,IF(aanname_implementatie[Doelgroep]=C91,aanname_implementatie[Digitale zorgtoepassing]),0)))</f>
        <v>1.4999999999999999E-2</v>
      </c>
      <c r="I91" s="441" cm="1">
        <f t="array" ref="I91">IF(vertraging[[#This Row],[Uitgangssituatie/effect beleid]]="Effect beleid",MAX(INDEX(aanname_implementatie[Coëfficient q],MATCH(B91,IF(aanname_implementatie[Doelgroep]=C91,aanname_implementatie[Digitale zorgtoepassing]),0))+SUMIFS(afslagen_beleid[Opslag q],afslagen_beleid[Impact afhankelijk van acceptatie burgers],vertraging[[#This Row],[Acceptatie burgers]]),0.3),INDEX(aanname_implementatie[Coëfficient q],MATCH(B91,IF(aanname_implementatie[Doelgroep]=C91,aanname_implementatie[Digitale zorgtoepassing]),0)))</f>
        <v>0.35</v>
      </c>
      <c r="J91" s="17">
        <f>0</f>
        <v>0</v>
      </c>
      <c r="K91" s="17">
        <v>0</v>
      </c>
      <c r="L91" s="17">
        <v>0</v>
      </c>
      <c r="M91" s="17">
        <v>0</v>
      </c>
      <c r="N91" s="17">
        <v>0</v>
      </c>
      <c r="O91" s="17">
        <v>0</v>
      </c>
      <c r="P91" s="17">
        <v>0</v>
      </c>
      <c r="Q91" s="17">
        <v>0</v>
      </c>
      <c r="R91" s="17">
        <v>0</v>
      </c>
      <c r="S91" s="17">
        <v>0</v>
      </c>
      <c r="T91" s="17">
        <v>0</v>
      </c>
      <c r="U91" s="17">
        <v>0</v>
      </c>
      <c r="V91" s="124" cm="1">
        <f t="array" ref="V91">INDEX(aanname_implementatie[Huidige implementatiegraad],MATCH(B91,IF(aanname_implementatie[Doelgroep]=C91,aanname_implementatie[Digitale zorgtoepassing]),0))</f>
        <v>0.2</v>
      </c>
      <c r="W91" s="126">
        <f>V91+vertraging[[#This Row],[p]]*(1-V91)+vertraging[[#This Row],[q]]*V91*(1-V91)</f>
        <v>0.26800000000000002</v>
      </c>
      <c r="X91" s="126">
        <f>W91+vertraging[[#This Row],[p]]*(1-W91)+vertraging[[#This Row],[q]]*W91*(1-W91)</f>
        <v>0.3476416</v>
      </c>
      <c r="Y91" s="126">
        <f>X91+vertraging[[#This Row],[p]]*(1-X91)+vertraging[[#This Row],[q]]*X91*(1-X91)</f>
        <v>0.43680239728230397</v>
      </c>
      <c r="Z91" s="126">
        <f>Y91+vertraging[[#This Row],[p]]*(1-Y91)+vertraging[[#This Row],[q]]*Y91*(1-Y91)</f>
        <v>0.53135248337682706</v>
      </c>
      <c r="AA91" s="126">
        <f>Z91+vertraging[[#This Row],[p]]*(1-Z91)+vertraging[[#This Row],[q]]*Z91*(1-Z91)</f>
        <v>0.62553815375131172</v>
      </c>
      <c r="AB91" s="126">
        <f>AA91+vertraging[[#This Row],[p]]*(1-AA91)+vertraging[[#This Row],[q]]*AA91*(1-AA91)</f>
        <v>0.71313914162849124</v>
      </c>
      <c r="AC91" s="126">
        <f>AB91+vertraging[[#This Row],[p]]*(1-AB91)+vertraging[[#This Row],[q]]*AB91*(1-AB91)</f>
        <v>0.78904215171111836</v>
      </c>
      <c r="AD91" s="126">
        <f>AC91+vertraging[[#This Row],[p]]*(1-AC91)+vertraging[[#This Row],[q]]*AC91*(1-AC91)</f>
        <v>0.85046564152242399</v>
      </c>
      <c r="AE91" s="126">
        <f>AD91+vertraging[[#This Row],[p]]*(1-AD91)+vertraging[[#This Row],[q]]*AD91*(1-AD91)</f>
        <v>0.89721949883888419</v>
      </c>
      <c r="AF91" s="126">
        <f>AE91+vertraging[[#This Row],[p]]*(1-AE91)+vertraging[[#This Row],[q]]*AE91*(1-AE91)</f>
        <v>0.93103704076606597</v>
      </c>
      <c r="AG91" s="126">
        <f>AF91+vertraging[[#This Row],[p]]*(1-AF91)+vertraging[[#This Row],[q]]*AF91*(1-AF91)</f>
        <v>0.9545439594752464</v>
      </c>
    </row>
    <row r="92" spans="1:33" x14ac:dyDescent="0.5">
      <c r="A92" s="30" t="str">
        <f>INDEX(Technologieën[Veld],MATCH(B92,Technologieën[Digitale zorgtoepassing],0))</f>
        <v>Software - Diagnose</v>
      </c>
      <c r="B92" s="30" t="s">
        <v>139</v>
      </c>
      <c r="C92" s="30" t="s">
        <v>106</v>
      </c>
      <c r="D92" s="30" t="str" cm="1">
        <f t="array" ref="D92">INDEX(Berekening_patiëntaantal[Direct toepasbaar/extrapolatie/incidentie voor QALY],MATCH(B92,IF(Berekening_patiëntaantal[Doelgroep (zoeksleutel)]=C92,Berekening_patiëntaantal[Digitale zorgtoepassing]),0))</f>
        <v>Huidige toepassing</v>
      </c>
      <c r="E92" s="440" t="s">
        <v>813</v>
      </c>
      <c r="F92" s="30" t="str">
        <f>CONCATENATE(vertraging[[#This Row],[Digitale zorgtoepassing]],"_",vertraging[[#This Row],[Doelgroep]],"_",vertraging[[#This Row],[Uitgangssituatie/effect beleid]])</f>
        <v>Digitale pathologie_NVT_Uitgangssituatie</v>
      </c>
      <c r="G92" s="122" t="str">
        <f>INDEX(acceptatie_burgers[Impact afhankelijk van acceptatie burgers?],MATCH(B92,acceptatie_burgers[Digitale zorgtoepassing],0))</f>
        <v>Nee</v>
      </c>
      <c r="H92" s="441" cm="1">
        <f t="array" ref="H92">IF(vertraging[[#This Row],[Uitgangssituatie/effect beleid]]="Effect beleid",MAX(INDEX(aanname_implementatie[Coëfficient p],MATCH(B92,IF(aanname_implementatie[Doelgroep]=C92,aanname_implementatie[Digitale zorgtoepassing]),0))+SUMIFS(afslagen_beleid[Opslag p],afslagen_beleid[Impact afhankelijk van acceptatie burgers],vertraging[[#This Row],[Acceptatie burgers]]),0.01),INDEX(aanname_implementatie[Coëfficient p],MATCH(B92,IF(aanname_implementatie[Doelgroep]=C92,aanname_implementatie[Digitale zorgtoepassing]),0)))</f>
        <v>2.5000000000000001E-2</v>
      </c>
      <c r="I92" s="441" cm="1">
        <f t="array" ref="I92">IF(vertraging[[#This Row],[Uitgangssituatie/effect beleid]]="Effect beleid",MAX(INDEX(aanname_implementatie[Coëfficient q],MATCH(B92,IF(aanname_implementatie[Doelgroep]=C92,aanname_implementatie[Digitale zorgtoepassing]),0))+SUMIFS(afslagen_beleid[Opslag q],afslagen_beleid[Impact afhankelijk van acceptatie burgers],vertraging[[#This Row],[Acceptatie burgers]]),0.3),INDEX(aanname_implementatie[Coëfficient q],MATCH(B92,IF(aanname_implementatie[Doelgroep]=C92,aanname_implementatie[Digitale zorgtoepassing]),0)))</f>
        <v>0.45</v>
      </c>
      <c r="J92" s="17">
        <f>0</f>
        <v>0</v>
      </c>
      <c r="K92" s="17">
        <v>0</v>
      </c>
      <c r="L92" s="17">
        <v>0</v>
      </c>
      <c r="M92" s="17">
        <v>0</v>
      </c>
      <c r="N92" s="17">
        <v>0</v>
      </c>
      <c r="O92" s="17">
        <v>0</v>
      </c>
      <c r="P92" s="17">
        <v>0</v>
      </c>
      <c r="Q92" s="17">
        <v>0</v>
      </c>
      <c r="R92" s="17">
        <v>0</v>
      </c>
      <c r="S92" s="17">
        <v>0</v>
      </c>
      <c r="T92" s="17">
        <v>0</v>
      </c>
      <c r="U92" s="17">
        <v>0</v>
      </c>
      <c r="V92" s="124" cm="1">
        <f t="array" ref="V92">INDEX(aanname_implementatie[Huidige implementatiegraad],MATCH(B92,IF(aanname_implementatie[Doelgroep]=C92,aanname_implementatie[Digitale zorgtoepassing]),0))</f>
        <v>0.8</v>
      </c>
      <c r="W92" s="126">
        <f>V92+vertraging[[#This Row],[p]]*(1-V92)+vertraging[[#This Row],[q]]*V92*(1-V92)</f>
        <v>0.877</v>
      </c>
      <c r="X92" s="126">
        <f>W92+vertraging[[#This Row],[p]]*(1-W92)+vertraging[[#This Row],[q]]*W92*(1-W92)</f>
        <v>0.92861695000000011</v>
      </c>
      <c r="Y92" s="126">
        <f>X92+vertraging[[#This Row],[p]]*(1-X92)+vertraging[[#This Row],[q]]*X92*(1-X92)</f>
        <v>0.96023090582771387</v>
      </c>
      <c r="Z92" s="126">
        <f>Y92+vertraging[[#This Row],[p]]*(1-Y92)+vertraging[[#This Row],[q]]*Y92*(1-Y92)</f>
        <v>0.97840951417647182</v>
      </c>
      <c r="AA92" s="126">
        <f>Z92+vertraging[[#This Row],[p]]*(1-Z92)+vertraging[[#This Row],[q]]*Z92*(1-Z92)</f>
        <v>0.9884552278575045</v>
      </c>
      <c r="AB92" s="126">
        <f>AA92+vertraging[[#This Row],[p]]*(1-AA92)+vertraging[[#This Row],[q]]*AA92*(1-AA92)</f>
        <v>0.99387901783146992</v>
      </c>
      <c r="AC92" s="126">
        <f>AB92+vertraging[[#This Row],[p]]*(1-AB92)+vertraging[[#This Row],[q]]*AB92*(1-AB92)</f>
        <v>0.99676962447130335</v>
      </c>
      <c r="AD92" s="126">
        <f>AC92+vertraging[[#This Row],[p]]*(1-AC92)+vertraging[[#This Row],[q]]*AC92*(1-AC92)</f>
        <v>0.99829935695070882</v>
      </c>
      <c r="AE92" s="126">
        <f>AD92+vertraging[[#This Row],[p]]*(1-AD92)+vertraging[[#This Row],[q]]*AD92*(1-AD92)</f>
        <v>0.9991058609150707</v>
      </c>
      <c r="AF92" s="126">
        <f>AE92+vertraging[[#This Row],[p]]*(1-AE92)+vertraging[[#This Row],[q]]*AE92*(1-AE92)</f>
        <v>0.99953021721229562</v>
      </c>
      <c r="AG92" s="126">
        <f>AF92+vertraging[[#This Row],[p]]*(1-AF92)+vertraging[[#This Row],[q]]*AF92*(1-AF92)</f>
        <v>0.99975326472331483</v>
      </c>
    </row>
    <row r="93" spans="1:33" x14ac:dyDescent="0.5">
      <c r="A93" s="30" t="str">
        <f>INDEX(Technologieën[Veld],MATCH(B93,Technologieën[Digitale zorgtoepassing],0))</f>
        <v>Software - Behandeling</v>
      </c>
      <c r="B93" s="30" t="s">
        <v>588</v>
      </c>
      <c r="C93" s="30" t="s">
        <v>104</v>
      </c>
      <c r="D93" s="30" t="str" cm="1">
        <f t="array" ref="D93">INDEX(Berekening_patiëntaantal[Direct toepasbaar/extrapolatie/incidentie voor QALY],MATCH(B93,IF(Berekening_patiëntaantal[Doelgroep (zoeksleutel)]=C93,Berekening_patiëntaantal[Digitale zorgtoepassing]),0))</f>
        <v>Huidige toepassing</v>
      </c>
      <c r="E93" s="440" t="s">
        <v>813</v>
      </c>
      <c r="F93" s="30" t="str">
        <f>CONCATENATE(vertraging[[#This Row],[Digitale zorgtoepassing]],"_",vertraging[[#This Row],[Doelgroep]],"_",vertraging[[#This Row],[Uitgangssituatie/effect beleid]])</f>
        <v>Digitale zorg logopedie_Afasie_Uitgangssituatie</v>
      </c>
      <c r="G93" s="122" t="str">
        <f>INDEX(acceptatie_burgers[Impact afhankelijk van acceptatie burgers?],MATCH(B93,acceptatie_burgers[Digitale zorgtoepassing],0))</f>
        <v>Ja</v>
      </c>
      <c r="H93" s="441" cm="1">
        <f t="array" ref="H93">IF(vertraging[[#This Row],[Uitgangssituatie/effect beleid]]="Effect beleid",MAX(INDEX(aanname_implementatie[Coëfficient p],MATCH(B93,IF(aanname_implementatie[Doelgroep]=C93,aanname_implementatie[Digitale zorgtoepassing]),0))+SUMIFS(afslagen_beleid[Opslag p],afslagen_beleid[Impact afhankelijk van acceptatie burgers],vertraging[[#This Row],[Acceptatie burgers]]),0.01),INDEX(aanname_implementatie[Coëfficient p],MATCH(B93,IF(aanname_implementatie[Doelgroep]=C93,aanname_implementatie[Digitale zorgtoepassing]),0)))</f>
        <v>1.4999999999999999E-2</v>
      </c>
      <c r="I93" s="441" cm="1">
        <f t="array" ref="I93">IF(vertraging[[#This Row],[Uitgangssituatie/effect beleid]]="Effect beleid",MAX(INDEX(aanname_implementatie[Coëfficient q],MATCH(B93,IF(aanname_implementatie[Doelgroep]=C93,aanname_implementatie[Digitale zorgtoepassing]),0))+SUMIFS(afslagen_beleid[Opslag q],afslagen_beleid[Impact afhankelijk van acceptatie burgers],vertraging[[#This Row],[Acceptatie burgers]]),0.3),INDEX(aanname_implementatie[Coëfficient q],MATCH(B93,IF(aanname_implementatie[Doelgroep]=C93,aanname_implementatie[Digitale zorgtoepassing]),0)))</f>
        <v>0.35</v>
      </c>
      <c r="J93" s="17">
        <f>0</f>
        <v>0</v>
      </c>
      <c r="K93" s="17">
        <v>0</v>
      </c>
      <c r="L93" s="17">
        <v>0</v>
      </c>
      <c r="M93" s="17">
        <v>0</v>
      </c>
      <c r="N93" s="17">
        <v>0</v>
      </c>
      <c r="O93" s="17">
        <v>0</v>
      </c>
      <c r="P93" s="17">
        <v>0</v>
      </c>
      <c r="Q93" s="17">
        <v>0</v>
      </c>
      <c r="R93" s="17">
        <v>0</v>
      </c>
      <c r="S93" s="17">
        <v>0</v>
      </c>
      <c r="T93" s="17">
        <v>0</v>
      </c>
      <c r="U93" s="17">
        <v>0</v>
      </c>
      <c r="V93" s="124" cm="1">
        <f t="array" ref="V93">INDEX(aanname_implementatie[Huidige implementatiegraad],MATCH(B93,IF(aanname_implementatie[Doelgroep]=C93,aanname_implementatie[Digitale zorgtoepassing]),0))</f>
        <v>0.2</v>
      </c>
      <c r="W93" s="126">
        <f>V93+vertraging[[#This Row],[p]]*(1-V93)+vertraging[[#This Row],[q]]*V93*(1-V93)</f>
        <v>0.26800000000000002</v>
      </c>
      <c r="X93" s="126">
        <f>W93+vertraging[[#This Row],[p]]*(1-W93)+vertraging[[#This Row],[q]]*W93*(1-W93)</f>
        <v>0.3476416</v>
      </c>
      <c r="Y93" s="126">
        <f>X93+vertraging[[#This Row],[p]]*(1-X93)+vertraging[[#This Row],[q]]*X93*(1-X93)</f>
        <v>0.43680239728230397</v>
      </c>
      <c r="Z93" s="126">
        <f>Y93+vertraging[[#This Row],[p]]*(1-Y93)+vertraging[[#This Row],[q]]*Y93*(1-Y93)</f>
        <v>0.53135248337682706</v>
      </c>
      <c r="AA93" s="126">
        <f>Z93+vertraging[[#This Row],[p]]*(1-Z93)+vertraging[[#This Row],[q]]*Z93*(1-Z93)</f>
        <v>0.62553815375131172</v>
      </c>
      <c r="AB93" s="126">
        <f>AA93+vertraging[[#This Row],[p]]*(1-AA93)+vertraging[[#This Row],[q]]*AA93*(1-AA93)</f>
        <v>0.71313914162849124</v>
      </c>
      <c r="AC93" s="126">
        <f>AB93+vertraging[[#This Row],[p]]*(1-AB93)+vertraging[[#This Row],[q]]*AB93*(1-AB93)</f>
        <v>0.78904215171111836</v>
      </c>
      <c r="AD93" s="126">
        <f>AC93+vertraging[[#This Row],[p]]*(1-AC93)+vertraging[[#This Row],[q]]*AC93*(1-AC93)</f>
        <v>0.85046564152242399</v>
      </c>
      <c r="AE93" s="126">
        <f>AD93+vertraging[[#This Row],[p]]*(1-AD93)+vertraging[[#This Row],[q]]*AD93*(1-AD93)</f>
        <v>0.89721949883888419</v>
      </c>
      <c r="AF93" s="126">
        <f>AE93+vertraging[[#This Row],[p]]*(1-AE93)+vertraging[[#This Row],[q]]*AE93*(1-AE93)</f>
        <v>0.93103704076606597</v>
      </c>
      <c r="AG93" s="126">
        <f>AF93+vertraging[[#This Row],[p]]*(1-AF93)+vertraging[[#This Row],[q]]*AF93*(1-AF93)</f>
        <v>0.9545439594752464</v>
      </c>
    </row>
    <row r="94" spans="1:33" x14ac:dyDescent="0.5">
      <c r="A94" s="30" t="str">
        <f>INDEX(Technologieën[Veld],MATCH(B94,Technologieën[Digitale zorgtoepassing],0))</f>
        <v>Software - Behandeling</v>
      </c>
      <c r="B94" s="30" t="s">
        <v>588</v>
      </c>
      <c r="C94" s="30" t="s">
        <v>589</v>
      </c>
      <c r="D94" s="30" t="str" cm="1">
        <f t="array" ref="D94">INDEX(Berekening_patiëntaantal[Direct toepasbaar/extrapolatie/incidentie voor QALY],MATCH(B94,IF(Berekening_patiëntaantal[Doelgroep (zoeksleutel)]=C94,Berekening_patiëntaantal[Digitale zorgtoepassing]),0))</f>
        <v>Extrapolatie</v>
      </c>
      <c r="E94" s="440" t="s">
        <v>813</v>
      </c>
      <c r="F94" s="30" t="str">
        <f>CONCATENATE(vertraging[[#This Row],[Digitale zorgtoepassing]],"_",vertraging[[#This Row],[Doelgroep]],"_",vertraging[[#This Row],[Uitgangssituatie/effect beleid]])</f>
        <v>Digitale zorg logopedie_Overige_zittingen_Uitgangssituatie</v>
      </c>
      <c r="G94" s="122" t="str">
        <f>INDEX(acceptatie_burgers[Impact afhankelijk van acceptatie burgers?],MATCH(B94,acceptatie_burgers[Digitale zorgtoepassing],0))</f>
        <v>Ja</v>
      </c>
      <c r="H94" s="441" cm="1">
        <f t="array" ref="H94">IF(vertraging[[#This Row],[Uitgangssituatie/effect beleid]]="Effect beleid",MAX(INDEX(aanname_implementatie[Coëfficient p],MATCH(B94,IF(aanname_implementatie[Doelgroep]=C94,aanname_implementatie[Digitale zorgtoepassing]),0))+SUMIFS(afslagen_beleid[Opslag p],afslagen_beleid[Impact afhankelijk van acceptatie burgers],vertraging[[#This Row],[Acceptatie burgers]]),0.01),INDEX(aanname_implementatie[Coëfficient p],MATCH(B94,IF(aanname_implementatie[Doelgroep]=C94,aanname_implementatie[Digitale zorgtoepassing]),0)))</f>
        <v>0.01</v>
      </c>
      <c r="I94" s="441" cm="1">
        <f t="array" ref="I94">IF(vertraging[[#This Row],[Uitgangssituatie/effect beleid]]="Effect beleid",MAX(INDEX(aanname_implementatie[Coëfficient q],MATCH(B94,IF(aanname_implementatie[Doelgroep]=C94,aanname_implementatie[Digitale zorgtoepassing]),0))+SUMIFS(afslagen_beleid[Opslag q],afslagen_beleid[Impact afhankelijk van acceptatie burgers],vertraging[[#This Row],[Acceptatie burgers]]),0.3),INDEX(aanname_implementatie[Coëfficient q],MATCH(B94,IF(aanname_implementatie[Doelgroep]=C94,aanname_implementatie[Digitale zorgtoepassing]),0)))</f>
        <v>0.3</v>
      </c>
      <c r="J94" s="17">
        <f>0</f>
        <v>0</v>
      </c>
      <c r="K94" s="17">
        <v>0</v>
      </c>
      <c r="L94" s="17">
        <v>0</v>
      </c>
      <c r="M94" s="17">
        <v>0</v>
      </c>
      <c r="N94" s="17">
        <v>0</v>
      </c>
      <c r="O94" s="17">
        <v>0</v>
      </c>
      <c r="P94" s="17">
        <v>0</v>
      </c>
      <c r="Q94" s="17">
        <v>0</v>
      </c>
      <c r="R94" s="17">
        <v>0</v>
      </c>
      <c r="S94" s="17">
        <v>0</v>
      </c>
      <c r="T94" s="17">
        <v>0</v>
      </c>
      <c r="U94" s="17">
        <v>0</v>
      </c>
      <c r="V94" s="124" cm="1">
        <f t="array" ref="V94">INDEX(aanname_implementatie[Huidige implementatiegraad],MATCH(B94,IF(aanname_implementatie[Doelgroep]=C94,aanname_implementatie[Digitale zorgtoepassing]),0))</f>
        <v>0</v>
      </c>
      <c r="W94" s="126">
        <f>V94+vertraging[[#This Row],[p]]*(1-V94)+vertraging[[#This Row],[q]]*V94*(1-V94)</f>
        <v>0.01</v>
      </c>
      <c r="X94" s="126">
        <f>W94+vertraging[[#This Row],[p]]*(1-W94)+vertraging[[#This Row],[q]]*W94*(1-W94)</f>
        <v>2.2870000000000001E-2</v>
      </c>
      <c r="Y94" s="126">
        <f>X94+vertraging[[#This Row],[p]]*(1-X94)+vertraging[[#This Row],[q]]*X94*(1-X94)</f>
        <v>3.9345388929999996E-2</v>
      </c>
      <c r="Z94" s="126">
        <f>Y94+vertraging[[#This Row],[p]]*(1-Y94)+vertraging[[#This Row],[q]]*Y94*(1-Y94)</f>
        <v>6.0291133830684102E-2</v>
      </c>
      <c r="AA94" s="126">
        <f>Z94+vertraging[[#This Row],[p]]*(1-Z94)+vertraging[[#This Row],[q]]*Z94*(1-Z94)</f>
        <v>8.6685056396005655E-2</v>
      </c>
      <c r="AB94" s="126">
        <f>AA94+vertraging[[#This Row],[p]]*(1-AA94)+vertraging[[#This Row],[q]]*AA94*(1-AA94)</f>
        <v>0.11956943305013369</v>
      </c>
      <c r="AC94" s="126">
        <f>AB94+vertraging[[#This Row],[p]]*(1-AB94)+vertraging[[#This Row],[q]]*AB94*(1-AB94)</f>
        <v>0.15995551383869336</v>
      </c>
      <c r="AD94" s="126">
        <f>AC94+vertraging[[#This Row],[p]]*(1-AC94)+vertraging[[#This Row],[q]]*AC94*(1-AC94)</f>
        <v>0.20866688292969432</v>
      </c>
      <c r="AE94" s="126">
        <f>AD94+vertraging[[#This Row],[p]]*(1-AD94)+vertraging[[#This Row],[q]]*AD94*(1-AD94)</f>
        <v>0.26611771856982724</v>
      </c>
      <c r="AF94" s="126">
        <f>AE94+vertraging[[#This Row],[p]]*(1-AE94)+vertraging[[#This Row],[q]]*AE94*(1-AE94)</f>
        <v>0.33204626491403416</v>
      </c>
      <c r="AG94" s="126">
        <f>AF94+vertraging[[#This Row],[p]]*(1-AF94)+vertraging[[#This Row],[q]]*AF94*(1-AF94)</f>
        <v>0.40526326512609578</v>
      </c>
    </row>
    <row r="95" spans="1:33" x14ac:dyDescent="0.5">
      <c r="A95" s="30" t="str">
        <f>INDEX(Technologieën[Veld],MATCH(B95,Technologieën[Digitale zorgtoepassing],0))</f>
        <v>Software - Behandeling</v>
      </c>
      <c r="B95" s="30" t="s">
        <v>585</v>
      </c>
      <c r="C95" s="30" t="s">
        <v>583</v>
      </c>
      <c r="D95" s="30" t="str" cm="1">
        <f t="array" ref="D95">INDEX(Berekening_patiëntaantal[Direct toepasbaar/extrapolatie/incidentie voor QALY],MATCH(B95,IF(Berekening_patiëntaantal[Doelgroep (zoeksleutel)]=C95,Berekening_patiëntaantal[Digitale zorgtoepassing]),0))</f>
        <v>Huidige toepassing</v>
      </c>
      <c r="E95" s="440" t="s">
        <v>813</v>
      </c>
      <c r="F95" s="30" t="str">
        <f>CONCATENATE(vertraging[[#This Row],[Digitale zorgtoepassing]],"_",vertraging[[#This Row],[Doelgroep]],"_",vertraging[[#This Row],[Uitgangssituatie/effect beleid]])</f>
        <v>Digitale/slimme vervolgzorg_Herhaalpoli's_Uitgangssituatie</v>
      </c>
      <c r="G95" s="122" t="str">
        <f>INDEX(acceptatie_burgers[Impact afhankelijk van acceptatie burgers?],MATCH(B95,acceptatie_burgers[Digitale zorgtoepassing],0))</f>
        <v>Ja</v>
      </c>
      <c r="H95" s="441" cm="1">
        <f t="array" ref="H95">IF(vertraging[[#This Row],[Uitgangssituatie/effect beleid]]="Effect beleid",MAX(INDEX(aanname_implementatie[Coëfficient p],MATCH(B95,IF(aanname_implementatie[Doelgroep]=C95,aanname_implementatie[Digitale zorgtoepassing]),0))+SUMIFS(afslagen_beleid[Opslag p],afslagen_beleid[Impact afhankelijk van acceptatie burgers],vertraging[[#This Row],[Acceptatie burgers]]),0.01),INDEX(aanname_implementatie[Coëfficient p],MATCH(B95,IF(aanname_implementatie[Doelgroep]=C95,aanname_implementatie[Digitale zorgtoepassing]),0)))</f>
        <v>0.02</v>
      </c>
      <c r="I95" s="441" cm="1">
        <f t="array" ref="I95">IF(vertraging[[#This Row],[Uitgangssituatie/effect beleid]]="Effect beleid",MAX(INDEX(aanname_implementatie[Coëfficient q],MATCH(B95,IF(aanname_implementatie[Doelgroep]=C95,aanname_implementatie[Digitale zorgtoepassing]),0))+SUMIFS(afslagen_beleid[Opslag q],afslagen_beleid[Impact afhankelijk van acceptatie burgers],vertraging[[#This Row],[Acceptatie burgers]]),0.3),INDEX(aanname_implementatie[Coëfficient q],MATCH(B95,IF(aanname_implementatie[Doelgroep]=C95,aanname_implementatie[Digitale zorgtoepassing]),0)))</f>
        <v>0.4</v>
      </c>
      <c r="J95" s="17">
        <f>0</f>
        <v>0</v>
      </c>
      <c r="K95" s="17">
        <v>0</v>
      </c>
      <c r="L95" s="17">
        <v>0</v>
      </c>
      <c r="M95" s="17">
        <v>0</v>
      </c>
      <c r="N95" s="17">
        <v>0</v>
      </c>
      <c r="O95" s="17">
        <v>0</v>
      </c>
      <c r="P95" s="17">
        <v>0</v>
      </c>
      <c r="Q95" s="17">
        <v>0</v>
      </c>
      <c r="R95" s="17">
        <v>0</v>
      </c>
      <c r="S95" s="17">
        <v>0</v>
      </c>
      <c r="T95" s="17">
        <v>0</v>
      </c>
      <c r="U95" s="17">
        <v>0</v>
      </c>
      <c r="V95" s="124" cm="1">
        <f t="array" ref="V95">INDEX(aanname_implementatie[Huidige implementatiegraad],MATCH(B95,IF(aanname_implementatie[Doelgroep]=C95,aanname_implementatie[Digitale zorgtoepassing]),0))</f>
        <v>0</v>
      </c>
      <c r="W95" s="126">
        <f>V95+vertraging[[#This Row],[p]]*(1-V95)+vertraging[[#This Row],[q]]*V95*(1-V95)</f>
        <v>0.02</v>
      </c>
      <c r="X95" s="126">
        <f>W95+vertraging[[#This Row],[p]]*(1-W95)+vertraging[[#This Row],[q]]*W95*(1-W95)</f>
        <v>4.7439999999999996E-2</v>
      </c>
      <c r="Y95" s="126">
        <f>X95+vertraging[[#This Row],[p]]*(1-X95)+vertraging[[#This Row],[q]]*X95*(1-X95)</f>
        <v>8.4566978560000006E-2</v>
      </c>
      <c r="Z95" s="126">
        <f>Y95+vertraging[[#This Row],[p]]*(1-Y95)+vertraging[[#This Row],[q]]*Y95*(1-Y95)</f>
        <v>0.13384180086769301</v>
      </c>
      <c r="AA95" s="126">
        <f>Z95+vertraging[[#This Row],[p]]*(1-Z95)+vertraging[[#This Row],[q]]*Z95*(1-Z95)</f>
        <v>0.19753623413361349</v>
      </c>
      <c r="AB95" s="126">
        <f>AA95+vertraging[[#This Row],[p]]*(1-AA95)+vertraging[[#This Row],[q]]*AA95*(1-AA95)</f>
        <v>0.27699177758611071</v>
      </c>
      <c r="AC95" s="126">
        <f>AB95+vertraging[[#This Row],[p]]*(1-AB95)+vertraging[[#This Row],[q]]*AB95*(1-AB95)</f>
        <v>0.37155887512870744</v>
      </c>
      <c r="AD95" s="126">
        <f>AC95+vertraging[[#This Row],[p]]*(1-AC95)+vertraging[[#This Row],[q]]*AC95*(1-AC95)</f>
        <v>0.47752884860285211</v>
      </c>
      <c r="AE95" s="126">
        <f>AD95+vertraging[[#This Row],[p]]*(1-AD95)+vertraging[[#This Row],[q]]*AD95*(1-AD95)</f>
        <v>0.5877762905727496</v>
      </c>
      <c r="AF95" s="126">
        <f>AE95+vertraging[[#This Row],[p]]*(1-AE95)+vertraging[[#This Row],[q]]*AE95*(1-AE95)</f>
        <v>0.6929388938866099</v>
      </c>
      <c r="AG95" s="126">
        <f>AF95+vertraging[[#This Row],[p]]*(1-AF95)+vertraging[[#This Row],[q]]*AF95*(1-AF95)</f>
        <v>0.78418994929920227</v>
      </c>
    </row>
    <row r="96" spans="1:33" x14ac:dyDescent="0.5">
      <c r="A96" s="30" t="str">
        <f>INDEX(Technologieën[Veld],MATCH(B96,Technologieën[Digitale zorgtoepassing],0))</f>
        <v>Software - Behandeling</v>
      </c>
      <c r="B96" s="30" t="s">
        <v>585</v>
      </c>
      <c r="C96" s="30" t="s">
        <v>107</v>
      </c>
      <c r="D96" s="30" t="str" cm="1">
        <f t="array" ref="D96">INDEX(Berekening_patiëntaantal[Direct toepasbaar/extrapolatie/incidentie voor QALY],MATCH(B96,IF(Berekening_patiëntaantal[Doelgroep (zoeksleutel)]=C96,Berekening_patiëntaantal[Digitale zorgtoepassing]),0))</f>
        <v>Huidige toepassing</v>
      </c>
      <c r="E96" s="440" t="s">
        <v>813</v>
      </c>
      <c r="F96" s="30" t="str">
        <f>CONCATENATE(vertraging[[#This Row],[Digitale zorgtoepassing]],"_",vertraging[[#This Row],[Doelgroep]],"_",vertraging[[#This Row],[Uitgangssituatie/effect beleid]])</f>
        <v>Digitale/slimme vervolgzorg_Simpele botbreuken_Uitgangssituatie</v>
      </c>
      <c r="G96" s="122" t="str">
        <f>INDEX(acceptatie_burgers[Impact afhankelijk van acceptatie burgers?],MATCH(B96,acceptatie_burgers[Digitale zorgtoepassing],0))</f>
        <v>Ja</v>
      </c>
      <c r="H96" s="441" cm="1">
        <f t="array" ref="H96">IF(vertraging[[#This Row],[Uitgangssituatie/effect beleid]]="Effect beleid",MAX(INDEX(aanname_implementatie[Coëfficient p],MATCH(B96,IF(aanname_implementatie[Doelgroep]=C96,aanname_implementatie[Digitale zorgtoepassing]),0))+SUMIFS(afslagen_beleid[Opslag p],afslagen_beleid[Impact afhankelijk van acceptatie burgers],vertraging[[#This Row],[Acceptatie burgers]]),0.01),INDEX(aanname_implementatie[Coëfficient p],MATCH(B96,IF(aanname_implementatie[Doelgroep]=C96,aanname_implementatie[Digitale zorgtoepassing]),0)))</f>
        <v>2.5000000000000001E-2</v>
      </c>
      <c r="I96" s="441" cm="1">
        <f t="array" ref="I96">IF(vertraging[[#This Row],[Uitgangssituatie/effect beleid]]="Effect beleid",MAX(INDEX(aanname_implementatie[Coëfficient q],MATCH(B96,IF(aanname_implementatie[Doelgroep]=C96,aanname_implementatie[Digitale zorgtoepassing]),0))+SUMIFS(afslagen_beleid[Opslag q],afslagen_beleid[Impact afhankelijk van acceptatie burgers],vertraging[[#This Row],[Acceptatie burgers]]),0.3),INDEX(aanname_implementatie[Coëfficient q],MATCH(B96,IF(aanname_implementatie[Doelgroep]=C96,aanname_implementatie[Digitale zorgtoepassing]),0)))</f>
        <v>0.45</v>
      </c>
      <c r="J96" s="17">
        <f>0</f>
        <v>0</v>
      </c>
      <c r="K96" s="17">
        <v>0</v>
      </c>
      <c r="L96" s="17">
        <v>0</v>
      </c>
      <c r="M96" s="17">
        <v>0</v>
      </c>
      <c r="N96" s="17">
        <v>0</v>
      </c>
      <c r="O96" s="17">
        <v>0</v>
      </c>
      <c r="P96" s="17">
        <v>0</v>
      </c>
      <c r="Q96" s="17">
        <v>0</v>
      </c>
      <c r="R96" s="17">
        <v>0</v>
      </c>
      <c r="S96" s="17">
        <v>0</v>
      </c>
      <c r="T96" s="17">
        <v>0</v>
      </c>
      <c r="U96" s="17">
        <v>0</v>
      </c>
      <c r="V96" s="124" cm="1">
        <f t="array" ref="V96">INDEX(aanname_implementatie[Huidige implementatiegraad],MATCH(B96,IF(aanname_implementatie[Doelgroep]=C96,aanname_implementatie[Digitale zorgtoepassing]),0))</f>
        <v>0.4</v>
      </c>
      <c r="W96" s="126">
        <f>V96+vertraging[[#This Row],[p]]*(1-V96)+vertraging[[#This Row],[q]]*V96*(1-V96)</f>
        <v>0.52300000000000002</v>
      </c>
      <c r="X96" s="126">
        <f>W96+vertraging[[#This Row],[p]]*(1-W96)+vertraging[[#This Row],[q]]*W96*(1-W96)</f>
        <v>0.64718695000000004</v>
      </c>
      <c r="Y96" s="126">
        <f>X96+vertraging[[#This Row],[p]]*(1-X96)+vertraging[[#This Row],[q]]*X96*(1-X96)</f>
        <v>0.75875847703736388</v>
      </c>
      <c r="Z96" s="126">
        <f>Y96+vertraging[[#This Row],[p]]*(1-Y96)+vertraging[[#This Row],[q]]*Y96*(1-Y96)</f>
        <v>0.84715933786401665</v>
      </c>
      <c r="AA96" s="126">
        <f>Z96+vertraging[[#This Row],[p]]*(1-Z96)+vertraging[[#This Row],[q]]*Z96*(1-Z96)</f>
        <v>0.90924653177763415</v>
      </c>
      <c r="AB96" s="126">
        <f>AA96+vertraging[[#This Row],[p]]*(1-AA96)+vertraging[[#This Row],[q]]*AA96*(1-AA96)</f>
        <v>0.94864814278578335</v>
      </c>
      <c r="AC96" s="126">
        <f>AB96+vertraging[[#This Row],[p]]*(1-AB96)+vertraging[[#This Row],[q]]*AB96*(1-AB96)</f>
        <v>0.97185361900482903</v>
      </c>
      <c r="AD96" s="126">
        <f>AC96+vertraging[[#This Row],[p]]*(1-AC96)+vertraging[[#This Row],[q]]*AC96*(1-AC96)</f>
        <v>0.98486665153412889</v>
      </c>
      <c r="AE96" s="126">
        <f>AD96+vertraging[[#This Row],[p]]*(1-AD96)+vertraging[[#This Row],[q]]*AD96*(1-AD96)</f>
        <v>0.99195193384931235</v>
      </c>
      <c r="AF96" s="126">
        <f>AE96+vertraging[[#This Row],[p]]*(1-AE96)+vertraging[[#This Row],[q]]*AE96*(1-AE96)</f>
        <v>0.99574561815494433</v>
      </c>
      <c r="AG96" s="126">
        <f>AF96+vertraging[[#This Row],[p]]*(1-AF96)+vertraging[[#This Row],[q]]*AF96*(1-AF96)</f>
        <v>0.99775830463714821</v>
      </c>
    </row>
    <row r="97" spans="1:33" x14ac:dyDescent="0.5">
      <c r="A97" s="30" t="str">
        <f>INDEX(Technologieën[Veld],MATCH(B97,Technologieën[Digitale zorgtoepassing],0))</f>
        <v>Digitale hulpmiddelen - Verpleging</v>
      </c>
      <c r="B97" s="30" t="s">
        <v>58</v>
      </c>
      <c r="C97" s="30" t="s">
        <v>59</v>
      </c>
      <c r="D97" s="30" t="str" cm="1">
        <f t="array" ref="D97">INDEX(Berekening_patiëntaantal[Direct toepasbaar/extrapolatie/incidentie voor QALY],MATCH(B97,IF(Berekening_patiëntaantal[Doelgroep (zoeksleutel)]=C97,Berekening_patiëntaantal[Digitale zorgtoepassing]),0))</f>
        <v>Huidige toepassing</v>
      </c>
      <c r="E97" s="440" t="s">
        <v>813</v>
      </c>
      <c r="F97" s="30" t="str">
        <f>CONCATENATE(vertraging[[#This Row],[Digitale zorgtoepassing]],"_",vertraging[[#This Row],[Doelgroep]],"_",vertraging[[#This Row],[Uitgangssituatie/effect beleid]])</f>
        <v>Elektromechanisch toegangsbeheer_Alleenstaande thuiszorg cliënten_Uitgangssituatie</v>
      </c>
      <c r="G97" s="122" t="str">
        <f>INDEX(acceptatie_burgers[Impact afhankelijk van acceptatie burgers?],MATCH(B97,acceptatie_burgers[Digitale zorgtoepassing],0))</f>
        <v>Nee</v>
      </c>
      <c r="H97" s="441" cm="1">
        <f t="array" ref="H97">IF(vertraging[[#This Row],[Uitgangssituatie/effect beleid]]="Effect beleid",MAX(INDEX(aanname_implementatie[Coëfficient p],MATCH(B97,IF(aanname_implementatie[Doelgroep]=C97,aanname_implementatie[Digitale zorgtoepassing]),0))+SUMIFS(afslagen_beleid[Opslag p],afslagen_beleid[Impact afhankelijk van acceptatie burgers],vertraging[[#This Row],[Acceptatie burgers]]),0.01),INDEX(aanname_implementatie[Coëfficient p],MATCH(B97,IF(aanname_implementatie[Doelgroep]=C97,aanname_implementatie[Digitale zorgtoepassing]),0)))</f>
        <v>2.5000000000000001E-2</v>
      </c>
      <c r="I97" s="441" cm="1">
        <f t="array" ref="I97">IF(vertraging[[#This Row],[Uitgangssituatie/effect beleid]]="Effect beleid",MAX(INDEX(aanname_implementatie[Coëfficient q],MATCH(B97,IF(aanname_implementatie[Doelgroep]=C97,aanname_implementatie[Digitale zorgtoepassing]),0))+SUMIFS(afslagen_beleid[Opslag q],afslagen_beleid[Impact afhankelijk van acceptatie burgers],vertraging[[#This Row],[Acceptatie burgers]]),0.3),INDEX(aanname_implementatie[Coëfficient q],MATCH(B97,IF(aanname_implementatie[Doelgroep]=C97,aanname_implementatie[Digitale zorgtoepassing]),0)))</f>
        <v>0.45</v>
      </c>
      <c r="J97" s="17">
        <f>0</f>
        <v>0</v>
      </c>
      <c r="K97" s="17">
        <v>0</v>
      </c>
      <c r="L97" s="17">
        <v>0</v>
      </c>
      <c r="M97" s="17">
        <v>0</v>
      </c>
      <c r="N97" s="17">
        <v>0</v>
      </c>
      <c r="O97" s="17">
        <v>0</v>
      </c>
      <c r="P97" s="17">
        <v>0</v>
      </c>
      <c r="Q97" s="17">
        <v>0</v>
      </c>
      <c r="R97" s="17">
        <v>0</v>
      </c>
      <c r="S97" s="17">
        <v>0</v>
      </c>
      <c r="T97" s="17">
        <v>0</v>
      </c>
      <c r="U97" s="17">
        <v>0</v>
      </c>
      <c r="V97" s="124" cm="1">
        <f t="array" ref="V97">INDEX(aanname_implementatie[Huidige implementatiegraad],MATCH(B97,IF(aanname_implementatie[Doelgroep]=C97,aanname_implementatie[Digitale zorgtoepassing]),0))</f>
        <v>0.4</v>
      </c>
      <c r="W97" s="126">
        <f>V97+vertraging[[#This Row],[p]]*(1-V97)+vertraging[[#This Row],[q]]*V97*(1-V97)</f>
        <v>0.52300000000000002</v>
      </c>
      <c r="X97" s="126">
        <f>W97+vertraging[[#This Row],[p]]*(1-W97)+vertraging[[#This Row],[q]]*W97*(1-W97)</f>
        <v>0.64718695000000004</v>
      </c>
      <c r="Y97" s="126">
        <f>X97+vertraging[[#This Row],[p]]*(1-X97)+vertraging[[#This Row],[q]]*X97*(1-X97)</f>
        <v>0.75875847703736388</v>
      </c>
      <c r="Z97" s="126">
        <f>Y97+vertraging[[#This Row],[p]]*(1-Y97)+vertraging[[#This Row],[q]]*Y97*(1-Y97)</f>
        <v>0.84715933786401665</v>
      </c>
      <c r="AA97" s="126">
        <f>Z97+vertraging[[#This Row],[p]]*(1-Z97)+vertraging[[#This Row],[q]]*Z97*(1-Z97)</f>
        <v>0.90924653177763415</v>
      </c>
      <c r="AB97" s="126">
        <f>AA97+vertraging[[#This Row],[p]]*(1-AA97)+vertraging[[#This Row],[q]]*AA97*(1-AA97)</f>
        <v>0.94864814278578335</v>
      </c>
      <c r="AC97" s="126">
        <f>AB97+vertraging[[#This Row],[p]]*(1-AB97)+vertraging[[#This Row],[q]]*AB97*(1-AB97)</f>
        <v>0.97185361900482903</v>
      </c>
      <c r="AD97" s="126">
        <f>AC97+vertraging[[#This Row],[p]]*(1-AC97)+vertraging[[#This Row],[q]]*AC97*(1-AC97)</f>
        <v>0.98486665153412889</v>
      </c>
      <c r="AE97" s="126">
        <f>AD97+vertraging[[#This Row],[p]]*(1-AD97)+vertraging[[#This Row],[q]]*AD97*(1-AD97)</f>
        <v>0.99195193384931235</v>
      </c>
      <c r="AF97" s="126">
        <f>AE97+vertraging[[#This Row],[p]]*(1-AE97)+vertraging[[#This Row],[q]]*AE97*(1-AE97)</f>
        <v>0.99574561815494433</v>
      </c>
      <c r="AG97" s="126">
        <f>AF97+vertraging[[#This Row],[p]]*(1-AF97)+vertraging[[#This Row],[q]]*AF97*(1-AF97)</f>
        <v>0.99775830463714821</v>
      </c>
    </row>
    <row r="98" spans="1:33" x14ac:dyDescent="0.5">
      <c r="A98" s="30" t="str">
        <f>INDEX(Technologieën[Veld],MATCH(B98,Technologieën[Digitale zorgtoepassing],0))</f>
        <v>Digitale hulpmiddelen - Verpleging</v>
      </c>
      <c r="B98" s="30" t="s">
        <v>105</v>
      </c>
      <c r="C98" s="30" t="s">
        <v>106</v>
      </c>
      <c r="D98" s="30" t="str" cm="1">
        <f t="array" ref="D98">INDEX(Berekening_patiëntaantal[Direct toepasbaar/extrapolatie/incidentie voor QALY],MATCH(B98,IF(Berekening_patiëntaantal[Doelgroep (zoeksleutel)]=C98,Berekening_patiëntaantal[Digitale zorgtoepassing]),0))</f>
        <v>Huidige toepassing</v>
      </c>
      <c r="E98" s="440" t="s">
        <v>813</v>
      </c>
      <c r="F98" s="30" t="str">
        <f>CONCATENATE(vertraging[[#This Row],[Digitale zorgtoepassing]],"_",vertraging[[#This Row],[Doelgroep]],"_",vertraging[[#This Row],[Uitgangssituatie/effect beleid]])</f>
        <v>Exoskelet_NVT_Uitgangssituatie</v>
      </c>
      <c r="G98" s="122" t="str">
        <f>INDEX(acceptatie_burgers[Impact afhankelijk van acceptatie burgers?],MATCH(B98,acceptatie_burgers[Digitale zorgtoepassing],0))</f>
        <v>Nee</v>
      </c>
      <c r="H98" s="441" cm="1">
        <f t="array" ref="H98">IF(vertraging[[#This Row],[Uitgangssituatie/effect beleid]]="Effect beleid",MAX(INDEX(aanname_implementatie[Coëfficient p],MATCH(B98,IF(aanname_implementatie[Doelgroep]=C98,aanname_implementatie[Digitale zorgtoepassing]),0))+SUMIFS(afslagen_beleid[Opslag p],afslagen_beleid[Impact afhankelijk van acceptatie burgers],vertraging[[#This Row],[Acceptatie burgers]]),0.01),INDEX(aanname_implementatie[Coëfficient p],MATCH(B98,IF(aanname_implementatie[Doelgroep]=C98,aanname_implementatie[Digitale zorgtoepassing]),0)))</f>
        <v>1.4999999999999999E-2</v>
      </c>
      <c r="I98" s="441" cm="1">
        <f t="array" ref="I98">IF(vertraging[[#This Row],[Uitgangssituatie/effect beleid]]="Effect beleid",MAX(INDEX(aanname_implementatie[Coëfficient q],MATCH(B98,IF(aanname_implementatie[Doelgroep]=C98,aanname_implementatie[Digitale zorgtoepassing]),0))+SUMIFS(afslagen_beleid[Opslag q],afslagen_beleid[Impact afhankelijk van acceptatie burgers],vertraging[[#This Row],[Acceptatie burgers]]),0.3),INDEX(aanname_implementatie[Coëfficient q],MATCH(B98,IF(aanname_implementatie[Doelgroep]=C98,aanname_implementatie[Digitale zorgtoepassing]),0)))</f>
        <v>0.35</v>
      </c>
      <c r="J98" s="17">
        <f>0</f>
        <v>0</v>
      </c>
      <c r="K98" s="17">
        <v>0</v>
      </c>
      <c r="L98" s="17">
        <v>0</v>
      </c>
      <c r="M98" s="17">
        <v>0</v>
      </c>
      <c r="N98" s="17">
        <v>0</v>
      </c>
      <c r="O98" s="17">
        <v>0</v>
      </c>
      <c r="P98" s="17">
        <v>0</v>
      </c>
      <c r="Q98" s="17">
        <v>0</v>
      </c>
      <c r="R98" s="17">
        <v>0</v>
      </c>
      <c r="S98" s="17">
        <v>0</v>
      </c>
      <c r="T98" s="17">
        <v>0</v>
      </c>
      <c r="U98" s="17">
        <v>0</v>
      </c>
      <c r="V98" s="124" cm="1">
        <f t="array" ref="V98">INDEX(aanname_implementatie[Huidige implementatiegraad],MATCH(B98,IF(aanname_implementatie[Doelgroep]=C98,aanname_implementatie[Digitale zorgtoepassing]),0))</f>
        <v>0</v>
      </c>
      <c r="W98" s="126">
        <f>V98+vertraging[[#This Row],[p]]*(1-V98)+vertraging[[#This Row],[q]]*V98*(1-V98)</f>
        <v>1.4999999999999999E-2</v>
      </c>
      <c r="X98" s="126">
        <f>W98+vertraging[[#This Row],[p]]*(1-W98)+vertraging[[#This Row],[q]]*W98*(1-W98)</f>
        <v>3.4946249999999998E-2</v>
      </c>
      <c r="Y98" s="126">
        <f>X98+vertraging[[#This Row],[p]]*(1-X98)+vertraging[[#This Row],[q]]*X98*(1-X98)</f>
        <v>6.1225809613828119E-2</v>
      </c>
      <c r="Z98" s="126">
        <f>Y98+vertraging[[#This Row],[p]]*(1-Y98)+vertraging[[#This Row],[q]]*Y98*(1-Y98)</f>
        <v>9.5424445917456496E-2</v>
      </c>
      <c r="AA98" s="126">
        <f>Z98+vertraging[[#This Row],[p]]*(1-Z98)+vertraging[[#This Row],[q]]*Z98*(1-Z98)</f>
        <v>0.13920459659227569</v>
      </c>
      <c r="AB98" s="126">
        <f>AA98+vertraging[[#This Row],[p]]*(1-AA98)+vertraging[[#This Row],[q]]*AA98*(1-AA98)</f>
        <v>0.19405586455134166</v>
      </c>
      <c r="AC98" s="126">
        <f>AB98+vertraging[[#This Row],[p]]*(1-AB98)+vertraging[[#This Row],[q]]*AB98*(1-AB98)</f>
        <v>0.26088439167767208</v>
      </c>
      <c r="AD98" s="126">
        <f>AC98+vertraging[[#This Row],[p]]*(1-AC98)+vertraging[[#This Row],[q]]*AC98*(1-AC98)</f>
        <v>0.33945942985233207</v>
      </c>
      <c r="AE98" s="126">
        <f>AD98+vertraging[[#This Row],[p]]*(1-AD98)+vertraging[[#This Row],[q]]*AD98*(1-AD98)</f>
        <v>0.42784689227237871</v>
      </c>
      <c r="AF98" s="126">
        <f>AE98+vertraging[[#This Row],[p]]*(1-AE98)+vertraging[[#This Row],[q]]*AE98*(1-AE98)</f>
        <v>0.52210706405412921</v>
      </c>
      <c r="AG98" s="126">
        <f>AF98+vertraging[[#This Row],[p]]*(1-AF98)+vertraging[[#This Row],[q]]*AF98*(1-AF98)</f>
        <v>0.61660440529493454</v>
      </c>
    </row>
    <row r="99" spans="1:33" x14ac:dyDescent="0.5">
      <c r="A99" s="30" t="str">
        <f>INDEX(Technologieën[Veld],MATCH(B99,Technologieën[Digitale zorgtoepassing],0))</f>
        <v>Digitale hulpmiddelen - Verpleging</v>
      </c>
      <c r="B99" s="30" t="s">
        <v>32</v>
      </c>
      <c r="C99" s="30" t="s">
        <v>602</v>
      </c>
      <c r="D99" s="30" t="str" cm="1">
        <f t="array" ref="D99">INDEX(Berekening_patiëntaantal[Direct toepasbaar/extrapolatie/incidentie voor QALY],MATCH(B99,IF(Berekening_patiëntaantal[Doelgroep (zoeksleutel)]=C99,Berekening_patiëntaantal[Digitale zorgtoepassing]),0))</f>
        <v>Incidentie voor QALY</v>
      </c>
      <c r="E99" s="440" t="s">
        <v>813</v>
      </c>
      <c r="F99" s="30" t="str">
        <f>CONCATENATE(vertraging[[#This Row],[Digitale zorgtoepassing]],"_",vertraging[[#This Row],[Doelgroep]],"_",vertraging[[#This Row],[Uitgangssituatie/effect beleid]])</f>
        <v>Heupairbag_Heupfracturen_Uitgangssituatie</v>
      </c>
      <c r="G99" s="122" t="str">
        <f>INDEX(acceptatie_burgers[Impact afhankelijk van acceptatie burgers?],MATCH(B99,acceptatie_burgers[Digitale zorgtoepassing],0))</f>
        <v>Ja</v>
      </c>
      <c r="H99" s="441" cm="1">
        <f t="array" ref="H99">IF(vertraging[[#This Row],[Uitgangssituatie/effect beleid]]="Effect beleid",MAX(INDEX(aanname_implementatie[Coëfficient p],MATCH(B99,IF(aanname_implementatie[Doelgroep]=C99,aanname_implementatie[Digitale zorgtoepassing]),0))+SUMIFS(afslagen_beleid[Opslag p],afslagen_beleid[Impact afhankelijk van acceptatie burgers],vertraging[[#This Row],[Acceptatie burgers]]),0.01),INDEX(aanname_implementatie[Coëfficient p],MATCH(B99,IF(aanname_implementatie[Doelgroep]=C99,aanname_implementatie[Digitale zorgtoepassing]),0)))</f>
        <v>0.02</v>
      </c>
      <c r="I99" s="441" cm="1">
        <f t="array" ref="I99">IF(vertraging[[#This Row],[Uitgangssituatie/effect beleid]]="Effect beleid",MAX(INDEX(aanname_implementatie[Coëfficient q],MATCH(B99,IF(aanname_implementatie[Doelgroep]=C99,aanname_implementatie[Digitale zorgtoepassing]),0))+SUMIFS(afslagen_beleid[Opslag q],afslagen_beleid[Impact afhankelijk van acceptatie burgers],vertraging[[#This Row],[Acceptatie burgers]]),0.3),INDEX(aanname_implementatie[Coëfficient q],MATCH(B99,IF(aanname_implementatie[Doelgroep]=C99,aanname_implementatie[Digitale zorgtoepassing]),0)))</f>
        <v>0.4</v>
      </c>
      <c r="J99" s="17">
        <f>0</f>
        <v>0</v>
      </c>
      <c r="K99" s="17">
        <v>0</v>
      </c>
      <c r="L99" s="17">
        <v>0</v>
      </c>
      <c r="M99" s="17">
        <v>0</v>
      </c>
      <c r="N99" s="17">
        <v>0</v>
      </c>
      <c r="O99" s="17">
        <v>0</v>
      </c>
      <c r="P99" s="17">
        <v>0</v>
      </c>
      <c r="Q99" s="17">
        <v>0</v>
      </c>
      <c r="R99" s="17">
        <v>0</v>
      </c>
      <c r="S99" s="17">
        <v>0</v>
      </c>
      <c r="T99" s="17">
        <v>0</v>
      </c>
      <c r="U99" s="17">
        <v>0</v>
      </c>
      <c r="V99" s="124" cm="1">
        <f t="array" ref="V99">INDEX(aanname_implementatie[Huidige implementatiegraad],MATCH(B99,IF(aanname_implementatie[Doelgroep]=C99,aanname_implementatie[Digitale zorgtoepassing]),0))</f>
        <v>0.4</v>
      </c>
      <c r="W99" s="126">
        <f>V99+vertraging[[#This Row],[p]]*(1-V99)+vertraging[[#This Row],[q]]*V99*(1-V99)</f>
        <v>0.50800000000000001</v>
      </c>
      <c r="X99" s="126">
        <f>W99+vertraging[[#This Row],[p]]*(1-W99)+vertraging[[#This Row],[q]]*W99*(1-W99)</f>
        <v>0.61781439999999999</v>
      </c>
      <c r="Y99" s="126">
        <f>X99+vertraging[[#This Row],[p]]*(1-X99)+vertraging[[#This Row],[q]]*X99*(1-X99)</f>
        <v>0.71990601886105599</v>
      </c>
      <c r="Z99" s="126">
        <f>Y99+vertraging[[#This Row],[p]]*(1-Y99)+vertraging[[#This Row],[q]]*Y99*(1-Y99)</f>
        <v>0.80616443563130724</v>
      </c>
      <c r="AA99" s="126">
        <f>Z99+vertraging[[#This Row],[p]]*(1-Z99)+vertraging[[#This Row],[q]]*Z99*(1-Z99)</f>
        <v>0.87254648226050635</v>
      </c>
      <c r="AB99" s="126">
        <f>AA99+vertraging[[#This Row],[p]]*(1-AA99)+vertraging[[#This Row],[q]]*AA99*(1-AA99)</f>
        <v>0.9195792000374251</v>
      </c>
      <c r="AC99" s="126">
        <f>AB99+vertraging[[#This Row],[p]]*(1-AB99)+vertraging[[#This Row],[q]]*AB99*(1-AB99)</f>
        <v>0.95076893399505846</v>
      </c>
      <c r="AD99" s="126">
        <f>AC99+vertraging[[#This Row],[p]]*(1-AC99)+vertraging[[#This Row],[q]]*AC99*(1-AC99)</f>
        <v>0.97047650257314066</v>
      </c>
      <c r="AE99" s="126">
        <f>AD99+vertraging[[#This Row],[p]]*(1-AD99)+vertraging[[#This Row],[q]]*AD99*(1-AD99)</f>
        <v>0.98252771673229611</v>
      </c>
      <c r="AF99" s="126">
        <f>AE99+vertraging[[#This Row],[p]]*(1-AE99)+vertraging[[#This Row],[q]]*AE99*(1-AE99)</f>
        <v>0.98974396343169702</v>
      </c>
      <c r="AG99" s="126">
        <f>AF99+vertraging[[#This Row],[p]]*(1-AF99)+vertraging[[#This Row],[q]]*AF99*(1-AF99)</f>
        <v>0.99400942427594807</v>
      </c>
    </row>
    <row r="100" spans="1:33" x14ac:dyDescent="0.5">
      <c r="A100" s="30" t="str">
        <f>INDEX(Technologieën[Veld],MATCH(B100,Technologieën[Digitale zorgtoepassing],0))</f>
        <v>Digitale hulpmiddelen - Verpleging</v>
      </c>
      <c r="B100" s="30" t="s">
        <v>32</v>
      </c>
      <c r="C100" s="30" t="s">
        <v>33</v>
      </c>
      <c r="D100" s="30" t="str" cm="1">
        <f t="array" ref="D100">INDEX(Berekening_patiëntaantal[Direct toepasbaar/extrapolatie/incidentie voor QALY],MATCH(B100,IF(Berekening_patiëntaantal[Doelgroep (zoeksleutel)]=C100,Berekening_patiëntaantal[Digitale zorgtoepassing]),0))</f>
        <v>Huidige toepassing</v>
      </c>
      <c r="E100" s="440" t="s">
        <v>813</v>
      </c>
      <c r="F100" s="30" t="str">
        <f>CONCATENATE(vertraging[[#This Row],[Digitale zorgtoepassing]],"_",vertraging[[#This Row],[Doelgroep]],"_",vertraging[[#This Row],[Uitgangssituatie/effect beleid]])</f>
        <v>Heupairbag_Ouderen in verpleeghuis_Uitgangssituatie</v>
      </c>
      <c r="G100" s="122" t="str">
        <f>INDEX(acceptatie_burgers[Impact afhankelijk van acceptatie burgers?],MATCH(B100,acceptatie_burgers[Digitale zorgtoepassing],0))</f>
        <v>Ja</v>
      </c>
      <c r="H100" s="441" cm="1">
        <f t="array" ref="H100">IF(vertraging[[#This Row],[Uitgangssituatie/effect beleid]]="Effect beleid",MAX(INDEX(aanname_implementatie[Coëfficient p],MATCH(B100,IF(aanname_implementatie[Doelgroep]=C100,aanname_implementatie[Digitale zorgtoepassing]),0))+SUMIFS(afslagen_beleid[Opslag p],afslagen_beleid[Impact afhankelijk van acceptatie burgers],vertraging[[#This Row],[Acceptatie burgers]]),0.01),INDEX(aanname_implementatie[Coëfficient p],MATCH(B100,IF(aanname_implementatie[Doelgroep]=C100,aanname_implementatie[Digitale zorgtoepassing]),0)))</f>
        <v>0.02</v>
      </c>
      <c r="I100" s="441" cm="1">
        <f t="array" ref="I100">IF(vertraging[[#This Row],[Uitgangssituatie/effect beleid]]="Effect beleid",MAX(INDEX(aanname_implementatie[Coëfficient q],MATCH(B100,IF(aanname_implementatie[Doelgroep]=C100,aanname_implementatie[Digitale zorgtoepassing]),0))+SUMIFS(afslagen_beleid[Opslag q],afslagen_beleid[Impact afhankelijk van acceptatie burgers],vertraging[[#This Row],[Acceptatie burgers]]),0.3),INDEX(aanname_implementatie[Coëfficient q],MATCH(B100,IF(aanname_implementatie[Doelgroep]=C100,aanname_implementatie[Digitale zorgtoepassing]),0)))</f>
        <v>0.4</v>
      </c>
      <c r="J100" s="17">
        <f>0</f>
        <v>0</v>
      </c>
      <c r="K100" s="17">
        <v>0</v>
      </c>
      <c r="L100" s="17">
        <v>0</v>
      </c>
      <c r="M100" s="17">
        <v>0</v>
      </c>
      <c r="N100" s="17">
        <v>0</v>
      </c>
      <c r="O100" s="17">
        <v>0</v>
      </c>
      <c r="P100" s="17">
        <v>0</v>
      </c>
      <c r="Q100" s="17">
        <v>0</v>
      </c>
      <c r="R100" s="17">
        <v>0</v>
      </c>
      <c r="S100" s="17">
        <v>0</v>
      </c>
      <c r="T100" s="17">
        <v>0</v>
      </c>
      <c r="U100" s="17">
        <v>0</v>
      </c>
      <c r="V100" s="124" cm="1">
        <f t="array" ref="V100">INDEX(aanname_implementatie[Huidige implementatiegraad],MATCH(B100,IF(aanname_implementatie[Doelgroep]=C100,aanname_implementatie[Digitale zorgtoepassing]),0))</f>
        <v>0.4</v>
      </c>
      <c r="W100" s="126">
        <f>V100+vertraging[[#This Row],[p]]*(1-V100)+vertraging[[#This Row],[q]]*V100*(1-V100)</f>
        <v>0.50800000000000001</v>
      </c>
      <c r="X100" s="126">
        <f>W100+vertraging[[#This Row],[p]]*(1-W100)+vertraging[[#This Row],[q]]*W100*(1-W100)</f>
        <v>0.61781439999999999</v>
      </c>
      <c r="Y100" s="126">
        <f>X100+vertraging[[#This Row],[p]]*(1-X100)+vertraging[[#This Row],[q]]*X100*(1-X100)</f>
        <v>0.71990601886105599</v>
      </c>
      <c r="Z100" s="126">
        <f>Y100+vertraging[[#This Row],[p]]*(1-Y100)+vertraging[[#This Row],[q]]*Y100*(1-Y100)</f>
        <v>0.80616443563130724</v>
      </c>
      <c r="AA100" s="126">
        <f>Z100+vertraging[[#This Row],[p]]*(1-Z100)+vertraging[[#This Row],[q]]*Z100*(1-Z100)</f>
        <v>0.87254648226050635</v>
      </c>
      <c r="AB100" s="126">
        <f>AA100+vertraging[[#This Row],[p]]*(1-AA100)+vertraging[[#This Row],[q]]*AA100*(1-AA100)</f>
        <v>0.9195792000374251</v>
      </c>
      <c r="AC100" s="126">
        <f>AB100+vertraging[[#This Row],[p]]*(1-AB100)+vertraging[[#This Row],[q]]*AB100*(1-AB100)</f>
        <v>0.95076893399505846</v>
      </c>
      <c r="AD100" s="126">
        <f>AC100+vertraging[[#This Row],[p]]*(1-AC100)+vertraging[[#This Row],[q]]*AC100*(1-AC100)</f>
        <v>0.97047650257314066</v>
      </c>
      <c r="AE100" s="126">
        <f>AD100+vertraging[[#This Row],[p]]*(1-AD100)+vertraging[[#This Row],[q]]*AD100*(1-AD100)</f>
        <v>0.98252771673229611</v>
      </c>
      <c r="AF100" s="126">
        <f>AE100+vertraging[[#This Row],[p]]*(1-AE100)+vertraging[[#This Row],[q]]*AE100*(1-AE100)</f>
        <v>0.98974396343169702</v>
      </c>
      <c r="AG100" s="126">
        <f>AF100+vertraging[[#This Row],[p]]*(1-AF100)+vertraging[[#This Row],[q]]*AF100*(1-AF100)</f>
        <v>0.99400942427594807</v>
      </c>
    </row>
    <row r="101" spans="1:33" x14ac:dyDescent="0.5">
      <c r="A101" s="30" t="str">
        <f>INDEX(Technologieën[Veld],MATCH(B101,Technologieën[Digitale zorgtoepassing],0))</f>
        <v>Software - Diagnose</v>
      </c>
      <c r="B101" s="30" t="s">
        <v>725</v>
      </c>
      <c r="C101" s="30" t="s">
        <v>99</v>
      </c>
      <c r="D101" s="30" t="str" cm="1">
        <f t="array" ref="D101">INDEX(Berekening_patiëntaantal[Direct toepasbaar/extrapolatie/incidentie voor QALY],MATCH(B101,IF(Berekening_patiëntaantal[Doelgroep (zoeksleutel)]=C101,Berekening_patiëntaantal[Digitale zorgtoepassing]),0))</f>
        <v>Huidige toepassing</v>
      </c>
      <c r="E101" s="440" t="s">
        <v>813</v>
      </c>
      <c r="F101" s="30" t="str">
        <f>CONCATENATE(vertraging[[#This Row],[Digitale zorgtoepassing]],"_",vertraging[[#This Row],[Doelgroep]],"_",vertraging[[#This Row],[Uitgangssituatie/effect beleid]])</f>
        <v>Inzicht assistent digitale zelftriage dagpraktijk_Huisartscontacten__Uitgangssituatie</v>
      </c>
      <c r="G101" s="122" t="str">
        <f>INDEX(acceptatie_burgers[Impact afhankelijk van acceptatie burgers?],MATCH(B101,acceptatie_burgers[Digitale zorgtoepassing],0))</f>
        <v>Ja</v>
      </c>
      <c r="H101" s="441" cm="1">
        <f t="array" ref="H101">IF(vertraging[[#This Row],[Uitgangssituatie/effect beleid]]="Effect beleid",MAX(INDEX(aanname_implementatie[Coëfficient p],MATCH(B101,IF(aanname_implementatie[Doelgroep]=C101,aanname_implementatie[Digitale zorgtoepassing]),0))+SUMIFS(afslagen_beleid[Opslag p],afslagen_beleid[Impact afhankelijk van acceptatie burgers],vertraging[[#This Row],[Acceptatie burgers]]),0.01),INDEX(aanname_implementatie[Coëfficient p],MATCH(B101,IF(aanname_implementatie[Doelgroep]=C101,aanname_implementatie[Digitale zorgtoepassing]),0)))</f>
        <v>1.4999999999999999E-2</v>
      </c>
      <c r="I101" s="441" cm="1">
        <f t="array" ref="I101">IF(vertraging[[#This Row],[Uitgangssituatie/effect beleid]]="Effect beleid",MAX(INDEX(aanname_implementatie[Coëfficient q],MATCH(B101,IF(aanname_implementatie[Doelgroep]=C101,aanname_implementatie[Digitale zorgtoepassing]),0))+SUMIFS(afslagen_beleid[Opslag q],afslagen_beleid[Impact afhankelijk van acceptatie burgers],vertraging[[#This Row],[Acceptatie burgers]]),0.3),INDEX(aanname_implementatie[Coëfficient q],MATCH(B101,IF(aanname_implementatie[Doelgroep]=C101,aanname_implementatie[Digitale zorgtoepassing]),0)))</f>
        <v>0.35</v>
      </c>
      <c r="J101" s="17">
        <f>0</f>
        <v>0</v>
      </c>
      <c r="K101" s="17">
        <v>0</v>
      </c>
      <c r="L101" s="17">
        <v>0</v>
      </c>
      <c r="M101" s="17">
        <v>0</v>
      </c>
      <c r="N101" s="17">
        <v>0</v>
      </c>
      <c r="O101" s="17">
        <v>0</v>
      </c>
      <c r="P101" s="17">
        <v>0</v>
      </c>
      <c r="Q101" s="17">
        <v>0</v>
      </c>
      <c r="R101" s="17">
        <v>0</v>
      </c>
      <c r="S101" s="17">
        <v>0</v>
      </c>
      <c r="T101" s="17">
        <v>0</v>
      </c>
      <c r="U101" s="17">
        <v>0</v>
      </c>
      <c r="V101" s="124" cm="1">
        <f t="array" ref="V101">INDEX(aanname_implementatie[Huidige implementatiegraad],MATCH(B101,IF(aanname_implementatie[Doelgroep]=C101,aanname_implementatie[Digitale zorgtoepassing]),0))</f>
        <v>0.2</v>
      </c>
      <c r="W101" s="126">
        <f>V101+vertraging[[#This Row],[p]]*(1-V101)+vertraging[[#This Row],[q]]*V101*(1-V101)</f>
        <v>0.26800000000000002</v>
      </c>
      <c r="X101" s="126">
        <f>W101+vertraging[[#This Row],[p]]*(1-W101)+vertraging[[#This Row],[q]]*W101*(1-W101)</f>
        <v>0.3476416</v>
      </c>
      <c r="Y101" s="126">
        <f>X101+vertraging[[#This Row],[p]]*(1-X101)+vertraging[[#This Row],[q]]*X101*(1-X101)</f>
        <v>0.43680239728230397</v>
      </c>
      <c r="Z101" s="126">
        <f>Y101+vertraging[[#This Row],[p]]*(1-Y101)+vertraging[[#This Row],[q]]*Y101*(1-Y101)</f>
        <v>0.53135248337682706</v>
      </c>
      <c r="AA101" s="126">
        <f>Z101+vertraging[[#This Row],[p]]*(1-Z101)+vertraging[[#This Row],[q]]*Z101*(1-Z101)</f>
        <v>0.62553815375131172</v>
      </c>
      <c r="AB101" s="126">
        <f>AA101+vertraging[[#This Row],[p]]*(1-AA101)+vertraging[[#This Row],[q]]*AA101*(1-AA101)</f>
        <v>0.71313914162849124</v>
      </c>
      <c r="AC101" s="126">
        <f>AB101+vertraging[[#This Row],[p]]*(1-AB101)+vertraging[[#This Row],[q]]*AB101*(1-AB101)</f>
        <v>0.78904215171111836</v>
      </c>
      <c r="AD101" s="126">
        <f>AC101+vertraging[[#This Row],[p]]*(1-AC101)+vertraging[[#This Row],[q]]*AC101*(1-AC101)</f>
        <v>0.85046564152242399</v>
      </c>
      <c r="AE101" s="126">
        <f>AD101+vertraging[[#This Row],[p]]*(1-AD101)+vertraging[[#This Row],[q]]*AD101*(1-AD101)</f>
        <v>0.89721949883888419</v>
      </c>
      <c r="AF101" s="126">
        <f>AE101+vertraging[[#This Row],[p]]*(1-AE101)+vertraging[[#This Row],[q]]*AE101*(1-AE101)</f>
        <v>0.93103704076606597</v>
      </c>
      <c r="AG101" s="126">
        <f>AF101+vertraging[[#This Row],[p]]*(1-AF101)+vertraging[[#This Row],[q]]*AF101*(1-AF101)</f>
        <v>0.9545439594752464</v>
      </c>
    </row>
    <row r="102" spans="1:33" x14ac:dyDescent="0.5">
      <c r="A102" s="30" t="str">
        <f>INDEX(Technologieën[Veld],MATCH(B102,Technologieën[Digitale zorgtoepassing],0))</f>
        <v>Software - Diagnose</v>
      </c>
      <c r="B102" s="30" t="s">
        <v>720</v>
      </c>
      <c r="C102" s="30" t="s">
        <v>73</v>
      </c>
      <c r="D102" s="30" t="str" cm="1">
        <f t="array" ref="D102">INDEX(Berekening_patiëntaantal[Direct toepasbaar/extrapolatie/incidentie voor QALY],MATCH(B102,IF(Berekening_patiëntaantal[Doelgroep (zoeksleutel)]=C102,Berekening_patiëntaantal[Digitale zorgtoepassing]),0))</f>
        <v>Huidige toepassing</v>
      </c>
      <c r="E102" s="440" t="s">
        <v>813</v>
      </c>
      <c r="F102" s="30" t="str">
        <f>CONCATENATE(vertraging[[#This Row],[Digitale zorgtoepassing]],"_",vertraging[[#This Row],[Doelgroep]],"_",vertraging[[#This Row],[Uitgangssituatie/effect beleid]])</f>
        <v>Inzicht triagist digitale zelftriage HAP_HAP triageconsulten_U4/U5_Uitgangssituatie</v>
      </c>
      <c r="G102" s="122" t="str">
        <f>INDEX(acceptatie_burgers[Impact afhankelijk van acceptatie burgers?],MATCH(B102,acceptatie_burgers[Digitale zorgtoepassing],0))</f>
        <v>Ja</v>
      </c>
      <c r="H102" s="441" cm="1">
        <f t="array" ref="H102">IF(vertraging[[#This Row],[Uitgangssituatie/effect beleid]]="Effect beleid",MAX(INDEX(aanname_implementatie[Coëfficient p],MATCH(B102,IF(aanname_implementatie[Doelgroep]=C102,aanname_implementatie[Digitale zorgtoepassing]),0))+SUMIFS(afslagen_beleid[Opslag p],afslagen_beleid[Impact afhankelijk van acceptatie burgers],vertraging[[#This Row],[Acceptatie burgers]]),0.01),INDEX(aanname_implementatie[Coëfficient p],MATCH(B102,IF(aanname_implementatie[Doelgroep]=C102,aanname_implementatie[Digitale zorgtoepassing]),0)))</f>
        <v>1.4999999999999999E-2</v>
      </c>
      <c r="I102" s="441" cm="1">
        <f t="array" ref="I102">IF(vertraging[[#This Row],[Uitgangssituatie/effect beleid]]="Effect beleid",MAX(INDEX(aanname_implementatie[Coëfficient q],MATCH(B102,IF(aanname_implementatie[Doelgroep]=C102,aanname_implementatie[Digitale zorgtoepassing]),0))+SUMIFS(afslagen_beleid[Opslag q],afslagen_beleid[Impact afhankelijk van acceptatie burgers],vertraging[[#This Row],[Acceptatie burgers]]),0.3),INDEX(aanname_implementatie[Coëfficient q],MATCH(B102,IF(aanname_implementatie[Doelgroep]=C102,aanname_implementatie[Digitale zorgtoepassing]),0)))</f>
        <v>0.35</v>
      </c>
      <c r="J102" s="17">
        <f>0</f>
        <v>0</v>
      </c>
      <c r="K102" s="17">
        <v>0</v>
      </c>
      <c r="L102" s="17">
        <v>0</v>
      </c>
      <c r="M102" s="17">
        <v>0</v>
      </c>
      <c r="N102" s="17">
        <v>0</v>
      </c>
      <c r="O102" s="17">
        <v>0</v>
      </c>
      <c r="P102" s="17">
        <v>0</v>
      </c>
      <c r="Q102" s="17">
        <v>0</v>
      </c>
      <c r="R102" s="17">
        <v>0</v>
      </c>
      <c r="S102" s="17">
        <v>0</v>
      </c>
      <c r="T102" s="17">
        <v>0</v>
      </c>
      <c r="U102" s="17">
        <v>0</v>
      </c>
      <c r="V102" s="124" cm="1">
        <f t="array" ref="V102">INDEX(aanname_implementatie[Huidige implementatiegraad],MATCH(B102,IF(aanname_implementatie[Doelgroep]=C102,aanname_implementatie[Digitale zorgtoepassing]),0))</f>
        <v>0.2</v>
      </c>
      <c r="W102" s="126">
        <f>V102+vertraging[[#This Row],[p]]*(1-V102)+vertraging[[#This Row],[q]]*V102*(1-V102)</f>
        <v>0.26800000000000002</v>
      </c>
      <c r="X102" s="126">
        <f>W102+vertraging[[#This Row],[p]]*(1-W102)+vertraging[[#This Row],[q]]*W102*(1-W102)</f>
        <v>0.3476416</v>
      </c>
      <c r="Y102" s="126">
        <f>X102+vertraging[[#This Row],[p]]*(1-X102)+vertraging[[#This Row],[q]]*X102*(1-X102)</f>
        <v>0.43680239728230397</v>
      </c>
      <c r="Z102" s="126">
        <f>Y102+vertraging[[#This Row],[p]]*(1-Y102)+vertraging[[#This Row],[q]]*Y102*(1-Y102)</f>
        <v>0.53135248337682706</v>
      </c>
      <c r="AA102" s="126">
        <f>Z102+vertraging[[#This Row],[p]]*(1-Z102)+vertraging[[#This Row],[q]]*Z102*(1-Z102)</f>
        <v>0.62553815375131172</v>
      </c>
      <c r="AB102" s="126">
        <f>AA102+vertraging[[#This Row],[p]]*(1-AA102)+vertraging[[#This Row],[q]]*AA102*(1-AA102)</f>
        <v>0.71313914162849124</v>
      </c>
      <c r="AC102" s="126">
        <f>AB102+vertraging[[#This Row],[p]]*(1-AB102)+vertraging[[#This Row],[q]]*AB102*(1-AB102)</f>
        <v>0.78904215171111836</v>
      </c>
      <c r="AD102" s="126">
        <f>AC102+vertraging[[#This Row],[p]]*(1-AC102)+vertraging[[#This Row],[q]]*AC102*(1-AC102)</f>
        <v>0.85046564152242399</v>
      </c>
      <c r="AE102" s="126">
        <f>AD102+vertraging[[#This Row],[p]]*(1-AD102)+vertraging[[#This Row],[q]]*AD102*(1-AD102)</f>
        <v>0.89721949883888419</v>
      </c>
      <c r="AF102" s="126">
        <f>AE102+vertraging[[#This Row],[p]]*(1-AE102)+vertraging[[#This Row],[q]]*AE102*(1-AE102)</f>
        <v>0.93103704076606597</v>
      </c>
      <c r="AG102" s="126">
        <f>AF102+vertraging[[#This Row],[p]]*(1-AF102)+vertraging[[#This Row],[q]]*AF102*(1-AF102)</f>
        <v>0.9545439594752464</v>
      </c>
    </row>
    <row r="103" spans="1:33" x14ac:dyDescent="0.5">
      <c r="A103" s="30" t="str">
        <f>INDEX(Technologieën[Veld],MATCH(B103,Technologieën[Digitale zorgtoepassing],0))</f>
        <v>Sensoren - Verpleging</v>
      </c>
      <c r="B103" s="30" t="s">
        <v>46</v>
      </c>
      <c r="C103" s="30" t="s">
        <v>20</v>
      </c>
      <c r="D103" s="30" t="str" cm="1">
        <f t="array" ref="D103">INDEX(Berekening_patiëntaantal[Direct toepasbaar/extrapolatie/incidentie voor QALY],MATCH(B103,IF(Berekening_patiëntaantal[Doelgroep (zoeksleutel)]=C103,Berekening_patiëntaantal[Digitale zorgtoepassing]),0))</f>
        <v>Huidige toepassing</v>
      </c>
      <c r="E103" s="440" t="s">
        <v>813</v>
      </c>
      <c r="F103" s="30" t="str">
        <f>CONCATENATE(vertraging[[#This Row],[Digitale zorgtoepassing]],"_",vertraging[[#This Row],[Doelgroep]],"_",vertraging[[#This Row],[Uitgangssituatie/effect beleid]])</f>
        <v>Leefcirkels_Dementie_Uitgangssituatie</v>
      </c>
      <c r="G103" s="122" t="str">
        <f>INDEX(acceptatie_burgers[Impact afhankelijk van acceptatie burgers?],MATCH(B103,acceptatie_burgers[Digitale zorgtoepassing],0))</f>
        <v>Ja</v>
      </c>
      <c r="H103" s="441" cm="1">
        <f t="array" ref="H103">IF(vertraging[[#This Row],[Uitgangssituatie/effect beleid]]="Effect beleid",MAX(INDEX(aanname_implementatie[Coëfficient p],MATCH(B103,IF(aanname_implementatie[Doelgroep]=C103,aanname_implementatie[Digitale zorgtoepassing]),0))+SUMIFS(afslagen_beleid[Opslag p],afslagen_beleid[Impact afhankelijk van acceptatie burgers],vertraging[[#This Row],[Acceptatie burgers]]),0.01),INDEX(aanname_implementatie[Coëfficient p],MATCH(B103,IF(aanname_implementatie[Doelgroep]=C103,aanname_implementatie[Digitale zorgtoepassing]),0)))</f>
        <v>1.4999999999999999E-2</v>
      </c>
      <c r="I103" s="441" cm="1">
        <f t="array" ref="I103">IF(vertraging[[#This Row],[Uitgangssituatie/effect beleid]]="Effect beleid",MAX(INDEX(aanname_implementatie[Coëfficient q],MATCH(B103,IF(aanname_implementatie[Doelgroep]=C103,aanname_implementatie[Digitale zorgtoepassing]),0))+SUMIFS(afslagen_beleid[Opslag q],afslagen_beleid[Impact afhankelijk van acceptatie burgers],vertraging[[#This Row],[Acceptatie burgers]]),0.3),INDEX(aanname_implementatie[Coëfficient q],MATCH(B103,IF(aanname_implementatie[Doelgroep]=C103,aanname_implementatie[Digitale zorgtoepassing]),0)))</f>
        <v>0.35</v>
      </c>
      <c r="J103" s="17">
        <f>0</f>
        <v>0</v>
      </c>
      <c r="K103" s="17">
        <v>0</v>
      </c>
      <c r="L103" s="17">
        <v>0</v>
      </c>
      <c r="M103" s="17">
        <v>0</v>
      </c>
      <c r="N103" s="17">
        <v>0</v>
      </c>
      <c r="O103" s="17">
        <v>0</v>
      </c>
      <c r="P103" s="17">
        <v>0</v>
      </c>
      <c r="Q103" s="17">
        <v>0</v>
      </c>
      <c r="R103" s="17">
        <v>0</v>
      </c>
      <c r="S103" s="17">
        <v>0</v>
      </c>
      <c r="T103" s="17">
        <v>0</v>
      </c>
      <c r="U103" s="17">
        <v>0</v>
      </c>
      <c r="V103" s="124" cm="1">
        <f t="array" ref="V103">INDEX(aanname_implementatie[Huidige implementatiegraad],MATCH(B103,IF(aanname_implementatie[Doelgroep]=C103,aanname_implementatie[Digitale zorgtoepassing]),0))</f>
        <v>0.2</v>
      </c>
      <c r="W103" s="126">
        <f>V103+vertraging[[#This Row],[p]]*(1-V103)+vertraging[[#This Row],[q]]*V103*(1-V103)</f>
        <v>0.26800000000000002</v>
      </c>
      <c r="X103" s="126">
        <f>W103+vertraging[[#This Row],[p]]*(1-W103)+vertraging[[#This Row],[q]]*W103*(1-W103)</f>
        <v>0.3476416</v>
      </c>
      <c r="Y103" s="126">
        <f>X103+vertraging[[#This Row],[p]]*(1-X103)+vertraging[[#This Row],[q]]*X103*(1-X103)</f>
        <v>0.43680239728230397</v>
      </c>
      <c r="Z103" s="126">
        <f>Y103+vertraging[[#This Row],[p]]*(1-Y103)+vertraging[[#This Row],[q]]*Y103*(1-Y103)</f>
        <v>0.53135248337682706</v>
      </c>
      <c r="AA103" s="126">
        <f>Z103+vertraging[[#This Row],[p]]*(1-Z103)+vertraging[[#This Row],[q]]*Z103*(1-Z103)</f>
        <v>0.62553815375131172</v>
      </c>
      <c r="AB103" s="126">
        <f>AA103+vertraging[[#This Row],[p]]*(1-AA103)+vertraging[[#This Row],[q]]*AA103*(1-AA103)</f>
        <v>0.71313914162849124</v>
      </c>
      <c r="AC103" s="126">
        <f>AB103+vertraging[[#This Row],[p]]*(1-AB103)+vertraging[[#This Row],[q]]*AB103*(1-AB103)</f>
        <v>0.78904215171111836</v>
      </c>
      <c r="AD103" s="126">
        <f>AC103+vertraging[[#This Row],[p]]*(1-AC103)+vertraging[[#This Row],[q]]*AC103*(1-AC103)</f>
        <v>0.85046564152242399</v>
      </c>
      <c r="AE103" s="126">
        <f>AD103+vertraging[[#This Row],[p]]*(1-AD103)+vertraging[[#This Row],[q]]*AD103*(1-AD103)</f>
        <v>0.89721949883888419</v>
      </c>
      <c r="AF103" s="126">
        <f>AE103+vertraging[[#This Row],[p]]*(1-AE103)+vertraging[[#This Row],[q]]*AE103*(1-AE103)</f>
        <v>0.93103704076606597</v>
      </c>
      <c r="AG103" s="126">
        <f>AF103+vertraging[[#This Row],[p]]*(1-AF103)+vertraging[[#This Row],[q]]*AF103*(1-AF103)</f>
        <v>0.9545439594752464</v>
      </c>
    </row>
    <row r="104" spans="1:33" x14ac:dyDescent="0.5">
      <c r="A104" s="30" t="str">
        <f>INDEX(Technologieën[Veld],MATCH(B104,Technologieën[Digitale zorgtoepassing],0))</f>
        <v>Sensoren - Verpleging</v>
      </c>
      <c r="B104" s="30" t="s">
        <v>36</v>
      </c>
      <c r="C104" s="30" t="s">
        <v>24</v>
      </c>
      <c r="D104" s="30" t="str" cm="1">
        <f t="array" ref="D104">INDEX(Berekening_patiëntaantal[Direct toepasbaar/extrapolatie/incidentie voor QALY],MATCH(B104,IF(Berekening_patiëntaantal[Doelgroep (zoeksleutel)]=C104,Berekening_patiëntaantal[Digitale zorgtoepassing]),0))</f>
        <v>Extrapolatie</v>
      </c>
      <c r="E104" s="440" t="s">
        <v>813</v>
      </c>
      <c r="F104" s="30" t="str">
        <f>CONCATENATE(vertraging[[#This Row],[Digitale zorgtoepassing]],"_",vertraging[[#This Row],[Doelgroep]],"_",vertraging[[#This Row],[Uitgangssituatie/effect beleid]])</f>
        <v>Leefstijlmonitoring_Cognitieve beperking_Uitgangssituatie</v>
      </c>
      <c r="G104" s="122" t="str">
        <f>INDEX(acceptatie_burgers[Impact afhankelijk van acceptatie burgers?],MATCH(B104,acceptatie_burgers[Digitale zorgtoepassing],0))</f>
        <v>Ja</v>
      </c>
      <c r="H104" s="441" cm="1">
        <f t="array" ref="H104">IF(vertraging[[#This Row],[Uitgangssituatie/effect beleid]]="Effect beleid",MAX(INDEX(aanname_implementatie[Coëfficient p],MATCH(B104,IF(aanname_implementatie[Doelgroep]=C104,aanname_implementatie[Digitale zorgtoepassing]),0))+SUMIFS(afslagen_beleid[Opslag p],afslagen_beleid[Impact afhankelijk van acceptatie burgers],vertraging[[#This Row],[Acceptatie burgers]]),0.01),INDEX(aanname_implementatie[Coëfficient p],MATCH(B104,IF(aanname_implementatie[Doelgroep]=C104,aanname_implementatie[Digitale zorgtoepassing]),0)))</f>
        <v>0.02</v>
      </c>
      <c r="I104" s="441" cm="1">
        <f t="array" ref="I104">IF(vertraging[[#This Row],[Uitgangssituatie/effect beleid]]="Effect beleid",MAX(INDEX(aanname_implementatie[Coëfficient q],MATCH(B104,IF(aanname_implementatie[Doelgroep]=C104,aanname_implementatie[Digitale zorgtoepassing]),0))+SUMIFS(afslagen_beleid[Opslag q],afslagen_beleid[Impact afhankelijk van acceptatie burgers],vertraging[[#This Row],[Acceptatie burgers]]),0.3),INDEX(aanname_implementatie[Coëfficient q],MATCH(B104,IF(aanname_implementatie[Doelgroep]=C104,aanname_implementatie[Digitale zorgtoepassing]),0)))</f>
        <v>0.4</v>
      </c>
      <c r="J104" s="17">
        <f>0</f>
        <v>0</v>
      </c>
      <c r="K104" s="17">
        <v>0</v>
      </c>
      <c r="L104" s="17">
        <v>0</v>
      </c>
      <c r="M104" s="17">
        <v>0</v>
      </c>
      <c r="N104" s="17">
        <v>0</v>
      </c>
      <c r="O104" s="17">
        <v>0</v>
      </c>
      <c r="P104" s="17">
        <v>0</v>
      </c>
      <c r="Q104" s="17">
        <v>0</v>
      </c>
      <c r="R104" s="17">
        <v>0</v>
      </c>
      <c r="S104" s="17">
        <v>0</v>
      </c>
      <c r="T104" s="17">
        <v>0</v>
      </c>
      <c r="U104" s="17">
        <v>0</v>
      </c>
      <c r="V104" s="124" cm="1">
        <f t="array" ref="V104">INDEX(aanname_implementatie[Huidige implementatiegraad],MATCH(B104,IF(aanname_implementatie[Doelgroep]=C104,aanname_implementatie[Digitale zorgtoepassing]),0))</f>
        <v>0</v>
      </c>
      <c r="W104" s="126">
        <f>V104+vertraging[[#This Row],[p]]*(1-V104)+vertraging[[#This Row],[q]]*V104*(1-V104)</f>
        <v>0.02</v>
      </c>
      <c r="X104" s="126">
        <f>W104+vertraging[[#This Row],[p]]*(1-W104)+vertraging[[#This Row],[q]]*W104*(1-W104)</f>
        <v>4.7439999999999996E-2</v>
      </c>
      <c r="Y104" s="126">
        <f>X104+vertraging[[#This Row],[p]]*(1-X104)+vertraging[[#This Row],[q]]*X104*(1-X104)</f>
        <v>8.4566978560000006E-2</v>
      </c>
      <c r="Z104" s="126">
        <f>Y104+vertraging[[#This Row],[p]]*(1-Y104)+vertraging[[#This Row],[q]]*Y104*(1-Y104)</f>
        <v>0.13384180086769301</v>
      </c>
      <c r="AA104" s="126">
        <f>Z104+vertraging[[#This Row],[p]]*(1-Z104)+vertraging[[#This Row],[q]]*Z104*(1-Z104)</f>
        <v>0.19753623413361349</v>
      </c>
      <c r="AB104" s="126">
        <f>AA104+vertraging[[#This Row],[p]]*(1-AA104)+vertraging[[#This Row],[q]]*AA104*(1-AA104)</f>
        <v>0.27699177758611071</v>
      </c>
      <c r="AC104" s="126">
        <f>AB104+vertraging[[#This Row],[p]]*(1-AB104)+vertraging[[#This Row],[q]]*AB104*(1-AB104)</f>
        <v>0.37155887512870744</v>
      </c>
      <c r="AD104" s="126">
        <f>AC104+vertraging[[#This Row],[p]]*(1-AC104)+vertraging[[#This Row],[q]]*AC104*(1-AC104)</f>
        <v>0.47752884860285211</v>
      </c>
      <c r="AE104" s="126">
        <f>AD104+vertraging[[#This Row],[p]]*(1-AD104)+vertraging[[#This Row],[q]]*AD104*(1-AD104)</f>
        <v>0.5877762905727496</v>
      </c>
      <c r="AF104" s="126">
        <f>AE104+vertraging[[#This Row],[p]]*(1-AE104)+vertraging[[#This Row],[q]]*AE104*(1-AE104)</f>
        <v>0.6929388938866099</v>
      </c>
      <c r="AG104" s="126">
        <f>AF104+vertraging[[#This Row],[p]]*(1-AF104)+vertraging[[#This Row],[q]]*AF104*(1-AF104)</f>
        <v>0.78418994929920227</v>
      </c>
    </row>
    <row r="105" spans="1:33" x14ac:dyDescent="0.5">
      <c r="A105" s="30" t="str">
        <f>INDEX(Technologieën[Veld],MATCH(B105,Technologieën[Digitale zorgtoepassing],0))</f>
        <v>Sensoren - Verpleging</v>
      </c>
      <c r="B105" s="30" t="s">
        <v>36</v>
      </c>
      <c r="C105" s="30" t="s">
        <v>20</v>
      </c>
      <c r="D105" s="30" t="str" cm="1">
        <f t="array" ref="D105">INDEX(Berekening_patiëntaantal[Direct toepasbaar/extrapolatie/incidentie voor QALY],MATCH(B105,IF(Berekening_patiëntaantal[Doelgroep (zoeksleutel)]=C105,Berekening_patiëntaantal[Digitale zorgtoepassing]),0))</f>
        <v>Huidige toepassing</v>
      </c>
      <c r="E105" s="440" t="s">
        <v>813</v>
      </c>
      <c r="F105" s="30" t="str">
        <f>CONCATENATE(vertraging[[#This Row],[Digitale zorgtoepassing]],"_",vertraging[[#This Row],[Doelgroep]],"_",vertraging[[#This Row],[Uitgangssituatie/effect beleid]])</f>
        <v>Leefstijlmonitoring_Dementie_Uitgangssituatie</v>
      </c>
      <c r="G105" s="122" t="str">
        <f>INDEX(acceptatie_burgers[Impact afhankelijk van acceptatie burgers?],MATCH(B105,acceptatie_burgers[Digitale zorgtoepassing],0))</f>
        <v>Ja</v>
      </c>
      <c r="H105" s="441" cm="1">
        <f t="array" ref="H105">IF(vertraging[[#This Row],[Uitgangssituatie/effect beleid]]="Effect beleid",MAX(INDEX(aanname_implementatie[Coëfficient p],MATCH(B105,IF(aanname_implementatie[Doelgroep]=C105,aanname_implementatie[Digitale zorgtoepassing]),0))+SUMIFS(afslagen_beleid[Opslag p],afslagen_beleid[Impact afhankelijk van acceptatie burgers],vertraging[[#This Row],[Acceptatie burgers]]),0.01),INDEX(aanname_implementatie[Coëfficient p],MATCH(B105,IF(aanname_implementatie[Doelgroep]=C105,aanname_implementatie[Digitale zorgtoepassing]),0)))</f>
        <v>0.02</v>
      </c>
      <c r="I105" s="441" cm="1">
        <f t="array" ref="I105">IF(vertraging[[#This Row],[Uitgangssituatie/effect beleid]]="Effect beleid",MAX(INDEX(aanname_implementatie[Coëfficient q],MATCH(B105,IF(aanname_implementatie[Doelgroep]=C105,aanname_implementatie[Digitale zorgtoepassing]),0))+SUMIFS(afslagen_beleid[Opslag q],afslagen_beleid[Impact afhankelijk van acceptatie burgers],vertraging[[#This Row],[Acceptatie burgers]]),0.3),INDEX(aanname_implementatie[Coëfficient q],MATCH(B105,IF(aanname_implementatie[Doelgroep]=C105,aanname_implementatie[Digitale zorgtoepassing]),0)))</f>
        <v>0.4</v>
      </c>
      <c r="J105" s="17">
        <f>0</f>
        <v>0</v>
      </c>
      <c r="K105" s="17">
        <v>0</v>
      </c>
      <c r="L105" s="17">
        <v>0</v>
      </c>
      <c r="M105" s="17">
        <v>0</v>
      </c>
      <c r="N105" s="17">
        <v>0</v>
      </c>
      <c r="O105" s="17">
        <v>0</v>
      </c>
      <c r="P105" s="17">
        <v>0</v>
      </c>
      <c r="Q105" s="17">
        <v>0</v>
      </c>
      <c r="R105" s="17">
        <v>0</v>
      </c>
      <c r="S105" s="17">
        <v>0</v>
      </c>
      <c r="T105" s="17">
        <v>0</v>
      </c>
      <c r="U105" s="17">
        <v>0</v>
      </c>
      <c r="V105" s="124" cm="1">
        <f t="array" ref="V105">INDEX(aanname_implementatie[Huidige implementatiegraad],MATCH(B105,IF(aanname_implementatie[Doelgroep]=C105,aanname_implementatie[Digitale zorgtoepassing]),0))</f>
        <v>0.2</v>
      </c>
      <c r="W105" s="126">
        <f>V105+vertraging[[#This Row],[p]]*(1-V105)+vertraging[[#This Row],[q]]*V105*(1-V105)</f>
        <v>0.28000000000000003</v>
      </c>
      <c r="X105" s="126">
        <f>W105+vertraging[[#This Row],[p]]*(1-W105)+vertraging[[#This Row],[q]]*W105*(1-W105)</f>
        <v>0.37504000000000004</v>
      </c>
      <c r="Y105" s="126">
        <f>X105+vertraging[[#This Row],[p]]*(1-X105)+vertraging[[#This Row],[q]]*X105*(1-X105)</f>
        <v>0.48129319936000003</v>
      </c>
      <c r="Z105" s="126">
        <f>Y105+vertraging[[#This Row],[p]]*(1-Y105)+vertraging[[#This Row],[q]]*Y105*(1-Y105)</f>
        <v>0.59152735761672615</v>
      </c>
      <c r="AA105" s="126">
        <f>Z105+vertraging[[#This Row],[p]]*(1-Z105)+vertraging[[#This Row],[q]]*Z105*(1-Z105)</f>
        <v>0.69634590758747161</v>
      </c>
      <c r="AB105" s="126">
        <f>AA105+vertraging[[#This Row],[p]]*(1-AA105)+vertraging[[#This Row],[q]]*AA105*(1-AA105)</f>
        <v>0.78699830326518305</v>
      </c>
      <c r="AC105" s="126">
        <f>AB105+vertraging[[#This Row],[p]]*(1-AB105)+vertraging[[#This Row],[q]]*AB105*(1-AB105)</f>
        <v>0.85831112676904175</v>
      </c>
      <c r="AD105" s="126">
        <f>AC105+vertraging[[#This Row],[p]]*(1-AC105)+vertraging[[#This Row],[q]]*AC105*(1-AC105)</f>
        <v>0.90979015880706082</v>
      </c>
      <c r="AE105" s="126">
        <f>AD105+vertraging[[#This Row],[p]]*(1-AD105)+vertraging[[#This Row],[q]]*AD105*(1-AD105)</f>
        <v>0.94442316592887321</v>
      </c>
      <c r="AF105" s="126">
        <f>AE105+vertraging[[#This Row],[p]]*(1-AE105)+vertraging[[#This Row],[q]]*AE105*(1-AE105)</f>
        <v>0.96652992244459857</v>
      </c>
      <c r="AG105" s="126">
        <f>AF105+vertraging[[#This Row],[p]]*(1-AF105)+vertraging[[#This Row],[q]]*AF105*(1-AF105)</f>
        <v>0.98013925658124135</v>
      </c>
    </row>
    <row r="106" spans="1:33" x14ac:dyDescent="0.5">
      <c r="A106" s="30" t="str">
        <f>INDEX(Technologieën[Veld],MATCH(B106,Technologieën[Digitale zorgtoepassing],0))</f>
        <v>Sensoren - Verpleging</v>
      </c>
      <c r="B106" s="30" t="s">
        <v>36</v>
      </c>
      <c r="C106" s="30" t="s">
        <v>40</v>
      </c>
      <c r="D106" s="30" t="str" cm="1">
        <f t="array" ref="D106">INDEX(Berekening_patiëntaantal[Direct toepasbaar/extrapolatie/incidentie voor QALY],MATCH(B106,IF(Berekening_patiëntaantal[Doelgroep (zoeksleutel)]=C106,Berekening_patiëntaantal[Digitale zorgtoepassing]),0))</f>
        <v>Extrapolatie</v>
      </c>
      <c r="E106" s="440" t="s">
        <v>813</v>
      </c>
      <c r="F106" s="30" t="str">
        <f>CONCATENATE(vertraging[[#This Row],[Digitale zorgtoepassing]],"_",vertraging[[#This Row],[Doelgroep]],"_",vertraging[[#This Row],[Uitgangssituatie/effect beleid]])</f>
        <v>Leefstijlmonitoring_Kwetsbare ouderen_Uitgangssituatie</v>
      </c>
      <c r="G106" s="122" t="str">
        <f>INDEX(acceptatie_burgers[Impact afhankelijk van acceptatie burgers?],MATCH(B106,acceptatie_burgers[Digitale zorgtoepassing],0))</f>
        <v>Ja</v>
      </c>
      <c r="H106" s="441" cm="1">
        <f t="array" ref="H106">IF(vertraging[[#This Row],[Uitgangssituatie/effect beleid]]="Effect beleid",MAX(INDEX(aanname_implementatie[Coëfficient p],MATCH(B106,IF(aanname_implementatie[Doelgroep]=C106,aanname_implementatie[Digitale zorgtoepassing]),0))+SUMIFS(afslagen_beleid[Opslag p],afslagen_beleid[Impact afhankelijk van acceptatie burgers],vertraging[[#This Row],[Acceptatie burgers]]),0.01),INDEX(aanname_implementatie[Coëfficient p],MATCH(B106,IF(aanname_implementatie[Doelgroep]=C106,aanname_implementatie[Digitale zorgtoepassing]),0)))</f>
        <v>0.02</v>
      </c>
      <c r="I106" s="441" cm="1">
        <f t="array" ref="I106">IF(vertraging[[#This Row],[Uitgangssituatie/effect beleid]]="Effect beleid",MAX(INDEX(aanname_implementatie[Coëfficient q],MATCH(B106,IF(aanname_implementatie[Doelgroep]=C106,aanname_implementatie[Digitale zorgtoepassing]),0))+SUMIFS(afslagen_beleid[Opslag q],afslagen_beleid[Impact afhankelijk van acceptatie burgers],vertraging[[#This Row],[Acceptatie burgers]]),0.3),INDEX(aanname_implementatie[Coëfficient q],MATCH(B106,IF(aanname_implementatie[Doelgroep]=C106,aanname_implementatie[Digitale zorgtoepassing]),0)))</f>
        <v>0.4</v>
      </c>
      <c r="J106" s="17">
        <f>0</f>
        <v>0</v>
      </c>
      <c r="K106" s="17">
        <v>0</v>
      </c>
      <c r="L106" s="17">
        <v>0</v>
      </c>
      <c r="M106" s="17">
        <v>0</v>
      </c>
      <c r="N106" s="17">
        <v>0</v>
      </c>
      <c r="O106" s="17">
        <v>0</v>
      </c>
      <c r="P106" s="17">
        <v>0</v>
      </c>
      <c r="Q106" s="17">
        <v>0</v>
      </c>
      <c r="R106" s="17">
        <v>0</v>
      </c>
      <c r="S106" s="17">
        <v>0</v>
      </c>
      <c r="T106" s="17">
        <v>0</v>
      </c>
      <c r="U106" s="17">
        <v>0</v>
      </c>
      <c r="V106" s="124" cm="1">
        <f t="array" ref="V106">INDEX(aanname_implementatie[Huidige implementatiegraad],MATCH(B106,IF(aanname_implementatie[Doelgroep]=C106,aanname_implementatie[Digitale zorgtoepassing]),0))</f>
        <v>0</v>
      </c>
      <c r="W106" s="126">
        <f>V106+vertraging[[#This Row],[p]]*(1-V106)+vertraging[[#This Row],[q]]*V106*(1-V106)</f>
        <v>0.02</v>
      </c>
      <c r="X106" s="126">
        <f>W106+vertraging[[#This Row],[p]]*(1-W106)+vertraging[[#This Row],[q]]*W106*(1-W106)</f>
        <v>4.7439999999999996E-2</v>
      </c>
      <c r="Y106" s="126">
        <f>X106+vertraging[[#This Row],[p]]*(1-X106)+vertraging[[#This Row],[q]]*X106*(1-X106)</f>
        <v>8.4566978560000006E-2</v>
      </c>
      <c r="Z106" s="126">
        <f>Y106+vertraging[[#This Row],[p]]*(1-Y106)+vertraging[[#This Row],[q]]*Y106*(1-Y106)</f>
        <v>0.13384180086769301</v>
      </c>
      <c r="AA106" s="126">
        <f>Z106+vertraging[[#This Row],[p]]*(1-Z106)+vertraging[[#This Row],[q]]*Z106*(1-Z106)</f>
        <v>0.19753623413361349</v>
      </c>
      <c r="AB106" s="126">
        <f>AA106+vertraging[[#This Row],[p]]*(1-AA106)+vertraging[[#This Row],[q]]*AA106*(1-AA106)</f>
        <v>0.27699177758611071</v>
      </c>
      <c r="AC106" s="126">
        <f>AB106+vertraging[[#This Row],[p]]*(1-AB106)+vertraging[[#This Row],[q]]*AB106*(1-AB106)</f>
        <v>0.37155887512870744</v>
      </c>
      <c r="AD106" s="126">
        <f>AC106+vertraging[[#This Row],[p]]*(1-AC106)+vertraging[[#This Row],[q]]*AC106*(1-AC106)</f>
        <v>0.47752884860285211</v>
      </c>
      <c r="AE106" s="126">
        <f>AD106+vertraging[[#This Row],[p]]*(1-AD106)+vertraging[[#This Row],[q]]*AD106*(1-AD106)</f>
        <v>0.5877762905727496</v>
      </c>
      <c r="AF106" s="126">
        <f>AE106+vertraging[[#This Row],[p]]*(1-AE106)+vertraging[[#This Row],[q]]*AE106*(1-AE106)</f>
        <v>0.6929388938866099</v>
      </c>
      <c r="AG106" s="126">
        <f>AF106+vertraging[[#This Row],[p]]*(1-AF106)+vertraging[[#This Row],[q]]*AF106*(1-AF106)</f>
        <v>0.78418994929920227</v>
      </c>
    </row>
    <row r="107" spans="1:33" x14ac:dyDescent="0.5">
      <c r="A107" s="30" t="str">
        <f>INDEX(Technologieën[Veld],MATCH(B107,Technologieën[Digitale zorgtoepassing],0))</f>
        <v>Sensoren - Verpleging</v>
      </c>
      <c r="B107" s="30" t="s">
        <v>36</v>
      </c>
      <c r="C107" s="30" t="s">
        <v>27</v>
      </c>
      <c r="D107" s="30" t="str" cm="1">
        <f t="array" ref="D107">INDEX(Berekening_patiëntaantal[Direct toepasbaar/extrapolatie/incidentie voor QALY],MATCH(B107,IF(Berekening_patiëntaantal[Doelgroep (zoeksleutel)]=C107,Berekening_patiëntaantal[Digitale zorgtoepassing]),0))</f>
        <v>Extrapolatie</v>
      </c>
      <c r="E107" s="440" t="s">
        <v>813</v>
      </c>
      <c r="F107" s="30" t="str">
        <f>CONCATENATE(vertraging[[#This Row],[Digitale zorgtoepassing]],"_",vertraging[[#This Row],[Doelgroep]],"_",vertraging[[#This Row],[Uitgangssituatie/effect beleid]])</f>
        <v>Leefstijlmonitoring_Parkinson_Uitgangssituatie</v>
      </c>
      <c r="G107" s="122" t="str">
        <f>INDEX(acceptatie_burgers[Impact afhankelijk van acceptatie burgers?],MATCH(B107,acceptatie_burgers[Digitale zorgtoepassing],0))</f>
        <v>Ja</v>
      </c>
      <c r="H107" s="441" cm="1">
        <f t="array" ref="H107">IF(vertraging[[#This Row],[Uitgangssituatie/effect beleid]]="Effect beleid",MAX(INDEX(aanname_implementatie[Coëfficient p],MATCH(B107,IF(aanname_implementatie[Doelgroep]=C107,aanname_implementatie[Digitale zorgtoepassing]),0))+SUMIFS(afslagen_beleid[Opslag p],afslagen_beleid[Impact afhankelijk van acceptatie burgers],vertraging[[#This Row],[Acceptatie burgers]]),0.01),INDEX(aanname_implementatie[Coëfficient p],MATCH(B107,IF(aanname_implementatie[Doelgroep]=C107,aanname_implementatie[Digitale zorgtoepassing]),0)))</f>
        <v>0.02</v>
      </c>
      <c r="I107" s="441" cm="1">
        <f t="array" ref="I107">IF(vertraging[[#This Row],[Uitgangssituatie/effect beleid]]="Effect beleid",MAX(INDEX(aanname_implementatie[Coëfficient q],MATCH(B107,IF(aanname_implementatie[Doelgroep]=C107,aanname_implementatie[Digitale zorgtoepassing]),0))+SUMIFS(afslagen_beleid[Opslag q],afslagen_beleid[Impact afhankelijk van acceptatie burgers],vertraging[[#This Row],[Acceptatie burgers]]),0.3),INDEX(aanname_implementatie[Coëfficient q],MATCH(B107,IF(aanname_implementatie[Doelgroep]=C107,aanname_implementatie[Digitale zorgtoepassing]),0)))</f>
        <v>0.4</v>
      </c>
      <c r="J107" s="17">
        <f>0</f>
        <v>0</v>
      </c>
      <c r="K107" s="17">
        <v>0</v>
      </c>
      <c r="L107" s="17">
        <v>0</v>
      </c>
      <c r="M107" s="17">
        <v>0</v>
      </c>
      <c r="N107" s="17">
        <v>0</v>
      </c>
      <c r="O107" s="17">
        <v>0</v>
      </c>
      <c r="P107" s="17">
        <v>0</v>
      </c>
      <c r="Q107" s="17">
        <v>0</v>
      </c>
      <c r="R107" s="17">
        <v>0</v>
      </c>
      <c r="S107" s="17">
        <v>0</v>
      </c>
      <c r="T107" s="17">
        <v>0</v>
      </c>
      <c r="U107" s="17">
        <v>0</v>
      </c>
      <c r="V107" s="124" cm="1">
        <f t="array" ref="V107">INDEX(aanname_implementatie[Huidige implementatiegraad],MATCH(B107,IF(aanname_implementatie[Doelgroep]=C107,aanname_implementatie[Digitale zorgtoepassing]),0))</f>
        <v>0</v>
      </c>
      <c r="W107" s="126">
        <f>V107+vertraging[[#This Row],[p]]*(1-V107)+vertraging[[#This Row],[q]]*V107*(1-V107)</f>
        <v>0.02</v>
      </c>
      <c r="X107" s="126">
        <f>W107+vertraging[[#This Row],[p]]*(1-W107)+vertraging[[#This Row],[q]]*W107*(1-W107)</f>
        <v>4.7439999999999996E-2</v>
      </c>
      <c r="Y107" s="126">
        <f>X107+vertraging[[#This Row],[p]]*(1-X107)+vertraging[[#This Row],[q]]*X107*(1-X107)</f>
        <v>8.4566978560000006E-2</v>
      </c>
      <c r="Z107" s="126">
        <f>Y107+vertraging[[#This Row],[p]]*(1-Y107)+vertraging[[#This Row],[q]]*Y107*(1-Y107)</f>
        <v>0.13384180086769301</v>
      </c>
      <c r="AA107" s="126">
        <f>Z107+vertraging[[#This Row],[p]]*(1-Z107)+vertraging[[#This Row],[q]]*Z107*(1-Z107)</f>
        <v>0.19753623413361349</v>
      </c>
      <c r="AB107" s="126">
        <f>AA107+vertraging[[#This Row],[p]]*(1-AA107)+vertraging[[#This Row],[q]]*AA107*(1-AA107)</f>
        <v>0.27699177758611071</v>
      </c>
      <c r="AC107" s="126">
        <f>AB107+vertraging[[#This Row],[p]]*(1-AB107)+vertraging[[#This Row],[q]]*AB107*(1-AB107)</f>
        <v>0.37155887512870744</v>
      </c>
      <c r="AD107" s="126">
        <f>AC107+vertraging[[#This Row],[p]]*(1-AC107)+vertraging[[#This Row],[q]]*AC107*(1-AC107)</f>
        <v>0.47752884860285211</v>
      </c>
      <c r="AE107" s="126">
        <f>AD107+vertraging[[#This Row],[p]]*(1-AD107)+vertraging[[#This Row],[q]]*AD107*(1-AD107)</f>
        <v>0.5877762905727496</v>
      </c>
      <c r="AF107" s="126">
        <f>AE107+vertraging[[#This Row],[p]]*(1-AE107)+vertraging[[#This Row],[q]]*AE107*(1-AE107)</f>
        <v>0.6929388938866099</v>
      </c>
      <c r="AG107" s="126">
        <f>AF107+vertraging[[#This Row],[p]]*(1-AF107)+vertraging[[#This Row],[q]]*AF107*(1-AF107)</f>
        <v>0.78418994929920227</v>
      </c>
    </row>
    <row r="108" spans="1:33" x14ac:dyDescent="0.5">
      <c r="A108" s="30" t="str">
        <f>INDEX(Technologieën[Veld],MATCH(B108,Technologieën[Digitale zorgtoepassing],0))</f>
        <v>Digitale hulpmiddelen - Verpleging</v>
      </c>
      <c r="B108" s="30" t="s">
        <v>26</v>
      </c>
      <c r="C108" s="30" t="s">
        <v>24</v>
      </c>
      <c r="D108" s="30" t="str" cm="1">
        <f t="array" ref="D108">INDEX(Berekening_patiëntaantal[Direct toepasbaar/extrapolatie/incidentie voor QALY],MATCH(B108,IF(Berekening_patiëntaantal[Doelgroep (zoeksleutel)]=C108,Berekening_patiëntaantal[Digitale zorgtoepassing]),0))</f>
        <v>Extrapolatie</v>
      </c>
      <c r="E108" s="440" t="s">
        <v>813</v>
      </c>
      <c r="F108" s="30" t="str">
        <f>CONCATENATE(vertraging[[#This Row],[Digitale zorgtoepassing]],"_",vertraging[[#This Row],[Doelgroep]],"_",vertraging[[#This Row],[Uitgangssituatie/effect beleid]])</f>
        <v>Medicijndispenser_Cognitieve beperking_Uitgangssituatie</v>
      </c>
      <c r="G108" s="122" t="str">
        <f>INDEX(acceptatie_burgers[Impact afhankelijk van acceptatie burgers?],MATCH(B108,acceptatie_burgers[Digitale zorgtoepassing],0))</f>
        <v>Nee</v>
      </c>
      <c r="H108" s="441" cm="1">
        <f t="array" ref="H108">IF(vertraging[[#This Row],[Uitgangssituatie/effect beleid]]="Effect beleid",MAX(INDEX(aanname_implementatie[Coëfficient p],MATCH(B108,IF(aanname_implementatie[Doelgroep]=C108,aanname_implementatie[Digitale zorgtoepassing]),0))+SUMIFS(afslagen_beleid[Opslag p],afslagen_beleid[Impact afhankelijk van acceptatie burgers],vertraging[[#This Row],[Acceptatie burgers]]),0.01),INDEX(aanname_implementatie[Coëfficient p],MATCH(B108,IF(aanname_implementatie[Doelgroep]=C108,aanname_implementatie[Digitale zorgtoepassing]),0)))</f>
        <v>0.02</v>
      </c>
      <c r="I108" s="441" cm="1">
        <f t="array" ref="I108">IF(vertraging[[#This Row],[Uitgangssituatie/effect beleid]]="Effect beleid",MAX(INDEX(aanname_implementatie[Coëfficient q],MATCH(B108,IF(aanname_implementatie[Doelgroep]=C108,aanname_implementatie[Digitale zorgtoepassing]),0))+SUMIFS(afslagen_beleid[Opslag q],afslagen_beleid[Impact afhankelijk van acceptatie burgers],vertraging[[#This Row],[Acceptatie burgers]]),0.3),INDEX(aanname_implementatie[Coëfficient q],MATCH(B108,IF(aanname_implementatie[Doelgroep]=C108,aanname_implementatie[Digitale zorgtoepassing]),0)))</f>
        <v>0.4</v>
      </c>
      <c r="J108" s="17">
        <f>0</f>
        <v>0</v>
      </c>
      <c r="K108" s="17">
        <v>0</v>
      </c>
      <c r="L108" s="17">
        <v>0</v>
      </c>
      <c r="M108" s="17">
        <v>0</v>
      </c>
      <c r="N108" s="17">
        <v>0</v>
      </c>
      <c r="O108" s="17">
        <v>0</v>
      </c>
      <c r="P108" s="17">
        <v>0</v>
      </c>
      <c r="Q108" s="17">
        <v>0</v>
      </c>
      <c r="R108" s="17">
        <v>0</v>
      </c>
      <c r="S108" s="17">
        <v>0</v>
      </c>
      <c r="T108" s="17">
        <v>0</v>
      </c>
      <c r="U108" s="17">
        <v>0</v>
      </c>
      <c r="V108" s="124" cm="1">
        <f t="array" ref="V108">INDEX(aanname_implementatie[Huidige implementatiegraad],MATCH(B108,IF(aanname_implementatie[Doelgroep]=C108,aanname_implementatie[Digitale zorgtoepassing]),0))</f>
        <v>0</v>
      </c>
      <c r="W108" s="126">
        <f>V108+vertraging[[#This Row],[p]]*(1-V108)+vertraging[[#This Row],[q]]*V108*(1-V108)</f>
        <v>0.02</v>
      </c>
      <c r="X108" s="126">
        <f>W108+vertraging[[#This Row],[p]]*(1-W108)+vertraging[[#This Row],[q]]*W108*(1-W108)</f>
        <v>4.7439999999999996E-2</v>
      </c>
      <c r="Y108" s="126">
        <f>X108+vertraging[[#This Row],[p]]*(1-X108)+vertraging[[#This Row],[q]]*X108*(1-X108)</f>
        <v>8.4566978560000006E-2</v>
      </c>
      <c r="Z108" s="126">
        <f>Y108+vertraging[[#This Row],[p]]*(1-Y108)+vertraging[[#This Row],[q]]*Y108*(1-Y108)</f>
        <v>0.13384180086769301</v>
      </c>
      <c r="AA108" s="126">
        <f>Z108+vertraging[[#This Row],[p]]*(1-Z108)+vertraging[[#This Row],[q]]*Z108*(1-Z108)</f>
        <v>0.19753623413361349</v>
      </c>
      <c r="AB108" s="126">
        <f>AA108+vertraging[[#This Row],[p]]*(1-AA108)+vertraging[[#This Row],[q]]*AA108*(1-AA108)</f>
        <v>0.27699177758611071</v>
      </c>
      <c r="AC108" s="126">
        <f>AB108+vertraging[[#This Row],[p]]*(1-AB108)+vertraging[[#This Row],[q]]*AB108*(1-AB108)</f>
        <v>0.37155887512870744</v>
      </c>
      <c r="AD108" s="126">
        <f>AC108+vertraging[[#This Row],[p]]*(1-AC108)+vertraging[[#This Row],[q]]*AC108*(1-AC108)</f>
        <v>0.47752884860285211</v>
      </c>
      <c r="AE108" s="126">
        <f>AD108+vertraging[[#This Row],[p]]*(1-AD108)+vertraging[[#This Row],[q]]*AD108*(1-AD108)</f>
        <v>0.5877762905727496</v>
      </c>
      <c r="AF108" s="126">
        <f>AE108+vertraging[[#This Row],[p]]*(1-AE108)+vertraging[[#This Row],[q]]*AE108*(1-AE108)</f>
        <v>0.6929388938866099</v>
      </c>
      <c r="AG108" s="126">
        <f>AF108+vertraging[[#This Row],[p]]*(1-AF108)+vertraging[[#This Row],[q]]*AF108*(1-AF108)</f>
        <v>0.78418994929920227</v>
      </c>
    </row>
    <row r="109" spans="1:33" x14ac:dyDescent="0.5">
      <c r="A109" s="30" t="str">
        <f>INDEX(Technologieën[Veld],MATCH(B109,Technologieën[Digitale zorgtoepassing],0))</f>
        <v>Digitale hulpmiddelen - Verpleging</v>
      </c>
      <c r="B109" s="30" t="s">
        <v>26</v>
      </c>
      <c r="C109" s="30" t="s">
        <v>20</v>
      </c>
      <c r="D109" s="30" t="str" cm="1">
        <f t="array" ref="D109">INDEX(Berekening_patiëntaantal[Direct toepasbaar/extrapolatie/incidentie voor QALY],MATCH(B109,IF(Berekening_patiëntaantal[Doelgroep (zoeksleutel)]=C109,Berekening_patiëntaantal[Digitale zorgtoepassing]),0))</f>
        <v>Huidige toepassing</v>
      </c>
      <c r="E109" s="440" t="s">
        <v>813</v>
      </c>
      <c r="F109" s="30" t="str">
        <f>CONCATENATE(vertraging[[#This Row],[Digitale zorgtoepassing]],"_",vertraging[[#This Row],[Doelgroep]],"_",vertraging[[#This Row],[Uitgangssituatie/effect beleid]])</f>
        <v>Medicijndispenser_Dementie_Uitgangssituatie</v>
      </c>
      <c r="G109" s="122" t="str">
        <f>INDEX(acceptatie_burgers[Impact afhankelijk van acceptatie burgers?],MATCH(B109,acceptatie_burgers[Digitale zorgtoepassing],0))</f>
        <v>Nee</v>
      </c>
      <c r="H109" s="441" cm="1">
        <f t="array" ref="H109">IF(vertraging[[#This Row],[Uitgangssituatie/effect beleid]]="Effect beleid",MAX(INDEX(aanname_implementatie[Coëfficient p],MATCH(B109,IF(aanname_implementatie[Doelgroep]=C109,aanname_implementatie[Digitale zorgtoepassing]),0))+SUMIFS(afslagen_beleid[Opslag p],afslagen_beleid[Impact afhankelijk van acceptatie burgers],vertraging[[#This Row],[Acceptatie burgers]]),0.01),INDEX(aanname_implementatie[Coëfficient p],MATCH(B109,IF(aanname_implementatie[Doelgroep]=C109,aanname_implementatie[Digitale zorgtoepassing]),0)))</f>
        <v>0.02</v>
      </c>
      <c r="I109" s="441" cm="1">
        <f t="array" ref="I109">IF(vertraging[[#This Row],[Uitgangssituatie/effect beleid]]="Effect beleid",MAX(INDEX(aanname_implementatie[Coëfficient q],MATCH(B109,IF(aanname_implementatie[Doelgroep]=C109,aanname_implementatie[Digitale zorgtoepassing]),0))+SUMIFS(afslagen_beleid[Opslag q],afslagen_beleid[Impact afhankelijk van acceptatie burgers],vertraging[[#This Row],[Acceptatie burgers]]),0.3),INDEX(aanname_implementatie[Coëfficient q],MATCH(B109,IF(aanname_implementatie[Doelgroep]=C109,aanname_implementatie[Digitale zorgtoepassing]),0)))</f>
        <v>0.4</v>
      </c>
      <c r="J109" s="17">
        <f>0</f>
        <v>0</v>
      </c>
      <c r="K109" s="17">
        <v>0</v>
      </c>
      <c r="L109" s="17">
        <v>0</v>
      </c>
      <c r="M109" s="17">
        <v>0</v>
      </c>
      <c r="N109" s="17">
        <v>0</v>
      </c>
      <c r="O109" s="17">
        <v>0</v>
      </c>
      <c r="P109" s="17">
        <v>0</v>
      </c>
      <c r="Q109" s="17">
        <v>0</v>
      </c>
      <c r="R109" s="17">
        <v>0</v>
      </c>
      <c r="S109" s="17">
        <v>0</v>
      </c>
      <c r="T109" s="17">
        <v>0</v>
      </c>
      <c r="U109" s="17">
        <v>0</v>
      </c>
      <c r="V109" s="124" cm="1">
        <f t="array" ref="V109">INDEX(aanname_implementatie[Huidige implementatiegraad],MATCH(B109,IF(aanname_implementatie[Doelgroep]=C109,aanname_implementatie[Digitale zorgtoepassing]),0))</f>
        <v>0.4</v>
      </c>
      <c r="W109" s="126">
        <f>V109+vertraging[[#This Row],[p]]*(1-V109)+vertraging[[#This Row],[q]]*V109*(1-V109)</f>
        <v>0.50800000000000001</v>
      </c>
      <c r="X109" s="126">
        <f>W109+vertraging[[#This Row],[p]]*(1-W109)+vertraging[[#This Row],[q]]*W109*(1-W109)</f>
        <v>0.61781439999999999</v>
      </c>
      <c r="Y109" s="126">
        <f>X109+vertraging[[#This Row],[p]]*(1-X109)+vertraging[[#This Row],[q]]*X109*(1-X109)</f>
        <v>0.71990601886105599</v>
      </c>
      <c r="Z109" s="126">
        <f>Y109+vertraging[[#This Row],[p]]*(1-Y109)+vertraging[[#This Row],[q]]*Y109*(1-Y109)</f>
        <v>0.80616443563130724</v>
      </c>
      <c r="AA109" s="126">
        <f>Z109+vertraging[[#This Row],[p]]*(1-Z109)+vertraging[[#This Row],[q]]*Z109*(1-Z109)</f>
        <v>0.87254648226050635</v>
      </c>
      <c r="AB109" s="126">
        <f>AA109+vertraging[[#This Row],[p]]*(1-AA109)+vertraging[[#This Row],[q]]*AA109*(1-AA109)</f>
        <v>0.9195792000374251</v>
      </c>
      <c r="AC109" s="126">
        <f>AB109+vertraging[[#This Row],[p]]*(1-AB109)+vertraging[[#This Row],[q]]*AB109*(1-AB109)</f>
        <v>0.95076893399505846</v>
      </c>
      <c r="AD109" s="126">
        <f>AC109+vertraging[[#This Row],[p]]*(1-AC109)+vertraging[[#This Row],[q]]*AC109*(1-AC109)</f>
        <v>0.97047650257314066</v>
      </c>
      <c r="AE109" s="126">
        <f>AD109+vertraging[[#This Row],[p]]*(1-AD109)+vertraging[[#This Row],[q]]*AD109*(1-AD109)</f>
        <v>0.98252771673229611</v>
      </c>
      <c r="AF109" s="126">
        <f>AE109+vertraging[[#This Row],[p]]*(1-AE109)+vertraging[[#This Row],[q]]*AE109*(1-AE109)</f>
        <v>0.98974396343169702</v>
      </c>
      <c r="AG109" s="126">
        <f>AF109+vertraging[[#This Row],[p]]*(1-AF109)+vertraging[[#This Row],[q]]*AF109*(1-AF109)</f>
        <v>0.99400942427594807</v>
      </c>
    </row>
    <row r="110" spans="1:33" x14ac:dyDescent="0.5">
      <c r="A110" s="30" t="str">
        <f>INDEX(Technologieën[Veld],MATCH(B110,Technologieën[Digitale zorgtoepassing],0))</f>
        <v>Digitale hulpmiddelen - Verpleging</v>
      </c>
      <c r="B110" s="30" t="s">
        <v>26</v>
      </c>
      <c r="C110" s="30" t="s">
        <v>27</v>
      </c>
      <c r="D110" s="30" t="str" cm="1">
        <f t="array" ref="D110">INDEX(Berekening_patiëntaantal[Direct toepasbaar/extrapolatie/incidentie voor QALY],MATCH(B110,IF(Berekening_patiëntaantal[Doelgroep (zoeksleutel)]=C110,Berekening_patiëntaantal[Digitale zorgtoepassing]),0))</f>
        <v>Huidige toepassing</v>
      </c>
      <c r="E110" s="440" t="s">
        <v>813</v>
      </c>
      <c r="F110" s="30" t="str">
        <f>CONCATENATE(vertraging[[#This Row],[Digitale zorgtoepassing]],"_",vertraging[[#This Row],[Doelgroep]],"_",vertraging[[#This Row],[Uitgangssituatie/effect beleid]])</f>
        <v>Medicijndispenser_Parkinson_Uitgangssituatie</v>
      </c>
      <c r="G110" s="122" t="str">
        <f>INDEX(acceptatie_burgers[Impact afhankelijk van acceptatie burgers?],MATCH(B110,acceptatie_burgers[Digitale zorgtoepassing],0))</f>
        <v>Nee</v>
      </c>
      <c r="H110" s="441" cm="1">
        <f t="array" ref="H110">IF(vertraging[[#This Row],[Uitgangssituatie/effect beleid]]="Effect beleid",MAX(INDEX(aanname_implementatie[Coëfficient p],MATCH(B110,IF(aanname_implementatie[Doelgroep]=C110,aanname_implementatie[Digitale zorgtoepassing]),0))+SUMIFS(afslagen_beleid[Opslag p],afslagen_beleid[Impact afhankelijk van acceptatie burgers],vertraging[[#This Row],[Acceptatie burgers]]),0.01),INDEX(aanname_implementatie[Coëfficient p],MATCH(B110,IF(aanname_implementatie[Doelgroep]=C110,aanname_implementatie[Digitale zorgtoepassing]),0)))</f>
        <v>0.02</v>
      </c>
      <c r="I110" s="441" cm="1">
        <f t="array" ref="I110">IF(vertraging[[#This Row],[Uitgangssituatie/effect beleid]]="Effect beleid",MAX(INDEX(aanname_implementatie[Coëfficient q],MATCH(B110,IF(aanname_implementatie[Doelgroep]=C110,aanname_implementatie[Digitale zorgtoepassing]),0))+SUMIFS(afslagen_beleid[Opslag q],afslagen_beleid[Impact afhankelijk van acceptatie burgers],vertraging[[#This Row],[Acceptatie burgers]]),0.3),INDEX(aanname_implementatie[Coëfficient q],MATCH(B110,IF(aanname_implementatie[Doelgroep]=C110,aanname_implementatie[Digitale zorgtoepassing]),0)))</f>
        <v>0.4</v>
      </c>
      <c r="J110" s="17">
        <f>0</f>
        <v>0</v>
      </c>
      <c r="K110" s="17">
        <v>0</v>
      </c>
      <c r="L110" s="17">
        <v>0</v>
      </c>
      <c r="M110" s="17">
        <v>0</v>
      </c>
      <c r="N110" s="17">
        <v>0</v>
      </c>
      <c r="O110" s="17">
        <v>0</v>
      </c>
      <c r="P110" s="17">
        <v>0</v>
      </c>
      <c r="Q110" s="17">
        <v>0</v>
      </c>
      <c r="R110" s="17">
        <v>0</v>
      </c>
      <c r="S110" s="17">
        <v>0</v>
      </c>
      <c r="T110" s="17">
        <v>0</v>
      </c>
      <c r="U110" s="17">
        <v>0</v>
      </c>
      <c r="V110" s="124" cm="1">
        <f t="array" ref="V110">INDEX(aanname_implementatie[Huidige implementatiegraad],MATCH(B110,IF(aanname_implementatie[Doelgroep]=C110,aanname_implementatie[Digitale zorgtoepassing]),0))</f>
        <v>0.4</v>
      </c>
      <c r="W110" s="126">
        <f>V110+vertraging[[#This Row],[p]]*(1-V110)+vertraging[[#This Row],[q]]*V110*(1-V110)</f>
        <v>0.50800000000000001</v>
      </c>
      <c r="X110" s="126">
        <f>W110+vertraging[[#This Row],[p]]*(1-W110)+vertraging[[#This Row],[q]]*W110*(1-W110)</f>
        <v>0.61781439999999999</v>
      </c>
      <c r="Y110" s="126">
        <f>X110+vertraging[[#This Row],[p]]*(1-X110)+vertraging[[#This Row],[q]]*X110*(1-X110)</f>
        <v>0.71990601886105599</v>
      </c>
      <c r="Z110" s="126">
        <f>Y110+vertraging[[#This Row],[p]]*(1-Y110)+vertraging[[#This Row],[q]]*Y110*(1-Y110)</f>
        <v>0.80616443563130724</v>
      </c>
      <c r="AA110" s="126">
        <f>Z110+vertraging[[#This Row],[p]]*(1-Z110)+vertraging[[#This Row],[q]]*Z110*(1-Z110)</f>
        <v>0.87254648226050635</v>
      </c>
      <c r="AB110" s="126">
        <f>AA110+vertraging[[#This Row],[p]]*(1-AA110)+vertraging[[#This Row],[q]]*AA110*(1-AA110)</f>
        <v>0.9195792000374251</v>
      </c>
      <c r="AC110" s="126">
        <f>AB110+vertraging[[#This Row],[p]]*(1-AB110)+vertraging[[#This Row],[q]]*AB110*(1-AB110)</f>
        <v>0.95076893399505846</v>
      </c>
      <c r="AD110" s="126">
        <f>AC110+vertraging[[#This Row],[p]]*(1-AC110)+vertraging[[#This Row],[q]]*AC110*(1-AC110)</f>
        <v>0.97047650257314066</v>
      </c>
      <c r="AE110" s="126">
        <f>AD110+vertraging[[#This Row],[p]]*(1-AD110)+vertraging[[#This Row],[q]]*AD110*(1-AD110)</f>
        <v>0.98252771673229611</v>
      </c>
      <c r="AF110" s="126">
        <f>AE110+vertraging[[#This Row],[p]]*(1-AE110)+vertraging[[#This Row],[q]]*AE110*(1-AE110)</f>
        <v>0.98974396343169702</v>
      </c>
      <c r="AG110" s="126">
        <f>AF110+vertraging[[#This Row],[p]]*(1-AF110)+vertraging[[#This Row],[q]]*AF110*(1-AF110)</f>
        <v>0.99400942427594807</v>
      </c>
    </row>
    <row r="111" spans="1:33" x14ac:dyDescent="0.5">
      <c r="A111" s="30" t="str">
        <f>INDEX(Technologieën[Veld],MATCH(B111,Technologieën[Digitale zorgtoepassing],0))</f>
        <v>Digitale hulpmiddelen - Verpleging</v>
      </c>
      <c r="B111" s="30" t="s">
        <v>26</v>
      </c>
      <c r="C111" s="30" t="s">
        <v>29</v>
      </c>
      <c r="D111" s="30" t="str" cm="1">
        <f t="array" ref="D111">INDEX(Berekening_patiëntaantal[Direct toepasbaar/extrapolatie/incidentie voor QALY],MATCH(B111,IF(Berekening_patiëntaantal[Doelgroep (zoeksleutel)]=C111,Berekening_patiëntaantal[Digitale zorgtoepassing]),0))</f>
        <v>Huidige toepassing</v>
      </c>
      <c r="E111" s="440" t="s">
        <v>813</v>
      </c>
      <c r="F111" s="30" t="str">
        <f>CONCATENATE(vertraging[[#This Row],[Digitale zorgtoepassing]],"_",vertraging[[#This Row],[Doelgroep]],"_",vertraging[[#This Row],[Uitgangssituatie/effect beleid]])</f>
        <v>Medicijndispenser_Reumatische aandoening _Uitgangssituatie</v>
      </c>
      <c r="G111" s="122" t="str">
        <f>INDEX(acceptatie_burgers[Impact afhankelijk van acceptatie burgers?],MATCH(B111,acceptatie_burgers[Digitale zorgtoepassing],0))</f>
        <v>Nee</v>
      </c>
      <c r="H111" s="441" cm="1">
        <f t="array" ref="H111">IF(vertraging[[#This Row],[Uitgangssituatie/effect beleid]]="Effect beleid",MAX(INDEX(aanname_implementatie[Coëfficient p],MATCH(B111,IF(aanname_implementatie[Doelgroep]=C111,aanname_implementatie[Digitale zorgtoepassing]),0))+SUMIFS(afslagen_beleid[Opslag p],afslagen_beleid[Impact afhankelijk van acceptatie burgers],vertraging[[#This Row],[Acceptatie burgers]]),0.01),INDEX(aanname_implementatie[Coëfficient p],MATCH(B111,IF(aanname_implementatie[Doelgroep]=C111,aanname_implementatie[Digitale zorgtoepassing]),0)))</f>
        <v>0.02</v>
      </c>
      <c r="I111" s="441" cm="1">
        <f t="array" ref="I111">IF(vertraging[[#This Row],[Uitgangssituatie/effect beleid]]="Effect beleid",MAX(INDEX(aanname_implementatie[Coëfficient q],MATCH(B111,IF(aanname_implementatie[Doelgroep]=C111,aanname_implementatie[Digitale zorgtoepassing]),0))+SUMIFS(afslagen_beleid[Opslag q],afslagen_beleid[Impact afhankelijk van acceptatie burgers],vertraging[[#This Row],[Acceptatie burgers]]),0.3),INDEX(aanname_implementatie[Coëfficient q],MATCH(B111,IF(aanname_implementatie[Doelgroep]=C111,aanname_implementatie[Digitale zorgtoepassing]),0)))</f>
        <v>0.4</v>
      </c>
      <c r="J111" s="17">
        <f>0</f>
        <v>0</v>
      </c>
      <c r="K111" s="17">
        <v>0</v>
      </c>
      <c r="L111" s="17">
        <v>0</v>
      </c>
      <c r="M111" s="17">
        <v>0</v>
      </c>
      <c r="N111" s="17">
        <v>0</v>
      </c>
      <c r="O111" s="17">
        <v>0</v>
      </c>
      <c r="P111" s="17">
        <v>0</v>
      </c>
      <c r="Q111" s="17">
        <v>0</v>
      </c>
      <c r="R111" s="17">
        <v>0</v>
      </c>
      <c r="S111" s="17">
        <v>0</v>
      </c>
      <c r="T111" s="17">
        <v>0</v>
      </c>
      <c r="U111" s="17">
        <v>0</v>
      </c>
      <c r="V111" s="124" cm="1">
        <f t="array" ref="V111">INDEX(aanname_implementatie[Huidige implementatiegraad],MATCH(B111,IF(aanname_implementatie[Doelgroep]=C111,aanname_implementatie[Digitale zorgtoepassing]),0))</f>
        <v>0.4</v>
      </c>
      <c r="W111" s="126">
        <f>V111+vertraging[[#This Row],[p]]*(1-V111)+vertraging[[#This Row],[q]]*V111*(1-V111)</f>
        <v>0.50800000000000001</v>
      </c>
      <c r="X111" s="126">
        <f>W111+vertraging[[#This Row],[p]]*(1-W111)+vertraging[[#This Row],[q]]*W111*(1-W111)</f>
        <v>0.61781439999999999</v>
      </c>
      <c r="Y111" s="126">
        <f>X111+vertraging[[#This Row],[p]]*(1-X111)+vertraging[[#This Row],[q]]*X111*(1-X111)</f>
        <v>0.71990601886105599</v>
      </c>
      <c r="Z111" s="126">
        <f>Y111+vertraging[[#This Row],[p]]*(1-Y111)+vertraging[[#This Row],[q]]*Y111*(1-Y111)</f>
        <v>0.80616443563130724</v>
      </c>
      <c r="AA111" s="126">
        <f>Z111+vertraging[[#This Row],[p]]*(1-Z111)+vertraging[[#This Row],[q]]*Z111*(1-Z111)</f>
        <v>0.87254648226050635</v>
      </c>
      <c r="AB111" s="126">
        <f>AA111+vertraging[[#This Row],[p]]*(1-AA111)+vertraging[[#This Row],[q]]*AA111*(1-AA111)</f>
        <v>0.9195792000374251</v>
      </c>
      <c r="AC111" s="126">
        <f>AB111+vertraging[[#This Row],[p]]*(1-AB111)+vertraging[[#This Row],[q]]*AB111*(1-AB111)</f>
        <v>0.95076893399505846</v>
      </c>
      <c r="AD111" s="126">
        <f>AC111+vertraging[[#This Row],[p]]*(1-AC111)+vertraging[[#This Row],[q]]*AC111*(1-AC111)</f>
        <v>0.97047650257314066</v>
      </c>
      <c r="AE111" s="126">
        <f>AD111+vertraging[[#This Row],[p]]*(1-AD111)+vertraging[[#This Row],[q]]*AD111*(1-AD111)</f>
        <v>0.98252771673229611</v>
      </c>
      <c r="AF111" s="126">
        <f>AE111+vertraging[[#This Row],[p]]*(1-AE111)+vertraging[[#This Row],[q]]*AE111*(1-AE111)</f>
        <v>0.98974396343169702</v>
      </c>
      <c r="AG111" s="126">
        <f>AF111+vertraging[[#This Row],[p]]*(1-AF111)+vertraging[[#This Row],[q]]*AF111*(1-AF111)</f>
        <v>0.99400942427594807</v>
      </c>
    </row>
    <row r="112" spans="1:33" x14ac:dyDescent="0.5">
      <c r="A112" s="30" t="str">
        <f>INDEX(Technologieën[Veld],MATCH(B112,Technologieën[Digitale zorgtoepassing],0))</f>
        <v>Digitale hulpmiddelen - Diagnose</v>
      </c>
      <c r="B112" s="30" t="s">
        <v>78</v>
      </c>
      <c r="C112" s="30" t="s">
        <v>699</v>
      </c>
      <c r="D112" s="30" t="str" cm="1">
        <f t="array" ref="D112">INDEX(Berekening_patiëntaantal[Direct toepasbaar/extrapolatie/incidentie voor QALY],MATCH(B112,IF(Berekening_patiëntaantal[Doelgroep (zoeksleutel)]=C112,Berekening_patiëntaantal[Digitale zorgtoepassing]),0))</f>
        <v>Huidige toepassing</v>
      </c>
      <c r="E112" s="440" t="s">
        <v>813</v>
      </c>
      <c r="F112" s="30" t="str">
        <f>CONCATENATE(vertraging[[#This Row],[Digitale zorgtoepassing]],"_",vertraging[[#This Row],[Doelgroep]],"_",vertraging[[#This Row],[Uitgangssituatie/effect beleid]])</f>
        <v>Mobiele echo's_Echo's 2e lijn_Uitgangssituatie</v>
      </c>
      <c r="G112" s="122" t="str">
        <f>INDEX(acceptatie_burgers[Impact afhankelijk van acceptatie burgers?],MATCH(B112,acceptatie_burgers[Digitale zorgtoepassing],0))</f>
        <v>Nee</v>
      </c>
      <c r="H112" s="441" cm="1">
        <f t="array" ref="H112">IF(vertraging[[#This Row],[Uitgangssituatie/effect beleid]]="Effect beleid",MAX(INDEX(aanname_implementatie[Coëfficient p],MATCH(B112,IF(aanname_implementatie[Doelgroep]=C112,aanname_implementatie[Digitale zorgtoepassing]),0))+SUMIFS(afslagen_beleid[Opslag p],afslagen_beleid[Impact afhankelijk van acceptatie burgers],vertraging[[#This Row],[Acceptatie burgers]]),0.01),INDEX(aanname_implementatie[Coëfficient p],MATCH(B112,IF(aanname_implementatie[Doelgroep]=C112,aanname_implementatie[Digitale zorgtoepassing]),0)))</f>
        <v>2.5000000000000001E-2</v>
      </c>
      <c r="I112" s="441" cm="1">
        <f t="array" ref="I112">IF(vertraging[[#This Row],[Uitgangssituatie/effect beleid]]="Effect beleid",MAX(INDEX(aanname_implementatie[Coëfficient q],MATCH(B112,IF(aanname_implementatie[Doelgroep]=C112,aanname_implementatie[Digitale zorgtoepassing]),0))+SUMIFS(afslagen_beleid[Opslag q],afslagen_beleid[Impact afhankelijk van acceptatie burgers],vertraging[[#This Row],[Acceptatie burgers]]),0.3),INDEX(aanname_implementatie[Coëfficient q],MATCH(B112,IF(aanname_implementatie[Doelgroep]=C112,aanname_implementatie[Digitale zorgtoepassing]),0)))</f>
        <v>0.45</v>
      </c>
      <c r="J112" s="17">
        <f>0</f>
        <v>0</v>
      </c>
      <c r="K112" s="17">
        <v>0</v>
      </c>
      <c r="L112" s="17">
        <v>0</v>
      </c>
      <c r="M112" s="17">
        <v>0</v>
      </c>
      <c r="N112" s="17">
        <v>0</v>
      </c>
      <c r="O112" s="17">
        <v>0</v>
      </c>
      <c r="P112" s="17">
        <v>0</v>
      </c>
      <c r="Q112" s="17">
        <v>0</v>
      </c>
      <c r="R112" s="17">
        <v>0</v>
      </c>
      <c r="S112" s="17">
        <v>0</v>
      </c>
      <c r="T112" s="17">
        <v>0</v>
      </c>
      <c r="U112" s="17">
        <v>0</v>
      </c>
      <c r="V112" s="124" cm="1">
        <f t="array" ref="V112">INDEX(aanname_implementatie[Huidige implementatiegraad],MATCH(B112,IF(aanname_implementatie[Doelgroep]=C112,aanname_implementatie[Digitale zorgtoepassing]),0))</f>
        <v>0.2</v>
      </c>
      <c r="W112" s="126">
        <f>V112+vertraging[[#This Row],[p]]*(1-V112)+vertraging[[#This Row],[q]]*V112*(1-V112)</f>
        <v>0.29200000000000004</v>
      </c>
      <c r="X112" s="126">
        <f>W112+vertraging[[#This Row],[p]]*(1-W112)+vertraging[[#This Row],[q]]*W112*(1-W112)</f>
        <v>0.40273120000000007</v>
      </c>
      <c r="Y112" s="126">
        <f>X112+vertraging[[#This Row],[p]]*(1-X112)+vertraging[[#This Row],[q]]*X112*(1-X112)</f>
        <v>0.52590537124595205</v>
      </c>
      <c r="Z112" s="126">
        <f>Y112+vertraging[[#This Row],[p]]*(1-Y112)+vertraging[[#This Row],[q]]*Y112*(1-Y112)</f>
        <v>0.64995574724807748</v>
      </c>
      <c r="AA112" s="126">
        <f>Z112+vertraging[[#This Row],[p]]*(1-Z112)+vertraging[[#This Row],[q]]*Z112*(1-Z112)</f>
        <v>0.76108782680714737</v>
      </c>
      <c r="AB112" s="126">
        <f>AA112+vertraging[[#This Row],[p]]*(1-AA112)+vertraging[[#This Row],[q]]*AA112*(1-AA112)</f>
        <v>0.8488855471488731</v>
      </c>
      <c r="AC112" s="126">
        <f>AB112+vertraging[[#This Row],[p]]*(1-AB112)+vertraging[[#This Row],[q]]*AB112*(1-AB112)</f>
        <v>0.91038890221593549</v>
      </c>
      <c r="AD112" s="126">
        <f>AC112+vertraging[[#This Row],[p]]*(1-AC112)+vertraging[[#This Row],[q]]*AC112*(1-AC112)</f>
        <v>0.94934060668263687</v>
      </c>
      <c r="AE112" s="126">
        <f>AD112+vertraging[[#This Row],[p]]*(1-AD112)+vertraging[[#This Row],[q]]*AD112*(1-AD112)</f>
        <v>0.9722489501493069</v>
      </c>
      <c r="AF112" s="126">
        <f>AE112+vertraging[[#This Row],[p]]*(1-AE112)+vertraging[[#This Row],[q]]*AE112*(1-AE112)</f>
        <v>0.98508414448286907</v>
      </c>
      <c r="AG112" s="126">
        <f>AF112+vertraging[[#This Row],[p]]*(1-AF112)+vertraging[[#This Row],[q]]*AF112*(1-AF112)</f>
        <v>0.99206905861789263</v>
      </c>
    </row>
    <row r="113" spans="1:33" x14ac:dyDescent="0.5">
      <c r="A113" s="30" t="str">
        <f>INDEX(Technologieën[Veld],MATCH(B113,Technologieën[Digitale zorgtoepassing],0))</f>
        <v>Digitale hulpmiddelen - Diagnose</v>
      </c>
      <c r="B113" s="30" t="s">
        <v>78</v>
      </c>
      <c r="C113" s="30" t="s">
        <v>79</v>
      </c>
      <c r="D113" s="30" t="str" cm="1">
        <f t="array" ref="D113">INDEX(Berekening_patiëntaantal[Direct toepasbaar/extrapolatie/incidentie voor QALY],MATCH(B113,IF(Berekening_patiëntaantal[Doelgroep (zoeksleutel)]=C113,Berekening_patiëntaantal[Digitale zorgtoepassing]),0))</f>
        <v>Huidige toepassing</v>
      </c>
      <c r="E113" s="440" t="s">
        <v>813</v>
      </c>
      <c r="F113" s="30" t="str">
        <f>CONCATENATE(vertraging[[#This Row],[Digitale zorgtoepassing]],"_",vertraging[[#This Row],[Doelgroep]],"_",vertraging[[#This Row],[Uitgangssituatie/effect beleid]])</f>
        <v>Mobiele echo's_Echo's bij zwangere vrouwen_Uitgangssituatie</v>
      </c>
      <c r="G113" s="122" t="str">
        <f>INDEX(acceptatie_burgers[Impact afhankelijk van acceptatie burgers?],MATCH(B113,acceptatie_burgers[Digitale zorgtoepassing],0))</f>
        <v>Nee</v>
      </c>
      <c r="H113" s="441" cm="1">
        <f t="array" ref="H113">IF(vertraging[[#This Row],[Uitgangssituatie/effect beleid]]="Effect beleid",MAX(INDEX(aanname_implementatie[Coëfficient p],MATCH(B113,IF(aanname_implementatie[Doelgroep]=C113,aanname_implementatie[Digitale zorgtoepassing]),0))+SUMIFS(afslagen_beleid[Opslag p],afslagen_beleid[Impact afhankelijk van acceptatie burgers],vertraging[[#This Row],[Acceptatie burgers]]),0.01),INDEX(aanname_implementatie[Coëfficient p],MATCH(B113,IF(aanname_implementatie[Doelgroep]=C113,aanname_implementatie[Digitale zorgtoepassing]),0)))</f>
        <v>2.5000000000000001E-2</v>
      </c>
      <c r="I113" s="441" cm="1">
        <f t="array" ref="I113">IF(vertraging[[#This Row],[Uitgangssituatie/effect beleid]]="Effect beleid",MAX(INDEX(aanname_implementatie[Coëfficient q],MATCH(B113,IF(aanname_implementatie[Doelgroep]=C113,aanname_implementatie[Digitale zorgtoepassing]),0))+SUMIFS(afslagen_beleid[Opslag q],afslagen_beleid[Impact afhankelijk van acceptatie burgers],vertraging[[#This Row],[Acceptatie burgers]]),0.3),INDEX(aanname_implementatie[Coëfficient q],MATCH(B113,IF(aanname_implementatie[Doelgroep]=C113,aanname_implementatie[Digitale zorgtoepassing]),0)))</f>
        <v>0.45</v>
      </c>
      <c r="J113" s="17">
        <f>0</f>
        <v>0</v>
      </c>
      <c r="K113" s="17">
        <v>0</v>
      </c>
      <c r="L113" s="17">
        <v>0</v>
      </c>
      <c r="M113" s="17">
        <v>0</v>
      </c>
      <c r="N113" s="17">
        <v>0</v>
      </c>
      <c r="O113" s="17">
        <v>0</v>
      </c>
      <c r="P113" s="17">
        <v>0</v>
      </c>
      <c r="Q113" s="17">
        <v>0</v>
      </c>
      <c r="R113" s="17">
        <v>0</v>
      </c>
      <c r="S113" s="17">
        <v>0</v>
      </c>
      <c r="T113" s="17">
        <v>0</v>
      </c>
      <c r="U113" s="17">
        <v>0</v>
      </c>
      <c r="V113" s="124" cm="1">
        <f t="array" ref="V113">INDEX(aanname_implementatie[Huidige implementatiegraad],MATCH(B113,IF(aanname_implementatie[Doelgroep]=C113,aanname_implementatie[Digitale zorgtoepassing]),0))</f>
        <v>0.2</v>
      </c>
      <c r="W113" s="126">
        <f>V113+vertraging[[#This Row],[p]]*(1-V113)+vertraging[[#This Row],[q]]*V113*(1-V113)</f>
        <v>0.29200000000000004</v>
      </c>
      <c r="X113" s="126">
        <f>W113+vertraging[[#This Row],[p]]*(1-W113)+vertraging[[#This Row],[q]]*W113*(1-W113)</f>
        <v>0.40273120000000007</v>
      </c>
      <c r="Y113" s="126">
        <f>X113+vertraging[[#This Row],[p]]*(1-X113)+vertraging[[#This Row],[q]]*X113*(1-X113)</f>
        <v>0.52590537124595205</v>
      </c>
      <c r="Z113" s="126">
        <f>Y113+vertraging[[#This Row],[p]]*(1-Y113)+vertraging[[#This Row],[q]]*Y113*(1-Y113)</f>
        <v>0.64995574724807748</v>
      </c>
      <c r="AA113" s="126">
        <f>Z113+vertraging[[#This Row],[p]]*(1-Z113)+vertraging[[#This Row],[q]]*Z113*(1-Z113)</f>
        <v>0.76108782680714737</v>
      </c>
      <c r="AB113" s="126">
        <f>AA113+vertraging[[#This Row],[p]]*(1-AA113)+vertraging[[#This Row],[q]]*AA113*(1-AA113)</f>
        <v>0.8488855471488731</v>
      </c>
      <c r="AC113" s="126">
        <f>AB113+vertraging[[#This Row],[p]]*(1-AB113)+vertraging[[#This Row],[q]]*AB113*(1-AB113)</f>
        <v>0.91038890221593549</v>
      </c>
      <c r="AD113" s="126">
        <f>AC113+vertraging[[#This Row],[p]]*(1-AC113)+vertraging[[#This Row],[q]]*AC113*(1-AC113)</f>
        <v>0.94934060668263687</v>
      </c>
      <c r="AE113" s="126">
        <f>AD113+vertraging[[#This Row],[p]]*(1-AD113)+vertraging[[#This Row],[q]]*AD113*(1-AD113)</f>
        <v>0.9722489501493069</v>
      </c>
      <c r="AF113" s="126">
        <f>AE113+vertraging[[#This Row],[p]]*(1-AE113)+vertraging[[#This Row],[q]]*AE113*(1-AE113)</f>
        <v>0.98508414448286907</v>
      </c>
      <c r="AG113" s="126">
        <f>AF113+vertraging[[#This Row],[p]]*(1-AF113)+vertraging[[#This Row],[q]]*AF113*(1-AF113)</f>
        <v>0.99206905861789263</v>
      </c>
    </row>
    <row r="114" spans="1:33" x14ac:dyDescent="0.5">
      <c r="A114" s="30" t="str">
        <f>INDEX(Technologieën[Veld],MATCH(B114,Technologieën[Digitale zorgtoepassing],0))</f>
        <v>Digitale hulpmiddelen - Diagnose</v>
      </c>
      <c r="B114" s="30" t="s">
        <v>82</v>
      </c>
      <c r="C114" s="30" t="s">
        <v>703</v>
      </c>
      <c r="D114" s="30" t="str" cm="1">
        <f t="array" ref="D114">INDEX(Berekening_patiëntaantal[Direct toepasbaar/extrapolatie/incidentie voor QALY],MATCH(B114,IF(Berekening_patiëntaantal[Doelgroep (zoeksleutel)]=C114,Berekening_patiëntaantal[Digitale zorgtoepassing]),0))</f>
        <v>Huidige toepassing</v>
      </c>
      <c r="E114" s="440" t="s">
        <v>813</v>
      </c>
      <c r="F114" s="30" t="str">
        <f>CONCATENATE(vertraging[[#This Row],[Digitale zorgtoepassing]],"_",vertraging[[#This Row],[Doelgroep]],"_",vertraging[[#This Row],[Uitgangssituatie/effect beleid]])</f>
        <v>Point-of-care (POC) testing_HAP contacten met labaratoriumonderzoek_Uitgangssituatie</v>
      </c>
      <c r="G114" s="122" t="str">
        <f>INDEX(acceptatie_burgers[Impact afhankelijk van acceptatie burgers?],MATCH(B114,acceptatie_burgers[Digitale zorgtoepassing],0))</f>
        <v>Nee</v>
      </c>
      <c r="H114" s="441" cm="1">
        <f t="array" ref="H114">IF(vertraging[[#This Row],[Uitgangssituatie/effect beleid]]="Effect beleid",MAX(INDEX(aanname_implementatie[Coëfficient p],MATCH(B114,IF(aanname_implementatie[Doelgroep]=C114,aanname_implementatie[Digitale zorgtoepassing]),0))+SUMIFS(afslagen_beleid[Opslag p],afslagen_beleid[Impact afhankelijk van acceptatie burgers],vertraging[[#This Row],[Acceptatie burgers]]),0.01),INDEX(aanname_implementatie[Coëfficient p],MATCH(B114,IF(aanname_implementatie[Doelgroep]=C114,aanname_implementatie[Digitale zorgtoepassing]),0)))</f>
        <v>0.02</v>
      </c>
      <c r="I114" s="441" cm="1">
        <f t="array" ref="I114">IF(vertraging[[#This Row],[Uitgangssituatie/effect beleid]]="Effect beleid",MAX(INDEX(aanname_implementatie[Coëfficient q],MATCH(B114,IF(aanname_implementatie[Doelgroep]=C114,aanname_implementatie[Digitale zorgtoepassing]),0))+SUMIFS(afslagen_beleid[Opslag q],afslagen_beleid[Impact afhankelijk van acceptatie burgers],vertraging[[#This Row],[Acceptatie burgers]]),0.3),INDEX(aanname_implementatie[Coëfficient q],MATCH(B114,IF(aanname_implementatie[Doelgroep]=C114,aanname_implementatie[Digitale zorgtoepassing]),0)))</f>
        <v>0.4</v>
      </c>
      <c r="J114" s="17">
        <f>0</f>
        <v>0</v>
      </c>
      <c r="K114" s="17">
        <v>0</v>
      </c>
      <c r="L114" s="17">
        <v>0</v>
      </c>
      <c r="M114" s="17">
        <v>0</v>
      </c>
      <c r="N114" s="17">
        <v>0</v>
      </c>
      <c r="O114" s="17">
        <v>0</v>
      </c>
      <c r="P114" s="17">
        <v>0</v>
      </c>
      <c r="Q114" s="17">
        <v>0</v>
      </c>
      <c r="R114" s="17">
        <v>0</v>
      </c>
      <c r="S114" s="17">
        <v>0</v>
      </c>
      <c r="T114" s="17">
        <v>0</v>
      </c>
      <c r="U114" s="17">
        <v>0</v>
      </c>
      <c r="V114" s="124" cm="1">
        <f t="array" ref="V114">INDEX(aanname_implementatie[Huidige implementatiegraad],MATCH(B114,IF(aanname_implementatie[Doelgroep]=C114,aanname_implementatie[Digitale zorgtoepassing]),0))</f>
        <v>0.4</v>
      </c>
      <c r="W114" s="126">
        <f>V114+vertraging[[#This Row],[p]]*(1-V114)+vertraging[[#This Row],[q]]*V114*(1-V114)</f>
        <v>0.50800000000000001</v>
      </c>
      <c r="X114" s="126">
        <f>W114+vertraging[[#This Row],[p]]*(1-W114)+vertraging[[#This Row],[q]]*W114*(1-W114)</f>
        <v>0.61781439999999999</v>
      </c>
      <c r="Y114" s="126">
        <f>X114+vertraging[[#This Row],[p]]*(1-X114)+vertraging[[#This Row],[q]]*X114*(1-X114)</f>
        <v>0.71990601886105599</v>
      </c>
      <c r="Z114" s="126">
        <f>Y114+vertraging[[#This Row],[p]]*(1-Y114)+vertraging[[#This Row],[q]]*Y114*(1-Y114)</f>
        <v>0.80616443563130724</v>
      </c>
      <c r="AA114" s="126">
        <f>Z114+vertraging[[#This Row],[p]]*(1-Z114)+vertraging[[#This Row],[q]]*Z114*(1-Z114)</f>
        <v>0.87254648226050635</v>
      </c>
      <c r="AB114" s="126">
        <f>AA114+vertraging[[#This Row],[p]]*(1-AA114)+vertraging[[#This Row],[q]]*AA114*(1-AA114)</f>
        <v>0.9195792000374251</v>
      </c>
      <c r="AC114" s="126">
        <f>AB114+vertraging[[#This Row],[p]]*(1-AB114)+vertraging[[#This Row],[q]]*AB114*(1-AB114)</f>
        <v>0.95076893399505846</v>
      </c>
      <c r="AD114" s="126">
        <f>AC114+vertraging[[#This Row],[p]]*(1-AC114)+vertraging[[#This Row],[q]]*AC114*(1-AC114)</f>
        <v>0.97047650257314066</v>
      </c>
      <c r="AE114" s="126">
        <f>AD114+vertraging[[#This Row],[p]]*(1-AD114)+vertraging[[#This Row],[q]]*AD114*(1-AD114)</f>
        <v>0.98252771673229611</v>
      </c>
      <c r="AF114" s="126">
        <f>AE114+vertraging[[#This Row],[p]]*(1-AE114)+vertraging[[#This Row],[q]]*AE114*(1-AE114)</f>
        <v>0.98974396343169702</v>
      </c>
      <c r="AG114" s="126">
        <f>AF114+vertraging[[#This Row],[p]]*(1-AF114)+vertraging[[#This Row],[q]]*AF114*(1-AF114)</f>
        <v>0.99400942427594807</v>
      </c>
    </row>
    <row r="115" spans="1:33" x14ac:dyDescent="0.5">
      <c r="A115" s="30" t="str">
        <f>INDEX(Technologieën[Veld],MATCH(B115,Technologieën[Digitale zorgtoepassing],0))</f>
        <v>Digitale hulpmiddelen - Diagnose</v>
      </c>
      <c r="B115" s="30" t="s">
        <v>82</v>
      </c>
      <c r="C115" s="30" t="s">
        <v>702</v>
      </c>
      <c r="D115" s="30" t="str" cm="1">
        <f t="array" ref="D115">INDEX(Berekening_patiëntaantal[Direct toepasbaar/extrapolatie/incidentie voor QALY],MATCH(B115,IF(Berekening_patiëntaantal[Doelgroep (zoeksleutel)]=C115,Berekening_patiëntaantal[Digitale zorgtoepassing]),0))</f>
        <v>Huidige toepassing</v>
      </c>
      <c r="E115" s="440" t="s">
        <v>813</v>
      </c>
      <c r="F115" s="30" t="str">
        <f>CONCATENATE(vertraging[[#This Row],[Digitale zorgtoepassing]],"_",vertraging[[#This Row],[Doelgroep]],"_",vertraging[[#This Row],[Uitgangssituatie/effect beleid]])</f>
        <v>Point-of-care (POC) testing_Huisartscontacten met labaratoriumonderzoek_Uitgangssituatie</v>
      </c>
      <c r="G115" s="122" t="str">
        <f>INDEX(acceptatie_burgers[Impact afhankelijk van acceptatie burgers?],MATCH(B115,acceptatie_burgers[Digitale zorgtoepassing],0))</f>
        <v>Nee</v>
      </c>
      <c r="H115" s="441" cm="1">
        <f t="array" ref="H115">IF(vertraging[[#This Row],[Uitgangssituatie/effect beleid]]="Effect beleid",MAX(INDEX(aanname_implementatie[Coëfficient p],MATCH(B115,IF(aanname_implementatie[Doelgroep]=C115,aanname_implementatie[Digitale zorgtoepassing]),0))+SUMIFS(afslagen_beleid[Opslag p],afslagen_beleid[Impact afhankelijk van acceptatie burgers],vertraging[[#This Row],[Acceptatie burgers]]),0.01),INDEX(aanname_implementatie[Coëfficient p],MATCH(B115,IF(aanname_implementatie[Doelgroep]=C115,aanname_implementatie[Digitale zorgtoepassing]),0)))</f>
        <v>0.02</v>
      </c>
      <c r="I115" s="441" cm="1">
        <f t="array" ref="I115">IF(vertraging[[#This Row],[Uitgangssituatie/effect beleid]]="Effect beleid",MAX(INDEX(aanname_implementatie[Coëfficient q],MATCH(B115,IF(aanname_implementatie[Doelgroep]=C115,aanname_implementatie[Digitale zorgtoepassing]),0))+SUMIFS(afslagen_beleid[Opslag q],afslagen_beleid[Impact afhankelijk van acceptatie burgers],vertraging[[#This Row],[Acceptatie burgers]]),0.3),INDEX(aanname_implementatie[Coëfficient q],MATCH(B115,IF(aanname_implementatie[Doelgroep]=C115,aanname_implementatie[Digitale zorgtoepassing]),0)))</f>
        <v>0.4</v>
      </c>
      <c r="J115" s="17">
        <f>0</f>
        <v>0</v>
      </c>
      <c r="K115" s="17">
        <v>0</v>
      </c>
      <c r="L115" s="17">
        <v>0</v>
      </c>
      <c r="M115" s="17">
        <v>0</v>
      </c>
      <c r="N115" s="17">
        <v>0</v>
      </c>
      <c r="O115" s="17">
        <v>0</v>
      </c>
      <c r="P115" s="17">
        <v>0</v>
      </c>
      <c r="Q115" s="17">
        <v>0</v>
      </c>
      <c r="R115" s="17">
        <v>0</v>
      </c>
      <c r="S115" s="17">
        <v>0</v>
      </c>
      <c r="T115" s="17">
        <v>0</v>
      </c>
      <c r="U115" s="17">
        <v>0</v>
      </c>
      <c r="V115" s="124" cm="1">
        <f t="array" ref="V115">INDEX(aanname_implementatie[Huidige implementatiegraad],MATCH(B115,IF(aanname_implementatie[Doelgroep]=C115,aanname_implementatie[Digitale zorgtoepassing]),0))</f>
        <v>0.4</v>
      </c>
      <c r="W115" s="126">
        <f>V115+vertraging[[#This Row],[p]]*(1-V115)+vertraging[[#This Row],[q]]*V115*(1-V115)</f>
        <v>0.50800000000000001</v>
      </c>
      <c r="X115" s="126">
        <f>W115+vertraging[[#This Row],[p]]*(1-W115)+vertraging[[#This Row],[q]]*W115*(1-W115)</f>
        <v>0.61781439999999999</v>
      </c>
      <c r="Y115" s="126">
        <f>X115+vertraging[[#This Row],[p]]*(1-X115)+vertraging[[#This Row],[q]]*X115*(1-X115)</f>
        <v>0.71990601886105599</v>
      </c>
      <c r="Z115" s="126">
        <f>Y115+vertraging[[#This Row],[p]]*(1-Y115)+vertraging[[#This Row],[q]]*Y115*(1-Y115)</f>
        <v>0.80616443563130724</v>
      </c>
      <c r="AA115" s="126">
        <f>Z115+vertraging[[#This Row],[p]]*(1-Z115)+vertraging[[#This Row],[q]]*Z115*(1-Z115)</f>
        <v>0.87254648226050635</v>
      </c>
      <c r="AB115" s="126">
        <f>AA115+vertraging[[#This Row],[p]]*(1-AA115)+vertraging[[#This Row],[q]]*AA115*(1-AA115)</f>
        <v>0.9195792000374251</v>
      </c>
      <c r="AC115" s="126">
        <f>AB115+vertraging[[#This Row],[p]]*(1-AB115)+vertraging[[#This Row],[q]]*AB115*(1-AB115)</f>
        <v>0.95076893399505846</v>
      </c>
      <c r="AD115" s="126">
        <f>AC115+vertraging[[#This Row],[p]]*(1-AC115)+vertraging[[#This Row],[q]]*AC115*(1-AC115)</f>
        <v>0.97047650257314066</v>
      </c>
      <c r="AE115" s="126">
        <f>AD115+vertraging[[#This Row],[p]]*(1-AD115)+vertraging[[#This Row],[q]]*AD115*(1-AD115)</f>
        <v>0.98252771673229611</v>
      </c>
      <c r="AF115" s="126">
        <f>AE115+vertraging[[#This Row],[p]]*(1-AE115)+vertraging[[#This Row],[q]]*AE115*(1-AE115)</f>
        <v>0.98974396343169702</v>
      </c>
      <c r="AG115" s="126">
        <f>AF115+vertraging[[#This Row],[p]]*(1-AF115)+vertraging[[#This Row],[q]]*AF115*(1-AF115)</f>
        <v>0.99400942427594807</v>
      </c>
    </row>
    <row r="116" spans="1:33" x14ac:dyDescent="0.5">
      <c r="A116" s="30" t="str">
        <f>INDEX(Technologieën[Veld],MATCH(B116,Technologieën[Digitale zorgtoepassing],0))</f>
        <v>Sensoren - Behandeling</v>
      </c>
      <c r="B116" s="30" t="s">
        <v>88</v>
      </c>
      <c r="C116" s="30" t="s">
        <v>89</v>
      </c>
      <c r="D116" s="30" t="str" cm="1">
        <f t="array" ref="D116">INDEX(Berekening_patiëntaantal[Direct toepasbaar/extrapolatie/incidentie voor QALY],MATCH(B116,IF(Berekening_patiëntaantal[Doelgroep (zoeksleutel)]=C116,Berekening_patiëntaantal[Digitale zorgtoepassing]),0))</f>
        <v>Huidige toepassing</v>
      </c>
      <c r="E116" s="440" t="s">
        <v>813</v>
      </c>
      <c r="F116" s="30" t="str">
        <f>CONCATENATE(vertraging[[#This Row],[Digitale zorgtoepassing]],"_",vertraging[[#This Row],[Doelgroep]],"_",vertraging[[#This Row],[Uitgangssituatie/effect beleid]])</f>
        <v>RT monitoring (glucosemeter)_Diabetes_Uitgangssituatie</v>
      </c>
      <c r="G116" s="122" t="str">
        <f>INDEX(acceptatie_burgers[Impact afhankelijk van acceptatie burgers?],MATCH(B116,acceptatie_burgers[Digitale zorgtoepassing],0))</f>
        <v>Ja</v>
      </c>
      <c r="H116" s="441" cm="1">
        <f t="array" ref="H116">IF(vertraging[[#This Row],[Uitgangssituatie/effect beleid]]="Effect beleid",MAX(INDEX(aanname_implementatie[Coëfficient p],MATCH(B116,IF(aanname_implementatie[Doelgroep]=C116,aanname_implementatie[Digitale zorgtoepassing]),0))+SUMIFS(afslagen_beleid[Opslag p],afslagen_beleid[Impact afhankelijk van acceptatie burgers],vertraging[[#This Row],[Acceptatie burgers]]),0.01),INDEX(aanname_implementatie[Coëfficient p],MATCH(B116,IF(aanname_implementatie[Doelgroep]=C116,aanname_implementatie[Digitale zorgtoepassing]),0)))</f>
        <v>2.5000000000000001E-2</v>
      </c>
      <c r="I116" s="441" cm="1">
        <f t="array" ref="I116">IF(vertraging[[#This Row],[Uitgangssituatie/effect beleid]]="Effect beleid",MAX(INDEX(aanname_implementatie[Coëfficient q],MATCH(B116,IF(aanname_implementatie[Doelgroep]=C116,aanname_implementatie[Digitale zorgtoepassing]),0))+SUMIFS(afslagen_beleid[Opslag q],afslagen_beleid[Impact afhankelijk van acceptatie burgers],vertraging[[#This Row],[Acceptatie burgers]]),0.3),INDEX(aanname_implementatie[Coëfficient q],MATCH(B116,IF(aanname_implementatie[Doelgroep]=C116,aanname_implementatie[Digitale zorgtoepassing]),0)))</f>
        <v>0.45</v>
      </c>
      <c r="J116" s="17">
        <f>0</f>
        <v>0</v>
      </c>
      <c r="K116" s="17">
        <v>0</v>
      </c>
      <c r="L116" s="17">
        <v>0</v>
      </c>
      <c r="M116" s="17">
        <v>0</v>
      </c>
      <c r="N116" s="17">
        <v>0</v>
      </c>
      <c r="O116" s="17">
        <v>0</v>
      </c>
      <c r="P116" s="17">
        <v>0</v>
      </c>
      <c r="Q116" s="17">
        <v>0</v>
      </c>
      <c r="R116" s="17">
        <v>0</v>
      </c>
      <c r="S116" s="17">
        <v>0</v>
      </c>
      <c r="T116" s="17">
        <v>0</v>
      </c>
      <c r="U116" s="17">
        <v>0</v>
      </c>
      <c r="V116" s="124" cm="1">
        <f t="array" ref="V116">INDEX(aanname_implementatie[Huidige implementatiegraad],MATCH(B116,IF(aanname_implementatie[Doelgroep]=C116,aanname_implementatie[Digitale zorgtoepassing]),0))</f>
        <v>0.8</v>
      </c>
      <c r="W116" s="126">
        <f>V116+vertraging[[#This Row],[p]]*(1-V116)+vertraging[[#This Row],[q]]*V116*(1-V116)</f>
        <v>0.877</v>
      </c>
      <c r="X116" s="126">
        <f>W116+vertraging[[#This Row],[p]]*(1-W116)+vertraging[[#This Row],[q]]*W116*(1-W116)</f>
        <v>0.92861695000000011</v>
      </c>
      <c r="Y116" s="126">
        <f>X116+vertraging[[#This Row],[p]]*(1-X116)+vertraging[[#This Row],[q]]*X116*(1-X116)</f>
        <v>0.96023090582771387</v>
      </c>
      <c r="Z116" s="126">
        <f>Y116+vertraging[[#This Row],[p]]*(1-Y116)+vertraging[[#This Row],[q]]*Y116*(1-Y116)</f>
        <v>0.97840951417647182</v>
      </c>
      <c r="AA116" s="126">
        <f>Z116+vertraging[[#This Row],[p]]*(1-Z116)+vertraging[[#This Row],[q]]*Z116*(1-Z116)</f>
        <v>0.9884552278575045</v>
      </c>
      <c r="AB116" s="126">
        <f>AA116+vertraging[[#This Row],[p]]*(1-AA116)+vertraging[[#This Row],[q]]*AA116*(1-AA116)</f>
        <v>0.99387901783146992</v>
      </c>
      <c r="AC116" s="126">
        <f>AB116+vertraging[[#This Row],[p]]*(1-AB116)+vertraging[[#This Row],[q]]*AB116*(1-AB116)</f>
        <v>0.99676962447130335</v>
      </c>
      <c r="AD116" s="126">
        <f>AC116+vertraging[[#This Row],[p]]*(1-AC116)+vertraging[[#This Row],[q]]*AC116*(1-AC116)</f>
        <v>0.99829935695070882</v>
      </c>
      <c r="AE116" s="126">
        <f>AD116+vertraging[[#This Row],[p]]*(1-AD116)+vertraging[[#This Row],[q]]*AD116*(1-AD116)</f>
        <v>0.9991058609150707</v>
      </c>
      <c r="AF116" s="126">
        <f>AE116+vertraging[[#This Row],[p]]*(1-AE116)+vertraging[[#This Row],[q]]*AE116*(1-AE116)</f>
        <v>0.99953021721229562</v>
      </c>
      <c r="AG116" s="126">
        <f>AF116+vertraging[[#This Row],[p]]*(1-AF116)+vertraging[[#This Row],[q]]*AF116*(1-AF116)</f>
        <v>0.99975326472331483</v>
      </c>
    </row>
    <row r="117" spans="1:33" x14ac:dyDescent="0.5">
      <c r="A117" s="30" t="str">
        <f>INDEX(Technologieën[Veld],MATCH(B117,Technologieën[Digitale zorgtoepassing],0))</f>
        <v>Sensoren - Behandeling</v>
      </c>
      <c r="B117" s="30" t="s">
        <v>88</v>
      </c>
      <c r="C117" s="30" t="s">
        <v>91</v>
      </c>
      <c r="D117" s="30" t="str" cm="1">
        <f t="array" ref="D117">INDEX(Berekening_patiëntaantal[Direct toepasbaar/extrapolatie/incidentie voor QALY],MATCH(B117,IF(Berekening_patiëntaantal[Doelgroep (zoeksleutel)]=C117,Berekening_patiëntaantal[Digitale zorgtoepassing]),0))</f>
        <v>Huidige toepassing</v>
      </c>
      <c r="E117" s="440" t="s">
        <v>813</v>
      </c>
      <c r="F117" s="30" t="str">
        <f>CONCATENATE(vertraging[[#This Row],[Digitale zorgtoepassing]],"_",vertraging[[#This Row],[Doelgroep]],"_",vertraging[[#This Row],[Uitgangssituatie/effect beleid]])</f>
        <v>RT monitoring (glucosemeter)_Diabetes_thuiszorg_Uitgangssituatie</v>
      </c>
      <c r="G117" s="122" t="str">
        <f>INDEX(acceptatie_burgers[Impact afhankelijk van acceptatie burgers?],MATCH(B117,acceptatie_burgers[Digitale zorgtoepassing],0))</f>
        <v>Ja</v>
      </c>
      <c r="H117" s="441" cm="1">
        <f t="array" ref="H117">IF(vertraging[[#This Row],[Uitgangssituatie/effect beleid]]="Effect beleid",MAX(INDEX(aanname_implementatie[Coëfficient p],MATCH(B117,IF(aanname_implementatie[Doelgroep]=C117,aanname_implementatie[Digitale zorgtoepassing]),0))+SUMIFS(afslagen_beleid[Opslag p],afslagen_beleid[Impact afhankelijk van acceptatie burgers],vertraging[[#This Row],[Acceptatie burgers]]),0.01),INDEX(aanname_implementatie[Coëfficient p],MATCH(B117,IF(aanname_implementatie[Doelgroep]=C117,aanname_implementatie[Digitale zorgtoepassing]),0)))</f>
        <v>2.5000000000000001E-2</v>
      </c>
      <c r="I117" s="441" cm="1">
        <f t="array" ref="I117">IF(vertraging[[#This Row],[Uitgangssituatie/effect beleid]]="Effect beleid",MAX(INDEX(aanname_implementatie[Coëfficient q],MATCH(B117,IF(aanname_implementatie[Doelgroep]=C117,aanname_implementatie[Digitale zorgtoepassing]),0))+SUMIFS(afslagen_beleid[Opslag q],afslagen_beleid[Impact afhankelijk van acceptatie burgers],vertraging[[#This Row],[Acceptatie burgers]]),0.3),INDEX(aanname_implementatie[Coëfficient q],MATCH(B117,IF(aanname_implementatie[Doelgroep]=C117,aanname_implementatie[Digitale zorgtoepassing]),0)))</f>
        <v>0.45</v>
      </c>
      <c r="J117" s="17">
        <f>0</f>
        <v>0</v>
      </c>
      <c r="K117" s="17">
        <v>0</v>
      </c>
      <c r="L117" s="17">
        <v>0</v>
      </c>
      <c r="M117" s="17">
        <v>0</v>
      </c>
      <c r="N117" s="17">
        <v>0</v>
      </c>
      <c r="O117" s="17">
        <v>0</v>
      </c>
      <c r="P117" s="17">
        <v>0</v>
      </c>
      <c r="Q117" s="17">
        <v>0</v>
      </c>
      <c r="R117" s="17">
        <v>0</v>
      </c>
      <c r="S117" s="17">
        <v>0</v>
      </c>
      <c r="T117" s="17">
        <v>0</v>
      </c>
      <c r="U117" s="17">
        <v>0</v>
      </c>
      <c r="V117" s="124" cm="1">
        <f t="array" ref="V117">INDEX(aanname_implementatie[Huidige implementatiegraad],MATCH(B117,IF(aanname_implementatie[Doelgroep]=C117,aanname_implementatie[Digitale zorgtoepassing]),0))</f>
        <v>0.6</v>
      </c>
      <c r="W117" s="126">
        <f>V117+vertraging[[#This Row],[p]]*(1-V117)+vertraging[[#This Row],[q]]*V117*(1-V117)</f>
        <v>0.71799999999999997</v>
      </c>
      <c r="X117" s="126">
        <f>W117+vertraging[[#This Row],[p]]*(1-W117)+vertraging[[#This Row],[q]]*W117*(1-W117)</f>
        <v>0.81616420000000001</v>
      </c>
      <c r="Y117" s="126">
        <f>X117+vertraging[[#This Row],[p]]*(1-X117)+vertraging[[#This Row],[q]]*X117*(1-X117)</f>
        <v>0.88827818438726203</v>
      </c>
      <c r="Z117" s="126">
        <f>Y117+vertraging[[#This Row],[p]]*(1-Y117)+vertraging[[#This Row],[q]]*Y117*(1-Y117)</f>
        <v>0.93572925296559961</v>
      </c>
      <c r="AA117" s="126">
        <f>Z117+vertraging[[#This Row],[p]]*(1-Z117)+vertraging[[#This Row],[q]]*Z117*(1-Z117)</f>
        <v>0.9643990297909778</v>
      </c>
      <c r="AB117" s="126">
        <f>AA117+vertraging[[#This Row],[p]]*(1-AA117)+vertraging[[#This Row],[q]]*AA117*(1-AA117)</f>
        <v>0.98073914755434266</v>
      </c>
      <c r="AC117" s="126">
        <f>AB117+vertraging[[#This Row],[p]]*(1-AB117)+vertraging[[#This Row],[q]]*AB117*(1-AB117)</f>
        <v>0.98972111126940987</v>
      </c>
      <c r="AD117" s="126">
        <f>AC117+vertraging[[#This Row],[p]]*(1-AC117)+vertraging[[#This Row],[q]]*AC117*(1-AC117)</f>
        <v>0.99455603841734896</v>
      </c>
      <c r="AE117" s="126">
        <f>AD117+vertraging[[#This Row],[p]]*(1-AD117)+vertraging[[#This Row],[q]]*AD117*(1-AD117)</f>
        <v>0.9971285836461371</v>
      </c>
      <c r="AF117" s="126">
        <f>AE117+vertraging[[#This Row],[p]]*(1-AE117)+vertraging[[#This Row],[q]]*AE117*(1-AE117)</f>
        <v>0.99848879614987718</v>
      </c>
      <c r="AG117" s="126">
        <f>AF117+vertraging[[#This Row],[p]]*(1-AF117)+vertraging[[#This Row],[q]]*AF117*(1-AF117)</f>
        <v>0.99920559029700107</v>
      </c>
    </row>
    <row r="118" spans="1:33" x14ac:dyDescent="0.5">
      <c r="A118" s="30" t="str">
        <f>INDEX(Technologieën[Veld],MATCH(B118,Technologieën[Digitale zorgtoepassing],0))</f>
        <v>Sensoren - Verpleging</v>
      </c>
      <c r="B118" s="30" t="s">
        <v>42</v>
      </c>
      <c r="C118" s="30" t="s">
        <v>348</v>
      </c>
      <c r="D118" s="30" t="str" cm="1">
        <f t="array" ref="D118">INDEX(Berekening_patiëntaantal[Direct toepasbaar/extrapolatie/incidentie voor QALY],MATCH(B118,IF(Berekening_patiëntaantal[Doelgroep (zoeksleutel)]=C118,Berekening_patiëntaantal[Digitale zorgtoepassing]),0))</f>
        <v>Huidige toepassing</v>
      </c>
      <c r="E118" s="440" t="s">
        <v>813</v>
      </c>
      <c r="F118" s="30" t="str">
        <f>CONCATENATE(vertraging[[#This Row],[Digitale zorgtoepassing]],"_",vertraging[[#This Row],[Doelgroep]],"_",vertraging[[#This Row],[Uitgangssituatie/effect beleid]])</f>
        <v>Slim incontinentiemateriaal_Urine incontinent_Uitgangssituatie</v>
      </c>
      <c r="G118" s="122" t="str">
        <f>INDEX(acceptatie_burgers[Impact afhankelijk van acceptatie burgers?],MATCH(B118,acceptatie_burgers[Digitale zorgtoepassing],0))</f>
        <v>Ja</v>
      </c>
      <c r="H118" s="441" cm="1">
        <f t="array" ref="H118">IF(vertraging[[#This Row],[Uitgangssituatie/effect beleid]]="Effect beleid",MAX(INDEX(aanname_implementatie[Coëfficient p],MATCH(B118,IF(aanname_implementatie[Doelgroep]=C118,aanname_implementatie[Digitale zorgtoepassing]),0))+SUMIFS(afslagen_beleid[Opslag p],afslagen_beleid[Impact afhankelijk van acceptatie burgers],vertraging[[#This Row],[Acceptatie burgers]]),0.01),INDEX(aanname_implementatie[Coëfficient p],MATCH(B118,IF(aanname_implementatie[Doelgroep]=C118,aanname_implementatie[Digitale zorgtoepassing]),0)))</f>
        <v>2.5000000000000001E-2</v>
      </c>
      <c r="I118" s="441" cm="1">
        <f t="array" ref="I118">IF(vertraging[[#This Row],[Uitgangssituatie/effect beleid]]="Effect beleid",MAX(INDEX(aanname_implementatie[Coëfficient q],MATCH(B118,IF(aanname_implementatie[Doelgroep]=C118,aanname_implementatie[Digitale zorgtoepassing]),0))+SUMIFS(afslagen_beleid[Opslag q],afslagen_beleid[Impact afhankelijk van acceptatie burgers],vertraging[[#This Row],[Acceptatie burgers]]),0.3),INDEX(aanname_implementatie[Coëfficient q],MATCH(B118,IF(aanname_implementatie[Doelgroep]=C118,aanname_implementatie[Digitale zorgtoepassing]),0)))</f>
        <v>0.45</v>
      </c>
      <c r="J118" s="17">
        <f>0</f>
        <v>0</v>
      </c>
      <c r="K118" s="17">
        <v>0</v>
      </c>
      <c r="L118" s="17">
        <v>0</v>
      </c>
      <c r="M118" s="17">
        <v>0</v>
      </c>
      <c r="N118" s="17">
        <v>0</v>
      </c>
      <c r="O118" s="17">
        <v>0</v>
      </c>
      <c r="P118" s="17">
        <v>0</v>
      </c>
      <c r="Q118" s="17">
        <v>0</v>
      </c>
      <c r="R118" s="17">
        <v>0</v>
      </c>
      <c r="S118" s="17">
        <v>0</v>
      </c>
      <c r="T118" s="17">
        <v>0</v>
      </c>
      <c r="U118" s="17">
        <v>0</v>
      </c>
      <c r="V118" s="124" cm="1">
        <f t="array" ref="V118">INDEX(aanname_implementatie[Huidige implementatiegraad],MATCH(B118,IF(aanname_implementatie[Doelgroep]=C118,aanname_implementatie[Digitale zorgtoepassing]),0))</f>
        <v>0.4</v>
      </c>
      <c r="W118" s="126">
        <f>V118+vertraging[[#This Row],[p]]*(1-V118)+vertraging[[#This Row],[q]]*V118*(1-V118)</f>
        <v>0.52300000000000002</v>
      </c>
      <c r="X118" s="126">
        <f>W118+vertraging[[#This Row],[p]]*(1-W118)+vertraging[[#This Row],[q]]*W118*(1-W118)</f>
        <v>0.64718695000000004</v>
      </c>
      <c r="Y118" s="126">
        <f>X118+vertraging[[#This Row],[p]]*(1-X118)+vertraging[[#This Row],[q]]*X118*(1-X118)</f>
        <v>0.75875847703736388</v>
      </c>
      <c r="Z118" s="126">
        <f>Y118+vertraging[[#This Row],[p]]*(1-Y118)+vertraging[[#This Row],[q]]*Y118*(1-Y118)</f>
        <v>0.84715933786401665</v>
      </c>
      <c r="AA118" s="126">
        <f>Z118+vertraging[[#This Row],[p]]*(1-Z118)+vertraging[[#This Row],[q]]*Z118*(1-Z118)</f>
        <v>0.90924653177763415</v>
      </c>
      <c r="AB118" s="126">
        <f>AA118+vertraging[[#This Row],[p]]*(1-AA118)+vertraging[[#This Row],[q]]*AA118*(1-AA118)</f>
        <v>0.94864814278578335</v>
      </c>
      <c r="AC118" s="126">
        <f>AB118+vertraging[[#This Row],[p]]*(1-AB118)+vertraging[[#This Row],[q]]*AB118*(1-AB118)</f>
        <v>0.97185361900482903</v>
      </c>
      <c r="AD118" s="126">
        <f>AC118+vertraging[[#This Row],[p]]*(1-AC118)+vertraging[[#This Row],[q]]*AC118*(1-AC118)</f>
        <v>0.98486665153412889</v>
      </c>
      <c r="AE118" s="126">
        <f>AD118+vertraging[[#This Row],[p]]*(1-AD118)+vertraging[[#This Row],[q]]*AD118*(1-AD118)</f>
        <v>0.99195193384931235</v>
      </c>
      <c r="AF118" s="126">
        <f>AE118+vertraging[[#This Row],[p]]*(1-AE118)+vertraging[[#This Row],[q]]*AE118*(1-AE118)</f>
        <v>0.99574561815494433</v>
      </c>
      <c r="AG118" s="126">
        <f>AF118+vertraging[[#This Row],[p]]*(1-AF118)+vertraging[[#This Row],[q]]*AF118*(1-AF118)</f>
        <v>0.99775830463714821</v>
      </c>
    </row>
    <row r="119" spans="1:33" x14ac:dyDescent="0.5">
      <c r="A119" s="30" t="str">
        <f>INDEX(Technologieën[Veld],MATCH(B119,Technologieën[Digitale zorgtoepassing],0))</f>
        <v>Sensoren - Verpleging</v>
      </c>
      <c r="B119" s="30" t="s">
        <v>42</v>
      </c>
      <c r="C119" s="30" t="s">
        <v>44</v>
      </c>
      <c r="D119" s="30" t="str" cm="1">
        <f t="array" ref="D119">INDEX(Berekening_patiëntaantal[Direct toepasbaar/extrapolatie/incidentie voor QALY],MATCH(B119,IF(Berekening_patiëntaantal[Doelgroep (zoeksleutel)]=C119,Berekening_patiëntaantal[Digitale zorgtoepassing]),0))</f>
        <v>Extrapolatie</v>
      </c>
      <c r="E119" s="440" t="s">
        <v>813</v>
      </c>
      <c r="F119" s="30" t="str">
        <f>CONCATENATE(vertraging[[#This Row],[Digitale zorgtoepassing]],"_",vertraging[[#This Row],[Doelgroep]],"_",vertraging[[#This Row],[Uitgangssituatie/effect beleid]])</f>
        <v>Slim incontinentiemateriaal_Verstandelijk gehandicapten_Uitgangssituatie</v>
      </c>
      <c r="G119" s="122" t="str">
        <f>INDEX(acceptatie_burgers[Impact afhankelijk van acceptatie burgers?],MATCH(B119,acceptatie_burgers[Digitale zorgtoepassing],0))</f>
        <v>Ja</v>
      </c>
      <c r="H119" s="441" cm="1">
        <f t="array" ref="H119">IF(vertraging[[#This Row],[Uitgangssituatie/effect beleid]]="Effect beleid",MAX(INDEX(aanname_implementatie[Coëfficient p],MATCH(B119,IF(aanname_implementatie[Doelgroep]=C119,aanname_implementatie[Digitale zorgtoepassing]),0))+SUMIFS(afslagen_beleid[Opslag p],afslagen_beleid[Impact afhankelijk van acceptatie burgers],vertraging[[#This Row],[Acceptatie burgers]]),0.01),INDEX(aanname_implementatie[Coëfficient p],MATCH(B119,IF(aanname_implementatie[Doelgroep]=C119,aanname_implementatie[Digitale zorgtoepassing]),0)))</f>
        <v>2.5000000000000001E-2</v>
      </c>
      <c r="I119" s="441" cm="1">
        <f t="array" ref="I119">IF(vertraging[[#This Row],[Uitgangssituatie/effect beleid]]="Effect beleid",MAX(INDEX(aanname_implementatie[Coëfficient q],MATCH(B119,IF(aanname_implementatie[Doelgroep]=C119,aanname_implementatie[Digitale zorgtoepassing]),0))+SUMIFS(afslagen_beleid[Opslag q],afslagen_beleid[Impact afhankelijk van acceptatie burgers],vertraging[[#This Row],[Acceptatie burgers]]),0.3),INDEX(aanname_implementatie[Coëfficient q],MATCH(B119,IF(aanname_implementatie[Doelgroep]=C119,aanname_implementatie[Digitale zorgtoepassing]),0)))</f>
        <v>0.45</v>
      </c>
      <c r="J119" s="17">
        <f>0</f>
        <v>0</v>
      </c>
      <c r="K119" s="17">
        <v>0</v>
      </c>
      <c r="L119" s="17">
        <v>0</v>
      </c>
      <c r="M119" s="17">
        <v>0</v>
      </c>
      <c r="N119" s="17">
        <v>0</v>
      </c>
      <c r="O119" s="17">
        <v>0</v>
      </c>
      <c r="P119" s="17">
        <v>0</v>
      </c>
      <c r="Q119" s="17">
        <v>0</v>
      </c>
      <c r="R119" s="17">
        <v>0</v>
      </c>
      <c r="S119" s="17">
        <v>0</v>
      </c>
      <c r="T119" s="17">
        <v>0</v>
      </c>
      <c r="U119" s="17">
        <v>0</v>
      </c>
      <c r="V119" s="124" cm="1">
        <f t="array" ref="V119">INDEX(aanname_implementatie[Huidige implementatiegraad],MATCH(B119,IF(aanname_implementatie[Doelgroep]=C119,aanname_implementatie[Digitale zorgtoepassing]),0))</f>
        <v>0</v>
      </c>
      <c r="W119" s="126">
        <f>V119+vertraging[[#This Row],[p]]*(1-V119)+vertraging[[#This Row],[q]]*V119*(1-V119)</f>
        <v>2.5000000000000001E-2</v>
      </c>
      <c r="X119" s="126">
        <f>W119+vertraging[[#This Row],[p]]*(1-W119)+vertraging[[#This Row],[q]]*W119*(1-W119)</f>
        <v>6.0343750000000002E-2</v>
      </c>
      <c r="Y119" s="126">
        <f>X119+vertraging[[#This Row],[p]]*(1-X119)+vertraging[[#This Row],[q]]*X119*(1-X119)</f>
        <v>0.10935122807617187</v>
      </c>
      <c r="Z119" s="126">
        <f>Y119+vertraging[[#This Row],[p]]*(1-Y119)+vertraging[[#This Row],[q]]*Y119*(1-Y119)</f>
        <v>0.17544453902174978</v>
      </c>
      <c r="AA119" s="126">
        <f>Z119+vertraging[[#This Row],[p]]*(1-Z119)+vertraging[[#This Row],[q]]*Z119*(1-Z119)</f>
        <v>0.26115711428334398</v>
      </c>
      <c r="AB119" s="126">
        <f>AA119+vertraging[[#This Row],[p]]*(1-AA119)+vertraging[[#This Row],[q]]*AA119*(1-AA119)</f>
        <v>0.36645752060040354</v>
      </c>
      <c r="AC119" s="126">
        <f>AB119+vertraging[[#This Row],[p]]*(1-AB119)+vertraging[[#This Row],[q]]*AB119*(1-AB119)</f>
        <v>0.48677096537350723</v>
      </c>
      <c r="AD119" s="126">
        <f>AC119+vertraging[[#This Row],[p]]*(1-AC119)+vertraging[[#This Row],[q]]*AC119*(1-AC119)</f>
        <v>0.61202293792845253</v>
      </c>
      <c r="AE119" s="126">
        <f>AD119+vertraging[[#This Row],[p]]*(1-AD119)+vertraging[[#This Row],[q]]*AD119*(1-AD119)</f>
        <v>0.7285752521002864</v>
      </c>
      <c r="AF119" s="126">
        <f>AE119+vertraging[[#This Row],[p]]*(1-AE119)+vertraging[[#This Row],[q]]*AE119*(1-AE119)</f>
        <v>0.82434988015505994</v>
      </c>
      <c r="AG119" s="126">
        <f>AF119+vertraging[[#This Row],[p]]*(1-AF119)+vertraging[[#This Row],[q]]*AF119*(1-AF119)</f>
        <v>0.89389985301071273</v>
      </c>
    </row>
    <row r="120" spans="1:33" x14ac:dyDescent="0.5">
      <c r="A120" s="30" t="str">
        <f>INDEX(Technologieën[Veld],MATCH(B120,Technologieën[Digitale zorgtoepassing],0))</f>
        <v>Sensoren - Verpleging</v>
      </c>
      <c r="B120" s="30" t="s">
        <v>61</v>
      </c>
      <c r="C120" s="30" t="s">
        <v>62</v>
      </c>
      <c r="D120" s="30" t="str" cm="1">
        <f t="array" ref="D120">INDEX(Berekening_patiëntaantal[Direct toepasbaar/extrapolatie/incidentie voor QALY],MATCH(B120,IF(Berekening_patiëntaantal[Doelgroep (zoeksleutel)]=C120,Berekening_patiëntaantal[Digitale zorgtoepassing]),0))</f>
        <v>Huidige toepassing</v>
      </c>
      <c r="E120" s="440" t="s">
        <v>813</v>
      </c>
      <c r="F120" s="30" t="str">
        <f>CONCATENATE(vertraging[[#This Row],[Digitale zorgtoepassing]],"_",vertraging[[#This Row],[Doelgroep]],"_",vertraging[[#This Row],[Uitgangssituatie/effect beleid]])</f>
        <v>Slimme bedsensoren_Bewoners verzorgingshuis_Uitgangssituatie</v>
      </c>
      <c r="G120" s="122" t="str">
        <f>INDEX(acceptatie_burgers[Impact afhankelijk van acceptatie burgers?],MATCH(B120,acceptatie_burgers[Digitale zorgtoepassing],0))</f>
        <v>Ja</v>
      </c>
      <c r="H120" s="441" cm="1">
        <f t="array" ref="H120">IF(vertraging[[#This Row],[Uitgangssituatie/effect beleid]]="Effect beleid",MAX(INDEX(aanname_implementatie[Coëfficient p],MATCH(B120,IF(aanname_implementatie[Doelgroep]=C120,aanname_implementatie[Digitale zorgtoepassing]),0))+SUMIFS(afslagen_beleid[Opslag p],afslagen_beleid[Impact afhankelijk van acceptatie burgers],vertraging[[#This Row],[Acceptatie burgers]]),0.01),INDEX(aanname_implementatie[Coëfficient p],MATCH(B120,IF(aanname_implementatie[Doelgroep]=C120,aanname_implementatie[Digitale zorgtoepassing]),0)))</f>
        <v>0.02</v>
      </c>
      <c r="I120" s="441" cm="1">
        <f t="array" ref="I120">IF(vertraging[[#This Row],[Uitgangssituatie/effect beleid]]="Effect beleid",MAX(INDEX(aanname_implementatie[Coëfficient q],MATCH(B120,IF(aanname_implementatie[Doelgroep]=C120,aanname_implementatie[Digitale zorgtoepassing]),0))+SUMIFS(afslagen_beleid[Opslag q],afslagen_beleid[Impact afhankelijk van acceptatie burgers],vertraging[[#This Row],[Acceptatie burgers]]),0.3),INDEX(aanname_implementatie[Coëfficient q],MATCH(B120,IF(aanname_implementatie[Doelgroep]=C120,aanname_implementatie[Digitale zorgtoepassing]),0)))</f>
        <v>0.4</v>
      </c>
      <c r="J120" s="17">
        <f>0</f>
        <v>0</v>
      </c>
      <c r="K120" s="17">
        <v>0</v>
      </c>
      <c r="L120" s="17">
        <v>0</v>
      </c>
      <c r="M120" s="17">
        <v>0</v>
      </c>
      <c r="N120" s="17">
        <v>0</v>
      </c>
      <c r="O120" s="17">
        <v>0</v>
      </c>
      <c r="P120" s="17">
        <v>0</v>
      </c>
      <c r="Q120" s="17">
        <v>0</v>
      </c>
      <c r="R120" s="17">
        <v>0</v>
      </c>
      <c r="S120" s="17">
        <v>0</v>
      </c>
      <c r="T120" s="17">
        <v>0</v>
      </c>
      <c r="U120" s="17">
        <v>0</v>
      </c>
      <c r="V120" s="124" cm="1">
        <f t="array" ref="V120">INDEX(aanname_implementatie[Huidige implementatiegraad],MATCH(B120,IF(aanname_implementatie[Doelgroep]=C120,aanname_implementatie[Digitale zorgtoepassing]),0))</f>
        <v>0.4</v>
      </c>
      <c r="W120" s="126">
        <f>V120+vertraging[[#This Row],[p]]*(1-V120)+vertraging[[#This Row],[q]]*V120*(1-V120)</f>
        <v>0.50800000000000001</v>
      </c>
      <c r="X120" s="126">
        <f>W120+vertraging[[#This Row],[p]]*(1-W120)+vertraging[[#This Row],[q]]*W120*(1-W120)</f>
        <v>0.61781439999999999</v>
      </c>
      <c r="Y120" s="126">
        <f>X120+vertraging[[#This Row],[p]]*(1-X120)+vertraging[[#This Row],[q]]*X120*(1-X120)</f>
        <v>0.71990601886105599</v>
      </c>
      <c r="Z120" s="126">
        <f>Y120+vertraging[[#This Row],[p]]*(1-Y120)+vertraging[[#This Row],[q]]*Y120*(1-Y120)</f>
        <v>0.80616443563130724</v>
      </c>
      <c r="AA120" s="126">
        <f>Z120+vertraging[[#This Row],[p]]*(1-Z120)+vertraging[[#This Row],[q]]*Z120*(1-Z120)</f>
        <v>0.87254648226050635</v>
      </c>
      <c r="AB120" s="126">
        <f>AA120+vertraging[[#This Row],[p]]*(1-AA120)+vertraging[[#This Row],[q]]*AA120*(1-AA120)</f>
        <v>0.9195792000374251</v>
      </c>
      <c r="AC120" s="126">
        <f>AB120+vertraging[[#This Row],[p]]*(1-AB120)+vertraging[[#This Row],[q]]*AB120*(1-AB120)</f>
        <v>0.95076893399505846</v>
      </c>
      <c r="AD120" s="126">
        <f>AC120+vertraging[[#This Row],[p]]*(1-AC120)+vertraging[[#This Row],[q]]*AC120*(1-AC120)</f>
        <v>0.97047650257314066</v>
      </c>
      <c r="AE120" s="126">
        <f>AD120+vertraging[[#This Row],[p]]*(1-AD120)+vertraging[[#This Row],[q]]*AD120*(1-AD120)</f>
        <v>0.98252771673229611</v>
      </c>
      <c r="AF120" s="126">
        <f>AE120+vertraging[[#This Row],[p]]*(1-AE120)+vertraging[[#This Row],[q]]*AE120*(1-AE120)</f>
        <v>0.98974396343169702</v>
      </c>
      <c r="AG120" s="126">
        <f>AF120+vertraging[[#This Row],[p]]*(1-AF120)+vertraging[[#This Row],[q]]*AF120*(1-AF120)</f>
        <v>0.99400942427594807</v>
      </c>
    </row>
    <row r="121" spans="1:33" x14ac:dyDescent="0.5">
      <c r="A121" s="30" t="str">
        <f>INDEX(Technologieën[Veld],MATCH(B121,Technologieën[Digitale zorgtoepassing],0))</f>
        <v>Sensoren - Verpleging</v>
      </c>
      <c r="B121" s="30" t="s">
        <v>61</v>
      </c>
      <c r="C121" s="30" t="s">
        <v>385</v>
      </c>
      <c r="D121" s="30" t="str" cm="1">
        <f t="array" ref="D121">INDEX(Berekening_patiëntaantal[Direct toepasbaar/extrapolatie/incidentie voor QALY],MATCH(B121,IF(Berekening_patiëntaantal[Doelgroep (zoeksleutel)]=C121,Berekening_patiëntaantal[Digitale zorgtoepassing]),0))</f>
        <v>Extrapolatie</v>
      </c>
      <c r="E121" s="440" t="s">
        <v>813</v>
      </c>
      <c r="F121" s="30" t="str">
        <f>CONCATENATE(vertraging[[#This Row],[Digitale zorgtoepassing]],"_",vertraging[[#This Row],[Doelgroep]],"_",vertraging[[#This Row],[Uitgangssituatie/effect beleid]])</f>
        <v>Slimme bedsensoren_Epilepsie Kinderen_Uitgangssituatie</v>
      </c>
      <c r="G121" s="122" t="str">
        <f>INDEX(acceptatie_burgers[Impact afhankelijk van acceptatie burgers?],MATCH(B121,acceptatie_burgers[Digitale zorgtoepassing],0))</f>
        <v>Ja</v>
      </c>
      <c r="H121" s="441" cm="1">
        <f t="array" ref="H121">IF(vertraging[[#This Row],[Uitgangssituatie/effect beleid]]="Effect beleid",MAX(INDEX(aanname_implementatie[Coëfficient p],MATCH(B121,IF(aanname_implementatie[Doelgroep]=C121,aanname_implementatie[Digitale zorgtoepassing]),0))+SUMIFS(afslagen_beleid[Opslag p],afslagen_beleid[Impact afhankelijk van acceptatie burgers],vertraging[[#This Row],[Acceptatie burgers]]),0.01),INDEX(aanname_implementatie[Coëfficient p],MATCH(B121,IF(aanname_implementatie[Doelgroep]=C121,aanname_implementatie[Digitale zorgtoepassing]),0)))</f>
        <v>0.02</v>
      </c>
      <c r="I121" s="441" cm="1">
        <f t="array" ref="I121">IF(vertraging[[#This Row],[Uitgangssituatie/effect beleid]]="Effect beleid",MAX(INDEX(aanname_implementatie[Coëfficient q],MATCH(B121,IF(aanname_implementatie[Doelgroep]=C121,aanname_implementatie[Digitale zorgtoepassing]),0))+SUMIFS(afslagen_beleid[Opslag q],afslagen_beleid[Impact afhankelijk van acceptatie burgers],vertraging[[#This Row],[Acceptatie burgers]]),0.3),INDEX(aanname_implementatie[Coëfficient q],MATCH(B121,IF(aanname_implementatie[Doelgroep]=C121,aanname_implementatie[Digitale zorgtoepassing]),0)))</f>
        <v>0.4</v>
      </c>
      <c r="J121" s="17">
        <f>0</f>
        <v>0</v>
      </c>
      <c r="K121" s="17">
        <v>0</v>
      </c>
      <c r="L121" s="17">
        <v>0</v>
      </c>
      <c r="M121" s="17">
        <v>0</v>
      </c>
      <c r="N121" s="17">
        <v>0</v>
      </c>
      <c r="O121" s="17">
        <v>0</v>
      </c>
      <c r="P121" s="17">
        <v>0</v>
      </c>
      <c r="Q121" s="17">
        <v>0</v>
      </c>
      <c r="R121" s="17">
        <v>0</v>
      </c>
      <c r="S121" s="17">
        <v>0</v>
      </c>
      <c r="T121" s="17">
        <v>0</v>
      </c>
      <c r="U121" s="17">
        <v>0</v>
      </c>
      <c r="V121" s="124" cm="1">
        <f t="array" ref="V121">INDEX(aanname_implementatie[Huidige implementatiegraad],MATCH(B121,IF(aanname_implementatie[Doelgroep]=C121,aanname_implementatie[Digitale zorgtoepassing]),0))</f>
        <v>0</v>
      </c>
      <c r="W121" s="126">
        <f>V121+vertraging[[#This Row],[p]]*(1-V121)+vertraging[[#This Row],[q]]*V121*(1-V121)</f>
        <v>0.02</v>
      </c>
      <c r="X121" s="126">
        <f>W121+vertraging[[#This Row],[p]]*(1-W121)+vertraging[[#This Row],[q]]*W121*(1-W121)</f>
        <v>4.7439999999999996E-2</v>
      </c>
      <c r="Y121" s="126">
        <f>X121+vertraging[[#This Row],[p]]*(1-X121)+vertraging[[#This Row],[q]]*X121*(1-X121)</f>
        <v>8.4566978560000006E-2</v>
      </c>
      <c r="Z121" s="126">
        <f>Y121+vertraging[[#This Row],[p]]*(1-Y121)+vertraging[[#This Row],[q]]*Y121*(1-Y121)</f>
        <v>0.13384180086769301</v>
      </c>
      <c r="AA121" s="126">
        <f>Z121+vertraging[[#This Row],[p]]*(1-Z121)+vertraging[[#This Row],[q]]*Z121*(1-Z121)</f>
        <v>0.19753623413361349</v>
      </c>
      <c r="AB121" s="126">
        <f>AA121+vertraging[[#This Row],[p]]*(1-AA121)+vertraging[[#This Row],[q]]*AA121*(1-AA121)</f>
        <v>0.27699177758611071</v>
      </c>
      <c r="AC121" s="126">
        <f>AB121+vertraging[[#This Row],[p]]*(1-AB121)+vertraging[[#This Row],[q]]*AB121*(1-AB121)</f>
        <v>0.37155887512870744</v>
      </c>
      <c r="AD121" s="126">
        <f>AC121+vertraging[[#This Row],[p]]*(1-AC121)+vertraging[[#This Row],[q]]*AC121*(1-AC121)</f>
        <v>0.47752884860285211</v>
      </c>
      <c r="AE121" s="126">
        <f>AD121+vertraging[[#This Row],[p]]*(1-AD121)+vertraging[[#This Row],[q]]*AD121*(1-AD121)</f>
        <v>0.5877762905727496</v>
      </c>
      <c r="AF121" s="126">
        <f>AE121+vertraging[[#This Row],[p]]*(1-AE121)+vertraging[[#This Row],[q]]*AE121*(1-AE121)</f>
        <v>0.6929388938866099</v>
      </c>
      <c r="AG121" s="126">
        <f>AF121+vertraging[[#This Row],[p]]*(1-AF121)+vertraging[[#This Row],[q]]*AF121*(1-AF121)</f>
        <v>0.78418994929920227</v>
      </c>
    </row>
    <row r="122" spans="1:33" x14ac:dyDescent="0.5">
      <c r="A122" s="30" t="str">
        <f>INDEX(Technologieën[Veld],MATCH(B122,Technologieën[Digitale zorgtoepassing],0))</f>
        <v>Sensoren - Behandeling</v>
      </c>
      <c r="B122" s="30" t="s">
        <v>53</v>
      </c>
      <c r="C122" s="30" t="s">
        <v>54</v>
      </c>
      <c r="D122" s="30" t="str" cm="1">
        <f t="array" ref="D122">INDEX(Berekening_patiëntaantal[Direct toepasbaar/extrapolatie/incidentie voor QALY],MATCH(B122,IF(Berekening_patiëntaantal[Doelgroep (zoeksleutel)]=C122,Berekening_patiëntaantal[Digitale zorgtoepassing]),0))</f>
        <v>Huidige toepassing</v>
      </c>
      <c r="E122" s="440" t="s">
        <v>813</v>
      </c>
      <c r="F122" s="30" t="str">
        <f>CONCATENATE(vertraging[[#This Row],[Digitale zorgtoepassing]],"_",vertraging[[#This Row],[Doelgroep]],"_",vertraging[[#This Row],[Uitgangssituatie/effect beleid]])</f>
        <v>Slimme pleisters_Heup_Uitgangssituatie</v>
      </c>
      <c r="G122" s="122" t="str">
        <f>INDEX(acceptatie_burgers[Impact afhankelijk van acceptatie burgers?],MATCH(B122,acceptatie_burgers[Digitale zorgtoepassing],0))</f>
        <v>Ja</v>
      </c>
      <c r="H122" s="441" cm="1">
        <f t="array" ref="H122">IF(vertraging[[#This Row],[Uitgangssituatie/effect beleid]]="Effect beleid",MAX(INDEX(aanname_implementatie[Coëfficient p],MATCH(B122,IF(aanname_implementatie[Doelgroep]=C122,aanname_implementatie[Digitale zorgtoepassing]),0))+SUMIFS(afslagen_beleid[Opslag p],afslagen_beleid[Impact afhankelijk van acceptatie burgers],vertraging[[#This Row],[Acceptatie burgers]]),0.01),INDEX(aanname_implementatie[Coëfficient p],MATCH(B122,IF(aanname_implementatie[Doelgroep]=C122,aanname_implementatie[Digitale zorgtoepassing]),0)))</f>
        <v>0.02</v>
      </c>
      <c r="I122" s="441" cm="1">
        <f t="array" ref="I122">IF(vertraging[[#This Row],[Uitgangssituatie/effect beleid]]="Effect beleid",MAX(INDEX(aanname_implementatie[Coëfficient q],MATCH(B122,IF(aanname_implementatie[Doelgroep]=C122,aanname_implementatie[Digitale zorgtoepassing]),0))+SUMIFS(afslagen_beleid[Opslag q],afslagen_beleid[Impact afhankelijk van acceptatie burgers],vertraging[[#This Row],[Acceptatie burgers]]),0.3),INDEX(aanname_implementatie[Coëfficient q],MATCH(B122,IF(aanname_implementatie[Doelgroep]=C122,aanname_implementatie[Digitale zorgtoepassing]),0)))</f>
        <v>0.4</v>
      </c>
      <c r="J122" s="17">
        <f>0</f>
        <v>0</v>
      </c>
      <c r="K122" s="17">
        <v>0</v>
      </c>
      <c r="L122" s="17">
        <v>0</v>
      </c>
      <c r="M122" s="17">
        <v>0</v>
      </c>
      <c r="N122" s="17">
        <v>0</v>
      </c>
      <c r="O122" s="17">
        <v>0</v>
      </c>
      <c r="P122" s="17">
        <v>0</v>
      </c>
      <c r="Q122" s="17">
        <v>0</v>
      </c>
      <c r="R122" s="17">
        <v>0</v>
      </c>
      <c r="S122" s="17">
        <v>0</v>
      </c>
      <c r="T122" s="17">
        <v>0</v>
      </c>
      <c r="U122" s="17">
        <v>0</v>
      </c>
      <c r="V122" s="124" cm="1">
        <f t="array" ref="V122">INDEX(aanname_implementatie[Huidige implementatiegraad],MATCH(B122,IF(aanname_implementatie[Doelgroep]=C122,aanname_implementatie[Digitale zorgtoepassing]),0))</f>
        <v>0.4</v>
      </c>
      <c r="W122" s="126">
        <f>V122+vertraging[[#This Row],[p]]*(1-V122)+vertraging[[#This Row],[q]]*V122*(1-V122)</f>
        <v>0.50800000000000001</v>
      </c>
      <c r="X122" s="126">
        <f>W122+vertraging[[#This Row],[p]]*(1-W122)+vertraging[[#This Row],[q]]*W122*(1-W122)</f>
        <v>0.61781439999999999</v>
      </c>
      <c r="Y122" s="126">
        <f>X122+vertraging[[#This Row],[p]]*(1-X122)+vertraging[[#This Row],[q]]*X122*(1-X122)</f>
        <v>0.71990601886105599</v>
      </c>
      <c r="Z122" s="126">
        <f>Y122+vertraging[[#This Row],[p]]*(1-Y122)+vertraging[[#This Row],[q]]*Y122*(1-Y122)</f>
        <v>0.80616443563130724</v>
      </c>
      <c r="AA122" s="126">
        <f>Z122+vertraging[[#This Row],[p]]*(1-Z122)+vertraging[[#This Row],[q]]*Z122*(1-Z122)</f>
        <v>0.87254648226050635</v>
      </c>
      <c r="AB122" s="126">
        <f>AA122+vertraging[[#This Row],[p]]*(1-AA122)+vertraging[[#This Row],[q]]*AA122*(1-AA122)</f>
        <v>0.9195792000374251</v>
      </c>
      <c r="AC122" s="126">
        <f>AB122+vertraging[[#This Row],[p]]*(1-AB122)+vertraging[[#This Row],[q]]*AB122*(1-AB122)</f>
        <v>0.95076893399505846</v>
      </c>
      <c r="AD122" s="126">
        <f>AC122+vertraging[[#This Row],[p]]*(1-AC122)+vertraging[[#This Row],[q]]*AC122*(1-AC122)</f>
        <v>0.97047650257314066</v>
      </c>
      <c r="AE122" s="126">
        <f>AD122+vertraging[[#This Row],[p]]*(1-AD122)+vertraging[[#This Row],[q]]*AD122*(1-AD122)</f>
        <v>0.98252771673229611</v>
      </c>
      <c r="AF122" s="126">
        <f>AE122+vertraging[[#This Row],[p]]*(1-AE122)+vertraging[[#This Row],[q]]*AE122*(1-AE122)</f>
        <v>0.98974396343169702</v>
      </c>
      <c r="AG122" s="126">
        <f>AF122+vertraging[[#This Row],[p]]*(1-AF122)+vertraging[[#This Row],[q]]*AF122*(1-AF122)</f>
        <v>0.99400942427594807</v>
      </c>
    </row>
    <row r="123" spans="1:33" x14ac:dyDescent="0.5">
      <c r="A123" s="30" t="str">
        <f>INDEX(Technologieën[Veld],MATCH(B123,Technologieën[Digitale zorgtoepassing],0))</f>
        <v>Sensoren - Behandeling</v>
      </c>
      <c r="B123" s="30" t="s">
        <v>53</v>
      </c>
      <c r="C123" s="30" t="s">
        <v>55</v>
      </c>
      <c r="D123" s="30" t="str" cm="1">
        <f t="array" ref="D123">INDEX(Berekening_patiëntaantal[Direct toepasbaar/extrapolatie/incidentie voor QALY],MATCH(B123,IF(Berekening_patiëntaantal[Doelgroep (zoeksleutel)]=C123,Berekening_patiëntaantal[Digitale zorgtoepassing]),0))</f>
        <v>Huidige toepassing</v>
      </c>
      <c r="E123" s="440" t="s">
        <v>813</v>
      </c>
      <c r="F123" s="30" t="str">
        <f>CONCATENATE(vertraging[[#This Row],[Digitale zorgtoepassing]],"_",vertraging[[#This Row],[Doelgroep]],"_",vertraging[[#This Row],[Uitgangssituatie/effect beleid]])</f>
        <v>Slimme pleisters_Knie_Uitgangssituatie</v>
      </c>
      <c r="G123" s="122" t="str">
        <f>INDEX(acceptatie_burgers[Impact afhankelijk van acceptatie burgers?],MATCH(B123,acceptatie_burgers[Digitale zorgtoepassing],0))</f>
        <v>Ja</v>
      </c>
      <c r="H123" s="441" cm="1">
        <f t="array" ref="H123">IF(vertraging[[#This Row],[Uitgangssituatie/effect beleid]]="Effect beleid",MAX(INDEX(aanname_implementatie[Coëfficient p],MATCH(B123,IF(aanname_implementatie[Doelgroep]=C123,aanname_implementatie[Digitale zorgtoepassing]),0))+SUMIFS(afslagen_beleid[Opslag p],afslagen_beleid[Impact afhankelijk van acceptatie burgers],vertraging[[#This Row],[Acceptatie burgers]]),0.01),INDEX(aanname_implementatie[Coëfficient p],MATCH(B123,IF(aanname_implementatie[Doelgroep]=C123,aanname_implementatie[Digitale zorgtoepassing]),0)))</f>
        <v>0.02</v>
      </c>
      <c r="I123" s="441" cm="1">
        <f t="array" ref="I123">IF(vertraging[[#This Row],[Uitgangssituatie/effect beleid]]="Effect beleid",MAX(INDEX(aanname_implementatie[Coëfficient q],MATCH(B123,IF(aanname_implementatie[Doelgroep]=C123,aanname_implementatie[Digitale zorgtoepassing]),0))+SUMIFS(afslagen_beleid[Opslag q],afslagen_beleid[Impact afhankelijk van acceptatie burgers],vertraging[[#This Row],[Acceptatie burgers]]),0.3),INDEX(aanname_implementatie[Coëfficient q],MATCH(B123,IF(aanname_implementatie[Doelgroep]=C123,aanname_implementatie[Digitale zorgtoepassing]),0)))</f>
        <v>0.4</v>
      </c>
      <c r="J123" s="17">
        <f>0</f>
        <v>0</v>
      </c>
      <c r="K123" s="17">
        <v>0</v>
      </c>
      <c r="L123" s="17">
        <v>0</v>
      </c>
      <c r="M123" s="17">
        <v>0</v>
      </c>
      <c r="N123" s="17">
        <v>0</v>
      </c>
      <c r="O123" s="17">
        <v>0</v>
      </c>
      <c r="P123" s="17">
        <v>0</v>
      </c>
      <c r="Q123" s="17">
        <v>0</v>
      </c>
      <c r="R123" s="17">
        <v>0</v>
      </c>
      <c r="S123" s="17">
        <v>0</v>
      </c>
      <c r="T123" s="17">
        <v>0</v>
      </c>
      <c r="U123" s="17">
        <v>0</v>
      </c>
      <c r="V123" s="124" cm="1">
        <f t="array" ref="V123">INDEX(aanname_implementatie[Huidige implementatiegraad],MATCH(B123,IF(aanname_implementatie[Doelgroep]=C123,aanname_implementatie[Digitale zorgtoepassing]),0))</f>
        <v>0.4</v>
      </c>
      <c r="W123" s="126">
        <f>V123+vertraging[[#This Row],[p]]*(1-V123)+vertraging[[#This Row],[q]]*V123*(1-V123)</f>
        <v>0.50800000000000001</v>
      </c>
      <c r="X123" s="126">
        <f>W123+vertraging[[#This Row],[p]]*(1-W123)+vertraging[[#This Row],[q]]*W123*(1-W123)</f>
        <v>0.61781439999999999</v>
      </c>
      <c r="Y123" s="126">
        <f>X123+vertraging[[#This Row],[p]]*(1-X123)+vertraging[[#This Row],[q]]*X123*(1-X123)</f>
        <v>0.71990601886105599</v>
      </c>
      <c r="Z123" s="126">
        <f>Y123+vertraging[[#This Row],[p]]*(1-Y123)+vertraging[[#This Row],[q]]*Y123*(1-Y123)</f>
        <v>0.80616443563130724</v>
      </c>
      <c r="AA123" s="126">
        <f>Z123+vertraging[[#This Row],[p]]*(1-Z123)+vertraging[[#This Row],[q]]*Z123*(1-Z123)</f>
        <v>0.87254648226050635</v>
      </c>
      <c r="AB123" s="126">
        <f>AA123+vertraging[[#This Row],[p]]*(1-AA123)+vertraging[[#This Row],[q]]*AA123*(1-AA123)</f>
        <v>0.9195792000374251</v>
      </c>
      <c r="AC123" s="126">
        <f>AB123+vertraging[[#This Row],[p]]*(1-AB123)+vertraging[[#This Row],[q]]*AB123*(1-AB123)</f>
        <v>0.95076893399505846</v>
      </c>
      <c r="AD123" s="126">
        <f>AC123+vertraging[[#This Row],[p]]*(1-AC123)+vertraging[[#This Row],[q]]*AC123*(1-AC123)</f>
        <v>0.97047650257314066</v>
      </c>
      <c r="AE123" s="126">
        <f>AD123+vertraging[[#This Row],[p]]*(1-AD123)+vertraging[[#This Row],[q]]*AD123*(1-AD123)</f>
        <v>0.98252771673229611</v>
      </c>
      <c r="AF123" s="126">
        <f>AE123+vertraging[[#This Row],[p]]*(1-AE123)+vertraging[[#This Row],[q]]*AE123*(1-AE123)</f>
        <v>0.98974396343169702</v>
      </c>
      <c r="AG123" s="126">
        <f>AF123+vertraging[[#This Row],[p]]*(1-AF123)+vertraging[[#This Row],[q]]*AF123*(1-AF123)</f>
        <v>0.99400942427594807</v>
      </c>
    </row>
    <row r="124" spans="1:33" x14ac:dyDescent="0.5">
      <c r="A124" s="30" t="str">
        <f>INDEX(Technologieën[Veld],MATCH(B124,Technologieën[Digitale zorgtoepassing],0))</f>
        <v>Sensoren - Behandeling</v>
      </c>
      <c r="B124" s="30" t="s">
        <v>53</v>
      </c>
      <c r="C124" s="30" t="s">
        <v>722</v>
      </c>
      <c r="D124" s="30" t="str" cm="1">
        <f t="array" ref="D124">INDEX(Berekening_patiëntaantal[Direct toepasbaar/extrapolatie/incidentie voor QALY],MATCH(B124,IF(Berekening_patiëntaantal[Doelgroep (zoeksleutel)]=C124,Berekening_patiëntaantal[Digitale zorgtoepassing]),0))</f>
        <v>Extrapolatie</v>
      </c>
      <c r="E124" s="440" t="s">
        <v>813</v>
      </c>
      <c r="F124" s="30" t="str">
        <f>CONCATENATE(vertraging[[#This Row],[Digitale zorgtoepassing]],"_",vertraging[[#This Row],[Doelgroep]],"_",vertraging[[#This Row],[Uitgangssituatie/effect beleid]])</f>
        <v>Slimme pleisters_Overige_aandoeningen_Uitgangssituatie</v>
      </c>
      <c r="G124" s="122" t="str">
        <f>INDEX(acceptatie_burgers[Impact afhankelijk van acceptatie burgers?],MATCH(B124,acceptatie_burgers[Digitale zorgtoepassing],0))</f>
        <v>Ja</v>
      </c>
      <c r="H124" s="441" cm="1">
        <f t="array" ref="H124">IF(vertraging[[#This Row],[Uitgangssituatie/effect beleid]]="Effect beleid",MAX(INDEX(aanname_implementatie[Coëfficient p],MATCH(B124,IF(aanname_implementatie[Doelgroep]=C124,aanname_implementatie[Digitale zorgtoepassing]),0))+SUMIFS(afslagen_beleid[Opslag p],afslagen_beleid[Impact afhankelijk van acceptatie burgers],vertraging[[#This Row],[Acceptatie burgers]]),0.01),INDEX(aanname_implementatie[Coëfficient p],MATCH(B124,IF(aanname_implementatie[Doelgroep]=C124,aanname_implementatie[Digitale zorgtoepassing]),0)))</f>
        <v>0.02</v>
      </c>
      <c r="I124" s="441" cm="1">
        <f t="array" ref="I124">IF(vertraging[[#This Row],[Uitgangssituatie/effect beleid]]="Effect beleid",MAX(INDEX(aanname_implementatie[Coëfficient q],MATCH(B124,IF(aanname_implementatie[Doelgroep]=C124,aanname_implementatie[Digitale zorgtoepassing]),0))+SUMIFS(afslagen_beleid[Opslag q],afslagen_beleid[Impact afhankelijk van acceptatie burgers],vertraging[[#This Row],[Acceptatie burgers]]),0.3),INDEX(aanname_implementatie[Coëfficient q],MATCH(B124,IF(aanname_implementatie[Doelgroep]=C124,aanname_implementatie[Digitale zorgtoepassing]),0)))</f>
        <v>0.4</v>
      </c>
      <c r="J124" s="17">
        <f>0</f>
        <v>0</v>
      </c>
      <c r="K124" s="17">
        <v>0</v>
      </c>
      <c r="L124" s="17">
        <v>0</v>
      </c>
      <c r="M124" s="17">
        <v>0</v>
      </c>
      <c r="N124" s="17">
        <v>0</v>
      </c>
      <c r="O124" s="17">
        <v>0</v>
      </c>
      <c r="P124" s="17">
        <v>0</v>
      </c>
      <c r="Q124" s="17">
        <v>0</v>
      </c>
      <c r="R124" s="17">
        <v>0</v>
      </c>
      <c r="S124" s="17">
        <v>0</v>
      </c>
      <c r="T124" s="17">
        <v>0</v>
      </c>
      <c r="U124" s="17">
        <v>0</v>
      </c>
      <c r="V124" s="124" cm="1">
        <f t="array" ref="V124">INDEX(aanname_implementatie[Huidige implementatiegraad],MATCH(B124,IF(aanname_implementatie[Doelgroep]=C124,aanname_implementatie[Digitale zorgtoepassing]),0))</f>
        <v>0</v>
      </c>
      <c r="W124" s="126">
        <f>V124+vertraging[[#This Row],[p]]*(1-V124)+vertraging[[#This Row],[q]]*V124*(1-V124)</f>
        <v>0.02</v>
      </c>
      <c r="X124" s="126">
        <f>W124+vertraging[[#This Row],[p]]*(1-W124)+vertraging[[#This Row],[q]]*W124*(1-W124)</f>
        <v>4.7439999999999996E-2</v>
      </c>
      <c r="Y124" s="126">
        <f>X124+vertraging[[#This Row],[p]]*(1-X124)+vertraging[[#This Row],[q]]*X124*(1-X124)</f>
        <v>8.4566978560000006E-2</v>
      </c>
      <c r="Z124" s="126">
        <f>Y124+vertraging[[#This Row],[p]]*(1-Y124)+vertraging[[#This Row],[q]]*Y124*(1-Y124)</f>
        <v>0.13384180086769301</v>
      </c>
      <c r="AA124" s="126">
        <f>Z124+vertraging[[#This Row],[p]]*(1-Z124)+vertraging[[#This Row],[q]]*Z124*(1-Z124)</f>
        <v>0.19753623413361349</v>
      </c>
      <c r="AB124" s="126">
        <f>AA124+vertraging[[#This Row],[p]]*(1-AA124)+vertraging[[#This Row],[q]]*AA124*(1-AA124)</f>
        <v>0.27699177758611071</v>
      </c>
      <c r="AC124" s="126">
        <f>AB124+vertraging[[#This Row],[p]]*(1-AB124)+vertraging[[#This Row],[q]]*AB124*(1-AB124)</f>
        <v>0.37155887512870744</v>
      </c>
      <c r="AD124" s="126">
        <f>AC124+vertraging[[#This Row],[p]]*(1-AC124)+vertraging[[#This Row],[q]]*AC124*(1-AC124)</f>
        <v>0.47752884860285211</v>
      </c>
      <c r="AE124" s="126">
        <f>AD124+vertraging[[#This Row],[p]]*(1-AD124)+vertraging[[#This Row],[q]]*AD124*(1-AD124)</f>
        <v>0.5877762905727496</v>
      </c>
      <c r="AF124" s="126">
        <f>AE124+vertraging[[#This Row],[p]]*(1-AE124)+vertraging[[#This Row],[q]]*AE124*(1-AE124)</f>
        <v>0.6929388938866099</v>
      </c>
      <c r="AG124" s="126">
        <f>AF124+vertraging[[#This Row],[p]]*(1-AF124)+vertraging[[#This Row],[q]]*AF124*(1-AF124)</f>
        <v>0.78418994929920227</v>
      </c>
    </row>
    <row r="125" spans="1:33" x14ac:dyDescent="0.5">
      <c r="A125" s="30" t="str">
        <f>INDEX(Technologieën[Veld],MATCH(B125,Technologieën[Digitale zorgtoepassing],0))</f>
        <v>Software - Behandeling</v>
      </c>
      <c r="B125" s="30" t="s">
        <v>101</v>
      </c>
      <c r="C125" s="30" t="s">
        <v>83</v>
      </c>
      <c r="D125" s="30" t="str" cm="1">
        <f t="array" ref="D125">INDEX(Berekening_patiëntaantal[Direct toepasbaar/extrapolatie/incidentie voor QALY],MATCH(B125,IF(Berekening_patiëntaantal[Doelgroep (zoeksleutel)]=C125,Berekening_patiëntaantal[Digitale zorgtoepassing]),0))</f>
        <v>Huidige toepassing</v>
      </c>
      <c r="E125" s="440" t="s">
        <v>813</v>
      </c>
      <c r="F125" s="30" t="str">
        <f>CONCATENATE(vertraging[[#This Row],[Digitale zorgtoepassing]],"_",vertraging[[#This Row],[Doelgroep]],"_",vertraging[[#This Row],[Uitgangssituatie/effect beleid]])</f>
        <v>Spraak automatisch vastleggen_Verpleeghuis_Uitgangssituatie</v>
      </c>
      <c r="G125" s="122" t="str">
        <f>INDEX(acceptatie_burgers[Impact afhankelijk van acceptatie burgers?],MATCH(B125,acceptatie_burgers[Digitale zorgtoepassing],0))</f>
        <v>Nee</v>
      </c>
      <c r="H125" s="441" cm="1">
        <f t="array" ref="H125">IF(vertraging[[#This Row],[Uitgangssituatie/effect beleid]]="Effect beleid",MAX(INDEX(aanname_implementatie[Coëfficient p],MATCH(B125,IF(aanname_implementatie[Doelgroep]=C125,aanname_implementatie[Digitale zorgtoepassing]),0))+SUMIFS(afslagen_beleid[Opslag p],afslagen_beleid[Impact afhankelijk van acceptatie burgers],vertraging[[#This Row],[Acceptatie burgers]]),0.01),INDEX(aanname_implementatie[Coëfficient p],MATCH(B125,IF(aanname_implementatie[Doelgroep]=C125,aanname_implementatie[Digitale zorgtoepassing]),0)))</f>
        <v>0.01</v>
      </c>
      <c r="I125" s="441" cm="1">
        <f t="array" ref="I125">IF(vertraging[[#This Row],[Uitgangssituatie/effect beleid]]="Effect beleid",MAX(INDEX(aanname_implementatie[Coëfficient q],MATCH(B125,IF(aanname_implementatie[Doelgroep]=C125,aanname_implementatie[Digitale zorgtoepassing]),0))+SUMIFS(afslagen_beleid[Opslag q],afslagen_beleid[Impact afhankelijk van acceptatie burgers],vertraging[[#This Row],[Acceptatie burgers]]),0.3),INDEX(aanname_implementatie[Coëfficient q],MATCH(B125,IF(aanname_implementatie[Doelgroep]=C125,aanname_implementatie[Digitale zorgtoepassing]),0)))</f>
        <v>0.3</v>
      </c>
      <c r="J125" s="17">
        <f>0</f>
        <v>0</v>
      </c>
      <c r="K125" s="17">
        <v>0</v>
      </c>
      <c r="L125" s="17">
        <v>0</v>
      </c>
      <c r="M125" s="17">
        <v>0</v>
      </c>
      <c r="N125" s="17">
        <v>0</v>
      </c>
      <c r="O125" s="17">
        <v>0</v>
      </c>
      <c r="P125" s="17">
        <v>0</v>
      </c>
      <c r="Q125" s="17">
        <v>0</v>
      </c>
      <c r="R125" s="17">
        <v>0</v>
      </c>
      <c r="S125" s="17">
        <v>0</v>
      </c>
      <c r="T125" s="17">
        <v>0</v>
      </c>
      <c r="U125" s="17">
        <v>0</v>
      </c>
      <c r="V125" s="124" cm="1">
        <f t="array" ref="V125">INDEX(aanname_implementatie[Huidige implementatiegraad],MATCH(B125,IF(aanname_implementatie[Doelgroep]=C125,aanname_implementatie[Digitale zorgtoepassing]),0))</f>
        <v>0.2</v>
      </c>
      <c r="W125" s="126">
        <f>V125+vertraging[[#This Row],[p]]*(1-V125)+vertraging[[#This Row],[q]]*V125*(1-V125)</f>
        <v>0.25600000000000001</v>
      </c>
      <c r="X125" s="126">
        <f>W125+vertraging[[#This Row],[p]]*(1-W125)+vertraging[[#This Row],[q]]*W125*(1-W125)</f>
        <v>0.32057920000000001</v>
      </c>
      <c r="Y125" s="126">
        <f>X125+vertraging[[#This Row],[p]]*(1-X125)+vertraging[[#This Row],[q]]*X125*(1-X125)</f>
        <v>0.39271586095820804</v>
      </c>
      <c r="Z125" s="126">
        <f>Y125+vertraging[[#This Row],[p]]*(1-Y125)+vertraging[[#This Row],[q]]*Y125*(1-Y125)</f>
        <v>0.47033573640164439</v>
      </c>
      <c r="AA125" s="126">
        <f>Z125+vertraging[[#This Row],[p]]*(1-Z125)+vertraging[[#This Row],[q]]*Z125*(1-Z125)</f>
        <v>0.55036838847717817</v>
      </c>
      <c r="AB125" s="126">
        <f>AA125+vertraging[[#This Row],[p]]*(1-AA125)+vertraging[[#This Row],[q]]*AA125*(1-AA125)</f>
        <v>0.62910361222507005</v>
      </c>
      <c r="AC125" s="126">
        <f>AB125+vertraging[[#This Row],[p]]*(1-AB125)+vertraging[[#This Row],[q]]*AB125*(1-AB125)</f>
        <v>0.70281225329595098</v>
      </c>
      <c r="AD125" s="126">
        <f>AC125+vertraging[[#This Row],[p]]*(1-AC125)+vertraging[[#This Row],[q]]*AC125*(1-AC125)</f>
        <v>0.76844428773689721</v>
      </c>
      <c r="AE125" s="126">
        <f>AD125+vertraging[[#This Row],[p]]*(1-AD125)+vertraging[[#This Row],[q]]*AD125*(1-AD125)</f>
        <v>0.82414114417395723</v>
      </c>
      <c r="AF125" s="126">
        <f>AE125+vertraging[[#This Row],[p]]*(1-AE125)+vertraging[[#This Row],[q]]*AE125*(1-AE125)</f>
        <v>0.86937948832829703</v>
      </c>
      <c r="AG125" s="126">
        <f>AF125+vertraging[[#This Row],[p]]*(1-AF125)+vertraging[[#This Row],[q]]*AF125*(1-AF125)</f>
        <v>0.90475333152571169</v>
      </c>
    </row>
    <row r="126" spans="1:33" x14ac:dyDescent="0.5">
      <c r="A126" s="30" t="str">
        <f>INDEX(Technologieën[Veld],MATCH(B126,Technologieën[Digitale zorgtoepassing],0))</f>
        <v>Software - Behandeling</v>
      </c>
      <c r="B126" s="30" t="s">
        <v>101</v>
      </c>
      <c r="C126" s="30" t="s">
        <v>84</v>
      </c>
      <c r="D126" s="30" t="str" cm="1">
        <f t="array" ref="D126">INDEX(Berekening_patiëntaantal[Direct toepasbaar/extrapolatie/incidentie voor QALY],MATCH(B126,IF(Berekening_patiëntaantal[Doelgroep (zoeksleutel)]=C126,Berekening_patiëntaantal[Digitale zorgtoepassing]),0))</f>
        <v>Huidige toepassing</v>
      </c>
      <c r="E126" s="440" t="s">
        <v>813</v>
      </c>
      <c r="F126" s="30" t="str">
        <f>CONCATENATE(vertraging[[#This Row],[Digitale zorgtoepassing]],"_",vertraging[[#This Row],[Doelgroep]],"_",vertraging[[#This Row],[Uitgangssituatie/effect beleid]])</f>
        <v>Spraak automatisch vastleggen_Wijkverpleging_Uitgangssituatie</v>
      </c>
      <c r="G126" s="122" t="str">
        <f>INDEX(acceptatie_burgers[Impact afhankelijk van acceptatie burgers?],MATCH(B126,acceptatie_burgers[Digitale zorgtoepassing],0))</f>
        <v>Nee</v>
      </c>
      <c r="H126" s="441" cm="1">
        <f t="array" ref="H126">IF(vertraging[[#This Row],[Uitgangssituatie/effect beleid]]="Effect beleid",MAX(INDEX(aanname_implementatie[Coëfficient p],MATCH(B126,IF(aanname_implementatie[Doelgroep]=C126,aanname_implementatie[Digitale zorgtoepassing]),0))+SUMIFS(afslagen_beleid[Opslag p],afslagen_beleid[Impact afhankelijk van acceptatie burgers],vertraging[[#This Row],[Acceptatie burgers]]),0.01),INDEX(aanname_implementatie[Coëfficient p],MATCH(B126,IF(aanname_implementatie[Doelgroep]=C126,aanname_implementatie[Digitale zorgtoepassing]),0)))</f>
        <v>0.01</v>
      </c>
      <c r="I126" s="441" cm="1">
        <f t="array" ref="I126">IF(vertraging[[#This Row],[Uitgangssituatie/effect beleid]]="Effect beleid",MAX(INDEX(aanname_implementatie[Coëfficient q],MATCH(B126,IF(aanname_implementatie[Doelgroep]=C126,aanname_implementatie[Digitale zorgtoepassing]),0))+SUMIFS(afslagen_beleid[Opslag q],afslagen_beleid[Impact afhankelijk van acceptatie burgers],vertraging[[#This Row],[Acceptatie burgers]]),0.3),INDEX(aanname_implementatie[Coëfficient q],MATCH(B126,IF(aanname_implementatie[Doelgroep]=C126,aanname_implementatie[Digitale zorgtoepassing]),0)))</f>
        <v>0.3</v>
      </c>
      <c r="J126" s="17">
        <f>0</f>
        <v>0</v>
      </c>
      <c r="K126" s="17">
        <v>0</v>
      </c>
      <c r="L126" s="17">
        <v>0</v>
      </c>
      <c r="M126" s="17">
        <v>0</v>
      </c>
      <c r="N126" s="17">
        <v>0</v>
      </c>
      <c r="O126" s="17">
        <v>0</v>
      </c>
      <c r="P126" s="17">
        <v>0</v>
      </c>
      <c r="Q126" s="17">
        <v>0</v>
      </c>
      <c r="R126" s="17">
        <v>0</v>
      </c>
      <c r="S126" s="17">
        <v>0</v>
      </c>
      <c r="T126" s="17">
        <v>0</v>
      </c>
      <c r="U126" s="17">
        <v>0</v>
      </c>
      <c r="V126" s="124" cm="1">
        <f t="array" ref="V126">INDEX(aanname_implementatie[Huidige implementatiegraad],MATCH(B126,IF(aanname_implementatie[Doelgroep]=C126,aanname_implementatie[Digitale zorgtoepassing]),0))</f>
        <v>0.2</v>
      </c>
      <c r="W126" s="126">
        <f>V126+vertraging[[#This Row],[p]]*(1-V126)+vertraging[[#This Row],[q]]*V126*(1-V126)</f>
        <v>0.25600000000000001</v>
      </c>
      <c r="X126" s="126">
        <f>W126+vertraging[[#This Row],[p]]*(1-W126)+vertraging[[#This Row],[q]]*W126*(1-W126)</f>
        <v>0.32057920000000001</v>
      </c>
      <c r="Y126" s="126">
        <f>X126+vertraging[[#This Row],[p]]*(1-X126)+vertraging[[#This Row],[q]]*X126*(1-X126)</f>
        <v>0.39271586095820804</v>
      </c>
      <c r="Z126" s="126">
        <f>Y126+vertraging[[#This Row],[p]]*(1-Y126)+vertraging[[#This Row],[q]]*Y126*(1-Y126)</f>
        <v>0.47033573640164439</v>
      </c>
      <c r="AA126" s="126">
        <f>Z126+vertraging[[#This Row],[p]]*(1-Z126)+vertraging[[#This Row],[q]]*Z126*(1-Z126)</f>
        <v>0.55036838847717817</v>
      </c>
      <c r="AB126" s="126">
        <f>AA126+vertraging[[#This Row],[p]]*(1-AA126)+vertraging[[#This Row],[q]]*AA126*(1-AA126)</f>
        <v>0.62910361222507005</v>
      </c>
      <c r="AC126" s="126">
        <f>AB126+vertraging[[#This Row],[p]]*(1-AB126)+vertraging[[#This Row],[q]]*AB126*(1-AB126)</f>
        <v>0.70281225329595098</v>
      </c>
      <c r="AD126" s="126">
        <f>AC126+vertraging[[#This Row],[p]]*(1-AC126)+vertraging[[#This Row],[q]]*AC126*(1-AC126)</f>
        <v>0.76844428773689721</v>
      </c>
      <c r="AE126" s="126">
        <f>AD126+vertraging[[#This Row],[p]]*(1-AD126)+vertraging[[#This Row],[q]]*AD126*(1-AD126)</f>
        <v>0.82414114417395723</v>
      </c>
      <c r="AF126" s="126">
        <f>AE126+vertraging[[#This Row],[p]]*(1-AE126)+vertraging[[#This Row],[q]]*AE126*(1-AE126)</f>
        <v>0.86937948832829703</v>
      </c>
      <c r="AG126" s="126">
        <f>AF126+vertraging[[#This Row],[p]]*(1-AF126)+vertraging[[#This Row],[q]]*AF126*(1-AF126)</f>
        <v>0.90475333152571169</v>
      </c>
    </row>
    <row r="127" spans="1:33" x14ac:dyDescent="0.5">
      <c r="A127" s="30" t="str">
        <f>INDEX(Technologieën[Veld],MATCH(B127,Technologieën[Digitale zorgtoepassing],0))</f>
        <v>Digitale hulpmiddelen - Verpleging</v>
      </c>
      <c r="B127" s="30" t="s">
        <v>48</v>
      </c>
      <c r="C127" s="30" t="s">
        <v>49</v>
      </c>
      <c r="D127" s="30" t="str" cm="1">
        <f t="array" ref="D127">INDEX(Berekening_patiëntaantal[Direct toepasbaar/extrapolatie/incidentie voor QALY],MATCH(B127,IF(Berekening_patiëntaantal[Doelgroep (zoeksleutel)]=C127,Berekening_patiëntaantal[Digitale zorgtoepassing]),0))</f>
        <v>Huidige toepassing</v>
      </c>
      <c r="E127" s="440" t="s">
        <v>813</v>
      </c>
      <c r="F127" s="30" t="str">
        <f>CONCATENATE(vertraging[[#This Row],[Digitale zorgtoepassing]],"_",vertraging[[#This Row],[Doelgroep]],"_",vertraging[[#This Row],[Uitgangssituatie/effect beleid]])</f>
        <v>Steunkousen technologie_Steunkousen_Uitgangssituatie</v>
      </c>
      <c r="G127" s="122" t="str">
        <f>INDEX(acceptatie_burgers[Impact afhankelijk van acceptatie burgers?],MATCH(B127,acceptatie_burgers[Digitale zorgtoepassing],0))</f>
        <v>Nee</v>
      </c>
      <c r="H127" s="441" cm="1">
        <f t="array" ref="H127">IF(vertraging[[#This Row],[Uitgangssituatie/effect beleid]]="Effect beleid",MAX(INDEX(aanname_implementatie[Coëfficient p],MATCH(B127,IF(aanname_implementatie[Doelgroep]=C127,aanname_implementatie[Digitale zorgtoepassing]),0))+SUMIFS(afslagen_beleid[Opslag p],afslagen_beleid[Impact afhankelijk van acceptatie burgers],vertraging[[#This Row],[Acceptatie burgers]]),0.01),INDEX(aanname_implementatie[Coëfficient p],MATCH(B127,IF(aanname_implementatie[Doelgroep]=C127,aanname_implementatie[Digitale zorgtoepassing]),0)))</f>
        <v>2.5000000000000001E-2</v>
      </c>
      <c r="I127" s="441" cm="1">
        <f t="array" ref="I127">IF(vertraging[[#This Row],[Uitgangssituatie/effect beleid]]="Effect beleid",MAX(INDEX(aanname_implementatie[Coëfficient q],MATCH(B127,IF(aanname_implementatie[Doelgroep]=C127,aanname_implementatie[Digitale zorgtoepassing]),0))+SUMIFS(afslagen_beleid[Opslag q],afslagen_beleid[Impact afhankelijk van acceptatie burgers],vertraging[[#This Row],[Acceptatie burgers]]),0.3),INDEX(aanname_implementatie[Coëfficient q],MATCH(B127,IF(aanname_implementatie[Doelgroep]=C127,aanname_implementatie[Digitale zorgtoepassing]),0)))</f>
        <v>0.45</v>
      </c>
      <c r="J127" s="17">
        <f>0</f>
        <v>0</v>
      </c>
      <c r="K127" s="17">
        <v>0</v>
      </c>
      <c r="L127" s="17">
        <v>0</v>
      </c>
      <c r="M127" s="17">
        <v>0</v>
      </c>
      <c r="N127" s="17">
        <v>0</v>
      </c>
      <c r="O127" s="17">
        <v>0</v>
      </c>
      <c r="P127" s="17">
        <v>0</v>
      </c>
      <c r="Q127" s="17">
        <v>0</v>
      </c>
      <c r="R127" s="17">
        <v>0</v>
      </c>
      <c r="S127" s="17">
        <v>0</v>
      </c>
      <c r="T127" s="17">
        <v>0</v>
      </c>
      <c r="U127" s="17">
        <v>0</v>
      </c>
      <c r="V127" s="124" cm="1">
        <f t="array" ref="V127">INDEX(aanname_implementatie[Huidige implementatiegraad],MATCH(B127,IF(aanname_implementatie[Doelgroep]=C127,aanname_implementatie[Digitale zorgtoepassing]),0))</f>
        <v>0.2</v>
      </c>
      <c r="W127" s="126">
        <f>V127+vertraging[[#This Row],[p]]*(1-V127)+vertraging[[#This Row],[q]]*V127*(1-V127)</f>
        <v>0.29200000000000004</v>
      </c>
      <c r="X127" s="126">
        <f>W127+vertraging[[#This Row],[p]]*(1-W127)+vertraging[[#This Row],[q]]*W127*(1-W127)</f>
        <v>0.40273120000000007</v>
      </c>
      <c r="Y127" s="126">
        <f>X127+vertraging[[#This Row],[p]]*(1-X127)+vertraging[[#This Row],[q]]*X127*(1-X127)</f>
        <v>0.52590537124595205</v>
      </c>
      <c r="Z127" s="126">
        <f>Y127+vertraging[[#This Row],[p]]*(1-Y127)+vertraging[[#This Row],[q]]*Y127*(1-Y127)</f>
        <v>0.64995574724807748</v>
      </c>
      <c r="AA127" s="126">
        <f>Z127+vertraging[[#This Row],[p]]*(1-Z127)+vertraging[[#This Row],[q]]*Z127*(1-Z127)</f>
        <v>0.76108782680714737</v>
      </c>
      <c r="AB127" s="126">
        <f>AA127+vertraging[[#This Row],[p]]*(1-AA127)+vertraging[[#This Row],[q]]*AA127*(1-AA127)</f>
        <v>0.8488855471488731</v>
      </c>
      <c r="AC127" s="126">
        <f>AB127+vertraging[[#This Row],[p]]*(1-AB127)+vertraging[[#This Row],[q]]*AB127*(1-AB127)</f>
        <v>0.91038890221593549</v>
      </c>
      <c r="AD127" s="126">
        <f>AC127+vertraging[[#This Row],[p]]*(1-AC127)+vertraging[[#This Row],[q]]*AC127*(1-AC127)</f>
        <v>0.94934060668263687</v>
      </c>
      <c r="AE127" s="126">
        <f>AD127+vertraging[[#This Row],[p]]*(1-AD127)+vertraging[[#This Row],[q]]*AD127*(1-AD127)</f>
        <v>0.9722489501493069</v>
      </c>
      <c r="AF127" s="126">
        <f>AE127+vertraging[[#This Row],[p]]*(1-AE127)+vertraging[[#This Row],[q]]*AE127*(1-AE127)</f>
        <v>0.98508414448286907</v>
      </c>
      <c r="AG127" s="126">
        <f>AF127+vertraging[[#This Row],[p]]*(1-AF127)+vertraging[[#This Row],[q]]*AF127*(1-AF127)</f>
        <v>0.99206905861789263</v>
      </c>
    </row>
    <row r="128" spans="1:33" x14ac:dyDescent="0.5">
      <c r="A128" s="30" t="str">
        <f>INDEX(Technologieën[Veld],MATCH(B128,Technologieën[Digitale zorgtoepassing],0))</f>
        <v>Digitale hulpmiddelen - Verpleging</v>
      </c>
      <c r="B128" s="30" t="s">
        <v>19</v>
      </c>
      <c r="C128" s="30" t="s">
        <v>24</v>
      </c>
      <c r="D128" s="30" t="str" cm="1">
        <f t="array" ref="D128">INDEX(Berekening_patiëntaantal[Direct toepasbaar/extrapolatie/incidentie voor QALY],MATCH(B128,IF(Berekening_patiëntaantal[Doelgroep (zoeksleutel)]=C128,Berekening_patiëntaantal[Digitale zorgtoepassing]),0))</f>
        <v>Huidige toepassing</v>
      </c>
      <c r="E128" s="440" t="s">
        <v>813</v>
      </c>
      <c r="F128" s="30" t="str">
        <f>CONCATENATE(vertraging[[#This Row],[Digitale zorgtoepassing]],"_",vertraging[[#This Row],[Doelgroep]],"_",vertraging[[#This Row],[Uitgangssituatie/effect beleid]])</f>
        <v>Structuurrobot_Cognitieve beperking_Uitgangssituatie</v>
      </c>
      <c r="G128" s="122" t="str">
        <f>INDEX(acceptatie_burgers[Impact afhankelijk van acceptatie burgers?],MATCH(B128,acceptatie_burgers[Digitale zorgtoepassing],0))</f>
        <v>Ja</v>
      </c>
      <c r="H128" s="441" cm="1">
        <f t="array" ref="H128">IF(vertraging[[#This Row],[Uitgangssituatie/effect beleid]]="Effect beleid",MAX(INDEX(aanname_implementatie[Coëfficient p],MATCH(B128,IF(aanname_implementatie[Doelgroep]=C128,aanname_implementatie[Digitale zorgtoepassing]),0))+SUMIFS(afslagen_beleid[Opslag p],afslagen_beleid[Impact afhankelijk van acceptatie burgers],vertraging[[#This Row],[Acceptatie burgers]]),0.01),INDEX(aanname_implementatie[Coëfficient p],MATCH(B128,IF(aanname_implementatie[Doelgroep]=C128,aanname_implementatie[Digitale zorgtoepassing]),0)))</f>
        <v>0.02</v>
      </c>
      <c r="I128" s="441" cm="1">
        <f t="array" ref="I128">IF(vertraging[[#This Row],[Uitgangssituatie/effect beleid]]="Effect beleid",MAX(INDEX(aanname_implementatie[Coëfficient q],MATCH(B128,IF(aanname_implementatie[Doelgroep]=C128,aanname_implementatie[Digitale zorgtoepassing]),0))+SUMIFS(afslagen_beleid[Opslag q],afslagen_beleid[Impact afhankelijk van acceptatie burgers],vertraging[[#This Row],[Acceptatie burgers]]),0.3),INDEX(aanname_implementatie[Coëfficient q],MATCH(B128,IF(aanname_implementatie[Doelgroep]=C128,aanname_implementatie[Digitale zorgtoepassing]),0)))</f>
        <v>0.4</v>
      </c>
      <c r="J128" s="17">
        <f>0</f>
        <v>0</v>
      </c>
      <c r="K128" s="17">
        <v>0</v>
      </c>
      <c r="L128" s="17">
        <v>0</v>
      </c>
      <c r="M128" s="17">
        <v>0</v>
      </c>
      <c r="N128" s="17">
        <v>0</v>
      </c>
      <c r="O128" s="17">
        <v>0</v>
      </c>
      <c r="P128" s="17">
        <v>0</v>
      </c>
      <c r="Q128" s="17">
        <v>0</v>
      </c>
      <c r="R128" s="17">
        <v>0</v>
      </c>
      <c r="S128" s="17">
        <v>0</v>
      </c>
      <c r="T128" s="17">
        <v>0</v>
      </c>
      <c r="U128" s="17">
        <v>0</v>
      </c>
      <c r="V128" s="124" cm="1">
        <f t="array" ref="V128">INDEX(aanname_implementatie[Huidige implementatiegraad],MATCH(B128,IF(aanname_implementatie[Doelgroep]=C128,aanname_implementatie[Digitale zorgtoepassing]),0))</f>
        <v>0.2</v>
      </c>
      <c r="W128" s="126">
        <f>V128+vertraging[[#This Row],[p]]*(1-V128)+vertraging[[#This Row],[q]]*V128*(1-V128)</f>
        <v>0.28000000000000003</v>
      </c>
      <c r="X128" s="126">
        <f>W128+vertraging[[#This Row],[p]]*(1-W128)+vertraging[[#This Row],[q]]*W128*(1-W128)</f>
        <v>0.37504000000000004</v>
      </c>
      <c r="Y128" s="126">
        <f>X128+vertraging[[#This Row],[p]]*(1-X128)+vertraging[[#This Row],[q]]*X128*(1-X128)</f>
        <v>0.48129319936000003</v>
      </c>
      <c r="Z128" s="126">
        <f>Y128+vertraging[[#This Row],[p]]*(1-Y128)+vertraging[[#This Row],[q]]*Y128*(1-Y128)</f>
        <v>0.59152735761672615</v>
      </c>
      <c r="AA128" s="126">
        <f>Z128+vertraging[[#This Row],[p]]*(1-Z128)+vertraging[[#This Row],[q]]*Z128*(1-Z128)</f>
        <v>0.69634590758747161</v>
      </c>
      <c r="AB128" s="126">
        <f>AA128+vertraging[[#This Row],[p]]*(1-AA128)+vertraging[[#This Row],[q]]*AA128*(1-AA128)</f>
        <v>0.78699830326518305</v>
      </c>
      <c r="AC128" s="126">
        <f>AB128+vertraging[[#This Row],[p]]*(1-AB128)+vertraging[[#This Row],[q]]*AB128*(1-AB128)</f>
        <v>0.85831112676904175</v>
      </c>
      <c r="AD128" s="126">
        <f>AC128+vertraging[[#This Row],[p]]*(1-AC128)+vertraging[[#This Row],[q]]*AC128*(1-AC128)</f>
        <v>0.90979015880706082</v>
      </c>
      <c r="AE128" s="126">
        <f>AD128+vertraging[[#This Row],[p]]*(1-AD128)+vertraging[[#This Row],[q]]*AD128*(1-AD128)</f>
        <v>0.94442316592887321</v>
      </c>
      <c r="AF128" s="126">
        <f>AE128+vertraging[[#This Row],[p]]*(1-AE128)+vertraging[[#This Row],[q]]*AE128*(1-AE128)</f>
        <v>0.96652992244459857</v>
      </c>
      <c r="AG128" s="126">
        <f>AF128+vertraging[[#This Row],[p]]*(1-AF128)+vertraging[[#This Row],[q]]*AF128*(1-AF128)</f>
        <v>0.98013925658124135</v>
      </c>
    </row>
    <row r="129" spans="1:33" x14ac:dyDescent="0.5">
      <c r="A129" s="30" t="str">
        <f>INDEX(Technologieën[Veld],MATCH(B129,Technologieën[Digitale zorgtoepassing],0))</f>
        <v>Digitale hulpmiddelen - Verpleging</v>
      </c>
      <c r="B129" s="30" t="s">
        <v>19</v>
      </c>
      <c r="C129" s="30" t="s">
        <v>20</v>
      </c>
      <c r="D129" s="30" t="str" cm="1">
        <f t="array" ref="D129">INDEX(Berekening_patiëntaantal[Direct toepasbaar/extrapolatie/incidentie voor QALY],MATCH(B129,IF(Berekening_patiëntaantal[Doelgroep (zoeksleutel)]=C129,Berekening_patiëntaantal[Digitale zorgtoepassing]),0))</f>
        <v>Huidige toepassing</v>
      </c>
      <c r="E129" s="440" t="s">
        <v>813</v>
      </c>
      <c r="F129" s="30" t="str">
        <f>CONCATENATE(vertraging[[#This Row],[Digitale zorgtoepassing]],"_",vertraging[[#This Row],[Doelgroep]],"_",vertraging[[#This Row],[Uitgangssituatie/effect beleid]])</f>
        <v>Structuurrobot_Dementie_Uitgangssituatie</v>
      </c>
      <c r="G129" s="122" t="str">
        <f>INDEX(acceptatie_burgers[Impact afhankelijk van acceptatie burgers?],MATCH(B129,acceptatie_burgers[Digitale zorgtoepassing],0))</f>
        <v>Ja</v>
      </c>
      <c r="H129" s="441" cm="1">
        <f t="array" ref="H129">IF(vertraging[[#This Row],[Uitgangssituatie/effect beleid]]="Effect beleid",MAX(INDEX(aanname_implementatie[Coëfficient p],MATCH(B129,IF(aanname_implementatie[Doelgroep]=C129,aanname_implementatie[Digitale zorgtoepassing]),0))+SUMIFS(afslagen_beleid[Opslag p],afslagen_beleid[Impact afhankelijk van acceptatie burgers],vertraging[[#This Row],[Acceptatie burgers]]),0.01),INDEX(aanname_implementatie[Coëfficient p],MATCH(B129,IF(aanname_implementatie[Doelgroep]=C129,aanname_implementatie[Digitale zorgtoepassing]),0)))</f>
        <v>0.02</v>
      </c>
      <c r="I129" s="441" cm="1">
        <f t="array" ref="I129">IF(vertraging[[#This Row],[Uitgangssituatie/effect beleid]]="Effect beleid",MAX(INDEX(aanname_implementatie[Coëfficient q],MATCH(B129,IF(aanname_implementatie[Doelgroep]=C129,aanname_implementatie[Digitale zorgtoepassing]),0))+SUMIFS(afslagen_beleid[Opslag q],afslagen_beleid[Impact afhankelijk van acceptatie burgers],vertraging[[#This Row],[Acceptatie burgers]]),0.3),INDEX(aanname_implementatie[Coëfficient q],MATCH(B129,IF(aanname_implementatie[Doelgroep]=C129,aanname_implementatie[Digitale zorgtoepassing]),0)))</f>
        <v>0.4</v>
      </c>
      <c r="J129" s="17">
        <f>0</f>
        <v>0</v>
      </c>
      <c r="K129" s="17">
        <v>0</v>
      </c>
      <c r="L129" s="17">
        <v>0</v>
      </c>
      <c r="M129" s="17">
        <v>0</v>
      </c>
      <c r="N129" s="17">
        <v>0</v>
      </c>
      <c r="O129" s="17">
        <v>0</v>
      </c>
      <c r="P129" s="17">
        <v>0</v>
      </c>
      <c r="Q129" s="17">
        <v>0</v>
      </c>
      <c r="R129" s="17">
        <v>0</v>
      </c>
      <c r="S129" s="17">
        <v>0</v>
      </c>
      <c r="T129" s="17">
        <v>0</v>
      </c>
      <c r="U129" s="17">
        <v>0</v>
      </c>
      <c r="V129" s="124" cm="1">
        <f t="array" ref="V129">INDEX(aanname_implementatie[Huidige implementatiegraad],MATCH(B129,IF(aanname_implementatie[Doelgroep]=C129,aanname_implementatie[Digitale zorgtoepassing]),0))</f>
        <v>0.2</v>
      </c>
      <c r="W129" s="126">
        <f>V129+vertraging[[#This Row],[p]]*(1-V129)+vertraging[[#This Row],[q]]*V129*(1-V129)</f>
        <v>0.28000000000000003</v>
      </c>
      <c r="X129" s="126">
        <f>W129+vertraging[[#This Row],[p]]*(1-W129)+vertraging[[#This Row],[q]]*W129*(1-W129)</f>
        <v>0.37504000000000004</v>
      </c>
      <c r="Y129" s="126">
        <f>X129+vertraging[[#This Row],[p]]*(1-X129)+vertraging[[#This Row],[q]]*X129*(1-X129)</f>
        <v>0.48129319936000003</v>
      </c>
      <c r="Z129" s="126">
        <f>Y129+vertraging[[#This Row],[p]]*(1-Y129)+vertraging[[#This Row],[q]]*Y129*(1-Y129)</f>
        <v>0.59152735761672615</v>
      </c>
      <c r="AA129" s="126">
        <f>Z129+vertraging[[#This Row],[p]]*(1-Z129)+vertraging[[#This Row],[q]]*Z129*(1-Z129)</f>
        <v>0.69634590758747161</v>
      </c>
      <c r="AB129" s="126">
        <f>AA129+vertraging[[#This Row],[p]]*(1-AA129)+vertraging[[#This Row],[q]]*AA129*(1-AA129)</f>
        <v>0.78699830326518305</v>
      </c>
      <c r="AC129" s="126">
        <f>AB129+vertraging[[#This Row],[p]]*(1-AB129)+vertraging[[#This Row],[q]]*AB129*(1-AB129)</f>
        <v>0.85831112676904175</v>
      </c>
      <c r="AD129" s="126">
        <f>AC129+vertraging[[#This Row],[p]]*(1-AC129)+vertraging[[#This Row],[q]]*AC129*(1-AC129)</f>
        <v>0.90979015880706082</v>
      </c>
      <c r="AE129" s="126">
        <f>AD129+vertraging[[#This Row],[p]]*(1-AD129)+vertraging[[#This Row],[q]]*AD129*(1-AD129)</f>
        <v>0.94442316592887321</v>
      </c>
      <c r="AF129" s="126">
        <f>AE129+vertraging[[#This Row],[p]]*(1-AE129)+vertraging[[#This Row],[q]]*AE129*(1-AE129)</f>
        <v>0.96652992244459857</v>
      </c>
      <c r="AG129" s="126">
        <f>AF129+vertraging[[#This Row],[p]]*(1-AF129)+vertraging[[#This Row],[q]]*AF129*(1-AF129)</f>
        <v>0.98013925658124135</v>
      </c>
    </row>
    <row r="130" spans="1:33" x14ac:dyDescent="0.5">
      <c r="A130" s="30" t="str">
        <f>INDEX(Technologieën[Veld],MATCH(B130,Technologieën[Digitale zorgtoepassing],0))</f>
        <v>Digitale hulpmiddelen - Verpleging</v>
      </c>
      <c r="B130" s="30" t="s">
        <v>19</v>
      </c>
      <c r="C130" s="30" t="s">
        <v>27</v>
      </c>
      <c r="D130" s="30" t="str" cm="1">
        <f t="array" ref="D130">INDEX(Berekening_patiëntaantal[Direct toepasbaar/extrapolatie/incidentie voor QALY],MATCH(B130,IF(Berekening_patiëntaantal[Doelgroep (zoeksleutel)]=C130,Berekening_patiëntaantal[Digitale zorgtoepassing]),0))</f>
        <v>Extrapolatie</v>
      </c>
      <c r="E130" s="440" t="s">
        <v>813</v>
      </c>
      <c r="F130" s="30" t="str">
        <f>CONCATENATE(vertraging[[#This Row],[Digitale zorgtoepassing]],"_",vertraging[[#This Row],[Doelgroep]],"_",vertraging[[#This Row],[Uitgangssituatie/effect beleid]])</f>
        <v>Structuurrobot_Parkinson_Uitgangssituatie</v>
      </c>
      <c r="G130" s="122" t="str">
        <f>INDEX(acceptatie_burgers[Impact afhankelijk van acceptatie burgers?],MATCH(B130,acceptatie_burgers[Digitale zorgtoepassing],0))</f>
        <v>Ja</v>
      </c>
      <c r="H130" s="441" cm="1">
        <f t="array" ref="H130">IF(vertraging[[#This Row],[Uitgangssituatie/effect beleid]]="Effect beleid",MAX(INDEX(aanname_implementatie[Coëfficient p],MATCH(B130,IF(aanname_implementatie[Doelgroep]=C130,aanname_implementatie[Digitale zorgtoepassing]),0))+SUMIFS(afslagen_beleid[Opslag p],afslagen_beleid[Impact afhankelijk van acceptatie burgers],vertraging[[#This Row],[Acceptatie burgers]]),0.01),INDEX(aanname_implementatie[Coëfficient p],MATCH(B130,IF(aanname_implementatie[Doelgroep]=C130,aanname_implementatie[Digitale zorgtoepassing]),0)))</f>
        <v>0.02</v>
      </c>
      <c r="I130" s="441" cm="1">
        <f t="array" ref="I130">IF(vertraging[[#This Row],[Uitgangssituatie/effect beleid]]="Effect beleid",MAX(INDEX(aanname_implementatie[Coëfficient q],MATCH(B130,IF(aanname_implementatie[Doelgroep]=C130,aanname_implementatie[Digitale zorgtoepassing]),0))+SUMIFS(afslagen_beleid[Opslag q],afslagen_beleid[Impact afhankelijk van acceptatie burgers],vertraging[[#This Row],[Acceptatie burgers]]),0.3),INDEX(aanname_implementatie[Coëfficient q],MATCH(B130,IF(aanname_implementatie[Doelgroep]=C130,aanname_implementatie[Digitale zorgtoepassing]),0)))</f>
        <v>0.4</v>
      </c>
      <c r="J130" s="17">
        <f>0</f>
        <v>0</v>
      </c>
      <c r="K130" s="17">
        <v>0</v>
      </c>
      <c r="L130" s="17">
        <v>0</v>
      </c>
      <c r="M130" s="17">
        <v>0</v>
      </c>
      <c r="N130" s="17">
        <v>0</v>
      </c>
      <c r="O130" s="17">
        <v>0</v>
      </c>
      <c r="P130" s="17">
        <v>0</v>
      </c>
      <c r="Q130" s="17">
        <v>0</v>
      </c>
      <c r="R130" s="17">
        <v>0</v>
      </c>
      <c r="S130" s="17">
        <v>0</v>
      </c>
      <c r="T130" s="17">
        <v>0</v>
      </c>
      <c r="U130" s="17">
        <v>0</v>
      </c>
      <c r="V130" s="124" cm="1">
        <f t="array" ref="V130">INDEX(aanname_implementatie[Huidige implementatiegraad],MATCH(B130,IF(aanname_implementatie[Doelgroep]=C130,aanname_implementatie[Digitale zorgtoepassing]),0))</f>
        <v>0</v>
      </c>
      <c r="W130" s="126">
        <f>V130+vertraging[[#This Row],[p]]*(1-V130)+vertraging[[#This Row],[q]]*V130*(1-V130)</f>
        <v>0.02</v>
      </c>
      <c r="X130" s="126">
        <f>W130+vertraging[[#This Row],[p]]*(1-W130)+vertraging[[#This Row],[q]]*W130*(1-W130)</f>
        <v>4.7439999999999996E-2</v>
      </c>
      <c r="Y130" s="126">
        <f>X130+vertraging[[#This Row],[p]]*(1-X130)+vertraging[[#This Row],[q]]*X130*(1-X130)</f>
        <v>8.4566978560000006E-2</v>
      </c>
      <c r="Z130" s="126">
        <f>Y130+vertraging[[#This Row],[p]]*(1-Y130)+vertraging[[#This Row],[q]]*Y130*(1-Y130)</f>
        <v>0.13384180086769301</v>
      </c>
      <c r="AA130" s="126">
        <f>Z130+vertraging[[#This Row],[p]]*(1-Z130)+vertraging[[#This Row],[q]]*Z130*(1-Z130)</f>
        <v>0.19753623413361349</v>
      </c>
      <c r="AB130" s="126">
        <f>AA130+vertraging[[#This Row],[p]]*(1-AA130)+vertraging[[#This Row],[q]]*AA130*(1-AA130)</f>
        <v>0.27699177758611071</v>
      </c>
      <c r="AC130" s="126">
        <f>AB130+vertraging[[#This Row],[p]]*(1-AB130)+vertraging[[#This Row],[q]]*AB130*(1-AB130)</f>
        <v>0.37155887512870744</v>
      </c>
      <c r="AD130" s="126">
        <f>AC130+vertraging[[#This Row],[p]]*(1-AC130)+vertraging[[#This Row],[q]]*AC130*(1-AC130)</f>
        <v>0.47752884860285211</v>
      </c>
      <c r="AE130" s="126">
        <f>AD130+vertraging[[#This Row],[p]]*(1-AD130)+vertraging[[#This Row],[q]]*AD130*(1-AD130)</f>
        <v>0.5877762905727496</v>
      </c>
      <c r="AF130" s="126">
        <f>AE130+vertraging[[#This Row],[p]]*(1-AE130)+vertraging[[#This Row],[q]]*AE130*(1-AE130)</f>
        <v>0.6929388938866099</v>
      </c>
      <c r="AG130" s="126">
        <f>AF130+vertraging[[#This Row],[p]]*(1-AF130)+vertraging[[#This Row],[q]]*AF130*(1-AF130)</f>
        <v>0.78418994929920227</v>
      </c>
    </row>
    <row r="131" spans="1:33" x14ac:dyDescent="0.5">
      <c r="A131" s="30" t="str">
        <f>INDEX(Technologieën[Veld],MATCH(B131,Technologieën[Digitale zorgtoepassing],0))</f>
        <v>Software - Diagnose</v>
      </c>
      <c r="B131" s="30" t="s">
        <v>56</v>
      </c>
      <c r="C131" s="30" t="s">
        <v>57</v>
      </c>
      <c r="D131" s="30" t="str" cm="1">
        <f t="array" ref="D131">INDEX(Berekening_patiëntaantal[Direct toepasbaar/extrapolatie/incidentie voor QALY],MATCH(B131,IF(Berekening_patiëntaantal[Doelgroep (zoeksleutel)]=C131,Berekening_patiëntaantal[Digitale zorgtoepassing]),0))</f>
        <v>Huidige toepassing</v>
      </c>
      <c r="E131" s="440" t="s">
        <v>813</v>
      </c>
      <c r="F131" s="30" t="str">
        <f>CONCATENATE(vertraging[[#This Row],[Digitale zorgtoepassing]],"_",vertraging[[#This Row],[Doelgroep]],"_",vertraging[[#This Row],[Uitgangssituatie/effect beleid]])</f>
        <v>Virtual cockpit_MRI-scans_Uitgangssituatie</v>
      </c>
      <c r="G131" s="122" t="str">
        <f>INDEX(acceptatie_burgers[Impact afhankelijk van acceptatie burgers?],MATCH(B131,acceptatie_burgers[Digitale zorgtoepassing],0))</f>
        <v>Nee</v>
      </c>
      <c r="H131" s="441" cm="1">
        <f t="array" ref="H131">IF(vertraging[[#This Row],[Uitgangssituatie/effect beleid]]="Effect beleid",MAX(INDEX(aanname_implementatie[Coëfficient p],MATCH(B131,IF(aanname_implementatie[Doelgroep]=C131,aanname_implementatie[Digitale zorgtoepassing]),0))+SUMIFS(afslagen_beleid[Opslag p],afslagen_beleid[Impact afhankelijk van acceptatie burgers],vertraging[[#This Row],[Acceptatie burgers]]),0.01),INDEX(aanname_implementatie[Coëfficient p],MATCH(B131,IF(aanname_implementatie[Doelgroep]=C131,aanname_implementatie[Digitale zorgtoepassing]),0)))</f>
        <v>2.5000000000000001E-2</v>
      </c>
      <c r="I131" s="441" cm="1">
        <f t="array" ref="I131">IF(vertraging[[#This Row],[Uitgangssituatie/effect beleid]]="Effect beleid",MAX(INDEX(aanname_implementatie[Coëfficient q],MATCH(B131,IF(aanname_implementatie[Doelgroep]=C131,aanname_implementatie[Digitale zorgtoepassing]),0))+SUMIFS(afslagen_beleid[Opslag q],afslagen_beleid[Impact afhankelijk van acceptatie burgers],vertraging[[#This Row],[Acceptatie burgers]]),0.3),INDEX(aanname_implementatie[Coëfficient q],MATCH(B131,IF(aanname_implementatie[Doelgroep]=C131,aanname_implementatie[Digitale zorgtoepassing]),0)))</f>
        <v>0.45</v>
      </c>
      <c r="J131" s="17">
        <f>0</f>
        <v>0</v>
      </c>
      <c r="K131" s="17">
        <v>0</v>
      </c>
      <c r="L131" s="17">
        <v>0</v>
      </c>
      <c r="M131" s="17">
        <v>0</v>
      </c>
      <c r="N131" s="17">
        <v>0</v>
      </c>
      <c r="O131" s="17">
        <v>0</v>
      </c>
      <c r="P131" s="17">
        <v>0</v>
      </c>
      <c r="Q131" s="17">
        <v>0</v>
      </c>
      <c r="R131" s="17">
        <v>0</v>
      </c>
      <c r="S131" s="17">
        <v>0</v>
      </c>
      <c r="T131" s="17">
        <v>0</v>
      </c>
      <c r="U131" s="17">
        <v>0</v>
      </c>
      <c r="V131" s="124" cm="1">
        <f t="array" ref="V131">INDEX(aanname_implementatie[Huidige implementatiegraad],MATCH(B131,IF(aanname_implementatie[Doelgroep]=C131,aanname_implementatie[Digitale zorgtoepassing]),0))</f>
        <v>0.2</v>
      </c>
      <c r="W131" s="126">
        <f>V131+vertraging[[#This Row],[p]]*(1-V131)+vertraging[[#This Row],[q]]*V131*(1-V131)</f>
        <v>0.29200000000000004</v>
      </c>
      <c r="X131" s="126">
        <f>W131+vertraging[[#This Row],[p]]*(1-W131)+vertraging[[#This Row],[q]]*W131*(1-W131)</f>
        <v>0.40273120000000007</v>
      </c>
      <c r="Y131" s="126">
        <f>X131+vertraging[[#This Row],[p]]*(1-X131)+vertraging[[#This Row],[q]]*X131*(1-X131)</f>
        <v>0.52590537124595205</v>
      </c>
      <c r="Z131" s="126">
        <f>Y131+vertraging[[#This Row],[p]]*(1-Y131)+vertraging[[#This Row],[q]]*Y131*(1-Y131)</f>
        <v>0.64995574724807748</v>
      </c>
      <c r="AA131" s="126">
        <f>Z131+vertraging[[#This Row],[p]]*(1-Z131)+vertraging[[#This Row],[q]]*Z131*(1-Z131)</f>
        <v>0.76108782680714737</v>
      </c>
      <c r="AB131" s="126">
        <f>AA131+vertraging[[#This Row],[p]]*(1-AA131)+vertraging[[#This Row],[q]]*AA131*(1-AA131)</f>
        <v>0.8488855471488731</v>
      </c>
      <c r="AC131" s="126">
        <f>AB131+vertraging[[#This Row],[p]]*(1-AB131)+vertraging[[#This Row],[q]]*AB131*(1-AB131)</f>
        <v>0.91038890221593549</v>
      </c>
      <c r="AD131" s="126">
        <f>AC131+vertraging[[#This Row],[p]]*(1-AC131)+vertraging[[#This Row],[q]]*AC131*(1-AC131)</f>
        <v>0.94934060668263687</v>
      </c>
      <c r="AE131" s="126">
        <f>AD131+vertraging[[#This Row],[p]]*(1-AD131)+vertraging[[#This Row],[q]]*AD131*(1-AD131)</f>
        <v>0.9722489501493069</v>
      </c>
      <c r="AF131" s="126">
        <f>AE131+vertraging[[#This Row],[p]]*(1-AE131)+vertraging[[#This Row],[q]]*AE131*(1-AE131)</f>
        <v>0.98508414448286907</v>
      </c>
      <c r="AG131" s="126">
        <f>AF131+vertraging[[#This Row],[p]]*(1-AF131)+vertraging[[#This Row],[q]]*AF131*(1-AF131)</f>
        <v>0.99206905861789263</v>
      </c>
    </row>
    <row r="132" spans="1:33" x14ac:dyDescent="0.5">
      <c r="A132" s="30" t="str">
        <f>INDEX(Technologieën[Veld],MATCH(B132,Technologieën[Digitale zorgtoepassing],0))</f>
        <v>Digitale hulpmiddelen - Verpleging</v>
      </c>
      <c r="B132" s="30" t="s">
        <v>85</v>
      </c>
      <c r="C132" s="30" t="s">
        <v>86</v>
      </c>
      <c r="D132" s="30" t="str" cm="1">
        <f t="array" ref="D132">INDEX(Berekening_patiëntaantal[Direct toepasbaar/extrapolatie/incidentie voor QALY],MATCH(B132,IF(Berekening_patiëntaantal[Doelgroep (zoeksleutel)]=C132,Berekening_patiëntaantal[Digitale zorgtoepassing]),0))</f>
        <v>Huidige toepassing</v>
      </c>
      <c r="E132" s="440" t="s">
        <v>813</v>
      </c>
      <c r="F132" s="30" t="str">
        <f>CONCATENATE(vertraging[[#This Row],[Digitale zorgtoepassing]],"_",vertraging[[#This Row],[Doelgroep]],"_",vertraging[[#This Row],[Uitgangssituatie/effect beleid]])</f>
        <v>Zorg op afstand met tablet_Patiënten die thuiszorg krijgen_Uitgangssituatie</v>
      </c>
      <c r="G132" s="122" t="str">
        <f>INDEX(acceptatie_burgers[Impact afhankelijk van acceptatie burgers?],MATCH(B132,acceptatie_burgers[Digitale zorgtoepassing],0))</f>
        <v>Ja</v>
      </c>
      <c r="H132" s="441" cm="1">
        <f t="array" ref="H132">IF(vertraging[[#This Row],[Uitgangssituatie/effect beleid]]="Effect beleid",MAX(INDEX(aanname_implementatie[Coëfficient p],MATCH(B132,IF(aanname_implementatie[Doelgroep]=C132,aanname_implementatie[Digitale zorgtoepassing]),0))+SUMIFS(afslagen_beleid[Opslag p],afslagen_beleid[Impact afhankelijk van acceptatie burgers],vertraging[[#This Row],[Acceptatie burgers]]),0.01),INDEX(aanname_implementatie[Coëfficient p],MATCH(B132,IF(aanname_implementatie[Doelgroep]=C132,aanname_implementatie[Digitale zorgtoepassing]),0)))</f>
        <v>2.5000000000000001E-2</v>
      </c>
      <c r="I132" s="441" cm="1">
        <f t="array" ref="I132">IF(vertraging[[#This Row],[Uitgangssituatie/effect beleid]]="Effect beleid",MAX(INDEX(aanname_implementatie[Coëfficient q],MATCH(B132,IF(aanname_implementatie[Doelgroep]=C132,aanname_implementatie[Digitale zorgtoepassing]),0))+SUMIFS(afslagen_beleid[Opslag q],afslagen_beleid[Impact afhankelijk van acceptatie burgers],vertraging[[#This Row],[Acceptatie burgers]]),0.3),INDEX(aanname_implementatie[Coëfficient q],MATCH(B132,IF(aanname_implementatie[Doelgroep]=C132,aanname_implementatie[Digitale zorgtoepassing]),0)))</f>
        <v>0.45</v>
      </c>
      <c r="J132" s="17">
        <f>0</f>
        <v>0</v>
      </c>
      <c r="K132" s="17">
        <v>0</v>
      </c>
      <c r="L132" s="17">
        <v>0</v>
      </c>
      <c r="M132" s="17">
        <v>0</v>
      </c>
      <c r="N132" s="17">
        <v>0</v>
      </c>
      <c r="O132" s="17">
        <v>0</v>
      </c>
      <c r="P132" s="17">
        <v>0</v>
      </c>
      <c r="Q132" s="17">
        <v>0</v>
      </c>
      <c r="R132" s="17">
        <v>0</v>
      </c>
      <c r="S132" s="17">
        <v>0</v>
      </c>
      <c r="T132" s="17">
        <v>0</v>
      </c>
      <c r="U132" s="17">
        <v>0</v>
      </c>
      <c r="V132" s="124" cm="1">
        <f t="array" ref="V132">INDEX(aanname_implementatie[Huidige implementatiegraad],MATCH(B132,IF(aanname_implementatie[Doelgroep]=C132,aanname_implementatie[Digitale zorgtoepassing]),0))</f>
        <v>0.4</v>
      </c>
      <c r="W132" s="126">
        <f>V132+vertraging[[#This Row],[p]]*(1-V132)+vertraging[[#This Row],[q]]*V132*(1-V132)</f>
        <v>0.52300000000000002</v>
      </c>
      <c r="X132" s="126">
        <f>W132+vertraging[[#This Row],[p]]*(1-W132)+vertraging[[#This Row],[q]]*W132*(1-W132)</f>
        <v>0.64718695000000004</v>
      </c>
      <c r="Y132" s="126">
        <f>X132+vertraging[[#This Row],[p]]*(1-X132)+vertraging[[#This Row],[q]]*X132*(1-X132)</f>
        <v>0.75875847703736388</v>
      </c>
      <c r="Z132" s="126">
        <f>Y132+vertraging[[#This Row],[p]]*(1-Y132)+vertraging[[#This Row],[q]]*Y132*(1-Y132)</f>
        <v>0.84715933786401665</v>
      </c>
      <c r="AA132" s="126">
        <f>Z132+vertraging[[#This Row],[p]]*(1-Z132)+vertraging[[#This Row],[q]]*Z132*(1-Z132)</f>
        <v>0.90924653177763415</v>
      </c>
      <c r="AB132" s="126">
        <f>AA132+vertraging[[#This Row],[p]]*(1-AA132)+vertraging[[#This Row],[q]]*AA132*(1-AA132)</f>
        <v>0.94864814278578335</v>
      </c>
      <c r="AC132" s="126">
        <f>AB132+vertraging[[#This Row],[p]]*(1-AB132)+vertraging[[#This Row],[q]]*AB132*(1-AB132)</f>
        <v>0.97185361900482903</v>
      </c>
      <c r="AD132" s="126">
        <f>AC132+vertraging[[#This Row],[p]]*(1-AC132)+vertraging[[#This Row],[q]]*AC132*(1-AC132)</f>
        <v>0.98486665153412889</v>
      </c>
      <c r="AE132" s="126">
        <f>AD132+vertraging[[#This Row],[p]]*(1-AD132)+vertraging[[#This Row],[q]]*AD132*(1-AD132)</f>
        <v>0.99195193384931235</v>
      </c>
      <c r="AF132" s="126">
        <f>AE132+vertraging[[#This Row],[p]]*(1-AE132)+vertraging[[#This Row],[q]]*AE132*(1-AE132)</f>
        <v>0.99574561815494433</v>
      </c>
      <c r="AG132" s="126">
        <f>AF132+vertraging[[#This Row],[p]]*(1-AF132)+vertraging[[#This Row],[q]]*AF132*(1-AF132)</f>
        <v>0.99775830463714821</v>
      </c>
    </row>
    <row r="134" spans="1:33" ht="17.5" thickBot="1" x14ac:dyDescent="0.55000000000000004">
      <c r="G134">
        <v>13</v>
      </c>
      <c r="H134">
        <v>14</v>
      </c>
      <c r="I134">
        <v>15</v>
      </c>
      <c r="J134">
        <v>16</v>
      </c>
      <c r="K134">
        <v>17</v>
      </c>
      <c r="L134">
        <v>18</v>
      </c>
      <c r="M134">
        <v>19</v>
      </c>
      <c r="N134">
        <v>20</v>
      </c>
      <c r="O134">
        <v>21</v>
      </c>
      <c r="P134">
        <v>22</v>
      </c>
      <c r="Q134">
        <v>23</v>
      </c>
      <c r="R134">
        <v>24</v>
      </c>
    </row>
    <row r="135" spans="1:33" s="39" customFormat="1" ht="51.5" thickBot="1" x14ac:dyDescent="0.55000000000000004">
      <c r="A135" s="28" t="s">
        <v>5</v>
      </c>
      <c r="B135" s="31" t="s">
        <v>15</v>
      </c>
      <c r="C135" s="31" t="s">
        <v>378</v>
      </c>
      <c r="D135" s="31" t="s">
        <v>619</v>
      </c>
      <c r="E135" s="31" t="s">
        <v>811</v>
      </c>
      <c r="F135" s="31" t="s">
        <v>16</v>
      </c>
      <c r="G135" s="211" t="s">
        <v>426</v>
      </c>
      <c r="H135" s="211" t="s">
        <v>427</v>
      </c>
      <c r="I135" s="211" t="s">
        <v>428</v>
      </c>
      <c r="J135" s="211" t="s">
        <v>429</v>
      </c>
      <c r="K135" s="211" t="s">
        <v>430</v>
      </c>
      <c r="L135" s="211" t="s">
        <v>431</v>
      </c>
      <c r="M135" s="211" t="s">
        <v>432</v>
      </c>
      <c r="N135" s="211" t="s">
        <v>433</v>
      </c>
      <c r="O135" s="211" t="s">
        <v>434</v>
      </c>
      <c r="P135" s="211" t="s">
        <v>435</v>
      </c>
      <c r="Q135" s="211" t="s">
        <v>436</v>
      </c>
      <c r="R135" s="211" t="s">
        <v>437</v>
      </c>
    </row>
    <row r="136" spans="1:33" x14ac:dyDescent="0.5">
      <c r="A136" s="30" t="str">
        <f>INDEX(Technologieën[Veld],MATCH(B136,Technologieën[Digitale zorgtoepassing],0))</f>
        <v>Sensoren - Behandeling</v>
      </c>
      <c r="B136" s="30" t="s">
        <v>593</v>
      </c>
      <c r="C136" s="30" t="s">
        <v>308</v>
      </c>
      <c r="D136" s="30" t="str" cm="1">
        <f t="array" ref="D136">INDEX(Berekening_patiëntaantal[Direct toepasbaar/extrapolatie/incidentie voor QALY],MATCH(B136,IF(Berekening_patiëntaantal[Doelgroep (zoeksleutel)]=C136,Berekening_patiëntaantal[Digitale zorgtoepassing]),0))</f>
        <v>Huidige toepassing</v>
      </c>
      <c r="E136" s="440" t="s">
        <v>812</v>
      </c>
      <c r="F136" s="30" t="str">
        <f>CONCATENATE(implementatie[[#This Row],[Zorgtechnologie]],"_",implementatie[[#This Row],[Doelgroep]],"_",implementatie[[#This Row],[Uitgangssituatie/effect beleid]])</f>
        <v>(Zelf)monitoring hypertensie zwangeren_Zwangeren met hoge bloeddruk_Effect beleid</v>
      </c>
      <c r="G136" s="126" cm="1">
        <f t="array" ref="G136">INDEX(vertraging[[Vertraging 12 jaar]:[2034]],MATCH($F136,vertraging[Zoeksleutel],0),G$134-INDEX(aanname_implementatie[Totaal vertraging],MATCH($B136,IF(aanname_implementatie[Doelgroep]=$C136,aanname_implementatie[Digitale zorgtoepassing]),0)))</f>
        <v>0.2</v>
      </c>
      <c r="H136" s="126" cm="1">
        <f t="array" ref="H136">INDEX(vertraging[[Vertraging 12 jaar]:[2034]],MATCH($F136,vertraging[Zoeksleutel],0),H$134-INDEX(aanname_implementatie[Totaal vertraging],MATCH($B136,IF(aanname_implementatie[Doelgroep]=$C136,aanname_implementatie[Digitale zorgtoepassing]),0)))</f>
        <v>0.28000000000000003</v>
      </c>
      <c r="I136" s="126" cm="1">
        <f t="array" ref="I136">INDEX(vertraging[[Vertraging 12 jaar]:[2034]],MATCH($F136,vertraging[Zoeksleutel],0),I$134-INDEX(aanname_implementatie[Totaal vertraging],MATCH($B136,IF(aanname_implementatie[Doelgroep]=$C136,aanname_implementatie[Digitale zorgtoepassing]),0)))</f>
        <v>0.37504000000000004</v>
      </c>
      <c r="J136" s="126" cm="1">
        <f t="array" ref="J136">INDEX(vertraging[[Vertraging 12 jaar]:[2034]],MATCH($F136,vertraging[Zoeksleutel],0),J$134-INDEX(aanname_implementatie[Totaal vertraging],MATCH($B136,IF(aanname_implementatie[Doelgroep]=$C136,aanname_implementatie[Digitale zorgtoepassing]),0)))</f>
        <v>0.48129319936000003</v>
      </c>
      <c r="K136" s="126" cm="1">
        <f t="array" ref="K136">INDEX(vertraging[[Vertraging 12 jaar]:[2034]],MATCH($F136,vertraging[Zoeksleutel],0),K$134-INDEX(aanname_implementatie[Totaal vertraging],MATCH($B136,IF(aanname_implementatie[Doelgroep]=$C136,aanname_implementatie[Digitale zorgtoepassing]),0)))</f>
        <v>0.59152735761672615</v>
      </c>
      <c r="L136" s="126" cm="1">
        <f t="array" ref="L136">INDEX(vertraging[[Vertraging 12 jaar]:[2034]],MATCH($F136,vertraging[Zoeksleutel],0),L$134-INDEX(aanname_implementatie[Totaal vertraging],MATCH($B136,IF(aanname_implementatie[Doelgroep]=$C136,aanname_implementatie[Digitale zorgtoepassing]),0)))</f>
        <v>0.69634590758747161</v>
      </c>
      <c r="M136" s="126" cm="1">
        <f t="array" ref="M136">INDEX(vertraging[[Vertraging 12 jaar]:[2034]],MATCH($F136,vertraging[Zoeksleutel],0),M$134-INDEX(aanname_implementatie[Totaal vertraging],MATCH($B136,IF(aanname_implementatie[Doelgroep]=$C136,aanname_implementatie[Digitale zorgtoepassing]),0)))</f>
        <v>0.78699830326518305</v>
      </c>
      <c r="N136" s="126" cm="1">
        <f t="array" ref="N136">INDEX(vertraging[[Vertraging 12 jaar]:[2034]],MATCH($F136,vertraging[Zoeksleutel],0),N$134-INDEX(aanname_implementatie[Totaal vertraging],MATCH($B136,IF(aanname_implementatie[Doelgroep]=$C136,aanname_implementatie[Digitale zorgtoepassing]),0)))</f>
        <v>0.85831112676904175</v>
      </c>
      <c r="O136" s="126" cm="1">
        <f t="array" ref="O136">INDEX(vertraging[[Vertraging 12 jaar]:[2034]],MATCH($F136,vertraging[Zoeksleutel],0),O$134-INDEX(aanname_implementatie[Totaal vertraging],MATCH($B136,IF(aanname_implementatie[Doelgroep]=$C136,aanname_implementatie[Digitale zorgtoepassing]),0)))</f>
        <v>0.90979015880706082</v>
      </c>
      <c r="P136" s="126" cm="1">
        <f t="array" ref="P136">INDEX(vertraging[[Vertraging 12 jaar]:[2034]],MATCH($F136,vertraging[Zoeksleutel],0),P$134-INDEX(aanname_implementatie[Totaal vertraging],MATCH($B136,IF(aanname_implementatie[Doelgroep]=$C136,aanname_implementatie[Digitale zorgtoepassing]),0)))</f>
        <v>0.94442316592887321</v>
      </c>
      <c r="Q136" s="126" cm="1">
        <f t="array" ref="Q136">INDEX(vertraging[[Vertraging 12 jaar]:[2034]],MATCH($F136,vertraging[Zoeksleutel],0),Q$134-INDEX(aanname_implementatie[Totaal vertraging],MATCH($B136,IF(aanname_implementatie[Doelgroep]=$C136,aanname_implementatie[Digitale zorgtoepassing]),0)))</f>
        <v>0.96652992244459857</v>
      </c>
      <c r="R136" s="126" cm="1">
        <f t="array" ref="R136">INDEX(vertraging[[Vertraging 12 jaar]:[2034]],MATCH($F136,vertraging[Zoeksleutel],0),R$134-INDEX(aanname_implementatie[Totaal vertraging],MATCH($B136,IF(aanname_implementatie[Doelgroep]=$C136,aanname_implementatie[Digitale zorgtoepassing]),0)))</f>
        <v>0.98013925658124135</v>
      </c>
    </row>
    <row r="137" spans="1:33" x14ac:dyDescent="0.5">
      <c r="A137" s="30" t="str">
        <f>INDEX(Technologieën[Veld],MATCH(B137,Technologieën[Digitale zorgtoepassing],0))</f>
        <v>Software - Behandeling</v>
      </c>
      <c r="B137" s="30" t="s">
        <v>609</v>
      </c>
      <c r="C137" s="30" t="s">
        <v>270</v>
      </c>
      <c r="D137" s="30" t="str" cm="1">
        <f t="array" ref="D137">INDEX(Berekening_patiëntaantal[Direct toepasbaar/extrapolatie/incidentie voor QALY],MATCH(B137,IF(Berekening_patiëntaantal[Doelgroep (zoeksleutel)]=C137,Berekening_patiëntaantal[Digitale zorgtoepassing]),0))</f>
        <v>Huidige toepassing</v>
      </c>
      <c r="E137" s="440" t="s">
        <v>812</v>
      </c>
      <c r="F137" s="30" t="str">
        <f>CONCATENATE(implementatie[[#This Row],[Zorgtechnologie]],"_",implementatie[[#This Row],[Doelgroep]],"_",implementatie[[#This Row],[Uitgangssituatie/effect beleid]])</f>
        <v>(Zelf)zorgplatform + telebegeleiding_Astma_kinderen_Effect beleid</v>
      </c>
      <c r="G137" s="126" cm="1">
        <f t="array" ref="G137">INDEX(vertraging[[Vertraging 12 jaar]:[2034]],MATCH($F137,vertraging[Zoeksleutel],0),G$134-INDEX(aanname_implementatie[Totaal vertraging],MATCH($B137,IF(aanname_implementatie[Doelgroep]=$C137,aanname_implementatie[Digitale zorgtoepassing]),0)))</f>
        <v>0.2</v>
      </c>
      <c r="H137" s="126" cm="1">
        <f t="array" ref="H137">INDEX(vertraging[[Vertraging 12 jaar]:[2034]],MATCH($F137,vertraging[Zoeksleutel],0),H$134-INDEX(aanname_implementatie[Totaal vertraging],MATCH($B137,IF(aanname_implementatie[Doelgroep]=$C137,aanname_implementatie[Digitale zorgtoepassing]),0)))</f>
        <v>0.29200000000000004</v>
      </c>
      <c r="I137" s="126" cm="1">
        <f t="array" ref="I137">INDEX(vertraging[[Vertraging 12 jaar]:[2034]],MATCH($F137,vertraging[Zoeksleutel],0),I$134-INDEX(aanname_implementatie[Totaal vertraging],MATCH($B137,IF(aanname_implementatie[Doelgroep]=$C137,aanname_implementatie[Digitale zorgtoepassing]),0)))</f>
        <v>0.40273120000000007</v>
      </c>
      <c r="J137" s="126" cm="1">
        <f t="array" ref="J137">INDEX(vertraging[[Vertraging 12 jaar]:[2034]],MATCH($F137,vertraging[Zoeksleutel],0),J$134-INDEX(aanname_implementatie[Totaal vertraging],MATCH($B137,IF(aanname_implementatie[Doelgroep]=$C137,aanname_implementatie[Digitale zorgtoepassing]),0)))</f>
        <v>0.52590537124595205</v>
      </c>
      <c r="K137" s="126" cm="1">
        <f t="array" ref="K137">INDEX(vertraging[[Vertraging 12 jaar]:[2034]],MATCH($F137,vertraging[Zoeksleutel],0),K$134-INDEX(aanname_implementatie[Totaal vertraging],MATCH($B137,IF(aanname_implementatie[Doelgroep]=$C137,aanname_implementatie[Digitale zorgtoepassing]),0)))</f>
        <v>0.64995574724807748</v>
      </c>
      <c r="L137" s="126" cm="1">
        <f t="array" ref="L137">INDEX(vertraging[[Vertraging 12 jaar]:[2034]],MATCH($F137,vertraging[Zoeksleutel],0),L$134-INDEX(aanname_implementatie[Totaal vertraging],MATCH($B137,IF(aanname_implementatie[Doelgroep]=$C137,aanname_implementatie[Digitale zorgtoepassing]),0)))</f>
        <v>0.76108782680714737</v>
      </c>
      <c r="M137" s="126" cm="1">
        <f t="array" ref="M137">INDEX(vertraging[[Vertraging 12 jaar]:[2034]],MATCH($F137,vertraging[Zoeksleutel],0),M$134-INDEX(aanname_implementatie[Totaal vertraging],MATCH($B137,IF(aanname_implementatie[Doelgroep]=$C137,aanname_implementatie[Digitale zorgtoepassing]),0)))</f>
        <v>0.8488855471488731</v>
      </c>
      <c r="N137" s="126" cm="1">
        <f t="array" ref="N137">INDEX(vertraging[[Vertraging 12 jaar]:[2034]],MATCH($F137,vertraging[Zoeksleutel],0),N$134-INDEX(aanname_implementatie[Totaal vertraging],MATCH($B137,IF(aanname_implementatie[Doelgroep]=$C137,aanname_implementatie[Digitale zorgtoepassing]),0)))</f>
        <v>0.91038890221593549</v>
      </c>
      <c r="O137" s="126" cm="1">
        <f t="array" ref="O137">INDEX(vertraging[[Vertraging 12 jaar]:[2034]],MATCH($F137,vertraging[Zoeksleutel],0),O$134-INDEX(aanname_implementatie[Totaal vertraging],MATCH($B137,IF(aanname_implementatie[Doelgroep]=$C137,aanname_implementatie[Digitale zorgtoepassing]),0)))</f>
        <v>0.94934060668263687</v>
      </c>
      <c r="P137" s="126" cm="1">
        <f t="array" ref="P137">INDEX(vertraging[[Vertraging 12 jaar]:[2034]],MATCH($F137,vertraging[Zoeksleutel],0),P$134-INDEX(aanname_implementatie[Totaal vertraging],MATCH($B137,IF(aanname_implementatie[Doelgroep]=$C137,aanname_implementatie[Digitale zorgtoepassing]),0)))</f>
        <v>0.9722489501493069</v>
      </c>
      <c r="Q137" s="126" cm="1">
        <f t="array" ref="Q137">INDEX(vertraging[[Vertraging 12 jaar]:[2034]],MATCH($F137,vertraging[Zoeksleutel],0),Q$134-INDEX(aanname_implementatie[Totaal vertraging],MATCH($B137,IF(aanname_implementatie[Doelgroep]=$C137,aanname_implementatie[Digitale zorgtoepassing]),0)))</f>
        <v>0.98508414448286907</v>
      </c>
      <c r="R137" s="126" cm="1">
        <f t="array" ref="R137">INDEX(vertraging[[Vertraging 12 jaar]:[2034]],MATCH($F137,vertraging[Zoeksleutel],0),R$134-INDEX(aanname_implementatie[Totaal vertraging],MATCH($B137,IF(aanname_implementatie[Doelgroep]=$C137,aanname_implementatie[Digitale zorgtoepassing]),0)))</f>
        <v>0.99206905861789263</v>
      </c>
    </row>
    <row r="138" spans="1:33" x14ac:dyDescent="0.5">
      <c r="A138" s="30" t="str">
        <f>INDEX(Technologieën[Veld],MATCH(B138,Technologieën[Digitale zorgtoepassing],0))</f>
        <v>Software - Behandeling</v>
      </c>
      <c r="B138" s="30" t="s">
        <v>609</v>
      </c>
      <c r="C138" s="30" t="s">
        <v>95</v>
      </c>
      <c r="D138" s="30" t="str" cm="1">
        <f t="array" ref="D138">INDEX(Berekening_patiëntaantal[Direct toepasbaar/extrapolatie/incidentie voor QALY],MATCH(B138,IF(Berekening_patiëntaantal[Doelgroep (zoeksleutel)]=C138,Berekening_patiëntaantal[Digitale zorgtoepassing]),0))</f>
        <v>Huidige toepassing</v>
      </c>
      <c r="E138" s="440" t="s">
        <v>812</v>
      </c>
      <c r="F138" s="30" t="str">
        <f>CONCATENATE(implementatie[[#This Row],[Zorgtechnologie]],"_",implementatie[[#This Row],[Doelgroep]],"_",implementatie[[#This Row],[Uitgangssituatie/effect beleid]])</f>
        <v>(Zelf)zorgplatform + telebegeleiding_COPD_Effect beleid</v>
      </c>
      <c r="G138" s="126" cm="1">
        <f t="array" ref="G138">INDEX(vertraging[[Vertraging 12 jaar]:[2034]],MATCH($F138,vertraging[Zoeksleutel],0),G$134-INDEX(aanname_implementatie[Totaal vertraging],MATCH($B138,IF(aanname_implementatie[Doelgroep]=$C138,aanname_implementatie[Digitale zorgtoepassing]),0)))</f>
        <v>0.4</v>
      </c>
      <c r="H138" s="126" cm="1">
        <f t="array" ref="H138">INDEX(vertraging[[Vertraging 12 jaar]:[2034]],MATCH($F138,vertraging[Zoeksleutel],0),H$134-INDEX(aanname_implementatie[Totaal vertraging],MATCH($B138,IF(aanname_implementatie[Doelgroep]=$C138,aanname_implementatie[Digitale zorgtoepassing]),0)))</f>
        <v>0.52300000000000002</v>
      </c>
      <c r="I138" s="126" cm="1">
        <f t="array" ref="I138">INDEX(vertraging[[Vertraging 12 jaar]:[2034]],MATCH($F138,vertraging[Zoeksleutel],0),I$134-INDEX(aanname_implementatie[Totaal vertraging],MATCH($B138,IF(aanname_implementatie[Doelgroep]=$C138,aanname_implementatie[Digitale zorgtoepassing]),0)))</f>
        <v>0.64718695000000004</v>
      </c>
      <c r="J138" s="126" cm="1">
        <f t="array" ref="J138">INDEX(vertraging[[Vertraging 12 jaar]:[2034]],MATCH($F138,vertraging[Zoeksleutel],0),J$134-INDEX(aanname_implementatie[Totaal vertraging],MATCH($B138,IF(aanname_implementatie[Doelgroep]=$C138,aanname_implementatie[Digitale zorgtoepassing]),0)))</f>
        <v>0.75875847703736388</v>
      </c>
      <c r="K138" s="126" cm="1">
        <f t="array" ref="K138">INDEX(vertraging[[Vertraging 12 jaar]:[2034]],MATCH($F138,vertraging[Zoeksleutel],0),K$134-INDEX(aanname_implementatie[Totaal vertraging],MATCH($B138,IF(aanname_implementatie[Doelgroep]=$C138,aanname_implementatie[Digitale zorgtoepassing]),0)))</f>
        <v>0.84715933786401665</v>
      </c>
      <c r="L138" s="126" cm="1">
        <f t="array" ref="L138">INDEX(vertraging[[Vertraging 12 jaar]:[2034]],MATCH($F138,vertraging[Zoeksleutel],0),L$134-INDEX(aanname_implementatie[Totaal vertraging],MATCH($B138,IF(aanname_implementatie[Doelgroep]=$C138,aanname_implementatie[Digitale zorgtoepassing]),0)))</f>
        <v>0.90924653177763415</v>
      </c>
      <c r="M138" s="126" cm="1">
        <f t="array" ref="M138">INDEX(vertraging[[Vertraging 12 jaar]:[2034]],MATCH($F138,vertraging[Zoeksleutel],0),M$134-INDEX(aanname_implementatie[Totaal vertraging],MATCH($B138,IF(aanname_implementatie[Doelgroep]=$C138,aanname_implementatie[Digitale zorgtoepassing]),0)))</f>
        <v>0.94864814278578335</v>
      </c>
      <c r="N138" s="126" cm="1">
        <f t="array" ref="N138">INDEX(vertraging[[Vertraging 12 jaar]:[2034]],MATCH($F138,vertraging[Zoeksleutel],0),N$134-INDEX(aanname_implementatie[Totaal vertraging],MATCH($B138,IF(aanname_implementatie[Doelgroep]=$C138,aanname_implementatie[Digitale zorgtoepassing]),0)))</f>
        <v>0.97185361900482903</v>
      </c>
      <c r="O138" s="126" cm="1">
        <f t="array" ref="O138">INDEX(vertraging[[Vertraging 12 jaar]:[2034]],MATCH($F138,vertraging[Zoeksleutel],0),O$134-INDEX(aanname_implementatie[Totaal vertraging],MATCH($B138,IF(aanname_implementatie[Doelgroep]=$C138,aanname_implementatie[Digitale zorgtoepassing]),0)))</f>
        <v>0.98486665153412889</v>
      </c>
      <c r="P138" s="126" cm="1">
        <f t="array" ref="P138">INDEX(vertraging[[Vertraging 12 jaar]:[2034]],MATCH($F138,vertraging[Zoeksleutel],0),P$134-INDEX(aanname_implementatie[Totaal vertraging],MATCH($B138,IF(aanname_implementatie[Doelgroep]=$C138,aanname_implementatie[Digitale zorgtoepassing]),0)))</f>
        <v>0.99195193384931235</v>
      </c>
      <c r="Q138" s="126" cm="1">
        <f t="array" ref="Q138">INDEX(vertraging[[Vertraging 12 jaar]:[2034]],MATCH($F138,vertraging[Zoeksleutel],0),Q$134-INDEX(aanname_implementatie[Totaal vertraging],MATCH($B138,IF(aanname_implementatie[Doelgroep]=$C138,aanname_implementatie[Digitale zorgtoepassing]),0)))</f>
        <v>0.99574561815494433</v>
      </c>
      <c r="R138" s="126" cm="1">
        <f t="array" ref="R138">INDEX(vertraging[[Vertraging 12 jaar]:[2034]],MATCH($F138,vertraging[Zoeksleutel],0),R$134-INDEX(aanname_implementatie[Totaal vertraging],MATCH($B138,IF(aanname_implementatie[Doelgroep]=$C138,aanname_implementatie[Digitale zorgtoepassing]),0)))</f>
        <v>0.99775830463714821</v>
      </c>
    </row>
    <row r="139" spans="1:33" x14ac:dyDescent="0.5">
      <c r="A139" s="30" t="str">
        <f>INDEX(Technologieën[Veld],MATCH(B139,Technologieën[Digitale zorgtoepassing],0))</f>
        <v>Software - Behandeling</v>
      </c>
      <c r="B139" s="30" t="s">
        <v>609</v>
      </c>
      <c r="C139" s="30" t="s">
        <v>51</v>
      </c>
      <c r="D139" s="30" t="str" cm="1">
        <f t="array" ref="D139">INDEX(Berekening_patiëntaantal[Direct toepasbaar/extrapolatie/incidentie voor QALY],MATCH(B139,IF(Berekening_patiëntaantal[Doelgroep (zoeksleutel)]=C139,Berekening_patiëntaantal[Digitale zorgtoepassing]),0))</f>
        <v>Huidige toepassing</v>
      </c>
      <c r="E139" s="440" t="s">
        <v>812</v>
      </c>
      <c r="F139" s="30" t="str">
        <f>CONCATENATE(implementatie[[#This Row],[Zorgtechnologie]],"_",implementatie[[#This Row],[Doelgroep]],"_",implementatie[[#This Row],[Uitgangssituatie/effect beleid]])</f>
        <v>(Zelf)zorgplatform + telebegeleiding_Hartfalen_Effect beleid</v>
      </c>
      <c r="G139" s="126" cm="1">
        <f t="array" ref="G139">INDEX(vertraging[[Vertraging 12 jaar]:[2034]],MATCH($F139,vertraging[Zoeksleutel],0),G$134-INDEX(aanname_implementatie[Totaal vertraging],MATCH($B139,IF(aanname_implementatie[Doelgroep]=$C139,aanname_implementatie[Digitale zorgtoepassing]),0)))</f>
        <v>0.6</v>
      </c>
      <c r="H139" s="126" cm="1">
        <f t="array" ref="H139">INDEX(vertraging[[Vertraging 12 jaar]:[2034]],MATCH($F139,vertraging[Zoeksleutel],0),H$134-INDEX(aanname_implementatie[Totaal vertraging],MATCH($B139,IF(aanname_implementatie[Doelgroep]=$C139,aanname_implementatie[Digitale zorgtoepassing]),0)))</f>
        <v>0.71799999999999997</v>
      </c>
      <c r="I139" s="126" cm="1">
        <f t="array" ref="I139">INDEX(vertraging[[Vertraging 12 jaar]:[2034]],MATCH($F139,vertraging[Zoeksleutel],0),I$134-INDEX(aanname_implementatie[Totaal vertraging],MATCH($B139,IF(aanname_implementatie[Doelgroep]=$C139,aanname_implementatie[Digitale zorgtoepassing]),0)))</f>
        <v>0.81616420000000001</v>
      </c>
      <c r="J139" s="126" cm="1">
        <f t="array" ref="J139">INDEX(vertraging[[Vertraging 12 jaar]:[2034]],MATCH($F139,vertraging[Zoeksleutel],0),J$134-INDEX(aanname_implementatie[Totaal vertraging],MATCH($B139,IF(aanname_implementatie[Doelgroep]=$C139,aanname_implementatie[Digitale zorgtoepassing]),0)))</f>
        <v>0.88827818438726203</v>
      </c>
      <c r="K139" s="126" cm="1">
        <f t="array" ref="K139">INDEX(vertraging[[Vertraging 12 jaar]:[2034]],MATCH($F139,vertraging[Zoeksleutel],0),K$134-INDEX(aanname_implementatie[Totaal vertraging],MATCH($B139,IF(aanname_implementatie[Doelgroep]=$C139,aanname_implementatie[Digitale zorgtoepassing]),0)))</f>
        <v>0.93572925296559961</v>
      </c>
      <c r="L139" s="126" cm="1">
        <f t="array" ref="L139">INDEX(vertraging[[Vertraging 12 jaar]:[2034]],MATCH($F139,vertraging[Zoeksleutel],0),L$134-INDEX(aanname_implementatie[Totaal vertraging],MATCH($B139,IF(aanname_implementatie[Doelgroep]=$C139,aanname_implementatie[Digitale zorgtoepassing]),0)))</f>
        <v>0.9643990297909778</v>
      </c>
      <c r="M139" s="126" cm="1">
        <f t="array" ref="M139">INDEX(vertraging[[Vertraging 12 jaar]:[2034]],MATCH($F139,vertraging[Zoeksleutel],0),M$134-INDEX(aanname_implementatie[Totaal vertraging],MATCH($B139,IF(aanname_implementatie[Doelgroep]=$C139,aanname_implementatie[Digitale zorgtoepassing]),0)))</f>
        <v>0.98073914755434266</v>
      </c>
      <c r="N139" s="126" cm="1">
        <f t="array" ref="N139">INDEX(vertraging[[Vertraging 12 jaar]:[2034]],MATCH($F139,vertraging[Zoeksleutel],0),N$134-INDEX(aanname_implementatie[Totaal vertraging],MATCH($B139,IF(aanname_implementatie[Doelgroep]=$C139,aanname_implementatie[Digitale zorgtoepassing]),0)))</f>
        <v>0.98972111126940987</v>
      </c>
      <c r="O139" s="126" cm="1">
        <f t="array" ref="O139">INDEX(vertraging[[Vertraging 12 jaar]:[2034]],MATCH($F139,vertraging[Zoeksleutel],0),O$134-INDEX(aanname_implementatie[Totaal vertraging],MATCH($B139,IF(aanname_implementatie[Doelgroep]=$C139,aanname_implementatie[Digitale zorgtoepassing]),0)))</f>
        <v>0.99455603841734896</v>
      </c>
      <c r="P139" s="126" cm="1">
        <f t="array" ref="P139">INDEX(vertraging[[Vertraging 12 jaar]:[2034]],MATCH($F139,vertraging[Zoeksleutel],0),P$134-INDEX(aanname_implementatie[Totaal vertraging],MATCH($B139,IF(aanname_implementatie[Doelgroep]=$C139,aanname_implementatie[Digitale zorgtoepassing]),0)))</f>
        <v>0.9971285836461371</v>
      </c>
      <c r="Q139" s="126" cm="1">
        <f t="array" ref="Q139">INDEX(vertraging[[Vertraging 12 jaar]:[2034]],MATCH($F139,vertraging[Zoeksleutel],0),Q$134-INDEX(aanname_implementatie[Totaal vertraging],MATCH($B139,IF(aanname_implementatie[Doelgroep]=$C139,aanname_implementatie[Digitale zorgtoepassing]),0)))</f>
        <v>0.99848879614987718</v>
      </c>
      <c r="R139" s="126" cm="1">
        <f t="array" ref="R139">INDEX(vertraging[[Vertraging 12 jaar]:[2034]],MATCH($F139,vertraging[Zoeksleutel],0),R$134-INDEX(aanname_implementatie[Totaal vertraging],MATCH($B139,IF(aanname_implementatie[Doelgroep]=$C139,aanname_implementatie[Digitale zorgtoepassing]),0)))</f>
        <v>0.99920559029700107</v>
      </c>
    </row>
    <row r="140" spans="1:33" x14ac:dyDescent="0.5">
      <c r="A140" s="30" t="str">
        <f>INDEX(Technologieën[Veld],MATCH(B140,Technologieën[Digitale zorgtoepassing],0))</f>
        <v>Software - Behandeling</v>
      </c>
      <c r="B140" s="30" t="s">
        <v>609</v>
      </c>
      <c r="C140" s="30" t="s">
        <v>94</v>
      </c>
      <c r="D140" s="30" t="str" cm="1">
        <f t="array" ref="D140">INDEX(Berekening_patiëntaantal[Direct toepasbaar/extrapolatie/incidentie voor QALY],MATCH(B140,IF(Berekening_patiëntaantal[Doelgroep (zoeksleutel)]=C140,Berekening_patiëntaantal[Digitale zorgtoepassing]),0))</f>
        <v>Huidige toepassing</v>
      </c>
      <c r="E140" s="440" t="s">
        <v>812</v>
      </c>
      <c r="F140" s="30" t="str">
        <f>CONCATENATE(implementatie[[#This Row],[Zorgtechnologie]],"_",implementatie[[#This Row],[Doelgroep]],"_",implementatie[[#This Row],[Uitgangssituatie/effect beleid]])</f>
        <v>(Zelf)zorgplatform + telebegeleiding_Hypertensie_Effect beleid</v>
      </c>
      <c r="G140" s="126" cm="1">
        <f t="array" ref="G140">INDEX(vertraging[[Vertraging 12 jaar]:[2034]],MATCH($F140,vertraging[Zoeksleutel],0),G$134-INDEX(aanname_implementatie[Totaal vertraging],MATCH($B140,IF(aanname_implementatie[Doelgroep]=$C140,aanname_implementatie[Digitale zorgtoepassing]),0)))</f>
        <v>0.2</v>
      </c>
      <c r="H140" s="126" cm="1">
        <f t="array" ref="H140">INDEX(vertraging[[Vertraging 12 jaar]:[2034]],MATCH($F140,vertraging[Zoeksleutel],0),H$134-INDEX(aanname_implementatie[Totaal vertraging],MATCH($B140,IF(aanname_implementatie[Doelgroep]=$C140,aanname_implementatie[Digitale zorgtoepassing]),0)))</f>
        <v>0.29200000000000004</v>
      </c>
      <c r="I140" s="126" cm="1">
        <f t="array" ref="I140">INDEX(vertraging[[Vertraging 12 jaar]:[2034]],MATCH($F140,vertraging[Zoeksleutel],0),I$134-INDEX(aanname_implementatie[Totaal vertraging],MATCH($B140,IF(aanname_implementatie[Doelgroep]=$C140,aanname_implementatie[Digitale zorgtoepassing]),0)))</f>
        <v>0.40273120000000007</v>
      </c>
      <c r="J140" s="126" cm="1">
        <f t="array" ref="J140">INDEX(vertraging[[Vertraging 12 jaar]:[2034]],MATCH($F140,vertraging[Zoeksleutel],0),J$134-INDEX(aanname_implementatie[Totaal vertraging],MATCH($B140,IF(aanname_implementatie[Doelgroep]=$C140,aanname_implementatie[Digitale zorgtoepassing]),0)))</f>
        <v>0.52590537124595205</v>
      </c>
      <c r="K140" s="126" cm="1">
        <f t="array" ref="K140">INDEX(vertraging[[Vertraging 12 jaar]:[2034]],MATCH($F140,vertraging[Zoeksleutel],0),K$134-INDEX(aanname_implementatie[Totaal vertraging],MATCH($B140,IF(aanname_implementatie[Doelgroep]=$C140,aanname_implementatie[Digitale zorgtoepassing]),0)))</f>
        <v>0.64995574724807748</v>
      </c>
      <c r="L140" s="126" cm="1">
        <f t="array" ref="L140">INDEX(vertraging[[Vertraging 12 jaar]:[2034]],MATCH($F140,vertraging[Zoeksleutel],0),L$134-INDEX(aanname_implementatie[Totaal vertraging],MATCH($B140,IF(aanname_implementatie[Doelgroep]=$C140,aanname_implementatie[Digitale zorgtoepassing]),0)))</f>
        <v>0.76108782680714737</v>
      </c>
      <c r="M140" s="126" cm="1">
        <f t="array" ref="M140">INDEX(vertraging[[Vertraging 12 jaar]:[2034]],MATCH($F140,vertraging[Zoeksleutel],0),M$134-INDEX(aanname_implementatie[Totaal vertraging],MATCH($B140,IF(aanname_implementatie[Doelgroep]=$C140,aanname_implementatie[Digitale zorgtoepassing]),0)))</f>
        <v>0.8488855471488731</v>
      </c>
      <c r="N140" s="126" cm="1">
        <f t="array" ref="N140">INDEX(vertraging[[Vertraging 12 jaar]:[2034]],MATCH($F140,vertraging[Zoeksleutel],0),N$134-INDEX(aanname_implementatie[Totaal vertraging],MATCH($B140,IF(aanname_implementatie[Doelgroep]=$C140,aanname_implementatie[Digitale zorgtoepassing]),0)))</f>
        <v>0.91038890221593549</v>
      </c>
      <c r="O140" s="126" cm="1">
        <f t="array" ref="O140">INDEX(vertraging[[Vertraging 12 jaar]:[2034]],MATCH($F140,vertraging[Zoeksleutel],0),O$134-INDEX(aanname_implementatie[Totaal vertraging],MATCH($B140,IF(aanname_implementatie[Doelgroep]=$C140,aanname_implementatie[Digitale zorgtoepassing]),0)))</f>
        <v>0.94934060668263687</v>
      </c>
      <c r="P140" s="126" cm="1">
        <f t="array" ref="P140">INDEX(vertraging[[Vertraging 12 jaar]:[2034]],MATCH($F140,vertraging[Zoeksleutel],0),P$134-INDEX(aanname_implementatie[Totaal vertraging],MATCH($B140,IF(aanname_implementatie[Doelgroep]=$C140,aanname_implementatie[Digitale zorgtoepassing]),0)))</f>
        <v>0.9722489501493069</v>
      </c>
      <c r="Q140" s="126" cm="1">
        <f t="array" ref="Q140">INDEX(vertraging[[Vertraging 12 jaar]:[2034]],MATCH($F140,vertraging[Zoeksleutel],0),Q$134-INDEX(aanname_implementatie[Totaal vertraging],MATCH($B140,IF(aanname_implementatie[Doelgroep]=$C140,aanname_implementatie[Digitale zorgtoepassing]),0)))</f>
        <v>0.98508414448286907</v>
      </c>
      <c r="R140" s="126" cm="1">
        <f t="array" ref="R140">INDEX(vertraging[[Vertraging 12 jaar]:[2034]],MATCH($F140,vertraging[Zoeksleutel],0),R$134-INDEX(aanname_implementatie[Totaal vertraging],MATCH($B140,IF(aanname_implementatie[Doelgroep]=$C140,aanname_implementatie[Digitale zorgtoepassing]),0)))</f>
        <v>0.99206905861789263</v>
      </c>
    </row>
    <row r="141" spans="1:33" x14ac:dyDescent="0.5">
      <c r="A141" s="30" t="str">
        <f>INDEX(Technologieën[Veld],MATCH(B141,Technologieën[Digitale zorgtoepassing],0))</f>
        <v>Software - Behandeling</v>
      </c>
      <c r="B141" s="30" t="s">
        <v>609</v>
      </c>
      <c r="C141" s="30" t="s">
        <v>81</v>
      </c>
      <c r="D141" s="30" t="str" cm="1">
        <f t="array" ref="D141">INDEX(Berekening_patiëntaantal[Direct toepasbaar/extrapolatie/incidentie voor QALY],MATCH(B141,IF(Berekening_patiëntaantal[Doelgroep (zoeksleutel)]=C141,Berekening_patiëntaantal[Digitale zorgtoepassing]),0))</f>
        <v>Huidige toepassing</v>
      </c>
      <c r="E141" s="440" t="s">
        <v>812</v>
      </c>
      <c r="F141" s="30" t="str">
        <f>CONCATENATE(implementatie[[#This Row],[Zorgtechnologie]],"_",implementatie[[#This Row],[Doelgroep]],"_",implementatie[[#This Row],[Uitgangssituatie/effect beleid]])</f>
        <v>(Zelf)zorgplatform + telebegeleiding_IBD_Effect beleid</v>
      </c>
      <c r="G141" s="126" cm="1">
        <f t="array" ref="G141">INDEX(vertraging[[Vertraging 12 jaar]:[2034]],MATCH($F141,vertraging[Zoeksleutel],0),G$134-INDEX(aanname_implementatie[Totaal vertraging],MATCH($B141,IF(aanname_implementatie[Doelgroep]=$C141,aanname_implementatie[Digitale zorgtoepassing]),0)))</f>
        <v>0.6</v>
      </c>
      <c r="H141" s="126" cm="1">
        <f t="array" ref="H141">INDEX(vertraging[[Vertraging 12 jaar]:[2034]],MATCH($F141,vertraging[Zoeksleutel],0),H$134-INDEX(aanname_implementatie[Totaal vertraging],MATCH($B141,IF(aanname_implementatie[Doelgroep]=$C141,aanname_implementatie[Digitale zorgtoepassing]),0)))</f>
        <v>0.71799999999999997</v>
      </c>
      <c r="I141" s="126" cm="1">
        <f t="array" ref="I141">INDEX(vertraging[[Vertraging 12 jaar]:[2034]],MATCH($F141,vertraging[Zoeksleutel],0),I$134-INDEX(aanname_implementatie[Totaal vertraging],MATCH($B141,IF(aanname_implementatie[Doelgroep]=$C141,aanname_implementatie[Digitale zorgtoepassing]),0)))</f>
        <v>0.81616420000000001</v>
      </c>
      <c r="J141" s="126" cm="1">
        <f t="array" ref="J141">INDEX(vertraging[[Vertraging 12 jaar]:[2034]],MATCH($F141,vertraging[Zoeksleutel],0),J$134-INDEX(aanname_implementatie[Totaal vertraging],MATCH($B141,IF(aanname_implementatie[Doelgroep]=$C141,aanname_implementatie[Digitale zorgtoepassing]),0)))</f>
        <v>0.88827818438726203</v>
      </c>
      <c r="K141" s="126" cm="1">
        <f t="array" ref="K141">INDEX(vertraging[[Vertraging 12 jaar]:[2034]],MATCH($F141,vertraging[Zoeksleutel],0),K$134-INDEX(aanname_implementatie[Totaal vertraging],MATCH($B141,IF(aanname_implementatie[Doelgroep]=$C141,aanname_implementatie[Digitale zorgtoepassing]),0)))</f>
        <v>0.93572925296559961</v>
      </c>
      <c r="L141" s="126" cm="1">
        <f t="array" ref="L141">INDEX(vertraging[[Vertraging 12 jaar]:[2034]],MATCH($F141,vertraging[Zoeksleutel],0),L$134-INDEX(aanname_implementatie[Totaal vertraging],MATCH($B141,IF(aanname_implementatie[Doelgroep]=$C141,aanname_implementatie[Digitale zorgtoepassing]),0)))</f>
        <v>0.9643990297909778</v>
      </c>
      <c r="M141" s="126" cm="1">
        <f t="array" ref="M141">INDEX(vertraging[[Vertraging 12 jaar]:[2034]],MATCH($F141,vertraging[Zoeksleutel],0),M$134-INDEX(aanname_implementatie[Totaal vertraging],MATCH($B141,IF(aanname_implementatie[Doelgroep]=$C141,aanname_implementatie[Digitale zorgtoepassing]),0)))</f>
        <v>0.98073914755434266</v>
      </c>
      <c r="N141" s="126" cm="1">
        <f t="array" ref="N141">INDEX(vertraging[[Vertraging 12 jaar]:[2034]],MATCH($F141,vertraging[Zoeksleutel],0),N$134-INDEX(aanname_implementatie[Totaal vertraging],MATCH($B141,IF(aanname_implementatie[Doelgroep]=$C141,aanname_implementatie[Digitale zorgtoepassing]),0)))</f>
        <v>0.98972111126940987</v>
      </c>
      <c r="O141" s="126" cm="1">
        <f t="array" ref="O141">INDEX(vertraging[[Vertraging 12 jaar]:[2034]],MATCH($F141,vertraging[Zoeksleutel],0),O$134-INDEX(aanname_implementatie[Totaal vertraging],MATCH($B141,IF(aanname_implementatie[Doelgroep]=$C141,aanname_implementatie[Digitale zorgtoepassing]),0)))</f>
        <v>0.99455603841734896</v>
      </c>
      <c r="P141" s="126" cm="1">
        <f t="array" ref="P141">INDEX(vertraging[[Vertraging 12 jaar]:[2034]],MATCH($F141,vertraging[Zoeksleutel],0),P$134-INDEX(aanname_implementatie[Totaal vertraging],MATCH($B141,IF(aanname_implementatie[Doelgroep]=$C141,aanname_implementatie[Digitale zorgtoepassing]),0)))</f>
        <v>0.9971285836461371</v>
      </c>
      <c r="Q141" s="126" cm="1">
        <f t="array" ref="Q141">INDEX(vertraging[[Vertraging 12 jaar]:[2034]],MATCH($F141,vertraging[Zoeksleutel],0),Q$134-INDEX(aanname_implementatie[Totaal vertraging],MATCH($B141,IF(aanname_implementatie[Doelgroep]=$C141,aanname_implementatie[Digitale zorgtoepassing]),0)))</f>
        <v>0.99848879614987718</v>
      </c>
      <c r="R141" s="126" cm="1">
        <f t="array" ref="R141">INDEX(vertraging[[Vertraging 12 jaar]:[2034]],MATCH($F141,vertraging[Zoeksleutel],0),R$134-INDEX(aanname_implementatie[Totaal vertraging],MATCH($B141,IF(aanname_implementatie[Doelgroep]=$C141,aanname_implementatie[Digitale zorgtoepassing]),0)))</f>
        <v>0.99920559029700107</v>
      </c>
    </row>
    <row r="142" spans="1:33" x14ac:dyDescent="0.5">
      <c r="A142" s="30" t="str">
        <f>INDEX(Technologieën[Veld],MATCH(B142,Technologieën[Digitale zorgtoepassing],0))</f>
        <v>Software - Behandeling</v>
      </c>
      <c r="B142" s="30" t="s">
        <v>609</v>
      </c>
      <c r="C142" s="30" t="s">
        <v>109</v>
      </c>
      <c r="D142" s="30" t="str" cm="1">
        <f t="array" ref="D142">INDEX(Berekening_patiëntaantal[Direct toepasbaar/extrapolatie/incidentie voor QALY],MATCH(B142,IF(Berekening_patiëntaantal[Doelgroep (zoeksleutel)]=C142,Berekening_patiëntaantal[Digitale zorgtoepassing]),0))</f>
        <v>Huidige toepassing</v>
      </c>
      <c r="E142" s="440" t="s">
        <v>812</v>
      </c>
      <c r="F142" s="30" t="str">
        <f>CONCATENATE(implementatie[[#This Row],[Zorgtechnologie]],"_",implementatie[[#This Row],[Doelgroep]],"_",implementatie[[#This Row],[Uitgangssituatie/effect beleid]])</f>
        <v>(Zelf)zorgplatform + telebegeleiding_MS_Effect beleid</v>
      </c>
      <c r="G142" s="126" cm="1">
        <f t="array" ref="G142">INDEX(vertraging[[Vertraging 12 jaar]:[2034]],MATCH($F142,vertraging[Zoeksleutel],0),G$134-INDEX(aanname_implementatie[Totaal vertraging],MATCH($B142,IF(aanname_implementatie[Doelgroep]=$C142,aanname_implementatie[Digitale zorgtoepassing]),0)))</f>
        <v>0.4</v>
      </c>
      <c r="H142" s="126" cm="1">
        <f t="array" ref="H142">INDEX(vertraging[[Vertraging 12 jaar]:[2034]],MATCH($F142,vertraging[Zoeksleutel],0),H$134-INDEX(aanname_implementatie[Totaal vertraging],MATCH($B142,IF(aanname_implementatie[Doelgroep]=$C142,aanname_implementatie[Digitale zorgtoepassing]),0)))</f>
        <v>0.52300000000000002</v>
      </c>
      <c r="I142" s="126" cm="1">
        <f t="array" ref="I142">INDEX(vertraging[[Vertraging 12 jaar]:[2034]],MATCH($F142,vertraging[Zoeksleutel],0),I$134-INDEX(aanname_implementatie[Totaal vertraging],MATCH($B142,IF(aanname_implementatie[Doelgroep]=$C142,aanname_implementatie[Digitale zorgtoepassing]),0)))</f>
        <v>0.64718695000000004</v>
      </c>
      <c r="J142" s="126" cm="1">
        <f t="array" ref="J142">INDEX(vertraging[[Vertraging 12 jaar]:[2034]],MATCH($F142,vertraging[Zoeksleutel],0),J$134-INDEX(aanname_implementatie[Totaal vertraging],MATCH($B142,IF(aanname_implementatie[Doelgroep]=$C142,aanname_implementatie[Digitale zorgtoepassing]),0)))</f>
        <v>0.75875847703736388</v>
      </c>
      <c r="K142" s="126" cm="1">
        <f t="array" ref="K142">INDEX(vertraging[[Vertraging 12 jaar]:[2034]],MATCH($F142,vertraging[Zoeksleutel],0),K$134-INDEX(aanname_implementatie[Totaal vertraging],MATCH($B142,IF(aanname_implementatie[Doelgroep]=$C142,aanname_implementatie[Digitale zorgtoepassing]),0)))</f>
        <v>0.84715933786401665</v>
      </c>
      <c r="L142" s="126" cm="1">
        <f t="array" ref="L142">INDEX(vertraging[[Vertraging 12 jaar]:[2034]],MATCH($F142,vertraging[Zoeksleutel],0),L$134-INDEX(aanname_implementatie[Totaal vertraging],MATCH($B142,IF(aanname_implementatie[Doelgroep]=$C142,aanname_implementatie[Digitale zorgtoepassing]),0)))</f>
        <v>0.90924653177763415</v>
      </c>
      <c r="M142" s="126" cm="1">
        <f t="array" ref="M142">INDEX(vertraging[[Vertraging 12 jaar]:[2034]],MATCH($F142,vertraging[Zoeksleutel],0),M$134-INDEX(aanname_implementatie[Totaal vertraging],MATCH($B142,IF(aanname_implementatie[Doelgroep]=$C142,aanname_implementatie[Digitale zorgtoepassing]),0)))</f>
        <v>0.94864814278578335</v>
      </c>
      <c r="N142" s="126" cm="1">
        <f t="array" ref="N142">INDEX(vertraging[[Vertraging 12 jaar]:[2034]],MATCH($F142,vertraging[Zoeksleutel],0),N$134-INDEX(aanname_implementatie[Totaal vertraging],MATCH($B142,IF(aanname_implementatie[Doelgroep]=$C142,aanname_implementatie[Digitale zorgtoepassing]),0)))</f>
        <v>0.97185361900482903</v>
      </c>
      <c r="O142" s="126" cm="1">
        <f t="array" ref="O142">INDEX(vertraging[[Vertraging 12 jaar]:[2034]],MATCH($F142,vertraging[Zoeksleutel],0),O$134-INDEX(aanname_implementatie[Totaal vertraging],MATCH($B142,IF(aanname_implementatie[Doelgroep]=$C142,aanname_implementatie[Digitale zorgtoepassing]),0)))</f>
        <v>0.98486665153412889</v>
      </c>
      <c r="P142" s="126" cm="1">
        <f t="array" ref="P142">INDEX(vertraging[[Vertraging 12 jaar]:[2034]],MATCH($F142,vertraging[Zoeksleutel],0),P$134-INDEX(aanname_implementatie[Totaal vertraging],MATCH($B142,IF(aanname_implementatie[Doelgroep]=$C142,aanname_implementatie[Digitale zorgtoepassing]),0)))</f>
        <v>0.99195193384931235</v>
      </c>
      <c r="Q142" s="126" cm="1">
        <f t="array" ref="Q142">INDEX(vertraging[[Vertraging 12 jaar]:[2034]],MATCH($F142,vertraging[Zoeksleutel],0),Q$134-INDEX(aanname_implementatie[Totaal vertraging],MATCH($B142,IF(aanname_implementatie[Doelgroep]=$C142,aanname_implementatie[Digitale zorgtoepassing]),0)))</f>
        <v>0.99574561815494433</v>
      </c>
      <c r="R142" s="126" cm="1">
        <f t="array" ref="R142">INDEX(vertraging[[Vertraging 12 jaar]:[2034]],MATCH($F142,vertraging[Zoeksleutel],0),R$134-INDEX(aanname_implementatie[Totaal vertraging],MATCH($B142,IF(aanname_implementatie[Doelgroep]=$C142,aanname_implementatie[Digitale zorgtoepassing]),0)))</f>
        <v>0.99775830463714821</v>
      </c>
    </row>
    <row r="143" spans="1:33" x14ac:dyDescent="0.5">
      <c r="A143" s="30" t="str">
        <f>INDEX(Technologieën[Veld],MATCH(B143,Technologieën[Digitale zorgtoepassing],0))</f>
        <v>Software - Behandeling</v>
      </c>
      <c r="B143" s="30" t="s">
        <v>609</v>
      </c>
      <c r="C143" s="30" t="s">
        <v>597</v>
      </c>
      <c r="D143" s="30" t="str" cm="1">
        <f t="array" ref="D143">INDEX(Berekening_patiëntaantal[Direct toepasbaar/extrapolatie/incidentie voor QALY],MATCH(B143,IF(Berekening_patiëntaantal[Doelgroep (zoeksleutel)]=C143,Berekening_patiëntaantal[Digitale zorgtoepassing]),0))</f>
        <v>Extrapolatie</v>
      </c>
      <c r="E143" s="440" t="s">
        <v>812</v>
      </c>
      <c r="F143" s="30" t="str">
        <f>CONCATENATE(implementatie[[#This Row],[Zorgtechnologie]],"_",implementatie[[#This Row],[Doelgroep]],"_",implementatie[[#This Row],[Uitgangssituatie/effect beleid]])</f>
        <v>(Zelf)zorgplatform + telebegeleiding_Overig_chronisch_Effect beleid</v>
      </c>
      <c r="G143" s="126" cm="1">
        <f t="array" ref="G143">INDEX(vertraging[[Vertraging 12 jaar]:[2034]],MATCH($F143,vertraging[Zoeksleutel],0),G$134-INDEX(aanname_implementatie[Totaal vertraging],MATCH($B143,IF(aanname_implementatie[Doelgroep]=$C143,aanname_implementatie[Digitale zorgtoepassing]),0)))</f>
        <v>0</v>
      </c>
      <c r="H143" s="126" cm="1">
        <f t="array" ref="H143">INDEX(vertraging[[Vertraging 12 jaar]:[2034]],MATCH($F143,vertraging[Zoeksleutel],0),H$134-INDEX(aanname_implementatie[Totaal vertraging],MATCH($B143,IF(aanname_implementatie[Doelgroep]=$C143,aanname_implementatie[Digitale zorgtoepassing]),0)))</f>
        <v>0</v>
      </c>
      <c r="I143" s="126" cm="1">
        <f t="array" ref="I143">INDEX(vertraging[[Vertraging 12 jaar]:[2034]],MATCH($F143,vertraging[Zoeksleutel],0),I$134-INDEX(aanname_implementatie[Totaal vertraging],MATCH($B143,IF(aanname_implementatie[Doelgroep]=$C143,aanname_implementatie[Digitale zorgtoepassing]),0)))</f>
        <v>0</v>
      </c>
      <c r="J143" s="126" cm="1">
        <f t="array" ref="J143">INDEX(vertraging[[Vertraging 12 jaar]:[2034]],MATCH($F143,vertraging[Zoeksleutel],0),J$134-INDEX(aanname_implementatie[Totaal vertraging],MATCH($B143,IF(aanname_implementatie[Doelgroep]=$C143,aanname_implementatie[Digitale zorgtoepassing]),0)))</f>
        <v>0</v>
      </c>
      <c r="K143" s="126" cm="1">
        <f t="array" ref="K143">INDEX(vertraging[[Vertraging 12 jaar]:[2034]],MATCH($F143,vertraging[Zoeksleutel],0),K$134-INDEX(aanname_implementatie[Totaal vertraging],MATCH($B143,IF(aanname_implementatie[Doelgroep]=$C143,aanname_implementatie[Digitale zorgtoepassing]),0)))</f>
        <v>2.5000000000000001E-2</v>
      </c>
      <c r="L143" s="126" cm="1">
        <f t="array" ref="L143">INDEX(vertraging[[Vertraging 12 jaar]:[2034]],MATCH($F143,vertraging[Zoeksleutel],0),L$134-INDEX(aanname_implementatie[Totaal vertraging],MATCH($B143,IF(aanname_implementatie[Doelgroep]=$C143,aanname_implementatie[Digitale zorgtoepassing]),0)))</f>
        <v>6.0343750000000002E-2</v>
      </c>
      <c r="M143" s="126" cm="1">
        <f t="array" ref="M143">INDEX(vertraging[[Vertraging 12 jaar]:[2034]],MATCH($F143,vertraging[Zoeksleutel],0),M$134-INDEX(aanname_implementatie[Totaal vertraging],MATCH($B143,IF(aanname_implementatie[Doelgroep]=$C143,aanname_implementatie[Digitale zorgtoepassing]),0)))</f>
        <v>0.10935122807617187</v>
      </c>
      <c r="N143" s="126" cm="1">
        <f t="array" ref="N143">INDEX(vertraging[[Vertraging 12 jaar]:[2034]],MATCH($F143,vertraging[Zoeksleutel],0),N$134-INDEX(aanname_implementatie[Totaal vertraging],MATCH($B143,IF(aanname_implementatie[Doelgroep]=$C143,aanname_implementatie[Digitale zorgtoepassing]),0)))</f>
        <v>0.17544453902174978</v>
      </c>
      <c r="O143" s="126" cm="1">
        <f t="array" ref="O143">INDEX(vertraging[[Vertraging 12 jaar]:[2034]],MATCH($F143,vertraging[Zoeksleutel],0),O$134-INDEX(aanname_implementatie[Totaal vertraging],MATCH($B143,IF(aanname_implementatie[Doelgroep]=$C143,aanname_implementatie[Digitale zorgtoepassing]),0)))</f>
        <v>0.26115711428334398</v>
      </c>
      <c r="P143" s="126" cm="1">
        <f t="array" ref="P143">INDEX(vertraging[[Vertraging 12 jaar]:[2034]],MATCH($F143,vertraging[Zoeksleutel],0),P$134-INDEX(aanname_implementatie[Totaal vertraging],MATCH($B143,IF(aanname_implementatie[Doelgroep]=$C143,aanname_implementatie[Digitale zorgtoepassing]),0)))</f>
        <v>0.36645752060040354</v>
      </c>
      <c r="Q143" s="126" cm="1">
        <f t="array" ref="Q143">INDEX(vertraging[[Vertraging 12 jaar]:[2034]],MATCH($F143,vertraging[Zoeksleutel],0),Q$134-INDEX(aanname_implementatie[Totaal vertraging],MATCH($B143,IF(aanname_implementatie[Doelgroep]=$C143,aanname_implementatie[Digitale zorgtoepassing]),0)))</f>
        <v>0.48677096537350723</v>
      </c>
      <c r="R143" s="126" cm="1">
        <f t="array" ref="R143">INDEX(vertraging[[Vertraging 12 jaar]:[2034]],MATCH($F143,vertraging[Zoeksleutel],0),R$134-INDEX(aanname_implementatie[Totaal vertraging],MATCH($B143,IF(aanname_implementatie[Doelgroep]=$C143,aanname_implementatie[Digitale zorgtoepassing]),0)))</f>
        <v>0.61202293792845253</v>
      </c>
    </row>
    <row r="144" spans="1:33" x14ac:dyDescent="0.5">
      <c r="A144" s="30" t="str">
        <f>INDEX(Technologieën[Veld],MATCH(B144,Technologieën[Digitale zorgtoepassing],0))</f>
        <v>Software - Diagnose</v>
      </c>
      <c r="B144" s="30" t="s">
        <v>474</v>
      </c>
      <c r="C144" s="30" t="s">
        <v>111</v>
      </c>
      <c r="D144" s="30" t="str" cm="1">
        <f t="array" ref="D144">INDEX(Berekening_patiëntaantal[Direct toepasbaar/extrapolatie/incidentie voor QALY],MATCH(B144,IF(Berekening_patiëntaantal[Doelgroep (zoeksleutel)]=C144,Berekening_patiëntaantal[Digitale zorgtoepassing]),0))</f>
        <v>Huidige toepassing</v>
      </c>
      <c r="E144" s="440" t="s">
        <v>812</v>
      </c>
      <c r="F144" s="30" t="str">
        <f>CONCATENATE(implementatie[[#This Row],[Zorgtechnologie]],"_",implementatie[[#This Row],[Doelgroep]],"_",implementatie[[#This Row],[Uitgangssituatie/effect beleid]])</f>
        <v>AI om diagnoses te stellen (app)_Huisartsconsult_Goedaardige huidplek_Effect beleid</v>
      </c>
      <c r="G144" s="126" cm="1">
        <f t="array" ref="G144">INDEX(vertraging[[Vertraging 12 jaar]:[2034]],MATCH($F144,vertraging[Zoeksleutel],0),G$134-INDEX(aanname_implementatie[Totaal vertraging],MATCH($B144,IF(aanname_implementatie[Doelgroep]=$C144,aanname_implementatie[Digitale zorgtoepassing]),0)))</f>
        <v>0.4</v>
      </c>
      <c r="H144" s="126" cm="1">
        <f t="array" ref="H144">INDEX(vertraging[[Vertraging 12 jaar]:[2034]],MATCH($F144,vertraging[Zoeksleutel],0),H$134-INDEX(aanname_implementatie[Totaal vertraging],MATCH($B144,IF(aanname_implementatie[Doelgroep]=$C144,aanname_implementatie[Digitale zorgtoepassing]),0)))</f>
        <v>0.53800000000000003</v>
      </c>
      <c r="I144" s="126" cm="1">
        <f t="array" ref="I144">INDEX(vertraging[[Vertraging 12 jaar]:[2034]],MATCH($F144,vertraging[Zoeksleutel],0),I$134-INDEX(aanname_implementatie[Totaal vertraging],MATCH($B144,IF(aanname_implementatie[Doelgroep]=$C144,aanname_implementatie[Digitale zorgtoepassing]),0)))</f>
        <v>0.67613800000000002</v>
      </c>
      <c r="J144" s="126" cm="1">
        <f t="array" ref="J144">INDEX(vertraging[[Vertraging 12 jaar]:[2034]],MATCH($F144,vertraging[Zoeksleutel],0),J$134-INDEX(aanname_implementatie[Totaal vertraging],MATCH($B144,IF(aanname_implementatie[Doelgroep]=$C144,aanname_implementatie[Digitale zorgtoepassing]),0)))</f>
        <v>0.79534156247800003</v>
      </c>
      <c r="K144" s="126" cm="1">
        <f t="array" ref="K144">INDEX(vertraging[[Vertraging 12 jaar]:[2034]],MATCH($F144,vertraging[Zoeksleutel],0),K$134-INDEX(aanname_implementatie[Totaal vertraging],MATCH($B144,IF(aanname_implementatie[Doelgroep]=$C144,aanname_implementatie[Digitale zorgtoepassing]),0)))</f>
        <v>0.88286799634018676</v>
      </c>
      <c r="L144" s="126" cm="1">
        <f t="array" ref="L144">INDEX(vertraging[[Vertraging 12 jaar]:[2034]],MATCH($F144,vertraging[Zoeksleutel],0),L$134-INDEX(aanname_implementatie[Totaal vertraging],MATCH($B144,IF(aanname_implementatie[Doelgroep]=$C144,aanname_implementatie[Digitale zorgtoepassing]),0)))</f>
        <v>0.93808800513920654</v>
      </c>
      <c r="M144" s="126" cm="1">
        <f t="array" ref="M144">INDEX(vertraging[[Vertraging 12 jaar]:[2034]],MATCH($F144,vertraging[Zoeksleutel],0),M$134-INDEX(aanname_implementatie[Totaal vertraging],MATCH($B144,IF(aanname_implementatie[Doelgroep]=$C144,aanname_implementatie[Digitale zorgtoepassing]),0)))</f>
        <v>0.96898481486160559</v>
      </c>
      <c r="N144" s="126" cm="1">
        <f t="array" ref="N144">INDEX(vertraging[[Vertraging 12 jaar]:[2034]],MATCH($F144,vertraging[Zoeksleutel],0),N$134-INDEX(aanname_implementatie[Totaal vertraging],MATCH($B144,IF(aanname_implementatie[Doelgroep]=$C144,aanname_implementatie[Digitale zorgtoepassing]),0)))</f>
        <v>0.9849418921303702</v>
      </c>
      <c r="O144" s="126" cm="1">
        <f t="array" ref="O144">INDEX(vertraging[[Vertraging 12 jaar]:[2034]],MATCH($F144,vertraging[Zoeksleutel],0),O$134-INDEX(aanname_implementatie[Totaal vertraging],MATCH($B144,IF(aanname_implementatie[Doelgroep]=$C144,aanname_implementatie[Digitale zorgtoepassing]),0)))</f>
        <v>0.99280931599496725</v>
      </c>
      <c r="P144" s="126" cm="1">
        <f t="array" ref="P144">INDEX(vertraging[[Vertraging 12 jaar]:[2034]],MATCH($F144,vertraging[Zoeksleutel],0),P$134-INDEX(aanname_implementatie[Totaal vertraging],MATCH($B144,IF(aanname_implementatie[Doelgroep]=$C144,aanname_implementatie[Digitale zorgtoepassing]),0)))</f>
        <v>0.99659452554940442</v>
      </c>
      <c r="Q144" s="126" cm="1">
        <f t="array" ref="Q144">INDEX(vertraging[[Vertraging 12 jaar]:[2034]],MATCH($F144,vertraging[Zoeksleutel],0),Q$134-INDEX(aanname_implementatie[Totaal vertraging],MATCH($B144,IF(aanname_implementatie[Doelgroep]=$C144,aanname_implementatie[Digitale zorgtoepassing]),0)))</f>
        <v>0.99839362838010326</v>
      </c>
      <c r="R144" s="126" cm="1">
        <f t="array" ref="R144">INDEX(vertraging[[Vertraging 12 jaar]:[2034]],MATCH($F144,vertraging[Zoeksleutel],0),R$134-INDEX(aanname_implementatie[Totaal vertraging],MATCH($B144,IF(aanname_implementatie[Doelgroep]=$C144,aanname_implementatie[Digitale zorgtoepassing]),0)))</f>
        <v>0.99924371512375787</v>
      </c>
    </row>
    <row r="145" spans="1:18" x14ac:dyDescent="0.5">
      <c r="A145" s="30" t="str">
        <f>INDEX(Technologieën[Veld],MATCH(B145,Technologieën[Digitale zorgtoepassing],0))</f>
        <v>Software - Diagnose</v>
      </c>
      <c r="B145" s="30" t="s">
        <v>473</v>
      </c>
      <c r="C145" s="30" t="s">
        <v>455</v>
      </c>
      <c r="D145" s="30" t="str" cm="1">
        <f t="array" ref="D145">INDEX(Berekening_patiëntaantal[Direct toepasbaar/extrapolatie/incidentie voor QALY],MATCH(B145,IF(Berekening_patiëntaantal[Doelgroep (zoeksleutel)]=C145,Berekening_patiëntaantal[Digitale zorgtoepassing]),0))</f>
        <v>Huidige toepassing</v>
      </c>
      <c r="E145" s="440" t="s">
        <v>812</v>
      </c>
      <c r="F145" s="33" t="str">
        <f>CONCATENATE(implementatie[[#This Row],[Zorgtechnologie]],"_",implementatie[[#This Row],[Doelgroep]],"_",implementatie[[#This Row],[Uitgangssituatie/effect beleid]])</f>
        <v>AI om diagnoses te stellen (CT)_CT scan_Interstitiële longaandoening_Effect beleid</v>
      </c>
      <c r="G145" s="126" cm="1">
        <f t="array" ref="G145">INDEX(vertraging[[Vertraging 12 jaar]:[2034]],MATCH($F145,vertraging[Zoeksleutel],0),G$134-INDEX(aanname_implementatie[Totaal vertraging],MATCH($B145,IF(aanname_implementatie[Doelgroep]=$C145,aanname_implementatie[Digitale zorgtoepassing]),0)))</f>
        <v>0.4</v>
      </c>
      <c r="H145" s="126" cm="1">
        <f t="array" ref="H145">INDEX(vertraging[[Vertraging 12 jaar]:[2034]],MATCH($F145,vertraging[Zoeksleutel],0),H$134-INDEX(aanname_implementatie[Totaal vertraging],MATCH($B145,IF(aanname_implementatie[Doelgroep]=$C145,aanname_implementatie[Digitale zorgtoepassing]),0)))</f>
        <v>0.53800000000000003</v>
      </c>
      <c r="I145" s="126" cm="1">
        <f t="array" ref="I145">INDEX(vertraging[[Vertraging 12 jaar]:[2034]],MATCH($F145,vertraging[Zoeksleutel],0),I$134-INDEX(aanname_implementatie[Totaal vertraging],MATCH($B145,IF(aanname_implementatie[Doelgroep]=$C145,aanname_implementatie[Digitale zorgtoepassing]),0)))</f>
        <v>0.67613800000000002</v>
      </c>
      <c r="J145" s="126" cm="1">
        <f t="array" ref="J145">INDEX(vertraging[[Vertraging 12 jaar]:[2034]],MATCH($F145,vertraging[Zoeksleutel],0),J$134-INDEX(aanname_implementatie[Totaal vertraging],MATCH($B145,IF(aanname_implementatie[Doelgroep]=$C145,aanname_implementatie[Digitale zorgtoepassing]),0)))</f>
        <v>0.79534156247800003</v>
      </c>
      <c r="K145" s="126" cm="1">
        <f t="array" ref="K145">INDEX(vertraging[[Vertraging 12 jaar]:[2034]],MATCH($F145,vertraging[Zoeksleutel],0),K$134-INDEX(aanname_implementatie[Totaal vertraging],MATCH($B145,IF(aanname_implementatie[Doelgroep]=$C145,aanname_implementatie[Digitale zorgtoepassing]),0)))</f>
        <v>0.88286799634018676</v>
      </c>
      <c r="L145" s="126" cm="1">
        <f t="array" ref="L145">INDEX(vertraging[[Vertraging 12 jaar]:[2034]],MATCH($F145,vertraging[Zoeksleutel],0),L$134-INDEX(aanname_implementatie[Totaal vertraging],MATCH($B145,IF(aanname_implementatie[Doelgroep]=$C145,aanname_implementatie[Digitale zorgtoepassing]),0)))</f>
        <v>0.93808800513920654</v>
      </c>
      <c r="M145" s="126" cm="1">
        <f t="array" ref="M145">INDEX(vertraging[[Vertraging 12 jaar]:[2034]],MATCH($F145,vertraging[Zoeksleutel],0),M$134-INDEX(aanname_implementatie[Totaal vertraging],MATCH($B145,IF(aanname_implementatie[Doelgroep]=$C145,aanname_implementatie[Digitale zorgtoepassing]),0)))</f>
        <v>0.96898481486160559</v>
      </c>
      <c r="N145" s="126" cm="1">
        <f t="array" ref="N145">INDEX(vertraging[[Vertraging 12 jaar]:[2034]],MATCH($F145,vertraging[Zoeksleutel],0),N$134-INDEX(aanname_implementatie[Totaal vertraging],MATCH($B145,IF(aanname_implementatie[Doelgroep]=$C145,aanname_implementatie[Digitale zorgtoepassing]),0)))</f>
        <v>0.9849418921303702</v>
      </c>
      <c r="O145" s="126" cm="1">
        <f t="array" ref="O145">INDEX(vertraging[[Vertraging 12 jaar]:[2034]],MATCH($F145,vertraging[Zoeksleutel],0),O$134-INDEX(aanname_implementatie[Totaal vertraging],MATCH($B145,IF(aanname_implementatie[Doelgroep]=$C145,aanname_implementatie[Digitale zorgtoepassing]),0)))</f>
        <v>0.99280931599496725</v>
      </c>
      <c r="P145" s="126" cm="1">
        <f t="array" ref="P145">INDEX(vertraging[[Vertraging 12 jaar]:[2034]],MATCH($F145,vertraging[Zoeksleutel],0),P$134-INDEX(aanname_implementatie[Totaal vertraging],MATCH($B145,IF(aanname_implementatie[Doelgroep]=$C145,aanname_implementatie[Digitale zorgtoepassing]),0)))</f>
        <v>0.99659452554940442</v>
      </c>
      <c r="Q145" s="126" cm="1">
        <f t="array" ref="Q145">INDEX(vertraging[[Vertraging 12 jaar]:[2034]],MATCH($F145,vertraging[Zoeksleutel],0),Q$134-INDEX(aanname_implementatie[Totaal vertraging],MATCH($B145,IF(aanname_implementatie[Doelgroep]=$C145,aanname_implementatie[Digitale zorgtoepassing]),0)))</f>
        <v>0.99839362838010326</v>
      </c>
      <c r="R145" s="126" cm="1">
        <f t="array" ref="R145">INDEX(vertraging[[Vertraging 12 jaar]:[2034]],MATCH($F145,vertraging[Zoeksleutel],0),R$134-INDEX(aanname_implementatie[Totaal vertraging],MATCH($B145,IF(aanname_implementatie[Doelgroep]=$C145,aanname_implementatie[Digitale zorgtoepassing]),0)))</f>
        <v>0.99924371512375787</v>
      </c>
    </row>
    <row r="146" spans="1:18" x14ac:dyDescent="0.5">
      <c r="A146" s="30" t="str">
        <f>INDEX(Technologieën[Veld],MATCH(B146,Technologieën[Digitale zorgtoepassing],0))</f>
        <v>Software - Diagnose</v>
      </c>
      <c r="B146" s="30" t="s">
        <v>473</v>
      </c>
      <c r="C146" s="30" t="s">
        <v>451</v>
      </c>
      <c r="D146" s="30" t="str" cm="1">
        <f t="array" ref="D146">INDEX(Berekening_patiëntaantal[Direct toepasbaar/extrapolatie/incidentie voor QALY],MATCH(B146,IF(Berekening_patiëntaantal[Doelgroep (zoeksleutel)]=C146,Berekening_patiëntaantal[Digitale zorgtoepassing]),0))</f>
        <v>Huidige toepassing</v>
      </c>
      <c r="E146" s="440" t="s">
        <v>812</v>
      </c>
      <c r="F146" s="33" t="str">
        <f>CONCATENATE(implementatie[[#This Row],[Zorgtechnologie]],"_",implementatie[[#This Row],[Doelgroep]],"_",implementatie[[#This Row],[Uitgangssituatie/effect beleid]])</f>
        <v>AI om diagnoses te stellen (CT)_CT scan_Longkanker_Effect beleid</v>
      </c>
      <c r="G146" s="126" cm="1">
        <f t="array" ref="G146">INDEX(vertraging[[Vertraging 12 jaar]:[2034]],MATCH($F146,vertraging[Zoeksleutel],0),G$134-INDEX(aanname_implementatie[Totaal vertraging],MATCH($B146,IF(aanname_implementatie[Doelgroep]=$C146,aanname_implementatie[Digitale zorgtoepassing]),0)))</f>
        <v>0.4</v>
      </c>
      <c r="H146" s="126" cm="1">
        <f t="array" ref="H146">INDEX(vertraging[[Vertraging 12 jaar]:[2034]],MATCH($F146,vertraging[Zoeksleutel],0),H$134-INDEX(aanname_implementatie[Totaal vertraging],MATCH($B146,IF(aanname_implementatie[Doelgroep]=$C146,aanname_implementatie[Digitale zorgtoepassing]),0)))</f>
        <v>0.53800000000000003</v>
      </c>
      <c r="I146" s="126" cm="1">
        <f t="array" ref="I146">INDEX(vertraging[[Vertraging 12 jaar]:[2034]],MATCH($F146,vertraging[Zoeksleutel],0),I$134-INDEX(aanname_implementatie[Totaal vertraging],MATCH($B146,IF(aanname_implementatie[Doelgroep]=$C146,aanname_implementatie[Digitale zorgtoepassing]),0)))</f>
        <v>0.67613800000000002</v>
      </c>
      <c r="J146" s="126" cm="1">
        <f t="array" ref="J146">INDEX(vertraging[[Vertraging 12 jaar]:[2034]],MATCH($F146,vertraging[Zoeksleutel],0),J$134-INDEX(aanname_implementatie[Totaal vertraging],MATCH($B146,IF(aanname_implementatie[Doelgroep]=$C146,aanname_implementatie[Digitale zorgtoepassing]),0)))</f>
        <v>0.79534156247800003</v>
      </c>
      <c r="K146" s="126" cm="1">
        <f t="array" ref="K146">INDEX(vertraging[[Vertraging 12 jaar]:[2034]],MATCH($F146,vertraging[Zoeksleutel],0),K$134-INDEX(aanname_implementatie[Totaal vertraging],MATCH($B146,IF(aanname_implementatie[Doelgroep]=$C146,aanname_implementatie[Digitale zorgtoepassing]),0)))</f>
        <v>0.88286799634018676</v>
      </c>
      <c r="L146" s="126" cm="1">
        <f t="array" ref="L146">INDEX(vertraging[[Vertraging 12 jaar]:[2034]],MATCH($F146,vertraging[Zoeksleutel],0),L$134-INDEX(aanname_implementatie[Totaal vertraging],MATCH($B146,IF(aanname_implementatie[Doelgroep]=$C146,aanname_implementatie[Digitale zorgtoepassing]),0)))</f>
        <v>0.93808800513920654</v>
      </c>
      <c r="M146" s="126" cm="1">
        <f t="array" ref="M146">INDEX(vertraging[[Vertraging 12 jaar]:[2034]],MATCH($F146,vertraging[Zoeksleutel],0),M$134-INDEX(aanname_implementatie[Totaal vertraging],MATCH($B146,IF(aanname_implementatie[Doelgroep]=$C146,aanname_implementatie[Digitale zorgtoepassing]),0)))</f>
        <v>0.96898481486160559</v>
      </c>
      <c r="N146" s="126" cm="1">
        <f t="array" ref="N146">INDEX(vertraging[[Vertraging 12 jaar]:[2034]],MATCH($F146,vertraging[Zoeksleutel],0),N$134-INDEX(aanname_implementatie[Totaal vertraging],MATCH($B146,IF(aanname_implementatie[Doelgroep]=$C146,aanname_implementatie[Digitale zorgtoepassing]),0)))</f>
        <v>0.9849418921303702</v>
      </c>
      <c r="O146" s="126" cm="1">
        <f t="array" ref="O146">INDEX(vertraging[[Vertraging 12 jaar]:[2034]],MATCH($F146,vertraging[Zoeksleutel],0),O$134-INDEX(aanname_implementatie[Totaal vertraging],MATCH($B146,IF(aanname_implementatie[Doelgroep]=$C146,aanname_implementatie[Digitale zorgtoepassing]),0)))</f>
        <v>0.99280931599496725</v>
      </c>
      <c r="P146" s="126" cm="1">
        <f t="array" ref="P146">INDEX(vertraging[[Vertraging 12 jaar]:[2034]],MATCH($F146,vertraging[Zoeksleutel],0),P$134-INDEX(aanname_implementatie[Totaal vertraging],MATCH($B146,IF(aanname_implementatie[Doelgroep]=$C146,aanname_implementatie[Digitale zorgtoepassing]),0)))</f>
        <v>0.99659452554940442</v>
      </c>
      <c r="Q146" s="126" cm="1">
        <f t="array" ref="Q146">INDEX(vertraging[[Vertraging 12 jaar]:[2034]],MATCH($F146,vertraging[Zoeksleutel],0),Q$134-INDEX(aanname_implementatie[Totaal vertraging],MATCH($B146,IF(aanname_implementatie[Doelgroep]=$C146,aanname_implementatie[Digitale zorgtoepassing]),0)))</f>
        <v>0.99839362838010326</v>
      </c>
      <c r="R146" s="126" cm="1">
        <f t="array" ref="R146">INDEX(vertraging[[Vertraging 12 jaar]:[2034]],MATCH($F146,vertraging[Zoeksleutel],0),R$134-INDEX(aanname_implementatie[Totaal vertraging],MATCH($B146,IF(aanname_implementatie[Doelgroep]=$C146,aanname_implementatie[Digitale zorgtoepassing]),0)))</f>
        <v>0.99924371512375787</v>
      </c>
    </row>
    <row r="147" spans="1:18" x14ac:dyDescent="0.5">
      <c r="A147" s="30" t="str">
        <f>INDEX(Technologieën[Veld],MATCH(B147,Technologieën[Digitale zorgtoepassing],0))</f>
        <v>Software - Diagnose</v>
      </c>
      <c r="B147" s="30" t="s">
        <v>473</v>
      </c>
      <c r="C147" s="30" t="s">
        <v>464</v>
      </c>
      <c r="D147" s="30" t="str" cm="1">
        <f t="array" ref="D147">INDEX(Berekening_patiëntaantal[Direct toepasbaar/extrapolatie/incidentie voor QALY],MATCH(B147,IF(Berekening_patiëntaantal[Doelgroep (zoeksleutel)]=C147,Berekening_patiëntaantal[Digitale zorgtoepassing]),0))</f>
        <v>Extrapolatie</v>
      </c>
      <c r="E147" s="440" t="s">
        <v>812</v>
      </c>
      <c r="F147" s="33" t="str">
        <f>CONCATENATE(implementatie[[#This Row],[Zorgtechnologie]],"_",implementatie[[#This Row],[Doelgroep]],"_",implementatie[[#This Row],[Uitgangssituatie/effect beleid]])</f>
        <v>AI om diagnoses te stellen (CT)_CT scan_Overig_Effect beleid</v>
      </c>
      <c r="G147" s="126" cm="1">
        <f t="array" ref="G147">INDEX(vertraging[[Vertraging 12 jaar]:[2034]],MATCH($F147,vertraging[Zoeksleutel],0),G$134-INDEX(aanname_implementatie[Totaal vertraging],MATCH($B147,IF(aanname_implementatie[Doelgroep]=$C147,aanname_implementatie[Digitale zorgtoepassing]),0)))</f>
        <v>0</v>
      </c>
      <c r="H147" s="126" cm="1">
        <f t="array" ref="H147">INDEX(vertraging[[Vertraging 12 jaar]:[2034]],MATCH($F147,vertraging[Zoeksleutel],0),H$134-INDEX(aanname_implementatie[Totaal vertraging],MATCH($B147,IF(aanname_implementatie[Doelgroep]=$C147,aanname_implementatie[Digitale zorgtoepassing]),0)))</f>
        <v>0</v>
      </c>
      <c r="I147" s="126" cm="1">
        <f t="array" ref="I147">INDEX(vertraging[[Vertraging 12 jaar]:[2034]],MATCH($F147,vertraging[Zoeksleutel],0),I$134-INDEX(aanname_implementatie[Totaal vertraging],MATCH($B147,IF(aanname_implementatie[Doelgroep]=$C147,aanname_implementatie[Digitale zorgtoepassing]),0)))</f>
        <v>0</v>
      </c>
      <c r="J147" s="126" cm="1">
        <f t="array" ref="J147">INDEX(vertraging[[Vertraging 12 jaar]:[2034]],MATCH($F147,vertraging[Zoeksleutel],0),J$134-INDEX(aanname_implementatie[Totaal vertraging],MATCH($B147,IF(aanname_implementatie[Doelgroep]=$C147,aanname_implementatie[Digitale zorgtoepassing]),0)))</f>
        <v>0</v>
      </c>
      <c r="K147" s="126" cm="1">
        <f t="array" ref="K147">INDEX(vertraging[[Vertraging 12 jaar]:[2034]],MATCH($F147,vertraging[Zoeksleutel],0),K$134-INDEX(aanname_implementatie[Totaal vertraging],MATCH($B147,IF(aanname_implementatie[Doelgroep]=$C147,aanname_implementatie[Digitale zorgtoepassing]),0)))</f>
        <v>0.03</v>
      </c>
      <c r="L147" s="126" cm="1">
        <f t="array" ref="L147">INDEX(vertraging[[Vertraging 12 jaar]:[2034]],MATCH($F147,vertraging[Zoeksleutel],0),L$134-INDEX(aanname_implementatie[Totaal vertraging],MATCH($B147,IF(aanname_implementatie[Doelgroep]=$C147,aanname_implementatie[Digitale zorgtoepassing]),0)))</f>
        <v>7.3649999999999993E-2</v>
      </c>
      <c r="M147" s="126" cm="1">
        <f t="array" ref="M147">INDEX(vertraging[[Vertraging 12 jaar]:[2034]],MATCH($F147,vertraging[Zoeksleutel],0),M$134-INDEX(aanname_implementatie[Totaal vertraging],MATCH($B147,IF(aanname_implementatie[Doelgroep]=$C147,aanname_implementatie[Digitale zorgtoepassing]),0)))</f>
        <v>0.13555333874999997</v>
      </c>
      <c r="N147" s="126" cm="1">
        <f t="array" ref="N147">INDEX(vertraging[[Vertraging 12 jaar]:[2034]],MATCH($F147,vertraging[Zoeksleutel],0),N$134-INDEX(aanname_implementatie[Totaal vertraging],MATCH($B147,IF(aanname_implementatie[Doelgroep]=$C147,aanname_implementatie[Digitale zorgtoepassing]),0)))</f>
        <v>0.22007605413936385</v>
      </c>
      <c r="O147" s="126" cm="1">
        <f t="array" ref="O147">INDEX(vertraging[[Vertraging 12 jaar]:[2034]],MATCH($F147,vertraging[Zoeksleutel],0),O$134-INDEX(aanname_implementatie[Totaal vertraging],MATCH($B147,IF(aanname_implementatie[Doelgroep]=$C147,aanname_implementatie[Digitale zorgtoepassing]),0)))</f>
        <v>0.32929506478208875</v>
      </c>
      <c r="P147" s="126" cm="1">
        <f t="array" ref="P147">INDEX(vertraging[[Vertraging 12 jaar]:[2034]],MATCH($F147,vertraging[Zoeksleutel],0),P$134-INDEX(aanname_implementatie[Totaal vertraging],MATCH($B147,IF(aanname_implementatie[Doelgroep]=$C147,aanname_implementatie[Digitale zorgtoepassing]),0)))</f>
        <v>0.4598461253847505</v>
      </c>
      <c r="Q147" s="126" cm="1">
        <f t="array" ref="Q147">INDEX(vertraging[[Vertraging 12 jaar]:[2034]],MATCH($F147,vertraging[Zoeksleutel],0),Q$134-INDEX(aanname_implementatie[Totaal vertraging],MATCH($B147,IF(aanname_implementatie[Doelgroep]=$C147,aanname_implementatie[Digitale zorgtoepassing]),0)))</f>
        <v>0.60024457479989934</v>
      </c>
      <c r="R147" s="126" cm="1">
        <f t="array" ref="R147">INDEX(vertraging[[Vertraging 12 jaar]:[2034]],MATCH($F147,vertraging[Zoeksleutel],0),R$134-INDEX(aanname_implementatie[Totaal vertraging],MATCH($B147,IF(aanname_implementatie[Doelgroep]=$C147,aanname_implementatie[Digitale zorgtoepassing]),0)))</f>
        <v>0.73221275016749598</v>
      </c>
    </row>
    <row r="148" spans="1:18" x14ac:dyDescent="0.5">
      <c r="A148" s="30" t="str">
        <f>INDEX(Technologieën[Veld],MATCH(B148,Technologieën[Digitale zorgtoepassing],0))</f>
        <v>Software - Diagnose</v>
      </c>
      <c r="B148" s="30" t="s">
        <v>473</v>
      </c>
      <c r="C148" s="30" t="s">
        <v>75</v>
      </c>
      <c r="D148" s="30" t="str" cm="1">
        <f t="array" ref="D148">INDEX(Berekening_patiëntaantal[Direct toepasbaar/extrapolatie/incidentie voor QALY],MATCH(B148,IF(Berekening_patiëntaantal[Doelgroep (zoeksleutel)]=C148,Berekening_patiëntaantal[Digitale zorgtoepassing]),0))</f>
        <v>Incidentie voor QALY</v>
      </c>
      <c r="E148" s="440" t="s">
        <v>812</v>
      </c>
      <c r="F148" s="33" t="str">
        <f>CONCATENATE(implementatie[[#This Row],[Zorgtechnologie]],"_",implementatie[[#This Row],[Doelgroep]],"_",implementatie[[#This Row],[Uitgangssituatie/effect beleid]])</f>
        <v>AI om diagnoses te stellen (CT)_Longkanker_Effect beleid</v>
      </c>
      <c r="G148" s="126" cm="1">
        <f t="array" ref="G148">INDEX(vertraging[[Vertraging 12 jaar]:[2034]],MATCH($F148,vertraging[Zoeksleutel],0),G$134-INDEX(aanname_implementatie[Totaal vertraging],MATCH($B148,IF(aanname_implementatie[Doelgroep]=$C148,aanname_implementatie[Digitale zorgtoepassing]),0)))</f>
        <v>0.4</v>
      </c>
      <c r="H148" s="126" cm="1">
        <f t="array" ref="H148">INDEX(vertraging[[Vertraging 12 jaar]:[2034]],MATCH($F148,vertraging[Zoeksleutel],0),H$134-INDEX(aanname_implementatie[Totaal vertraging],MATCH($B148,IF(aanname_implementatie[Doelgroep]=$C148,aanname_implementatie[Digitale zorgtoepassing]),0)))</f>
        <v>0.53800000000000003</v>
      </c>
      <c r="I148" s="126" cm="1">
        <f t="array" ref="I148">INDEX(vertraging[[Vertraging 12 jaar]:[2034]],MATCH($F148,vertraging[Zoeksleutel],0),I$134-INDEX(aanname_implementatie[Totaal vertraging],MATCH($B148,IF(aanname_implementatie[Doelgroep]=$C148,aanname_implementatie[Digitale zorgtoepassing]),0)))</f>
        <v>0.67613800000000002</v>
      </c>
      <c r="J148" s="126" cm="1">
        <f t="array" ref="J148">INDEX(vertraging[[Vertraging 12 jaar]:[2034]],MATCH($F148,vertraging[Zoeksleutel],0),J$134-INDEX(aanname_implementatie[Totaal vertraging],MATCH($B148,IF(aanname_implementatie[Doelgroep]=$C148,aanname_implementatie[Digitale zorgtoepassing]),0)))</f>
        <v>0.79534156247800003</v>
      </c>
      <c r="K148" s="126" cm="1">
        <f t="array" ref="K148">INDEX(vertraging[[Vertraging 12 jaar]:[2034]],MATCH($F148,vertraging[Zoeksleutel],0),K$134-INDEX(aanname_implementatie[Totaal vertraging],MATCH($B148,IF(aanname_implementatie[Doelgroep]=$C148,aanname_implementatie[Digitale zorgtoepassing]),0)))</f>
        <v>0.88286799634018676</v>
      </c>
      <c r="L148" s="126" cm="1">
        <f t="array" ref="L148">INDEX(vertraging[[Vertraging 12 jaar]:[2034]],MATCH($F148,vertraging[Zoeksleutel],0),L$134-INDEX(aanname_implementatie[Totaal vertraging],MATCH($B148,IF(aanname_implementatie[Doelgroep]=$C148,aanname_implementatie[Digitale zorgtoepassing]),0)))</f>
        <v>0.93808800513920654</v>
      </c>
      <c r="M148" s="126" cm="1">
        <f t="array" ref="M148">INDEX(vertraging[[Vertraging 12 jaar]:[2034]],MATCH($F148,vertraging[Zoeksleutel],0),M$134-INDEX(aanname_implementatie[Totaal vertraging],MATCH($B148,IF(aanname_implementatie[Doelgroep]=$C148,aanname_implementatie[Digitale zorgtoepassing]),0)))</f>
        <v>0.96898481486160559</v>
      </c>
      <c r="N148" s="126" cm="1">
        <f t="array" ref="N148">INDEX(vertraging[[Vertraging 12 jaar]:[2034]],MATCH($F148,vertraging[Zoeksleutel],0),N$134-INDEX(aanname_implementatie[Totaal vertraging],MATCH($B148,IF(aanname_implementatie[Doelgroep]=$C148,aanname_implementatie[Digitale zorgtoepassing]),0)))</f>
        <v>0.9849418921303702</v>
      </c>
      <c r="O148" s="126" cm="1">
        <f t="array" ref="O148">INDEX(vertraging[[Vertraging 12 jaar]:[2034]],MATCH($F148,vertraging[Zoeksleutel],0),O$134-INDEX(aanname_implementatie[Totaal vertraging],MATCH($B148,IF(aanname_implementatie[Doelgroep]=$C148,aanname_implementatie[Digitale zorgtoepassing]),0)))</f>
        <v>0.99280931599496725</v>
      </c>
      <c r="P148" s="126" cm="1">
        <f t="array" ref="P148">INDEX(vertraging[[Vertraging 12 jaar]:[2034]],MATCH($F148,vertraging[Zoeksleutel],0),P$134-INDEX(aanname_implementatie[Totaal vertraging],MATCH($B148,IF(aanname_implementatie[Doelgroep]=$C148,aanname_implementatie[Digitale zorgtoepassing]),0)))</f>
        <v>0.99659452554940442</v>
      </c>
      <c r="Q148" s="126" cm="1">
        <f t="array" ref="Q148">INDEX(vertraging[[Vertraging 12 jaar]:[2034]],MATCH($F148,vertraging[Zoeksleutel],0),Q$134-INDEX(aanname_implementatie[Totaal vertraging],MATCH($B148,IF(aanname_implementatie[Doelgroep]=$C148,aanname_implementatie[Digitale zorgtoepassing]),0)))</f>
        <v>0.99839362838010326</v>
      </c>
      <c r="R148" s="126" cm="1">
        <f t="array" ref="R148">INDEX(vertraging[[Vertraging 12 jaar]:[2034]],MATCH($F148,vertraging[Zoeksleutel],0),R$134-INDEX(aanname_implementatie[Totaal vertraging],MATCH($B148,IF(aanname_implementatie[Doelgroep]=$C148,aanname_implementatie[Digitale zorgtoepassing]),0)))</f>
        <v>0.99924371512375787</v>
      </c>
    </row>
    <row r="149" spans="1:18" x14ac:dyDescent="0.5">
      <c r="A149" s="30" t="str">
        <f>INDEX(Technologieën[Veld],MATCH(B149,Technologieën[Digitale zorgtoepassing],0))</f>
        <v>Software - Diagnose</v>
      </c>
      <c r="B149" s="30" t="s">
        <v>472</v>
      </c>
      <c r="C149" s="30" t="s">
        <v>465</v>
      </c>
      <c r="D149" s="30" t="str" cm="1">
        <f t="array" ref="D149">INDEX(Berekening_patiëntaantal[Direct toepasbaar/extrapolatie/incidentie voor QALY],MATCH(B149,IF(Berekening_patiëntaantal[Doelgroep (zoeksleutel)]=C149,Berekening_patiëntaantal[Digitale zorgtoepassing]),0))</f>
        <v>Extrapolatie</v>
      </c>
      <c r="E149" s="440" t="s">
        <v>812</v>
      </c>
      <c r="F149" s="33" t="str">
        <f>CONCATENATE(implementatie[[#This Row],[Zorgtechnologie]],"_",implementatie[[#This Row],[Doelgroep]],"_",implementatie[[#This Row],[Uitgangssituatie/effect beleid]])</f>
        <v>AI om diagnoses te stellen (MRI)_MRI onderzoek_Overig_Effect beleid</v>
      </c>
      <c r="G149" s="126" cm="1">
        <f t="array" ref="G149">INDEX(vertraging[[Vertraging 12 jaar]:[2034]],MATCH($F149,vertraging[Zoeksleutel],0),G$134-INDEX(aanname_implementatie[Totaal vertraging],MATCH($B149,IF(aanname_implementatie[Doelgroep]=$C149,aanname_implementatie[Digitale zorgtoepassing]),0)))</f>
        <v>0</v>
      </c>
      <c r="H149" s="126" cm="1">
        <f t="array" ref="H149">INDEX(vertraging[[Vertraging 12 jaar]:[2034]],MATCH($F149,vertraging[Zoeksleutel],0),H$134-INDEX(aanname_implementatie[Totaal vertraging],MATCH($B149,IF(aanname_implementatie[Doelgroep]=$C149,aanname_implementatie[Digitale zorgtoepassing]),0)))</f>
        <v>0</v>
      </c>
      <c r="I149" s="126" cm="1">
        <f t="array" ref="I149">INDEX(vertraging[[Vertraging 12 jaar]:[2034]],MATCH($F149,vertraging[Zoeksleutel],0),I$134-INDEX(aanname_implementatie[Totaal vertraging],MATCH($B149,IF(aanname_implementatie[Doelgroep]=$C149,aanname_implementatie[Digitale zorgtoepassing]),0)))</f>
        <v>0</v>
      </c>
      <c r="J149" s="126" cm="1">
        <f t="array" ref="J149">INDEX(vertraging[[Vertraging 12 jaar]:[2034]],MATCH($F149,vertraging[Zoeksleutel],0),J$134-INDEX(aanname_implementatie[Totaal vertraging],MATCH($B149,IF(aanname_implementatie[Doelgroep]=$C149,aanname_implementatie[Digitale zorgtoepassing]),0)))</f>
        <v>0</v>
      </c>
      <c r="K149" s="126" cm="1">
        <f t="array" ref="K149">INDEX(vertraging[[Vertraging 12 jaar]:[2034]],MATCH($F149,vertraging[Zoeksleutel],0),K$134-INDEX(aanname_implementatie[Totaal vertraging],MATCH($B149,IF(aanname_implementatie[Doelgroep]=$C149,aanname_implementatie[Digitale zorgtoepassing]),0)))</f>
        <v>0.03</v>
      </c>
      <c r="L149" s="126" cm="1">
        <f t="array" ref="L149">INDEX(vertraging[[Vertraging 12 jaar]:[2034]],MATCH($F149,vertraging[Zoeksleutel],0),L$134-INDEX(aanname_implementatie[Totaal vertraging],MATCH($B149,IF(aanname_implementatie[Doelgroep]=$C149,aanname_implementatie[Digitale zorgtoepassing]),0)))</f>
        <v>7.3649999999999993E-2</v>
      </c>
      <c r="M149" s="126" cm="1">
        <f t="array" ref="M149">INDEX(vertraging[[Vertraging 12 jaar]:[2034]],MATCH($F149,vertraging[Zoeksleutel],0),M$134-INDEX(aanname_implementatie[Totaal vertraging],MATCH($B149,IF(aanname_implementatie[Doelgroep]=$C149,aanname_implementatie[Digitale zorgtoepassing]),0)))</f>
        <v>0.13555333874999997</v>
      </c>
      <c r="N149" s="126" cm="1">
        <f t="array" ref="N149">INDEX(vertraging[[Vertraging 12 jaar]:[2034]],MATCH($F149,vertraging[Zoeksleutel],0),N$134-INDEX(aanname_implementatie[Totaal vertraging],MATCH($B149,IF(aanname_implementatie[Doelgroep]=$C149,aanname_implementatie[Digitale zorgtoepassing]),0)))</f>
        <v>0.22007605413936385</v>
      </c>
      <c r="O149" s="126" cm="1">
        <f t="array" ref="O149">INDEX(vertraging[[Vertraging 12 jaar]:[2034]],MATCH($F149,vertraging[Zoeksleutel],0),O$134-INDEX(aanname_implementatie[Totaal vertraging],MATCH($B149,IF(aanname_implementatie[Doelgroep]=$C149,aanname_implementatie[Digitale zorgtoepassing]),0)))</f>
        <v>0.32929506478208875</v>
      </c>
      <c r="P149" s="126" cm="1">
        <f t="array" ref="P149">INDEX(vertraging[[Vertraging 12 jaar]:[2034]],MATCH($F149,vertraging[Zoeksleutel],0),P$134-INDEX(aanname_implementatie[Totaal vertraging],MATCH($B149,IF(aanname_implementatie[Doelgroep]=$C149,aanname_implementatie[Digitale zorgtoepassing]),0)))</f>
        <v>0.4598461253847505</v>
      </c>
      <c r="Q149" s="126" cm="1">
        <f t="array" ref="Q149">INDEX(vertraging[[Vertraging 12 jaar]:[2034]],MATCH($F149,vertraging[Zoeksleutel],0),Q$134-INDEX(aanname_implementatie[Totaal vertraging],MATCH($B149,IF(aanname_implementatie[Doelgroep]=$C149,aanname_implementatie[Digitale zorgtoepassing]),0)))</f>
        <v>0.60024457479989934</v>
      </c>
      <c r="R149" s="126" cm="1">
        <f t="array" ref="R149">INDEX(vertraging[[Vertraging 12 jaar]:[2034]],MATCH($F149,vertraging[Zoeksleutel],0),R$134-INDEX(aanname_implementatie[Totaal vertraging],MATCH($B149,IF(aanname_implementatie[Doelgroep]=$C149,aanname_implementatie[Digitale zorgtoepassing]),0)))</f>
        <v>0.73221275016749598</v>
      </c>
    </row>
    <row r="150" spans="1:18" x14ac:dyDescent="0.5">
      <c r="A150" s="30" t="str">
        <f>INDEX(Technologieën[Veld],MATCH(B150,Technologieën[Digitale zorgtoepassing],0))</f>
        <v>Software - Diagnose</v>
      </c>
      <c r="B150" s="30" t="s">
        <v>472</v>
      </c>
      <c r="C150" s="30" t="s">
        <v>442</v>
      </c>
      <c r="D150" s="30" t="str" cm="1">
        <f t="array" ref="D150">INDEX(Berekening_patiëntaantal[Direct toepasbaar/extrapolatie/incidentie voor QALY],MATCH(B150,IF(Berekening_patiëntaantal[Doelgroep (zoeksleutel)]=C150,Berekening_patiëntaantal[Digitale zorgtoepassing]),0))</f>
        <v>Huidige toepassing</v>
      </c>
      <c r="E150" s="440" t="s">
        <v>812</v>
      </c>
      <c r="F150" s="33" t="str">
        <f>CONCATENATE(implementatie[[#This Row],[Zorgtechnologie]],"_",implementatie[[#This Row],[Doelgroep]],"_",implementatie[[#This Row],[Uitgangssituatie/effect beleid]])</f>
        <v>AI om diagnoses te stellen (MRI)_MRI onderzoek_Prostaatkanker_Effect beleid</v>
      </c>
      <c r="G150" s="126" cm="1">
        <f t="array" ref="G150">INDEX(vertraging[[Vertraging 12 jaar]:[2034]],MATCH($F150,vertraging[Zoeksleutel],0),G$134-INDEX(aanname_implementatie[Totaal vertraging],MATCH($B150,IF(aanname_implementatie[Doelgroep]=$C150,aanname_implementatie[Digitale zorgtoepassing]),0)))</f>
        <v>0.4</v>
      </c>
      <c r="H150" s="126" cm="1">
        <f t="array" ref="H150">INDEX(vertraging[[Vertraging 12 jaar]:[2034]],MATCH($F150,vertraging[Zoeksleutel],0),H$134-INDEX(aanname_implementatie[Totaal vertraging],MATCH($B150,IF(aanname_implementatie[Doelgroep]=$C150,aanname_implementatie[Digitale zorgtoepassing]),0)))</f>
        <v>0.53800000000000003</v>
      </c>
      <c r="I150" s="126" cm="1">
        <f t="array" ref="I150">INDEX(vertraging[[Vertraging 12 jaar]:[2034]],MATCH($F150,vertraging[Zoeksleutel],0),I$134-INDEX(aanname_implementatie[Totaal vertraging],MATCH($B150,IF(aanname_implementatie[Doelgroep]=$C150,aanname_implementatie[Digitale zorgtoepassing]),0)))</f>
        <v>0.67613800000000002</v>
      </c>
      <c r="J150" s="126" cm="1">
        <f t="array" ref="J150">INDEX(vertraging[[Vertraging 12 jaar]:[2034]],MATCH($F150,vertraging[Zoeksleutel],0),J$134-INDEX(aanname_implementatie[Totaal vertraging],MATCH($B150,IF(aanname_implementatie[Doelgroep]=$C150,aanname_implementatie[Digitale zorgtoepassing]),0)))</f>
        <v>0.79534156247800003</v>
      </c>
      <c r="K150" s="126" cm="1">
        <f t="array" ref="K150">INDEX(vertraging[[Vertraging 12 jaar]:[2034]],MATCH($F150,vertraging[Zoeksleutel],0),K$134-INDEX(aanname_implementatie[Totaal vertraging],MATCH($B150,IF(aanname_implementatie[Doelgroep]=$C150,aanname_implementatie[Digitale zorgtoepassing]),0)))</f>
        <v>0.88286799634018676</v>
      </c>
      <c r="L150" s="126" cm="1">
        <f t="array" ref="L150">INDEX(vertraging[[Vertraging 12 jaar]:[2034]],MATCH($F150,vertraging[Zoeksleutel],0),L$134-INDEX(aanname_implementatie[Totaal vertraging],MATCH($B150,IF(aanname_implementatie[Doelgroep]=$C150,aanname_implementatie[Digitale zorgtoepassing]),0)))</f>
        <v>0.93808800513920654</v>
      </c>
      <c r="M150" s="126" cm="1">
        <f t="array" ref="M150">INDEX(vertraging[[Vertraging 12 jaar]:[2034]],MATCH($F150,vertraging[Zoeksleutel],0),M$134-INDEX(aanname_implementatie[Totaal vertraging],MATCH($B150,IF(aanname_implementatie[Doelgroep]=$C150,aanname_implementatie[Digitale zorgtoepassing]),0)))</f>
        <v>0.96898481486160559</v>
      </c>
      <c r="N150" s="126" cm="1">
        <f t="array" ref="N150">INDEX(vertraging[[Vertraging 12 jaar]:[2034]],MATCH($F150,vertraging[Zoeksleutel],0),N$134-INDEX(aanname_implementatie[Totaal vertraging],MATCH($B150,IF(aanname_implementatie[Doelgroep]=$C150,aanname_implementatie[Digitale zorgtoepassing]),0)))</f>
        <v>0.9849418921303702</v>
      </c>
      <c r="O150" s="126" cm="1">
        <f t="array" ref="O150">INDEX(vertraging[[Vertraging 12 jaar]:[2034]],MATCH($F150,vertraging[Zoeksleutel],0),O$134-INDEX(aanname_implementatie[Totaal vertraging],MATCH($B150,IF(aanname_implementatie[Doelgroep]=$C150,aanname_implementatie[Digitale zorgtoepassing]),0)))</f>
        <v>0.99280931599496725</v>
      </c>
      <c r="P150" s="126" cm="1">
        <f t="array" ref="P150">INDEX(vertraging[[Vertraging 12 jaar]:[2034]],MATCH($F150,vertraging[Zoeksleutel],0),P$134-INDEX(aanname_implementatie[Totaal vertraging],MATCH($B150,IF(aanname_implementatie[Doelgroep]=$C150,aanname_implementatie[Digitale zorgtoepassing]),0)))</f>
        <v>0.99659452554940442</v>
      </c>
      <c r="Q150" s="126" cm="1">
        <f t="array" ref="Q150">INDEX(vertraging[[Vertraging 12 jaar]:[2034]],MATCH($F150,vertraging[Zoeksleutel],0),Q$134-INDEX(aanname_implementatie[Totaal vertraging],MATCH($B150,IF(aanname_implementatie[Doelgroep]=$C150,aanname_implementatie[Digitale zorgtoepassing]),0)))</f>
        <v>0.99839362838010326</v>
      </c>
      <c r="R150" s="126" cm="1">
        <f t="array" ref="R150">INDEX(vertraging[[Vertraging 12 jaar]:[2034]],MATCH($F150,vertraging[Zoeksleutel],0),R$134-INDEX(aanname_implementatie[Totaal vertraging],MATCH($B150,IF(aanname_implementatie[Doelgroep]=$C150,aanname_implementatie[Digitale zorgtoepassing]),0)))</f>
        <v>0.99924371512375787</v>
      </c>
    </row>
    <row r="151" spans="1:18" x14ac:dyDescent="0.5">
      <c r="A151" s="30" t="str">
        <f>INDEX(Technologieën[Veld],MATCH(B151,Technologieën[Digitale zorgtoepassing],0))</f>
        <v>Software - Diagnose</v>
      </c>
      <c r="B151" s="30" t="s">
        <v>472</v>
      </c>
      <c r="C151" s="30" t="s">
        <v>71</v>
      </c>
      <c r="D151" s="30" t="str" cm="1">
        <f t="array" ref="D151">INDEX(Berekening_patiëntaantal[Direct toepasbaar/extrapolatie/incidentie voor QALY],MATCH(B151,IF(Berekening_patiëntaantal[Doelgroep (zoeksleutel)]=C151,Berekening_patiëntaantal[Digitale zorgtoepassing]),0))</f>
        <v>Incidentie voor QALY</v>
      </c>
      <c r="E151" s="440" t="s">
        <v>812</v>
      </c>
      <c r="F151" s="30" t="str">
        <f>CONCATENATE(implementatie[[#This Row],[Zorgtechnologie]],"_",implementatie[[#This Row],[Doelgroep]],"_",implementatie[[#This Row],[Uitgangssituatie/effect beleid]])</f>
        <v>AI om diagnoses te stellen (MRI)_Prostaatkanker_Effect beleid</v>
      </c>
      <c r="G151" s="126" cm="1">
        <f t="array" ref="G151">INDEX(vertraging[[Vertraging 12 jaar]:[2034]],MATCH($F151,vertraging[Zoeksleutel],0),G$134-INDEX(aanname_implementatie[Totaal vertraging],MATCH($B151,IF(aanname_implementatie[Doelgroep]=$C151,aanname_implementatie[Digitale zorgtoepassing]),0)))</f>
        <v>0.4</v>
      </c>
      <c r="H151" s="126" cm="1">
        <f t="array" ref="H151">INDEX(vertraging[[Vertraging 12 jaar]:[2034]],MATCH($F151,vertraging[Zoeksleutel],0),H$134-INDEX(aanname_implementatie[Totaal vertraging],MATCH($B151,IF(aanname_implementatie[Doelgroep]=$C151,aanname_implementatie[Digitale zorgtoepassing]),0)))</f>
        <v>0.53800000000000003</v>
      </c>
      <c r="I151" s="126" cm="1">
        <f t="array" ref="I151">INDEX(vertraging[[Vertraging 12 jaar]:[2034]],MATCH($F151,vertraging[Zoeksleutel],0),I$134-INDEX(aanname_implementatie[Totaal vertraging],MATCH($B151,IF(aanname_implementatie[Doelgroep]=$C151,aanname_implementatie[Digitale zorgtoepassing]),0)))</f>
        <v>0.67613800000000002</v>
      </c>
      <c r="J151" s="126" cm="1">
        <f t="array" ref="J151">INDEX(vertraging[[Vertraging 12 jaar]:[2034]],MATCH($F151,vertraging[Zoeksleutel],0),J$134-INDEX(aanname_implementatie[Totaal vertraging],MATCH($B151,IF(aanname_implementatie[Doelgroep]=$C151,aanname_implementatie[Digitale zorgtoepassing]),0)))</f>
        <v>0.79534156247800003</v>
      </c>
      <c r="K151" s="126" cm="1">
        <f t="array" ref="K151">INDEX(vertraging[[Vertraging 12 jaar]:[2034]],MATCH($F151,vertraging[Zoeksleutel],0),K$134-INDEX(aanname_implementatie[Totaal vertraging],MATCH($B151,IF(aanname_implementatie[Doelgroep]=$C151,aanname_implementatie[Digitale zorgtoepassing]),0)))</f>
        <v>0.88286799634018676</v>
      </c>
      <c r="L151" s="126" cm="1">
        <f t="array" ref="L151">INDEX(vertraging[[Vertraging 12 jaar]:[2034]],MATCH($F151,vertraging[Zoeksleutel],0),L$134-INDEX(aanname_implementatie[Totaal vertraging],MATCH($B151,IF(aanname_implementatie[Doelgroep]=$C151,aanname_implementatie[Digitale zorgtoepassing]),0)))</f>
        <v>0.93808800513920654</v>
      </c>
      <c r="M151" s="126" cm="1">
        <f t="array" ref="M151">INDEX(vertraging[[Vertraging 12 jaar]:[2034]],MATCH($F151,vertraging[Zoeksleutel],0),M$134-INDEX(aanname_implementatie[Totaal vertraging],MATCH($B151,IF(aanname_implementatie[Doelgroep]=$C151,aanname_implementatie[Digitale zorgtoepassing]),0)))</f>
        <v>0.96898481486160559</v>
      </c>
      <c r="N151" s="126" cm="1">
        <f t="array" ref="N151">INDEX(vertraging[[Vertraging 12 jaar]:[2034]],MATCH($F151,vertraging[Zoeksleutel],0),N$134-INDEX(aanname_implementatie[Totaal vertraging],MATCH($B151,IF(aanname_implementatie[Doelgroep]=$C151,aanname_implementatie[Digitale zorgtoepassing]),0)))</f>
        <v>0.9849418921303702</v>
      </c>
      <c r="O151" s="126" cm="1">
        <f t="array" ref="O151">INDEX(vertraging[[Vertraging 12 jaar]:[2034]],MATCH($F151,vertraging[Zoeksleutel],0),O$134-INDEX(aanname_implementatie[Totaal vertraging],MATCH($B151,IF(aanname_implementatie[Doelgroep]=$C151,aanname_implementatie[Digitale zorgtoepassing]),0)))</f>
        <v>0.99280931599496725</v>
      </c>
      <c r="P151" s="126" cm="1">
        <f t="array" ref="P151">INDEX(vertraging[[Vertraging 12 jaar]:[2034]],MATCH($F151,vertraging[Zoeksleutel],0),P$134-INDEX(aanname_implementatie[Totaal vertraging],MATCH($B151,IF(aanname_implementatie[Doelgroep]=$C151,aanname_implementatie[Digitale zorgtoepassing]),0)))</f>
        <v>0.99659452554940442</v>
      </c>
      <c r="Q151" s="126" cm="1">
        <f t="array" ref="Q151">INDEX(vertraging[[Vertraging 12 jaar]:[2034]],MATCH($F151,vertraging[Zoeksleutel],0),Q$134-INDEX(aanname_implementatie[Totaal vertraging],MATCH($B151,IF(aanname_implementatie[Doelgroep]=$C151,aanname_implementatie[Digitale zorgtoepassing]),0)))</f>
        <v>0.99839362838010326</v>
      </c>
      <c r="R151" s="126" cm="1">
        <f t="array" ref="R151">INDEX(vertraging[[Vertraging 12 jaar]:[2034]],MATCH($F151,vertraging[Zoeksleutel],0),R$134-INDEX(aanname_implementatie[Totaal vertraging],MATCH($B151,IF(aanname_implementatie[Doelgroep]=$C151,aanname_implementatie[Digitale zorgtoepassing]),0)))</f>
        <v>0.99924371512375787</v>
      </c>
    </row>
    <row r="152" spans="1:18" x14ac:dyDescent="0.5">
      <c r="A152" s="30" t="str">
        <f>INDEX(Technologieën[Veld],MATCH(B152,Technologieën[Digitale zorgtoepassing],0))</f>
        <v>Software - Diagnose</v>
      </c>
      <c r="B152" s="30" t="s">
        <v>475</v>
      </c>
      <c r="C152" s="30" t="s">
        <v>460</v>
      </c>
      <c r="D152" s="30" t="str" cm="1">
        <f t="array" ref="D152">INDEX(Berekening_patiëntaantal[Direct toepasbaar/extrapolatie/incidentie voor QALY],MATCH(B152,IF(Berekening_patiëntaantal[Doelgroep (zoeksleutel)]=C152,Berekening_patiëntaantal[Digitale zorgtoepassing]),0))</f>
        <v>Huidige toepassing</v>
      </c>
      <c r="E152" s="440" t="s">
        <v>812</v>
      </c>
      <c r="F152" s="33" t="str">
        <f>CONCATENATE(implementatie[[#This Row],[Zorgtechnologie]],"_",implementatie[[#This Row],[Doelgroep]],"_",implementatie[[#This Row],[Uitgangssituatie/effect beleid]])</f>
        <v>AI om diagnoses te stellen (röntgen)_Röntgenscan_Botbreuk_Effect beleid</v>
      </c>
      <c r="G152" s="126" cm="1">
        <f t="array" ref="G152">INDEX(vertraging[[Vertraging 12 jaar]:[2034]],MATCH($F152,vertraging[Zoeksleutel],0),G$134-INDEX(aanname_implementatie[Totaal vertraging],MATCH($B152,IF(aanname_implementatie[Doelgroep]=$C152,aanname_implementatie[Digitale zorgtoepassing]),0)))</f>
        <v>0.2</v>
      </c>
      <c r="H152" s="126" cm="1">
        <f t="array" ref="H152">INDEX(vertraging[[Vertraging 12 jaar]:[2034]],MATCH($F152,vertraging[Zoeksleutel],0),H$134-INDEX(aanname_implementatie[Totaal vertraging],MATCH($B152,IF(aanname_implementatie[Doelgroep]=$C152,aanname_implementatie[Digitale zorgtoepassing]),0)))</f>
        <v>0.29200000000000004</v>
      </c>
      <c r="I152" s="126" cm="1">
        <f t="array" ref="I152">INDEX(vertraging[[Vertraging 12 jaar]:[2034]],MATCH($F152,vertraging[Zoeksleutel],0),I$134-INDEX(aanname_implementatie[Totaal vertraging],MATCH($B152,IF(aanname_implementatie[Doelgroep]=$C152,aanname_implementatie[Digitale zorgtoepassing]),0)))</f>
        <v>0.40273120000000007</v>
      </c>
      <c r="J152" s="126" cm="1">
        <f t="array" ref="J152">INDEX(vertraging[[Vertraging 12 jaar]:[2034]],MATCH($F152,vertraging[Zoeksleutel],0),J$134-INDEX(aanname_implementatie[Totaal vertraging],MATCH($B152,IF(aanname_implementatie[Doelgroep]=$C152,aanname_implementatie[Digitale zorgtoepassing]),0)))</f>
        <v>0.52590537124595205</v>
      </c>
      <c r="K152" s="126" cm="1">
        <f t="array" ref="K152">INDEX(vertraging[[Vertraging 12 jaar]:[2034]],MATCH($F152,vertraging[Zoeksleutel],0),K$134-INDEX(aanname_implementatie[Totaal vertraging],MATCH($B152,IF(aanname_implementatie[Doelgroep]=$C152,aanname_implementatie[Digitale zorgtoepassing]),0)))</f>
        <v>0.64995574724807748</v>
      </c>
      <c r="L152" s="126" cm="1">
        <f t="array" ref="L152">INDEX(vertraging[[Vertraging 12 jaar]:[2034]],MATCH($F152,vertraging[Zoeksleutel],0),L$134-INDEX(aanname_implementatie[Totaal vertraging],MATCH($B152,IF(aanname_implementatie[Doelgroep]=$C152,aanname_implementatie[Digitale zorgtoepassing]),0)))</f>
        <v>0.76108782680714737</v>
      </c>
      <c r="M152" s="126" cm="1">
        <f t="array" ref="M152">INDEX(vertraging[[Vertraging 12 jaar]:[2034]],MATCH($F152,vertraging[Zoeksleutel],0),M$134-INDEX(aanname_implementatie[Totaal vertraging],MATCH($B152,IF(aanname_implementatie[Doelgroep]=$C152,aanname_implementatie[Digitale zorgtoepassing]),0)))</f>
        <v>0.8488855471488731</v>
      </c>
      <c r="N152" s="126" cm="1">
        <f t="array" ref="N152">INDEX(vertraging[[Vertraging 12 jaar]:[2034]],MATCH($F152,vertraging[Zoeksleutel],0),N$134-INDEX(aanname_implementatie[Totaal vertraging],MATCH($B152,IF(aanname_implementatie[Doelgroep]=$C152,aanname_implementatie[Digitale zorgtoepassing]),0)))</f>
        <v>0.91038890221593549</v>
      </c>
      <c r="O152" s="126" cm="1">
        <f t="array" ref="O152">INDEX(vertraging[[Vertraging 12 jaar]:[2034]],MATCH($F152,vertraging[Zoeksleutel],0),O$134-INDEX(aanname_implementatie[Totaal vertraging],MATCH($B152,IF(aanname_implementatie[Doelgroep]=$C152,aanname_implementatie[Digitale zorgtoepassing]),0)))</f>
        <v>0.94934060668263687</v>
      </c>
      <c r="P152" s="126" cm="1">
        <f t="array" ref="P152">INDEX(vertraging[[Vertraging 12 jaar]:[2034]],MATCH($F152,vertraging[Zoeksleutel],0),P$134-INDEX(aanname_implementatie[Totaal vertraging],MATCH($B152,IF(aanname_implementatie[Doelgroep]=$C152,aanname_implementatie[Digitale zorgtoepassing]),0)))</f>
        <v>0.9722489501493069</v>
      </c>
      <c r="Q152" s="126" cm="1">
        <f t="array" ref="Q152">INDEX(vertraging[[Vertraging 12 jaar]:[2034]],MATCH($F152,vertraging[Zoeksleutel],0),Q$134-INDEX(aanname_implementatie[Totaal vertraging],MATCH($B152,IF(aanname_implementatie[Doelgroep]=$C152,aanname_implementatie[Digitale zorgtoepassing]),0)))</f>
        <v>0.98508414448286907</v>
      </c>
      <c r="R152" s="126" cm="1">
        <f t="array" ref="R152">INDEX(vertraging[[Vertraging 12 jaar]:[2034]],MATCH($F152,vertraging[Zoeksleutel],0),R$134-INDEX(aanname_implementatie[Totaal vertraging],MATCH($B152,IF(aanname_implementatie[Doelgroep]=$C152,aanname_implementatie[Digitale zorgtoepassing]),0)))</f>
        <v>0.99206905861789263</v>
      </c>
    </row>
    <row r="153" spans="1:18" x14ac:dyDescent="0.5">
      <c r="A153" s="30" t="str">
        <f>INDEX(Technologieën[Veld],MATCH(B153,Technologieën[Digitale zorgtoepassing],0))</f>
        <v>Software - Diagnose</v>
      </c>
      <c r="B153" s="30" t="s">
        <v>475</v>
      </c>
      <c r="C153" s="30" t="s">
        <v>492</v>
      </c>
      <c r="D153" s="30" t="str" cm="1">
        <f t="array" ref="D153">INDEX(Berekening_patiëntaantal[Direct toepasbaar/extrapolatie/incidentie voor QALY],MATCH(B153,IF(Berekening_patiëntaantal[Doelgroep (zoeksleutel)]=C153,Berekening_patiëntaantal[Digitale zorgtoepassing]),0))</f>
        <v>Extrapolatie</v>
      </c>
      <c r="E153" s="440" t="s">
        <v>812</v>
      </c>
      <c r="F153" s="33" t="str">
        <f>CONCATENATE(implementatie[[#This Row],[Zorgtechnologie]],"_",implementatie[[#This Row],[Doelgroep]],"_",implementatie[[#This Row],[Uitgangssituatie/effect beleid]])</f>
        <v>AI om diagnoses te stellen (röntgen)_Röntgenscan_Overig_Effect beleid</v>
      </c>
      <c r="G153" s="126" cm="1">
        <f t="array" ref="G153">INDEX(vertraging[[Vertraging 12 jaar]:[2034]],MATCH($F153,vertraging[Zoeksleutel],0),G$134-INDEX(aanname_implementatie[Totaal vertraging],MATCH($B153,IF(aanname_implementatie[Doelgroep]=$C153,aanname_implementatie[Digitale zorgtoepassing]),0)))</f>
        <v>0</v>
      </c>
      <c r="H153" s="126" cm="1">
        <f t="array" ref="H153">INDEX(vertraging[[Vertraging 12 jaar]:[2034]],MATCH($F153,vertraging[Zoeksleutel],0),H$134-INDEX(aanname_implementatie[Totaal vertraging],MATCH($B153,IF(aanname_implementatie[Doelgroep]=$C153,aanname_implementatie[Digitale zorgtoepassing]),0)))</f>
        <v>0</v>
      </c>
      <c r="I153" s="126" cm="1">
        <f t="array" ref="I153">INDEX(vertraging[[Vertraging 12 jaar]:[2034]],MATCH($F153,vertraging[Zoeksleutel],0),I$134-INDEX(aanname_implementatie[Totaal vertraging],MATCH($B153,IF(aanname_implementatie[Doelgroep]=$C153,aanname_implementatie[Digitale zorgtoepassing]),0)))</f>
        <v>0</v>
      </c>
      <c r="J153" s="126" cm="1">
        <f t="array" ref="J153">INDEX(vertraging[[Vertraging 12 jaar]:[2034]],MATCH($F153,vertraging[Zoeksleutel],0),J$134-INDEX(aanname_implementatie[Totaal vertraging],MATCH($B153,IF(aanname_implementatie[Doelgroep]=$C153,aanname_implementatie[Digitale zorgtoepassing]),0)))</f>
        <v>0</v>
      </c>
      <c r="K153" s="126" cm="1">
        <f t="array" ref="K153">INDEX(vertraging[[Vertraging 12 jaar]:[2034]],MATCH($F153,vertraging[Zoeksleutel],0),K$134-INDEX(aanname_implementatie[Totaal vertraging],MATCH($B153,IF(aanname_implementatie[Doelgroep]=$C153,aanname_implementatie[Digitale zorgtoepassing]),0)))</f>
        <v>2.5000000000000001E-2</v>
      </c>
      <c r="L153" s="126" cm="1">
        <f t="array" ref="L153">INDEX(vertraging[[Vertraging 12 jaar]:[2034]],MATCH($F153,vertraging[Zoeksleutel],0),L$134-INDEX(aanname_implementatie[Totaal vertraging],MATCH($B153,IF(aanname_implementatie[Doelgroep]=$C153,aanname_implementatie[Digitale zorgtoepassing]),0)))</f>
        <v>6.0343750000000002E-2</v>
      </c>
      <c r="M153" s="126" cm="1">
        <f t="array" ref="M153">INDEX(vertraging[[Vertraging 12 jaar]:[2034]],MATCH($F153,vertraging[Zoeksleutel],0),M$134-INDEX(aanname_implementatie[Totaal vertraging],MATCH($B153,IF(aanname_implementatie[Doelgroep]=$C153,aanname_implementatie[Digitale zorgtoepassing]),0)))</f>
        <v>0.10935122807617187</v>
      </c>
      <c r="N153" s="126" cm="1">
        <f t="array" ref="N153">INDEX(vertraging[[Vertraging 12 jaar]:[2034]],MATCH($F153,vertraging[Zoeksleutel],0),N$134-INDEX(aanname_implementatie[Totaal vertraging],MATCH($B153,IF(aanname_implementatie[Doelgroep]=$C153,aanname_implementatie[Digitale zorgtoepassing]),0)))</f>
        <v>0.17544453902174978</v>
      </c>
      <c r="O153" s="126" cm="1">
        <f t="array" ref="O153">INDEX(vertraging[[Vertraging 12 jaar]:[2034]],MATCH($F153,vertraging[Zoeksleutel],0),O$134-INDEX(aanname_implementatie[Totaal vertraging],MATCH($B153,IF(aanname_implementatie[Doelgroep]=$C153,aanname_implementatie[Digitale zorgtoepassing]),0)))</f>
        <v>0.26115711428334398</v>
      </c>
      <c r="P153" s="126" cm="1">
        <f t="array" ref="P153">INDEX(vertraging[[Vertraging 12 jaar]:[2034]],MATCH($F153,vertraging[Zoeksleutel],0),P$134-INDEX(aanname_implementatie[Totaal vertraging],MATCH($B153,IF(aanname_implementatie[Doelgroep]=$C153,aanname_implementatie[Digitale zorgtoepassing]),0)))</f>
        <v>0.36645752060040354</v>
      </c>
      <c r="Q153" s="126" cm="1">
        <f t="array" ref="Q153">INDEX(vertraging[[Vertraging 12 jaar]:[2034]],MATCH($F153,vertraging[Zoeksleutel],0),Q$134-INDEX(aanname_implementatie[Totaal vertraging],MATCH($B153,IF(aanname_implementatie[Doelgroep]=$C153,aanname_implementatie[Digitale zorgtoepassing]),0)))</f>
        <v>0.48677096537350723</v>
      </c>
      <c r="R153" s="126" cm="1">
        <f t="array" ref="R153">INDEX(vertraging[[Vertraging 12 jaar]:[2034]],MATCH($F153,vertraging[Zoeksleutel],0),R$134-INDEX(aanname_implementatie[Totaal vertraging],MATCH($B153,IF(aanname_implementatie[Doelgroep]=$C153,aanname_implementatie[Digitale zorgtoepassing]),0)))</f>
        <v>0.61202293792845253</v>
      </c>
    </row>
    <row r="154" spans="1:18" x14ac:dyDescent="0.5">
      <c r="A154" s="30" t="str">
        <f>INDEX(Technologieën[Veld],MATCH(B154,Technologieën[Digitale zorgtoepassing],0))</f>
        <v>Software - Behandeling</v>
      </c>
      <c r="B154" s="30" t="s">
        <v>716</v>
      </c>
      <c r="C154" s="30" t="s">
        <v>80</v>
      </c>
      <c r="D154" s="30" t="str" cm="1">
        <f t="array" ref="D154">INDEX(Berekening_patiëntaantal[Direct toepasbaar/extrapolatie/incidentie voor QALY],MATCH(B154,IF(Berekening_patiëntaantal[Doelgroep (zoeksleutel)]=C154,Berekening_patiëntaantal[Digitale zorgtoepassing]),0))</f>
        <v>Huidige toepassing</v>
      </c>
      <c r="E154" s="440" t="s">
        <v>812</v>
      </c>
      <c r="F154" s="33" t="str">
        <f>CONCATENATE(implementatie[[#This Row],[Zorgtechnologie]],"_",implementatie[[#This Row],[Doelgroep]],"_",implementatie[[#This Row],[Uitgangssituatie/effect beleid]])</f>
        <v>AI op de IC (ontslag beslissing)_IC_Effect beleid</v>
      </c>
      <c r="G154" s="126" cm="1">
        <f t="array" ref="G154">INDEX(vertraging[[Vertraging 12 jaar]:[2034]],MATCH($F154,vertraging[Zoeksleutel],0),G$134-INDEX(aanname_implementatie[Totaal vertraging],MATCH($B154,IF(aanname_implementatie[Doelgroep]=$C154,aanname_implementatie[Digitale zorgtoepassing]),0)))</f>
        <v>0</v>
      </c>
      <c r="H154" s="126" cm="1">
        <f t="array" ref="H154">INDEX(vertraging[[Vertraging 12 jaar]:[2034]],MATCH($F154,vertraging[Zoeksleutel],0),H$134-INDEX(aanname_implementatie[Totaal vertraging],MATCH($B154,IF(aanname_implementatie[Doelgroep]=$C154,aanname_implementatie[Digitale zorgtoepassing]),0)))</f>
        <v>0</v>
      </c>
      <c r="I154" s="126" cm="1">
        <f t="array" ref="I154">INDEX(vertraging[[Vertraging 12 jaar]:[2034]],MATCH($F154,vertraging[Zoeksleutel],0),I$134-INDEX(aanname_implementatie[Totaal vertraging],MATCH($B154,IF(aanname_implementatie[Doelgroep]=$C154,aanname_implementatie[Digitale zorgtoepassing]),0)))</f>
        <v>0</v>
      </c>
      <c r="J154" s="126" cm="1">
        <f t="array" ref="J154">INDEX(vertraging[[Vertraging 12 jaar]:[2034]],MATCH($F154,vertraging[Zoeksleutel],0),J$134-INDEX(aanname_implementatie[Totaal vertraging],MATCH($B154,IF(aanname_implementatie[Doelgroep]=$C154,aanname_implementatie[Digitale zorgtoepassing]),0)))</f>
        <v>0.02</v>
      </c>
      <c r="K154" s="126" cm="1">
        <f t="array" ref="K154">INDEX(vertraging[[Vertraging 12 jaar]:[2034]],MATCH($F154,vertraging[Zoeksleutel],0),K$134-INDEX(aanname_implementatie[Totaal vertraging],MATCH($B154,IF(aanname_implementatie[Doelgroep]=$C154,aanname_implementatie[Digitale zorgtoepassing]),0)))</f>
        <v>4.7439999999999996E-2</v>
      </c>
      <c r="L154" s="126" cm="1">
        <f t="array" ref="L154">INDEX(vertraging[[Vertraging 12 jaar]:[2034]],MATCH($F154,vertraging[Zoeksleutel],0),L$134-INDEX(aanname_implementatie[Totaal vertraging],MATCH($B154,IF(aanname_implementatie[Doelgroep]=$C154,aanname_implementatie[Digitale zorgtoepassing]),0)))</f>
        <v>8.4566978560000006E-2</v>
      </c>
      <c r="M154" s="126" cm="1">
        <f t="array" ref="M154">INDEX(vertraging[[Vertraging 12 jaar]:[2034]],MATCH($F154,vertraging[Zoeksleutel],0),M$134-INDEX(aanname_implementatie[Totaal vertraging],MATCH($B154,IF(aanname_implementatie[Doelgroep]=$C154,aanname_implementatie[Digitale zorgtoepassing]),0)))</f>
        <v>0.13384180086769301</v>
      </c>
      <c r="N154" s="126" cm="1">
        <f t="array" ref="N154">INDEX(vertraging[[Vertraging 12 jaar]:[2034]],MATCH($F154,vertraging[Zoeksleutel],0),N$134-INDEX(aanname_implementatie[Totaal vertraging],MATCH($B154,IF(aanname_implementatie[Doelgroep]=$C154,aanname_implementatie[Digitale zorgtoepassing]),0)))</f>
        <v>0.19753623413361349</v>
      </c>
      <c r="O154" s="126" cm="1">
        <f t="array" ref="O154">INDEX(vertraging[[Vertraging 12 jaar]:[2034]],MATCH($F154,vertraging[Zoeksleutel],0),O$134-INDEX(aanname_implementatie[Totaal vertraging],MATCH($B154,IF(aanname_implementatie[Doelgroep]=$C154,aanname_implementatie[Digitale zorgtoepassing]),0)))</f>
        <v>0.27699177758611071</v>
      </c>
      <c r="P154" s="126" cm="1">
        <f t="array" ref="P154">INDEX(vertraging[[Vertraging 12 jaar]:[2034]],MATCH($F154,vertraging[Zoeksleutel],0),P$134-INDEX(aanname_implementatie[Totaal vertraging],MATCH($B154,IF(aanname_implementatie[Doelgroep]=$C154,aanname_implementatie[Digitale zorgtoepassing]),0)))</f>
        <v>0.37155887512870744</v>
      </c>
      <c r="Q154" s="126" cm="1">
        <f t="array" ref="Q154">INDEX(vertraging[[Vertraging 12 jaar]:[2034]],MATCH($F154,vertraging[Zoeksleutel],0),Q$134-INDEX(aanname_implementatie[Totaal vertraging],MATCH($B154,IF(aanname_implementatie[Doelgroep]=$C154,aanname_implementatie[Digitale zorgtoepassing]),0)))</f>
        <v>0.47752884860285211</v>
      </c>
      <c r="R154" s="126" cm="1">
        <f t="array" ref="R154">INDEX(vertraging[[Vertraging 12 jaar]:[2034]],MATCH($F154,vertraging[Zoeksleutel],0),R$134-INDEX(aanname_implementatie[Totaal vertraging],MATCH($B154,IF(aanname_implementatie[Doelgroep]=$C154,aanname_implementatie[Digitale zorgtoepassing]),0)))</f>
        <v>0.5877762905727496</v>
      </c>
    </row>
    <row r="155" spans="1:18" x14ac:dyDescent="0.5">
      <c r="A155" s="30" t="str">
        <f>INDEX(Technologieën[Veld],MATCH(B155,Technologieën[Digitale zorgtoepassing],0))</f>
        <v>Software - Diagnose</v>
      </c>
      <c r="B155" s="30" t="s">
        <v>66</v>
      </c>
      <c r="C155" s="30" t="s">
        <v>69</v>
      </c>
      <c r="D155" s="30" t="str" cm="1">
        <f t="array" ref="D155">INDEX(Berekening_patiëntaantal[Direct toepasbaar/extrapolatie/incidentie voor QALY],MATCH(B155,IF(Berekening_patiëntaantal[Doelgroep (zoeksleutel)]=C155,Berekening_patiëntaantal[Digitale zorgtoepassing]),0))</f>
        <v>Huidige toepassing</v>
      </c>
      <c r="E155" s="440" t="s">
        <v>812</v>
      </c>
      <c r="F155" s="33" t="str">
        <f>CONCATENATE(implementatie[[#This Row],[Zorgtechnologie]],"_",implementatie[[#This Row],[Doelgroep]],"_",implementatie[[#This Row],[Uitgangssituatie/effect beleid]])</f>
        <v>Apps voor cognitieve testen_Mild Cognitive Impairment_Effect beleid</v>
      </c>
      <c r="G155" s="126" cm="1">
        <f t="array" ref="G155">INDEX(vertraging[[Vertraging 12 jaar]:[2034]],MATCH($F155,vertraging[Zoeksleutel],0),G$134-INDEX(aanname_implementatie[Totaal vertraging],MATCH($B155,IF(aanname_implementatie[Doelgroep]=$C155,aanname_implementatie[Digitale zorgtoepassing]),0)))</f>
        <v>0</v>
      </c>
      <c r="H155" s="126" cm="1">
        <f t="array" ref="H155">INDEX(vertraging[[Vertraging 12 jaar]:[2034]],MATCH($F155,vertraging[Zoeksleutel],0),H$134-INDEX(aanname_implementatie[Totaal vertraging],MATCH($B155,IF(aanname_implementatie[Doelgroep]=$C155,aanname_implementatie[Digitale zorgtoepassing]),0)))</f>
        <v>0</v>
      </c>
      <c r="I155" s="126" cm="1">
        <f t="array" ref="I155">INDEX(vertraging[[Vertraging 12 jaar]:[2034]],MATCH($F155,vertraging[Zoeksleutel],0),I$134-INDEX(aanname_implementatie[Totaal vertraging],MATCH($B155,IF(aanname_implementatie[Doelgroep]=$C155,aanname_implementatie[Digitale zorgtoepassing]),0)))</f>
        <v>0</v>
      </c>
      <c r="J155" s="126" cm="1">
        <f t="array" ref="J155">INDEX(vertraging[[Vertraging 12 jaar]:[2034]],MATCH($F155,vertraging[Zoeksleutel],0),J$134-INDEX(aanname_implementatie[Totaal vertraging],MATCH($B155,IF(aanname_implementatie[Doelgroep]=$C155,aanname_implementatie[Digitale zorgtoepassing]),0)))</f>
        <v>0.02</v>
      </c>
      <c r="K155" s="126" cm="1">
        <f t="array" ref="K155">INDEX(vertraging[[Vertraging 12 jaar]:[2034]],MATCH($F155,vertraging[Zoeksleutel],0),K$134-INDEX(aanname_implementatie[Totaal vertraging],MATCH($B155,IF(aanname_implementatie[Doelgroep]=$C155,aanname_implementatie[Digitale zorgtoepassing]),0)))</f>
        <v>4.7439999999999996E-2</v>
      </c>
      <c r="L155" s="126" cm="1">
        <f t="array" ref="L155">INDEX(vertraging[[Vertraging 12 jaar]:[2034]],MATCH($F155,vertraging[Zoeksleutel],0),L$134-INDEX(aanname_implementatie[Totaal vertraging],MATCH($B155,IF(aanname_implementatie[Doelgroep]=$C155,aanname_implementatie[Digitale zorgtoepassing]),0)))</f>
        <v>8.4566978560000006E-2</v>
      </c>
      <c r="M155" s="126" cm="1">
        <f t="array" ref="M155">INDEX(vertraging[[Vertraging 12 jaar]:[2034]],MATCH($F155,vertraging[Zoeksleutel],0),M$134-INDEX(aanname_implementatie[Totaal vertraging],MATCH($B155,IF(aanname_implementatie[Doelgroep]=$C155,aanname_implementatie[Digitale zorgtoepassing]),0)))</f>
        <v>0.13384180086769301</v>
      </c>
      <c r="N155" s="126" cm="1">
        <f t="array" ref="N155">INDEX(vertraging[[Vertraging 12 jaar]:[2034]],MATCH($F155,vertraging[Zoeksleutel],0),N$134-INDEX(aanname_implementatie[Totaal vertraging],MATCH($B155,IF(aanname_implementatie[Doelgroep]=$C155,aanname_implementatie[Digitale zorgtoepassing]),0)))</f>
        <v>0.19753623413361349</v>
      </c>
      <c r="O155" s="126" cm="1">
        <f t="array" ref="O155">INDEX(vertraging[[Vertraging 12 jaar]:[2034]],MATCH($F155,vertraging[Zoeksleutel],0),O$134-INDEX(aanname_implementatie[Totaal vertraging],MATCH($B155,IF(aanname_implementatie[Doelgroep]=$C155,aanname_implementatie[Digitale zorgtoepassing]),0)))</f>
        <v>0.27699177758611071</v>
      </c>
      <c r="P155" s="126" cm="1">
        <f t="array" ref="P155">INDEX(vertraging[[Vertraging 12 jaar]:[2034]],MATCH($F155,vertraging[Zoeksleutel],0),P$134-INDEX(aanname_implementatie[Totaal vertraging],MATCH($B155,IF(aanname_implementatie[Doelgroep]=$C155,aanname_implementatie[Digitale zorgtoepassing]),0)))</f>
        <v>0.37155887512870744</v>
      </c>
      <c r="Q155" s="126" cm="1">
        <f t="array" ref="Q155">INDEX(vertraging[[Vertraging 12 jaar]:[2034]],MATCH($F155,vertraging[Zoeksleutel],0),Q$134-INDEX(aanname_implementatie[Totaal vertraging],MATCH($B155,IF(aanname_implementatie[Doelgroep]=$C155,aanname_implementatie[Digitale zorgtoepassing]),0)))</f>
        <v>0.47752884860285211</v>
      </c>
      <c r="R155" s="126" cm="1">
        <f t="array" ref="R155">INDEX(vertraging[[Vertraging 12 jaar]:[2034]],MATCH($F155,vertraging[Zoeksleutel],0),R$134-INDEX(aanname_implementatie[Totaal vertraging],MATCH($B155,IF(aanname_implementatie[Doelgroep]=$C155,aanname_implementatie[Digitale zorgtoepassing]),0)))</f>
        <v>0.5877762905727496</v>
      </c>
    </row>
    <row r="156" spans="1:18" x14ac:dyDescent="0.5">
      <c r="A156" s="30" t="str">
        <f>INDEX(Technologieën[Veld],MATCH(B156,Technologieën[Digitale zorgtoepassing],0))</f>
        <v>Software - Diagnose</v>
      </c>
      <c r="B156" s="30" t="s">
        <v>66</v>
      </c>
      <c r="C156" s="30" t="s">
        <v>67</v>
      </c>
      <c r="D156" s="30" t="str" cm="1">
        <f t="array" ref="D156">INDEX(Berekening_patiëntaantal[Direct toepasbaar/extrapolatie/incidentie voor QALY],MATCH(B156,IF(Berekening_patiëntaantal[Doelgroep (zoeksleutel)]=C156,Berekening_patiëntaantal[Digitale zorgtoepassing]),0))</f>
        <v>Huidige toepassing</v>
      </c>
      <c r="E156" s="440" t="s">
        <v>812</v>
      </c>
      <c r="F156" s="33" t="str">
        <f>CONCATENATE(implementatie[[#This Row],[Zorgtechnologie]],"_",implementatie[[#This Row],[Doelgroep]],"_",implementatie[[#This Row],[Uitgangssituatie/effect beleid]])</f>
        <v>Apps voor cognitieve testen_Multiple Sclerosis_Effect beleid</v>
      </c>
      <c r="G156" s="126" cm="1">
        <f t="array" ref="G156">INDEX(vertraging[[Vertraging 12 jaar]:[2034]],MATCH($F156,vertraging[Zoeksleutel],0),G$134-INDEX(aanname_implementatie[Totaal vertraging],MATCH($B156,IF(aanname_implementatie[Doelgroep]=$C156,aanname_implementatie[Digitale zorgtoepassing]),0)))</f>
        <v>0</v>
      </c>
      <c r="H156" s="126" cm="1">
        <f t="array" ref="H156">INDEX(vertraging[[Vertraging 12 jaar]:[2034]],MATCH($F156,vertraging[Zoeksleutel],0),H$134-INDEX(aanname_implementatie[Totaal vertraging],MATCH($B156,IF(aanname_implementatie[Doelgroep]=$C156,aanname_implementatie[Digitale zorgtoepassing]),0)))</f>
        <v>0</v>
      </c>
      <c r="I156" s="126" cm="1">
        <f t="array" ref="I156">INDEX(vertraging[[Vertraging 12 jaar]:[2034]],MATCH($F156,vertraging[Zoeksleutel],0),I$134-INDEX(aanname_implementatie[Totaal vertraging],MATCH($B156,IF(aanname_implementatie[Doelgroep]=$C156,aanname_implementatie[Digitale zorgtoepassing]),0)))</f>
        <v>0</v>
      </c>
      <c r="J156" s="126" cm="1">
        <f t="array" ref="J156">INDEX(vertraging[[Vertraging 12 jaar]:[2034]],MATCH($F156,vertraging[Zoeksleutel],0),J$134-INDEX(aanname_implementatie[Totaal vertraging],MATCH($B156,IF(aanname_implementatie[Doelgroep]=$C156,aanname_implementatie[Digitale zorgtoepassing]),0)))</f>
        <v>0.02</v>
      </c>
      <c r="K156" s="126" cm="1">
        <f t="array" ref="K156">INDEX(vertraging[[Vertraging 12 jaar]:[2034]],MATCH($F156,vertraging[Zoeksleutel],0),K$134-INDEX(aanname_implementatie[Totaal vertraging],MATCH($B156,IF(aanname_implementatie[Doelgroep]=$C156,aanname_implementatie[Digitale zorgtoepassing]),0)))</f>
        <v>4.7439999999999996E-2</v>
      </c>
      <c r="L156" s="126" cm="1">
        <f t="array" ref="L156">INDEX(vertraging[[Vertraging 12 jaar]:[2034]],MATCH($F156,vertraging[Zoeksleutel],0),L$134-INDEX(aanname_implementatie[Totaal vertraging],MATCH($B156,IF(aanname_implementatie[Doelgroep]=$C156,aanname_implementatie[Digitale zorgtoepassing]),0)))</f>
        <v>8.4566978560000006E-2</v>
      </c>
      <c r="M156" s="126" cm="1">
        <f t="array" ref="M156">INDEX(vertraging[[Vertraging 12 jaar]:[2034]],MATCH($F156,vertraging[Zoeksleutel],0),M$134-INDEX(aanname_implementatie[Totaal vertraging],MATCH($B156,IF(aanname_implementatie[Doelgroep]=$C156,aanname_implementatie[Digitale zorgtoepassing]),0)))</f>
        <v>0.13384180086769301</v>
      </c>
      <c r="N156" s="126" cm="1">
        <f t="array" ref="N156">INDEX(vertraging[[Vertraging 12 jaar]:[2034]],MATCH($F156,vertraging[Zoeksleutel],0),N$134-INDEX(aanname_implementatie[Totaal vertraging],MATCH($B156,IF(aanname_implementatie[Doelgroep]=$C156,aanname_implementatie[Digitale zorgtoepassing]),0)))</f>
        <v>0.19753623413361349</v>
      </c>
      <c r="O156" s="126" cm="1">
        <f t="array" ref="O156">INDEX(vertraging[[Vertraging 12 jaar]:[2034]],MATCH($F156,vertraging[Zoeksleutel],0),O$134-INDEX(aanname_implementatie[Totaal vertraging],MATCH($B156,IF(aanname_implementatie[Doelgroep]=$C156,aanname_implementatie[Digitale zorgtoepassing]),0)))</f>
        <v>0.27699177758611071</v>
      </c>
      <c r="P156" s="126" cm="1">
        <f t="array" ref="P156">INDEX(vertraging[[Vertraging 12 jaar]:[2034]],MATCH($F156,vertraging[Zoeksleutel],0),P$134-INDEX(aanname_implementatie[Totaal vertraging],MATCH($B156,IF(aanname_implementatie[Doelgroep]=$C156,aanname_implementatie[Digitale zorgtoepassing]),0)))</f>
        <v>0.37155887512870744</v>
      </c>
      <c r="Q156" s="126" cm="1">
        <f t="array" ref="Q156">INDEX(vertraging[[Vertraging 12 jaar]:[2034]],MATCH($F156,vertraging[Zoeksleutel],0),Q$134-INDEX(aanname_implementatie[Totaal vertraging],MATCH($B156,IF(aanname_implementatie[Doelgroep]=$C156,aanname_implementatie[Digitale zorgtoepassing]),0)))</f>
        <v>0.47752884860285211</v>
      </c>
      <c r="R156" s="126" cm="1">
        <f t="array" ref="R156">INDEX(vertraging[[Vertraging 12 jaar]:[2034]],MATCH($F156,vertraging[Zoeksleutel],0),R$134-INDEX(aanname_implementatie[Totaal vertraging],MATCH($B156,IF(aanname_implementatie[Doelgroep]=$C156,aanname_implementatie[Digitale zorgtoepassing]),0)))</f>
        <v>0.5877762905727496</v>
      </c>
    </row>
    <row r="157" spans="1:18" x14ac:dyDescent="0.5">
      <c r="A157" s="30" t="str">
        <f>INDEX(Technologieën[Veld],MATCH(B157,Technologieën[Digitale zorgtoepassing],0))</f>
        <v>Software - Diagnose</v>
      </c>
      <c r="B157" s="30" t="s">
        <v>76</v>
      </c>
      <c r="C157" s="30" t="s">
        <v>384</v>
      </c>
      <c r="D157" s="30" t="str" cm="1">
        <f t="array" ref="D157">INDEX(Berekening_patiëntaantal[Direct toepasbaar/extrapolatie/incidentie voor QALY],MATCH(B157,IF(Berekening_patiëntaantal[Doelgroep (zoeksleutel)]=C157,Berekening_patiëntaantal[Digitale zorgtoepassing]),0))</f>
        <v>Huidige toepassing</v>
      </c>
      <c r="E157" s="440" t="s">
        <v>812</v>
      </c>
      <c r="F157" s="33" t="str">
        <f>CONCATENATE(implementatie[[#This Row],[Zorgtechnologie]],"_",implementatie[[#This Row],[Doelgroep]],"_",implementatie[[#This Row],[Uitgangssituatie/effect beleid]])</f>
        <v>Deltascan voor delier opsporing_Ouderen ziekenhuis delier_Effect beleid</v>
      </c>
      <c r="G157" s="126" cm="1">
        <f t="array" ref="G157">INDEX(vertraging[[Vertraging 12 jaar]:[2034]],MATCH($F157,vertraging[Zoeksleutel],0),G$134-INDEX(aanname_implementatie[Totaal vertraging],MATCH($B157,IF(aanname_implementatie[Doelgroep]=$C157,aanname_implementatie[Digitale zorgtoepassing]),0)))</f>
        <v>0.4</v>
      </c>
      <c r="H157" s="126" cm="1">
        <f t="array" ref="H157">INDEX(vertraging[[Vertraging 12 jaar]:[2034]],MATCH($F157,vertraging[Zoeksleutel],0),H$134-INDEX(aanname_implementatie[Totaal vertraging],MATCH($B157,IF(aanname_implementatie[Doelgroep]=$C157,aanname_implementatie[Digitale zorgtoepassing]),0)))</f>
        <v>0.52300000000000002</v>
      </c>
      <c r="I157" s="126" cm="1">
        <f t="array" ref="I157">INDEX(vertraging[[Vertraging 12 jaar]:[2034]],MATCH($F157,vertraging[Zoeksleutel],0),I$134-INDEX(aanname_implementatie[Totaal vertraging],MATCH($B157,IF(aanname_implementatie[Doelgroep]=$C157,aanname_implementatie[Digitale zorgtoepassing]),0)))</f>
        <v>0.64718695000000004</v>
      </c>
      <c r="J157" s="126" cm="1">
        <f t="array" ref="J157">INDEX(vertraging[[Vertraging 12 jaar]:[2034]],MATCH($F157,vertraging[Zoeksleutel],0),J$134-INDEX(aanname_implementatie[Totaal vertraging],MATCH($B157,IF(aanname_implementatie[Doelgroep]=$C157,aanname_implementatie[Digitale zorgtoepassing]),0)))</f>
        <v>0.75875847703736388</v>
      </c>
      <c r="K157" s="126" cm="1">
        <f t="array" ref="K157">INDEX(vertraging[[Vertraging 12 jaar]:[2034]],MATCH($F157,vertraging[Zoeksleutel],0),K$134-INDEX(aanname_implementatie[Totaal vertraging],MATCH($B157,IF(aanname_implementatie[Doelgroep]=$C157,aanname_implementatie[Digitale zorgtoepassing]),0)))</f>
        <v>0.84715933786401665</v>
      </c>
      <c r="L157" s="126" cm="1">
        <f t="array" ref="L157">INDEX(vertraging[[Vertraging 12 jaar]:[2034]],MATCH($F157,vertraging[Zoeksleutel],0),L$134-INDEX(aanname_implementatie[Totaal vertraging],MATCH($B157,IF(aanname_implementatie[Doelgroep]=$C157,aanname_implementatie[Digitale zorgtoepassing]),0)))</f>
        <v>0.90924653177763415</v>
      </c>
      <c r="M157" s="126" cm="1">
        <f t="array" ref="M157">INDEX(vertraging[[Vertraging 12 jaar]:[2034]],MATCH($F157,vertraging[Zoeksleutel],0),M$134-INDEX(aanname_implementatie[Totaal vertraging],MATCH($B157,IF(aanname_implementatie[Doelgroep]=$C157,aanname_implementatie[Digitale zorgtoepassing]),0)))</f>
        <v>0.94864814278578335</v>
      </c>
      <c r="N157" s="126" cm="1">
        <f t="array" ref="N157">INDEX(vertraging[[Vertraging 12 jaar]:[2034]],MATCH($F157,vertraging[Zoeksleutel],0),N$134-INDEX(aanname_implementatie[Totaal vertraging],MATCH($B157,IF(aanname_implementatie[Doelgroep]=$C157,aanname_implementatie[Digitale zorgtoepassing]),0)))</f>
        <v>0.97185361900482903</v>
      </c>
      <c r="O157" s="126" cm="1">
        <f t="array" ref="O157">INDEX(vertraging[[Vertraging 12 jaar]:[2034]],MATCH($F157,vertraging[Zoeksleutel],0),O$134-INDEX(aanname_implementatie[Totaal vertraging],MATCH($B157,IF(aanname_implementatie[Doelgroep]=$C157,aanname_implementatie[Digitale zorgtoepassing]),0)))</f>
        <v>0.98486665153412889</v>
      </c>
      <c r="P157" s="126" cm="1">
        <f t="array" ref="P157">INDEX(vertraging[[Vertraging 12 jaar]:[2034]],MATCH($F157,vertraging[Zoeksleutel],0),P$134-INDEX(aanname_implementatie[Totaal vertraging],MATCH($B157,IF(aanname_implementatie[Doelgroep]=$C157,aanname_implementatie[Digitale zorgtoepassing]),0)))</f>
        <v>0.99195193384931235</v>
      </c>
      <c r="Q157" s="126" cm="1">
        <f t="array" ref="Q157">INDEX(vertraging[[Vertraging 12 jaar]:[2034]],MATCH($F157,vertraging[Zoeksleutel],0),Q$134-INDEX(aanname_implementatie[Totaal vertraging],MATCH($B157,IF(aanname_implementatie[Doelgroep]=$C157,aanname_implementatie[Digitale zorgtoepassing]),0)))</f>
        <v>0.99574561815494433</v>
      </c>
      <c r="R157" s="126" cm="1">
        <f t="array" ref="R157">INDEX(vertraging[[Vertraging 12 jaar]:[2034]],MATCH($F157,vertraging[Zoeksleutel],0),R$134-INDEX(aanname_implementatie[Totaal vertraging],MATCH($B157,IF(aanname_implementatie[Doelgroep]=$C157,aanname_implementatie[Digitale zorgtoepassing]),0)))</f>
        <v>0.99775830463714821</v>
      </c>
    </row>
    <row r="158" spans="1:18" x14ac:dyDescent="0.5">
      <c r="A158" s="30" t="str">
        <f>INDEX(Technologieën[Veld],MATCH(B158,Technologieën[Digitale zorgtoepassing],0))</f>
        <v>Software - Behandeling</v>
      </c>
      <c r="B158" s="30" t="s">
        <v>578</v>
      </c>
      <c r="C158" s="30" t="s">
        <v>577</v>
      </c>
      <c r="D158" s="30" t="str" cm="1">
        <f t="array" ref="D158">INDEX(Berekening_patiëntaantal[Direct toepasbaar/extrapolatie/incidentie voor QALY],MATCH(B158,IF(Berekening_patiëntaantal[Doelgroep (zoeksleutel)]=C158,Berekening_patiëntaantal[Digitale zorgtoepassing]),0))</f>
        <v>Huidige toepassing</v>
      </c>
      <c r="E158" s="440" t="s">
        <v>812</v>
      </c>
      <c r="F158" s="30" t="str">
        <f>CONCATENATE(implementatie[[#This Row],[Zorgtechnologie]],"_",implementatie[[#This Row],[Doelgroep]],"_",implementatie[[#This Row],[Uitgangssituatie/effect beleid]])</f>
        <v>Digitale exposure therapie_PTSS_Effect beleid</v>
      </c>
      <c r="G158" s="126" cm="1">
        <f t="array" ref="G158">INDEX(vertraging[[Vertraging 12 jaar]:[2034]],MATCH($F158,vertraging[Zoeksleutel],0),G$134-INDEX(aanname_implementatie[Totaal vertraging],MATCH($B158,IF(aanname_implementatie[Doelgroep]=$C158,aanname_implementatie[Digitale zorgtoepassing]),0)))</f>
        <v>0.2</v>
      </c>
      <c r="H158" s="126" cm="1">
        <f t="array" ref="H158">INDEX(vertraging[[Vertraging 12 jaar]:[2034]],MATCH($F158,vertraging[Zoeksleutel],0),H$134-INDEX(aanname_implementatie[Totaal vertraging],MATCH($B158,IF(aanname_implementatie[Doelgroep]=$C158,aanname_implementatie[Digitale zorgtoepassing]),0)))</f>
        <v>0.26800000000000002</v>
      </c>
      <c r="I158" s="126" cm="1">
        <f t="array" ref="I158">INDEX(vertraging[[Vertraging 12 jaar]:[2034]],MATCH($F158,vertraging[Zoeksleutel],0),I$134-INDEX(aanname_implementatie[Totaal vertraging],MATCH($B158,IF(aanname_implementatie[Doelgroep]=$C158,aanname_implementatie[Digitale zorgtoepassing]),0)))</f>
        <v>0.3476416</v>
      </c>
      <c r="J158" s="126" cm="1">
        <f t="array" ref="J158">INDEX(vertraging[[Vertraging 12 jaar]:[2034]],MATCH($F158,vertraging[Zoeksleutel],0),J$134-INDEX(aanname_implementatie[Totaal vertraging],MATCH($B158,IF(aanname_implementatie[Doelgroep]=$C158,aanname_implementatie[Digitale zorgtoepassing]),0)))</f>
        <v>0.43680239728230397</v>
      </c>
      <c r="K158" s="126" cm="1">
        <f t="array" ref="K158">INDEX(vertraging[[Vertraging 12 jaar]:[2034]],MATCH($F158,vertraging[Zoeksleutel],0),K$134-INDEX(aanname_implementatie[Totaal vertraging],MATCH($B158,IF(aanname_implementatie[Doelgroep]=$C158,aanname_implementatie[Digitale zorgtoepassing]),0)))</f>
        <v>0.53135248337682706</v>
      </c>
      <c r="L158" s="126" cm="1">
        <f t="array" ref="L158">INDEX(vertraging[[Vertraging 12 jaar]:[2034]],MATCH($F158,vertraging[Zoeksleutel],0),L$134-INDEX(aanname_implementatie[Totaal vertraging],MATCH($B158,IF(aanname_implementatie[Doelgroep]=$C158,aanname_implementatie[Digitale zorgtoepassing]),0)))</f>
        <v>0.62553815375131172</v>
      </c>
      <c r="M158" s="126" cm="1">
        <f t="array" ref="M158">INDEX(vertraging[[Vertraging 12 jaar]:[2034]],MATCH($F158,vertraging[Zoeksleutel],0),M$134-INDEX(aanname_implementatie[Totaal vertraging],MATCH($B158,IF(aanname_implementatie[Doelgroep]=$C158,aanname_implementatie[Digitale zorgtoepassing]),0)))</f>
        <v>0.71313914162849124</v>
      </c>
      <c r="N158" s="126" cm="1">
        <f t="array" ref="N158">INDEX(vertraging[[Vertraging 12 jaar]:[2034]],MATCH($F158,vertraging[Zoeksleutel],0),N$134-INDEX(aanname_implementatie[Totaal vertraging],MATCH($B158,IF(aanname_implementatie[Doelgroep]=$C158,aanname_implementatie[Digitale zorgtoepassing]),0)))</f>
        <v>0.78904215171111836</v>
      </c>
      <c r="O158" s="126" cm="1">
        <f t="array" ref="O158">INDEX(vertraging[[Vertraging 12 jaar]:[2034]],MATCH($F158,vertraging[Zoeksleutel],0),O$134-INDEX(aanname_implementatie[Totaal vertraging],MATCH($B158,IF(aanname_implementatie[Doelgroep]=$C158,aanname_implementatie[Digitale zorgtoepassing]),0)))</f>
        <v>0.85046564152242399</v>
      </c>
      <c r="P158" s="126" cm="1">
        <f t="array" ref="P158">INDEX(vertraging[[Vertraging 12 jaar]:[2034]],MATCH($F158,vertraging[Zoeksleutel],0),P$134-INDEX(aanname_implementatie[Totaal vertraging],MATCH($B158,IF(aanname_implementatie[Doelgroep]=$C158,aanname_implementatie[Digitale zorgtoepassing]),0)))</f>
        <v>0.89721949883888419</v>
      </c>
      <c r="Q158" s="126" cm="1">
        <f t="array" ref="Q158">INDEX(vertraging[[Vertraging 12 jaar]:[2034]],MATCH($F158,vertraging[Zoeksleutel],0),Q$134-INDEX(aanname_implementatie[Totaal vertraging],MATCH($B158,IF(aanname_implementatie[Doelgroep]=$C158,aanname_implementatie[Digitale zorgtoepassing]),0)))</f>
        <v>0.93103704076606597</v>
      </c>
      <c r="R158" s="126" cm="1">
        <f t="array" ref="R158">INDEX(vertraging[[Vertraging 12 jaar]:[2034]],MATCH($F158,vertraging[Zoeksleutel],0),R$134-INDEX(aanname_implementatie[Totaal vertraging],MATCH($B158,IF(aanname_implementatie[Doelgroep]=$C158,aanname_implementatie[Digitale zorgtoepassing]),0)))</f>
        <v>0.9545439594752464</v>
      </c>
    </row>
    <row r="159" spans="1:18" x14ac:dyDescent="0.5">
      <c r="A159" s="30" t="str">
        <f>INDEX(Technologieën[Veld],MATCH(B159,Technologieën[Digitale zorgtoepassing],0))</f>
        <v>Software - Diagnose</v>
      </c>
      <c r="B159" s="30" t="s">
        <v>139</v>
      </c>
      <c r="C159" s="30" t="s">
        <v>106</v>
      </c>
      <c r="D159" s="30" t="str" cm="1">
        <f t="array" ref="D159">INDEX(Berekening_patiëntaantal[Direct toepasbaar/extrapolatie/incidentie voor QALY],MATCH(B159,IF(Berekening_patiëntaantal[Doelgroep (zoeksleutel)]=C159,Berekening_patiëntaantal[Digitale zorgtoepassing]),0))</f>
        <v>Huidige toepassing</v>
      </c>
      <c r="E159" s="440" t="s">
        <v>812</v>
      </c>
      <c r="F159" s="30" t="str">
        <f>CONCATENATE(implementatie[[#This Row],[Zorgtechnologie]],"_",implementatie[[#This Row],[Doelgroep]],"_",implementatie[[#This Row],[Uitgangssituatie/effect beleid]])</f>
        <v>Digitale pathologie_NVT_Effect beleid</v>
      </c>
      <c r="G159" s="126" cm="1">
        <f t="array" ref="G159">INDEX(vertraging[[Vertraging 12 jaar]:[2034]],MATCH($F159,vertraging[Zoeksleutel],0),G$134-INDEX(aanname_implementatie[Totaal vertraging],MATCH($B159,IF(aanname_implementatie[Doelgroep]=$C159,aanname_implementatie[Digitale zorgtoepassing]),0)))</f>
        <v>0.8</v>
      </c>
      <c r="H159" s="126" cm="1">
        <f t="array" ref="H159">INDEX(vertraging[[Vertraging 12 jaar]:[2034]],MATCH($F159,vertraging[Zoeksleutel],0),H$134-INDEX(aanname_implementatie[Totaal vertraging],MATCH($B159,IF(aanname_implementatie[Doelgroep]=$C159,aanname_implementatie[Digitale zorgtoepassing]),0)))</f>
        <v>0.877</v>
      </c>
      <c r="I159" s="126" cm="1">
        <f t="array" ref="I159">INDEX(vertraging[[Vertraging 12 jaar]:[2034]],MATCH($F159,vertraging[Zoeksleutel],0),I$134-INDEX(aanname_implementatie[Totaal vertraging],MATCH($B159,IF(aanname_implementatie[Doelgroep]=$C159,aanname_implementatie[Digitale zorgtoepassing]),0)))</f>
        <v>0.92861695000000011</v>
      </c>
      <c r="J159" s="126" cm="1">
        <f t="array" ref="J159">INDEX(vertraging[[Vertraging 12 jaar]:[2034]],MATCH($F159,vertraging[Zoeksleutel],0),J$134-INDEX(aanname_implementatie[Totaal vertraging],MATCH($B159,IF(aanname_implementatie[Doelgroep]=$C159,aanname_implementatie[Digitale zorgtoepassing]),0)))</f>
        <v>0.96023090582771387</v>
      </c>
      <c r="K159" s="126" cm="1">
        <f t="array" ref="K159">INDEX(vertraging[[Vertraging 12 jaar]:[2034]],MATCH($F159,vertraging[Zoeksleutel],0),K$134-INDEX(aanname_implementatie[Totaal vertraging],MATCH($B159,IF(aanname_implementatie[Doelgroep]=$C159,aanname_implementatie[Digitale zorgtoepassing]),0)))</f>
        <v>0.97840951417647182</v>
      </c>
      <c r="L159" s="126" cm="1">
        <f t="array" ref="L159">INDEX(vertraging[[Vertraging 12 jaar]:[2034]],MATCH($F159,vertraging[Zoeksleutel],0),L$134-INDEX(aanname_implementatie[Totaal vertraging],MATCH($B159,IF(aanname_implementatie[Doelgroep]=$C159,aanname_implementatie[Digitale zorgtoepassing]),0)))</f>
        <v>0.9884552278575045</v>
      </c>
      <c r="M159" s="126" cm="1">
        <f t="array" ref="M159">INDEX(vertraging[[Vertraging 12 jaar]:[2034]],MATCH($F159,vertraging[Zoeksleutel],0),M$134-INDEX(aanname_implementatie[Totaal vertraging],MATCH($B159,IF(aanname_implementatie[Doelgroep]=$C159,aanname_implementatie[Digitale zorgtoepassing]),0)))</f>
        <v>0.99387901783146992</v>
      </c>
      <c r="N159" s="126" cm="1">
        <f t="array" ref="N159">INDEX(vertraging[[Vertraging 12 jaar]:[2034]],MATCH($F159,vertraging[Zoeksleutel],0),N$134-INDEX(aanname_implementatie[Totaal vertraging],MATCH($B159,IF(aanname_implementatie[Doelgroep]=$C159,aanname_implementatie[Digitale zorgtoepassing]),0)))</f>
        <v>0.99676962447130335</v>
      </c>
      <c r="O159" s="126" cm="1">
        <f t="array" ref="O159">INDEX(vertraging[[Vertraging 12 jaar]:[2034]],MATCH($F159,vertraging[Zoeksleutel],0),O$134-INDEX(aanname_implementatie[Totaal vertraging],MATCH($B159,IF(aanname_implementatie[Doelgroep]=$C159,aanname_implementatie[Digitale zorgtoepassing]),0)))</f>
        <v>0.99829935695070882</v>
      </c>
      <c r="P159" s="126" cm="1">
        <f t="array" ref="P159">INDEX(vertraging[[Vertraging 12 jaar]:[2034]],MATCH($F159,vertraging[Zoeksleutel],0),P$134-INDEX(aanname_implementatie[Totaal vertraging],MATCH($B159,IF(aanname_implementatie[Doelgroep]=$C159,aanname_implementatie[Digitale zorgtoepassing]),0)))</f>
        <v>0.9991058609150707</v>
      </c>
      <c r="Q159" s="126" cm="1">
        <f t="array" ref="Q159">INDEX(vertraging[[Vertraging 12 jaar]:[2034]],MATCH($F159,vertraging[Zoeksleutel],0),Q$134-INDEX(aanname_implementatie[Totaal vertraging],MATCH($B159,IF(aanname_implementatie[Doelgroep]=$C159,aanname_implementatie[Digitale zorgtoepassing]),0)))</f>
        <v>0.99953021721229562</v>
      </c>
      <c r="R159" s="126" cm="1">
        <f t="array" ref="R159">INDEX(vertraging[[Vertraging 12 jaar]:[2034]],MATCH($F159,vertraging[Zoeksleutel],0),R$134-INDEX(aanname_implementatie[Totaal vertraging],MATCH($B159,IF(aanname_implementatie[Doelgroep]=$C159,aanname_implementatie[Digitale zorgtoepassing]),0)))</f>
        <v>0.99975326472331483</v>
      </c>
    </row>
    <row r="160" spans="1:18" x14ac:dyDescent="0.5">
      <c r="A160" s="30" t="str">
        <f>INDEX(Technologieën[Veld],MATCH(B160,Technologieën[Digitale zorgtoepassing],0))</f>
        <v>Software - Behandeling</v>
      </c>
      <c r="B160" s="30" t="s">
        <v>588</v>
      </c>
      <c r="C160" s="30" t="s">
        <v>104</v>
      </c>
      <c r="D160" s="30" t="str" cm="1">
        <f t="array" ref="D160">INDEX(Berekening_patiëntaantal[Direct toepasbaar/extrapolatie/incidentie voor QALY],MATCH(B160,IF(Berekening_patiëntaantal[Doelgroep (zoeksleutel)]=C160,Berekening_patiëntaantal[Digitale zorgtoepassing]),0))</f>
        <v>Huidige toepassing</v>
      </c>
      <c r="E160" s="440" t="s">
        <v>812</v>
      </c>
      <c r="F160" s="30" t="str">
        <f>CONCATENATE(implementatie[[#This Row],[Zorgtechnologie]],"_",implementatie[[#This Row],[Doelgroep]],"_",implementatie[[#This Row],[Uitgangssituatie/effect beleid]])</f>
        <v>Digitale zorg logopedie_Afasie_Effect beleid</v>
      </c>
      <c r="G160" s="126" cm="1">
        <f t="array" ref="G160">INDEX(vertraging[[Vertraging 12 jaar]:[2034]],MATCH($F160,vertraging[Zoeksleutel],0),G$134-INDEX(aanname_implementatie[Totaal vertraging],MATCH($B160,IF(aanname_implementatie[Doelgroep]=$C160,aanname_implementatie[Digitale zorgtoepassing]),0)))</f>
        <v>0.2</v>
      </c>
      <c r="H160" s="126" cm="1">
        <f t="array" ref="H160">INDEX(vertraging[[Vertraging 12 jaar]:[2034]],MATCH($F160,vertraging[Zoeksleutel],0),H$134-INDEX(aanname_implementatie[Totaal vertraging],MATCH($B160,IF(aanname_implementatie[Doelgroep]=$C160,aanname_implementatie[Digitale zorgtoepassing]),0)))</f>
        <v>0.26800000000000002</v>
      </c>
      <c r="I160" s="126" cm="1">
        <f t="array" ref="I160">INDEX(vertraging[[Vertraging 12 jaar]:[2034]],MATCH($F160,vertraging[Zoeksleutel],0),I$134-INDEX(aanname_implementatie[Totaal vertraging],MATCH($B160,IF(aanname_implementatie[Doelgroep]=$C160,aanname_implementatie[Digitale zorgtoepassing]),0)))</f>
        <v>0.3476416</v>
      </c>
      <c r="J160" s="126" cm="1">
        <f t="array" ref="J160">INDEX(vertraging[[Vertraging 12 jaar]:[2034]],MATCH($F160,vertraging[Zoeksleutel],0),J$134-INDEX(aanname_implementatie[Totaal vertraging],MATCH($B160,IF(aanname_implementatie[Doelgroep]=$C160,aanname_implementatie[Digitale zorgtoepassing]),0)))</f>
        <v>0.43680239728230397</v>
      </c>
      <c r="K160" s="126" cm="1">
        <f t="array" ref="K160">INDEX(vertraging[[Vertraging 12 jaar]:[2034]],MATCH($F160,vertraging[Zoeksleutel],0),K$134-INDEX(aanname_implementatie[Totaal vertraging],MATCH($B160,IF(aanname_implementatie[Doelgroep]=$C160,aanname_implementatie[Digitale zorgtoepassing]),0)))</f>
        <v>0.53135248337682706</v>
      </c>
      <c r="L160" s="126" cm="1">
        <f t="array" ref="L160">INDEX(vertraging[[Vertraging 12 jaar]:[2034]],MATCH($F160,vertraging[Zoeksleutel],0),L$134-INDEX(aanname_implementatie[Totaal vertraging],MATCH($B160,IF(aanname_implementatie[Doelgroep]=$C160,aanname_implementatie[Digitale zorgtoepassing]),0)))</f>
        <v>0.62553815375131172</v>
      </c>
      <c r="M160" s="126" cm="1">
        <f t="array" ref="M160">INDEX(vertraging[[Vertraging 12 jaar]:[2034]],MATCH($F160,vertraging[Zoeksleutel],0),M$134-INDEX(aanname_implementatie[Totaal vertraging],MATCH($B160,IF(aanname_implementatie[Doelgroep]=$C160,aanname_implementatie[Digitale zorgtoepassing]),0)))</f>
        <v>0.71313914162849124</v>
      </c>
      <c r="N160" s="126" cm="1">
        <f t="array" ref="N160">INDEX(vertraging[[Vertraging 12 jaar]:[2034]],MATCH($F160,vertraging[Zoeksleutel],0),N$134-INDEX(aanname_implementatie[Totaal vertraging],MATCH($B160,IF(aanname_implementatie[Doelgroep]=$C160,aanname_implementatie[Digitale zorgtoepassing]),0)))</f>
        <v>0.78904215171111836</v>
      </c>
      <c r="O160" s="126" cm="1">
        <f t="array" ref="O160">INDEX(vertraging[[Vertraging 12 jaar]:[2034]],MATCH($F160,vertraging[Zoeksleutel],0),O$134-INDEX(aanname_implementatie[Totaal vertraging],MATCH($B160,IF(aanname_implementatie[Doelgroep]=$C160,aanname_implementatie[Digitale zorgtoepassing]),0)))</f>
        <v>0.85046564152242399</v>
      </c>
      <c r="P160" s="126" cm="1">
        <f t="array" ref="P160">INDEX(vertraging[[Vertraging 12 jaar]:[2034]],MATCH($F160,vertraging[Zoeksleutel],0),P$134-INDEX(aanname_implementatie[Totaal vertraging],MATCH($B160,IF(aanname_implementatie[Doelgroep]=$C160,aanname_implementatie[Digitale zorgtoepassing]),0)))</f>
        <v>0.89721949883888419</v>
      </c>
      <c r="Q160" s="126" cm="1">
        <f t="array" ref="Q160">INDEX(vertraging[[Vertraging 12 jaar]:[2034]],MATCH($F160,vertraging[Zoeksleutel],0),Q$134-INDEX(aanname_implementatie[Totaal vertraging],MATCH($B160,IF(aanname_implementatie[Doelgroep]=$C160,aanname_implementatie[Digitale zorgtoepassing]),0)))</f>
        <v>0.93103704076606597</v>
      </c>
      <c r="R160" s="126" cm="1">
        <f t="array" ref="R160">INDEX(vertraging[[Vertraging 12 jaar]:[2034]],MATCH($F160,vertraging[Zoeksleutel],0),R$134-INDEX(aanname_implementatie[Totaal vertraging],MATCH($B160,IF(aanname_implementatie[Doelgroep]=$C160,aanname_implementatie[Digitale zorgtoepassing]),0)))</f>
        <v>0.9545439594752464</v>
      </c>
    </row>
    <row r="161" spans="1:18" x14ac:dyDescent="0.5">
      <c r="A161" s="30" t="str">
        <f>INDEX(Technologieën[Veld],MATCH(B161,Technologieën[Digitale zorgtoepassing],0))</f>
        <v>Software - Behandeling</v>
      </c>
      <c r="B161" s="30" t="s">
        <v>588</v>
      </c>
      <c r="C161" s="30" t="s">
        <v>589</v>
      </c>
      <c r="D161" s="30" t="str" cm="1">
        <f t="array" ref="D161">INDEX(Berekening_patiëntaantal[Direct toepasbaar/extrapolatie/incidentie voor QALY],MATCH(B161,IF(Berekening_patiëntaantal[Doelgroep (zoeksleutel)]=C161,Berekening_patiëntaantal[Digitale zorgtoepassing]),0))</f>
        <v>Extrapolatie</v>
      </c>
      <c r="E161" s="440" t="s">
        <v>812</v>
      </c>
      <c r="F161" s="30" t="str">
        <f>CONCATENATE(implementatie[[#This Row],[Zorgtechnologie]],"_",implementatie[[#This Row],[Doelgroep]],"_",implementatie[[#This Row],[Uitgangssituatie/effect beleid]])</f>
        <v>Digitale zorg logopedie_Overige_zittingen_Effect beleid</v>
      </c>
      <c r="G161" s="126" cm="1">
        <f t="array" ref="G161">INDEX(vertraging[[Vertraging 12 jaar]:[2034]],MATCH($F161,vertraging[Zoeksleutel],0),G$134-INDEX(aanname_implementatie[Totaal vertraging],MATCH($B161,IF(aanname_implementatie[Doelgroep]=$C161,aanname_implementatie[Digitale zorgtoepassing]),0)))</f>
        <v>0</v>
      </c>
      <c r="H161" s="126" cm="1">
        <f t="array" ref="H161">INDEX(vertraging[[Vertraging 12 jaar]:[2034]],MATCH($F161,vertraging[Zoeksleutel],0),H$134-INDEX(aanname_implementatie[Totaal vertraging],MATCH($B161,IF(aanname_implementatie[Doelgroep]=$C161,aanname_implementatie[Digitale zorgtoepassing]),0)))</f>
        <v>0</v>
      </c>
      <c r="I161" s="126" cm="1">
        <f t="array" ref="I161">INDEX(vertraging[[Vertraging 12 jaar]:[2034]],MATCH($F161,vertraging[Zoeksleutel],0),I$134-INDEX(aanname_implementatie[Totaal vertraging],MATCH($B161,IF(aanname_implementatie[Doelgroep]=$C161,aanname_implementatie[Digitale zorgtoepassing]),0)))</f>
        <v>0</v>
      </c>
      <c r="J161" s="126" cm="1">
        <f t="array" ref="J161">INDEX(vertraging[[Vertraging 12 jaar]:[2034]],MATCH($F161,vertraging[Zoeksleutel],0),J$134-INDEX(aanname_implementatie[Totaal vertraging],MATCH($B161,IF(aanname_implementatie[Doelgroep]=$C161,aanname_implementatie[Digitale zorgtoepassing]),0)))</f>
        <v>0</v>
      </c>
      <c r="K161" s="126" cm="1">
        <f t="array" ref="K161">INDEX(vertraging[[Vertraging 12 jaar]:[2034]],MATCH($F161,vertraging[Zoeksleutel],0),K$134-INDEX(aanname_implementatie[Totaal vertraging],MATCH($B161,IF(aanname_implementatie[Doelgroep]=$C161,aanname_implementatie[Digitale zorgtoepassing]),0)))</f>
        <v>0</v>
      </c>
      <c r="L161" s="126" cm="1">
        <f t="array" ref="L161">INDEX(vertraging[[Vertraging 12 jaar]:[2034]],MATCH($F161,vertraging[Zoeksleutel],0),L$134-INDEX(aanname_implementatie[Totaal vertraging],MATCH($B161,IF(aanname_implementatie[Doelgroep]=$C161,aanname_implementatie[Digitale zorgtoepassing]),0)))</f>
        <v>0.01</v>
      </c>
      <c r="M161" s="126" cm="1">
        <f t="array" ref="M161">INDEX(vertraging[[Vertraging 12 jaar]:[2034]],MATCH($F161,vertraging[Zoeksleutel],0),M$134-INDEX(aanname_implementatie[Totaal vertraging],MATCH($B161,IF(aanname_implementatie[Doelgroep]=$C161,aanname_implementatie[Digitale zorgtoepassing]),0)))</f>
        <v>2.2870000000000001E-2</v>
      </c>
      <c r="N161" s="126" cm="1">
        <f t="array" ref="N161">INDEX(vertraging[[Vertraging 12 jaar]:[2034]],MATCH($F161,vertraging[Zoeksleutel],0),N$134-INDEX(aanname_implementatie[Totaal vertraging],MATCH($B161,IF(aanname_implementatie[Doelgroep]=$C161,aanname_implementatie[Digitale zorgtoepassing]),0)))</f>
        <v>3.9345388929999996E-2</v>
      </c>
      <c r="O161" s="126" cm="1">
        <f t="array" ref="O161">INDEX(vertraging[[Vertraging 12 jaar]:[2034]],MATCH($F161,vertraging[Zoeksleutel],0),O$134-INDEX(aanname_implementatie[Totaal vertraging],MATCH($B161,IF(aanname_implementatie[Doelgroep]=$C161,aanname_implementatie[Digitale zorgtoepassing]),0)))</f>
        <v>6.0291133830684102E-2</v>
      </c>
      <c r="P161" s="126" cm="1">
        <f t="array" ref="P161">INDEX(vertraging[[Vertraging 12 jaar]:[2034]],MATCH($F161,vertraging[Zoeksleutel],0),P$134-INDEX(aanname_implementatie[Totaal vertraging],MATCH($B161,IF(aanname_implementatie[Doelgroep]=$C161,aanname_implementatie[Digitale zorgtoepassing]),0)))</f>
        <v>8.6685056396005655E-2</v>
      </c>
      <c r="Q161" s="126" cm="1">
        <f t="array" ref="Q161">INDEX(vertraging[[Vertraging 12 jaar]:[2034]],MATCH($F161,vertraging[Zoeksleutel],0),Q$134-INDEX(aanname_implementatie[Totaal vertraging],MATCH($B161,IF(aanname_implementatie[Doelgroep]=$C161,aanname_implementatie[Digitale zorgtoepassing]),0)))</f>
        <v>0.11956943305013369</v>
      </c>
      <c r="R161" s="126" cm="1">
        <f t="array" ref="R161">INDEX(vertraging[[Vertraging 12 jaar]:[2034]],MATCH($F161,vertraging[Zoeksleutel],0),R$134-INDEX(aanname_implementatie[Totaal vertraging],MATCH($B161,IF(aanname_implementatie[Doelgroep]=$C161,aanname_implementatie[Digitale zorgtoepassing]),0)))</f>
        <v>0.15995551383869336</v>
      </c>
    </row>
    <row r="162" spans="1:18" x14ac:dyDescent="0.5">
      <c r="A162" s="30" t="str">
        <f>INDEX(Technologieën[Veld],MATCH(B162,Technologieën[Digitale zorgtoepassing],0))</f>
        <v>Software - Behandeling</v>
      </c>
      <c r="B162" s="30" t="s">
        <v>585</v>
      </c>
      <c r="C162" s="30" t="s">
        <v>583</v>
      </c>
      <c r="D162" s="30" t="str" cm="1">
        <f t="array" ref="D162">INDEX(Berekening_patiëntaantal[Direct toepasbaar/extrapolatie/incidentie voor QALY],MATCH(B162,IF(Berekening_patiëntaantal[Doelgroep (zoeksleutel)]=C162,Berekening_patiëntaantal[Digitale zorgtoepassing]),0))</f>
        <v>Huidige toepassing</v>
      </c>
      <c r="E162" s="440" t="s">
        <v>812</v>
      </c>
      <c r="F162" s="30" t="str">
        <f>CONCATENATE(implementatie[[#This Row],[Zorgtechnologie]],"_",implementatie[[#This Row],[Doelgroep]],"_",implementatie[[#This Row],[Uitgangssituatie/effect beleid]])</f>
        <v>Digitale/slimme vervolgzorg_Herhaalpoli's_Effect beleid</v>
      </c>
      <c r="G162" s="126" cm="1">
        <f t="array" ref="G162">INDEX(vertraging[[Vertraging 12 jaar]:[2034]],MATCH($F162,vertraging[Zoeksleutel],0),G$134-INDEX(aanname_implementatie[Totaal vertraging],MATCH($B162,IF(aanname_implementatie[Doelgroep]=$C162,aanname_implementatie[Digitale zorgtoepassing]),0)))</f>
        <v>0</v>
      </c>
      <c r="H162" s="126" cm="1">
        <f t="array" ref="H162">INDEX(vertraging[[Vertraging 12 jaar]:[2034]],MATCH($F162,vertraging[Zoeksleutel],0),H$134-INDEX(aanname_implementatie[Totaal vertraging],MATCH($B162,IF(aanname_implementatie[Doelgroep]=$C162,aanname_implementatie[Digitale zorgtoepassing]),0)))</f>
        <v>0.02</v>
      </c>
      <c r="I162" s="126" cm="1">
        <f t="array" ref="I162">INDEX(vertraging[[Vertraging 12 jaar]:[2034]],MATCH($F162,vertraging[Zoeksleutel],0),I$134-INDEX(aanname_implementatie[Totaal vertraging],MATCH($B162,IF(aanname_implementatie[Doelgroep]=$C162,aanname_implementatie[Digitale zorgtoepassing]),0)))</f>
        <v>4.7439999999999996E-2</v>
      </c>
      <c r="J162" s="126" cm="1">
        <f t="array" ref="J162">INDEX(vertraging[[Vertraging 12 jaar]:[2034]],MATCH($F162,vertraging[Zoeksleutel],0),J$134-INDEX(aanname_implementatie[Totaal vertraging],MATCH($B162,IF(aanname_implementatie[Doelgroep]=$C162,aanname_implementatie[Digitale zorgtoepassing]),0)))</f>
        <v>8.4566978560000006E-2</v>
      </c>
      <c r="K162" s="126" cm="1">
        <f t="array" ref="K162">INDEX(vertraging[[Vertraging 12 jaar]:[2034]],MATCH($F162,vertraging[Zoeksleutel],0),K$134-INDEX(aanname_implementatie[Totaal vertraging],MATCH($B162,IF(aanname_implementatie[Doelgroep]=$C162,aanname_implementatie[Digitale zorgtoepassing]),0)))</f>
        <v>0.13384180086769301</v>
      </c>
      <c r="L162" s="126" cm="1">
        <f t="array" ref="L162">INDEX(vertraging[[Vertraging 12 jaar]:[2034]],MATCH($F162,vertraging[Zoeksleutel],0),L$134-INDEX(aanname_implementatie[Totaal vertraging],MATCH($B162,IF(aanname_implementatie[Doelgroep]=$C162,aanname_implementatie[Digitale zorgtoepassing]),0)))</f>
        <v>0.19753623413361349</v>
      </c>
      <c r="M162" s="126" cm="1">
        <f t="array" ref="M162">INDEX(vertraging[[Vertraging 12 jaar]:[2034]],MATCH($F162,vertraging[Zoeksleutel],0),M$134-INDEX(aanname_implementatie[Totaal vertraging],MATCH($B162,IF(aanname_implementatie[Doelgroep]=$C162,aanname_implementatie[Digitale zorgtoepassing]),0)))</f>
        <v>0.27699177758611071</v>
      </c>
      <c r="N162" s="126" cm="1">
        <f t="array" ref="N162">INDEX(vertraging[[Vertraging 12 jaar]:[2034]],MATCH($F162,vertraging[Zoeksleutel],0),N$134-INDEX(aanname_implementatie[Totaal vertraging],MATCH($B162,IF(aanname_implementatie[Doelgroep]=$C162,aanname_implementatie[Digitale zorgtoepassing]),0)))</f>
        <v>0.37155887512870744</v>
      </c>
      <c r="O162" s="126" cm="1">
        <f t="array" ref="O162">INDEX(vertraging[[Vertraging 12 jaar]:[2034]],MATCH($F162,vertraging[Zoeksleutel],0),O$134-INDEX(aanname_implementatie[Totaal vertraging],MATCH($B162,IF(aanname_implementatie[Doelgroep]=$C162,aanname_implementatie[Digitale zorgtoepassing]),0)))</f>
        <v>0.47752884860285211</v>
      </c>
      <c r="P162" s="126" cm="1">
        <f t="array" ref="P162">INDEX(vertraging[[Vertraging 12 jaar]:[2034]],MATCH($F162,vertraging[Zoeksleutel],0),P$134-INDEX(aanname_implementatie[Totaal vertraging],MATCH($B162,IF(aanname_implementatie[Doelgroep]=$C162,aanname_implementatie[Digitale zorgtoepassing]),0)))</f>
        <v>0.5877762905727496</v>
      </c>
      <c r="Q162" s="126" cm="1">
        <f t="array" ref="Q162">INDEX(vertraging[[Vertraging 12 jaar]:[2034]],MATCH($F162,vertraging[Zoeksleutel],0),Q$134-INDEX(aanname_implementatie[Totaal vertraging],MATCH($B162,IF(aanname_implementatie[Doelgroep]=$C162,aanname_implementatie[Digitale zorgtoepassing]),0)))</f>
        <v>0.6929388938866099</v>
      </c>
      <c r="R162" s="126" cm="1">
        <f t="array" ref="R162">INDEX(vertraging[[Vertraging 12 jaar]:[2034]],MATCH($F162,vertraging[Zoeksleutel],0),R$134-INDEX(aanname_implementatie[Totaal vertraging],MATCH($B162,IF(aanname_implementatie[Doelgroep]=$C162,aanname_implementatie[Digitale zorgtoepassing]),0)))</f>
        <v>0.78418994929920227</v>
      </c>
    </row>
    <row r="163" spans="1:18" x14ac:dyDescent="0.5">
      <c r="A163" s="30" t="str">
        <f>INDEX(Technologieën[Veld],MATCH(B163,Technologieën[Digitale zorgtoepassing],0))</f>
        <v>Software - Behandeling</v>
      </c>
      <c r="B163" s="30" t="s">
        <v>585</v>
      </c>
      <c r="C163" s="30" t="s">
        <v>107</v>
      </c>
      <c r="D163" s="30" t="str" cm="1">
        <f t="array" ref="D163">INDEX(Berekening_patiëntaantal[Direct toepasbaar/extrapolatie/incidentie voor QALY],MATCH(B163,IF(Berekening_patiëntaantal[Doelgroep (zoeksleutel)]=C163,Berekening_patiëntaantal[Digitale zorgtoepassing]),0))</f>
        <v>Huidige toepassing</v>
      </c>
      <c r="E163" s="440" t="s">
        <v>812</v>
      </c>
      <c r="F163" s="30" t="str">
        <f>CONCATENATE(implementatie[[#This Row],[Zorgtechnologie]],"_",implementatie[[#This Row],[Doelgroep]],"_",implementatie[[#This Row],[Uitgangssituatie/effect beleid]])</f>
        <v>Digitale/slimme vervolgzorg_Simpele botbreuken_Effect beleid</v>
      </c>
      <c r="G163" s="126" cm="1">
        <f t="array" ref="G163">INDEX(vertraging[[Vertraging 12 jaar]:[2034]],MATCH($F163,vertraging[Zoeksleutel],0),G$134-INDEX(aanname_implementatie[Totaal vertraging],MATCH($B163,IF(aanname_implementatie[Doelgroep]=$C163,aanname_implementatie[Digitale zorgtoepassing]),0)))</f>
        <v>0.4</v>
      </c>
      <c r="H163" s="126" cm="1">
        <f t="array" ref="H163">INDEX(vertraging[[Vertraging 12 jaar]:[2034]],MATCH($F163,vertraging[Zoeksleutel],0),H$134-INDEX(aanname_implementatie[Totaal vertraging],MATCH($B163,IF(aanname_implementatie[Doelgroep]=$C163,aanname_implementatie[Digitale zorgtoepassing]),0)))</f>
        <v>0.52300000000000002</v>
      </c>
      <c r="I163" s="126" cm="1">
        <f t="array" ref="I163">INDEX(vertraging[[Vertraging 12 jaar]:[2034]],MATCH($F163,vertraging[Zoeksleutel],0),I$134-INDEX(aanname_implementatie[Totaal vertraging],MATCH($B163,IF(aanname_implementatie[Doelgroep]=$C163,aanname_implementatie[Digitale zorgtoepassing]),0)))</f>
        <v>0.64718695000000004</v>
      </c>
      <c r="J163" s="126" cm="1">
        <f t="array" ref="J163">INDEX(vertraging[[Vertraging 12 jaar]:[2034]],MATCH($F163,vertraging[Zoeksleutel],0),J$134-INDEX(aanname_implementatie[Totaal vertraging],MATCH($B163,IF(aanname_implementatie[Doelgroep]=$C163,aanname_implementatie[Digitale zorgtoepassing]),0)))</f>
        <v>0.75875847703736388</v>
      </c>
      <c r="K163" s="126" cm="1">
        <f t="array" ref="K163">INDEX(vertraging[[Vertraging 12 jaar]:[2034]],MATCH($F163,vertraging[Zoeksleutel],0),K$134-INDEX(aanname_implementatie[Totaal vertraging],MATCH($B163,IF(aanname_implementatie[Doelgroep]=$C163,aanname_implementatie[Digitale zorgtoepassing]),0)))</f>
        <v>0.84715933786401665</v>
      </c>
      <c r="L163" s="126" cm="1">
        <f t="array" ref="L163">INDEX(vertraging[[Vertraging 12 jaar]:[2034]],MATCH($F163,vertraging[Zoeksleutel],0),L$134-INDEX(aanname_implementatie[Totaal vertraging],MATCH($B163,IF(aanname_implementatie[Doelgroep]=$C163,aanname_implementatie[Digitale zorgtoepassing]),0)))</f>
        <v>0.90924653177763415</v>
      </c>
      <c r="M163" s="126" cm="1">
        <f t="array" ref="M163">INDEX(vertraging[[Vertraging 12 jaar]:[2034]],MATCH($F163,vertraging[Zoeksleutel],0),M$134-INDEX(aanname_implementatie[Totaal vertraging],MATCH($B163,IF(aanname_implementatie[Doelgroep]=$C163,aanname_implementatie[Digitale zorgtoepassing]),0)))</f>
        <v>0.94864814278578335</v>
      </c>
      <c r="N163" s="126" cm="1">
        <f t="array" ref="N163">INDEX(vertraging[[Vertraging 12 jaar]:[2034]],MATCH($F163,vertraging[Zoeksleutel],0),N$134-INDEX(aanname_implementatie[Totaal vertraging],MATCH($B163,IF(aanname_implementatie[Doelgroep]=$C163,aanname_implementatie[Digitale zorgtoepassing]),0)))</f>
        <v>0.97185361900482903</v>
      </c>
      <c r="O163" s="126" cm="1">
        <f t="array" ref="O163">INDEX(vertraging[[Vertraging 12 jaar]:[2034]],MATCH($F163,vertraging[Zoeksleutel],0),O$134-INDEX(aanname_implementatie[Totaal vertraging],MATCH($B163,IF(aanname_implementatie[Doelgroep]=$C163,aanname_implementatie[Digitale zorgtoepassing]),0)))</f>
        <v>0.98486665153412889</v>
      </c>
      <c r="P163" s="126" cm="1">
        <f t="array" ref="P163">INDEX(vertraging[[Vertraging 12 jaar]:[2034]],MATCH($F163,vertraging[Zoeksleutel],0),P$134-INDEX(aanname_implementatie[Totaal vertraging],MATCH($B163,IF(aanname_implementatie[Doelgroep]=$C163,aanname_implementatie[Digitale zorgtoepassing]),0)))</f>
        <v>0.99195193384931235</v>
      </c>
      <c r="Q163" s="126" cm="1">
        <f t="array" ref="Q163">INDEX(vertraging[[Vertraging 12 jaar]:[2034]],MATCH($F163,vertraging[Zoeksleutel],0),Q$134-INDEX(aanname_implementatie[Totaal vertraging],MATCH($B163,IF(aanname_implementatie[Doelgroep]=$C163,aanname_implementatie[Digitale zorgtoepassing]),0)))</f>
        <v>0.99574561815494433</v>
      </c>
      <c r="R163" s="126" cm="1">
        <f t="array" ref="R163">INDEX(vertraging[[Vertraging 12 jaar]:[2034]],MATCH($F163,vertraging[Zoeksleutel],0),R$134-INDEX(aanname_implementatie[Totaal vertraging],MATCH($B163,IF(aanname_implementatie[Doelgroep]=$C163,aanname_implementatie[Digitale zorgtoepassing]),0)))</f>
        <v>0.99775830463714821</v>
      </c>
    </row>
    <row r="164" spans="1:18" x14ac:dyDescent="0.5">
      <c r="A164" s="30" t="str">
        <f>INDEX(Technologieën[Veld],MATCH(B164,Technologieën[Digitale zorgtoepassing],0))</f>
        <v>Digitale hulpmiddelen - Verpleging</v>
      </c>
      <c r="B164" s="30" t="s">
        <v>58</v>
      </c>
      <c r="C164" s="30" t="s">
        <v>59</v>
      </c>
      <c r="D164" s="30" t="str" cm="1">
        <f t="array" ref="D164">INDEX(Berekening_patiëntaantal[Direct toepasbaar/extrapolatie/incidentie voor QALY],MATCH(B164,IF(Berekening_patiëntaantal[Doelgroep (zoeksleutel)]=C164,Berekening_patiëntaantal[Digitale zorgtoepassing]),0))</f>
        <v>Huidige toepassing</v>
      </c>
      <c r="E164" s="440" t="s">
        <v>812</v>
      </c>
      <c r="F164" s="30" t="str">
        <f>CONCATENATE(implementatie[[#This Row],[Zorgtechnologie]],"_",implementatie[[#This Row],[Doelgroep]],"_",implementatie[[#This Row],[Uitgangssituatie/effect beleid]])</f>
        <v>Elektromechanisch toegangsbeheer_Alleenstaande thuiszorg cliënten_Effect beleid</v>
      </c>
      <c r="G164" s="126" cm="1">
        <f t="array" ref="G164">INDEX(vertraging[[Vertraging 12 jaar]:[2034]],MATCH($F164,vertraging[Zoeksleutel],0),G$134-INDEX(aanname_implementatie[Totaal vertraging],MATCH($B164,IF(aanname_implementatie[Doelgroep]=$C164,aanname_implementatie[Digitale zorgtoepassing]),0)))</f>
        <v>0.4</v>
      </c>
      <c r="H164" s="126" cm="1">
        <f t="array" ref="H164">INDEX(vertraging[[Vertraging 12 jaar]:[2034]],MATCH($F164,vertraging[Zoeksleutel],0),H$134-INDEX(aanname_implementatie[Totaal vertraging],MATCH($B164,IF(aanname_implementatie[Doelgroep]=$C164,aanname_implementatie[Digitale zorgtoepassing]),0)))</f>
        <v>0.52300000000000002</v>
      </c>
      <c r="I164" s="126" cm="1">
        <f t="array" ref="I164">INDEX(vertraging[[Vertraging 12 jaar]:[2034]],MATCH($F164,vertraging[Zoeksleutel],0),I$134-INDEX(aanname_implementatie[Totaal vertraging],MATCH($B164,IF(aanname_implementatie[Doelgroep]=$C164,aanname_implementatie[Digitale zorgtoepassing]),0)))</f>
        <v>0.64718695000000004</v>
      </c>
      <c r="J164" s="126" cm="1">
        <f t="array" ref="J164">INDEX(vertraging[[Vertraging 12 jaar]:[2034]],MATCH($F164,vertraging[Zoeksleutel],0),J$134-INDEX(aanname_implementatie[Totaal vertraging],MATCH($B164,IF(aanname_implementatie[Doelgroep]=$C164,aanname_implementatie[Digitale zorgtoepassing]),0)))</f>
        <v>0.75875847703736388</v>
      </c>
      <c r="K164" s="126" cm="1">
        <f t="array" ref="K164">INDEX(vertraging[[Vertraging 12 jaar]:[2034]],MATCH($F164,vertraging[Zoeksleutel],0),K$134-INDEX(aanname_implementatie[Totaal vertraging],MATCH($B164,IF(aanname_implementatie[Doelgroep]=$C164,aanname_implementatie[Digitale zorgtoepassing]),0)))</f>
        <v>0.84715933786401665</v>
      </c>
      <c r="L164" s="126" cm="1">
        <f t="array" ref="L164">INDEX(vertraging[[Vertraging 12 jaar]:[2034]],MATCH($F164,vertraging[Zoeksleutel],0),L$134-INDEX(aanname_implementatie[Totaal vertraging],MATCH($B164,IF(aanname_implementatie[Doelgroep]=$C164,aanname_implementatie[Digitale zorgtoepassing]),0)))</f>
        <v>0.90924653177763415</v>
      </c>
      <c r="M164" s="126" cm="1">
        <f t="array" ref="M164">INDEX(vertraging[[Vertraging 12 jaar]:[2034]],MATCH($F164,vertraging[Zoeksleutel],0),M$134-INDEX(aanname_implementatie[Totaal vertraging],MATCH($B164,IF(aanname_implementatie[Doelgroep]=$C164,aanname_implementatie[Digitale zorgtoepassing]),0)))</f>
        <v>0.94864814278578335</v>
      </c>
      <c r="N164" s="126" cm="1">
        <f t="array" ref="N164">INDEX(vertraging[[Vertraging 12 jaar]:[2034]],MATCH($F164,vertraging[Zoeksleutel],0),N$134-INDEX(aanname_implementatie[Totaal vertraging],MATCH($B164,IF(aanname_implementatie[Doelgroep]=$C164,aanname_implementatie[Digitale zorgtoepassing]),0)))</f>
        <v>0.97185361900482903</v>
      </c>
      <c r="O164" s="126" cm="1">
        <f t="array" ref="O164">INDEX(vertraging[[Vertraging 12 jaar]:[2034]],MATCH($F164,vertraging[Zoeksleutel],0),O$134-INDEX(aanname_implementatie[Totaal vertraging],MATCH($B164,IF(aanname_implementatie[Doelgroep]=$C164,aanname_implementatie[Digitale zorgtoepassing]),0)))</f>
        <v>0.98486665153412889</v>
      </c>
      <c r="P164" s="126" cm="1">
        <f t="array" ref="P164">INDEX(vertraging[[Vertraging 12 jaar]:[2034]],MATCH($F164,vertraging[Zoeksleutel],0),P$134-INDEX(aanname_implementatie[Totaal vertraging],MATCH($B164,IF(aanname_implementatie[Doelgroep]=$C164,aanname_implementatie[Digitale zorgtoepassing]),0)))</f>
        <v>0.99195193384931235</v>
      </c>
      <c r="Q164" s="126" cm="1">
        <f t="array" ref="Q164">INDEX(vertraging[[Vertraging 12 jaar]:[2034]],MATCH($F164,vertraging[Zoeksleutel],0),Q$134-INDEX(aanname_implementatie[Totaal vertraging],MATCH($B164,IF(aanname_implementatie[Doelgroep]=$C164,aanname_implementatie[Digitale zorgtoepassing]),0)))</f>
        <v>0.99574561815494433</v>
      </c>
      <c r="R164" s="126" cm="1">
        <f t="array" ref="R164">INDEX(vertraging[[Vertraging 12 jaar]:[2034]],MATCH($F164,vertraging[Zoeksleutel],0),R$134-INDEX(aanname_implementatie[Totaal vertraging],MATCH($B164,IF(aanname_implementatie[Doelgroep]=$C164,aanname_implementatie[Digitale zorgtoepassing]),0)))</f>
        <v>0.99775830463714821</v>
      </c>
    </row>
    <row r="165" spans="1:18" x14ac:dyDescent="0.5">
      <c r="A165" s="30" t="str">
        <f>INDEX(Technologieën[Veld],MATCH(B165,Technologieën[Digitale zorgtoepassing],0))</f>
        <v>Digitale hulpmiddelen - Verpleging</v>
      </c>
      <c r="B165" s="30" t="s">
        <v>105</v>
      </c>
      <c r="C165" s="30" t="s">
        <v>106</v>
      </c>
      <c r="D165" s="30" t="str" cm="1">
        <f t="array" ref="D165">INDEX(Berekening_patiëntaantal[Direct toepasbaar/extrapolatie/incidentie voor QALY],MATCH(B165,IF(Berekening_patiëntaantal[Doelgroep (zoeksleutel)]=C165,Berekening_patiëntaantal[Digitale zorgtoepassing]),0))</f>
        <v>Huidige toepassing</v>
      </c>
      <c r="E165" s="440" t="s">
        <v>812</v>
      </c>
      <c r="F165" s="30" t="str">
        <f>CONCATENATE(implementatie[[#This Row],[Zorgtechnologie]],"_",implementatie[[#This Row],[Doelgroep]],"_",implementatie[[#This Row],[Uitgangssituatie/effect beleid]])</f>
        <v>Exoskelet_NVT_Effect beleid</v>
      </c>
      <c r="G165" s="126" cm="1">
        <f t="array" ref="G165">INDEX(vertraging[[Vertraging 12 jaar]:[2034]],MATCH($F165,vertraging[Zoeksleutel],0),G$134-INDEX(aanname_implementatie[Totaal vertraging],MATCH($B165,IF(aanname_implementatie[Doelgroep]=$C165,aanname_implementatie[Digitale zorgtoepassing]),0)))</f>
        <v>0</v>
      </c>
      <c r="H165" s="126" cm="1">
        <f t="array" ref="H165">INDEX(vertraging[[Vertraging 12 jaar]:[2034]],MATCH($F165,vertraging[Zoeksleutel],0),H$134-INDEX(aanname_implementatie[Totaal vertraging],MATCH($B165,IF(aanname_implementatie[Doelgroep]=$C165,aanname_implementatie[Digitale zorgtoepassing]),0)))</f>
        <v>0</v>
      </c>
      <c r="I165" s="126" cm="1">
        <f t="array" ref="I165">INDEX(vertraging[[Vertraging 12 jaar]:[2034]],MATCH($F165,vertraging[Zoeksleutel],0),I$134-INDEX(aanname_implementatie[Totaal vertraging],MATCH($B165,IF(aanname_implementatie[Doelgroep]=$C165,aanname_implementatie[Digitale zorgtoepassing]),0)))</f>
        <v>0</v>
      </c>
      <c r="J165" s="126" cm="1">
        <f t="array" ref="J165">INDEX(vertraging[[Vertraging 12 jaar]:[2034]],MATCH($F165,vertraging[Zoeksleutel],0),J$134-INDEX(aanname_implementatie[Totaal vertraging],MATCH($B165,IF(aanname_implementatie[Doelgroep]=$C165,aanname_implementatie[Digitale zorgtoepassing]),0)))</f>
        <v>1.4999999999999999E-2</v>
      </c>
      <c r="K165" s="126" cm="1">
        <f t="array" ref="K165">INDEX(vertraging[[Vertraging 12 jaar]:[2034]],MATCH($F165,vertraging[Zoeksleutel],0),K$134-INDEX(aanname_implementatie[Totaal vertraging],MATCH($B165,IF(aanname_implementatie[Doelgroep]=$C165,aanname_implementatie[Digitale zorgtoepassing]),0)))</f>
        <v>3.4946249999999998E-2</v>
      </c>
      <c r="L165" s="126" cm="1">
        <f t="array" ref="L165">INDEX(vertraging[[Vertraging 12 jaar]:[2034]],MATCH($F165,vertraging[Zoeksleutel],0),L$134-INDEX(aanname_implementatie[Totaal vertraging],MATCH($B165,IF(aanname_implementatie[Doelgroep]=$C165,aanname_implementatie[Digitale zorgtoepassing]),0)))</f>
        <v>6.1225809613828119E-2</v>
      </c>
      <c r="M165" s="126" cm="1">
        <f t="array" ref="M165">INDEX(vertraging[[Vertraging 12 jaar]:[2034]],MATCH($F165,vertraging[Zoeksleutel],0),M$134-INDEX(aanname_implementatie[Totaal vertraging],MATCH($B165,IF(aanname_implementatie[Doelgroep]=$C165,aanname_implementatie[Digitale zorgtoepassing]),0)))</f>
        <v>9.5424445917456496E-2</v>
      </c>
      <c r="N165" s="126" cm="1">
        <f t="array" ref="N165">INDEX(vertraging[[Vertraging 12 jaar]:[2034]],MATCH($F165,vertraging[Zoeksleutel],0),N$134-INDEX(aanname_implementatie[Totaal vertraging],MATCH($B165,IF(aanname_implementatie[Doelgroep]=$C165,aanname_implementatie[Digitale zorgtoepassing]),0)))</f>
        <v>0.13920459659227569</v>
      </c>
      <c r="O165" s="126" cm="1">
        <f t="array" ref="O165">INDEX(vertraging[[Vertraging 12 jaar]:[2034]],MATCH($F165,vertraging[Zoeksleutel],0),O$134-INDEX(aanname_implementatie[Totaal vertraging],MATCH($B165,IF(aanname_implementatie[Doelgroep]=$C165,aanname_implementatie[Digitale zorgtoepassing]),0)))</f>
        <v>0.19405586455134166</v>
      </c>
      <c r="P165" s="126" cm="1">
        <f t="array" ref="P165">INDEX(vertraging[[Vertraging 12 jaar]:[2034]],MATCH($F165,vertraging[Zoeksleutel],0),P$134-INDEX(aanname_implementatie[Totaal vertraging],MATCH($B165,IF(aanname_implementatie[Doelgroep]=$C165,aanname_implementatie[Digitale zorgtoepassing]),0)))</f>
        <v>0.26088439167767208</v>
      </c>
      <c r="Q165" s="126" cm="1">
        <f t="array" ref="Q165">INDEX(vertraging[[Vertraging 12 jaar]:[2034]],MATCH($F165,vertraging[Zoeksleutel],0),Q$134-INDEX(aanname_implementatie[Totaal vertraging],MATCH($B165,IF(aanname_implementatie[Doelgroep]=$C165,aanname_implementatie[Digitale zorgtoepassing]),0)))</f>
        <v>0.33945942985233207</v>
      </c>
      <c r="R165" s="126" cm="1">
        <f t="array" ref="R165">INDEX(vertraging[[Vertraging 12 jaar]:[2034]],MATCH($F165,vertraging[Zoeksleutel],0),R$134-INDEX(aanname_implementatie[Totaal vertraging],MATCH($B165,IF(aanname_implementatie[Doelgroep]=$C165,aanname_implementatie[Digitale zorgtoepassing]),0)))</f>
        <v>0.42784689227237871</v>
      </c>
    </row>
    <row r="166" spans="1:18" x14ac:dyDescent="0.5">
      <c r="A166" s="30" t="str">
        <f>INDEX(Technologieën[Veld],MATCH(B166,Technologieën[Digitale zorgtoepassing],0))</f>
        <v>Digitale hulpmiddelen - Verpleging</v>
      </c>
      <c r="B166" s="30" t="s">
        <v>32</v>
      </c>
      <c r="C166" s="30" t="s">
        <v>602</v>
      </c>
      <c r="D166" s="30" t="str" cm="1">
        <f t="array" ref="D166">INDEX(Berekening_patiëntaantal[Direct toepasbaar/extrapolatie/incidentie voor QALY],MATCH(B166,IF(Berekening_patiëntaantal[Doelgroep (zoeksleutel)]=C166,Berekening_patiëntaantal[Digitale zorgtoepassing]),0))</f>
        <v>Incidentie voor QALY</v>
      </c>
      <c r="E166" s="440" t="s">
        <v>812</v>
      </c>
      <c r="F166" s="30" t="str">
        <f>CONCATENATE(implementatie[[#This Row],[Zorgtechnologie]],"_",implementatie[[#This Row],[Doelgroep]],"_",implementatie[[#This Row],[Uitgangssituatie/effect beleid]])</f>
        <v>Heupairbag_Heupfracturen_Effect beleid</v>
      </c>
      <c r="G166" s="126" cm="1">
        <f t="array" ref="G166">INDEX(vertraging[[Vertraging 12 jaar]:[2034]],MATCH($F166,vertraging[Zoeksleutel],0),G$134-INDEX(aanname_implementatie[Totaal vertraging],MATCH($B166,IF(aanname_implementatie[Doelgroep]=$C166,aanname_implementatie[Digitale zorgtoepassing]),0)))</f>
        <v>0.4</v>
      </c>
      <c r="H166" s="126" cm="1">
        <f t="array" ref="H166">INDEX(vertraging[[Vertraging 12 jaar]:[2034]],MATCH($F166,vertraging[Zoeksleutel],0),H$134-INDEX(aanname_implementatie[Totaal vertraging],MATCH($B166,IF(aanname_implementatie[Doelgroep]=$C166,aanname_implementatie[Digitale zorgtoepassing]),0)))</f>
        <v>0.50800000000000001</v>
      </c>
      <c r="I166" s="126" cm="1">
        <f t="array" ref="I166">INDEX(vertraging[[Vertraging 12 jaar]:[2034]],MATCH($F166,vertraging[Zoeksleutel],0),I$134-INDEX(aanname_implementatie[Totaal vertraging],MATCH($B166,IF(aanname_implementatie[Doelgroep]=$C166,aanname_implementatie[Digitale zorgtoepassing]),0)))</f>
        <v>0.61781439999999999</v>
      </c>
      <c r="J166" s="126" cm="1">
        <f t="array" ref="J166">INDEX(vertraging[[Vertraging 12 jaar]:[2034]],MATCH($F166,vertraging[Zoeksleutel],0),J$134-INDEX(aanname_implementatie[Totaal vertraging],MATCH($B166,IF(aanname_implementatie[Doelgroep]=$C166,aanname_implementatie[Digitale zorgtoepassing]),0)))</f>
        <v>0.71990601886105599</v>
      </c>
      <c r="K166" s="126" cm="1">
        <f t="array" ref="K166">INDEX(vertraging[[Vertraging 12 jaar]:[2034]],MATCH($F166,vertraging[Zoeksleutel],0),K$134-INDEX(aanname_implementatie[Totaal vertraging],MATCH($B166,IF(aanname_implementatie[Doelgroep]=$C166,aanname_implementatie[Digitale zorgtoepassing]),0)))</f>
        <v>0.80616443563130724</v>
      </c>
      <c r="L166" s="126" cm="1">
        <f t="array" ref="L166">INDEX(vertraging[[Vertraging 12 jaar]:[2034]],MATCH($F166,vertraging[Zoeksleutel],0),L$134-INDEX(aanname_implementatie[Totaal vertraging],MATCH($B166,IF(aanname_implementatie[Doelgroep]=$C166,aanname_implementatie[Digitale zorgtoepassing]),0)))</f>
        <v>0.87254648226050635</v>
      </c>
      <c r="M166" s="126" cm="1">
        <f t="array" ref="M166">INDEX(vertraging[[Vertraging 12 jaar]:[2034]],MATCH($F166,vertraging[Zoeksleutel],0),M$134-INDEX(aanname_implementatie[Totaal vertraging],MATCH($B166,IF(aanname_implementatie[Doelgroep]=$C166,aanname_implementatie[Digitale zorgtoepassing]),0)))</f>
        <v>0.9195792000374251</v>
      </c>
      <c r="N166" s="126" cm="1">
        <f t="array" ref="N166">INDEX(vertraging[[Vertraging 12 jaar]:[2034]],MATCH($F166,vertraging[Zoeksleutel],0),N$134-INDEX(aanname_implementatie[Totaal vertraging],MATCH($B166,IF(aanname_implementatie[Doelgroep]=$C166,aanname_implementatie[Digitale zorgtoepassing]),0)))</f>
        <v>0.95076893399505846</v>
      </c>
      <c r="O166" s="126" cm="1">
        <f t="array" ref="O166">INDEX(vertraging[[Vertraging 12 jaar]:[2034]],MATCH($F166,vertraging[Zoeksleutel],0),O$134-INDEX(aanname_implementatie[Totaal vertraging],MATCH($B166,IF(aanname_implementatie[Doelgroep]=$C166,aanname_implementatie[Digitale zorgtoepassing]),0)))</f>
        <v>0.97047650257314066</v>
      </c>
      <c r="P166" s="126" cm="1">
        <f t="array" ref="P166">INDEX(vertraging[[Vertraging 12 jaar]:[2034]],MATCH($F166,vertraging[Zoeksleutel],0),P$134-INDEX(aanname_implementatie[Totaal vertraging],MATCH($B166,IF(aanname_implementatie[Doelgroep]=$C166,aanname_implementatie[Digitale zorgtoepassing]),0)))</f>
        <v>0.98252771673229611</v>
      </c>
      <c r="Q166" s="126" cm="1">
        <f t="array" ref="Q166">INDEX(vertraging[[Vertraging 12 jaar]:[2034]],MATCH($F166,vertraging[Zoeksleutel],0),Q$134-INDEX(aanname_implementatie[Totaal vertraging],MATCH($B166,IF(aanname_implementatie[Doelgroep]=$C166,aanname_implementatie[Digitale zorgtoepassing]),0)))</f>
        <v>0.98974396343169702</v>
      </c>
      <c r="R166" s="126" cm="1">
        <f t="array" ref="R166">INDEX(vertraging[[Vertraging 12 jaar]:[2034]],MATCH($F166,vertraging[Zoeksleutel],0),R$134-INDEX(aanname_implementatie[Totaal vertraging],MATCH($B166,IF(aanname_implementatie[Doelgroep]=$C166,aanname_implementatie[Digitale zorgtoepassing]),0)))</f>
        <v>0.99400942427594807</v>
      </c>
    </row>
    <row r="167" spans="1:18" x14ac:dyDescent="0.5">
      <c r="A167" s="30" t="str">
        <f>INDEX(Technologieën[Veld],MATCH(B167,Technologieën[Digitale zorgtoepassing],0))</f>
        <v>Digitale hulpmiddelen - Verpleging</v>
      </c>
      <c r="B167" s="30" t="s">
        <v>32</v>
      </c>
      <c r="C167" s="30" t="s">
        <v>33</v>
      </c>
      <c r="D167" s="30" t="str" cm="1">
        <f t="array" ref="D167">INDEX(Berekening_patiëntaantal[Direct toepasbaar/extrapolatie/incidentie voor QALY],MATCH(B167,IF(Berekening_patiëntaantal[Doelgroep (zoeksleutel)]=C167,Berekening_patiëntaantal[Digitale zorgtoepassing]),0))</f>
        <v>Huidige toepassing</v>
      </c>
      <c r="E167" s="440" t="s">
        <v>812</v>
      </c>
      <c r="F167" s="30" t="str">
        <f>CONCATENATE(implementatie[[#This Row],[Zorgtechnologie]],"_",implementatie[[#This Row],[Doelgroep]],"_",implementatie[[#This Row],[Uitgangssituatie/effect beleid]])</f>
        <v>Heupairbag_Ouderen in verpleeghuis_Effect beleid</v>
      </c>
      <c r="G167" s="126" cm="1">
        <f t="array" ref="G167">INDEX(vertraging[[Vertraging 12 jaar]:[2034]],MATCH($F167,vertraging[Zoeksleutel],0),G$134-INDEX(aanname_implementatie[Totaal vertraging],MATCH($B167,IF(aanname_implementatie[Doelgroep]=$C167,aanname_implementatie[Digitale zorgtoepassing]),0)))</f>
        <v>0.4</v>
      </c>
      <c r="H167" s="126" cm="1">
        <f t="array" ref="H167">INDEX(vertraging[[Vertraging 12 jaar]:[2034]],MATCH($F167,vertraging[Zoeksleutel],0),H$134-INDEX(aanname_implementatie[Totaal vertraging],MATCH($B167,IF(aanname_implementatie[Doelgroep]=$C167,aanname_implementatie[Digitale zorgtoepassing]),0)))</f>
        <v>0.50800000000000001</v>
      </c>
      <c r="I167" s="126" cm="1">
        <f t="array" ref="I167">INDEX(vertraging[[Vertraging 12 jaar]:[2034]],MATCH($F167,vertraging[Zoeksleutel],0),I$134-INDEX(aanname_implementatie[Totaal vertraging],MATCH($B167,IF(aanname_implementatie[Doelgroep]=$C167,aanname_implementatie[Digitale zorgtoepassing]),0)))</f>
        <v>0.61781439999999999</v>
      </c>
      <c r="J167" s="126" cm="1">
        <f t="array" ref="J167">INDEX(vertraging[[Vertraging 12 jaar]:[2034]],MATCH($F167,vertraging[Zoeksleutel],0),J$134-INDEX(aanname_implementatie[Totaal vertraging],MATCH($B167,IF(aanname_implementatie[Doelgroep]=$C167,aanname_implementatie[Digitale zorgtoepassing]),0)))</f>
        <v>0.71990601886105599</v>
      </c>
      <c r="K167" s="126" cm="1">
        <f t="array" ref="K167">INDEX(vertraging[[Vertraging 12 jaar]:[2034]],MATCH($F167,vertraging[Zoeksleutel],0),K$134-INDEX(aanname_implementatie[Totaal vertraging],MATCH($B167,IF(aanname_implementatie[Doelgroep]=$C167,aanname_implementatie[Digitale zorgtoepassing]),0)))</f>
        <v>0.80616443563130724</v>
      </c>
      <c r="L167" s="126" cm="1">
        <f t="array" ref="L167">INDEX(vertraging[[Vertraging 12 jaar]:[2034]],MATCH($F167,vertraging[Zoeksleutel],0),L$134-INDEX(aanname_implementatie[Totaal vertraging],MATCH($B167,IF(aanname_implementatie[Doelgroep]=$C167,aanname_implementatie[Digitale zorgtoepassing]),0)))</f>
        <v>0.87254648226050635</v>
      </c>
      <c r="M167" s="126" cm="1">
        <f t="array" ref="M167">INDEX(vertraging[[Vertraging 12 jaar]:[2034]],MATCH($F167,vertraging[Zoeksleutel],0),M$134-INDEX(aanname_implementatie[Totaal vertraging],MATCH($B167,IF(aanname_implementatie[Doelgroep]=$C167,aanname_implementatie[Digitale zorgtoepassing]),0)))</f>
        <v>0.9195792000374251</v>
      </c>
      <c r="N167" s="126" cm="1">
        <f t="array" ref="N167">INDEX(vertraging[[Vertraging 12 jaar]:[2034]],MATCH($F167,vertraging[Zoeksleutel],0),N$134-INDEX(aanname_implementatie[Totaal vertraging],MATCH($B167,IF(aanname_implementatie[Doelgroep]=$C167,aanname_implementatie[Digitale zorgtoepassing]),0)))</f>
        <v>0.95076893399505846</v>
      </c>
      <c r="O167" s="126" cm="1">
        <f t="array" ref="O167">INDEX(vertraging[[Vertraging 12 jaar]:[2034]],MATCH($F167,vertraging[Zoeksleutel],0),O$134-INDEX(aanname_implementatie[Totaal vertraging],MATCH($B167,IF(aanname_implementatie[Doelgroep]=$C167,aanname_implementatie[Digitale zorgtoepassing]),0)))</f>
        <v>0.97047650257314066</v>
      </c>
      <c r="P167" s="126" cm="1">
        <f t="array" ref="P167">INDEX(vertraging[[Vertraging 12 jaar]:[2034]],MATCH($F167,vertraging[Zoeksleutel],0),P$134-INDEX(aanname_implementatie[Totaal vertraging],MATCH($B167,IF(aanname_implementatie[Doelgroep]=$C167,aanname_implementatie[Digitale zorgtoepassing]),0)))</f>
        <v>0.98252771673229611</v>
      </c>
      <c r="Q167" s="126" cm="1">
        <f t="array" ref="Q167">INDEX(vertraging[[Vertraging 12 jaar]:[2034]],MATCH($F167,vertraging[Zoeksleutel],0),Q$134-INDEX(aanname_implementatie[Totaal vertraging],MATCH($B167,IF(aanname_implementatie[Doelgroep]=$C167,aanname_implementatie[Digitale zorgtoepassing]),0)))</f>
        <v>0.98974396343169702</v>
      </c>
      <c r="R167" s="126" cm="1">
        <f t="array" ref="R167">INDEX(vertraging[[Vertraging 12 jaar]:[2034]],MATCH($F167,vertraging[Zoeksleutel],0),R$134-INDEX(aanname_implementatie[Totaal vertraging],MATCH($B167,IF(aanname_implementatie[Doelgroep]=$C167,aanname_implementatie[Digitale zorgtoepassing]),0)))</f>
        <v>0.99400942427594807</v>
      </c>
    </row>
    <row r="168" spans="1:18" x14ac:dyDescent="0.5">
      <c r="A168" s="30" t="str">
        <f>INDEX(Technologieën[Veld],MATCH(B168,Technologieën[Digitale zorgtoepassing],0))</f>
        <v>Software - Diagnose</v>
      </c>
      <c r="B168" s="30" t="s">
        <v>725</v>
      </c>
      <c r="C168" s="30" t="s">
        <v>99</v>
      </c>
      <c r="D168" s="30" t="str" cm="1">
        <f t="array" ref="D168">INDEX(Berekening_patiëntaantal[Direct toepasbaar/extrapolatie/incidentie voor QALY],MATCH(B168,IF(Berekening_patiëntaantal[Doelgroep (zoeksleutel)]=C168,Berekening_patiëntaantal[Digitale zorgtoepassing]),0))</f>
        <v>Huidige toepassing</v>
      </c>
      <c r="E168" s="440" t="s">
        <v>812</v>
      </c>
      <c r="F168" s="30" t="str">
        <f>CONCATENATE(implementatie[[#This Row],[Zorgtechnologie]],"_",implementatie[[#This Row],[Doelgroep]],"_",implementatie[[#This Row],[Uitgangssituatie/effect beleid]])</f>
        <v>Inzicht assistent digitale zelftriage dagpraktijk_Huisartscontacten__Effect beleid</v>
      </c>
      <c r="G168" s="126" cm="1">
        <f t="array" ref="G168">INDEX(vertraging[[Vertraging 12 jaar]:[2034]],MATCH($F168,vertraging[Zoeksleutel],0),G$134-INDEX(aanname_implementatie[Totaal vertraging],MATCH($B168,IF(aanname_implementatie[Doelgroep]=$C168,aanname_implementatie[Digitale zorgtoepassing]),0)))</f>
        <v>0.2</v>
      </c>
      <c r="H168" s="126" cm="1">
        <f t="array" ref="H168">INDEX(vertraging[[Vertraging 12 jaar]:[2034]],MATCH($F168,vertraging[Zoeksleutel],0),H$134-INDEX(aanname_implementatie[Totaal vertraging],MATCH($B168,IF(aanname_implementatie[Doelgroep]=$C168,aanname_implementatie[Digitale zorgtoepassing]),0)))</f>
        <v>0.26800000000000002</v>
      </c>
      <c r="I168" s="126" cm="1">
        <f t="array" ref="I168">INDEX(vertraging[[Vertraging 12 jaar]:[2034]],MATCH($F168,vertraging[Zoeksleutel],0),I$134-INDEX(aanname_implementatie[Totaal vertraging],MATCH($B168,IF(aanname_implementatie[Doelgroep]=$C168,aanname_implementatie[Digitale zorgtoepassing]),0)))</f>
        <v>0.3476416</v>
      </c>
      <c r="J168" s="126" cm="1">
        <f t="array" ref="J168">INDEX(vertraging[[Vertraging 12 jaar]:[2034]],MATCH($F168,vertraging[Zoeksleutel],0),J$134-INDEX(aanname_implementatie[Totaal vertraging],MATCH($B168,IF(aanname_implementatie[Doelgroep]=$C168,aanname_implementatie[Digitale zorgtoepassing]),0)))</f>
        <v>0.43680239728230397</v>
      </c>
      <c r="K168" s="126" cm="1">
        <f t="array" ref="K168">INDEX(vertraging[[Vertraging 12 jaar]:[2034]],MATCH($F168,vertraging[Zoeksleutel],0),K$134-INDEX(aanname_implementatie[Totaal vertraging],MATCH($B168,IF(aanname_implementatie[Doelgroep]=$C168,aanname_implementatie[Digitale zorgtoepassing]),0)))</f>
        <v>0.53135248337682706</v>
      </c>
      <c r="L168" s="126" cm="1">
        <f t="array" ref="L168">INDEX(vertraging[[Vertraging 12 jaar]:[2034]],MATCH($F168,vertraging[Zoeksleutel],0),L$134-INDEX(aanname_implementatie[Totaal vertraging],MATCH($B168,IF(aanname_implementatie[Doelgroep]=$C168,aanname_implementatie[Digitale zorgtoepassing]),0)))</f>
        <v>0.62553815375131172</v>
      </c>
      <c r="M168" s="126" cm="1">
        <f t="array" ref="M168">INDEX(vertraging[[Vertraging 12 jaar]:[2034]],MATCH($F168,vertraging[Zoeksleutel],0),M$134-INDEX(aanname_implementatie[Totaal vertraging],MATCH($B168,IF(aanname_implementatie[Doelgroep]=$C168,aanname_implementatie[Digitale zorgtoepassing]),0)))</f>
        <v>0.71313914162849124</v>
      </c>
      <c r="N168" s="126" cm="1">
        <f t="array" ref="N168">INDEX(vertraging[[Vertraging 12 jaar]:[2034]],MATCH($F168,vertraging[Zoeksleutel],0),N$134-INDEX(aanname_implementatie[Totaal vertraging],MATCH($B168,IF(aanname_implementatie[Doelgroep]=$C168,aanname_implementatie[Digitale zorgtoepassing]),0)))</f>
        <v>0.78904215171111836</v>
      </c>
      <c r="O168" s="126" cm="1">
        <f t="array" ref="O168">INDEX(vertraging[[Vertraging 12 jaar]:[2034]],MATCH($F168,vertraging[Zoeksleutel],0),O$134-INDEX(aanname_implementatie[Totaal vertraging],MATCH($B168,IF(aanname_implementatie[Doelgroep]=$C168,aanname_implementatie[Digitale zorgtoepassing]),0)))</f>
        <v>0.85046564152242399</v>
      </c>
      <c r="P168" s="126" cm="1">
        <f t="array" ref="P168">INDEX(vertraging[[Vertraging 12 jaar]:[2034]],MATCH($F168,vertraging[Zoeksleutel],0),P$134-INDEX(aanname_implementatie[Totaal vertraging],MATCH($B168,IF(aanname_implementatie[Doelgroep]=$C168,aanname_implementatie[Digitale zorgtoepassing]),0)))</f>
        <v>0.89721949883888419</v>
      </c>
      <c r="Q168" s="126" cm="1">
        <f t="array" ref="Q168">INDEX(vertraging[[Vertraging 12 jaar]:[2034]],MATCH($F168,vertraging[Zoeksleutel],0),Q$134-INDEX(aanname_implementatie[Totaal vertraging],MATCH($B168,IF(aanname_implementatie[Doelgroep]=$C168,aanname_implementatie[Digitale zorgtoepassing]),0)))</f>
        <v>0.93103704076606597</v>
      </c>
      <c r="R168" s="126" cm="1">
        <f t="array" ref="R168">INDEX(vertraging[[Vertraging 12 jaar]:[2034]],MATCH($F168,vertraging[Zoeksleutel],0),R$134-INDEX(aanname_implementatie[Totaal vertraging],MATCH($B168,IF(aanname_implementatie[Doelgroep]=$C168,aanname_implementatie[Digitale zorgtoepassing]),0)))</f>
        <v>0.9545439594752464</v>
      </c>
    </row>
    <row r="169" spans="1:18" x14ac:dyDescent="0.5">
      <c r="A169" s="30" t="str">
        <f>INDEX(Technologieën[Veld],MATCH(B169,Technologieën[Digitale zorgtoepassing],0))</f>
        <v>Software - Diagnose</v>
      </c>
      <c r="B169" s="30" t="s">
        <v>720</v>
      </c>
      <c r="C169" s="30" t="s">
        <v>73</v>
      </c>
      <c r="D169" s="30" t="str" cm="1">
        <f t="array" ref="D169">INDEX(Berekening_patiëntaantal[Direct toepasbaar/extrapolatie/incidentie voor QALY],MATCH(B169,IF(Berekening_patiëntaantal[Doelgroep (zoeksleutel)]=C169,Berekening_patiëntaantal[Digitale zorgtoepassing]),0))</f>
        <v>Huidige toepassing</v>
      </c>
      <c r="E169" s="440" t="s">
        <v>812</v>
      </c>
      <c r="F169" s="30" t="str">
        <f>CONCATENATE(implementatie[[#This Row],[Zorgtechnologie]],"_",implementatie[[#This Row],[Doelgroep]],"_",implementatie[[#This Row],[Uitgangssituatie/effect beleid]])</f>
        <v>Inzicht triagist digitale zelftriage HAP_HAP triageconsulten_U4/U5_Effect beleid</v>
      </c>
      <c r="G169" s="126" cm="1">
        <f t="array" ref="G169">INDEX(vertraging[[Vertraging 12 jaar]:[2034]],MATCH($F169,vertraging[Zoeksleutel],0),G$134-INDEX(aanname_implementatie[Totaal vertraging],MATCH($B169,IF(aanname_implementatie[Doelgroep]=$C169,aanname_implementatie[Digitale zorgtoepassing]),0)))</f>
        <v>0.2</v>
      </c>
      <c r="H169" s="126" cm="1">
        <f t="array" ref="H169">INDEX(vertraging[[Vertraging 12 jaar]:[2034]],MATCH($F169,vertraging[Zoeksleutel],0),H$134-INDEX(aanname_implementatie[Totaal vertraging],MATCH($B169,IF(aanname_implementatie[Doelgroep]=$C169,aanname_implementatie[Digitale zorgtoepassing]),0)))</f>
        <v>0.26800000000000002</v>
      </c>
      <c r="I169" s="126" cm="1">
        <f t="array" ref="I169">INDEX(vertraging[[Vertraging 12 jaar]:[2034]],MATCH($F169,vertraging[Zoeksleutel],0),I$134-INDEX(aanname_implementatie[Totaal vertraging],MATCH($B169,IF(aanname_implementatie[Doelgroep]=$C169,aanname_implementatie[Digitale zorgtoepassing]),0)))</f>
        <v>0.3476416</v>
      </c>
      <c r="J169" s="126" cm="1">
        <f t="array" ref="J169">INDEX(vertraging[[Vertraging 12 jaar]:[2034]],MATCH($F169,vertraging[Zoeksleutel],0),J$134-INDEX(aanname_implementatie[Totaal vertraging],MATCH($B169,IF(aanname_implementatie[Doelgroep]=$C169,aanname_implementatie[Digitale zorgtoepassing]),0)))</f>
        <v>0.43680239728230397</v>
      </c>
      <c r="K169" s="126" cm="1">
        <f t="array" ref="K169">INDEX(vertraging[[Vertraging 12 jaar]:[2034]],MATCH($F169,vertraging[Zoeksleutel],0),K$134-INDEX(aanname_implementatie[Totaal vertraging],MATCH($B169,IF(aanname_implementatie[Doelgroep]=$C169,aanname_implementatie[Digitale zorgtoepassing]),0)))</f>
        <v>0.53135248337682706</v>
      </c>
      <c r="L169" s="126" cm="1">
        <f t="array" ref="L169">INDEX(vertraging[[Vertraging 12 jaar]:[2034]],MATCH($F169,vertraging[Zoeksleutel],0),L$134-INDEX(aanname_implementatie[Totaal vertraging],MATCH($B169,IF(aanname_implementatie[Doelgroep]=$C169,aanname_implementatie[Digitale zorgtoepassing]),0)))</f>
        <v>0.62553815375131172</v>
      </c>
      <c r="M169" s="126" cm="1">
        <f t="array" ref="M169">INDEX(vertraging[[Vertraging 12 jaar]:[2034]],MATCH($F169,vertraging[Zoeksleutel],0),M$134-INDEX(aanname_implementatie[Totaal vertraging],MATCH($B169,IF(aanname_implementatie[Doelgroep]=$C169,aanname_implementatie[Digitale zorgtoepassing]),0)))</f>
        <v>0.71313914162849124</v>
      </c>
      <c r="N169" s="126" cm="1">
        <f t="array" ref="N169">INDEX(vertraging[[Vertraging 12 jaar]:[2034]],MATCH($F169,vertraging[Zoeksleutel],0),N$134-INDEX(aanname_implementatie[Totaal vertraging],MATCH($B169,IF(aanname_implementatie[Doelgroep]=$C169,aanname_implementatie[Digitale zorgtoepassing]),0)))</f>
        <v>0.78904215171111836</v>
      </c>
      <c r="O169" s="126" cm="1">
        <f t="array" ref="O169">INDEX(vertraging[[Vertraging 12 jaar]:[2034]],MATCH($F169,vertraging[Zoeksleutel],0),O$134-INDEX(aanname_implementatie[Totaal vertraging],MATCH($B169,IF(aanname_implementatie[Doelgroep]=$C169,aanname_implementatie[Digitale zorgtoepassing]),0)))</f>
        <v>0.85046564152242399</v>
      </c>
      <c r="P169" s="126" cm="1">
        <f t="array" ref="P169">INDEX(vertraging[[Vertraging 12 jaar]:[2034]],MATCH($F169,vertraging[Zoeksleutel],0),P$134-INDEX(aanname_implementatie[Totaal vertraging],MATCH($B169,IF(aanname_implementatie[Doelgroep]=$C169,aanname_implementatie[Digitale zorgtoepassing]),0)))</f>
        <v>0.89721949883888419</v>
      </c>
      <c r="Q169" s="126" cm="1">
        <f t="array" ref="Q169">INDEX(vertraging[[Vertraging 12 jaar]:[2034]],MATCH($F169,vertraging[Zoeksleutel],0),Q$134-INDEX(aanname_implementatie[Totaal vertraging],MATCH($B169,IF(aanname_implementatie[Doelgroep]=$C169,aanname_implementatie[Digitale zorgtoepassing]),0)))</f>
        <v>0.93103704076606597</v>
      </c>
      <c r="R169" s="126" cm="1">
        <f t="array" ref="R169">INDEX(vertraging[[Vertraging 12 jaar]:[2034]],MATCH($F169,vertraging[Zoeksleutel],0),R$134-INDEX(aanname_implementatie[Totaal vertraging],MATCH($B169,IF(aanname_implementatie[Doelgroep]=$C169,aanname_implementatie[Digitale zorgtoepassing]),0)))</f>
        <v>0.9545439594752464</v>
      </c>
    </row>
    <row r="170" spans="1:18" x14ac:dyDescent="0.5">
      <c r="A170" s="30" t="str">
        <f>INDEX(Technologieën[Veld],MATCH(B170,Technologieën[Digitale zorgtoepassing],0))</f>
        <v>Sensoren - Verpleging</v>
      </c>
      <c r="B170" s="30" t="s">
        <v>46</v>
      </c>
      <c r="C170" s="30" t="s">
        <v>20</v>
      </c>
      <c r="D170" s="30" t="str" cm="1">
        <f t="array" ref="D170">INDEX(Berekening_patiëntaantal[Direct toepasbaar/extrapolatie/incidentie voor QALY],MATCH(B170,IF(Berekening_patiëntaantal[Doelgroep (zoeksleutel)]=C170,Berekening_patiëntaantal[Digitale zorgtoepassing]),0))</f>
        <v>Huidige toepassing</v>
      </c>
      <c r="E170" s="440" t="s">
        <v>812</v>
      </c>
      <c r="F170" s="30" t="str">
        <f>CONCATENATE(implementatie[[#This Row],[Zorgtechnologie]],"_",implementatie[[#This Row],[Doelgroep]],"_",implementatie[[#This Row],[Uitgangssituatie/effect beleid]])</f>
        <v>Leefcirkels_Dementie_Effect beleid</v>
      </c>
      <c r="G170" s="126" cm="1">
        <f t="array" ref="G170">INDEX(vertraging[[Vertraging 12 jaar]:[2034]],MATCH($F170,vertraging[Zoeksleutel],0),G$134-INDEX(aanname_implementatie[Totaal vertraging],MATCH($B170,IF(aanname_implementatie[Doelgroep]=$C170,aanname_implementatie[Digitale zorgtoepassing]),0)))</f>
        <v>0.2</v>
      </c>
      <c r="H170" s="126" cm="1">
        <f t="array" ref="H170">INDEX(vertraging[[Vertraging 12 jaar]:[2034]],MATCH($F170,vertraging[Zoeksleutel],0),H$134-INDEX(aanname_implementatie[Totaal vertraging],MATCH($B170,IF(aanname_implementatie[Doelgroep]=$C170,aanname_implementatie[Digitale zorgtoepassing]),0)))</f>
        <v>0.26800000000000002</v>
      </c>
      <c r="I170" s="126" cm="1">
        <f t="array" ref="I170">INDEX(vertraging[[Vertraging 12 jaar]:[2034]],MATCH($F170,vertraging[Zoeksleutel],0),I$134-INDEX(aanname_implementatie[Totaal vertraging],MATCH($B170,IF(aanname_implementatie[Doelgroep]=$C170,aanname_implementatie[Digitale zorgtoepassing]),0)))</f>
        <v>0.3476416</v>
      </c>
      <c r="J170" s="126" cm="1">
        <f t="array" ref="J170">INDEX(vertraging[[Vertraging 12 jaar]:[2034]],MATCH($F170,vertraging[Zoeksleutel],0),J$134-INDEX(aanname_implementatie[Totaal vertraging],MATCH($B170,IF(aanname_implementatie[Doelgroep]=$C170,aanname_implementatie[Digitale zorgtoepassing]),0)))</f>
        <v>0.43680239728230397</v>
      </c>
      <c r="K170" s="126" cm="1">
        <f t="array" ref="K170">INDEX(vertraging[[Vertraging 12 jaar]:[2034]],MATCH($F170,vertraging[Zoeksleutel],0),K$134-INDEX(aanname_implementatie[Totaal vertraging],MATCH($B170,IF(aanname_implementatie[Doelgroep]=$C170,aanname_implementatie[Digitale zorgtoepassing]),0)))</f>
        <v>0.53135248337682706</v>
      </c>
      <c r="L170" s="126" cm="1">
        <f t="array" ref="L170">INDEX(vertraging[[Vertraging 12 jaar]:[2034]],MATCH($F170,vertraging[Zoeksleutel],0),L$134-INDEX(aanname_implementatie[Totaal vertraging],MATCH($B170,IF(aanname_implementatie[Doelgroep]=$C170,aanname_implementatie[Digitale zorgtoepassing]),0)))</f>
        <v>0.62553815375131172</v>
      </c>
      <c r="M170" s="126" cm="1">
        <f t="array" ref="M170">INDEX(vertraging[[Vertraging 12 jaar]:[2034]],MATCH($F170,vertraging[Zoeksleutel],0),M$134-INDEX(aanname_implementatie[Totaal vertraging],MATCH($B170,IF(aanname_implementatie[Doelgroep]=$C170,aanname_implementatie[Digitale zorgtoepassing]),0)))</f>
        <v>0.71313914162849124</v>
      </c>
      <c r="N170" s="126" cm="1">
        <f t="array" ref="N170">INDEX(vertraging[[Vertraging 12 jaar]:[2034]],MATCH($F170,vertraging[Zoeksleutel],0),N$134-INDEX(aanname_implementatie[Totaal vertraging],MATCH($B170,IF(aanname_implementatie[Doelgroep]=$C170,aanname_implementatie[Digitale zorgtoepassing]),0)))</f>
        <v>0.78904215171111836</v>
      </c>
      <c r="O170" s="126" cm="1">
        <f t="array" ref="O170">INDEX(vertraging[[Vertraging 12 jaar]:[2034]],MATCH($F170,vertraging[Zoeksleutel],0),O$134-INDEX(aanname_implementatie[Totaal vertraging],MATCH($B170,IF(aanname_implementatie[Doelgroep]=$C170,aanname_implementatie[Digitale zorgtoepassing]),0)))</f>
        <v>0.85046564152242399</v>
      </c>
      <c r="P170" s="126" cm="1">
        <f t="array" ref="P170">INDEX(vertraging[[Vertraging 12 jaar]:[2034]],MATCH($F170,vertraging[Zoeksleutel],0),P$134-INDEX(aanname_implementatie[Totaal vertraging],MATCH($B170,IF(aanname_implementatie[Doelgroep]=$C170,aanname_implementatie[Digitale zorgtoepassing]),0)))</f>
        <v>0.89721949883888419</v>
      </c>
      <c r="Q170" s="126" cm="1">
        <f t="array" ref="Q170">INDEX(vertraging[[Vertraging 12 jaar]:[2034]],MATCH($F170,vertraging[Zoeksleutel],0),Q$134-INDEX(aanname_implementatie[Totaal vertraging],MATCH($B170,IF(aanname_implementatie[Doelgroep]=$C170,aanname_implementatie[Digitale zorgtoepassing]),0)))</f>
        <v>0.93103704076606597</v>
      </c>
      <c r="R170" s="126" cm="1">
        <f t="array" ref="R170">INDEX(vertraging[[Vertraging 12 jaar]:[2034]],MATCH($F170,vertraging[Zoeksleutel],0),R$134-INDEX(aanname_implementatie[Totaal vertraging],MATCH($B170,IF(aanname_implementatie[Doelgroep]=$C170,aanname_implementatie[Digitale zorgtoepassing]),0)))</f>
        <v>0.9545439594752464</v>
      </c>
    </row>
    <row r="171" spans="1:18" x14ac:dyDescent="0.5">
      <c r="A171" s="30" t="str">
        <f>INDEX(Technologieën[Veld],MATCH(B171,Technologieën[Digitale zorgtoepassing],0))</f>
        <v>Sensoren - Verpleging</v>
      </c>
      <c r="B171" s="30" t="s">
        <v>36</v>
      </c>
      <c r="C171" s="30" t="s">
        <v>24</v>
      </c>
      <c r="D171" s="30" t="str" cm="1">
        <f t="array" ref="D171">INDEX(Berekening_patiëntaantal[Direct toepasbaar/extrapolatie/incidentie voor QALY],MATCH(B171,IF(Berekening_patiëntaantal[Doelgroep (zoeksleutel)]=C171,Berekening_patiëntaantal[Digitale zorgtoepassing]),0))</f>
        <v>Extrapolatie</v>
      </c>
      <c r="E171" s="440" t="s">
        <v>812</v>
      </c>
      <c r="F171" s="30" t="str">
        <f>CONCATENATE(implementatie[[#This Row],[Zorgtechnologie]],"_",implementatie[[#This Row],[Doelgroep]],"_",implementatie[[#This Row],[Uitgangssituatie/effect beleid]])</f>
        <v>Leefstijlmonitoring_Cognitieve beperking_Effect beleid</v>
      </c>
      <c r="G171" s="126" cm="1">
        <f t="array" ref="G171">INDEX(vertraging[[Vertraging 12 jaar]:[2034]],MATCH($F171,vertraging[Zoeksleutel],0),G$134-INDEX(aanname_implementatie[Totaal vertraging],MATCH($B171,IF(aanname_implementatie[Doelgroep]=$C171,aanname_implementatie[Digitale zorgtoepassing]),0)))</f>
        <v>0</v>
      </c>
      <c r="H171" s="126" cm="1">
        <f t="array" ref="H171">INDEX(vertraging[[Vertraging 12 jaar]:[2034]],MATCH($F171,vertraging[Zoeksleutel],0),H$134-INDEX(aanname_implementatie[Totaal vertraging],MATCH($B171,IF(aanname_implementatie[Doelgroep]=$C171,aanname_implementatie[Digitale zorgtoepassing]),0)))</f>
        <v>0</v>
      </c>
      <c r="I171" s="126" cm="1">
        <f t="array" ref="I171">INDEX(vertraging[[Vertraging 12 jaar]:[2034]],MATCH($F171,vertraging[Zoeksleutel],0),I$134-INDEX(aanname_implementatie[Totaal vertraging],MATCH($B171,IF(aanname_implementatie[Doelgroep]=$C171,aanname_implementatie[Digitale zorgtoepassing]),0)))</f>
        <v>0</v>
      </c>
      <c r="J171" s="126" cm="1">
        <f t="array" ref="J171">INDEX(vertraging[[Vertraging 12 jaar]:[2034]],MATCH($F171,vertraging[Zoeksleutel],0),J$134-INDEX(aanname_implementatie[Totaal vertraging],MATCH($B171,IF(aanname_implementatie[Doelgroep]=$C171,aanname_implementatie[Digitale zorgtoepassing]),0)))</f>
        <v>0.02</v>
      </c>
      <c r="K171" s="126" cm="1">
        <f t="array" ref="K171">INDEX(vertraging[[Vertraging 12 jaar]:[2034]],MATCH($F171,vertraging[Zoeksleutel],0),K$134-INDEX(aanname_implementatie[Totaal vertraging],MATCH($B171,IF(aanname_implementatie[Doelgroep]=$C171,aanname_implementatie[Digitale zorgtoepassing]),0)))</f>
        <v>4.7439999999999996E-2</v>
      </c>
      <c r="L171" s="126" cm="1">
        <f t="array" ref="L171">INDEX(vertraging[[Vertraging 12 jaar]:[2034]],MATCH($F171,vertraging[Zoeksleutel],0),L$134-INDEX(aanname_implementatie[Totaal vertraging],MATCH($B171,IF(aanname_implementatie[Doelgroep]=$C171,aanname_implementatie[Digitale zorgtoepassing]),0)))</f>
        <v>8.4566978560000006E-2</v>
      </c>
      <c r="M171" s="126" cm="1">
        <f t="array" ref="M171">INDEX(vertraging[[Vertraging 12 jaar]:[2034]],MATCH($F171,vertraging[Zoeksleutel],0),M$134-INDEX(aanname_implementatie[Totaal vertraging],MATCH($B171,IF(aanname_implementatie[Doelgroep]=$C171,aanname_implementatie[Digitale zorgtoepassing]),0)))</f>
        <v>0.13384180086769301</v>
      </c>
      <c r="N171" s="126" cm="1">
        <f t="array" ref="N171">INDEX(vertraging[[Vertraging 12 jaar]:[2034]],MATCH($F171,vertraging[Zoeksleutel],0),N$134-INDEX(aanname_implementatie[Totaal vertraging],MATCH($B171,IF(aanname_implementatie[Doelgroep]=$C171,aanname_implementatie[Digitale zorgtoepassing]),0)))</f>
        <v>0.19753623413361349</v>
      </c>
      <c r="O171" s="126" cm="1">
        <f t="array" ref="O171">INDEX(vertraging[[Vertraging 12 jaar]:[2034]],MATCH($F171,vertraging[Zoeksleutel],0),O$134-INDEX(aanname_implementatie[Totaal vertraging],MATCH($B171,IF(aanname_implementatie[Doelgroep]=$C171,aanname_implementatie[Digitale zorgtoepassing]),0)))</f>
        <v>0.27699177758611071</v>
      </c>
      <c r="P171" s="126" cm="1">
        <f t="array" ref="P171">INDEX(vertraging[[Vertraging 12 jaar]:[2034]],MATCH($F171,vertraging[Zoeksleutel],0),P$134-INDEX(aanname_implementatie[Totaal vertraging],MATCH($B171,IF(aanname_implementatie[Doelgroep]=$C171,aanname_implementatie[Digitale zorgtoepassing]),0)))</f>
        <v>0.37155887512870744</v>
      </c>
      <c r="Q171" s="126" cm="1">
        <f t="array" ref="Q171">INDEX(vertraging[[Vertraging 12 jaar]:[2034]],MATCH($F171,vertraging[Zoeksleutel],0),Q$134-INDEX(aanname_implementatie[Totaal vertraging],MATCH($B171,IF(aanname_implementatie[Doelgroep]=$C171,aanname_implementatie[Digitale zorgtoepassing]),0)))</f>
        <v>0.47752884860285211</v>
      </c>
      <c r="R171" s="126" cm="1">
        <f t="array" ref="R171">INDEX(vertraging[[Vertraging 12 jaar]:[2034]],MATCH($F171,vertraging[Zoeksleutel],0),R$134-INDEX(aanname_implementatie[Totaal vertraging],MATCH($B171,IF(aanname_implementatie[Doelgroep]=$C171,aanname_implementatie[Digitale zorgtoepassing]),0)))</f>
        <v>0.5877762905727496</v>
      </c>
    </row>
    <row r="172" spans="1:18" x14ac:dyDescent="0.5">
      <c r="A172" s="30" t="str">
        <f>INDEX(Technologieën[Veld],MATCH(B172,Technologieën[Digitale zorgtoepassing],0))</f>
        <v>Sensoren - Verpleging</v>
      </c>
      <c r="B172" s="30" t="s">
        <v>36</v>
      </c>
      <c r="C172" s="30" t="s">
        <v>20</v>
      </c>
      <c r="D172" s="30" t="str" cm="1">
        <f t="array" ref="D172">INDEX(Berekening_patiëntaantal[Direct toepasbaar/extrapolatie/incidentie voor QALY],MATCH(B172,IF(Berekening_patiëntaantal[Doelgroep (zoeksleutel)]=C172,Berekening_patiëntaantal[Digitale zorgtoepassing]),0))</f>
        <v>Huidige toepassing</v>
      </c>
      <c r="E172" s="440" t="s">
        <v>812</v>
      </c>
      <c r="F172" s="30" t="str">
        <f>CONCATENATE(implementatie[[#This Row],[Zorgtechnologie]],"_",implementatie[[#This Row],[Doelgroep]],"_",implementatie[[#This Row],[Uitgangssituatie/effect beleid]])</f>
        <v>Leefstijlmonitoring_Dementie_Effect beleid</v>
      </c>
      <c r="G172" s="126" cm="1">
        <f t="array" ref="G172">INDEX(vertraging[[Vertraging 12 jaar]:[2034]],MATCH($F172,vertraging[Zoeksleutel],0),G$134-INDEX(aanname_implementatie[Totaal vertraging],MATCH($B172,IF(aanname_implementatie[Doelgroep]=$C172,aanname_implementatie[Digitale zorgtoepassing]),0)))</f>
        <v>0.2</v>
      </c>
      <c r="H172" s="126" cm="1">
        <f t="array" ref="H172">INDEX(vertraging[[Vertraging 12 jaar]:[2034]],MATCH($F172,vertraging[Zoeksleutel],0),H$134-INDEX(aanname_implementatie[Totaal vertraging],MATCH($B172,IF(aanname_implementatie[Doelgroep]=$C172,aanname_implementatie[Digitale zorgtoepassing]),0)))</f>
        <v>0.28000000000000003</v>
      </c>
      <c r="I172" s="126" cm="1">
        <f t="array" ref="I172">INDEX(vertraging[[Vertraging 12 jaar]:[2034]],MATCH($F172,vertraging[Zoeksleutel],0),I$134-INDEX(aanname_implementatie[Totaal vertraging],MATCH($B172,IF(aanname_implementatie[Doelgroep]=$C172,aanname_implementatie[Digitale zorgtoepassing]),0)))</f>
        <v>0.37504000000000004</v>
      </c>
      <c r="J172" s="126" cm="1">
        <f t="array" ref="J172">INDEX(vertraging[[Vertraging 12 jaar]:[2034]],MATCH($F172,vertraging[Zoeksleutel],0),J$134-INDEX(aanname_implementatie[Totaal vertraging],MATCH($B172,IF(aanname_implementatie[Doelgroep]=$C172,aanname_implementatie[Digitale zorgtoepassing]),0)))</f>
        <v>0.48129319936000003</v>
      </c>
      <c r="K172" s="126" cm="1">
        <f t="array" ref="K172">INDEX(vertraging[[Vertraging 12 jaar]:[2034]],MATCH($F172,vertraging[Zoeksleutel],0),K$134-INDEX(aanname_implementatie[Totaal vertraging],MATCH($B172,IF(aanname_implementatie[Doelgroep]=$C172,aanname_implementatie[Digitale zorgtoepassing]),0)))</f>
        <v>0.59152735761672615</v>
      </c>
      <c r="L172" s="126" cm="1">
        <f t="array" ref="L172">INDEX(vertraging[[Vertraging 12 jaar]:[2034]],MATCH($F172,vertraging[Zoeksleutel],0),L$134-INDEX(aanname_implementatie[Totaal vertraging],MATCH($B172,IF(aanname_implementatie[Doelgroep]=$C172,aanname_implementatie[Digitale zorgtoepassing]),0)))</f>
        <v>0.69634590758747161</v>
      </c>
      <c r="M172" s="126" cm="1">
        <f t="array" ref="M172">INDEX(vertraging[[Vertraging 12 jaar]:[2034]],MATCH($F172,vertraging[Zoeksleutel],0),M$134-INDEX(aanname_implementatie[Totaal vertraging],MATCH($B172,IF(aanname_implementatie[Doelgroep]=$C172,aanname_implementatie[Digitale zorgtoepassing]),0)))</f>
        <v>0.78699830326518305</v>
      </c>
      <c r="N172" s="126" cm="1">
        <f t="array" ref="N172">INDEX(vertraging[[Vertraging 12 jaar]:[2034]],MATCH($F172,vertraging[Zoeksleutel],0),N$134-INDEX(aanname_implementatie[Totaal vertraging],MATCH($B172,IF(aanname_implementatie[Doelgroep]=$C172,aanname_implementatie[Digitale zorgtoepassing]),0)))</f>
        <v>0.85831112676904175</v>
      </c>
      <c r="O172" s="126" cm="1">
        <f t="array" ref="O172">INDEX(vertraging[[Vertraging 12 jaar]:[2034]],MATCH($F172,vertraging[Zoeksleutel],0),O$134-INDEX(aanname_implementatie[Totaal vertraging],MATCH($B172,IF(aanname_implementatie[Doelgroep]=$C172,aanname_implementatie[Digitale zorgtoepassing]),0)))</f>
        <v>0.90979015880706082</v>
      </c>
      <c r="P172" s="126" cm="1">
        <f t="array" ref="P172">INDEX(vertraging[[Vertraging 12 jaar]:[2034]],MATCH($F172,vertraging[Zoeksleutel],0),P$134-INDEX(aanname_implementatie[Totaal vertraging],MATCH($B172,IF(aanname_implementatie[Doelgroep]=$C172,aanname_implementatie[Digitale zorgtoepassing]),0)))</f>
        <v>0.94442316592887321</v>
      </c>
      <c r="Q172" s="126" cm="1">
        <f t="array" ref="Q172">INDEX(vertraging[[Vertraging 12 jaar]:[2034]],MATCH($F172,vertraging[Zoeksleutel],0),Q$134-INDEX(aanname_implementatie[Totaal vertraging],MATCH($B172,IF(aanname_implementatie[Doelgroep]=$C172,aanname_implementatie[Digitale zorgtoepassing]),0)))</f>
        <v>0.96652992244459857</v>
      </c>
      <c r="R172" s="126" cm="1">
        <f t="array" ref="R172">INDEX(vertraging[[Vertraging 12 jaar]:[2034]],MATCH($F172,vertraging[Zoeksleutel],0),R$134-INDEX(aanname_implementatie[Totaal vertraging],MATCH($B172,IF(aanname_implementatie[Doelgroep]=$C172,aanname_implementatie[Digitale zorgtoepassing]),0)))</f>
        <v>0.98013925658124135</v>
      </c>
    </row>
    <row r="173" spans="1:18" x14ac:dyDescent="0.5">
      <c r="A173" s="30" t="str">
        <f>INDEX(Technologieën[Veld],MATCH(B173,Technologieën[Digitale zorgtoepassing],0))</f>
        <v>Sensoren - Verpleging</v>
      </c>
      <c r="B173" s="30" t="s">
        <v>36</v>
      </c>
      <c r="C173" s="30" t="s">
        <v>40</v>
      </c>
      <c r="D173" s="30" t="str" cm="1">
        <f t="array" ref="D173">INDEX(Berekening_patiëntaantal[Direct toepasbaar/extrapolatie/incidentie voor QALY],MATCH(B173,IF(Berekening_patiëntaantal[Doelgroep (zoeksleutel)]=C173,Berekening_patiëntaantal[Digitale zorgtoepassing]),0))</f>
        <v>Extrapolatie</v>
      </c>
      <c r="E173" s="440" t="s">
        <v>812</v>
      </c>
      <c r="F173" s="30" t="str">
        <f>CONCATENATE(implementatie[[#This Row],[Zorgtechnologie]],"_",implementatie[[#This Row],[Doelgroep]],"_",implementatie[[#This Row],[Uitgangssituatie/effect beleid]])</f>
        <v>Leefstijlmonitoring_Kwetsbare ouderen_Effect beleid</v>
      </c>
      <c r="G173" s="126" cm="1">
        <f t="array" ref="G173">INDEX(vertraging[[Vertraging 12 jaar]:[2034]],MATCH($F173,vertraging[Zoeksleutel],0),G$134-INDEX(aanname_implementatie[Totaal vertraging],MATCH($B173,IF(aanname_implementatie[Doelgroep]=$C173,aanname_implementatie[Digitale zorgtoepassing]),0)))</f>
        <v>0</v>
      </c>
      <c r="H173" s="126" cm="1">
        <f t="array" ref="H173">INDEX(vertraging[[Vertraging 12 jaar]:[2034]],MATCH($F173,vertraging[Zoeksleutel],0),H$134-INDEX(aanname_implementatie[Totaal vertraging],MATCH($B173,IF(aanname_implementatie[Doelgroep]=$C173,aanname_implementatie[Digitale zorgtoepassing]),0)))</f>
        <v>0</v>
      </c>
      <c r="I173" s="126" cm="1">
        <f t="array" ref="I173">INDEX(vertraging[[Vertraging 12 jaar]:[2034]],MATCH($F173,vertraging[Zoeksleutel],0),I$134-INDEX(aanname_implementatie[Totaal vertraging],MATCH($B173,IF(aanname_implementatie[Doelgroep]=$C173,aanname_implementatie[Digitale zorgtoepassing]),0)))</f>
        <v>0</v>
      </c>
      <c r="J173" s="126" cm="1">
        <f t="array" ref="J173">INDEX(vertraging[[Vertraging 12 jaar]:[2034]],MATCH($F173,vertraging[Zoeksleutel],0),J$134-INDEX(aanname_implementatie[Totaal vertraging],MATCH($B173,IF(aanname_implementatie[Doelgroep]=$C173,aanname_implementatie[Digitale zorgtoepassing]),0)))</f>
        <v>0.02</v>
      </c>
      <c r="K173" s="126" cm="1">
        <f t="array" ref="K173">INDEX(vertraging[[Vertraging 12 jaar]:[2034]],MATCH($F173,vertraging[Zoeksleutel],0),K$134-INDEX(aanname_implementatie[Totaal vertraging],MATCH($B173,IF(aanname_implementatie[Doelgroep]=$C173,aanname_implementatie[Digitale zorgtoepassing]),0)))</f>
        <v>4.7439999999999996E-2</v>
      </c>
      <c r="L173" s="126" cm="1">
        <f t="array" ref="L173">INDEX(vertraging[[Vertraging 12 jaar]:[2034]],MATCH($F173,vertraging[Zoeksleutel],0),L$134-INDEX(aanname_implementatie[Totaal vertraging],MATCH($B173,IF(aanname_implementatie[Doelgroep]=$C173,aanname_implementatie[Digitale zorgtoepassing]),0)))</f>
        <v>8.4566978560000006E-2</v>
      </c>
      <c r="M173" s="126" cm="1">
        <f t="array" ref="M173">INDEX(vertraging[[Vertraging 12 jaar]:[2034]],MATCH($F173,vertraging[Zoeksleutel],0),M$134-INDEX(aanname_implementatie[Totaal vertraging],MATCH($B173,IF(aanname_implementatie[Doelgroep]=$C173,aanname_implementatie[Digitale zorgtoepassing]),0)))</f>
        <v>0.13384180086769301</v>
      </c>
      <c r="N173" s="126" cm="1">
        <f t="array" ref="N173">INDEX(vertraging[[Vertraging 12 jaar]:[2034]],MATCH($F173,vertraging[Zoeksleutel],0),N$134-INDEX(aanname_implementatie[Totaal vertraging],MATCH($B173,IF(aanname_implementatie[Doelgroep]=$C173,aanname_implementatie[Digitale zorgtoepassing]),0)))</f>
        <v>0.19753623413361349</v>
      </c>
      <c r="O173" s="126" cm="1">
        <f t="array" ref="O173">INDEX(vertraging[[Vertraging 12 jaar]:[2034]],MATCH($F173,vertraging[Zoeksleutel],0),O$134-INDEX(aanname_implementatie[Totaal vertraging],MATCH($B173,IF(aanname_implementatie[Doelgroep]=$C173,aanname_implementatie[Digitale zorgtoepassing]),0)))</f>
        <v>0.27699177758611071</v>
      </c>
      <c r="P173" s="126" cm="1">
        <f t="array" ref="P173">INDEX(vertraging[[Vertraging 12 jaar]:[2034]],MATCH($F173,vertraging[Zoeksleutel],0),P$134-INDEX(aanname_implementatie[Totaal vertraging],MATCH($B173,IF(aanname_implementatie[Doelgroep]=$C173,aanname_implementatie[Digitale zorgtoepassing]),0)))</f>
        <v>0.37155887512870744</v>
      </c>
      <c r="Q173" s="126" cm="1">
        <f t="array" ref="Q173">INDEX(vertraging[[Vertraging 12 jaar]:[2034]],MATCH($F173,vertraging[Zoeksleutel],0),Q$134-INDEX(aanname_implementatie[Totaal vertraging],MATCH($B173,IF(aanname_implementatie[Doelgroep]=$C173,aanname_implementatie[Digitale zorgtoepassing]),0)))</f>
        <v>0.47752884860285211</v>
      </c>
      <c r="R173" s="126" cm="1">
        <f t="array" ref="R173">INDEX(vertraging[[Vertraging 12 jaar]:[2034]],MATCH($F173,vertraging[Zoeksleutel],0),R$134-INDEX(aanname_implementatie[Totaal vertraging],MATCH($B173,IF(aanname_implementatie[Doelgroep]=$C173,aanname_implementatie[Digitale zorgtoepassing]),0)))</f>
        <v>0.5877762905727496</v>
      </c>
    </row>
    <row r="174" spans="1:18" x14ac:dyDescent="0.5">
      <c r="A174" s="30" t="str">
        <f>INDEX(Technologieën[Veld],MATCH(B174,Technologieën[Digitale zorgtoepassing],0))</f>
        <v>Sensoren - Verpleging</v>
      </c>
      <c r="B174" s="30" t="s">
        <v>36</v>
      </c>
      <c r="C174" s="30" t="s">
        <v>27</v>
      </c>
      <c r="D174" s="30" t="str" cm="1">
        <f t="array" ref="D174">INDEX(Berekening_patiëntaantal[Direct toepasbaar/extrapolatie/incidentie voor QALY],MATCH(B174,IF(Berekening_patiëntaantal[Doelgroep (zoeksleutel)]=C174,Berekening_patiëntaantal[Digitale zorgtoepassing]),0))</f>
        <v>Extrapolatie</v>
      </c>
      <c r="E174" s="440" t="s">
        <v>812</v>
      </c>
      <c r="F174" s="30" t="str">
        <f>CONCATENATE(implementatie[[#This Row],[Zorgtechnologie]],"_",implementatie[[#This Row],[Doelgroep]],"_",implementatie[[#This Row],[Uitgangssituatie/effect beleid]])</f>
        <v>Leefstijlmonitoring_Parkinson_Effect beleid</v>
      </c>
      <c r="G174" s="126" cm="1">
        <f t="array" ref="G174">INDEX(vertraging[[Vertraging 12 jaar]:[2034]],MATCH($F174,vertraging[Zoeksleutel],0),G$134-INDEX(aanname_implementatie[Totaal vertraging],MATCH($B174,IF(aanname_implementatie[Doelgroep]=$C174,aanname_implementatie[Digitale zorgtoepassing]),0)))</f>
        <v>0</v>
      </c>
      <c r="H174" s="126" cm="1">
        <f t="array" ref="H174">INDEX(vertraging[[Vertraging 12 jaar]:[2034]],MATCH($F174,vertraging[Zoeksleutel],0),H$134-INDEX(aanname_implementatie[Totaal vertraging],MATCH($B174,IF(aanname_implementatie[Doelgroep]=$C174,aanname_implementatie[Digitale zorgtoepassing]),0)))</f>
        <v>0</v>
      </c>
      <c r="I174" s="126" cm="1">
        <f t="array" ref="I174">INDEX(vertraging[[Vertraging 12 jaar]:[2034]],MATCH($F174,vertraging[Zoeksleutel],0),I$134-INDEX(aanname_implementatie[Totaal vertraging],MATCH($B174,IF(aanname_implementatie[Doelgroep]=$C174,aanname_implementatie[Digitale zorgtoepassing]),0)))</f>
        <v>0</v>
      </c>
      <c r="J174" s="126" cm="1">
        <f t="array" ref="J174">INDEX(vertraging[[Vertraging 12 jaar]:[2034]],MATCH($F174,vertraging[Zoeksleutel],0),J$134-INDEX(aanname_implementatie[Totaal vertraging],MATCH($B174,IF(aanname_implementatie[Doelgroep]=$C174,aanname_implementatie[Digitale zorgtoepassing]),0)))</f>
        <v>0.02</v>
      </c>
      <c r="K174" s="126" cm="1">
        <f t="array" ref="K174">INDEX(vertraging[[Vertraging 12 jaar]:[2034]],MATCH($F174,vertraging[Zoeksleutel],0),K$134-INDEX(aanname_implementatie[Totaal vertraging],MATCH($B174,IF(aanname_implementatie[Doelgroep]=$C174,aanname_implementatie[Digitale zorgtoepassing]),0)))</f>
        <v>4.7439999999999996E-2</v>
      </c>
      <c r="L174" s="126" cm="1">
        <f t="array" ref="L174">INDEX(vertraging[[Vertraging 12 jaar]:[2034]],MATCH($F174,vertraging[Zoeksleutel],0),L$134-INDEX(aanname_implementatie[Totaal vertraging],MATCH($B174,IF(aanname_implementatie[Doelgroep]=$C174,aanname_implementatie[Digitale zorgtoepassing]),0)))</f>
        <v>8.4566978560000006E-2</v>
      </c>
      <c r="M174" s="126" cm="1">
        <f t="array" ref="M174">INDEX(vertraging[[Vertraging 12 jaar]:[2034]],MATCH($F174,vertraging[Zoeksleutel],0),M$134-INDEX(aanname_implementatie[Totaal vertraging],MATCH($B174,IF(aanname_implementatie[Doelgroep]=$C174,aanname_implementatie[Digitale zorgtoepassing]),0)))</f>
        <v>0.13384180086769301</v>
      </c>
      <c r="N174" s="126" cm="1">
        <f t="array" ref="N174">INDEX(vertraging[[Vertraging 12 jaar]:[2034]],MATCH($F174,vertraging[Zoeksleutel],0),N$134-INDEX(aanname_implementatie[Totaal vertraging],MATCH($B174,IF(aanname_implementatie[Doelgroep]=$C174,aanname_implementatie[Digitale zorgtoepassing]),0)))</f>
        <v>0.19753623413361349</v>
      </c>
      <c r="O174" s="126" cm="1">
        <f t="array" ref="O174">INDEX(vertraging[[Vertraging 12 jaar]:[2034]],MATCH($F174,vertraging[Zoeksleutel],0),O$134-INDEX(aanname_implementatie[Totaal vertraging],MATCH($B174,IF(aanname_implementatie[Doelgroep]=$C174,aanname_implementatie[Digitale zorgtoepassing]),0)))</f>
        <v>0.27699177758611071</v>
      </c>
      <c r="P174" s="126" cm="1">
        <f t="array" ref="P174">INDEX(vertraging[[Vertraging 12 jaar]:[2034]],MATCH($F174,vertraging[Zoeksleutel],0),P$134-INDEX(aanname_implementatie[Totaal vertraging],MATCH($B174,IF(aanname_implementatie[Doelgroep]=$C174,aanname_implementatie[Digitale zorgtoepassing]),0)))</f>
        <v>0.37155887512870744</v>
      </c>
      <c r="Q174" s="126" cm="1">
        <f t="array" ref="Q174">INDEX(vertraging[[Vertraging 12 jaar]:[2034]],MATCH($F174,vertraging[Zoeksleutel],0),Q$134-INDEX(aanname_implementatie[Totaal vertraging],MATCH($B174,IF(aanname_implementatie[Doelgroep]=$C174,aanname_implementatie[Digitale zorgtoepassing]),0)))</f>
        <v>0.47752884860285211</v>
      </c>
      <c r="R174" s="126" cm="1">
        <f t="array" ref="R174">INDEX(vertraging[[Vertraging 12 jaar]:[2034]],MATCH($F174,vertraging[Zoeksleutel],0),R$134-INDEX(aanname_implementatie[Totaal vertraging],MATCH($B174,IF(aanname_implementatie[Doelgroep]=$C174,aanname_implementatie[Digitale zorgtoepassing]),0)))</f>
        <v>0.5877762905727496</v>
      </c>
    </row>
    <row r="175" spans="1:18" x14ac:dyDescent="0.5">
      <c r="A175" s="30" t="str">
        <f>INDEX(Technologieën[Veld],MATCH(B175,Technologieën[Digitale zorgtoepassing],0))</f>
        <v>Digitale hulpmiddelen - Verpleging</v>
      </c>
      <c r="B175" s="30" t="s">
        <v>26</v>
      </c>
      <c r="C175" s="30" t="s">
        <v>24</v>
      </c>
      <c r="D175" s="30" t="str" cm="1">
        <f t="array" ref="D175">INDEX(Berekening_patiëntaantal[Direct toepasbaar/extrapolatie/incidentie voor QALY],MATCH(B175,IF(Berekening_patiëntaantal[Doelgroep (zoeksleutel)]=C175,Berekening_patiëntaantal[Digitale zorgtoepassing]),0))</f>
        <v>Extrapolatie</v>
      </c>
      <c r="E175" s="440" t="s">
        <v>812</v>
      </c>
      <c r="F175" s="30" t="str">
        <f>CONCATENATE(implementatie[[#This Row],[Zorgtechnologie]],"_",implementatie[[#This Row],[Doelgroep]],"_",implementatie[[#This Row],[Uitgangssituatie/effect beleid]])</f>
        <v>Medicijndispenser_Cognitieve beperking_Effect beleid</v>
      </c>
      <c r="G175" s="126" cm="1">
        <f t="array" ref="G175">INDEX(vertraging[[Vertraging 12 jaar]:[2034]],MATCH($F175,vertraging[Zoeksleutel],0),G$134-INDEX(aanname_implementatie[Totaal vertraging],MATCH($B175,IF(aanname_implementatie[Doelgroep]=$C175,aanname_implementatie[Digitale zorgtoepassing]),0)))</f>
        <v>0</v>
      </c>
      <c r="H175" s="126" cm="1">
        <f t="array" ref="H175">INDEX(vertraging[[Vertraging 12 jaar]:[2034]],MATCH($F175,vertraging[Zoeksleutel],0),H$134-INDEX(aanname_implementatie[Totaal vertraging],MATCH($B175,IF(aanname_implementatie[Doelgroep]=$C175,aanname_implementatie[Digitale zorgtoepassing]),0)))</f>
        <v>0</v>
      </c>
      <c r="I175" s="126" cm="1">
        <f t="array" ref="I175">INDEX(vertraging[[Vertraging 12 jaar]:[2034]],MATCH($F175,vertraging[Zoeksleutel],0),I$134-INDEX(aanname_implementatie[Totaal vertraging],MATCH($B175,IF(aanname_implementatie[Doelgroep]=$C175,aanname_implementatie[Digitale zorgtoepassing]),0)))</f>
        <v>0</v>
      </c>
      <c r="J175" s="126" cm="1">
        <f t="array" ref="J175">INDEX(vertraging[[Vertraging 12 jaar]:[2034]],MATCH($F175,vertraging[Zoeksleutel],0),J$134-INDEX(aanname_implementatie[Totaal vertraging],MATCH($B175,IF(aanname_implementatie[Doelgroep]=$C175,aanname_implementatie[Digitale zorgtoepassing]),0)))</f>
        <v>0.02</v>
      </c>
      <c r="K175" s="126" cm="1">
        <f t="array" ref="K175">INDEX(vertraging[[Vertraging 12 jaar]:[2034]],MATCH($F175,vertraging[Zoeksleutel],0),K$134-INDEX(aanname_implementatie[Totaal vertraging],MATCH($B175,IF(aanname_implementatie[Doelgroep]=$C175,aanname_implementatie[Digitale zorgtoepassing]),0)))</f>
        <v>4.7439999999999996E-2</v>
      </c>
      <c r="L175" s="126" cm="1">
        <f t="array" ref="L175">INDEX(vertraging[[Vertraging 12 jaar]:[2034]],MATCH($F175,vertraging[Zoeksleutel],0),L$134-INDEX(aanname_implementatie[Totaal vertraging],MATCH($B175,IF(aanname_implementatie[Doelgroep]=$C175,aanname_implementatie[Digitale zorgtoepassing]),0)))</f>
        <v>8.4566978560000006E-2</v>
      </c>
      <c r="M175" s="126" cm="1">
        <f t="array" ref="M175">INDEX(vertraging[[Vertraging 12 jaar]:[2034]],MATCH($F175,vertraging[Zoeksleutel],0),M$134-INDEX(aanname_implementatie[Totaal vertraging],MATCH($B175,IF(aanname_implementatie[Doelgroep]=$C175,aanname_implementatie[Digitale zorgtoepassing]),0)))</f>
        <v>0.13384180086769301</v>
      </c>
      <c r="N175" s="126" cm="1">
        <f t="array" ref="N175">INDEX(vertraging[[Vertraging 12 jaar]:[2034]],MATCH($F175,vertraging[Zoeksleutel],0),N$134-INDEX(aanname_implementatie[Totaal vertraging],MATCH($B175,IF(aanname_implementatie[Doelgroep]=$C175,aanname_implementatie[Digitale zorgtoepassing]),0)))</f>
        <v>0.19753623413361349</v>
      </c>
      <c r="O175" s="126" cm="1">
        <f t="array" ref="O175">INDEX(vertraging[[Vertraging 12 jaar]:[2034]],MATCH($F175,vertraging[Zoeksleutel],0),O$134-INDEX(aanname_implementatie[Totaal vertraging],MATCH($B175,IF(aanname_implementatie[Doelgroep]=$C175,aanname_implementatie[Digitale zorgtoepassing]),0)))</f>
        <v>0.27699177758611071</v>
      </c>
      <c r="P175" s="126" cm="1">
        <f t="array" ref="P175">INDEX(vertraging[[Vertraging 12 jaar]:[2034]],MATCH($F175,vertraging[Zoeksleutel],0),P$134-INDEX(aanname_implementatie[Totaal vertraging],MATCH($B175,IF(aanname_implementatie[Doelgroep]=$C175,aanname_implementatie[Digitale zorgtoepassing]),0)))</f>
        <v>0.37155887512870744</v>
      </c>
      <c r="Q175" s="126" cm="1">
        <f t="array" ref="Q175">INDEX(vertraging[[Vertraging 12 jaar]:[2034]],MATCH($F175,vertraging[Zoeksleutel],0),Q$134-INDEX(aanname_implementatie[Totaal vertraging],MATCH($B175,IF(aanname_implementatie[Doelgroep]=$C175,aanname_implementatie[Digitale zorgtoepassing]),0)))</f>
        <v>0.47752884860285211</v>
      </c>
      <c r="R175" s="126" cm="1">
        <f t="array" ref="R175">INDEX(vertraging[[Vertraging 12 jaar]:[2034]],MATCH($F175,vertraging[Zoeksleutel],0),R$134-INDEX(aanname_implementatie[Totaal vertraging],MATCH($B175,IF(aanname_implementatie[Doelgroep]=$C175,aanname_implementatie[Digitale zorgtoepassing]),0)))</f>
        <v>0.5877762905727496</v>
      </c>
    </row>
    <row r="176" spans="1:18" x14ac:dyDescent="0.5">
      <c r="A176" s="30" t="str">
        <f>INDEX(Technologieën[Veld],MATCH(B176,Technologieën[Digitale zorgtoepassing],0))</f>
        <v>Digitale hulpmiddelen - Verpleging</v>
      </c>
      <c r="B176" s="30" t="s">
        <v>26</v>
      </c>
      <c r="C176" s="30" t="s">
        <v>20</v>
      </c>
      <c r="D176" s="30" t="str" cm="1">
        <f t="array" ref="D176">INDEX(Berekening_patiëntaantal[Direct toepasbaar/extrapolatie/incidentie voor QALY],MATCH(B176,IF(Berekening_patiëntaantal[Doelgroep (zoeksleutel)]=C176,Berekening_patiëntaantal[Digitale zorgtoepassing]),0))</f>
        <v>Huidige toepassing</v>
      </c>
      <c r="E176" s="440" t="s">
        <v>812</v>
      </c>
      <c r="F176" s="30" t="str">
        <f>CONCATENATE(implementatie[[#This Row],[Zorgtechnologie]],"_",implementatie[[#This Row],[Doelgroep]],"_",implementatie[[#This Row],[Uitgangssituatie/effect beleid]])</f>
        <v>Medicijndispenser_Dementie_Effect beleid</v>
      </c>
      <c r="G176" s="126" cm="1">
        <f t="array" ref="G176">INDEX(vertraging[[Vertraging 12 jaar]:[2034]],MATCH($F176,vertraging[Zoeksleutel],0),G$134-INDEX(aanname_implementatie[Totaal vertraging],MATCH($B176,IF(aanname_implementatie[Doelgroep]=$C176,aanname_implementatie[Digitale zorgtoepassing]),0)))</f>
        <v>0.4</v>
      </c>
      <c r="H176" s="126" cm="1">
        <f t="array" ref="H176">INDEX(vertraging[[Vertraging 12 jaar]:[2034]],MATCH($F176,vertraging[Zoeksleutel],0),H$134-INDEX(aanname_implementatie[Totaal vertraging],MATCH($B176,IF(aanname_implementatie[Doelgroep]=$C176,aanname_implementatie[Digitale zorgtoepassing]),0)))</f>
        <v>0.50800000000000001</v>
      </c>
      <c r="I176" s="126" cm="1">
        <f t="array" ref="I176">INDEX(vertraging[[Vertraging 12 jaar]:[2034]],MATCH($F176,vertraging[Zoeksleutel],0),I$134-INDEX(aanname_implementatie[Totaal vertraging],MATCH($B176,IF(aanname_implementatie[Doelgroep]=$C176,aanname_implementatie[Digitale zorgtoepassing]),0)))</f>
        <v>0.61781439999999999</v>
      </c>
      <c r="J176" s="126" cm="1">
        <f t="array" ref="J176">INDEX(vertraging[[Vertraging 12 jaar]:[2034]],MATCH($F176,vertraging[Zoeksleutel],0),J$134-INDEX(aanname_implementatie[Totaal vertraging],MATCH($B176,IF(aanname_implementatie[Doelgroep]=$C176,aanname_implementatie[Digitale zorgtoepassing]),0)))</f>
        <v>0.71990601886105599</v>
      </c>
      <c r="K176" s="126" cm="1">
        <f t="array" ref="K176">INDEX(vertraging[[Vertraging 12 jaar]:[2034]],MATCH($F176,vertraging[Zoeksleutel],0),K$134-INDEX(aanname_implementatie[Totaal vertraging],MATCH($B176,IF(aanname_implementatie[Doelgroep]=$C176,aanname_implementatie[Digitale zorgtoepassing]),0)))</f>
        <v>0.80616443563130724</v>
      </c>
      <c r="L176" s="126" cm="1">
        <f t="array" ref="L176">INDEX(vertraging[[Vertraging 12 jaar]:[2034]],MATCH($F176,vertraging[Zoeksleutel],0),L$134-INDEX(aanname_implementatie[Totaal vertraging],MATCH($B176,IF(aanname_implementatie[Doelgroep]=$C176,aanname_implementatie[Digitale zorgtoepassing]),0)))</f>
        <v>0.87254648226050635</v>
      </c>
      <c r="M176" s="126" cm="1">
        <f t="array" ref="M176">INDEX(vertraging[[Vertraging 12 jaar]:[2034]],MATCH($F176,vertraging[Zoeksleutel],0),M$134-INDEX(aanname_implementatie[Totaal vertraging],MATCH($B176,IF(aanname_implementatie[Doelgroep]=$C176,aanname_implementatie[Digitale zorgtoepassing]),0)))</f>
        <v>0.9195792000374251</v>
      </c>
      <c r="N176" s="126" cm="1">
        <f t="array" ref="N176">INDEX(vertraging[[Vertraging 12 jaar]:[2034]],MATCH($F176,vertraging[Zoeksleutel],0),N$134-INDEX(aanname_implementatie[Totaal vertraging],MATCH($B176,IF(aanname_implementatie[Doelgroep]=$C176,aanname_implementatie[Digitale zorgtoepassing]),0)))</f>
        <v>0.95076893399505846</v>
      </c>
      <c r="O176" s="126" cm="1">
        <f t="array" ref="O176">INDEX(vertraging[[Vertraging 12 jaar]:[2034]],MATCH($F176,vertraging[Zoeksleutel],0),O$134-INDEX(aanname_implementatie[Totaal vertraging],MATCH($B176,IF(aanname_implementatie[Doelgroep]=$C176,aanname_implementatie[Digitale zorgtoepassing]),0)))</f>
        <v>0.97047650257314066</v>
      </c>
      <c r="P176" s="126" cm="1">
        <f t="array" ref="P176">INDEX(vertraging[[Vertraging 12 jaar]:[2034]],MATCH($F176,vertraging[Zoeksleutel],0),P$134-INDEX(aanname_implementatie[Totaal vertraging],MATCH($B176,IF(aanname_implementatie[Doelgroep]=$C176,aanname_implementatie[Digitale zorgtoepassing]),0)))</f>
        <v>0.98252771673229611</v>
      </c>
      <c r="Q176" s="126" cm="1">
        <f t="array" ref="Q176">INDEX(vertraging[[Vertraging 12 jaar]:[2034]],MATCH($F176,vertraging[Zoeksleutel],0),Q$134-INDEX(aanname_implementatie[Totaal vertraging],MATCH($B176,IF(aanname_implementatie[Doelgroep]=$C176,aanname_implementatie[Digitale zorgtoepassing]),0)))</f>
        <v>0.98974396343169702</v>
      </c>
      <c r="R176" s="126" cm="1">
        <f t="array" ref="R176">INDEX(vertraging[[Vertraging 12 jaar]:[2034]],MATCH($F176,vertraging[Zoeksleutel],0),R$134-INDEX(aanname_implementatie[Totaal vertraging],MATCH($B176,IF(aanname_implementatie[Doelgroep]=$C176,aanname_implementatie[Digitale zorgtoepassing]),0)))</f>
        <v>0.99400942427594807</v>
      </c>
    </row>
    <row r="177" spans="1:18" x14ac:dyDescent="0.5">
      <c r="A177" s="30" t="str">
        <f>INDEX(Technologieën[Veld],MATCH(B177,Technologieën[Digitale zorgtoepassing],0))</f>
        <v>Digitale hulpmiddelen - Verpleging</v>
      </c>
      <c r="B177" s="30" t="s">
        <v>26</v>
      </c>
      <c r="C177" s="30" t="s">
        <v>27</v>
      </c>
      <c r="D177" s="30" t="str" cm="1">
        <f t="array" ref="D177">INDEX(Berekening_patiëntaantal[Direct toepasbaar/extrapolatie/incidentie voor QALY],MATCH(B177,IF(Berekening_patiëntaantal[Doelgroep (zoeksleutel)]=C177,Berekening_patiëntaantal[Digitale zorgtoepassing]),0))</f>
        <v>Huidige toepassing</v>
      </c>
      <c r="E177" s="440" t="s">
        <v>812</v>
      </c>
      <c r="F177" s="30" t="str">
        <f>CONCATENATE(implementatie[[#This Row],[Zorgtechnologie]],"_",implementatie[[#This Row],[Doelgroep]],"_",implementatie[[#This Row],[Uitgangssituatie/effect beleid]])</f>
        <v>Medicijndispenser_Parkinson_Effect beleid</v>
      </c>
      <c r="G177" s="126" cm="1">
        <f t="array" ref="G177">INDEX(vertraging[[Vertraging 12 jaar]:[2034]],MATCH($F177,vertraging[Zoeksleutel],0),G$134-INDEX(aanname_implementatie[Totaal vertraging],MATCH($B177,IF(aanname_implementatie[Doelgroep]=$C177,aanname_implementatie[Digitale zorgtoepassing]),0)))</f>
        <v>0.4</v>
      </c>
      <c r="H177" s="126" cm="1">
        <f t="array" ref="H177">INDEX(vertraging[[Vertraging 12 jaar]:[2034]],MATCH($F177,vertraging[Zoeksleutel],0),H$134-INDEX(aanname_implementatie[Totaal vertraging],MATCH($B177,IF(aanname_implementatie[Doelgroep]=$C177,aanname_implementatie[Digitale zorgtoepassing]),0)))</f>
        <v>0.50800000000000001</v>
      </c>
      <c r="I177" s="126" cm="1">
        <f t="array" ref="I177">INDEX(vertraging[[Vertraging 12 jaar]:[2034]],MATCH($F177,vertraging[Zoeksleutel],0),I$134-INDEX(aanname_implementatie[Totaal vertraging],MATCH($B177,IF(aanname_implementatie[Doelgroep]=$C177,aanname_implementatie[Digitale zorgtoepassing]),0)))</f>
        <v>0.61781439999999999</v>
      </c>
      <c r="J177" s="126" cm="1">
        <f t="array" ref="J177">INDEX(vertraging[[Vertraging 12 jaar]:[2034]],MATCH($F177,vertraging[Zoeksleutel],0),J$134-INDEX(aanname_implementatie[Totaal vertraging],MATCH($B177,IF(aanname_implementatie[Doelgroep]=$C177,aanname_implementatie[Digitale zorgtoepassing]),0)))</f>
        <v>0.71990601886105599</v>
      </c>
      <c r="K177" s="126" cm="1">
        <f t="array" ref="K177">INDEX(vertraging[[Vertraging 12 jaar]:[2034]],MATCH($F177,vertraging[Zoeksleutel],0),K$134-INDEX(aanname_implementatie[Totaal vertraging],MATCH($B177,IF(aanname_implementatie[Doelgroep]=$C177,aanname_implementatie[Digitale zorgtoepassing]),0)))</f>
        <v>0.80616443563130724</v>
      </c>
      <c r="L177" s="126" cm="1">
        <f t="array" ref="L177">INDEX(vertraging[[Vertraging 12 jaar]:[2034]],MATCH($F177,vertraging[Zoeksleutel],0),L$134-INDEX(aanname_implementatie[Totaal vertraging],MATCH($B177,IF(aanname_implementatie[Doelgroep]=$C177,aanname_implementatie[Digitale zorgtoepassing]),0)))</f>
        <v>0.87254648226050635</v>
      </c>
      <c r="M177" s="126" cm="1">
        <f t="array" ref="M177">INDEX(vertraging[[Vertraging 12 jaar]:[2034]],MATCH($F177,vertraging[Zoeksleutel],0),M$134-INDEX(aanname_implementatie[Totaal vertraging],MATCH($B177,IF(aanname_implementatie[Doelgroep]=$C177,aanname_implementatie[Digitale zorgtoepassing]),0)))</f>
        <v>0.9195792000374251</v>
      </c>
      <c r="N177" s="126" cm="1">
        <f t="array" ref="N177">INDEX(vertraging[[Vertraging 12 jaar]:[2034]],MATCH($F177,vertraging[Zoeksleutel],0),N$134-INDEX(aanname_implementatie[Totaal vertraging],MATCH($B177,IF(aanname_implementatie[Doelgroep]=$C177,aanname_implementatie[Digitale zorgtoepassing]),0)))</f>
        <v>0.95076893399505846</v>
      </c>
      <c r="O177" s="126" cm="1">
        <f t="array" ref="O177">INDEX(vertraging[[Vertraging 12 jaar]:[2034]],MATCH($F177,vertraging[Zoeksleutel],0),O$134-INDEX(aanname_implementatie[Totaal vertraging],MATCH($B177,IF(aanname_implementatie[Doelgroep]=$C177,aanname_implementatie[Digitale zorgtoepassing]),0)))</f>
        <v>0.97047650257314066</v>
      </c>
      <c r="P177" s="126" cm="1">
        <f t="array" ref="P177">INDEX(vertraging[[Vertraging 12 jaar]:[2034]],MATCH($F177,vertraging[Zoeksleutel],0),P$134-INDEX(aanname_implementatie[Totaal vertraging],MATCH($B177,IF(aanname_implementatie[Doelgroep]=$C177,aanname_implementatie[Digitale zorgtoepassing]),0)))</f>
        <v>0.98252771673229611</v>
      </c>
      <c r="Q177" s="126" cm="1">
        <f t="array" ref="Q177">INDEX(vertraging[[Vertraging 12 jaar]:[2034]],MATCH($F177,vertraging[Zoeksleutel],0),Q$134-INDEX(aanname_implementatie[Totaal vertraging],MATCH($B177,IF(aanname_implementatie[Doelgroep]=$C177,aanname_implementatie[Digitale zorgtoepassing]),0)))</f>
        <v>0.98974396343169702</v>
      </c>
      <c r="R177" s="126" cm="1">
        <f t="array" ref="R177">INDEX(vertraging[[Vertraging 12 jaar]:[2034]],MATCH($F177,vertraging[Zoeksleutel],0),R$134-INDEX(aanname_implementatie[Totaal vertraging],MATCH($B177,IF(aanname_implementatie[Doelgroep]=$C177,aanname_implementatie[Digitale zorgtoepassing]),0)))</f>
        <v>0.99400942427594807</v>
      </c>
    </row>
    <row r="178" spans="1:18" x14ac:dyDescent="0.5">
      <c r="A178" s="30" t="str">
        <f>INDEX(Technologieën[Veld],MATCH(B178,Technologieën[Digitale zorgtoepassing],0))</f>
        <v>Digitale hulpmiddelen - Verpleging</v>
      </c>
      <c r="B178" s="30" t="s">
        <v>26</v>
      </c>
      <c r="C178" s="30" t="s">
        <v>29</v>
      </c>
      <c r="D178" s="30" t="str" cm="1">
        <f t="array" ref="D178">INDEX(Berekening_patiëntaantal[Direct toepasbaar/extrapolatie/incidentie voor QALY],MATCH(B178,IF(Berekening_patiëntaantal[Doelgroep (zoeksleutel)]=C178,Berekening_patiëntaantal[Digitale zorgtoepassing]),0))</f>
        <v>Huidige toepassing</v>
      </c>
      <c r="E178" s="440" t="s">
        <v>812</v>
      </c>
      <c r="F178" s="30" t="str">
        <f>CONCATENATE(implementatie[[#This Row],[Zorgtechnologie]],"_",implementatie[[#This Row],[Doelgroep]],"_",implementatie[[#This Row],[Uitgangssituatie/effect beleid]])</f>
        <v>Medicijndispenser_Reumatische aandoening _Effect beleid</v>
      </c>
      <c r="G178" s="126" cm="1">
        <f t="array" ref="G178">INDEX(vertraging[[Vertraging 12 jaar]:[2034]],MATCH($F178,vertraging[Zoeksleutel],0),G$134-INDEX(aanname_implementatie[Totaal vertraging],MATCH($B178,IF(aanname_implementatie[Doelgroep]=$C178,aanname_implementatie[Digitale zorgtoepassing]),0)))</f>
        <v>0.4</v>
      </c>
      <c r="H178" s="126" cm="1">
        <f t="array" ref="H178">INDEX(vertraging[[Vertraging 12 jaar]:[2034]],MATCH($F178,vertraging[Zoeksleutel],0),H$134-INDEX(aanname_implementatie[Totaal vertraging],MATCH($B178,IF(aanname_implementatie[Doelgroep]=$C178,aanname_implementatie[Digitale zorgtoepassing]),0)))</f>
        <v>0.50800000000000001</v>
      </c>
      <c r="I178" s="126" cm="1">
        <f t="array" ref="I178">INDEX(vertraging[[Vertraging 12 jaar]:[2034]],MATCH($F178,vertraging[Zoeksleutel],0),I$134-INDEX(aanname_implementatie[Totaal vertraging],MATCH($B178,IF(aanname_implementatie[Doelgroep]=$C178,aanname_implementatie[Digitale zorgtoepassing]),0)))</f>
        <v>0.61781439999999999</v>
      </c>
      <c r="J178" s="126" cm="1">
        <f t="array" ref="J178">INDEX(vertraging[[Vertraging 12 jaar]:[2034]],MATCH($F178,vertraging[Zoeksleutel],0),J$134-INDEX(aanname_implementatie[Totaal vertraging],MATCH($B178,IF(aanname_implementatie[Doelgroep]=$C178,aanname_implementatie[Digitale zorgtoepassing]),0)))</f>
        <v>0.71990601886105599</v>
      </c>
      <c r="K178" s="126" cm="1">
        <f t="array" ref="K178">INDEX(vertraging[[Vertraging 12 jaar]:[2034]],MATCH($F178,vertraging[Zoeksleutel],0),K$134-INDEX(aanname_implementatie[Totaal vertraging],MATCH($B178,IF(aanname_implementatie[Doelgroep]=$C178,aanname_implementatie[Digitale zorgtoepassing]),0)))</f>
        <v>0.80616443563130724</v>
      </c>
      <c r="L178" s="126" cm="1">
        <f t="array" ref="L178">INDEX(vertraging[[Vertraging 12 jaar]:[2034]],MATCH($F178,vertraging[Zoeksleutel],0),L$134-INDEX(aanname_implementatie[Totaal vertraging],MATCH($B178,IF(aanname_implementatie[Doelgroep]=$C178,aanname_implementatie[Digitale zorgtoepassing]),0)))</f>
        <v>0.87254648226050635</v>
      </c>
      <c r="M178" s="126" cm="1">
        <f t="array" ref="M178">INDEX(vertraging[[Vertraging 12 jaar]:[2034]],MATCH($F178,vertraging[Zoeksleutel],0),M$134-INDEX(aanname_implementatie[Totaal vertraging],MATCH($B178,IF(aanname_implementatie[Doelgroep]=$C178,aanname_implementatie[Digitale zorgtoepassing]),0)))</f>
        <v>0.9195792000374251</v>
      </c>
      <c r="N178" s="126" cm="1">
        <f t="array" ref="N178">INDEX(vertraging[[Vertraging 12 jaar]:[2034]],MATCH($F178,vertraging[Zoeksleutel],0),N$134-INDEX(aanname_implementatie[Totaal vertraging],MATCH($B178,IF(aanname_implementatie[Doelgroep]=$C178,aanname_implementatie[Digitale zorgtoepassing]),0)))</f>
        <v>0.95076893399505846</v>
      </c>
      <c r="O178" s="126" cm="1">
        <f t="array" ref="O178">INDEX(vertraging[[Vertraging 12 jaar]:[2034]],MATCH($F178,vertraging[Zoeksleutel],0),O$134-INDEX(aanname_implementatie[Totaal vertraging],MATCH($B178,IF(aanname_implementatie[Doelgroep]=$C178,aanname_implementatie[Digitale zorgtoepassing]),0)))</f>
        <v>0.97047650257314066</v>
      </c>
      <c r="P178" s="126" cm="1">
        <f t="array" ref="P178">INDEX(vertraging[[Vertraging 12 jaar]:[2034]],MATCH($F178,vertraging[Zoeksleutel],0),P$134-INDEX(aanname_implementatie[Totaal vertraging],MATCH($B178,IF(aanname_implementatie[Doelgroep]=$C178,aanname_implementatie[Digitale zorgtoepassing]),0)))</f>
        <v>0.98252771673229611</v>
      </c>
      <c r="Q178" s="126" cm="1">
        <f t="array" ref="Q178">INDEX(vertraging[[Vertraging 12 jaar]:[2034]],MATCH($F178,vertraging[Zoeksleutel],0),Q$134-INDEX(aanname_implementatie[Totaal vertraging],MATCH($B178,IF(aanname_implementatie[Doelgroep]=$C178,aanname_implementatie[Digitale zorgtoepassing]),0)))</f>
        <v>0.98974396343169702</v>
      </c>
      <c r="R178" s="126" cm="1">
        <f t="array" ref="R178">INDEX(vertraging[[Vertraging 12 jaar]:[2034]],MATCH($F178,vertraging[Zoeksleutel],0),R$134-INDEX(aanname_implementatie[Totaal vertraging],MATCH($B178,IF(aanname_implementatie[Doelgroep]=$C178,aanname_implementatie[Digitale zorgtoepassing]),0)))</f>
        <v>0.99400942427594807</v>
      </c>
    </row>
    <row r="179" spans="1:18" x14ac:dyDescent="0.5">
      <c r="A179" s="30" t="str">
        <f>INDEX(Technologieën[Veld],MATCH(B179,Technologieën[Digitale zorgtoepassing],0))</f>
        <v>Digitale hulpmiddelen - Diagnose</v>
      </c>
      <c r="B179" s="30" t="s">
        <v>78</v>
      </c>
      <c r="C179" s="30" t="s">
        <v>699</v>
      </c>
      <c r="D179" s="30" t="str" cm="1">
        <f t="array" ref="D179">INDEX(Berekening_patiëntaantal[Direct toepasbaar/extrapolatie/incidentie voor QALY],MATCH(B179,IF(Berekening_patiëntaantal[Doelgroep (zoeksleutel)]=C179,Berekening_patiëntaantal[Digitale zorgtoepassing]),0))</f>
        <v>Huidige toepassing</v>
      </c>
      <c r="E179" s="440" t="s">
        <v>812</v>
      </c>
      <c r="F179" s="30" t="str">
        <f>CONCATENATE(implementatie[[#This Row],[Zorgtechnologie]],"_",implementatie[[#This Row],[Doelgroep]],"_",implementatie[[#This Row],[Uitgangssituatie/effect beleid]])</f>
        <v>Mobiele echo's_Echo's 2e lijn_Effect beleid</v>
      </c>
      <c r="G179" s="126" cm="1">
        <f t="array" ref="G179">INDEX(vertraging[[Vertraging 12 jaar]:[2034]],MATCH($F179,vertraging[Zoeksleutel],0),G$134-INDEX(aanname_implementatie[Totaal vertraging],MATCH($B179,IF(aanname_implementatie[Doelgroep]=$C179,aanname_implementatie[Digitale zorgtoepassing]),0)))</f>
        <v>0.2</v>
      </c>
      <c r="H179" s="126" cm="1">
        <f t="array" ref="H179">INDEX(vertraging[[Vertraging 12 jaar]:[2034]],MATCH($F179,vertraging[Zoeksleutel],0),H$134-INDEX(aanname_implementatie[Totaal vertraging],MATCH($B179,IF(aanname_implementatie[Doelgroep]=$C179,aanname_implementatie[Digitale zorgtoepassing]),0)))</f>
        <v>0.29200000000000004</v>
      </c>
      <c r="I179" s="126" cm="1">
        <f t="array" ref="I179">INDEX(vertraging[[Vertraging 12 jaar]:[2034]],MATCH($F179,vertraging[Zoeksleutel],0),I$134-INDEX(aanname_implementatie[Totaal vertraging],MATCH($B179,IF(aanname_implementatie[Doelgroep]=$C179,aanname_implementatie[Digitale zorgtoepassing]),0)))</f>
        <v>0.40273120000000007</v>
      </c>
      <c r="J179" s="126" cm="1">
        <f t="array" ref="J179">INDEX(vertraging[[Vertraging 12 jaar]:[2034]],MATCH($F179,vertraging[Zoeksleutel],0),J$134-INDEX(aanname_implementatie[Totaal vertraging],MATCH($B179,IF(aanname_implementatie[Doelgroep]=$C179,aanname_implementatie[Digitale zorgtoepassing]),0)))</f>
        <v>0.52590537124595205</v>
      </c>
      <c r="K179" s="126" cm="1">
        <f t="array" ref="K179">INDEX(vertraging[[Vertraging 12 jaar]:[2034]],MATCH($F179,vertraging[Zoeksleutel],0),K$134-INDEX(aanname_implementatie[Totaal vertraging],MATCH($B179,IF(aanname_implementatie[Doelgroep]=$C179,aanname_implementatie[Digitale zorgtoepassing]),0)))</f>
        <v>0.64995574724807748</v>
      </c>
      <c r="L179" s="126" cm="1">
        <f t="array" ref="L179">INDEX(vertraging[[Vertraging 12 jaar]:[2034]],MATCH($F179,vertraging[Zoeksleutel],0),L$134-INDEX(aanname_implementatie[Totaal vertraging],MATCH($B179,IF(aanname_implementatie[Doelgroep]=$C179,aanname_implementatie[Digitale zorgtoepassing]),0)))</f>
        <v>0.76108782680714737</v>
      </c>
      <c r="M179" s="126" cm="1">
        <f t="array" ref="M179">INDEX(vertraging[[Vertraging 12 jaar]:[2034]],MATCH($F179,vertraging[Zoeksleutel],0),M$134-INDEX(aanname_implementatie[Totaal vertraging],MATCH($B179,IF(aanname_implementatie[Doelgroep]=$C179,aanname_implementatie[Digitale zorgtoepassing]),0)))</f>
        <v>0.8488855471488731</v>
      </c>
      <c r="N179" s="126" cm="1">
        <f t="array" ref="N179">INDEX(vertraging[[Vertraging 12 jaar]:[2034]],MATCH($F179,vertraging[Zoeksleutel],0),N$134-INDEX(aanname_implementatie[Totaal vertraging],MATCH($B179,IF(aanname_implementatie[Doelgroep]=$C179,aanname_implementatie[Digitale zorgtoepassing]),0)))</f>
        <v>0.91038890221593549</v>
      </c>
      <c r="O179" s="126" cm="1">
        <f t="array" ref="O179">INDEX(vertraging[[Vertraging 12 jaar]:[2034]],MATCH($F179,vertraging[Zoeksleutel],0),O$134-INDEX(aanname_implementatie[Totaal vertraging],MATCH($B179,IF(aanname_implementatie[Doelgroep]=$C179,aanname_implementatie[Digitale zorgtoepassing]),0)))</f>
        <v>0.94934060668263687</v>
      </c>
      <c r="P179" s="126" cm="1">
        <f t="array" ref="P179">INDEX(vertraging[[Vertraging 12 jaar]:[2034]],MATCH($F179,vertraging[Zoeksleutel],0),P$134-INDEX(aanname_implementatie[Totaal vertraging],MATCH($B179,IF(aanname_implementatie[Doelgroep]=$C179,aanname_implementatie[Digitale zorgtoepassing]),0)))</f>
        <v>0.9722489501493069</v>
      </c>
      <c r="Q179" s="126" cm="1">
        <f t="array" ref="Q179">INDEX(vertraging[[Vertraging 12 jaar]:[2034]],MATCH($F179,vertraging[Zoeksleutel],0),Q$134-INDEX(aanname_implementatie[Totaal vertraging],MATCH($B179,IF(aanname_implementatie[Doelgroep]=$C179,aanname_implementatie[Digitale zorgtoepassing]),0)))</f>
        <v>0.98508414448286907</v>
      </c>
      <c r="R179" s="126" cm="1">
        <f t="array" ref="R179">INDEX(vertraging[[Vertraging 12 jaar]:[2034]],MATCH($F179,vertraging[Zoeksleutel],0),R$134-INDEX(aanname_implementatie[Totaal vertraging],MATCH($B179,IF(aanname_implementatie[Doelgroep]=$C179,aanname_implementatie[Digitale zorgtoepassing]),0)))</f>
        <v>0.99206905861789263</v>
      </c>
    </row>
    <row r="180" spans="1:18" x14ac:dyDescent="0.5">
      <c r="A180" s="30" t="str">
        <f>INDEX(Technologieën[Veld],MATCH(B180,Technologieën[Digitale zorgtoepassing],0))</f>
        <v>Digitale hulpmiddelen - Diagnose</v>
      </c>
      <c r="B180" s="30" t="s">
        <v>78</v>
      </c>
      <c r="C180" s="30" t="s">
        <v>79</v>
      </c>
      <c r="D180" s="30" t="str" cm="1">
        <f t="array" ref="D180">INDEX(Berekening_patiëntaantal[Direct toepasbaar/extrapolatie/incidentie voor QALY],MATCH(B180,IF(Berekening_patiëntaantal[Doelgroep (zoeksleutel)]=C180,Berekening_patiëntaantal[Digitale zorgtoepassing]),0))</f>
        <v>Huidige toepassing</v>
      </c>
      <c r="E180" s="440" t="s">
        <v>812</v>
      </c>
      <c r="F180" s="30" t="str">
        <f>CONCATENATE(implementatie[[#This Row],[Zorgtechnologie]],"_",implementatie[[#This Row],[Doelgroep]],"_",implementatie[[#This Row],[Uitgangssituatie/effect beleid]])</f>
        <v>Mobiele echo's_Echo's bij zwangere vrouwen_Effect beleid</v>
      </c>
      <c r="G180" s="126" cm="1">
        <f t="array" ref="G180">INDEX(vertraging[[Vertraging 12 jaar]:[2034]],MATCH($F180,vertraging[Zoeksleutel],0),G$134-INDEX(aanname_implementatie[Totaal vertraging],MATCH($B180,IF(aanname_implementatie[Doelgroep]=$C180,aanname_implementatie[Digitale zorgtoepassing]),0)))</f>
        <v>0.2</v>
      </c>
      <c r="H180" s="126" cm="1">
        <f t="array" ref="H180">INDEX(vertraging[[Vertraging 12 jaar]:[2034]],MATCH($F180,vertraging[Zoeksleutel],0),H$134-INDEX(aanname_implementatie[Totaal vertraging],MATCH($B180,IF(aanname_implementatie[Doelgroep]=$C180,aanname_implementatie[Digitale zorgtoepassing]),0)))</f>
        <v>0.29200000000000004</v>
      </c>
      <c r="I180" s="126" cm="1">
        <f t="array" ref="I180">INDEX(vertraging[[Vertraging 12 jaar]:[2034]],MATCH($F180,vertraging[Zoeksleutel],0),I$134-INDEX(aanname_implementatie[Totaal vertraging],MATCH($B180,IF(aanname_implementatie[Doelgroep]=$C180,aanname_implementatie[Digitale zorgtoepassing]),0)))</f>
        <v>0.40273120000000007</v>
      </c>
      <c r="J180" s="126" cm="1">
        <f t="array" ref="J180">INDEX(vertraging[[Vertraging 12 jaar]:[2034]],MATCH($F180,vertraging[Zoeksleutel],0),J$134-INDEX(aanname_implementatie[Totaal vertraging],MATCH($B180,IF(aanname_implementatie[Doelgroep]=$C180,aanname_implementatie[Digitale zorgtoepassing]),0)))</f>
        <v>0.52590537124595205</v>
      </c>
      <c r="K180" s="126" cm="1">
        <f t="array" ref="K180">INDEX(vertraging[[Vertraging 12 jaar]:[2034]],MATCH($F180,vertraging[Zoeksleutel],0),K$134-INDEX(aanname_implementatie[Totaal vertraging],MATCH($B180,IF(aanname_implementatie[Doelgroep]=$C180,aanname_implementatie[Digitale zorgtoepassing]),0)))</f>
        <v>0.64995574724807748</v>
      </c>
      <c r="L180" s="126" cm="1">
        <f t="array" ref="L180">INDEX(vertraging[[Vertraging 12 jaar]:[2034]],MATCH($F180,vertraging[Zoeksleutel],0),L$134-INDEX(aanname_implementatie[Totaal vertraging],MATCH($B180,IF(aanname_implementatie[Doelgroep]=$C180,aanname_implementatie[Digitale zorgtoepassing]),0)))</f>
        <v>0.76108782680714737</v>
      </c>
      <c r="M180" s="126" cm="1">
        <f t="array" ref="M180">INDEX(vertraging[[Vertraging 12 jaar]:[2034]],MATCH($F180,vertraging[Zoeksleutel],0),M$134-INDEX(aanname_implementatie[Totaal vertraging],MATCH($B180,IF(aanname_implementatie[Doelgroep]=$C180,aanname_implementatie[Digitale zorgtoepassing]),0)))</f>
        <v>0.8488855471488731</v>
      </c>
      <c r="N180" s="126" cm="1">
        <f t="array" ref="N180">INDEX(vertraging[[Vertraging 12 jaar]:[2034]],MATCH($F180,vertraging[Zoeksleutel],0),N$134-INDEX(aanname_implementatie[Totaal vertraging],MATCH($B180,IF(aanname_implementatie[Doelgroep]=$C180,aanname_implementatie[Digitale zorgtoepassing]),0)))</f>
        <v>0.91038890221593549</v>
      </c>
      <c r="O180" s="126" cm="1">
        <f t="array" ref="O180">INDEX(vertraging[[Vertraging 12 jaar]:[2034]],MATCH($F180,vertraging[Zoeksleutel],0),O$134-INDEX(aanname_implementatie[Totaal vertraging],MATCH($B180,IF(aanname_implementatie[Doelgroep]=$C180,aanname_implementatie[Digitale zorgtoepassing]),0)))</f>
        <v>0.94934060668263687</v>
      </c>
      <c r="P180" s="126" cm="1">
        <f t="array" ref="P180">INDEX(vertraging[[Vertraging 12 jaar]:[2034]],MATCH($F180,vertraging[Zoeksleutel],0),P$134-INDEX(aanname_implementatie[Totaal vertraging],MATCH($B180,IF(aanname_implementatie[Doelgroep]=$C180,aanname_implementatie[Digitale zorgtoepassing]),0)))</f>
        <v>0.9722489501493069</v>
      </c>
      <c r="Q180" s="126" cm="1">
        <f t="array" ref="Q180">INDEX(vertraging[[Vertraging 12 jaar]:[2034]],MATCH($F180,vertraging[Zoeksleutel],0),Q$134-INDEX(aanname_implementatie[Totaal vertraging],MATCH($B180,IF(aanname_implementatie[Doelgroep]=$C180,aanname_implementatie[Digitale zorgtoepassing]),0)))</f>
        <v>0.98508414448286907</v>
      </c>
      <c r="R180" s="126" cm="1">
        <f t="array" ref="R180">INDEX(vertraging[[Vertraging 12 jaar]:[2034]],MATCH($F180,vertraging[Zoeksleutel],0),R$134-INDEX(aanname_implementatie[Totaal vertraging],MATCH($B180,IF(aanname_implementatie[Doelgroep]=$C180,aanname_implementatie[Digitale zorgtoepassing]),0)))</f>
        <v>0.99206905861789263</v>
      </c>
    </row>
    <row r="181" spans="1:18" x14ac:dyDescent="0.5">
      <c r="A181" s="30" t="str">
        <f>INDEX(Technologieën[Veld],MATCH(B181,Technologieën[Digitale zorgtoepassing],0))</f>
        <v>Digitale hulpmiddelen - Diagnose</v>
      </c>
      <c r="B181" s="30" t="s">
        <v>82</v>
      </c>
      <c r="C181" s="30" t="s">
        <v>703</v>
      </c>
      <c r="D181" s="30" t="str" cm="1">
        <f t="array" ref="D181">INDEX(Berekening_patiëntaantal[Direct toepasbaar/extrapolatie/incidentie voor QALY],MATCH(B181,IF(Berekening_patiëntaantal[Doelgroep (zoeksleutel)]=C181,Berekening_patiëntaantal[Digitale zorgtoepassing]),0))</f>
        <v>Huidige toepassing</v>
      </c>
      <c r="E181" s="440" t="s">
        <v>812</v>
      </c>
      <c r="F181" s="30" t="str">
        <f>CONCATENATE(implementatie[[#This Row],[Zorgtechnologie]],"_",implementatie[[#This Row],[Doelgroep]],"_",implementatie[[#This Row],[Uitgangssituatie/effect beleid]])</f>
        <v>Point-of-care (POC) testing_HAP contacten met labaratoriumonderzoek_Effect beleid</v>
      </c>
      <c r="G181" s="126" cm="1">
        <f t="array" ref="G181">INDEX(vertraging[[Vertraging 12 jaar]:[2034]],MATCH($F181,vertraging[Zoeksleutel],0),G$134-INDEX(aanname_implementatie[Totaal vertraging],MATCH($B181,IF(aanname_implementatie[Doelgroep]=$C181,aanname_implementatie[Digitale zorgtoepassing]),0)))</f>
        <v>0.4</v>
      </c>
      <c r="H181" s="126" cm="1">
        <f t="array" ref="H181">INDEX(vertraging[[Vertraging 12 jaar]:[2034]],MATCH($F181,vertraging[Zoeksleutel],0),H$134-INDEX(aanname_implementatie[Totaal vertraging],MATCH($B181,IF(aanname_implementatie[Doelgroep]=$C181,aanname_implementatie[Digitale zorgtoepassing]),0)))</f>
        <v>0.50800000000000001</v>
      </c>
      <c r="I181" s="126" cm="1">
        <f t="array" ref="I181">INDEX(vertraging[[Vertraging 12 jaar]:[2034]],MATCH($F181,vertraging[Zoeksleutel],0),I$134-INDEX(aanname_implementatie[Totaal vertraging],MATCH($B181,IF(aanname_implementatie[Doelgroep]=$C181,aanname_implementatie[Digitale zorgtoepassing]),0)))</f>
        <v>0.61781439999999999</v>
      </c>
      <c r="J181" s="126" cm="1">
        <f t="array" ref="J181">INDEX(vertraging[[Vertraging 12 jaar]:[2034]],MATCH($F181,vertraging[Zoeksleutel],0),J$134-INDEX(aanname_implementatie[Totaal vertraging],MATCH($B181,IF(aanname_implementatie[Doelgroep]=$C181,aanname_implementatie[Digitale zorgtoepassing]),0)))</f>
        <v>0.71990601886105599</v>
      </c>
      <c r="K181" s="126" cm="1">
        <f t="array" ref="K181">INDEX(vertraging[[Vertraging 12 jaar]:[2034]],MATCH($F181,vertraging[Zoeksleutel],0),K$134-INDEX(aanname_implementatie[Totaal vertraging],MATCH($B181,IF(aanname_implementatie[Doelgroep]=$C181,aanname_implementatie[Digitale zorgtoepassing]),0)))</f>
        <v>0.80616443563130724</v>
      </c>
      <c r="L181" s="126" cm="1">
        <f t="array" ref="L181">INDEX(vertraging[[Vertraging 12 jaar]:[2034]],MATCH($F181,vertraging[Zoeksleutel],0),L$134-INDEX(aanname_implementatie[Totaal vertraging],MATCH($B181,IF(aanname_implementatie[Doelgroep]=$C181,aanname_implementatie[Digitale zorgtoepassing]),0)))</f>
        <v>0.87254648226050635</v>
      </c>
      <c r="M181" s="126" cm="1">
        <f t="array" ref="M181">INDEX(vertraging[[Vertraging 12 jaar]:[2034]],MATCH($F181,vertraging[Zoeksleutel],0),M$134-INDEX(aanname_implementatie[Totaal vertraging],MATCH($B181,IF(aanname_implementatie[Doelgroep]=$C181,aanname_implementatie[Digitale zorgtoepassing]),0)))</f>
        <v>0.9195792000374251</v>
      </c>
      <c r="N181" s="126" cm="1">
        <f t="array" ref="N181">INDEX(vertraging[[Vertraging 12 jaar]:[2034]],MATCH($F181,vertraging[Zoeksleutel],0),N$134-INDEX(aanname_implementatie[Totaal vertraging],MATCH($B181,IF(aanname_implementatie[Doelgroep]=$C181,aanname_implementatie[Digitale zorgtoepassing]),0)))</f>
        <v>0.95076893399505846</v>
      </c>
      <c r="O181" s="126" cm="1">
        <f t="array" ref="O181">INDEX(vertraging[[Vertraging 12 jaar]:[2034]],MATCH($F181,vertraging[Zoeksleutel],0),O$134-INDEX(aanname_implementatie[Totaal vertraging],MATCH($B181,IF(aanname_implementatie[Doelgroep]=$C181,aanname_implementatie[Digitale zorgtoepassing]),0)))</f>
        <v>0.97047650257314066</v>
      </c>
      <c r="P181" s="126" cm="1">
        <f t="array" ref="P181">INDEX(vertraging[[Vertraging 12 jaar]:[2034]],MATCH($F181,vertraging[Zoeksleutel],0),P$134-INDEX(aanname_implementatie[Totaal vertraging],MATCH($B181,IF(aanname_implementatie[Doelgroep]=$C181,aanname_implementatie[Digitale zorgtoepassing]),0)))</f>
        <v>0.98252771673229611</v>
      </c>
      <c r="Q181" s="126" cm="1">
        <f t="array" ref="Q181">INDEX(vertraging[[Vertraging 12 jaar]:[2034]],MATCH($F181,vertraging[Zoeksleutel],0),Q$134-INDEX(aanname_implementatie[Totaal vertraging],MATCH($B181,IF(aanname_implementatie[Doelgroep]=$C181,aanname_implementatie[Digitale zorgtoepassing]),0)))</f>
        <v>0.98974396343169702</v>
      </c>
      <c r="R181" s="126" cm="1">
        <f t="array" ref="R181">INDEX(vertraging[[Vertraging 12 jaar]:[2034]],MATCH($F181,vertraging[Zoeksleutel],0),R$134-INDEX(aanname_implementatie[Totaal vertraging],MATCH($B181,IF(aanname_implementatie[Doelgroep]=$C181,aanname_implementatie[Digitale zorgtoepassing]),0)))</f>
        <v>0.99400942427594807</v>
      </c>
    </row>
    <row r="182" spans="1:18" x14ac:dyDescent="0.5">
      <c r="A182" s="30" t="str">
        <f>INDEX(Technologieën[Veld],MATCH(B182,Technologieën[Digitale zorgtoepassing],0))</f>
        <v>Digitale hulpmiddelen - Diagnose</v>
      </c>
      <c r="B182" s="30" t="s">
        <v>82</v>
      </c>
      <c r="C182" s="30" t="s">
        <v>702</v>
      </c>
      <c r="D182" s="30" t="str" cm="1">
        <f t="array" ref="D182">INDEX(Berekening_patiëntaantal[Direct toepasbaar/extrapolatie/incidentie voor QALY],MATCH(B182,IF(Berekening_patiëntaantal[Doelgroep (zoeksleutel)]=C182,Berekening_patiëntaantal[Digitale zorgtoepassing]),0))</f>
        <v>Huidige toepassing</v>
      </c>
      <c r="E182" s="440" t="s">
        <v>812</v>
      </c>
      <c r="F182" s="30" t="str">
        <f>CONCATENATE(implementatie[[#This Row],[Zorgtechnologie]],"_",implementatie[[#This Row],[Doelgroep]],"_",implementatie[[#This Row],[Uitgangssituatie/effect beleid]])</f>
        <v>Point-of-care (POC) testing_Huisartscontacten met labaratoriumonderzoek_Effect beleid</v>
      </c>
      <c r="G182" s="126" cm="1">
        <f t="array" ref="G182">INDEX(vertraging[[Vertraging 12 jaar]:[2034]],MATCH($F182,vertraging[Zoeksleutel],0),G$134-INDEX(aanname_implementatie[Totaal vertraging],MATCH($B182,IF(aanname_implementatie[Doelgroep]=$C182,aanname_implementatie[Digitale zorgtoepassing]),0)))</f>
        <v>0.4</v>
      </c>
      <c r="H182" s="126" cm="1">
        <f t="array" ref="H182">INDEX(vertraging[[Vertraging 12 jaar]:[2034]],MATCH($F182,vertraging[Zoeksleutel],0),H$134-INDEX(aanname_implementatie[Totaal vertraging],MATCH($B182,IF(aanname_implementatie[Doelgroep]=$C182,aanname_implementatie[Digitale zorgtoepassing]),0)))</f>
        <v>0.50800000000000001</v>
      </c>
      <c r="I182" s="126" cm="1">
        <f t="array" ref="I182">INDEX(vertraging[[Vertraging 12 jaar]:[2034]],MATCH($F182,vertraging[Zoeksleutel],0),I$134-INDEX(aanname_implementatie[Totaal vertraging],MATCH($B182,IF(aanname_implementatie[Doelgroep]=$C182,aanname_implementatie[Digitale zorgtoepassing]),0)))</f>
        <v>0.61781439999999999</v>
      </c>
      <c r="J182" s="126" cm="1">
        <f t="array" ref="J182">INDEX(vertraging[[Vertraging 12 jaar]:[2034]],MATCH($F182,vertraging[Zoeksleutel],0),J$134-INDEX(aanname_implementatie[Totaal vertraging],MATCH($B182,IF(aanname_implementatie[Doelgroep]=$C182,aanname_implementatie[Digitale zorgtoepassing]),0)))</f>
        <v>0.71990601886105599</v>
      </c>
      <c r="K182" s="126" cm="1">
        <f t="array" ref="K182">INDEX(vertraging[[Vertraging 12 jaar]:[2034]],MATCH($F182,vertraging[Zoeksleutel],0),K$134-INDEX(aanname_implementatie[Totaal vertraging],MATCH($B182,IF(aanname_implementatie[Doelgroep]=$C182,aanname_implementatie[Digitale zorgtoepassing]),0)))</f>
        <v>0.80616443563130724</v>
      </c>
      <c r="L182" s="126" cm="1">
        <f t="array" ref="L182">INDEX(vertraging[[Vertraging 12 jaar]:[2034]],MATCH($F182,vertraging[Zoeksleutel],0),L$134-INDEX(aanname_implementatie[Totaal vertraging],MATCH($B182,IF(aanname_implementatie[Doelgroep]=$C182,aanname_implementatie[Digitale zorgtoepassing]),0)))</f>
        <v>0.87254648226050635</v>
      </c>
      <c r="M182" s="126" cm="1">
        <f t="array" ref="M182">INDEX(vertraging[[Vertraging 12 jaar]:[2034]],MATCH($F182,vertraging[Zoeksleutel],0),M$134-INDEX(aanname_implementatie[Totaal vertraging],MATCH($B182,IF(aanname_implementatie[Doelgroep]=$C182,aanname_implementatie[Digitale zorgtoepassing]),0)))</f>
        <v>0.9195792000374251</v>
      </c>
      <c r="N182" s="126" cm="1">
        <f t="array" ref="N182">INDEX(vertraging[[Vertraging 12 jaar]:[2034]],MATCH($F182,vertraging[Zoeksleutel],0),N$134-INDEX(aanname_implementatie[Totaal vertraging],MATCH($B182,IF(aanname_implementatie[Doelgroep]=$C182,aanname_implementatie[Digitale zorgtoepassing]),0)))</f>
        <v>0.95076893399505846</v>
      </c>
      <c r="O182" s="126" cm="1">
        <f t="array" ref="O182">INDEX(vertraging[[Vertraging 12 jaar]:[2034]],MATCH($F182,vertraging[Zoeksleutel],0),O$134-INDEX(aanname_implementatie[Totaal vertraging],MATCH($B182,IF(aanname_implementatie[Doelgroep]=$C182,aanname_implementatie[Digitale zorgtoepassing]),0)))</f>
        <v>0.97047650257314066</v>
      </c>
      <c r="P182" s="126" cm="1">
        <f t="array" ref="P182">INDEX(vertraging[[Vertraging 12 jaar]:[2034]],MATCH($F182,vertraging[Zoeksleutel],0),P$134-INDEX(aanname_implementatie[Totaal vertraging],MATCH($B182,IF(aanname_implementatie[Doelgroep]=$C182,aanname_implementatie[Digitale zorgtoepassing]),0)))</f>
        <v>0.98252771673229611</v>
      </c>
      <c r="Q182" s="126" cm="1">
        <f t="array" ref="Q182">INDEX(vertraging[[Vertraging 12 jaar]:[2034]],MATCH($F182,vertraging[Zoeksleutel],0),Q$134-INDEX(aanname_implementatie[Totaal vertraging],MATCH($B182,IF(aanname_implementatie[Doelgroep]=$C182,aanname_implementatie[Digitale zorgtoepassing]),0)))</f>
        <v>0.98974396343169702</v>
      </c>
      <c r="R182" s="126" cm="1">
        <f t="array" ref="R182">INDEX(vertraging[[Vertraging 12 jaar]:[2034]],MATCH($F182,vertraging[Zoeksleutel],0),R$134-INDEX(aanname_implementatie[Totaal vertraging],MATCH($B182,IF(aanname_implementatie[Doelgroep]=$C182,aanname_implementatie[Digitale zorgtoepassing]),0)))</f>
        <v>0.99400942427594807</v>
      </c>
    </row>
    <row r="183" spans="1:18" x14ac:dyDescent="0.5">
      <c r="A183" s="30" t="str">
        <f>INDEX(Technologieën[Veld],MATCH(B183,Technologieën[Digitale zorgtoepassing],0))</f>
        <v>Sensoren - Behandeling</v>
      </c>
      <c r="B183" s="30" t="s">
        <v>88</v>
      </c>
      <c r="C183" s="30" t="s">
        <v>89</v>
      </c>
      <c r="D183" s="30" t="str" cm="1">
        <f t="array" ref="D183">INDEX(Berekening_patiëntaantal[Direct toepasbaar/extrapolatie/incidentie voor QALY],MATCH(B183,IF(Berekening_patiëntaantal[Doelgroep (zoeksleutel)]=C183,Berekening_patiëntaantal[Digitale zorgtoepassing]),0))</f>
        <v>Huidige toepassing</v>
      </c>
      <c r="E183" s="440" t="s">
        <v>812</v>
      </c>
      <c r="F183" s="30" t="str">
        <f>CONCATENATE(implementatie[[#This Row],[Zorgtechnologie]],"_",implementatie[[#This Row],[Doelgroep]],"_",implementatie[[#This Row],[Uitgangssituatie/effect beleid]])</f>
        <v>RT monitoring (glucosemeter)_Diabetes_Effect beleid</v>
      </c>
      <c r="G183" s="126" cm="1">
        <f t="array" ref="G183">INDEX(vertraging[[Vertraging 12 jaar]:[2034]],MATCH($F183,vertraging[Zoeksleutel],0),G$134-INDEX(aanname_implementatie[Totaal vertraging],MATCH($B183,IF(aanname_implementatie[Doelgroep]=$C183,aanname_implementatie[Digitale zorgtoepassing]),0)))</f>
        <v>0.8</v>
      </c>
      <c r="H183" s="126" cm="1">
        <f t="array" ref="H183">INDEX(vertraging[[Vertraging 12 jaar]:[2034]],MATCH($F183,vertraging[Zoeksleutel],0),H$134-INDEX(aanname_implementatie[Totaal vertraging],MATCH($B183,IF(aanname_implementatie[Doelgroep]=$C183,aanname_implementatie[Digitale zorgtoepassing]),0)))</f>
        <v>0.877</v>
      </c>
      <c r="I183" s="126" cm="1">
        <f t="array" ref="I183">INDEX(vertraging[[Vertraging 12 jaar]:[2034]],MATCH($F183,vertraging[Zoeksleutel],0),I$134-INDEX(aanname_implementatie[Totaal vertraging],MATCH($B183,IF(aanname_implementatie[Doelgroep]=$C183,aanname_implementatie[Digitale zorgtoepassing]),0)))</f>
        <v>0.92861695000000011</v>
      </c>
      <c r="J183" s="126" cm="1">
        <f t="array" ref="J183">INDEX(vertraging[[Vertraging 12 jaar]:[2034]],MATCH($F183,vertraging[Zoeksleutel],0),J$134-INDEX(aanname_implementatie[Totaal vertraging],MATCH($B183,IF(aanname_implementatie[Doelgroep]=$C183,aanname_implementatie[Digitale zorgtoepassing]),0)))</f>
        <v>0.96023090582771387</v>
      </c>
      <c r="K183" s="126" cm="1">
        <f t="array" ref="K183">INDEX(vertraging[[Vertraging 12 jaar]:[2034]],MATCH($F183,vertraging[Zoeksleutel],0),K$134-INDEX(aanname_implementatie[Totaal vertraging],MATCH($B183,IF(aanname_implementatie[Doelgroep]=$C183,aanname_implementatie[Digitale zorgtoepassing]),0)))</f>
        <v>0.97840951417647182</v>
      </c>
      <c r="L183" s="126" cm="1">
        <f t="array" ref="L183">INDEX(vertraging[[Vertraging 12 jaar]:[2034]],MATCH($F183,vertraging[Zoeksleutel],0),L$134-INDEX(aanname_implementatie[Totaal vertraging],MATCH($B183,IF(aanname_implementatie[Doelgroep]=$C183,aanname_implementatie[Digitale zorgtoepassing]),0)))</f>
        <v>0.9884552278575045</v>
      </c>
      <c r="M183" s="126" cm="1">
        <f t="array" ref="M183">INDEX(vertraging[[Vertraging 12 jaar]:[2034]],MATCH($F183,vertraging[Zoeksleutel],0),M$134-INDEX(aanname_implementatie[Totaal vertraging],MATCH($B183,IF(aanname_implementatie[Doelgroep]=$C183,aanname_implementatie[Digitale zorgtoepassing]),0)))</f>
        <v>0.99387901783146992</v>
      </c>
      <c r="N183" s="126" cm="1">
        <f t="array" ref="N183">INDEX(vertraging[[Vertraging 12 jaar]:[2034]],MATCH($F183,vertraging[Zoeksleutel],0),N$134-INDEX(aanname_implementatie[Totaal vertraging],MATCH($B183,IF(aanname_implementatie[Doelgroep]=$C183,aanname_implementatie[Digitale zorgtoepassing]),0)))</f>
        <v>0.99676962447130335</v>
      </c>
      <c r="O183" s="126" cm="1">
        <f t="array" ref="O183">INDEX(vertraging[[Vertraging 12 jaar]:[2034]],MATCH($F183,vertraging[Zoeksleutel],0),O$134-INDEX(aanname_implementatie[Totaal vertraging],MATCH($B183,IF(aanname_implementatie[Doelgroep]=$C183,aanname_implementatie[Digitale zorgtoepassing]),0)))</f>
        <v>0.99829935695070882</v>
      </c>
      <c r="P183" s="126" cm="1">
        <f t="array" ref="P183">INDEX(vertraging[[Vertraging 12 jaar]:[2034]],MATCH($F183,vertraging[Zoeksleutel],0),P$134-INDEX(aanname_implementatie[Totaal vertraging],MATCH($B183,IF(aanname_implementatie[Doelgroep]=$C183,aanname_implementatie[Digitale zorgtoepassing]),0)))</f>
        <v>0.9991058609150707</v>
      </c>
      <c r="Q183" s="126" cm="1">
        <f t="array" ref="Q183">INDEX(vertraging[[Vertraging 12 jaar]:[2034]],MATCH($F183,vertraging[Zoeksleutel],0),Q$134-INDEX(aanname_implementatie[Totaal vertraging],MATCH($B183,IF(aanname_implementatie[Doelgroep]=$C183,aanname_implementatie[Digitale zorgtoepassing]),0)))</f>
        <v>0.99953021721229562</v>
      </c>
      <c r="R183" s="126" cm="1">
        <f t="array" ref="R183">INDEX(vertraging[[Vertraging 12 jaar]:[2034]],MATCH($F183,vertraging[Zoeksleutel],0),R$134-INDEX(aanname_implementatie[Totaal vertraging],MATCH($B183,IF(aanname_implementatie[Doelgroep]=$C183,aanname_implementatie[Digitale zorgtoepassing]),0)))</f>
        <v>0.99975326472331483</v>
      </c>
    </row>
    <row r="184" spans="1:18" x14ac:dyDescent="0.5">
      <c r="A184" s="30" t="str">
        <f>INDEX(Technologieën[Veld],MATCH(B184,Technologieën[Digitale zorgtoepassing],0))</f>
        <v>Sensoren - Behandeling</v>
      </c>
      <c r="B184" s="30" t="s">
        <v>88</v>
      </c>
      <c r="C184" s="30" t="s">
        <v>91</v>
      </c>
      <c r="D184" s="30" t="str" cm="1">
        <f t="array" ref="D184">INDEX(Berekening_patiëntaantal[Direct toepasbaar/extrapolatie/incidentie voor QALY],MATCH(B184,IF(Berekening_patiëntaantal[Doelgroep (zoeksleutel)]=C184,Berekening_patiëntaantal[Digitale zorgtoepassing]),0))</f>
        <v>Huidige toepassing</v>
      </c>
      <c r="E184" s="440" t="s">
        <v>812</v>
      </c>
      <c r="F184" s="30" t="str">
        <f>CONCATENATE(implementatie[[#This Row],[Zorgtechnologie]],"_",implementatie[[#This Row],[Doelgroep]],"_",implementatie[[#This Row],[Uitgangssituatie/effect beleid]])</f>
        <v>RT monitoring (glucosemeter)_Diabetes_thuiszorg_Effect beleid</v>
      </c>
      <c r="G184" s="126" cm="1">
        <f t="array" ref="G184">INDEX(vertraging[[Vertraging 12 jaar]:[2034]],MATCH($F184,vertraging[Zoeksleutel],0),G$134-INDEX(aanname_implementatie[Totaal vertraging],MATCH($B184,IF(aanname_implementatie[Doelgroep]=$C184,aanname_implementatie[Digitale zorgtoepassing]),0)))</f>
        <v>0.6</v>
      </c>
      <c r="H184" s="126" cm="1">
        <f t="array" ref="H184">INDEX(vertraging[[Vertraging 12 jaar]:[2034]],MATCH($F184,vertraging[Zoeksleutel],0),H$134-INDEX(aanname_implementatie[Totaal vertraging],MATCH($B184,IF(aanname_implementatie[Doelgroep]=$C184,aanname_implementatie[Digitale zorgtoepassing]),0)))</f>
        <v>0.71799999999999997</v>
      </c>
      <c r="I184" s="126" cm="1">
        <f t="array" ref="I184">INDEX(vertraging[[Vertraging 12 jaar]:[2034]],MATCH($F184,vertraging[Zoeksleutel],0),I$134-INDEX(aanname_implementatie[Totaal vertraging],MATCH($B184,IF(aanname_implementatie[Doelgroep]=$C184,aanname_implementatie[Digitale zorgtoepassing]),0)))</f>
        <v>0.81616420000000001</v>
      </c>
      <c r="J184" s="126" cm="1">
        <f t="array" ref="J184">INDEX(vertraging[[Vertraging 12 jaar]:[2034]],MATCH($F184,vertraging[Zoeksleutel],0),J$134-INDEX(aanname_implementatie[Totaal vertraging],MATCH($B184,IF(aanname_implementatie[Doelgroep]=$C184,aanname_implementatie[Digitale zorgtoepassing]),0)))</f>
        <v>0.88827818438726203</v>
      </c>
      <c r="K184" s="126" cm="1">
        <f t="array" ref="K184">INDEX(vertraging[[Vertraging 12 jaar]:[2034]],MATCH($F184,vertraging[Zoeksleutel],0),K$134-INDEX(aanname_implementatie[Totaal vertraging],MATCH($B184,IF(aanname_implementatie[Doelgroep]=$C184,aanname_implementatie[Digitale zorgtoepassing]),0)))</f>
        <v>0.93572925296559961</v>
      </c>
      <c r="L184" s="126" cm="1">
        <f t="array" ref="L184">INDEX(vertraging[[Vertraging 12 jaar]:[2034]],MATCH($F184,vertraging[Zoeksleutel],0),L$134-INDEX(aanname_implementatie[Totaal vertraging],MATCH($B184,IF(aanname_implementatie[Doelgroep]=$C184,aanname_implementatie[Digitale zorgtoepassing]),0)))</f>
        <v>0.9643990297909778</v>
      </c>
      <c r="M184" s="126" cm="1">
        <f t="array" ref="M184">INDEX(vertraging[[Vertraging 12 jaar]:[2034]],MATCH($F184,vertraging[Zoeksleutel],0),M$134-INDEX(aanname_implementatie[Totaal vertraging],MATCH($B184,IF(aanname_implementatie[Doelgroep]=$C184,aanname_implementatie[Digitale zorgtoepassing]),0)))</f>
        <v>0.98073914755434266</v>
      </c>
      <c r="N184" s="126" cm="1">
        <f t="array" ref="N184">INDEX(vertraging[[Vertraging 12 jaar]:[2034]],MATCH($F184,vertraging[Zoeksleutel],0),N$134-INDEX(aanname_implementatie[Totaal vertraging],MATCH($B184,IF(aanname_implementatie[Doelgroep]=$C184,aanname_implementatie[Digitale zorgtoepassing]),0)))</f>
        <v>0.98972111126940987</v>
      </c>
      <c r="O184" s="126" cm="1">
        <f t="array" ref="O184">INDEX(vertraging[[Vertraging 12 jaar]:[2034]],MATCH($F184,vertraging[Zoeksleutel],0),O$134-INDEX(aanname_implementatie[Totaal vertraging],MATCH($B184,IF(aanname_implementatie[Doelgroep]=$C184,aanname_implementatie[Digitale zorgtoepassing]),0)))</f>
        <v>0.99455603841734896</v>
      </c>
      <c r="P184" s="126" cm="1">
        <f t="array" ref="P184">INDEX(vertraging[[Vertraging 12 jaar]:[2034]],MATCH($F184,vertraging[Zoeksleutel],0),P$134-INDEX(aanname_implementatie[Totaal vertraging],MATCH($B184,IF(aanname_implementatie[Doelgroep]=$C184,aanname_implementatie[Digitale zorgtoepassing]),0)))</f>
        <v>0.9971285836461371</v>
      </c>
      <c r="Q184" s="126" cm="1">
        <f t="array" ref="Q184">INDEX(vertraging[[Vertraging 12 jaar]:[2034]],MATCH($F184,vertraging[Zoeksleutel],0),Q$134-INDEX(aanname_implementatie[Totaal vertraging],MATCH($B184,IF(aanname_implementatie[Doelgroep]=$C184,aanname_implementatie[Digitale zorgtoepassing]),0)))</f>
        <v>0.99848879614987718</v>
      </c>
      <c r="R184" s="126" cm="1">
        <f t="array" ref="R184">INDEX(vertraging[[Vertraging 12 jaar]:[2034]],MATCH($F184,vertraging[Zoeksleutel],0),R$134-INDEX(aanname_implementatie[Totaal vertraging],MATCH($B184,IF(aanname_implementatie[Doelgroep]=$C184,aanname_implementatie[Digitale zorgtoepassing]),0)))</f>
        <v>0.99920559029700107</v>
      </c>
    </row>
    <row r="185" spans="1:18" x14ac:dyDescent="0.5">
      <c r="A185" s="30" t="str">
        <f>INDEX(Technologieën[Veld],MATCH(B185,Technologieën[Digitale zorgtoepassing],0))</f>
        <v>Sensoren - Verpleging</v>
      </c>
      <c r="B185" s="30" t="s">
        <v>42</v>
      </c>
      <c r="C185" s="30" t="s">
        <v>348</v>
      </c>
      <c r="D185" s="30" t="str" cm="1">
        <f t="array" ref="D185">INDEX(Berekening_patiëntaantal[Direct toepasbaar/extrapolatie/incidentie voor QALY],MATCH(B185,IF(Berekening_patiëntaantal[Doelgroep (zoeksleutel)]=C185,Berekening_patiëntaantal[Digitale zorgtoepassing]),0))</f>
        <v>Huidige toepassing</v>
      </c>
      <c r="E185" s="440" t="s">
        <v>812</v>
      </c>
      <c r="F185" s="30" t="str">
        <f>CONCATENATE(implementatie[[#This Row],[Zorgtechnologie]],"_",implementatie[[#This Row],[Doelgroep]],"_",implementatie[[#This Row],[Uitgangssituatie/effect beleid]])</f>
        <v>Slim incontinentiemateriaal_Urine incontinent_Effect beleid</v>
      </c>
      <c r="G185" s="126" cm="1">
        <f t="array" ref="G185">INDEX(vertraging[[Vertraging 12 jaar]:[2034]],MATCH($F185,vertraging[Zoeksleutel],0),G$134-INDEX(aanname_implementatie[Totaal vertraging],MATCH($B185,IF(aanname_implementatie[Doelgroep]=$C185,aanname_implementatie[Digitale zorgtoepassing]),0)))</f>
        <v>0.4</v>
      </c>
      <c r="H185" s="126" cm="1">
        <f t="array" ref="H185">INDEX(vertraging[[Vertraging 12 jaar]:[2034]],MATCH($F185,vertraging[Zoeksleutel],0),H$134-INDEX(aanname_implementatie[Totaal vertraging],MATCH($B185,IF(aanname_implementatie[Doelgroep]=$C185,aanname_implementatie[Digitale zorgtoepassing]),0)))</f>
        <v>0.52300000000000002</v>
      </c>
      <c r="I185" s="126" cm="1">
        <f t="array" ref="I185">INDEX(vertraging[[Vertraging 12 jaar]:[2034]],MATCH($F185,vertraging[Zoeksleutel],0),I$134-INDEX(aanname_implementatie[Totaal vertraging],MATCH($B185,IF(aanname_implementatie[Doelgroep]=$C185,aanname_implementatie[Digitale zorgtoepassing]),0)))</f>
        <v>0.64718695000000004</v>
      </c>
      <c r="J185" s="126" cm="1">
        <f t="array" ref="J185">INDEX(vertraging[[Vertraging 12 jaar]:[2034]],MATCH($F185,vertraging[Zoeksleutel],0),J$134-INDEX(aanname_implementatie[Totaal vertraging],MATCH($B185,IF(aanname_implementatie[Doelgroep]=$C185,aanname_implementatie[Digitale zorgtoepassing]),0)))</f>
        <v>0.75875847703736388</v>
      </c>
      <c r="K185" s="126" cm="1">
        <f t="array" ref="K185">INDEX(vertraging[[Vertraging 12 jaar]:[2034]],MATCH($F185,vertraging[Zoeksleutel],0),K$134-INDEX(aanname_implementatie[Totaal vertraging],MATCH($B185,IF(aanname_implementatie[Doelgroep]=$C185,aanname_implementatie[Digitale zorgtoepassing]),0)))</f>
        <v>0.84715933786401665</v>
      </c>
      <c r="L185" s="126" cm="1">
        <f t="array" ref="L185">INDEX(vertraging[[Vertraging 12 jaar]:[2034]],MATCH($F185,vertraging[Zoeksleutel],0),L$134-INDEX(aanname_implementatie[Totaal vertraging],MATCH($B185,IF(aanname_implementatie[Doelgroep]=$C185,aanname_implementatie[Digitale zorgtoepassing]),0)))</f>
        <v>0.90924653177763415</v>
      </c>
      <c r="M185" s="126" cm="1">
        <f t="array" ref="M185">INDEX(vertraging[[Vertraging 12 jaar]:[2034]],MATCH($F185,vertraging[Zoeksleutel],0),M$134-INDEX(aanname_implementatie[Totaal vertraging],MATCH($B185,IF(aanname_implementatie[Doelgroep]=$C185,aanname_implementatie[Digitale zorgtoepassing]),0)))</f>
        <v>0.94864814278578335</v>
      </c>
      <c r="N185" s="126" cm="1">
        <f t="array" ref="N185">INDEX(vertraging[[Vertraging 12 jaar]:[2034]],MATCH($F185,vertraging[Zoeksleutel],0),N$134-INDEX(aanname_implementatie[Totaal vertraging],MATCH($B185,IF(aanname_implementatie[Doelgroep]=$C185,aanname_implementatie[Digitale zorgtoepassing]),0)))</f>
        <v>0.97185361900482903</v>
      </c>
      <c r="O185" s="126" cm="1">
        <f t="array" ref="O185">INDEX(vertraging[[Vertraging 12 jaar]:[2034]],MATCH($F185,vertraging[Zoeksleutel],0),O$134-INDEX(aanname_implementatie[Totaal vertraging],MATCH($B185,IF(aanname_implementatie[Doelgroep]=$C185,aanname_implementatie[Digitale zorgtoepassing]),0)))</f>
        <v>0.98486665153412889</v>
      </c>
      <c r="P185" s="126" cm="1">
        <f t="array" ref="P185">INDEX(vertraging[[Vertraging 12 jaar]:[2034]],MATCH($F185,vertraging[Zoeksleutel],0),P$134-INDEX(aanname_implementatie[Totaal vertraging],MATCH($B185,IF(aanname_implementatie[Doelgroep]=$C185,aanname_implementatie[Digitale zorgtoepassing]),0)))</f>
        <v>0.99195193384931235</v>
      </c>
      <c r="Q185" s="126" cm="1">
        <f t="array" ref="Q185">INDEX(vertraging[[Vertraging 12 jaar]:[2034]],MATCH($F185,vertraging[Zoeksleutel],0),Q$134-INDEX(aanname_implementatie[Totaal vertraging],MATCH($B185,IF(aanname_implementatie[Doelgroep]=$C185,aanname_implementatie[Digitale zorgtoepassing]),0)))</f>
        <v>0.99574561815494433</v>
      </c>
      <c r="R185" s="126" cm="1">
        <f t="array" ref="R185">INDEX(vertraging[[Vertraging 12 jaar]:[2034]],MATCH($F185,vertraging[Zoeksleutel],0),R$134-INDEX(aanname_implementatie[Totaal vertraging],MATCH($B185,IF(aanname_implementatie[Doelgroep]=$C185,aanname_implementatie[Digitale zorgtoepassing]),0)))</f>
        <v>0.99775830463714821</v>
      </c>
    </row>
    <row r="186" spans="1:18" x14ac:dyDescent="0.5">
      <c r="A186" s="30" t="str">
        <f>INDEX(Technologieën[Veld],MATCH(B186,Technologieën[Digitale zorgtoepassing],0))</f>
        <v>Sensoren - Verpleging</v>
      </c>
      <c r="B186" s="30" t="s">
        <v>42</v>
      </c>
      <c r="C186" s="30" t="s">
        <v>44</v>
      </c>
      <c r="D186" s="30" t="str" cm="1">
        <f t="array" ref="D186">INDEX(Berekening_patiëntaantal[Direct toepasbaar/extrapolatie/incidentie voor QALY],MATCH(B186,IF(Berekening_patiëntaantal[Doelgroep (zoeksleutel)]=C186,Berekening_patiëntaantal[Digitale zorgtoepassing]),0))</f>
        <v>Extrapolatie</v>
      </c>
      <c r="E186" s="440" t="s">
        <v>812</v>
      </c>
      <c r="F186" s="30" t="str">
        <f>CONCATENATE(implementatie[[#This Row],[Zorgtechnologie]],"_",implementatie[[#This Row],[Doelgroep]],"_",implementatie[[#This Row],[Uitgangssituatie/effect beleid]])</f>
        <v>Slim incontinentiemateriaal_Verstandelijk gehandicapten_Effect beleid</v>
      </c>
      <c r="G186" s="126" cm="1">
        <f t="array" ref="G186">INDEX(vertraging[[Vertraging 12 jaar]:[2034]],MATCH($F186,vertraging[Zoeksleutel],0),G$134-INDEX(aanname_implementatie[Totaal vertraging],MATCH($B186,IF(aanname_implementatie[Doelgroep]=$C186,aanname_implementatie[Digitale zorgtoepassing]),0)))</f>
        <v>0</v>
      </c>
      <c r="H186" s="126" cm="1">
        <f t="array" ref="H186">INDEX(vertraging[[Vertraging 12 jaar]:[2034]],MATCH($F186,vertraging[Zoeksleutel],0),H$134-INDEX(aanname_implementatie[Totaal vertraging],MATCH($B186,IF(aanname_implementatie[Doelgroep]=$C186,aanname_implementatie[Digitale zorgtoepassing]),0)))</f>
        <v>0</v>
      </c>
      <c r="I186" s="126" cm="1">
        <f t="array" ref="I186">INDEX(vertraging[[Vertraging 12 jaar]:[2034]],MATCH($F186,vertraging[Zoeksleutel],0),I$134-INDEX(aanname_implementatie[Totaal vertraging],MATCH($B186,IF(aanname_implementatie[Doelgroep]=$C186,aanname_implementatie[Digitale zorgtoepassing]),0)))</f>
        <v>2.5000000000000001E-2</v>
      </c>
      <c r="J186" s="126" cm="1">
        <f t="array" ref="J186">INDEX(vertraging[[Vertraging 12 jaar]:[2034]],MATCH($F186,vertraging[Zoeksleutel],0),J$134-INDEX(aanname_implementatie[Totaal vertraging],MATCH($B186,IF(aanname_implementatie[Doelgroep]=$C186,aanname_implementatie[Digitale zorgtoepassing]),0)))</f>
        <v>6.0343750000000002E-2</v>
      </c>
      <c r="K186" s="126" cm="1">
        <f t="array" ref="K186">INDEX(vertraging[[Vertraging 12 jaar]:[2034]],MATCH($F186,vertraging[Zoeksleutel],0),K$134-INDEX(aanname_implementatie[Totaal vertraging],MATCH($B186,IF(aanname_implementatie[Doelgroep]=$C186,aanname_implementatie[Digitale zorgtoepassing]),0)))</f>
        <v>0.10935122807617187</v>
      </c>
      <c r="L186" s="126" cm="1">
        <f t="array" ref="L186">INDEX(vertraging[[Vertraging 12 jaar]:[2034]],MATCH($F186,vertraging[Zoeksleutel],0),L$134-INDEX(aanname_implementatie[Totaal vertraging],MATCH($B186,IF(aanname_implementatie[Doelgroep]=$C186,aanname_implementatie[Digitale zorgtoepassing]),0)))</f>
        <v>0.17544453902174978</v>
      </c>
      <c r="M186" s="126" cm="1">
        <f t="array" ref="M186">INDEX(vertraging[[Vertraging 12 jaar]:[2034]],MATCH($F186,vertraging[Zoeksleutel],0),M$134-INDEX(aanname_implementatie[Totaal vertraging],MATCH($B186,IF(aanname_implementatie[Doelgroep]=$C186,aanname_implementatie[Digitale zorgtoepassing]),0)))</f>
        <v>0.26115711428334398</v>
      </c>
      <c r="N186" s="126" cm="1">
        <f t="array" ref="N186">INDEX(vertraging[[Vertraging 12 jaar]:[2034]],MATCH($F186,vertraging[Zoeksleutel],0),N$134-INDEX(aanname_implementatie[Totaal vertraging],MATCH($B186,IF(aanname_implementatie[Doelgroep]=$C186,aanname_implementatie[Digitale zorgtoepassing]),0)))</f>
        <v>0.36645752060040354</v>
      </c>
      <c r="O186" s="126" cm="1">
        <f t="array" ref="O186">INDEX(vertraging[[Vertraging 12 jaar]:[2034]],MATCH($F186,vertraging[Zoeksleutel],0),O$134-INDEX(aanname_implementatie[Totaal vertraging],MATCH($B186,IF(aanname_implementatie[Doelgroep]=$C186,aanname_implementatie[Digitale zorgtoepassing]),0)))</f>
        <v>0.48677096537350723</v>
      </c>
      <c r="P186" s="126" cm="1">
        <f t="array" ref="P186">INDEX(vertraging[[Vertraging 12 jaar]:[2034]],MATCH($F186,vertraging[Zoeksleutel],0),P$134-INDEX(aanname_implementatie[Totaal vertraging],MATCH($B186,IF(aanname_implementatie[Doelgroep]=$C186,aanname_implementatie[Digitale zorgtoepassing]),0)))</f>
        <v>0.61202293792845253</v>
      </c>
      <c r="Q186" s="126" cm="1">
        <f t="array" ref="Q186">INDEX(vertraging[[Vertraging 12 jaar]:[2034]],MATCH($F186,vertraging[Zoeksleutel],0),Q$134-INDEX(aanname_implementatie[Totaal vertraging],MATCH($B186,IF(aanname_implementatie[Doelgroep]=$C186,aanname_implementatie[Digitale zorgtoepassing]),0)))</f>
        <v>0.7285752521002864</v>
      </c>
      <c r="R186" s="126" cm="1">
        <f t="array" ref="R186">INDEX(vertraging[[Vertraging 12 jaar]:[2034]],MATCH($F186,vertraging[Zoeksleutel],0),R$134-INDEX(aanname_implementatie[Totaal vertraging],MATCH($B186,IF(aanname_implementatie[Doelgroep]=$C186,aanname_implementatie[Digitale zorgtoepassing]),0)))</f>
        <v>0.82434988015505994</v>
      </c>
    </row>
    <row r="187" spans="1:18" x14ac:dyDescent="0.5">
      <c r="A187" s="30" t="str">
        <f>INDEX(Technologieën[Veld],MATCH(B187,Technologieën[Digitale zorgtoepassing],0))</f>
        <v>Sensoren - Verpleging</v>
      </c>
      <c r="B187" s="30" t="s">
        <v>61</v>
      </c>
      <c r="C187" s="30" t="s">
        <v>62</v>
      </c>
      <c r="D187" s="30" t="str" cm="1">
        <f t="array" ref="D187">INDEX(Berekening_patiëntaantal[Direct toepasbaar/extrapolatie/incidentie voor QALY],MATCH(B187,IF(Berekening_patiëntaantal[Doelgroep (zoeksleutel)]=C187,Berekening_patiëntaantal[Digitale zorgtoepassing]),0))</f>
        <v>Huidige toepassing</v>
      </c>
      <c r="E187" s="440" t="s">
        <v>812</v>
      </c>
      <c r="F187" s="30" t="str">
        <f>CONCATENATE(implementatie[[#This Row],[Zorgtechnologie]],"_",implementatie[[#This Row],[Doelgroep]],"_",implementatie[[#This Row],[Uitgangssituatie/effect beleid]])</f>
        <v>Slimme bedsensoren_Bewoners verzorgingshuis_Effect beleid</v>
      </c>
      <c r="G187" s="126" cm="1">
        <f t="array" ref="G187">INDEX(vertraging[[Vertraging 12 jaar]:[2034]],MATCH($F187,vertraging[Zoeksleutel],0),G$134-INDEX(aanname_implementatie[Totaal vertraging],MATCH($B187,IF(aanname_implementatie[Doelgroep]=$C187,aanname_implementatie[Digitale zorgtoepassing]),0)))</f>
        <v>0.4</v>
      </c>
      <c r="H187" s="126" cm="1">
        <f t="array" ref="H187">INDEX(vertraging[[Vertraging 12 jaar]:[2034]],MATCH($F187,vertraging[Zoeksleutel],0),H$134-INDEX(aanname_implementatie[Totaal vertraging],MATCH($B187,IF(aanname_implementatie[Doelgroep]=$C187,aanname_implementatie[Digitale zorgtoepassing]),0)))</f>
        <v>0.50800000000000001</v>
      </c>
      <c r="I187" s="126" cm="1">
        <f t="array" ref="I187">INDEX(vertraging[[Vertraging 12 jaar]:[2034]],MATCH($F187,vertraging[Zoeksleutel],0),I$134-INDEX(aanname_implementatie[Totaal vertraging],MATCH($B187,IF(aanname_implementatie[Doelgroep]=$C187,aanname_implementatie[Digitale zorgtoepassing]),0)))</f>
        <v>0.61781439999999999</v>
      </c>
      <c r="J187" s="126" cm="1">
        <f t="array" ref="J187">INDEX(vertraging[[Vertraging 12 jaar]:[2034]],MATCH($F187,vertraging[Zoeksleutel],0),J$134-INDEX(aanname_implementatie[Totaal vertraging],MATCH($B187,IF(aanname_implementatie[Doelgroep]=$C187,aanname_implementatie[Digitale zorgtoepassing]),0)))</f>
        <v>0.71990601886105599</v>
      </c>
      <c r="K187" s="126" cm="1">
        <f t="array" ref="K187">INDEX(vertraging[[Vertraging 12 jaar]:[2034]],MATCH($F187,vertraging[Zoeksleutel],0),K$134-INDEX(aanname_implementatie[Totaal vertraging],MATCH($B187,IF(aanname_implementatie[Doelgroep]=$C187,aanname_implementatie[Digitale zorgtoepassing]),0)))</f>
        <v>0.80616443563130724</v>
      </c>
      <c r="L187" s="126" cm="1">
        <f t="array" ref="L187">INDEX(vertraging[[Vertraging 12 jaar]:[2034]],MATCH($F187,vertraging[Zoeksleutel],0),L$134-INDEX(aanname_implementatie[Totaal vertraging],MATCH($B187,IF(aanname_implementatie[Doelgroep]=$C187,aanname_implementatie[Digitale zorgtoepassing]),0)))</f>
        <v>0.87254648226050635</v>
      </c>
      <c r="M187" s="126" cm="1">
        <f t="array" ref="M187">INDEX(vertraging[[Vertraging 12 jaar]:[2034]],MATCH($F187,vertraging[Zoeksleutel],0),M$134-INDEX(aanname_implementatie[Totaal vertraging],MATCH($B187,IF(aanname_implementatie[Doelgroep]=$C187,aanname_implementatie[Digitale zorgtoepassing]),0)))</f>
        <v>0.9195792000374251</v>
      </c>
      <c r="N187" s="126" cm="1">
        <f t="array" ref="N187">INDEX(vertraging[[Vertraging 12 jaar]:[2034]],MATCH($F187,vertraging[Zoeksleutel],0),N$134-INDEX(aanname_implementatie[Totaal vertraging],MATCH($B187,IF(aanname_implementatie[Doelgroep]=$C187,aanname_implementatie[Digitale zorgtoepassing]),0)))</f>
        <v>0.95076893399505846</v>
      </c>
      <c r="O187" s="126" cm="1">
        <f t="array" ref="O187">INDEX(vertraging[[Vertraging 12 jaar]:[2034]],MATCH($F187,vertraging[Zoeksleutel],0),O$134-INDEX(aanname_implementatie[Totaal vertraging],MATCH($B187,IF(aanname_implementatie[Doelgroep]=$C187,aanname_implementatie[Digitale zorgtoepassing]),0)))</f>
        <v>0.97047650257314066</v>
      </c>
      <c r="P187" s="126" cm="1">
        <f t="array" ref="P187">INDEX(vertraging[[Vertraging 12 jaar]:[2034]],MATCH($F187,vertraging[Zoeksleutel],0),P$134-INDEX(aanname_implementatie[Totaal vertraging],MATCH($B187,IF(aanname_implementatie[Doelgroep]=$C187,aanname_implementatie[Digitale zorgtoepassing]),0)))</f>
        <v>0.98252771673229611</v>
      </c>
      <c r="Q187" s="126" cm="1">
        <f t="array" ref="Q187">INDEX(vertraging[[Vertraging 12 jaar]:[2034]],MATCH($F187,vertraging[Zoeksleutel],0),Q$134-INDEX(aanname_implementatie[Totaal vertraging],MATCH($B187,IF(aanname_implementatie[Doelgroep]=$C187,aanname_implementatie[Digitale zorgtoepassing]),0)))</f>
        <v>0.98974396343169702</v>
      </c>
      <c r="R187" s="126" cm="1">
        <f t="array" ref="R187">INDEX(vertraging[[Vertraging 12 jaar]:[2034]],MATCH($F187,vertraging[Zoeksleutel],0),R$134-INDEX(aanname_implementatie[Totaal vertraging],MATCH($B187,IF(aanname_implementatie[Doelgroep]=$C187,aanname_implementatie[Digitale zorgtoepassing]),0)))</f>
        <v>0.99400942427594807</v>
      </c>
    </row>
    <row r="188" spans="1:18" x14ac:dyDescent="0.5">
      <c r="A188" s="30" t="str">
        <f>INDEX(Technologieën[Veld],MATCH(B188,Technologieën[Digitale zorgtoepassing],0))</f>
        <v>Sensoren - Verpleging</v>
      </c>
      <c r="B188" s="30" t="s">
        <v>61</v>
      </c>
      <c r="C188" s="30" t="s">
        <v>385</v>
      </c>
      <c r="D188" s="30" t="str" cm="1">
        <f t="array" ref="D188">INDEX(Berekening_patiëntaantal[Direct toepasbaar/extrapolatie/incidentie voor QALY],MATCH(B188,IF(Berekening_patiëntaantal[Doelgroep (zoeksleutel)]=C188,Berekening_patiëntaantal[Digitale zorgtoepassing]),0))</f>
        <v>Extrapolatie</v>
      </c>
      <c r="E188" s="440" t="s">
        <v>812</v>
      </c>
      <c r="F188" s="30" t="str">
        <f>CONCATENATE(implementatie[[#This Row],[Zorgtechnologie]],"_",implementatie[[#This Row],[Doelgroep]],"_",implementatie[[#This Row],[Uitgangssituatie/effect beleid]])</f>
        <v>Slimme bedsensoren_Epilepsie Kinderen_Effect beleid</v>
      </c>
      <c r="G188" s="126" cm="1">
        <f t="array" ref="G188">INDEX(vertraging[[Vertraging 12 jaar]:[2034]],MATCH($F188,vertraging[Zoeksleutel],0),G$134-INDEX(aanname_implementatie[Totaal vertraging],MATCH($B188,IF(aanname_implementatie[Doelgroep]=$C188,aanname_implementatie[Digitale zorgtoepassing]),0)))</f>
        <v>0</v>
      </c>
      <c r="H188" s="126" cm="1">
        <f t="array" ref="H188">INDEX(vertraging[[Vertraging 12 jaar]:[2034]],MATCH($F188,vertraging[Zoeksleutel],0),H$134-INDEX(aanname_implementatie[Totaal vertraging],MATCH($B188,IF(aanname_implementatie[Doelgroep]=$C188,aanname_implementatie[Digitale zorgtoepassing]),0)))</f>
        <v>0</v>
      </c>
      <c r="I188" s="126" cm="1">
        <f t="array" ref="I188">INDEX(vertraging[[Vertraging 12 jaar]:[2034]],MATCH($F188,vertraging[Zoeksleutel],0),I$134-INDEX(aanname_implementatie[Totaal vertraging],MATCH($B188,IF(aanname_implementatie[Doelgroep]=$C188,aanname_implementatie[Digitale zorgtoepassing]),0)))</f>
        <v>0.02</v>
      </c>
      <c r="J188" s="126" cm="1">
        <f t="array" ref="J188">INDEX(vertraging[[Vertraging 12 jaar]:[2034]],MATCH($F188,vertraging[Zoeksleutel],0),J$134-INDEX(aanname_implementatie[Totaal vertraging],MATCH($B188,IF(aanname_implementatie[Doelgroep]=$C188,aanname_implementatie[Digitale zorgtoepassing]),0)))</f>
        <v>4.7439999999999996E-2</v>
      </c>
      <c r="K188" s="126" cm="1">
        <f t="array" ref="K188">INDEX(vertraging[[Vertraging 12 jaar]:[2034]],MATCH($F188,vertraging[Zoeksleutel],0),K$134-INDEX(aanname_implementatie[Totaal vertraging],MATCH($B188,IF(aanname_implementatie[Doelgroep]=$C188,aanname_implementatie[Digitale zorgtoepassing]),0)))</f>
        <v>8.4566978560000006E-2</v>
      </c>
      <c r="L188" s="126" cm="1">
        <f t="array" ref="L188">INDEX(vertraging[[Vertraging 12 jaar]:[2034]],MATCH($F188,vertraging[Zoeksleutel],0),L$134-INDEX(aanname_implementatie[Totaal vertraging],MATCH($B188,IF(aanname_implementatie[Doelgroep]=$C188,aanname_implementatie[Digitale zorgtoepassing]),0)))</f>
        <v>0.13384180086769301</v>
      </c>
      <c r="M188" s="126" cm="1">
        <f t="array" ref="M188">INDEX(vertraging[[Vertraging 12 jaar]:[2034]],MATCH($F188,vertraging[Zoeksleutel],0),M$134-INDEX(aanname_implementatie[Totaal vertraging],MATCH($B188,IF(aanname_implementatie[Doelgroep]=$C188,aanname_implementatie[Digitale zorgtoepassing]),0)))</f>
        <v>0.19753623413361349</v>
      </c>
      <c r="N188" s="126" cm="1">
        <f t="array" ref="N188">INDEX(vertraging[[Vertraging 12 jaar]:[2034]],MATCH($F188,vertraging[Zoeksleutel],0),N$134-INDEX(aanname_implementatie[Totaal vertraging],MATCH($B188,IF(aanname_implementatie[Doelgroep]=$C188,aanname_implementatie[Digitale zorgtoepassing]),0)))</f>
        <v>0.27699177758611071</v>
      </c>
      <c r="O188" s="126" cm="1">
        <f t="array" ref="O188">INDEX(vertraging[[Vertraging 12 jaar]:[2034]],MATCH($F188,vertraging[Zoeksleutel],0),O$134-INDEX(aanname_implementatie[Totaal vertraging],MATCH($B188,IF(aanname_implementatie[Doelgroep]=$C188,aanname_implementatie[Digitale zorgtoepassing]),0)))</f>
        <v>0.37155887512870744</v>
      </c>
      <c r="P188" s="126" cm="1">
        <f t="array" ref="P188">INDEX(vertraging[[Vertraging 12 jaar]:[2034]],MATCH($F188,vertraging[Zoeksleutel],0),P$134-INDEX(aanname_implementatie[Totaal vertraging],MATCH($B188,IF(aanname_implementatie[Doelgroep]=$C188,aanname_implementatie[Digitale zorgtoepassing]),0)))</f>
        <v>0.47752884860285211</v>
      </c>
      <c r="Q188" s="126" cm="1">
        <f t="array" ref="Q188">INDEX(vertraging[[Vertraging 12 jaar]:[2034]],MATCH($F188,vertraging[Zoeksleutel],0),Q$134-INDEX(aanname_implementatie[Totaal vertraging],MATCH($B188,IF(aanname_implementatie[Doelgroep]=$C188,aanname_implementatie[Digitale zorgtoepassing]),0)))</f>
        <v>0.5877762905727496</v>
      </c>
      <c r="R188" s="126" cm="1">
        <f t="array" ref="R188">INDEX(vertraging[[Vertraging 12 jaar]:[2034]],MATCH($F188,vertraging[Zoeksleutel],0),R$134-INDEX(aanname_implementatie[Totaal vertraging],MATCH($B188,IF(aanname_implementatie[Doelgroep]=$C188,aanname_implementatie[Digitale zorgtoepassing]),0)))</f>
        <v>0.6929388938866099</v>
      </c>
    </row>
    <row r="189" spans="1:18" x14ac:dyDescent="0.5">
      <c r="A189" s="30" t="str">
        <f>INDEX(Technologieën[Veld],MATCH(B189,Technologieën[Digitale zorgtoepassing],0))</f>
        <v>Sensoren - Behandeling</v>
      </c>
      <c r="B189" s="30" t="s">
        <v>53</v>
      </c>
      <c r="C189" s="30" t="s">
        <v>54</v>
      </c>
      <c r="D189" s="30" t="str" cm="1">
        <f t="array" ref="D189">INDEX(Berekening_patiëntaantal[Direct toepasbaar/extrapolatie/incidentie voor QALY],MATCH(B189,IF(Berekening_patiëntaantal[Doelgroep (zoeksleutel)]=C189,Berekening_patiëntaantal[Digitale zorgtoepassing]),0))</f>
        <v>Huidige toepassing</v>
      </c>
      <c r="E189" s="440" t="s">
        <v>812</v>
      </c>
      <c r="F189" s="30" t="str">
        <f>CONCATENATE(implementatie[[#This Row],[Zorgtechnologie]],"_",implementatie[[#This Row],[Doelgroep]],"_",implementatie[[#This Row],[Uitgangssituatie/effect beleid]])</f>
        <v>Slimme pleisters_Heup_Effect beleid</v>
      </c>
      <c r="G189" s="126" cm="1">
        <f t="array" ref="G189">INDEX(vertraging[[Vertraging 12 jaar]:[2034]],MATCH($F189,vertraging[Zoeksleutel],0),G$134-INDEX(aanname_implementatie[Totaal vertraging],MATCH($B189,IF(aanname_implementatie[Doelgroep]=$C189,aanname_implementatie[Digitale zorgtoepassing]),0)))</f>
        <v>0.4</v>
      </c>
      <c r="H189" s="126" cm="1">
        <f t="array" ref="H189">INDEX(vertraging[[Vertraging 12 jaar]:[2034]],MATCH($F189,vertraging[Zoeksleutel],0),H$134-INDEX(aanname_implementatie[Totaal vertraging],MATCH($B189,IF(aanname_implementatie[Doelgroep]=$C189,aanname_implementatie[Digitale zorgtoepassing]),0)))</f>
        <v>0.50800000000000001</v>
      </c>
      <c r="I189" s="126" cm="1">
        <f t="array" ref="I189">INDEX(vertraging[[Vertraging 12 jaar]:[2034]],MATCH($F189,vertraging[Zoeksleutel],0),I$134-INDEX(aanname_implementatie[Totaal vertraging],MATCH($B189,IF(aanname_implementatie[Doelgroep]=$C189,aanname_implementatie[Digitale zorgtoepassing]),0)))</f>
        <v>0.61781439999999999</v>
      </c>
      <c r="J189" s="126" cm="1">
        <f t="array" ref="J189">INDEX(vertraging[[Vertraging 12 jaar]:[2034]],MATCH($F189,vertraging[Zoeksleutel],0),J$134-INDEX(aanname_implementatie[Totaal vertraging],MATCH($B189,IF(aanname_implementatie[Doelgroep]=$C189,aanname_implementatie[Digitale zorgtoepassing]),0)))</f>
        <v>0.71990601886105599</v>
      </c>
      <c r="K189" s="126" cm="1">
        <f t="array" ref="K189">INDEX(vertraging[[Vertraging 12 jaar]:[2034]],MATCH($F189,vertraging[Zoeksleutel],0),K$134-INDEX(aanname_implementatie[Totaal vertraging],MATCH($B189,IF(aanname_implementatie[Doelgroep]=$C189,aanname_implementatie[Digitale zorgtoepassing]),0)))</f>
        <v>0.80616443563130724</v>
      </c>
      <c r="L189" s="126" cm="1">
        <f t="array" ref="L189">INDEX(vertraging[[Vertraging 12 jaar]:[2034]],MATCH($F189,vertraging[Zoeksleutel],0),L$134-INDEX(aanname_implementatie[Totaal vertraging],MATCH($B189,IF(aanname_implementatie[Doelgroep]=$C189,aanname_implementatie[Digitale zorgtoepassing]),0)))</f>
        <v>0.87254648226050635</v>
      </c>
      <c r="M189" s="126" cm="1">
        <f t="array" ref="M189">INDEX(vertraging[[Vertraging 12 jaar]:[2034]],MATCH($F189,vertraging[Zoeksleutel],0),M$134-INDEX(aanname_implementatie[Totaal vertraging],MATCH($B189,IF(aanname_implementatie[Doelgroep]=$C189,aanname_implementatie[Digitale zorgtoepassing]),0)))</f>
        <v>0.9195792000374251</v>
      </c>
      <c r="N189" s="126" cm="1">
        <f t="array" ref="N189">INDEX(vertraging[[Vertraging 12 jaar]:[2034]],MATCH($F189,vertraging[Zoeksleutel],0),N$134-INDEX(aanname_implementatie[Totaal vertraging],MATCH($B189,IF(aanname_implementatie[Doelgroep]=$C189,aanname_implementatie[Digitale zorgtoepassing]),0)))</f>
        <v>0.95076893399505846</v>
      </c>
      <c r="O189" s="126" cm="1">
        <f t="array" ref="O189">INDEX(vertraging[[Vertraging 12 jaar]:[2034]],MATCH($F189,vertraging[Zoeksleutel],0),O$134-INDEX(aanname_implementatie[Totaal vertraging],MATCH($B189,IF(aanname_implementatie[Doelgroep]=$C189,aanname_implementatie[Digitale zorgtoepassing]),0)))</f>
        <v>0.97047650257314066</v>
      </c>
      <c r="P189" s="126" cm="1">
        <f t="array" ref="P189">INDEX(vertraging[[Vertraging 12 jaar]:[2034]],MATCH($F189,vertraging[Zoeksleutel],0),P$134-INDEX(aanname_implementatie[Totaal vertraging],MATCH($B189,IF(aanname_implementatie[Doelgroep]=$C189,aanname_implementatie[Digitale zorgtoepassing]),0)))</f>
        <v>0.98252771673229611</v>
      </c>
      <c r="Q189" s="126" cm="1">
        <f t="array" ref="Q189">INDEX(vertraging[[Vertraging 12 jaar]:[2034]],MATCH($F189,vertraging[Zoeksleutel],0),Q$134-INDEX(aanname_implementatie[Totaal vertraging],MATCH($B189,IF(aanname_implementatie[Doelgroep]=$C189,aanname_implementatie[Digitale zorgtoepassing]),0)))</f>
        <v>0.98974396343169702</v>
      </c>
      <c r="R189" s="126" cm="1">
        <f t="array" ref="R189">INDEX(vertraging[[Vertraging 12 jaar]:[2034]],MATCH($F189,vertraging[Zoeksleutel],0),R$134-INDEX(aanname_implementatie[Totaal vertraging],MATCH($B189,IF(aanname_implementatie[Doelgroep]=$C189,aanname_implementatie[Digitale zorgtoepassing]),0)))</f>
        <v>0.99400942427594807</v>
      </c>
    </row>
    <row r="190" spans="1:18" x14ac:dyDescent="0.5">
      <c r="A190" s="30" t="str">
        <f>INDEX(Technologieën[Veld],MATCH(B190,Technologieën[Digitale zorgtoepassing],0))</f>
        <v>Sensoren - Behandeling</v>
      </c>
      <c r="B190" s="30" t="s">
        <v>53</v>
      </c>
      <c r="C190" s="30" t="s">
        <v>55</v>
      </c>
      <c r="D190" s="30" t="str" cm="1">
        <f t="array" ref="D190">INDEX(Berekening_patiëntaantal[Direct toepasbaar/extrapolatie/incidentie voor QALY],MATCH(B190,IF(Berekening_patiëntaantal[Doelgroep (zoeksleutel)]=C190,Berekening_patiëntaantal[Digitale zorgtoepassing]),0))</f>
        <v>Huidige toepassing</v>
      </c>
      <c r="E190" s="440" t="s">
        <v>812</v>
      </c>
      <c r="F190" s="30" t="str">
        <f>CONCATENATE(implementatie[[#This Row],[Zorgtechnologie]],"_",implementatie[[#This Row],[Doelgroep]],"_",implementatie[[#This Row],[Uitgangssituatie/effect beleid]])</f>
        <v>Slimme pleisters_Knie_Effect beleid</v>
      </c>
      <c r="G190" s="126" cm="1">
        <f t="array" ref="G190">INDEX(vertraging[[Vertraging 12 jaar]:[2034]],MATCH($F190,vertraging[Zoeksleutel],0),G$134-INDEX(aanname_implementatie[Totaal vertraging],MATCH($B190,IF(aanname_implementatie[Doelgroep]=$C190,aanname_implementatie[Digitale zorgtoepassing]),0)))</f>
        <v>0.4</v>
      </c>
      <c r="H190" s="126" cm="1">
        <f t="array" ref="H190">INDEX(vertraging[[Vertraging 12 jaar]:[2034]],MATCH($F190,vertraging[Zoeksleutel],0),H$134-INDEX(aanname_implementatie[Totaal vertraging],MATCH($B190,IF(aanname_implementatie[Doelgroep]=$C190,aanname_implementatie[Digitale zorgtoepassing]),0)))</f>
        <v>0.50800000000000001</v>
      </c>
      <c r="I190" s="126" cm="1">
        <f t="array" ref="I190">INDEX(vertraging[[Vertraging 12 jaar]:[2034]],MATCH($F190,vertraging[Zoeksleutel],0),I$134-INDEX(aanname_implementatie[Totaal vertraging],MATCH($B190,IF(aanname_implementatie[Doelgroep]=$C190,aanname_implementatie[Digitale zorgtoepassing]),0)))</f>
        <v>0.61781439999999999</v>
      </c>
      <c r="J190" s="126" cm="1">
        <f t="array" ref="J190">INDEX(vertraging[[Vertraging 12 jaar]:[2034]],MATCH($F190,vertraging[Zoeksleutel],0),J$134-INDEX(aanname_implementatie[Totaal vertraging],MATCH($B190,IF(aanname_implementatie[Doelgroep]=$C190,aanname_implementatie[Digitale zorgtoepassing]),0)))</f>
        <v>0.71990601886105599</v>
      </c>
      <c r="K190" s="126" cm="1">
        <f t="array" ref="K190">INDEX(vertraging[[Vertraging 12 jaar]:[2034]],MATCH($F190,vertraging[Zoeksleutel],0),K$134-INDEX(aanname_implementatie[Totaal vertraging],MATCH($B190,IF(aanname_implementatie[Doelgroep]=$C190,aanname_implementatie[Digitale zorgtoepassing]),0)))</f>
        <v>0.80616443563130724</v>
      </c>
      <c r="L190" s="126" cm="1">
        <f t="array" ref="L190">INDEX(vertraging[[Vertraging 12 jaar]:[2034]],MATCH($F190,vertraging[Zoeksleutel],0),L$134-INDEX(aanname_implementatie[Totaal vertraging],MATCH($B190,IF(aanname_implementatie[Doelgroep]=$C190,aanname_implementatie[Digitale zorgtoepassing]),0)))</f>
        <v>0.87254648226050635</v>
      </c>
      <c r="M190" s="126" cm="1">
        <f t="array" ref="M190">INDEX(vertraging[[Vertraging 12 jaar]:[2034]],MATCH($F190,vertraging[Zoeksleutel],0),M$134-INDEX(aanname_implementatie[Totaal vertraging],MATCH($B190,IF(aanname_implementatie[Doelgroep]=$C190,aanname_implementatie[Digitale zorgtoepassing]),0)))</f>
        <v>0.9195792000374251</v>
      </c>
      <c r="N190" s="126" cm="1">
        <f t="array" ref="N190">INDEX(vertraging[[Vertraging 12 jaar]:[2034]],MATCH($F190,vertraging[Zoeksleutel],0),N$134-INDEX(aanname_implementatie[Totaal vertraging],MATCH($B190,IF(aanname_implementatie[Doelgroep]=$C190,aanname_implementatie[Digitale zorgtoepassing]),0)))</f>
        <v>0.95076893399505846</v>
      </c>
      <c r="O190" s="126" cm="1">
        <f t="array" ref="O190">INDEX(vertraging[[Vertraging 12 jaar]:[2034]],MATCH($F190,vertraging[Zoeksleutel],0),O$134-INDEX(aanname_implementatie[Totaal vertraging],MATCH($B190,IF(aanname_implementatie[Doelgroep]=$C190,aanname_implementatie[Digitale zorgtoepassing]),0)))</f>
        <v>0.97047650257314066</v>
      </c>
      <c r="P190" s="126" cm="1">
        <f t="array" ref="P190">INDEX(vertraging[[Vertraging 12 jaar]:[2034]],MATCH($F190,vertraging[Zoeksleutel],0),P$134-INDEX(aanname_implementatie[Totaal vertraging],MATCH($B190,IF(aanname_implementatie[Doelgroep]=$C190,aanname_implementatie[Digitale zorgtoepassing]),0)))</f>
        <v>0.98252771673229611</v>
      </c>
      <c r="Q190" s="126" cm="1">
        <f t="array" ref="Q190">INDEX(vertraging[[Vertraging 12 jaar]:[2034]],MATCH($F190,vertraging[Zoeksleutel],0),Q$134-INDEX(aanname_implementatie[Totaal vertraging],MATCH($B190,IF(aanname_implementatie[Doelgroep]=$C190,aanname_implementatie[Digitale zorgtoepassing]),0)))</f>
        <v>0.98974396343169702</v>
      </c>
      <c r="R190" s="126" cm="1">
        <f t="array" ref="R190">INDEX(vertraging[[Vertraging 12 jaar]:[2034]],MATCH($F190,vertraging[Zoeksleutel],0),R$134-INDEX(aanname_implementatie[Totaal vertraging],MATCH($B190,IF(aanname_implementatie[Doelgroep]=$C190,aanname_implementatie[Digitale zorgtoepassing]),0)))</f>
        <v>0.99400942427594807</v>
      </c>
    </row>
    <row r="191" spans="1:18" x14ac:dyDescent="0.5">
      <c r="A191" s="30" t="str">
        <f>INDEX(Technologieën[Veld],MATCH(B191,Technologieën[Digitale zorgtoepassing],0))</f>
        <v>Sensoren - Behandeling</v>
      </c>
      <c r="B191" s="30" t="s">
        <v>53</v>
      </c>
      <c r="C191" s="33" t="s">
        <v>722</v>
      </c>
      <c r="D191" s="30" t="str" cm="1">
        <f t="array" ref="D191">INDEX(Berekening_patiëntaantal[Direct toepasbaar/extrapolatie/incidentie voor QALY],MATCH(B191,IF(Berekening_patiëntaantal[Doelgroep (zoeksleutel)]=C191,Berekening_patiëntaantal[Digitale zorgtoepassing]),0))</f>
        <v>Extrapolatie</v>
      </c>
      <c r="E191" s="440" t="s">
        <v>812</v>
      </c>
      <c r="F191" s="30" t="str">
        <f>CONCATENATE(implementatie[[#This Row],[Zorgtechnologie]],"_",implementatie[[#This Row],[Doelgroep]],"_",implementatie[[#This Row],[Uitgangssituatie/effect beleid]])</f>
        <v>Slimme pleisters_Overige_aandoeningen_Effect beleid</v>
      </c>
      <c r="G191" s="126" cm="1">
        <f t="array" ref="G191">INDEX(vertraging[[Vertraging 12 jaar]:[2034]],MATCH($F191,vertraging[Zoeksleutel],0),G$134-INDEX(aanname_implementatie[Totaal vertraging],MATCH($B191,IF(aanname_implementatie[Doelgroep]=$C191,aanname_implementatie[Digitale zorgtoepassing]),0)))</f>
        <v>0</v>
      </c>
      <c r="H191" s="126" cm="1">
        <f t="array" ref="H191">INDEX(vertraging[[Vertraging 12 jaar]:[2034]],MATCH($F191,vertraging[Zoeksleutel],0),H$134-INDEX(aanname_implementatie[Totaal vertraging],MATCH($B191,IF(aanname_implementatie[Doelgroep]=$C191,aanname_implementatie[Digitale zorgtoepassing]),0)))</f>
        <v>0</v>
      </c>
      <c r="I191" s="126" cm="1">
        <f t="array" ref="I191">INDEX(vertraging[[Vertraging 12 jaar]:[2034]],MATCH($F191,vertraging[Zoeksleutel],0),I$134-INDEX(aanname_implementatie[Totaal vertraging],MATCH($B191,IF(aanname_implementatie[Doelgroep]=$C191,aanname_implementatie[Digitale zorgtoepassing]),0)))</f>
        <v>0</v>
      </c>
      <c r="J191" s="126" cm="1">
        <f t="array" ref="J191">INDEX(vertraging[[Vertraging 12 jaar]:[2034]],MATCH($F191,vertraging[Zoeksleutel],0),J$134-INDEX(aanname_implementatie[Totaal vertraging],MATCH($B191,IF(aanname_implementatie[Doelgroep]=$C191,aanname_implementatie[Digitale zorgtoepassing]),0)))</f>
        <v>0.02</v>
      </c>
      <c r="K191" s="126" cm="1">
        <f t="array" ref="K191">INDEX(vertraging[[Vertraging 12 jaar]:[2034]],MATCH($F191,vertraging[Zoeksleutel],0),K$134-INDEX(aanname_implementatie[Totaal vertraging],MATCH($B191,IF(aanname_implementatie[Doelgroep]=$C191,aanname_implementatie[Digitale zorgtoepassing]),0)))</f>
        <v>4.7439999999999996E-2</v>
      </c>
      <c r="L191" s="126" cm="1">
        <f t="array" ref="L191">INDEX(vertraging[[Vertraging 12 jaar]:[2034]],MATCH($F191,vertraging[Zoeksleutel],0),L$134-INDEX(aanname_implementatie[Totaal vertraging],MATCH($B191,IF(aanname_implementatie[Doelgroep]=$C191,aanname_implementatie[Digitale zorgtoepassing]),0)))</f>
        <v>8.4566978560000006E-2</v>
      </c>
      <c r="M191" s="126" cm="1">
        <f t="array" ref="M191">INDEX(vertraging[[Vertraging 12 jaar]:[2034]],MATCH($F191,vertraging[Zoeksleutel],0),M$134-INDEX(aanname_implementatie[Totaal vertraging],MATCH($B191,IF(aanname_implementatie[Doelgroep]=$C191,aanname_implementatie[Digitale zorgtoepassing]),0)))</f>
        <v>0.13384180086769301</v>
      </c>
      <c r="N191" s="126" cm="1">
        <f t="array" ref="N191">INDEX(vertraging[[Vertraging 12 jaar]:[2034]],MATCH($F191,vertraging[Zoeksleutel],0),N$134-INDEX(aanname_implementatie[Totaal vertraging],MATCH($B191,IF(aanname_implementatie[Doelgroep]=$C191,aanname_implementatie[Digitale zorgtoepassing]),0)))</f>
        <v>0.19753623413361349</v>
      </c>
      <c r="O191" s="126" cm="1">
        <f t="array" ref="O191">INDEX(vertraging[[Vertraging 12 jaar]:[2034]],MATCH($F191,vertraging[Zoeksleutel],0),O$134-INDEX(aanname_implementatie[Totaal vertraging],MATCH($B191,IF(aanname_implementatie[Doelgroep]=$C191,aanname_implementatie[Digitale zorgtoepassing]),0)))</f>
        <v>0.27699177758611071</v>
      </c>
      <c r="P191" s="126" cm="1">
        <f t="array" ref="P191">INDEX(vertraging[[Vertraging 12 jaar]:[2034]],MATCH($F191,vertraging[Zoeksleutel],0),P$134-INDEX(aanname_implementatie[Totaal vertraging],MATCH($B191,IF(aanname_implementatie[Doelgroep]=$C191,aanname_implementatie[Digitale zorgtoepassing]),0)))</f>
        <v>0.37155887512870744</v>
      </c>
      <c r="Q191" s="126" cm="1">
        <f t="array" ref="Q191">INDEX(vertraging[[Vertraging 12 jaar]:[2034]],MATCH($F191,vertraging[Zoeksleutel],0),Q$134-INDEX(aanname_implementatie[Totaal vertraging],MATCH($B191,IF(aanname_implementatie[Doelgroep]=$C191,aanname_implementatie[Digitale zorgtoepassing]),0)))</f>
        <v>0.47752884860285211</v>
      </c>
      <c r="R191" s="126" cm="1">
        <f t="array" ref="R191">INDEX(vertraging[[Vertraging 12 jaar]:[2034]],MATCH($F191,vertraging[Zoeksleutel],0),R$134-INDEX(aanname_implementatie[Totaal vertraging],MATCH($B191,IF(aanname_implementatie[Doelgroep]=$C191,aanname_implementatie[Digitale zorgtoepassing]),0)))</f>
        <v>0.5877762905727496</v>
      </c>
    </row>
    <row r="192" spans="1:18" x14ac:dyDescent="0.5">
      <c r="A192" s="30" t="str">
        <f>INDEX(Technologieën[Veld],MATCH(B192,Technologieën[Digitale zorgtoepassing],0))</f>
        <v>Software - Behandeling</v>
      </c>
      <c r="B192" s="30" t="s">
        <v>101</v>
      </c>
      <c r="C192" s="30" t="s">
        <v>83</v>
      </c>
      <c r="D192" s="30" t="str" cm="1">
        <f t="array" ref="D192">INDEX(Berekening_patiëntaantal[Direct toepasbaar/extrapolatie/incidentie voor QALY],MATCH(B192,IF(Berekening_patiëntaantal[Doelgroep (zoeksleutel)]=C192,Berekening_patiëntaantal[Digitale zorgtoepassing]),0))</f>
        <v>Huidige toepassing</v>
      </c>
      <c r="E192" s="440" t="s">
        <v>812</v>
      </c>
      <c r="F192" s="30" t="str">
        <f>CONCATENATE(implementatie[[#This Row],[Zorgtechnologie]],"_",implementatie[[#This Row],[Doelgroep]],"_",implementatie[[#This Row],[Uitgangssituatie/effect beleid]])</f>
        <v>Spraak automatisch vastleggen_Verpleeghuis_Effect beleid</v>
      </c>
      <c r="G192" s="126" cm="1">
        <f t="array" ref="G192">INDEX(vertraging[[Vertraging 12 jaar]:[2034]],MATCH($F192,vertraging[Zoeksleutel],0),G$134-INDEX(aanname_implementatie[Totaal vertraging],MATCH($B192,IF(aanname_implementatie[Doelgroep]=$C192,aanname_implementatie[Digitale zorgtoepassing]),0)))</f>
        <v>0.2</v>
      </c>
      <c r="H192" s="126" cm="1">
        <f t="array" ref="H192">INDEX(vertraging[[Vertraging 12 jaar]:[2034]],MATCH($F192,vertraging[Zoeksleutel],0),H$134-INDEX(aanname_implementatie[Totaal vertraging],MATCH($B192,IF(aanname_implementatie[Doelgroep]=$C192,aanname_implementatie[Digitale zorgtoepassing]),0)))</f>
        <v>0.25600000000000001</v>
      </c>
      <c r="I192" s="126" cm="1">
        <f t="array" ref="I192">INDEX(vertraging[[Vertraging 12 jaar]:[2034]],MATCH($F192,vertraging[Zoeksleutel],0),I$134-INDEX(aanname_implementatie[Totaal vertraging],MATCH($B192,IF(aanname_implementatie[Doelgroep]=$C192,aanname_implementatie[Digitale zorgtoepassing]),0)))</f>
        <v>0.32057920000000001</v>
      </c>
      <c r="J192" s="126" cm="1">
        <f t="array" ref="J192">INDEX(vertraging[[Vertraging 12 jaar]:[2034]],MATCH($F192,vertraging[Zoeksleutel],0),J$134-INDEX(aanname_implementatie[Totaal vertraging],MATCH($B192,IF(aanname_implementatie[Doelgroep]=$C192,aanname_implementatie[Digitale zorgtoepassing]),0)))</f>
        <v>0.39271586095820804</v>
      </c>
      <c r="K192" s="126" cm="1">
        <f t="array" ref="K192">INDEX(vertraging[[Vertraging 12 jaar]:[2034]],MATCH($F192,vertraging[Zoeksleutel],0),K$134-INDEX(aanname_implementatie[Totaal vertraging],MATCH($B192,IF(aanname_implementatie[Doelgroep]=$C192,aanname_implementatie[Digitale zorgtoepassing]),0)))</f>
        <v>0.47033573640164439</v>
      </c>
      <c r="L192" s="126" cm="1">
        <f t="array" ref="L192">INDEX(vertraging[[Vertraging 12 jaar]:[2034]],MATCH($F192,vertraging[Zoeksleutel],0),L$134-INDEX(aanname_implementatie[Totaal vertraging],MATCH($B192,IF(aanname_implementatie[Doelgroep]=$C192,aanname_implementatie[Digitale zorgtoepassing]),0)))</f>
        <v>0.55036838847717817</v>
      </c>
      <c r="M192" s="126" cm="1">
        <f t="array" ref="M192">INDEX(vertraging[[Vertraging 12 jaar]:[2034]],MATCH($F192,vertraging[Zoeksleutel],0),M$134-INDEX(aanname_implementatie[Totaal vertraging],MATCH($B192,IF(aanname_implementatie[Doelgroep]=$C192,aanname_implementatie[Digitale zorgtoepassing]),0)))</f>
        <v>0.62910361222507005</v>
      </c>
      <c r="N192" s="126" cm="1">
        <f t="array" ref="N192">INDEX(vertraging[[Vertraging 12 jaar]:[2034]],MATCH($F192,vertraging[Zoeksleutel],0),N$134-INDEX(aanname_implementatie[Totaal vertraging],MATCH($B192,IF(aanname_implementatie[Doelgroep]=$C192,aanname_implementatie[Digitale zorgtoepassing]),0)))</f>
        <v>0.70281225329595098</v>
      </c>
      <c r="O192" s="126" cm="1">
        <f t="array" ref="O192">INDEX(vertraging[[Vertraging 12 jaar]:[2034]],MATCH($F192,vertraging[Zoeksleutel],0),O$134-INDEX(aanname_implementatie[Totaal vertraging],MATCH($B192,IF(aanname_implementatie[Doelgroep]=$C192,aanname_implementatie[Digitale zorgtoepassing]),0)))</f>
        <v>0.76844428773689721</v>
      </c>
      <c r="P192" s="126" cm="1">
        <f t="array" ref="P192">INDEX(vertraging[[Vertraging 12 jaar]:[2034]],MATCH($F192,vertraging[Zoeksleutel],0),P$134-INDEX(aanname_implementatie[Totaal vertraging],MATCH($B192,IF(aanname_implementatie[Doelgroep]=$C192,aanname_implementatie[Digitale zorgtoepassing]),0)))</f>
        <v>0.82414114417395723</v>
      </c>
      <c r="Q192" s="126" cm="1">
        <f t="array" ref="Q192">INDEX(vertraging[[Vertraging 12 jaar]:[2034]],MATCH($F192,vertraging[Zoeksleutel],0),Q$134-INDEX(aanname_implementatie[Totaal vertraging],MATCH($B192,IF(aanname_implementatie[Doelgroep]=$C192,aanname_implementatie[Digitale zorgtoepassing]),0)))</f>
        <v>0.86937948832829703</v>
      </c>
      <c r="R192" s="126" cm="1">
        <f t="array" ref="R192">INDEX(vertraging[[Vertraging 12 jaar]:[2034]],MATCH($F192,vertraging[Zoeksleutel],0),R$134-INDEX(aanname_implementatie[Totaal vertraging],MATCH($B192,IF(aanname_implementatie[Doelgroep]=$C192,aanname_implementatie[Digitale zorgtoepassing]),0)))</f>
        <v>0.90475333152571169</v>
      </c>
    </row>
    <row r="193" spans="1:18" x14ac:dyDescent="0.5">
      <c r="A193" s="30" t="str">
        <f>INDEX(Technologieën[Veld],MATCH(B193,Technologieën[Digitale zorgtoepassing],0))</f>
        <v>Software - Behandeling</v>
      </c>
      <c r="B193" s="30" t="s">
        <v>101</v>
      </c>
      <c r="C193" s="30" t="s">
        <v>84</v>
      </c>
      <c r="D193" s="30" t="str" cm="1">
        <f t="array" ref="D193">INDEX(Berekening_patiëntaantal[Direct toepasbaar/extrapolatie/incidentie voor QALY],MATCH(B193,IF(Berekening_patiëntaantal[Doelgroep (zoeksleutel)]=C193,Berekening_patiëntaantal[Digitale zorgtoepassing]),0))</f>
        <v>Huidige toepassing</v>
      </c>
      <c r="E193" s="440" t="s">
        <v>812</v>
      </c>
      <c r="F193" s="30" t="str">
        <f>CONCATENATE(implementatie[[#This Row],[Zorgtechnologie]],"_",implementatie[[#This Row],[Doelgroep]],"_",implementatie[[#This Row],[Uitgangssituatie/effect beleid]])</f>
        <v>Spraak automatisch vastleggen_Wijkverpleging_Effect beleid</v>
      </c>
      <c r="G193" s="126" cm="1">
        <f t="array" ref="G193">INDEX(vertraging[[Vertraging 12 jaar]:[2034]],MATCH($F193,vertraging[Zoeksleutel],0),G$134-INDEX(aanname_implementatie[Totaal vertraging],MATCH($B193,IF(aanname_implementatie[Doelgroep]=$C193,aanname_implementatie[Digitale zorgtoepassing]),0)))</f>
        <v>0.2</v>
      </c>
      <c r="H193" s="126" cm="1">
        <f t="array" ref="H193">INDEX(vertraging[[Vertraging 12 jaar]:[2034]],MATCH($F193,vertraging[Zoeksleutel],0),H$134-INDEX(aanname_implementatie[Totaal vertraging],MATCH($B193,IF(aanname_implementatie[Doelgroep]=$C193,aanname_implementatie[Digitale zorgtoepassing]),0)))</f>
        <v>0.25600000000000001</v>
      </c>
      <c r="I193" s="126" cm="1">
        <f t="array" ref="I193">INDEX(vertraging[[Vertraging 12 jaar]:[2034]],MATCH($F193,vertraging[Zoeksleutel],0),I$134-INDEX(aanname_implementatie[Totaal vertraging],MATCH($B193,IF(aanname_implementatie[Doelgroep]=$C193,aanname_implementatie[Digitale zorgtoepassing]),0)))</f>
        <v>0.32057920000000001</v>
      </c>
      <c r="J193" s="126" cm="1">
        <f t="array" ref="J193">INDEX(vertraging[[Vertraging 12 jaar]:[2034]],MATCH($F193,vertraging[Zoeksleutel],0),J$134-INDEX(aanname_implementatie[Totaal vertraging],MATCH($B193,IF(aanname_implementatie[Doelgroep]=$C193,aanname_implementatie[Digitale zorgtoepassing]),0)))</f>
        <v>0.39271586095820804</v>
      </c>
      <c r="K193" s="126" cm="1">
        <f t="array" ref="K193">INDEX(vertraging[[Vertraging 12 jaar]:[2034]],MATCH($F193,vertraging[Zoeksleutel],0),K$134-INDEX(aanname_implementatie[Totaal vertraging],MATCH($B193,IF(aanname_implementatie[Doelgroep]=$C193,aanname_implementatie[Digitale zorgtoepassing]),0)))</f>
        <v>0.47033573640164439</v>
      </c>
      <c r="L193" s="126" cm="1">
        <f t="array" ref="L193">INDEX(vertraging[[Vertraging 12 jaar]:[2034]],MATCH($F193,vertraging[Zoeksleutel],0),L$134-INDEX(aanname_implementatie[Totaal vertraging],MATCH($B193,IF(aanname_implementatie[Doelgroep]=$C193,aanname_implementatie[Digitale zorgtoepassing]),0)))</f>
        <v>0.55036838847717817</v>
      </c>
      <c r="M193" s="126" cm="1">
        <f t="array" ref="M193">INDEX(vertraging[[Vertraging 12 jaar]:[2034]],MATCH($F193,vertraging[Zoeksleutel],0),M$134-INDEX(aanname_implementatie[Totaal vertraging],MATCH($B193,IF(aanname_implementatie[Doelgroep]=$C193,aanname_implementatie[Digitale zorgtoepassing]),0)))</f>
        <v>0.62910361222507005</v>
      </c>
      <c r="N193" s="126" cm="1">
        <f t="array" ref="N193">INDEX(vertraging[[Vertraging 12 jaar]:[2034]],MATCH($F193,vertraging[Zoeksleutel],0),N$134-INDEX(aanname_implementatie[Totaal vertraging],MATCH($B193,IF(aanname_implementatie[Doelgroep]=$C193,aanname_implementatie[Digitale zorgtoepassing]),0)))</f>
        <v>0.70281225329595098</v>
      </c>
      <c r="O193" s="126" cm="1">
        <f t="array" ref="O193">INDEX(vertraging[[Vertraging 12 jaar]:[2034]],MATCH($F193,vertraging[Zoeksleutel],0),O$134-INDEX(aanname_implementatie[Totaal vertraging],MATCH($B193,IF(aanname_implementatie[Doelgroep]=$C193,aanname_implementatie[Digitale zorgtoepassing]),0)))</f>
        <v>0.76844428773689721</v>
      </c>
      <c r="P193" s="126" cm="1">
        <f t="array" ref="P193">INDEX(vertraging[[Vertraging 12 jaar]:[2034]],MATCH($F193,vertraging[Zoeksleutel],0),P$134-INDEX(aanname_implementatie[Totaal vertraging],MATCH($B193,IF(aanname_implementatie[Doelgroep]=$C193,aanname_implementatie[Digitale zorgtoepassing]),0)))</f>
        <v>0.82414114417395723</v>
      </c>
      <c r="Q193" s="126" cm="1">
        <f t="array" ref="Q193">INDEX(vertraging[[Vertraging 12 jaar]:[2034]],MATCH($F193,vertraging[Zoeksleutel],0),Q$134-INDEX(aanname_implementatie[Totaal vertraging],MATCH($B193,IF(aanname_implementatie[Doelgroep]=$C193,aanname_implementatie[Digitale zorgtoepassing]),0)))</f>
        <v>0.86937948832829703</v>
      </c>
      <c r="R193" s="126" cm="1">
        <f t="array" ref="R193">INDEX(vertraging[[Vertraging 12 jaar]:[2034]],MATCH($F193,vertraging[Zoeksleutel],0),R$134-INDEX(aanname_implementatie[Totaal vertraging],MATCH($B193,IF(aanname_implementatie[Doelgroep]=$C193,aanname_implementatie[Digitale zorgtoepassing]),0)))</f>
        <v>0.90475333152571169</v>
      </c>
    </row>
    <row r="194" spans="1:18" x14ac:dyDescent="0.5">
      <c r="A194" s="30" t="str">
        <f>INDEX(Technologieën[Veld],MATCH(B194,Technologieën[Digitale zorgtoepassing],0))</f>
        <v>Digitale hulpmiddelen - Verpleging</v>
      </c>
      <c r="B194" s="30" t="s">
        <v>48</v>
      </c>
      <c r="C194" s="30" t="s">
        <v>49</v>
      </c>
      <c r="D194" s="30" t="str" cm="1">
        <f t="array" ref="D194">INDEX(Berekening_patiëntaantal[Direct toepasbaar/extrapolatie/incidentie voor QALY],MATCH(B194,IF(Berekening_patiëntaantal[Doelgroep (zoeksleutel)]=C194,Berekening_patiëntaantal[Digitale zorgtoepassing]),0))</f>
        <v>Huidige toepassing</v>
      </c>
      <c r="E194" s="440" t="s">
        <v>812</v>
      </c>
      <c r="F194" s="30" t="str">
        <f>CONCATENATE(implementatie[[#This Row],[Zorgtechnologie]],"_",implementatie[[#This Row],[Doelgroep]],"_",implementatie[[#This Row],[Uitgangssituatie/effect beleid]])</f>
        <v>Steunkousen technologie_Steunkousen_Effect beleid</v>
      </c>
      <c r="G194" s="126" cm="1">
        <f t="array" ref="G194">INDEX(vertraging[[Vertraging 12 jaar]:[2034]],MATCH($F194,vertraging[Zoeksleutel],0),G$134-INDEX(aanname_implementatie[Totaal vertraging],MATCH($B194,IF(aanname_implementatie[Doelgroep]=$C194,aanname_implementatie[Digitale zorgtoepassing]),0)))</f>
        <v>0.2</v>
      </c>
      <c r="H194" s="126" cm="1">
        <f t="array" ref="H194">INDEX(vertraging[[Vertraging 12 jaar]:[2034]],MATCH($F194,vertraging[Zoeksleutel],0),H$134-INDEX(aanname_implementatie[Totaal vertraging],MATCH($B194,IF(aanname_implementatie[Doelgroep]=$C194,aanname_implementatie[Digitale zorgtoepassing]),0)))</f>
        <v>0.29200000000000004</v>
      </c>
      <c r="I194" s="126" cm="1">
        <f t="array" ref="I194">INDEX(vertraging[[Vertraging 12 jaar]:[2034]],MATCH($F194,vertraging[Zoeksleutel],0),I$134-INDEX(aanname_implementatie[Totaal vertraging],MATCH($B194,IF(aanname_implementatie[Doelgroep]=$C194,aanname_implementatie[Digitale zorgtoepassing]),0)))</f>
        <v>0.40273120000000007</v>
      </c>
      <c r="J194" s="126" cm="1">
        <f t="array" ref="J194">INDEX(vertraging[[Vertraging 12 jaar]:[2034]],MATCH($F194,vertraging[Zoeksleutel],0),J$134-INDEX(aanname_implementatie[Totaal vertraging],MATCH($B194,IF(aanname_implementatie[Doelgroep]=$C194,aanname_implementatie[Digitale zorgtoepassing]),0)))</f>
        <v>0.52590537124595205</v>
      </c>
      <c r="K194" s="126" cm="1">
        <f t="array" ref="K194">INDEX(vertraging[[Vertraging 12 jaar]:[2034]],MATCH($F194,vertraging[Zoeksleutel],0),K$134-INDEX(aanname_implementatie[Totaal vertraging],MATCH($B194,IF(aanname_implementatie[Doelgroep]=$C194,aanname_implementatie[Digitale zorgtoepassing]),0)))</f>
        <v>0.64995574724807748</v>
      </c>
      <c r="L194" s="126" cm="1">
        <f t="array" ref="L194">INDEX(vertraging[[Vertraging 12 jaar]:[2034]],MATCH($F194,vertraging[Zoeksleutel],0),L$134-INDEX(aanname_implementatie[Totaal vertraging],MATCH($B194,IF(aanname_implementatie[Doelgroep]=$C194,aanname_implementatie[Digitale zorgtoepassing]),0)))</f>
        <v>0.76108782680714737</v>
      </c>
      <c r="M194" s="126" cm="1">
        <f t="array" ref="M194">INDEX(vertraging[[Vertraging 12 jaar]:[2034]],MATCH($F194,vertraging[Zoeksleutel],0),M$134-INDEX(aanname_implementatie[Totaal vertraging],MATCH($B194,IF(aanname_implementatie[Doelgroep]=$C194,aanname_implementatie[Digitale zorgtoepassing]),0)))</f>
        <v>0.8488855471488731</v>
      </c>
      <c r="N194" s="126" cm="1">
        <f t="array" ref="N194">INDEX(vertraging[[Vertraging 12 jaar]:[2034]],MATCH($F194,vertraging[Zoeksleutel],0),N$134-INDEX(aanname_implementatie[Totaal vertraging],MATCH($B194,IF(aanname_implementatie[Doelgroep]=$C194,aanname_implementatie[Digitale zorgtoepassing]),0)))</f>
        <v>0.91038890221593549</v>
      </c>
      <c r="O194" s="126" cm="1">
        <f t="array" ref="O194">INDEX(vertraging[[Vertraging 12 jaar]:[2034]],MATCH($F194,vertraging[Zoeksleutel],0),O$134-INDEX(aanname_implementatie[Totaal vertraging],MATCH($B194,IF(aanname_implementatie[Doelgroep]=$C194,aanname_implementatie[Digitale zorgtoepassing]),0)))</f>
        <v>0.94934060668263687</v>
      </c>
      <c r="P194" s="126" cm="1">
        <f t="array" ref="P194">INDEX(vertraging[[Vertraging 12 jaar]:[2034]],MATCH($F194,vertraging[Zoeksleutel],0),P$134-INDEX(aanname_implementatie[Totaal vertraging],MATCH($B194,IF(aanname_implementatie[Doelgroep]=$C194,aanname_implementatie[Digitale zorgtoepassing]),0)))</f>
        <v>0.9722489501493069</v>
      </c>
      <c r="Q194" s="126" cm="1">
        <f t="array" ref="Q194">INDEX(vertraging[[Vertraging 12 jaar]:[2034]],MATCH($F194,vertraging[Zoeksleutel],0),Q$134-INDEX(aanname_implementatie[Totaal vertraging],MATCH($B194,IF(aanname_implementatie[Doelgroep]=$C194,aanname_implementatie[Digitale zorgtoepassing]),0)))</f>
        <v>0.98508414448286907</v>
      </c>
      <c r="R194" s="126" cm="1">
        <f t="array" ref="R194">INDEX(vertraging[[Vertraging 12 jaar]:[2034]],MATCH($F194,vertraging[Zoeksleutel],0),R$134-INDEX(aanname_implementatie[Totaal vertraging],MATCH($B194,IF(aanname_implementatie[Doelgroep]=$C194,aanname_implementatie[Digitale zorgtoepassing]),0)))</f>
        <v>0.99206905861789263</v>
      </c>
    </row>
    <row r="195" spans="1:18" x14ac:dyDescent="0.5">
      <c r="A195" s="30" t="str">
        <f>INDEX(Technologieën[Veld],MATCH(B195,Technologieën[Digitale zorgtoepassing],0))</f>
        <v>Digitale hulpmiddelen - Verpleging</v>
      </c>
      <c r="B195" s="30" t="s">
        <v>19</v>
      </c>
      <c r="C195" s="30" t="s">
        <v>24</v>
      </c>
      <c r="D195" s="30" t="str" cm="1">
        <f t="array" ref="D195">INDEX(Berekening_patiëntaantal[Direct toepasbaar/extrapolatie/incidentie voor QALY],MATCH(B195,IF(Berekening_patiëntaantal[Doelgroep (zoeksleutel)]=C195,Berekening_patiëntaantal[Digitale zorgtoepassing]),0))</f>
        <v>Huidige toepassing</v>
      </c>
      <c r="E195" s="440" t="s">
        <v>812</v>
      </c>
      <c r="F195" s="30" t="str">
        <f>CONCATENATE(implementatie[[#This Row],[Zorgtechnologie]],"_",implementatie[[#This Row],[Doelgroep]],"_",implementatie[[#This Row],[Uitgangssituatie/effect beleid]])</f>
        <v>Structuurrobot_Cognitieve beperking_Effect beleid</v>
      </c>
      <c r="G195" s="126" cm="1">
        <f t="array" ref="G195">INDEX(vertraging[[Vertraging 12 jaar]:[2034]],MATCH($F195,vertraging[Zoeksleutel],0),G$134-INDEX(aanname_implementatie[Totaal vertraging],MATCH($B195,IF(aanname_implementatie[Doelgroep]=$C195,aanname_implementatie[Digitale zorgtoepassing]),0)))</f>
        <v>0.2</v>
      </c>
      <c r="H195" s="126" cm="1">
        <f t="array" ref="H195">INDEX(vertraging[[Vertraging 12 jaar]:[2034]],MATCH($F195,vertraging[Zoeksleutel],0),H$134-INDEX(aanname_implementatie[Totaal vertraging],MATCH($B195,IF(aanname_implementatie[Doelgroep]=$C195,aanname_implementatie[Digitale zorgtoepassing]),0)))</f>
        <v>0.28000000000000003</v>
      </c>
      <c r="I195" s="126" cm="1">
        <f t="array" ref="I195">INDEX(vertraging[[Vertraging 12 jaar]:[2034]],MATCH($F195,vertraging[Zoeksleutel],0),I$134-INDEX(aanname_implementatie[Totaal vertraging],MATCH($B195,IF(aanname_implementatie[Doelgroep]=$C195,aanname_implementatie[Digitale zorgtoepassing]),0)))</f>
        <v>0.37504000000000004</v>
      </c>
      <c r="J195" s="126" cm="1">
        <f t="array" ref="J195">INDEX(vertraging[[Vertraging 12 jaar]:[2034]],MATCH($F195,vertraging[Zoeksleutel],0),J$134-INDEX(aanname_implementatie[Totaal vertraging],MATCH($B195,IF(aanname_implementatie[Doelgroep]=$C195,aanname_implementatie[Digitale zorgtoepassing]),0)))</f>
        <v>0.48129319936000003</v>
      </c>
      <c r="K195" s="126" cm="1">
        <f t="array" ref="K195">INDEX(vertraging[[Vertraging 12 jaar]:[2034]],MATCH($F195,vertraging[Zoeksleutel],0),K$134-INDEX(aanname_implementatie[Totaal vertraging],MATCH($B195,IF(aanname_implementatie[Doelgroep]=$C195,aanname_implementatie[Digitale zorgtoepassing]),0)))</f>
        <v>0.59152735761672615</v>
      </c>
      <c r="L195" s="126" cm="1">
        <f t="array" ref="L195">INDEX(vertraging[[Vertraging 12 jaar]:[2034]],MATCH($F195,vertraging[Zoeksleutel],0),L$134-INDEX(aanname_implementatie[Totaal vertraging],MATCH($B195,IF(aanname_implementatie[Doelgroep]=$C195,aanname_implementatie[Digitale zorgtoepassing]),0)))</f>
        <v>0.69634590758747161</v>
      </c>
      <c r="M195" s="126" cm="1">
        <f t="array" ref="M195">INDEX(vertraging[[Vertraging 12 jaar]:[2034]],MATCH($F195,vertraging[Zoeksleutel],0),M$134-INDEX(aanname_implementatie[Totaal vertraging],MATCH($B195,IF(aanname_implementatie[Doelgroep]=$C195,aanname_implementatie[Digitale zorgtoepassing]),0)))</f>
        <v>0.78699830326518305</v>
      </c>
      <c r="N195" s="126" cm="1">
        <f t="array" ref="N195">INDEX(vertraging[[Vertraging 12 jaar]:[2034]],MATCH($F195,vertraging[Zoeksleutel],0),N$134-INDEX(aanname_implementatie[Totaal vertraging],MATCH($B195,IF(aanname_implementatie[Doelgroep]=$C195,aanname_implementatie[Digitale zorgtoepassing]),0)))</f>
        <v>0.85831112676904175</v>
      </c>
      <c r="O195" s="126" cm="1">
        <f t="array" ref="O195">INDEX(vertraging[[Vertraging 12 jaar]:[2034]],MATCH($F195,vertraging[Zoeksleutel],0),O$134-INDEX(aanname_implementatie[Totaal vertraging],MATCH($B195,IF(aanname_implementatie[Doelgroep]=$C195,aanname_implementatie[Digitale zorgtoepassing]),0)))</f>
        <v>0.90979015880706082</v>
      </c>
      <c r="P195" s="126" cm="1">
        <f t="array" ref="P195">INDEX(vertraging[[Vertraging 12 jaar]:[2034]],MATCH($F195,vertraging[Zoeksleutel],0),P$134-INDEX(aanname_implementatie[Totaal vertraging],MATCH($B195,IF(aanname_implementatie[Doelgroep]=$C195,aanname_implementatie[Digitale zorgtoepassing]),0)))</f>
        <v>0.94442316592887321</v>
      </c>
      <c r="Q195" s="126" cm="1">
        <f t="array" ref="Q195">INDEX(vertraging[[Vertraging 12 jaar]:[2034]],MATCH($F195,vertraging[Zoeksleutel],0),Q$134-INDEX(aanname_implementatie[Totaal vertraging],MATCH($B195,IF(aanname_implementatie[Doelgroep]=$C195,aanname_implementatie[Digitale zorgtoepassing]),0)))</f>
        <v>0.96652992244459857</v>
      </c>
      <c r="R195" s="126" cm="1">
        <f t="array" ref="R195">INDEX(vertraging[[Vertraging 12 jaar]:[2034]],MATCH($F195,vertraging[Zoeksleutel],0),R$134-INDEX(aanname_implementatie[Totaal vertraging],MATCH($B195,IF(aanname_implementatie[Doelgroep]=$C195,aanname_implementatie[Digitale zorgtoepassing]),0)))</f>
        <v>0.98013925658124135</v>
      </c>
    </row>
    <row r="196" spans="1:18" x14ac:dyDescent="0.5">
      <c r="A196" s="30" t="str">
        <f>INDEX(Technologieën[Veld],MATCH(B196,Technologieën[Digitale zorgtoepassing],0))</f>
        <v>Digitale hulpmiddelen - Verpleging</v>
      </c>
      <c r="B196" s="30" t="s">
        <v>19</v>
      </c>
      <c r="C196" s="30" t="s">
        <v>20</v>
      </c>
      <c r="D196" s="30" t="str" cm="1">
        <f t="array" ref="D196">INDEX(Berekening_patiëntaantal[Direct toepasbaar/extrapolatie/incidentie voor QALY],MATCH(B196,IF(Berekening_patiëntaantal[Doelgroep (zoeksleutel)]=C196,Berekening_patiëntaantal[Digitale zorgtoepassing]),0))</f>
        <v>Huidige toepassing</v>
      </c>
      <c r="E196" s="440" t="s">
        <v>812</v>
      </c>
      <c r="F196" s="30" t="str">
        <f>CONCATENATE(implementatie[[#This Row],[Zorgtechnologie]],"_",implementatie[[#This Row],[Doelgroep]],"_",implementatie[[#This Row],[Uitgangssituatie/effect beleid]])</f>
        <v>Structuurrobot_Dementie_Effect beleid</v>
      </c>
      <c r="G196" s="126" cm="1">
        <f t="array" ref="G196">INDEX(vertraging[[Vertraging 12 jaar]:[2034]],MATCH($F196,vertraging[Zoeksleutel],0),G$134-INDEX(aanname_implementatie[Totaal vertraging],MATCH($B196,IF(aanname_implementatie[Doelgroep]=$C196,aanname_implementatie[Digitale zorgtoepassing]),0)))</f>
        <v>0.2</v>
      </c>
      <c r="H196" s="126" cm="1">
        <f t="array" ref="H196">INDEX(vertraging[[Vertraging 12 jaar]:[2034]],MATCH($F196,vertraging[Zoeksleutel],0),H$134-INDEX(aanname_implementatie[Totaal vertraging],MATCH($B196,IF(aanname_implementatie[Doelgroep]=$C196,aanname_implementatie[Digitale zorgtoepassing]),0)))</f>
        <v>0.28000000000000003</v>
      </c>
      <c r="I196" s="126" cm="1">
        <f t="array" ref="I196">INDEX(vertraging[[Vertraging 12 jaar]:[2034]],MATCH($F196,vertraging[Zoeksleutel],0),I$134-INDEX(aanname_implementatie[Totaal vertraging],MATCH($B196,IF(aanname_implementatie[Doelgroep]=$C196,aanname_implementatie[Digitale zorgtoepassing]),0)))</f>
        <v>0.37504000000000004</v>
      </c>
      <c r="J196" s="126" cm="1">
        <f t="array" ref="J196">INDEX(vertraging[[Vertraging 12 jaar]:[2034]],MATCH($F196,vertraging[Zoeksleutel],0),J$134-INDEX(aanname_implementatie[Totaal vertraging],MATCH($B196,IF(aanname_implementatie[Doelgroep]=$C196,aanname_implementatie[Digitale zorgtoepassing]),0)))</f>
        <v>0.48129319936000003</v>
      </c>
      <c r="K196" s="126" cm="1">
        <f t="array" ref="K196">INDEX(vertraging[[Vertraging 12 jaar]:[2034]],MATCH($F196,vertraging[Zoeksleutel],0),K$134-INDEX(aanname_implementatie[Totaal vertraging],MATCH($B196,IF(aanname_implementatie[Doelgroep]=$C196,aanname_implementatie[Digitale zorgtoepassing]),0)))</f>
        <v>0.59152735761672615</v>
      </c>
      <c r="L196" s="126" cm="1">
        <f t="array" ref="L196">INDEX(vertraging[[Vertraging 12 jaar]:[2034]],MATCH($F196,vertraging[Zoeksleutel],0),L$134-INDEX(aanname_implementatie[Totaal vertraging],MATCH($B196,IF(aanname_implementatie[Doelgroep]=$C196,aanname_implementatie[Digitale zorgtoepassing]),0)))</f>
        <v>0.69634590758747161</v>
      </c>
      <c r="M196" s="126" cm="1">
        <f t="array" ref="M196">INDEX(vertraging[[Vertraging 12 jaar]:[2034]],MATCH($F196,vertraging[Zoeksleutel],0),M$134-INDEX(aanname_implementatie[Totaal vertraging],MATCH($B196,IF(aanname_implementatie[Doelgroep]=$C196,aanname_implementatie[Digitale zorgtoepassing]),0)))</f>
        <v>0.78699830326518305</v>
      </c>
      <c r="N196" s="126" cm="1">
        <f t="array" ref="N196">INDEX(vertraging[[Vertraging 12 jaar]:[2034]],MATCH($F196,vertraging[Zoeksleutel],0),N$134-INDEX(aanname_implementatie[Totaal vertraging],MATCH($B196,IF(aanname_implementatie[Doelgroep]=$C196,aanname_implementatie[Digitale zorgtoepassing]),0)))</f>
        <v>0.85831112676904175</v>
      </c>
      <c r="O196" s="126" cm="1">
        <f t="array" ref="O196">INDEX(vertraging[[Vertraging 12 jaar]:[2034]],MATCH($F196,vertraging[Zoeksleutel],0),O$134-INDEX(aanname_implementatie[Totaal vertraging],MATCH($B196,IF(aanname_implementatie[Doelgroep]=$C196,aanname_implementatie[Digitale zorgtoepassing]),0)))</f>
        <v>0.90979015880706082</v>
      </c>
      <c r="P196" s="126" cm="1">
        <f t="array" ref="P196">INDEX(vertraging[[Vertraging 12 jaar]:[2034]],MATCH($F196,vertraging[Zoeksleutel],0),P$134-INDEX(aanname_implementatie[Totaal vertraging],MATCH($B196,IF(aanname_implementatie[Doelgroep]=$C196,aanname_implementatie[Digitale zorgtoepassing]),0)))</f>
        <v>0.94442316592887321</v>
      </c>
      <c r="Q196" s="126" cm="1">
        <f t="array" ref="Q196">INDEX(vertraging[[Vertraging 12 jaar]:[2034]],MATCH($F196,vertraging[Zoeksleutel],0),Q$134-INDEX(aanname_implementatie[Totaal vertraging],MATCH($B196,IF(aanname_implementatie[Doelgroep]=$C196,aanname_implementatie[Digitale zorgtoepassing]),0)))</f>
        <v>0.96652992244459857</v>
      </c>
      <c r="R196" s="126" cm="1">
        <f t="array" ref="R196">INDEX(vertraging[[Vertraging 12 jaar]:[2034]],MATCH($F196,vertraging[Zoeksleutel],0),R$134-INDEX(aanname_implementatie[Totaal vertraging],MATCH($B196,IF(aanname_implementatie[Doelgroep]=$C196,aanname_implementatie[Digitale zorgtoepassing]),0)))</f>
        <v>0.98013925658124135</v>
      </c>
    </row>
    <row r="197" spans="1:18" x14ac:dyDescent="0.5">
      <c r="A197" s="30" t="str">
        <f>INDEX(Technologieën[Veld],MATCH(B197,Technologieën[Digitale zorgtoepassing],0))</f>
        <v>Digitale hulpmiddelen - Verpleging</v>
      </c>
      <c r="B197" s="30" t="s">
        <v>19</v>
      </c>
      <c r="C197" s="30" t="s">
        <v>27</v>
      </c>
      <c r="D197" s="30" t="str" cm="1">
        <f t="array" ref="D197">INDEX(Berekening_patiëntaantal[Direct toepasbaar/extrapolatie/incidentie voor QALY],MATCH(B197,IF(Berekening_patiëntaantal[Doelgroep (zoeksleutel)]=C197,Berekening_patiëntaantal[Digitale zorgtoepassing]),0))</f>
        <v>Extrapolatie</v>
      </c>
      <c r="E197" s="440" t="s">
        <v>812</v>
      </c>
      <c r="F197" s="30" t="str">
        <f>CONCATENATE(implementatie[[#This Row],[Zorgtechnologie]],"_",implementatie[[#This Row],[Doelgroep]],"_",implementatie[[#This Row],[Uitgangssituatie/effect beleid]])</f>
        <v>Structuurrobot_Parkinson_Effect beleid</v>
      </c>
      <c r="G197" s="126" cm="1">
        <f t="array" ref="G197">INDEX(vertraging[[Vertraging 12 jaar]:[2034]],MATCH($F197,vertraging[Zoeksleutel],0),G$134-INDEX(aanname_implementatie[Totaal vertraging],MATCH($B197,IF(aanname_implementatie[Doelgroep]=$C197,aanname_implementatie[Digitale zorgtoepassing]),0)))</f>
        <v>0</v>
      </c>
      <c r="H197" s="126" cm="1">
        <f t="array" ref="H197">INDEX(vertraging[[Vertraging 12 jaar]:[2034]],MATCH($F197,vertraging[Zoeksleutel],0),H$134-INDEX(aanname_implementatie[Totaal vertraging],MATCH($B197,IF(aanname_implementatie[Doelgroep]=$C197,aanname_implementatie[Digitale zorgtoepassing]),0)))</f>
        <v>0</v>
      </c>
      <c r="I197" s="126" cm="1">
        <f t="array" ref="I197">INDEX(vertraging[[Vertraging 12 jaar]:[2034]],MATCH($F197,vertraging[Zoeksleutel],0),I$134-INDEX(aanname_implementatie[Totaal vertraging],MATCH($B197,IF(aanname_implementatie[Doelgroep]=$C197,aanname_implementatie[Digitale zorgtoepassing]),0)))</f>
        <v>0.02</v>
      </c>
      <c r="J197" s="126" cm="1">
        <f t="array" ref="J197">INDEX(vertraging[[Vertraging 12 jaar]:[2034]],MATCH($F197,vertraging[Zoeksleutel],0),J$134-INDEX(aanname_implementatie[Totaal vertraging],MATCH($B197,IF(aanname_implementatie[Doelgroep]=$C197,aanname_implementatie[Digitale zorgtoepassing]),0)))</f>
        <v>4.7439999999999996E-2</v>
      </c>
      <c r="K197" s="126" cm="1">
        <f t="array" ref="K197">INDEX(vertraging[[Vertraging 12 jaar]:[2034]],MATCH($F197,vertraging[Zoeksleutel],0),K$134-INDEX(aanname_implementatie[Totaal vertraging],MATCH($B197,IF(aanname_implementatie[Doelgroep]=$C197,aanname_implementatie[Digitale zorgtoepassing]),0)))</f>
        <v>8.4566978560000006E-2</v>
      </c>
      <c r="L197" s="126" cm="1">
        <f t="array" ref="L197">INDEX(vertraging[[Vertraging 12 jaar]:[2034]],MATCH($F197,vertraging[Zoeksleutel],0),L$134-INDEX(aanname_implementatie[Totaal vertraging],MATCH($B197,IF(aanname_implementatie[Doelgroep]=$C197,aanname_implementatie[Digitale zorgtoepassing]),0)))</f>
        <v>0.13384180086769301</v>
      </c>
      <c r="M197" s="126" cm="1">
        <f t="array" ref="M197">INDEX(vertraging[[Vertraging 12 jaar]:[2034]],MATCH($F197,vertraging[Zoeksleutel],0),M$134-INDEX(aanname_implementatie[Totaal vertraging],MATCH($B197,IF(aanname_implementatie[Doelgroep]=$C197,aanname_implementatie[Digitale zorgtoepassing]),0)))</f>
        <v>0.19753623413361349</v>
      </c>
      <c r="N197" s="126" cm="1">
        <f t="array" ref="N197">INDEX(vertraging[[Vertraging 12 jaar]:[2034]],MATCH($F197,vertraging[Zoeksleutel],0),N$134-INDEX(aanname_implementatie[Totaal vertraging],MATCH($B197,IF(aanname_implementatie[Doelgroep]=$C197,aanname_implementatie[Digitale zorgtoepassing]),0)))</f>
        <v>0.27699177758611071</v>
      </c>
      <c r="O197" s="126" cm="1">
        <f t="array" ref="O197">INDEX(vertraging[[Vertraging 12 jaar]:[2034]],MATCH($F197,vertraging[Zoeksleutel],0),O$134-INDEX(aanname_implementatie[Totaal vertraging],MATCH($B197,IF(aanname_implementatie[Doelgroep]=$C197,aanname_implementatie[Digitale zorgtoepassing]),0)))</f>
        <v>0.37155887512870744</v>
      </c>
      <c r="P197" s="126" cm="1">
        <f t="array" ref="P197">INDEX(vertraging[[Vertraging 12 jaar]:[2034]],MATCH($F197,vertraging[Zoeksleutel],0),P$134-INDEX(aanname_implementatie[Totaal vertraging],MATCH($B197,IF(aanname_implementatie[Doelgroep]=$C197,aanname_implementatie[Digitale zorgtoepassing]),0)))</f>
        <v>0.47752884860285211</v>
      </c>
      <c r="Q197" s="126" cm="1">
        <f t="array" ref="Q197">INDEX(vertraging[[Vertraging 12 jaar]:[2034]],MATCH($F197,vertraging[Zoeksleutel],0),Q$134-INDEX(aanname_implementatie[Totaal vertraging],MATCH($B197,IF(aanname_implementatie[Doelgroep]=$C197,aanname_implementatie[Digitale zorgtoepassing]),0)))</f>
        <v>0.5877762905727496</v>
      </c>
      <c r="R197" s="126" cm="1">
        <f t="array" ref="R197">INDEX(vertraging[[Vertraging 12 jaar]:[2034]],MATCH($F197,vertraging[Zoeksleutel],0),R$134-INDEX(aanname_implementatie[Totaal vertraging],MATCH($B197,IF(aanname_implementatie[Doelgroep]=$C197,aanname_implementatie[Digitale zorgtoepassing]),0)))</f>
        <v>0.6929388938866099</v>
      </c>
    </row>
    <row r="198" spans="1:18" x14ac:dyDescent="0.5">
      <c r="A198" s="30" t="str">
        <f>INDEX(Technologieën[Veld],MATCH(B198,Technologieën[Digitale zorgtoepassing],0))</f>
        <v>Software - Diagnose</v>
      </c>
      <c r="B198" s="30" t="s">
        <v>56</v>
      </c>
      <c r="C198" s="30" t="s">
        <v>57</v>
      </c>
      <c r="D198" s="30" t="str" cm="1">
        <f t="array" ref="D198">INDEX(Berekening_patiëntaantal[Direct toepasbaar/extrapolatie/incidentie voor QALY],MATCH(B198,IF(Berekening_patiëntaantal[Doelgroep (zoeksleutel)]=C198,Berekening_patiëntaantal[Digitale zorgtoepassing]),0))</f>
        <v>Huidige toepassing</v>
      </c>
      <c r="E198" s="440" t="s">
        <v>812</v>
      </c>
      <c r="F198" s="30" t="str">
        <f>CONCATENATE(implementatie[[#This Row],[Zorgtechnologie]],"_",implementatie[[#This Row],[Doelgroep]],"_",implementatie[[#This Row],[Uitgangssituatie/effect beleid]])</f>
        <v>Virtual cockpit_MRI-scans_Effect beleid</v>
      </c>
      <c r="G198" s="126" cm="1">
        <f t="array" ref="G198">INDEX(vertraging[[Vertraging 12 jaar]:[2034]],MATCH($F198,vertraging[Zoeksleutel],0),G$134-INDEX(aanname_implementatie[Totaal vertraging],MATCH($B198,IF(aanname_implementatie[Doelgroep]=$C198,aanname_implementatie[Digitale zorgtoepassing]),0)))</f>
        <v>0.2</v>
      </c>
      <c r="H198" s="126" cm="1">
        <f t="array" ref="H198">INDEX(vertraging[[Vertraging 12 jaar]:[2034]],MATCH($F198,vertraging[Zoeksleutel],0),H$134-INDEX(aanname_implementatie[Totaal vertraging],MATCH($B198,IF(aanname_implementatie[Doelgroep]=$C198,aanname_implementatie[Digitale zorgtoepassing]),0)))</f>
        <v>0.29200000000000004</v>
      </c>
      <c r="I198" s="126" cm="1">
        <f t="array" ref="I198">INDEX(vertraging[[Vertraging 12 jaar]:[2034]],MATCH($F198,vertraging[Zoeksleutel],0),I$134-INDEX(aanname_implementatie[Totaal vertraging],MATCH($B198,IF(aanname_implementatie[Doelgroep]=$C198,aanname_implementatie[Digitale zorgtoepassing]),0)))</f>
        <v>0.40273120000000007</v>
      </c>
      <c r="J198" s="126" cm="1">
        <f t="array" ref="J198">INDEX(vertraging[[Vertraging 12 jaar]:[2034]],MATCH($F198,vertraging[Zoeksleutel],0),J$134-INDEX(aanname_implementatie[Totaal vertraging],MATCH($B198,IF(aanname_implementatie[Doelgroep]=$C198,aanname_implementatie[Digitale zorgtoepassing]),0)))</f>
        <v>0.52590537124595205</v>
      </c>
      <c r="K198" s="126" cm="1">
        <f t="array" ref="K198">INDEX(vertraging[[Vertraging 12 jaar]:[2034]],MATCH($F198,vertraging[Zoeksleutel],0),K$134-INDEX(aanname_implementatie[Totaal vertraging],MATCH($B198,IF(aanname_implementatie[Doelgroep]=$C198,aanname_implementatie[Digitale zorgtoepassing]),0)))</f>
        <v>0.64995574724807748</v>
      </c>
      <c r="L198" s="126" cm="1">
        <f t="array" ref="L198">INDEX(vertraging[[Vertraging 12 jaar]:[2034]],MATCH($F198,vertraging[Zoeksleutel],0),L$134-INDEX(aanname_implementatie[Totaal vertraging],MATCH($B198,IF(aanname_implementatie[Doelgroep]=$C198,aanname_implementatie[Digitale zorgtoepassing]),0)))</f>
        <v>0.76108782680714737</v>
      </c>
      <c r="M198" s="126" cm="1">
        <f t="array" ref="M198">INDEX(vertraging[[Vertraging 12 jaar]:[2034]],MATCH($F198,vertraging[Zoeksleutel],0),M$134-INDEX(aanname_implementatie[Totaal vertraging],MATCH($B198,IF(aanname_implementatie[Doelgroep]=$C198,aanname_implementatie[Digitale zorgtoepassing]),0)))</f>
        <v>0.8488855471488731</v>
      </c>
      <c r="N198" s="126" cm="1">
        <f t="array" ref="N198">INDEX(vertraging[[Vertraging 12 jaar]:[2034]],MATCH($F198,vertraging[Zoeksleutel],0),N$134-INDEX(aanname_implementatie[Totaal vertraging],MATCH($B198,IF(aanname_implementatie[Doelgroep]=$C198,aanname_implementatie[Digitale zorgtoepassing]),0)))</f>
        <v>0.91038890221593549</v>
      </c>
      <c r="O198" s="126" cm="1">
        <f t="array" ref="O198">INDEX(vertraging[[Vertraging 12 jaar]:[2034]],MATCH($F198,vertraging[Zoeksleutel],0),O$134-INDEX(aanname_implementatie[Totaal vertraging],MATCH($B198,IF(aanname_implementatie[Doelgroep]=$C198,aanname_implementatie[Digitale zorgtoepassing]),0)))</f>
        <v>0.94934060668263687</v>
      </c>
      <c r="P198" s="126" cm="1">
        <f t="array" ref="P198">INDEX(vertraging[[Vertraging 12 jaar]:[2034]],MATCH($F198,vertraging[Zoeksleutel],0),P$134-INDEX(aanname_implementatie[Totaal vertraging],MATCH($B198,IF(aanname_implementatie[Doelgroep]=$C198,aanname_implementatie[Digitale zorgtoepassing]),0)))</f>
        <v>0.9722489501493069</v>
      </c>
      <c r="Q198" s="126" cm="1">
        <f t="array" ref="Q198">INDEX(vertraging[[Vertraging 12 jaar]:[2034]],MATCH($F198,vertraging[Zoeksleutel],0),Q$134-INDEX(aanname_implementatie[Totaal vertraging],MATCH($B198,IF(aanname_implementatie[Doelgroep]=$C198,aanname_implementatie[Digitale zorgtoepassing]),0)))</f>
        <v>0.98508414448286907</v>
      </c>
      <c r="R198" s="126" cm="1">
        <f t="array" ref="R198">INDEX(vertraging[[Vertraging 12 jaar]:[2034]],MATCH($F198,vertraging[Zoeksleutel],0),R$134-INDEX(aanname_implementatie[Totaal vertraging],MATCH($B198,IF(aanname_implementatie[Doelgroep]=$C198,aanname_implementatie[Digitale zorgtoepassing]),0)))</f>
        <v>0.99206905861789263</v>
      </c>
    </row>
    <row r="199" spans="1:18" x14ac:dyDescent="0.5">
      <c r="A199" s="30" t="str">
        <f>INDEX(Technologieën[Veld],MATCH(B199,Technologieën[Digitale zorgtoepassing],0))</f>
        <v>Digitale hulpmiddelen - Verpleging</v>
      </c>
      <c r="B199" s="30" t="s">
        <v>85</v>
      </c>
      <c r="C199" s="30" t="s">
        <v>86</v>
      </c>
      <c r="D199" s="30" t="str" cm="1">
        <f t="array" ref="D199">INDEX(Berekening_patiëntaantal[Direct toepasbaar/extrapolatie/incidentie voor QALY],MATCH(B199,IF(Berekening_patiëntaantal[Doelgroep (zoeksleutel)]=C199,Berekening_patiëntaantal[Digitale zorgtoepassing]),0))</f>
        <v>Huidige toepassing</v>
      </c>
      <c r="E199" s="440" t="s">
        <v>812</v>
      </c>
      <c r="F199" s="30" t="str">
        <f>CONCATENATE(implementatie[[#This Row],[Zorgtechnologie]],"_",implementatie[[#This Row],[Doelgroep]],"_",implementatie[[#This Row],[Uitgangssituatie/effect beleid]])</f>
        <v>Zorg op afstand met tablet_Patiënten die thuiszorg krijgen_Effect beleid</v>
      </c>
      <c r="G199" s="126" cm="1">
        <f t="array" ref="G199">INDEX(vertraging[[Vertraging 12 jaar]:[2034]],MATCH($F199,vertraging[Zoeksleutel],0),G$134-INDEX(aanname_implementatie[Totaal vertraging],MATCH($B199,IF(aanname_implementatie[Doelgroep]=$C199,aanname_implementatie[Digitale zorgtoepassing]),0)))</f>
        <v>0.4</v>
      </c>
      <c r="H199" s="126" cm="1">
        <f t="array" ref="H199">INDEX(vertraging[[Vertraging 12 jaar]:[2034]],MATCH($F199,vertraging[Zoeksleutel],0),H$134-INDEX(aanname_implementatie[Totaal vertraging],MATCH($B199,IF(aanname_implementatie[Doelgroep]=$C199,aanname_implementatie[Digitale zorgtoepassing]),0)))</f>
        <v>0.52300000000000002</v>
      </c>
      <c r="I199" s="126" cm="1">
        <f t="array" ref="I199">INDEX(vertraging[[Vertraging 12 jaar]:[2034]],MATCH($F199,vertraging[Zoeksleutel],0),I$134-INDEX(aanname_implementatie[Totaal vertraging],MATCH($B199,IF(aanname_implementatie[Doelgroep]=$C199,aanname_implementatie[Digitale zorgtoepassing]),0)))</f>
        <v>0.64718695000000004</v>
      </c>
      <c r="J199" s="126" cm="1">
        <f t="array" ref="J199">INDEX(vertraging[[Vertraging 12 jaar]:[2034]],MATCH($F199,vertraging[Zoeksleutel],0),J$134-INDEX(aanname_implementatie[Totaal vertraging],MATCH($B199,IF(aanname_implementatie[Doelgroep]=$C199,aanname_implementatie[Digitale zorgtoepassing]),0)))</f>
        <v>0.75875847703736388</v>
      </c>
      <c r="K199" s="126" cm="1">
        <f t="array" ref="K199">INDEX(vertraging[[Vertraging 12 jaar]:[2034]],MATCH($F199,vertraging[Zoeksleutel],0),K$134-INDEX(aanname_implementatie[Totaal vertraging],MATCH($B199,IF(aanname_implementatie[Doelgroep]=$C199,aanname_implementatie[Digitale zorgtoepassing]),0)))</f>
        <v>0.84715933786401665</v>
      </c>
      <c r="L199" s="126" cm="1">
        <f t="array" ref="L199">INDEX(vertraging[[Vertraging 12 jaar]:[2034]],MATCH($F199,vertraging[Zoeksleutel],0),L$134-INDEX(aanname_implementatie[Totaal vertraging],MATCH($B199,IF(aanname_implementatie[Doelgroep]=$C199,aanname_implementatie[Digitale zorgtoepassing]),0)))</f>
        <v>0.90924653177763415</v>
      </c>
      <c r="M199" s="126" cm="1">
        <f t="array" ref="M199">INDEX(vertraging[[Vertraging 12 jaar]:[2034]],MATCH($F199,vertraging[Zoeksleutel],0),M$134-INDEX(aanname_implementatie[Totaal vertraging],MATCH($B199,IF(aanname_implementatie[Doelgroep]=$C199,aanname_implementatie[Digitale zorgtoepassing]),0)))</f>
        <v>0.94864814278578335</v>
      </c>
      <c r="N199" s="126" cm="1">
        <f t="array" ref="N199">INDEX(vertraging[[Vertraging 12 jaar]:[2034]],MATCH($F199,vertraging[Zoeksleutel],0),N$134-INDEX(aanname_implementatie[Totaal vertraging],MATCH($B199,IF(aanname_implementatie[Doelgroep]=$C199,aanname_implementatie[Digitale zorgtoepassing]),0)))</f>
        <v>0.97185361900482903</v>
      </c>
      <c r="O199" s="126" cm="1">
        <f t="array" ref="O199">INDEX(vertraging[[Vertraging 12 jaar]:[2034]],MATCH($F199,vertraging[Zoeksleutel],0),O$134-INDEX(aanname_implementatie[Totaal vertraging],MATCH($B199,IF(aanname_implementatie[Doelgroep]=$C199,aanname_implementatie[Digitale zorgtoepassing]),0)))</f>
        <v>0.98486665153412889</v>
      </c>
      <c r="P199" s="126" cm="1">
        <f t="array" ref="P199">INDEX(vertraging[[Vertraging 12 jaar]:[2034]],MATCH($F199,vertraging[Zoeksleutel],0),P$134-INDEX(aanname_implementatie[Totaal vertraging],MATCH($B199,IF(aanname_implementatie[Doelgroep]=$C199,aanname_implementatie[Digitale zorgtoepassing]),0)))</f>
        <v>0.99195193384931235</v>
      </c>
      <c r="Q199" s="126" cm="1">
        <f t="array" ref="Q199">INDEX(vertraging[[Vertraging 12 jaar]:[2034]],MATCH($F199,vertraging[Zoeksleutel],0),Q$134-INDEX(aanname_implementatie[Totaal vertraging],MATCH($B199,IF(aanname_implementatie[Doelgroep]=$C199,aanname_implementatie[Digitale zorgtoepassing]),0)))</f>
        <v>0.99574561815494433</v>
      </c>
      <c r="R199" s="126" cm="1">
        <f t="array" ref="R199">INDEX(vertraging[[Vertraging 12 jaar]:[2034]],MATCH($F199,vertraging[Zoeksleutel],0),R$134-INDEX(aanname_implementatie[Totaal vertraging],MATCH($B199,IF(aanname_implementatie[Doelgroep]=$C199,aanname_implementatie[Digitale zorgtoepassing]),0)))</f>
        <v>0.99775830463714821</v>
      </c>
    </row>
    <row r="200" spans="1:18" x14ac:dyDescent="0.5">
      <c r="A200" s="30" t="str">
        <f>INDEX(Technologieën[Veld],MATCH(B200,Technologieën[Digitale zorgtoepassing],0))</f>
        <v>Sensoren - Behandeling</v>
      </c>
      <c r="B200" s="30" t="s">
        <v>593</v>
      </c>
      <c r="C200" s="30" t="s">
        <v>308</v>
      </c>
      <c r="D200" s="30" t="str" cm="1">
        <f t="array" ref="D200">INDEX(Berekening_patiëntaantal[Direct toepasbaar/extrapolatie/incidentie voor QALY],MATCH(B200,IF(Berekening_patiëntaantal[Doelgroep (zoeksleutel)]=C200,Berekening_patiëntaantal[Digitale zorgtoepassing]),0))</f>
        <v>Huidige toepassing</v>
      </c>
      <c r="E200" s="440" t="s">
        <v>813</v>
      </c>
      <c r="F200" s="30" t="str">
        <f>CONCATENATE(implementatie[[#This Row],[Zorgtechnologie]],"_",implementatie[[#This Row],[Doelgroep]],"_",implementatie[[#This Row],[Uitgangssituatie/effect beleid]])</f>
        <v>(Zelf)monitoring hypertensie zwangeren_Zwangeren met hoge bloeddruk_Uitgangssituatie</v>
      </c>
      <c r="G200" s="126" cm="1">
        <f t="array" ref="G200">INDEX(vertraging[[Vertraging 12 jaar]:[2034]],MATCH($F200,vertraging[Zoeksleutel],0),G$134-INDEX(aanname_implementatie[Totaal vertraging],MATCH($B200,IF(aanname_implementatie[Doelgroep]=$C200,aanname_implementatie[Digitale zorgtoepassing]),0)))</f>
        <v>0.2</v>
      </c>
      <c r="H200" s="126" cm="1">
        <f t="array" ref="H200">INDEX(vertraging[[Vertraging 12 jaar]:[2034]],MATCH($F200,vertraging[Zoeksleutel],0),H$134-INDEX(aanname_implementatie[Totaal vertraging],MATCH($B200,IF(aanname_implementatie[Doelgroep]=$C200,aanname_implementatie[Digitale zorgtoepassing]),0)))</f>
        <v>0.28000000000000003</v>
      </c>
      <c r="I200" s="126" cm="1">
        <f t="array" ref="I200">INDEX(vertraging[[Vertraging 12 jaar]:[2034]],MATCH($F200,vertraging[Zoeksleutel],0),I$134-INDEX(aanname_implementatie[Totaal vertraging],MATCH($B200,IF(aanname_implementatie[Doelgroep]=$C200,aanname_implementatie[Digitale zorgtoepassing]),0)))</f>
        <v>0.37504000000000004</v>
      </c>
      <c r="J200" s="126" cm="1">
        <f t="array" ref="J200">INDEX(vertraging[[Vertraging 12 jaar]:[2034]],MATCH($F200,vertraging[Zoeksleutel],0),J$134-INDEX(aanname_implementatie[Totaal vertraging],MATCH($B200,IF(aanname_implementatie[Doelgroep]=$C200,aanname_implementatie[Digitale zorgtoepassing]),0)))</f>
        <v>0.48129319936000003</v>
      </c>
      <c r="K200" s="126" cm="1">
        <f t="array" ref="K200">INDEX(vertraging[[Vertraging 12 jaar]:[2034]],MATCH($F200,vertraging[Zoeksleutel],0),K$134-INDEX(aanname_implementatie[Totaal vertraging],MATCH($B200,IF(aanname_implementatie[Doelgroep]=$C200,aanname_implementatie[Digitale zorgtoepassing]),0)))</f>
        <v>0.59152735761672615</v>
      </c>
      <c r="L200" s="126" cm="1">
        <f t="array" ref="L200">INDEX(vertraging[[Vertraging 12 jaar]:[2034]],MATCH($F200,vertraging[Zoeksleutel],0),L$134-INDEX(aanname_implementatie[Totaal vertraging],MATCH($B200,IF(aanname_implementatie[Doelgroep]=$C200,aanname_implementatie[Digitale zorgtoepassing]),0)))</f>
        <v>0.69634590758747161</v>
      </c>
      <c r="M200" s="126" cm="1">
        <f t="array" ref="M200">INDEX(vertraging[[Vertraging 12 jaar]:[2034]],MATCH($F200,vertraging[Zoeksleutel],0),M$134-INDEX(aanname_implementatie[Totaal vertraging],MATCH($B200,IF(aanname_implementatie[Doelgroep]=$C200,aanname_implementatie[Digitale zorgtoepassing]),0)))</f>
        <v>0.78699830326518305</v>
      </c>
      <c r="N200" s="126" cm="1">
        <f t="array" ref="N200">INDEX(vertraging[[Vertraging 12 jaar]:[2034]],MATCH($F200,vertraging[Zoeksleutel],0),N$134-INDEX(aanname_implementatie[Totaal vertraging],MATCH($B200,IF(aanname_implementatie[Doelgroep]=$C200,aanname_implementatie[Digitale zorgtoepassing]),0)))</f>
        <v>0.85831112676904175</v>
      </c>
      <c r="O200" s="126" cm="1">
        <f t="array" ref="O200">INDEX(vertraging[[Vertraging 12 jaar]:[2034]],MATCH($F200,vertraging[Zoeksleutel],0),O$134-INDEX(aanname_implementatie[Totaal vertraging],MATCH($B200,IF(aanname_implementatie[Doelgroep]=$C200,aanname_implementatie[Digitale zorgtoepassing]),0)))</f>
        <v>0.90979015880706082</v>
      </c>
      <c r="P200" s="126" cm="1">
        <f t="array" ref="P200">INDEX(vertraging[[Vertraging 12 jaar]:[2034]],MATCH($F200,vertraging[Zoeksleutel],0),P$134-INDEX(aanname_implementatie[Totaal vertraging],MATCH($B200,IF(aanname_implementatie[Doelgroep]=$C200,aanname_implementatie[Digitale zorgtoepassing]),0)))</f>
        <v>0.94442316592887321</v>
      </c>
      <c r="Q200" s="126" cm="1">
        <f t="array" ref="Q200">INDEX(vertraging[[Vertraging 12 jaar]:[2034]],MATCH($F200,vertraging[Zoeksleutel],0),Q$134-INDEX(aanname_implementatie[Totaal vertraging],MATCH($B200,IF(aanname_implementatie[Doelgroep]=$C200,aanname_implementatie[Digitale zorgtoepassing]),0)))</f>
        <v>0.96652992244459857</v>
      </c>
      <c r="R200" s="126" cm="1">
        <f t="array" ref="R200">INDEX(vertraging[[Vertraging 12 jaar]:[2034]],MATCH($F200,vertraging[Zoeksleutel],0),R$134-INDEX(aanname_implementatie[Totaal vertraging],MATCH($B200,IF(aanname_implementatie[Doelgroep]=$C200,aanname_implementatie[Digitale zorgtoepassing]),0)))</f>
        <v>0.98013925658124135</v>
      </c>
    </row>
    <row r="201" spans="1:18" x14ac:dyDescent="0.5">
      <c r="A201" s="30" t="str">
        <f>INDEX(Technologieën[Veld],MATCH(B201,Technologieën[Digitale zorgtoepassing],0))</f>
        <v>Software - Behandeling</v>
      </c>
      <c r="B201" s="30" t="s">
        <v>609</v>
      </c>
      <c r="C201" s="30" t="s">
        <v>270</v>
      </c>
      <c r="D201" s="30" t="str" cm="1">
        <f t="array" ref="D201">INDEX(Berekening_patiëntaantal[Direct toepasbaar/extrapolatie/incidentie voor QALY],MATCH(B201,IF(Berekening_patiëntaantal[Doelgroep (zoeksleutel)]=C201,Berekening_patiëntaantal[Digitale zorgtoepassing]),0))</f>
        <v>Huidige toepassing</v>
      </c>
      <c r="E201" s="440" t="s">
        <v>813</v>
      </c>
      <c r="F201" s="30" t="str">
        <f>CONCATENATE(implementatie[[#This Row],[Zorgtechnologie]],"_",implementatie[[#This Row],[Doelgroep]],"_",implementatie[[#This Row],[Uitgangssituatie/effect beleid]])</f>
        <v>(Zelf)zorgplatform + telebegeleiding_Astma_kinderen_Uitgangssituatie</v>
      </c>
      <c r="G201" s="126" cm="1">
        <f t="array" ref="G201">INDEX(vertraging[[Vertraging 12 jaar]:[2034]],MATCH($F201,vertraging[Zoeksleutel],0),G$134-INDEX(aanname_implementatie[Totaal vertraging],MATCH($B201,IF(aanname_implementatie[Doelgroep]=$C201,aanname_implementatie[Digitale zorgtoepassing]),0)))</f>
        <v>0.2</v>
      </c>
      <c r="H201" s="126" cm="1">
        <f t="array" ref="H201">INDEX(vertraging[[Vertraging 12 jaar]:[2034]],MATCH($F201,vertraging[Zoeksleutel],0),H$134-INDEX(aanname_implementatie[Totaal vertraging],MATCH($B201,IF(aanname_implementatie[Doelgroep]=$C201,aanname_implementatie[Digitale zorgtoepassing]),0)))</f>
        <v>0.29200000000000004</v>
      </c>
      <c r="I201" s="126" cm="1">
        <f t="array" ref="I201">INDEX(vertraging[[Vertraging 12 jaar]:[2034]],MATCH($F201,vertraging[Zoeksleutel],0),I$134-INDEX(aanname_implementatie[Totaal vertraging],MATCH($B201,IF(aanname_implementatie[Doelgroep]=$C201,aanname_implementatie[Digitale zorgtoepassing]),0)))</f>
        <v>0.40273120000000007</v>
      </c>
      <c r="J201" s="126" cm="1">
        <f t="array" ref="J201">INDEX(vertraging[[Vertraging 12 jaar]:[2034]],MATCH($F201,vertraging[Zoeksleutel],0),J$134-INDEX(aanname_implementatie[Totaal vertraging],MATCH($B201,IF(aanname_implementatie[Doelgroep]=$C201,aanname_implementatie[Digitale zorgtoepassing]),0)))</f>
        <v>0.52590537124595205</v>
      </c>
      <c r="K201" s="126" cm="1">
        <f t="array" ref="K201">INDEX(vertraging[[Vertraging 12 jaar]:[2034]],MATCH($F201,vertraging[Zoeksleutel],0),K$134-INDEX(aanname_implementatie[Totaal vertraging],MATCH($B201,IF(aanname_implementatie[Doelgroep]=$C201,aanname_implementatie[Digitale zorgtoepassing]),0)))</f>
        <v>0.64995574724807748</v>
      </c>
      <c r="L201" s="126" cm="1">
        <f t="array" ref="L201">INDEX(vertraging[[Vertraging 12 jaar]:[2034]],MATCH($F201,vertraging[Zoeksleutel],0),L$134-INDEX(aanname_implementatie[Totaal vertraging],MATCH($B201,IF(aanname_implementatie[Doelgroep]=$C201,aanname_implementatie[Digitale zorgtoepassing]),0)))</f>
        <v>0.76108782680714737</v>
      </c>
      <c r="M201" s="126" cm="1">
        <f t="array" ref="M201">INDEX(vertraging[[Vertraging 12 jaar]:[2034]],MATCH($F201,vertraging[Zoeksleutel],0),M$134-INDEX(aanname_implementatie[Totaal vertraging],MATCH($B201,IF(aanname_implementatie[Doelgroep]=$C201,aanname_implementatie[Digitale zorgtoepassing]),0)))</f>
        <v>0.8488855471488731</v>
      </c>
      <c r="N201" s="126" cm="1">
        <f t="array" ref="N201">INDEX(vertraging[[Vertraging 12 jaar]:[2034]],MATCH($F201,vertraging[Zoeksleutel],0),N$134-INDEX(aanname_implementatie[Totaal vertraging],MATCH($B201,IF(aanname_implementatie[Doelgroep]=$C201,aanname_implementatie[Digitale zorgtoepassing]),0)))</f>
        <v>0.91038890221593549</v>
      </c>
      <c r="O201" s="126" cm="1">
        <f t="array" ref="O201">INDEX(vertraging[[Vertraging 12 jaar]:[2034]],MATCH($F201,vertraging[Zoeksleutel],0),O$134-INDEX(aanname_implementatie[Totaal vertraging],MATCH($B201,IF(aanname_implementatie[Doelgroep]=$C201,aanname_implementatie[Digitale zorgtoepassing]),0)))</f>
        <v>0.94934060668263687</v>
      </c>
      <c r="P201" s="126" cm="1">
        <f t="array" ref="P201">INDEX(vertraging[[Vertraging 12 jaar]:[2034]],MATCH($F201,vertraging[Zoeksleutel],0),P$134-INDEX(aanname_implementatie[Totaal vertraging],MATCH($B201,IF(aanname_implementatie[Doelgroep]=$C201,aanname_implementatie[Digitale zorgtoepassing]),0)))</f>
        <v>0.9722489501493069</v>
      </c>
      <c r="Q201" s="126" cm="1">
        <f t="array" ref="Q201">INDEX(vertraging[[Vertraging 12 jaar]:[2034]],MATCH($F201,vertraging[Zoeksleutel],0),Q$134-INDEX(aanname_implementatie[Totaal vertraging],MATCH($B201,IF(aanname_implementatie[Doelgroep]=$C201,aanname_implementatie[Digitale zorgtoepassing]),0)))</f>
        <v>0.98508414448286907</v>
      </c>
      <c r="R201" s="126" cm="1">
        <f t="array" ref="R201">INDEX(vertraging[[Vertraging 12 jaar]:[2034]],MATCH($F201,vertraging[Zoeksleutel],0),R$134-INDEX(aanname_implementatie[Totaal vertraging],MATCH($B201,IF(aanname_implementatie[Doelgroep]=$C201,aanname_implementatie[Digitale zorgtoepassing]),0)))</f>
        <v>0.99206905861789263</v>
      </c>
    </row>
    <row r="202" spans="1:18" x14ac:dyDescent="0.5">
      <c r="A202" s="30" t="str">
        <f>INDEX(Technologieën[Veld],MATCH(B202,Technologieën[Digitale zorgtoepassing],0))</f>
        <v>Software - Behandeling</v>
      </c>
      <c r="B202" s="30" t="s">
        <v>609</v>
      </c>
      <c r="C202" s="30" t="s">
        <v>95</v>
      </c>
      <c r="D202" s="30" t="str" cm="1">
        <f t="array" ref="D202">INDEX(Berekening_patiëntaantal[Direct toepasbaar/extrapolatie/incidentie voor QALY],MATCH(B202,IF(Berekening_patiëntaantal[Doelgroep (zoeksleutel)]=C202,Berekening_patiëntaantal[Digitale zorgtoepassing]),0))</f>
        <v>Huidige toepassing</v>
      </c>
      <c r="E202" s="440" t="s">
        <v>813</v>
      </c>
      <c r="F202" s="30" t="str">
        <f>CONCATENATE(implementatie[[#This Row],[Zorgtechnologie]],"_",implementatie[[#This Row],[Doelgroep]],"_",implementatie[[#This Row],[Uitgangssituatie/effect beleid]])</f>
        <v>(Zelf)zorgplatform + telebegeleiding_COPD_Uitgangssituatie</v>
      </c>
      <c r="G202" s="126" cm="1">
        <f t="array" ref="G202">INDEX(vertraging[[Vertraging 12 jaar]:[2034]],MATCH($F202,vertraging[Zoeksleutel],0),G$134-INDEX(aanname_implementatie[Totaal vertraging],MATCH($B202,IF(aanname_implementatie[Doelgroep]=$C202,aanname_implementatie[Digitale zorgtoepassing]),0)))</f>
        <v>0.4</v>
      </c>
      <c r="H202" s="126" cm="1">
        <f t="array" ref="H202">INDEX(vertraging[[Vertraging 12 jaar]:[2034]],MATCH($F202,vertraging[Zoeksleutel],0),H$134-INDEX(aanname_implementatie[Totaal vertraging],MATCH($B202,IF(aanname_implementatie[Doelgroep]=$C202,aanname_implementatie[Digitale zorgtoepassing]),0)))</f>
        <v>0.52300000000000002</v>
      </c>
      <c r="I202" s="126" cm="1">
        <f t="array" ref="I202">INDEX(vertraging[[Vertraging 12 jaar]:[2034]],MATCH($F202,vertraging[Zoeksleutel],0),I$134-INDEX(aanname_implementatie[Totaal vertraging],MATCH($B202,IF(aanname_implementatie[Doelgroep]=$C202,aanname_implementatie[Digitale zorgtoepassing]),0)))</f>
        <v>0.64718695000000004</v>
      </c>
      <c r="J202" s="126" cm="1">
        <f t="array" ref="J202">INDEX(vertraging[[Vertraging 12 jaar]:[2034]],MATCH($F202,vertraging[Zoeksleutel],0),J$134-INDEX(aanname_implementatie[Totaal vertraging],MATCH($B202,IF(aanname_implementatie[Doelgroep]=$C202,aanname_implementatie[Digitale zorgtoepassing]),0)))</f>
        <v>0.75875847703736388</v>
      </c>
      <c r="K202" s="126" cm="1">
        <f t="array" ref="K202">INDEX(vertraging[[Vertraging 12 jaar]:[2034]],MATCH($F202,vertraging[Zoeksleutel],0),K$134-INDEX(aanname_implementatie[Totaal vertraging],MATCH($B202,IF(aanname_implementatie[Doelgroep]=$C202,aanname_implementatie[Digitale zorgtoepassing]),0)))</f>
        <v>0.84715933786401665</v>
      </c>
      <c r="L202" s="126" cm="1">
        <f t="array" ref="L202">INDEX(vertraging[[Vertraging 12 jaar]:[2034]],MATCH($F202,vertraging[Zoeksleutel],0),L$134-INDEX(aanname_implementatie[Totaal vertraging],MATCH($B202,IF(aanname_implementatie[Doelgroep]=$C202,aanname_implementatie[Digitale zorgtoepassing]),0)))</f>
        <v>0.90924653177763415</v>
      </c>
      <c r="M202" s="126" cm="1">
        <f t="array" ref="M202">INDEX(vertraging[[Vertraging 12 jaar]:[2034]],MATCH($F202,vertraging[Zoeksleutel],0),M$134-INDEX(aanname_implementatie[Totaal vertraging],MATCH($B202,IF(aanname_implementatie[Doelgroep]=$C202,aanname_implementatie[Digitale zorgtoepassing]),0)))</f>
        <v>0.94864814278578335</v>
      </c>
      <c r="N202" s="126" cm="1">
        <f t="array" ref="N202">INDEX(vertraging[[Vertraging 12 jaar]:[2034]],MATCH($F202,vertraging[Zoeksleutel],0),N$134-INDEX(aanname_implementatie[Totaal vertraging],MATCH($B202,IF(aanname_implementatie[Doelgroep]=$C202,aanname_implementatie[Digitale zorgtoepassing]),0)))</f>
        <v>0.97185361900482903</v>
      </c>
      <c r="O202" s="126" cm="1">
        <f t="array" ref="O202">INDEX(vertraging[[Vertraging 12 jaar]:[2034]],MATCH($F202,vertraging[Zoeksleutel],0),O$134-INDEX(aanname_implementatie[Totaal vertraging],MATCH($B202,IF(aanname_implementatie[Doelgroep]=$C202,aanname_implementatie[Digitale zorgtoepassing]),0)))</f>
        <v>0.98486665153412889</v>
      </c>
      <c r="P202" s="126" cm="1">
        <f t="array" ref="P202">INDEX(vertraging[[Vertraging 12 jaar]:[2034]],MATCH($F202,vertraging[Zoeksleutel],0),P$134-INDEX(aanname_implementatie[Totaal vertraging],MATCH($B202,IF(aanname_implementatie[Doelgroep]=$C202,aanname_implementatie[Digitale zorgtoepassing]),0)))</f>
        <v>0.99195193384931235</v>
      </c>
      <c r="Q202" s="126" cm="1">
        <f t="array" ref="Q202">INDEX(vertraging[[Vertraging 12 jaar]:[2034]],MATCH($F202,vertraging[Zoeksleutel],0),Q$134-INDEX(aanname_implementatie[Totaal vertraging],MATCH($B202,IF(aanname_implementatie[Doelgroep]=$C202,aanname_implementatie[Digitale zorgtoepassing]),0)))</f>
        <v>0.99574561815494433</v>
      </c>
      <c r="R202" s="126" cm="1">
        <f t="array" ref="R202">INDEX(vertraging[[Vertraging 12 jaar]:[2034]],MATCH($F202,vertraging[Zoeksleutel],0),R$134-INDEX(aanname_implementatie[Totaal vertraging],MATCH($B202,IF(aanname_implementatie[Doelgroep]=$C202,aanname_implementatie[Digitale zorgtoepassing]),0)))</f>
        <v>0.99775830463714821</v>
      </c>
    </row>
    <row r="203" spans="1:18" x14ac:dyDescent="0.5">
      <c r="A203" s="30" t="str">
        <f>INDEX(Technologieën[Veld],MATCH(B203,Technologieën[Digitale zorgtoepassing],0))</f>
        <v>Software - Behandeling</v>
      </c>
      <c r="B203" s="30" t="s">
        <v>609</v>
      </c>
      <c r="C203" s="30" t="s">
        <v>51</v>
      </c>
      <c r="D203" s="30" t="str" cm="1">
        <f t="array" ref="D203">INDEX(Berekening_patiëntaantal[Direct toepasbaar/extrapolatie/incidentie voor QALY],MATCH(B203,IF(Berekening_patiëntaantal[Doelgroep (zoeksleutel)]=C203,Berekening_patiëntaantal[Digitale zorgtoepassing]),0))</f>
        <v>Huidige toepassing</v>
      </c>
      <c r="E203" s="440" t="s">
        <v>813</v>
      </c>
      <c r="F203" s="30" t="str">
        <f>CONCATENATE(implementatie[[#This Row],[Zorgtechnologie]],"_",implementatie[[#This Row],[Doelgroep]],"_",implementatie[[#This Row],[Uitgangssituatie/effect beleid]])</f>
        <v>(Zelf)zorgplatform + telebegeleiding_Hartfalen_Uitgangssituatie</v>
      </c>
      <c r="G203" s="126" cm="1">
        <f t="array" ref="G203">INDEX(vertraging[[Vertraging 12 jaar]:[2034]],MATCH($F203,vertraging[Zoeksleutel],0),G$134-INDEX(aanname_implementatie[Totaal vertraging],MATCH($B203,IF(aanname_implementatie[Doelgroep]=$C203,aanname_implementatie[Digitale zorgtoepassing]),0)))</f>
        <v>0.6</v>
      </c>
      <c r="H203" s="126" cm="1">
        <f t="array" ref="H203">INDEX(vertraging[[Vertraging 12 jaar]:[2034]],MATCH($F203,vertraging[Zoeksleutel],0),H$134-INDEX(aanname_implementatie[Totaal vertraging],MATCH($B203,IF(aanname_implementatie[Doelgroep]=$C203,aanname_implementatie[Digitale zorgtoepassing]),0)))</f>
        <v>0.71799999999999997</v>
      </c>
      <c r="I203" s="126" cm="1">
        <f t="array" ref="I203">INDEX(vertraging[[Vertraging 12 jaar]:[2034]],MATCH($F203,vertraging[Zoeksleutel],0),I$134-INDEX(aanname_implementatie[Totaal vertraging],MATCH($B203,IF(aanname_implementatie[Doelgroep]=$C203,aanname_implementatie[Digitale zorgtoepassing]),0)))</f>
        <v>0.81616420000000001</v>
      </c>
      <c r="J203" s="126" cm="1">
        <f t="array" ref="J203">INDEX(vertraging[[Vertraging 12 jaar]:[2034]],MATCH($F203,vertraging[Zoeksleutel],0),J$134-INDEX(aanname_implementatie[Totaal vertraging],MATCH($B203,IF(aanname_implementatie[Doelgroep]=$C203,aanname_implementatie[Digitale zorgtoepassing]),0)))</f>
        <v>0.88827818438726203</v>
      </c>
      <c r="K203" s="126" cm="1">
        <f t="array" ref="K203">INDEX(vertraging[[Vertraging 12 jaar]:[2034]],MATCH($F203,vertraging[Zoeksleutel],0),K$134-INDEX(aanname_implementatie[Totaal vertraging],MATCH($B203,IF(aanname_implementatie[Doelgroep]=$C203,aanname_implementatie[Digitale zorgtoepassing]),0)))</f>
        <v>0.93572925296559961</v>
      </c>
      <c r="L203" s="126" cm="1">
        <f t="array" ref="L203">INDEX(vertraging[[Vertraging 12 jaar]:[2034]],MATCH($F203,vertraging[Zoeksleutel],0),L$134-INDEX(aanname_implementatie[Totaal vertraging],MATCH($B203,IF(aanname_implementatie[Doelgroep]=$C203,aanname_implementatie[Digitale zorgtoepassing]),0)))</f>
        <v>0.9643990297909778</v>
      </c>
      <c r="M203" s="126" cm="1">
        <f t="array" ref="M203">INDEX(vertraging[[Vertraging 12 jaar]:[2034]],MATCH($F203,vertraging[Zoeksleutel],0),M$134-INDEX(aanname_implementatie[Totaal vertraging],MATCH($B203,IF(aanname_implementatie[Doelgroep]=$C203,aanname_implementatie[Digitale zorgtoepassing]),0)))</f>
        <v>0.98073914755434266</v>
      </c>
      <c r="N203" s="126" cm="1">
        <f t="array" ref="N203">INDEX(vertraging[[Vertraging 12 jaar]:[2034]],MATCH($F203,vertraging[Zoeksleutel],0),N$134-INDEX(aanname_implementatie[Totaal vertraging],MATCH($B203,IF(aanname_implementatie[Doelgroep]=$C203,aanname_implementatie[Digitale zorgtoepassing]),0)))</f>
        <v>0.98972111126940987</v>
      </c>
      <c r="O203" s="126" cm="1">
        <f t="array" ref="O203">INDEX(vertraging[[Vertraging 12 jaar]:[2034]],MATCH($F203,vertraging[Zoeksleutel],0),O$134-INDEX(aanname_implementatie[Totaal vertraging],MATCH($B203,IF(aanname_implementatie[Doelgroep]=$C203,aanname_implementatie[Digitale zorgtoepassing]),0)))</f>
        <v>0.99455603841734896</v>
      </c>
      <c r="P203" s="126" cm="1">
        <f t="array" ref="P203">INDEX(vertraging[[Vertraging 12 jaar]:[2034]],MATCH($F203,vertraging[Zoeksleutel],0),P$134-INDEX(aanname_implementatie[Totaal vertraging],MATCH($B203,IF(aanname_implementatie[Doelgroep]=$C203,aanname_implementatie[Digitale zorgtoepassing]),0)))</f>
        <v>0.9971285836461371</v>
      </c>
      <c r="Q203" s="126" cm="1">
        <f t="array" ref="Q203">INDEX(vertraging[[Vertraging 12 jaar]:[2034]],MATCH($F203,vertraging[Zoeksleutel],0),Q$134-INDEX(aanname_implementatie[Totaal vertraging],MATCH($B203,IF(aanname_implementatie[Doelgroep]=$C203,aanname_implementatie[Digitale zorgtoepassing]),0)))</f>
        <v>0.99848879614987718</v>
      </c>
      <c r="R203" s="126" cm="1">
        <f t="array" ref="R203">INDEX(vertraging[[Vertraging 12 jaar]:[2034]],MATCH($F203,vertraging[Zoeksleutel],0),R$134-INDEX(aanname_implementatie[Totaal vertraging],MATCH($B203,IF(aanname_implementatie[Doelgroep]=$C203,aanname_implementatie[Digitale zorgtoepassing]),0)))</f>
        <v>0.99920559029700107</v>
      </c>
    </row>
    <row r="204" spans="1:18" x14ac:dyDescent="0.5">
      <c r="A204" s="30" t="str">
        <f>INDEX(Technologieën[Veld],MATCH(B204,Technologieën[Digitale zorgtoepassing],0))</f>
        <v>Software - Behandeling</v>
      </c>
      <c r="B204" s="30" t="s">
        <v>609</v>
      </c>
      <c r="C204" s="30" t="s">
        <v>94</v>
      </c>
      <c r="D204" s="30" t="str" cm="1">
        <f t="array" ref="D204">INDEX(Berekening_patiëntaantal[Direct toepasbaar/extrapolatie/incidentie voor QALY],MATCH(B204,IF(Berekening_patiëntaantal[Doelgroep (zoeksleutel)]=C204,Berekening_patiëntaantal[Digitale zorgtoepassing]),0))</f>
        <v>Huidige toepassing</v>
      </c>
      <c r="E204" s="440" t="s">
        <v>813</v>
      </c>
      <c r="F204" s="30" t="str">
        <f>CONCATENATE(implementatie[[#This Row],[Zorgtechnologie]],"_",implementatie[[#This Row],[Doelgroep]],"_",implementatie[[#This Row],[Uitgangssituatie/effect beleid]])</f>
        <v>(Zelf)zorgplatform + telebegeleiding_Hypertensie_Uitgangssituatie</v>
      </c>
      <c r="G204" s="126" cm="1">
        <f t="array" ref="G204">INDEX(vertraging[[Vertraging 12 jaar]:[2034]],MATCH($F204,vertraging[Zoeksleutel],0),G$134-INDEX(aanname_implementatie[Totaal vertraging],MATCH($B204,IF(aanname_implementatie[Doelgroep]=$C204,aanname_implementatie[Digitale zorgtoepassing]),0)))</f>
        <v>0.2</v>
      </c>
      <c r="H204" s="126" cm="1">
        <f t="array" ref="H204">INDEX(vertraging[[Vertraging 12 jaar]:[2034]],MATCH($F204,vertraging[Zoeksleutel],0),H$134-INDEX(aanname_implementatie[Totaal vertraging],MATCH($B204,IF(aanname_implementatie[Doelgroep]=$C204,aanname_implementatie[Digitale zorgtoepassing]),0)))</f>
        <v>0.29200000000000004</v>
      </c>
      <c r="I204" s="126" cm="1">
        <f t="array" ref="I204">INDEX(vertraging[[Vertraging 12 jaar]:[2034]],MATCH($F204,vertraging[Zoeksleutel],0),I$134-INDEX(aanname_implementatie[Totaal vertraging],MATCH($B204,IF(aanname_implementatie[Doelgroep]=$C204,aanname_implementatie[Digitale zorgtoepassing]),0)))</f>
        <v>0.40273120000000007</v>
      </c>
      <c r="J204" s="126" cm="1">
        <f t="array" ref="J204">INDEX(vertraging[[Vertraging 12 jaar]:[2034]],MATCH($F204,vertraging[Zoeksleutel],0),J$134-INDEX(aanname_implementatie[Totaal vertraging],MATCH($B204,IF(aanname_implementatie[Doelgroep]=$C204,aanname_implementatie[Digitale zorgtoepassing]),0)))</f>
        <v>0.52590537124595205</v>
      </c>
      <c r="K204" s="126" cm="1">
        <f t="array" ref="K204">INDEX(vertraging[[Vertraging 12 jaar]:[2034]],MATCH($F204,vertraging[Zoeksleutel],0),K$134-INDEX(aanname_implementatie[Totaal vertraging],MATCH($B204,IF(aanname_implementatie[Doelgroep]=$C204,aanname_implementatie[Digitale zorgtoepassing]),0)))</f>
        <v>0.64995574724807748</v>
      </c>
      <c r="L204" s="126" cm="1">
        <f t="array" ref="L204">INDEX(vertraging[[Vertraging 12 jaar]:[2034]],MATCH($F204,vertraging[Zoeksleutel],0),L$134-INDEX(aanname_implementatie[Totaal vertraging],MATCH($B204,IF(aanname_implementatie[Doelgroep]=$C204,aanname_implementatie[Digitale zorgtoepassing]),0)))</f>
        <v>0.76108782680714737</v>
      </c>
      <c r="M204" s="126" cm="1">
        <f t="array" ref="M204">INDEX(vertraging[[Vertraging 12 jaar]:[2034]],MATCH($F204,vertraging[Zoeksleutel],0),M$134-INDEX(aanname_implementatie[Totaal vertraging],MATCH($B204,IF(aanname_implementatie[Doelgroep]=$C204,aanname_implementatie[Digitale zorgtoepassing]),0)))</f>
        <v>0.8488855471488731</v>
      </c>
      <c r="N204" s="126" cm="1">
        <f t="array" ref="N204">INDEX(vertraging[[Vertraging 12 jaar]:[2034]],MATCH($F204,vertraging[Zoeksleutel],0),N$134-INDEX(aanname_implementatie[Totaal vertraging],MATCH($B204,IF(aanname_implementatie[Doelgroep]=$C204,aanname_implementatie[Digitale zorgtoepassing]),0)))</f>
        <v>0.91038890221593549</v>
      </c>
      <c r="O204" s="126" cm="1">
        <f t="array" ref="O204">INDEX(vertraging[[Vertraging 12 jaar]:[2034]],MATCH($F204,vertraging[Zoeksleutel],0),O$134-INDEX(aanname_implementatie[Totaal vertraging],MATCH($B204,IF(aanname_implementatie[Doelgroep]=$C204,aanname_implementatie[Digitale zorgtoepassing]),0)))</f>
        <v>0.94934060668263687</v>
      </c>
      <c r="P204" s="126" cm="1">
        <f t="array" ref="P204">INDEX(vertraging[[Vertraging 12 jaar]:[2034]],MATCH($F204,vertraging[Zoeksleutel],0),P$134-INDEX(aanname_implementatie[Totaal vertraging],MATCH($B204,IF(aanname_implementatie[Doelgroep]=$C204,aanname_implementatie[Digitale zorgtoepassing]),0)))</f>
        <v>0.9722489501493069</v>
      </c>
      <c r="Q204" s="126" cm="1">
        <f t="array" ref="Q204">INDEX(vertraging[[Vertraging 12 jaar]:[2034]],MATCH($F204,vertraging[Zoeksleutel],0),Q$134-INDEX(aanname_implementatie[Totaal vertraging],MATCH($B204,IF(aanname_implementatie[Doelgroep]=$C204,aanname_implementatie[Digitale zorgtoepassing]),0)))</f>
        <v>0.98508414448286907</v>
      </c>
      <c r="R204" s="126" cm="1">
        <f t="array" ref="R204">INDEX(vertraging[[Vertraging 12 jaar]:[2034]],MATCH($F204,vertraging[Zoeksleutel],0),R$134-INDEX(aanname_implementatie[Totaal vertraging],MATCH($B204,IF(aanname_implementatie[Doelgroep]=$C204,aanname_implementatie[Digitale zorgtoepassing]),0)))</f>
        <v>0.99206905861789263</v>
      </c>
    </row>
    <row r="205" spans="1:18" x14ac:dyDescent="0.5">
      <c r="A205" s="30" t="str">
        <f>INDEX(Technologieën[Veld],MATCH(B205,Technologieën[Digitale zorgtoepassing],0))</f>
        <v>Software - Behandeling</v>
      </c>
      <c r="B205" s="30" t="s">
        <v>609</v>
      </c>
      <c r="C205" s="30" t="s">
        <v>81</v>
      </c>
      <c r="D205" s="30" t="str" cm="1">
        <f t="array" ref="D205">INDEX(Berekening_patiëntaantal[Direct toepasbaar/extrapolatie/incidentie voor QALY],MATCH(B205,IF(Berekening_patiëntaantal[Doelgroep (zoeksleutel)]=C205,Berekening_patiëntaantal[Digitale zorgtoepassing]),0))</f>
        <v>Huidige toepassing</v>
      </c>
      <c r="E205" s="440" t="s">
        <v>813</v>
      </c>
      <c r="F205" s="30" t="str">
        <f>CONCATENATE(implementatie[[#This Row],[Zorgtechnologie]],"_",implementatie[[#This Row],[Doelgroep]],"_",implementatie[[#This Row],[Uitgangssituatie/effect beleid]])</f>
        <v>(Zelf)zorgplatform + telebegeleiding_IBD_Uitgangssituatie</v>
      </c>
      <c r="G205" s="126" cm="1">
        <f t="array" ref="G205">INDEX(vertraging[[Vertraging 12 jaar]:[2034]],MATCH($F205,vertraging[Zoeksleutel],0),G$134-INDEX(aanname_implementatie[Totaal vertraging],MATCH($B205,IF(aanname_implementatie[Doelgroep]=$C205,aanname_implementatie[Digitale zorgtoepassing]),0)))</f>
        <v>0.6</v>
      </c>
      <c r="H205" s="126" cm="1">
        <f t="array" ref="H205">INDEX(vertraging[[Vertraging 12 jaar]:[2034]],MATCH($F205,vertraging[Zoeksleutel],0),H$134-INDEX(aanname_implementatie[Totaal vertraging],MATCH($B205,IF(aanname_implementatie[Doelgroep]=$C205,aanname_implementatie[Digitale zorgtoepassing]),0)))</f>
        <v>0.71799999999999997</v>
      </c>
      <c r="I205" s="126" cm="1">
        <f t="array" ref="I205">INDEX(vertraging[[Vertraging 12 jaar]:[2034]],MATCH($F205,vertraging[Zoeksleutel],0),I$134-INDEX(aanname_implementatie[Totaal vertraging],MATCH($B205,IF(aanname_implementatie[Doelgroep]=$C205,aanname_implementatie[Digitale zorgtoepassing]),0)))</f>
        <v>0.81616420000000001</v>
      </c>
      <c r="J205" s="126" cm="1">
        <f t="array" ref="J205">INDEX(vertraging[[Vertraging 12 jaar]:[2034]],MATCH($F205,vertraging[Zoeksleutel],0),J$134-INDEX(aanname_implementatie[Totaal vertraging],MATCH($B205,IF(aanname_implementatie[Doelgroep]=$C205,aanname_implementatie[Digitale zorgtoepassing]),0)))</f>
        <v>0.88827818438726203</v>
      </c>
      <c r="K205" s="126" cm="1">
        <f t="array" ref="K205">INDEX(vertraging[[Vertraging 12 jaar]:[2034]],MATCH($F205,vertraging[Zoeksleutel],0),K$134-INDEX(aanname_implementatie[Totaal vertraging],MATCH($B205,IF(aanname_implementatie[Doelgroep]=$C205,aanname_implementatie[Digitale zorgtoepassing]),0)))</f>
        <v>0.93572925296559961</v>
      </c>
      <c r="L205" s="126" cm="1">
        <f t="array" ref="L205">INDEX(vertraging[[Vertraging 12 jaar]:[2034]],MATCH($F205,vertraging[Zoeksleutel],0),L$134-INDEX(aanname_implementatie[Totaal vertraging],MATCH($B205,IF(aanname_implementatie[Doelgroep]=$C205,aanname_implementatie[Digitale zorgtoepassing]),0)))</f>
        <v>0.9643990297909778</v>
      </c>
      <c r="M205" s="126" cm="1">
        <f t="array" ref="M205">INDEX(vertraging[[Vertraging 12 jaar]:[2034]],MATCH($F205,vertraging[Zoeksleutel],0),M$134-INDEX(aanname_implementatie[Totaal vertraging],MATCH($B205,IF(aanname_implementatie[Doelgroep]=$C205,aanname_implementatie[Digitale zorgtoepassing]),0)))</f>
        <v>0.98073914755434266</v>
      </c>
      <c r="N205" s="126" cm="1">
        <f t="array" ref="N205">INDEX(vertraging[[Vertraging 12 jaar]:[2034]],MATCH($F205,vertraging[Zoeksleutel],0),N$134-INDEX(aanname_implementatie[Totaal vertraging],MATCH($B205,IF(aanname_implementatie[Doelgroep]=$C205,aanname_implementatie[Digitale zorgtoepassing]),0)))</f>
        <v>0.98972111126940987</v>
      </c>
      <c r="O205" s="126" cm="1">
        <f t="array" ref="O205">INDEX(vertraging[[Vertraging 12 jaar]:[2034]],MATCH($F205,vertraging[Zoeksleutel],0),O$134-INDEX(aanname_implementatie[Totaal vertraging],MATCH($B205,IF(aanname_implementatie[Doelgroep]=$C205,aanname_implementatie[Digitale zorgtoepassing]),0)))</f>
        <v>0.99455603841734896</v>
      </c>
      <c r="P205" s="126" cm="1">
        <f t="array" ref="P205">INDEX(vertraging[[Vertraging 12 jaar]:[2034]],MATCH($F205,vertraging[Zoeksleutel],0),P$134-INDEX(aanname_implementatie[Totaal vertraging],MATCH($B205,IF(aanname_implementatie[Doelgroep]=$C205,aanname_implementatie[Digitale zorgtoepassing]),0)))</f>
        <v>0.9971285836461371</v>
      </c>
      <c r="Q205" s="126" cm="1">
        <f t="array" ref="Q205">INDEX(vertraging[[Vertraging 12 jaar]:[2034]],MATCH($F205,vertraging[Zoeksleutel],0),Q$134-INDEX(aanname_implementatie[Totaal vertraging],MATCH($B205,IF(aanname_implementatie[Doelgroep]=$C205,aanname_implementatie[Digitale zorgtoepassing]),0)))</f>
        <v>0.99848879614987718</v>
      </c>
      <c r="R205" s="126" cm="1">
        <f t="array" ref="R205">INDEX(vertraging[[Vertraging 12 jaar]:[2034]],MATCH($F205,vertraging[Zoeksleutel],0),R$134-INDEX(aanname_implementatie[Totaal vertraging],MATCH($B205,IF(aanname_implementatie[Doelgroep]=$C205,aanname_implementatie[Digitale zorgtoepassing]),0)))</f>
        <v>0.99920559029700107</v>
      </c>
    </row>
    <row r="206" spans="1:18" x14ac:dyDescent="0.5">
      <c r="A206" s="30" t="str">
        <f>INDEX(Technologieën[Veld],MATCH(B206,Technologieën[Digitale zorgtoepassing],0))</f>
        <v>Software - Behandeling</v>
      </c>
      <c r="B206" s="30" t="s">
        <v>609</v>
      </c>
      <c r="C206" s="30" t="s">
        <v>109</v>
      </c>
      <c r="D206" s="30" t="str" cm="1">
        <f t="array" ref="D206">INDEX(Berekening_patiëntaantal[Direct toepasbaar/extrapolatie/incidentie voor QALY],MATCH(B206,IF(Berekening_patiëntaantal[Doelgroep (zoeksleutel)]=C206,Berekening_patiëntaantal[Digitale zorgtoepassing]),0))</f>
        <v>Huidige toepassing</v>
      </c>
      <c r="E206" s="440" t="s">
        <v>813</v>
      </c>
      <c r="F206" s="30" t="str">
        <f>CONCATENATE(implementatie[[#This Row],[Zorgtechnologie]],"_",implementatie[[#This Row],[Doelgroep]],"_",implementatie[[#This Row],[Uitgangssituatie/effect beleid]])</f>
        <v>(Zelf)zorgplatform + telebegeleiding_MS_Uitgangssituatie</v>
      </c>
      <c r="G206" s="126" cm="1">
        <f t="array" ref="G206">INDEX(vertraging[[Vertraging 12 jaar]:[2034]],MATCH($F206,vertraging[Zoeksleutel],0),G$134-INDEX(aanname_implementatie[Totaal vertraging],MATCH($B206,IF(aanname_implementatie[Doelgroep]=$C206,aanname_implementatie[Digitale zorgtoepassing]),0)))</f>
        <v>0.4</v>
      </c>
      <c r="H206" s="126" cm="1">
        <f t="array" ref="H206">INDEX(vertraging[[Vertraging 12 jaar]:[2034]],MATCH($F206,vertraging[Zoeksleutel],0),H$134-INDEX(aanname_implementatie[Totaal vertraging],MATCH($B206,IF(aanname_implementatie[Doelgroep]=$C206,aanname_implementatie[Digitale zorgtoepassing]),0)))</f>
        <v>0.52300000000000002</v>
      </c>
      <c r="I206" s="126" cm="1">
        <f t="array" ref="I206">INDEX(vertraging[[Vertraging 12 jaar]:[2034]],MATCH($F206,vertraging[Zoeksleutel],0),I$134-INDEX(aanname_implementatie[Totaal vertraging],MATCH($B206,IF(aanname_implementatie[Doelgroep]=$C206,aanname_implementatie[Digitale zorgtoepassing]),0)))</f>
        <v>0.64718695000000004</v>
      </c>
      <c r="J206" s="126" cm="1">
        <f t="array" ref="J206">INDEX(vertraging[[Vertraging 12 jaar]:[2034]],MATCH($F206,vertraging[Zoeksleutel],0),J$134-INDEX(aanname_implementatie[Totaal vertraging],MATCH($B206,IF(aanname_implementatie[Doelgroep]=$C206,aanname_implementatie[Digitale zorgtoepassing]),0)))</f>
        <v>0.75875847703736388</v>
      </c>
      <c r="K206" s="126" cm="1">
        <f t="array" ref="K206">INDEX(vertraging[[Vertraging 12 jaar]:[2034]],MATCH($F206,vertraging[Zoeksleutel],0),K$134-INDEX(aanname_implementatie[Totaal vertraging],MATCH($B206,IF(aanname_implementatie[Doelgroep]=$C206,aanname_implementatie[Digitale zorgtoepassing]),0)))</f>
        <v>0.84715933786401665</v>
      </c>
      <c r="L206" s="126" cm="1">
        <f t="array" ref="L206">INDEX(vertraging[[Vertraging 12 jaar]:[2034]],MATCH($F206,vertraging[Zoeksleutel],0),L$134-INDEX(aanname_implementatie[Totaal vertraging],MATCH($B206,IF(aanname_implementatie[Doelgroep]=$C206,aanname_implementatie[Digitale zorgtoepassing]),0)))</f>
        <v>0.90924653177763415</v>
      </c>
      <c r="M206" s="126" cm="1">
        <f t="array" ref="M206">INDEX(vertraging[[Vertraging 12 jaar]:[2034]],MATCH($F206,vertraging[Zoeksleutel],0),M$134-INDEX(aanname_implementatie[Totaal vertraging],MATCH($B206,IF(aanname_implementatie[Doelgroep]=$C206,aanname_implementatie[Digitale zorgtoepassing]),0)))</f>
        <v>0.94864814278578335</v>
      </c>
      <c r="N206" s="126" cm="1">
        <f t="array" ref="N206">INDEX(vertraging[[Vertraging 12 jaar]:[2034]],MATCH($F206,vertraging[Zoeksleutel],0),N$134-INDEX(aanname_implementatie[Totaal vertraging],MATCH($B206,IF(aanname_implementatie[Doelgroep]=$C206,aanname_implementatie[Digitale zorgtoepassing]),0)))</f>
        <v>0.97185361900482903</v>
      </c>
      <c r="O206" s="126" cm="1">
        <f t="array" ref="O206">INDEX(vertraging[[Vertraging 12 jaar]:[2034]],MATCH($F206,vertraging[Zoeksleutel],0),O$134-INDEX(aanname_implementatie[Totaal vertraging],MATCH($B206,IF(aanname_implementatie[Doelgroep]=$C206,aanname_implementatie[Digitale zorgtoepassing]),0)))</f>
        <v>0.98486665153412889</v>
      </c>
      <c r="P206" s="126" cm="1">
        <f t="array" ref="P206">INDEX(vertraging[[Vertraging 12 jaar]:[2034]],MATCH($F206,vertraging[Zoeksleutel],0),P$134-INDEX(aanname_implementatie[Totaal vertraging],MATCH($B206,IF(aanname_implementatie[Doelgroep]=$C206,aanname_implementatie[Digitale zorgtoepassing]),0)))</f>
        <v>0.99195193384931235</v>
      </c>
      <c r="Q206" s="126" cm="1">
        <f t="array" ref="Q206">INDEX(vertraging[[Vertraging 12 jaar]:[2034]],MATCH($F206,vertraging[Zoeksleutel],0),Q$134-INDEX(aanname_implementatie[Totaal vertraging],MATCH($B206,IF(aanname_implementatie[Doelgroep]=$C206,aanname_implementatie[Digitale zorgtoepassing]),0)))</f>
        <v>0.99574561815494433</v>
      </c>
      <c r="R206" s="126" cm="1">
        <f t="array" ref="R206">INDEX(vertraging[[Vertraging 12 jaar]:[2034]],MATCH($F206,vertraging[Zoeksleutel],0),R$134-INDEX(aanname_implementatie[Totaal vertraging],MATCH($B206,IF(aanname_implementatie[Doelgroep]=$C206,aanname_implementatie[Digitale zorgtoepassing]),0)))</f>
        <v>0.99775830463714821</v>
      </c>
    </row>
    <row r="207" spans="1:18" x14ac:dyDescent="0.5">
      <c r="A207" s="30" t="str">
        <f>INDEX(Technologieën[Veld],MATCH(B207,Technologieën[Digitale zorgtoepassing],0))</f>
        <v>Software - Behandeling</v>
      </c>
      <c r="B207" s="30" t="s">
        <v>609</v>
      </c>
      <c r="C207" s="30" t="s">
        <v>597</v>
      </c>
      <c r="D207" s="30" t="str" cm="1">
        <f t="array" ref="D207">INDEX(Berekening_patiëntaantal[Direct toepasbaar/extrapolatie/incidentie voor QALY],MATCH(B207,IF(Berekening_patiëntaantal[Doelgroep (zoeksleutel)]=C207,Berekening_patiëntaantal[Digitale zorgtoepassing]),0))</f>
        <v>Extrapolatie</v>
      </c>
      <c r="E207" s="440" t="s">
        <v>813</v>
      </c>
      <c r="F207" s="30" t="str">
        <f>CONCATENATE(implementatie[[#This Row],[Zorgtechnologie]],"_",implementatie[[#This Row],[Doelgroep]],"_",implementatie[[#This Row],[Uitgangssituatie/effect beleid]])</f>
        <v>(Zelf)zorgplatform + telebegeleiding_Overig_chronisch_Uitgangssituatie</v>
      </c>
      <c r="G207" s="126" cm="1">
        <f t="array" ref="G207">INDEX(vertraging[[Vertraging 12 jaar]:[2034]],MATCH($F207,vertraging[Zoeksleutel],0),G$134-INDEX(aanname_implementatie[Totaal vertraging],MATCH($B207,IF(aanname_implementatie[Doelgroep]=$C207,aanname_implementatie[Digitale zorgtoepassing]),0)))</f>
        <v>0</v>
      </c>
      <c r="H207" s="126" cm="1">
        <f t="array" ref="H207">INDEX(vertraging[[Vertraging 12 jaar]:[2034]],MATCH($F207,vertraging[Zoeksleutel],0),H$134-INDEX(aanname_implementatie[Totaal vertraging],MATCH($B207,IF(aanname_implementatie[Doelgroep]=$C207,aanname_implementatie[Digitale zorgtoepassing]),0)))</f>
        <v>0</v>
      </c>
      <c r="I207" s="126" cm="1">
        <f t="array" ref="I207">INDEX(vertraging[[Vertraging 12 jaar]:[2034]],MATCH($F207,vertraging[Zoeksleutel],0),I$134-INDEX(aanname_implementatie[Totaal vertraging],MATCH($B207,IF(aanname_implementatie[Doelgroep]=$C207,aanname_implementatie[Digitale zorgtoepassing]),0)))</f>
        <v>0</v>
      </c>
      <c r="J207" s="126" cm="1">
        <f t="array" ref="J207">INDEX(vertraging[[Vertraging 12 jaar]:[2034]],MATCH($F207,vertraging[Zoeksleutel],0),J$134-INDEX(aanname_implementatie[Totaal vertraging],MATCH($B207,IF(aanname_implementatie[Doelgroep]=$C207,aanname_implementatie[Digitale zorgtoepassing]),0)))</f>
        <v>0</v>
      </c>
      <c r="K207" s="126" cm="1">
        <f t="array" ref="K207">INDEX(vertraging[[Vertraging 12 jaar]:[2034]],MATCH($F207,vertraging[Zoeksleutel],0),K$134-INDEX(aanname_implementatie[Totaal vertraging],MATCH($B207,IF(aanname_implementatie[Doelgroep]=$C207,aanname_implementatie[Digitale zorgtoepassing]),0)))</f>
        <v>2.5000000000000001E-2</v>
      </c>
      <c r="L207" s="126" cm="1">
        <f t="array" ref="L207">INDEX(vertraging[[Vertraging 12 jaar]:[2034]],MATCH($F207,vertraging[Zoeksleutel],0),L$134-INDEX(aanname_implementatie[Totaal vertraging],MATCH($B207,IF(aanname_implementatie[Doelgroep]=$C207,aanname_implementatie[Digitale zorgtoepassing]),0)))</f>
        <v>6.0343750000000002E-2</v>
      </c>
      <c r="M207" s="126" cm="1">
        <f t="array" ref="M207">INDEX(vertraging[[Vertraging 12 jaar]:[2034]],MATCH($F207,vertraging[Zoeksleutel],0),M$134-INDEX(aanname_implementatie[Totaal vertraging],MATCH($B207,IF(aanname_implementatie[Doelgroep]=$C207,aanname_implementatie[Digitale zorgtoepassing]),0)))</f>
        <v>0.10935122807617187</v>
      </c>
      <c r="N207" s="126" cm="1">
        <f t="array" ref="N207">INDEX(vertraging[[Vertraging 12 jaar]:[2034]],MATCH($F207,vertraging[Zoeksleutel],0),N$134-INDEX(aanname_implementatie[Totaal vertraging],MATCH($B207,IF(aanname_implementatie[Doelgroep]=$C207,aanname_implementatie[Digitale zorgtoepassing]),0)))</f>
        <v>0.17544453902174978</v>
      </c>
      <c r="O207" s="126" cm="1">
        <f t="array" ref="O207">INDEX(vertraging[[Vertraging 12 jaar]:[2034]],MATCH($F207,vertraging[Zoeksleutel],0),O$134-INDEX(aanname_implementatie[Totaal vertraging],MATCH($B207,IF(aanname_implementatie[Doelgroep]=$C207,aanname_implementatie[Digitale zorgtoepassing]),0)))</f>
        <v>0.26115711428334398</v>
      </c>
      <c r="P207" s="126" cm="1">
        <f t="array" ref="P207">INDEX(vertraging[[Vertraging 12 jaar]:[2034]],MATCH($F207,vertraging[Zoeksleutel],0),P$134-INDEX(aanname_implementatie[Totaal vertraging],MATCH($B207,IF(aanname_implementatie[Doelgroep]=$C207,aanname_implementatie[Digitale zorgtoepassing]),0)))</f>
        <v>0.36645752060040354</v>
      </c>
      <c r="Q207" s="126" cm="1">
        <f t="array" ref="Q207">INDEX(vertraging[[Vertraging 12 jaar]:[2034]],MATCH($F207,vertraging[Zoeksleutel],0),Q$134-INDEX(aanname_implementatie[Totaal vertraging],MATCH($B207,IF(aanname_implementatie[Doelgroep]=$C207,aanname_implementatie[Digitale zorgtoepassing]),0)))</f>
        <v>0.48677096537350723</v>
      </c>
      <c r="R207" s="126" cm="1">
        <f t="array" ref="R207">INDEX(vertraging[[Vertraging 12 jaar]:[2034]],MATCH($F207,vertraging[Zoeksleutel],0),R$134-INDEX(aanname_implementatie[Totaal vertraging],MATCH($B207,IF(aanname_implementatie[Doelgroep]=$C207,aanname_implementatie[Digitale zorgtoepassing]),0)))</f>
        <v>0.61202293792845253</v>
      </c>
    </row>
    <row r="208" spans="1:18" x14ac:dyDescent="0.5">
      <c r="A208" s="30" t="str">
        <f>INDEX(Technologieën[Veld],MATCH(B208,Technologieën[Digitale zorgtoepassing],0))</f>
        <v>Software - Diagnose</v>
      </c>
      <c r="B208" s="30" t="s">
        <v>474</v>
      </c>
      <c r="C208" s="30" t="s">
        <v>111</v>
      </c>
      <c r="D208" s="30" t="str" cm="1">
        <f t="array" ref="D208">INDEX(Berekening_patiëntaantal[Direct toepasbaar/extrapolatie/incidentie voor QALY],MATCH(B208,IF(Berekening_patiëntaantal[Doelgroep (zoeksleutel)]=C208,Berekening_patiëntaantal[Digitale zorgtoepassing]),0))</f>
        <v>Huidige toepassing</v>
      </c>
      <c r="E208" s="440" t="s">
        <v>813</v>
      </c>
      <c r="F208" s="30" t="str">
        <f>CONCATENATE(implementatie[[#This Row],[Zorgtechnologie]],"_",implementatie[[#This Row],[Doelgroep]],"_",implementatie[[#This Row],[Uitgangssituatie/effect beleid]])</f>
        <v>AI om diagnoses te stellen (app)_Huisartsconsult_Goedaardige huidplek_Uitgangssituatie</v>
      </c>
      <c r="G208" s="126" cm="1">
        <f t="array" ref="G208">INDEX(vertraging[[Vertraging 12 jaar]:[2034]],MATCH($F208,vertraging[Zoeksleutel],0),G$134-INDEX(aanname_implementatie[Totaal vertraging],MATCH($B208,IF(aanname_implementatie[Doelgroep]=$C208,aanname_implementatie[Digitale zorgtoepassing]),0)))</f>
        <v>0.4</v>
      </c>
      <c r="H208" s="126" cm="1">
        <f t="array" ref="H208">INDEX(vertraging[[Vertraging 12 jaar]:[2034]],MATCH($F208,vertraging[Zoeksleutel],0),H$134-INDEX(aanname_implementatie[Totaal vertraging],MATCH($B208,IF(aanname_implementatie[Doelgroep]=$C208,aanname_implementatie[Digitale zorgtoepassing]),0)))</f>
        <v>0.53800000000000003</v>
      </c>
      <c r="I208" s="126" cm="1">
        <f t="array" ref="I208">INDEX(vertraging[[Vertraging 12 jaar]:[2034]],MATCH($F208,vertraging[Zoeksleutel],0),I$134-INDEX(aanname_implementatie[Totaal vertraging],MATCH($B208,IF(aanname_implementatie[Doelgroep]=$C208,aanname_implementatie[Digitale zorgtoepassing]),0)))</f>
        <v>0.67613800000000002</v>
      </c>
      <c r="J208" s="126" cm="1">
        <f t="array" ref="J208">INDEX(vertraging[[Vertraging 12 jaar]:[2034]],MATCH($F208,vertraging[Zoeksleutel],0),J$134-INDEX(aanname_implementatie[Totaal vertraging],MATCH($B208,IF(aanname_implementatie[Doelgroep]=$C208,aanname_implementatie[Digitale zorgtoepassing]),0)))</f>
        <v>0.79534156247800003</v>
      </c>
      <c r="K208" s="126" cm="1">
        <f t="array" ref="K208">INDEX(vertraging[[Vertraging 12 jaar]:[2034]],MATCH($F208,vertraging[Zoeksleutel],0),K$134-INDEX(aanname_implementatie[Totaal vertraging],MATCH($B208,IF(aanname_implementatie[Doelgroep]=$C208,aanname_implementatie[Digitale zorgtoepassing]),0)))</f>
        <v>0.88286799634018676</v>
      </c>
      <c r="L208" s="126" cm="1">
        <f t="array" ref="L208">INDEX(vertraging[[Vertraging 12 jaar]:[2034]],MATCH($F208,vertraging[Zoeksleutel],0),L$134-INDEX(aanname_implementatie[Totaal vertraging],MATCH($B208,IF(aanname_implementatie[Doelgroep]=$C208,aanname_implementatie[Digitale zorgtoepassing]),0)))</f>
        <v>0.93808800513920654</v>
      </c>
      <c r="M208" s="126" cm="1">
        <f t="array" ref="M208">INDEX(vertraging[[Vertraging 12 jaar]:[2034]],MATCH($F208,vertraging[Zoeksleutel],0),M$134-INDEX(aanname_implementatie[Totaal vertraging],MATCH($B208,IF(aanname_implementatie[Doelgroep]=$C208,aanname_implementatie[Digitale zorgtoepassing]),0)))</f>
        <v>0.96898481486160559</v>
      </c>
      <c r="N208" s="126" cm="1">
        <f t="array" ref="N208">INDEX(vertraging[[Vertraging 12 jaar]:[2034]],MATCH($F208,vertraging[Zoeksleutel],0),N$134-INDEX(aanname_implementatie[Totaal vertraging],MATCH($B208,IF(aanname_implementatie[Doelgroep]=$C208,aanname_implementatie[Digitale zorgtoepassing]),0)))</f>
        <v>0.9849418921303702</v>
      </c>
      <c r="O208" s="126" cm="1">
        <f t="array" ref="O208">INDEX(vertraging[[Vertraging 12 jaar]:[2034]],MATCH($F208,vertraging[Zoeksleutel],0),O$134-INDEX(aanname_implementatie[Totaal vertraging],MATCH($B208,IF(aanname_implementatie[Doelgroep]=$C208,aanname_implementatie[Digitale zorgtoepassing]),0)))</f>
        <v>0.99280931599496725</v>
      </c>
      <c r="P208" s="126" cm="1">
        <f t="array" ref="P208">INDEX(vertraging[[Vertraging 12 jaar]:[2034]],MATCH($F208,vertraging[Zoeksleutel],0),P$134-INDEX(aanname_implementatie[Totaal vertraging],MATCH($B208,IF(aanname_implementatie[Doelgroep]=$C208,aanname_implementatie[Digitale zorgtoepassing]),0)))</f>
        <v>0.99659452554940442</v>
      </c>
      <c r="Q208" s="126" cm="1">
        <f t="array" ref="Q208">INDEX(vertraging[[Vertraging 12 jaar]:[2034]],MATCH($F208,vertraging[Zoeksleutel],0),Q$134-INDEX(aanname_implementatie[Totaal vertraging],MATCH($B208,IF(aanname_implementatie[Doelgroep]=$C208,aanname_implementatie[Digitale zorgtoepassing]),0)))</f>
        <v>0.99839362838010326</v>
      </c>
      <c r="R208" s="126" cm="1">
        <f t="array" ref="R208">INDEX(vertraging[[Vertraging 12 jaar]:[2034]],MATCH($F208,vertraging[Zoeksleutel],0),R$134-INDEX(aanname_implementatie[Totaal vertraging],MATCH($B208,IF(aanname_implementatie[Doelgroep]=$C208,aanname_implementatie[Digitale zorgtoepassing]),0)))</f>
        <v>0.99924371512375787</v>
      </c>
    </row>
    <row r="209" spans="1:18" x14ac:dyDescent="0.5">
      <c r="A209" s="30" t="str">
        <f>INDEX(Technologieën[Veld],MATCH(B209,Technologieën[Digitale zorgtoepassing],0))</f>
        <v>Software - Diagnose</v>
      </c>
      <c r="B209" s="30" t="s">
        <v>473</v>
      </c>
      <c r="C209" s="30" t="s">
        <v>455</v>
      </c>
      <c r="D209" s="30" t="str" cm="1">
        <f t="array" ref="D209">INDEX(Berekening_patiëntaantal[Direct toepasbaar/extrapolatie/incidentie voor QALY],MATCH(B209,IF(Berekening_patiëntaantal[Doelgroep (zoeksleutel)]=C209,Berekening_patiëntaantal[Digitale zorgtoepassing]),0))</f>
        <v>Huidige toepassing</v>
      </c>
      <c r="E209" s="440" t="s">
        <v>813</v>
      </c>
      <c r="F209" s="30" t="str">
        <f>CONCATENATE(implementatie[[#This Row],[Zorgtechnologie]],"_",implementatie[[#This Row],[Doelgroep]],"_",implementatie[[#This Row],[Uitgangssituatie/effect beleid]])</f>
        <v>AI om diagnoses te stellen (CT)_CT scan_Interstitiële longaandoening_Uitgangssituatie</v>
      </c>
      <c r="G209" s="126" cm="1">
        <f t="array" ref="G209">INDEX(vertraging[[Vertraging 12 jaar]:[2034]],MATCH($F209,vertraging[Zoeksleutel],0),G$134-INDEX(aanname_implementatie[Totaal vertraging],MATCH($B209,IF(aanname_implementatie[Doelgroep]=$C209,aanname_implementatie[Digitale zorgtoepassing]),0)))</f>
        <v>0.4</v>
      </c>
      <c r="H209" s="126" cm="1">
        <f t="array" ref="H209">INDEX(vertraging[[Vertraging 12 jaar]:[2034]],MATCH($F209,vertraging[Zoeksleutel],0),H$134-INDEX(aanname_implementatie[Totaal vertraging],MATCH($B209,IF(aanname_implementatie[Doelgroep]=$C209,aanname_implementatie[Digitale zorgtoepassing]),0)))</f>
        <v>0.53800000000000003</v>
      </c>
      <c r="I209" s="126" cm="1">
        <f t="array" ref="I209">INDEX(vertraging[[Vertraging 12 jaar]:[2034]],MATCH($F209,vertraging[Zoeksleutel],0),I$134-INDEX(aanname_implementatie[Totaal vertraging],MATCH($B209,IF(aanname_implementatie[Doelgroep]=$C209,aanname_implementatie[Digitale zorgtoepassing]),0)))</f>
        <v>0.67613800000000002</v>
      </c>
      <c r="J209" s="126" cm="1">
        <f t="array" ref="J209">INDEX(vertraging[[Vertraging 12 jaar]:[2034]],MATCH($F209,vertraging[Zoeksleutel],0),J$134-INDEX(aanname_implementatie[Totaal vertraging],MATCH($B209,IF(aanname_implementatie[Doelgroep]=$C209,aanname_implementatie[Digitale zorgtoepassing]),0)))</f>
        <v>0.79534156247800003</v>
      </c>
      <c r="K209" s="126" cm="1">
        <f t="array" ref="K209">INDEX(vertraging[[Vertraging 12 jaar]:[2034]],MATCH($F209,vertraging[Zoeksleutel],0),K$134-INDEX(aanname_implementatie[Totaal vertraging],MATCH($B209,IF(aanname_implementatie[Doelgroep]=$C209,aanname_implementatie[Digitale zorgtoepassing]),0)))</f>
        <v>0.88286799634018676</v>
      </c>
      <c r="L209" s="126" cm="1">
        <f t="array" ref="L209">INDEX(vertraging[[Vertraging 12 jaar]:[2034]],MATCH($F209,vertraging[Zoeksleutel],0),L$134-INDEX(aanname_implementatie[Totaal vertraging],MATCH($B209,IF(aanname_implementatie[Doelgroep]=$C209,aanname_implementatie[Digitale zorgtoepassing]),0)))</f>
        <v>0.93808800513920654</v>
      </c>
      <c r="M209" s="126" cm="1">
        <f t="array" ref="M209">INDEX(vertraging[[Vertraging 12 jaar]:[2034]],MATCH($F209,vertraging[Zoeksleutel],0),M$134-INDEX(aanname_implementatie[Totaal vertraging],MATCH($B209,IF(aanname_implementatie[Doelgroep]=$C209,aanname_implementatie[Digitale zorgtoepassing]),0)))</f>
        <v>0.96898481486160559</v>
      </c>
      <c r="N209" s="126" cm="1">
        <f t="array" ref="N209">INDEX(vertraging[[Vertraging 12 jaar]:[2034]],MATCH($F209,vertraging[Zoeksleutel],0),N$134-INDEX(aanname_implementatie[Totaal vertraging],MATCH($B209,IF(aanname_implementatie[Doelgroep]=$C209,aanname_implementatie[Digitale zorgtoepassing]),0)))</f>
        <v>0.9849418921303702</v>
      </c>
      <c r="O209" s="126" cm="1">
        <f t="array" ref="O209">INDEX(vertraging[[Vertraging 12 jaar]:[2034]],MATCH($F209,vertraging[Zoeksleutel],0),O$134-INDEX(aanname_implementatie[Totaal vertraging],MATCH($B209,IF(aanname_implementatie[Doelgroep]=$C209,aanname_implementatie[Digitale zorgtoepassing]),0)))</f>
        <v>0.99280931599496725</v>
      </c>
      <c r="P209" s="126" cm="1">
        <f t="array" ref="P209">INDEX(vertraging[[Vertraging 12 jaar]:[2034]],MATCH($F209,vertraging[Zoeksleutel],0),P$134-INDEX(aanname_implementatie[Totaal vertraging],MATCH($B209,IF(aanname_implementatie[Doelgroep]=$C209,aanname_implementatie[Digitale zorgtoepassing]),0)))</f>
        <v>0.99659452554940442</v>
      </c>
      <c r="Q209" s="126" cm="1">
        <f t="array" ref="Q209">INDEX(vertraging[[Vertraging 12 jaar]:[2034]],MATCH($F209,vertraging[Zoeksleutel],0),Q$134-INDEX(aanname_implementatie[Totaal vertraging],MATCH($B209,IF(aanname_implementatie[Doelgroep]=$C209,aanname_implementatie[Digitale zorgtoepassing]),0)))</f>
        <v>0.99839362838010326</v>
      </c>
      <c r="R209" s="126" cm="1">
        <f t="array" ref="R209">INDEX(vertraging[[Vertraging 12 jaar]:[2034]],MATCH($F209,vertraging[Zoeksleutel],0),R$134-INDEX(aanname_implementatie[Totaal vertraging],MATCH($B209,IF(aanname_implementatie[Doelgroep]=$C209,aanname_implementatie[Digitale zorgtoepassing]),0)))</f>
        <v>0.99924371512375787</v>
      </c>
    </row>
    <row r="210" spans="1:18" x14ac:dyDescent="0.5">
      <c r="A210" s="30" t="str">
        <f>INDEX(Technologieën[Veld],MATCH(B210,Technologieën[Digitale zorgtoepassing],0))</f>
        <v>Software - Diagnose</v>
      </c>
      <c r="B210" s="30" t="s">
        <v>473</v>
      </c>
      <c r="C210" s="30" t="s">
        <v>451</v>
      </c>
      <c r="D210" s="30" t="str" cm="1">
        <f t="array" ref="D210">INDEX(Berekening_patiëntaantal[Direct toepasbaar/extrapolatie/incidentie voor QALY],MATCH(B210,IF(Berekening_patiëntaantal[Doelgroep (zoeksleutel)]=C210,Berekening_patiëntaantal[Digitale zorgtoepassing]),0))</f>
        <v>Huidige toepassing</v>
      </c>
      <c r="E210" s="440" t="s">
        <v>813</v>
      </c>
      <c r="F210" s="30" t="str">
        <f>CONCATENATE(implementatie[[#This Row],[Zorgtechnologie]],"_",implementatie[[#This Row],[Doelgroep]],"_",implementatie[[#This Row],[Uitgangssituatie/effect beleid]])</f>
        <v>AI om diagnoses te stellen (CT)_CT scan_Longkanker_Uitgangssituatie</v>
      </c>
      <c r="G210" s="126" cm="1">
        <f t="array" ref="G210">INDEX(vertraging[[Vertraging 12 jaar]:[2034]],MATCH($F210,vertraging[Zoeksleutel],0),G$134-INDEX(aanname_implementatie[Totaal vertraging],MATCH($B210,IF(aanname_implementatie[Doelgroep]=$C210,aanname_implementatie[Digitale zorgtoepassing]),0)))</f>
        <v>0.4</v>
      </c>
      <c r="H210" s="126" cm="1">
        <f t="array" ref="H210">INDEX(vertraging[[Vertraging 12 jaar]:[2034]],MATCH($F210,vertraging[Zoeksleutel],0),H$134-INDEX(aanname_implementatie[Totaal vertraging],MATCH($B210,IF(aanname_implementatie[Doelgroep]=$C210,aanname_implementatie[Digitale zorgtoepassing]),0)))</f>
        <v>0.53800000000000003</v>
      </c>
      <c r="I210" s="126" cm="1">
        <f t="array" ref="I210">INDEX(vertraging[[Vertraging 12 jaar]:[2034]],MATCH($F210,vertraging[Zoeksleutel],0),I$134-INDEX(aanname_implementatie[Totaal vertraging],MATCH($B210,IF(aanname_implementatie[Doelgroep]=$C210,aanname_implementatie[Digitale zorgtoepassing]),0)))</f>
        <v>0.67613800000000002</v>
      </c>
      <c r="J210" s="126" cm="1">
        <f t="array" ref="J210">INDEX(vertraging[[Vertraging 12 jaar]:[2034]],MATCH($F210,vertraging[Zoeksleutel],0),J$134-INDEX(aanname_implementatie[Totaal vertraging],MATCH($B210,IF(aanname_implementatie[Doelgroep]=$C210,aanname_implementatie[Digitale zorgtoepassing]),0)))</f>
        <v>0.79534156247800003</v>
      </c>
      <c r="K210" s="126" cm="1">
        <f t="array" ref="K210">INDEX(vertraging[[Vertraging 12 jaar]:[2034]],MATCH($F210,vertraging[Zoeksleutel],0),K$134-INDEX(aanname_implementatie[Totaal vertraging],MATCH($B210,IF(aanname_implementatie[Doelgroep]=$C210,aanname_implementatie[Digitale zorgtoepassing]),0)))</f>
        <v>0.88286799634018676</v>
      </c>
      <c r="L210" s="126" cm="1">
        <f t="array" ref="L210">INDEX(vertraging[[Vertraging 12 jaar]:[2034]],MATCH($F210,vertraging[Zoeksleutel],0),L$134-INDEX(aanname_implementatie[Totaal vertraging],MATCH($B210,IF(aanname_implementatie[Doelgroep]=$C210,aanname_implementatie[Digitale zorgtoepassing]),0)))</f>
        <v>0.93808800513920654</v>
      </c>
      <c r="M210" s="126" cm="1">
        <f t="array" ref="M210">INDEX(vertraging[[Vertraging 12 jaar]:[2034]],MATCH($F210,vertraging[Zoeksleutel],0),M$134-INDEX(aanname_implementatie[Totaal vertraging],MATCH($B210,IF(aanname_implementatie[Doelgroep]=$C210,aanname_implementatie[Digitale zorgtoepassing]),0)))</f>
        <v>0.96898481486160559</v>
      </c>
      <c r="N210" s="126" cm="1">
        <f t="array" ref="N210">INDEX(vertraging[[Vertraging 12 jaar]:[2034]],MATCH($F210,vertraging[Zoeksleutel],0),N$134-INDEX(aanname_implementatie[Totaal vertraging],MATCH($B210,IF(aanname_implementatie[Doelgroep]=$C210,aanname_implementatie[Digitale zorgtoepassing]),0)))</f>
        <v>0.9849418921303702</v>
      </c>
      <c r="O210" s="126" cm="1">
        <f t="array" ref="O210">INDEX(vertraging[[Vertraging 12 jaar]:[2034]],MATCH($F210,vertraging[Zoeksleutel],0),O$134-INDEX(aanname_implementatie[Totaal vertraging],MATCH($B210,IF(aanname_implementatie[Doelgroep]=$C210,aanname_implementatie[Digitale zorgtoepassing]),0)))</f>
        <v>0.99280931599496725</v>
      </c>
      <c r="P210" s="126" cm="1">
        <f t="array" ref="P210">INDEX(vertraging[[Vertraging 12 jaar]:[2034]],MATCH($F210,vertraging[Zoeksleutel],0),P$134-INDEX(aanname_implementatie[Totaal vertraging],MATCH($B210,IF(aanname_implementatie[Doelgroep]=$C210,aanname_implementatie[Digitale zorgtoepassing]),0)))</f>
        <v>0.99659452554940442</v>
      </c>
      <c r="Q210" s="126" cm="1">
        <f t="array" ref="Q210">INDEX(vertraging[[Vertraging 12 jaar]:[2034]],MATCH($F210,vertraging[Zoeksleutel],0),Q$134-INDEX(aanname_implementatie[Totaal vertraging],MATCH($B210,IF(aanname_implementatie[Doelgroep]=$C210,aanname_implementatie[Digitale zorgtoepassing]),0)))</f>
        <v>0.99839362838010326</v>
      </c>
      <c r="R210" s="126" cm="1">
        <f t="array" ref="R210">INDEX(vertraging[[Vertraging 12 jaar]:[2034]],MATCH($F210,vertraging[Zoeksleutel],0),R$134-INDEX(aanname_implementatie[Totaal vertraging],MATCH($B210,IF(aanname_implementatie[Doelgroep]=$C210,aanname_implementatie[Digitale zorgtoepassing]),0)))</f>
        <v>0.99924371512375787</v>
      </c>
    </row>
    <row r="211" spans="1:18" x14ac:dyDescent="0.5">
      <c r="A211" s="30" t="str">
        <f>INDEX(Technologieën[Veld],MATCH(B211,Technologieën[Digitale zorgtoepassing],0))</f>
        <v>Software - Diagnose</v>
      </c>
      <c r="B211" s="30" t="s">
        <v>473</v>
      </c>
      <c r="C211" s="30" t="s">
        <v>464</v>
      </c>
      <c r="D211" s="30" t="str" cm="1">
        <f t="array" ref="D211">INDEX(Berekening_patiëntaantal[Direct toepasbaar/extrapolatie/incidentie voor QALY],MATCH(B211,IF(Berekening_patiëntaantal[Doelgroep (zoeksleutel)]=C211,Berekening_patiëntaantal[Digitale zorgtoepassing]),0))</f>
        <v>Extrapolatie</v>
      </c>
      <c r="E211" s="440" t="s">
        <v>813</v>
      </c>
      <c r="F211" s="30" t="str">
        <f>CONCATENATE(implementatie[[#This Row],[Zorgtechnologie]],"_",implementatie[[#This Row],[Doelgroep]],"_",implementatie[[#This Row],[Uitgangssituatie/effect beleid]])</f>
        <v>AI om diagnoses te stellen (CT)_CT scan_Overig_Uitgangssituatie</v>
      </c>
      <c r="G211" s="126" cm="1">
        <f t="array" ref="G211">INDEX(vertraging[[Vertraging 12 jaar]:[2034]],MATCH($F211,vertraging[Zoeksleutel],0),G$134-INDEX(aanname_implementatie[Totaal vertraging],MATCH($B211,IF(aanname_implementatie[Doelgroep]=$C211,aanname_implementatie[Digitale zorgtoepassing]),0)))</f>
        <v>0</v>
      </c>
      <c r="H211" s="126" cm="1">
        <f t="array" ref="H211">INDEX(vertraging[[Vertraging 12 jaar]:[2034]],MATCH($F211,vertraging[Zoeksleutel],0),H$134-INDEX(aanname_implementatie[Totaal vertraging],MATCH($B211,IF(aanname_implementatie[Doelgroep]=$C211,aanname_implementatie[Digitale zorgtoepassing]),0)))</f>
        <v>0</v>
      </c>
      <c r="I211" s="126" cm="1">
        <f t="array" ref="I211">INDEX(vertraging[[Vertraging 12 jaar]:[2034]],MATCH($F211,vertraging[Zoeksleutel],0),I$134-INDEX(aanname_implementatie[Totaal vertraging],MATCH($B211,IF(aanname_implementatie[Doelgroep]=$C211,aanname_implementatie[Digitale zorgtoepassing]),0)))</f>
        <v>0</v>
      </c>
      <c r="J211" s="126" cm="1">
        <f t="array" ref="J211">INDEX(vertraging[[Vertraging 12 jaar]:[2034]],MATCH($F211,vertraging[Zoeksleutel],0),J$134-INDEX(aanname_implementatie[Totaal vertraging],MATCH($B211,IF(aanname_implementatie[Doelgroep]=$C211,aanname_implementatie[Digitale zorgtoepassing]),0)))</f>
        <v>0</v>
      </c>
      <c r="K211" s="126" cm="1">
        <f t="array" ref="K211">INDEX(vertraging[[Vertraging 12 jaar]:[2034]],MATCH($F211,vertraging[Zoeksleutel],0),K$134-INDEX(aanname_implementatie[Totaal vertraging],MATCH($B211,IF(aanname_implementatie[Doelgroep]=$C211,aanname_implementatie[Digitale zorgtoepassing]),0)))</f>
        <v>0.03</v>
      </c>
      <c r="L211" s="126" cm="1">
        <f t="array" ref="L211">INDEX(vertraging[[Vertraging 12 jaar]:[2034]],MATCH($F211,vertraging[Zoeksleutel],0),L$134-INDEX(aanname_implementatie[Totaal vertraging],MATCH($B211,IF(aanname_implementatie[Doelgroep]=$C211,aanname_implementatie[Digitale zorgtoepassing]),0)))</f>
        <v>7.3649999999999993E-2</v>
      </c>
      <c r="M211" s="126" cm="1">
        <f t="array" ref="M211">INDEX(vertraging[[Vertraging 12 jaar]:[2034]],MATCH($F211,vertraging[Zoeksleutel],0),M$134-INDEX(aanname_implementatie[Totaal vertraging],MATCH($B211,IF(aanname_implementatie[Doelgroep]=$C211,aanname_implementatie[Digitale zorgtoepassing]),0)))</f>
        <v>0.13555333874999997</v>
      </c>
      <c r="N211" s="126" cm="1">
        <f t="array" ref="N211">INDEX(vertraging[[Vertraging 12 jaar]:[2034]],MATCH($F211,vertraging[Zoeksleutel],0),N$134-INDEX(aanname_implementatie[Totaal vertraging],MATCH($B211,IF(aanname_implementatie[Doelgroep]=$C211,aanname_implementatie[Digitale zorgtoepassing]),0)))</f>
        <v>0.22007605413936385</v>
      </c>
      <c r="O211" s="126" cm="1">
        <f t="array" ref="O211">INDEX(vertraging[[Vertraging 12 jaar]:[2034]],MATCH($F211,vertraging[Zoeksleutel],0),O$134-INDEX(aanname_implementatie[Totaal vertraging],MATCH($B211,IF(aanname_implementatie[Doelgroep]=$C211,aanname_implementatie[Digitale zorgtoepassing]),0)))</f>
        <v>0.32929506478208875</v>
      </c>
      <c r="P211" s="126" cm="1">
        <f t="array" ref="P211">INDEX(vertraging[[Vertraging 12 jaar]:[2034]],MATCH($F211,vertraging[Zoeksleutel],0),P$134-INDEX(aanname_implementatie[Totaal vertraging],MATCH($B211,IF(aanname_implementatie[Doelgroep]=$C211,aanname_implementatie[Digitale zorgtoepassing]),0)))</f>
        <v>0.4598461253847505</v>
      </c>
      <c r="Q211" s="126" cm="1">
        <f t="array" ref="Q211">INDEX(vertraging[[Vertraging 12 jaar]:[2034]],MATCH($F211,vertraging[Zoeksleutel],0),Q$134-INDEX(aanname_implementatie[Totaal vertraging],MATCH($B211,IF(aanname_implementatie[Doelgroep]=$C211,aanname_implementatie[Digitale zorgtoepassing]),0)))</f>
        <v>0.60024457479989934</v>
      </c>
      <c r="R211" s="126" cm="1">
        <f t="array" ref="R211">INDEX(vertraging[[Vertraging 12 jaar]:[2034]],MATCH($F211,vertraging[Zoeksleutel],0),R$134-INDEX(aanname_implementatie[Totaal vertraging],MATCH($B211,IF(aanname_implementatie[Doelgroep]=$C211,aanname_implementatie[Digitale zorgtoepassing]),0)))</f>
        <v>0.73221275016749598</v>
      </c>
    </row>
    <row r="212" spans="1:18" x14ac:dyDescent="0.5">
      <c r="A212" s="30" t="str">
        <f>INDEX(Technologieën[Veld],MATCH(B212,Technologieën[Digitale zorgtoepassing],0))</f>
        <v>Software - Diagnose</v>
      </c>
      <c r="B212" s="30" t="s">
        <v>473</v>
      </c>
      <c r="C212" s="30" t="s">
        <v>75</v>
      </c>
      <c r="D212" s="30" t="str" cm="1">
        <f t="array" ref="D212">INDEX(Berekening_patiëntaantal[Direct toepasbaar/extrapolatie/incidentie voor QALY],MATCH(B212,IF(Berekening_patiëntaantal[Doelgroep (zoeksleutel)]=C212,Berekening_patiëntaantal[Digitale zorgtoepassing]),0))</f>
        <v>Incidentie voor QALY</v>
      </c>
      <c r="E212" s="440" t="s">
        <v>813</v>
      </c>
      <c r="F212" s="30" t="str">
        <f>CONCATENATE(implementatie[[#This Row],[Zorgtechnologie]],"_",implementatie[[#This Row],[Doelgroep]],"_",implementatie[[#This Row],[Uitgangssituatie/effect beleid]])</f>
        <v>AI om diagnoses te stellen (CT)_Longkanker_Uitgangssituatie</v>
      </c>
      <c r="G212" s="126" cm="1">
        <f t="array" ref="G212">INDEX(vertraging[[Vertraging 12 jaar]:[2034]],MATCH($F212,vertraging[Zoeksleutel],0),G$134-INDEX(aanname_implementatie[Totaal vertraging],MATCH($B212,IF(aanname_implementatie[Doelgroep]=$C212,aanname_implementatie[Digitale zorgtoepassing]),0)))</f>
        <v>0.4</v>
      </c>
      <c r="H212" s="126" cm="1">
        <f t="array" ref="H212">INDEX(vertraging[[Vertraging 12 jaar]:[2034]],MATCH($F212,vertraging[Zoeksleutel],0),H$134-INDEX(aanname_implementatie[Totaal vertraging],MATCH($B212,IF(aanname_implementatie[Doelgroep]=$C212,aanname_implementatie[Digitale zorgtoepassing]),0)))</f>
        <v>0.53800000000000003</v>
      </c>
      <c r="I212" s="126" cm="1">
        <f t="array" ref="I212">INDEX(vertraging[[Vertraging 12 jaar]:[2034]],MATCH($F212,vertraging[Zoeksleutel],0),I$134-INDEX(aanname_implementatie[Totaal vertraging],MATCH($B212,IF(aanname_implementatie[Doelgroep]=$C212,aanname_implementatie[Digitale zorgtoepassing]),0)))</f>
        <v>0.67613800000000002</v>
      </c>
      <c r="J212" s="126" cm="1">
        <f t="array" ref="J212">INDEX(vertraging[[Vertraging 12 jaar]:[2034]],MATCH($F212,vertraging[Zoeksleutel],0),J$134-INDEX(aanname_implementatie[Totaal vertraging],MATCH($B212,IF(aanname_implementatie[Doelgroep]=$C212,aanname_implementatie[Digitale zorgtoepassing]),0)))</f>
        <v>0.79534156247800003</v>
      </c>
      <c r="K212" s="126" cm="1">
        <f t="array" ref="K212">INDEX(vertraging[[Vertraging 12 jaar]:[2034]],MATCH($F212,vertraging[Zoeksleutel],0),K$134-INDEX(aanname_implementatie[Totaal vertraging],MATCH($B212,IF(aanname_implementatie[Doelgroep]=$C212,aanname_implementatie[Digitale zorgtoepassing]),0)))</f>
        <v>0.88286799634018676</v>
      </c>
      <c r="L212" s="126" cm="1">
        <f t="array" ref="L212">INDEX(vertraging[[Vertraging 12 jaar]:[2034]],MATCH($F212,vertraging[Zoeksleutel],0),L$134-INDEX(aanname_implementatie[Totaal vertraging],MATCH($B212,IF(aanname_implementatie[Doelgroep]=$C212,aanname_implementatie[Digitale zorgtoepassing]),0)))</f>
        <v>0.93808800513920654</v>
      </c>
      <c r="M212" s="126" cm="1">
        <f t="array" ref="M212">INDEX(vertraging[[Vertraging 12 jaar]:[2034]],MATCH($F212,vertraging[Zoeksleutel],0),M$134-INDEX(aanname_implementatie[Totaal vertraging],MATCH($B212,IF(aanname_implementatie[Doelgroep]=$C212,aanname_implementatie[Digitale zorgtoepassing]),0)))</f>
        <v>0.96898481486160559</v>
      </c>
      <c r="N212" s="126" cm="1">
        <f t="array" ref="N212">INDEX(vertraging[[Vertraging 12 jaar]:[2034]],MATCH($F212,vertraging[Zoeksleutel],0),N$134-INDEX(aanname_implementatie[Totaal vertraging],MATCH($B212,IF(aanname_implementatie[Doelgroep]=$C212,aanname_implementatie[Digitale zorgtoepassing]),0)))</f>
        <v>0.9849418921303702</v>
      </c>
      <c r="O212" s="126" cm="1">
        <f t="array" ref="O212">INDEX(vertraging[[Vertraging 12 jaar]:[2034]],MATCH($F212,vertraging[Zoeksleutel],0),O$134-INDEX(aanname_implementatie[Totaal vertraging],MATCH($B212,IF(aanname_implementatie[Doelgroep]=$C212,aanname_implementatie[Digitale zorgtoepassing]),0)))</f>
        <v>0.99280931599496725</v>
      </c>
      <c r="P212" s="126" cm="1">
        <f t="array" ref="P212">INDEX(vertraging[[Vertraging 12 jaar]:[2034]],MATCH($F212,vertraging[Zoeksleutel],0),P$134-INDEX(aanname_implementatie[Totaal vertraging],MATCH($B212,IF(aanname_implementatie[Doelgroep]=$C212,aanname_implementatie[Digitale zorgtoepassing]),0)))</f>
        <v>0.99659452554940442</v>
      </c>
      <c r="Q212" s="126" cm="1">
        <f t="array" ref="Q212">INDEX(vertraging[[Vertraging 12 jaar]:[2034]],MATCH($F212,vertraging[Zoeksleutel],0),Q$134-INDEX(aanname_implementatie[Totaal vertraging],MATCH($B212,IF(aanname_implementatie[Doelgroep]=$C212,aanname_implementatie[Digitale zorgtoepassing]),0)))</f>
        <v>0.99839362838010326</v>
      </c>
      <c r="R212" s="126" cm="1">
        <f t="array" ref="R212">INDEX(vertraging[[Vertraging 12 jaar]:[2034]],MATCH($F212,vertraging[Zoeksleutel],0),R$134-INDEX(aanname_implementatie[Totaal vertraging],MATCH($B212,IF(aanname_implementatie[Doelgroep]=$C212,aanname_implementatie[Digitale zorgtoepassing]),0)))</f>
        <v>0.99924371512375787</v>
      </c>
    </row>
    <row r="213" spans="1:18" x14ac:dyDescent="0.5">
      <c r="A213" s="30" t="str">
        <f>INDEX(Technologieën[Veld],MATCH(B213,Technologieën[Digitale zorgtoepassing],0))</f>
        <v>Software - Diagnose</v>
      </c>
      <c r="B213" s="30" t="s">
        <v>472</v>
      </c>
      <c r="C213" s="30" t="s">
        <v>465</v>
      </c>
      <c r="D213" s="30" t="str" cm="1">
        <f t="array" ref="D213">INDEX(Berekening_patiëntaantal[Direct toepasbaar/extrapolatie/incidentie voor QALY],MATCH(B213,IF(Berekening_patiëntaantal[Doelgroep (zoeksleutel)]=C213,Berekening_patiëntaantal[Digitale zorgtoepassing]),0))</f>
        <v>Extrapolatie</v>
      </c>
      <c r="E213" s="440" t="s">
        <v>813</v>
      </c>
      <c r="F213" s="30" t="str">
        <f>CONCATENATE(implementatie[[#This Row],[Zorgtechnologie]],"_",implementatie[[#This Row],[Doelgroep]],"_",implementatie[[#This Row],[Uitgangssituatie/effect beleid]])</f>
        <v>AI om diagnoses te stellen (MRI)_MRI onderzoek_Overig_Uitgangssituatie</v>
      </c>
      <c r="G213" s="126" cm="1">
        <f t="array" ref="G213">INDEX(vertraging[[Vertraging 12 jaar]:[2034]],MATCH($F213,vertraging[Zoeksleutel],0),G$134-INDEX(aanname_implementatie[Totaal vertraging],MATCH($B213,IF(aanname_implementatie[Doelgroep]=$C213,aanname_implementatie[Digitale zorgtoepassing]),0)))</f>
        <v>0</v>
      </c>
      <c r="H213" s="126" cm="1">
        <f t="array" ref="H213">INDEX(vertraging[[Vertraging 12 jaar]:[2034]],MATCH($F213,vertraging[Zoeksleutel],0),H$134-INDEX(aanname_implementatie[Totaal vertraging],MATCH($B213,IF(aanname_implementatie[Doelgroep]=$C213,aanname_implementatie[Digitale zorgtoepassing]),0)))</f>
        <v>0</v>
      </c>
      <c r="I213" s="126" cm="1">
        <f t="array" ref="I213">INDEX(vertraging[[Vertraging 12 jaar]:[2034]],MATCH($F213,vertraging[Zoeksleutel],0),I$134-INDEX(aanname_implementatie[Totaal vertraging],MATCH($B213,IF(aanname_implementatie[Doelgroep]=$C213,aanname_implementatie[Digitale zorgtoepassing]),0)))</f>
        <v>0</v>
      </c>
      <c r="J213" s="126" cm="1">
        <f t="array" ref="J213">INDEX(vertraging[[Vertraging 12 jaar]:[2034]],MATCH($F213,vertraging[Zoeksleutel],0),J$134-INDEX(aanname_implementatie[Totaal vertraging],MATCH($B213,IF(aanname_implementatie[Doelgroep]=$C213,aanname_implementatie[Digitale zorgtoepassing]),0)))</f>
        <v>0</v>
      </c>
      <c r="K213" s="126" cm="1">
        <f t="array" ref="K213">INDEX(vertraging[[Vertraging 12 jaar]:[2034]],MATCH($F213,vertraging[Zoeksleutel],0),K$134-INDEX(aanname_implementatie[Totaal vertraging],MATCH($B213,IF(aanname_implementatie[Doelgroep]=$C213,aanname_implementatie[Digitale zorgtoepassing]),0)))</f>
        <v>0.03</v>
      </c>
      <c r="L213" s="126" cm="1">
        <f t="array" ref="L213">INDEX(vertraging[[Vertraging 12 jaar]:[2034]],MATCH($F213,vertraging[Zoeksleutel],0),L$134-INDEX(aanname_implementatie[Totaal vertraging],MATCH($B213,IF(aanname_implementatie[Doelgroep]=$C213,aanname_implementatie[Digitale zorgtoepassing]),0)))</f>
        <v>7.3649999999999993E-2</v>
      </c>
      <c r="M213" s="126" cm="1">
        <f t="array" ref="M213">INDEX(vertraging[[Vertraging 12 jaar]:[2034]],MATCH($F213,vertraging[Zoeksleutel],0),M$134-INDEX(aanname_implementatie[Totaal vertraging],MATCH($B213,IF(aanname_implementatie[Doelgroep]=$C213,aanname_implementatie[Digitale zorgtoepassing]),0)))</f>
        <v>0.13555333874999997</v>
      </c>
      <c r="N213" s="126" cm="1">
        <f t="array" ref="N213">INDEX(vertraging[[Vertraging 12 jaar]:[2034]],MATCH($F213,vertraging[Zoeksleutel],0),N$134-INDEX(aanname_implementatie[Totaal vertraging],MATCH($B213,IF(aanname_implementatie[Doelgroep]=$C213,aanname_implementatie[Digitale zorgtoepassing]),0)))</f>
        <v>0.22007605413936385</v>
      </c>
      <c r="O213" s="126" cm="1">
        <f t="array" ref="O213">INDEX(vertraging[[Vertraging 12 jaar]:[2034]],MATCH($F213,vertraging[Zoeksleutel],0),O$134-INDEX(aanname_implementatie[Totaal vertraging],MATCH($B213,IF(aanname_implementatie[Doelgroep]=$C213,aanname_implementatie[Digitale zorgtoepassing]),0)))</f>
        <v>0.32929506478208875</v>
      </c>
      <c r="P213" s="126" cm="1">
        <f t="array" ref="P213">INDEX(vertraging[[Vertraging 12 jaar]:[2034]],MATCH($F213,vertraging[Zoeksleutel],0),P$134-INDEX(aanname_implementatie[Totaal vertraging],MATCH($B213,IF(aanname_implementatie[Doelgroep]=$C213,aanname_implementatie[Digitale zorgtoepassing]),0)))</f>
        <v>0.4598461253847505</v>
      </c>
      <c r="Q213" s="126" cm="1">
        <f t="array" ref="Q213">INDEX(vertraging[[Vertraging 12 jaar]:[2034]],MATCH($F213,vertraging[Zoeksleutel],0),Q$134-INDEX(aanname_implementatie[Totaal vertraging],MATCH($B213,IF(aanname_implementatie[Doelgroep]=$C213,aanname_implementatie[Digitale zorgtoepassing]),0)))</f>
        <v>0.60024457479989934</v>
      </c>
      <c r="R213" s="126" cm="1">
        <f t="array" ref="R213">INDEX(vertraging[[Vertraging 12 jaar]:[2034]],MATCH($F213,vertraging[Zoeksleutel],0),R$134-INDEX(aanname_implementatie[Totaal vertraging],MATCH($B213,IF(aanname_implementatie[Doelgroep]=$C213,aanname_implementatie[Digitale zorgtoepassing]),0)))</f>
        <v>0.73221275016749598</v>
      </c>
    </row>
    <row r="214" spans="1:18" x14ac:dyDescent="0.5">
      <c r="A214" s="30" t="str">
        <f>INDEX(Technologieën[Veld],MATCH(B214,Technologieën[Digitale zorgtoepassing],0))</f>
        <v>Software - Diagnose</v>
      </c>
      <c r="B214" s="30" t="s">
        <v>472</v>
      </c>
      <c r="C214" s="30" t="s">
        <v>442</v>
      </c>
      <c r="D214" s="30" t="str" cm="1">
        <f t="array" ref="D214">INDEX(Berekening_patiëntaantal[Direct toepasbaar/extrapolatie/incidentie voor QALY],MATCH(B214,IF(Berekening_patiëntaantal[Doelgroep (zoeksleutel)]=C214,Berekening_patiëntaantal[Digitale zorgtoepassing]),0))</f>
        <v>Huidige toepassing</v>
      </c>
      <c r="E214" s="440" t="s">
        <v>813</v>
      </c>
      <c r="F214" s="30" t="str">
        <f>CONCATENATE(implementatie[[#This Row],[Zorgtechnologie]],"_",implementatie[[#This Row],[Doelgroep]],"_",implementatie[[#This Row],[Uitgangssituatie/effect beleid]])</f>
        <v>AI om diagnoses te stellen (MRI)_MRI onderzoek_Prostaatkanker_Uitgangssituatie</v>
      </c>
      <c r="G214" s="126" cm="1">
        <f t="array" ref="G214">INDEX(vertraging[[Vertraging 12 jaar]:[2034]],MATCH($F214,vertraging[Zoeksleutel],0),G$134-INDEX(aanname_implementatie[Totaal vertraging],MATCH($B214,IF(aanname_implementatie[Doelgroep]=$C214,aanname_implementatie[Digitale zorgtoepassing]),0)))</f>
        <v>0.4</v>
      </c>
      <c r="H214" s="126" cm="1">
        <f t="array" ref="H214">INDEX(vertraging[[Vertraging 12 jaar]:[2034]],MATCH($F214,vertraging[Zoeksleutel],0),H$134-INDEX(aanname_implementatie[Totaal vertraging],MATCH($B214,IF(aanname_implementatie[Doelgroep]=$C214,aanname_implementatie[Digitale zorgtoepassing]),0)))</f>
        <v>0.53800000000000003</v>
      </c>
      <c r="I214" s="126" cm="1">
        <f t="array" ref="I214">INDEX(vertraging[[Vertraging 12 jaar]:[2034]],MATCH($F214,vertraging[Zoeksleutel],0),I$134-INDEX(aanname_implementatie[Totaal vertraging],MATCH($B214,IF(aanname_implementatie[Doelgroep]=$C214,aanname_implementatie[Digitale zorgtoepassing]),0)))</f>
        <v>0.67613800000000002</v>
      </c>
      <c r="J214" s="126" cm="1">
        <f t="array" ref="J214">INDEX(vertraging[[Vertraging 12 jaar]:[2034]],MATCH($F214,vertraging[Zoeksleutel],0),J$134-INDEX(aanname_implementatie[Totaal vertraging],MATCH($B214,IF(aanname_implementatie[Doelgroep]=$C214,aanname_implementatie[Digitale zorgtoepassing]),0)))</f>
        <v>0.79534156247800003</v>
      </c>
      <c r="K214" s="126" cm="1">
        <f t="array" ref="K214">INDEX(vertraging[[Vertraging 12 jaar]:[2034]],MATCH($F214,vertraging[Zoeksleutel],0),K$134-INDEX(aanname_implementatie[Totaal vertraging],MATCH($B214,IF(aanname_implementatie[Doelgroep]=$C214,aanname_implementatie[Digitale zorgtoepassing]),0)))</f>
        <v>0.88286799634018676</v>
      </c>
      <c r="L214" s="126" cm="1">
        <f t="array" ref="L214">INDEX(vertraging[[Vertraging 12 jaar]:[2034]],MATCH($F214,vertraging[Zoeksleutel],0),L$134-INDEX(aanname_implementatie[Totaal vertraging],MATCH($B214,IF(aanname_implementatie[Doelgroep]=$C214,aanname_implementatie[Digitale zorgtoepassing]),0)))</f>
        <v>0.93808800513920654</v>
      </c>
      <c r="M214" s="126" cm="1">
        <f t="array" ref="M214">INDEX(vertraging[[Vertraging 12 jaar]:[2034]],MATCH($F214,vertraging[Zoeksleutel],0),M$134-INDEX(aanname_implementatie[Totaal vertraging],MATCH($B214,IF(aanname_implementatie[Doelgroep]=$C214,aanname_implementatie[Digitale zorgtoepassing]),0)))</f>
        <v>0.96898481486160559</v>
      </c>
      <c r="N214" s="126" cm="1">
        <f t="array" ref="N214">INDEX(vertraging[[Vertraging 12 jaar]:[2034]],MATCH($F214,vertraging[Zoeksleutel],0),N$134-INDEX(aanname_implementatie[Totaal vertraging],MATCH($B214,IF(aanname_implementatie[Doelgroep]=$C214,aanname_implementatie[Digitale zorgtoepassing]),0)))</f>
        <v>0.9849418921303702</v>
      </c>
      <c r="O214" s="126" cm="1">
        <f t="array" ref="O214">INDEX(vertraging[[Vertraging 12 jaar]:[2034]],MATCH($F214,vertraging[Zoeksleutel],0),O$134-INDEX(aanname_implementatie[Totaal vertraging],MATCH($B214,IF(aanname_implementatie[Doelgroep]=$C214,aanname_implementatie[Digitale zorgtoepassing]),0)))</f>
        <v>0.99280931599496725</v>
      </c>
      <c r="P214" s="126" cm="1">
        <f t="array" ref="P214">INDEX(vertraging[[Vertraging 12 jaar]:[2034]],MATCH($F214,vertraging[Zoeksleutel],0),P$134-INDEX(aanname_implementatie[Totaal vertraging],MATCH($B214,IF(aanname_implementatie[Doelgroep]=$C214,aanname_implementatie[Digitale zorgtoepassing]),0)))</f>
        <v>0.99659452554940442</v>
      </c>
      <c r="Q214" s="126" cm="1">
        <f t="array" ref="Q214">INDEX(vertraging[[Vertraging 12 jaar]:[2034]],MATCH($F214,vertraging[Zoeksleutel],0),Q$134-INDEX(aanname_implementatie[Totaal vertraging],MATCH($B214,IF(aanname_implementatie[Doelgroep]=$C214,aanname_implementatie[Digitale zorgtoepassing]),0)))</f>
        <v>0.99839362838010326</v>
      </c>
      <c r="R214" s="126" cm="1">
        <f t="array" ref="R214">INDEX(vertraging[[Vertraging 12 jaar]:[2034]],MATCH($F214,vertraging[Zoeksleutel],0),R$134-INDEX(aanname_implementatie[Totaal vertraging],MATCH($B214,IF(aanname_implementatie[Doelgroep]=$C214,aanname_implementatie[Digitale zorgtoepassing]),0)))</f>
        <v>0.99924371512375787</v>
      </c>
    </row>
    <row r="215" spans="1:18" x14ac:dyDescent="0.5">
      <c r="A215" s="30" t="str">
        <f>INDEX(Technologieën[Veld],MATCH(B215,Technologieën[Digitale zorgtoepassing],0))</f>
        <v>Software - Diagnose</v>
      </c>
      <c r="B215" s="30" t="s">
        <v>472</v>
      </c>
      <c r="C215" s="30" t="s">
        <v>71</v>
      </c>
      <c r="D215" s="30" t="str" cm="1">
        <f t="array" ref="D215">INDEX(Berekening_patiëntaantal[Direct toepasbaar/extrapolatie/incidentie voor QALY],MATCH(B215,IF(Berekening_patiëntaantal[Doelgroep (zoeksleutel)]=C215,Berekening_patiëntaantal[Digitale zorgtoepassing]),0))</f>
        <v>Incidentie voor QALY</v>
      </c>
      <c r="E215" s="440" t="s">
        <v>813</v>
      </c>
      <c r="F215" s="30" t="str">
        <f>CONCATENATE(implementatie[[#This Row],[Zorgtechnologie]],"_",implementatie[[#This Row],[Doelgroep]],"_",implementatie[[#This Row],[Uitgangssituatie/effect beleid]])</f>
        <v>AI om diagnoses te stellen (MRI)_Prostaatkanker_Uitgangssituatie</v>
      </c>
      <c r="G215" s="126" cm="1">
        <f t="array" ref="G215">INDEX(vertraging[[Vertraging 12 jaar]:[2034]],MATCH($F215,vertraging[Zoeksleutel],0),G$134-INDEX(aanname_implementatie[Totaal vertraging],MATCH($B215,IF(aanname_implementatie[Doelgroep]=$C215,aanname_implementatie[Digitale zorgtoepassing]),0)))</f>
        <v>0.4</v>
      </c>
      <c r="H215" s="126" cm="1">
        <f t="array" ref="H215">INDEX(vertraging[[Vertraging 12 jaar]:[2034]],MATCH($F215,vertraging[Zoeksleutel],0),H$134-INDEX(aanname_implementatie[Totaal vertraging],MATCH($B215,IF(aanname_implementatie[Doelgroep]=$C215,aanname_implementatie[Digitale zorgtoepassing]),0)))</f>
        <v>0.53800000000000003</v>
      </c>
      <c r="I215" s="126" cm="1">
        <f t="array" ref="I215">INDEX(vertraging[[Vertraging 12 jaar]:[2034]],MATCH($F215,vertraging[Zoeksleutel],0),I$134-INDEX(aanname_implementatie[Totaal vertraging],MATCH($B215,IF(aanname_implementatie[Doelgroep]=$C215,aanname_implementatie[Digitale zorgtoepassing]),0)))</f>
        <v>0.67613800000000002</v>
      </c>
      <c r="J215" s="126" cm="1">
        <f t="array" ref="J215">INDEX(vertraging[[Vertraging 12 jaar]:[2034]],MATCH($F215,vertraging[Zoeksleutel],0),J$134-INDEX(aanname_implementatie[Totaal vertraging],MATCH($B215,IF(aanname_implementatie[Doelgroep]=$C215,aanname_implementatie[Digitale zorgtoepassing]),0)))</f>
        <v>0.79534156247800003</v>
      </c>
      <c r="K215" s="126" cm="1">
        <f t="array" ref="K215">INDEX(vertraging[[Vertraging 12 jaar]:[2034]],MATCH($F215,vertraging[Zoeksleutel],0),K$134-INDEX(aanname_implementatie[Totaal vertraging],MATCH($B215,IF(aanname_implementatie[Doelgroep]=$C215,aanname_implementatie[Digitale zorgtoepassing]),0)))</f>
        <v>0.88286799634018676</v>
      </c>
      <c r="L215" s="126" cm="1">
        <f t="array" ref="L215">INDEX(vertraging[[Vertraging 12 jaar]:[2034]],MATCH($F215,vertraging[Zoeksleutel],0),L$134-INDEX(aanname_implementatie[Totaal vertraging],MATCH($B215,IF(aanname_implementatie[Doelgroep]=$C215,aanname_implementatie[Digitale zorgtoepassing]),0)))</f>
        <v>0.93808800513920654</v>
      </c>
      <c r="M215" s="126" cm="1">
        <f t="array" ref="M215">INDEX(vertraging[[Vertraging 12 jaar]:[2034]],MATCH($F215,vertraging[Zoeksleutel],0),M$134-INDEX(aanname_implementatie[Totaal vertraging],MATCH($B215,IF(aanname_implementatie[Doelgroep]=$C215,aanname_implementatie[Digitale zorgtoepassing]),0)))</f>
        <v>0.96898481486160559</v>
      </c>
      <c r="N215" s="126" cm="1">
        <f t="array" ref="N215">INDEX(vertraging[[Vertraging 12 jaar]:[2034]],MATCH($F215,vertraging[Zoeksleutel],0),N$134-INDEX(aanname_implementatie[Totaal vertraging],MATCH($B215,IF(aanname_implementatie[Doelgroep]=$C215,aanname_implementatie[Digitale zorgtoepassing]),0)))</f>
        <v>0.9849418921303702</v>
      </c>
      <c r="O215" s="126" cm="1">
        <f t="array" ref="O215">INDEX(vertraging[[Vertraging 12 jaar]:[2034]],MATCH($F215,vertraging[Zoeksleutel],0),O$134-INDEX(aanname_implementatie[Totaal vertraging],MATCH($B215,IF(aanname_implementatie[Doelgroep]=$C215,aanname_implementatie[Digitale zorgtoepassing]),0)))</f>
        <v>0.99280931599496725</v>
      </c>
      <c r="P215" s="126" cm="1">
        <f t="array" ref="P215">INDEX(vertraging[[Vertraging 12 jaar]:[2034]],MATCH($F215,vertraging[Zoeksleutel],0),P$134-INDEX(aanname_implementatie[Totaal vertraging],MATCH($B215,IF(aanname_implementatie[Doelgroep]=$C215,aanname_implementatie[Digitale zorgtoepassing]),0)))</f>
        <v>0.99659452554940442</v>
      </c>
      <c r="Q215" s="126" cm="1">
        <f t="array" ref="Q215">INDEX(vertraging[[Vertraging 12 jaar]:[2034]],MATCH($F215,vertraging[Zoeksleutel],0),Q$134-INDEX(aanname_implementatie[Totaal vertraging],MATCH($B215,IF(aanname_implementatie[Doelgroep]=$C215,aanname_implementatie[Digitale zorgtoepassing]),0)))</f>
        <v>0.99839362838010326</v>
      </c>
      <c r="R215" s="126" cm="1">
        <f t="array" ref="R215">INDEX(vertraging[[Vertraging 12 jaar]:[2034]],MATCH($F215,vertraging[Zoeksleutel],0),R$134-INDEX(aanname_implementatie[Totaal vertraging],MATCH($B215,IF(aanname_implementatie[Doelgroep]=$C215,aanname_implementatie[Digitale zorgtoepassing]),0)))</f>
        <v>0.99924371512375787</v>
      </c>
    </row>
    <row r="216" spans="1:18" x14ac:dyDescent="0.5">
      <c r="A216" s="30" t="str">
        <f>INDEX(Technologieën[Veld],MATCH(B216,Technologieën[Digitale zorgtoepassing],0))</f>
        <v>Software - Diagnose</v>
      </c>
      <c r="B216" s="30" t="s">
        <v>475</v>
      </c>
      <c r="C216" s="30" t="s">
        <v>460</v>
      </c>
      <c r="D216" s="30" t="str" cm="1">
        <f t="array" ref="D216">INDEX(Berekening_patiëntaantal[Direct toepasbaar/extrapolatie/incidentie voor QALY],MATCH(B216,IF(Berekening_patiëntaantal[Doelgroep (zoeksleutel)]=C216,Berekening_patiëntaantal[Digitale zorgtoepassing]),0))</f>
        <v>Huidige toepassing</v>
      </c>
      <c r="E216" s="440" t="s">
        <v>813</v>
      </c>
      <c r="F216" s="30" t="str">
        <f>CONCATENATE(implementatie[[#This Row],[Zorgtechnologie]],"_",implementatie[[#This Row],[Doelgroep]],"_",implementatie[[#This Row],[Uitgangssituatie/effect beleid]])</f>
        <v>AI om diagnoses te stellen (röntgen)_Röntgenscan_Botbreuk_Uitgangssituatie</v>
      </c>
      <c r="G216" s="126" cm="1">
        <f t="array" ref="G216">INDEX(vertraging[[Vertraging 12 jaar]:[2034]],MATCH($F216,vertraging[Zoeksleutel],0),G$134-INDEX(aanname_implementatie[Totaal vertraging],MATCH($B216,IF(aanname_implementatie[Doelgroep]=$C216,aanname_implementatie[Digitale zorgtoepassing]),0)))</f>
        <v>0.2</v>
      </c>
      <c r="H216" s="126" cm="1">
        <f t="array" ref="H216">INDEX(vertraging[[Vertraging 12 jaar]:[2034]],MATCH($F216,vertraging[Zoeksleutel],0),H$134-INDEX(aanname_implementatie[Totaal vertraging],MATCH($B216,IF(aanname_implementatie[Doelgroep]=$C216,aanname_implementatie[Digitale zorgtoepassing]),0)))</f>
        <v>0.29200000000000004</v>
      </c>
      <c r="I216" s="126" cm="1">
        <f t="array" ref="I216">INDEX(vertraging[[Vertraging 12 jaar]:[2034]],MATCH($F216,vertraging[Zoeksleutel],0),I$134-INDEX(aanname_implementatie[Totaal vertraging],MATCH($B216,IF(aanname_implementatie[Doelgroep]=$C216,aanname_implementatie[Digitale zorgtoepassing]),0)))</f>
        <v>0.40273120000000007</v>
      </c>
      <c r="J216" s="126" cm="1">
        <f t="array" ref="J216">INDEX(vertraging[[Vertraging 12 jaar]:[2034]],MATCH($F216,vertraging[Zoeksleutel],0),J$134-INDEX(aanname_implementatie[Totaal vertraging],MATCH($B216,IF(aanname_implementatie[Doelgroep]=$C216,aanname_implementatie[Digitale zorgtoepassing]),0)))</f>
        <v>0.52590537124595205</v>
      </c>
      <c r="K216" s="126" cm="1">
        <f t="array" ref="K216">INDEX(vertraging[[Vertraging 12 jaar]:[2034]],MATCH($F216,vertraging[Zoeksleutel],0),K$134-INDEX(aanname_implementatie[Totaal vertraging],MATCH($B216,IF(aanname_implementatie[Doelgroep]=$C216,aanname_implementatie[Digitale zorgtoepassing]),0)))</f>
        <v>0.64995574724807748</v>
      </c>
      <c r="L216" s="126" cm="1">
        <f t="array" ref="L216">INDEX(vertraging[[Vertraging 12 jaar]:[2034]],MATCH($F216,vertraging[Zoeksleutel],0),L$134-INDEX(aanname_implementatie[Totaal vertraging],MATCH($B216,IF(aanname_implementatie[Doelgroep]=$C216,aanname_implementatie[Digitale zorgtoepassing]),0)))</f>
        <v>0.76108782680714737</v>
      </c>
      <c r="M216" s="126" cm="1">
        <f t="array" ref="M216">INDEX(vertraging[[Vertraging 12 jaar]:[2034]],MATCH($F216,vertraging[Zoeksleutel],0),M$134-INDEX(aanname_implementatie[Totaal vertraging],MATCH($B216,IF(aanname_implementatie[Doelgroep]=$C216,aanname_implementatie[Digitale zorgtoepassing]),0)))</f>
        <v>0.8488855471488731</v>
      </c>
      <c r="N216" s="126" cm="1">
        <f t="array" ref="N216">INDEX(vertraging[[Vertraging 12 jaar]:[2034]],MATCH($F216,vertraging[Zoeksleutel],0),N$134-INDEX(aanname_implementatie[Totaal vertraging],MATCH($B216,IF(aanname_implementatie[Doelgroep]=$C216,aanname_implementatie[Digitale zorgtoepassing]),0)))</f>
        <v>0.91038890221593549</v>
      </c>
      <c r="O216" s="126" cm="1">
        <f t="array" ref="O216">INDEX(vertraging[[Vertraging 12 jaar]:[2034]],MATCH($F216,vertraging[Zoeksleutel],0),O$134-INDEX(aanname_implementatie[Totaal vertraging],MATCH($B216,IF(aanname_implementatie[Doelgroep]=$C216,aanname_implementatie[Digitale zorgtoepassing]),0)))</f>
        <v>0.94934060668263687</v>
      </c>
      <c r="P216" s="126" cm="1">
        <f t="array" ref="P216">INDEX(vertraging[[Vertraging 12 jaar]:[2034]],MATCH($F216,vertraging[Zoeksleutel],0),P$134-INDEX(aanname_implementatie[Totaal vertraging],MATCH($B216,IF(aanname_implementatie[Doelgroep]=$C216,aanname_implementatie[Digitale zorgtoepassing]),0)))</f>
        <v>0.9722489501493069</v>
      </c>
      <c r="Q216" s="126" cm="1">
        <f t="array" ref="Q216">INDEX(vertraging[[Vertraging 12 jaar]:[2034]],MATCH($F216,vertraging[Zoeksleutel],0),Q$134-INDEX(aanname_implementatie[Totaal vertraging],MATCH($B216,IF(aanname_implementatie[Doelgroep]=$C216,aanname_implementatie[Digitale zorgtoepassing]),0)))</f>
        <v>0.98508414448286907</v>
      </c>
      <c r="R216" s="126" cm="1">
        <f t="array" ref="R216">INDEX(vertraging[[Vertraging 12 jaar]:[2034]],MATCH($F216,vertraging[Zoeksleutel],0),R$134-INDEX(aanname_implementatie[Totaal vertraging],MATCH($B216,IF(aanname_implementatie[Doelgroep]=$C216,aanname_implementatie[Digitale zorgtoepassing]),0)))</f>
        <v>0.99206905861789263</v>
      </c>
    </row>
    <row r="217" spans="1:18" x14ac:dyDescent="0.5">
      <c r="A217" s="30" t="str">
        <f>INDEX(Technologieën[Veld],MATCH(B217,Technologieën[Digitale zorgtoepassing],0))</f>
        <v>Software - Diagnose</v>
      </c>
      <c r="B217" s="30" t="s">
        <v>475</v>
      </c>
      <c r="C217" s="30" t="s">
        <v>492</v>
      </c>
      <c r="D217" s="30" t="str" cm="1">
        <f t="array" ref="D217">INDEX(Berekening_patiëntaantal[Direct toepasbaar/extrapolatie/incidentie voor QALY],MATCH(B217,IF(Berekening_patiëntaantal[Doelgroep (zoeksleutel)]=C217,Berekening_patiëntaantal[Digitale zorgtoepassing]),0))</f>
        <v>Extrapolatie</v>
      </c>
      <c r="E217" s="440" t="s">
        <v>813</v>
      </c>
      <c r="F217" s="30" t="str">
        <f>CONCATENATE(implementatie[[#This Row],[Zorgtechnologie]],"_",implementatie[[#This Row],[Doelgroep]],"_",implementatie[[#This Row],[Uitgangssituatie/effect beleid]])</f>
        <v>AI om diagnoses te stellen (röntgen)_Röntgenscan_Overig_Uitgangssituatie</v>
      </c>
      <c r="G217" s="126" cm="1">
        <f t="array" ref="G217">INDEX(vertraging[[Vertraging 12 jaar]:[2034]],MATCH($F217,vertraging[Zoeksleutel],0),G$134-INDEX(aanname_implementatie[Totaal vertraging],MATCH($B217,IF(aanname_implementatie[Doelgroep]=$C217,aanname_implementatie[Digitale zorgtoepassing]),0)))</f>
        <v>0</v>
      </c>
      <c r="H217" s="126" cm="1">
        <f t="array" ref="H217">INDEX(vertraging[[Vertraging 12 jaar]:[2034]],MATCH($F217,vertraging[Zoeksleutel],0),H$134-INDEX(aanname_implementatie[Totaal vertraging],MATCH($B217,IF(aanname_implementatie[Doelgroep]=$C217,aanname_implementatie[Digitale zorgtoepassing]),0)))</f>
        <v>0</v>
      </c>
      <c r="I217" s="126" cm="1">
        <f t="array" ref="I217">INDEX(vertraging[[Vertraging 12 jaar]:[2034]],MATCH($F217,vertraging[Zoeksleutel],0),I$134-INDEX(aanname_implementatie[Totaal vertraging],MATCH($B217,IF(aanname_implementatie[Doelgroep]=$C217,aanname_implementatie[Digitale zorgtoepassing]),0)))</f>
        <v>0</v>
      </c>
      <c r="J217" s="126" cm="1">
        <f t="array" ref="J217">INDEX(vertraging[[Vertraging 12 jaar]:[2034]],MATCH($F217,vertraging[Zoeksleutel],0),J$134-INDEX(aanname_implementatie[Totaal vertraging],MATCH($B217,IF(aanname_implementatie[Doelgroep]=$C217,aanname_implementatie[Digitale zorgtoepassing]),0)))</f>
        <v>0</v>
      </c>
      <c r="K217" s="126" cm="1">
        <f t="array" ref="K217">INDEX(vertraging[[Vertraging 12 jaar]:[2034]],MATCH($F217,vertraging[Zoeksleutel],0),K$134-INDEX(aanname_implementatie[Totaal vertraging],MATCH($B217,IF(aanname_implementatie[Doelgroep]=$C217,aanname_implementatie[Digitale zorgtoepassing]),0)))</f>
        <v>2.5000000000000001E-2</v>
      </c>
      <c r="L217" s="126" cm="1">
        <f t="array" ref="L217">INDEX(vertraging[[Vertraging 12 jaar]:[2034]],MATCH($F217,vertraging[Zoeksleutel],0),L$134-INDEX(aanname_implementatie[Totaal vertraging],MATCH($B217,IF(aanname_implementatie[Doelgroep]=$C217,aanname_implementatie[Digitale zorgtoepassing]),0)))</f>
        <v>6.0343750000000002E-2</v>
      </c>
      <c r="M217" s="126" cm="1">
        <f t="array" ref="M217">INDEX(vertraging[[Vertraging 12 jaar]:[2034]],MATCH($F217,vertraging[Zoeksleutel],0),M$134-INDEX(aanname_implementatie[Totaal vertraging],MATCH($B217,IF(aanname_implementatie[Doelgroep]=$C217,aanname_implementatie[Digitale zorgtoepassing]),0)))</f>
        <v>0.10935122807617187</v>
      </c>
      <c r="N217" s="126" cm="1">
        <f t="array" ref="N217">INDEX(vertraging[[Vertraging 12 jaar]:[2034]],MATCH($F217,vertraging[Zoeksleutel],0),N$134-INDEX(aanname_implementatie[Totaal vertraging],MATCH($B217,IF(aanname_implementatie[Doelgroep]=$C217,aanname_implementatie[Digitale zorgtoepassing]),0)))</f>
        <v>0.17544453902174978</v>
      </c>
      <c r="O217" s="126" cm="1">
        <f t="array" ref="O217">INDEX(vertraging[[Vertraging 12 jaar]:[2034]],MATCH($F217,vertraging[Zoeksleutel],0),O$134-INDEX(aanname_implementatie[Totaal vertraging],MATCH($B217,IF(aanname_implementatie[Doelgroep]=$C217,aanname_implementatie[Digitale zorgtoepassing]),0)))</f>
        <v>0.26115711428334398</v>
      </c>
      <c r="P217" s="126" cm="1">
        <f t="array" ref="P217">INDEX(vertraging[[Vertraging 12 jaar]:[2034]],MATCH($F217,vertraging[Zoeksleutel],0),P$134-INDEX(aanname_implementatie[Totaal vertraging],MATCH($B217,IF(aanname_implementatie[Doelgroep]=$C217,aanname_implementatie[Digitale zorgtoepassing]),0)))</f>
        <v>0.36645752060040354</v>
      </c>
      <c r="Q217" s="126" cm="1">
        <f t="array" ref="Q217">INDEX(vertraging[[Vertraging 12 jaar]:[2034]],MATCH($F217,vertraging[Zoeksleutel],0),Q$134-INDEX(aanname_implementatie[Totaal vertraging],MATCH($B217,IF(aanname_implementatie[Doelgroep]=$C217,aanname_implementatie[Digitale zorgtoepassing]),0)))</f>
        <v>0.48677096537350723</v>
      </c>
      <c r="R217" s="126" cm="1">
        <f t="array" ref="R217">INDEX(vertraging[[Vertraging 12 jaar]:[2034]],MATCH($F217,vertraging[Zoeksleutel],0),R$134-INDEX(aanname_implementatie[Totaal vertraging],MATCH($B217,IF(aanname_implementatie[Doelgroep]=$C217,aanname_implementatie[Digitale zorgtoepassing]),0)))</f>
        <v>0.61202293792845253</v>
      </c>
    </row>
    <row r="218" spans="1:18" x14ac:dyDescent="0.5">
      <c r="A218" s="30" t="str">
        <f>INDEX(Technologieën[Veld],MATCH(B218,Technologieën[Digitale zorgtoepassing],0))</f>
        <v>Software - Behandeling</v>
      </c>
      <c r="B218" s="30" t="s">
        <v>716</v>
      </c>
      <c r="C218" s="30" t="s">
        <v>80</v>
      </c>
      <c r="D218" s="30" t="str" cm="1">
        <f t="array" ref="D218">INDEX(Berekening_patiëntaantal[Direct toepasbaar/extrapolatie/incidentie voor QALY],MATCH(B218,IF(Berekening_patiëntaantal[Doelgroep (zoeksleutel)]=C218,Berekening_patiëntaantal[Digitale zorgtoepassing]),0))</f>
        <v>Huidige toepassing</v>
      </c>
      <c r="E218" s="440" t="s">
        <v>813</v>
      </c>
      <c r="F218" s="30" t="str">
        <f>CONCATENATE(implementatie[[#This Row],[Zorgtechnologie]],"_",implementatie[[#This Row],[Doelgroep]],"_",implementatie[[#This Row],[Uitgangssituatie/effect beleid]])</f>
        <v>AI op de IC (ontslag beslissing)_IC_Uitgangssituatie</v>
      </c>
      <c r="G218" s="126" cm="1">
        <f t="array" ref="G218">INDEX(vertraging[[Vertraging 12 jaar]:[2034]],MATCH($F218,vertraging[Zoeksleutel],0),G$134-INDEX(aanname_implementatie[Totaal vertraging],MATCH($B218,IF(aanname_implementatie[Doelgroep]=$C218,aanname_implementatie[Digitale zorgtoepassing]),0)))</f>
        <v>0</v>
      </c>
      <c r="H218" s="126" cm="1">
        <f t="array" ref="H218">INDEX(vertraging[[Vertraging 12 jaar]:[2034]],MATCH($F218,vertraging[Zoeksleutel],0),H$134-INDEX(aanname_implementatie[Totaal vertraging],MATCH($B218,IF(aanname_implementatie[Doelgroep]=$C218,aanname_implementatie[Digitale zorgtoepassing]),0)))</f>
        <v>0</v>
      </c>
      <c r="I218" s="126" cm="1">
        <f t="array" ref="I218">INDEX(vertraging[[Vertraging 12 jaar]:[2034]],MATCH($F218,vertraging[Zoeksleutel],0),I$134-INDEX(aanname_implementatie[Totaal vertraging],MATCH($B218,IF(aanname_implementatie[Doelgroep]=$C218,aanname_implementatie[Digitale zorgtoepassing]),0)))</f>
        <v>0</v>
      </c>
      <c r="J218" s="126" cm="1">
        <f t="array" ref="J218">INDEX(vertraging[[Vertraging 12 jaar]:[2034]],MATCH($F218,vertraging[Zoeksleutel],0),J$134-INDEX(aanname_implementatie[Totaal vertraging],MATCH($B218,IF(aanname_implementatie[Doelgroep]=$C218,aanname_implementatie[Digitale zorgtoepassing]),0)))</f>
        <v>0.02</v>
      </c>
      <c r="K218" s="126" cm="1">
        <f t="array" ref="K218">INDEX(vertraging[[Vertraging 12 jaar]:[2034]],MATCH($F218,vertraging[Zoeksleutel],0),K$134-INDEX(aanname_implementatie[Totaal vertraging],MATCH($B218,IF(aanname_implementatie[Doelgroep]=$C218,aanname_implementatie[Digitale zorgtoepassing]),0)))</f>
        <v>4.7439999999999996E-2</v>
      </c>
      <c r="L218" s="126" cm="1">
        <f t="array" ref="L218">INDEX(vertraging[[Vertraging 12 jaar]:[2034]],MATCH($F218,vertraging[Zoeksleutel],0),L$134-INDEX(aanname_implementatie[Totaal vertraging],MATCH($B218,IF(aanname_implementatie[Doelgroep]=$C218,aanname_implementatie[Digitale zorgtoepassing]),0)))</f>
        <v>8.4566978560000006E-2</v>
      </c>
      <c r="M218" s="126" cm="1">
        <f t="array" ref="M218">INDEX(vertraging[[Vertraging 12 jaar]:[2034]],MATCH($F218,vertraging[Zoeksleutel],0),M$134-INDEX(aanname_implementatie[Totaal vertraging],MATCH($B218,IF(aanname_implementatie[Doelgroep]=$C218,aanname_implementatie[Digitale zorgtoepassing]),0)))</f>
        <v>0.13384180086769301</v>
      </c>
      <c r="N218" s="126" cm="1">
        <f t="array" ref="N218">INDEX(vertraging[[Vertraging 12 jaar]:[2034]],MATCH($F218,vertraging[Zoeksleutel],0),N$134-INDEX(aanname_implementatie[Totaal vertraging],MATCH($B218,IF(aanname_implementatie[Doelgroep]=$C218,aanname_implementatie[Digitale zorgtoepassing]),0)))</f>
        <v>0.19753623413361349</v>
      </c>
      <c r="O218" s="126" cm="1">
        <f t="array" ref="O218">INDEX(vertraging[[Vertraging 12 jaar]:[2034]],MATCH($F218,vertraging[Zoeksleutel],0),O$134-INDEX(aanname_implementatie[Totaal vertraging],MATCH($B218,IF(aanname_implementatie[Doelgroep]=$C218,aanname_implementatie[Digitale zorgtoepassing]),0)))</f>
        <v>0.27699177758611071</v>
      </c>
      <c r="P218" s="126" cm="1">
        <f t="array" ref="P218">INDEX(vertraging[[Vertraging 12 jaar]:[2034]],MATCH($F218,vertraging[Zoeksleutel],0),P$134-INDEX(aanname_implementatie[Totaal vertraging],MATCH($B218,IF(aanname_implementatie[Doelgroep]=$C218,aanname_implementatie[Digitale zorgtoepassing]),0)))</f>
        <v>0.37155887512870744</v>
      </c>
      <c r="Q218" s="126" cm="1">
        <f t="array" ref="Q218">INDEX(vertraging[[Vertraging 12 jaar]:[2034]],MATCH($F218,vertraging[Zoeksleutel],0),Q$134-INDEX(aanname_implementatie[Totaal vertraging],MATCH($B218,IF(aanname_implementatie[Doelgroep]=$C218,aanname_implementatie[Digitale zorgtoepassing]),0)))</f>
        <v>0.47752884860285211</v>
      </c>
      <c r="R218" s="126" cm="1">
        <f t="array" ref="R218">INDEX(vertraging[[Vertraging 12 jaar]:[2034]],MATCH($F218,vertraging[Zoeksleutel],0),R$134-INDEX(aanname_implementatie[Totaal vertraging],MATCH($B218,IF(aanname_implementatie[Doelgroep]=$C218,aanname_implementatie[Digitale zorgtoepassing]),0)))</f>
        <v>0.5877762905727496</v>
      </c>
    </row>
    <row r="219" spans="1:18" x14ac:dyDescent="0.5">
      <c r="A219" s="30" t="str">
        <f>INDEX(Technologieën[Veld],MATCH(B219,Technologieën[Digitale zorgtoepassing],0))</f>
        <v>Software - Diagnose</v>
      </c>
      <c r="B219" s="30" t="s">
        <v>66</v>
      </c>
      <c r="C219" s="30" t="s">
        <v>69</v>
      </c>
      <c r="D219" s="30" t="str" cm="1">
        <f t="array" ref="D219">INDEX(Berekening_patiëntaantal[Direct toepasbaar/extrapolatie/incidentie voor QALY],MATCH(B219,IF(Berekening_patiëntaantal[Doelgroep (zoeksleutel)]=C219,Berekening_patiëntaantal[Digitale zorgtoepassing]),0))</f>
        <v>Huidige toepassing</v>
      </c>
      <c r="E219" s="440" t="s">
        <v>813</v>
      </c>
      <c r="F219" s="30" t="str">
        <f>CONCATENATE(implementatie[[#This Row],[Zorgtechnologie]],"_",implementatie[[#This Row],[Doelgroep]],"_",implementatie[[#This Row],[Uitgangssituatie/effect beleid]])</f>
        <v>Apps voor cognitieve testen_Mild Cognitive Impairment_Uitgangssituatie</v>
      </c>
      <c r="G219" s="126" cm="1">
        <f t="array" ref="G219">INDEX(vertraging[[Vertraging 12 jaar]:[2034]],MATCH($F219,vertraging[Zoeksleutel],0),G$134-INDEX(aanname_implementatie[Totaal vertraging],MATCH($B219,IF(aanname_implementatie[Doelgroep]=$C219,aanname_implementatie[Digitale zorgtoepassing]),0)))</f>
        <v>0</v>
      </c>
      <c r="H219" s="126" cm="1">
        <f t="array" ref="H219">INDEX(vertraging[[Vertraging 12 jaar]:[2034]],MATCH($F219,vertraging[Zoeksleutel],0),H$134-INDEX(aanname_implementatie[Totaal vertraging],MATCH($B219,IF(aanname_implementatie[Doelgroep]=$C219,aanname_implementatie[Digitale zorgtoepassing]),0)))</f>
        <v>0</v>
      </c>
      <c r="I219" s="126" cm="1">
        <f t="array" ref="I219">INDEX(vertraging[[Vertraging 12 jaar]:[2034]],MATCH($F219,vertraging[Zoeksleutel],0),I$134-INDEX(aanname_implementatie[Totaal vertraging],MATCH($B219,IF(aanname_implementatie[Doelgroep]=$C219,aanname_implementatie[Digitale zorgtoepassing]),0)))</f>
        <v>0</v>
      </c>
      <c r="J219" s="126" cm="1">
        <f t="array" ref="J219">INDEX(vertraging[[Vertraging 12 jaar]:[2034]],MATCH($F219,vertraging[Zoeksleutel],0),J$134-INDEX(aanname_implementatie[Totaal vertraging],MATCH($B219,IF(aanname_implementatie[Doelgroep]=$C219,aanname_implementatie[Digitale zorgtoepassing]),0)))</f>
        <v>0.02</v>
      </c>
      <c r="K219" s="126" cm="1">
        <f t="array" ref="K219">INDEX(vertraging[[Vertraging 12 jaar]:[2034]],MATCH($F219,vertraging[Zoeksleutel],0),K$134-INDEX(aanname_implementatie[Totaal vertraging],MATCH($B219,IF(aanname_implementatie[Doelgroep]=$C219,aanname_implementatie[Digitale zorgtoepassing]),0)))</f>
        <v>4.7439999999999996E-2</v>
      </c>
      <c r="L219" s="126" cm="1">
        <f t="array" ref="L219">INDEX(vertraging[[Vertraging 12 jaar]:[2034]],MATCH($F219,vertraging[Zoeksleutel],0),L$134-INDEX(aanname_implementatie[Totaal vertraging],MATCH($B219,IF(aanname_implementatie[Doelgroep]=$C219,aanname_implementatie[Digitale zorgtoepassing]),0)))</f>
        <v>8.4566978560000006E-2</v>
      </c>
      <c r="M219" s="126" cm="1">
        <f t="array" ref="M219">INDEX(vertraging[[Vertraging 12 jaar]:[2034]],MATCH($F219,vertraging[Zoeksleutel],0),M$134-INDEX(aanname_implementatie[Totaal vertraging],MATCH($B219,IF(aanname_implementatie[Doelgroep]=$C219,aanname_implementatie[Digitale zorgtoepassing]),0)))</f>
        <v>0.13384180086769301</v>
      </c>
      <c r="N219" s="126" cm="1">
        <f t="array" ref="N219">INDEX(vertraging[[Vertraging 12 jaar]:[2034]],MATCH($F219,vertraging[Zoeksleutel],0),N$134-INDEX(aanname_implementatie[Totaal vertraging],MATCH($B219,IF(aanname_implementatie[Doelgroep]=$C219,aanname_implementatie[Digitale zorgtoepassing]),0)))</f>
        <v>0.19753623413361349</v>
      </c>
      <c r="O219" s="126" cm="1">
        <f t="array" ref="O219">INDEX(vertraging[[Vertraging 12 jaar]:[2034]],MATCH($F219,vertraging[Zoeksleutel],0),O$134-INDEX(aanname_implementatie[Totaal vertraging],MATCH($B219,IF(aanname_implementatie[Doelgroep]=$C219,aanname_implementatie[Digitale zorgtoepassing]),0)))</f>
        <v>0.27699177758611071</v>
      </c>
      <c r="P219" s="126" cm="1">
        <f t="array" ref="P219">INDEX(vertraging[[Vertraging 12 jaar]:[2034]],MATCH($F219,vertraging[Zoeksleutel],0),P$134-INDEX(aanname_implementatie[Totaal vertraging],MATCH($B219,IF(aanname_implementatie[Doelgroep]=$C219,aanname_implementatie[Digitale zorgtoepassing]),0)))</f>
        <v>0.37155887512870744</v>
      </c>
      <c r="Q219" s="126" cm="1">
        <f t="array" ref="Q219">INDEX(vertraging[[Vertraging 12 jaar]:[2034]],MATCH($F219,vertraging[Zoeksleutel],0),Q$134-INDEX(aanname_implementatie[Totaal vertraging],MATCH($B219,IF(aanname_implementatie[Doelgroep]=$C219,aanname_implementatie[Digitale zorgtoepassing]),0)))</f>
        <v>0.47752884860285211</v>
      </c>
      <c r="R219" s="126" cm="1">
        <f t="array" ref="R219">INDEX(vertraging[[Vertraging 12 jaar]:[2034]],MATCH($F219,vertraging[Zoeksleutel],0),R$134-INDEX(aanname_implementatie[Totaal vertraging],MATCH($B219,IF(aanname_implementatie[Doelgroep]=$C219,aanname_implementatie[Digitale zorgtoepassing]),0)))</f>
        <v>0.5877762905727496</v>
      </c>
    </row>
    <row r="220" spans="1:18" x14ac:dyDescent="0.5">
      <c r="A220" s="30" t="str">
        <f>INDEX(Technologieën[Veld],MATCH(B220,Technologieën[Digitale zorgtoepassing],0))</f>
        <v>Software - Diagnose</v>
      </c>
      <c r="B220" s="30" t="s">
        <v>66</v>
      </c>
      <c r="C220" s="30" t="s">
        <v>67</v>
      </c>
      <c r="D220" s="30" t="str" cm="1">
        <f t="array" ref="D220">INDEX(Berekening_patiëntaantal[Direct toepasbaar/extrapolatie/incidentie voor QALY],MATCH(B220,IF(Berekening_patiëntaantal[Doelgroep (zoeksleutel)]=C220,Berekening_patiëntaantal[Digitale zorgtoepassing]),0))</f>
        <v>Huidige toepassing</v>
      </c>
      <c r="E220" s="440" t="s">
        <v>813</v>
      </c>
      <c r="F220" s="30" t="str">
        <f>CONCATENATE(implementatie[[#This Row],[Zorgtechnologie]],"_",implementatie[[#This Row],[Doelgroep]],"_",implementatie[[#This Row],[Uitgangssituatie/effect beleid]])</f>
        <v>Apps voor cognitieve testen_Multiple Sclerosis_Uitgangssituatie</v>
      </c>
      <c r="G220" s="126" cm="1">
        <f t="array" ref="G220">INDEX(vertraging[[Vertraging 12 jaar]:[2034]],MATCH($F220,vertraging[Zoeksleutel],0),G$134-INDEX(aanname_implementatie[Totaal vertraging],MATCH($B220,IF(aanname_implementatie[Doelgroep]=$C220,aanname_implementatie[Digitale zorgtoepassing]),0)))</f>
        <v>0</v>
      </c>
      <c r="H220" s="126" cm="1">
        <f t="array" ref="H220">INDEX(vertraging[[Vertraging 12 jaar]:[2034]],MATCH($F220,vertraging[Zoeksleutel],0),H$134-INDEX(aanname_implementatie[Totaal vertraging],MATCH($B220,IF(aanname_implementatie[Doelgroep]=$C220,aanname_implementatie[Digitale zorgtoepassing]),0)))</f>
        <v>0</v>
      </c>
      <c r="I220" s="126" cm="1">
        <f t="array" ref="I220">INDEX(vertraging[[Vertraging 12 jaar]:[2034]],MATCH($F220,vertraging[Zoeksleutel],0),I$134-INDEX(aanname_implementatie[Totaal vertraging],MATCH($B220,IF(aanname_implementatie[Doelgroep]=$C220,aanname_implementatie[Digitale zorgtoepassing]),0)))</f>
        <v>0</v>
      </c>
      <c r="J220" s="126" cm="1">
        <f t="array" ref="J220">INDEX(vertraging[[Vertraging 12 jaar]:[2034]],MATCH($F220,vertraging[Zoeksleutel],0),J$134-INDEX(aanname_implementatie[Totaal vertraging],MATCH($B220,IF(aanname_implementatie[Doelgroep]=$C220,aanname_implementatie[Digitale zorgtoepassing]),0)))</f>
        <v>0.02</v>
      </c>
      <c r="K220" s="126" cm="1">
        <f t="array" ref="K220">INDEX(vertraging[[Vertraging 12 jaar]:[2034]],MATCH($F220,vertraging[Zoeksleutel],0),K$134-INDEX(aanname_implementatie[Totaal vertraging],MATCH($B220,IF(aanname_implementatie[Doelgroep]=$C220,aanname_implementatie[Digitale zorgtoepassing]),0)))</f>
        <v>4.7439999999999996E-2</v>
      </c>
      <c r="L220" s="126" cm="1">
        <f t="array" ref="L220">INDEX(vertraging[[Vertraging 12 jaar]:[2034]],MATCH($F220,vertraging[Zoeksleutel],0),L$134-INDEX(aanname_implementatie[Totaal vertraging],MATCH($B220,IF(aanname_implementatie[Doelgroep]=$C220,aanname_implementatie[Digitale zorgtoepassing]),0)))</f>
        <v>8.4566978560000006E-2</v>
      </c>
      <c r="M220" s="126" cm="1">
        <f t="array" ref="M220">INDEX(vertraging[[Vertraging 12 jaar]:[2034]],MATCH($F220,vertraging[Zoeksleutel],0),M$134-INDEX(aanname_implementatie[Totaal vertraging],MATCH($B220,IF(aanname_implementatie[Doelgroep]=$C220,aanname_implementatie[Digitale zorgtoepassing]),0)))</f>
        <v>0.13384180086769301</v>
      </c>
      <c r="N220" s="126" cm="1">
        <f t="array" ref="N220">INDEX(vertraging[[Vertraging 12 jaar]:[2034]],MATCH($F220,vertraging[Zoeksleutel],0),N$134-INDEX(aanname_implementatie[Totaal vertraging],MATCH($B220,IF(aanname_implementatie[Doelgroep]=$C220,aanname_implementatie[Digitale zorgtoepassing]),0)))</f>
        <v>0.19753623413361349</v>
      </c>
      <c r="O220" s="126" cm="1">
        <f t="array" ref="O220">INDEX(vertraging[[Vertraging 12 jaar]:[2034]],MATCH($F220,vertraging[Zoeksleutel],0),O$134-INDEX(aanname_implementatie[Totaal vertraging],MATCH($B220,IF(aanname_implementatie[Doelgroep]=$C220,aanname_implementatie[Digitale zorgtoepassing]),0)))</f>
        <v>0.27699177758611071</v>
      </c>
      <c r="P220" s="126" cm="1">
        <f t="array" ref="P220">INDEX(vertraging[[Vertraging 12 jaar]:[2034]],MATCH($F220,vertraging[Zoeksleutel],0),P$134-INDEX(aanname_implementatie[Totaal vertraging],MATCH($B220,IF(aanname_implementatie[Doelgroep]=$C220,aanname_implementatie[Digitale zorgtoepassing]),0)))</f>
        <v>0.37155887512870744</v>
      </c>
      <c r="Q220" s="126" cm="1">
        <f t="array" ref="Q220">INDEX(vertraging[[Vertraging 12 jaar]:[2034]],MATCH($F220,vertraging[Zoeksleutel],0),Q$134-INDEX(aanname_implementatie[Totaal vertraging],MATCH($B220,IF(aanname_implementatie[Doelgroep]=$C220,aanname_implementatie[Digitale zorgtoepassing]),0)))</f>
        <v>0.47752884860285211</v>
      </c>
      <c r="R220" s="126" cm="1">
        <f t="array" ref="R220">INDEX(vertraging[[Vertraging 12 jaar]:[2034]],MATCH($F220,vertraging[Zoeksleutel],0),R$134-INDEX(aanname_implementatie[Totaal vertraging],MATCH($B220,IF(aanname_implementatie[Doelgroep]=$C220,aanname_implementatie[Digitale zorgtoepassing]),0)))</f>
        <v>0.5877762905727496</v>
      </c>
    </row>
    <row r="221" spans="1:18" x14ac:dyDescent="0.5">
      <c r="A221" s="30" t="str">
        <f>INDEX(Technologieën[Veld],MATCH(B221,Technologieën[Digitale zorgtoepassing],0))</f>
        <v>Software - Diagnose</v>
      </c>
      <c r="B221" s="30" t="s">
        <v>76</v>
      </c>
      <c r="C221" s="30" t="s">
        <v>384</v>
      </c>
      <c r="D221" s="30" t="str" cm="1">
        <f t="array" ref="D221">INDEX(Berekening_patiëntaantal[Direct toepasbaar/extrapolatie/incidentie voor QALY],MATCH(B221,IF(Berekening_patiëntaantal[Doelgroep (zoeksleutel)]=C221,Berekening_patiëntaantal[Digitale zorgtoepassing]),0))</f>
        <v>Huidige toepassing</v>
      </c>
      <c r="E221" s="440" t="s">
        <v>813</v>
      </c>
      <c r="F221" s="30" t="str">
        <f>CONCATENATE(implementatie[[#This Row],[Zorgtechnologie]],"_",implementatie[[#This Row],[Doelgroep]],"_",implementatie[[#This Row],[Uitgangssituatie/effect beleid]])</f>
        <v>Deltascan voor delier opsporing_Ouderen ziekenhuis delier_Uitgangssituatie</v>
      </c>
      <c r="G221" s="126" cm="1">
        <f t="array" ref="G221">INDEX(vertraging[[Vertraging 12 jaar]:[2034]],MATCH($F221,vertraging[Zoeksleutel],0),G$134-INDEX(aanname_implementatie[Totaal vertraging],MATCH($B221,IF(aanname_implementatie[Doelgroep]=$C221,aanname_implementatie[Digitale zorgtoepassing]),0)))</f>
        <v>0.4</v>
      </c>
      <c r="H221" s="126" cm="1">
        <f t="array" ref="H221">INDEX(vertraging[[Vertraging 12 jaar]:[2034]],MATCH($F221,vertraging[Zoeksleutel],0),H$134-INDEX(aanname_implementatie[Totaal vertraging],MATCH($B221,IF(aanname_implementatie[Doelgroep]=$C221,aanname_implementatie[Digitale zorgtoepassing]),0)))</f>
        <v>0.52300000000000002</v>
      </c>
      <c r="I221" s="126" cm="1">
        <f t="array" ref="I221">INDEX(vertraging[[Vertraging 12 jaar]:[2034]],MATCH($F221,vertraging[Zoeksleutel],0),I$134-INDEX(aanname_implementatie[Totaal vertraging],MATCH($B221,IF(aanname_implementatie[Doelgroep]=$C221,aanname_implementatie[Digitale zorgtoepassing]),0)))</f>
        <v>0.64718695000000004</v>
      </c>
      <c r="J221" s="126" cm="1">
        <f t="array" ref="J221">INDEX(vertraging[[Vertraging 12 jaar]:[2034]],MATCH($F221,vertraging[Zoeksleutel],0),J$134-INDEX(aanname_implementatie[Totaal vertraging],MATCH($B221,IF(aanname_implementatie[Doelgroep]=$C221,aanname_implementatie[Digitale zorgtoepassing]),0)))</f>
        <v>0.75875847703736388</v>
      </c>
      <c r="K221" s="126" cm="1">
        <f t="array" ref="K221">INDEX(vertraging[[Vertraging 12 jaar]:[2034]],MATCH($F221,vertraging[Zoeksleutel],0),K$134-INDEX(aanname_implementatie[Totaal vertraging],MATCH($B221,IF(aanname_implementatie[Doelgroep]=$C221,aanname_implementatie[Digitale zorgtoepassing]),0)))</f>
        <v>0.84715933786401665</v>
      </c>
      <c r="L221" s="126" cm="1">
        <f t="array" ref="L221">INDEX(vertraging[[Vertraging 12 jaar]:[2034]],MATCH($F221,vertraging[Zoeksleutel],0),L$134-INDEX(aanname_implementatie[Totaal vertraging],MATCH($B221,IF(aanname_implementatie[Doelgroep]=$C221,aanname_implementatie[Digitale zorgtoepassing]),0)))</f>
        <v>0.90924653177763415</v>
      </c>
      <c r="M221" s="126" cm="1">
        <f t="array" ref="M221">INDEX(vertraging[[Vertraging 12 jaar]:[2034]],MATCH($F221,vertraging[Zoeksleutel],0),M$134-INDEX(aanname_implementatie[Totaal vertraging],MATCH($B221,IF(aanname_implementatie[Doelgroep]=$C221,aanname_implementatie[Digitale zorgtoepassing]),0)))</f>
        <v>0.94864814278578335</v>
      </c>
      <c r="N221" s="126" cm="1">
        <f t="array" ref="N221">INDEX(vertraging[[Vertraging 12 jaar]:[2034]],MATCH($F221,vertraging[Zoeksleutel],0),N$134-INDEX(aanname_implementatie[Totaal vertraging],MATCH($B221,IF(aanname_implementatie[Doelgroep]=$C221,aanname_implementatie[Digitale zorgtoepassing]),0)))</f>
        <v>0.97185361900482903</v>
      </c>
      <c r="O221" s="126" cm="1">
        <f t="array" ref="O221">INDEX(vertraging[[Vertraging 12 jaar]:[2034]],MATCH($F221,vertraging[Zoeksleutel],0),O$134-INDEX(aanname_implementatie[Totaal vertraging],MATCH($B221,IF(aanname_implementatie[Doelgroep]=$C221,aanname_implementatie[Digitale zorgtoepassing]),0)))</f>
        <v>0.98486665153412889</v>
      </c>
      <c r="P221" s="126" cm="1">
        <f t="array" ref="P221">INDEX(vertraging[[Vertraging 12 jaar]:[2034]],MATCH($F221,vertraging[Zoeksleutel],0),P$134-INDEX(aanname_implementatie[Totaal vertraging],MATCH($B221,IF(aanname_implementatie[Doelgroep]=$C221,aanname_implementatie[Digitale zorgtoepassing]),0)))</f>
        <v>0.99195193384931235</v>
      </c>
      <c r="Q221" s="126" cm="1">
        <f t="array" ref="Q221">INDEX(vertraging[[Vertraging 12 jaar]:[2034]],MATCH($F221,vertraging[Zoeksleutel],0),Q$134-INDEX(aanname_implementatie[Totaal vertraging],MATCH($B221,IF(aanname_implementatie[Doelgroep]=$C221,aanname_implementatie[Digitale zorgtoepassing]),0)))</f>
        <v>0.99574561815494433</v>
      </c>
      <c r="R221" s="126" cm="1">
        <f t="array" ref="R221">INDEX(vertraging[[Vertraging 12 jaar]:[2034]],MATCH($F221,vertraging[Zoeksleutel],0),R$134-INDEX(aanname_implementatie[Totaal vertraging],MATCH($B221,IF(aanname_implementatie[Doelgroep]=$C221,aanname_implementatie[Digitale zorgtoepassing]),0)))</f>
        <v>0.99775830463714821</v>
      </c>
    </row>
    <row r="222" spans="1:18" x14ac:dyDescent="0.5">
      <c r="A222" s="30" t="str">
        <f>INDEX(Technologieën[Veld],MATCH(B222,Technologieën[Digitale zorgtoepassing],0))</f>
        <v>Software - Behandeling</v>
      </c>
      <c r="B222" s="30" t="s">
        <v>578</v>
      </c>
      <c r="C222" s="30" t="s">
        <v>577</v>
      </c>
      <c r="D222" s="30" t="str" cm="1">
        <f t="array" ref="D222">INDEX(Berekening_patiëntaantal[Direct toepasbaar/extrapolatie/incidentie voor QALY],MATCH(B222,IF(Berekening_patiëntaantal[Doelgroep (zoeksleutel)]=C222,Berekening_patiëntaantal[Digitale zorgtoepassing]),0))</f>
        <v>Huidige toepassing</v>
      </c>
      <c r="E222" s="440" t="s">
        <v>813</v>
      </c>
      <c r="F222" s="30" t="str">
        <f>CONCATENATE(implementatie[[#This Row],[Zorgtechnologie]],"_",implementatie[[#This Row],[Doelgroep]],"_",implementatie[[#This Row],[Uitgangssituatie/effect beleid]])</f>
        <v>Digitale exposure therapie_PTSS_Uitgangssituatie</v>
      </c>
      <c r="G222" s="126" cm="1">
        <f t="array" ref="G222">INDEX(vertraging[[Vertraging 12 jaar]:[2034]],MATCH($F222,vertraging[Zoeksleutel],0),G$134-INDEX(aanname_implementatie[Totaal vertraging],MATCH($B222,IF(aanname_implementatie[Doelgroep]=$C222,aanname_implementatie[Digitale zorgtoepassing]),0)))</f>
        <v>0.2</v>
      </c>
      <c r="H222" s="126" cm="1">
        <f t="array" ref="H222">INDEX(vertraging[[Vertraging 12 jaar]:[2034]],MATCH($F222,vertraging[Zoeksleutel],0),H$134-INDEX(aanname_implementatie[Totaal vertraging],MATCH($B222,IF(aanname_implementatie[Doelgroep]=$C222,aanname_implementatie[Digitale zorgtoepassing]),0)))</f>
        <v>0.26800000000000002</v>
      </c>
      <c r="I222" s="126" cm="1">
        <f t="array" ref="I222">INDEX(vertraging[[Vertraging 12 jaar]:[2034]],MATCH($F222,vertraging[Zoeksleutel],0),I$134-INDEX(aanname_implementatie[Totaal vertraging],MATCH($B222,IF(aanname_implementatie[Doelgroep]=$C222,aanname_implementatie[Digitale zorgtoepassing]),0)))</f>
        <v>0.3476416</v>
      </c>
      <c r="J222" s="126" cm="1">
        <f t="array" ref="J222">INDEX(vertraging[[Vertraging 12 jaar]:[2034]],MATCH($F222,vertraging[Zoeksleutel],0),J$134-INDEX(aanname_implementatie[Totaal vertraging],MATCH($B222,IF(aanname_implementatie[Doelgroep]=$C222,aanname_implementatie[Digitale zorgtoepassing]),0)))</f>
        <v>0.43680239728230397</v>
      </c>
      <c r="K222" s="126" cm="1">
        <f t="array" ref="K222">INDEX(vertraging[[Vertraging 12 jaar]:[2034]],MATCH($F222,vertraging[Zoeksleutel],0),K$134-INDEX(aanname_implementatie[Totaal vertraging],MATCH($B222,IF(aanname_implementatie[Doelgroep]=$C222,aanname_implementatie[Digitale zorgtoepassing]),0)))</f>
        <v>0.53135248337682706</v>
      </c>
      <c r="L222" s="126" cm="1">
        <f t="array" ref="L222">INDEX(vertraging[[Vertraging 12 jaar]:[2034]],MATCH($F222,vertraging[Zoeksleutel],0),L$134-INDEX(aanname_implementatie[Totaal vertraging],MATCH($B222,IF(aanname_implementatie[Doelgroep]=$C222,aanname_implementatie[Digitale zorgtoepassing]),0)))</f>
        <v>0.62553815375131172</v>
      </c>
      <c r="M222" s="126" cm="1">
        <f t="array" ref="M222">INDEX(vertraging[[Vertraging 12 jaar]:[2034]],MATCH($F222,vertraging[Zoeksleutel],0),M$134-INDEX(aanname_implementatie[Totaal vertraging],MATCH($B222,IF(aanname_implementatie[Doelgroep]=$C222,aanname_implementatie[Digitale zorgtoepassing]),0)))</f>
        <v>0.71313914162849124</v>
      </c>
      <c r="N222" s="126" cm="1">
        <f t="array" ref="N222">INDEX(vertraging[[Vertraging 12 jaar]:[2034]],MATCH($F222,vertraging[Zoeksleutel],0),N$134-INDEX(aanname_implementatie[Totaal vertraging],MATCH($B222,IF(aanname_implementatie[Doelgroep]=$C222,aanname_implementatie[Digitale zorgtoepassing]),0)))</f>
        <v>0.78904215171111836</v>
      </c>
      <c r="O222" s="126" cm="1">
        <f t="array" ref="O222">INDEX(vertraging[[Vertraging 12 jaar]:[2034]],MATCH($F222,vertraging[Zoeksleutel],0),O$134-INDEX(aanname_implementatie[Totaal vertraging],MATCH($B222,IF(aanname_implementatie[Doelgroep]=$C222,aanname_implementatie[Digitale zorgtoepassing]),0)))</f>
        <v>0.85046564152242399</v>
      </c>
      <c r="P222" s="126" cm="1">
        <f t="array" ref="P222">INDEX(vertraging[[Vertraging 12 jaar]:[2034]],MATCH($F222,vertraging[Zoeksleutel],0),P$134-INDEX(aanname_implementatie[Totaal vertraging],MATCH($B222,IF(aanname_implementatie[Doelgroep]=$C222,aanname_implementatie[Digitale zorgtoepassing]),0)))</f>
        <v>0.89721949883888419</v>
      </c>
      <c r="Q222" s="126" cm="1">
        <f t="array" ref="Q222">INDEX(vertraging[[Vertraging 12 jaar]:[2034]],MATCH($F222,vertraging[Zoeksleutel],0),Q$134-INDEX(aanname_implementatie[Totaal vertraging],MATCH($B222,IF(aanname_implementatie[Doelgroep]=$C222,aanname_implementatie[Digitale zorgtoepassing]),0)))</f>
        <v>0.93103704076606597</v>
      </c>
      <c r="R222" s="126" cm="1">
        <f t="array" ref="R222">INDEX(vertraging[[Vertraging 12 jaar]:[2034]],MATCH($F222,vertraging[Zoeksleutel],0),R$134-INDEX(aanname_implementatie[Totaal vertraging],MATCH($B222,IF(aanname_implementatie[Doelgroep]=$C222,aanname_implementatie[Digitale zorgtoepassing]),0)))</f>
        <v>0.9545439594752464</v>
      </c>
    </row>
    <row r="223" spans="1:18" x14ac:dyDescent="0.5">
      <c r="A223" s="30" t="str">
        <f>INDEX(Technologieën[Veld],MATCH(B223,Technologieën[Digitale zorgtoepassing],0))</f>
        <v>Software - Diagnose</v>
      </c>
      <c r="B223" s="30" t="s">
        <v>139</v>
      </c>
      <c r="C223" s="30" t="s">
        <v>106</v>
      </c>
      <c r="D223" s="30" t="str" cm="1">
        <f t="array" ref="D223">INDEX(Berekening_patiëntaantal[Direct toepasbaar/extrapolatie/incidentie voor QALY],MATCH(B223,IF(Berekening_patiëntaantal[Doelgroep (zoeksleutel)]=C223,Berekening_patiëntaantal[Digitale zorgtoepassing]),0))</f>
        <v>Huidige toepassing</v>
      </c>
      <c r="E223" s="440" t="s">
        <v>813</v>
      </c>
      <c r="F223" s="30" t="str">
        <f>CONCATENATE(implementatie[[#This Row],[Zorgtechnologie]],"_",implementatie[[#This Row],[Doelgroep]],"_",implementatie[[#This Row],[Uitgangssituatie/effect beleid]])</f>
        <v>Digitale pathologie_NVT_Uitgangssituatie</v>
      </c>
      <c r="G223" s="126" cm="1">
        <f t="array" ref="G223">INDEX(vertraging[[Vertraging 12 jaar]:[2034]],MATCH($F223,vertraging[Zoeksleutel],0),G$134-INDEX(aanname_implementatie[Totaal vertraging],MATCH($B223,IF(aanname_implementatie[Doelgroep]=$C223,aanname_implementatie[Digitale zorgtoepassing]),0)))</f>
        <v>0.8</v>
      </c>
      <c r="H223" s="126" cm="1">
        <f t="array" ref="H223">INDEX(vertraging[[Vertraging 12 jaar]:[2034]],MATCH($F223,vertraging[Zoeksleutel],0),H$134-INDEX(aanname_implementatie[Totaal vertraging],MATCH($B223,IF(aanname_implementatie[Doelgroep]=$C223,aanname_implementatie[Digitale zorgtoepassing]),0)))</f>
        <v>0.877</v>
      </c>
      <c r="I223" s="126" cm="1">
        <f t="array" ref="I223">INDEX(vertraging[[Vertraging 12 jaar]:[2034]],MATCH($F223,vertraging[Zoeksleutel],0),I$134-INDEX(aanname_implementatie[Totaal vertraging],MATCH($B223,IF(aanname_implementatie[Doelgroep]=$C223,aanname_implementatie[Digitale zorgtoepassing]),0)))</f>
        <v>0.92861695000000011</v>
      </c>
      <c r="J223" s="126" cm="1">
        <f t="array" ref="J223">INDEX(vertraging[[Vertraging 12 jaar]:[2034]],MATCH($F223,vertraging[Zoeksleutel],0),J$134-INDEX(aanname_implementatie[Totaal vertraging],MATCH($B223,IF(aanname_implementatie[Doelgroep]=$C223,aanname_implementatie[Digitale zorgtoepassing]),0)))</f>
        <v>0.96023090582771387</v>
      </c>
      <c r="K223" s="126" cm="1">
        <f t="array" ref="K223">INDEX(vertraging[[Vertraging 12 jaar]:[2034]],MATCH($F223,vertraging[Zoeksleutel],0),K$134-INDEX(aanname_implementatie[Totaal vertraging],MATCH($B223,IF(aanname_implementatie[Doelgroep]=$C223,aanname_implementatie[Digitale zorgtoepassing]),0)))</f>
        <v>0.97840951417647182</v>
      </c>
      <c r="L223" s="126" cm="1">
        <f t="array" ref="L223">INDEX(vertraging[[Vertraging 12 jaar]:[2034]],MATCH($F223,vertraging[Zoeksleutel],0),L$134-INDEX(aanname_implementatie[Totaal vertraging],MATCH($B223,IF(aanname_implementatie[Doelgroep]=$C223,aanname_implementatie[Digitale zorgtoepassing]),0)))</f>
        <v>0.9884552278575045</v>
      </c>
      <c r="M223" s="126" cm="1">
        <f t="array" ref="M223">INDEX(vertraging[[Vertraging 12 jaar]:[2034]],MATCH($F223,vertraging[Zoeksleutel],0),M$134-INDEX(aanname_implementatie[Totaal vertraging],MATCH($B223,IF(aanname_implementatie[Doelgroep]=$C223,aanname_implementatie[Digitale zorgtoepassing]),0)))</f>
        <v>0.99387901783146992</v>
      </c>
      <c r="N223" s="126" cm="1">
        <f t="array" ref="N223">INDEX(vertraging[[Vertraging 12 jaar]:[2034]],MATCH($F223,vertraging[Zoeksleutel],0),N$134-INDEX(aanname_implementatie[Totaal vertraging],MATCH($B223,IF(aanname_implementatie[Doelgroep]=$C223,aanname_implementatie[Digitale zorgtoepassing]),0)))</f>
        <v>0.99676962447130335</v>
      </c>
      <c r="O223" s="126" cm="1">
        <f t="array" ref="O223">INDEX(vertraging[[Vertraging 12 jaar]:[2034]],MATCH($F223,vertraging[Zoeksleutel],0),O$134-INDEX(aanname_implementatie[Totaal vertraging],MATCH($B223,IF(aanname_implementatie[Doelgroep]=$C223,aanname_implementatie[Digitale zorgtoepassing]),0)))</f>
        <v>0.99829935695070882</v>
      </c>
      <c r="P223" s="126" cm="1">
        <f t="array" ref="P223">INDEX(vertraging[[Vertraging 12 jaar]:[2034]],MATCH($F223,vertraging[Zoeksleutel],0),P$134-INDEX(aanname_implementatie[Totaal vertraging],MATCH($B223,IF(aanname_implementatie[Doelgroep]=$C223,aanname_implementatie[Digitale zorgtoepassing]),0)))</f>
        <v>0.9991058609150707</v>
      </c>
      <c r="Q223" s="126" cm="1">
        <f t="array" ref="Q223">INDEX(vertraging[[Vertraging 12 jaar]:[2034]],MATCH($F223,vertraging[Zoeksleutel],0),Q$134-INDEX(aanname_implementatie[Totaal vertraging],MATCH($B223,IF(aanname_implementatie[Doelgroep]=$C223,aanname_implementatie[Digitale zorgtoepassing]),0)))</f>
        <v>0.99953021721229562</v>
      </c>
      <c r="R223" s="126" cm="1">
        <f t="array" ref="R223">INDEX(vertraging[[Vertraging 12 jaar]:[2034]],MATCH($F223,vertraging[Zoeksleutel],0),R$134-INDEX(aanname_implementatie[Totaal vertraging],MATCH($B223,IF(aanname_implementatie[Doelgroep]=$C223,aanname_implementatie[Digitale zorgtoepassing]),0)))</f>
        <v>0.99975326472331483</v>
      </c>
    </row>
    <row r="224" spans="1:18" x14ac:dyDescent="0.5">
      <c r="A224" s="30" t="str">
        <f>INDEX(Technologieën[Veld],MATCH(B224,Technologieën[Digitale zorgtoepassing],0))</f>
        <v>Software - Behandeling</v>
      </c>
      <c r="B224" s="30" t="s">
        <v>588</v>
      </c>
      <c r="C224" s="30" t="s">
        <v>104</v>
      </c>
      <c r="D224" s="30" t="str" cm="1">
        <f t="array" ref="D224">INDEX(Berekening_patiëntaantal[Direct toepasbaar/extrapolatie/incidentie voor QALY],MATCH(B224,IF(Berekening_patiëntaantal[Doelgroep (zoeksleutel)]=C224,Berekening_patiëntaantal[Digitale zorgtoepassing]),0))</f>
        <v>Huidige toepassing</v>
      </c>
      <c r="E224" s="440" t="s">
        <v>813</v>
      </c>
      <c r="F224" s="30" t="str">
        <f>CONCATENATE(implementatie[[#This Row],[Zorgtechnologie]],"_",implementatie[[#This Row],[Doelgroep]],"_",implementatie[[#This Row],[Uitgangssituatie/effect beleid]])</f>
        <v>Digitale zorg logopedie_Afasie_Uitgangssituatie</v>
      </c>
      <c r="G224" s="126" cm="1">
        <f t="array" ref="G224">INDEX(vertraging[[Vertraging 12 jaar]:[2034]],MATCH($F224,vertraging[Zoeksleutel],0),G$134-INDEX(aanname_implementatie[Totaal vertraging],MATCH($B224,IF(aanname_implementatie[Doelgroep]=$C224,aanname_implementatie[Digitale zorgtoepassing]),0)))</f>
        <v>0.2</v>
      </c>
      <c r="H224" s="126" cm="1">
        <f t="array" ref="H224">INDEX(vertraging[[Vertraging 12 jaar]:[2034]],MATCH($F224,vertraging[Zoeksleutel],0),H$134-INDEX(aanname_implementatie[Totaal vertraging],MATCH($B224,IF(aanname_implementatie[Doelgroep]=$C224,aanname_implementatie[Digitale zorgtoepassing]),0)))</f>
        <v>0.26800000000000002</v>
      </c>
      <c r="I224" s="126" cm="1">
        <f t="array" ref="I224">INDEX(vertraging[[Vertraging 12 jaar]:[2034]],MATCH($F224,vertraging[Zoeksleutel],0),I$134-INDEX(aanname_implementatie[Totaal vertraging],MATCH($B224,IF(aanname_implementatie[Doelgroep]=$C224,aanname_implementatie[Digitale zorgtoepassing]),0)))</f>
        <v>0.3476416</v>
      </c>
      <c r="J224" s="126" cm="1">
        <f t="array" ref="J224">INDEX(vertraging[[Vertraging 12 jaar]:[2034]],MATCH($F224,vertraging[Zoeksleutel],0),J$134-INDEX(aanname_implementatie[Totaal vertraging],MATCH($B224,IF(aanname_implementatie[Doelgroep]=$C224,aanname_implementatie[Digitale zorgtoepassing]),0)))</f>
        <v>0.43680239728230397</v>
      </c>
      <c r="K224" s="126" cm="1">
        <f t="array" ref="K224">INDEX(vertraging[[Vertraging 12 jaar]:[2034]],MATCH($F224,vertraging[Zoeksleutel],0),K$134-INDEX(aanname_implementatie[Totaal vertraging],MATCH($B224,IF(aanname_implementatie[Doelgroep]=$C224,aanname_implementatie[Digitale zorgtoepassing]),0)))</f>
        <v>0.53135248337682706</v>
      </c>
      <c r="L224" s="126" cm="1">
        <f t="array" ref="L224">INDEX(vertraging[[Vertraging 12 jaar]:[2034]],MATCH($F224,vertraging[Zoeksleutel],0),L$134-INDEX(aanname_implementatie[Totaal vertraging],MATCH($B224,IF(aanname_implementatie[Doelgroep]=$C224,aanname_implementatie[Digitale zorgtoepassing]),0)))</f>
        <v>0.62553815375131172</v>
      </c>
      <c r="M224" s="126" cm="1">
        <f t="array" ref="M224">INDEX(vertraging[[Vertraging 12 jaar]:[2034]],MATCH($F224,vertraging[Zoeksleutel],0),M$134-INDEX(aanname_implementatie[Totaal vertraging],MATCH($B224,IF(aanname_implementatie[Doelgroep]=$C224,aanname_implementatie[Digitale zorgtoepassing]),0)))</f>
        <v>0.71313914162849124</v>
      </c>
      <c r="N224" s="126" cm="1">
        <f t="array" ref="N224">INDEX(vertraging[[Vertraging 12 jaar]:[2034]],MATCH($F224,vertraging[Zoeksleutel],0),N$134-INDEX(aanname_implementatie[Totaal vertraging],MATCH($B224,IF(aanname_implementatie[Doelgroep]=$C224,aanname_implementatie[Digitale zorgtoepassing]),0)))</f>
        <v>0.78904215171111836</v>
      </c>
      <c r="O224" s="126" cm="1">
        <f t="array" ref="O224">INDEX(vertraging[[Vertraging 12 jaar]:[2034]],MATCH($F224,vertraging[Zoeksleutel],0),O$134-INDEX(aanname_implementatie[Totaal vertraging],MATCH($B224,IF(aanname_implementatie[Doelgroep]=$C224,aanname_implementatie[Digitale zorgtoepassing]),0)))</f>
        <v>0.85046564152242399</v>
      </c>
      <c r="P224" s="126" cm="1">
        <f t="array" ref="P224">INDEX(vertraging[[Vertraging 12 jaar]:[2034]],MATCH($F224,vertraging[Zoeksleutel],0),P$134-INDEX(aanname_implementatie[Totaal vertraging],MATCH($B224,IF(aanname_implementatie[Doelgroep]=$C224,aanname_implementatie[Digitale zorgtoepassing]),0)))</f>
        <v>0.89721949883888419</v>
      </c>
      <c r="Q224" s="126" cm="1">
        <f t="array" ref="Q224">INDEX(vertraging[[Vertraging 12 jaar]:[2034]],MATCH($F224,vertraging[Zoeksleutel],0),Q$134-INDEX(aanname_implementatie[Totaal vertraging],MATCH($B224,IF(aanname_implementatie[Doelgroep]=$C224,aanname_implementatie[Digitale zorgtoepassing]),0)))</f>
        <v>0.93103704076606597</v>
      </c>
      <c r="R224" s="126" cm="1">
        <f t="array" ref="R224">INDEX(vertraging[[Vertraging 12 jaar]:[2034]],MATCH($F224,vertraging[Zoeksleutel],0),R$134-INDEX(aanname_implementatie[Totaal vertraging],MATCH($B224,IF(aanname_implementatie[Doelgroep]=$C224,aanname_implementatie[Digitale zorgtoepassing]),0)))</f>
        <v>0.9545439594752464</v>
      </c>
    </row>
    <row r="225" spans="1:18" x14ac:dyDescent="0.5">
      <c r="A225" s="30" t="str">
        <f>INDEX(Technologieën[Veld],MATCH(B225,Technologieën[Digitale zorgtoepassing],0))</f>
        <v>Software - Behandeling</v>
      </c>
      <c r="B225" s="30" t="s">
        <v>588</v>
      </c>
      <c r="C225" s="30" t="s">
        <v>589</v>
      </c>
      <c r="D225" s="30" t="str" cm="1">
        <f t="array" ref="D225">INDEX(Berekening_patiëntaantal[Direct toepasbaar/extrapolatie/incidentie voor QALY],MATCH(B225,IF(Berekening_patiëntaantal[Doelgroep (zoeksleutel)]=C225,Berekening_patiëntaantal[Digitale zorgtoepassing]),0))</f>
        <v>Extrapolatie</v>
      </c>
      <c r="E225" s="440" t="s">
        <v>813</v>
      </c>
      <c r="F225" s="30" t="str">
        <f>CONCATENATE(implementatie[[#This Row],[Zorgtechnologie]],"_",implementatie[[#This Row],[Doelgroep]],"_",implementatie[[#This Row],[Uitgangssituatie/effect beleid]])</f>
        <v>Digitale zorg logopedie_Overige_zittingen_Uitgangssituatie</v>
      </c>
      <c r="G225" s="126" cm="1">
        <f t="array" ref="G225">INDEX(vertraging[[Vertraging 12 jaar]:[2034]],MATCH($F225,vertraging[Zoeksleutel],0),G$134-INDEX(aanname_implementatie[Totaal vertraging],MATCH($B225,IF(aanname_implementatie[Doelgroep]=$C225,aanname_implementatie[Digitale zorgtoepassing]),0)))</f>
        <v>0</v>
      </c>
      <c r="H225" s="126" cm="1">
        <f t="array" ref="H225">INDEX(vertraging[[Vertraging 12 jaar]:[2034]],MATCH($F225,vertraging[Zoeksleutel],0),H$134-INDEX(aanname_implementatie[Totaal vertraging],MATCH($B225,IF(aanname_implementatie[Doelgroep]=$C225,aanname_implementatie[Digitale zorgtoepassing]),0)))</f>
        <v>0</v>
      </c>
      <c r="I225" s="126" cm="1">
        <f t="array" ref="I225">INDEX(vertraging[[Vertraging 12 jaar]:[2034]],MATCH($F225,vertraging[Zoeksleutel],0),I$134-INDEX(aanname_implementatie[Totaal vertraging],MATCH($B225,IF(aanname_implementatie[Doelgroep]=$C225,aanname_implementatie[Digitale zorgtoepassing]),0)))</f>
        <v>0</v>
      </c>
      <c r="J225" s="126" cm="1">
        <f t="array" ref="J225">INDEX(vertraging[[Vertraging 12 jaar]:[2034]],MATCH($F225,vertraging[Zoeksleutel],0),J$134-INDEX(aanname_implementatie[Totaal vertraging],MATCH($B225,IF(aanname_implementatie[Doelgroep]=$C225,aanname_implementatie[Digitale zorgtoepassing]),0)))</f>
        <v>0</v>
      </c>
      <c r="K225" s="126" cm="1">
        <f t="array" ref="K225">INDEX(vertraging[[Vertraging 12 jaar]:[2034]],MATCH($F225,vertraging[Zoeksleutel],0),K$134-INDEX(aanname_implementatie[Totaal vertraging],MATCH($B225,IF(aanname_implementatie[Doelgroep]=$C225,aanname_implementatie[Digitale zorgtoepassing]),0)))</f>
        <v>0</v>
      </c>
      <c r="L225" s="126" cm="1">
        <f t="array" ref="L225">INDEX(vertraging[[Vertraging 12 jaar]:[2034]],MATCH($F225,vertraging[Zoeksleutel],0),L$134-INDEX(aanname_implementatie[Totaal vertraging],MATCH($B225,IF(aanname_implementatie[Doelgroep]=$C225,aanname_implementatie[Digitale zorgtoepassing]),0)))</f>
        <v>0.01</v>
      </c>
      <c r="M225" s="126" cm="1">
        <f t="array" ref="M225">INDEX(vertraging[[Vertraging 12 jaar]:[2034]],MATCH($F225,vertraging[Zoeksleutel],0),M$134-INDEX(aanname_implementatie[Totaal vertraging],MATCH($B225,IF(aanname_implementatie[Doelgroep]=$C225,aanname_implementatie[Digitale zorgtoepassing]),0)))</f>
        <v>2.2870000000000001E-2</v>
      </c>
      <c r="N225" s="126" cm="1">
        <f t="array" ref="N225">INDEX(vertraging[[Vertraging 12 jaar]:[2034]],MATCH($F225,vertraging[Zoeksleutel],0),N$134-INDEX(aanname_implementatie[Totaal vertraging],MATCH($B225,IF(aanname_implementatie[Doelgroep]=$C225,aanname_implementatie[Digitale zorgtoepassing]),0)))</f>
        <v>3.9345388929999996E-2</v>
      </c>
      <c r="O225" s="126" cm="1">
        <f t="array" ref="O225">INDEX(vertraging[[Vertraging 12 jaar]:[2034]],MATCH($F225,vertraging[Zoeksleutel],0),O$134-INDEX(aanname_implementatie[Totaal vertraging],MATCH($B225,IF(aanname_implementatie[Doelgroep]=$C225,aanname_implementatie[Digitale zorgtoepassing]),0)))</f>
        <v>6.0291133830684102E-2</v>
      </c>
      <c r="P225" s="126" cm="1">
        <f t="array" ref="P225">INDEX(vertraging[[Vertraging 12 jaar]:[2034]],MATCH($F225,vertraging[Zoeksleutel],0),P$134-INDEX(aanname_implementatie[Totaal vertraging],MATCH($B225,IF(aanname_implementatie[Doelgroep]=$C225,aanname_implementatie[Digitale zorgtoepassing]),0)))</f>
        <v>8.6685056396005655E-2</v>
      </c>
      <c r="Q225" s="126" cm="1">
        <f t="array" ref="Q225">INDEX(vertraging[[Vertraging 12 jaar]:[2034]],MATCH($F225,vertraging[Zoeksleutel],0),Q$134-INDEX(aanname_implementatie[Totaal vertraging],MATCH($B225,IF(aanname_implementatie[Doelgroep]=$C225,aanname_implementatie[Digitale zorgtoepassing]),0)))</f>
        <v>0.11956943305013369</v>
      </c>
      <c r="R225" s="126" cm="1">
        <f t="array" ref="R225">INDEX(vertraging[[Vertraging 12 jaar]:[2034]],MATCH($F225,vertraging[Zoeksleutel],0),R$134-INDEX(aanname_implementatie[Totaal vertraging],MATCH($B225,IF(aanname_implementatie[Doelgroep]=$C225,aanname_implementatie[Digitale zorgtoepassing]),0)))</f>
        <v>0.15995551383869336</v>
      </c>
    </row>
    <row r="226" spans="1:18" x14ac:dyDescent="0.5">
      <c r="A226" s="30" t="str">
        <f>INDEX(Technologieën[Veld],MATCH(B226,Technologieën[Digitale zorgtoepassing],0))</f>
        <v>Software - Behandeling</v>
      </c>
      <c r="B226" s="30" t="s">
        <v>585</v>
      </c>
      <c r="C226" s="30" t="s">
        <v>583</v>
      </c>
      <c r="D226" s="30" t="str" cm="1">
        <f t="array" ref="D226">INDEX(Berekening_patiëntaantal[Direct toepasbaar/extrapolatie/incidentie voor QALY],MATCH(B226,IF(Berekening_patiëntaantal[Doelgroep (zoeksleutel)]=C226,Berekening_patiëntaantal[Digitale zorgtoepassing]),0))</f>
        <v>Huidige toepassing</v>
      </c>
      <c r="E226" s="440" t="s">
        <v>813</v>
      </c>
      <c r="F226" s="30" t="str">
        <f>CONCATENATE(implementatie[[#This Row],[Zorgtechnologie]],"_",implementatie[[#This Row],[Doelgroep]],"_",implementatie[[#This Row],[Uitgangssituatie/effect beleid]])</f>
        <v>Digitale/slimme vervolgzorg_Herhaalpoli's_Uitgangssituatie</v>
      </c>
      <c r="G226" s="126" cm="1">
        <f t="array" ref="G226">INDEX(vertraging[[Vertraging 12 jaar]:[2034]],MATCH($F226,vertraging[Zoeksleutel],0),G$134-INDEX(aanname_implementatie[Totaal vertraging],MATCH($B226,IF(aanname_implementatie[Doelgroep]=$C226,aanname_implementatie[Digitale zorgtoepassing]),0)))</f>
        <v>0</v>
      </c>
      <c r="H226" s="126" cm="1">
        <f t="array" ref="H226">INDEX(vertraging[[Vertraging 12 jaar]:[2034]],MATCH($F226,vertraging[Zoeksleutel],0),H$134-INDEX(aanname_implementatie[Totaal vertraging],MATCH($B226,IF(aanname_implementatie[Doelgroep]=$C226,aanname_implementatie[Digitale zorgtoepassing]),0)))</f>
        <v>0.02</v>
      </c>
      <c r="I226" s="126" cm="1">
        <f t="array" ref="I226">INDEX(vertraging[[Vertraging 12 jaar]:[2034]],MATCH($F226,vertraging[Zoeksleutel],0),I$134-INDEX(aanname_implementatie[Totaal vertraging],MATCH($B226,IF(aanname_implementatie[Doelgroep]=$C226,aanname_implementatie[Digitale zorgtoepassing]),0)))</f>
        <v>4.7439999999999996E-2</v>
      </c>
      <c r="J226" s="126" cm="1">
        <f t="array" ref="J226">INDEX(vertraging[[Vertraging 12 jaar]:[2034]],MATCH($F226,vertraging[Zoeksleutel],0),J$134-INDEX(aanname_implementatie[Totaal vertraging],MATCH($B226,IF(aanname_implementatie[Doelgroep]=$C226,aanname_implementatie[Digitale zorgtoepassing]),0)))</f>
        <v>8.4566978560000006E-2</v>
      </c>
      <c r="K226" s="126" cm="1">
        <f t="array" ref="K226">INDEX(vertraging[[Vertraging 12 jaar]:[2034]],MATCH($F226,vertraging[Zoeksleutel],0),K$134-INDEX(aanname_implementatie[Totaal vertraging],MATCH($B226,IF(aanname_implementatie[Doelgroep]=$C226,aanname_implementatie[Digitale zorgtoepassing]),0)))</f>
        <v>0.13384180086769301</v>
      </c>
      <c r="L226" s="126" cm="1">
        <f t="array" ref="L226">INDEX(vertraging[[Vertraging 12 jaar]:[2034]],MATCH($F226,vertraging[Zoeksleutel],0),L$134-INDEX(aanname_implementatie[Totaal vertraging],MATCH($B226,IF(aanname_implementatie[Doelgroep]=$C226,aanname_implementatie[Digitale zorgtoepassing]),0)))</f>
        <v>0.19753623413361349</v>
      </c>
      <c r="M226" s="126" cm="1">
        <f t="array" ref="M226">INDEX(vertraging[[Vertraging 12 jaar]:[2034]],MATCH($F226,vertraging[Zoeksleutel],0),M$134-INDEX(aanname_implementatie[Totaal vertraging],MATCH($B226,IF(aanname_implementatie[Doelgroep]=$C226,aanname_implementatie[Digitale zorgtoepassing]),0)))</f>
        <v>0.27699177758611071</v>
      </c>
      <c r="N226" s="126" cm="1">
        <f t="array" ref="N226">INDEX(vertraging[[Vertraging 12 jaar]:[2034]],MATCH($F226,vertraging[Zoeksleutel],0),N$134-INDEX(aanname_implementatie[Totaal vertraging],MATCH($B226,IF(aanname_implementatie[Doelgroep]=$C226,aanname_implementatie[Digitale zorgtoepassing]),0)))</f>
        <v>0.37155887512870744</v>
      </c>
      <c r="O226" s="126" cm="1">
        <f t="array" ref="O226">INDEX(vertraging[[Vertraging 12 jaar]:[2034]],MATCH($F226,vertraging[Zoeksleutel],0),O$134-INDEX(aanname_implementatie[Totaal vertraging],MATCH($B226,IF(aanname_implementatie[Doelgroep]=$C226,aanname_implementatie[Digitale zorgtoepassing]),0)))</f>
        <v>0.47752884860285211</v>
      </c>
      <c r="P226" s="126" cm="1">
        <f t="array" ref="P226">INDEX(vertraging[[Vertraging 12 jaar]:[2034]],MATCH($F226,vertraging[Zoeksleutel],0),P$134-INDEX(aanname_implementatie[Totaal vertraging],MATCH($B226,IF(aanname_implementatie[Doelgroep]=$C226,aanname_implementatie[Digitale zorgtoepassing]),0)))</f>
        <v>0.5877762905727496</v>
      </c>
      <c r="Q226" s="126" cm="1">
        <f t="array" ref="Q226">INDEX(vertraging[[Vertraging 12 jaar]:[2034]],MATCH($F226,vertraging[Zoeksleutel],0),Q$134-INDEX(aanname_implementatie[Totaal vertraging],MATCH($B226,IF(aanname_implementatie[Doelgroep]=$C226,aanname_implementatie[Digitale zorgtoepassing]),0)))</f>
        <v>0.6929388938866099</v>
      </c>
      <c r="R226" s="126" cm="1">
        <f t="array" ref="R226">INDEX(vertraging[[Vertraging 12 jaar]:[2034]],MATCH($F226,vertraging[Zoeksleutel],0),R$134-INDEX(aanname_implementatie[Totaal vertraging],MATCH($B226,IF(aanname_implementatie[Doelgroep]=$C226,aanname_implementatie[Digitale zorgtoepassing]),0)))</f>
        <v>0.78418994929920227</v>
      </c>
    </row>
    <row r="227" spans="1:18" x14ac:dyDescent="0.5">
      <c r="A227" s="30" t="str">
        <f>INDEX(Technologieën[Veld],MATCH(B227,Technologieën[Digitale zorgtoepassing],0))</f>
        <v>Software - Behandeling</v>
      </c>
      <c r="B227" s="30" t="s">
        <v>585</v>
      </c>
      <c r="C227" s="30" t="s">
        <v>107</v>
      </c>
      <c r="D227" s="30" t="str" cm="1">
        <f t="array" ref="D227">INDEX(Berekening_patiëntaantal[Direct toepasbaar/extrapolatie/incidentie voor QALY],MATCH(B227,IF(Berekening_patiëntaantal[Doelgroep (zoeksleutel)]=C227,Berekening_patiëntaantal[Digitale zorgtoepassing]),0))</f>
        <v>Huidige toepassing</v>
      </c>
      <c r="E227" s="440" t="s">
        <v>813</v>
      </c>
      <c r="F227" s="30" t="str">
        <f>CONCATENATE(implementatie[[#This Row],[Zorgtechnologie]],"_",implementatie[[#This Row],[Doelgroep]],"_",implementatie[[#This Row],[Uitgangssituatie/effect beleid]])</f>
        <v>Digitale/slimme vervolgzorg_Simpele botbreuken_Uitgangssituatie</v>
      </c>
      <c r="G227" s="126" cm="1">
        <f t="array" ref="G227">INDEX(vertraging[[Vertraging 12 jaar]:[2034]],MATCH($F227,vertraging[Zoeksleutel],0),G$134-INDEX(aanname_implementatie[Totaal vertraging],MATCH($B227,IF(aanname_implementatie[Doelgroep]=$C227,aanname_implementatie[Digitale zorgtoepassing]),0)))</f>
        <v>0.4</v>
      </c>
      <c r="H227" s="126" cm="1">
        <f t="array" ref="H227">INDEX(vertraging[[Vertraging 12 jaar]:[2034]],MATCH($F227,vertraging[Zoeksleutel],0),H$134-INDEX(aanname_implementatie[Totaal vertraging],MATCH($B227,IF(aanname_implementatie[Doelgroep]=$C227,aanname_implementatie[Digitale zorgtoepassing]),0)))</f>
        <v>0.52300000000000002</v>
      </c>
      <c r="I227" s="126" cm="1">
        <f t="array" ref="I227">INDEX(vertraging[[Vertraging 12 jaar]:[2034]],MATCH($F227,vertraging[Zoeksleutel],0),I$134-INDEX(aanname_implementatie[Totaal vertraging],MATCH($B227,IF(aanname_implementatie[Doelgroep]=$C227,aanname_implementatie[Digitale zorgtoepassing]),0)))</f>
        <v>0.64718695000000004</v>
      </c>
      <c r="J227" s="126" cm="1">
        <f t="array" ref="J227">INDEX(vertraging[[Vertraging 12 jaar]:[2034]],MATCH($F227,vertraging[Zoeksleutel],0),J$134-INDEX(aanname_implementatie[Totaal vertraging],MATCH($B227,IF(aanname_implementatie[Doelgroep]=$C227,aanname_implementatie[Digitale zorgtoepassing]),0)))</f>
        <v>0.75875847703736388</v>
      </c>
      <c r="K227" s="126" cm="1">
        <f t="array" ref="K227">INDEX(vertraging[[Vertraging 12 jaar]:[2034]],MATCH($F227,vertraging[Zoeksleutel],0),K$134-INDEX(aanname_implementatie[Totaal vertraging],MATCH($B227,IF(aanname_implementatie[Doelgroep]=$C227,aanname_implementatie[Digitale zorgtoepassing]),0)))</f>
        <v>0.84715933786401665</v>
      </c>
      <c r="L227" s="126" cm="1">
        <f t="array" ref="L227">INDEX(vertraging[[Vertraging 12 jaar]:[2034]],MATCH($F227,vertraging[Zoeksleutel],0),L$134-INDEX(aanname_implementatie[Totaal vertraging],MATCH($B227,IF(aanname_implementatie[Doelgroep]=$C227,aanname_implementatie[Digitale zorgtoepassing]),0)))</f>
        <v>0.90924653177763415</v>
      </c>
      <c r="M227" s="126" cm="1">
        <f t="array" ref="M227">INDEX(vertraging[[Vertraging 12 jaar]:[2034]],MATCH($F227,vertraging[Zoeksleutel],0),M$134-INDEX(aanname_implementatie[Totaal vertraging],MATCH($B227,IF(aanname_implementatie[Doelgroep]=$C227,aanname_implementatie[Digitale zorgtoepassing]),0)))</f>
        <v>0.94864814278578335</v>
      </c>
      <c r="N227" s="126" cm="1">
        <f t="array" ref="N227">INDEX(vertraging[[Vertraging 12 jaar]:[2034]],MATCH($F227,vertraging[Zoeksleutel],0),N$134-INDEX(aanname_implementatie[Totaal vertraging],MATCH($B227,IF(aanname_implementatie[Doelgroep]=$C227,aanname_implementatie[Digitale zorgtoepassing]),0)))</f>
        <v>0.97185361900482903</v>
      </c>
      <c r="O227" s="126" cm="1">
        <f t="array" ref="O227">INDEX(vertraging[[Vertraging 12 jaar]:[2034]],MATCH($F227,vertraging[Zoeksleutel],0),O$134-INDEX(aanname_implementatie[Totaal vertraging],MATCH($B227,IF(aanname_implementatie[Doelgroep]=$C227,aanname_implementatie[Digitale zorgtoepassing]),0)))</f>
        <v>0.98486665153412889</v>
      </c>
      <c r="P227" s="126" cm="1">
        <f t="array" ref="P227">INDEX(vertraging[[Vertraging 12 jaar]:[2034]],MATCH($F227,vertraging[Zoeksleutel],0),P$134-INDEX(aanname_implementatie[Totaal vertraging],MATCH($B227,IF(aanname_implementatie[Doelgroep]=$C227,aanname_implementatie[Digitale zorgtoepassing]),0)))</f>
        <v>0.99195193384931235</v>
      </c>
      <c r="Q227" s="126" cm="1">
        <f t="array" ref="Q227">INDEX(vertraging[[Vertraging 12 jaar]:[2034]],MATCH($F227,vertraging[Zoeksleutel],0),Q$134-INDEX(aanname_implementatie[Totaal vertraging],MATCH($B227,IF(aanname_implementatie[Doelgroep]=$C227,aanname_implementatie[Digitale zorgtoepassing]),0)))</f>
        <v>0.99574561815494433</v>
      </c>
      <c r="R227" s="126" cm="1">
        <f t="array" ref="R227">INDEX(vertraging[[Vertraging 12 jaar]:[2034]],MATCH($F227,vertraging[Zoeksleutel],0),R$134-INDEX(aanname_implementatie[Totaal vertraging],MATCH($B227,IF(aanname_implementatie[Doelgroep]=$C227,aanname_implementatie[Digitale zorgtoepassing]),0)))</f>
        <v>0.99775830463714821</v>
      </c>
    </row>
    <row r="228" spans="1:18" x14ac:dyDescent="0.5">
      <c r="A228" s="30" t="str">
        <f>INDEX(Technologieën[Veld],MATCH(B228,Technologieën[Digitale zorgtoepassing],0))</f>
        <v>Digitale hulpmiddelen - Verpleging</v>
      </c>
      <c r="B228" s="30" t="s">
        <v>58</v>
      </c>
      <c r="C228" s="30" t="s">
        <v>59</v>
      </c>
      <c r="D228" s="30" t="str" cm="1">
        <f t="array" ref="D228">INDEX(Berekening_patiëntaantal[Direct toepasbaar/extrapolatie/incidentie voor QALY],MATCH(B228,IF(Berekening_patiëntaantal[Doelgroep (zoeksleutel)]=C228,Berekening_patiëntaantal[Digitale zorgtoepassing]),0))</f>
        <v>Huidige toepassing</v>
      </c>
      <c r="E228" s="440" t="s">
        <v>813</v>
      </c>
      <c r="F228" s="30" t="str">
        <f>CONCATENATE(implementatie[[#This Row],[Zorgtechnologie]],"_",implementatie[[#This Row],[Doelgroep]],"_",implementatie[[#This Row],[Uitgangssituatie/effect beleid]])</f>
        <v>Elektromechanisch toegangsbeheer_Alleenstaande thuiszorg cliënten_Uitgangssituatie</v>
      </c>
      <c r="G228" s="126" cm="1">
        <f t="array" ref="G228">INDEX(vertraging[[Vertraging 12 jaar]:[2034]],MATCH($F228,vertraging[Zoeksleutel],0),G$134-INDEX(aanname_implementatie[Totaal vertraging],MATCH($B228,IF(aanname_implementatie[Doelgroep]=$C228,aanname_implementatie[Digitale zorgtoepassing]),0)))</f>
        <v>0.4</v>
      </c>
      <c r="H228" s="126" cm="1">
        <f t="array" ref="H228">INDEX(vertraging[[Vertraging 12 jaar]:[2034]],MATCH($F228,vertraging[Zoeksleutel],0),H$134-INDEX(aanname_implementatie[Totaal vertraging],MATCH($B228,IF(aanname_implementatie[Doelgroep]=$C228,aanname_implementatie[Digitale zorgtoepassing]),0)))</f>
        <v>0.52300000000000002</v>
      </c>
      <c r="I228" s="126" cm="1">
        <f t="array" ref="I228">INDEX(vertraging[[Vertraging 12 jaar]:[2034]],MATCH($F228,vertraging[Zoeksleutel],0),I$134-INDEX(aanname_implementatie[Totaal vertraging],MATCH($B228,IF(aanname_implementatie[Doelgroep]=$C228,aanname_implementatie[Digitale zorgtoepassing]),0)))</f>
        <v>0.64718695000000004</v>
      </c>
      <c r="J228" s="126" cm="1">
        <f t="array" ref="J228">INDEX(vertraging[[Vertraging 12 jaar]:[2034]],MATCH($F228,vertraging[Zoeksleutel],0),J$134-INDEX(aanname_implementatie[Totaal vertraging],MATCH($B228,IF(aanname_implementatie[Doelgroep]=$C228,aanname_implementatie[Digitale zorgtoepassing]),0)))</f>
        <v>0.75875847703736388</v>
      </c>
      <c r="K228" s="126" cm="1">
        <f t="array" ref="K228">INDEX(vertraging[[Vertraging 12 jaar]:[2034]],MATCH($F228,vertraging[Zoeksleutel],0),K$134-INDEX(aanname_implementatie[Totaal vertraging],MATCH($B228,IF(aanname_implementatie[Doelgroep]=$C228,aanname_implementatie[Digitale zorgtoepassing]),0)))</f>
        <v>0.84715933786401665</v>
      </c>
      <c r="L228" s="126" cm="1">
        <f t="array" ref="L228">INDEX(vertraging[[Vertraging 12 jaar]:[2034]],MATCH($F228,vertraging[Zoeksleutel],0),L$134-INDEX(aanname_implementatie[Totaal vertraging],MATCH($B228,IF(aanname_implementatie[Doelgroep]=$C228,aanname_implementatie[Digitale zorgtoepassing]),0)))</f>
        <v>0.90924653177763415</v>
      </c>
      <c r="M228" s="126" cm="1">
        <f t="array" ref="M228">INDEX(vertraging[[Vertraging 12 jaar]:[2034]],MATCH($F228,vertraging[Zoeksleutel],0),M$134-INDEX(aanname_implementatie[Totaal vertraging],MATCH($B228,IF(aanname_implementatie[Doelgroep]=$C228,aanname_implementatie[Digitale zorgtoepassing]),0)))</f>
        <v>0.94864814278578335</v>
      </c>
      <c r="N228" s="126" cm="1">
        <f t="array" ref="N228">INDEX(vertraging[[Vertraging 12 jaar]:[2034]],MATCH($F228,vertraging[Zoeksleutel],0),N$134-INDEX(aanname_implementatie[Totaal vertraging],MATCH($B228,IF(aanname_implementatie[Doelgroep]=$C228,aanname_implementatie[Digitale zorgtoepassing]),0)))</f>
        <v>0.97185361900482903</v>
      </c>
      <c r="O228" s="126" cm="1">
        <f t="array" ref="O228">INDEX(vertraging[[Vertraging 12 jaar]:[2034]],MATCH($F228,vertraging[Zoeksleutel],0),O$134-INDEX(aanname_implementatie[Totaal vertraging],MATCH($B228,IF(aanname_implementatie[Doelgroep]=$C228,aanname_implementatie[Digitale zorgtoepassing]),0)))</f>
        <v>0.98486665153412889</v>
      </c>
      <c r="P228" s="126" cm="1">
        <f t="array" ref="P228">INDEX(vertraging[[Vertraging 12 jaar]:[2034]],MATCH($F228,vertraging[Zoeksleutel],0),P$134-INDEX(aanname_implementatie[Totaal vertraging],MATCH($B228,IF(aanname_implementatie[Doelgroep]=$C228,aanname_implementatie[Digitale zorgtoepassing]),0)))</f>
        <v>0.99195193384931235</v>
      </c>
      <c r="Q228" s="126" cm="1">
        <f t="array" ref="Q228">INDEX(vertraging[[Vertraging 12 jaar]:[2034]],MATCH($F228,vertraging[Zoeksleutel],0),Q$134-INDEX(aanname_implementatie[Totaal vertraging],MATCH($B228,IF(aanname_implementatie[Doelgroep]=$C228,aanname_implementatie[Digitale zorgtoepassing]),0)))</f>
        <v>0.99574561815494433</v>
      </c>
      <c r="R228" s="126" cm="1">
        <f t="array" ref="R228">INDEX(vertraging[[Vertraging 12 jaar]:[2034]],MATCH($F228,vertraging[Zoeksleutel],0),R$134-INDEX(aanname_implementatie[Totaal vertraging],MATCH($B228,IF(aanname_implementatie[Doelgroep]=$C228,aanname_implementatie[Digitale zorgtoepassing]),0)))</f>
        <v>0.99775830463714821</v>
      </c>
    </row>
    <row r="229" spans="1:18" x14ac:dyDescent="0.5">
      <c r="A229" s="30" t="str">
        <f>INDEX(Technologieën[Veld],MATCH(B229,Technologieën[Digitale zorgtoepassing],0))</f>
        <v>Digitale hulpmiddelen - Verpleging</v>
      </c>
      <c r="B229" s="30" t="s">
        <v>105</v>
      </c>
      <c r="C229" s="30" t="s">
        <v>106</v>
      </c>
      <c r="D229" s="30" t="str" cm="1">
        <f t="array" ref="D229">INDEX(Berekening_patiëntaantal[Direct toepasbaar/extrapolatie/incidentie voor QALY],MATCH(B229,IF(Berekening_patiëntaantal[Doelgroep (zoeksleutel)]=C229,Berekening_patiëntaantal[Digitale zorgtoepassing]),0))</f>
        <v>Huidige toepassing</v>
      </c>
      <c r="E229" s="440" t="s">
        <v>813</v>
      </c>
      <c r="F229" s="30" t="str">
        <f>CONCATENATE(implementatie[[#This Row],[Zorgtechnologie]],"_",implementatie[[#This Row],[Doelgroep]],"_",implementatie[[#This Row],[Uitgangssituatie/effect beleid]])</f>
        <v>Exoskelet_NVT_Uitgangssituatie</v>
      </c>
      <c r="G229" s="126" cm="1">
        <f t="array" ref="G229">INDEX(vertraging[[Vertraging 12 jaar]:[2034]],MATCH($F229,vertraging[Zoeksleutel],0),G$134-INDEX(aanname_implementatie[Totaal vertraging],MATCH($B229,IF(aanname_implementatie[Doelgroep]=$C229,aanname_implementatie[Digitale zorgtoepassing]),0)))</f>
        <v>0</v>
      </c>
      <c r="H229" s="126" cm="1">
        <f t="array" ref="H229">INDEX(vertraging[[Vertraging 12 jaar]:[2034]],MATCH($F229,vertraging[Zoeksleutel],0),H$134-INDEX(aanname_implementatie[Totaal vertraging],MATCH($B229,IF(aanname_implementatie[Doelgroep]=$C229,aanname_implementatie[Digitale zorgtoepassing]),0)))</f>
        <v>0</v>
      </c>
      <c r="I229" s="126" cm="1">
        <f t="array" ref="I229">INDEX(vertraging[[Vertraging 12 jaar]:[2034]],MATCH($F229,vertraging[Zoeksleutel],0),I$134-INDEX(aanname_implementatie[Totaal vertraging],MATCH($B229,IF(aanname_implementatie[Doelgroep]=$C229,aanname_implementatie[Digitale zorgtoepassing]),0)))</f>
        <v>0</v>
      </c>
      <c r="J229" s="126" cm="1">
        <f t="array" ref="J229">INDEX(vertraging[[Vertraging 12 jaar]:[2034]],MATCH($F229,vertraging[Zoeksleutel],0),J$134-INDEX(aanname_implementatie[Totaal vertraging],MATCH($B229,IF(aanname_implementatie[Doelgroep]=$C229,aanname_implementatie[Digitale zorgtoepassing]),0)))</f>
        <v>1.4999999999999999E-2</v>
      </c>
      <c r="K229" s="126" cm="1">
        <f t="array" ref="K229">INDEX(vertraging[[Vertraging 12 jaar]:[2034]],MATCH($F229,vertraging[Zoeksleutel],0),K$134-INDEX(aanname_implementatie[Totaal vertraging],MATCH($B229,IF(aanname_implementatie[Doelgroep]=$C229,aanname_implementatie[Digitale zorgtoepassing]),0)))</f>
        <v>3.4946249999999998E-2</v>
      </c>
      <c r="L229" s="126" cm="1">
        <f t="array" ref="L229">INDEX(vertraging[[Vertraging 12 jaar]:[2034]],MATCH($F229,vertraging[Zoeksleutel],0),L$134-INDEX(aanname_implementatie[Totaal vertraging],MATCH($B229,IF(aanname_implementatie[Doelgroep]=$C229,aanname_implementatie[Digitale zorgtoepassing]),0)))</f>
        <v>6.1225809613828119E-2</v>
      </c>
      <c r="M229" s="126" cm="1">
        <f t="array" ref="M229">INDEX(vertraging[[Vertraging 12 jaar]:[2034]],MATCH($F229,vertraging[Zoeksleutel],0),M$134-INDEX(aanname_implementatie[Totaal vertraging],MATCH($B229,IF(aanname_implementatie[Doelgroep]=$C229,aanname_implementatie[Digitale zorgtoepassing]),0)))</f>
        <v>9.5424445917456496E-2</v>
      </c>
      <c r="N229" s="126" cm="1">
        <f t="array" ref="N229">INDEX(vertraging[[Vertraging 12 jaar]:[2034]],MATCH($F229,vertraging[Zoeksleutel],0),N$134-INDEX(aanname_implementatie[Totaal vertraging],MATCH($B229,IF(aanname_implementatie[Doelgroep]=$C229,aanname_implementatie[Digitale zorgtoepassing]),0)))</f>
        <v>0.13920459659227569</v>
      </c>
      <c r="O229" s="126" cm="1">
        <f t="array" ref="O229">INDEX(vertraging[[Vertraging 12 jaar]:[2034]],MATCH($F229,vertraging[Zoeksleutel],0),O$134-INDEX(aanname_implementatie[Totaal vertraging],MATCH($B229,IF(aanname_implementatie[Doelgroep]=$C229,aanname_implementatie[Digitale zorgtoepassing]),0)))</f>
        <v>0.19405586455134166</v>
      </c>
      <c r="P229" s="126" cm="1">
        <f t="array" ref="P229">INDEX(vertraging[[Vertraging 12 jaar]:[2034]],MATCH($F229,vertraging[Zoeksleutel],0),P$134-INDEX(aanname_implementatie[Totaal vertraging],MATCH($B229,IF(aanname_implementatie[Doelgroep]=$C229,aanname_implementatie[Digitale zorgtoepassing]),0)))</f>
        <v>0.26088439167767208</v>
      </c>
      <c r="Q229" s="126" cm="1">
        <f t="array" ref="Q229">INDEX(vertraging[[Vertraging 12 jaar]:[2034]],MATCH($F229,vertraging[Zoeksleutel],0),Q$134-INDEX(aanname_implementatie[Totaal vertraging],MATCH($B229,IF(aanname_implementatie[Doelgroep]=$C229,aanname_implementatie[Digitale zorgtoepassing]),0)))</f>
        <v>0.33945942985233207</v>
      </c>
      <c r="R229" s="126" cm="1">
        <f t="array" ref="R229">INDEX(vertraging[[Vertraging 12 jaar]:[2034]],MATCH($F229,vertraging[Zoeksleutel],0),R$134-INDEX(aanname_implementatie[Totaal vertraging],MATCH($B229,IF(aanname_implementatie[Doelgroep]=$C229,aanname_implementatie[Digitale zorgtoepassing]),0)))</f>
        <v>0.42784689227237871</v>
      </c>
    </row>
    <row r="230" spans="1:18" x14ac:dyDescent="0.5">
      <c r="A230" s="30" t="str">
        <f>INDEX(Technologieën[Veld],MATCH(B230,Technologieën[Digitale zorgtoepassing],0))</f>
        <v>Digitale hulpmiddelen - Verpleging</v>
      </c>
      <c r="B230" s="30" t="s">
        <v>32</v>
      </c>
      <c r="C230" s="30" t="s">
        <v>602</v>
      </c>
      <c r="D230" s="30" t="str" cm="1">
        <f t="array" ref="D230">INDEX(Berekening_patiëntaantal[Direct toepasbaar/extrapolatie/incidentie voor QALY],MATCH(B230,IF(Berekening_patiëntaantal[Doelgroep (zoeksleutel)]=C230,Berekening_patiëntaantal[Digitale zorgtoepassing]),0))</f>
        <v>Incidentie voor QALY</v>
      </c>
      <c r="E230" s="440" t="s">
        <v>813</v>
      </c>
      <c r="F230" s="30" t="str">
        <f>CONCATENATE(implementatie[[#This Row],[Zorgtechnologie]],"_",implementatie[[#This Row],[Doelgroep]],"_",implementatie[[#This Row],[Uitgangssituatie/effect beleid]])</f>
        <v>Heupairbag_Heupfracturen_Uitgangssituatie</v>
      </c>
      <c r="G230" s="126" cm="1">
        <f t="array" ref="G230">INDEX(vertraging[[Vertraging 12 jaar]:[2034]],MATCH($F230,vertraging[Zoeksleutel],0),G$134-INDEX(aanname_implementatie[Totaal vertraging],MATCH($B230,IF(aanname_implementatie[Doelgroep]=$C230,aanname_implementatie[Digitale zorgtoepassing]),0)))</f>
        <v>0.4</v>
      </c>
      <c r="H230" s="126" cm="1">
        <f t="array" ref="H230">INDEX(vertraging[[Vertraging 12 jaar]:[2034]],MATCH($F230,vertraging[Zoeksleutel],0),H$134-INDEX(aanname_implementatie[Totaal vertraging],MATCH($B230,IF(aanname_implementatie[Doelgroep]=$C230,aanname_implementatie[Digitale zorgtoepassing]),0)))</f>
        <v>0.50800000000000001</v>
      </c>
      <c r="I230" s="126" cm="1">
        <f t="array" ref="I230">INDEX(vertraging[[Vertraging 12 jaar]:[2034]],MATCH($F230,vertraging[Zoeksleutel],0),I$134-INDEX(aanname_implementatie[Totaal vertraging],MATCH($B230,IF(aanname_implementatie[Doelgroep]=$C230,aanname_implementatie[Digitale zorgtoepassing]),0)))</f>
        <v>0.61781439999999999</v>
      </c>
      <c r="J230" s="126" cm="1">
        <f t="array" ref="J230">INDEX(vertraging[[Vertraging 12 jaar]:[2034]],MATCH($F230,vertraging[Zoeksleutel],0),J$134-INDEX(aanname_implementatie[Totaal vertraging],MATCH($B230,IF(aanname_implementatie[Doelgroep]=$C230,aanname_implementatie[Digitale zorgtoepassing]),0)))</f>
        <v>0.71990601886105599</v>
      </c>
      <c r="K230" s="126" cm="1">
        <f t="array" ref="K230">INDEX(vertraging[[Vertraging 12 jaar]:[2034]],MATCH($F230,vertraging[Zoeksleutel],0),K$134-INDEX(aanname_implementatie[Totaal vertraging],MATCH($B230,IF(aanname_implementatie[Doelgroep]=$C230,aanname_implementatie[Digitale zorgtoepassing]),0)))</f>
        <v>0.80616443563130724</v>
      </c>
      <c r="L230" s="126" cm="1">
        <f t="array" ref="L230">INDEX(vertraging[[Vertraging 12 jaar]:[2034]],MATCH($F230,vertraging[Zoeksleutel],0),L$134-INDEX(aanname_implementatie[Totaal vertraging],MATCH($B230,IF(aanname_implementatie[Doelgroep]=$C230,aanname_implementatie[Digitale zorgtoepassing]),0)))</f>
        <v>0.87254648226050635</v>
      </c>
      <c r="M230" s="126" cm="1">
        <f t="array" ref="M230">INDEX(vertraging[[Vertraging 12 jaar]:[2034]],MATCH($F230,vertraging[Zoeksleutel],0),M$134-INDEX(aanname_implementatie[Totaal vertraging],MATCH($B230,IF(aanname_implementatie[Doelgroep]=$C230,aanname_implementatie[Digitale zorgtoepassing]),0)))</f>
        <v>0.9195792000374251</v>
      </c>
      <c r="N230" s="126" cm="1">
        <f t="array" ref="N230">INDEX(vertraging[[Vertraging 12 jaar]:[2034]],MATCH($F230,vertraging[Zoeksleutel],0),N$134-INDEX(aanname_implementatie[Totaal vertraging],MATCH($B230,IF(aanname_implementatie[Doelgroep]=$C230,aanname_implementatie[Digitale zorgtoepassing]),0)))</f>
        <v>0.95076893399505846</v>
      </c>
      <c r="O230" s="126" cm="1">
        <f t="array" ref="O230">INDEX(vertraging[[Vertraging 12 jaar]:[2034]],MATCH($F230,vertraging[Zoeksleutel],0),O$134-INDEX(aanname_implementatie[Totaal vertraging],MATCH($B230,IF(aanname_implementatie[Doelgroep]=$C230,aanname_implementatie[Digitale zorgtoepassing]),0)))</f>
        <v>0.97047650257314066</v>
      </c>
      <c r="P230" s="126" cm="1">
        <f t="array" ref="P230">INDEX(vertraging[[Vertraging 12 jaar]:[2034]],MATCH($F230,vertraging[Zoeksleutel],0),P$134-INDEX(aanname_implementatie[Totaal vertraging],MATCH($B230,IF(aanname_implementatie[Doelgroep]=$C230,aanname_implementatie[Digitale zorgtoepassing]),0)))</f>
        <v>0.98252771673229611</v>
      </c>
      <c r="Q230" s="126" cm="1">
        <f t="array" ref="Q230">INDEX(vertraging[[Vertraging 12 jaar]:[2034]],MATCH($F230,vertraging[Zoeksleutel],0),Q$134-INDEX(aanname_implementatie[Totaal vertraging],MATCH($B230,IF(aanname_implementatie[Doelgroep]=$C230,aanname_implementatie[Digitale zorgtoepassing]),0)))</f>
        <v>0.98974396343169702</v>
      </c>
      <c r="R230" s="126" cm="1">
        <f t="array" ref="R230">INDEX(vertraging[[Vertraging 12 jaar]:[2034]],MATCH($F230,vertraging[Zoeksleutel],0),R$134-INDEX(aanname_implementatie[Totaal vertraging],MATCH($B230,IF(aanname_implementatie[Doelgroep]=$C230,aanname_implementatie[Digitale zorgtoepassing]),0)))</f>
        <v>0.99400942427594807</v>
      </c>
    </row>
    <row r="231" spans="1:18" x14ac:dyDescent="0.5">
      <c r="A231" s="30" t="str">
        <f>INDEX(Technologieën[Veld],MATCH(B231,Technologieën[Digitale zorgtoepassing],0))</f>
        <v>Digitale hulpmiddelen - Verpleging</v>
      </c>
      <c r="B231" s="30" t="s">
        <v>32</v>
      </c>
      <c r="C231" s="30" t="s">
        <v>33</v>
      </c>
      <c r="D231" s="30" t="str" cm="1">
        <f t="array" ref="D231">INDEX(Berekening_patiëntaantal[Direct toepasbaar/extrapolatie/incidentie voor QALY],MATCH(B231,IF(Berekening_patiëntaantal[Doelgroep (zoeksleutel)]=C231,Berekening_patiëntaantal[Digitale zorgtoepassing]),0))</f>
        <v>Huidige toepassing</v>
      </c>
      <c r="E231" s="440" t="s">
        <v>813</v>
      </c>
      <c r="F231" s="30" t="str">
        <f>CONCATENATE(implementatie[[#This Row],[Zorgtechnologie]],"_",implementatie[[#This Row],[Doelgroep]],"_",implementatie[[#This Row],[Uitgangssituatie/effect beleid]])</f>
        <v>Heupairbag_Ouderen in verpleeghuis_Uitgangssituatie</v>
      </c>
      <c r="G231" s="126" cm="1">
        <f t="array" ref="G231">INDEX(vertraging[[Vertraging 12 jaar]:[2034]],MATCH($F231,vertraging[Zoeksleutel],0),G$134-INDEX(aanname_implementatie[Totaal vertraging],MATCH($B231,IF(aanname_implementatie[Doelgroep]=$C231,aanname_implementatie[Digitale zorgtoepassing]),0)))</f>
        <v>0.4</v>
      </c>
      <c r="H231" s="126" cm="1">
        <f t="array" ref="H231">INDEX(vertraging[[Vertraging 12 jaar]:[2034]],MATCH($F231,vertraging[Zoeksleutel],0),H$134-INDEX(aanname_implementatie[Totaal vertraging],MATCH($B231,IF(aanname_implementatie[Doelgroep]=$C231,aanname_implementatie[Digitale zorgtoepassing]),0)))</f>
        <v>0.50800000000000001</v>
      </c>
      <c r="I231" s="126" cm="1">
        <f t="array" ref="I231">INDEX(vertraging[[Vertraging 12 jaar]:[2034]],MATCH($F231,vertraging[Zoeksleutel],0),I$134-INDEX(aanname_implementatie[Totaal vertraging],MATCH($B231,IF(aanname_implementatie[Doelgroep]=$C231,aanname_implementatie[Digitale zorgtoepassing]),0)))</f>
        <v>0.61781439999999999</v>
      </c>
      <c r="J231" s="126" cm="1">
        <f t="array" ref="J231">INDEX(vertraging[[Vertraging 12 jaar]:[2034]],MATCH($F231,vertraging[Zoeksleutel],0),J$134-INDEX(aanname_implementatie[Totaal vertraging],MATCH($B231,IF(aanname_implementatie[Doelgroep]=$C231,aanname_implementatie[Digitale zorgtoepassing]),0)))</f>
        <v>0.71990601886105599</v>
      </c>
      <c r="K231" s="126" cm="1">
        <f t="array" ref="K231">INDEX(vertraging[[Vertraging 12 jaar]:[2034]],MATCH($F231,vertraging[Zoeksleutel],0),K$134-INDEX(aanname_implementatie[Totaal vertraging],MATCH($B231,IF(aanname_implementatie[Doelgroep]=$C231,aanname_implementatie[Digitale zorgtoepassing]),0)))</f>
        <v>0.80616443563130724</v>
      </c>
      <c r="L231" s="126" cm="1">
        <f t="array" ref="L231">INDEX(vertraging[[Vertraging 12 jaar]:[2034]],MATCH($F231,vertraging[Zoeksleutel],0),L$134-INDEX(aanname_implementatie[Totaal vertraging],MATCH($B231,IF(aanname_implementatie[Doelgroep]=$C231,aanname_implementatie[Digitale zorgtoepassing]),0)))</f>
        <v>0.87254648226050635</v>
      </c>
      <c r="M231" s="126" cm="1">
        <f t="array" ref="M231">INDEX(vertraging[[Vertraging 12 jaar]:[2034]],MATCH($F231,vertraging[Zoeksleutel],0),M$134-INDEX(aanname_implementatie[Totaal vertraging],MATCH($B231,IF(aanname_implementatie[Doelgroep]=$C231,aanname_implementatie[Digitale zorgtoepassing]),0)))</f>
        <v>0.9195792000374251</v>
      </c>
      <c r="N231" s="126" cm="1">
        <f t="array" ref="N231">INDEX(vertraging[[Vertraging 12 jaar]:[2034]],MATCH($F231,vertraging[Zoeksleutel],0),N$134-INDEX(aanname_implementatie[Totaal vertraging],MATCH($B231,IF(aanname_implementatie[Doelgroep]=$C231,aanname_implementatie[Digitale zorgtoepassing]),0)))</f>
        <v>0.95076893399505846</v>
      </c>
      <c r="O231" s="126" cm="1">
        <f t="array" ref="O231">INDEX(vertraging[[Vertraging 12 jaar]:[2034]],MATCH($F231,vertraging[Zoeksleutel],0),O$134-INDEX(aanname_implementatie[Totaal vertraging],MATCH($B231,IF(aanname_implementatie[Doelgroep]=$C231,aanname_implementatie[Digitale zorgtoepassing]),0)))</f>
        <v>0.97047650257314066</v>
      </c>
      <c r="P231" s="126" cm="1">
        <f t="array" ref="P231">INDEX(vertraging[[Vertraging 12 jaar]:[2034]],MATCH($F231,vertraging[Zoeksleutel],0),P$134-INDEX(aanname_implementatie[Totaal vertraging],MATCH($B231,IF(aanname_implementatie[Doelgroep]=$C231,aanname_implementatie[Digitale zorgtoepassing]),0)))</f>
        <v>0.98252771673229611</v>
      </c>
      <c r="Q231" s="126" cm="1">
        <f t="array" ref="Q231">INDEX(vertraging[[Vertraging 12 jaar]:[2034]],MATCH($F231,vertraging[Zoeksleutel],0),Q$134-INDEX(aanname_implementatie[Totaal vertraging],MATCH($B231,IF(aanname_implementatie[Doelgroep]=$C231,aanname_implementatie[Digitale zorgtoepassing]),0)))</f>
        <v>0.98974396343169702</v>
      </c>
      <c r="R231" s="126" cm="1">
        <f t="array" ref="R231">INDEX(vertraging[[Vertraging 12 jaar]:[2034]],MATCH($F231,vertraging[Zoeksleutel],0),R$134-INDEX(aanname_implementatie[Totaal vertraging],MATCH($B231,IF(aanname_implementatie[Doelgroep]=$C231,aanname_implementatie[Digitale zorgtoepassing]),0)))</f>
        <v>0.99400942427594807</v>
      </c>
    </row>
    <row r="232" spans="1:18" x14ac:dyDescent="0.5">
      <c r="A232" s="30" t="str">
        <f>INDEX(Technologieën[Veld],MATCH(B232,Technologieën[Digitale zorgtoepassing],0))</f>
        <v>Software - Diagnose</v>
      </c>
      <c r="B232" s="30" t="s">
        <v>725</v>
      </c>
      <c r="C232" s="30" t="s">
        <v>99</v>
      </c>
      <c r="D232" s="30" t="str" cm="1">
        <f t="array" ref="D232">INDEX(Berekening_patiëntaantal[Direct toepasbaar/extrapolatie/incidentie voor QALY],MATCH(B232,IF(Berekening_patiëntaantal[Doelgroep (zoeksleutel)]=C232,Berekening_patiëntaantal[Digitale zorgtoepassing]),0))</f>
        <v>Huidige toepassing</v>
      </c>
      <c r="E232" s="440" t="s">
        <v>813</v>
      </c>
      <c r="F232" s="30" t="str">
        <f>CONCATENATE(implementatie[[#This Row],[Zorgtechnologie]],"_",implementatie[[#This Row],[Doelgroep]],"_",implementatie[[#This Row],[Uitgangssituatie/effect beleid]])</f>
        <v>Inzicht assistent digitale zelftriage dagpraktijk_Huisartscontacten__Uitgangssituatie</v>
      </c>
      <c r="G232" s="126" cm="1">
        <f t="array" ref="G232">INDEX(vertraging[[Vertraging 12 jaar]:[2034]],MATCH($F232,vertraging[Zoeksleutel],0),G$134-INDEX(aanname_implementatie[Totaal vertraging],MATCH($B232,IF(aanname_implementatie[Doelgroep]=$C232,aanname_implementatie[Digitale zorgtoepassing]),0)))</f>
        <v>0.2</v>
      </c>
      <c r="H232" s="126" cm="1">
        <f t="array" ref="H232">INDEX(vertraging[[Vertraging 12 jaar]:[2034]],MATCH($F232,vertraging[Zoeksleutel],0),H$134-INDEX(aanname_implementatie[Totaal vertraging],MATCH($B232,IF(aanname_implementatie[Doelgroep]=$C232,aanname_implementatie[Digitale zorgtoepassing]),0)))</f>
        <v>0.26800000000000002</v>
      </c>
      <c r="I232" s="126" cm="1">
        <f t="array" ref="I232">INDEX(vertraging[[Vertraging 12 jaar]:[2034]],MATCH($F232,vertraging[Zoeksleutel],0),I$134-INDEX(aanname_implementatie[Totaal vertraging],MATCH($B232,IF(aanname_implementatie[Doelgroep]=$C232,aanname_implementatie[Digitale zorgtoepassing]),0)))</f>
        <v>0.3476416</v>
      </c>
      <c r="J232" s="126" cm="1">
        <f t="array" ref="J232">INDEX(vertraging[[Vertraging 12 jaar]:[2034]],MATCH($F232,vertraging[Zoeksleutel],0),J$134-INDEX(aanname_implementatie[Totaal vertraging],MATCH($B232,IF(aanname_implementatie[Doelgroep]=$C232,aanname_implementatie[Digitale zorgtoepassing]),0)))</f>
        <v>0.43680239728230397</v>
      </c>
      <c r="K232" s="126" cm="1">
        <f t="array" ref="K232">INDEX(vertraging[[Vertraging 12 jaar]:[2034]],MATCH($F232,vertraging[Zoeksleutel],0),K$134-INDEX(aanname_implementatie[Totaal vertraging],MATCH($B232,IF(aanname_implementatie[Doelgroep]=$C232,aanname_implementatie[Digitale zorgtoepassing]),0)))</f>
        <v>0.53135248337682706</v>
      </c>
      <c r="L232" s="126" cm="1">
        <f t="array" ref="L232">INDEX(vertraging[[Vertraging 12 jaar]:[2034]],MATCH($F232,vertraging[Zoeksleutel],0),L$134-INDEX(aanname_implementatie[Totaal vertraging],MATCH($B232,IF(aanname_implementatie[Doelgroep]=$C232,aanname_implementatie[Digitale zorgtoepassing]),0)))</f>
        <v>0.62553815375131172</v>
      </c>
      <c r="M232" s="126" cm="1">
        <f t="array" ref="M232">INDEX(vertraging[[Vertraging 12 jaar]:[2034]],MATCH($F232,vertraging[Zoeksleutel],0),M$134-INDEX(aanname_implementatie[Totaal vertraging],MATCH($B232,IF(aanname_implementatie[Doelgroep]=$C232,aanname_implementatie[Digitale zorgtoepassing]),0)))</f>
        <v>0.71313914162849124</v>
      </c>
      <c r="N232" s="126" cm="1">
        <f t="array" ref="N232">INDEX(vertraging[[Vertraging 12 jaar]:[2034]],MATCH($F232,vertraging[Zoeksleutel],0),N$134-INDEX(aanname_implementatie[Totaal vertraging],MATCH($B232,IF(aanname_implementatie[Doelgroep]=$C232,aanname_implementatie[Digitale zorgtoepassing]),0)))</f>
        <v>0.78904215171111836</v>
      </c>
      <c r="O232" s="126" cm="1">
        <f t="array" ref="O232">INDEX(vertraging[[Vertraging 12 jaar]:[2034]],MATCH($F232,vertraging[Zoeksleutel],0),O$134-INDEX(aanname_implementatie[Totaal vertraging],MATCH($B232,IF(aanname_implementatie[Doelgroep]=$C232,aanname_implementatie[Digitale zorgtoepassing]),0)))</f>
        <v>0.85046564152242399</v>
      </c>
      <c r="P232" s="126" cm="1">
        <f t="array" ref="P232">INDEX(vertraging[[Vertraging 12 jaar]:[2034]],MATCH($F232,vertraging[Zoeksleutel],0),P$134-INDEX(aanname_implementatie[Totaal vertraging],MATCH($B232,IF(aanname_implementatie[Doelgroep]=$C232,aanname_implementatie[Digitale zorgtoepassing]),0)))</f>
        <v>0.89721949883888419</v>
      </c>
      <c r="Q232" s="126" cm="1">
        <f t="array" ref="Q232">INDEX(vertraging[[Vertraging 12 jaar]:[2034]],MATCH($F232,vertraging[Zoeksleutel],0),Q$134-INDEX(aanname_implementatie[Totaal vertraging],MATCH($B232,IF(aanname_implementatie[Doelgroep]=$C232,aanname_implementatie[Digitale zorgtoepassing]),0)))</f>
        <v>0.93103704076606597</v>
      </c>
      <c r="R232" s="126" cm="1">
        <f t="array" ref="R232">INDEX(vertraging[[Vertraging 12 jaar]:[2034]],MATCH($F232,vertraging[Zoeksleutel],0),R$134-INDEX(aanname_implementatie[Totaal vertraging],MATCH($B232,IF(aanname_implementatie[Doelgroep]=$C232,aanname_implementatie[Digitale zorgtoepassing]),0)))</f>
        <v>0.9545439594752464</v>
      </c>
    </row>
    <row r="233" spans="1:18" x14ac:dyDescent="0.5">
      <c r="A233" s="30" t="str">
        <f>INDEX(Technologieën[Veld],MATCH(B233,Technologieën[Digitale zorgtoepassing],0))</f>
        <v>Software - Diagnose</v>
      </c>
      <c r="B233" s="30" t="s">
        <v>720</v>
      </c>
      <c r="C233" s="30" t="s">
        <v>73</v>
      </c>
      <c r="D233" s="30" t="str" cm="1">
        <f t="array" ref="D233">INDEX(Berekening_patiëntaantal[Direct toepasbaar/extrapolatie/incidentie voor QALY],MATCH(B233,IF(Berekening_patiëntaantal[Doelgroep (zoeksleutel)]=C233,Berekening_patiëntaantal[Digitale zorgtoepassing]),0))</f>
        <v>Huidige toepassing</v>
      </c>
      <c r="E233" s="440" t="s">
        <v>813</v>
      </c>
      <c r="F233" s="30" t="str">
        <f>CONCATENATE(implementatie[[#This Row],[Zorgtechnologie]],"_",implementatie[[#This Row],[Doelgroep]],"_",implementatie[[#This Row],[Uitgangssituatie/effect beleid]])</f>
        <v>Inzicht triagist digitale zelftriage HAP_HAP triageconsulten_U4/U5_Uitgangssituatie</v>
      </c>
      <c r="G233" s="126" cm="1">
        <f t="array" ref="G233">INDEX(vertraging[[Vertraging 12 jaar]:[2034]],MATCH($F233,vertraging[Zoeksleutel],0),G$134-INDEX(aanname_implementatie[Totaal vertraging],MATCH($B233,IF(aanname_implementatie[Doelgroep]=$C233,aanname_implementatie[Digitale zorgtoepassing]),0)))</f>
        <v>0.2</v>
      </c>
      <c r="H233" s="126" cm="1">
        <f t="array" ref="H233">INDEX(vertraging[[Vertraging 12 jaar]:[2034]],MATCH($F233,vertraging[Zoeksleutel],0),H$134-INDEX(aanname_implementatie[Totaal vertraging],MATCH($B233,IF(aanname_implementatie[Doelgroep]=$C233,aanname_implementatie[Digitale zorgtoepassing]),0)))</f>
        <v>0.26800000000000002</v>
      </c>
      <c r="I233" s="126" cm="1">
        <f t="array" ref="I233">INDEX(vertraging[[Vertraging 12 jaar]:[2034]],MATCH($F233,vertraging[Zoeksleutel],0),I$134-INDEX(aanname_implementatie[Totaal vertraging],MATCH($B233,IF(aanname_implementatie[Doelgroep]=$C233,aanname_implementatie[Digitale zorgtoepassing]),0)))</f>
        <v>0.3476416</v>
      </c>
      <c r="J233" s="126" cm="1">
        <f t="array" ref="J233">INDEX(vertraging[[Vertraging 12 jaar]:[2034]],MATCH($F233,vertraging[Zoeksleutel],0),J$134-INDEX(aanname_implementatie[Totaal vertraging],MATCH($B233,IF(aanname_implementatie[Doelgroep]=$C233,aanname_implementatie[Digitale zorgtoepassing]),0)))</f>
        <v>0.43680239728230397</v>
      </c>
      <c r="K233" s="126" cm="1">
        <f t="array" ref="K233">INDEX(vertraging[[Vertraging 12 jaar]:[2034]],MATCH($F233,vertraging[Zoeksleutel],0),K$134-INDEX(aanname_implementatie[Totaal vertraging],MATCH($B233,IF(aanname_implementatie[Doelgroep]=$C233,aanname_implementatie[Digitale zorgtoepassing]),0)))</f>
        <v>0.53135248337682706</v>
      </c>
      <c r="L233" s="126" cm="1">
        <f t="array" ref="L233">INDEX(vertraging[[Vertraging 12 jaar]:[2034]],MATCH($F233,vertraging[Zoeksleutel],0),L$134-INDEX(aanname_implementatie[Totaal vertraging],MATCH($B233,IF(aanname_implementatie[Doelgroep]=$C233,aanname_implementatie[Digitale zorgtoepassing]),0)))</f>
        <v>0.62553815375131172</v>
      </c>
      <c r="M233" s="126" cm="1">
        <f t="array" ref="M233">INDEX(vertraging[[Vertraging 12 jaar]:[2034]],MATCH($F233,vertraging[Zoeksleutel],0),M$134-INDEX(aanname_implementatie[Totaal vertraging],MATCH($B233,IF(aanname_implementatie[Doelgroep]=$C233,aanname_implementatie[Digitale zorgtoepassing]),0)))</f>
        <v>0.71313914162849124</v>
      </c>
      <c r="N233" s="126" cm="1">
        <f t="array" ref="N233">INDEX(vertraging[[Vertraging 12 jaar]:[2034]],MATCH($F233,vertraging[Zoeksleutel],0),N$134-INDEX(aanname_implementatie[Totaal vertraging],MATCH($B233,IF(aanname_implementatie[Doelgroep]=$C233,aanname_implementatie[Digitale zorgtoepassing]),0)))</f>
        <v>0.78904215171111836</v>
      </c>
      <c r="O233" s="126" cm="1">
        <f t="array" ref="O233">INDEX(vertraging[[Vertraging 12 jaar]:[2034]],MATCH($F233,vertraging[Zoeksleutel],0),O$134-INDEX(aanname_implementatie[Totaal vertraging],MATCH($B233,IF(aanname_implementatie[Doelgroep]=$C233,aanname_implementatie[Digitale zorgtoepassing]),0)))</f>
        <v>0.85046564152242399</v>
      </c>
      <c r="P233" s="126" cm="1">
        <f t="array" ref="P233">INDEX(vertraging[[Vertraging 12 jaar]:[2034]],MATCH($F233,vertraging[Zoeksleutel],0),P$134-INDEX(aanname_implementatie[Totaal vertraging],MATCH($B233,IF(aanname_implementatie[Doelgroep]=$C233,aanname_implementatie[Digitale zorgtoepassing]),0)))</f>
        <v>0.89721949883888419</v>
      </c>
      <c r="Q233" s="126" cm="1">
        <f t="array" ref="Q233">INDEX(vertraging[[Vertraging 12 jaar]:[2034]],MATCH($F233,vertraging[Zoeksleutel],0),Q$134-INDEX(aanname_implementatie[Totaal vertraging],MATCH($B233,IF(aanname_implementatie[Doelgroep]=$C233,aanname_implementatie[Digitale zorgtoepassing]),0)))</f>
        <v>0.93103704076606597</v>
      </c>
      <c r="R233" s="126" cm="1">
        <f t="array" ref="R233">INDEX(vertraging[[Vertraging 12 jaar]:[2034]],MATCH($F233,vertraging[Zoeksleutel],0),R$134-INDEX(aanname_implementatie[Totaal vertraging],MATCH($B233,IF(aanname_implementatie[Doelgroep]=$C233,aanname_implementatie[Digitale zorgtoepassing]),0)))</f>
        <v>0.9545439594752464</v>
      </c>
    </row>
    <row r="234" spans="1:18" x14ac:dyDescent="0.5">
      <c r="A234" s="30" t="str">
        <f>INDEX(Technologieën[Veld],MATCH(B234,Technologieën[Digitale zorgtoepassing],0))</f>
        <v>Sensoren - Verpleging</v>
      </c>
      <c r="B234" s="30" t="s">
        <v>46</v>
      </c>
      <c r="C234" s="30" t="s">
        <v>20</v>
      </c>
      <c r="D234" s="30" t="str" cm="1">
        <f t="array" ref="D234">INDEX(Berekening_patiëntaantal[Direct toepasbaar/extrapolatie/incidentie voor QALY],MATCH(B234,IF(Berekening_patiëntaantal[Doelgroep (zoeksleutel)]=C234,Berekening_patiëntaantal[Digitale zorgtoepassing]),0))</f>
        <v>Huidige toepassing</v>
      </c>
      <c r="E234" s="440" t="s">
        <v>813</v>
      </c>
      <c r="F234" s="30" t="str">
        <f>CONCATENATE(implementatie[[#This Row],[Zorgtechnologie]],"_",implementatie[[#This Row],[Doelgroep]],"_",implementatie[[#This Row],[Uitgangssituatie/effect beleid]])</f>
        <v>Leefcirkels_Dementie_Uitgangssituatie</v>
      </c>
      <c r="G234" s="126" cm="1">
        <f t="array" ref="G234">INDEX(vertraging[[Vertraging 12 jaar]:[2034]],MATCH($F234,vertraging[Zoeksleutel],0),G$134-INDEX(aanname_implementatie[Totaal vertraging],MATCH($B234,IF(aanname_implementatie[Doelgroep]=$C234,aanname_implementatie[Digitale zorgtoepassing]),0)))</f>
        <v>0.2</v>
      </c>
      <c r="H234" s="126" cm="1">
        <f t="array" ref="H234">INDEX(vertraging[[Vertraging 12 jaar]:[2034]],MATCH($F234,vertraging[Zoeksleutel],0),H$134-INDEX(aanname_implementatie[Totaal vertraging],MATCH($B234,IF(aanname_implementatie[Doelgroep]=$C234,aanname_implementatie[Digitale zorgtoepassing]),0)))</f>
        <v>0.26800000000000002</v>
      </c>
      <c r="I234" s="126" cm="1">
        <f t="array" ref="I234">INDEX(vertraging[[Vertraging 12 jaar]:[2034]],MATCH($F234,vertraging[Zoeksleutel],0),I$134-INDEX(aanname_implementatie[Totaal vertraging],MATCH($B234,IF(aanname_implementatie[Doelgroep]=$C234,aanname_implementatie[Digitale zorgtoepassing]),0)))</f>
        <v>0.3476416</v>
      </c>
      <c r="J234" s="126" cm="1">
        <f t="array" ref="J234">INDEX(vertraging[[Vertraging 12 jaar]:[2034]],MATCH($F234,vertraging[Zoeksleutel],0),J$134-INDEX(aanname_implementatie[Totaal vertraging],MATCH($B234,IF(aanname_implementatie[Doelgroep]=$C234,aanname_implementatie[Digitale zorgtoepassing]),0)))</f>
        <v>0.43680239728230397</v>
      </c>
      <c r="K234" s="126" cm="1">
        <f t="array" ref="K234">INDEX(vertraging[[Vertraging 12 jaar]:[2034]],MATCH($F234,vertraging[Zoeksleutel],0),K$134-INDEX(aanname_implementatie[Totaal vertraging],MATCH($B234,IF(aanname_implementatie[Doelgroep]=$C234,aanname_implementatie[Digitale zorgtoepassing]),0)))</f>
        <v>0.53135248337682706</v>
      </c>
      <c r="L234" s="126" cm="1">
        <f t="array" ref="L234">INDEX(vertraging[[Vertraging 12 jaar]:[2034]],MATCH($F234,vertraging[Zoeksleutel],0),L$134-INDEX(aanname_implementatie[Totaal vertraging],MATCH($B234,IF(aanname_implementatie[Doelgroep]=$C234,aanname_implementatie[Digitale zorgtoepassing]),0)))</f>
        <v>0.62553815375131172</v>
      </c>
      <c r="M234" s="126" cm="1">
        <f t="array" ref="M234">INDEX(vertraging[[Vertraging 12 jaar]:[2034]],MATCH($F234,vertraging[Zoeksleutel],0),M$134-INDEX(aanname_implementatie[Totaal vertraging],MATCH($B234,IF(aanname_implementatie[Doelgroep]=$C234,aanname_implementatie[Digitale zorgtoepassing]),0)))</f>
        <v>0.71313914162849124</v>
      </c>
      <c r="N234" s="126" cm="1">
        <f t="array" ref="N234">INDEX(vertraging[[Vertraging 12 jaar]:[2034]],MATCH($F234,vertraging[Zoeksleutel],0),N$134-INDEX(aanname_implementatie[Totaal vertraging],MATCH($B234,IF(aanname_implementatie[Doelgroep]=$C234,aanname_implementatie[Digitale zorgtoepassing]),0)))</f>
        <v>0.78904215171111836</v>
      </c>
      <c r="O234" s="126" cm="1">
        <f t="array" ref="O234">INDEX(vertraging[[Vertraging 12 jaar]:[2034]],MATCH($F234,vertraging[Zoeksleutel],0),O$134-INDEX(aanname_implementatie[Totaal vertraging],MATCH($B234,IF(aanname_implementatie[Doelgroep]=$C234,aanname_implementatie[Digitale zorgtoepassing]),0)))</f>
        <v>0.85046564152242399</v>
      </c>
      <c r="P234" s="126" cm="1">
        <f t="array" ref="P234">INDEX(vertraging[[Vertraging 12 jaar]:[2034]],MATCH($F234,vertraging[Zoeksleutel],0),P$134-INDEX(aanname_implementatie[Totaal vertraging],MATCH($B234,IF(aanname_implementatie[Doelgroep]=$C234,aanname_implementatie[Digitale zorgtoepassing]),0)))</f>
        <v>0.89721949883888419</v>
      </c>
      <c r="Q234" s="126" cm="1">
        <f t="array" ref="Q234">INDEX(vertraging[[Vertraging 12 jaar]:[2034]],MATCH($F234,vertraging[Zoeksleutel],0),Q$134-INDEX(aanname_implementatie[Totaal vertraging],MATCH($B234,IF(aanname_implementatie[Doelgroep]=$C234,aanname_implementatie[Digitale zorgtoepassing]),0)))</f>
        <v>0.93103704076606597</v>
      </c>
      <c r="R234" s="126" cm="1">
        <f t="array" ref="R234">INDEX(vertraging[[Vertraging 12 jaar]:[2034]],MATCH($F234,vertraging[Zoeksleutel],0),R$134-INDEX(aanname_implementatie[Totaal vertraging],MATCH($B234,IF(aanname_implementatie[Doelgroep]=$C234,aanname_implementatie[Digitale zorgtoepassing]),0)))</f>
        <v>0.9545439594752464</v>
      </c>
    </row>
    <row r="235" spans="1:18" x14ac:dyDescent="0.5">
      <c r="A235" s="30" t="str">
        <f>INDEX(Technologieën[Veld],MATCH(B235,Technologieën[Digitale zorgtoepassing],0))</f>
        <v>Sensoren - Verpleging</v>
      </c>
      <c r="B235" s="30" t="s">
        <v>36</v>
      </c>
      <c r="C235" s="30" t="s">
        <v>24</v>
      </c>
      <c r="D235" s="30" t="str" cm="1">
        <f t="array" ref="D235">INDEX(Berekening_patiëntaantal[Direct toepasbaar/extrapolatie/incidentie voor QALY],MATCH(B235,IF(Berekening_patiëntaantal[Doelgroep (zoeksleutel)]=C235,Berekening_patiëntaantal[Digitale zorgtoepassing]),0))</f>
        <v>Extrapolatie</v>
      </c>
      <c r="E235" s="440" t="s">
        <v>813</v>
      </c>
      <c r="F235" s="30" t="str">
        <f>CONCATENATE(implementatie[[#This Row],[Zorgtechnologie]],"_",implementatie[[#This Row],[Doelgroep]],"_",implementatie[[#This Row],[Uitgangssituatie/effect beleid]])</f>
        <v>Leefstijlmonitoring_Cognitieve beperking_Uitgangssituatie</v>
      </c>
      <c r="G235" s="126" cm="1">
        <f t="array" ref="G235">INDEX(vertraging[[Vertraging 12 jaar]:[2034]],MATCH($F235,vertraging[Zoeksleutel],0),G$134-INDEX(aanname_implementatie[Totaal vertraging],MATCH($B235,IF(aanname_implementatie[Doelgroep]=$C235,aanname_implementatie[Digitale zorgtoepassing]),0)))</f>
        <v>0</v>
      </c>
      <c r="H235" s="126" cm="1">
        <f t="array" ref="H235">INDEX(vertraging[[Vertraging 12 jaar]:[2034]],MATCH($F235,vertraging[Zoeksleutel],0),H$134-INDEX(aanname_implementatie[Totaal vertraging],MATCH($B235,IF(aanname_implementatie[Doelgroep]=$C235,aanname_implementatie[Digitale zorgtoepassing]),0)))</f>
        <v>0</v>
      </c>
      <c r="I235" s="126" cm="1">
        <f t="array" ref="I235">INDEX(vertraging[[Vertraging 12 jaar]:[2034]],MATCH($F235,vertraging[Zoeksleutel],0),I$134-INDEX(aanname_implementatie[Totaal vertraging],MATCH($B235,IF(aanname_implementatie[Doelgroep]=$C235,aanname_implementatie[Digitale zorgtoepassing]),0)))</f>
        <v>0</v>
      </c>
      <c r="J235" s="126" cm="1">
        <f t="array" ref="J235">INDEX(vertraging[[Vertraging 12 jaar]:[2034]],MATCH($F235,vertraging[Zoeksleutel],0),J$134-INDEX(aanname_implementatie[Totaal vertraging],MATCH($B235,IF(aanname_implementatie[Doelgroep]=$C235,aanname_implementatie[Digitale zorgtoepassing]),0)))</f>
        <v>0.02</v>
      </c>
      <c r="K235" s="126" cm="1">
        <f t="array" ref="K235">INDEX(vertraging[[Vertraging 12 jaar]:[2034]],MATCH($F235,vertraging[Zoeksleutel],0),K$134-INDEX(aanname_implementatie[Totaal vertraging],MATCH($B235,IF(aanname_implementatie[Doelgroep]=$C235,aanname_implementatie[Digitale zorgtoepassing]),0)))</f>
        <v>4.7439999999999996E-2</v>
      </c>
      <c r="L235" s="126" cm="1">
        <f t="array" ref="L235">INDEX(vertraging[[Vertraging 12 jaar]:[2034]],MATCH($F235,vertraging[Zoeksleutel],0),L$134-INDEX(aanname_implementatie[Totaal vertraging],MATCH($B235,IF(aanname_implementatie[Doelgroep]=$C235,aanname_implementatie[Digitale zorgtoepassing]),0)))</f>
        <v>8.4566978560000006E-2</v>
      </c>
      <c r="M235" s="126" cm="1">
        <f t="array" ref="M235">INDEX(vertraging[[Vertraging 12 jaar]:[2034]],MATCH($F235,vertraging[Zoeksleutel],0),M$134-INDEX(aanname_implementatie[Totaal vertraging],MATCH($B235,IF(aanname_implementatie[Doelgroep]=$C235,aanname_implementatie[Digitale zorgtoepassing]),0)))</f>
        <v>0.13384180086769301</v>
      </c>
      <c r="N235" s="126" cm="1">
        <f t="array" ref="N235">INDEX(vertraging[[Vertraging 12 jaar]:[2034]],MATCH($F235,vertraging[Zoeksleutel],0),N$134-INDEX(aanname_implementatie[Totaal vertraging],MATCH($B235,IF(aanname_implementatie[Doelgroep]=$C235,aanname_implementatie[Digitale zorgtoepassing]),0)))</f>
        <v>0.19753623413361349</v>
      </c>
      <c r="O235" s="126" cm="1">
        <f t="array" ref="O235">INDEX(vertraging[[Vertraging 12 jaar]:[2034]],MATCH($F235,vertraging[Zoeksleutel],0),O$134-INDEX(aanname_implementatie[Totaal vertraging],MATCH($B235,IF(aanname_implementatie[Doelgroep]=$C235,aanname_implementatie[Digitale zorgtoepassing]),0)))</f>
        <v>0.27699177758611071</v>
      </c>
      <c r="P235" s="126" cm="1">
        <f t="array" ref="P235">INDEX(vertraging[[Vertraging 12 jaar]:[2034]],MATCH($F235,vertraging[Zoeksleutel],0),P$134-INDEX(aanname_implementatie[Totaal vertraging],MATCH($B235,IF(aanname_implementatie[Doelgroep]=$C235,aanname_implementatie[Digitale zorgtoepassing]),0)))</f>
        <v>0.37155887512870744</v>
      </c>
      <c r="Q235" s="126" cm="1">
        <f t="array" ref="Q235">INDEX(vertraging[[Vertraging 12 jaar]:[2034]],MATCH($F235,vertraging[Zoeksleutel],0),Q$134-INDEX(aanname_implementatie[Totaal vertraging],MATCH($B235,IF(aanname_implementatie[Doelgroep]=$C235,aanname_implementatie[Digitale zorgtoepassing]),0)))</f>
        <v>0.47752884860285211</v>
      </c>
      <c r="R235" s="126" cm="1">
        <f t="array" ref="R235">INDEX(vertraging[[Vertraging 12 jaar]:[2034]],MATCH($F235,vertraging[Zoeksleutel],0),R$134-INDEX(aanname_implementatie[Totaal vertraging],MATCH($B235,IF(aanname_implementatie[Doelgroep]=$C235,aanname_implementatie[Digitale zorgtoepassing]),0)))</f>
        <v>0.5877762905727496</v>
      </c>
    </row>
    <row r="236" spans="1:18" x14ac:dyDescent="0.5">
      <c r="A236" s="30" t="str">
        <f>INDEX(Technologieën[Veld],MATCH(B236,Technologieën[Digitale zorgtoepassing],0))</f>
        <v>Sensoren - Verpleging</v>
      </c>
      <c r="B236" s="30" t="s">
        <v>36</v>
      </c>
      <c r="C236" s="30" t="s">
        <v>20</v>
      </c>
      <c r="D236" s="30" t="str" cm="1">
        <f t="array" ref="D236">INDEX(Berekening_patiëntaantal[Direct toepasbaar/extrapolatie/incidentie voor QALY],MATCH(B236,IF(Berekening_patiëntaantal[Doelgroep (zoeksleutel)]=C236,Berekening_patiëntaantal[Digitale zorgtoepassing]),0))</f>
        <v>Huidige toepassing</v>
      </c>
      <c r="E236" s="440" t="s">
        <v>813</v>
      </c>
      <c r="F236" s="30" t="str">
        <f>CONCATENATE(implementatie[[#This Row],[Zorgtechnologie]],"_",implementatie[[#This Row],[Doelgroep]],"_",implementatie[[#This Row],[Uitgangssituatie/effect beleid]])</f>
        <v>Leefstijlmonitoring_Dementie_Uitgangssituatie</v>
      </c>
      <c r="G236" s="126" cm="1">
        <f t="array" ref="G236">INDEX(vertraging[[Vertraging 12 jaar]:[2034]],MATCH($F236,vertraging[Zoeksleutel],0),G$134-INDEX(aanname_implementatie[Totaal vertraging],MATCH($B236,IF(aanname_implementatie[Doelgroep]=$C236,aanname_implementatie[Digitale zorgtoepassing]),0)))</f>
        <v>0.2</v>
      </c>
      <c r="H236" s="126" cm="1">
        <f t="array" ref="H236">INDEX(vertraging[[Vertraging 12 jaar]:[2034]],MATCH($F236,vertraging[Zoeksleutel],0),H$134-INDEX(aanname_implementatie[Totaal vertraging],MATCH($B236,IF(aanname_implementatie[Doelgroep]=$C236,aanname_implementatie[Digitale zorgtoepassing]),0)))</f>
        <v>0.28000000000000003</v>
      </c>
      <c r="I236" s="126" cm="1">
        <f t="array" ref="I236">INDEX(vertraging[[Vertraging 12 jaar]:[2034]],MATCH($F236,vertraging[Zoeksleutel],0),I$134-INDEX(aanname_implementatie[Totaal vertraging],MATCH($B236,IF(aanname_implementatie[Doelgroep]=$C236,aanname_implementatie[Digitale zorgtoepassing]),0)))</f>
        <v>0.37504000000000004</v>
      </c>
      <c r="J236" s="126" cm="1">
        <f t="array" ref="J236">INDEX(vertraging[[Vertraging 12 jaar]:[2034]],MATCH($F236,vertraging[Zoeksleutel],0),J$134-INDEX(aanname_implementatie[Totaal vertraging],MATCH($B236,IF(aanname_implementatie[Doelgroep]=$C236,aanname_implementatie[Digitale zorgtoepassing]),0)))</f>
        <v>0.48129319936000003</v>
      </c>
      <c r="K236" s="126" cm="1">
        <f t="array" ref="K236">INDEX(vertraging[[Vertraging 12 jaar]:[2034]],MATCH($F236,vertraging[Zoeksleutel],0),K$134-INDEX(aanname_implementatie[Totaal vertraging],MATCH($B236,IF(aanname_implementatie[Doelgroep]=$C236,aanname_implementatie[Digitale zorgtoepassing]),0)))</f>
        <v>0.59152735761672615</v>
      </c>
      <c r="L236" s="126" cm="1">
        <f t="array" ref="L236">INDEX(vertraging[[Vertraging 12 jaar]:[2034]],MATCH($F236,vertraging[Zoeksleutel],0),L$134-INDEX(aanname_implementatie[Totaal vertraging],MATCH($B236,IF(aanname_implementatie[Doelgroep]=$C236,aanname_implementatie[Digitale zorgtoepassing]),0)))</f>
        <v>0.69634590758747161</v>
      </c>
      <c r="M236" s="126" cm="1">
        <f t="array" ref="M236">INDEX(vertraging[[Vertraging 12 jaar]:[2034]],MATCH($F236,vertraging[Zoeksleutel],0),M$134-INDEX(aanname_implementatie[Totaal vertraging],MATCH($B236,IF(aanname_implementatie[Doelgroep]=$C236,aanname_implementatie[Digitale zorgtoepassing]),0)))</f>
        <v>0.78699830326518305</v>
      </c>
      <c r="N236" s="126" cm="1">
        <f t="array" ref="N236">INDEX(vertraging[[Vertraging 12 jaar]:[2034]],MATCH($F236,vertraging[Zoeksleutel],0),N$134-INDEX(aanname_implementatie[Totaal vertraging],MATCH($B236,IF(aanname_implementatie[Doelgroep]=$C236,aanname_implementatie[Digitale zorgtoepassing]),0)))</f>
        <v>0.85831112676904175</v>
      </c>
      <c r="O236" s="126" cm="1">
        <f t="array" ref="O236">INDEX(vertraging[[Vertraging 12 jaar]:[2034]],MATCH($F236,vertraging[Zoeksleutel],0),O$134-INDEX(aanname_implementatie[Totaal vertraging],MATCH($B236,IF(aanname_implementatie[Doelgroep]=$C236,aanname_implementatie[Digitale zorgtoepassing]),0)))</f>
        <v>0.90979015880706082</v>
      </c>
      <c r="P236" s="126" cm="1">
        <f t="array" ref="P236">INDEX(vertraging[[Vertraging 12 jaar]:[2034]],MATCH($F236,vertraging[Zoeksleutel],0),P$134-INDEX(aanname_implementatie[Totaal vertraging],MATCH($B236,IF(aanname_implementatie[Doelgroep]=$C236,aanname_implementatie[Digitale zorgtoepassing]),0)))</f>
        <v>0.94442316592887321</v>
      </c>
      <c r="Q236" s="126" cm="1">
        <f t="array" ref="Q236">INDEX(vertraging[[Vertraging 12 jaar]:[2034]],MATCH($F236,vertraging[Zoeksleutel],0),Q$134-INDEX(aanname_implementatie[Totaal vertraging],MATCH($B236,IF(aanname_implementatie[Doelgroep]=$C236,aanname_implementatie[Digitale zorgtoepassing]),0)))</f>
        <v>0.96652992244459857</v>
      </c>
      <c r="R236" s="126" cm="1">
        <f t="array" ref="R236">INDEX(vertraging[[Vertraging 12 jaar]:[2034]],MATCH($F236,vertraging[Zoeksleutel],0),R$134-INDEX(aanname_implementatie[Totaal vertraging],MATCH($B236,IF(aanname_implementatie[Doelgroep]=$C236,aanname_implementatie[Digitale zorgtoepassing]),0)))</f>
        <v>0.98013925658124135</v>
      </c>
    </row>
    <row r="237" spans="1:18" x14ac:dyDescent="0.5">
      <c r="A237" s="30" t="str">
        <f>INDEX(Technologieën[Veld],MATCH(B237,Technologieën[Digitale zorgtoepassing],0))</f>
        <v>Sensoren - Verpleging</v>
      </c>
      <c r="B237" s="30" t="s">
        <v>36</v>
      </c>
      <c r="C237" s="30" t="s">
        <v>40</v>
      </c>
      <c r="D237" s="30" t="str" cm="1">
        <f t="array" ref="D237">INDEX(Berekening_patiëntaantal[Direct toepasbaar/extrapolatie/incidentie voor QALY],MATCH(B237,IF(Berekening_patiëntaantal[Doelgroep (zoeksleutel)]=C237,Berekening_patiëntaantal[Digitale zorgtoepassing]),0))</f>
        <v>Extrapolatie</v>
      </c>
      <c r="E237" s="440" t="s">
        <v>813</v>
      </c>
      <c r="F237" s="30" t="str">
        <f>CONCATENATE(implementatie[[#This Row],[Zorgtechnologie]],"_",implementatie[[#This Row],[Doelgroep]],"_",implementatie[[#This Row],[Uitgangssituatie/effect beleid]])</f>
        <v>Leefstijlmonitoring_Kwetsbare ouderen_Uitgangssituatie</v>
      </c>
      <c r="G237" s="126" cm="1">
        <f t="array" ref="G237">INDEX(vertraging[[Vertraging 12 jaar]:[2034]],MATCH($F237,vertraging[Zoeksleutel],0),G$134-INDEX(aanname_implementatie[Totaal vertraging],MATCH($B237,IF(aanname_implementatie[Doelgroep]=$C237,aanname_implementatie[Digitale zorgtoepassing]),0)))</f>
        <v>0</v>
      </c>
      <c r="H237" s="126" cm="1">
        <f t="array" ref="H237">INDEX(vertraging[[Vertraging 12 jaar]:[2034]],MATCH($F237,vertraging[Zoeksleutel],0),H$134-INDEX(aanname_implementatie[Totaal vertraging],MATCH($B237,IF(aanname_implementatie[Doelgroep]=$C237,aanname_implementatie[Digitale zorgtoepassing]),0)))</f>
        <v>0</v>
      </c>
      <c r="I237" s="126" cm="1">
        <f t="array" ref="I237">INDEX(vertraging[[Vertraging 12 jaar]:[2034]],MATCH($F237,vertraging[Zoeksleutel],0),I$134-INDEX(aanname_implementatie[Totaal vertraging],MATCH($B237,IF(aanname_implementatie[Doelgroep]=$C237,aanname_implementatie[Digitale zorgtoepassing]),0)))</f>
        <v>0</v>
      </c>
      <c r="J237" s="126" cm="1">
        <f t="array" ref="J237">INDEX(vertraging[[Vertraging 12 jaar]:[2034]],MATCH($F237,vertraging[Zoeksleutel],0),J$134-INDEX(aanname_implementatie[Totaal vertraging],MATCH($B237,IF(aanname_implementatie[Doelgroep]=$C237,aanname_implementatie[Digitale zorgtoepassing]),0)))</f>
        <v>0.02</v>
      </c>
      <c r="K237" s="126" cm="1">
        <f t="array" ref="K237">INDEX(vertraging[[Vertraging 12 jaar]:[2034]],MATCH($F237,vertraging[Zoeksleutel],0),K$134-INDEX(aanname_implementatie[Totaal vertraging],MATCH($B237,IF(aanname_implementatie[Doelgroep]=$C237,aanname_implementatie[Digitale zorgtoepassing]),0)))</f>
        <v>4.7439999999999996E-2</v>
      </c>
      <c r="L237" s="126" cm="1">
        <f t="array" ref="L237">INDEX(vertraging[[Vertraging 12 jaar]:[2034]],MATCH($F237,vertraging[Zoeksleutel],0),L$134-INDEX(aanname_implementatie[Totaal vertraging],MATCH($B237,IF(aanname_implementatie[Doelgroep]=$C237,aanname_implementatie[Digitale zorgtoepassing]),0)))</f>
        <v>8.4566978560000006E-2</v>
      </c>
      <c r="M237" s="126" cm="1">
        <f t="array" ref="M237">INDEX(vertraging[[Vertraging 12 jaar]:[2034]],MATCH($F237,vertraging[Zoeksleutel],0),M$134-INDEX(aanname_implementatie[Totaal vertraging],MATCH($B237,IF(aanname_implementatie[Doelgroep]=$C237,aanname_implementatie[Digitale zorgtoepassing]),0)))</f>
        <v>0.13384180086769301</v>
      </c>
      <c r="N237" s="126" cm="1">
        <f t="array" ref="N237">INDEX(vertraging[[Vertraging 12 jaar]:[2034]],MATCH($F237,vertraging[Zoeksleutel],0),N$134-INDEX(aanname_implementatie[Totaal vertraging],MATCH($B237,IF(aanname_implementatie[Doelgroep]=$C237,aanname_implementatie[Digitale zorgtoepassing]),0)))</f>
        <v>0.19753623413361349</v>
      </c>
      <c r="O237" s="126" cm="1">
        <f t="array" ref="O237">INDEX(vertraging[[Vertraging 12 jaar]:[2034]],MATCH($F237,vertraging[Zoeksleutel],0),O$134-INDEX(aanname_implementatie[Totaal vertraging],MATCH($B237,IF(aanname_implementatie[Doelgroep]=$C237,aanname_implementatie[Digitale zorgtoepassing]),0)))</f>
        <v>0.27699177758611071</v>
      </c>
      <c r="P237" s="126" cm="1">
        <f t="array" ref="P237">INDEX(vertraging[[Vertraging 12 jaar]:[2034]],MATCH($F237,vertraging[Zoeksleutel],0),P$134-INDEX(aanname_implementatie[Totaal vertraging],MATCH($B237,IF(aanname_implementatie[Doelgroep]=$C237,aanname_implementatie[Digitale zorgtoepassing]),0)))</f>
        <v>0.37155887512870744</v>
      </c>
      <c r="Q237" s="126" cm="1">
        <f t="array" ref="Q237">INDEX(vertraging[[Vertraging 12 jaar]:[2034]],MATCH($F237,vertraging[Zoeksleutel],0),Q$134-INDEX(aanname_implementatie[Totaal vertraging],MATCH($B237,IF(aanname_implementatie[Doelgroep]=$C237,aanname_implementatie[Digitale zorgtoepassing]),0)))</f>
        <v>0.47752884860285211</v>
      </c>
      <c r="R237" s="126" cm="1">
        <f t="array" ref="R237">INDEX(vertraging[[Vertraging 12 jaar]:[2034]],MATCH($F237,vertraging[Zoeksleutel],0),R$134-INDEX(aanname_implementatie[Totaal vertraging],MATCH($B237,IF(aanname_implementatie[Doelgroep]=$C237,aanname_implementatie[Digitale zorgtoepassing]),0)))</f>
        <v>0.5877762905727496</v>
      </c>
    </row>
    <row r="238" spans="1:18" x14ac:dyDescent="0.5">
      <c r="A238" s="30" t="str">
        <f>INDEX(Technologieën[Veld],MATCH(B238,Technologieën[Digitale zorgtoepassing],0))</f>
        <v>Sensoren - Verpleging</v>
      </c>
      <c r="B238" s="30" t="s">
        <v>36</v>
      </c>
      <c r="C238" s="30" t="s">
        <v>27</v>
      </c>
      <c r="D238" s="30" t="str" cm="1">
        <f t="array" ref="D238">INDEX(Berekening_patiëntaantal[Direct toepasbaar/extrapolatie/incidentie voor QALY],MATCH(B238,IF(Berekening_patiëntaantal[Doelgroep (zoeksleutel)]=C238,Berekening_patiëntaantal[Digitale zorgtoepassing]),0))</f>
        <v>Extrapolatie</v>
      </c>
      <c r="E238" s="440" t="s">
        <v>813</v>
      </c>
      <c r="F238" s="30" t="str">
        <f>CONCATENATE(implementatie[[#This Row],[Zorgtechnologie]],"_",implementatie[[#This Row],[Doelgroep]],"_",implementatie[[#This Row],[Uitgangssituatie/effect beleid]])</f>
        <v>Leefstijlmonitoring_Parkinson_Uitgangssituatie</v>
      </c>
      <c r="G238" s="126" cm="1">
        <f t="array" ref="G238">INDEX(vertraging[[Vertraging 12 jaar]:[2034]],MATCH($F238,vertraging[Zoeksleutel],0),G$134-INDEX(aanname_implementatie[Totaal vertraging],MATCH($B238,IF(aanname_implementatie[Doelgroep]=$C238,aanname_implementatie[Digitale zorgtoepassing]),0)))</f>
        <v>0</v>
      </c>
      <c r="H238" s="126" cm="1">
        <f t="array" ref="H238">INDEX(vertraging[[Vertraging 12 jaar]:[2034]],MATCH($F238,vertraging[Zoeksleutel],0),H$134-INDEX(aanname_implementatie[Totaal vertraging],MATCH($B238,IF(aanname_implementatie[Doelgroep]=$C238,aanname_implementatie[Digitale zorgtoepassing]),0)))</f>
        <v>0</v>
      </c>
      <c r="I238" s="126" cm="1">
        <f t="array" ref="I238">INDEX(vertraging[[Vertraging 12 jaar]:[2034]],MATCH($F238,vertraging[Zoeksleutel],0),I$134-INDEX(aanname_implementatie[Totaal vertraging],MATCH($B238,IF(aanname_implementatie[Doelgroep]=$C238,aanname_implementatie[Digitale zorgtoepassing]),0)))</f>
        <v>0</v>
      </c>
      <c r="J238" s="126" cm="1">
        <f t="array" ref="J238">INDEX(vertraging[[Vertraging 12 jaar]:[2034]],MATCH($F238,vertraging[Zoeksleutel],0),J$134-INDEX(aanname_implementatie[Totaal vertraging],MATCH($B238,IF(aanname_implementatie[Doelgroep]=$C238,aanname_implementatie[Digitale zorgtoepassing]),0)))</f>
        <v>0.02</v>
      </c>
      <c r="K238" s="126" cm="1">
        <f t="array" ref="K238">INDEX(vertraging[[Vertraging 12 jaar]:[2034]],MATCH($F238,vertraging[Zoeksleutel],0),K$134-INDEX(aanname_implementatie[Totaal vertraging],MATCH($B238,IF(aanname_implementatie[Doelgroep]=$C238,aanname_implementatie[Digitale zorgtoepassing]),0)))</f>
        <v>4.7439999999999996E-2</v>
      </c>
      <c r="L238" s="126" cm="1">
        <f t="array" ref="L238">INDEX(vertraging[[Vertraging 12 jaar]:[2034]],MATCH($F238,vertraging[Zoeksleutel],0),L$134-INDEX(aanname_implementatie[Totaal vertraging],MATCH($B238,IF(aanname_implementatie[Doelgroep]=$C238,aanname_implementatie[Digitale zorgtoepassing]),0)))</f>
        <v>8.4566978560000006E-2</v>
      </c>
      <c r="M238" s="126" cm="1">
        <f t="array" ref="M238">INDEX(vertraging[[Vertraging 12 jaar]:[2034]],MATCH($F238,vertraging[Zoeksleutel],0),M$134-INDEX(aanname_implementatie[Totaal vertraging],MATCH($B238,IF(aanname_implementatie[Doelgroep]=$C238,aanname_implementatie[Digitale zorgtoepassing]),0)))</f>
        <v>0.13384180086769301</v>
      </c>
      <c r="N238" s="126" cm="1">
        <f t="array" ref="N238">INDEX(vertraging[[Vertraging 12 jaar]:[2034]],MATCH($F238,vertraging[Zoeksleutel],0),N$134-INDEX(aanname_implementatie[Totaal vertraging],MATCH($B238,IF(aanname_implementatie[Doelgroep]=$C238,aanname_implementatie[Digitale zorgtoepassing]),0)))</f>
        <v>0.19753623413361349</v>
      </c>
      <c r="O238" s="126" cm="1">
        <f t="array" ref="O238">INDEX(vertraging[[Vertraging 12 jaar]:[2034]],MATCH($F238,vertraging[Zoeksleutel],0),O$134-INDEX(aanname_implementatie[Totaal vertraging],MATCH($B238,IF(aanname_implementatie[Doelgroep]=$C238,aanname_implementatie[Digitale zorgtoepassing]),0)))</f>
        <v>0.27699177758611071</v>
      </c>
      <c r="P238" s="126" cm="1">
        <f t="array" ref="P238">INDEX(vertraging[[Vertraging 12 jaar]:[2034]],MATCH($F238,vertraging[Zoeksleutel],0),P$134-INDEX(aanname_implementatie[Totaal vertraging],MATCH($B238,IF(aanname_implementatie[Doelgroep]=$C238,aanname_implementatie[Digitale zorgtoepassing]),0)))</f>
        <v>0.37155887512870744</v>
      </c>
      <c r="Q238" s="126" cm="1">
        <f t="array" ref="Q238">INDEX(vertraging[[Vertraging 12 jaar]:[2034]],MATCH($F238,vertraging[Zoeksleutel],0),Q$134-INDEX(aanname_implementatie[Totaal vertraging],MATCH($B238,IF(aanname_implementatie[Doelgroep]=$C238,aanname_implementatie[Digitale zorgtoepassing]),0)))</f>
        <v>0.47752884860285211</v>
      </c>
      <c r="R238" s="126" cm="1">
        <f t="array" ref="R238">INDEX(vertraging[[Vertraging 12 jaar]:[2034]],MATCH($F238,vertraging[Zoeksleutel],0),R$134-INDEX(aanname_implementatie[Totaal vertraging],MATCH($B238,IF(aanname_implementatie[Doelgroep]=$C238,aanname_implementatie[Digitale zorgtoepassing]),0)))</f>
        <v>0.5877762905727496</v>
      </c>
    </row>
    <row r="239" spans="1:18" x14ac:dyDescent="0.5">
      <c r="A239" s="30" t="str">
        <f>INDEX(Technologieën[Veld],MATCH(B239,Technologieën[Digitale zorgtoepassing],0))</f>
        <v>Digitale hulpmiddelen - Verpleging</v>
      </c>
      <c r="B239" s="30" t="s">
        <v>26</v>
      </c>
      <c r="C239" s="30" t="s">
        <v>24</v>
      </c>
      <c r="D239" s="30" t="str" cm="1">
        <f t="array" ref="D239">INDEX(Berekening_patiëntaantal[Direct toepasbaar/extrapolatie/incidentie voor QALY],MATCH(B239,IF(Berekening_patiëntaantal[Doelgroep (zoeksleutel)]=C239,Berekening_patiëntaantal[Digitale zorgtoepassing]),0))</f>
        <v>Extrapolatie</v>
      </c>
      <c r="E239" s="440" t="s">
        <v>813</v>
      </c>
      <c r="F239" s="30" t="str">
        <f>CONCATENATE(implementatie[[#This Row],[Zorgtechnologie]],"_",implementatie[[#This Row],[Doelgroep]],"_",implementatie[[#This Row],[Uitgangssituatie/effect beleid]])</f>
        <v>Medicijndispenser_Cognitieve beperking_Uitgangssituatie</v>
      </c>
      <c r="G239" s="126" cm="1">
        <f t="array" ref="G239">INDEX(vertraging[[Vertraging 12 jaar]:[2034]],MATCH($F239,vertraging[Zoeksleutel],0),G$134-INDEX(aanname_implementatie[Totaal vertraging],MATCH($B239,IF(aanname_implementatie[Doelgroep]=$C239,aanname_implementatie[Digitale zorgtoepassing]),0)))</f>
        <v>0</v>
      </c>
      <c r="H239" s="126" cm="1">
        <f t="array" ref="H239">INDEX(vertraging[[Vertraging 12 jaar]:[2034]],MATCH($F239,vertraging[Zoeksleutel],0),H$134-INDEX(aanname_implementatie[Totaal vertraging],MATCH($B239,IF(aanname_implementatie[Doelgroep]=$C239,aanname_implementatie[Digitale zorgtoepassing]),0)))</f>
        <v>0</v>
      </c>
      <c r="I239" s="126" cm="1">
        <f t="array" ref="I239">INDEX(vertraging[[Vertraging 12 jaar]:[2034]],MATCH($F239,vertraging[Zoeksleutel],0),I$134-INDEX(aanname_implementatie[Totaal vertraging],MATCH($B239,IF(aanname_implementatie[Doelgroep]=$C239,aanname_implementatie[Digitale zorgtoepassing]),0)))</f>
        <v>0</v>
      </c>
      <c r="J239" s="126" cm="1">
        <f t="array" ref="J239">INDEX(vertraging[[Vertraging 12 jaar]:[2034]],MATCH($F239,vertraging[Zoeksleutel],0),J$134-INDEX(aanname_implementatie[Totaal vertraging],MATCH($B239,IF(aanname_implementatie[Doelgroep]=$C239,aanname_implementatie[Digitale zorgtoepassing]),0)))</f>
        <v>0.02</v>
      </c>
      <c r="K239" s="126" cm="1">
        <f t="array" ref="K239">INDEX(vertraging[[Vertraging 12 jaar]:[2034]],MATCH($F239,vertraging[Zoeksleutel],0),K$134-INDEX(aanname_implementatie[Totaal vertraging],MATCH($B239,IF(aanname_implementatie[Doelgroep]=$C239,aanname_implementatie[Digitale zorgtoepassing]),0)))</f>
        <v>4.7439999999999996E-2</v>
      </c>
      <c r="L239" s="126" cm="1">
        <f t="array" ref="L239">INDEX(vertraging[[Vertraging 12 jaar]:[2034]],MATCH($F239,vertraging[Zoeksleutel],0),L$134-INDEX(aanname_implementatie[Totaal vertraging],MATCH($B239,IF(aanname_implementatie[Doelgroep]=$C239,aanname_implementatie[Digitale zorgtoepassing]),0)))</f>
        <v>8.4566978560000006E-2</v>
      </c>
      <c r="M239" s="126" cm="1">
        <f t="array" ref="M239">INDEX(vertraging[[Vertraging 12 jaar]:[2034]],MATCH($F239,vertraging[Zoeksleutel],0),M$134-INDEX(aanname_implementatie[Totaal vertraging],MATCH($B239,IF(aanname_implementatie[Doelgroep]=$C239,aanname_implementatie[Digitale zorgtoepassing]),0)))</f>
        <v>0.13384180086769301</v>
      </c>
      <c r="N239" s="126" cm="1">
        <f t="array" ref="N239">INDEX(vertraging[[Vertraging 12 jaar]:[2034]],MATCH($F239,vertraging[Zoeksleutel],0),N$134-INDEX(aanname_implementatie[Totaal vertraging],MATCH($B239,IF(aanname_implementatie[Doelgroep]=$C239,aanname_implementatie[Digitale zorgtoepassing]),0)))</f>
        <v>0.19753623413361349</v>
      </c>
      <c r="O239" s="126" cm="1">
        <f t="array" ref="O239">INDEX(vertraging[[Vertraging 12 jaar]:[2034]],MATCH($F239,vertraging[Zoeksleutel],0),O$134-INDEX(aanname_implementatie[Totaal vertraging],MATCH($B239,IF(aanname_implementatie[Doelgroep]=$C239,aanname_implementatie[Digitale zorgtoepassing]),0)))</f>
        <v>0.27699177758611071</v>
      </c>
      <c r="P239" s="126" cm="1">
        <f t="array" ref="P239">INDEX(vertraging[[Vertraging 12 jaar]:[2034]],MATCH($F239,vertraging[Zoeksleutel],0),P$134-INDEX(aanname_implementatie[Totaal vertraging],MATCH($B239,IF(aanname_implementatie[Doelgroep]=$C239,aanname_implementatie[Digitale zorgtoepassing]),0)))</f>
        <v>0.37155887512870744</v>
      </c>
      <c r="Q239" s="126" cm="1">
        <f t="array" ref="Q239">INDEX(vertraging[[Vertraging 12 jaar]:[2034]],MATCH($F239,vertraging[Zoeksleutel],0),Q$134-INDEX(aanname_implementatie[Totaal vertraging],MATCH($B239,IF(aanname_implementatie[Doelgroep]=$C239,aanname_implementatie[Digitale zorgtoepassing]),0)))</f>
        <v>0.47752884860285211</v>
      </c>
      <c r="R239" s="126" cm="1">
        <f t="array" ref="R239">INDEX(vertraging[[Vertraging 12 jaar]:[2034]],MATCH($F239,vertraging[Zoeksleutel],0),R$134-INDEX(aanname_implementatie[Totaal vertraging],MATCH($B239,IF(aanname_implementatie[Doelgroep]=$C239,aanname_implementatie[Digitale zorgtoepassing]),0)))</f>
        <v>0.5877762905727496</v>
      </c>
    </row>
    <row r="240" spans="1:18" x14ac:dyDescent="0.5">
      <c r="A240" s="30" t="str">
        <f>INDEX(Technologieën[Veld],MATCH(B240,Technologieën[Digitale zorgtoepassing],0))</f>
        <v>Digitale hulpmiddelen - Verpleging</v>
      </c>
      <c r="B240" s="30" t="s">
        <v>26</v>
      </c>
      <c r="C240" s="30" t="s">
        <v>20</v>
      </c>
      <c r="D240" s="30" t="str" cm="1">
        <f t="array" ref="D240">INDEX(Berekening_patiëntaantal[Direct toepasbaar/extrapolatie/incidentie voor QALY],MATCH(B240,IF(Berekening_patiëntaantal[Doelgroep (zoeksleutel)]=C240,Berekening_patiëntaantal[Digitale zorgtoepassing]),0))</f>
        <v>Huidige toepassing</v>
      </c>
      <c r="E240" s="440" t="s">
        <v>813</v>
      </c>
      <c r="F240" s="30" t="str">
        <f>CONCATENATE(implementatie[[#This Row],[Zorgtechnologie]],"_",implementatie[[#This Row],[Doelgroep]],"_",implementatie[[#This Row],[Uitgangssituatie/effect beleid]])</f>
        <v>Medicijndispenser_Dementie_Uitgangssituatie</v>
      </c>
      <c r="G240" s="126" cm="1">
        <f t="array" ref="G240">INDEX(vertraging[[Vertraging 12 jaar]:[2034]],MATCH($F240,vertraging[Zoeksleutel],0),G$134-INDEX(aanname_implementatie[Totaal vertraging],MATCH($B240,IF(aanname_implementatie[Doelgroep]=$C240,aanname_implementatie[Digitale zorgtoepassing]),0)))</f>
        <v>0.4</v>
      </c>
      <c r="H240" s="126" cm="1">
        <f t="array" ref="H240">INDEX(vertraging[[Vertraging 12 jaar]:[2034]],MATCH($F240,vertraging[Zoeksleutel],0),H$134-INDEX(aanname_implementatie[Totaal vertraging],MATCH($B240,IF(aanname_implementatie[Doelgroep]=$C240,aanname_implementatie[Digitale zorgtoepassing]),0)))</f>
        <v>0.50800000000000001</v>
      </c>
      <c r="I240" s="126" cm="1">
        <f t="array" ref="I240">INDEX(vertraging[[Vertraging 12 jaar]:[2034]],MATCH($F240,vertraging[Zoeksleutel],0),I$134-INDEX(aanname_implementatie[Totaal vertraging],MATCH($B240,IF(aanname_implementatie[Doelgroep]=$C240,aanname_implementatie[Digitale zorgtoepassing]),0)))</f>
        <v>0.61781439999999999</v>
      </c>
      <c r="J240" s="126" cm="1">
        <f t="array" ref="J240">INDEX(vertraging[[Vertraging 12 jaar]:[2034]],MATCH($F240,vertraging[Zoeksleutel],0),J$134-INDEX(aanname_implementatie[Totaal vertraging],MATCH($B240,IF(aanname_implementatie[Doelgroep]=$C240,aanname_implementatie[Digitale zorgtoepassing]),0)))</f>
        <v>0.71990601886105599</v>
      </c>
      <c r="K240" s="126" cm="1">
        <f t="array" ref="K240">INDEX(vertraging[[Vertraging 12 jaar]:[2034]],MATCH($F240,vertraging[Zoeksleutel],0),K$134-INDEX(aanname_implementatie[Totaal vertraging],MATCH($B240,IF(aanname_implementatie[Doelgroep]=$C240,aanname_implementatie[Digitale zorgtoepassing]),0)))</f>
        <v>0.80616443563130724</v>
      </c>
      <c r="L240" s="126" cm="1">
        <f t="array" ref="L240">INDEX(vertraging[[Vertraging 12 jaar]:[2034]],MATCH($F240,vertraging[Zoeksleutel],0),L$134-INDEX(aanname_implementatie[Totaal vertraging],MATCH($B240,IF(aanname_implementatie[Doelgroep]=$C240,aanname_implementatie[Digitale zorgtoepassing]),0)))</f>
        <v>0.87254648226050635</v>
      </c>
      <c r="M240" s="126" cm="1">
        <f t="array" ref="M240">INDEX(vertraging[[Vertraging 12 jaar]:[2034]],MATCH($F240,vertraging[Zoeksleutel],0),M$134-INDEX(aanname_implementatie[Totaal vertraging],MATCH($B240,IF(aanname_implementatie[Doelgroep]=$C240,aanname_implementatie[Digitale zorgtoepassing]),0)))</f>
        <v>0.9195792000374251</v>
      </c>
      <c r="N240" s="126" cm="1">
        <f t="array" ref="N240">INDEX(vertraging[[Vertraging 12 jaar]:[2034]],MATCH($F240,vertraging[Zoeksleutel],0),N$134-INDEX(aanname_implementatie[Totaal vertraging],MATCH($B240,IF(aanname_implementatie[Doelgroep]=$C240,aanname_implementatie[Digitale zorgtoepassing]),0)))</f>
        <v>0.95076893399505846</v>
      </c>
      <c r="O240" s="126" cm="1">
        <f t="array" ref="O240">INDEX(vertraging[[Vertraging 12 jaar]:[2034]],MATCH($F240,vertraging[Zoeksleutel],0),O$134-INDEX(aanname_implementatie[Totaal vertraging],MATCH($B240,IF(aanname_implementatie[Doelgroep]=$C240,aanname_implementatie[Digitale zorgtoepassing]),0)))</f>
        <v>0.97047650257314066</v>
      </c>
      <c r="P240" s="126" cm="1">
        <f t="array" ref="P240">INDEX(vertraging[[Vertraging 12 jaar]:[2034]],MATCH($F240,vertraging[Zoeksleutel],0),P$134-INDEX(aanname_implementatie[Totaal vertraging],MATCH($B240,IF(aanname_implementatie[Doelgroep]=$C240,aanname_implementatie[Digitale zorgtoepassing]),0)))</f>
        <v>0.98252771673229611</v>
      </c>
      <c r="Q240" s="126" cm="1">
        <f t="array" ref="Q240">INDEX(vertraging[[Vertraging 12 jaar]:[2034]],MATCH($F240,vertraging[Zoeksleutel],0),Q$134-INDEX(aanname_implementatie[Totaal vertraging],MATCH($B240,IF(aanname_implementatie[Doelgroep]=$C240,aanname_implementatie[Digitale zorgtoepassing]),0)))</f>
        <v>0.98974396343169702</v>
      </c>
      <c r="R240" s="126" cm="1">
        <f t="array" ref="R240">INDEX(vertraging[[Vertraging 12 jaar]:[2034]],MATCH($F240,vertraging[Zoeksleutel],0),R$134-INDEX(aanname_implementatie[Totaal vertraging],MATCH($B240,IF(aanname_implementatie[Doelgroep]=$C240,aanname_implementatie[Digitale zorgtoepassing]),0)))</f>
        <v>0.99400942427594807</v>
      </c>
    </row>
    <row r="241" spans="1:18" x14ac:dyDescent="0.5">
      <c r="A241" s="30" t="str">
        <f>INDEX(Technologieën[Veld],MATCH(B241,Technologieën[Digitale zorgtoepassing],0))</f>
        <v>Digitale hulpmiddelen - Verpleging</v>
      </c>
      <c r="B241" s="30" t="s">
        <v>26</v>
      </c>
      <c r="C241" s="30" t="s">
        <v>27</v>
      </c>
      <c r="D241" s="30" t="str" cm="1">
        <f t="array" ref="D241">INDEX(Berekening_patiëntaantal[Direct toepasbaar/extrapolatie/incidentie voor QALY],MATCH(B241,IF(Berekening_patiëntaantal[Doelgroep (zoeksleutel)]=C241,Berekening_patiëntaantal[Digitale zorgtoepassing]),0))</f>
        <v>Huidige toepassing</v>
      </c>
      <c r="E241" s="440" t="s">
        <v>813</v>
      </c>
      <c r="F241" s="30" t="str">
        <f>CONCATENATE(implementatie[[#This Row],[Zorgtechnologie]],"_",implementatie[[#This Row],[Doelgroep]],"_",implementatie[[#This Row],[Uitgangssituatie/effect beleid]])</f>
        <v>Medicijndispenser_Parkinson_Uitgangssituatie</v>
      </c>
      <c r="G241" s="126" cm="1">
        <f t="array" ref="G241">INDEX(vertraging[[Vertraging 12 jaar]:[2034]],MATCH($F241,vertraging[Zoeksleutel],0),G$134-INDEX(aanname_implementatie[Totaal vertraging],MATCH($B241,IF(aanname_implementatie[Doelgroep]=$C241,aanname_implementatie[Digitale zorgtoepassing]),0)))</f>
        <v>0.4</v>
      </c>
      <c r="H241" s="126" cm="1">
        <f t="array" ref="H241">INDEX(vertraging[[Vertraging 12 jaar]:[2034]],MATCH($F241,vertraging[Zoeksleutel],0),H$134-INDEX(aanname_implementatie[Totaal vertraging],MATCH($B241,IF(aanname_implementatie[Doelgroep]=$C241,aanname_implementatie[Digitale zorgtoepassing]),0)))</f>
        <v>0.50800000000000001</v>
      </c>
      <c r="I241" s="126" cm="1">
        <f t="array" ref="I241">INDEX(vertraging[[Vertraging 12 jaar]:[2034]],MATCH($F241,vertraging[Zoeksleutel],0),I$134-INDEX(aanname_implementatie[Totaal vertraging],MATCH($B241,IF(aanname_implementatie[Doelgroep]=$C241,aanname_implementatie[Digitale zorgtoepassing]),0)))</f>
        <v>0.61781439999999999</v>
      </c>
      <c r="J241" s="126" cm="1">
        <f t="array" ref="J241">INDEX(vertraging[[Vertraging 12 jaar]:[2034]],MATCH($F241,vertraging[Zoeksleutel],0),J$134-INDEX(aanname_implementatie[Totaal vertraging],MATCH($B241,IF(aanname_implementatie[Doelgroep]=$C241,aanname_implementatie[Digitale zorgtoepassing]),0)))</f>
        <v>0.71990601886105599</v>
      </c>
      <c r="K241" s="126" cm="1">
        <f t="array" ref="K241">INDEX(vertraging[[Vertraging 12 jaar]:[2034]],MATCH($F241,vertraging[Zoeksleutel],0),K$134-INDEX(aanname_implementatie[Totaal vertraging],MATCH($B241,IF(aanname_implementatie[Doelgroep]=$C241,aanname_implementatie[Digitale zorgtoepassing]),0)))</f>
        <v>0.80616443563130724</v>
      </c>
      <c r="L241" s="126" cm="1">
        <f t="array" ref="L241">INDEX(vertraging[[Vertraging 12 jaar]:[2034]],MATCH($F241,vertraging[Zoeksleutel],0),L$134-INDEX(aanname_implementatie[Totaal vertraging],MATCH($B241,IF(aanname_implementatie[Doelgroep]=$C241,aanname_implementatie[Digitale zorgtoepassing]),0)))</f>
        <v>0.87254648226050635</v>
      </c>
      <c r="M241" s="126" cm="1">
        <f t="array" ref="M241">INDEX(vertraging[[Vertraging 12 jaar]:[2034]],MATCH($F241,vertraging[Zoeksleutel],0),M$134-INDEX(aanname_implementatie[Totaal vertraging],MATCH($B241,IF(aanname_implementatie[Doelgroep]=$C241,aanname_implementatie[Digitale zorgtoepassing]),0)))</f>
        <v>0.9195792000374251</v>
      </c>
      <c r="N241" s="126" cm="1">
        <f t="array" ref="N241">INDEX(vertraging[[Vertraging 12 jaar]:[2034]],MATCH($F241,vertraging[Zoeksleutel],0),N$134-INDEX(aanname_implementatie[Totaal vertraging],MATCH($B241,IF(aanname_implementatie[Doelgroep]=$C241,aanname_implementatie[Digitale zorgtoepassing]),0)))</f>
        <v>0.95076893399505846</v>
      </c>
      <c r="O241" s="126" cm="1">
        <f t="array" ref="O241">INDEX(vertraging[[Vertraging 12 jaar]:[2034]],MATCH($F241,vertraging[Zoeksleutel],0),O$134-INDEX(aanname_implementatie[Totaal vertraging],MATCH($B241,IF(aanname_implementatie[Doelgroep]=$C241,aanname_implementatie[Digitale zorgtoepassing]),0)))</f>
        <v>0.97047650257314066</v>
      </c>
      <c r="P241" s="126" cm="1">
        <f t="array" ref="P241">INDEX(vertraging[[Vertraging 12 jaar]:[2034]],MATCH($F241,vertraging[Zoeksleutel],0),P$134-INDEX(aanname_implementatie[Totaal vertraging],MATCH($B241,IF(aanname_implementatie[Doelgroep]=$C241,aanname_implementatie[Digitale zorgtoepassing]),0)))</f>
        <v>0.98252771673229611</v>
      </c>
      <c r="Q241" s="126" cm="1">
        <f t="array" ref="Q241">INDEX(vertraging[[Vertraging 12 jaar]:[2034]],MATCH($F241,vertraging[Zoeksleutel],0),Q$134-INDEX(aanname_implementatie[Totaal vertraging],MATCH($B241,IF(aanname_implementatie[Doelgroep]=$C241,aanname_implementatie[Digitale zorgtoepassing]),0)))</f>
        <v>0.98974396343169702</v>
      </c>
      <c r="R241" s="126" cm="1">
        <f t="array" ref="R241">INDEX(vertraging[[Vertraging 12 jaar]:[2034]],MATCH($F241,vertraging[Zoeksleutel],0),R$134-INDEX(aanname_implementatie[Totaal vertraging],MATCH($B241,IF(aanname_implementatie[Doelgroep]=$C241,aanname_implementatie[Digitale zorgtoepassing]),0)))</f>
        <v>0.99400942427594807</v>
      </c>
    </row>
    <row r="242" spans="1:18" x14ac:dyDescent="0.5">
      <c r="A242" s="30" t="str">
        <f>INDEX(Technologieën[Veld],MATCH(B242,Technologieën[Digitale zorgtoepassing],0))</f>
        <v>Digitale hulpmiddelen - Verpleging</v>
      </c>
      <c r="B242" s="30" t="s">
        <v>26</v>
      </c>
      <c r="C242" s="30" t="s">
        <v>29</v>
      </c>
      <c r="D242" s="30" t="str" cm="1">
        <f t="array" ref="D242">INDEX(Berekening_patiëntaantal[Direct toepasbaar/extrapolatie/incidentie voor QALY],MATCH(B242,IF(Berekening_patiëntaantal[Doelgroep (zoeksleutel)]=C242,Berekening_patiëntaantal[Digitale zorgtoepassing]),0))</f>
        <v>Huidige toepassing</v>
      </c>
      <c r="E242" s="440" t="s">
        <v>813</v>
      </c>
      <c r="F242" s="30" t="str">
        <f>CONCATENATE(implementatie[[#This Row],[Zorgtechnologie]],"_",implementatie[[#This Row],[Doelgroep]],"_",implementatie[[#This Row],[Uitgangssituatie/effect beleid]])</f>
        <v>Medicijndispenser_Reumatische aandoening _Uitgangssituatie</v>
      </c>
      <c r="G242" s="126" cm="1">
        <f t="array" ref="G242">INDEX(vertraging[[Vertraging 12 jaar]:[2034]],MATCH($F242,vertraging[Zoeksleutel],0),G$134-INDEX(aanname_implementatie[Totaal vertraging],MATCH($B242,IF(aanname_implementatie[Doelgroep]=$C242,aanname_implementatie[Digitale zorgtoepassing]),0)))</f>
        <v>0.4</v>
      </c>
      <c r="H242" s="126" cm="1">
        <f t="array" ref="H242">INDEX(vertraging[[Vertraging 12 jaar]:[2034]],MATCH($F242,vertraging[Zoeksleutel],0),H$134-INDEX(aanname_implementatie[Totaal vertraging],MATCH($B242,IF(aanname_implementatie[Doelgroep]=$C242,aanname_implementatie[Digitale zorgtoepassing]),0)))</f>
        <v>0.50800000000000001</v>
      </c>
      <c r="I242" s="126" cm="1">
        <f t="array" ref="I242">INDEX(vertraging[[Vertraging 12 jaar]:[2034]],MATCH($F242,vertraging[Zoeksleutel],0),I$134-INDEX(aanname_implementatie[Totaal vertraging],MATCH($B242,IF(aanname_implementatie[Doelgroep]=$C242,aanname_implementatie[Digitale zorgtoepassing]),0)))</f>
        <v>0.61781439999999999</v>
      </c>
      <c r="J242" s="126" cm="1">
        <f t="array" ref="J242">INDEX(vertraging[[Vertraging 12 jaar]:[2034]],MATCH($F242,vertraging[Zoeksleutel],0),J$134-INDEX(aanname_implementatie[Totaal vertraging],MATCH($B242,IF(aanname_implementatie[Doelgroep]=$C242,aanname_implementatie[Digitale zorgtoepassing]),0)))</f>
        <v>0.71990601886105599</v>
      </c>
      <c r="K242" s="126" cm="1">
        <f t="array" ref="K242">INDEX(vertraging[[Vertraging 12 jaar]:[2034]],MATCH($F242,vertraging[Zoeksleutel],0),K$134-INDEX(aanname_implementatie[Totaal vertraging],MATCH($B242,IF(aanname_implementatie[Doelgroep]=$C242,aanname_implementatie[Digitale zorgtoepassing]),0)))</f>
        <v>0.80616443563130724</v>
      </c>
      <c r="L242" s="126" cm="1">
        <f t="array" ref="L242">INDEX(vertraging[[Vertraging 12 jaar]:[2034]],MATCH($F242,vertraging[Zoeksleutel],0),L$134-INDEX(aanname_implementatie[Totaal vertraging],MATCH($B242,IF(aanname_implementatie[Doelgroep]=$C242,aanname_implementatie[Digitale zorgtoepassing]),0)))</f>
        <v>0.87254648226050635</v>
      </c>
      <c r="M242" s="126" cm="1">
        <f t="array" ref="M242">INDEX(vertraging[[Vertraging 12 jaar]:[2034]],MATCH($F242,vertraging[Zoeksleutel],0),M$134-INDEX(aanname_implementatie[Totaal vertraging],MATCH($B242,IF(aanname_implementatie[Doelgroep]=$C242,aanname_implementatie[Digitale zorgtoepassing]),0)))</f>
        <v>0.9195792000374251</v>
      </c>
      <c r="N242" s="126" cm="1">
        <f t="array" ref="N242">INDEX(vertraging[[Vertraging 12 jaar]:[2034]],MATCH($F242,vertraging[Zoeksleutel],0),N$134-INDEX(aanname_implementatie[Totaal vertraging],MATCH($B242,IF(aanname_implementatie[Doelgroep]=$C242,aanname_implementatie[Digitale zorgtoepassing]),0)))</f>
        <v>0.95076893399505846</v>
      </c>
      <c r="O242" s="126" cm="1">
        <f t="array" ref="O242">INDEX(vertraging[[Vertraging 12 jaar]:[2034]],MATCH($F242,vertraging[Zoeksleutel],0),O$134-INDEX(aanname_implementatie[Totaal vertraging],MATCH($B242,IF(aanname_implementatie[Doelgroep]=$C242,aanname_implementatie[Digitale zorgtoepassing]),0)))</f>
        <v>0.97047650257314066</v>
      </c>
      <c r="P242" s="126" cm="1">
        <f t="array" ref="P242">INDEX(vertraging[[Vertraging 12 jaar]:[2034]],MATCH($F242,vertraging[Zoeksleutel],0),P$134-INDEX(aanname_implementatie[Totaal vertraging],MATCH($B242,IF(aanname_implementatie[Doelgroep]=$C242,aanname_implementatie[Digitale zorgtoepassing]),0)))</f>
        <v>0.98252771673229611</v>
      </c>
      <c r="Q242" s="126" cm="1">
        <f t="array" ref="Q242">INDEX(vertraging[[Vertraging 12 jaar]:[2034]],MATCH($F242,vertraging[Zoeksleutel],0),Q$134-INDEX(aanname_implementatie[Totaal vertraging],MATCH($B242,IF(aanname_implementatie[Doelgroep]=$C242,aanname_implementatie[Digitale zorgtoepassing]),0)))</f>
        <v>0.98974396343169702</v>
      </c>
      <c r="R242" s="126" cm="1">
        <f t="array" ref="R242">INDEX(vertraging[[Vertraging 12 jaar]:[2034]],MATCH($F242,vertraging[Zoeksleutel],0),R$134-INDEX(aanname_implementatie[Totaal vertraging],MATCH($B242,IF(aanname_implementatie[Doelgroep]=$C242,aanname_implementatie[Digitale zorgtoepassing]),0)))</f>
        <v>0.99400942427594807</v>
      </c>
    </row>
    <row r="243" spans="1:18" x14ac:dyDescent="0.5">
      <c r="A243" s="30" t="str">
        <f>INDEX(Technologieën[Veld],MATCH(B243,Technologieën[Digitale zorgtoepassing],0))</f>
        <v>Digitale hulpmiddelen - Diagnose</v>
      </c>
      <c r="B243" s="30" t="s">
        <v>78</v>
      </c>
      <c r="C243" s="30" t="s">
        <v>699</v>
      </c>
      <c r="D243" s="30" t="str" cm="1">
        <f t="array" ref="D243">INDEX(Berekening_patiëntaantal[Direct toepasbaar/extrapolatie/incidentie voor QALY],MATCH(B243,IF(Berekening_patiëntaantal[Doelgroep (zoeksleutel)]=C243,Berekening_patiëntaantal[Digitale zorgtoepassing]),0))</f>
        <v>Huidige toepassing</v>
      </c>
      <c r="E243" s="440" t="s">
        <v>813</v>
      </c>
      <c r="F243" s="30" t="str">
        <f>CONCATENATE(implementatie[[#This Row],[Zorgtechnologie]],"_",implementatie[[#This Row],[Doelgroep]],"_",implementatie[[#This Row],[Uitgangssituatie/effect beleid]])</f>
        <v>Mobiele echo's_Echo's 2e lijn_Uitgangssituatie</v>
      </c>
      <c r="G243" s="126" cm="1">
        <f t="array" ref="G243">INDEX(vertraging[[Vertraging 12 jaar]:[2034]],MATCH($F243,vertraging[Zoeksleutel],0),G$134-INDEX(aanname_implementatie[Totaal vertraging],MATCH($B243,IF(aanname_implementatie[Doelgroep]=$C243,aanname_implementatie[Digitale zorgtoepassing]),0)))</f>
        <v>0.2</v>
      </c>
      <c r="H243" s="126" cm="1">
        <f t="array" ref="H243">INDEX(vertraging[[Vertraging 12 jaar]:[2034]],MATCH($F243,vertraging[Zoeksleutel],0),H$134-INDEX(aanname_implementatie[Totaal vertraging],MATCH($B243,IF(aanname_implementatie[Doelgroep]=$C243,aanname_implementatie[Digitale zorgtoepassing]),0)))</f>
        <v>0.29200000000000004</v>
      </c>
      <c r="I243" s="126" cm="1">
        <f t="array" ref="I243">INDEX(vertraging[[Vertraging 12 jaar]:[2034]],MATCH($F243,vertraging[Zoeksleutel],0),I$134-INDEX(aanname_implementatie[Totaal vertraging],MATCH($B243,IF(aanname_implementatie[Doelgroep]=$C243,aanname_implementatie[Digitale zorgtoepassing]),0)))</f>
        <v>0.40273120000000007</v>
      </c>
      <c r="J243" s="126" cm="1">
        <f t="array" ref="J243">INDEX(vertraging[[Vertraging 12 jaar]:[2034]],MATCH($F243,vertraging[Zoeksleutel],0),J$134-INDEX(aanname_implementatie[Totaal vertraging],MATCH($B243,IF(aanname_implementatie[Doelgroep]=$C243,aanname_implementatie[Digitale zorgtoepassing]),0)))</f>
        <v>0.52590537124595205</v>
      </c>
      <c r="K243" s="126" cm="1">
        <f t="array" ref="K243">INDEX(vertraging[[Vertraging 12 jaar]:[2034]],MATCH($F243,vertraging[Zoeksleutel],0),K$134-INDEX(aanname_implementatie[Totaal vertraging],MATCH($B243,IF(aanname_implementatie[Doelgroep]=$C243,aanname_implementatie[Digitale zorgtoepassing]),0)))</f>
        <v>0.64995574724807748</v>
      </c>
      <c r="L243" s="126" cm="1">
        <f t="array" ref="L243">INDEX(vertraging[[Vertraging 12 jaar]:[2034]],MATCH($F243,vertraging[Zoeksleutel],0),L$134-INDEX(aanname_implementatie[Totaal vertraging],MATCH($B243,IF(aanname_implementatie[Doelgroep]=$C243,aanname_implementatie[Digitale zorgtoepassing]),0)))</f>
        <v>0.76108782680714737</v>
      </c>
      <c r="M243" s="126" cm="1">
        <f t="array" ref="M243">INDEX(vertraging[[Vertraging 12 jaar]:[2034]],MATCH($F243,vertraging[Zoeksleutel],0),M$134-INDEX(aanname_implementatie[Totaal vertraging],MATCH($B243,IF(aanname_implementatie[Doelgroep]=$C243,aanname_implementatie[Digitale zorgtoepassing]),0)))</f>
        <v>0.8488855471488731</v>
      </c>
      <c r="N243" s="126" cm="1">
        <f t="array" ref="N243">INDEX(vertraging[[Vertraging 12 jaar]:[2034]],MATCH($F243,vertraging[Zoeksleutel],0),N$134-INDEX(aanname_implementatie[Totaal vertraging],MATCH($B243,IF(aanname_implementatie[Doelgroep]=$C243,aanname_implementatie[Digitale zorgtoepassing]),0)))</f>
        <v>0.91038890221593549</v>
      </c>
      <c r="O243" s="126" cm="1">
        <f t="array" ref="O243">INDEX(vertraging[[Vertraging 12 jaar]:[2034]],MATCH($F243,vertraging[Zoeksleutel],0),O$134-INDEX(aanname_implementatie[Totaal vertraging],MATCH($B243,IF(aanname_implementatie[Doelgroep]=$C243,aanname_implementatie[Digitale zorgtoepassing]),0)))</f>
        <v>0.94934060668263687</v>
      </c>
      <c r="P243" s="126" cm="1">
        <f t="array" ref="P243">INDEX(vertraging[[Vertraging 12 jaar]:[2034]],MATCH($F243,vertraging[Zoeksleutel],0),P$134-INDEX(aanname_implementatie[Totaal vertraging],MATCH($B243,IF(aanname_implementatie[Doelgroep]=$C243,aanname_implementatie[Digitale zorgtoepassing]),0)))</f>
        <v>0.9722489501493069</v>
      </c>
      <c r="Q243" s="126" cm="1">
        <f t="array" ref="Q243">INDEX(vertraging[[Vertraging 12 jaar]:[2034]],MATCH($F243,vertraging[Zoeksleutel],0),Q$134-INDEX(aanname_implementatie[Totaal vertraging],MATCH($B243,IF(aanname_implementatie[Doelgroep]=$C243,aanname_implementatie[Digitale zorgtoepassing]),0)))</f>
        <v>0.98508414448286907</v>
      </c>
      <c r="R243" s="126" cm="1">
        <f t="array" ref="R243">INDEX(vertraging[[Vertraging 12 jaar]:[2034]],MATCH($F243,vertraging[Zoeksleutel],0),R$134-INDEX(aanname_implementatie[Totaal vertraging],MATCH($B243,IF(aanname_implementatie[Doelgroep]=$C243,aanname_implementatie[Digitale zorgtoepassing]),0)))</f>
        <v>0.99206905861789263</v>
      </c>
    </row>
    <row r="244" spans="1:18" x14ac:dyDescent="0.5">
      <c r="A244" s="30" t="str">
        <f>INDEX(Technologieën[Veld],MATCH(B244,Technologieën[Digitale zorgtoepassing],0))</f>
        <v>Digitale hulpmiddelen - Diagnose</v>
      </c>
      <c r="B244" s="30" t="s">
        <v>78</v>
      </c>
      <c r="C244" s="30" t="s">
        <v>79</v>
      </c>
      <c r="D244" s="30" t="str" cm="1">
        <f t="array" ref="D244">INDEX(Berekening_patiëntaantal[Direct toepasbaar/extrapolatie/incidentie voor QALY],MATCH(B244,IF(Berekening_patiëntaantal[Doelgroep (zoeksleutel)]=C244,Berekening_patiëntaantal[Digitale zorgtoepassing]),0))</f>
        <v>Huidige toepassing</v>
      </c>
      <c r="E244" s="440" t="s">
        <v>813</v>
      </c>
      <c r="F244" s="30" t="str">
        <f>CONCATENATE(implementatie[[#This Row],[Zorgtechnologie]],"_",implementatie[[#This Row],[Doelgroep]],"_",implementatie[[#This Row],[Uitgangssituatie/effect beleid]])</f>
        <v>Mobiele echo's_Echo's bij zwangere vrouwen_Uitgangssituatie</v>
      </c>
      <c r="G244" s="126" cm="1">
        <f t="array" ref="G244">INDEX(vertraging[[Vertraging 12 jaar]:[2034]],MATCH($F244,vertraging[Zoeksleutel],0),G$134-INDEX(aanname_implementatie[Totaal vertraging],MATCH($B244,IF(aanname_implementatie[Doelgroep]=$C244,aanname_implementatie[Digitale zorgtoepassing]),0)))</f>
        <v>0.2</v>
      </c>
      <c r="H244" s="126" cm="1">
        <f t="array" ref="H244">INDEX(vertraging[[Vertraging 12 jaar]:[2034]],MATCH($F244,vertraging[Zoeksleutel],0),H$134-INDEX(aanname_implementatie[Totaal vertraging],MATCH($B244,IF(aanname_implementatie[Doelgroep]=$C244,aanname_implementatie[Digitale zorgtoepassing]),0)))</f>
        <v>0.29200000000000004</v>
      </c>
      <c r="I244" s="126" cm="1">
        <f t="array" ref="I244">INDEX(vertraging[[Vertraging 12 jaar]:[2034]],MATCH($F244,vertraging[Zoeksleutel],0),I$134-INDEX(aanname_implementatie[Totaal vertraging],MATCH($B244,IF(aanname_implementatie[Doelgroep]=$C244,aanname_implementatie[Digitale zorgtoepassing]),0)))</f>
        <v>0.40273120000000007</v>
      </c>
      <c r="J244" s="126" cm="1">
        <f t="array" ref="J244">INDEX(vertraging[[Vertraging 12 jaar]:[2034]],MATCH($F244,vertraging[Zoeksleutel],0),J$134-INDEX(aanname_implementatie[Totaal vertraging],MATCH($B244,IF(aanname_implementatie[Doelgroep]=$C244,aanname_implementatie[Digitale zorgtoepassing]),0)))</f>
        <v>0.52590537124595205</v>
      </c>
      <c r="K244" s="126" cm="1">
        <f t="array" ref="K244">INDEX(vertraging[[Vertraging 12 jaar]:[2034]],MATCH($F244,vertraging[Zoeksleutel],0),K$134-INDEX(aanname_implementatie[Totaal vertraging],MATCH($B244,IF(aanname_implementatie[Doelgroep]=$C244,aanname_implementatie[Digitale zorgtoepassing]),0)))</f>
        <v>0.64995574724807748</v>
      </c>
      <c r="L244" s="126" cm="1">
        <f t="array" ref="L244">INDEX(vertraging[[Vertraging 12 jaar]:[2034]],MATCH($F244,vertraging[Zoeksleutel],0),L$134-INDEX(aanname_implementatie[Totaal vertraging],MATCH($B244,IF(aanname_implementatie[Doelgroep]=$C244,aanname_implementatie[Digitale zorgtoepassing]),0)))</f>
        <v>0.76108782680714737</v>
      </c>
      <c r="M244" s="126" cm="1">
        <f t="array" ref="M244">INDEX(vertraging[[Vertraging 12 jaar]:[2034]],MATCH($F244,vertraging[Zoeksleutel],0),M$134-INDEX(aanname_implementatie[Totaal vertraging],MATCH($B244,IF(aanname_implementatie[Doelgroep]=$C244,aanname_implementatie[Digitale zorgtoepassing]),0)))</f>
        <v>0.8488855471488731</v>
      </c>
      <c r="N244" s="126" cm="1">
        <f t="array" ref="N244">INDEX(vertraging[[Vertraging 12 jaar]:[2034]],MATCH($F244,vertraging[Zoeksleutel],0),N$134-INDEX(aanname_implementatie[Totaal vertraging],MATCH($B244,IF(aanname_implementatie[Doelgroep]=$C244,aanname_implementatie[Digitale zorgtoepassing]),0)))</f>
        <v>0.91038890221593549</v>
      </c>
      <c r="O244" s="126" cm="1">
        <f t="array" ref="O244">INDEX(vertraging[[Vertraging 12 jaar]:[2034]],MATCH($F244,vertraging[Zoeksleutel],0),O$134-INDEX(aanname_implementatie[Totaal vertraging],MATCH($B244,IF(aanname_implementatie[Doelgroep]=$C244,aanname_implementatie[Digitale zorgtoepassing]),0)))</f>
        <v>0.94934060668263687</v>
      </c>
      <c r="P244" s="126" cm="1">
        <f t="array" ref="P244">INDEX(vertraging[[Vertraging 12 jaar]:[2034]],MATCH($F244,vertraging[Zoeksleutel],0),P$134-INDEX(aanname_implementatie[Totaal vertraging],MATCH($B244,IF(aanname_implementatie[Doelgroep]=$C244,aanname_implementatie[Digitale zorgtoepassing]),0)))</f>
        <v>0.9722489501493069</v>
      </c>
      <c r="Q244" s="126" cm="1">
        <f t="array" ref="Q244">INDEX(vertraging[[Vertraging 12 jaar]:[2034]],MATCH($F244,vertraging[Zoeksleutel],0),Q$134-INDEX(aanname_implementatie[Totaal vertraging],MATCH($B244,IF(aanname_implementatie[Doelgroep]=$C244,aanname_implementatie[Digitale zorgtoepassing]),0)))</f>
        <v>0.98508414448286907</v>
      </c>
      <c r="R244" s="126" cm="1">
        <f t="array" ref="R244">INDEX(vertraging[[Vertraging 12 jaar]:[2034]],MATCH($F244,vertraging[Zoeksleutel],0),R$134-INDEX(aanname_implementatie[Totaal vertraging],MATCH($B244,IF(aanname_implementatie[Doelgroep]=$C244,aanname_implementatie[Digitale zorgtoepassing]),0)))</f>
        <v>0.99206905861789263</v>
      </c>
    </row>
    <row r="245" spans="1:18" x14ac:dyDescent="0.5">
      <c r="A245" s="30" t="str">
        <f>INDEX(Technologieën[Veld],MATCH(B245,Technologieën[Digitale zorgtoepassing],0))</f>
        <v>Digitale hulpmiddelen - Diagnose</v>
      </c>
      <c r="B245" s="30" t="s">
        <v>82</v>
      </c>
      <c r="C245" s="30" t="s">
        <v>703</v>
      </c>
      <c r="D245" s="30" t="str" cm="1">
        <f t="array" ref="D245">INDEX(Berekening_patiëntaantal[Direct toepasbaar/extrapolatie/incidentie voor QALY],MATCH(B245,IF(Berekening_patiëntaantal[Doelgroep (zoeksleutel)]=C245,Berekening_patiëntaantal[Digitale zorgtoepassing]),0))</f>
        <v>Huidige toepassing</v>
      </c>
      <c r="E245" s="440" t="s">
        <v>813</v>
      </c>
      <c r="F245" s="30" t="str">
        <f>CONCATENATE(implementatie[[#This Row],[Zorgtechnologie]],"_",implementatie[[#This Row],[Doelgroep]],"_",implementatie[[#This Row],[Uitgangssituatie/effect beleid]])</f>
        <v>Point-of-care (POC) testing_HAP contacten met labaratoriumonderzoek_Uitgangssituatie</v>
      </c>
      <c r="G245" s="126" cm="1">
        <f t="array" ref="G245">INDEX(vertraging[[Vertraging 12 jaar]:[2034]],MATCH($F245,vertraging[Zoeksleutel],0),G$134-INDEX(aanname_implementatie[Totaal vertraging],MATCH($B245,IF(aanname_implementatie[Doelgroep]=$C245,aanname_implementatie[Digitale zorgtoepassing]),0)))</f>
        <v>0.4</v>
      </c>
      <c r="H245" s="126" cm="1">
        <f t="array" ref="H245">INDEX(vertraging[[Vertraging 12 jaar]:[2034]],MATCH($F245,vertraging[Zoeksleutel],0),H$134-INDEX(aanname_implementatie[Totaal vertraging],MATCH($B245,IF(aanname_implementatie[Doelgroep]=$C245,aanname_implementatie[Digitale zorgtoepassing]),0)))</f>
        <v>0.50800000000000001</v>
      </c>
      <c r="I245" s="126" cm="1">
        <f t="array" ref="I245">INDEX(vertraging[[Vertraging 12 jaar]:[2034]],MATCH($F245,vertraging[Zoeksleutel],0),I$134-INDEX(aanname_implementatie[Totaal vertraging],MATCH($B245,IF(aanname_implementatie[Doelgroep]=$C245,aanname_implementatie[Digitale zorgtoepassing]),0)))</f>
        <v>0.61781439999999999</v>
      </c>
      <c r="J245" s="126" cm="1">
        <f t="array" ref="J245">INDEX(vertraging[[Vertraging 12 jaar]:[2034]],MATCH($F245,vertraging[Zoeksleutel],0),J$134-INDEX(aanname_implementatie[Totaal vertraging],MATCH($B245,IF(aanname_implementatie[Doelgroep]=$C245,aanname_implementatie[Digitale zorgtoepassing]),0)))</f>
        <v>0.71990601886105599</v>
      </c>
      <c r="K245" s="126" cm="1">
        <f t="array" ref="K245">INDEX(vertraging[[Vertraging 12 jaar]:[2034]],MATCH($F245,vertraging[Zoeksleutel],0),K$134-INDEX(aanname_implementatie[Totaal vertraging],MATCH($B245,IF(aanname_implementatie[Doelgroep]=$C245,aanname_implementatie[Digitale zorgtoepassing]),0)))</f>
        <v>0.80616443563130724</v>
      </c>
      <c r="L245" s="126" cm="1">
        <f t="array" ref="L245">INDEX(vertraging[[Vertraging 12 jaar]:[2034]],MATCH($F245,vertraging[Zoeksleutel],0),L$134-INDEX(aanname_implementatie[Totaal vertraging],MATCH($B245,IF(aanname_implementatie[Doelgroep]=$C245,aanname_implementatie[Digitale zorgtoepassing]),0)))</f>
        <v>0.87254648226050635</v>
      </c>
      <c r="M245" s="126" cm="1">
        <f t="array" ref="M245">INDEX(vertraging[[Vertraging 12 jaar]:[2034]],MATCH($F245,vertraging[Zoeksleutel],0),M$134-INDEX(aanname_implementatie[Totaal vertraging],MATCH($B245,IF(aanname_implementatie[Doelgroep]=$C245,aanname_implementatie[Digitale zorgtoepassing]),0)))</f>
        <v>0.9195792000374251</v>
      </c>
      <c r="N245" s="126" cm="1">
        <f t="array" ref="N245">INDEX(vertraging[[Vertraging 12 jaar]:[2034]],MATCH($F245,vertraging[Zoeksleutel],0),N$134-INDEX(aanname_implementatie[Totaal vertraging],MATCH($B245,IF(aanname_implementatie[Doelgroep]=$C245,aanname_implementatie[Digitale zorgtoepassing]),0)))</f>
        <v>0.95076893399505846</v>
      </c>
      <c r="O245" s="126" cm="1">
        <f t="array" ref="O245">INDEX(vertraging[[Vertraging 12 jaar]:[2034]],MATCH($F245,vertraging[Zoeksleutel],0),O$134-INDEX(aanname_implementatie[Totaal vertraging],MATCH($B245,IF(aanname_implementatie[Doelgroep]=$C245,aanname_implementatie[Digitale zorgtoepassing]),0)))</f>
        <v>0.97047650257314066</v>
      </c>
      <c r="P245" s="126" cm="1">
        <f t="array" ref="P245">INDEX(vertraging[[Vertraging 12 jaar]:[2034]],MATCH($F245,vertraging[Zoeksleutel],0),P$134-INDEX(aanname_implementatie[Totaal vertraging],MATCH($B245,IF(aanname_implementatie[Doelgroep]=$C245,aanname_implementatie[Digitale zorgtoepassing]),0)))</f>
        <v>0.98252771673229611</v>
      </c>
      <c r="Q245" s="126" cm="1">
        <f t="array" ref="Q245">INDEX(vertraging[[Vertraging 12 jaar]:[2034]],MATCH($F245,vertraging[Zoeksleutel],0),Q$134-INDEX(aanname_implementatie[Totaal vertraging],MATCH($B245,IF(aanname_implementatie[Doelgroep]=$C245,aanname_implementatie[Digitale zorgtoepassing]),0)))</f>
        <v>0.98974396343169702</v>
      </c>
      <c r="R245" s="126" cm="1">
        <f t="array" ref="R245">INDEX(vertraging[[Vertraging 12 jaar]:[2034]],MATCH($F245,vertraging[Zoeksleutel],0),R$134-INDEX(aanname_implementatie[Totaal vertraging],MATCH($B245,IF(aanname_implementatie[Doelgroep]=$C245,aanname_implementatie[Digitale zorgtoepassing]),0)))</f>
        <v>0.99400942427594807</v>
      </c>
    </row>
    <row r="246" spans="1:18" x14ac:dyDescent="0.5">
      <c r="A246" s="30" t="str">
        <f>INDEX(Technologieën[Veld],MATCH(B246,Technologieën[Digitale zorgtoepassing],0))</f>
        <v>Digitale hulpmiddelen - Diagnose</v>
      </c>
      <c r="B246" s="30" t="s">
        <v>82</v>
      </c>
      <c r="C246" s="30" t="s">
        <v>702</v>
      </c>
      <c r="D246" s="30" t="str" cm="1">
        <f t="array" ref="D246">INDEX(Berekening_patiëntaantal[Direct toepasbaar/extrapolatie/incidentie voor QALY],MATCH(B246,IF(Berekening_patiëntaantal[Doelgroep (zoeksleutel)]=C246,Berekening_patiëntaantal[Digitale zorgtoepassing]),0))</f>
        <v>Huidige toepassing</v>
      </c>
      <c r="E246" s="440" t="s">
        <v>813</v>
      </c>
      <c r="F246" s="30" t="str">
        <f>CONCATENATE(implementatie[[#This Row],[Zorgtechnologie]],"_",implementatie[[#This Row],[Doelgroep]],"_",implementatie[[#This Row],[Uitgangssituatie/effect beleid]])</f>
        <v>Point-of-care (POC) testing_Huisartscontacten met labaratoriumonderzoek_Uitgangssituatie</v>
      </c>
      <c r="G246" s="126" cm="1">
        <f t="array" ref="G246">INDEX(vertraging[[Vertraging 12 jaar]:[2034]],MATCH($F246,vertraging[Zoeksleutel],0),G$134-INDEX(aanname_implementatie[Totaal vertraging],MATCH($B246,IF(aanname_implementatie[Doelgroep]=$C246,aanname_implementatie[Digitale zorgtoepassing]),0)))</f>
        <v>0.4</v>
      </c>
      <c r="H246" s="126" cm="1">
        <f t="array" ref="H246">INDEX(vertraging[[Vertraging 12 jaar]:[2034]],MATCH($F246,vertraging[Zoeksleutel],0),H$134-INDEX(aanname_implementatie[Totaal vertraging],MATCH($B246,IF(aanname_implementatie[Doelgroep]=$C246,aanname_implementatie[Digitale zorgtoepassing]),0)))</f>
        <v>0.50800000000000001</v>
      </c>
      <c r="I246" s="126" cm="1">
        <f t="array" ref="I246">INDEX(vertraging[[Vertraging 12 jaar]:[2034]],MATCH($F246,vertraging[Zoeksleutel],0),I$134-INDEX(aanname_implementatie[Totaal vertraging],MATCH($B246,IF(aanname_implementatie[Doelgroep]=$C246,aanname_implementatie[Digitale zorgtoepassing]),0)))</f>
        <v>0.61781439999999999</v>
      </c>
      <c r="J246" s="126" cm="1">
        <f t="array" ref="J246">INDEX(vertraging[[Vertraging 12 jaar]:[2034]],MATCH($F246,vertraging[Zoeksleutel],0),J$134-INDEX(aanname_implementatie[Totaal vertraging],MATCH($B246,IF(aanname_implementatie[Doelgroep]=$C246,aanname_implementatie[Digitale zorgtoepassing]),0)))</f>
        <v>0.71990601886105599</v>
      </c>
      <c r="K246" s="126" cm="1">
        <f t="array" ref="K246">INDEX(vertraging[[Vertraging 12 jaar]:[2034]],MATCH($F246,vertraging[Zoeksleutel],0),K$134-INDEX(aanname_implementatie[Totaal vertraging],MATCH($B246,IF(aanname_implementatie[Doelgroep]=$C246,aanname_implementatie[Digitale zorgtoepassing]),0)))</f>
        <v>0.80616443563130724</v>
      </c>
      <c r="L246" s="126" cm="1">
        <f t="array" ref="L246">INDEX(vertraging[[Vertraging 12 jaar]:[2034]],MATCH($F246,vertraging[Zoeksleutel],0),L$134-INDEX(aanname_implementatie[Totaal vertraging],MATCH($B246,IF(aanname_implementatie[Doelgroep]=$C246,aanname_implementatie[Digitale zorgtoepassing]),0)))</f>
        <v>0.87254648226050635</v>
      </c>
      <c r="M246" s="126" cm="1">
        <f t="array" ref="M246">INDEX(vertraging[[Vertraging 12 jaar]:[2034]],MATCH($F246,vertraging[Zoeksleutel],0),M$134-INDEX(aanname_implementatie[Totaal vertraging],MATCH($B246,IF(aanname_implementatie[Doelgroep]=$C246,aanname_implementatie[Digitale zorgtoepassing]),0)))</f>
        <v>0.9195792000374251</v>
      </c>
      <c r="N246" s="126" cm="1">
        <f t="array" ref="N246">INDEX(vertraging[[Vertraging 12 jaar]:[2034]],MATCH($F246,vertraging[Zoeksleutel],0),N$134-INDEX(aanname_implementatie[Totaal vertraging],MATCH($B246,IF(aanname_implementatie[Doelgroep]=$C246,aanname_implementatie[Digitale zorgtoepassing]),0)))</f>
        <v>0.95076893399505846</v>
      </c>
      <c r="O246" s="126" cm="1">
        <f t="array" ref="O246">INDEX(vertraging[[Vertraging 12 jaar]:[2034]],MATCH($F246,vertraging[Zoeksleutel],0),O$134-INDEX(aanname_implementatie[Totaal vertraging],MATCH($B246,IF(aanname_implementatie[Doelgroep]=$C246,aanname_implementatie[Digitale zorgtoepassing]),0)))</f>
        <v>0.97047650257314066</v>
      </c>
      <c r="P246" s="126" cm="1">
        <f t="array" ref="P246">INDEX(vertraging[[Vertraging 12 jaar]:[2034]],MATCH($F246,vertraging[Zoeksleutel],0),P$134-INDEX(aanname_implementatie[Totaal vertraging],MATCH($B246,IF(aanname_implementatie[Doelgroep]=$C246,aanname_implementatie[Digitale zorgtoepassing]),0)))</f>
        <v>0.98252771673229611</v>
      </c>
      <c r="Q246" s="126" cm="1">
        <f t="array" ref="Q246">INDEX(vertraging[[Vertraging 12 jaar]:[2034]],MATCH($F246,vertraging[Zoeksleutel],0),Q$134-INDEX(aanname_implementatie[Totaal vertraging],MATCH($B246,IF(aanname_implementatie[Doelgroep]=$C246,aanname_implementatie[Digitale zorgtoepassing]),0)))</f>
        <v>0.98974396343169702</v>
      </c>
      <c r="R246" s="126" cm="1">
        <f t="array" ref="R246">INDEX(vertraging[[Vertraging 12 jaar]:[2034]],MATCH($F246,vertraging[Zoeksleutel],0),R$134-INDEX(aanname_implementatie[Totaal vertraging],MATCH($B246,IF(aanname_implementatie[Doelgroep]=$C246,aanname_implementatie[Digitale zorgtoepassing]),0)))</f>
        <v>0.99400942427594807</v>
      </c>
    </row>
    <row r="247" spans="1:18" x14ac:dyDescent="0.5">
      <c r="A247" s="30" t="str">
        <f>INDEX(Technologieën[Veld],MATCH(B247,Technologieën[Digitale zorgtoepassing],0))</f>
        <v>Sensoren - Behandeling</v>
      </c>
      <c r="B247" s="30" t="s">
        <v>88</v>
      </c>
      <c r="C247" s="30" t="s">
        <v>89</v>
      </c>
      <c r="D247" s="30" t="str" cm="1">
        <f t="array" ref="D247">INDEX(Berekening_patiëntaantal[Direct toepasbaar/extrapolatie/incidentie voor QALY],MATCH(B247,IF(Berekening_patiëntaantal[Doelgroep (zoeksleutel)]=C247,Berekening_patiëntaantal[Digitale zorgtoepassing]),0))</f>
        <v>Huidige toepassing</v>
      </c>
      <c r="E247" s="440" t="s">
        <v>813</v>
      </c>
      <c r="F247" s="30" t="str">
        <f>CONCATENATE(implementatie[[#This Row],[Zorgtechnologie]],"_",implementatie[[#This Row],[Doelgroep]],"_",implementatie[[#This Row],[Uitgangssituatie/effect beleid]])</f>
        <v>RT monitoring (glucosemeter)_Diabetes_Uitgangssituatie</v>
      </c>
      <c r="G247" s="126" cm="1">
        <f t="array" ref="G247">INDEX(vertraging[[Vertraging 12 jaar]:[2034]],MATCH($F247,vertraging[Zoeksleutel],0),G$134-INDEX(aanname_implementatie[Totaal vertraging],MATCH($B247,IF(aanname_implementatie[Doelgroep]=$C247,aanname_implementatie[Digitale zorgtoepassing]),0)))</f>
        <v>0.8</v>
      </c>
      <c r="H247" s="126" cm="1">
        <f t="array" ref="H247">INDEX(vertraging[[Vertraging 12 jaar]:[2034]],MATCH($F247,vertraging[Zoeksleutel],0),H$134-INDEX(aanname_implementatie[Totaal vertraging],MATCH($B247,IF(aanname_implementatie[Doelgroep]=$C247,aanname_implementatie[Digitale zorgtoepassing]),0)))</f>
        <v>0.877</v>
      </c>
      <c r="I247" s="126" cm="1">
        <f t="array" ref="I247">INDEX(vertraging[[Vertraging 12 jaar]:[2034]],MATCH($F247,vertraging[Zoeksleutel],0),I$134-INDEX(aanname_implementatie[Totaal vertraging],MATCH($B247,IF(aanname_implementatie[Doelgroep]=$C247,aanname_implementatie[Digitale zorgtoepassing]),0)))</f>
        <v>0.92861695000000011</v>
      </c>
      <c r="J247" s="126" cm="1">
        <f t="array" ref="J247">INDEX(vertraging[[Vertraging 12 jaar]:[2034]],MATCH($F247,vertraging[Zoeksleutel],0),J$134-INDEX(aanname_implementatie[Totaal vertraging],MATCH($B247,IF(aanname_implementatie[Doelgroep]=$C247,aanname_implementatie[Digitale zorgtoepassing]),0)))</f>
        <v>0.96023090582771387</v>
      </c>
      <c r="K247" s="126" cm="1">
        <f t="array" ref="K247">INDEX(vertraging[[Vertraging 12 jaar]:[2034]],MATCH($F247,vertraging[Zoeksleutel],0),K$134-INDEX(aanname_implementatie[Totaal vertraging],MATCH($B247,IF(aanname_implementatie[Doelgroep]=$C247,aanname_implementatie[Digitale zorgtoepassing]),0)))</f>
        <v>0.97840951417647182</v>
      </c>
      <c r="L247" s="126" cm="1">
        <f t="array" ref="L247">INDEX(vertraging[[Vertraging 12 jaar]:[2034]],MATCH($F247,vertraging[Zoeksleutel],0),L$134-INDEX(aanname_implementatie[Totaal vertraging],MATCH($B247,IF(aanname_implementatie[Doelgroep]=$C247,aanname_implementatie[Digitale zorgtoepassing]),0)))</f>
        <v>0.9884552278575045</v>
      </c>
      <c r="M247" s="126" cm="1">
        <f t="array" ref="M247">INDEX(vertraging[[Vertraging 12 jaar]:[2034]],MATCH($F247,vertraging[Zoeksleutel],0),M$134-INDEX(aanname_implementatie[Totaal vertraging],MATCH($B247,IF(aanname_implementatie[Doelgroep]=$C247,aanname_implementatie[Digitale zorgtoepassing]),0)))</f>
        <v>0.99387901783146992</v>
      </c>
      <c r="N247" s="126" cm="1">
        <f t="array" ref="N247">INDEX(vertraging[[Vertraging 12 jaar]:[2034]],MATCH($F247,vertraging[Zoeksleutel],0),N$134-INDEX(aanname_implementatie[Totaal vertraging],MATCH($B247,IF(aanname_implementatie[Doelgroep]=$C247,aanname_implementatie[Digitale zorgtoepassing]),0)))</f>
        <v>0.99676962447130335</v>
      </c>
      <c r="O247" s="126" cm="1">
        <f t="array" ref="O247">INDEX(vertraging[[Vertraging 12 jaar]:[2034]],MATCH($F247,vertraging[Zoeksleutel],0),O$134-INDEX(aanname_implementatie[Totaal vertraging],MATCH($B247,IF(aanname_implementatie[Doelgroep]=$C247,aanname_implementatie[Digitale zorgtoepassing]),0)))</f>
        <v>0.99829935695070882</v>
      </c>
      <c r="P247" s="126" cm="1">
        <f t="array" ref="P247">INDEX(vertraging[[Vertraging 12 jaar]:[2034]],MATCH($F247,vertraging[Zoeksleutel],0),P$134-INDEX(aanname_implementatie[Totaal vertraging],MATCH($B247,IF(aanname_implementatie[Doelgroep]=$C247,aanname_implementatie[Digitale zorgtoepassing]),0)))</f>
        <v>0.9991058609150707</v>
      </c>
      <c r="Q247" s="126" cm="1">
        <f t="array" ref="Q247">INDEX(vertraging[[Vertraging 12 jaar]:[2034]],MATCH($F247,vertraging[Zoeksleutel],0),Q$134-INDEX(aanname_implementatie[Totaal vertraging],MATCH($B247,IF(aanname_implementatie[Doelgroep]=$C247,aanname_implementatie[Digitale zorgtoepassing]),0)))</f>
        <v>0.99953021721229562</v>
      </c>
      <c r="R247" s="126" cm="1">
        <f t="array" ref="R247">INDEX(vertraging[[Vertraging 12 jaar]:[2034]],MATCH($F247,vertraging[Zoeksleutel],0),R$134-INDEX(aanname_implementatie[Totaal vertraging],MATCH($B247,IF(aanname_implementatie[Doelgroep]=$C247,aanname_implementatie[Digitale zorgtoepassing]),0)))</f>
        <v>0.99975326472331483</v>
      </c>
    </row>
    <row r="248" spans="1:18" x14ac:dyDescent="0.5">
      <c r="A248" s="30" t="str">
        <f>INDEX(Technologieën[Veld],MATCH(B248,Technologieën[Digitale zorgtoepassing],0))</f>
        <v>Sensoren - Behandeling</v>
      </c>
      <c r="B248" s="30" t="s">
        <v>88</v>
      </c>
      <c r="C248" s="30" t="s">
        <v>91</v>
      </c>
      <c r="D248" s="30" t="str" cm="1">
        <f t="array" ref="D248">INDEX(Berekening_patiëntaantal[Direct toepasbaar/extrapolatie/incidentie voor QALY],MATCH(B248,IF(Berekening_patiëntaantal[Doelgroep (zoeksleutel)]=C248,Berekening_patiëntaantal[Digitale zorgtoepassing]),0))</f>
        <v>Huidige toepassing</v>
      </c>
      <c r="E248" s="440" t="s">
        <v>813</v>
      </c>
      <c r="F248" s="30" t="str">
        <f>CONCATENATE(implementatie[[#This Row],[Zorgtechnologie]],"_",implementatie[[#This Row],[Doelgroep]],"_",implementatie[[#This Row],[Uitgangssituatie/effect beleid]])</f>
        <v>RT monitoring (glucosemeter)_Diabetes_thuiszorg_Uitgangssituatie</v>
      </c>
      <c r="G248" s="126" cm="1">
        <f t="array" ref="G248">INDEX(vertraging[[Vertraging 12 jaar]:[2034]],MATCH($F248,vertraging[Zoeksleutel],0),G$134-INDEX(aanname_implementatie[Totaal vertraging],MATCH($B248,IF(aanname_implementatie[Doelgroep]=$C248,aanname_implementatie[Digitale zorgtoepassing]),0)))</f>
        <v>0.6</v>
      </c>
      <c r="H248" s="126" cm="1">
        <f t="array" ref="H248">INDEX(vertraging[[Vertraging 12 jaar]:[2034]],MATCH($F248,vertraging[Zoeksleutel],0),H$134-INDEX(aanname_implementatie[Totaal vertraging],MATCH($B248,IF(aanname_implementatie[Doelgroep]=$C248,aanname_implementatie[Digitale zorgtoepassing]),0)))</f>
        <v>0.71799999999999997</v>
      </c>
      <c r="I248" s="126" cm="1">
        <f t="array" ref="I248">INDEX(vertraging[[Vertraging 12 jaar]:[2034]],MATCH($F248,vertraging[Zoeksleutel],0),I$134-INDEX(aanname_implementatie[Totaal vertraging],MATCH($B248,IF(aanname_implementatie[Doelgroep]=$C248,aanname_implementatie[Digitale zorgtoepassing]),0)))</f>
        <v>0.81616420000000001</v>
      </c>
      <c r="J248" s="126" cm="1">
        <f t="array" ref="J248">INDEX(vertraging[[Vertraging 12 jaar]:[2034]],MATCH($F248,vertraging[Zoeksleutel],0),J$134-INDEX(aanname_implementatie[Totaal vertraging],MATCH($B248,IF(aanname_implementatie[Doelgroep]=$C248,aanname_implementatie[Digitale zorgtoepassing]),0)))</f>
        <v>0.88827818438726203</v>
      </c>
      <c r="K248" s="126" cm="1">
        <f t="array" ref="K248">INDEX(vertraging[[Vertraging 12 jaar]:[2034]],MATCH($F248,vertraging[Zoeksleutel],0),K$134-INDEX(aanname_implementatie[Totaal vertraging],MATCH($B248,IF(aanname_implementatie[Doelgroep]=$C248,aanname_implementatie[Digitale zorgtoepassing]),0)))</f>
        <v>0.93572925296559961</v>
      </c>
      <c r="L248" s="126" cm="1">
        <f t="array" ref="L248">INDEX(vertraging[[Vertraging 12 jaar]:[2034]],MATCH($F248,vertraging[Zoeksleutel],0),L$134-INDEX(aanname_implementatie[Totaal vertraging],MATCH($B248,IF(aanname_implementatie[Doelgroep]=$C248,aanname_implementatie[Digitale zorgtoepassing]),0)))</f>
        <v>0.9643990297909778</v>
      </c>
      <c r="M248" s="126" cm="1">
        <f t="array" ref="M248">INDEX(vertraging[[Vertraging 12 jaar]:[2034]],MATCH($F248,vertraging[Zoeksleutel],0),M$134-INDEX(aanname_implementatie[Totaal vertraging],MATCH($B248,IF(aanname_implementatie[Doelgroep]=$C248,aanname_implementatie[Digitale zorgtoepassing]),0)))</f>
        <v>0.98073914755434266</v>
      </c>
      <c r="N248" s="126" cm="1">
        <f t="array" ref="N248">INDEX(vertraging[[Vertraging 12 jaar]:[2034]],MATCH($F248,vertraging[Zoeksleutel],0),N$134-INDEX(aanname_implementatie[Totaal vertraging],MATCH($B248,IF(aanname_implementatie[Doelgroep]=$C248,aanname_implementatie[Digitale zorgtoepassing]),0)))</f>
        <v>0.98972111126940987</v>
      </c>
      <c r="O248" s="126" cm="1">
        <f t="array" ref="O248">INDEX(vertraging[[Vertraging 12 jaar]:[2034]],MATCH($F248,vertraging[Zoeksleutel],0),O$134-INDEX(aanname_implementatie[Totaal vertraging],MATCH($B248,IF(aanname_implementatie[Doelgroep]=$C248,aanname_implementatie[Digitale zorgtoepassing]),0)))</f>
        <v>0.99455603841734896</v>
      </c>
      <c r="P248" s="126" cm="1">
        <f t="array" ref="P248">INDEX(vertraging[[Vertraging 12 jaar]:[2034]],MATCH($F248,vertraging[Zoeksleutel],0),P$134-INDEX(aanname_implementatie[Totaal vertraging],MATCH($B248,IF(aanname_implementatie[Doelgroep]=$C248,aanname_implementatie[Digitale zorgtoepassing]),0)))</f>
        <v>0.9971285836461371</v>
      </c>
      <c r="Q248" s="126" cm="1">
        <f t="array" ref="Q248">INDEX(vertraging[[Vertraging 12 jaar]:[2034]],MATCH($F248,vertraging[Zoeksleutel],0),Q$134-INDEX(aanname_implementatie[Totaal vertraging],MATCH($B248,IF(aanname_implementatie[Doelgroep]=$C248,aanname_implementatie[Digitale zorgtoepassing]),0)))</f>
        <v>0.99848879614987718</v>
      </c>
      <c r="R248" s="126" cm="1">
        <f t="array" ref="R248">INDEX(vertraging[[Vertraging 12 jaar]:[2034]],MATCH($F248,vertraging[Zoeksleutel],0),R$134-INDEX(aanname_implementatie[Totaal vertraging],MATCH($B248,IF(aanname_implementatie[Doelgroep]=$C248,aanname_implementatie[Digitale zorgtoepassing]),0)))</f>
        <v>0.99920559029700107</v>
      </c>
    </row>
    <row r="249" spans="1:18" x14ac:dyDescent="0.5">
      <c r="A249" s="30" t="str">
        <f>INDEX(Technologieën[Veld],MATCH(B249,Technologieën[Digitale zorgtoepassing],0))</f>
        <v>Sensoren - Verpleging</v>
      </c>
      <c r="B249" s="30" t="s">
        <v>42</v>
      </c>
      <c r="C249" s="30" t="s">
        <v>348</v>
      </c>
      <c r="D249" s="30" t="str" cm="1">
        <f t="array" ref="D249">INDEX(Berekening_patiëntaantal[Direct toepasbaar/extrapolatie/incidentie voor QALY],MATCH(B249,IF(Berekening_patiëntaantal[Doelgroep (zoeksleutel)]=C249,Berekening_patiëntaantal[Digitale zorgtoepassing]),0))</f>
        <v>Huidige toepassing</v>
      </c>
      <c r="E249" s="440" t="s">
        <v>813</v>
      </c>
      <c r="F249" s="30" t="str">
        <f>CONCATENATE(implementatie[[#This Row],[Zorgtechnologie]],"_",implementatie[[#This Row],[Doelgroep]],"_",implementatie[[#This Row],[Uitgangssituatie/effect beleid]])</f>
        <v>Slim incontinentiemateriaal_Urine incontinent_Uitgangssituatie</v>
      </c>
      <c r="G249" s="126" cm="1">
        <f t="array" ref="G249">INDEX(vertraging[[Vertraging 12 jaar]:[2034]],MATCH($F249,vertraging[Zoeksleutel],0),G$134-INDEX(aanname_implementatie[Totaal vertraging],MATCH($B249,IF(aanname_implementatie[Doelgroep]=$C249,aanname_implementatie[Digitale zorgtoepassing]),0)))</f>
        <v>0.4</v>
      </c>
      <c r="H249" s="126" cm="1">
        <f t="array" ref="H249">INDEX(vertraging[[Vertraging 12 jaar]:[2034]],MATCH($F249,vertraging[Zoeksleutel],0),H$134-INDEX(aanname_implementatie[Totaal vertraging],MATCH($B249,IF(aanname_implementatie[Doelgroep]=$C249,aanname_implementatie[Digitale zorgtoepassing]),0)))</f>
        <v>0.52300000000000002</v>
      </c>
      <c r="I249" s="126" cm="1">
        <f t="array" ref="I249">INDEX(vertraging[[Vertraging 12 jaar]:[2034]],MATCH($F249,vertraging[Zoeksleutel],0),I$134-INDEX(aanname_implementatie[Totaal vertraging],MATCH($B249,IF(aanname_implementatie[Doelgroep]=$C249,aanname_implementatie[Digitale zorgtoepassing]),0)))</f>
        <v>0.64718695000000004</v>
      </c>
      <c r="J249" s="126" cm="1">
        <f t="array" ref="J249">INDEX(vertraging[[Vertraging 12 jaar]:[2034]],MATCH($F249,vertraging[Zoeksleutel],0),J$134-INDEX(aanname_implementatie[Totaal vertraging],MATCH($B249,IF(aanname_implementatie[Doelgroep]=$C249,aanname_implementatie[Digitale zorgtoepassing]),0)))</f>
        <v>0.75875847703736388</v>
      </c>
      <c r="K249" s="126" cm="1">
        <f t="array" ref="K249">INDEX(vertraging[[Vertraging 12 jaar]:[2034]],MATCH($F249,vertraging[Zoeksleutel],0),K$134-INDEX(aanname_implementatie[Totaal vertraging],MATCH($B249,IF(aanname_implementatie[Doelgroep]=$C249,aanname_implementatie[Digitale zorgtoepassing]),0)))</f>
        <v>0.84715933786401665</v>
      </c>
      <c r="L249" s="126" cm="1">
        <f t="array" ref="L249">INDEX(vertraging[[Vertraging 12 jaar]:[2034]],MATCH($F249,vertraging[Zoeksleutel],0),L$134-INDEX(aanname_implementatie[Totaal vertraging],MATCH($B249,IF(aanname_implementatie[Doelgroep]=$C249,aanname_implementatie[Digitale zorgtoepassing]),0)))</f>
        <v>0.90924653177763415</v>
      </c>
      <c r="M249" s="126" cm="1">
        <f t="array" ref="M249">INDEX(vertraging[[Vertraging 12 jaar]:[2034]],MATCH($F249,vertraging[Zoeksleutel],0),M$134-INDEX(aanname_implementatie[Totaal vertraging],MATCH($B249,IF(aanname_implementatie[Doelgroep]=$C249,aanname_implementatie[Digitale zorgtoepassing]),0)))</f>
        <v>0.94864814278578335</v>
      </c>
      <c r="N249" s="126" cm="1">
        <f t="array" ref="N249">INDEX(vertraging[[Vertraging 12 jaar]:[2034]],MATCH($F249,vertraging[Zoeksleutel],0),N$134-INDEX(aanname_implementatie[Totaal vertraging],MATCH($B249,IF(aanname_implementatie[Doelgroep]=$C249,aanname_implementatie[Digitale zorgtoepassing]),0)))</f>
        <v>0.97185361900482903</v>
      </c>
      <c r="O249" s="126" cm="1">
        <f t="array" ref="O249">INDEX(vertraging[[Vertraging 12 jaar]:[2034]],MATCH($F249,vertraging[Zoeksleutel],0),O$134-INDEX(aanname_implementatie[Totaal vertraging],MATCH($B249,IF(aanname_implementatie[Doelgroep]=$C249,aanname_implementatie[Digitale zorgtoepassing]),0)))</f>
        <v>0.98486665153412889</v>
      </c>
      <c r="P249" s="126" cm="1">
        <f t="array" ref="P249">INDEX(vertraging[[Vertraging 12 jaar]:[2034]],MATCH($F249,vertraging[Zoeksleutel],0),P$134-INDEX(aanname_implementatie[Totaal vertraging],MATCH($B249,IF(aanname_implementatie[Doelgroep]=$C249,aanname_implementatie[Digitale zorgtoepassing]),0)))</f>
        <v>0.99195193384931235</v>
      </c>
      <c r="Q249" s="126" cm="1">
        <f t="array" ref="Q249">INDEX(vertraging[[Vertraging 12 jaar]:[2034]],MATCH($F249,vertraging[Zoeksleutel],0),Q$134-INDEX(aanname_implementatie[Totaal vertraging],MATCH($B249,IF(aanname_implementatie[Doelgroep]=$C249,aanname_implementatie[Digitale zorgtoepassing]),0)))</f>
        <v>0.99574561815494433</v>
      </c>
      <c r="R249" s="126" cm="1">
        <f t="array" ref="R249">INDEX(vertraging[[Vertraging 12 jaar]:[2034]],MATCH($F249,vertraging[Zoeksleutel],0),R$134-INDEX(aanname_implementatie[Totaal vertraging],MATCH($B249,IF(aanname_implementatie[Doelgroep]=$C249,aanname_implementatie[Digitale zorgtoepassing]),0)))</f>
        <v>0.99775830463714821</v>
      </c>
    </row>
    <row r="250" spans="1:18" x14ac:dyDescent="0.5">
      <c r="A250" s="30" t="str">
        <f>INDEX(Technologieën[Veld],MATCH(B250,Technologieën[Digitale zorgtoepassing],0))</f>
        <v>Sensoren - Verpleging</v>
      </c>
      <c r="B250" s="30" t="s">
        <v>42</v>
      </c>
      <c r="C250" s="30" t="s">
        <v>44</v>
      </c>
      <c r="D250" s="30" t="str" cm="1">
        <f t="array" ref="D250">INDEX(Berekening_patiëntaantal[Direct toepasbaar/extrapolatie/incidentie voor QALY],MATCH(B250,IF(Berekening_patiëntaantal[Doelgroep (zoeksleutel)]=C250,Berekening_patiëntaantal[Digitale zorgtoepassing]),0))</f>
        <v>Extrapolatie</v>
      </c>
      <c r="E250" s="440" t="s">
        <v>813</v>
      </c>
      <c r="F250" s="30" t="str">
        <f>CONCATENATE(implementatie[[#This Row],[Zorgtechnologie]],"_",implementatie[[#This Row],[Doelgroep]],"_",implementatie[[#This Row],[Uitgangssituatie/effect beleid]])</f>
        <v>Slim incontinentiemateriaal_Verstandelijk gehandicapten_Uitgangssituatie</v>
      </c>
      <c r="G250" s="126" cm="1">
        <f t="array" ref="G250">INDEX(vertraging[[Vertraging 12 jaar]:[2034]],MATCH($F250,vertraging[Zoeksleutel],0),G$134-INDEX(aanname_implementatie[Totaal vertraging],MATCH($B250,IF(aanname_implementatie[Doelgroep]=$C250,aanname_implementatie[Digitale zorgtoepassing]),0)))</f>
        <v>0</v>
      </c>
      <c r="H250" s="126" cm="1">
        <f t="array" ref="H250">INDEX(vertraging[[Vertraging 12 jaar]:[2034]],MATCH($F250,vertraging[Zoeksleutel],0),H$134-INDEX(aanname_implementatie[Totaal vertraging],MATCH($B250,IF(aanname_implementatie[Doelgroep]=$C250,aanname_implementatie[Digitale zorgtoepassing]),0)))</f>
        <v>0</v>
      </c>
      <c r="I250" s="126" cm="1">
        <f t="array" ref="I250">INDEX(vertraging[[Vertraging 12 jaar]:[2034]],MATCH($F250,vertraging[Zoeksleutel],0),I$134-INDEX(aanname_implementatie[Totaal vertraging],MATCH($B250,IF(aanname_implementatie[Doelgroep]=$C250,aanname_implementatie[Digitale zorgtoepassing]),0)))</f>
        <v>2.5000000000000001E-2</v>
      </c>
      <c r="J250" s="126" cm="1">
        <f t="array" ref="J250">INDEX(vertraging[[Vertraging 12 jaar]:[2034]],MATCH($F250,vertraging[Zoeksleutel],0),J$134-INDEX(aanname_implementatie[Totaal vertraging],MATCH($B250,IF(aanname_implementatie[Doelgroep]=$C250,aanname_implementatie[Digitale zorgtoepassing]),0)))</f>
        <v>6.0343750000000002E-2</v>
      </c>
      <c r="K250" s="126" cm="1">
        <f t="array" ref="K250">INDEX(vertraging[[Vertraging 12 jaar]:[2034]],MATCH($F250,vertraging[Zoeksleutel],0),K$134-INDEX(aanname_implementatie[Totaal vertraging],MATCH($B250,IF(aanname_implementatie[Doelgroep]=$C250,aanname_implementatie[Digitale zorgtoepassing]),0)))</f>
        <v>0.10935122807617187</v>
      </c>
      <c r="L250" s="126" cm="1">
        <f t="array" ref="L250">INDEX(vertraging[[Vertraging 12 jaar]:[2034]],MATCH($F250,vertraging[Zoeksleutel],0),L$134-INDEX(aanname_implementatie[Totaal vertraging],MATCH($B250,IF(aanname_implementatie[Doelgroep]=$C250,aanname_implementatie[Digitale zorgtoepassing]),0)))</f>
        <v>0.17544453902174978</v>
      </c>
      <c r="M250" s="126" cm="1">
        <f t="array" ref="M250">INDEX(vertraging[[Vertraging 12 jaar]:[2034]],MATCH($F250,vertraging[Zoeksleutel],0),M$134-INDEX(aanname_implementatie[Totaal vertraging],MATCH($B250,IF(aanname_implementatie[Doelgroep]=$C250,aanname_implementatie[Digitale zorgtoepassing]),0)))</f>
        <v>0.26115711428334398</v>
      </c>
      <c r="N250" s="126" cm="1">
        <f t="array" ref="N250">INDEX(vertraging[[Vertraging 12 jaar]:[2034]],MATCH($F250,vertraging[Zoeksleutel],0),N$134-INDEX(aanname_implementatie[Totaal vertraging],MATCH($B250,IF(aanname_implementatie[Doelgroep]=$C250,aanname_implementatie[Digitale zorgtoepassing]),0)))</f>
        <v>0.36645752060040354</v>
      </c>
      <c r="O250" s="126" cm="1">
        <f t="array" ref="O250">INDEX(vertraging[[Vertraging 12 jaar]:[2034]],MATCH($F250,vertraging[Zoeksleutel],0),O$134-INDEX(aanname_implementatie[Totaal vertraging],MATCH($B250,IF(aanname_implementatie[Doelgroep]=$C250,aanname_implementatie[Digitale zorgtoepassing]),0)))</f>
        <v>0.48677096537350723</v>
      </c>
      <c r="P250" s="126" cm="1">
        <f t="array" ref="P250">INDEX(vertraging[[Vertraging 12 jaar]:[2034]],MATCH($F250,vertraging[Zoeksleutel],0),P$134-INDEX(aanname_implementatie[Totaal vertraging],MATCH($B250,IF(aanname_implementatie[Doelgroep]=$C250,aanname_implementatie[Digitale zorgtoepassing]),0)))</f>
        <v>0.61202293792845253</v>
      </c>
      <c r="Q250" s="126" cm="1">
        <f t="array" ref="Q250">INDEX(vertraging[[Vertraging 12 jaar]:[2034]],MATCH($F250,vertraging[Zoeksleutel],0),Q$134-INDEX(aanname_implementatie[Totaal vertraging],MATCH($B250,IF(aanname_implementatie[Doelgroep]=$C250,aanname_implementatie[Digitale zorgtoepassing]),0)))</f>
        <v>0.7285752521002864</v>
      </c>
      <c r="R250" s="126" cm="1">
        <f t="array" ref="R250">INDEX(vertraging[[Vertraging 12 jaar]:[2034]],MATCH($F250,vertraging[Zoeksleutel],0),R$134-INDEX(aanname_implementatie[Totaal vertraging],MATCH($B250,IF(aanname_implementatie[Doelgroep]=$C250,aanname_implementatie[Digitale zorgtoepassing]),0)))</f>
        <v>0.82434988015505994</v>
      </c>
    </row>
    <row r="251" spans="1:18" x14ac:dyDescent="0.5">
      <c r="A251" s="30" t="str">
        <f>INDEX(Technologieën[Veld],MATCH(B251,Technologieën[Digitale zorgtoepassing],0))</f>
        <v>Sensoren - Verpleging</v>
      </c>
      <c r="B251" s="30" t="s">
        <v>61</v>
      </c>
      <c r="C251" s="30" t="s">
        <v>62</v>
      </c>
      <c r="D251" s="30" t="str" cm="1">
        <f t="array" ref="D251">INDEX(Berekening_patiëntaantal[Direct toepasbaar/extrapolatie/incidentie voor QALY],MATCH(B251,IF(Berekening_patiëntaantal[Doelgroep (zoeksleutel)]=C251,Berekening_patiëntaantal[Digitale zorgtoepassing]),0))</f>
        <v>Huidige toepassing</v>
      </c>
      <c r="E251" s="440" t="s">
        <v>813</v>
      </c>
      <c r="F251" s="30" t="str">
        <f>CONCATENATE(implementatie[[#This Row],[Zorgtechnologie]],"_",implementatie[[#This Row],[Doelgroep]],"_",implementatie[[#This Row],[Uitgangssituatie/effect beleid]])</f>
        <v>Slimme bedsensoren_Bewoners verzorgingshuis_Uitgangssituatie</v>
      </c>
      <c r="G251" s="126" cm="1">
        <f t="array" ref="G251">INDEX(vertraging[[Vertraging 12 jaar]:[2034]],MATCH($F251,vertraging[Zoeksleutel],0),G$134-INDEX(aanname_implementatie[Totaal vertraging],MATCH($B251,IF(aanname_implementatie[Doelgroep]=$C251,aanname_implementatie[Digitale zorgtoepassing]),0)))</f>
        <v>0.4</v>
      </c>
      <c r="H251" s="126" cm="1">
        <f t="array" ref="H251">INDEX(vertraging[[Vertraging 12 jaar]:[2034]],MATCH($F251,vertraging[Zoeksleutel],0),H$134-INDEX(aanname_implementatie[Totaal vertraging],MATCH($B251,IF(aanname_implementatie[Doelgroep]=$C251,aanname_implementatie[Digitale zorgtoepassing]),0)))</f>
        <v>0.50800000000000001</v>
      </c>
      <c r="I251" s="126" cm="1">
        <f t="array" ref="I251">INDEX(vertraging[[Vertraging 12 jaar]:[2034]],MATCH($F251,vertraging[Zoeksleutel],0),I$134-INDEX(aanname_implementatie[Totaal vertraging],MATCH($B251,IF(aanname_implementatie[Doelgroep]=$C251,aanname_implementatie[Digitale zorgtoepassing]),0)))</f>
        <v>0.61781439999999999</v>
      </c>
      <c r="J251" s="126" cm="1">
        <f t="array" ref="J251">INDEX(vertraging[[Vertraging 12 jaar]:[2034]],MATCH($F251,vertraging[Zoeksleutel],0),J$134-INDEX(aanname_implementatie[Totaal vertraging],MATCH($B251,IF(aanname_implementatie[Doelgroep]=$C251,aanname_implementatie[Digitale zorgtoepassing]),0)))</f>
        <v>0.71990601886105599</v>
      </c>
      <c r="K251" s="126" cm="1">
        <f t="array" ref="K251">INDEX(vertraging[[Vertraging 12 jaar]:[2034]],MATCH($F251,vertraging[Zoeksleutel],0),K$134-INDEX(aanname_implementatie[Totaal vertraging],MATCH($B251,IF(aanname_implementatie[Doelgroep]=$C251,aanname_implementatie[Digitale zorgtoepassing]),0)))</f>
        <v>0.80616443563130724</v>
      </c>
      <c r="L251" s="126" cm="1">
        <f t="array" ref="L251">INDEX(vertraging[[Vertraging 12 jaar]:[2034]],MATCH($F251,vertraging[Zoeksleutel],0),L$134-INDEX(aanname_implementatie[Totaal vertraging],MATCH($B251,IF(aanname_implementatie[Doelgroep]=$C251,aanname_implementatie[Digitale zorgtoepassing]),0)))</f>
        <v>0.87254648226050635</v>
      </c>
      <c r="M251" s="126" cm="1">
        <f t="array" ref="M251">INDEX(vertraging[[Vertraging 12 jaar]:[2034]],MATCH($F251,vertraging[Zoeksleutel],0),M$134-INDEX(aanname_implementatie[Totaal vertraging],MATCH($B251,IF(aanname_implementatie[Doelgroep]=$C251,aanname_implementatie[Digitale zorgtoepassing]),0)))</f>
        <v>0.9195792000374251</v>
      </c>
      <c r="N251" s="126" cm="1">
        <f t="array" ref="N251">INDEX(vertraging[[Vertraging 12 jaar]:[2034]],MATCH($F251,vertraging[Zoeksleutel],0),N$134-INDEX(aanname_implementatie[Totaal vertraging],MATCH($B251,IF(aanname_implementatie[Doelgroep]=$C251,aanname_implementatie[Digitale zorgtoepassing]),0)))</f>
        <v>0.95076893399505846</v>
      </c>
      <c r="O251" s="126" cm="1">
        <f t="array" ref="O251">INDEX(vertraging[[Vertraging 12 jaar]:[2034]],MATCH($F251,vertraging[Zoeksleutel],0),O$134-INDEX(aanname_implementatie[Totaal vertraging],MATCH($B251,IF(aanname_implementatie[Doelgroep]=$C251,aanname_implementatie[Digitale zorgtoepassing]),0)))</f>
        <v>0.97047650257314066</v>
      </c>
      <c r="P251" s="126" cm="1">
        <f t="array" ref="P251">INDEX(vertraging[[Vertraging 12 jaar]:[2034]],MATCH($F251,vertraging[Zoeksleutel],0),P$134-INDEX(aanname_implementatie[Totaal vertraging],MATCH($B251,IF(aanname_implementatie[Doelgroep]=$C251,aanname_implementatie[Digitale zorgtoepassing]),0)))</f>
        <v>0.98252771673229611</v>
      </c>
      <c r="Q251" s="126" cm="1">
        <f t="array" ref="Q251">INDEX(vertraging[[Vertraging 12 jaar]:[2034]],MATCH($F251,vertraging[Zoeksleutel],0),Q$134-INDEX(aanname_implementatie[Totaal vertraging],MATCH($B251,IF(aanname_implementatie[Doelgroep]=$C251,aanname_implementatie[Digitale zorgtoepassing]),0)))</f>
        <v>0.98974396343169702</v>
      </c>
      <c r="R251" s="126" cm="1">
        <f t="array" ref="R251">INDEX(vertraging[[Vertraging 12 jaar]:[2034]],MATCH($F251,vertraging[Zoeksleutel],0),R$134-INDEX(aanname_implementatie[Totaal vertraging],MATCH($B251,IF(aanname_implementatie[Doelgroep]=$C251,aanname_implementatie[Digitale zorgtoepassing]),0)))</f>
        <v>0.99400942427594807</v>
      </c>
    </row>
    <row r="252" spans="1:18" x14ac:dyDescent="0.5">
      <c r="A252" s="30" t="str">
        <f>INDEX(Technologieën[Veld],MATCH(B252,Technologieën[Digitale zorgtoepassing],0))</f>
        <v>Sensoren - Verpleging</v>
      </c>
      <c r="B252" s="30" t="s">
        <v>61</v>
      </c>
      <c r="C252" s="30" t="s">
        <v>385</v>
      </c>
      <c r="D252" s="30" t="str" cm="1">
        <f t="array" ref="D252">INDEX(Berekening_patiëntaantal[Direct toepasbaar/extrapolatie/incidentie voor QALY],MATCH(B252,IF(Berekening_patiëntaantal[Doelgroep (zoeksleutel)]=C252,Berekening_patiëntaantal[Digitale zorgtoepassing]),0))</f>
        <v>Extrapolatie</v>
      </c>
      <c r="E252" s="440" t="s">
        <v>813</v>
      </c>
      <c r="F252" s="30" t="str">
        <f>CONCATENATE(implementatie[[#This Row],[Zorgtechnologie]],"_",implementatie[[#This Row],[Doelgroep]],"_",implementatie[[#This Row],[Uitgangssituatie/effect beleid]])</f>
        <v>Slimme bedsensoren_Epilepsie Kinderen_Uitgangssituatie</v>
      </c>
      <c r="G252" s="126" cm="1">
        <f t="array" ref="G252">INDEX(vertraging[[Vertraging 12 jaar]:[2034]],MATCH($F252,vertraging[Zoeksleutel],0),G$134-INDEX(aanname_implementatie[Totaal vertraging],MATCH($B252,IF(aanname_implementatie[Doelgroep]=$C252,aanname_implementatie[Digitale zorgtoepassing]),0)))</f>
        <v>0</v>
      </c>
      <c r="H252" s="126" cm="1">
        <f t="array" ref="H252">INDEX(vertraging[[Vertraging 12 jaar]:[2034]],MATCH($F252,vertraging[Zoeksleutel],0),H$134-INDEX(aanname_implementatie[Totaal vertraging],MATCH($B252,IF(aanname_implementatie[Doelgroep]=$C252,aanname_implementatie[Digitale zorgtoepassing]),0)))</f>
        <v>0</v>
      </c>
      <c r="I252" s="126" cm="1">
        <f t="array" ref="I252">INDEX(vertraging[[Vertraging 12 jaar]:[2034]],MATCH($F252,vertraging[Zoeksleutel],0),I$134-INDEX(aanname_implementatie[Totaal vertraging],MATCH($B252,IF(aanname_implementatie[Doelgroep]=$C252,aanname_implementatie[Digitale zorgtoepassing]),0)))</f>
        <v>0.02</v>
      </c>
      <c r="J252" s="126" cm="1">
        <f t="array" ref="J252">INDEX(vertraging[[Vertraging 12 jaar]:[2034]],MATCH($F252,vertraging[Zoeksleutel],0),J$134-INDEX(aanname_implementatie[Totaal vertraging],MATCH($B252,IF(aanname_implementatie[Doelgroep]=$C252,aanname_implementatie[Digitale zorgtoepassing]),0)))</f>
        <v>4.7439999999999996E-2</v>
      </c>
      <c r="K252" s="126" cm="1">
        <f t="array" ref="K252">INDEX(vertraging[[Vertraging 12 jaar]:[2034]],MATCH($F252,vertraging[Zoeksleutel],0),K$134-INDEX(aanname_implementatie[Totaal vertraging],MATCH($B252,IF(aanname_implementatie[Doelgroep]=$C252,aanname_implementatie[Digitale zorgtoepassing]),0)))</f>
        <v>8.4566978560000006E-2</v>
      </c>
      <c r="L252" s="126" cm="1">
        <f t="array" ref="L252">INDEX(vertraging[[Vertraging 12 jaar]:[2034]],MATCH($F252,vertraging[Zoeksleutel],0),L$134-INDEX(aanname_implementatie[Totaal vertraging],MATCH($B252,IF(aanname_implementatie[Doelgroep]=$C252,aanname_implementatie[Digitale zorgtoepassing]),0)))</f>
        <v>0.13384180086769301</v>
      </c>
      <c r="M252" s="126" cm="1">
        <f t="array" ref="M252">INDEX(vertraging[[Vertraging 12 jaar]:[2034]],MATCH($F252,vertraging[Zoeksleutel],0),M$134-INDEX(aanname_implementatie[Totaal vertraging],MATCH($B252,IF(aanname_implementatie[Doelgroep]=$C252,aanname_implementatie[Digitale zorgtoepassing]),0)))</f>
        <v>0.19753623413361349</v>
      </c>
      <c r="N252" s="126" cm="1">
        <f t="array" ref="N252">INDEX(vertraging[[Vertraging 12 jaar]:[2034]],MATCH($F252,vertraging[Zoeksleutel],0),N$134-INDEX(aanname_implementatie[Totaal vertraging],MATCH($B252,IF(aanname_implementatie[Doelgroep]=$C252,aanname_implementatie[Digitale zorgtoepassing]),0)))</f>
        <v>0.27699177758611071</v>
      </c>
      <c r="O252" s="126" cm="1">
        <f t="array" ref="O252">INDEX(vertraging[[Vertraging 12 jaar]:[2034]],MATCH($F252,vertraging[Zoeksleutel],0),O$134-INDEX(aanname_implementatie[Totaal vertraging],MATCH($B252,IF(aanname_implementatie[Doelgroep]=$C252,aanname_implementatie[Digitale zorgtoepassing]),0)))</f>
        <v>0.37155887512870744</v>
      </c>
      <c r="P252" s="126" cm="1">
        <f t="array" ref="P252">INDEX(vertraging[[Vertraging 12 jaar]:[2034]],MATCH($F252,vertraging[Zoeksleutel],0),P$134-INDEX(aanname_implementatie[Totaal vertraging],MATCH($B252,IF(aanname_implementatie[Doelgroep]=$C252,aanname_implementatie[Digitale zorgtoepassing]),0)))</f>
        <v>0.47752884860285211</v>
      </c>
      <c r="Q252" s="126" cm="1">
        <f t="array" ref="Q252">INDEX(vertraging[[Vertraging 12 jaar]:[2034]],MATCH($F252,vertraging[Zoeksleutel],0),Q$134-INDEX(aanname_implementatie[Totaal vertraging],MATCH($B252,IF(aanname_implementatie[Doelgroep]=$C252,aanname_implementatie[Digitale zorgtoepassing]),0)))</f>
        <v>0.5877762905727496</v>
      </c>
      <c r="R252" s="126" cm="1">
        <f t="array" ref="R252">INDEX(vertraging[[Vertraging 12 jaar]:[2034]],MATCH($F252,vertraging[Zoeksleutel],0),R$134-INDEX(aanname_implementatie[Totaal vertraging],MATCH($B252,IF(aanname_implementatie[Doelgroep]=$C252,aanname_implementatie[Digitale zorgtoepassing]),0)))</f>
        <v>0.6929388938866099</v>
      </c>
    </row>
    <row r="253" spans="1:18" x14ac:dyDescent="0.5">
      <c r="A253" s="30" t="str">
        <f>INDEX(Technologieën[Veld],MATCH(B253,Technologieën[Digitale zorgtoepassing],0))</f>
        <v>Sensoren - Behandeling</v>
      </c>
      <c r="B253" s="30" t="s">
        <v>53</v>
      </c>
      <c r="C253" s="30" t="s">
        <v>54</v>
      </c>
      <c r="D253" s="30" t="str" cm="1">
        <f t="array" ref="D253">INDEX(Berekening_patiëntaantal[Direct toepasbaar/extrapolatie/incidentie voor QALY],MATCH(B253,IF(Berekening_patiëntaantal[Doelgroep (zoeksleutel)]=C253,Berekening_patiëntaantal[Digitale zorgtoepassing]),0))</f>
        <v>Huidige toepassing</v>
      </c>
      <c r="E253" s="440" t="s">
        <v>813</v>
      </c>
      <c r="F253" s="30" t="str">
        <f>CONCATENATE(implementatie[[#This Row],[Zorgtechnologie]],"_",implementatie[[#This Row],[Doelgroep]],"_",implementatie[[#This Row],[Uitgangssituatie/effect beleid]])</f>
        <v>Slimme pleisters_Heup_Uitgangssituatie</v>
      </c>
      <c r="G253" s="126" cm="1">
        <f t="array" ref="G253">INDEX(vertraging[[Vertraging 12 jaar]:[2034]],MATCH($F253,vertraging[Zoeksleutel],0),G$134-INDEX(aanname_implementatie[Totaal vertraging],MATCH($B253,IF(aanname_implementatie[Doelgroep]=$C253,aanname_implementatie[Digitale zorgtoepassing]),0)))</f>
        <v>0.4</v>
      </c>
      <c r="H253" s="126" cm="1">
        <f t="array" ref="H253">INDEX(vertraging[[Vertraging 12 jaar]:[2034]],MATCH($F253,vertraging[Zoeksleutel],0),H$134-INDEX(aanname_implementatie[Totaal vertraging],MATCH($B253,IF(aanname_implementatie[Doelgroep]=$C253,aanname_implementatie[Digitale zorgtoepassing]),0)))</f>
        <v>0.50800000000000001</v>
      </c>
      <c r="I253" s="126" cm="1">
        <f t="array" ref="I253">INDEX(vertraging[[Vertraging 12 jaar]:[2034]],MATCH($F253,vertraging[Zoeksleutel],0),I$134-INDEX(aanname_implementatie[Totaal vertraging],MATCH($B253,IF(aanname_implementatie[Doelgroep]=$C253,aanname_implementatie[Digitale zorgtoepassing]),0)))</f>
        <v>0.61781439999999999</v>
      </c>
      <c r="J253" s="126" cm="1">
        <f t="array" ref="J253">INDEX(vertraging[[Vertraging 12 jaar]:[2034]],MATCH($F253,vertraging[Zoeksleutel],0),J$134-INDEX(aanname_implementatie[Totaal vertraging],MATCH($B253,IF(aanname_implementatie[Doelgroep]=$C253,aanname_implementatie[Digitale zorgtoepassing]),0)))</f>
        <v>0.71990601886105599</v>
      </c>
      <c r="K253" s="126" cm="1">
        <f t="array" ref="K253">INDEX(vertraging[[Vertraging 12 jaar]:[2034]],MATCH($F253,vertraging[Zoeksleutel],0),K$134-INDEX(aanname_implementatie[Totaal vertraging],MATCH($B253,IF(aanname_implementatie[Doelgroep]=$C253,aanname_implementatie[Digitale zorgtoepassing]),0)))</f>
        <v>0.80616443563130724</v>
      </c>
      <c r="L253" s="126" cm="1">
        <f t="array" ref="L253">INDEX(vertraging[[Vertraging 12 jaar]:[2034]],MATCH($F253,vertraging[Zoeksleutel],0),L$134-INDEX(aanname_implementatie[Totaal vertraging],MATCH($B253,IF(aanname_implementatie[Doelgroep]=$C253,aanname_implementatie[Digitale zorgtoepassing]),0)))</f>
        <v>0.87254648226050635</v>
      </c>
      <c r="M253" s="126" cm="1">
        <f t="array" ref="M253">INDEX(vertraging[[Vertraging 12 jaar]:[2034]],MATCH($F253,vertraging[Zoeksleutel],0),M$134-INDEX(aanname_implementatie[Totaal vertraging],MATCH($B253,IF(aanname_implementatie[Doelgroep]=$C253,aanname_implementatie[Digitale zorgtoepassing]),0)))</f>
        <v>0.9195792000374251</v>
      </c>
      <c r="N253" s="126" cm="1">
        <f t="array" ref="N253">INDEX(vertraging[[Vertraging 12 jaar]:[2034]],MATCH($F253,vertraging[Zoeksleutel],0),N$134-INDEX(aanname_implementatie[Totaal vertraging],MATCH($B253,IF(aanname_implementatie[Doelgroep]=$C253,aanname_implementatie[Digitale zorgtoepassing]),0)))</f>
        <v>0.95076893399505846</v>
      </c>
      <c r="O253" s="126" cm="1">
        <f t="array" ref="O253">INDEX(vertraging[[Vertraging 12 jaar]:[2034]],MATCH($F253,vertraging[Zoeksleutel],0),O$134-INDEX(aanname_implementatie[Totaal vertraging],MATCH($B253,IF(aanname_implementatie[Doelgroep]=$C253,aanname_implementatie[Digitale zorgtoepassing]),0)))</f>
        <v>0.97047650257314066</v>
      </c>
      <c r="P253" s="126" cm="1">
        <f t="array" ref="P253">INDEX(vertraging[[Vertraging 12 jaar]:[2034]],MATCH($F253,vertraging[Zoeksleutel],0),P$134-INDEX(aanname_implementatie[Totaal vertraging],MATCH($B253,IF(aanname_implementatie[Doelgroep]=$C253,aanname_implementatie[Digitale zorgtoepassing]),0)))</f>
        <v>0.98252771673229611</v>
      </c>
      <c r="Q253" s="126" cm="1">
        <f t="array" ref="Q253">INDEX(vertraging[[Vertraging 12 jaar]:[2034]],MATCH($F253,vertraging[Zoeksleutel],0),Q$134-INDEX(aanname_implementatie[Totaal vertraging],MATCH($B253,IF(aanname_implementatie[Doelgroep]=$C253,aanname_implementatie[Digitale zorgtoepassing]),0)))</f>
        <v>0.98974396343169702</v>
      </c>
      <c r="R253" s="126" cm="1">
        <f t="array" ref="R253">INDEX(vertraging[[Vertraging 12 jaar]:[2034]],MATCH($F253,vertraging[Zoeksleutel],0),R$134-INDEX(aanname_implementatie[Totaal vertraging],MATCH($B253,IF(aanname_implementatie[Doelgroep]=$C253,aanname_implementatie[Digitale zorgtoepassing]),0)))</f>
        <v>0.99400942427594807</v>
      </c>
    </row>
    <row r="254" spans="1:18" x14ac:dyDescent="0.5">
      <c r="A254" s="30" t="str">
        <f>INDEX(Technologieën[Veld],MATCH(B254,Technologieën[Digitale zorgtoepassing],0))</f>
        <v>Sensoren - Behandeling</v>
      </c>
      <c r="B254" s="30" t="s">
        <v>53</v>
      </c>
      <c r="C254" s="30" t="s">
        <v>55</v>
      </c>
      <c r="D254" s="30" t="str" cm="1">
        <f t="array" ref="D254">INDEX(Berekening_patiëntaantal[Direct toepasbaar/extrapolatie/incidentie voor QALY],MATCH(B254,IF(Berekening_patiëntaantal[Doelgroep (zoeksleutel)]=C254,Berekening_patiëntaantal[Digitale zorgtoepassing]),0))</f>
        <v>Huidige toepassing</v>
      </c>
      <c r="E254" s="440" t="s">
        <v>813</v>
      </c>
      <c r="F254" s="30" t="str">
        <f>CONCATENATE(implementatie[[#This Row],[Zorgtechnologie]],"_",implementatie[[#This Row],[Doelgroep]],"_",implementatie[[#This Row],[Uitgangssituatie/effect beleid]])</f>
        <v>Slimme pleisters_Knie_Uitgangssituatie</v>
      </c>
      <c r="G254" s="126" cm="1">
        <f t="array" ref="G254">INDEX(vertraging[[Vertraging 12 jaar]:[2034]],MATCH($F254,vertraging[Zoeksleutel],0),G$134-INDEX(aanname_implementatie[Totaal vertraging],MATCH($B254,IF(aanname_implementatie[Doelgroep]=$C254,aanname_implementatie[Digitale zorgtoepassing]),0)))</f>
        <v>0.4</v>
      </c>
      <c r="H254" s="126" cm="1">
        <f t="array" ref="H254">INDEX(vertraging[[Vertraging 12 jaar]:[2034]],MATCH($F254,vertraging[Zoeksleutel],0),H$134-INDEX(aanname_implementatie[Totaal vertraging],MATCH($B254,IF(aanname_implementatie[Doelgroep]=$C254,aanname_implementatie[Digitale zorgtoepassing]),0)))</f>
        <v>0.50800000000000001</v>
      </c>
      <c r="I254" s="126" cm="1">
        <f t="array" ref="I254">INDEX(vertraging[[Vertraging 12 jaar]:[2034]],MATCH($F254,vertraging[Zoeksleutel],0),I$134-INDEX(aanname_implementatie[Totaal vertraging],MATCH($B254,IF(aanname_implementatie[Doelgroep]=$C254,aanname_implementatie[Digitale zorgtoepassing]),0)))</f>
        <v>0.61781439999999999</v>
      </c>
      <c r="J254" s="126" cm="1">
        <f t="array" ref="J254">INDEX(vertraging[[Vertraging 12 jaar]:[2034]],MATCH($F254,vertraging[Zoeksleutel],0),J$134-INDEX(aanname_implementatie[Totaal vertraging],MATCH($B254,IF(aanname_implementatie[Doelgroep]=$C254,aanname_implementatie[Digitale zorgtoepassing]),0)))</f>
        <v>0.71990601886105599</v>
      </c>
      <c r="K254" s="126" cm="1">
        <f t="array" ref="K254">INDEX(vertraging[[Vertraging 12 jaar]:[2034]],MATCH($F254,vertraging[Zoeksleutel],0),K$134-INDEX(aanname_implementatie[Totaal vertraging],MATCH($B254,IF(aanname_implementatie[Doelgroep]=$C254,aanname_implementatie[Digitale zorgtoepassing]),0)))</f>
        <v>0.80616443563130724</v>
      </c>
      <c r="L254" s="126" cm="1">
        <f t="array" ref="L254">INDEX(vertraging[[Vertraging 12 jaar]:[2034]],MATCH($F254,vertraging[Zoeksleutel],0),L$134-INDEX(aanname_implementatie[Totaal vertraging],MATCH($B254,IF(aanname_implementatie[Doelgroep]=$C254,aanname_implementatie[Digitale zorgtoepassing]),0)))</f>
        <v>0.87254648226050635</v>
      </c>
      <c r="M254" s="126" cm="1">
        <f t="array" ref="M254">INDEX(vertraging[[Vertraging 12 jaar]:[2034]],MATCH($F254,vertraging[Zoeksleutel],0),M$134-INDEX(aanname_implementatie[Totaal vertraging],MATCH($B254,IF(aanname_implementatie[Doelgroep]=$C254,aanname_implementatie[Digitale zorgtoepassing]),0)))</f>
        <v>0.9195792000374251</v>
      </c>
      <c r="N254" s="126" cm="1">
        <f t="array" ref="N254">INDEX(vertraging[[Vertraging 12 jaar]:[2034]],MATCH($F254,vertraging[Zoeksleutel],0),N$134-INDEX(aanname_implementatie[Totaal vertraging],MATCH($B254,IF(aanname_implementatie[Doelgroep]=$C254,aanname_implementatie[Digitale zorgtoepassing]),0)))</f>
        <v>0.95076893399505846</v>
      </c>
      <c r="O254" s="126" cm="1">
        <f t="array" ref="O254">INDEX(vertraging[[Vertraging 12 jaar]:[2034]],MATCH($F254,vertraging[Zoeksleutel],0),O$134-INDEX(aanname_implementatie[Totaal vertraging],MATCH($B254,IF(aanname_implementatie[Doelgroep]=$C254,aanname_implementatie[Digitale zorgtoepassing]),0)))</f>
        <v>0.97047650257314066</v>
      </c>
      <c r="P254" s="126" cm="1">
        <f t="array" ref="P254">INDEX(vertraging[[Vertraging 12 jaar]:[2034]],MATCH($F254,vertraging[Zoeksleutel],0),P$134-INDEX(aanname_implementatie[Totaal vertraging],MATCH($B254,IF(aanname_implementatie[Doelgroep]=$C254,aanname_implementatie[Digitale zorgtoepassing]),0)))</f>
        <v>0.98252771673229611</v>
      </c>
      <c r="Q254" s="126" cm="1">
        <f t="array" ref="Q254">INDEX(vertraging[[Vertraging 12 jaar]:[2034]],MATCH($F254,vertraging[Zoeksleutel],0),Q$134-INDEX(aanname_implementatie[Totaal vertraging],MATCH($B254,IF(aanname_implementatie[Doelgroep]=$C254,aanname_implementatie[Digitale zorgtoepassing]),0)))</f>
        <v>0.98974396343169702</v>
      </c>
      <c r="R254" s="126" cm="1">
        <f t="array" ref="R254">INDEX(vertraging[[Vertraging 12 jaar]:[2034]],MATCH($F254,vertraging[Zoeksleutel],0),R$134-INDEX(aanname_implementatie[Totaal vertraging],MATCH($B254,IF(aanname_implementatie[Doelgroep]=$C254,aanname_implementatie[Digitale zorgtoepassing]),0)))</f>
        <v>0.99400942427594807</v>
      </c>
    </row>
    <row r="255" spans="1:18" x14ac:dyDescent="0.5">
      <c r="A255" s="30" t="str">
        <f>INDEX(Technologieën[Veld],MATCH(B255,Technologieën[Digitale zorgtoepassing],0))</f>
        <v>Sensoren - Behandeling</v>
      </c>
      <c r="B255" s="30" t="s">
        <v>53</v>
      </c>
      <c r="C255" s="30" t="s">
        <v>722</v>
      </c>
      <c r="D255" s="30" t="str" cm="1">
        <f t="array" ref="D255">INDEX(Berekening_patiëntaantal[Direct toepasbaar/extrapolatie/incidentie voor QALY],MATCH(B255,IF(Berekening_patiëntaantal[Doelgroep (zoeksleutel)]=C255,Berekening_patiëntaantal[Digitale zorgtoepassing]),0))</f>
        <v>Extrapolatie</v>
      </c>
      <c r="E255" s="440" t="s">
        <v>813</v>
      </c>
      <c r="F255" s="30" t="str">
        <f>CONCATENATE(implementatie[[#This Row],[Zorgtechnologie]],"_",implementatie[[#This Row],[Doelgroep]],"_",implementatie[[#This Row],[Uitgangssituatie/effect beleid]])</f>
        <v>Slimme pleisters_Overige_aandoeningen_Uitgangssituatie</v>
      </c>
      <c r="G255" s="126" cm="1">
        <f t="array" ref="G255">INDEX(vertraging[[Vertraging 12 jaar]:[2034]],MATCH($F255,vertraging[Zoeksleutel],0),G$134-INDEX(aanname_implementatie[Totaal vertraging],MATCH($B255,IF(aanname_implementatie[Doelgroep]=$C255,aanname_implementatie[Digitale zorgtoepassing]),0)))</f>
        <v>0</v>
      </c>
      <c r="H255" s="126" cm="1">
        <f t="array" ref="H255">INDEX(vertraging[[Vertraging 12 jaar]:[2034]],MATCH($F255,vertraging[Zoeksleutel],0),H$134-INDEX(aanname_implementatie[Totaal vertraging],MATCH($B255,IF(aanname_implementatie[Doelgroep]=$C255,aanname_implementatie[Digitale zorgtoepassing]),0)))</f>
        <v>0</v>
      </c>
      <c r="I255" s="126" cm="1">
        <f t="array" ref="I255">INDEX(vertraging[[Vertraging 12 jaar]:[2034]],MATCH($F255,vertraging[Zoeksleutel],0),I$134-INDEX(aanname_implementatie[Totaal vertraging],MATCH($B255,IF(aanname_implementatie[Doelgroep]=$C255,aanname_implementatie[Digitale zorgtoepassing]),0)))</f>
        <v>0</v>
      </c>
      <c r="J255" s="126" cm="1">
        <f t="array" ref="J255">INDEX(vertraging[[Vertraging 12 jaar]:[2034]],MATCH($F255,vertraging[Zoeksleutel],0),J$134-INDEX(aanname_implementatie[Totaal vertraging],MATCH($B255,IF(aanname_implementatie[Doelgroep]=$C255,aanname_implementatie[Digitale zorgtoepassing]),0)))</f>
        <v>0.02</v>
      </c>
      <c r="K255" s="126" cm="1">
        <f t="array" ref="K255">INDEX(vertraging[[Vertraging 12 jaar]:[2034]],MATCH($F255,vertraging[Zoeksleutel],0),K$134-INDEX(aanname_implementatie[Totaal vertraging],MATCH($B255,IF(aanname_implementatie[Doelgroep]=$C255,aanname_implementatie[Digitale zorgtoepassing]),0)))</f>
        <v>4.7439999999999996E-2</v>
      </c>
      <c r="L255" s="126" cm="1">
        <f t="array" ref="L255">INDEX(vertraging[[Vertraging 12 jaar]:[2034]],MATCH($F255,vertraging[Zoeksleutel],0),L$134-INDEX(aanname_implementatie[Totaal vertraging],MATCH($B255,IF(aanname_implementatie[Doelgroep]=$C255,aanname_implementatie[Digitale zorgtoepassing]),0)))</f>
        <v>8.4566978560000006E-2</v>
      </c>
      <c r="M255" s="126" cm="1">
        <f t="array" ref="M255">INDEX(vertraging[[Vertraging 12 jaar]:[2034]],MATCH($F255,vertraging[Zoeksleutel],0),M$134-INDEX(aanname_implementatie[Totaal vertraging],MATCH($B255,IF(aanname_implementatie[Doelgroep]=$C255,aanname_implementatie[Digitale zorgtoepassing]),0)))</f>
        <v>0.13384180086769301</v>
      </c>
      <c r="N255" s="126" cm="1">
        <f t="array" ref="N255">INDEX(vertraging[[Vertraging 12 jaar]:[2034]],MATCH($F255,vertraging[Zoeksleutel],0),N$134-INDEX(aanname_implementatie[Totaal vertraging],MATCH($B255,IF(aanname_implementatie[Doelgroep]=$C255,aanname_implementatie[Digitale zorgtoepassing]),0)))</f>
        <v>0.19753623413361349</v>
      </c>
      <c r="O255" s="126" cm="1">
        <f t="array" ref="O255">INDEX(vertraging[[Vertraging 12 jaar]:[2034]],MATCH($F255,vertraging[Zoeksleutel],0),O$134-INDEX(aanname_implementatie[Totaal vertraging],MATCH($B255,IF(aanname_implementatie[Doelgroep]=$C255,aanname_implementatie[Digitale zorgtoepassing]),0)))</f>
        <v>0.27699177758611071</v>
      </c>
      <c r="P255" s="126" cm="1">
        <f t="array" ref="P255">INDEX(vertraging[[Vertraging 12 jaar]:[2034]],MATCH($F255,vertraging[Zoeksleutel],0),P$134-INDEX(aanname_implementatie[Totaal vertraging],MATCH($B255,IF(aanname_implementatie[Doelgroep]=$C255,aanname_implementatie[Digitale zorgtoepassing]),0)))</f>
        <v>0.37155887512870744</v>
      </c>
      <c r="Q255" s="126" cm="1">
        <f t="array" ref="Q255">INDEX(vertraging[[Vertraging 12 jaar]:[2034]],MATCH($F255,vertraging[Zoeksleutel],0),Q$134-INDEX(aanname_implementatie[Totaal vertraging],MATCH($B255,IF(aanname_implementatie[Doelgroep]=$C255,aanname_implementatie[Digitale zorgtoepassing]),0)))</f>
        <v>0.47752884860285211</v>
      </c>
      <c r="R255" s="126" cm="1">
        <f t="array" ref="R255">INDEX(vertraging[[Vertraging 12 jaar]:[2034]],MATCH($F255,vertraging[Zoeksleutel],0),R$134-INDEX(aanname_implementatie[Totaal vertraging],MATCH($B255,IF(aanname_implementatie[Doelgroep]=$C255,aanname_implementatie[Digitale zorgtoepassing]),0)))</f>
        <v>0.5877762905727496</v>
      </c>
    </row>
    <row r="256" spans="1:18" x14ac:dyDescent="0.5">
      <c r="A256" s="30" t="str">
        <f>INDEX(Technologieën[Veld],MATCH(B256,Technologieën[Digitale zorgtoepassing],0))</f>
        <v>Software - Behandeling</v>
      </c>
      <c r="B256" s="30" t="s">
        <v>101</v>
      </c>
      <c r="C256" s="30" t="s">
        <v>83</v>
      </c>
      <c r="D256" s="30" t="str" cm="1">
        <f t="array" ref="D256">INDEX(Berekening_patiëntaantal[Direct toepasbaar/extrapolatie/incidentie voor QALY],MATCH(B256,IF(Berekening_patiëntaantal[Doelgroep (zoeksleutel)]=C256,Berekening_patiëntaantal[Digitale zorgtoepassing]),0))</f>
        <v>Huidige toepassing</v>
      </c>
      <c r="E256" s="440" t="s">
        <v>813</v>
      </c>
      <c r="F256" s="30" t="str">
        <f>CONCATENATE(implementatie[[#This Row],[Zorgtechnologie]],"_",implementatie[[#This Row],[Doelgroep]],"_",implementatie[[#This Row],[Uitgangssituatie/effect beleid]])</f>
        <v>Spraak automatisch vastleggen_Verpleeghuis_Uitgangssituatie</v>
      </c>
      <c r="G256" s="126" cm="1">
        <f t="array" ref="G256">INDEX(vertraging[[Vertraging 12 jaar]:[2034]],MATCH($F256,vertraging[Zoeksleutel],0),G$134-INDEX(aanname_implementatie[Totaal vertraging],MATCH($B256,IF(aanname_implementatie[Doelgroep]=$C256,aanname_implementatie[Digitale zorgtoepassing]),0)))</f>
        <v>0.2</v>
      </c>
      <c r="H256" s="126" cm="1">
        <f t="array" ref="H256">INDEX(vertraging[[Vertraging 12 jaar]:[2034]],MATCH($F256,vertraging[Zoeksleutel],0),H$134-INDEX(aanname_implementatie[Totaal vertraging],MATCH($B256,IF(aanname_implementatie[Doelgroep]=$C256,aanname_implementatie[Digitale zorgtoepassing]),0)))</f>
        <v>0.25600000000000001</v>
      </c>
      <c r="I256" s="126" cm="1">
        <f t="array" ref="I256">INDEX(vertraging[[Vertraging 12 jaar]:[2034]],MATCH($F256,vertraging[Zoeksleutel],0),I$134-INDEX(aanname_implementatie[Totaal vertraging],MATCH($B256,IF(aanname_implementatie[Doelgroep]=$C256,aanname_implementatie[Digitale zorgtoepassing]),0)))</f>
        <v>0.32057920000000001</v>
      </c>
      <c r="J256" s="126" cm="1">
        <f t="array" ref="J256">INDEX(vertraging[[Vertraging 12 jaar]:[2034]],MATCH($F256,vertraging[Zoeksleutel],0),J$134-INDEX(aanname_implementatie[Totaal vertraging],MATCH($B256,IF(aanname_implementatie[Doelgroep]=$C256,aanname_implementatie[Digitale zorgtoepassing]),0)))</f>
        <v>0.39271586095820804</v>
      </c>
      <c r="K256" s="126" cm="1">
        <f t="array" ref="K256">INDEX(vertraging[[Vertraging 12 jaar]:[2034]],MATCH($F256,vertraging[Zoeksleutel],0),K$134-INDEX(aanname_implementatie[Totaal vertraging],MATCH($B256,IF(aanname_implementatie[Doelgroep]=$C256,aanname_implementatie[Digitale zorgtoepassing]),0)))</f>
        <v>0.47033573640164439</v>
      </c>
      <c r="L256" s="126" cm="1">
        <f t="array" ref="L256">INDEX(vertraging[[Vertraging 12 jaar]:[2034]],MATCH($F256,vertraging[Zoeksleutel],0),L$134-INDEX(aanname_implementatie[Totaal vertraging],MATCH($B256,IF(aanname_implementatie[Doelgroep]=$C256,aanname_implementatie[Digitale zorgtoepassing]),0)))</f>
        <v>0.55036838847717817</v>
      </c>
      <c r="M256" s="126" cm="1">
        <f t="array" ref="M256">INDEX(vertraging[[Vertraging 12 jaar]:[2034]],MATCH($F256,vertraging[Zoeksleutel],0),M$134-INDEX(aanname_implementatie[Totaal vertraging],MATCH($B256,IF(aanname_implementatie[Doelgroep]=$C256,aanname_implementatie[Digitale zorgtoepassing]),0)))</f>
        <v>0.62910361222507005</v>
      </c>
      <c r="N256" s="126" cm="1">
        <f t="array" ref="N256">INDEX(vertraging[[Vertraging 12 jaar]:[2034]],MATCH($F256,vertraging[Zoeksleutel],0),N$134-INDEX(aanname_implementatie[Totaal vertraging],MATCH($B256,IF(aanname_implementatie[Doelgroep]=$C256,aanname_implementatie[Digitale zorgtoepassing]),0)))</f>
        <v>0.70281225329595098</v>
      </c>
      <c r="O256" s="126" cm="1">
        <f t="array" ref="O256">INDEX(vertraging[[Vertraging 12 jaar]:[2034]],MATCH($F256,vertraging[Zoeksleutel],0),O$134-INDEX(aanname_implementatie[Totaal vertraging],MATCH($B256,IF(aanname_implementatie[Doelgroep]=$C256,aanname_implementatie[Digitale zorgtoepassing]),0)))</f>
        <v>0.76844428773689721</v>
      </c>
      <c r="P256" s="126" cm="1">
        <f t="array" ref="P256">INDEX(vertraging[[Vertraging 12 jaar]:[2034]],MATCH($F256,vertraging[Zoeksleutel],0),P$134-INDEX(aanname_implementatie[Totaal vertraging],MATCH($B256,IF(aanname_implementatie[Doelgroep]=$C256,aanname_implementatie[Digitale zorgtoepassing]),0)))</f>
        <v>0.82414114417395723</v>
      </c>
      <c r="Q256" s="126" cm="1">
        <f t="array" ref="Q256">INDEX(vertraging[[Vertraging 12 jaar]:[2034]],MATCH($F256,vertraging[Zoeksleutel],0),Q$134-INDEX(aanname_implementatie[Totaal vertraging],MATCH($B256,IF(aanname_implementatie[Doelgroep]=$C256,aanname_implementatie[Digitale zorgtoepassing]),0)))</f>
        <v>0.86937948832829703</v>
      </c>
      <c r="R256" s="126" cm="1">
        <f t="array" ref="R256">INDEX(vertraging[[Vertraging 12 jaar]:[2034]],MATCH($F256,vertraging[Zoeksleutel],0),R$134-INDEX(aanname_implementatie[Totaal vertraging],MATCH($B256,IF(aanname_implementatie[Doelgroep]=$C256,aanname_implementatie[Digitale zorgtoepassing]),0)))</f>
        <v>0.90475333152571169</v>
      </c>
    </row>
    <row r="257" spans="1:18" x14ac:dyDescent="0.5">
      <c r="A257" s="30" t="str">
        <f>INDEX(Technologieën[Veld],MATCH(B257,Technologieën[Digitale zorgtoepassing],0))</f>
        <v>Software - Behandeling</v>
      </c>
      <c r="B257" s="30" t="s">
        <v>101</v>
      </c>
      <c r="C257" s="30" t="s">
        <v>84</v>
      </c>
      <c r="D257" s="30" t="str" cm="1">
        <f t="array" ref="D257">INDEX(Berekening_patiëntaantal[Direct toepasbaar/extrapolatie/incidentie voor QALY],MATCH(B257,IF(Berekening_patiëntaantal[Doelgroep (zoeksleutel)]=C257,Berekening_patiëntaantal[Digitale zorgtoepassing]),0))</f>
        <v>Huidige toepassing</v>
      </c>
      <c r="E257" s="440" t="s">
        <v>813</v>
      </c>
      <c r="F257" s="30" t="str">
        <f>CONCATENATE(implementatie[[#This Row],[Zorgtechnologie]],"_",implementatie[[#This Row],[Doelgroep]],"_",implementatie[[#This Row],[Uitgangssituatie/effect beleid]])</f>
        <v>Spraak automatisch vastleggen_Wijkverpleging_Uitgangssituatie</v>
      </c>
      <c r="G257" s="126" cm="1">
        <f t="array" ref="G257">INDEX(vertraging[[Vertraging 12 jaar]:[2034]],MATCH($F257,vertraging[Zoeksleutel],0),G$134-INDEX(aanname_implementatie[Totaal vertraging],MATCH($B257,IF(aanname_implementatie[Doelgroep]=$C257,aanname_implementatie[Digitale zorgtoepassing]),0)))</f>
        <v>0.2</v>
      </c>
      <c r="H257" s="126" cm="1">
        <f t="array" ref="H257">INDEX(vertraging[[Vertraging 12 jaar]:[2034]],MATCH($F257,vertraging[Zoeksleutel],0),H$134-INDEX(aanname_implementatie[Totaal vertraging],MATCH($B257,IF(aanname_implementatie[Doelgroep]=$C257,aanname_implementatie[Digitale zorgtoepassing]),0)))</f>
        <v>0.25600000000000001</v>
      </c>
      <c r="I257" s="126" cm="1">
        <f t="array" ref="I257">INDEX(vertraging[[Vertraging 12 jaar]:[2034]],MATCH($F257,vertraging[Zoeksleutel],0),I$134-INDEX(aanname_implementatie[Totaal vertraging],MATCH($B257,IF(aanname_implementatie[Doelgroep]=$C257,aanname_implementatie[Digitale zorgtoepassing]),0)))</f>
        <v>0.32057920000000001</v>
      </c>
      <c r="J257" s="126" cm="1">
        <f t="array" ref="J257">INDEX(vertraging[[Vertraging 12 jaar]:[2034]],MATCH($F257,vertraging[Zoeksleutel],0),J$134-INDEX(aanname_implementatie[Totaal vertraging],MATCH($B257,IF(aanname_implementatie[Doelgroep]=$C257,aanname_implementatie[Digitale zorgtoepassing]),0)))</f>
        <v>0.39271586095820804</v>
      </c>
      <c r="K257" s="126" cm="1">
        <f t="array" ref="K257">INDEX(vertraging[[Vertraging 12 jaar]:[2034]],MATCH($F257,vertraging[Zoeksleutel],0),K$134-INDEX(aanname_implementatie[Totaal vertraging],MATCH($B257,IF(aanname_implementatie[Doelgroep]=$C257,aanname_implementatie[Digitale zorgtoepassing]),0)))</f>
        <v>0.47033573640164439</v>
      </c>
      <c r="L257" s="126" cm="1">
        <f t="array" ref="L257">INDEX(vertraging[[Vertraging 12 jaar]:[2034]],MATCH($F257,vertraging[Zoeksleutel],0),L$134-INDEX(aanname_implementatie[Totaal vertraging],MATCH($B257,IF(aanname_implementatie[Doelgroep]=$C257,aanname_implementatie[Digitale zorgtoepassing]),0)))</f>
        <v>0.55036838847717817</v>
      </c>
      <c r="M257" s="126" cm="1">
        <f t="array" ref="M257">INDEX(vertraging[[Vertraging 12 jaar]:[2034]],MATCH($F257,vertraging[Zoeksleutel],0),M$134-INDEX(aanname_implementatie[Totaal vertraging],MATCH($B257,IF(aanname_implementatie[Doelgroep]=$C257,aanname_implementatie[Digitale zorgtoepassing]),0)))</f>
        <v>0.62910361222507005</v>
      </c>
      <c r="N257" s="126" cm="1">
        <f t="array" ref="N257">INDEX(vertraging[[Vertraging 12 jaar]:[2034]],MATCH($F257,vertraging[Zoeksleutel],0),N$134-INDEX(aanname_implementatie[Totaal vertraging],MATCH($B257,IF(aanname_implementatie[Doelgroep]=$C257,aanname_implementatie[Digitale zorgtoepassing]),0)))</f>
        <v>0.70281225329595098</v>
      </c>
      <c r="O257" s="126" cm="1">
        <f t="array" ref="O257">INDEX(vertraging[[Vertraging 12 jaar]:[2034]],MATCH($F257,vertraging[Zoeksleutel],0),O$134-INDEX(aanname_implementatie[Totaal vertraging],MATCH($B257,IF(aanname_implementatie[Doelgroep]=$C257,aanname_implementatie[Digitale zorgtoepassing]),0)))</f>
        <v>0.76844428773689721</v>
      </c>
      <c r="P257" s="126" cm="1">
        <f t="array" ref="P257">INDEX(vertraging[[Vertraging 12 jaar]:[2034]],MATCH($F257,vertraging[Zoeksleutel],0),P$134-INDEX(aanname_implementatie[Totaal vertraging],MATCH($B257,IF(aanname_implementatie[Doelgroep]=$C257,aanname_implementatie[Digitale zorgtoepassing]),0)))</f>
        <v>0.82414114417395723</v>
      </c>
      <c r="Q257" s="126" cm="1">
        <f t="array" ref="Q257">INDEX(vertraging[[Vertraging 12 jaar]:[2034]],MATCH($F257,vertraging[Zoeksleutel],0),Q$134-INDEX(aanname_implementatie[Totaal vertraging],MATCH($B257,IF(aanname_implementatie[Doelgroep]=$C257,aanname_implementatie[Digitale zorgtoepassing]),0)))</f>
        <v>0.86937948832829703</v>
      </c>
      <c r="R257" s="126" cm="1">
        <f t="array" ref="R257">INDEX(vertraging[[Vertraging 12 jaar]:[2034]],MATCH($F257,vertraging[Zoeksleutel],0),R$134-INDEX(aanname_implementatie[Totaal vertraging],MATCH($B257,IF(aanname_implementatie[Doelgroep]=$C257,aanname_implementatie[Digitale zorgtoepassing]),0)))</f>
        <v>0.90475333152571169</v>
      </c>
    </row>
    <row r="258" spans="1:18" x14ac:dyDescent="0.5">
      <c r="A258" s="30" t="str">
        <f>INDEX(Technologieën[Veld],MATCH(B258,Technologieën[Digitale zorgtoepassing],0))</f>
        <v>Digitale hulpmiddelen - Verpleging</v>
      </c>
      <c r="B258" s="30" t="s">
        <v>48</v>
      </c>
      <c r="C258" s="30" t="s">
        <v>49</v>
      </c>
      <c r="D258" s="30" t="str" cm="1">
        <f t="array" ref="D258">INDEX(Berekening_patiëntaantal[Direct toepasbaar/extrapolatie/incidentie voor QALY],MATCH(B258,IF(Berekening_patiëntaantal[Doelgroep (zoeksleutel)]=C258,Berekening_patiëntaantal[Digitale zorgtoepassing]),0))</f>
        <v>Huidige toepassing</v>
      </c>
      <c r="E258" s="440" t="s">
        <v>813</v>
      </c>
      <c r="F258" s="30" t="str">
        <f>CONCATENATE(implementatie[[#This Row],[Zorgtechnologie]],"_",implementatie[[#This Row],[Doelgroep]],"_",implementatie[[#This Row],[Uitgangssituatie/effect beleid]])</f>
        <v>Steunkousen technologie_Steunkousen_Uitgangssituatie</v>
      </c>
      <c r="G258" s="126" cm="1">
        <f t="array" ref="G258">INDEX(vertraging[[Vertraging 12 jaar]:[2034]],MATCH($F258,vertraging[Zoeksleutel],0),G$134-INDEX(aanname_implementatie[Totaal vertraging],MATCH($B258,IF(aanname_implementatie[Doelgroep]=$C258,aanname_implementatie[Digitale zorgtoepassing]),0)))</f>
        <v>0.2</v>
      </c>
      <c r="H258" s="126" cm="1">
        <f t="array" ref="H258">INDEX(vertraging[[Vertraging 12 jaar]:[2034]],MATCH($F258,vertraging[Zoeksleutel],0),H$134-INDEX(aanname_implementatie[Totaal vertraging],MATCH($B258,IF(aanname_implementatie[Doelgroep]=$C258,aanname_implementatie[Digitale zorgtoepassing]),0)))</f>
        <v>0.29200000000000004</v>
      </c>
      <c r="I258" s="126" cm="1">
        <f t="array" ref="I258">INDEX(vertraging[[Vertraging 12 jaar]:[2034]],MATCH($F258,vertraging[Zoeksleutel],0),I$134-INDEX(aanname_implementatie[Totaal vertraging],MATCH($B258,IF(aanname_implementatie[Doelgroep]=$C258,aanname_implementatie[Digitale zorgtoepassing]),0)))</f>
        <v>0.40273120000000007</v>
      </c>
      <c r="J258" s="126" cm="1">
        <f t="array" ref="J258">INDEX(vertraging[[Vertraging 12 jaar]:[2034]],MATCH($F258,vertraging[Zoeksleutel],0),J$134-INDEX(aanname_implementatie[Totaal vertraging],MATCH($B258,IF(aanname_implementatie[Doelgroep]=$C258,aanname_implementatie[Digitale zorgtoepassing]),0)))</f>
        <v>0.52590537124595205</v>
      </c>
      <c r="K258" s="126" cm="1">
        <f t="array" ref="K258">INDEX(vertraging[[Vertraging 12 jaar]:[2034]],MATCH($F258,vertraging[Zoeksleutel],0),K$134-INDEX(aanname_implementatie[Totaal vertraging],MATCH($B258,IF(aanname_implementatie[Doelgroep]=$C258,aanname_implementatie[Digitale zorgtoepassing]),0)))</f>
        <v>0.64995574724807748</v>
      </c>
      <c r="L258" s="126" cm="1">
        <f t="array" ref="L258">INDEX(vertraging[[Vertraging 12 jaar]:[2034]],MATCH($F258,vertraging[Zoeksleutel],0),L$134-INDEX(aanname_implementatie[Totaal vertraging],MATCH($B258,IF(aanname_implementatie[Doelgroep]=$C258,aanname_implementatie[Digitale zorgtoepassing]),0)))</f>
        <v>0.76108782680714737</v>
      </c>
      <c r="M258" s="126" cm="1">
        <f t="array" ref="M258">INDEX(vertraging[[Vertraging 12 jaar]:[2034]],MATCH($F258,vertraging[Zoeksleutel],0),M$134-INDEX(aanname_implementatie[Totaal vertraging],MATCH($B258,IF(aanname_implementatie[Doelgroep]=$C258,aanname_implementatie[Digitale zorgtoepassing]),0)))</f>
        <v>0.8488855471488731</v>
      </c>
      <c r="N258" s="126" cm="1">
        <f t="array" ref="N258">INDEX(vertraging[[Vertraging 12 jaar]:[2034]],MATCH($F258,vertraging[Zoeksleutel],0),N$134-INDEX(aanname_implementatie[Totaal vertraging],MATCH($B258,IF(aanname_implementatie[Doelgroep]=$C258,aanname_implementatie[Digitale zorgtoepassing]),0)))</f>
        <v>0.91038890221593549</v>
      </c>
      <c r="O258" s="126" cm="1">
        <f t="array" ref="O258">INDEX(vertraging[[Vertraging 12 jaar]:[2034]],MATCH($F258,vertraging[Zoeksleutel],0),O$134-INDEX(aanname_implementatie[Totaal vertraging],MATCH($B258,IF(aanname_implementatie[Doelgroep]=$C258,aanname_implementatie[Digitale zorgtoepassing]),0)))</f>
        <v>0.94934060668263687</v>
      </c>
      <c r="P258" s="126" cm="1">
        <f t="array" ref="P258">INDEX(vertraging[[Vertraging 12 jaar]:[2034]],MATCH($F258,vertraging[Zoeksleutel],0),P$134-INDEX(aanname_implementatie[Totaal vertraging],MATCH($B258,IF(aanname_implementatie[Doelgroep]=$C258,aanname_implementatie[Digitale zorgtoepassing]),0)))</f>
        <v>0.9722489501493069</v>
      </c>
      <c r="Q258" s="126" cm="1">
        <f t="array" ref="Q258">INDEX(vertraging[[Vertraging 12 jaar]:[2034]],MATCH($F258,vertraging[Zoeksleutel],0),Q$134-INDEX(aanname_implementatie[Totaal vertraging],MATCH($B258,IF(aanname_implementatie[Doelgroep]=$C258,aanname_implementatie[Digitale zorgtoepassing]),0)))</f>
        <v>0.98508414448286907</v>
      </c>
      <c r="R258" s="126" cm="1">
        <f t="array" ref="R258">INDEX(vertraging[[Vertraging 12 jaar]:[2034]],MATCH($F258,vertraging[Zoeksleutel],0),R$134-INDEX(aanname_implementatie[Totaal vertraging],MATCH($B258,IF(aanname_implementatie[Doelgroep]=$C258,aanname_implementatie[Digitale zorgtoepassing]),0)))</f>
        <v>0.99206905861789263</v>
      </c>
    </row>
    <row r="259" spans="1:18" x14ac:dyDescent="0.5">
      <c r="A259" s="30" t="str">
        <f>INDEX(Technologieën[Veld],MATCH(B259,Technologieën[Digitale zorgtoepassing],0))</f>
        <v>Digitale hulpmiddelen - Verpleging</v>
      </c>
      <c r="B259" s="30" t="s">
        <v>19</v>
      </c>
      <c r="C259" s="30" t="s">
        <v>24</v>
      </c>
      <c r="D259" s="30" t="str" cm="1">
        <f t="array" ref="D259">INDEX(Berekening_patiëntaantal[Direct toepasbaar/extrapolatie/incidentie voor QALY],MATCH(B259,IF(Berekening_patiëntaantal[Doelgroep (zoeksleutel)]=C259,Berekening_patiëntaantal[Digitale zorgtoepassing]),0))</f>
        <v>Huidige toepassing</v>
      </c>
      <c r="E259" s="440" t="s">
        <v>813</v>
      </c>
      <c r="F259" s="30" t="str">
        <f>CONCATENATE(implementatie[[#This Row],[Zorgtechnologie]],"_",implementatie[[#This Row],[Doelgroep]],"_",implementatie[[#This Row],[Uitgangssituatie/effect beleid]])</f>
        <v>Structuurrobot_Cognitieve beperking_Uitgangssituatie</v>
      </c>
      <c r="G259" s="126" cm="1">
        <f t="array" ref="G259">INDEX(vertraging[[Vertraging 12 jaar]:[2034]],MATCH($F259,vertraging[Zoeksleutel],0),G$134-INDEX(aanname_implementatie[Totaal vertraging],MATCH($B259,IF(aanname_implementatie[Doelgroep]=$C259,aanname_implementatie[Digitale zorgtoepassing]),0)))</f>
        <v>0.2</v>
      </c>
      <c r="H259" s="126" cm="1">
        <f t="array" ref="H259">INDEX(vertraging[[Vertraging 12 jaar]:[2034]],MATCH($F259,vertraging[Zoeksleutel],0),H$134-INDEX(aanname_implementatie[Totaal vertraging],MATCH($B259,IF(aanname_implementatie[Doelgroep]=$C259,aanname_implementatie[Digitale zorgtoepassing]),0)))</f>
        <v>0.28000000000000003</v>
      </c>
      <c r="I259" s="126" cm="1">
        <f t="array" ref="I259">INDEX(vertraging[[Vertraging 12 jaar]:[2034]],MATCH($F259,vertraging[Zoeksleutel],0),I$134-INDEX(aanname_implementatie[Totaal vertraging],MATCH($B259,IF(aanname_implementatie[Doelgroep]=$C259,aanname_implementatie[Digitale zorgtoepassing]),0)))</f>
        <v>0.37504000000000004</v>
      </c>
      <c r="J259" s="126" cm="1">
        <f t="array" ref="J259">INDEX(vertraging[[Vertraging 12 jaar]:[2034]],MATCH($F259,vertraging[Zoeksleutel],0),J$134-INDEX(aanname_implementatie[Totaal vertraging],MATCH($B259,IF(aanname_implementatie[Doelgroep]=$C259,aanname_implementatie[Digitale zorgtoepassing]),0)))</f>
        <v>0.48129319936000003</v>
      </c>
      <c r="K259" s="126" cm="1">
        <f t="array" ref="K259">INDEX(vertraging[[Vertraging 12 jaar]:[2034]],MATCH($F259,vertraging[Zoeksleutel],0),K$134-INDEX(aanname_implementatie[Totaal vertraging],MATCH($B259,IF(aanname_implementatie[Doelgroep]=$C259,aanname_implementatie[Digitale zorgtoepassing]),0)))</f>
        <v>0.59152735761672615</v>
      </c>
      <c r="L259" s="126" cm="1">
        <f t="array" ref="L259">INDEX(vertraging[[Vertraging 12 jaar]:[2034]],MATCH($F259,vertraging[Zoeksleutel],0),L$134-INDEX(aanname_implementatie[Totaal vertraging],MATCH($B259,IF(aanname_implementatie[Doelgroep]=$C259,aanname_implementatie[Digitale zorgtoepassing]),0)))</f>
        <v>0.69634590758747161</v>
      </c>
      <c r="M259" s="126" cm="1">
        <f t="array" ref="M259">INDEX(vertraging[[Vertraging 12 jaar]:[2034]],MATCH($F259,vertraging[Zoeksleutel],0),M$134-INDEX(aanname_implementatie[Totaal vertraging],MATCH($B259,IF(aanname_implementatie[Doelgroep]=$C259,aanname_implementatie[Digitale zorgtoepassing]),0)))</f>
        <v>0.78699830326518305</v>
      </c>
      <c r="N259" s="126" cm="1">
        <f t="array" ref="N259">INDEX(vertraging[[Vertraging 12 jaar]:[2034]],MATCH($F259,vertraging[Zoeksleutel],0),N$134-INDEX(aanname_implementatie[Totaal vertraging],MATCH($B259,IF(aanname_implementatie[Doelgroep]=$C259,aanname_implementatie[Digitale zorgtoepassing]),0)))</f>
        <v>0.85831112676904175</v>
      </c>
      <c r="O259" s="126" cm="1">
        <f t="array" ref="O259">INDEX(vertraging[[Vertraging 12 jaar]:[2034]],MATCH($F259,vertraging[Zoeksleutel],0),O$134-INDEX(aanname_implementatie[Totaal vertraging],MATCH($B259,IF(aanname_implementatie[Doelgroep]=$C259,aanname_implementatie[Digitale zorgtoepassing]),0)))</f>
        <v>0.90979015880706082</v>
      </c>
      <c r="P259" s="126" cm="1">
        <f t="array" ref="P259">INDEX(vertraging[[Vertraging 12 jaar]:[2034]],MATCH($F259,vertraging[Zoeksleutel],0),P$134-INDEX(aanname_implementatie[Totaal vertraging],MATCH($B259,IF(aanname_implementatie[Doelgroep]=$C259,aanname_implementatie[Digitale zorgtoepassing]),0)))</f>
        <v>0.94442316592887321</v>
      </c>
      <c r="Q259" s="126" cm="1">
        <f t="array" ref="Q259">INDEX(vertraging[[Vertraging 12 jaar]:[2034]],MATCH($F259,vertraging[Zoeksleutel],0),Q$134-INDEX(aanname_implementatie[Totaal vertraging],MATCH($B259,IF(aanname_implementatie[Doelgroep]=$C259,aanname_implementatie[Digitale zorgtoepassing]),0)))</f>
        <v>0.96652992244459857</v>
      </c>
      <c r="R259" s="126" cm="1">
        <f t="array" ref="R259">INDEX(vertraging[[Vertraging 12 jaar]:[2034]],MATCH($F259,vertraging[Zoeksleutel],0),R$134-INDEX(aanname_implementatie[Totaal vertraging],MATCH($B259,IF(aanname_implementatie[Doelgroep]=$C259,aanname_implementatie[Digitale zorgtoepassing]),0)))</f>
        <v>0.98013925658124135</v>
      </c>
    </row>
    <row r="260" spans="1:18" x14ac:dyDescent="0.5">
      <c r="A260" s="30" t="str">
        <f>INDEX(Technologieën[Veld],MATCH(B260,Technologieën[Digitale zorgtoepassing],0))</f>
        <v>Digitale hulpmiddelen - Verpleging</v>
      </c>
      <c r="B260" s="30" t="s">
        <v>19</v>
      </c>
      <c r="C260" s="30" t="s">
        <v>20</v>
      </c>
      <c r="D260" s="30" t="str" cm="1">
        <f t="array" ref="D260">INDEX(Berekening_patiëntaantal[Direct toepasbaar/extrapolatie/incidentie voor QALY],MATCH(B260,IF(Berekening_patiëntaantal[Doelgroep (zoeksleutel)]=C260,Berekening_patiëntaantal[Digitale zorgtoepassing]),0))</f>
        <v>Huidige toepassing</v>
      </c>
      <c r="E260" s="440" t="s">
        <v>813</v>
      </c>
      <c r="F260" s="30" t="str">
        <f>CONCATENATE(implementatie[[#This Row],[Zorgtechnologie]],"_",implementatie[[#This Row],[Doelgroep]],"_",implementatie[[#This Row],[Uitgangssituatie/effect beleid]])</f>
        <v>Structuurrobot_Dementie_Uitgangssituatie</v>
      </c>
      <c r="G260" s="126" cm="1">
        <f t="array" ref="G260">INDEX(vertraging[[Vertraging 12 jaar]:[2034]],MATCH($F260,vertraging[Zoeksleutel],0),G$134-INDEX(aanname_implementatie[Totaal vertraging],MATCH($B260,IF(aanname_implementatie[Doelgroep]=$C260,aanname_implementatie[Digitale zorgtoepassing]),0)))</f>
        <v>0.2</v>
      </c>
      <c r="H260" s="126" cm="1">
        <f t="array" ref="H260">INDEX(vertraging[[Vertraging 12 jaar]:[2034]],MATCH($F260,vertraging[Zoeksleutel],0),H$134-INDEX(aanname_implementatie[Totaal vertraging],MATCH($B260,IF(aanname_implementatie[Doelgroep]=$C260,aanname_implementatie[Digitale zorgtoepassing]),0)))</f>
        <v>0.28000000000000003</v>
      </c>
      <c r="I260" s="126" cm="1">
        <f t="array" ref="I260">INDEX(vertraging[[Vertraging 12 jaar]:[2034]],MATCH($F260,vertraging[Zoeksleutel],0),I$134-INDEX(aanname_implementatie[Totaal vertraging],MATCH($B260,IF(aanname_implementatie[Doelgroep]=$C260,aanname_implementatie[Digitale zorgtoepassing]),0)))</f>
        <v>0.37504000000000004</v>
      </c>
      <c r="J260" s="126" cm="1">
        <f t="array" ref="J260">INDEX(vertraging[[Vertraging 12 jaar]:[2034]],MATCH($F260,vertraging[Zoeksleutel],0),J$134-INDEX(aanname_implementatie[Totaal vertraging],MATCH($B260,IF(aanname_implementatie[Doelgroep]=$C260,aanname_implementatie[Digitale zorgtoepassing]),0)))</f>
        <v>0.48129319936000003</v>
      </c>
      <c r="K260" s="126" cm="1">
        <f t="array" ref="K260">INDEX(vertraging[[Vertraging 12 jaar]:[2034]],MATCH($F260,vertraging[Zoeksleutel],0),K$134-INDEX(aanname_implementatie[Totaal vertraging],MATCH($B260,IF(aanname_implementatie[Doelgroep]=$C260,aanname_implementatie[Digitale zorgtoepassing]),0)))</f>
        <v>0.59152735761672615</v>
      </c>
      <c r="L260" s="126" cm="1">
        <f t="array" ref="L260">INDEX(vertraging[[Vertraging 12 jaar]:[2034]],MATCH($F260,vertraging[Zoeksleutel],0),L$134-INDEX(aanname_implementatie[Totaal vertraging],MATCH($B260,IF(aanname_implementatie[Doelgroep]=$C260,aanname_implementatie[Digitale zorgtoepassing]),0)))</f>
        <v>0.69634590758747161</v>
      </c>
      <c r="M260" s="126" cm="1">
        <f t="array" ref="M260">INDEX(vertraging[[Vertraging 12 jaar]:[2034]],MATCH($F260,vertraging[Zoeksleutel],0),M$134-INDEX(aanname_implementatie[Totaal vertraging],MATCH($B260,IF(aanname_implementatie[Doelgroep]=$C260,aanname_implementatie[Digitale zorgtoepassing]),0)))</f>
        <v>0.78699830326518305</v>
      </c>
      <c r="N260" s="126" cm="1">
        <f t="array" ref="N260">INDEX(vertraging[[Vertraging 12 jaar]:[2034]],MATCH($F260,vertraging[Zoeksleutel],0),N$134-INDEX(aanname_implementatie[Totaal vertraging],MATCH($B260,IF(aanname_implementatie[Doelgroep]=$C260,aanname_implementatie[Digitale zorgtoepassing]),0)))</f>
        <v>0.85831112676904175</v>
      </c>
      <c r="O260" s="126" cm="1">
        <f t="array" ref="O260">INDEX(vertraging[[Vertraging 12 jaar]:[2034]],MATCH($F260,vertraging[Zoeksleutel],0),O$134-INDEX(aanname_implementatie[Totaal vertraging],MATCH($B260,IF(aanname_implementatie[Doelgroep]=$C260,aanname_implementatie[Digitale zorgtoepassing]),0)))</f>
        <v>0.90979015880706082</v>
      </c>
      <c r="P260" s="126" cm="1">
        <f t="array" ref="P260">INDEX(vertraging[[Vertraging 12 jaar]:[2034]],MATCH($F260,vertraging[Zoeksleutel],0),P$134-INDEX(aanname_implementatie[Totaal vertraging],MATCH($B260,IF(aanname_implementatie[Doelgroep]=$C260,aanname_implementatie[Digitale zorgtoepassing]),0)))</f>
        <v>0.94442316592887321</v>
      </c>
      <c r="Q260" s="126" cm="1">
        <f t="array" ref="Q260">INDEX(vertraging[[Vertraging 12 jaar]:[2034]],MATCH($F260,vertraging[Zoeksleutel],0),Q$134-INDEX(aanname_implementatie[Totaal vertraging],MATCH($B260,IF(aanname_implementatie[Doelgroep]=$C260,aanname_implementatie[Digitale zorgtoepassing]),0)))</f>
        <v>0.96652992244459857</v>
      </c>
      <c r="R260" s="126" cm="1">
        <f t="array" ref="R260">INDEX(vertraging[[Vertraging 12 jaar]:[2034]],MATCH($F260,vertraging[Zoeksleutel],0),R$134-INDEX(aanname_implementatie[Totaal vertraging],MATCH($B260,IF(aanname_implementatie[Doelgroep]=$C260,aanname_implementatie[Digitale zorgtoepassing]),0)))</f>
        <v>0.98013925658124135</v>
      </c>
    </row>
    <row r="261" spans="1:18" x14ac:dyDescent="0.5">
      <c r="A261" s="30" t="str">
        <f>INDEX(Technologieën[Veld],MATCH(B261,Technologieën[Digitale zorgtoepassing],0))</f>
        <v>Digitale hulpmiddelen - Verpleging</v>
      </c>
      <c r="B261" s="30" t="s">
        <v>19</v>
      </c>
      <c r="C261" s="30" t="s">
        <v>27</v>
      </c>
      <c r="D261" s="30" t="str" cm="1">
        <f t="array" ref="D261">INDEX(Berekening_patiëntaantal[Direct toepasbaar/extrapolatie/incidentie voor QALY],MATCH(B261,IF(Berekening_patiëntaantal[Doelgroep (zoeksleutel)]=C261,Berekening_patiëntaantal[Digitale zorgtoepassing]),0))</f>
        <v>Extrapolatie</v>
      </c>
      <c r="E261" s="440" t="s">
        <v>813</v>
      </c>
      <c r="F261" s="30" t="str">
        <f>CONCATENATE(implementatie[[#This Row],[Zorgtechnologie]],"_",implementatie[[#This Row],[Doelgroep]],"_",implementatie[[#This Row],[Uitgangssituatie/effect beleid]])</f>
        <v>Structuurrobot_Parkinson_Uitgangssituatie</v>
      </c>
      <c r="G261" s="126" cm="1">
        <f t="array" ref="G261">INDEX(vertraging[[Vertraging 12 jaar]:[2034]],MATCH($F261,vertraging[Zoeksleutel],0),G$134-INDEX(aanname_implementatie[Totaal vertraging],MATCH($B261,IF(aanname_implementatie[Doelgroep]=$C261,aanname_implementatie[Digitale zorgtoepassing]),0)))</f>
        <v>0</v>
      </c>
      <c r="H261" s="126" cm="1">
        <f t="array" ref="H261">INDEX(vertraging[[Vertraging 12 jaar]:[2034]],MATCH($F261,vertraging[Zoeksleutel],0),H$134-INDEX(aanname_implementatie[Totaal vertraging],MATCH($B261,IF(aanname_implementatie[Doelgroep]=$C261,aanname_implementatie[Digitale zorgtoepassing]),0)))</f>
        <v>0</v>
      </c>
      <c r="I261" s="126" cm="1">
        <f t="array" ref="I261">INDEX(vertraging[[Vertraging 12 jaar]:[2034]],MATCH($F261,vertraging[Zoeksleutel],0),I$134-INDEX(aanname_implementatie[Totaal vertraging],MATCH($B261,IF(aanname_implementatie[Doelgroep]=$C261,aanname_implementatie[Digitale zorgtoepassing]),0)))</f>
        <v>0.02</v>
      </c>
      <c r="J261" s="126" cm="1">
        <f t="array" ref="J261">INDEX(vertraging[[Vertraging 12 jaar]:[2034]],MATCH($F261,vertraging[Zoeksleutel],0),J$134-INDEX(aanname_implementatie[Totaal vertraging],MATCH($B261,IF(aanname_implementatie[Doelgroep]=$C261,aanname_implementatie[Digitale zorgtoepassing]),0)))</f>
        <v>4.7439999999999996E-2</v>
      </c>
      <c r="K261" s="126" cm="1">
        <f t="array" ref="K261">INDEX(vertraging[[Vertraging 12 jaar]:[2034]],MATCH($F261,vertraging[Zoeksleutel],0),K$134-INDEX(aanname_implementatie[Totaal vertraging],MATCH($B261,IF(aanname_implementatie[Doelgroep]=$C261,aanname_implementatie[Digitale zorgtoepassing]),0)))</f>
        <v>8.4566978560000006E-2</v>
      </c>
      <c r="L261" s="126" cm="1">
        <f t="array" ref="L261">INDEX(vertraging[[Vertraging 12 jaar]:[2034]],MATCH($F261,vertraging[Zoeksleutel],0),L$134-INDEX(aanname_implementatie[Totaal vertraging],MATCH($B261,IF(aanname_implementatie[Doelgroep]=$C261,aanname_implementatie[Digitale zorgtoepassing]),0)))</f>
        <v>0.13384180086769301</v>
      </c>
      <c r="M261" s="126" cm="1">
        <f t="array" ref="M261">INDEX(vertraging[[Vertraging 12 jaar]:[2034]],MATCH($F261,vertraging[Zoeksleutel],0),M$134-INDEX(aanname_implementatie[Totaal vertraging],MATCH($B261,IF(aanname_implementatie[Doelgroep]=$C261,aanname_implementatie[Digitale zorgtoepassing]),0)))</f>
        <v>0.19753623413361349</v>
      </c>
      <c r="N261" s="126" cm="1">
        <f t="array" ref="N261">INDEX(vertraging[[Vertraging 12 jaar]:[2034]],MATCH($F261,vertraging[Zoeksleutel],0),N$134-INDEX(aanname_implementatie[Totaal vertraging],MATCH($B261,IF(aanname_implementatie[Doelgroep]=$C261,aanname_implementatie[Digitale zorgtoepassing]),0)))</f>
        <v>0.27699177758611071</v>
      </c>
      <c r="O261" s="126" cm="1">
        <f t="array" ref="O261">INDEX(vertraging[[Vertraging 12 jaar]:[2034]],MATCH($F261,vertraging[Zoeksleutel],0),O$134-INDEX(aanname_implementatie[Totaal vertraging],MATCH($B261,IF(aanname_implementatie[Doelgroep]=$C261,aanname_implementatie[Digitale zorgtoepassing]),0)))</f>
        <v>0.37155887512870744</v>
      </c>
      <c r="P261" s="126" cm="1">
        <f t="array" ref="P261">INDEX(vertraging[[Vertraging 12 jaar]:[2034]],MATCH($F261,vertraging[Zoeksleutel],0),P$134-INDEX(aanname_implementatie[Totaal vertraging],MATCH($B261,IF(aanname_implementatie[Doelgroep]=$C261,aanname_implementatie[Digitale zorgtoepassing]),0)))</f>
        <v>0.47752884860285211</v>
      </c>
      <c r="Q261" s="126" cm="1">
        <f t="array" ref="Q261">INDEX(vertraging[[Vertraging 12 jaar]:[2034]],MATCH($F261,vertraging[Zoeksleutel],0),Q$134-INDEX(aanname_implementatie[Totaal vertraging],MATCH($B261,IF(aanname_implementatie[Doelgroep]=$C261,aanname_implementatie[Digitale zorgtoepassing]),0)))</f>
        <v>0.5877762905727496</v>
      </c>
      <c r="R261" s="126" cm="1">
        <f t="array" ref="R261">INDEX(vertraging[[Vertraging 12 jaar]:[2034]],MATCH($F261,vertraging[Zoeksleutel],0),R$134-INDEX(aanname_implementatie[Totaal vertraging],MATCH($B261,IF(aanname_implementatie[Doelgroep]=$C261,aanname_implementatie[Digitale zorgtoepassing]),0)))</f>
        <v>0.6929388938866099</v>
      </c>
    </row>
    <row r="262" spans="1:18" x14ac:dyDescent="0.5">
      <c r="A262" s="30" t="str">
        <f>INDEX(Technologieën[Veld],MATCH(B262,Technologieën[Digitale zorgtoepassing],0))</f>
        <v>Software - Diagnose</v>
      </c>
      <c r="B262" s="30" t="s">
        <v>56</v>
      </c>
      <c r="C262" s="30" t="s">
        <v>57</v>
      </c>
      <c r="D262" s="30" t="str" cm="1">
        <f t="array" ref="D262">INDEX(Berekening_patiëntaantal[Direct toepasbaar/extrapolatie/incidentie voor QALY],MATCH(B262,IF(Berekening_patiëntaantal[Doelgroep (zoeksleutel)]=C262,Berekening_patiëntaantal[Digitale zorgtoepassing]),0))</f>
        <v>Huidige toepassing</v>
      </c>
      <c r="E262" s="440" t="s">
        <v>813</v>
      </c>
      <c r="F262" s="30" t="str">
        <f>CONCATENATE(implementatie[[#This Row],[Zorgtechnologie]],"_",implementatie[[#This Row],[Doelgroep]],"_",implementatie[[#This Row],[Uitgangssituatie/effect beleid]])</f>
        <v>Virtual cockpit_MRI-scans_Uitgangssituatie</v>
      </c>
      <c r="G262" s="126" cm="1">
        <f t="array" ref="G262">INDEX(vertraging[[Vertraging 12 jaar]:[2034]],MATCH($F262,vertraging[Zoeksleutel],0),G$134-INDEX(aanname_implementatie[Totaal vertraging],MATCH($B262,IF(aanname_implementatie[Doelgroep]=$C262,aanname_implementatie[Digitale zorgtoepassing]),0)))</f>
        <v>0.2</v>
      </c>
      <c r="H262" s="126" cm="1">
        <f t="array" ref="H262">INDEX(vertraging[[Vertraging 12 jaar]:[2034]],MATCH($F262,vertraging[Zoeksleutel],0),H$134-INDEX(aanname_implementatie[Totaal vertraging],MATCH($B262,IF(aanname_implementatie[Doelgroep]=$C262,aanname_implementatie[Digitale zorgtoepassing]),0)))</f>
        <v>0.29200000000000004</v>
      </c>
      <c r="I262" s="126" cm="1">
        <f t="array" ref="I262">INDEX(vertraging[[Vertraging 12 jaar]:[2034]],MATCH($F262,vertraging[Zoeksleutel],0),I$134-INDEX(aanname_implementatie[Totaal vertraging],MATCH($B262,IF(aanname_implementatie[Doelgroep]=$C262,aanname_implementatie[Digitale zorgtoepassing]),0)))</f>
        <v>0.40273120000000007</v>
      </c>
      <c r="J262" s="126" cm="1">
        <f t="array" ref="J262">INDEX(vertraging[[Vertraging 12 jaar]:[2034]],MATCH($F262,vertraging[Zoeksleutel],0),J$134-INDEX(aanname_implementatie[Totaal vertraging],MATCH($B262,IF(aanname_implementatie[Doelgroep]=$C262,aanname_implementatie[Digitale zorgtoepassing]),0)))</f>
        <v>0.52590537124595205</v>
      </c>
      <c r="K262" s="126" cm="1">
        <f t="array" ref="K262">INDEX(vertraging[[Vertraging 12 jaar]:[2034]],MATCH($F262,vertraging[Zoeksleutel],0),K$134-INDEX(aanname_implementatie[Totaal vertraging],MATCH($B262,IF(aanname_implementatie[Doelgroep]=$C262,aanname_implementatie[Digitale zorgtoepassing]),0)))</f>
        <v>0.64995574724807748</v>
      </c>
      <c r="L262" s="126" cm="1">
        <f t="array" ref="L262">INDEX(vertraging[[Vertraging 12 jaar]:[2034]],MATCH($F262,vertraging[Zoeksleutel],0),L$134-INDEX(aanname_implementatie[Totaal vertraging],MATCH($B262,IF(aanname_implementatie[Doelgroep]=$C262,aanname_implementatie[Digitale zorgtoepassing]),0)))</f>
        <v>0.76108782680714737</v>
      </c>
      <c r="M262" s="126" cm="1">
        <f t="array" ref="M262">INDEX(vertraging[[Vertraging 12 jaar]:[2034]],MATCH($F262,vertraging[Zoeksleutel],0),M$134-INDEX(aanname_implementatie[Totaal vertraging],MATCH($B262,IF(aanname_implementatie[Doelgroep]=$C262,aanname_implementatie[Digitale zorgtoepassing]),0)))</f>
        <v>0.8488855471488731</v>
      </c>
      <c r="N262" s="126" cm="1">
        <f t="array" ref="N262">INDEX(vertraging[[Vertraging 12 jaar]:[2034]],MATCH($F262,vertraging[Zoeksleutel],0),N$134-INDEX(aanname_implementatie[Totaal vertraging],MATCH($B262,IF(aanname_implementatie[Doelgroep]=$C262,aanname_implementatie[Digitale zorgtoepassing]),0)))</f>
        <v>0.91038890221593549</v>
      </c>
      <c r="O262" s="126" cm="1">
        <f t="array" ref="O262">INDEX(vertraging[[Vertraging 12 jaar]:[2034]],MATCH($F262,vertraging[Zoeksleutel],0),O$134-INDEX(aanname_implementatie[Totaal vertraging],MATCH($B262,IF(aanname_implementatie[Doelgroep]=$C262,aanname_implementatie[Digitale zorgtoepassing]),0)))</f>
        <v>0.94934060668263687</v>
      </c>
      <c r="P262" s="126" cm="1">
        <f t="array" ref="P262">INDEX(vertraging[[Vertraging 12 jaar]:[2034]],MATCH($F262,vertraging[Zoeksleutel],0),P$134-INDEX(aanname_implementatie[Totaal vertraging],MATCH($B262,IF(aanname_implementatie[Doelgroep]=$C262,aanname_implementatie[Digitale zorgtoepassing]),0)))</f>
        <v>0.9722489501493069</v>
      </c>
      <c r="Q262" s="126" cm="1">
        <f t="array" ref="Q262">INDEX(vertraging[[Vertraging 12 jaar]:[2034]],MATCH($F262,vertraging[Zoeksleutel],0),Q$134-INDEX(aanname_implementatie[Totaal vertraging],MATCH($B262,IF(aanname_implementatie[Doelgroep]=$C262,aanname_implementatie[Digitale zorgtoepassing]),0)))</f>
        <v>0.98508414448286907</v>
      </c>
      <c r="R262" s="126" cm="1">
        <f t="array" ref="R262">INDEX(vertraging[[Vertraging 12 jaar]:[2034]],MATCH($F262,vertraging[Zoeksleutel],0),R$134-INDEX(aanname_implementatie[Totaal vertraging],MATCH($B262,IF(aanname_implementatie[Doelgroep]=$C262,aanname_implementatie[Digitale zorgtoepassing]),0)))</f>
        <v>0.99206905861789263</v>
      </c>
    </row>
    <row r="263" spans="1:18" x14ac:dyDescent="0.5">
      <c r="A263" s="30" t="str">
        <f>INDEX(Technologieën[Veld],MATCH(B263,Technologieën[Digitale zorgtoepassing],0))</f>
        <v>Digitale hulpmiddelen - Verpleging</v>
      </c>
      <c r="B263" s="30" t="s">
        <v>85</v>
      </c>
      <c r="C263" s="30" t="s">
        <v>86</v>
      </c>
      <c r="D263" s="30" t="str" cm="1">
        <f t="array" ref="D263">INDEX(Berekening_patiëntaantal[Direct toepasbaar/extrapolatie/incidentie voor QALY],MATCH(B263,IF(Berekening_patiëntaantal[Doelgroep (zoeksleutel)]=C263,Berekening_patiëntaantal[Digitale zorgtoepassing]),0))</f>
        <v>Huidige toepassing</v>
      </c>
      <c r="E263" s="440" t="s">
        <v>813</v>
      </c>
      <c r="F263" s="30" t="str">
        <f>CONCATENATE(implementatie[[#This Row],[Zorgtechnologie]],"_",implementatie[[#This Row],[Doelgroep]],"_",implementatie[[#This Row],[Uitgangssituatie/effect beleid]])</f>
        <v>Zorg op afstand met tablet_Patiënten die thuiszorg krijgen_Uitgangssituatie</v>
      </c>
      <c r="G263" s="126" cm="1">
        <f t="array" ref="G263">INDEX(vertraging[[Vertraging 12 jaar]:[2034]],MATCH($F263,vertraging[Zoeksleutel],0),G$134-INDEX(aanname_implementatie[Totaal vertraging],MATCH($B263,IF(aanname_implementatie[Doelgroep]=$C263,aanname_implementatie[Digitale zorgtoepassing]),0)))</f>
        <v>0.4</v>
      </c>
      <c r="H263" s="126" cm="1">
        <f t="array" ref="H263">INDEX(vertraging[[Vertraging 12 jaar]:[2034]],MATCH($F263,vertraging[Zoeksleutel],0),H$134-INDEX(aanname_implementatie[Totaal vertraging],MATCH($B263,IF(aanname_implementatie[Doelgroep]=$C263,aanname_implementatie[Digitale zorgtoepassing]),0)))</f>
        <v>0.52300000000000002</v>
      </c>
      <c r="I263" s="126" cm="1">
        <f t="array" ref="I263">INDEX(vertraging[[Vertraging 12 jaar]:[2034]],MATCH($F263,vertraging[Zoeksleutel],0),I$134-INDEX(aanname_implementatie[Totaal vertraging],MATCH($B263,IF(aanname_implementatie[Doelgroep]=$C263,aanname_implementatie[Digitale zorgtoepassing]),0)))</f>
        <v>0.64718695000000004</v>
      </c>
      <c r="J263" s="126" cm="1">
        <f t="array" ref="J263">INDEX(vertraging[[Vertraging 12 jaar]:[2034]],MATCH($F263,vertraging[Zoeksleutel],0),J$134-INDEX(aanname_implementatie[Totaal vertraging],MATCH($B263,IF(aanname_implementatie[Doelgroep]=$C263,aanname_implementatie[Digitale zorgtoepassing]),0)))</f>
        <v>0.75875847703736388</v>
      </c>
      <c r="K263" s="126" cm="1">
        <f t="array" ref="K263">INDEX(vertraging[[Vertraging 12 jaar]:[2034]],MATCH($F263,vertraging[Zoeksleutel],0),K$134-INDEX(aanname_implementatie[Totaal vertraging],MATCH($B263,IF(aanname_implementatie[Doelgroep]=$C263,aanname_implementatie[Digitale zorgtoepassing]),0)))</f>
        <v>0.84715933786401665</v>
      </c>
      <c r="L263" s="126" cm="1">
        <f t="array" ref="L263">INDEX(vertraging[[Vertraging 12 jaar]:[2034]],MATCH($F263,vertraging[Zoeksleutel],0),L$134-INDEX(aanname_implementatie[Totaal vertraging],MATCH($B263,IF(aanname_implementatie[Doelgroep]=$C263,aanname_implementatie[Digitale zorgtoepassing]),0)))</f>
        <v>0.90924653177763415</v>
      </c>
      <c r="M263" s="126" cm="1">
        <f t="array" ref="M263">INDEX(vertraging[[Vertraging 12 jaar]:[2034]],MATCH($F263,vertraging[Zoeksleutel],0),M$134-INDEX(aanname_implementatie[Totaal vertraging],MATCH($B263,IF(aanname_implementatie[Doelgroep]=$C263,aanname_implementatie[Digitale zorgtoepassing]),0)))</f>
        <v>0.94864814278578335</v>
      </c>
      <c r="N263" s="126" cm="1">
        <f t="array" ref="N263">INDEX(vertraging[[Vertraging 12 jaar]:[2034]],MATCH($F263,vertraging[Zoeksleutel],0),N$134-INDEX(aanname_implementatie[Totaal vertraging],MATCH($B263,IF(aanname_implementatie[Doelgroep]=$C263,aanname_implementatie[Digitale zorgtoepassing]),0)))</f>
        <v>0.97185361900482903</v>
      </c>
      <c r="O263" s="126" cm="1">
        <f t="array" ref="O263">INDEX(vertraging[[Vertraging 12 jaar]:[2034]],MATCH($F263,vertraging[Zoeksleutel],0),O$134-INDEX(aanname_implementatie[Totaal vertraging],MATCH($B263,IF(aanname_implementatie[Doelgroep]=$C263,aanname_implementatie[Digitale zorgtoepassing]),0)))</f>
        <v>0.98486665153412889</v>
      </c>
      <c r="P263" s="126" cm="1">
        <f t="array" ref="P263">INDEX(vertraging[[Vertraging 12 jaar]:[2034]],MATCH($F263,vertraging[Zoeksleutel],0),P$134-INDEX(aanname_implementatie[Totaal vertraging],MATCH($B263,IF(aanname_implementatie[Doelgroep]=$C263,aanname_implementatie[Digitale zorgtoepassing]),0)))</f>
        <v>0.99195193384931235</v>
      </c>
      <c r="Q263" s="126" cm="1">
        <f t="array" ref="Q263">INDEX(vertraging[[Vertraging 12 jaar]:[2034]],MATCH($F263,vertraging[Zoeksleutel],0),Q$134-INDEX(aanname_implementatie[Totaal vertraging],MATCH($B263,IF(aanname_implementatie[Doelgroep]=$C263,aanname_implementatie[Digitale zorgtoepassing]),0)))</f>
        <v>0.99574561815494433</v>
      </c>
      <c r="R263" s="126" cm="1">
        <f t="array" ref="R263">INDEX(vertraging[[Vertraging 12 jaar]:[2034]],MATCH($F263,vertraging[Zoeksleutel],0),R$134-INDEX(aanname_implementatie[Totaal vertraging],MATCH($B263,IF(aanname_implementatie[Doelgroep]=$C263,aanname_implementatie[Digitale zorgtoepassing]),0)))</f>
        <v>0.99775830463714821</v>
      </c>
    </row>
    <row r="266" spans="1:18" x14ac:dyDescent="0.5">
      <c r="G266" s="225"/>
      <c r="H266" s="225"/>
      <c r="I266" s="225"/>
      <c r="J266" s="225"/>
      <c r="K266" s="225"/>
      <c r="L266" s="225"/>
    </row>
  </sheetData>
  <sheetProtection algorithmName="SHA-512" hashValue="w24NM7dh1nxN3/059vP1HuE5hK/uN6mT+eYmCc8khj1UntV9tz7beLnewXWmNea9x7MzVoiK1xQNyQ4kfaB6kw==" saltValue="M4UCSo03T74iQy0FEIMS5Q==" spinCount="100000" sheet="1" objects="1" scenarios="1" selectLockedCells="1" selectUnlockedCells="1"/>
  <mergeCells count="1">
    <mergeCell ref="A1:C2"/>
  </mergeCells>
  <phoneticPr fontId="4" type="noConversion"/>
  <pageMargins left="0.7" right="0.7" top="0.75" bottom="0.75" header="0.3" footer="0.3"/>
  <pageSetup paperSize="9" orientation="portrait" r:id="rId1"/>
  <tableParts count="2">
    <tablePart r:id="rId2"/>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A1217-D427-48A7-8B71-E8833045962B}">
  <sheetPr codeName="Blad23">
    <tabColor theme="8"/>
  </sheetPr>
  <dimension ref="A1:V1412"/>
  <sheetViews>
    <sheetView showGridLines="0" zoomScale="80" zoomScaleNormal="80" workbookViewId="0">
      <selection activeCell="S10" sqref="S10"/>
    </sheetView>
  </sheetViews>
  <sheetFormatPr defaultColWidth="9.23046875" defaultRowHeight="17" x14ac:dyDescent="0.5"/>
  <cols>
    <col min="1" max="1" width="29.07421875" bestFit="1" customWidth="1"/>
    <col min="2" max="2" width="35.69140625" style="36" bestFit="1" customWidth="1"/>
    <col min="3" max="3" width="36" style="36" bestFit="1" customWidth="1"/>
    <col min="4" max="4" width="26.53515625" style="36" customWidth="1"/>
    <col min="5" max="5" width="29.23046875" style="36" customWidth="1"/>
    <col min="6" max="6" width="26.69140625" style="36" bestFit="1" customWidth="1"/>
    <col min="7" max="7" width="9" style="4" customWidth="1"/>
    <col min="8" max="8" width="17.4609375" style="4" customWidth="1"/>
    <col min="9" max="9" width="6.07421875" style="4" bestFit="1" customWidth="1"/>
    <col min="10" max="10" width="20" style="4" customWidth="1"/>
    <col min="11" max="11" width="27.4609375" style="35" bestFit="1" customWidth="1"/>
    <col min="12" max="12" width="29.69140625" bestFit="1" customWidth="1"/>
    <col min="13" max="13" width="16.4609375" bestFit="1" customWidth="1"/>
    <col min="14" max="14" width="16.4609375" customWidth="1"/>
    <col min="15" max="15" width="15.84375" bestFit="1" customWidth="1"/>
    <col min="16" max="16" width="18.07421875" bestFit="1" customWidth="1"/>
    <col min="17" max="17" width="13.84375" bestFit="1" customWidth="1"/>
    <col min="18" max="18" width="14.23046875" bestFit="1" customWidth="1"/>
    <col min="19" max="19" width="18.3046875" bestFit="1" customWidth="1"/>
    <col min="20" max="20" width="16.765625" bestFit="1" customWidth="1"/>
    <col min="21" max="21" width="13.84375" bestFit="1" customWidth="1"/>
    <col min="22" max="22" width="14.07421875" bestFit="1" customWidth="1"/>
  </cols>
  <sheetData>
    <row r="1" spans="1:22" x14ac:dyDescent="0.5">
      <c r="A1" s="476" t="s">
        <v>1032</v>
      </c>
      <c r="B1" s="477"/>
      <c r="C1" s="478"/>
    </row>
    <row r="2" spans="1:22" ht="17.5" thickBot="1" x14ac:dyDescent="0.55000000000000004">
      <c r="A2" s="479"/>
      <c r="B2" s="480"/>
      <c r="C2" s="481"/>
    </row>
    <row r="3" spans="1:22" ht="17.5" thickBot="1" x14ac:dyDescent="0.55000000000000004">
      <c r="M3" s="9"/>
      <c r="N3" s="9"/>
      <c r="O3" s="9"/>
      <c r="P3" s="9"/>
      <c r="Q3" s="9"/>
      <c r="R3" s="9"/>
      <c r="S3" s="502" t="s">
        <v>1057</v>
      </c>
      <c r="T3" s="502"/>
      <c r="U3" s="502"/>
      <c r="V3" s="502"/>
    </row>
    <row r="4" spans="1:22" s="39" customFormat="1" ht="51.5" thickBot="1" x14ac:dyDescent="0.55000000000000004">
      <c r="A4" s="28" t="s">
        <v>5</v>
      </c>
      <c r="B4" s="359" t="s">
        <v>751</v>
      </c>
      <c r="C4" s="360" t="s">
        <v>378</v>
      </c>
      <c r="D4" s="25" t="s">
        <v>1069</v>
      </c>
      <c r="E4" s="360" t="s">
        <v>493</v>
      </c>
      <c r="F4" s="360" t="s">
        <v>811</v>
      </c>
      <c r="G4" s="359" t="s">
        <v>16</v>
      </c>
      <c r="H4" s="16" t="s">
        <v>469</v>
      </c>
      <c r="I4" s="16" t="s">
        <v>574</v>
      </c>
      <c r="J4" s="16" t="s">
        <v>506</v>
      </c>
      <c r="K4" s="16" t="s">
        <v>507</v>
      </c>
      <c r="L4" s="16" t="s">
        <v>203</v>
      </c>
      <c r="M4" s="159" t="s">
        <v>1058</v>
      </c>
      <c r="N4" s="16" t="s">
        <v>1059</v>
      </c>
      <c r="O4" s="16" t="s">
        <v>1060</v>
      </c>
      <c r="P4" s="16" t="s">
        <v>1061</v>
      </c>
      <c r="Q4" s="16" t="s">
        <v>505</v>
      </c>
      <c r="R4" s="16" t="s">
        <v>998</v>
      </c>
      <c r="S4" s="159" t="s">
        <v>1062</v>
      </c>
      <c r="T4" s="16" t="s">
        <v>1063</v>
      </c>
      <c r="U4" s="16" t="s">
        <v>1055</v>
      </c>
      <c r="V4" s="16" t="s">
        <v>1056</v>
      </c>
    </row>
    <row r="5" spans="1:22" x14ac:dyDescent="0.5">
      <c r="A5" s="33" t="str">
        <f>INDEX(Technologieën[Veld],MATCH(B5,Technologieën[Digitale zorgtoepassing],0))</f>
        <v>Sensoren - Behandeling</v>
      </c>
      <c r="B5" s="33" t="s">
        <v>593</v>
      </c>
      <c r="C5" s="33" t="s">
        <v>308</v>
      </c>
      <c r="D5" s="427" cm="1">
        <f t="array" ref="D5">INDEX(Berekening_patiëntaantal[Percentage van patiëntaantallen in Wlz (overige is Zvw)],MATCH(B5,IF(Berekening_patiëntaantal[Doelgroep (zoeksleutel)]=C5,Berekening_patiëntaantal[Digitale zorgtoepassing]),0))</f>
        <v>0</v>
      </c>
      <c r="E5" s="33" t="str" cm="1">
        <f t="array" ref="E5">INDEX(Berekening_patiëntaantal[Direct toepasbaar/extrapolatie/incidentie voor QALY],MATCH(B5,IF(Berekening_patiëntaantal[Doelgroep (zoeksleutel)]=C5,Berekening_patiëntaantal[Digitale zorgtoepassing]),0))</f>
        <v>Huidige toepassing</v>
      </c>
      <c r="F5" s="43" t="s">
        <v>812</v>
      </c>
      <c r="G5" s="33" t="str">
        <f>CONCATENATE(uitkomst_doelgroep[[#This Row],[Digitale zorgtoepassing]],"_",uitkomst_doelgroep[[#This Row],[Doelgroep]],"_",uitkomst_doelgroep[[#This Row],[Uitgangssituatie/effect beleid]])</f>
        <v>(Zelf)monitoring hypertensie zwangeren_Zwangeren met hoge bloeddruk_Effect beleid</v>
      </c>
      <c r="H5" s="33">
        <v>2023</v>
      </c>
      <c r="I5" s="32">
        <v>1</v>
      </c>
      <c r="J5" s="406" cm="1">
        <f t="array" ref="J5">INDEX(implementatie[[2023]:[2034]],MATCH(G5, implementatie[Zoeksleutel],0),I5)</f>
        <v>0.2</v>
      </c>
      <c r="K5" s="406" cm="1">
        <f t="array" ref="K5">INDEX(implementatie[[2023]:[2034]],MATCH(G5,implementatie[Zoeksleutel],0),I5 + 1)</f>
        <v>0.28000000000000003</v>
      </c>
      <c r="L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3376.76</v>
      </c>
      <c r="M5" s="398" cm="1">
        <f t="array" ref="M5">J5*INDEX(Berekening_impact[Totaal arbeidsbesparing (€/jaar)],MATCH(B5,IF(Berekening_impact[Doelgroep]=C5,Berekening_impact[Digitale zorgtoepassing]),0))</f>
        <v>1799137.7279999999</v>
      </c>
      <c r="N5" s="397" cm="1">
        <f t="array" ref="N5">J5*INDEX(Berekening_impact[Totaal arbeidsbesparing (FTE/jaar)],MATCH(B5,IF(Berekening_impact[Doelgroep]=C5,Berekening_impact[Digitale zorgtoepassing]),0))</f>
        <v>31.181231921457346</v>
      </c>
      <c r="O5" s="398" cm="1">
        <f t="array" ref="O5">J5*INDEX(Berekening_impact[Overige kostenbesparing (totaal/jaar totaal potentieel)],MATCH(B5,IF(Berekening_impact[Doelgroep]=C5,Berekening_impact[Digitale zorgtoepassing]),0))</f>
        <v>1199425.1520000002</v>
      </c>
      <c r="P5" s="398" cm="1">
        <f t="array" ref="P5">J5*INDEX(Berekening_impact[Opbrengsten door QALY''s],MATCH(B5,IF(Berekening_impact[Doelgroep]=C5,Berekening_impact[Digitale zorgtoepassing]),0))</f>
        <v>0</v>
      </c>
      <c r="Q5" s="398" cm="1">
        <f t="array" ref="Q5">J5*INDEX(Berekening_impact[Jaarlijkse kosten (totaal) - incl. schatting],MATCH(B5,IF(Berekening_impact[Doelgroep]=C5,Berekening_impact[Digitale zorgtoepassing]),0))</f>
        <v>228063.7</v>
      </c>
      <c r="R5" s="398" cm="1">
        <f t="array" ref="R5">(uitkomst_doelgroep[[#This Row],[Implementatiegraad t = T + 1]]-uitkomst_doelgroep[[#This Row],[Implementatiegraad t = T]])*INDEX(Berekening_impact[Initiële investering (totaal) - incl. schatting],MATCH(B5,IF(Berekening_impact[Doelgroep]=C5,Berekening_impact[Digitale zorgtoepassing]),0))</f>
        <v>0</v>
      </c>
      <c r="S5" s="398">
        <f>uitkomst_doelgroep[[#This Row],[Arbeidsbesparing (€)]]*uitkomst_doelgroep[[#This Row],[Percentage van patiëntaantallen in Wlz (overige is Zvw)]]</f>
        <v>0</v>
      </c>
      <c r="T5" s="398">
        <f>uitkomst_doelgroep[[#This Row],[Overige besparingen (€)]]*uitkomst_doelgroep[[#This Row],[Percentage van patiëntaantallen in Wlz (overige is Zvw)]]</f>
        <v>0</v>
      </c>
      <c r="U5" s="398">
        <f>uitkomst_doelgroep[[#This Row],[Kosten (€)]]*uitkomst_doelgroep[[#This Row],[Percentage van patiëntaantallen in Wlz (overige is Zvw)]]</f>
        <v>0</v>
      </c>
      <c r="V5" s="398">
        <f>uitkomst_doelgroep[[#This Row],[Investering (cash flow) (€)]]*uitkomst_doelgroep[[#This Row],[Percentage van patiëntaantallen in Wlz (overige is Zvw)]]</f>
        <v>0</v>
      </c>
    </row>
    <row r="6" spans="1:22" x14ac:dyDescent="0.5">
      <c r="A6" s="33" t="str">
        <f>INDEX(Technologieën[Veld],MATCH(B6,Technologieën[Digitale zorgtoepassing],0))</f>
        <v>Sensoren - Behandeling</v>
      </c>
      <c r="B6" s="33" t="s">
        <v>593</v>
      </c>
      <c r="C6" s="33" t="s">
        <v>308</v>
      </c>
      <c r="D6" s="427" cm="1">
        <f t="array" ref="D6">INDEX(Berekening_patiëntaantal[Percentage van patiëntaantallen in Wlz (overige is Zvw)],MATCH(B6,IF(Berekening_patiëntaantal[Doelgroep (zoeksleutel)]=C6,Berekening_patiëntaantal[Digitale zorgtoepassing]),0))</f>
        <v>0</v>
      </c>
      <c r="E6" s="33" t="str" cm="1">
        <f t="array" ref="E6">INDEX(Berekening_patiëntaantal[Direct toepasbaar/extrapolatie/incidentie voor QALY],MATCH(B6,IF(Berekening_patiëntaantal[Doelgroep (zoeksleutel)]=C6,Berekening_patiëntaantal[Digitale zorgtoepassing]),0))</f>
        <v>Huidige toepassing</v>
      </c>
      <c r="F6" s="43" t="s">
        <v>812</v>
      </c>
      <c r="G6" s="33" t="str">
        <f>CONCATENATE(uitkomst_doelgroep[[#This Row],[Digitale zorgtoepassing]],"_",uitkomst_doelgroep[[#This Row],[Doelgroep]],"_",uitkomst_doelgroep[[#This Row],[Uitgangssituatie/effect beleid]])</f>
        <v>(Zelf)monitoring hypertensie zwangeren_Zwangeren met hoge bloeddruk_Effect beleid</v>
      </c>
      <c r="H6" s="33">
        <v>2024</v>
      </c>
      <c r="I6" s="32">
        <v>2</v>
      </c>
      <c r="J6" s="406" cm="1">
        <f t="array" ref="J6">INDEX(implementatie[[2023]:[2034]],MATCH(G6, implementatie[Zoeksleutel],0),I6)</f>
        <v>0.28000000000000003</v>
      </c>
      <c r="K6" s="406" cm="1">
        <f t="array" ref="K6">INDEX(implementatie[[2023]:[2034]],MATCH(G6,implementatie[Zoeksleutel],0),I6 + 1)</f>
        <v>0.37504000000000004</v>
      </c>
      <c r="L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4727.4639999999999</v>
      </c>
      <c r="M6" s="398" cm="1">
        <f t="array" ref="M6">J6*INDEX(Berekening_impact[Totaal arbeidsbesparing (€/jaar)],MATCH(B6,IF(Berekening_impact[Doelgroep]=C6,Berekening_impact[Digitale zorgtoepassing]),0))</f>
        <v>2518792.8191999998</v>
      </c>
      <c r="N6" s="397" cm="1">
        <f t="array" ref="N6">J6*INDEX(Berekening_impact[Totaal arbeidsbesparing (FTE/jaar)],MATCH(B6,IF(Berekening_impact[Doelgroep]=C6,Berekening_impact[Digitale zorgtoepassing]),0))</f>
        <v>43.653724690040285</v>
      </c>
      <c r="O6" s="398" cm="1">
        <f t="array" ref="O6">J6*INDEX(Berekening_impact[Overige kostenbesparing (totaal/jaar totaal potentieel)],MATCH(B6,IF(Berekening_impact[Doelgroep]=C6,Berekening_impact[Digitale zorgtoepassing]),0))</f>
        <v>1679195.2128000003</v>
      </c>
      <c r="P6" s="398" cm="1">
        <f t="array" ref="P6">J6*INDEX(Berekening_impact[Opbrengsten door QALY''s],MATCH(B6,IF(Berekening_impact[Doelgroep]=C6,Berekening_impact[Digitale zorgtoepassing]),0))</f>
        <v>0</v>
      </c>
      <c r="Q6" s="398" cm="1">
        <f t="array" ref="Q6">J6*INDEX(Berekening_impact[Jaarlijkse kosten (totaal) - incl. schatting],MATCH(B6,IF(Berekening_impact[Doelgroep]=C6,Berekening_impact[Digitale zorgtoepassing]),0))</f>
        <v>319289.18000000005</v>
      </c>
      <c r="R6" s="398" cm="1">
        <f t="array" ref="R6">(uitkomst_doelgroep[[#This Row],[Implementatiegraad t = T + 1]]-uitkomst_doelgroep[[#This Row],[Implementatiegraad t = T]])*INDEX(Berekening_impact[Initiële investering (totaal) - incl. schatting],MATCH(B6,IF(Berekening_impact[Doelgroep]=C6,Berekening_impact[Digitale zorgtoepassing]),0))</f>
        <v>0</v>
      </c>
      <c r="S6" s="398">
        <f>uitkomst_doelgroep[[#This Row],[Arbeidsbesparing (€)]]*uitkomst_doelgroep[[#This Row],[Percentage van patiëntaantallen in Wlz (overige is Zvw)]]</f>
        <v>0</v>
      </c>
      <c r="T6" s="398">
        <f>uitkomst_doelgroep[[#This Row],[Overige besparingen (€)]]*uitkomst_doelgroep[[#This Row],[Percentage van patiëntaantallen in Wlz (overige is Zvw)]]</f>
        <v>0</v>
      </c>
      <c r="U6" s="398">
        <f>uitkomst_doelgroep[[#This Row],[Kosten (€)]]*uitkomst_doelgroep[[#This Row],[Percentage van patiëntaantallen in Wlz (overige is Zvw)]]</f>
        <v>0</v>
      </c>
      <c r="V6" s="398">
        <f>uitkomst_doelgroep[[#This Row],[Investering (cash flow) (€)]]*uitkomst_doelgroep[[#This Row],[Percentage van patiëntaantallen in Wlz (overige is Zvw)]]</f>
        <v>0</v>
      </c>
    </row>
    <row r="7" spans="1:22" x14ac:dyDescent="0.5">
      <c r="A7" s="33" t="str">
        <f>INDEX(Technologieën[Veld],MATCH(B7,Technologieën[Digitale zorgtoepassing],0))</f>
        <v>Sensoren - Behandeling</v>
      </c>
      <c r="B7" s="33" t="s">
        <v>593</v>
      </c>
      <c r="C7" s="33" t="s">
        <v>308</v>
      </c>
      <c r="D7" s="427" cm="1">
        <f t="array" ref="D7">INDEX(Berekening_patiëntaantal[Percentage van patiëntaantallen in Wlz (overige is Zvw)],MATCH(B7,IF(Berekening_patiëntaantal[Doelgroep (zoeksleutel)]=C7,Berekening_patiëntaantal[Digitale zorgtoepassing]),0))</f>
        <v>0</v>
      </c>
      <c r="E7" s="33" t="str" cm="1">
        <f t="array" ref="E7">INDEX(Berekening_patiëntaantal[Direct toepasbaar/extrapolatie/incidentie voor QALY],MATCH(B7,IF(Berekening_patiëntaantal[Doelgroep (zoeksleutel)]=C7,Berekening_patiëntaantal[Digitale zorgtoepassing]),0))</f>
        <v>Huidige toepassing</v>
      </c>
      <c r="F7" s="43" t="s">
        <v>812</v>
      </c>
      <c r="G7" s="33" t="str">
        <f>CONCATENATE(uitkomst_doelgroep[[#This Row],[Digitale zorgtoepassing]],"_",uitkomst_doelgroep[[#This Row],[Doelgroep]],"_",uitkomst_doelgroep[[#This Row],[Uitgangssituatie/effect beleid]])</f>
        <v>(Zelf)monitoring hypertensie zwangeren_Zwangeren met hoge bloeddruk_Effect beleid</v>
      </c>
      <c r="H7" s="33">
        <v>2025</v>
      </c>
      <c r="I7" s="32">
        <v>3</v>
      </c>
      <c r="J7" s="406" cm="1">
        <f t="array" ref="J7">INDEX(implementatie[[2023]:[2034]],MATCH(G7, implementatie[Zoeksleutel],0),I7)</f>
        <v>0.37504000000000004</v>
      </c>
      <c r="K7" s="406" cm="1">
        <f t="array" ref="K7">INDEX(implementatie[[2023]:[2034]],MATCH(G7,implementatie[Zoeksleutel],0),I7 + 1)</f>
        <v>0.48129319936000003</v>
      </c>
      <c r="L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6332.1003520000004</v>
      </c>
      <c r="M7" s="398" cm="1">
        <f t="array" ref="M7">J7*INDEX(Berekening_impact[Totaal arbeidsbesparing (€/jaar)],MATCH(B7,IF(Berekening_impact[Doelgroep]=C7,Berekening_impact[Digitale zorgtoepassing]),0))</f>
        <v>3373743.0675455998</v>
      </c>
      <c r="N7" s="397" cm="1">
        <f t="array" ref="N7">J7*INDEX(Berekening_impact[Totaal arbeidsbesparing (FTE/jaar)],MATCH(B7,IF(Berekening_impact[Doelgroep]=C7,Berekening_impact[Digitale zorgtoepassing]),0))</f>
        <v>58.471046099116819</v>
      </c>
      <c r="O7" s="398" cm="1">
        <f t="array" ref="O7">J7*INDEX(Berekening_impact[Overige kostenbesparing (totaal/jaar totaal potentieel)],MATCH(B7,IF(Berekening_impact[Doelgroep]=C7,Berekening_impact[Digitale zorgtoepassing]),0))</f>
        <v>2249162.0450304006</v>
      </c>
      <c r="P7" s="398" cm="1">
        <f t="array" ref="P7">J7*INDEX(Berekening_impact[Opbrengsten door QALY''s],MATCH(B7,IF(Berekening_impact[Doelgroep]=C7,Berekening_impact[Digitale zorgtoepassing]),0))</f>
        <v>0</v>
      </c>
      <c r="Q7" s="398" cm="1">
        <f t="array" ref="Q7">J7*INDEX(Berekening_impact[Jaarlijkse kosten (totaal) - incl. schatting],MATCH(B7,IF(Berekening_impact[Doelgroep]=C7,Berekening_impact[Digitale zorgtoepassing]),0))</f>
        <v>427665.05024000007</v>
      </c>
      <c r="R7" s="398" cm="1">
        <f t="array" ref="R7">(uitkomst_doelgroep[[#This Row],[Implementatiegraad t = T + 1]]-uitkomst_doelgroep[[#This Row],[Implementatiegraad t = T]])*INDEX(Berekening_impact[Initiële investering (totaal) - incl. schatting],MATCH(B7,IF(Berekening_impact[Doelgroep]=C7,Berekening_impact[Digitale zorgtoepassing]),0))</f>
        <v>0</v>
      </c>
      <c r="S7" s="398">
        <f>uitkomst_doelgroep[[#This Row],[Arbeidsbesparing (€)]]*uitkomst_doelgroep[[#This Row],[Percentage van patiëntaantallen in Wlz (overige is Zvw)]]</f>
        <v>0</v>
      </c>
      <c r="T7" s="398">
        <f>uitkomst_doelgroep[[#This Row],[Overige besparingen (€)]]*uitkomst_doelgroep[[#This Row],[Percentage van patiëntaantallen in Wlz (overige is Zvw)]]</f>
        <v>0</v>
      </c>
      <c r="U7" s="398">
        <f>uitkomst_doelgroep[[#This Row],[Kosten (€)]]*uitkomst_doelgroep[[#This Row],[Percentage van patiëntaantallen in Wlz (overige is Zvw)]]</f>
        <v>0</v>
      </c>
      <c r="V7" s="398">
        <f>uitkomst_doelgroep[[#This Row],[Investering (cash flow) (€)]]*uitkomst_doelgroep[[#This Row],[Percentage van patiëntaantallen in Wlz (overige is Zvw)]]</f>
        <v>0</v>
      </c>
    </row>
    <row r="8" spans="1:22" x14ac:dyDescent="0.5">
      <c r="A8" s="33" t="str">
        <f>INDEX(Technologieën[Veld],MATCH(B8,Technologieën[Digitale zorgtoepassing],0))</f>
        <v>Sensoren - Behandeling</v>
      </c>
      <c r="B8" s="33" t="s">
        <v>593</v>
      </c>
      <c r="C8" s="33" t="s">
        <v>308</v>
      </c>
      <c r="D8" s="427" cm="1">
        <f t="array" ref="D8">INDEX(Berekening_patiëntaantal[Percentage van patiëntaantallen in Wlz (overige is Zvw)],MATCH(B8,IF(Berekening_patiëntaantal[Doelgroep (zoeksleutel)]=C8,Berekening_patiëntaantal[Digitale zorgtoepassing]),0))</f>
        <v>0</v>
      </c>
      <c r="E8" s="33" t="str" cm="1">
        <f t="array" ref="E8">INDEX(Berekening_patiëntaantal[Direct toepasbaar/extrapolatie/incidentie voor QALY],MATCH(B8,IF(Berekening_patiëntaantal[Doelgroep (zoeksleutel)]=C8,Berekening_patiëntaantal[Digitale zorgtoepassing]),0))</f>
        <v>Huidige toepassing</v>
      </c>
      <c r="F8" s="43" t="s">
        <v>812</v>
      </c>
      <c r="G8" s="33" t="str">
        <f>CONCATENATE(uitkomst_doelgroep[[#This Row],[Digitale zorgtoepassing]],"_",uitkomst_doelgroep[[#This Row],[Doelgroep]],"_",uitkomst_doelgroep[[#This Row],[Uitgangssituatie/effect beleid]])</f>
        <v>(Zelf)monitoring hypertensie zwangeren_Zwangeren met hoge bloeddruk_Effect beleid</v>
      </c>
      <c r="H8" s="33">
        <v>2026</v>
      </c>
      <c r="I8" s="32">
        <v>4</v>
      </c>
      <c r="J8" s="406" cm="1">
        <f t="array" ref="J8">INDEX(implementatie[[2023]:[2034]],MATCH(G8, implementatie[Zoeksleutel],0),I8)</f>
        <v>0.48129319936000003</v>
      </c>
      <c r="K8" s="406" cm="1">
        <f t="array" ref="K8">INDEX(implementatie[[2023]:[2034]],MATCH(G8,implementatie[Zoeksleutel],0),I8 + 1)</f>
        <v>0.59152735761672615</v>
      </c>
      <c r="L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8126.0581193543685</v>
      </c>
      <c r="M8" s="398" cm="1">
        <f t="array" ref="M8">J8*INDEX(Berekening_impact[Totaal arbeidsbesparing (€/jaar)],MATCH(B8,IF(Berekening_impact[Doelgroep]=C8,Berekening_impact[Digitale zorgtoepassing]),0))</f>
        <v>4329563.7659920072</v>
      </c>
      <c r="N8" s="397" cm="1">
        <f t="array" ref="N8">J8*INDEX(Berekening_impact[Totaal arbeidsbesparing (FTE/jaar)],MATCH(B8,IF(Berekening_impact[Doelgroep]=C8,Berekening_impact[Digitale zorgtoepassing]),0))</f>
        <v>75.03657435732184</v>
      </c>
      <c r="O8" s="398" cm="1">
        <f t="array" ref="O8">J8*INDEX(Berekening_impact[Overige kostenbesparing (totaal/jaar totaal potentieel)],MATCH(B8,IF(Berekening_impact[Doelgroep]=C8,Berekening_impact[Digitale zorgtoepassing]),0))</f>
        <v>2886375.8439946719</v>
      </c>
      <c r="P8" s="398" cm="1">
        <f t="array" ref="P8">J8*INDEX(Berekening_impact[Opbrengsten door QALY''s],MATCH(B8,IF(Berekening_impact[Doelgroep]=C8,Berekening_impact[Digitale zorgtoepassing]),0))</f>
        <v>0</v>
      </c>
      <c r="Q8" s="398" cm="1">
        <f t="array" ref="Q8">J8*INDEX(Berekening_impact[Jaarlijkse kosten (totaal) - incl. schatting],MATCH(B8,IF(Berekening_impact[Doelgroep]=C8,Berekening_impact[Digitale zorgtoepassing]),0))</f>
        <v>548827.53915439616</v>
      </c>
      <c r="R8" s="398" cm="1">
        <f t="array" ref="R8">(uitkomst_doelgroep[[#This Row],[Implementatiegraad t = T + 1]]-uitkomst_doelgroep[[#This Row],[Implementatiegraad t = T]])*INDEX(Berekening_impact[Initiële investering (totaal) - incl. schatting],MATCH(B8,IF(Berekening_impact[Doelgroep]=C8,Berekening_impact[Digitale zorgtoepassing]),0))</f>
        <v>0</v>
      </c>
      <c r="S8" s="398">
        <f>uitkomst_doelgroep[[#This Row],[Arbeidsbesparing (€)]]*uitkomst_doelgroep[[#This Row],[Percentage van patiëntaantallen in Wlz (overige is Zvw)]]</f>
        <v>0</v>
      </c>
      <c r="T8" s="398">
        <f>uitkomst_doelgroep[[#This Row],[Overige besparingen (€)]]*uitkomst_doelgroep[[#This Row],[Percentage van patiëntaantallen in Wlz (overige is Zvw)]]</f>
        <v>0</v>
      </c>
      <c r="U8" s="398">
        <f>uitkomst_doelgroep[[#This Row],[Kosten (€)]]*uitkomst_doelgroep[[#This Row],[Percentage van patiëntaantallen in Wlz (overige is Zvw)]]</f>
        <v>0</v>
      </c>
      <c r="V8" s="398">
        <f>uitkomst_doelgroep[[#This Row],[Investering (cash flow) (€)]]*uitkomst_doelgroep[[#This Row],[Percentage van patiëntaantallen in Wlz (overige is Zvw)]]</f>
        <v>0</v>
      </c>
    </row>
    <row r="9" spans="1:22" x14ac:dyDescent="0.5">
      <c r="A9" s="33" t="str">
        <f>INDEX(Technologieën[Veld],MATCH(B9,Technologieën[Digitale zorgtoepassing],0))</f>
        <v>Sensoren - Behandeling</v>
      </c>
      <c r="B9" s="33" t="s">
        <v>593</v>
      </c>
      <c r="C9" s="33" t="s">
        <v>308</v>
      </c>
      <c r="D9" s="427" cm="1">
        <f t="array" ref="D9">INDEX(Berekening_patiëntaantal[Percentage van patiëntaantallen in Wlz (overige is Zvw)],MATCH(B9,IF(Berekening_patiëntaantal[Doelgroep (zoeksleutel)]=C9,Berekening_patiëntaantal[Digitale zorgtoepassing]),0))</f>
        <v>0</v>
      </c>
      <c r="E9" s="33" t="str" cm="1">
        <f t="array" ref="E9">INDEX(Berekening_patiëntaantal[Direct toepasbaar/extrapolatie/incidentie voor QALY],MATCH(B9,IF(Berekening_patiëntaantal[Doelgroep (zoeksleutel)]=C9,Berekening_patiëntaantal[Digitale zorgtoepassing]),0))</f>
        <v>Huidige toepassing</v>
      </c>
      <c r="F9" s="43" t="s">
        <v>812</v>
      </c>
      <c r="G9" s="33" t="str">
        <f>CONCATENATE(uitkomst_doelgroep[[#This Row],[Digitale zorgtoepassing]],"_",uitkomst_doelgroep[[#This Row],[Doelgroep]],"_",uitkomst_doelgroep[[#This Row],[Uitgangssituatie/effect beleid]])</f>
        <v>(Zelf)monitoring hypertensie zwangeren_Zwangeren met hoge bloeddruk_Effect beleid</v>
      </c>
      <c r="H9" s="33">
        <v>2027</v>
      </c>
      <c r="I9" s="32">
        <v>5</v>
      </c>
      <c r="J9" s="406" cm="1">
        <f t="array" ref="J9">INDEX(implementatie[[2023]:[2034]],MATCH(G9, implementatie[Zoeksleutel],0),I9)</f>
        <v>0.59152735761672615</v>
      </c>
      <c r="K9" s="406" cm="1">
        <f t="array" ref="K9">INDEX(implementatie[[2023]:[2034]],MATCH(G9,implementatie[Zoeksleutel],0),I9 + 1)</f>
        <v>0.69634590758747161</v>
      </c>
      <c r="L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9987.229600529281</v>
      </c>
      <c r="M9" s="398" cm="1">
        <f t="array" ref="M9">J9*INDEX(Berekening_impact[Totaal arbeidsbesparing (€/jaar)],MATCH(B9,IF(Berekening_impact[Doelgroep]=C9,Berekening_impact[Digitale zorgtoepassing]),0))</f>
        <v>5321195.9311619997</v>
      </c>
      <c r="N9" s="397" cm="1">
        <f t="array" ref="N9">J9*INDEX(Berekening_impact[Totaal arbeidsbesparing (FTE/jaar)],MATCH(B9,IF(Berekening_impact[Doelgroep]=C9,Berekening_impact[Digitale zorgtoepassing]),0))</f>
        <v>92.222758628669879</v>
      </c>
      <c r="O9" s="398" cm="1">
        <f t="array" ref="O9">J9*INDEX(Berekening_impact[Overige kostenbesparing (totaal/jaar totaal potentieel)],MATCH(B9,IF(Berekening_impact[Doelgroep]=C9,Berekening_impact[Digitale zorgtoepassing]),0))</f>
        <v>3547463.9541080012</v>
      </c>
      <c r="P9" s="398" cm="1">
        <f t="array" ref="P9">J9*INDEX(Berekening_impact[Opbrengsten door QALY''s],MATCH(B9,IF(Berekening_impact[Doelgroep]=C9,Berekening_impact[Digitale zorgtoepassing]),0))</f>
        <v>0</v>
      </c>
      <c r="Q9" s="398" cm="1">
        <f t="array" ref="Q9">J9*INDEX(Berekening_impact[Jaarlijkse kosten (totaal) - incl. schatting],MATCH(B9,IF(Berekening_impact[Doelgroep]=C9,Berekening_impact[Digitale zorgtoepassing]),0))</f>
        <v>674529.58914646879</v>
      </c>
      <c r="R9" s="398" cm="1">
        <f t="array" ref="R9">(uitkomst_doelgroep[[#This Row],[Implementatiegraad t = T + 1]]-uitkomst_doelgroep[[#This Row],[Implementatiegraad t = T]])*INDEX(Berekening_impact[Initiële investering (totaal) - incl. schatting],MATCH(B9,IF(Berekening_impact[Doelgroep]=C9,Berekening_impact[Digitale zorgtoepassing]),0))</f>
        <v>0</v>
      </c>
      <c r="S9" s="398">
        <f>uitkomst_doelgroep[[#This Row],[Arbeidsbesparing (€)]]*uitkomst_doelgroep[[#This Row],[Percentage van patiëntaantallen in Wlz (overige is Zvw)]]</f>
        <v>0</v>
      </c>
      <c r="T9" s="398">
        <f>uitkomst_doelgroep[[#This Row],[Overige besparingen (€)]]*uitkomst_doelgroep[[#This Row],[Percentage van patiëntaantallen in Wlz (overige is Zvw)]]</f>
        <v>0</v>
      </c>
      <c r="U9" s="398">
        <f>uitkomst_doelgroep[[#This Row],[Kosten (€)]]*uitkomst_doelgroep[[#This Row],[Percentage van patiëntaantallen in Wlz (overige is Zvw)]]</f>
        <v>0</v>
      </c>
      <c r="V9" s="398">
        <f>uitkomst_doelgroep[[#This Row],[Investering (cash flow) (€)]]*uitkomst_doelgroep[[#This Row],[Percentage van patiëntaantallen in Wlz (overige is Zvw)]]</f>
        <v>0</v>
      </c>
    </row>
    <row r="10" spans="1:22" x14ac:dyDescent="0.5">
      <c r="A10" s="33" t="str">
        <f>INDEX(Technologieën[Veld],MATCH(B10,Technologieën[Digitale zorgtoepassing],0))</f>
        <v>Sensoren - Behandeling</v>
      </c>
      <c r="B10" s="33" t="s">
        <v>593</v>
      </c>
      <c r="C10" s="33" t="s">
        <v>308</v>
      </c>
      <c r="D10" s="427" cm="1">
        <f t="array" ref="D10">INDEX(Berekening_patiëntaantal[Percentage van patiëntaantallen in Wlz (overige is Zvw)],MATCH(B10,IF(Berekening_patiëntaantal[Doelgroep (zoeksleutel)]=C10,Berekening_patiëntaantal[Digitale zorgtoepassing]),0))</f>
        <v>0</v>
      </c>
      <c r="E10" s="33" t="str" cm="1">
        <f t="array" ref="E10">INDEX(Berekening_patiëntaantal[Direct toepasbaar/extrapolatie/incidentie voor QALY],MATCH(B10,IF(Berekening_patiëntaantal[Doelgroep (zoeksleutel)]=C10,Berekening_patiëntaantal[Digitale zorgtoepassing]),0))</f>
        <v>Huidige toepassing</v>
      </c>
      <c r="F10" s="43" t="s">
        <v>812</v>
      </c>
      <c r="G10" s="33" t="str">
        <f>CONCATENATE(uitkomst_doelgroep[[#This Row],[Digitale zorgtoepassing]],"_",uitkomst_doelgroep[[#This Row],[Doelgroep]],"_",uitkomst_doelgroep[[#This Row],[Uitgangssituatie/effect beleid]])</f>
        <v>(Zelf)monitoring hypertensie zwangeren_Zwangeren met hoge bloeddruk_Effect beleid</v>
      </c>
      <c r="H10" s="33">
        <v>2028</v>
      </c>
      <c r="I10" s="32">
        <v>6</v>
      </c>
      <c r="J10" s="406" cm="1">
        <f t="array" ref="J10">INDEX(implementatie[[2023]:[2034]],MATCH(G10, implementatie[Zoeksleutel],0),I10)</f>
        <v>0.69634590758747161</v>
      </c>
      <c r="K10" s="406" cm="1">
        <f t="array" ref="K10">INDEX(implementatie[[2023]:[2034]],MATCH(G10,implementatie[Zoeksleutel],0),I10 + 1)</f>
        <v>0.78699830326518305</v>
      </c>
      <c r="L1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11756.965034525352</v>
      </c>
      <c r="M10" s="398" cm="1">
        <f t="array" ref="M10">J10*INDEX(Berekening_impact[Totaal arbeidsbesparing (€/jaar)],MATCH(B10,IF(Berekening_impact[Doelgroep]=C10,Berekening_impact[Digitale zorgtoepassing]),0))</f>
        <v>6264110.9703951078</v>
      </c>
      <c r="N10" s="397" cm="1">
        <f t="array" ref="N10">J10*INDEX(Berekening_impact[Totaal arbeidsbesparing (FTE/jaar)],MATCH(B10,IF(Berekening_impact[Doelgroep]=C10,Berekening_impact[Digitale zorgtoepassing]),0))</f>
        <v>108.56461621021329</v>
      </c>
      <c r="O10" s="398" cm="1">
        <f t="array" ref="O10">J10*INDEX(Berekening_impact[Overige kostenbesparing (totaal/jaar totaal potentieel)],MATCH(B10,IF(Berekening_impact[Doelgroep]=C10,Berekening_impact[Digitale zorgtoepassing]),0))</f>
        <v>4176073.9802634059</v>
      </c>
      <c r="P10" s="398" cm="1">
        <f t="array" ref="P10">J10*INDEX(Berekening_impact[Opbrengsten door QALY''s],MATCH(B10,IF(Berekening_impact[Doelgroep]=C10,Berekening_impact[Digitale zorgtoepassing]),0))</f>
        <v>0</v>
      </c>
      <c r="Q10" s="398" cm="1">
        <f t="array" ref="Q10">J10*INDEX(Berekening_impact[Jaarlijkse kosten (totaal) - incl. schatting],MATCH(B10,IF(Berekening_impact[Doelgroep]=C10,Berekening_impact[Digitale zorgtoepassing]),0))</f>
        <v>794056.12082128425</v>
      </c>
      <c r="R10" s="398" cm="1">
        <f t="array" ref="R10">(uitkomst_doelgroep[[#This Row],[Implementatiegraad t = T + 1]]-uitkomst_doelgroep[[#This Row],[Implementatiegraad t = T]])*INDEX(Berekening_impact[Initiële investering (totaal) - incl. schatting],MATCH(B10,IF(Berekening_impact[Doelgroep]=C10,Berekening_impact[Digitale zorgtoepassing]),0))</f>
        <v>0</v>
      </c>
      <c r="S10" s="398">
        <f>uitkomst_doelgroep[[#This Row],[Arbeidsbesparing (€)]]*uitkomst_doelgroep[[#This Row],[Percentage van patiëntaantallen in Wlz (overige is Zvw)]]</f>
        <v>0</v>
      </c>
      <c r="T10" s="398">
        <f>uitkomst_doelgroep[[#This Row],[Overige besparingen (€)]]*uitkomst_doelgroep[[#This Row],[Percentage van patiëntaantallen in Wlz (overige is Zvw)]]</f>
        <v>0</v>
      </c>
      <c r="U10" s="398">
        <f>uitkomst_doelgroep[[#This Row],[Kosten (€)]]*uitkomst_doelgroep[[#This Row],[Percentage van patiëntaantallen in Wlz (overige is Zvw)]]</f>
        <v>0</v>
      </c>
      <c r="V10" s="398">
        <f>uitkomst_doelgroep[[#This Row],[Investering (cash flow) (€)]]*uitkomst_doelgroep[[#This Row],[Percentage van patiëntaantallen in Wlz (overige is Zvw)]]</f>
        <v>0</v>
      </c>
    </row>
    <row r="11" spans="1:22" x14ac:dyDescent="0.5">
      <c r="A11" s="33" t="str">
        <f>INDEX(Technologieën[Veld],MATCH(B11,Technologieën[Digitale zorgtoepassing],0))</f>
        <v>Sensoren - Behandeling</v>
      </c>
      <c r="B11" s="33" t="s">
        <v>593</v>
      </c>
      <c r="C11" s="33" t="s">
        <v>308</v>
      </c>
      <c r="D11" s="427" cm="1">
        <f t="array" ref="D11">INDEX(Berekening_patiëntaantal[Percentage van patiëntaantallen in Wlz (overige is Zvw)],MATCH(B11,IF(Berekening_patiëntaantal[Doelgroep (zoeksleutel)]=C11,Berekening_patiëntaantal[Digitale zorgtoepassing]),0))</f>
        <v>0</v>
      </c>
      <c r="E11" s="33" t="str" cm="1">
        <f t="array" ref="E11">INDEX(Berekening_patiëntaantal[Direct toepasbaar/extrapolatie/incidentie voor QALY],MATCH(B11,IF(Berekening_patiëntaantal[Doelgroep (zoeksleutel)]=C11,Berekening_patiëntaantal[Digitale zorgtoepassing]),0))</f>
        <v>Huidige toepassing</v>
      </c>
      <c r="F11" s="43" t="s">
        <v>812</v>
      </c>
      <c r="G11" s="33" t="str">
        <f>CONCATENATE(uitkomst_doelgroep[[#This Row],[Digitale zorgtoepassing]],"_",uitkomst_doelgroep[[#This Row],[Doelgroep]],"_",uitkomst_doelgroep[[#This Row],[Uitgangssituatie/effect beleid]])</f>
        <v>(Zelf)monitoring hypertensie zwangeren_Zwangeren met hoge bloeddruk_Effect beleid</v>
      </c>
      <c r="H11" s="33">
        <v>2029</v>
      </c>
      <c r="I11" s="32">
        <v>7</v>
      </c>
      <c r="J11" s="406" cm="1">
        <f t="array" ref="J11">INDEX(implementatie[[2023]:[2034]],MATCH(G11, implementatie[Zoeksleutel],0),I11)</f>
        <v>0.78699830326518305</v>
      </c>
      <c r="K11" s="406" cm="1">
        <f t="array" ref="K11">INDEX(implementatie[[2023]:[2034]],MATCH(G11,implementatie[Zoeksleutel],0),I11 + 1)</f>
        <v>0.85831112676904175</v>
      </c>
      <c r="L1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13287.521952668698</v>
      </c>
      <c r="M11" s="398" cm="1">
        <f t="array" ref="M11">J11*INDEX(Berekening_impact[Totaal arbeidsbesparing (€/jaar)],MATCH(B11,IF(Berekening_impact[Doelgroep]=C11,Berekening_impact[Digitale zorgtoepassing]),0))</f>
        <v>7079591.6963818809</v>
      </c>
      <c r="N11" s="397" cm="1">
        <f t="array" ref="N11">J11*INDEX(Berekening_impact[Totaal arbeidsbesparing (FTE/jaar)],MATCH(B11,IF(Berekening_impact[Doelgroep]=C11,Berekening_impact[Digitale zorgtoepassing]),0))</f>
        <v>122.69788307952547</v>
      </c>
      <c r="O11" s="398" cm="1">
        <f t="array" ref="O11">J11*INDEX(Berekening_impact[Overige kostenbesparing (totaal/jaar totaal potentieel)],MATCH(B11,IF(Berekening_impact[Doelgroep]=C11,Berekening_impact[Digitale zorgtoepassing]),0))</f>
        <v>4719727.7975879218</v>
      </c>
      <c r="P11" s="398" cm="1">
        <f t="array" ref="P11">J11*INDEX(Berekening_impact[Opbrengsten door QALY''s],MATCH(B11,IF(Berekening_impact[Doelgroep]=C11,Berekening_impact[Digitale zorgtoepassing]),0))</f>
        <v>0</v>
      </c>
      <c r="Q11" s="398" cm="1">
        <f t="array" ref="Q11">J11*INDEX(Berekening_impact[Jaarlijkse kosten (totaal) - incl. schatting],MATCH(B11,IF(Berekening_impact[Doelgroep]=C11,Berekening_impact[Digitale zorgtoepassing]),0))</f>
        <v>897428.7246818986</v>
      </c>
      <c r="R11" s="398" cm="1">
        <f t="array" ref="R11">(uitkomst_doelgroep[[#This Row],[Implementatiegraad t = T + 1]]-uitkomst_doelgroep[[#This Row],[Implementatiegraad t = T]])*INDEX(Berekening_impact[Initiële investering (totaal) - incl. schatting],MATCH(B11,IF(Berekening_impact[Doelgroep]=C11,Berekening_impact[Digitale zorgtoepassing]),0))</f>
        <v>0</v>
      </c>
      <c r="S11" s="398">
        <f>uitkomst_doelgroep[[#This Row],[Arbeidsbesparing (€)]]*uitkomst_doelgroep[[#This Row],[Percentage van patiëntaantallen in Wlz (overige is Zvw)]]</f>
        <v>0</v>
      </c>
      <c r="T11" s="398">
        <f>uitkomst_doelgroep[[#This Row],[Overige besparingen (€)]]*uitkomst_doelgroep[[#This Row],[Percentage van patiëntaantallen in Wlz (overige is Zvw)]]</f>
        <v>0</v>
      </c>
      <c r="U11" s="398">
        <f>uitkomst_doelgroep[[#This Row],[Kosten (€)]]*uitkomst_doelgroep[[#This Row],[Percentage van patiëntaantallen in Wlz (overige is Zvw)]]</f>
        <v>0</v>
      </c>
      <c r="V11" s="398">
        <f>uitkomst_doelgroep[[#This Row],[Investering (cash flow) (€)]]*uitkomst_doelgroep[[#This Row],[Percentage van patiëntaantallen in Wlz (overige is Zvw)]]</f>
        <v>0</v>
      </c>
    </row>
    <row r="12" spans="1:22" x14ac:dyDescent="0.5">
      <c r="A12" s="33" t="str">
        <f>INDEX(Technologieën[Veld],MATCH(B12,Technologieën[Digitale zorgtoepassing],0))</f>
        <v>Sensoren - Behandeling</v>
      </c>
      <c r="B12" s="33" t="s">
        <v>593</v>
      </c>
      <c r="C12" s="33" t="s">
        <v>308</v>
      </c>
      <c r="D12" s="427" cm="1">
        <f t="array" ref="D12">INDEX(Berekening_patiëntaantal[Percentage van patiëntaantallen in Wlz (overige is Zvw)],MATCH(B12,IF(Berekening_patiëntaantal[Doelgroep (zoeksleutel)]=C12,Berekening_patiëntaantal[Digitale zorgtoepassing]),0))</f>
        <v>0</v>
      </c>
      <c r="E12" s="33" t="str" cm="1">
        <f t="array" ref="E12">INDEX(Berekening_patiëntaantal[Direct toepasbaar/extrapolatie/incidentie voor QALY],MATCH(B12,IF(Berekening_patiëntaantal[Doelgroep (zoeksleutel)]=C12,Berekening_patiëntaantal[Digitale zorgtoepassing]),0))</f>
        <v>Huidige toepassing</v>
      </c>
      <c r="F12" s="43" t="s">
        <v>812</v>
      </c>
      <c r="G12" s="33" t="str">
        <f>CONCATENATE(uitkomst_doelgroep[[#This Row],[Digitale zorgtoepassing]],"_",uitkomst_doelgroep[[#This Row],[Doelgroep]],"_",uitkomst_doelgroep[[#This Row],[Uitgangssituatie/effect beleid]])</f>
        <v>(Zelf)monitoring hypertensie zwangeren_Zwangeren met hoge bloeddruk_Effect beleid</v>
      </c>
      <c r="H12" s="33">
        <v>2030</v>
      </c>
      <c r="I12" s="32">
        <v>8</v>
      </c>
      <c r="J12" s="406" cm="1">
        <f t="array" ref="J12">INDEX(implementatie[[2023]:[2034]],MATCH(G12, implementatie[Zoeksleutel],0),I12)</f>
        <v>0.85831112676904175</v>
      </c>
      <c r="K12" s="406" cm="1">
        <f t="array" ref="K12">INDEX(implementatie[[2023]:[2034]],MATCH(G12,implementatie[Zoeksleutel],0),I12 + 1)</f>
        <v>0.90979015880706082</v>
      </c>
      <c r="L1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14491.553402143147</v>
      </c>
      <c r="M12" s="398" cm="1">
        <f t="array" ref="M12">J12*INDEX(Berekening_impact[Totaal arbeidsbesparing (€/jaar)],MATCH(B12,IF(Berekening_impact[Doelgroep]=C12,Berekening_impact[Digitale zorgtoepassing]),0))</f>
        <v>7721099.6526618674</v>
      </c>
      <c r="N12" s="397" cm="1">
        <f t="array" ref="N12">J12*INDEX(Berekening_impact[Totaal arbeidsbesparing (FTE/jaar)],MATCH(B12,IF(Berekening_impact[Doelgroep]=C12,Berekening_impact[Digitale zorgtoepassing]),0))</f>
        <v>133.81599152276434</v>
      </c>
      <c r="O12" s="398" cm="1">
        <f t="array" ref="O12">J12*INDEX(Berekening_impact[Overige kostenbesparing (totaal/jaar totaal potentieel)],MATCH(B12,IF(Berekening_impact[Doelgroep]=C12,Berekening_impact[Digitale zorgtoepassing]),0))</f>
        <v>5147399.7684412468</v>
      </c>
      <c r="P12" s="398" cm="1">
        <f t="array" ref="P12">J12*INDEX(Berekening_impact[Opbrengsten door QALY''s],MATCH(B12,IF(Berekening_impact[Doelgroep]=C12,Berekening_impact[Digitale zorgtoepassing]),0))</f>
        <v>0</v>
      </c>
      <c r="Q12" s="398" cm="1">
        <f t="array" ref="Q12">J12*INDEX(Berekening_impact[Jaarlijkse kosten (totaal) - incl. schatting],MATCH(B12,IF(Berekening_impact[Doelgroep]=C12,Berekening_impact[Digitale zorgtoepassing]),0))</f>
        <v>978748.05661058356</v>
      </c>
      <c r="R12" s="398" cm="1">
        <f t="array" ref="R12">(uitkomst_doelgroep[[#This Row],[Implementatiegraad t = T + 1]]-uitkomst_doelgroep[[#This Row],[Implementatiegraad t = T]])*INDEX(Berekening_impact[Initiële investering (totaal) - incl. schatting],MATCH(B12,IF(Berekening_impact[Doelgroep]=C12,Berekening_impact[Digitale zorgtoepassing]),0))</f>
        <v>0</v>
      </c>
      <c r="S12" s="398">
        <f>uitkomst_doelgroep[[#This Row],[Arbeidsbesparing (€)]]*uitkomst_doelgroep[[#This Row],[Percentage van patiëntaantallen in Wlz (overige is Zvw)]]</f>
        <v>0</v>
      </c>
      <c r="T12" s="398">
        <f>uitkomst_doelgroep[[#This Row],[Overige besparingen (€)]]*uitkomst_doelgroep[[#This Row],[Percentage van patiëntaantallen in Wlz (overige is Zvw)]]</f>
        <v>0</v>
      </c>
      <c r="U12" s="398">
        <f>uitkomst_doelgroep[[#This Row],[Kosten (€)]]*uitkomst_doelgroep[[#This Row],[Percentage van patiëntaantallen in Wlz (overige is Zvw)]]</f>
        <v>0</v>
      </c>
      <c r="V12" s="398">
        <f>uitkomst_doelgroep[[#This Row],[Investering (cash flow) (€)]]*uitkomst_doelgroep[[#This Row],[Percentage van patiëntaantallen in Wlz (overige is Zvw)]]</f>
        <v>0</v>
      </c>
    </row>
    <row r="13" spans="1:22" x14ac:dyDescent="0.5">
      <c r="A13" s="33" t="str">
        <f>INDEX(Technologieën[Veld],MATCH(B13,Technologieën[Digitale zorgtoepassing],0))</f>
        <v>Sensoren - Behandeling</v>
      </c>
      <c r="B13" s="33" t="s">
        <v>593</v>
      </c>
      <c r="C13" s="33" t="s">
        <v>308</v>
      </c>
      <c r="D13" s="427" cm="1">
        <f t="array" ref="D13">INDEX(Berekening_patiëntaantal[Percentage van patiëntaantallen in Wlz (overige is Zvw)],MATCH(B13,IF(Berekening_patiëntaantal[Doelgroep (zoeksleutel)]=C13,Berekening_patiëntaantal[Digitale zorgtoepassing]),0))</f>
        <v>0</v>
      </c>
      <c r="E13" s="33" t="str" cm="1">
        <f t="array" ref="E13">INDEX(Berekening_patiëntaantal[Direct toepasbaar/extrapolatie/incidentie voor QALY],MATCH(B13,IF(Berekening_patiëntaantal[Doelgroep (zoeksleutel)]=C13,Berekening_patiëntaantal[Digitale zorgtoepassing]),0))</f>
        <v>Huidige toepassing</v>
      </c>
      <c r="F13" s="43" t="s">
        <v>812</v>
      </c>
      <c r="G13" s="33" t="str">
        <f>CONCATENATE(uitkomst_doelgroep[[#This Row],[Digitale zorgtoepassing]],"_",uitkomst_doelgroep[[#This Row],[Doelgroep]],"_",uitkomst_doelgroep[[#This Row],[Uitgangssituatie/effect beleid]])</f>
        <v>(Zelf)monitoring hypertensie zwangeren_Zwangeren met hoge bloeddruk_Effect beleid</v>
      </c>
      <c r="H13" s="33">
        <v>2031</v>
      </c>
      <c r="I13" s="32">
        <v>9</v>
      </c>
      <c r="J13" s="406" cm="1">
        <f t="array" ref="J13">INDEX(implementatie[[2023]:[2034]],MATCH(G13, implementatie[Zoeksleutel],0),I13)</f>
        <v>0.90979015880706082</v>
      </c>
      <c r="K13" s="406" cm="1">
        <f t="array" ref="K13">INDEX(implementatie[[2023]:[2034]],MATCH(G13,implementatie[Zoeksleutel],0),I13 + 1)</f>
        <v>0.94442316592887321</v>
      </c>
      <c r="L1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15360.715083266652</v>
      </c>
      <c r="M13" s="398" cm="1">
        <f t="array" ref="M13">J13*INDEX(Berekening_impact[Totaal arbeidsbesparing (€/jaar)],MATCH(B13,IF(Berekening_impact[Doelgroep]=C13,Berekening_impact[Digitale zorgtoepassing]),0))</f>
        <v>8184188.9963644715</v>
      </c>
      <c r="N13" s="397" cm="1">
        <f t="array" ref="N13">J13*INDEX(Berekening_impact[Totaal arbeidsbesparing (FTE/jaar)],MATCH(B13,IF(Berekening_impact[Doelgroep]=C13,Berekening_impact[Digitale zorgtoepassing]),0))</f>
        <v>141.84188970811235</v>
      </c>
      <c r="O13" s="398" cm="1">
        <f t="array" ref="O13">J13*INDEX(Berekening_impact[Overige kostenbesparing (totaal/jaar totaal potentieel)],MATCH(B13,IF(Berekening_impact[Doelgroep]=C13,Berekening_impact[Digitale zorgtoepassing]),0))</f>
        <v>5456125.9975763159</v>
      </c>
      <c r="P13" s="398" cm="1">
        <f t="array" ref="P13">J13*INDEX(Berekening_impact[Opbrengsten door QALY''s],MATCH(B13,IF(Berekening_impact[Doelgroep]=C13,Berekening_impact[Digitale zorgtoepassing]),0))</f>
        <v>0</v>
      </c>
      <c r="Q13" s="398" cm="1">
        <f t="array" ref="Q13">J13*INDEX(Berekening_impact[Jaarlijkse kosten (totaal) - incl. schatting],MATCH(B13,IF(Berekening_impact[Doelgroep]=C13,Berekening_impact[Digitale zorgtoepassing]),0))</f>
        <v>1037450.5492056294</v>
      </c>
      <c r="R13" s="398" cm="1">
        <f t="array" ref="R13">(uitkomst_doelgroep[[#This Row],[Implementatiegraad t = T + 1]]-uitkomst_doelgroep[[#This Row],[Implementatiegraad t = T]])*INDEX(Berekening_impact[Initiële investering (totaal) - incl. schatting],MATCH(B13,IF(Berekening_impact[Doelgroep]=C13,Berekening_impact[Digitale zorgtoepassing]),0))</f>
        <v>0</v>
      </c>
      <c r="S13" s="398">
        <f>uitkomst_doelgroep[[#This Row],[Arbeidsbesparing (€)]]*uitkomst_doelgroep[[#This Row],[Percentage van patiëntaantallen in Wlz (overige is Zvw)]]</f>
        <v>0</v>
      </c>
      <c r="T13" s="398">
        <f>uitkomst_doelgroep[[#This Row],[Overige besparingen (€)]]*uitkomst_doelgroep[[#This Row],[Percentage van patiëntaantallen in Wlz (overige is Zvw)]]</f>
        <v>0</v>
      </c>
      <c r="U13" s="398">
        <f>uitkomst_doelgroep[[#This Row],[Kosten (€)]]*uitkomst_doelgroep[[#This Row],[Percentage van patiëntaantallen in Wlz (overige is Zvw)]]</f>
        <v>0</v>
      </c>
      <c r="V13" s="398">
        <f>uitkomst_doelgroep[[#This Row],[Investering (cash flow) (€)]]*uitkomst_doelgroep[[#This Row],[Percentage van patiëntaantallen in Wlz (overige is Zvw)]]</f>
        <v>0</v>
      </c>
    </row>
    <row r="14" spans="1:22" x14ac:dyDescent="0.5">
      <c r="A14" s="33" t="str">
        <f>INDEX(Technologieën[Veld],MATCH(B14,Technologieën[Digitale zorgtoepassing],0))</f>
        <v>Sensoren - Behandeling</v>
      </c>
      <c r="B14" s="33" t="s">
        <v>593</v>
      </c>
      <c r="C14" s="33" t="s">
        <v>308</v>
      </c>
      <c r="D14" s="427" cm="1">
        <f t="array" ref="D14">INDEX(Berekening_patiëntaantal[Percentage van patiëntaantallen in Wlz (overige is Zvw)],MATCH(B14,IF(Berekening_patiëntaantal[Doelgroep (zoeksleutel)]=C14,Berekening_patiëntaantal[Digitale zorgtoepassing]),0))</f>
        <v>0</v>
      </c>
      <c r="E14" s="33" t="str" cm="1">
        <f t="array" ref="E14">INDEX(Berekening_patiëntaantal[Direct toepasbaar/extrapolatie/incidentie voor QALY],MATCH(B14,IF(Berekening_patiëntaantal[Doelgroep (zoeksleutel)]=C14,Berekening_patiëntaantal[Digitale zorgtoepassing]),0))</f>
        <v>Huidige toepassing</v>
      </c>
      <c r="F14" s="43" t="s">
        <v>812</v>
      </c>
      <c r="G14" s="33" t="str">
        <f>CONCATENATE(uitkomst_doelgroep[[#This Row],[Digitale zorgtoepassing]],"_",uitkomst_doelgroep[[#This Row],[Doelgroep]],"_",uitkomst_doelgroep[[#This Row],[Uitgangssituatie/effect beleid]])</f>
        <v>(Zelf)monitoring hypertensie zwangeren_Zwangeren met hoge bloeddruk_Effect beleid</v>
      </c>
      <c r="H14" s="33">
        <v>2032</v>
      </c>
      <c r="I14" s="32">
        <v>10</v>
      </c>
      <c r="J14" s="406" cm="1">
        <f t="array" ref="J14">INDEX(implementatie[[2023]:[2034]],MATCH(G14, implementatie[Zoeksleutel],0),I14)</f>
        <v>0.94442316592887321</v>
      </c>
      <c r="K14" s="406" cm="1">
        <f t="array" ref="K14">INDEX(implementatie[[2023]:[2034]],MATCH(G14,implementatie[Zoeksleutel],0),I14 + 1)</f>
        <v>0.96652992244459857</v>
      </c>
      <c r="L1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15945.451848909908</v>
      </c>
      <c r="M14" s="398" cm="1">
        <f t="array" ref="M14">J14*INDEX(Berekening_impact[Totaal arbeidsbesparing (€/jaar)],MATCH(B14,IF(Berekening_impact[Doelgroep]=C14,Berekening_impact[Digitale zorgtoepassing]),0))</f>
        <v>8495736.7450991981</v>
      </c>
      <c r="N14" s="397" cm="1">
        <f t="array" ref="N14">J14*INDEX(Berekening_impact[Totaal arbeidsbesparing (FTE/jaar)],MATCH(B14,IF(Berekening_impact[Doelgroep]=C14,Berekening_impact[Digitale zorgtoepassing]),0))</f>
        <v>147.24138884412594</v>
      </c>
      <c r="O14" s="398" cm="1">
        <f t="array" ref="O14">J14*INDEX(Berekening_impact[Overige kostenbesparing (totaal/jaar totaal potentieel)],MATCH(B14,IF(Berekening_impact[Doelgroep]=C14,Berekening_impact[Digitale zorgtoepassing]),0))</f>
        <v>5663824.4967328003</v>
      </c>
      <c r="P14" s="398" cm="1">
        <f t="array" ref="P14">J14*INDEX(Berekening_impact[Opbrengsten door QALY''s],MATCH(B14,IF(Berekening_impact[Doelgroep]=C14,Berekening_impact[Digitale zorgtoepassing]),0))</f>
        <v>0</v>
      </c>
      <c r="Q14" s="398" cm="1">
        <f t="array" ref="Q14">J14*INDEX(Berekening_impact[Jaarlijkse kosten (totaal) - incl. schatting],MATCH(B14,IF(Berekening_impact[Doelgroep]=C14,Berekening_impact[Digitale zorgtoepassing]),0))</f>
        <v>1076943.2079372639</v>
      </c>
      <c r="R14" s="398" cm="1">
        <f t="array" ref="R14">(uitkomst_doelgroep[[#This Row],[Implementatiegraad t = T + 1]]-uitkomst_doelgroep[[#This Row],[Implementatiegraad t = T]])*INDEX(Berekening_impact[Initiële investering (totaal) - incl. schatting],MATCH(B14,IF(Berekening_impact[Doelgroep]=C14,Berekening_impact[Digitale zorgtoepassing]),0))</f>
        <v>0</v>
      </c>
      <c r="S14" s="398">
        <f>uitkomst_doelgroep[[#This Row],[Arbeidsbesparing (€)]]*uitkomst_doelgroep[[#This Row],[Percentage van patiëntaantallen in Wlz (overige is Zvw)]]</f>
        <v>0</v>
      </c>
      <c r="T14" s="398">
        <f>uitkomst_doelgroep[[#This Row],[Overige besparingen (€)]]*uitkomst_doelgroep[[#This Row],[Percentage van patiëntaantallen in Wlz (overige is Zvw)]]</f>
        <v>0</v>
      </c>
      <c r="U14" s="398">
        <f>uitkomst_doelgroep[[#This Row],[Kosten (€)]]*uitkomst_doelgroep[[#This Row],[Percentage van patiëntaantallen in Wlz (overige is Zvw)]]</f>
        <v>0</v>
      </c>
      <c r="V14" s="398">
        <f>uitkomst_doelgroep[[#This Row],[Investering (cash flow) (€)]]*uitkomst_doelgroep[[#This Row],[Percentage van patiëntaantallen in Wlz (overige is Zvw)]]</f>
        <v>0</v>
      </c>
    </row>
    <row r="15" spans="1:22" x14ac:dyDescent="0.5">
      <c r="A15" s="33" t="str">
        <f>INDEX(Technologieën[Veld],MATCH(B15,Technologieën[Digitale zorgtoepassing],0))</f>
        <v>Sensoren - Behandeling</v>
      </c>
      <c r="B15" s="33" t="s">
        <v>593</v>
      </c>
      <c r="C15" s="33" t="s">
        <v>308</v>
      </c>
      <c r="D15" s="427" cm="1">
        <f t="array" ref="D15">INDEX(Berekening_patiëntaantal[Percentage van patiëntaantallen in Wlz (overige is Zvw)],MATCH(B15,IF(Berekening_patiëntaantal[Doelgroep (zoeksleutel)]=C15,Berekening_patiëntaantal[Digitale zorgtoepassing]),0))</f>
        <v>0</v>
      </c>
      <c r="E15" s="33" t="str" cm="1">
        <f t="array" ref="E15">INDEX(Berekening_patiëntaantal[Direct toepasbaar/extrapolatie/incidentie voor QALY],MATCH(B15,IF(Berekening_patiëntaantal[Doelgroep (zoeksleutel)]=C15,Berekening_patiëntaantal[Digitale zorgtoepassing]),0))</f>
        <v>Huidige toepassing</v>
      </c>
      <c r="F15" s="43" t="s">
        <v>812</v>
      </c>
      <c r="G15" s="33" t="str">
        <f>CONCATENATE(uitkomst_doelgroep[[#This Row],[Digitale zorgtoepassing]],"_",uitkomst_doelgroep[[#This Row],[Doelgroep]],"_",uitkomst_doelgroep[[#This Row],[Uitgangssituatie/effect beleid]])</f>
        <v>(Zelf)monitoring hypertensie zwangeren_Zwangeren met hoge bloeddruk_Effect beleid</v>
      </c>
      <c r="H15" s="33">
        <v>2033</v>
      </c>
      <c r="I15" s="32">
        <v>11</v>
      </c>
      <c r="J15" s="406" cm="1">
        <f t="array" ref="J15">INDEX(implementatie[[2023]:[2034]],MATCH(G15, implementatie[Zoeksleutel],0),I15)</f>
        <v>0.96652992244459857</v>
      </c>
      <c r="K15" s="406" cm="1">
        <f t="array" ref="K15">INDEX(implementatie[[2023]:[2034]],MATCH(G15,implementatie[Zoeksleutel],0),I15 + 1)</f>
        <v>0.98013925658124135</v>
      </c>
      <c r="L1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16318.697904570112</v>
      </c>
      <c r="M15" s="398" cm="1">
        <f t="array" ref="M15">J15*INDEX(Berekening_impact[Totaal arbeidsbesparing (€/jaar)],MATCH(B15,IF(Berekening_impact[Doelgroep]=C15,Berekening_impact[Digitale zorgtoepassing]),0))</f>
        <v>8694602.2435549553</v>
      </c>
      <c r="N15" s="397" cm="1">
        <f t="array" ref="N15">J15*INDEX(Berekening_impact[Totaal arbeidsbesparing (FTE/jaar)],MATCH(B15,IF(Berekening_impact[Doelgroep]=C15,Berekening_impact[Digitale zorgtoepassing]),0))</f>
        <v>150.68796835386604</v>
      </c>
      <c r="O15" s="398" cm="1">
        <f t="array" ref="O15">J15*INDEX(Berekening_impact[Overige kostenbesparing (totaal/jaar totaal potentieel)],MATCH(B15,IF(Berekening_impact[Doelgroep]=C15,Berekening_impact[Digitale zorgtoepassing]),0))</f>
        <v>5796401.4957033051</v>
      </c>
      <c r="P15" s="398" cm="1">
        <f t="array" ref="P15">J15*INDEX(Berekening_impact[Opbrengsten door QALY''s],MATCH(B15,IF(Berekening_impact[Doelgroep]=C15,Berekening_impact[Digitale zorgtoepassing]),0))</f>
        <v>0</v>
      </c>
      <c r="Q15" s="398" cm="1">
        <f t="array" ref="Q15">J15*INDEX(Berekening_impact[Jaarlijkse kosten (totaal) - incl. schatting],MATCH(B15,IF(Berekening_impact[Doelgroep]=C15,Berekening_impact[Digitale zorgtoepassing]),0))</f>
        <v>1102151.951367141</v>
      </c>
      <c r="R15" s="398" cm="1">
        <f t="array" ref="R15">(uitkomst_doelgroep[[#This Row],[Implementatiegraad t = T + 1]]-uitkomst_doelgroep[[#This Row],[Implementatiegraad t = T]])*INDEX(Berekening_impact[Initiële investering (totaal) - incl. schatting],MATCH(B15,IF(Berekening_impact[Doelgroep]=C15,Berekening_impact[Digitale zorgtoepassing]),0))</f>
        <v>0</v>
      </c>
      <c r="S15" s="398">
        <f>uitkomst_doelgroep[[#This Row],[Arbeidsbesparing (€)]]*uitkomst_doelgroep[[#This Row],[Percentage van patiëntaantallen in Wlz (overige is Zvw)]]</f>
        <v>0</v>
      </c>
      <c r="T15" s="398">
        <f>uitkomst_doelgroep[[#This Row],[Overige besparingen (€)]]*uitkomst_doelgroep[[#This Row],[Percentage van patiëntaantallen in Wlz (overige is Zvw)]]</f>
        <v>0</v>
      </c>
      <c r="U15" s="398">
        <f>uitkomst_doelgroep[[#This Row],[Kosten (€)]]*uitkomst_doelgroep[[#This Row],[Percentage van patiëntaantallen in Wlz (overige is Zvw)]]</f>
        <v>0</v>
      </c>
      <c r="V15" s="398">
        <f>uitkomst_doelgroep[[#This Row],[Investering (cash flow) (€)]]*uitkomst_doelgroep[[#This Row],[Percentage van patiëntaantallen in Wlz (overige is Zvw)]]</f>
        <v>0</v>
      </c>
    </row>
    <row r="16" spans="1:22" x14ac:dyDescent="0.5">
      <c r="A16" s="33" t="str">
        <f>INDEX(Technologieën[Veld],MATCH(B16,Technologieën[Digitale zorgtoepassing],0))</f>
        <v>Software - Behandeling</v>
      </c>
      <c r="B16" s="33" t="s">
        <v>609</v>
      </c>
      <c r="C16" s="33" t="s">
        <v>81</v>
      </c>
      <c r="D16" s="427" cm="1">
        <f t="array" ref="D16">INDEX(Berekening_patiëntaantal[Percentage van patiëntaantallen in Wlz (overige is Zvw)],MATCH(B16,IF(Berekening_patiëntaantal[Doelgroep (zoeksleutel)]=C16,Berekening_patiëntaantal[Digitale zorgtoepassing]),0))</f>
        <v>0</v>
      </c>
      <c r="E16" s="33" t="str" cm="1">
        <f t="array" ref="E16">INDEX(Berekening_patiëntaantal[Direct toepasbaar/extrapolatie/incidentie voor QALY],MATCH(B16,IF(Berekening_patiëntaantal[Doelgroep (zoeksleutel)]=C16,Berekening_patiëntaantal[Digitale zorgtoepassing]),0))</f>
        <v>Huidige toepassing</v>
      </c>
      <c r="F16" s="43" t="s">
        <v>812</v>
      </c>
      <c r="G16" s="33" t="str">
        <f>CONCATENATE(uitkomst_doelgroep[[#This Row],[Digitale zorgtoepassing]],"_",uitkomst_doelgroep[[#This Row],[Doelgroep]],"_",uitkomst_doelgroep[[#This Row],[Uitgangssituatie/effect beleid]])</f>
        <v>(Zelf)zorgplatform + telebegeleiding_IBD_Effect beleid</v>
      </c>
      <c r="H16" s="33">
        <v>2023</v>
      </c>
      <c r="I16" s="32">
        <v>1</v>
      </c>
      <c r="J16" s="406" cm="1">
        <f t="array" ref="J16">INDEX(implementatie[[2023]:[2034]],MATCH(G16, implementatie[Zoeksleutel],0),I16)</f>
        <v>0.6</v>
      </c>
      <c r="K16" s="406" cm="1">
        <f t="array" ref="K16">INDEX(implementatie[[2023]:[2034]],MATCH(G16,implementatie[Zoeksleutel],0),I16 + 1)</f>
        <v>0.71799999999999997</v>
      </c>
      <c r="L1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48000</v>
      </c>
      <c r="M16" s="398" cm="1">
        <f t="array" ref="M16">J16*INDEX(Berekening_impact[Totaal arbeidsbesparing (€/jaar)],MATCH(B16,IF(Berekening_impact[Doelgroep]=C16,Berekening_impact[Digitale zorgtoepassing]),0))</f>
        <v>5702400</v>
      </c>
      <c r="N16" s="397" cm="1">
        <f t="array" ref="N16">J16*INDEX(Berekening_impact[Totaal arbeidsbesparing (FTE/jaar)],MATCH(B16,IF(Berekening_impact[Doelgroep]=C16,Berekening_impact[Digitale zorgtoepassing]),0))</f>
        <v>30.05915653406489</v>
      </c>
      <c r="O16" s="398" cm="1">
        <f t="array" ref="O16">J16*INDEX(Berekening_impact[Overige kostenbesparing (totaal/jaar totaal potentieel)],MATCH(B16,IF(Berekening_impact[Doelgroep]=C16,Berekening_impact[Digitale zorgtoepassing]),0))</f>
        <v>14169600</v>
      </c>
      <c r="P16" s="398" cm="1">
        <f t="array" ref="P16">J16*INDEX(Berekening_impact[Opbrengsten door QALY''s],MATCH(B16,IF(Berekening_impact[Doelgroep]=C16,Berekening_impact[Digitale zorgtoepassing]),0))</f>
        <v>4800000</v>
      </c>
      <c r="Q16" s="398" cm="1">
        <f t="array" ref="Q16">J16*INDEX(Berekening_impact[Jaarlijkse kosten (totaal) - incl. schatting],MATCH(B16,IF(Berekening_impact[Doelgroep]=C16,Berekening_impact[Digitale zorgtoepassing]),0))</f>
        <v>1920000</v>
      </c>
      <c r="R16" s="398" cm="1">
        <f t="array" ref="R16">(uitkomst_doelgroep[[#This Row],[Implementatiegraad t = T + 1]]-uitkomst_doelgroep[[#This Row],[Implementatiegraad t = T]])*INDEX(Berekening_impact[Initiële investering (totaal) - incl. schatting],MATCH(B16,IF(Berekening_impact[Doelgroep]=C16,Berekening_impact[Digitale zorgtoepassing]),0))</f>
        <v>0</v>
      </c>
      <c r="S16" s="398">
        <f>uitkomst_doelgroep[[#This Row],[Arbeidsbesparing (€)]]*uitkomst_doelgroep[[#This Row],[Percentage van patiëntaantallen in Wlz (overige is Zvw)]]</f>
        <v>0</v>
      </c>
      <c r="T16" s="398">
        <f>uitkomst_doelgroep[[#This Row],[Overige besparingen (€)]]*uitkomst_doelgroep[[#This Row],[Percentage van patiëntaantallen in Wlz (overige is Zvw)]]</f>
        <v>0</v>
      </c>
      <c r="U16" s="398">
        <f>uitkomst_doelgroep[[#This Row],[Kosten (€)]]*uitkomst_doelgroep[[#This Row],[Percentage van patiëntaantallen in Wlz (overige is Zvw)]]</f>
        <v>0</v>
      </c>
      <c r="V16" s="398">
        <f>uitkomst_doelgroep[[#This Row],[Investering (cash flow) (€)]]*uitkomst_doelgroep[[#This Row],[Percentage van patiëntaantallen in Wlz (overige is Zvw)]]</f>
        <v>0</v>
      </c>
    </row>
    <row r="17" spans="1:22" x14ac:dyDescent="0.5">
      <c r="A17" s="33" t="str">
        <f>INDEX(Technologieën[Veld],MATCH(B17,Technologieën[Digitale zorgtoepassing],0))</f>
        <v>Software - Behandeling</v>
      </c>
      <c r="B17" s="33" t="s">
        <v>609</v>
      </c>
      <c r="C17" s="33" t="s">
        <v>81</v>
      </c>
      <c r="D17" s="427" cm="1">
        <f t="array" ref="D17">INDEX(Berekening_patiëntaantal[Percentage van patiëntaantallen in Wlz (overige is Zvw)],MATCH(B17,IF(Berekening_patiëntaantal[Doelgroep (zoeksleutel)]=C17,Berekening_patiëntaantal[Digitale zorgtoepassing]),0))</f>
        <v>0</v>
      </c>
      <c r="E17" s="33" t="str" cm="1">
        <f t="array" ref="E17">INDEX(Berekening_patiëntaantal[Direct toepasbaar/extrapolatie/incidentie voor QALY],MATCH(B17,IF(Berekening_patiëntaantal[Doelgroep (zoeksleutel)]=C17,Berekening_patiëntaantal[Digitale zorgtoepassing]),0))</f>
        <v>Huidige toepassing</v>
      </c>
      <c r="F17" s="43" t="s">
        <v>812</v>
      </c>
      <c r="G17" s="33" t="str">
        <f>CONCATENATE(uitkomst_doelgroep[[#This Row],[Digitale zorgtoepassing]],"_",uitkomst_doelgroep[[#This Row],[Doelgroep]],"_",uitkomst_doelgroep[[#This Row],[Uitgangssituatie/effect beleid]])</f>
        <v>(Zelf)zorgplatform + telebegeleiding_IBD_Effect beleid</v>
      </c>
      <c r="H17" s="33">
        <v>2024</v>
      </c>
      <c r="I17" s="32">
        <v>2</v>
      </c>
      <c r="J17" s="406" cm="1">
        <f t="array" ref="J17">INDEX(implementatie[[2023]:[2034]],MATCH(G17, implementatie[Zoeksleutel],0),I17)</f>
        <v>0.71799999999999997</v>
      </c>
      <c r="K17" s="406" cm="1">
        <f t="array" ref="K17">INDEX(implementatie[[2023]:[2034]],MATCH(G17,implementatie[Zoeksleutel],0),I17 + 1)</f>
        <v>0.81616420000000001</v>
      </c>
      <c r="L1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57440</v>
      </c>
      <c r="M17" s="398" cm="1">
        <f t="array" ref="M17">J17*INDEX(Berekening_impact[Totaal arbeidsbesparing (€/jaar)],MATCH(B17,IF(Berekening_impact[Doelgroep]=C17,Berekening_impact[Digitale zorgtoepassing]),0))</f>
        <v>6823872</v>
      </c>
      <c r="N17" s="397" cm="1">
        <f t="array" ref="N17">J17*INDEX(Berekening_impact[Totaal arbeidsbesparing (FTE/jaar)],MATCH(B17,IF(Berekening_impact[Doelgroep]=C17,Berekening_impact[Digitale zorgtoepassing]),0))</f>
        <v>35.970790652430985</v>
      </c>
      <c r="O17" s="398" cm="1">
        <f t="array" ref="O17">J17*INDEX(Berekening_impact[Overige kostenbesparing (totaal/jaar totaal potentieel)],MATCH(B17,IF(Berekening_impact[Doelgroep]=C17,Berekening_impact[Digitale zorgtoepassing]),0))</f>
        <v>16956288</v>
      </c>
      <c r="P17" s="398" cm="1">
        <f t="array" ref="P17">J17*INDEX(Berekening_impact[Opbrengsten door QALY''s],MATCH(B17,IF(Berekening_impact[Doelgroep]=C17,Berekening_impact[Digitale zorgtoepassing]),0))</f>
        <v>5744000</v>
      </c>
      <c r="Q17" s="398" cm="1">
        <f t="array" ref="Q17">J17*INDEX(Berekening_impact[Jaarlijkse kosten (totaal) - incl. schatting],MATCH(B17,IF(Berekening_impact[Doelgroep]=C17,Berekening_impact[Digitale zorgtoepassing]),0))</f>
        <v>2297600</v>
      </c>
      <c r="R17" s="398" cm="1">
        <f t="array" ref="R17">(uitkomst_doelgroep[[#This Row],[Implementatiegraad t = T + 1]]-uitkomst_doelgroep[[#This Row],[Implementatiegraad t = T]])*INDEX(Berekening_impact[Initiële investering (totaal) - incl. schatting],MATCH(B17,IF(Berekening_impact[Doelgroep]=C17,Berekening_impact[Digitale zorgtoepassing]),0))</f>
        <v>0</v>
      </c>
      <c r="S17" s="398">
        <f>uitkomst_doelgroep[[#This Row],[Arbeidsbesparing (€)]]*uitkomst_doelgroep[[#This Row],[Percentage van patiëntaantallen in Wlz (overige is Zvw)]]</f>
        <v>0</v>
      </c>
      <c r="T17" s="398">
        <f>uitkomst_doelgroep[[#This Row],[Overige besparingen (€)]]*uitkomst_doelgroep[[#This Row],[Percentage van patiëntaantallen in Wlz (overige is Zvw)]]</f>
        <v>0</v>
      </c>
      <c r="U17" s="398">
        <f>uitkomst_doelgroep[[#This Row],[Kosten (€)]]*uitkomst_doelgroep[[#This Row],[Percentage van patiëntaantallen in Wlz (overige is Zvw)]]</f>
        <v>0</v>
      </c>
      <c r="V17" s="398">
        <f>uitkomst_doelgroep[[#This Row],[Investering (cash flow) (€)]]*uitkomst_doelgroep[[#This Row],[Percentage van patiëntaantallen in Wlz (overige is Zvw)]]</f>
        <v>0</v>
      </c>
    </row>
    <row r="18" spans="1:22" x14ac:dyDescent="0.5">
      <c r="A18" s="33" t="str">
        <f>INDEX(Technologieën[Veld],MATCH(B18,Technologieën[Digitale zorgtoepassing],0))</f>
        <v>Software - Behandeling</v>
      </c>
      <c r="B18" s="33" t="s">
        <v>609</v>
      </c>
      <c r="C18" s="33" t="s">
        <v>81</v>
      </c>
      <c r="D18" s="427" cm="1">
        <f t="array" ref="D18">INDEX(Berekening_patiëntaantal[Percentage van patiëntaantallen in Wlz (overige is Zvw)],MATCH(B18,IF(Berekening_patiëntaantal[Doelgroep (zoeksleutel)]=C18,Berekening_patiëntaantal[Digitale zorgtoepassing]),0))</f>
        <v>0</v>
      </c>
      <c r="E18" s="33" t="str" cm="1">
        <f t="array" ref="E18">INDEX(Berekening_patiëntaantal[Direct toepasbaar/extrapolatie/incidentie voor QALY],MATCH(B18,IF(Berekening_patiëntaantal[Doelgroep (zoeksleutel)]=C18,Berekening_patiëntaantal[Digitale zorgtoepassing]),0))</f>
        <v>Huidige toepassing</v>
      </c>
      <c r="F18" s="43" t="s">
        <v>812</v>
      </c>
      <c r="G18" s="33" t="str">
        <f>CONCATENATE(uitkomst_doelgroep[[#This Row],[Digitale zorgtoepassing]],"_",uitkomst_doelgroep[[#This Row],[Doelgroep]],"_",uitkomst_doelgroep[[#This Row],[Uitgangssituatie/effect beleid]])</f>
        <v>(Zelf)zorgplatform + telebegeleiding_IBD_Effect beleid</v>
      </c>
      <c r="H18" s="33">
        <v>2025</v>
      </c>
      <c r="I18" s="32">
        <v>3</v>
      </c>
      <c r="J18" s="406" cm="1">
        <f t="array" ref="J18">INDEX(implementatie[[2023]:[2034]],MATCH(G18, implementatie[Zoeksleutel],0),I18)</f>
        <v>0.81616420000000001</v>
      </c>
      <c r="K18" s="406" cm="1">
        <f t="array" ref="K18">INDEX(implementatie[[2023]:[2034]],MATCH(G18,implementatie[Zoeksleutel],0),I18 + 1)</f>
        <v>0.88827818438726203</v>
      </c>
      <c r="L1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65293.135999999999</v>
      </c>
      <c r="M18" s="398" cm="1">
        <f t="array" ref="M18">J18*INDEX(Berekening_impact[Totaal arbeidsbesparing (€/jaar)],MATCH(B18,IF(Berekening_impact[Doelgroep]=C18,Berekening_impact[Digitale zorgtoepassing]),0))</f>
        <v>7756824.5568000004</v>
      </c>
      <c r="N18" s="397" cm="1">
        <f t="array" ref="N18">J18*INDEX(Berekening_impact[Totaal arbeidsbesparing (FTE/jaar)],MATCH(B18,IF(Berekening_impact[Doelgroep]=C18,Berekening_impact[Digitale zorgtoepassing]),0))</f>
        <v>40.888679075499745</v>
      </c>
      <c r="O18" s="398" cm="1">
        <f t="array" ref="O18">J18*INDEX(Berekening_impact[Overige kostenbesparing (totaal/jaar totaal potentieel)],MATCH(B18,IF(Berekening_impact[Doelgroep]=C18,Berekening_impact[Digitale zorgtoepassing]),0))</f>
        <v>19274533.747200001</v>
      </c>
      <c r="P18" s="398" cm="1">
        <f t="array" ref="P18">J18*INDEX(Berekening_impact[Opbrengsten door QALY''s],MATCH(B18,IF(Berekening_impact[Doelgroep]=C18,Berekening_impact[Digitale zorgtoepassing]),0))</f>
        <v>6529313.5999999996</v>
      </c>
      <c r="Q18" s="398" cm="1">
        <f t="array" ref="Q18">J18*INDEX(Berekening_impact[Jaarlijkse kosten (totaal) - incl. schatting],MATCH(B18,IF(Berekening_impact[Doelgroep]=C18,Berekening_impact[Digitale zorgtoepassing]),0))</f>
        <v>2611725.44</v>
      </c>
      <c r="R18" s="398" cm="1">
        <f t="array" ref="R18">(uitkomst_doelgroep[[#This Row],[Implementatiegraad t = T + 1]]-uitkomst_doelgroep[[#This Row],[Implementatiegraad t = T]])*INDEX(Berekening_impact[Initiële investering (totaal) - incl. schatting],MATCH(B18,IF(Berekening_impact[Doelgroep]=C18,Berekening_impact[Digitale zorgtoepassing]),0))</f>
        <v>0</v>
      </c>
      <c r="S18" s="398">
        <f>uitkomst_doelgroep[[#This Row],[Arbeidsbesparing (€)]]*uitkomst_doelgroep[[#This Row],[Percentage van patiëntaantallen in Wlz (overige is Zvw)]]</f>
        <v>0</v>
      </c>
      <c r="T18" s="398">
        <f>uitkomst_doelgroep[[#This Row],[Overige besparingen (€)]]*uitkomst_doelgroep[[#This Row],[Percentage van patiëntaantallen in Wlz (overige is Zvw)]]</f>
        <v>0</v>
      </c>
      <c r="U18" s="398">
        <f>uitkomst_doelgroep[[#This Row],[Kosten (€)]]*uitkomst_doelgroep[[#This Row],[Percentage van patiëntaantallen in Wlz (overige is Zvw)]]</f>
        <v>0</v>
      </c>
      <c r="V18" s="398">
        <f>uitkomst_doelgroep[[#This Row],[Investering (cash flow) (€)]]*uitkomst_doelgroep[[#This Row],[Percentage van patiëntaantallen in Wlz (overige is Zvw)]]</f>
        <v>0</v>
      </c>
    </row>
    <row r="19" spans="1:22" x14ac:dyDescent="0.5">
      <c r="A19" s="33" t="str">
        <f>INDEX(Technologieën[Veld],MATCH(B19,Technologieën[Digitale zorgtoepassing],0))</f>
        <v>Software - Behandeling</v>
      </c>
      <c r="B19" s="33" t="s">
        <v>609</v>
      </c>
      <c r="C19" s="33" t="s">
        <v>81</v>
      </c>
      <c r="D19" s="427" cm="1">
        <f t="array" ref="D19">INDEX(Berekening_patiëntaantal[Percentage van patiëntaantallen in Wlz (overige is Zvw)],MATCH(B19,IF(Berekening_patiëntaantal[Doelgroep (zoeksleutel)]=C19,Berekening_patiëntaantal[Digitale zorgtoepassing]),0))</f>
        <v>0</v>
      </c>
      <c r="E19" s="33" t="str" cm="1">
        <f t="array" ref="E19">INDEX(Berekening_patiëntaantal[Direct toepasbaar/extrapolatie/incidentie voor QALY],MATCH(B19,IF(Berekening_patiëntaantal[Doelgroep (zoeksleutel)]=C19,Berekening_patiëntaantal[Digitale zorgtoepassing]),0))</f>
        <v>Huidige toepassing</v>
      </c>
      <c r="F19" s="43" t="s">
        <v>812</v>
      </c>
      <c r="G19" s="33" t="str">
        <f>CONCATENATE(uitkomst_doelgroep[[#This Row],[Digitale zorgtoepassing]],"_",uitkomst_doelgroep[[#This Row],[Doelgroep]],"_",uitkomst_doelgroep[[#This Row],[Uitgangssituatie/effect beleid]])</f>
        <v>(Zelf)zorgplatform + telebegeleiding_IBD_Effect beleid</v>
      </c>
      <c r="H19" s="33">
        <v>2026</v>
      </c>
      <c r="I19" s="32">
        <v>4</v>
      </c>
      <c r="J19" s="406" cm="1">
        <f t="array" ref="J19">INDEX(implementatie[[2023]:[2034]],MATCH(G19, implementatie[Zoeksleutel],0),I19)</f>
        <v>0.88827818438726203</v>
      </c>
      <c r="K19" s="406" cm="1">
        <f t="array" ref="K19">INDEX(implementatie[[2023]:[2034]],MATCH(G19,implementatie[Zoeksleutel],0),I19 + 1)</f>
        <v>0.93572925296559961</v>
      </c>
      <c r="L1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71062.254750980966</v>
      </c>
      <c r="M19" s="398" cm="1">
        <f t="array" ref="M19">J19*INDEX(Berekening_impact[Totaal arbeidsbesparing (€/jaar)],MATCH(B19,IF(Berekening_impact[Doelgroep]=C19,Berekening_impact[Digitale zorgtoepassing]),0))</f>
        <v>8442195.8644165378</v>
      </c>
      <c r="N19" s="397" cm="1">
        <f t="array" ref="N19">J19*INDEX(Berekening_impact[Totaal arbeidsbesparing (FTE/jaar)],MATCH(B19,IF(Berekening_impact[Doelgroep]=C19,Berekening_impact[Digitale zorgtoepassing]),0))</f>
        <v>44.501488317152777</v>
      </c>
      <c r="O19" s="398" cm="1">
        <f t="array" ref="O19">J19*INDEX(Berekening_impact[Overige kostenbesparing (totaal/jaar totaal potentieel)],MATCH(B19,IF(Berekening_impact[Doelgroep]=C19,Berekening_impact[Digitale zorgtoepassing]),0))</f>
        <v>20977577.602489579</v>
      </c>
      <c r="P19" s="398" cm="1">
        <f t="array" ref="P19">J19*INDEX(Berekening_impact[Opbrengsten door QALY''s],MATCH(B19,IF(Berekening_impact[Doelgroep]=C19,Berekening_impact[Digitale zorgtoepassing]),0))</f>
        <v>7106225.4750980958</v>
      </c>
      <c r="Q19" s="398" cm="1">
        <f t="array" ref="Q19">J19*INDEX(Berekening_impact[Jaarlijkse kosten (totaal) - incl. schatting],MATCH(B19,IF(Berekening_impact[Doelgroep]=C19,Berekening_impact[Digitale zorgtoepassing]),0))</f>
        <v>2842490.1900392384</v>
      </c>
      <c r="R19" s="398" cm="1">
        <f t="array" ref="R19">(uitkomst_doelgroep[[#This Row],[Implementatiegraad t = T + 1]]-uitkomst_doelgroep[[#This Row],[Implementatiegraad t = T]])*INDEX(Berekening_impact[Initiële investering (totaal) - incl. schatting],MATCH(B19,IF(Berekening_impact[Doelgroep]=C19,Berekening_impact[Digitale zorgtoepassing]),0))</f>
        <v>0</v>
      </c>
      <c r="S19" s="398">
        <f>uitkomst_doelgroep[[#This Row],[Arbeidsbesparing (€)]]*uitkomst_doelgroep[[#This Row],[Percentage van patiëntaantallen in Wlz (overige is Zvw)]]</f>
        <v>0</v>
      </c>
      <c r="T19" s="398">
        <f>uitkomst_doelgroep[[#This Row],[Overige besparingen (€)]]*uitkomst_doelgroep[[#This Row],[Percentage van patiëntaantallen in Wlz (overige is Zvw)]]</f>
        <v>0</v>
      </c>
      <c r="U19" s="398">
        <f>uitkomst_doelgroep[[#This Row],[Kosten (€)]]*uitkomst_doelgroep[[#This Row],[Percentage van patiëntaantallen in Wlz (overige is Zvw)]]</f>
        <v>0</v>
      </c>
      <c r="V19" s="398">
        <f>uitkomst_doelgroep[[#This Row],[Investering (cash flow) (€)]]*uitkomst_doelgroep[[#This Row],[Percentage van patiëntaantallen in Wlz (overige is Zvw)]]</f>
        <v>0</v>
      </c>
    </row>
    <row r="20" spans="1:22" x14ac:dyDescent="0.5">
      <c r="A20" s="33" t="str">
        <f>INDEX(Technologieën[Veld],MATCH(B20,Technologieën[Digitale zorgtoepassing],0))</f>
        <v>Software - Behandeling</v>
      </c>
      <c r="B20" s="33" t="s">
        <v>609</v>
      </c>
      <c r="C20" s="33" t="s">
        <v>81</v>
      </c>
      <c r="D20" s="427" cm="1">
        <f t="array" ref="D20">INDEX(Berekening_patiëntaantal[Percentage van patiëntaantallen in Wlz (overige is Zvw)],MATCH(B20,IF(Berekening_patiëntaantal[Doelgroep (zoeksleutel)]=C20,Berekening_patiëntaantal[Digitale zorgtoepassing]),0))</f>
        <v>0</v>
      </c>
      <c r="E20" s="33" t="str" cm="1">
        <f t="array" ref="E20">INDEX(Berekening_patiëntaantal[Direct toepasbaar/extrapolatie/incidentie voor QALY],MATCH(B20,IF(Berekening_patiëntaantal[Doelgroep (zoeksleutel)]=C20,Berekening_patiëntaantal[Digitale zorgtoepassing]),0))</f>
        <v>Huidige toepassing</v>
      </c>
      <c r="F20" s="43" t="s">
        <v>812</v>
      </c>
      <c r="G20" s="33" t="str">
        <f>CONCATENATE(uitkomst_doelgroep[[#This Row],[Digitale zorgtoepassing]],"_",uitkomst_doelgroep[[#This Row],[Doelgroep]],"_",uitkomst_doelgroep[[#This Row],[Uitgangssituatie/effect beleid]])</f>
        <v>(Zelf)zorgplatform + telebegeleiding_IBD_Effect beleid</v>
      </c>
      <c r="H20" s="33">
        <v>2027</v>
      </c>
      <c r="I20" s="32">
        <v>5</v>
      </c>
      <c r="J20" s="406" cm="1">
        <f t="array" ref="J20">INDEX(implementatie[[2023]:[2034]],MATCH(G20, implementatie[Zoeksleutel],0),I20)</f>
        <v>0.93572925296559961</v>
      </c>
      <c r="K20" s="406" cm="1">
        <f t="array" ref="K20">INDEX(implementatie[[2023]:[2034]],MATCH(G20,implementatie[Zoeksleutel],0),I20 + 1)</f>
        <v>0.9643990297909778</v>
      </c>
      <c r="L2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74858.340237247976</v>
      </c>
      <c r="M20" s="398" cm="1">
        <f t="array" ref="M20">J20*INDEX(Berekening_impact[Totaal arbeidsbesparing (€/jaar)],MATCH(B20,IF(Berekening_impact[Doelgroep]=C20,Berekening_impact[Digitale zorgtoepassing]),0))</f>
        <v>8893170.8201850578</v>
      </c>
      <c r="N20" s="397" cm="1">
        <f t="array" ref="N20">J20*INDEX(Berekening_impact[Totaal arbeidsbesparing (FTE/jaar)],MATCH(B20,IF(Berekening_impact[Doelgroep]=C20,Berekening_impact[Digitale zorgtoepassing]),0))</f>
        <v>46.878720147327606</v>
      </c>
      <c r="O20" s="398" cm="1">
        <f t="array" ref="O20">J20*INDEX(Berekening_impact[Overige kostenbesparing (totaal/jaar totaal potentieel)],MATCH(B20,IF(Berekening_impact[Doelgroep]=C20,Berekening_impact[Digitale zorgtoepassing]),0))</f>
        <v>22098182.038035601</v>
      </c>
      <c r="P20" s="398" cm="1">
        <f t="array" ref="P20">J20*INDEX(Berekening_impact[Opbrengsten door QALY''s],MATCH(B20,IF(Berekening_impact[Doelgroep]=C20,Berekening_impact[Digitale zorgtoepassing]),0))</f>
        <v>7485834.0237247972</v>
      </c>
      <c r="Q20" s="398" cm="1">
        <f t="array" ref="Q20">J20*INDEX(Berekening_impact[Jaarlijkse kosten (totaal) - incl. schatting],MATCH(B20,IF(Berekening_impact[Doelgroep]=C20,Berekening_impact[Digitale zorgtoepassing]),0))</f>
        <v>2994333.6094899187</v>
      </c>
      <c r="R20" s="398" cm="1">
        <f t="array" ref="R20">(uitkomst_doelgroep[[#This Row],[Implementatiegraad t = T + 1]]-uitkomst_doelgroep[[#This Row],[Implementatiegraad t = T]])*INDEX(Berekening_impact[Initiële investering (totaal) - incl. schatting],MATCH(B20,IF(Berekening_impact[Doelgroep]=C20,Berekening_impact[Digitale zorgtoepassing]),0))</f>
        <v>0</v>
      </c>
      <c r="S20" s="398">
        <f>uitkomst_doelgroep[[#This Row],[Arbeidsbesparing (€)]]*uitkomst_doelgroep[[#This Row],[Percentage van patiëntaantallen in Wlz (overige is Zvw)]]</f>
        <v>0</v>
      </c>
      <c r="T20" s="398">
        <f>uitkomst_doelgroep[[#This Row],[Overige besparingen (€)]]*uitkomst_doelgroep[[#This Row],[Percentage van patiëntaantallen in Wlz (overige is Zvw)]]</f>
        <v>0</v>
      </c>
      <c r="U20" s="398">
        <f>uitkomst_doelgroep[[#This Row],[Kosten (€)]]*uitkomst_doelgroep[[#This Row],[Percentage van patiëntaantallen in Wlz (overige is Zvw)]]</f>
        <v>0</v>
      </c>
      <c r="V20" s="398">
        <f>uitkomst_doelgroep[[#This Row],[Investering (cash flow) (€)]]*uitkomst_doelgroep[[#This Row],[Percentage van patiëntaantallen in Wlz (overige is Zvw)]]</f>
        <v>0</v>
      </c>
    </row>
    <row r="21" spans="1:22" x14ac:dyDescent="0.5">
      <c r="A21" s="33" t="str">
        <f>INDEX(Technologieën[Veld],MATCH(B21,Technologieën[Digitale zorgtoepassing],0))</f>
        <v>Software - Behandeling</v>
      </c>
      <c r="B21" s="33" t="s">
        <v>609</v>
      </c>
      <c r="C21" s="33" t="s">
        <v>81</v>
      </c>
      <c r="D21" s="427" cm="1">
        <f t="array" ref="D21">INDEX(Berekening_patiëntaantal[Percentage van patiëntaantallen in Wlz (overige is Zvw)],MATCH(B21,IF(Berekening_patiëntaantal[Doelgroep (zoeksleutel)]=C21,Berekening_patiëntaantal[Digitale zorgtoepassing]),0))</f>
        <v>0</v>
      </c>
      <c r="E21" s="33" t="str" cm="1">
        <f t="array" ref="E21">INDEX(Berekening_patiëntaantal[Direct toepasbaar/extrapolatie/incidentie voor QALY],MATCH(B21,IF(Berekening_patiëntaantal[Doelgroep (zoeksleutel)]=C21,Berekening_patiëntaantal[Digitale zorgtoepassing]),0))</f>
        <v>Huidige toepassing</v>
      </c>
      <c r="F21" s="43" t="s">
        <v>812</v>
      </c>
      <c r="G21" s="33" t="str">
        <f>CONCATENATE(uitkomst_doelgroep[[#This Row],[Digitale zorgtoepassing]],"_",uitkomst_doelgroep[[#This Row],[Doelgroep]],"_",uitkomst_doelgroep[[#This Row],[Uitgangssituatie/effect beleid]])</f>
        <v>(Zelf)zorgplatform + telebegeleiding_IBD_Effect beleid</v>
      </c>
      <c r="H21" s="33">
        <v>2028</v>
      </c>
      <c r="I21" s="32">
        <v>6</v>
      </c>
      <c r="J21" s="406" cm="1">
        <f t="array" ref="J21">INDEX(implementatie[[2023]:[2034]],MATCH(G21, implementatie[Zoeksleutel],0),I21)</f>
        <v>0.9643990297909778</v>
      </c>
      <c r="K21" s="406" cm="1">
        <f t="array" ref="K21">INDEX(implementatie[[2023]:[2034]],MATCH(G21,implementatie[Zoeksleutel],0),I21 + 1)</f>
        <v>0.98073914755434266</v>
      </c>
      <c r="L2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77151.92238327823</v>
      </c>
      <c r="M21" s="398" cm="1">
        <f t="array" ref="M21">J21*INDEX(Berekening_impact[Totaal arbeidsbesparing (€/jaar)],MATCH(B21,IF(Berekening_impact[Doelgroep]=C21,Berekening_impact[Digitale zorgtoepassing]),0))</f>
        <v>9165648.3791334536</v>
      </c>
      <c r="N21" s="397" cm="1">
        <f t="array" ref="N21">J21*INDEX(Berekening_impact[Totaal arbeidsbesparing (FTE/jaar)],MATCH(B21,IF(Berekening_impact[Doelgroep]=C21,Berekening_impact[Digitale zorgtoepassing]),0))</f>
        <v>48.315035662978858</v>
      </c>
      <c r="O21" s="398" cm="1">
        <f t="array" ref="O21">J21*INDEX(Berekening_impact[Overige kostenbesparing (totaal/jaar totaal potentieel)],MATCH(B21,IF(Berekening_impact[Doelgroep]=C21,Berekening_impact[Digitale zorgtoepassing]),0))</f>
        <v>22775247.487543732</v>
      </c>
      <c r="P21" s="398" cm="1">
        <f t="array" ref="P21">J21*INDEX(Berekening_impact[Opbrengsten door QALY''s],MATCH(B21,IF(Berekening_impact[Doelgroep]=C21,Berekening_impact[Digitale zorgtoepassing]),0))</f>
        <v>7715192.2383278226</v>
      </c>
      <c r="Q21" s="398" cm="1">
        <f t="array" ref="Q21">J21*INDEX(Berekening_impact[Jaarlijkse kosten (totaal) - incl. schatting],MATCH(B21,IF(Berekening_impact[Doelgroep]=C21,Berekening_impact[Digitale zorgtoepassing]),0))</f>
        <v>3086076.895331129</v>
      </c>
      <c r="R21" s="398" cm="1">
        <f t="array" ref="R21">(uitkomst_doelgroep[[#This Row],[Implementatiegraad t = T + 1]]-uitkomst_doelgroep[[#This Row],[Implementatiegraad t = T]])*INDEX(Berekening_impact[Initiële investering (totaal) - incl. schatting],MATCH(B21,IF(Berekening_impact[Doelgroep]=C21,Berekening_impact[Digitale zorgtoepassing]),0))</f>
        <v>0</v>
      </c>
      <c r="S21" s="398">
        <f>uitkomst_doelgroep[[#This Row],[Arbeidsbesparing (€)]]*uitkomst_doelgroep[[#This Row],[Percentage van patiëntaantallen in Wlz (overige is Zvw)]]</f>
        <v>0</v>
      </c>
      <c r="T21" s="398">
        <f>uitkomst_doelgroep[[#This Row],[Overige besparingen (€)]]*uitkomst_doelgroep[[#This Row],[Percentage van patiëntaantallen in Wlz (overige is Zvw)]]</f>
        <v>0</v>
      </c>
      <c r="U21" s="398">
        <f>uitkomst_doelgroep[[#This Row],[Kosten (€)]]*uitkomst_doelgroep[[#This Row],[Percentage van patiëntaantallen in Wlz (overige is Zvw)]]</f>
        <v>0</v>
      </c>
      <c r="V21" s="398">
        <f>uitkomst_doelgroep[[#This Row],[Investering (cash flow) (€)]]*uitkomst_doelgroep[[#This Row],[Percentage van patiëntaantallen in Wlz (overige is Zvw)]]</f>
        <v>0</v>
      </c>
    </row>
    <row r="22" spans="1:22" x14ac:dyDescent="0.5">
      <c r="A22" s="33" t="str">
        <f>INDEX(Technologieën[Veld],MATCH(B22,Technologieën[Digitale zorgtoepassing],0))</f>
        <v>Software - Behandeling</v>
      </c>
      <c r="B22" s="33" t="s">
        <v>609</v>
      </c>
      <c r="C22" s="33" t="s">
        <v>81</v>
      </c>
      <c r="D22" s="427" cm="1">
        <f t="array" ref="D22">INDEX(Berekening_patiëntaantal[Percentage van patiëntaantallen in Wlz (overige is Zvw)],MATCH(B22,IF(Berekening_patiëntaantal[Doelgroep (zoeksleutel)]=C22,Berekening_patiëntaantal[Digitale zorgtoepassing]),0))</f>
        <v>0</v>
      </c>
      <c r="E22" s="33" t="str" cm="1">
        <f t="array" ref="E22">INDEX(Berekening_patiëntaantal[Direct toepasbaar/extrapolatie/incidentie voor QALY],MATCH(B22,IF(Berekening_patiëntaantal[Doelgroep (zoeksleutel)]=C22,Berekening_patiëntaantal[Digitale zorgtoepassing]),0))</f>
        <v>Huidige toepassing</v>
      </c>
      <c r="F22" s="43" t="s">
        <v>812</v>
      </c>
      <c r="G22" s="33" t="str">
        <f>CONCATENATE(uitkomst_doelgroep[[#This Row],[Digitale zorgtoepassing]],"_",uitkomst_doelgroep[[#This Row],[Doelgroep]],"_",uitkomst_doelgroep[[#This Row],[Uitgangssituatie/effect beleid]])</f>
        <v>(Zelf)zorgplatform + telebegeleiding_IBD_Effect beleid</v>
      </c>
      <c r="H22" s="33">
        <v>2029</v>
      </c>
      <c r="I22" s="32">
        <v>7</v>
      </c>
      <c r="J22" s="406" cm="1">
        <f t="array" ref="J22">INDEX(implementatie[[2023]:[2034]],MATCH(G22, implementatie[Zoeksleutel],0),I22)</f>
        <v>0.98073914755434266</v>
      </c>
      <c r="K22" s="406" cm="1">
        <f t="array" ref="K22">INDEX(implementatie[[2023]:[2034]],MATCH(G22,implementatie[Zoeksleutel],0),I22 + 1)</f>
        <v>0.98972111126940987</v>
      </c>
      <c r="L2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78459.131804347417</v>
      </c>
      <c r="M22" s="398" cm="1">
        <f t="array" ref="M22">J22*INDEX(Berekening_impact[Totaal arbeidsbesparing (€/jaar)],MATCH(B22,IF(Berekening_impact[Doelgroep]=C22,Berekening_impact[Digitale zorgtoepassing]),0))</f>
        <v>9320944.8583564721</v>
      </c>
      <c r="N22" s="397" cm="1">
        <f t="array" ref="N22">J22*INDEX(Berekening_impact[Totaal arbeidsbesparing (FTE/jaar)],MATCH(B22,IF(Berekening_impact[Doelgroep]=C22,Berekening_impact[Digitale zorgtoepassing]),0))</f>
        <v>49.133652592368918</v>
      </c>
      <c r="O22" s="398" cm="1">
        <f t="array" ref="O22">J22*INDEX(Berekening_impact[Overige kostenbesparing (totaal/jaar totaal potentieel)],MATCH(B22,IF(Berekening_impact[Doelgroep]=C22,Berekening_impact[Digitale zorgtoepassing]),0))</f>
        <v>23161135.708643354</v>
      </c>
      <c r="P22" s="398" cm="1">
        <f t="array" ref="P22">J22*INDEX(Berekening_impact[Opbrengsten door QALY''s],MATCH(B22,IF(Berekening_impact[Doelgroep]=C22,Berekening_impact[Digitale zorgtoepassing]),0))</f>
        <v>7845913.1804347411</v>
      </c>
      <c r="Q22" s="398" cm="1">
        <f t="array" ref="Q22">J22*INDEX(Berekening_impact[Jaarlijkse kosten (totaal) - incl. schatting],MATCH(B22,IF(Berekening_impact[Doelgroep]=C22,Berekening_impact[Digitale zorgtoepassing]),0))</f>
        <v>3138365.2721738964</v>
      </c>
      <c r="R22" s="398" cm="1">
        <f t="array" ref="R22">(uitkomst_doelgroep[[#This Row],[Implementatiegraad t = T + 1]]-uitkomst_doelgroep[[#This Row],[Implementatiegraad t = T]])*INDEX(Berekening_impact[Initiële investering (totaal) - incl. schatting],MATCH(B22,IF(Berekening_impact[Doelgroep]=C22,Berekening_impact[Digitale zorgtoepassing]),0))</f>
        <v>0</v>
      </c>
      <c r="S22" s="398">
        <f>uitkomst_doelgroep[[#This Row],[Arbeidsbesparing (€)]]*uitkomst_doelgroep[[#This Row],[Percentage van patiëntaantallen in Wlz (overige is Zvw)]]</f>
        <v>0</v>
      </c>
      <c r="T22" s="398">
        <f>uitkomst_doelgroep[[#This Row],[Overige besparingen (€)]]*uitkomst_doelgroep[[#This Row],[Percentage van patiëntaantallen in Wlz (overige is Zvw)]]</f>
        <v>0</v>
      </c>
      <c r="U22" s="398">
        <f>uitkomst_doelgroep[[#This Row],[Kosten (€)]]*uitkomst_doelgroep[[#This Row],[Percentage van patiëntaantallen in Wlz (overige is Zvw)]]</f>
        <v>0</v>
      </c>
      <c r="V22" s="398">
        <f>uitkomst_doelgroep[[#This Row],[Investering (cash flow) (€)]]*uitkomst_doelgroep[[#This Row],[Percentage van patiëntaantallen in Wlz (overige is Zvw)]]</f>
        <v>0</v>
      </c>
    </row>
    <row r="23" spans="1:22" x14ac:dyDescent="0.5">
      <c r="A23" s="33" t="str">
        <f>INDEX(Technologieën[Veld],MATCH(B23,Technologieën[Digitale zorgtoepassing],0))</f>
        <v>Software - Behandeling</v>
      </c>
      <c r="B23" s="33" t="s">
        <v>609</v>
      </c>
      <c r="C23" s="33" t="s">
        <v>81</v>
      </c>
      <c r="D23" s="427" cm="1">
        <f t="array" ref="D23">INDEX(Berekening_patiëntaantal[Percentage van patiëntaantallen in Wlz (overige is Zvw)],MATCH(B23,IF(Berekening_patiëntaantal[Doelgroep (zoeksleutel)]=C23,Berekening_patiëntaantal[Digitale zorgtoepassing]),0))</f>
        <v>0</v>
      </c>
      <c r="E23" s="33" t="str" cm="1">
        <f t="array" ref="E23">INDEX(Berekening_patiëntaantal[Direct toepasbaar/extrapolatie/incidentie voor QALY],MATCH(B23,IF(Berekening_patiëntaantal[Doelgroep (zoeksleutel)]=C23,Berekening_patiëntaantal[Digitale zorgtoepassing]),0))</f>
        <v>Huidige toepassing</v>
      </c>
      <c r="F23" s="43" t="s">
        <v>812</v>
      </c>
      <c r="G23" s="33" t="str">
        <f>CONCATENATE(uitkomst_doelgroep[[#This Row],[Digitale zorgtoepassing]],"_",uitkomst_doelgroep[[#This Row],[Doelgroep]],"_",uitkomst_doelgroep[[#This Row],[Uitgangssituatie/effect beleid]])</f>
        <v>(Zelf)zorgplatform + telebegeleiding_IBD_Effect beleid</v>
      </c>
      <c r="H23" s="33">
        <v>2030</v>
      </c>
      <c r="I23" s="32">
        <v>8</v>
      </c>
      <c r="J23" s="406" cm="1">
        <f t="array" ref="J23">INDEX(implementatie[[2023]:[2034]],MATCH(G23, implementatie[Zoeksleutel],0),I23)</f>
        <v>0.98972111126940987</v>
      </c>
      <c r="K23" s="406" cm="1">
        <f t="array" ref="K23">INDEX(implementatie[[2023]:[2034]],MATCH(G23,implementatie[Zoeksleutel],0),I23 + 1)</f>
        <v>0.99455603841734896</v>
      </c>
      <c r="L2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79177.688901552785</v>
      </c>
      <c r="M23" s="398" cm="1">
        <f t="array" ref="M23">J23*INDEX(Berekening_impact[Totaal arbeidsbesparing (€/jaar)],MATCH(B23,IF(Berekening_impact[Doelgroep]=C23,Berekening_impact[Digitale zorgtoepassing]),0))</f>
        <v>9406309.441504471</v>
      </c>
      <c r="N23" s="397" cm="1">
        <f t="array" ref="N23">J23*INDEX(Berekening_impact[Totaal arbeidsbesparing (FTE/jaar)],MATCH(B23,IF(Berekening_impact[Doelgroep]=C23,Berekening_impact[Digitale zorgtoepassing]),0))</f>
        <v>49.583636347859745</v>
      </c>
      <c r="O23" s="398" cm="1">
        <f t="array" ref="O23">J23*INDEX(Berekening_impact[Overige kostenbesparing (totaal/jaar totaal potentieel)],MATCH(B23,IF(Berekening_impact[Doelgroep]=C23,Berekening_impact[Digitale zorgtoepassing]),0))</f>
        <v>23373253.763738383</v>
      </c>
      <c r="P23" s="398" cm="1">
        <f t="array" ref="P23">J23*INDEX(Berekening_impact[Opbrengsten door QALY''s],MATCH(B23,IF(Berekening_impact[Doelgroep]=C23,Berekening_impact[Digitale zorgtoepassing]),0))</f>
        <v>7917768.8901552791</v>
      </c>
      <c r="Q23" s="398" cm="1">
        <f t="array" ref="Q23">J23*INDEX(Berekening_impact[Jaarlijkse kosten (totaal) - incl. schatting],MATCH(B23,IF(Berekening_impact[Doelgroep]=C23,Berekening_impact[Digitale zorgtoepassing]),0))</f>
        <v>3167107.5560621116</v>
      </c>
      <c r="R23" s="398" cm="1">
        <f t="array" ref="R23">(uitkomst_doelgroep[[#This Row],[Implementatiegraad t = T + 1]]-uitkomst_doelgroep[[#This Row],[Implementatiegraad t = T]])*INDEX(Berekening_impact[Initiële investering (totaal) - incl. schatting],MATCH(B23,IF(Berekening_impact[Doelgroep]=C23,Berekening_impact[Digitale zorgtoepassing]),0))</f>
        <v>0</v>
      </c>
      <c r="S23" s="398">
        <f>uitkomst_doelgroep[[#This Row],[Arbeidsbesparing (€)]]*uitkomst_doelgroep[[#This Row],[Percentage van patiëntaantallen in Wlz (overige is Zvw)]]</f>
        <v>0</v>
      </c>
      <c r="T23" s="398">
        <f>uitkomst_doelgroep[[#This Row],[Overige besparingen (€)]]*uitkomst_doelgroep[[#This Row],[Percentage van patiëntaantallen in Wlz (overige is Zvw)]]</f>
        <v>0</v>
      </c>
      <c r="U23" s="398">
        <f>uitkomst_doelgroep[[#This Row],[Kosten (€)]]*uitkomst_doelgroep[[#This Row],[Percentage van patiëntaantallen in Wlz (overige is Zvw)]]</f>
        <v>0</v>
      </c>
      <c r="V23" s="398">
        <f>uitkomst_doelgroep[[#This Row],[Investering (cash flow) (€)]]*uitkomst_doelgroep[[#This Row],[Percentage van patiëntaantallen in Wlz (overige is Zvw)]]</f>
        <v>0</v>
      </c>
    </row>
    <row r="24" spans="1:22" x14ac:dyDescent="0.5">
      <c r="A24" s="33" t="str">
        <f>INDEX(Technologieën[Veld],MATCH(B24,Technologieën[Digitale zorgtoepassing],0))</f>
        <v>Software - Behandeling</v>
      </c>
      <c r="B24" s="33" t="s">
        <v>609</v>
      </c>
      <c r="C24" s="33" t="s">
        <v>81</v>
      </c>
      <c r="D24" s="427" cm="1">
        <f t="array" ref="D24">INDEX(Berekening_patiëntaantal[Percentage van patiëntaantallen in Wlz (overige is Zvw)],MATCH(B24,IF(Berekening_patiëntaantal[Doelgroep (zoeksleutel)]=C24,Berekening_patiëntaantal[Digitale zorgtoepassing]),0))</f>
        <v>0</v>
      </c>
      <c r="E24" s="33" t="str" cm="1">
        <f t="array" ref="E24">INDEX(Berekening_patiëntaantal[Direct toepasbaar/extrapolatie/incidentie voor QALY],MATCH(B24,IF(Berekening_patiëntaantal[Doelgroep (zoeksleutel)]=C24,Berekening_patiëntaantal[Digitale zorgtoepassing]),0))</f>
        <v>Huidige toepassing</v>
      </c>
      <c r="F24" s="43" t="s">
        <v>812</v>
      </c>
      <c r="G24" s="33" t="str">
        <f>CONCATENATE(uitkomst_doelgroep[[#This Row],[Digitale zorgtoepassing]],"_",uitkomst_doelgroep[[#This Row],[Doelgroep]],"_",uitkomst_doelgroep[[#This Row],[Uitgangssituatie/effect beleid]])</f>
        <v>(Zelf)zorgplatform + telebegeleiding_IBD_Effect beleid</v>
      </c>
      <c r="H24" s="33">
        <v>2031</v>
      </c>
      <c r="I24" s="32">
        <v>9</v>
      </c>
      <c r="J24" s="406" cm="1">
        <f t="array" ref="J24">INDEX(implementatie[[2023]:[2034]],MATCH(G24, implementatie[Zoeksleutel],0),I24)</f>
        <v>0.99455603841734896</v>
      </c>
      <c r="K24" s="406" cm="1">
        <f t="array" ref="K24">INDEX(implementatie[[2023]:[2034]],MATCH(G24,implementatie[Zoeksleutel],0),I24 + 1)</f>
        <v>0.9971285836461371</v>
      </c>
      <c r="L2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79564.483073387921</v>
      </c>
      <c r="M24" s="398" cm="1">
        <f t="array" ref="M24">J24*INDEX(Berekening_impact[Totaal arbeidsbesparing (€/jaar)],MATCH(B24,IF(Berekening_impact[Doelgroep]=C24,Berekening_impact[Digitale zorgtoepassing]),0))</f>
        <v>9452260.5891184844</v>
      </c>
      <c r="N24" s="397" cm="1">
        <f t="array" ref="N24">J24*INDEX(Berekening_impact[Totaal arbeidsbesparing (FTE/jaar)],MATCH(B24,IF(Berekening_impact[Doelgroep]=C24,Berekening_impact[Digitale zorgtoepassing]),0))</f>
        <v>49.82585940114425</v>
      </c>
      <c r="O24" s="398" cm="1">
        <f t="array" ref="O24">J24*INDEX(Berekening_impact[Overige kostenbesparing (totaal/jaar totaal potentieel)],MATCH(B24,IF(Berekening_impact[Doelgroep]=C24,Berekening_impact[Digitale zorgtoepassing]),0))</f>
        <v>23487435.403264113</v>
      </c>
      <c r="P24" s="398" cm="1">
        <f t="array" ref="P24">J24*INDEX(Berekening_impact[Opbrengsten door QALY''s],MATCH(B24,IF(Berekening_impact[Doelgroep]=C24,Berekening_impact[Digitale zorgtoepassing]),0))</f>
        <v>7956448.3073387919</v>
      </c>
      <c r="Q24" s="398" cm="1">
        <f t="array" ref="Q24">J24*INDEX(Berekening_impact[Jaarlijkse kosten (totaal) - incl. schatting],MATCH(B24,IF(Berekening_impact[Doelgroep]=C24,Berekening_impact[Digitale zorgtoepassing]),0))</f>
        <v>3182579.3229355165</v>
      </c>
      <c r="R24" s="398" cm="1">
        <f t="array" ref="R24">(uitkomst_doelgroep[[#This Row],[Implementatiegraad t = T + 1]]-uitkomst_doelgroep[[#This Row],[Implementatiegraad t = T]])*INDEX(Berekening_impact[Initiële investering (totaal) - incl. schatting],MATCH(B24,IF(Berekening_impact[Doelgroep]=C24,Berekening_impact[Digitale zorgtoepassing]),0))</f>
        <v>0</v>
      </c>
      <c r="S24" s="398">
        <f>uitkomst_doelgroep[[#This Row],[Arbeidsbesparing (€)]]*uitkomst_doelgroep[[#This Row],[Percentage van patiëntaantallen in Wlz (overige is Zvw)]]</f>
        <v>0</v>
      </c>
      <c r="T24" s="398">
        <f>uitkomst_doelgroep[[#This Row],[Overige besparingen (€)]]*uitkomst_doelgroep[[#This Row],[Percentage van patiëntaantallen in Wlz (overige is Zvw)]]</f>
        <v>0</v>
      </c>
      <c r="U24" s="398">
        <f>uitkomst_doelgroep[[#This Row],[Kosten (€)]]*uitkomst_doelgroep[[#This Row],[Percentage van patiëntaantallen in Wlz (overige is Zvw)]]</f>
        <v>0</v>
      </c>
      <c r="V24" s="398">
        <f>uitkomst_doelgroep[[#This Row],[Investering (cash flow) (€)]]*uitkomst_doelgroep[[#This Row],[Percentage van patiëntaantallen in Wlz (overige is Zvw)]]</f>
        <v>0</v>
      </c>
    </row>
    <row r="25" spans="1:22" x14ac:dyDescent="0.5">
      <c r="A25" s="33" t="str">
        <f>INDEX(Technologieën[Veld],MATCH(B25,Technologieën[Digitale zorgtoepassing],0))</f>
        <v>Software - Behandeling</v>
      </c>
      <c r="B25" s="33" t="s">
        <v>609</v>
      </c>
      <c r="C25" s="33" t="s">
        <v>81</v>
      </c>
      <c r="D25" s="427" cm="1">
        <f t="array" ref="D25">INDEX(Berekening_patiëntaantal[Percentage van patiëntaantallen in Wlz (overige is Zvw)],MATCH(B25,IF(Berekening_patiëntaantal[Doelgroep (zoeksleutel)]=C25,Berekening_patiëntaantal[Digitale zorgtoepassing]),0))</f>
        <v>0</v>
      </c>
      <c r="E25" s="33" t="str" cm="1">
        <f t="array" ref="E25">INDEX(Berekening_patiëntaantal[Direct toepasbaar/extrapolatie/incidentie voor QALY],MATCH(B25,IF(Berekening_patiëntaantal[Doelgroep (zoeksleutel)]=C25,Berekening_patiëntaantal[Digitale zorgtoepassing]),0))</f>
        <v>Huidige toepassing</v>
      </c>
      <c r="F25" s="43" t="s">
        <v>812</v>
      </c>
      <c r="G25" s="33" t="str">
        <f>CONCATENATE(uitkomst_doelgroep[[#This Row],[Digitale zorgtoepassing]],"_",uitkomst_doelgroep[[#This Row],[Doelgroep]],"_",uitkomst_doelgroep[[#This Row],[Uitgangssituatie/effect beleid]])</f>
        <v>(Zelf)zorgplatform + telebegeleiding_IBD_Effect beleid</v>
      </c>
      <c r="H25" s="33">
        <v>2032</v>
      </c>
      <c r="I25" s="32">
        <v>10</v>
      </c>
      <c r="J25" s="406" cm="1">
        <f t="array" ref="J25">INDEX(implementatie[[2023]:[2034]],MATCH(G25, implementatie[Zoeksleutel],0),I25)</f>
        <v>0.9971285836461371</v>
      </c>
      <c r="K25" s="406" cm="1">
        <f t="array" ref="K25">INDEX(implementatie[[2023]:[2034]],MATCH(G25,implementatie[Zoeksleutel],0),I25 + 1)</f>
        <v>0.99848879614987718</v>
      </c>
      <c r="L2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79770.28669169097</v>
      </c>
      <c r="M25" s="398" cm="1">
        <f t="array" ref="M25">J25*INDEX(Berekening_impact[Totaal arbeidsbesparing (€/jaar)],MATCH(B25,IF(Berekening_impact[Doelgroep]=C25,Berekening_impact[Digitale zorgtoepassing]),0))</f>
        <v>9476710.0589728877</v>
      </c>
      <c r="N25" s="397" cm="1">
        <f t="array" ref="N25">J25*INDEX(Berekening_impact[Totaal arbeidsbesparing (FTE/jaar)],MATCH(B25,IF(Berekening_impact[Doelgroep]=C25,Berekening_impact[Digitale zorgtoepassing]),0))</f>
        <v>49.954740300682758</v>
      </c>
      <c r="O25" s="398" cm="1">
        <f t="array" ref="O25">J25*INDEX(Berekening_impact[Overige kostenbesparing (totaal/jaar totaal potentieel)],MATCH(B25,IF(Berekening_impact[Doelgroep]=C25,Berekening_impact[Digitale zorgtoepassing]),0))</f>
        <v>23548188.631387174</v>
      </c>
      <c r="P25" s="398" cm="1">
        <f t="array" ref="P25">J25*INDEX(Berekening_impact[Opbrengsten door QALY''s],MATCH(B25,IF(Berekening_impact[Doelgroep]=C25,Berekening_impact[Digitale zorgtoepassing]),0))</f>
        <v>7977028.6691690972</v>
      </c>
      <c r="Q25" s="398" cm="1">
        <f t="array" ref="Q25">J25*INDEX(Berekening_impact[Jaarlijkse kosten (totaal) - incl. schatting],MATCH(B25,IF(Berekening_impact[Doelgroep]=C25,Berekening_impact[Digitale zorgtoepassing]),0))</f>
        <v>3190811.4676676388</v>
      </c>
      <c r="R25" s="398" cm="1">
        <f t="array" ref="R25">(uitkomst_doelgroep[[#This Row],[Implementatiegraad t = T + 1]]-uitkomst_doelgroep[[#This Row],[Implementatiegraad t = T]])*INDEX(Berekening_impact[Initiële investering (totaal) - incl. schatting],MATCH(B25,IF(Berekening_impact[Doelgroep]=C25,Berekening_impact[Digitale zorgtoepassing]),0))</f>
        <v>0</v>
      </c>
      <c r="S25" s="398">
        <f>uitkomst_doelgroep[[#This Row],[Arbeidsbesparing (€)]]*uitkomst_doelgroep[[#This Row],[Percentage van patiëntaantallen in Wlz (overige is Zvw)]]</f>
        <v>0</v>
      </c>
      <c r="T25" s="398">
        <f>uitkomst_doelgroep[[#This Row],[Overige besparingen (€)]]*uitkomst_doelgroep[[#This Row],[Percentage van patiëntaantallen in Wlz (overige is Zvw)]]</f>
        <v>0</v>
      </c>
      <c r="U25" s="398">
        <f>uitkomst_doelgroep[[#This Row],[Kosten (€)]]*uitkomst_doelgroep[[#This Row],[Percentage van patiëntaantallen in Wlz (overige is Zvw)]]</f>
        <v>0</v>
      </c>
      <c r="V25" s="398">
        <f>uitkomst_doelgroep[[#This Row],[Investering (cash flow) (€)]]*uitkomst_doelgroep[[#This Row],[Percentage van patiëntaantallen in Wlz (overige is Zvw)]]</f>
        <v>0</v>
      </c>
    </row>
    <row r="26" spans="1:22" x14ac:dyDescent="0.5">
      <c r="A26" s="33" t="str">
        <f>INDEX(Technologieën[Veld],MATCH(B26,Technologieën[Digitale zorgtoepassing],0))</f>
        <v>Software - Behandeling</v>
      </c>
      <c r="B26" s="33" t="s">
        <v>609</v>
      </c>
      <c r="C26" s="33" t="s">
        <v>81</v>
      </c>
      <c r="D26" s="427" cm="1">
        <f t="array" ref="D26">INDEX(Berekening_patiëntaantal[Percentage van patiëntaantallen in Wlz (overige is Zvw)],MATCH(B26,IF(Berekening_patiëntaantal[Doelgroep (zoeksleutel)]=C26,Berekening_patiëntaantal[Digitale zorgtoepassing]),0))</f>
        <v>0</v>
      </c>
      <c r="E26" s="33" t="str" cm="1">
        <f t="array" ref="E26">INDEX(Berekening_patiëntaantal[Direct toepasbaar/extrapolatie/incidentie voor QALY],MATCH(B26,IF(Berekening_patiëntaantal[Doelgroep (zoeksleutel)]=C26,Berekening_patiëntaantal[Digitale zorgtoepassing]),0))</f>
        <v>Huidige toepassing</v>
      </c>
      <c r="F26" s="43" t="s">
        <v>812</v>
      </c>
      <c r="G26" s="33" t="str">
        <f>CONCATENATE(uitkomst_doelgroep[[#This Row],[Digitale zorgtoepassing]],"_",uitkomst_doelgroep[[#This Row],[Doelgroep]],"_",uitkomst_doelgroep[[#This Row],[Uitgangssituatie/effect beleid]])</f>
        <v>(Zelf)zorgplatform + telebegeleiding_IBD_Effect beleid</v>
      </c>
      <c r="H26" s="33">
        <v>2033</v>
      </c>
      <c r="I26" s="32">
        <v>11</v>
      </c>
      <c r="J26" s="406" cm="1">
        <f t="array" ref="J26">INDEX(implementatie[[2023]:[2034]],MATCH(G26, implementatie[Zoeksleutel],0),I26)</f>
        <v>0.99848879614987718</v>
      </c>
      <c r="K26" s="406" cm="1">
        <f t="array" ref="K26">INDEX(implementatie[[2023]:[2034]],MATCH(G26,implementatie[Zoeksleutel],0),I26 + 1)</f>
        <v>0.99920559029700107</v>
      </c>
      <c r="L2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79879.103691990167</v>
      </c>
      <c r="M26" s="398" cm="1">
        <f t="array" ref="M26">J26*INDEX(Berekening_impact[Totaal arbeidsbesparing (€/jaar)],MATCH(B26,IF(Berekening_impact[Doelgroep]=C26,Berekening_impact[Digitale zorgtoepassing]),0))</f>
        <v>9489637.5186084323</v>
      </c>
      <c r="N26" s="397" cm="1">
        <f t="array" ref="N26">J26*INDEX(Berekening_impact[Totaal arbeidsbesparing (FTE/jaar)],MATCH(B26,IF(Berekening_impact[Doelgroep]=C26,Berekening_impact[Digitale zorgtoepassing]),0))</f>
        <v>50.022885034965284</v>
      </c>
      <c r="O26" s="398" cm="1">
        <f t="array" ref="O26">J26*INDEX(Berekening_impact[Overige kostenbesparing (totaal/jaar totaal potentieel)],MATCH(B26,IF(Berekening_impact[Doelgroep]=C26,Berekening_impact[Digitale zorgtoepassing]),0))</f>
        <v>23580311.409875501</v>
      </c>
      <c r="P26" s="398" cm="1">
        <f t="array" ref="P26">J26*INDEX(Berekening_impact[Opbrengsten door QALY''s],MATCH(B26,IF(Berekening_impact[Doelgroep]=C26,Berekening_impact[Digitale zorgtoepassing]),0))</f>
        <v>7987910.3691990171</v>
      </c>
      <c r="Q26" s="398" cm="1">
        <f t="array" ref="Q26">J26*INDEX(Berekening_impact[Jaarlijkse kosten (totaal) - incl. schatting],MATCH(B26,IF(Berekening_impact[Doelgroep]=C26,Berekening_impact[Digitale zorgtoepassing]),0))</f>
        <v>3195164.1476796069</v>
      </c>
      <c r="R26" s="398" cm="1">
        <f t="array" ref="R26">(uitkomst_doelgroep[[#This Row],[Implementatiegraad t = T + 1]]-uitkomst_doelgroep[[#This Row],[Implementatiegraad t = T]])*INDEX(Berekening_impact[Initiële investering (totaal) - incl. schatting],MATCH(B26,IF(Berekening_impact[Doelgroep]=C26,Berekening_impact[Digitale zorgtoepassing]),0))</f>
        <v>0</v>
      </c>
      <c r="S26" s="398">
        <f>uitkomst_doelgroep[[#This Row],[Arbeidsbesparing (€)]]*uitkomst_doelgroep[[#This Row],[Percentage van patiëntaantallen in Wlz (overige is Zvw)]]</f>
        <v>0</v>
      </c>
      <c r="T26" s="398">
        <f>uitkomst_doelgroep[[#This Row],[Overige besparingen (€)]]*uitkomst_doelgroep[[#This Row],[Percentage van patiëntaantallen in Wlz (overige is Zvw)]]</f>
        <v>0</v>
      </c>
      <c r="U26" s="398">
        <f>uitkomst_doelgroep[[#This Row],[Kosten (€)]]*uitkomst_doelgroep[[#This Row],[Percentage van patiëntaantallen in Wlz (overige is Zvw)]]</f>
        <v>0</v>
      </c>
      <c r="V26" s="398">
        <f>uitkomst_doelgroep[[#This Row],[Investering (cash flow) (€)]]*uitkomst_doelgroep[[#This Row],[Percentage van patiëntaantallen in Wlz (overige is Zvw)]]</f>
        <v>0</v>
      </c>
    </row>
    <row r="27" spans="1:22" x14ac:dyDescent="0.5">
      <c r="A27" s="33" t="str">
        <f>INDEX(Technologieën[Veld],MATCH(B27,Technologieën[Digitale zorgtoepassing],0))</f>
        <v>Software - Behandeling</v>
      </c>
      <c r="B27" s="33" t="s">
        <v>588</v>
      </c>
      <c r="C27" s="33" t="s">
        <v>104</v>
      </c>
      <c r="D27" s="427" cm="1">
        <f t="array" ref="D27">INDEX(Berekening_patiëntaantal[Percentage van patiëntaantallen in Wlz (overige is Zvw)],MATCH(B27,IF(Berekening_patiëntaantal[Doelgroep (zoeksleutel)]=C27,Berekening_patiëntaantal[Digitale zorgtoepassing]),0))</f>
        <v>0</v>
      </c>
      <c r="E27" s="33" t="str" cm="1">
        <f t="array" ref="E27">INDEX(Berekening_patiëntaantal[Direct toepasbaar/extrapolatie/incidentie voor QALY],MATCH(B27,IF(Berekening_patiëntaantal[Doelgroep (zoeksleutel)]=C27,Berekening_patiëntaantal[Digitale zorgtoepassing]),0))</f>
        <v>Huidige toepassing</v>
      </c>
      <c r="F27" s="43" t="s">
        <v>812</v>
      </c>
      <c r="G27" s="33" t="str">
        <f>CONCATENATE(uitkomst_doelgroep[[#This Row],[Digitale zorgtoepassing]],"_",uitkomst_doelgroep[[#This Row],[Doelgroep]],"_",uitkomst_doelgroep[[#This Row],[Uitgangssituatie/effect beleid]])</f>
        <v>Digitale zorg logopedie_Afasie_Effect beleid</v>
      </c>
      <c r="H27" s="33">
        <v>2023</v>
      </c>
      <c r="I27" s="32">
        <v>1</v>
      </c>
      <c r="J27" s="406" cm="1">
        <f t="array" ref="J27">INDEX(implementatie[[2023]:[2034]],MATCH(G27, implementatie[Zoeksleutel],0),I27)</f>
        <v>0.2</v>
      </c>
      <c r="K27" s="406" cm="1">
        <f t="array" ref="K27">INDEX(implementatie[[2023]:[2034]],MATCH(G27,implementatie[Zoeksleutel],0),I27 + 1)</f>
        <v>0.26800000000000002</v>
      </c>
      <c r="L2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1600</v>
      </c>
      <c r="M27" s="398" cm="1">
        <f t="array" ref="M27">J27*INDEX(Berekening_impact[Totaal arbeidsbesparing (€/jaar)],MATCH(B27,IF(Berekening_impact[Doelgroep]=C27,Berekening_impact[Digitale zorgtoepassing]),0))</f>
        <v>1719765.5172413797</v>
      </c>
      <c r="N27" s="397" cm="1">
        <f t="array" ref="N27">J27*INDEX(Berekening_impact[Totaal arbeidsbesparing (FTE/jaar)],MATCH(B27,IF(Berekening_impact[Doelgroep]=C27,Berekening_impact[Digitale zorgtoepassing]),0))</f>
        <v>40</v>
      </c>
      <c r="O27" s="398" cm="1">
        <f t="array" ref="O27">J27*INDEX(Berekening_impact[Overige kostenbesparing (totaal/jaar totaal potentieel)],MATCH(B27,IF(Berekening_impact[Doelgroep]=C27,Berekening_impact[Digitale zorgtoepassing]),0))</f>
        <v>0</v>
      </c>
      <c r="P27" s="398" cm="1">
        <f t="array" ref="P27">J27*INDEX(Berekening_impact[Opbrengsten door QALY''s],MATCH(B27,IF(Berekening_impact[Doelgroep]=C27,Berekening_impact[Digitale zorgtoepassing]),0))</f>
        <v>0</v>
      </c>
      <c r="Q27" s="398" cm="1">
        <f t="array" ref="Q27">J27*INDEX(Berekening_impact[Jaarlijkse kosten (totaal) - incl. schatting],MATCH(B27,IF(Berekening_impact[Doelgroep]=C27,Berekening_impact[Digitale zorgtoepassing]),0))</f>
        <v>224000.136</v>
      </c>
      <c r="R27" s="398" cm="1">
        <f t="array" ref="R27">(uitkomst_doelgroep[[#This Row],[Implementatiegraad t = T + 1]]-uitkomst_doelgroep[[#This Row],[Implementatiegraad t = T]])*INDEX(Berekening_impact[Initiële investering (totaal) - incl. schatting],MATCH(B27,IF(Berekening_impact[Doelgroep]=C27,Berekening_impact[Digitale zorgtoepassing]),0))</f>
        <v>0</v>
      </c>
      <c r="S27" s="398">
        <f>uitkomst_doelgroep[[#This Row],[Arbeidsbesparing (€)]]*uitkomst_doelgroep[[#This Row],[Percentage van patiëntaantallen in Wlz (overige is Zvw)]]</f>
        <v>0</v>
      </c>
      <c r="T27" s="398">
        <f>uitkomst_doelgroep[[#This Row],[Overige besparingen (€)]]*uitkomst_doelgroep[[#This Row],[Percentage van patiëntaantallen in Wlz (overige is Zvw)]]</f>
        <v>0</v>
      </c>
      <c r="U27" s="398">
        <f>uitkomst_doelgroep[[#This Row],[Kosten (€)]]*uitkomst_doelgroep[[#This Row],[Percentage van patiëntaantallen in Wlz (overige is Zvw)]]</f>
        <v>0</v>
      </c>
      <c r="V27" s="398">
        <f>uitkomst_doelgroep[[#This Row],[Investering (cash flow) (€)]]*uitkomst_doelgroep[[#This Row],[Percentage van patiëntaantallen in Wlz (overige is Zvw)]]</f>
        <v>0</v>
      </c>
    </row>
    <row r="28" spans="1:22" x14ac:dyDescent="0.5">
      <c r="A28" s="33" t="str">
        <f>INDEX(Technologieën[Veld],MATCH(B28,Technologieën[Digitale zorgtoepassing],0))</f>
        <v>Software - Behandeling</v>
      </c>
      <c r="B28" s="33" t="s">
        <v>588</v>
      </c>
      <c r="C28" s="33" t="s">
        <v>104</v>
      </c>
      <c r="D28" s="427" cm="1">
        <f t="array" ref="D28">INDEX(Berekening_patiëntaantal[Percentage van patiëntaantallen in Wlz (overige is Zvw)],MATCH(B28,IF(Berekening_patiëntaantal[Doelgroep (zoeksleutel)]=C28,Berekening_patiëntaantal[Digitale zorgtoepassing]),0))</f>
        <v>0</v>
      </c>
      <c r="E28" s="33" t="str" cm="1">
        <f t="array" ref="E28">INDEX(Berekening_patiëntaantal[Direct toepasbaar/extrapolatie/incidentie voor QALY],MATCH(B28,IF(Berekening_patiëntaantal[Doelgroep (zoeksleutel)]=C28,Berekening_patiëntaantal[Digitale zorgtoepassing]),0))</f>
        <v>Huidige toepassing</v>
      </c>
      <c r="F28" s="43" t="s">
        <v>812</v>
      </c>
      <c r="G28" s="33" t="str">
        <f>CONCATENATE(uitkomst_doelgroep[[#This Row],[Digitale zorgtoepassing]],"_",uitkomst_doelgroep[[#This Row],[Doelgroep]],"_",uitkomst_doelgroep[[#This Row],[Uitgangssituatie/effect beleid]])</f>
        <v>Digitale zorg logopedie_Afasie_Effect beleid</v>
      </c>
      <c r="H28" s="33">
        <v>2024</v>
      </c>
      <c r="I28" s="32">
        <v>2</v>
      </c>
      <c r="J28" s="406" cm="1">
        <f t="array" ref="J28">INDEX(implementatie[[2023]:[2034]],MATCH(G28, implementatie[Zoeksleutel],0),I28)</f>
        <v>0.26800000000000002</v>
      </c>
      <c r="K28" s="406" cm="1">
        <f t="array" ref="K28">INDEX(implementatie[[2023]:[2034]],MATCH(G28,implementatie[Zoeksleutel],0),I28 + 1)</f>
        <v>0.3476416</v>
      </c>
      <c r="L2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2144</v>
      </c>
      <c r="M28" s="398" cm="1">
        <f t="array" ref="M28">J28*INDEX(Berekening_impact[Totaal arbeidsbesparing (€/jaar)],MATCH(B28,IF(Berekening_impact[Doelgroep]=C28,Berekening_impact[Digitale zorgtoepassing]),0))</f>
        <v>2304485.793103449</v>
      </c>
      <c r="N28" s="397" cm="1">
        <f t="array" ref="N28">J28*INDEX(Berekening_impact[Totaal arbeidsbesparing (FTE/jaar)],MATCH(B28,IF(Berekening_impact[Doelgroep]=C28,Berekening_impact[Digitale zorgtoepassing]),0))</f>
        <v>53.6</v>
      </c>
      <c r="O28" s="398" cm="1">
        <f t="array" ref="O28">J28*INDEX(Berekening_impact[Overige kostenbesparing (totaal/jaar totaal potentieel)],MATCH(B28,IF(Berekening_impact[Doelgroep]=C28,Berekening_impact[Digitale zorgtoepassing]),0))</f>
        <v>0</v>
      </c>
      <c r="P28" s="398" cm="1">
        <f t="array" ref="P28">J28*INDEX(Berekening_impact[Opbrengsten door QALY''s],MATCH(B28,IF(Berekening_impact[Doelgroep]=C28,Berekening_impact[Digitale zorgtoepassing]),0))</f>
        <v>0</v>
      </c>
      <c r="Q28" s="398" cm="1">
        <f t="array" ref="Q28">J28*INDEX(Berekening_impact[Jaarlijkse kosten (totaal) - incl. schatting],MATCH(B28,IF(Berekening_impact[Doelgroep]=C28,Berekening_impact[Digitale zorgtoepassing]),0))</f>
        <v>300160.18223999999</v>
      </c>
      <c r="R28" s="398" cm="1">
        <f t="array" ref="R28">(uitkomst_doelgroep[[#This Row],[Implementatiegraad t = T + 1]]-uitkomst_doelgroep[[#This Row],[Implementatiegraad t = T]])*INDEX(Berekening_impact[Initiële investering (totaal) - incl. schatting],MATCH(B28,IF(Berekening_impact[Doelgroep]=C28,Berekening_impact[Digitale zorgtoepassing]),0))</f>
        <v>0</v>
      </c>
      <c r="S28" s="398">
        <f>uitkomst_doelgroep[[#This Row],[Arbeidsbesparing (€)]]*uitkomst_doelgroep[[#This Row],[Percentage van patiëntaantallen in Wlz (overige is Zvw)]]</f>
        <v>0</v>
      </c>
      <c r="T28" s="398">
        <f>uitkomst_doelgroep[[#This Row],[Overige besparingen (€)]]*uitkomst_doelgroep[[#This Row],[Percentage van patiëntaantallen in Wlz (overige is Zvw)]]</f>
        <v>0</v>
      </c>
      <c r="U28" s="398">
        <f>uitkomst_doelgroep[[#This Row],[Kosten (€)]]*uitkomst_doelgroep[[#This Row],[Percentage van patiëntaantallen in Wlz (overige is Zvw)]]</f>
        <v>0</v>
      </c>
      <c r="V28" s="398">
        <f>uitkomst_doelgroep[[#This Row],[Investering (cash flow) (€)]]*uitkomst_doelgroep[[#This Row],[Percentage van patiëntaantallen in Wlz (overige is Zvw)]]</f>
        <v>0</v>
      </c>
    </row>
    <row r="29" spans="1:22" x14ac:dyDescent="0.5">
      <c r="A29" s="33" t="str">
        <f>INDEX(Technologieën[Veld],MATCH(B29,Technologieën[Digitale zorgtoepassing],0))</f>
        <v>Software - Behandeling</v>
      </c>
      <c r="B29" s="33" t="s">
        <v>588</v>
      </c>
      <c r="C29" s="33" t="s">
        <v>104</v>
      </c>
      <c r="D29" s="427" cm="1">
        <f t="array" ref="D29">INDEX(Berekening_patiëntaantal[Percentage van patiëntaantallen in Wlz (overige is Zvw)],MATCH(B29,IF(Berekening_patiëntaantal[Doelgroep (zoeksleutel)]=C29,Berekening_patiëntaantal[Digitale zorgtoepassing]),0))</f>
        <v>0</v>
      </c>
      <c r="E29" s="33" t="str" cm="1">
        <f t="array" ref="E29">INDEX(Berekening_patiëntaantal[Direct toepasbaar/extrapolatie/incidentie voor QALY],MATCH(B29,IF(Berekening_patiëntaantal[Doelgroep (zoeksleutel)]=C29,Berekening_patiëntaantal[Digitale zorgtoepassing]),0))</f>
        <v>Huidige toepassing</v>
      </c>
      <c r="F29" s="43" t="s">
        <v>812</v>
      </c>
      <c r="G29" s="33" t="str">
        <f>CONCATENATE(uitkomst_doelgroep[[#This Row],[Digitale zorgtoepassing]],"_",uitkomst_doelgroep[[#This Row],[Doelgroep]],"_",uitkomst_doelgroep[[#This Row],[Uitgangssituatie/effect beleid]])</f>
        <v>Digitale zorg logopedie_Afasie_Effect beleid</v>
      </c>
      <c r="H29" s="33">
        <v>2025</v>
      </c>
      <c r="I29" s="32">
        <v>3</v>
      </c>
      <c r="J29" s="406" cm="1">
        <f t="array" ref="J29">INDEX(implementatie[[2023]:[2034]],MATCH(G29, implementatie[Zoeksleutel],0),I29)</f>
        <v>0.3476416</v>
      </c>
      <c r="K29" s="406" cm="1">
        <f t="array" ref="K29">INDEX(implementatie[[2023]:[2034]],MATCH(G29,implementatie[Zoeksleutel],0),I29 + 1)</f>
        <v>0.43680239728230397</v>
      </c>
      <c r="L2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2781.1327999999999</v>
      </c>
      <c r="M29" s="398" cm="1">
        <f t="array" ref="M29">J29*INDEX(Berekening_impact[Totaal arbeidsbesparing (€/jaar)],MATCH(B29,IF(Berekening_impact[Doelgroep]=C29,Berekening_impact[Digitale zorgtoepassing]),0))</f>
        <v>2989310.1801931038</v>
      </c>
      <c r="N29" s="397" cm="1">
        <f t="array" ref="N29">J29*INDEX(Berekening_impact[Totaal arbeidsbesparing (FTE/jaar)],MATCH(B29,IF(Berekening_impact[Doelgroep]=C29,Berekening_impact[Digitale zorgtoepassing]),0))</f>
        <v>69.528319999999994</v>
      </c>
      <c r="O29" s="398" cm="1">
        <f t="array" ref="O29">J29*INDEX(Berekening_impact[Overige kostenbesparing (totaal/jaar totaal potentieel)],MATCH(B29,IF(Berekening_impact[Doelgroep]=C29,Berekening_impact[Digitale zorgtoepassing]),0))</f>
        <v>0</v>
      </c>
      <c r="P29" s="398" cm="1">
        <f t="array" ref="P29">J29*INDEX(Berekening_impact[Opbrengsten door QALY''s],MATCH(B29,IF(Berekening_impact[Doelgroep]=C29,Berekening_impact[Digitale zorgtoepassing]),0))</f>
        <v>0</v>
      </c>
      <c r="Q29" s="398" cm="1">
        <f t="array" ref="Q29">J29*INDEX(Berekening_impact[Jaarlijkse kosten (totaal) - incl. schatting],MATCH(B29,IF(Berekening_impact[Doelgroep]=C29,Berekening_impact[Digitale zorgtoepassing]),0))</f>
        <v>389358.82839628798</v>
      </c>
      <c r="R29" s="398" cm="1">
        <f t="array" ref="R29">(uitkomst_doelgroep[[#This Row],[Implementatiegraad t = T + 1]]-uitkomst_doelgroep[[#This Row],[Implementatiegraad t = T]])*INDEX(Berekening_impact[Initiële investering (totaal) - incl. schatting],MATCH(B29,IF(Berekening_impact[Doelgroep]=C29,Berekening_impact[Digitale zorgtoepassing]),0))</f>
        <v>0</v>
      </c>
      <c r="S29" s="398">
        <f>uitkomst_doelgroep[[#This Row],[Arbeidsbesparing (€)]]*uitkomst_doelgroep[[#This Row],[Percentage van patiëntaantallen in Wlz (overige is Zvw)]]</f>
        <v>0</v>
      </c>
      <c r="T29" s="398">
        <f>uitkomst_doelgroep[[#This Row],[Overige besparingen (€)]]*uitkomst_doelgroep[[#This Row],[Percentage van patiëntaantallen in Wlz (overige is Zvw)]]</f>
        <v>0</v>
      </c>
      <c r="U29" s="398">
        <f>uitkomst_doelgroep[[#This Row],[Kosten (€)]]*uitkomst_doelgroep[[#This Row],[Percentage van patiëntaantallen in Wlz (overige is Zvw)]]</f>
        <v>0</v>
      </c>
      <c r="V29" s="398">
        <f>uitkomst_doelgroep[[#This Row],[Investering (cash flow) (€)]]*uitkomst_doelgroep[[#This Row],[Percentage van patiëntaantallen in Wlz (overige is Zvw)]]</f>
        <v>0</v>
      </c>
    </row>
    <row r="30" spans="1:22" x14ac:dyDescent="0.5">
      <c r="A30" s="33" t="str">
        <f>INDEX(Technologieën[Veld],MATCH(B30,Technologieën[Digitale zorgtoepassing],0))</f>
        <v>Software - Behandeling</v>
      </c>
      <c r="B30" s="33" t="s">
        <v>588</v>
      </c>
      <c r="C30" s="33" t="s">
        <v>104</v>
      </c>
      <c r="D30" s="427" cm="1">
        <f t="array" ref="D30">INDEX(Berekening_patiëntaantal[Percentage van patiëntaantallen in Wlz (overige is Zvw)],MATCH(B30,IF(Berekening_patiëntaantal[Doelgroep (zoeksleutel)]=C30,Berekening_patiëntaantal[Digitale zorgtoepassing]),0))</f>
        <v>0</v>
      </c>
      <c r="E30" s="33" t="str" cm="1">
        <f t="array" ref="E30">INDEX(Berekening_patiëntaantal[Direct toepasbaar/extrapolatie/incidentie voor QALY],MATCH(B30,IF(Berekening_patiëntaantal[Doelgroep (zoeksleutel)]=C30,Berekening_patiëntaantal[Digitale zorgtoepassing]),0))</f>
        <v>Huidige toepassing</v>
      </c>
      <c r="F30" s="43" t="s">
        <v>812</v>
      </c>
      <c r="G30" s="33" t="str">
        <f>CONCATENATE(uitkomst_doelgroep[[#This Row],[Digitale zorgtoepassing]],"_",uitkomst_doelgroep[[#This Row],[Doelgroep]],"_",uitkomst_doelgroep[[#This Row],[Uitgangssituatie/effect beleid]])</f>
        <v>Digitale zorg logopedie_Afasie_Effect beleid</v>
      </c>
      <c r="H30" s="33">
        <v>2026</v>
      </c>
      <c r="I30" s="32">
        <v>4</v>
      </c>
      <c r="J30" s="406" cm="1">
        <f t="array" ref="J30">INDEX(implementatie[[2023]:[2034]],MATCH(G30, implementatie[Zoeksleutel],0),I30)</f>
        <v>0.43680239728230397</v>
      </c>
      <c r="K30" s="406" cm="1">
        <f t="array" ref="K30">INDEX(implementatie[[2023]:[2034]],MATCH(G30,implementatie[Zoeksleutel],0),I30 + 1)</f>
        <v>0.53135248337682706</v>
      </c>
      <c r="L3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3494.4191782584317</v>
      </c>
      <c r="M30" s="398" cm="1">
        <f t="array" ref="M30">J30*INDEX(Berekening_impact[Totaal arbeidsbesparing (€/jaar)],MATCH(B30,IF(Berekening_impact[Doelgroep]=C30,Berekening_impact[Digitale zorgtoepassing]),0))</f>
        <v>3755988.5034723803</v>
      </c>
      <c r="N30" s="397" cm="1">
        <f t="array" ref="N30">J30*INDEX(Berekening_impact[Totaal arbeidsbesparing (FTE/jaar)],MATCH(B30,IF(Berekening_impact[Doelgroep]=C30,Berekening_impact[Digitale zorgtoepassing]),0))</f>
        <v>87.360479456460794</v>
      </c>
      <c r="O30" s="398" cm="1">
        <f t="array" ref="O30">J30*INDEX(Berekening_impact[Overige kostenbesparing (totaal/jaar totaal potentieel)],MATCH(B30,IF(Berekening_impact[Doelgroep]=C30,Berekening_impact[Digitale zorgtoepassing]),0))</f>
        <v>0</v>
      </c>
      <c r="P30" s="398" cm="1">
        <f t="array" ref="P30">J30*INDEX(Berekening_impact[Opbrengsten door QALY''s],MATCH(B30,IF(Berekening_impact[Doelgroep]=C30,Berekening_impact[Digitale zorgtoepassing]),0))</f>
        <v>0</v>
      </c>
      <c r="Q30" s="398" cm="1">
        <f t="array" ref="Q30">J30*INDEX(Berekening_impact[Jaarlijkse kosten (totaal) - incl. schatting],MATCH(B30,IF(Berekening_impact[Doelgroep]=C30,Berekening_impact[Digitale zorgtoepassing]),0))</f>
        <v>489218.98198181059</v>
      </c>
      <c r="R30" s="398" cm="1">
        <f t="array" ref="R30">(uitkomst_doelgroep[[#This Row],[Implementatiegraad t = T + 1]]-uitkomst_doelgroep[[#This Row],[Implementatiegraad t = T]])*INDEX(Berekening_impact[Initiële investering (totaal) - incl. schatting],MATCH(B30,IF(Berekening_impact[Doelgroep]=C30,Berekening_impact[Digitale zorgtoepassing]),0))</f>
        <v>0</v>
      </c>
      <c r="S30" s="398">
        <f>uitkomst_doelgroep[[#This Row],[Arbeidsbesparing (€)]]*uitkomst_doelgroep[[#This Row],[Percentage van patiëntaantallen in Wlz (overige is Zvw)]]</f>
        <v>0</v>
      </c>
      <c r="T30" s="398">
        <f>uitkomst_doelgroep[[#This Row],[Overige besparingen (€)]]*uitkomst_doelgroep[[#This Row],[Percentage van patiëntaantallen in Wlz (overige is Zvw)]]</f>
        <v>0</v>
      </c>
      <c r="U30" s="398">
        <f>uitkomst_doelgroep[[#This Row],[Kosten (€)]]*uitkomst_doelgroep[[#This Row],[Percentage van patiëntaantallen in Wlz (overige is Zvw)]]</f>
        <v>0</v>
      </c>
      <c r="V30" s="398">
        <f>uitkomst_doelgroep[[#This Row],[Investering (cash flow) (€)]]*uitkomst_doelgroep[[#This Row],[Percentage van patiëntaantallen in Wlz (overige is Zvw)]]</f>
        <v>0</v>
      </c>
    </row>
    <row r="31" spans="1:22" x14ac:dyDescent="0.5">
      <c r="A31" s="33" t="str">
        <f>INDEX(Technologieën[Veld],MATCH(B31,Technologieën[Digitale zorgtoepassing],0))</f>
        <v>Software - Behandeling</v>
      </c>
      <c r="B31" s="33" t="s">
        <v>588</v>
      </c>
      <c r="C31" s="33" t="s">
        <v>104</v>
      </c>
      <c r="D31" s="427" cm="1">
        <f t="array" ref="D31">INDEX(Berekening_patiëntaantal[Percentage van patiëntaantallen in Wlz (overige is Zvw)],MATCH(B31,IF(Berekening_patiëntaantal[Doelgroep (zoeksleutel)]=C31,Berekening_patiëntaantal[Digitale zorgtoepassing]),0))</f>
        <v>0</v>
      </c>
      <c r="E31" s="33" t="str" cm="1">
        <f t="array" ref="E31">INDEX(Berekening_patiëntaantal[Direct toepasbaar/extrapolatie/incidentie voor QALY],MATCH(B31,IF(Berekening_patiëntaantal[Doelgroep (zoeksleutel)]=C31,Berekening_patiëntaantal[Digitale zorgtoepassing]),0))</f>
        <v>Huidige toepassing</v>
      </c>
      <c r="F31" s="43" t="s">
        <v>812</v>
      </c>
      <c r="G31" s="33" t="str">
        <f>CONCATENATE(uitkomst_doelgroep[[#This Row],[Digitale zorgtoepassing]],"_",uitkomst_doelgroep[[#This Row],[Doelgroep]],"_",uitkomst_doelgroep[[#This Row],[Uitgangssituatie/effect beleid]])</f>
        <v>Digitale zorg logopedie_Afasie_Effect beleid</v>
      </c>
      <c r="H31" s="33">
        <v>2027</v>
      </c>
      <c r="I31" s="32">
        <v>5</v>
      </c>
      <c r="J31" s="406" cm="1">
        <f t="array" ref="J31">INDEX(implementatie[[2023]:[2034]],MATCH(G31, implementatie[Zoeksleutel],0),I31)</f>
        <v>0.53135248337682706</v>
      </c>
      <c r="K31" s="406" cm="1">
        <f t="array" ref="K31">INDEX(implementatie[[2023]:[2034]],MATCH(G31,implementatie[Zoeksleutel],0),I31 + 1)</f>
        <v>0.62553815375131172</v>
      </c>
      <c r="L3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4250.8198670146166</v>
      </c>
      <c r="M31" s="398" cm="1">
        <f t="array" ref="M31">J31*INDEX(Berekening_impact[Totaal arbeidsbesparing (€/jaar)],MATCH(B31,IF(Berekening_impact[Doelgroep]=C31,Berekening_impact[Digitale zorgtoepassing]),0))</f>
        <v>4569008.3920602025</v>
      </c>
      <c r="N31" s="397" cm="1">
        <f t="array" ref="N31">J31*INDEX(Berekening_impact[Totaal arbeidsbesparing (FTE/jaar)],MATCH(B31,IF(Berekening_impact[Doelgroep]=C31,Berekening_impact[Digitale zorgtoepassing]),0))</f>
        <v>106.27049667536541</v>
      </c>
      <c r="O31" s="398" cm="1">
        <f t="array" ref="O31">J31*INDEX(Berekening_impact[Overige kostenbesparing (totaal/jaar totaal potentieel)],MATCH(B31,IF(Berekening_impact[Doelgroep]=C31,Berekening_impact[Digitale zorgtoepassing]),0))</f>
        <v>0</v>
      </c>
      <c r="P31" s="398" cm="1">
        <f t="array" ref="P31">J31*INDEX(Berekening_impact[Opbrengsten door QALY''s],MATCH(B31,IF(Berekening_impact[Doelgroep]=C31,Berekening_impact[Digitale zorgtoepassing]),0))</f>
        <v>0</v>
      </c>
      <c r="Q31" s="398" cm="1">
        <f t="array" ref="Q31">J31*INDEX(Berekening_impact[Jaarlijkse kosten (totaal) - incl. schatting],MATCH(B31,IF(Berekening_impact[Doelgroep]=C31,Berekening_impact[Digitale zorgtoepassing]),0))</f>
        <v>595115.14270173502</v>
      </c>
      <c r="R31" s="398" cm="1">
        <f t="array" ref="R31">(uitkomst_doelgroep[[#This Row],[Implementatiegraad t = T + 1]]-uitkomst_doelgroep[[#This Row],[Implementatiegraad t = T]])*INDEX(Berekening_impact[Initiële investering (totaal) - incl. schatting],MATCH(B31,IF(Berekening_impact[Doelgroep]=C31,Berekening_impact[Digitale zorgtoepassing]),0))</f>
        <v>0</v>
      </c>
      <c r="S31" s="398">
        <f>uitkomst_doelgroep[[#This Row],[Arbeidsbesparing (€)]]*uitkomst_doelgroep[[#This Row],[Percentage van patiëntaantallen in Wlz (overige is Zvw)]]</f>
        <v>0</v>
      </c>
      <c r="T31" s="398">
        <f>uitkomst_doelgroep[[#This Row],[Overige besparingen (€)]]*uitkomst_doelgroep[[#This Row],[Percentage van patiëntaantallen in Wlz (overige is Zvw)]]</f>
        <v>0</v>
      </c>
      <c r="U31" s="398">
        <f>uitkomst_doelgroep[[#This Row],[Kosten (€)]]*uitkomst_doelgroep[[#This Row],[Percentage van patiëntaantallen in Wlz (overige is Zvw)]]</f>
        <v>0</v>
      </c>
      <c r="V31" s="398">
        <f>uitkomst_doelgroep[[#This Row],[Investering (cash flow) (€)]]*uitkomst_doelgroep[[#This Row],[Percentage van patiëntaantallen in Wlz (overige is Zvw)]]</f>
        <v>0</v>
      </c>
    </row>
    <row r="32" spans="1:22" x14ac:dyDescent="0.5">
      <c r="A32" s="33" t="str">
        <f>INDEX(Technologieën[Veld],MATCH(B32,Technologieën[Digitale zorgtoepassing],0))</f>
        <v>Software - Behandeling</v>
      </c>
      <c r="B32" s="33" t="s">
        <v>588</v>
      </c>
      <c r="C32" s="33" t="s">
        <v>104</v>
      </c>
      <c r="D32" s="427" cm="1">
        <f t="array" ref="D32">INDEX(Berekening_patiëntaantal[Percentage van patiëntaantallen in Wlz (overige is Zvw)],MATCH(B32,IF(Berekening_patiëntaantal[Doelgroep (zoeksleutel)]=C32,Berekening_patiëntaantal[Digitale zorgtoepassing]),0))</f>
        <v>0</v>
      </c>
      <c r="E32" s="33" t="str" cm="1">
        <f t="array" ref="E32">INDEX(Berekening_patiëntaantal[Direct toepasbaar/extrapolatie/incidentie voor QALY],MATCH(B32,IF(Berekening_patiëntaantal[Doelgroep (zoeksleutel)]=C32,Berekening_patiëntaantal[Digitale zorgtoepassing]),0))</f>
        <v>Huidige toepassing</v>
      </c>
      <c r="F32" s="43" t="s">
        <v>812</v>
      </c>
      <c r="G32" s="33" t="str">
        <f>CONCATENATE(uitkomst_doelgroep[[#This Row],[Digitale zorgtoepassing]],"_",uitkomst_doelgroep[[#This Row],[Doelgroep]],"_",uitkomst_doelgroep[[#This Row],[Uitgangssituatie/effect beleid]])</f>
        <v>Digitale zorg logopedie_Afasie_Effect beleid</v>
      </c>
      <c r="H32" s="33">
        <v>2028</v>
      </c>
      <c r="I32" s="32">
        <v>6</v>
      </c>
      <c r="J32" s="406" cm="1">
        <f t="array" ref="J32">INDEX(implementatie[[2023]:[2034]],MATCH(G32, implementatie[Zoeksleutel],0),I32)</f>
        <v>0.62553815375131172</v>
      </c>
      <c r="K32" s="406" cm="1">
        <f t="array" ref="K32">INDEX(implementatie[[2023]:[2034]],MATCH(G32,implementatie[Zoeksleutel],0),I32 + 1)</f>
        <v>0.71313914162849124</v>
      </c>
      <c r="L3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5004.3052300104937</v>
      </c>
      <c r="M32" s="398" cm="1">
        <f t="array" ref="M32">J32*INDEX(Berekening_impact[Totaal arbeidsbesparing (€/jaar)],MATCH(B32,IF(Berekening_impact[Doelgroep]=C32,Berekening_impact[Digitale zorgtoepassing]),0))</f>
        <v>5378894.7327017114</v>
      </c>
      <c r="N32" s="397" cm="1">
        <f t="array" ref="N32">J32*INDEX(Berekening_impact[Totaal arbeidsbesparing (FTE/jaar)],MATCH(B32,IF(Berekening_impact[Doelgroep]=C32,Berekening_impact[Digitale zorgtoepassing]),0))</f>
        <v>125.10763075026235</v>
      </c>
      <c r="O32" s="398" cm="1">
        <f t="array" ref="O32">J32*INDEX(Berekening_impact[Overige kostenbesparing (totaal/jaar totaal potentieel)],MATCH(B32,IF(Berekening_impact[Doelgroep]=C32,Berekening_impact[Digitale zorgtoepassing]),0))</f>
        <v>0</v>
      </c>
      <c r="P32" s="398" cm="1">
        <f t="array" ref="P32">J32*INDEX(Berekening_impact[Opbrengsten door QALY''s],MATCH(B32,IF(Berekening_impact[Doelgroep]=C32,Berekening_impact[Digitale zorgtoepassing]),0))</f>
        <v>0</v>
      </c>
      <c r="Q32" s="398" cm="1">
        <f t="array" ref="Q32">J32*INDEX(Berekening_impact[Jaarlijkse kosten (totaal) - incl. schatting],MATCH(B32,IF(Berekening_impact[Doelgroep]=C32,Berekening_impact[Digitale zorgtoepassing]),0))</f>
        <v>700603.15756741364</v>
      </c>
      <c r="R32" s="398" cm="1">
        <f t="array" ref="R32">(uitkomst_doelgroep[[#This Row],[Implementatiegraad t = T + 1]]-uitkomst_doelgroep[[#This Row],[Implementatiegraad t = T]])*INDEX(Berekening_impact[Initiële investering (totaal) - incl. schatting],MATCH(B32,IF(Berekening_impact[Doelgroep]=C32,Berekening_impact[Digitale zorgtoepassing]),0))</f>
        <v>0</v>
      </c>
      <c r="S32" s="398">
        <f>uitkomst_doelgroep[[#This Row],[Arbeidsbesparing (€)]]*uitkomst_doelgroep[[#This Row],[Percentage van patiëntaantallen in Wlz (overige is Zvw)]]</f>
        <v>0</v>
      </c>
      <c r="T32" s="398">
        <f>uitkomst_doelgroep[[#This Row],[Overige besparingen (€)]]*uitkomst_doelgroep[[#This Row],[Percentage van patiëntaantallen in Wlz (overige is Zvw)]]</f>
        <v>0</v>
      </c>
      <c r="U32" s="398">
        <f>uitkomst_doelgroep[[#This Row],[Kosten (€)]]*uitkomst_doelgroep[[#This Row],[Percentage van patiëntaantallen in Wlz (overige is Zvw)]]</f>
        <v>0</v>
      </c>
      <c r="V32" s="398">
        <f>uitkomst_doelgroep[[#This Row],[Investering (cash flow) (€)]]*uitkomst_doelgroep[[#This Row],[Percentage van patiëntaantallen in Wlz (overige is Zvw)]]</f>
        <v>0</v>
      </c>
    </row>
    <row r="33" spans="1:22" x14ac:dyDescent="0.5">
      <c r="A33" s="33" t="str">
        <f>INDEX(Technologieën[Veld],MATCH(B33,Technologieën[Digitale zorgtoepassing],0))</f>
        <v>Software - Behandeling</v>
      </c>
      <c r="B33" s="33" t="s">
        <v>588</v>
      </c>
      <c r="C33" s="33" t="s">
        <v>104</v>
      </c>
      <c r="D33" s="427" cm="1">
        <f t="array" ref="D33">INDEX(Berekening_patiëntaantal[Percentage van patiëntaantallen in Wlz (overige is Zvw)],MATCH(B33,IF(Berekening_patiëntaantal[Doelgroep (zoeksleutel)]=C33,Berekening_patiëntaantal[Digitale zorgtoepassing]),0))</f>
        <v>0</v>
      </c>
      <c r="E33" s="33" t="str" cm="1">
        <f t="array" ref="E33">INDEX(Berekening_patiëntaantal[Direct toepasbaar/extrapolatie/incidentie voor QALY],MATCH(B33,IF(Berekening_patiëntaantal[Doelgroep (zoeksleutel)]=C33,Berekening_patiëntaantal[Digitale zorgtoepassing]),0))</f>
        <v>Huidige toepassing</v>
      </c>
      <c r="F33" s="43" t="s">
        <v>812</v>
      </c>
      <c r="G33" s="33" t="str">
        <f>CONCATENATE(uitkomst_doelgroep[[#This Row],[Digitale zorgtoepassing]],"_",uitkomst_doelgroep[[#This Row],[Doelgroep]],"_",uitkomst_doelgroep[[#This Row],[Uitgangssituatie/effect beleid]])</f>
        <v>Digitale zorg logopedie_Afasie_Effect beleid</v>
      </c>
      <c r="H33" s="33">
        <v>2029</v>
      </c>
      <c r="I33" s="32">
        <v>7</v>
      </c>
      <c r="J33" s="406" cm="1">
        <f t="array" ref="J33">INDEX(implementatie[[2023]:[2034]],MATCH(G33, implementatie[Zoeksleutel],0),I33)</f>
        <v>0.71313914162849124</v>
      </c>
      <c r="K33" s="406" cm="1">
        <f t="array" ref="K33">INDEX(implementatie[[2023]:[2034]],MATCH(G33,implementatie[Zoeksleutel],0),I33 + 1)</f>
        <v>0.78904215171111836</v>
      </c>
      <c r="L3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5705.1131330279295</v>
      </c>
      <c r="M33" s="398" cm="1">
        <f t="array" ref="M33">J33*INDEX(Berekening_impact[Totaal arbeidsbesparing (€/jaar)],MATCH(B33,IF(Berekening_impact[Doelgroep]=C33,Berekening_impact[Digitale zorgtoepassing]),0))</f>
        <v>6132160.5238389783</v>
      </c>
      <c r="N33" s="397" cm="1">
        <f t="array" ref="N33">J33*INDEX(Berekening_impact[Totaal arbeidsbesparing (FTE/jaar)],MATCH(B33,IF(Berekening_impact[Doelgroep]=C33,Berekening_impact[Digitale zorgtoepassing]),0))</f>
        <v>142.62782832569826</v>
      </c>
      <c r="O33" s="398" cm="1">
        <f t="array" ref="O33">J33*INDEX(Berekening_impact[Overige kostenbesparing (totaal/jaar totaal potentieel)],MATCH(B33,IF(Berekening_impact[Doelgroep]=C33,Berekening_impact[Digitale zorgtoepassing]),0))</f>
        <v>0</v>
      </c>
      <c r="P33" s="398" cm="1">
        <f t="array" ref="P33">J33*INDEX(Berekening_impact[Opbrengsten door QALY''s],MATCH(B33,IF(Berekening_impact[Doelgroep]=C33,Berekening_impact[Digitale zorgtoepassing]),0))</f>
        <v>0</v>
      </c>
      <c r="Q33" s="398" cm="1">
        <f t="array" ref="Q33">J33*INDEX(Berekening_impact[Jaarlijkse kosten (totaal) - incl. schatting],MATCH(B33,IF(Berekening_impact[Doelgroep]=C33,Berekening_impact[Digitale zorgtoepassing]),0))</f>
        <v>798716.32355852646</v>
      </c>
      <c r="R33" s="398" cm="1">
        <f t="array" ref="R33">(uitkomst_doelgroep[[#This Row],[Implementatiegraad t = T + 1]]-uitkomst_doelgroep[[#This Row],[Implementatiegraad t = T]])*INDEX(Berekening_impact[Initiële investering (totaal) - incl. schatting],MATCH(B33,IF(Berekening_impact[Doelgroep]=C33,Berekening_impact[Digitale zorgtoepassing]),0))</f>
        <v>0</v>
      </c>
      <c r="S33" s="398">
        <f>uitkomst_doelgroep[[#This Row],[Arbeidsbesparing (€)]]*uitkomst_doelgroep[[#This Row],[Percentage van patiëntaantallen in Wlz (overige is Zvw)]]</f>
        <v>0</v>
      </c>
      <c r="T33" s="398">
        <f>uitkomst_doelgroep[[#This Row],[Overige besparingen (€)]]*uitkomst_doelgroep[[#This Row],[Percentage van patiëntaantallen in Wlz (overige is Zvw)]]</f>
        <v>0</v>
      </c>
      <c r="U33" s="398">
        <f>uitkomst_doelgroep[[#This Row],[Kosten (€)]]*uitkomst_doelgroep[[#This Row],[Percentage van patiëntaantallen in Wlz (overige is Zvw)]]</f>
        <v>0</v>
      </c>
      <c r="V33" s="398">
        <f>uitkomst_doelgroep[[#This Row],[Investering (cash flow) (€)]]*uitkomst_doelgroep[[#This Row],[Percentage van patiëntaantallen in Wlz (overige is Zvw)]]</f>
        <v>0</v>
      </c>
    </row>
    <row r="34" spans="1:22" x14ac:dyDescent="0.5">
      <c r="A34" s="33" t="str">
        <f>INDEX(Technologieën[Veld],MATCH(B34,Technologieën[Digitale zorgtoepassing],0))</f>
        <v>Software - Behandeling</v>
      </c>
      <c r="B34" s="33" t="s">
        <v>588</v>
      </c>
      <c r="C34" s="33" t="s">
        <v>104</v>
      </c>
      <c r="D34" s="427" cm="1">
        <f t="array" ref="D34">INDEX(Berekening_patiëntaantal[Percentage van patiëntaantallen in Wlz (overige is Zvw)],MATCH(B34,IF(Berekening_patiëntaantal[Doelgroep (zoeksleutel)]=C34,Berekening_patiëntaantal[Digitale zorgtoepassing]),0))</f>
        <v>0</v>
      </c>
      <c r="E34" s="33" t="str" cm="1">
        <f t="array" ref="E34">INDEX(Berekening_patiëntaantal[Direct toepasbaar/extrapolatie/incidentie voor QALY],MATCH(B34,IF(Berekening_patiëntaantal[Doelgroep (zoeksleutel)]=C34,Berekening_patiëntaantal[Digitale zorgtoepassing]),0))</f>
        <v>Huidige toepassing</v>
      </c>
      <c r="F34" s="43" t="s">
        <v>812</v>
      </c>
      <c r="G34" s="33" t="str">
        <f>CONCATENATE(uitkomst_doelgroep[[#This Row],[Digitale zorgtoepassing]],"_",uitkomst_doelgroep[[#This Row],[Doelgroep]],"_",uitkomst_doelgroep[[#This Row],[Uitgangssituatie/effect beleid]])</f>
        <v>Digitale zorg logopedie_Afasie_Effect beleid</v>
      </c>
      <c r="H34" s="33">
        <v>2030</v>
      </c>
      <c r="I34" s="32">
        <v>8</v>
      </c>
      <c r="J34" s="406" cm="1">
        <f t="array" ref="J34">INDEX(implementatie[[2023]:[2034]],MATCH(G34, implementatie[Zoeksleutel],0),I34)</f>
        <v>0.78904215171111836</v>
      </c>
      <c r="K34" s="406" cm="1">
        <f t="array" ref="K34">INDEX(implementatie[[2023]:[2034]],MATCH(G34,implementatie[Zoeksleutel],0),I34 + 1)</f>
        <v>0.85046564152242399</v>
      </c>
      <c r="L3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6312.3372136889466</v>
      </c>
      <c r="M34" s="398" cm="1">
        <f t="array" ref="M34">J34*INDEX(Berekening_impact[Totaal arbeidsbesparing (€/jaar)],MATCH(B34,IF(Berekening_impact[Doelgroep]=C34,Berekening_impact[Digitale zorgtoepassing]),0))</f>
        <v>6784837.4208136126</v>
      </c>
      <c r="N34" s="397" cm="1">
        <f t="array" ref="N34">J34*INDEX(Berekening_impact[Totaal arbeidsbesparing (FTE/jaar)],MATCH(B34,IF(Berekening_impact[Doelgroep]=C34,Berekening_impact[Digitale zorgtoepassing]),0))</f>
        <v>157.80843034222366</v>
      </c>
      <c r="O34" s="398" cm="1">
        <f t="array" ref="O34">J34*INDEX(Berekening_impact[Overige kostenbesparing (totaal/jaar totaal potentieel)],MATCH(B34,IF(Berekening_impact[Doelgroep]=C34,Berekening_impact[Digitale zorgtoepassing]),0))</f>
        <v>0</v>
      </c>
      <c r="P34" s="398" cm="1">
        <f t="array" ref="P34">J34*INDEX(Berekening_impact[Opbrengsten door QALY''s],MATCH(B34,IF(Berekening_impact[Doelgroep]=C34,Berekening_impact[Digitale zorgtoepassing]),0))</f>
        <v>0</v>
      </c>
      <c r="Q34" s="398" cm="1">
        <f t="array" ref="Q34">J34*INDEX(Berekening_impact[Jaarlijkse kosten (totaal) - incl. schatting],MATCH(B34,IF(Berekening_impact[Doelgroep]=C34,Berekening_impact[Digitale zorgtoepassing]),0))</f>
        <v>883727.74646511569</v>
      </c>
      <c r="R34" s="398" cm="1">
        <f t="array" ref="R34">(uitkomst_doelgroep[[#This Row],[Implementatiegraad t = T + 1]]-uitkomst_doelgroep[[#This Row],[Implementatiegraad t = T]])*INDEX(Berekening_impact[Initiële investering (totaal) - incl. schatting],MATCH(B34,IF(Berekening_impact[Doelgroep]=C34,Berekening_impact[Digitale zorgtoepassing]),0))</f>
        <v>0</v>
      </c>
      <c r="S34" s="398">
        <f>uitkomst_doelgroep[[#This Row],[Arbeidsbesparing (€)]]*uitkomst_doelgroep[[#This Row],[Percentage van patiëntaantallen in Wlz (overige is Zvw)]]</f>
        <v>0</v>
      </c>
      <c r="T34" s="398">
        <f>uitkomst_doelgroep[[#This Row],[Overige besparingen (€)]]*uitkomst_doelgroep[[#This Row],[Percentage van patiëntaantallen in Wlz (overige is Zvw)]]</f>
        <v>0</v>
      </c>
      <c r="U34" s="398">
        <f>uitkomst_doelgroep[[#This Row],[Kosten (€)]]*uitkomst_doelgroep[[#This Row],[Percentage van patiëntaantallen in Wlz (overige is Zvw)]]</f>
        <v>0</v>
      </c>
      <c r="V34" s="398">
        <f>uitkomst_doelgroep[[#This Row],[Investering (cash flow) (€)]]*uitkomst_doelgroep[[#This Row],[Percentage van patiëntaantallen in Wlz (overige is Zvw)]]</f>
        <v>0</v>
      </c>
    </row>
    <row r="35" spans="1:22" x14ac:dyDescent="0.5">
      <c r="A35" s="33" t="str">
        <f>INDEX(Technologieën[Veld],MATCH(B35,Technologieën[Digitale zorgtoepassing],0))</f>
        <v>Software - Behandeling</v>
      </c>
      <c r="B35" s="33" t="s">
        <v>588</v>
      </c>
      <c r="C35" s="33" t="s">
        <v>104</v>
      </c>
      <c r="D35" s="427" cm="1">
        <f t="array" ref="D35">INDEX(Berekening_patiëntaantal[Percentage van patiëntaantallen in Wlz (overige is Zvw)],MATCH(B35,IF(Berekening_patiëntaantal[Doelgroep (zoeksleutel)]=C35,Berekening_patiëntaantal[Digitale zorgtoepassing]),0))</f>
        <v>0</v>
      </c>
      <c r="E35" s="33" t="str" cm="1">
        <f t="array" ref="E35">INDEX(Berekening_patiëntaantal[Direct toepasbaar/extrapolatie/incidentie voor QALY],MATCH(B35,IF(Berekening_patiëntaantal[Doelgroep (zoeksleutel)]=C35,Berekening_patiëntaantal[Digitale zorgtoepassing]),0))</f>
        <v>Huidige toepassing</v>
      </c>
      <c r="F35" s="43" t="s">
        <v>812</v>
      </c>
      <c r="G35" s="33" t="str">
        <f>CONCATENATE(uitkomst_doelgroep[[#This Row],[Digitale zorgtoepassing]],"_",uitkomst_doelgroep[[#This Row],[Doelgroep]],"_",uitkomst_doelgroep[[#This Row],[Uitgangssituatie/effect beleid]])</f>
        <v>Digitale zorg logopedie_Afasie_Effect beleid</v>
      </c>
      <c r="H35" s="33">
        <v>2031</v>
      </c>
      <c r="I35" s="32">
        <v>9</v>
      </c>
      <c r="J35" s="406" cm="1">
        <f t="array" ref="J35">INDEX(implementatie[[2023]:[2034]],MATCH(G35, implementatie[Zoeksleutel],0),I35)</f>
        <v>0.85046564152242399</v>
      </c>
      <c r="K35" s="406" cm="1">
        <f t="array" ref="K35">INDEX(implementatie[[2023]:[2034]],MATCH(G35,implementatie[Zoeksleutel],0),I35 + 1)</f>
        <v>0.89721949883888419</v>
      </c>
      <c r="L3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6803.7251321793919</v>
      </c>
      <c r="M35" s="398" cm="1">
        <f t="array" ref="M35">J35*INDEX(Berekening_impact[Totaal arbeidsbesparing (€/jaar)],MATCH(B35,IF(Berekening_impact[Doelgroep]=C35,Berekening_impact[Digitale zorgtoepassing]),0))</f>
        <v>7313007.4194441661</v>
      </c>
      <c r="N35" s="397" cm="1">
        <f t="array" ref="N35">J35*INDEX(Berekening_impact[Totaal arbeidsbesparing (FTE/jaar)],MATCH(B35,IF(Berekening_impact[Doelgroep]=C35,Berekening_impact[Digitale zorgtoepassing]),0))</f>
        <v>170.09312830448479</v>
      </c>
      <c r="O35" s="398" cm="1">
        <f t="array" ref="O35">J35*INDEX(Berekening_impact[Overige kostenbesparing (totaal/jaar totaal potentieel)],MATCH(B35,IF(Berekening_impact[Doelgroep]=C35,Berekening_impact[Digitale zorgtoepassing]),0))</f>
        <v>0</v>
      </c>
      <c r="P35" s="398" cm="1">
        <f t="array" ref="P35">J35*INDEX(Berekening_impact[Opbrengsten door QALY''s],MATCH(B35,IF(Berekening_impact[Doelgroep]=C35,Berekening_impact[Digitale zorgtoepassing]),0))</f>
        <v>0</v>
      </c>
      <c r="Q35" s="398" cm="1">
        <f t="array" ref="Q35">J35*INDEX(Berekening_impact[Jaarlijkse kosten (totaal) - incl. schatting],MATCH(B35,IF(Berekening_impact[Doelgroep]=C35,Berekening_impact[Digitale zorgtoepassing]),0))</f>
        <v>952522.0968217511</v>
      </c>
      <c r="R35" s="398" cm="1">
        <f t="array" ref="R35">(uitkomst_doelgroep[[#This Row],[Implementatiegraad t = T + 1]]-uitkomst_doelgroep[[#This Row],[Implementatiegraad t = T]])*INDEX(Berekening_impact[Initiële investering (totaal) - incl. schatting],MATCH(B35,IF(Berekening_impact[Doelgroep]=C35,Berekening_impact[Digitale zorgtoepassing]),0))</f>
        <v>0</v>
      </c>
      <c r="S35" s="398">
        <f>uitkomst_doelgroep[[#This Row],[Arbeidsbesparing (€)]]*uitkomst_doelgroep[[#This Row],[Percentage van patiëntaantallen in Wlz (overige is Zvw)]]</f>
        <v>0</v>
      </c>
      <c r="T35" s="398">
        <f>uitkomst_doelgroep[[#This Row],[Overige besparingen (€)]]*uitkomst_doelgroep[[#This Row],[Percentage van patiëntaantallen in Wlz (overige is Zvw)]]</f>
        <v>0</v>
      </c>
      <c r="U35" s="398">
        <f>uitkomst_doelgroep[[#This Row],[Kosten (€)]]*uitkomst_doelgroep[[#This Row],[Percentage van patiëntaantallen in Wlz (overige is Zvw)]]</f>
        <v>0</v>
      </c>
      <c r="V35" s="398">
        <f>uitkomst_doelgroep[[#This Row],[Investering (cash flow) (€)]]*uitkomst_doelgroep[[#This Row],[Percentage van patiëntaantallen in Wlz (overige is Zvw)]]</f>
        <v>0</v>
      </c>
    </row>
    <row r="36" spans="1:22" x14ac:dyDescent="0.5">
      <c r="A36" s="33" t="str">
        <f>INDEX(Technologieën[Veld],MATCH(B36,Technologieën[Digitale zorgtoepassing],0))</f>
        <v>Software - Behandeling</v>
      </c>
      <c r="B36" s="33" t="s">
        <v>588</v>
      </c>
      <c r="C36" s="33" t="s">
        <v>104</v>
      </c>
      <c r="D36" s="427" cm="1">
        <f t="array" ref="D36">INDEX(Berekening_patiëntaantal[Percentage van patiëntaantallen in Wlz (overige is Zvw)],MATCH(B36,IF(Berekening_patiëntaantal[Doelgroep (zoeksleutel)]=C36,Berekening_patiëntaantal[Digitale zorgtoepassing]),0))</f>
        <v>0</v>
      </c>
      <c r="E36" s="33" t="str" cm="1">
        <f t="array" ref="E36">INDEX(Berekening_patiëntaantal[Direct toepasbaar/extrapolatie/incidentie voor QALY],MATCH(B36,IF(Berekening_patiëntaantal[Doelgroep (zoeksleutel)]=C36,Berekening_patiëntaantal[Digitale zorgtoepassing]),0))</f>
        <v>Huidige toepassing</v>
      </c>
      <c r="F36" s="43" t="s">
        <v>812</v>
      </c>
      <c r="G36" s="33" t="str">
        <f>CONCATENATE(uitkomst_doelgroep[[#This Row],[Digitale zorgtoepassing]],"_",uitkomst_doelgroep[[#This Row],[Doelgroep]],"_",uitkomst_doelgroep[[#This Row],[Uitgangssituatie/effect beleid]])</f>
        <v>Digitale zorg logopedie_Afasie_Effect beleid</v>
      </c>
      <c r="H36" s="33">
        <v>2032</v>
      </c>
      <c r="I36" s="32">
        <v>10</v>
      </c>
      <c r="J36" s="406" cm="1">
        <f t="array" ref="J36">INDEX(implementatie[[2023]:[2034]],MATCH(G36, implementatie[Zoeksleutel],0),I36)</f>
        <v>0.89721949883888419</v>
      </c>
      <c r="K36" s="406" cm="1">
        <f t="array" ref="K36">INDEX(implementatie[[2023]:[2034]],MATCH(G36,implementatie[Zoeksleutel],0),I36 + 1)</f>
        <v>0.93103704076606597</v>
      </c>
      <c r="L3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7177.7559907110735</v>
      </c>
      <c r="M36" s="398" cm="1">
        <f t="array" ref="M36">J36*INDEX(Berekening_impact[Totaal arbeidsbesparing (€/jaar)],MATCH(B36,IF(Berekening_impact[Doelgroep]=C36,Berekening_impact[Digitale zorgtoepassing]),0))</f>
        <v>7715035.7774985256</v>
      </c>
      <c r="N36" s="397" cm="1">
        <f t="array" ref="N36">J36*INDEX(Berekening_impact[Totaal arbeidsbesparing (FTE/jaar)],MATCH(B36,IF(Berekening_impact[Doelgroep]=C36,Berekening_impact[Digitale zorgtoepassing]),0))</f>
        <v>179.44389976777683</v>
      </c>
      <c r="O36" s="398" cm="1">
        <f t="array" ref="O36">J36*INDEX(Berekening_impact[Overige kostenbesparing (totaal/jaar totaal potentieel)],MATCH(B36,IF(Berekening_impact[Doelgroep]=C36,Berekening_impact[Digitale zorgtoepassing]),0))</f>
        <v>0</v>
      </c>
      <c r="P36" s="398" cm="1">
        <f t="array" ref="P36">J36*INDEX(Berekening_impact[Opbrengsten door QALY''s],MATCH(B36,IF(Berekening_impact[Doelgroep]=C36,Berekening_impact[Digitale zorgtoepassing]),0))</f>
        <v>0</v>
      </c>
      <c r="Q36" s="398" cm="1">
        <f t="array" ref="Q36">J36*INDEX(Berekening_impact[Jaarlijkse kosten (totaal) - incl. schatting],MATCH(B36,IF(Berekening_impact[Doelgroep]=C36,Berekening_impact[Digitale zorgtoepassing]),0))</f>
        <v>1004886.4488088094</v>
      </c>
      <c r="R36" s="398" cm="1">
        <f t="array" ref="R36">(uitkomst_doelgroep[[#This Row],[Implementatiegraad t = T + 1]]-uitkomst_doelgroep[[#This Row],[Implementatiegraad t = T]])*INDEX(Berekening_impact[Initiële investering (totaal) - incl. schatting],MATCH(B36,IF(Berekening_impact[Doelgroep]=C36,Berekening_impact[Digitale zorgtoepassing]),0))</f>
        <v>0</v>
      </c>
      <c r="S36" s="398">
        <f>uitkomst_doelgroep[[#This Row],[Arbeidsbesparing (€)]]*uitkomst_doelgroep[[#This Row],[Percentage van patiëntaantallen in Wlz (overige is Zvw)]]</f>
        <v>0</v>
      </c>
      <c r="T36" s="398">
        <f>uitkomst_doelgroep[[#This Row],[Overige besparingen (€)]]*uitkomst_doelgroep[[#This Row],[Percentage van patiëntaantallen in Wlz (overige is Zvw)]]</f>
        <v>0</v>
      </c>
      <c r="U36" s="398">
        <f>uitkomst_doelgroep[[#This Row],[Kosten (€)]]*uitkomst_doelgroep[[#This Row],[Percentage van patiëntaantallen in Wlz (overige is Zvw)]]</f>
        <v>0</v>
      </c>
      <c r="V36" s="398">
        <f>uitkomst_doelgroep[[#This Row],[Investering (cash flow) (€)]]*uitkomst_doelgroep[[#This Row],[Percentage van patiëntaantallen in Wlz (overige is Zvw)]]</f>
        <v>0</v>
      </c>
    </row>
    <row r="37" spans="1:22" x14ac:dyDescent="0.5">
      <c r="A37" s="33" t="str">
        <f>INDEX(Technologieën[Veld],MATCH(B37,Technologieën[Digitale zorgtoepassing],0))</f>
        <v>Software - Behandeling</v>
      </c>
      <c r="B37" s="33" t="s">
        <v>588</v>
      </c>
      <c r="C37" s="33" t="s">
        <v>104</v>
      </c>
      <c r="D37" s="427" cm="1">
        <f t="array" ref="D37">INDEX(Berekening_patiëntaantal[Percentage van patiëntaantallen in Wlz (overige is Zvw)],MATCH(B37,IF(Berekening_patiëntaantal[Doelgroep (zoeksleutel)]=C37,Berekening_patiëntaantal[Digitale zorgtoepassing]),0))</f>
        <v>0</v>
      </c>
      <c r="E37" s="33" t="str" cm="1">
        <f t="array" ref="E37">INDEX(Berekening_patiëntaantal[Direct toepasbaar/extrapolatie/incidentie voor QALY],MATCH(B37,IF(Berekening_patiëntaantal[Doelgroep (zoeksleutel)]=C37,Berekening_patiëntaantal[Digitale zorgtoepassing]),0))</f>
        <v>Huidige toepassing</v>
      </c>
      <c r="F37" s="43" t="s">
        <v>812</v>
      </c>
      <c r="G37" s="33" t="str">
        <f>CONCATENATE(uitkomst_doelgroep[[#This Row],[Digitale zorgtoepassing]],"_",uitkomst_doelgroep[[#This Row],[Doelgroep]],"_",uitkomst_doelgroep[[#This Row],[Uitgangssituatie/effect beleid]])</f>
        <v>Digitale zorg logopedie_Afasie_Effect beleid</v>
      </c>
      <c r="H37" s="33">
        <v>2033</v>
      </c>
      <c r="I37" s="32">
        <v>11</v>
      </c>
      <c r="J37" s="406" cm="1">
        <f t="array" ref="J37">INDEX(implementatie[[2023]:[2034]],MATCH(G37, implementatie[Zoeksleutel],0),I37)</f>
        <v>0.93103704076606597</v>
      </c>
      <c r="K37" s="406" cm="1">
        <f t="array" ref="K37">INDEX(implementatie[[2023]:[2034]],MATCH(G37,implementatie[Zoeksleutel],0),I37 + 1)</f>
        <v>0.9545439594752464</v>
      </c>
      <c r="L3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7448.2963261285277</v>
      </c>
      <c r="M37" s="398" cm="1">
        <f t="array" ref="M37">J37*INDEX(Berekening_impact[Totaal arbeidsbesparing (€/jaar)],MATCH(B37,IF(Berekening_impact[Doelgroep]=C37,Berekening_impact[Digitale zorgtoepassing]),0))</f>
        <v>8005826.9899196848</v>
      </c>
      <c r="N37" s="397" cm="1">
        <f t="array" ref="N37">J37*INDEX(Berekening_impact[Totaal arbeidsbesparing (FTE/jaar)],MATCH(B37,IF(Berekening_impact[Doelgroep]=C37,Berekening_impact[Digitale zorgtoepassing]),0))</f>
        <v>186.20740815321318</v>
      </c>
      <c r="O37" s="398" cm="1">
        <f t="array" ref="O37">J37*INDEX(Berekening_impact[Overige kostenbesparing (totaal/jaar totaal potentieel)],MATCH(B37,IF(Berekening_impact[Doelgroep]=C37,Berekening_impact[Digitale zorgtoepassing]),0))</f>
        <v>0</v>
      </c>
      <c r="P37" s="398" cm="1">
        <f t="array" ref="P37">J37*INDEX(Berekening_impact[Opbrengsten door QALY''s],MATCH(B37,IF(Berekening_impact[Doelgroep]=C37,Berekening_impact[Digitale zorgtoepassing]),0))</f>
        <v>0</v>
      </c>
      <c r="Q37" s="398" cm="1">
        <f t="array" ref="Q37">J37*INDEX(Berekening_impact[Jaarlijkse kosten (totaal) - incl. schatting],MATCH(B37,IF(Berekening_impact[Doelgroep]=C37,Berekening_impact[Digitale zorgtoepassing]),0))</f>
        <v>1042762.1187631815</v>
      </c>
      <c r="R37" s="398" cm="1">
        <f t="array" ref="R37">(uitkomst_doelgroep[[#This Row],[Implementatiegraad t = T + 1]]-uitkomst_doelgroep[[#This Row],[Implementatiegraad t = T]])*INDEX(Berekening_impact[Initiële investering (totaal) - incl. schatting],MATCH(B37,IF(Berekening_impact[Doelgroep]=C37,Berekening_impact[Digitale zorgtoepassing]),0))</f>
        <v>0</v>
      </c>
      <c r="S37" s="398">
        <f>uitkomst_doelgroep[[#This Row],[Arbeidsbesparing (€)]]*uitkomst_doelgroep[[#This Row],[Percentage van patiëntaantallen in Wlz (overige is Zvw)]]</f>
        <v>0</v>
      </c>
      <c r="T37" s="398">
        <f>uitkomst_doelgroep[[#This Row],[Overige besparingen (€)]]*uitkomst_doelgroep[[#This Row],[Percentage van patiëntaantallen in Wlz (overige is Zvw)]]</f>
        <v>0</v>
      </c>
      <c r="U37" s="398">
        <f>uitkomst_doelgroep[[#This Row],[Kosten (€)]]*uitkomst_doelgroep[[#This Row],[Percentage van patiëntaantallen in Wlz (overige is Zvw)]]</f>
        <v>0</v>
      </c>
      <c r="V37" s="398">
        <f>uitkomst_doelgroep[[#This Row],[Investering (cash flow) (€)]]*uitkomst_doelgroep[[#This Row],[Percentage van patiëntaantallen in Wlz (overige is Zvw)]]</f>
        <v>0</v>
      </c>
    </row>
    <row r="38" spans="1:22" x14ac:dyDescent="0.5">
      <c r="A38" s="33" t="str">
        <f>INDEX(Technologieën[Veld],MATCH(B38,Technologieën[Digitale zorgtoepassing],0))</f>
        <v>Software - Behandeling</v>
      </c>
      <c r="B38" s="33" t="s">
        <v>588</v>
      </c>
      <c r="C38" s="33" t="s">
        <v>589</v>
      </c>
      <c r="D38" s="427" cm="1">
        <f t="array" ref="D38">INDEX(Berekening_patiëntaantal[Percentage van patiëntaantallen in Wlz (overige is Zvw)],MATCH(B38,IF(Berekening_patiëntaantal[Doelgroep (zoeksleutel)]=C38,Berekening_patiëntaantal[Digitale zorgtoepassing]),0))</f>
        <v>0</v>
      </c>
      <c r="E38" s="33" t="str" cm="1">
        <f t="array" ref="E38">INDEX(Berekening_patiëntaantal[Direct toepasbaar/extrapolatie/incidentie voor QALY],MATCH(B38,IF(Berekening_patiëntaantal[Doelgroep (zoeksleutel)]=C38,Berekening_patiëntaantal[Digitale zorgtoepassing]),0))</f>
        <v>Extrapolatie</v>
      </c>
      <c r="F38" s="43" t="s">
        <v>812</v>
      </c>
      <c r="G38" s="33" t="str">
        <f>CONCATENATE(uitkomst_doelgroep[[#This Row],[Digitale zorgtoepassing]],"_",uitkomst_doelgroep[[#This Row],[Doelgroep]],"_",uitkomst_doelgroep[[#This Row],[Uitgangssituatie/effect beleid]])</f>
        <v>Digitale zorg logopedie_Overige_zittingen_Effect beleid</v>
      </c>
      <c r="H38" s="33">
        <v>2023</v>
      </c>
      <c r="I38" s="32">
        <v>1</v>
      </c>
      <c r="J38" s="406" cm="1">
        <f t="array" ref="J38">INDEX(implementatie[[2023]:[2034]],MATCH(G38, implementatie[Zoeksleutel],0),I38)</f>
        <v>0</v>
      </c>
      <c r="K38" s="406" cm="1">
        <f t="array" ref="K38">INDEX(implementatie[[2023]:[2034]],MATCH(G38,implementatie[Zoeksleutel],0),I38 + 1)</f>
        <v>0</v>
      </c>
      <c r="L3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38" s="398" cm="1">
        <f t="array" ref="M38">J38*INDEX(Berekening_impact[Totaal arbeidsbesparing (€/jaar)],MATCH(B38,IF(Berekening_impact[Doelgroep]=C38,Berekening_impact[Digitale zorgtoepassing]),0))</f>
        <v>0</v>
      </c>
      <c r="N38" s="397" cm="1">
        <f t="array" ref="N38">J38*INDEX(Berekening_impact[Totaal arbeidsbesparing (FTE/jaar)],MATCH(B38,IF(Berekening_impact[Doelgroep]=C38,Berekening_impact[Digitale zorgtoepassing]),0))</f>
        <v>0</v>
      </c>
      <c r="O38" s="398" cm="1">
        <f t="array" ref="O38">J38*INDEX(Berekening_impact[Overige kostenbesparing (totaal/jaar totaal potentieel)],MATCH(B38,IF(Berekening_impact[Doelgroep]=C38,Berekening_impact[Digitale zorgtoepassing]),0))</f>
        <v>0</v>
      </c>
      <c r="P38" s="398" cm="1">
        <f t="array" ref="P38">J38*INDEX(Berekening_impact[Opbrengsten door QALY''s],MATCH(B38,IF(Berekening_impact[Doelgroep]=C38,Berekening_impact[Digitale zorgtoepassing]),0))</f>
        <v>0</v>
      </c>
      <c r="Q38" s="398" cm="1">
        <f t="array" ref="Q38">J38*INDEX(Berekening_impact[Jaarlijkse kosten (totaal) - incl. schatting],MATCH(B38,IF(Berekening_impact[Doelgroep]=C38,Berekening_impact[Digitale zorgtoepassing]),0))</f>
        <v>0</v>
      </c>
      <c r="R38" s="398" cm="1">
        <f t="array" ref="R38">(uitkomst_doelgroep[[#This Row],[Implementatiegraad t = T + 1]]-uitkomst_doelgroep[[#This Row],[Implementatiegraad t = T]])*INDEX(Berekening_impact[Initiële investering (totaal) - incl. schatting],MATCH(B38,IF(Berekening_impact[Doelgroep]=C38,Berekening_impact[Digitale zorgtoepassing]),0))</f>
        <v>0</v>
      </c>
      <c r="S38" s="398">
        <f>uitkomst_doelgroep[[#This Row],[Arbeidsbesparing (€)]]*uitkomst_doelgroep[[#This Row],[Percentage van patiëntaantallen in Wlz (overige is Zvw)]]</f>
        <v>0</v>
      </c>
      <c r="T38" s="398">
        <f>uitkomst_doelgroep[[#This Row],[Overige besparingen (€)]]*uitkomst_doelgroep[[#This Row],[Percentage van patiëntaantallen in Wlz (overige is Zvw)]]</f>
        <v>0</v>
      </c>
      <c r="U38" s="398">
        <f>uitkomst_doelgroep[[#This Row],[Kosten (€)]]*uitkomst_doelgroep[[#This Row],[Percentage van patiëntaantallen in Wlz (overige is Zvw)]]</f>
        <v>0</v>
      </c>
      <c r="V38" s="398">
        <f>uitkomst_doelgroep[[#This Row],[Investering (cash flow) (€)]]*uitkomst_doelgroep[[#This Row],[Percentage van patiëntaantallen in Wlz (overige is Zvw)]]</f>
        <v>0</v>
      </c>
    </row>
    <row r="39" spans="1:22" x14ac:dyDescent="0.5">
      <c r="A39" s="33" t="str">
        <f>INDEX(Technologieën[Veld],MATCH(B39,Technologieën[Digitale zorgtoepassing],0))</f>
        <v>Software - Behandeling</v>
      </c>
      <c r="B39" s="33" t="s">
        <v>588</v>
      </c>
      <c r="C39" s="33" t="s">
        <v>589</v>
      </c>
      <c r="D39" s="427" cm="1">
        <f t="array" ref="D39">INDEX(Berekening_patiëntaantal[Percentage van patiëntaantallen in Wlz (overige is Zvw)],MATCH(B39,IF(Berekening_patiëntaantal[Doelgroep (zoeksleutel)]=C39,Berekening_patiëntaantal[Digitale zorgtoepassing]),0))</f>
        <v>0</v>
      </c>
      <c r="E39" s="33" t="str" cm="1">
        <f t="array" ref="E39">INDEX(Berekening_patiëntaantal[Direct toepasbaar/extrapolatie/incidentie voor QALY],MATCH(B39,IF(Berekening_patiëntaantal[Doelgroep (zoeksleutel)]=C39,Berekening_patiëntaantal[Digitale zorgtoepassing]),0))</f>
        <v>Extrapolatie</v>
      </c>
      <c r="F39" s="43" t="s">
        <v>812</v>
      </c>
      <c r="G39" s="33" t="str">
        <f>CONCATENATE(uitkomst_doelgroep[[#This Row],[Digitale zorgtoepassing]],"_",uitkomst_doelgroep[[#This Row],[Doelgroep]],"_",uitkomst_doelgroep[[#This Row],[Uitgangssituatie/effect beleid]])</f>
        <v>Digitale zorg logopedie_Overige_zittingen_Effect beleid</v>
      </c>
      <c r="H39" s="33">
        <v>2024</v>
      </c>
      <c r="I39" s="32">
        <v>2</v>
      </c>
      <c r="J39" s="406" cm="1">
        <f t="array" ref="J39">INDEX(implementatie[[2023]:[2034]],MATCH(G39, implementatie[Zoeksleutel],0),I39)</f>
        <v>0</v>
      </c>
      <c r="K39" s="406" cm="1">
        <f t="array" ref="K39">INDEX(implementatie[[2023]:[2034]],MATCH(G39,implementatie[Zoeksleutel],0),I39 + 1)</f>
        <v>0</v>
      </c>
      <c r="L3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39" s="398" cm="1">
        <f t="array" ref="M39">J39*INDEX(Berekening_impact[Totaal arbeidsbesparing (€/jaar)],MATCH(B39,IF(Berekening_impact[Doelgroep]=C39,Berekening_impact[Digitale zorgtoepassing]),0))</f>
        <v>0</v>
      </c>
      <c r="N39" s="397" cm="1">
        <f t="array" ref="N39">J39*INDEX(Berekening_impact[Totaal arbeidsbesparing (FTE/jaar)],MATCH(B39,IF(Berekening_impact[Doelgroep]=C39,Berekening_impact[Digitale zorgtoepassing]),0))</f>
        <v>0</v>
      </c>
      <c r="O39" s="398" cm="1">
        <f t="array" ref="O39">J39*INDEX(Berekening_impact[Overige kostenbesparing (totaal/jaar totaal potentieel)],MATCH(B39,IF(Berekening_impact[Doelgroep]=C39,Berekening_impact[Digitale zorgtoepassing]),0))</f>
        <v>0</v>
      </c>
      <c r="P39" s="398" cm="1">
        <f t="array" ref="P39">J39*INDEX(Berekening_impact[Opbrengsten door QALY''s],MATCH(B39,IF(Berekening_impact[Doelgroep]=C39,Berekening_impact[Digitale zorgtoepassing]),0))</f>
        <v>0</v>
      </c>
      <c r="Q39" s="398" cm="1">
        <f t="array" ref="Q39">J39*INDEX(Berekening_impact[Jaarlijkse kosten (totaal) - incl. schatting],MATCH(B39,IF(Berekening_impact[Doelgroep]=C39,Berekening_impact[Digitale zorgtoepassing]),0))</f>
        <v>0</v>
      </c>
      <c r="R39" s="398" cm="1">
        <f t="array" ref="R39">(uitkomst_doelgroep[[#This Row],[Implementatiegraad t = T + 1]]-uitkomst_doelgroep[[#This Row],[Implementatiegraad t = T]])*INDEX(Berekening_impact[Initiële investering (totaal) - incl. schatting],MATCH(B39,IF(Berekening_impact[Doelgroep]=C39,Berekening_impact[Digitale zorgtoepassing]),0))</f>
        <v>0</v>
      </c>
      <c r="S39" s="398">
        <f>uitkomst_doelgroep[[#This Row],[Arbeidsbesparing (€)]]*uitkomst_doelgroep[[#This Row],[Percentage van patiëntaantallen in Wlz (overige is Zvw)]]</f>
        <v>0</v>
      </c>
      <c r="T39" s="398">
        <f>uitkomst_doelgroep[[#This Row],[Overige besparingen (€)]]*uitkomst_doelgroep[[#This Row],[Percentage van patiëntaantallen in Wlz (overige is Zvw)]]</f>
        <v>0</v>
      </c>
      <c r="U39" s="398">
        <f>uitkomst_doelgroep[[#This Row],[Kosten (€)]]*uitkomst_doelgroep[[#This Row],[Percentage van patiëntaantallen in Wlz (overige is Zvw)]]</f>
        <v>0</v>
      </c>
      <c r="V39" s="398">
        <f>uitkomst_doelgroep[[#This Row],[Investering (cash flow) (€)]]*uitkomst_doelgroep[[#This Row],[Percentage van patiëntaantallen in Wlz (overige is Zvw)]]</f>
        <v>0</v>
      </c>
    </row>
    <row r="40" spans="1:22" x14ac:dyDescent="0.5">
      <c r="A40" s="33" t="str">
        <f>INDEX(Technologieën[Veld],MATCH(B40,Technologieën[Digitale zorgtoepassing],0))</f>
        <v>Software - Behandeling</v>
      </c>
      <c r="B40" s="33" t="s">
        <v>588</v>
      </c>
      <c r="C40" s="33" t="s">
        <v>589</v>
      </c>
      <c r="D40" s="427" cm="1">
        <f t="array" ref="D40">INDEX(Berekening_patiëntaantal[Percentage van patiëntaantallen in Wlz (overige is Zvw)],MATCH(B40,IF(Berekening_patiëntaantal[Doelgroep (zoeksleutel)]=C40,Berekening_patiëntaantal[Digitale zorgtoepassing]),0))</f>
        <v>0</v>
      </c>
      <c r="E40" s="33" t="str" cm="1">
        <f t="array" ref="E40">INDEX(Berekening_patiëntaantal[Direct toepasbaar/extrapolatie/incidentie voor QALY],MATCH(B40,IF(Berekening_patiëntaantal[Doelgroep (zoeksleutel)]=C40,Berekening_patiëntaantal[Digitale zorgtoepassing]),0))</f>
        <v>Extrapolatie</v>
      </c>
      <c r="F40" s="43" t="s">
        <v>812</v>
      </c>
      <c r="G40" s="33" t="str">
        <f>CONCATENATE(uitkomst_doelgroep[[#This Row],[Digitale zorgtoepassing]],"_",uitkomst_doelgroep[[#This Row],[Doelgroep]],"_",uitkomst_doelgroep[[#This Row],[Uitgangssituatie/effect beleid]])</f>
        <v>Digitale zorg logopedie_Overige_zittingen_Effect beleid</v>
      </c>
      <c r="H40" s="33">
        <v>2025</v>
      </c>
      <c r="I40" s="32">
        <v>3</v>
      </c>
      <c r="J40" s="406" cm="1">
        <f t="array" ref="J40">INDEX(implementatie[[2023]:[2034]],MATCH(G40, implementatie[Zoeksleutel],0),I40)</f>
        <v>0</v>
      </c>
      <c r="K40" s="406" cm="1">
        <f t="array" ref="K40">INDEX(implementatie[[2023]:[2034]],MATCH(G40,implementatie[Zoeksleutel],0),I40 + 1)</f>
        <v>0</v>
      </c>
      <c r="L4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40" s="398" cm="1">
        <f t="array" ref="M40">J40*INDEX(Berekening_impact[Totaal arbeidsbesparing (€/jaar)],MATCH(B40,IF(Berekening_impact[Doelgroep]=C40,Berekening_impact[Digitale zorgtoepassing]),0))</f>
        <v>0</v>
      </c>
      <c r="N40" s="397" cm="1">
        <f t="array" ref="N40">J40*INDEX(Berekening_impact[Totaal arbeidsbesparing (FTE/jaar)],MATCH(B40,IF(Berekening_impact[Doelgroep]=C40,Berekening_impact[Digitale zorgtoepassing]),0))</f>
        <v>0</v>
      </c>
      <c r="O40" s="398" cm="1">
        <f t="array" ref="O40">J40*INDEX(Berekening_impact[Overige kostenbesparing (totaal/jaar totaal potentieel)],MATCH(B40,IF(Berekening_impact[Doelgroep]=C40,Berekening_impact[Digitale zorgtoepassing]),0))</f>
        <v>0</v>
      </c>
      <c r="P40" s="398" cm="1">
        <f t="array" ref="P40">J40*INDEX(Berekening_impact[Opbrengsten door QALY''s],MATCH(B40,IF(Berekening_impact[Doelgroep]=C40,Berekening_impact[Digitale zorgtoepassing]),0))</f>
        <v>0</v>
      </c>
      <c r="Q40" s="398" cm="1">
        <f t="array" ref="Q40">J40*INDEX(Berekening_impact[Jaarlijkse kosten (totaal) - incl. schatting],MATCH(B40,IF(Berekening_impact[Doelgroep]=C40,Berekening_impact[Digitale zorgtoepassing]),0))</f>
        <v>0</v>
      </c>
      <c r="R40" s="398" cm="1">
        <f t="array" ref="R40">(uitkomst_doelgroep[[#This Row],[Implementatiegraad t = T + 1]]-uitkomst_doelgroep[[#This Row],[Implementatiegraad t = T]])*INDEX(Berekening_impact[Initiële investering (totaal) - incl. schatting],MATCH(B40,IF(Berekening_impact[Doelgroep]=C40,Berekening_impact[Digitale zorgtoepassing]),0))</f>
        <v>0</v>
      </c>
      <c r="S40" s="398">
        <f>uitkomst_doelgroep[[#This Row],[Arbeidsbesparing (€)]]*uitkomst_doelgroep[[#This Row],[Percentage van patiëntaantallen in Wlz (overige is Zvw)]]</f>
        <v>0</v>
      </c>
      <c r="T40" s="398">
        <f>uitkomst_doelgroep[[#This Row],[Overige besparingen (€)]]*uitkomst_doelgroep[[#This Row],[Percentage van patiëntaantallen in Wlz (overige is Zvw)]]</f>
        <v>0</v>
      </c>
      <c r="U40" s="398">
        <f>uitkomst_doelgroep[[#This Row],[Kosten (€)]]*uitkomst_doelgroep[[#This Row],[Percentage van patiëntaantallen in Wlz (overige is Zvw)]]</f>
        <v>0</v>
      </c>
      <c r="V40" s="398">
        <f>uitkomst_doelgroep[[#This Row],[Investering (cash flow) (€)]]*uitkomst_doelgroep[[#This Row],[Percentage van patiëntaantallen in Wlz (overige is Zvw)]]</f>
        <v>0</v>
      </c>
    </row>
    <row r="41" spans="1:22" x14ac:dyDescent="0.5">
      <c r="A41" s="33" t="str">
        <f>INDEX(Technologieën[Veld],MATCH(B41,Technologieën[Digitale zorgtoepassing],0))</f>
        <v>Software - Behandeling</v>
      </c>
      <c r="B41" s="33" t="s">
        <v>588</v>
      </c>
      <c r="C41" s="33" t="s">
        <v>589</v>
      </c>
      <c r="D41" s="427" cm="1">
        <f t="array" ref="D41">INDEX(Berekening_patiëntaantal[Percentage van patiëntaantallen in Wlz (overige is Zvw)],MATCH(B41,IF(Berekening_patiëntaantal[Doelgroep (zoeksleutel)]=C41,Berekening_patiëntaantal[Digitale zorgtoepassing]),0))</f>
        <v>0</v>
      </c>
      <c r="E41" s="33" t="str" cm="1">
        <f t="array" ref="E41">INDEX(Berekening_patiëntaantal[Direct toepasbaar/extrapolatie/incidentie voor QALY],MATCH(B41,IF(Berekening_patiëntaantal[Doelgroep (zoeksleutel)]=C41,Berekening_patiëntaantal[Digitale zorgtoepassing]),0))</f>
        <v>Extrapolatie</v>
      </c>
      <c r="F41" s="43" t="s">
        <v>812</v>
      </c>
      <c r="G41" s="33" t="str">
        <f>CONCATENATE(uitkomst_doelgroep[[#This Row],[Digitale zorgtoepassing]],"_",uitkomst_doelgroep[[#This Row],[Doelgroep]],"_",uitkomst_doelgroep[[#This Row],[Uitgangssituatie/effect beleid]])</f>
        <v>Digitale zorg logopedie_Overige_zittingen_Effect beleid</v>
      </c>
      <c r="H41" s="33">
        <v>2026</v>
      </c>
      <c r="I41" s="32">
        <v>4</v>
      </c>
      <c r="J41" s="406" cm="1">
        <f t="array" ref="J41">INDEX(implementatie[[2023]:[2034]],MATCH(G41, implementatie[Zoeksleutel],0),I41)</f>
        <v>0</v>
      </c>
      <c r="K41" s="406" cm="1">
        <f t="array" ref="K41">INDEX(implementatie[[2023]:[2034]],MATCH(G41,implementatie[Zoeksleutel],0),I41 + 1)</f>
        <v>0</v>
      </c>
      <c r="L4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41" s="398" cm="1">
        <f t="array" ref="M41">J41*INDEX(Berekening_impact[Totaal arbeidsbesparing (€/jaar)],MATCH(B41,IF(Berekening_impact[Doelgroep]=C41,Berekening_impact[Digitale zorgtoepassing]),0))</f>
        <v>0</v>
      </c>
      <c r="N41" s="397" cm="1">
        <f t="array" ref="N41">J41*INDEX(Berekening_impact[Totaal arbeidsbesparing (FTE/jaar)],MATCH(B41,IF(Berekening_impact[Doelgroep]=C41,Berekening_impact[Digitale zorgtoepassing]),0))</f>
        <v>0</v>
      </c>
      <c r="O41" s="398" cm="1">
        <f t="array" ref="O41">J41*INDEX(Berekening_impact[Overige kostenbesparing (totaal/jaar totaal potentieel)],MATCH(B41,IF(Berekening_impact[Doelgroep]=C41,Berekening_impact[Digitale zorgtoepassing]),0))</f>
        <v>0</v>
      </c>
      <c r="P41" s="398" cm="1">
        <f t="array" ref="P41">J41*INDEX(Berekening_impact[Opbrengsten door QALY''s],MATCH(B41,IF(Berekening_impact[Doelgroep]=C41,Berekening_impact[Digitale zorgtoepassing]),0))</f>
        <v>0</v>
      </c>
      <c r="Q41" s="398" cm="1">
        <f t="array" ref="Q41">J41*INDEX(Berekening_impact[Jaarlijkse kosten (totaal) - incl. schatting],MATCH(B41,IF(Berekening_impact[Doelgroep]=C41,Berekening_impact[Digitale zorgtoepassing]),0))</f>
        <v>0</v>
      </c>
      <c r="R41" s="398" cm="1">
        <f t="array" ref="R41">(uitkomst_doelgroep[[#This Row],[Implementatiegraad t = T + 1]]-uitkomst_doelgroep[[#This Row],[Implementatiegraad t = T]])*INDEX(Berekening_impact[Initiële investering (totaal) - incl. schatting],MATCH(B41,IF(Berekening_impact[Doelgroep]=C41,Berekening_impact[Digitale zorgtoepassing]),0))</f>
        <v>0</v>
      </c>
      <c r="S41" s="398">
        <f>uitkomst_doelgroep[[#This Row],[Arbeidsbesparing (€)]]*uitkomst_doelgroep[[#This Row],[Percentage van patiëntaantallen in Wlz (overige is Zvw)]]</f>
        <v>0</v>
      </c>
      <c r="T41" s="398">
        <f>uitkomst_doelgroep[[#This Row],[Overige besparingen (€)]]*uitkomst_doelgroep[[#This Row],[Percentage van patiëntaantallen in Wlz (overige is Zvw)]]</f>
        <v>0</v>
      </c>
      <c r="U41" s="398">
        <f>uitkomst_doelgroep[[#This Row],[Kosten (€)]]*uitkomst_doelgroep[[#This Row],[Percentage van patiëntaantallen in Wlz (overige is Zvw)]]</f>
        <v>0</v>
      </c>
      <c r="V41" s="398">
        <f>uitkomst_doelgroep[[#This Row],[Investering (cash flow) (€)]]*uitkomst_doelgroep[[#This Row],[Percentage van patiëntaantallen in Wlz (overige is Zvw)]]</f>
        <v>0</v>
      </c>
    </row>
    <row r="42" spans="1:22" x14ac:dyDescent="0.5">
      <c r="A42" s="33" t="str">
        <f>INDEX(Technologieën[Veld],MATCH(B42,Technologieën[Digitale zorgtoepassing],0))</f>
        <v>Software - Behandeling</v>
      </c>
      <c r="B42" s="33" t="s">
        <v>588</v>
      </c>
      <c r="C42" s="33" t="s">
        <v>589</v>
      </c>
      <c r="D42" s="427" cm="1">
        <f t="array" ref="D42">INDEX(Berekening_patiëntaantal[Percentage van patiëntaantallen in Wlz (overige is Zvw)],MATCH(B42,IF(Berekening_patiëntaantal[Doelgroep (zoeksleutel)]=C42,Berekening_patiëntaantal[Digitale zorgtoepassing]),0))</f>
        <v>0</v>
      </c>
      <c r="E42" s="33" t="str" cm="1">
        <f t="array" ref="E42">INDEX(Berekening_patiëntaantal[Direct toepasbaar/extrapolatie/incidentie voor QALY],MATCH(B42,IF(Berekening_patiëntaantal[Doelgroep (zoeksleutel)]=C42,Berekening_patiëntaantal[Digitale zorgtoepassing]),0))</f>
        <v>Extrapolatie</v>
      </c>
      <c r="F42" s="43" t="s">
        <v>812</v>
      </c>
      <c r="G42" s="33" t="str">
        <f>CONCATENATE(uitkomst_doelgroep[[#This Row],[Digitale zorgtoepassing]],"_",uitkomst_doelgroep[[#This Row],[Doelgroep]],"_",uitkomst_doelgroep[[#This Row],[Uitgangssituatie/effect beleid]])</f>
        <v>Digitale zorg logopedie_Overige_zittingen_Effect beleid</v>
      </c>
      <c r="H42" s="33">
        <v>2027</v>
      </c>
      <c r="I42" s="32">
        <v>5</v>
      </c>
      <c r="J42" s="406" cm="1">
        <f t="array" ref="J42">INDEX(implementatie[[2023]:[2034]],MATCH(G42, implementatie[Zoeksleutel],0),I42)</f>
        <v>0</v>
      </c>
      <c r="K42" s="406" cm="1">
        <f t="array" ref="K42">INDEX(implementatie[[2023]:[2034]],MATCH(G42,implementatie[Zoeksleutel],0),I42 + 1)</f>
        <v>0.01</v>
      </c>
      <c r="L4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42" s="398" cm="1">
        <f t="array" ref="M42">J42*INDEX(Berekening_impact[Totaal arbeidsbesparing (€/jaar)],MATCH(B42,IF(Berekening_impact[Doelgroep]=C42,Berekening_impact[Digitale zorgtoepassing]),0))</f>
        <v>0</v>
      </c>
      <c r="N42" s="397" cm="1">
        <f t="array" ref="N42">J42*INDEX(Berekening_impact[Totaal arbeidsbesparing (FTE/jaar)],MATCH(B42,IF(Berekening_impact[Doelgroep]=C42,Berekening_impact[Digitale zorgtoepassing]),0))</f>
        <v>0</v>
      </c>
      <c r="O42" s="398" cm="1">
        <f t="array" ref="O42">J42*INDEX(Berekening_impact[Overige kostenbesparing (totaal/jaar totaal potentieel)],MATCH(B42,IF(Berekening_impact[Doelgroep]=C42,Berekening_impact[Digitale zorgtoepassing]),0))</f>
        <v>0</v>
      </c>
      <c r="P42" s="398" cm="1">
        <f t="array" ref="P42">J42*INDEX(Berekening_impact[Opbrengsten door QALY''s],MATCH(B42,IF(Berekening_impact[Doelgroep]=C42,Berekening_impact[Digitale zorgtoepassing]),0))</f>
        <v>0</v>
      </c>
      <c r="Q42" s="398" cm="1">
        <f t="array" ref="Q42">J42*INDEX(Berekening_impact[Jaarlijkse kosten (totaal) - incl. schatting],MATCH(B42,IF(Berekening_impact[Doelgroep]=C42,Berekening_impact[Digitale zorgtoepassing]),0))</f>
        <v>0</v>
      </c>
      <c r="R42" s="398" cm="1">
        <f t="array" ref="R42">(uitkomst_doelgroep[[#This Row],[Implementatiegraad t = T + 1]]-uitkomst_doelgroep[[#This Row],[Implementatiegraad t = T]])*INDEX(Berekening_impact[Initiële investering (totaal) - incl. schatting],MATCH(B42,IF(Berekening_impact[Doelgroep]=C42,Berekening_impact[Digitale zorgtoepassing]),0))</f>
        <v>0</v>
      </c>
      <c r="S42" s="398">
        <f>uitkomst_doelgroep[[#This Row],[Arbeidsbesparing (€)]]*uitkomst_doelgroep[[#This Row],[Percentage van patiëntaantallen in Wlz (overige is Zvw)]]</f>
        <v>0</v>
      </c>
      <c r="T42" s="398">
        <f>uitkomst_doelgroep[[#This Row],[Overige besparingen (€)]]*uitkomst_doelgroep[[#This Row],[Percentage van patiëntaantallen in Wlz (overige is Zvw)]]</f>
        <v>0</v>
      </c>
      <c r="U42" s="398">
        <f>uitkomst_doelgroep[[#This Row],[Kosten (€)]]*uitkomst_doelgroep[[#This Row],[Percentage van patiëntaantallen in Wlz (overige is Zvw)]]</f>
        <v>0</v>
      </c>
      <c r="V42" s="398">
        <f>uitkomst_doelgroep[[#This Row],[Investering (cash flow) (€)]]*uitkomst_doelgroep[[#This Row],[Percentage van patiëntaantallen in Wlz (overige is Zvw)]]</f>
        <v>0</v>
      </c>
    </row>
    <row r="43" spans="1:22" x14ac:dyDescent="0.5">
      <c r="A43" s="33" t="str">
        <f>INDEX(Technologieën[Veld],MATCH(B43,Technologieën[Digitale zorgtoepassing],0))</f>
        <v>Software - Behandeling</v>
      </c>
      <c r="B43" s="33" t="s">
        <v>588</v>
      </c>
      <c r="C43" s="33" t="s">
        <v>589</v>
      </c>
      <c r="D43" s="427" cm="1">
        <f t="array" ref="D43">INDEX(Berekening_patiëntaantal[Percentage van patiëntaantallen in Wlz (overige is Zvw)],MATCH(B43,IF(Berekening_patiëntaantal[Doelgroep (zoeksleutel)]=C43,Berekening_patiëntaantal[Digitale zorgtoepassing]),0))</f>
        <v>0</v>
      </c>
      <c r="E43" s="33" t="str" cm="1">
        <f t="array" ref="E43">INDEX(Berekening_patiëntaantal[Direct toepasbaar/extrapolatie/incidentie voor QALY],MATCH(B43,IF(Berekening_patiëntaantal[Doelgroep (zoeksleutel)]=C43,Berekening_patiëntaantal[Digitale zorgtoepassing]),0))</f>
        <v>Extrapolatie</v>
      </c>
      <c r="F43" s="43" t="s">
        <v>812</v>
      </c>
      <c r="G43" s="33" t="str">
        <f>CONCATENATE(uitkomst_doelgroep[[#This Row],[Digitale zorgtoepassing]],"_",uitkomst_doelgroep[[#This Row],[Doelgroep]],"_",uitkomst_doelgroep[[#This Row],[Uitgangssituatie/effect beleid]])</f>
        <v>Digitale zorg logopedie_Overige_zittingen_Effect beleid</v>
      </c>
      <c r="H43" s="33">
        <v>2028</v>
      </c>
      <c r="I43" s="32">
        <v>6</v>
      </c>
      <c r="J43" s="406" cm="1">
        <f t="array" ref="J43">INDEX(implementatie[[2023]:[2034]],MATCH(G43, implementatie[Zoeksleutel],0),I43)</f>
        <v>0.01</v>
      </c>
      <c r="K43" s="406" cm="1">
        <f t="array" ref="K43">INDEX(implementatie[[2023]:[2034]],MATCH(G43,implementatie[Zoeksleutel],0),I43 + 1)</f>
        <v>2.2870000000000001E-2</v>
      </c>
      <c r="L4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350</v>
      </c>
      <c r="M43" s="398" cm="1">
        <f t="array" ref="M43">J43*INDEX(Berekening_impact[Totaal arbeidsbesparing (€/jaar)],MATCH(B43,IF(Berekening_impact[Doelgroep]=C43,Berekening_impact[Digitale zorgtoepassing]),0))</f>
        <v>376198.70689655177</v>
      </c>
      <c r="N43" s="397" cm="1">
        <f t="array" ref="N43">J43*INDEX(Berekening_impact[Totaal arbeidsbesparing (FTE/jaar)],MATCH(B43,IF(Berekening_impact[Doelgroep]=C43,Berekening_impact[Digitale zorgtoepassing]),0))</f>
        <v>8.75</v>
      </c>
      <c r="O43" s="398" cm="1">
        <f t="array" ref="O43">J43*INDEX(Berekening_impact[Overige kostenbesparing (totaal/jaar totaal potentieel)],MATCH(B43,IF(Berekening_impact[Doelgroep]=C43,Berekening_impact[Digitale zorgtoepassing]),0))</f>
        <v>0</v>
      </c>
      <c r="P43" s="398" cm="1">
        <f t="array" ref="P43">J43*INDEX(Berekening_impact[Opbrengsten door QALY''s],MATCH(B43,IF(Berekening_impact[Doelgroep]=C43,Berekening_impact[Digitale zorgtoepassing]),0))</f>
        <v>0</v>
      </c>
      <c r="Q43" s="398" cm="1">
        <f t="array" ref="Q43">J43*INDEX(Berekening_impact[Jaarlijkse kosten (totaal) - incl. schatting],MATCH(B43,IF(Berekening_impact[Doelgroep]=C43,Berekening_impact[Digitale zorgtoepassing]),0))</f>
        <v>49000.029749999994</v>
      </c>
      <c r="R43" s="398" cm="1">
        <f t="array" ref="R43">(uitkomst_doelgroep[[#This Row],[Implementatiegraad t = T + 1]]-uitkomst_doelgroep[[#This Row],[Implementatiegraad t = T]])*INDEX(Berekening_impact[Initiële investering (totaal) - incl. schatting],MATCH(B43,IF(Berekening_impact[Doelgroep]=C43,Berekening_impact[Digitale zorgtoepassing]),0))</f>
        <v>0</v>
      </c>
      <c r="S43" s="398">
        <f>uitkomst_doelgroep[[#This Row],[Arbeidsbesparing (€)]]*uitkomst_doelgroep[[#This Row],[Percentage van patiëntaantallen in Wlz (overige is Zvw)]]</f>
        <v>0</v>
      </c>
      <c r="T43" s="398">
        <f>uitkomst_doelgroep[[#This Row],[Overige besparingen (€)]]*uitkomst_doelgroep[[#This Row],[Percentage van patiëntaantallen in Wlz (overige is Zvw)]]</f>
        <v>0</v>
      </c>
      <c r="U43" s="398">
        <f>uitkomst_doelgroep[[#This Row],[Kosten (€)]]*uitkomst_doelgroep[[#This Row],[Percentage van patiëntaantallen in Wlz (overige is Zvw)]]</f>
        <v>0</v>
      </c>
      <c r="V43" s="398">
        <f>uitkomst_doelgroep[[#This Row],[Investering (cash flow) (€)]]*uitkomst_doelgroep[[#This Row],[Percentage van patiëntaantallen in Wlz (overige is Zvw)]]</f>
        <v>0</v>
      </c>
    </row>
    <row r="44" spans="1:22" x14ac:dyDescent="0.5">
      <c r="A44" s="33" t="str">
        <f>INDEX(Technologieën[Veld],MATCH(B44,Technologieën[Digitale zorgtoepassing],0))</f>
        <v>Software - Behandeling</v>
      </c>
      <c r="B44" s="33" t="s">
        <v>588</v>
      </c>
      <c r="C44" s="33" t="s">
        <v>589</v>
      </c>
      <c r="D44" s="427" cm="1">
        <f t="array" ref="D44">INDEX(Berekening_patiëntaantal[Percentage van patiëntaantallen in Wlz (overige is Zvw)],MATCH(B44,IF(Berekening_patiëntaantal[Doelgroep (zoeksleutel)]=C44,Berekening_patiëntaantal[Digitale zorgtoepassing]),0))</f>
        <v>0</v>
      </c>
      <c r="E44" s="33" t="str" cm="1">
        <f t="array" ref="E44">INDEX(Berekening_patiëntaantal[Direct toepasbaar/extrapolatie/incidentie voor QALY],MATCH(B44,IF(Berekening_patiëntaantal[Doelgroep (zoeksleutel)]=C44,Berekening_patiëntaantal[Digitale zorgtoepassing]),0))</f>
        <v>Extrapolatie</v>
      </c>
      <c r="F44" s="43" t="s">
        <v>812</v>
      </c>
      <c r="G44" s="33" t="str">
        <f>CONCATENATE(uitkomst_doelgroep[[#This Row],[Digitale zorgtoepassing]],"_",uitkomst_doelgroep[[#This Row],[Doelgroep]],"_",uitkomst_doelgroep[[#This Row],[Uitgangssituatie/effect beleid]])</f>
        <v>Digitale zorg logopedie_Overige_zittingen_Effect beleid</v>
      </c>
      <c r="H44" s="33">
        <v>2029</v>
      </c>
      <c r="I44" s="32">
        <v>7</v>
      </c>
      <c r="J44" s="406" cm="1">
        <f t="array" ref="J44">INDEX(implementatie[[2023]:[2034]],MATCH(G44, implementatie[Zoeksleutel],0),I44)</f>
        <v>2.2870000000000001E-2</v>
      </c>
      <c r="K44" s="406" cm="1">
        <f t="array" ref="K44">INDEX(implementatie[[2023]:[2034]],MATCH(G44,implementatie[Zoeksleutel],0),I44 + 1)</f>
        <v>3.9345388929999996E-2</v>
      </c>
      <c r="L4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800.45</v>
      </c>
      <c r="M44" s="398" cm="1">
        <f t="array" ref="M44">J44*INDEX(Berekening_impact[Totaal arbeidsbesparing (€/jaar)],MATCH(B44,IF(Berekening_impact[Doelgroep]=C44,Berekening_impact[Digitale zorgtoepassing]),0))</f>
        <v>860366.44267241401</v>
      </c>
      <c r="N44" s="397" cm="1">
        <f t="array" ref="N44">J44*INDEX(Berekening_impact[Totaal arbeidsbesparing (FTE/jaar)],MATCH(B44,IF(Berekening_impact[Doelgroep]=C44,Berekening_impact[Digitale zorgtoepassing]),0))</f>
        <v>20.01125</v>
      </c>
      <c r="O44" s="398" cm="1">
        <f t="array" ref="O44">J44*INDEX(Berekening_impact[Overige kostenbesparing (totaal/jaar totaal potentieel)],MATCH(B44,IF(Berekening_impact[Doelgroep]=C44,Berekening_impact[Digitale zorgtoepassing]),0))</f>
        <v>0</v>
      </c>
      <c r="P44" s="398" cm="1">
        <f t="array" ref="P44">J44*INDEX(Berekening_impact[Opbrengsten door QALY''s],MATCH(B44,IF(Berekening_impact[Doelgroep]=C44,Berekening_impact[Digitale zorgtoepassing]),0))</f>
        <v>0</v>
      </c>
      <c r="Q44" s="398" cm="1">
        <f t="array" ref="Q44">J44*INDEX(Berekening_impact[Jaarlijkse kosten (totaal) - incl. schatting],MATCH(B44,IF(Berekening_impact[Doelgroep]=C44,Berekening_impact[Digitale zorgtoepassing]),0))</f>
        <v>112063.06803825</v>
      </c>
      <c r="R44" s="398" cm="1">
        <f t="array" ref="R44">(uitkomst_doelgroep[[#This Row],[Implementatiegraad t = T + 1]]-uitkomst_doelgroep[[#This Row],[Implementatiegraad t = T]])*INDEX(Berekening_impact[Initiële investering (totaal) - incl. schatting],MATCH(B44,IF(Berekening_impact[Doelgroep]=C44,Berekening_impact[Digitale zorgtoepassing]),0))</f>
        <v>0</v>
      </c>
      <c r="S44" s="398">
        <f>uitkomst_doelgroep[[#This Row],[Arbeidsbesparing (€)]]*uitkomst_doelgroep[[#This Row],[Percentage van patiëntaantallen in Wlz (overige is Zvw)]]</f>
        <v>0</v>
      </c>
      <c r="T44" s="398">
        <f>uitkomst_doelgroep[[#This Row],[Overige besparingen (€)]]*uitkomst_doelgroep[[#This Row],[Percentage van patiëntaantallen in Wlz (overige is Zvw)]]</f>
        <v>0</v>
      </c>
      <c r="U44" s="398">
        <f>uitkomst_doelgroep[[#This Row],[Kosten (€)]]*uitkomst_doelgroep[[#This Row],[Percentage van patiëntaantallen in Wlz (overige is Zvw)]]</f>
        <v>0</v>
      </c>
      <c r="V44" s="398">
        <f>uitkomst_doelgroep[[#This Row],[Investering (cash flow) (€)]]*uitkomst_doelgroep[[#This Row],[Percentage van patiëntaantallen in Wlz (overige is Zvw)]]</f>
        <v>0</v>
      </c>
    </row>
    <row r="45" spans="1:22" x14ac:dyDescent="0.5">
      <c r="A45" s="33" t="str">
        <f>INDEX(Technologieën[Veld],MATCH(B45,Technologieën[Digitale zorgtoepassing],0))</f>
        <v>Software - Behandeling</v>
      </c>
      <c r="B45" s="33" t="s">
        <v>588</v>
      </c>
      <c r="C45" s="33" t="s">
        <v>589</v>
      </c>
      <c r="D45" s="427" cm="1">
        <f t="array" ref="D45">INDEX(Berekening_patiëntaantal[Percentage van patiëntaantallen in Wlz (overige is Zvw)],MATCH(B45,IF(Berekening_patiëntaantal[Doelgroep (zoeksleutel)]=C45,Berekening_patiëntaantal[Digitale zorgtoepassing]),0))</f>
        <v>0</v>
      </c>
      <c r="E45" s="33" t="str" cm="1">
        <f t="array" ref="E45">INDEX(Berekening_patiëntaantal[Direct toepasbaar/extrapolatie/incidentie voor QALY],MATCH(B45,IF(Berekening_patiëntaantal[Doelgroep (zoeksleutel)]=C45,Berekening_patiëntaantal[Digitale zorgtoepassing]),0))</f>
        <v>Extrapolatie</v>
      </c>
      <c r="F45" s="43" t="s">
        <v>812</v>
      </c>
      <c r="G45" s="33" t="str">
        <f>CONCATENATE(uitkomst_doelgroep[[#This Row],[Digitale zorgtoepassing]],"_",uitkomst_doelgroep[[#This Row],[Doelgroep]],"_",uitkomst_doelgroep[[#This Row],[Uitgangssituatie/effect beleid]])</f>
        <v>Digitale zorg logopedie_Overige_zittingen_Effect beleid</v>
      </c>
      <c r="H45" s="33">
        <v>2030</v>
      </c>
      <c r="I45" s="32">
        <v>8</v>
      </c>
      <c r="J45" s="406" cm="1">
        <f t="array" ref="J45">INDEX(implementatie[[2023]:[2034]],MATCH(G45, implementatie[Zoeksleutel],0),I45)</f>
        <v>3.9345388929999996E-2</v>
      </c>
      <c r="K45" s="406" cm="1">
        <f t="array" ref="K45">INDEX(implementatie[[2023]:[2034]],MATCH(G45,implementatie[Zoeksleutel],0),I45 + 1)</f>
        <v>6.0291133830684102E-2</v>
      </c>
      <c r="L4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1377.0886125499999</v>
      </c>
      <c r="M45" s="398" cm="1">
        <f t="array" ref="M45">J45*INDEX(Berekening_impact[Totaal arbeidsbesparing (€/jaar)],MATCH(B45,IF(Berekening_impact[Doelgroep]=C45,Berekening_impact[Digitale zorgtoepassing]),0))</f>
        <v>1480168.4437807901</v>
      </c>
      <c r="N45" s="397" cm="1">
        <f t="array" ref="N45">J45*INDEX(Berekening_impact[Totaal arbeidsbesparing (FTE/jaar)],MATCH(B45,IF(Berekening_impact[Doelgroep]=C45,Berekening_impact[Digitale zorgtoepassing]),0))</f>
        <v>34.427215313749997</v>
      </c>
      <c r="O45" s="398" cm="1">
        <f t="array" ref="O45">J45*INDEX(Berekening_impact[Overige kostenbesparing (totaal/jaar totaal potentieel)],MATCH(B45,IF(Berekening_impact[Doelgroep]=C45,Berekening_impact[Digitale zorgtoepassing]),0))</f>
        <v>0</v>
      </c>
      <c r="P45" s="398" cm="1">
        <f t="array" ref="P45">J45*INDEX(Berekening_impact[Opbrengsten door QALY''s],MATCH(B45,IF(Berekening_impact[Doelgroep]=C45,Berekening_impact[Digitale zorgtoepassing]),0))</f>
        <v>0</v>
      </c>
      <c r="Q45" s="398" cm="1">
        <f t="array" ref="Q45">J45*INDEX(Berekening_impact[Jaarlijkse kosten (totaal) - incl. schatting],MATCH(B45,IF(Berekening_impact[Doelgroep]=C45,Berekening_impact[Digitale zorgtoepassing]),0))</f>
        <v>192792.52280953203</v>
      </c>
      <c r="R45" s="398" cm="1">
        <f t="array" ref="R45">(uitkomst_doelgroep[[#This Row],[Implementatiegraad t = T + 1]]-uitkomst_doelgroep[[#This Row],[Implementatiegraad t = T]])*INDEX(Berekening_impact[Initiële investering (totaal) - incl. schatting],MATCH(B45,IF(Berekening_impact[Doelgroep]=C45,Berekening_impact[Digitale zorgtoepassing]),0))</f>
        <v>0</v>
      </c>
      <c r="S45" s="398">
        <f>uitkomst_doelgroep[[#This Row],[Arbeidsbesparing (€)]]*uitkomst_doelgroep[[#This Row],[Percentage van patiëntaantallen in Wlz (overige is Zvw)]]</f>
        <v>0</v>
      </c>
      <c r="T45" s="398">
        <f>uitkomst_doelgroep[[#This Row],[Overige besparingen (€)]]*uitkomst_doelgroep[[#This Row],[Percentage van patiëntaantallen in Wlz (overige is Zvw)]]</f>
        <v>0</v>
      </c>
      <c r="U45" s="398">
        <f>uitkomst_doelgroep[[#This Row],[Kosten (€)]]*uitkomst_doelgroep[[#This Row],[Percentage van patiëntaantallen in Wlz (overige is Zvw)]]</f>
        <v>0</v>
      </c>
      <c r="V45" s="398">
        <f>uitkomst_doelgroep[[#This Row],[Investering (cash flow) (€)]]*uitkomst_doelgroep[[#This Row],[Percentage van patiëntaantallen in Wlz (overige is Zvw)]]</f>
        <v>0</v>
      </c>
    </row>
    <row r="46" spans="1:22" x14ac:dyDescent="0.5">
      <c r="A46" s="33" t="str">
        <f>INDEX(Technologieën[Veld],MATCH(B46,Technologieën[Digitale zorgtoepassing],0))</f>
        <v>Software - Behandeling</v>
      </c>
      <c r="B46" s="33" t="s">
        <v>588</v>
      </c>
      <c r="C46" s="33" t="s">
        <v>589</v>
      </c>
      <c r="D46" s="427" cm="1">
        <f t="array" ref="D46">INDEX(Berekening_patiëntaantal[Percentage van patiëntaantallen in Wlz (overige is Zvw)],MATCH(B46,IF(Berekening_patiëntaantal[Doelgroep (zoeksleutel)]=C46,Berekening_patiëntaantal[Digitale zorgtoepassing]),0))</f>
        <v>0</v>
      </c>
      <c r="E46" s="33" t="str" cm="1">
        <f t="array" ref="E46">INDEX(Berekening_patiëntaantal[Direct toepasbaar/extrapolatie/incidentie voor QALY],MATCH(B46,IF(Berekening_patiëntaantal[Doelgroep (zoeksleutel)]=C46,Berekening_patiëntaantal[Digitale zorgtoepassing]),0))</f>
        <v>Extrapolatie</v>
      </c>
      <c r="F46" s="43" t="s">
        <v>812</v>
      </c>
      <c r="G46" s="33" t="str">
        <f>CONCATENATE(uitkomst_doelgroep[[#This Row],[Digitale zorgtoepassing]],"_",uitkomst_doelgroep[[#This Row],[Doelgroep]],"_",uitkomst_doelgroep[[#This Row],[Uitgangssituatie/effect beleid]])</f>
        <v>Digitale zorg logopedie_Overige_zittingen_Effect beleid</v>
      </c>
      <c r="H46" s="33">
        <v>2031</v>
      </c>
      <c r="I46" s="32">
        <v>9</v>
      </c>
      <c r="J46" s="406" cm="1">
        <f t="array" ref="J46">INDEX(implementatie[[2023]:[2034]],MATCH(G46, implementatie[Zoeksleutel],0),I46)</f>
        <v>6.0291133830684102E-2</v>
      </c>
      <c r="K46" s="406" cm="1">
        <f t="array" ref="K46">INDEX(implementatie[[2023]:[2034]],MATCH(G46,implementatie[Zoeksleutel],0),I46 + 1)</f>
        <v>8.6685056396005655E-2</v>
      </c>
      <c r="L4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2110.1896840739437</v>
      </c>
      <c r="M46" s="398" cm="1">
        <f t="array" ref="M46">J46*INDEX(Berekening_impact[Totaal arbeidsbesparing (€/jaar)],MATCH(B46,IF(Berekening_impact[Doelgroep]=C46,Berekening_impact[Digitale zorgtoepassing]),0))</f>
        <v>2268144.6584430304</v>
      </c>
      <c r="N46" s="397" cm="1">
        <f t="array" ref="N46">J46*INDEX(Berekening_impact[Totaal arbeidsbesparing (FTE/jaar)],MATCH(B46,IF(Berekening_impact[Doelgroep]=C46,Berekening_impact[Digitale zorgtoepassing]),0))</f>
        <v>52.754742101848592</v>
      </c>
      <c r="O46" s="398" cm="1">
        <f t="array" ref="O46">J46*INDEX(Berekening_impact[Overige kostenbesparing (totaal/jaar totaal potentieel)],MATCH(B46,IF(Berekening_impact[Doelgroep]=C46,Berekening_impact[Digitale zorgtoepassing]),0))</f>
        <v>0</v>
      </c>
      <c r="P46" s="398" cm="1">
        <f t="array" ref="P46">J46*INDEX(Berekening_impact[Opbrengsten door QALY''s],MATCH(B46,IF(Berekening_impact[Doelgroep]=C46,Berekening_impact[Digitale zorgtoepassing]),0))</f>
        <v>0</v>
      </c>
      <c r="Q46" s="398" cm="1">
        <f t="array" ref="Q46">J46*INDEX(Berekening_impact[Jaarlijkse kosten (totaal) - incl. schatting],MATCH(B46,IF(Berekening_impact[Doelgroep]=C46,Berekening_impact[Digitale zorgtoepassing]),0))</f>
        <v>295426.73513647524</v>
      </c>
      <c r="R46" s="398" cm="1">
        <f t="array" ref="R46">(uitkomst_doelgroep[[#This Row],[Implementatiegraad t = T + 1]]-uitkomst_doelgroep[[#This Row],[Implementatiegraad t = T]])*INDEX(Berekening_impact[Initiële investering (totaal) - incl. schatting],MATCH(B46,IF(Berekening_impact[Doelgroep]=C46,Berekening_impact[Digitale zorgtoepassing]),0))</f>
        <v>0</v>
      </c>
      <c r="S46" s="398">
        <f>uitkomst_doelgroep[[#This Row],[Arbeidsbesparing (€)]]*uitkomst_doelgroep[[#This Row],[Percentage van patiëntaantallen in Wlz (overige is Zvw)]]</f>
        <v>0</v>
      </c>
      <c r="T46" s="398">
        <f>uitkomst_doelgroep[[#This Row],[Overige besparingen (€)]]*uitkomst_doelgroep[[#This Row],[Percentage van patiëntaantallen in Wlz (overige is Zvw)]]</f>
        <v>0</v>
      </c>
      <c r="U46" s="398">
        <f>uitkomst_doelgroep[[#This Row],[Kosten (€)]]*uitkomst_doelgroep[[#This Row],[Percentage van patiëntaantallen in Wlz (overige is Zvw)]]</f>
        <v>0</v>
      </c>
      <c r="V46" s="398">
        <f>uitkomst_doelgroep[[#This Row],[Investering (cash flow) (€)]]*uitkomst_doelgroep[[#This Row],[Percentage van patiëntaantallen in Wlz (overige is Zvw)]]</f>
        <v>0</v>
      </c>
    </row>
    <row r="47" spans="1:22" x14ac:dyDescent="0.5">
      <c r="A47" s="33" t="str">
        <f>INDEX(Technologieën[Veld],MATCH(B47,Technologieën[Digitale zorgtoepassing],0))</f>
        <v>Software - Behandeling</v>
      </c>
      <c r="B47" s="33" t="s">
        <v>588</v>
      </c>
      <c r="C47" s="33" t="s">
        <v>589</v>
      </c>
      <c r="D47" s="427" cm="1">
        <f t="array" ref="D47">INDEX(Berekening_patiëntaantal[Percentage van patiëntaantallen in Wlz (overige is Zvw)],MATCH(B47,IF(Berekening_patiëntaantal[Doelgroep (zoeksleutel)]=C47,Berekening_patiëntaantal[Digitale zorgtoepassing]),0))</f>
        <v>0</v>
      </c>
      <c r="E47" s="33" t="str" cm="1">
        <f t="array" ref="E47">INDEX(Berekening_patiëntaantal[Direct toepasbaar/extrapolatie/incidentie voor QALY],MATCH(B47,IF(Berekening_patiëntaantal[Doelgroep (zoeksleutel)]=C47,Berekening_patiëntaantal[Digitale zorgtoepassing]),0))</f>
        <v>Extrapolatie</v>
      </c>
      <c r="F47" s="43" t="s">
        <v>812</v>
      </c>
      <c r="G47" s="33" t="str">
        <f>CONCATENATE(uitkomst_doelgroep[[#This Row],[Digitale zorgtoepassing]],"_",uitkomst_doelgroep[[#This Row],[Doelgroep]],"_",uitkomst_doelgroep[[#This Row],[Uitgangssituatie/effect beleid]])</f>
        <v>Digitale zorg logopedie_Overige_zittingen_Effect beleid</v>
      </c>
      <c r="H47" s="33">
        <v>2032</v>
      </c>
      <c r="I47" s="32">
        <v>10</v>
      </c>
      <c r="J47" s="406" cm="1">
        <f t="array" ref="J47">INDEX(implementatie[[2023]:[2034]],MATCH(G47, implementatie[Zoeksleutel],0),I47)</f>
        <v>8.6685056396005655E-2</v>
      </c>
      <c r="K47" s="406" cm="1">
        <f t="array" ref="K47">INDEX(implementatie[[2023]:[2034]],MATCH(G47,implementatie[Zoeksleutel],0),I47 + 1)</f>
        <v>0.11956943305013369</v>
      </c>
      <c r="L4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3033.9769738601981</v>
      </c>
      <c r="M47" s="398" cm="1">
        <f t="array" ref="M47">J47*INDEX(Berekening_impact[Totaal arbeidsbesparing (€/jaar)],MATCH(B47,IF(Berekening_impact[Doelgroep]=C47,Berekening_impact[Digitale zorgtoepassing]),0))</f>
        <v>3261080.6123431991</v>
      </c>
      <c r="N47" s="397" cm="1">
        <f t="array" ref="N47">J47*INDEX(Berekening_impact[Totaal arbeidsbesparing (FTE/jaar)],MATCH(B47,IF(Berekening_impact[Doelgroep]=C47,Berekening_impact[Digitale zorgtoepassing]),0))</f>
        <v>75.849424346504946</v>
      </c>
      <c r="O47" s="398" cm="1">
        <f t="array" ref="O47">J47*INDEX(Berekening_impact[Overige kostenbesparing (totaal/jaar totaal potentieel)],MATCH(B47,IF(Berekening_impact[Doelgroep]=C47,Berekening_impact[Digitale zorgtoepassing]),0))</f>
        <v>0</v>
      </c>
      <c r="P47" s="398" cm="1">
        <f t="array" ref="P47">J47*INDEX(Berekening_impact[Opbrengsten door QALY''s],MATCH(B47,IF(Berekening_impact[Doelgroep]=C47,Berekening_impact[Digitale zorgtoepassing]),0))</f>
        <v>0</v>
      </c>
      <c r="Q47" s="398" cm="1">
        <f t="array" ref="Q47">J47*INDEX(Berekening_impact[Jaarlijkse kosten (totaal) - incl. schatting],MATCH(B47,IF(Berekening_impact[Doelgroep]=C47,Berekening_impact[Digitale zorgtoepassing]),0))</f>
        <v>424757.03422847047</v>
      </c>
      <c r="R47" s="398" cm="1">
        <f t="array" ref="R47">(uitkomst_doelgroep[[#This Row],[Implementatiegraad t = T + 1]]-uitkomst_doelgroep[[#This Row],[Implementatiegraad t = T]])*INDEX(Berekening_impact[Initiële investering (totaal) - incl. schatting],MATCH(B47,IF(Berekening_impact[Doelgroep]=C47,Berekening_impact[Digitale zorgtoepassing]),0))</f>
        <v>0</v>
      </c>
      <c r="S47" s="398">
        <f>uitkomst_doelgroep[[#This Row],[Arbeidsbesparing (€)]]*uitkomst_doelgroep[[#This Row],[Percentage van patiëntaantallen in Wlz (overige is Zvw)]]</f>
        <v>0</v>
      </c>
      <c r="T47" s="398">
        <f>uitkomst_doelgroep[[#This Row],[Overige besparingen (€)]]*uitkomst_doelgroep[[#This Row],[Percentage van patiëntaantallen in Wlz (overige is Zvw)]]</f>
        <v>0</v>
      </c>
      <c r="U47" s="398">
        <f>uitkomst_doelgroep[[#This Row],[Kosten (€)]]*uitkomst_doelgroep[[#This Row],[Percentage van patiëntaantallen in Wlz (overige is Zvw)]]</f>
        <v>0</v>
      </c>
      <c r="V47" s="398">
        <f>uitkomst_doelgroep[[#This Row],[Investering (cash flow) (€)]]*uitkomst_doelgroep[[#This Row],[Percentage van patiëntaantallen in Wlz (overige is Zvw)]]</f>
        <v>0</v>
      </c>
    </row>
    <row r="48" spans="1:22" x14ac:dyDescent="0.5">
      <c r="A48" s="33" t="str">
        <f>INDEX(Technologieën[Veld],MATCH(B48,Technologieën[Digitale zorgtoepassing],0))</f>
        <v>Software - Behandeling</v>
      </c>
      <c r="B48" s="33" t="s">
        <v>588</v>
      </c>
      <c r="C48" s="33" t="s">
        <v>589</v>
      </c>
      <c r="D48" s="427" cm="1">
        <f t="array" ref="D48">INDEX(Berekening_patiëntaantal[Percentage van patiëntaantallen in Wlz (overige is Zvw)],MATCH(B48,IF(Berekening_patiëntaantal[Doelgroep (zoeksleutel)]=C48,Berekening_patiëntaantal[Digitale zorgtoepassing]),0))</f>
        <v>0</v>
      </c>
      <c r="E48" s="33" t="str" cm="1">
        <f t="array" ref="E48">INDEX(Berekening_patiëntaantal[Direct toepasbaar/extrapolatie/incidentie voor QALY],MATCH(B48,IF(Berekening_patiëntaantal[Doelgroep (zoeksleutel)]=C48,Berekening_patiëntaantal[Digitale zorgtoepassing]),0))</f>
        <v>Extrapolatie</v>
      </c>
      <c r="F48" s="43" t="s">
        <v>812</v>
      </c>
      <c r="G48" s="33" t="str">
        <f>CONCATENATE(uitkomst_doelgroep[[#This Row],[Digitale zorgtoepassing]],"_",uitkomst_doelgroep[[#This Row],[Doelgroep]],"_",uitkomst_doelgroep[[#This Row],[Uitgangssituatie/effect beleid]])</f>
        <v>Digitale zorg logopedie_Overige_zittingen_Effect beleid</v>
      </c>
      <c r="H48" s="33">
        <v>2033</v>
      </c>
      <c r="I48" s="32">
        <v>11</v>
      </c>
      <c r="J48" s="406" cm="1">
        <f t="array" ref="J48">INDEX(implementatie[[2023]:[2034]],MATCH(G48, implementatie[Zoeksleutel],0),I48)</f>
        <v>0.11956943305013369</v>
      </c>
      <c r="K48" s="406" cm="1">
        <f t="array" ref="K48">INDEX(implementatie[[2023]:[2034]],MATCH(G48,implementatie[Zoeksleutel],0),I48 + 1)</f>
        <v>0.15995551383869336</v>
      </c>
      <c r="L4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4184.930156754679</v>
      </c>
      <c r="M48" s="398" cm="1">
        <f t="array" ref="M48">J48*INDEX(Berekening_impact[Totaal arbeidsbesparing (€/jaar)],MATCH(B48,IF(Berekening_impact[Doelgroep]=C48,Berekening_impact[Digitale zorgtoepassing]),0))</f>
        <v>4498186.6097814115</v>
      </c>
      <c r="N48" s="397" cm="1">
        <f t="array" ref="N48">J48*INDEX(Berekening_impact[Totaal arbeidsbesparing (FTE/jaar)],MATCH(B48,IF(Berekening_impact[Doelgroep]=C48,Berekening_impact[Digitale zorgtoepassing]),0))</f>
        <v>104.62325391886698</v>
      </c>
      <c r="O48" s="398" cm="1">
        <f t="array" ref="O48">J48*INDEX(Berekening_impact[Overige kostenbesparing (totaal/jaar totaal potentieel)],MATCH(B48,IF(Berekening_impact[Doelgroep]=C48,Berekening_impact[Digitale zorgtoepassing]),0))</f>
        <v>0</v>
      </c>
      <c r="P48" s="398" cm="1">
        <f t="array" ref="P48">J48*INDEX(Berekening_impact[Opbrengsten door QALY''s],MATCH(B48,IF(Berekening_impact[Doelgroep]=C48,Berekening_impact[Digitale zorgtoepassing]),0))</f>
        <v>0</v>
      </c>
      <c r="Q48" s="398" cm="1">
        <f t="array" ref="Q48">J48*INDEX(Berekening_impact[Jaarlijkse kosten (totaal) - incl. schatting],MATCH(B48,IF(Berekening_impact[Doelgroep]=C48,Berekening_impact[Digitale zorgtoepassing]),0))</f>
        <v>585890.57766471838</v>
      </c>
      <c r="R48" s="398" cm="1">
        <f t="array" ref="R48">(uitkomst_doelgroep[[#This Row],[Implementatiegraad t = T + 1]]-uitkomst_doelgroep[[#This Row],[Implementatiegraad t = T]])*INDEX(Berekening_impact[Initiële investering (totaal) - incl. schatting],MATCH(B48,IF(Berekening_impact[Doelgroep]=C48,Berekening_impact[Digitale zorgtoepassing]),0))</f>
        <v>0</v>
      </c>
      <c r="S48" s="398">
        <f>uitkomst_doelgroep[[#This Row],[Arbeidsbesparing (€)]]*uitkomst_doelgroep[[#This Row],[Percentage van patiëntaantallen in Wlz (overige is Zvw)]]</f>
        <v>0</v>
      </c>
      <c r="T48" s="398">
        <f>uitkomst_doelgroep[[#This Row],[Overige besparingen (€)]]*uitkomst_doelgroep[[#This Row],[Percentage van patiëntaantallen in Wlz (overige is Zvw)]]</f>
        <v>0</v>
      </c>
      <c r="U48" s="398">
        <f>uitkomst_doelgroep[[#This Row],[Kosten (€)]]*uitkomst_doelgroep[[#This Row],[Percentage van patiëntaantallen in Wlz (overige is Zvw)]]</f>
        <v>0</v>
      </c>
      <c r="V48" s="398">
        <f>uitkomst_doelgroep[[#This Row],[Investering (cash flow) (€)]]*uitkomst_doelgroep[[#This Row],[Percentage van patiëntaantallen in Wlz (overige is Zvw)]]</f>
        <v>0</v>
      </c>
    </row>
    <row r="49" spans="1:22" x14ac:dyDescent="0.5">
      <c r="A49" s="33" t="str">
        <f>INDEX(Technologieën[Veld],MATCH(B49,Technologieën[Digitale zorgtoepassing],0))</f>
        <v>Software - Behandeling</v>
      </c>
      <c r="B49" s="33" t="s">
        <v>609</v>
      </c>
      <c r="C49" s="33" t="s">
        <v>95</v>
      </c>
      <c r="D49" s="427" cm="1">
        <f t="array" ref="D49">INDEX(Berekening_patiëntaantal[Percentage van patiëntaantallen in Wlz (overige is Zvw)],MATCH(B49,IF(Berekening_patiëntaantal[Doelgroep (zoeksleutel)]=C49,Berekening_patiëntaantal[Digitale zorgtoepassing]),0))</f>
        <v>0</v>
      </c>
      <c r="E49" s="33" t="str" cm="1">
        <f t="array" ref="E49">INDEX(Berekening_patiëntaantal[Direct toepasbaar/extrapolatie/incidentie voor QALY],MATCH(B49,IF(Berekening_patiëntaantal[Doelgroep (zoeksleutel)]=C49,Berekening_patiëntaantal[Digitale zorgtoepassing]),0))</f>
        <v>Huidige toepassing</v>
      </c>
      <c r="F49" s="43" t="s">
        <v>812</v>
      </c>
      <c r="G49" s="33" t="str">
        <f>CONCATENATE(uitkomst_doelgroep[[#This Row],[Digitale zorgtoepassing]],"_",uitkomst_doelgroep[[#This Row],[Doelgroep]],"_",uitkomst_doelgroep[[#This Row],[Uitgangssituatie/effect beleid]])</f>
        <v>(Zelf)zorgplatform + telebegeleiding_COPD_Effect beleid</v>
      </c>
      <c r="H49" s="33">
        <v>2023</v>
      </c>
      <c r="I49" s="32">
        <v>1</v>
      </c>
      <c r="J49" s="406" cm="1">
        <f t="array" ref="J49">INDEX(implementatie[[2023]:[2034]],MATCH(G49, implementatie[Zoeksleutel],0),I49)</f>
        <v>0.4</v>
      </c>
      <c r="K49" s="406" cm="1">
        <f t="array" ref="K49">INDEX(implementatie[[2023]:[2034]],MATCH(G49,implementatie[Zoeksleutel],0),I49 + 1)</f>
        <v>0.52300000000000002</v>
      </c>
      <c r="L4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6552</v>
      </c>
      <c r="M49" s="398" cm="1">
        <f t="array" ref="M49">J49*INDEX(Berekening_impact[Totaal arbeidsbesparing (€/jaar)],MATCH(B49,IF(Berekening_impact[Doelgroep]=C49,Berekening_impact[Digitale zorgtoepassing]),0))</f>
        <v>3711547.0079999999</v>
      </c>
      <c r="N49" s="397" cm="1">
        <f t="array" ref="N49">J49*INDEX(Berekening_impact[Totaal arbeidsbesparing (FTE/jaar)],MATCH(B49,IF(Berekening_impact[Doelgroep]=C49,Berekening_impact[Digitale zorgtoepassing]),0))</f>
        <v>19.564739845856522</v>
      </c>
      <c r="O49" s="398" cm="1">
        <f t="array" ref="O49">J49*INDEX(Berekening_impact[Overige kostenbesparing (totaal/jaar totaal potentieel)],MATCH(B49,IF(Berekening_impact[Doelgroep]=C49,Berekening_impact[Digitale zorgtoepassing]),0))</f>
        <v>4239473.472000001</v>
      </c>
      <c r="P49" s="398" cm="1">
        <f t="array" ref="P49">J49*INDEX(Berekening_impact[Opbrengsten door QALY''s],MATCH(B49,IF(Berekening_impact[Doelgroep]=C49,Berekening_impact[Digitale zorgtoepassing]),0))</f>
        <v>16380000</v>
      </c>
      <c r="Q49" s="398" cm="1">
        <f t="array" ref="Q49">J49*INDEX(Berekening_impact[Jaarlijkse kosten (totaal) - incl. schatting],MATCH(B49,IF(Berekening_impact[Doelgroep]=C49,Berekening_impact[Digitale zorgtoepassing]),0))</f>
        <v>5674032</v>
      </c>
      <c r="R49" s="398" cm="1">
        <f t="array" ref="R49">(uitkomst_doelgroep[[#This Row],[Implementatiegraad t = T + 1]]-uitkomst_doelgroep[[#This Row],[Implementatiegraad t = T]])*INDEX(Berekening_impact[Initiële investering (totaal) - incl. schatting],MATCH(B49,IF(Berekening_impact[Doelgroep]=C49,Berekening_impact[Digitale zorgtoepassing]),0))</f>
        <v>0</v>
      </c>
      <c r="S49" s="398">
        <f>uitkomst_doelgroep[[#This Row],[Arbeidsbesparing (€)]]*uitkomst_doelgroep[[#This Row],[Percentage van patiëntaantallen in Wlz (overige is Zvw)]]</f>
        <v>0</v>
      </c>
      <c r="T49" s="398">
        <f>uitkomst_doelgroep[[#This Row],[Overige besparingen (€)]]*uitkomst_doelgroep[[#This Row],[Percentage van patiëntaantallen in Wlz (overige is Zvw)]]</f>
        <v>0</v>
      </c>
      <c r="U49" s="398">
        <f>uitkomst_doelgroep[[#This Row],[Kosten (€)]]*uitkomst_doelgroep[[#This Row],[Percentage van patiëntaantallen in Wlz (overige is Zvw)]]</f>
        <v>0</v>
      </c>
      <c r="V49" s="398">
        <f>uitkomst_doelgroep[[#This Row],[Investering (cash flow) (€)]]*uitkomst_doelgroep[[#This Row],[Percentage van patiëntaantallen in Wlz (overige is Zvw)]]</f>
        <v>0</v>
      </c>
    </row>
    <row r="50" spans="1:22" x14ac:dyDescent="0.5">
      <c r="A50" s="33" t="str">
        <f>INDEX(Technologieën[Veld],MATCH(B50,Technologieën[Digitale zorgtoepassing],0))</f>
        <v>Software - Behandeling</v>
      </c>
      <c r="B50" s="33" t="s">
        <v>609</v>
      </c>
      <c r="C50" s="33" t="s">
        <v>95</v>
      </c>
      <c r="D50" s="427" cm="1">
        <f t="array" ref="D50">INDEX(Berekening_patiëntaantal[Percentage van patiëntaantallen in Wlz (overige is Zvw)],MATCH(B50,IF(Berekening_patiëntaantal[Doelgroep (zoeksleutel)]=C50,Berekening_patiëntaantal[Digitale zorgtoepassing]),0))</f>
        <v>0</v>
      </c>
      <c r="E50" s="33" t="str" cm="1">
        <f t="array" ref="E50">INDEX(Berekening_patiëntaantal[Direct toepasbaar/extrapolatie/incidentie voor QALY],MATCH(B50,IF(Berekening_patiëntaantal[Doelgroep (zoeksleutel)]=C50,Berekening_patiëntaantal[Digitale zorgtoepassing]),0))</f>
        <v>Huidige toepassing</v>
      </c>
      <c r="F50" s="43" t="s">
        <v>812</v>
      </c>
      <c r="G50" s="33" t="str">
        <f>CONCATENATE(uitkomst_doelgroep[[#This Row],[Digitale zorgtoepassing]],"_",uitkomst_doelgroep[[#This Row],[Doelgroep]],"_",uitkomst_doelgroep[[#This Row],[Uitgangssituatie/effect beleid]])</f>
        <v>(Zelf)zorgplatform + telebegeleiding_COPD_Effect beleid</v>
      </c>
      <c r="H50" s="33">
        <v>2024</v>
      </c>
      <c r="I50" s="32">
        <v>2</v>
      </c>
      <c r="J50" s="406" cm="1">
        <f t="array" ref="J50">INDEX(implementatie[[2023]:[2034]],MATCH(G50, implementatie[Zoeksleutel],0),I50)</f>
        <v>0.52300000000000002</v>
      </c>
      <c r="K50" s="406" cm="1">
        <f t="array" ref="K50">INDEX(implementatie[[2023]:[2034]],MATCH(G50,implementatie[Zoeksleutel],0),I50 + 1)</f>
        <v>0.64718695000000004</v>
      </c>
      <c r="L5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8566.74</v>
      </c>
      <c r="M50" s="398" cm="1">
        <f t="array" ref="M50">J50*INDEX(Berekening_impact[Totaal arbeidsbesparing (€/jaar)],MATCH(B50,IF(Berekening_impact[Doelgroep]=C50,Berekening_impact[Digitale zorgtoepassing]),0))</f>
        <v>4852847.7129600001</v>
      </c>
      <c r="N50" s="397" cm="1">
        <f t="array" ref="N50">J50*INDEX(Berekening_impact[Totaal arbeidsbesparing (FTE/jaar)],MATCH(B50,IF(Berekening_impact[Doelgroep]=C50,Berekening_impact[Digitale zorgtoepassing]),0))</f>
        <v>25.580897348457398</v>
      </c>
      <c r="O50" s="398" cm="1">
        <f t="array" ref="O50">J50*INDEX(Berekening_impact[Overige kostenbesparing (totaal/jaar totaal potentieel)],MATCH(B50,IF(Berekening_impact[Doelgroep]=C50,Berekening_impact[Digitale zorgtoepassing]),0))</f>
        <v>5543111.5646400014</v>
      </c>
      <c r="P50" s="398" cm="1">
        <f t="array" ref="P50">J50*INDEX(Berekening_impact[Opbrengsten door QALY''s],MATCH(B50,IF(Berekening_impact[Doelgroep]=C50,Berekening_impact[Digitale zorgtoepassing]),0))</f>
        <v>21416850</v>
      </c>
      <c r="Q50" s="398" cm="1">
        <f t="array" ref="Q50">J50*INDEX(Berekening_impact[Jaarlijkse kosten (totaal) - incl. schatting],MATCH(B50,IF(Berekening_impact[Doelgroep]=C50,Berekening_impact[Digitale zorgtoepassing]),0))</f>
        <v>7418796.8399999999</v>
      </c>
      <c r="R50" s="398" cm="1">
        <f t="array" ref="R50">(uitkomst_doelgroep[[#This Row],[Implementatiegraad t = T + 1]]-uitkomst_doelgroep[[#This Row],[Implementatiegraad t = T]])*INDEX(Berekening_impact[Initiële investering (totaal) - incl. schatting],MATCH(B50,IF(Berekening_impact[Doelgroep]=C50,Berekening_impact[Digitale zorgtoepassing]),0))</f>
        <v>0</v>
      </c>
      <c r="S50" s="398">
        <f>uitkomst_doelgroep[[#This Row],[Arbeidsbesparing (€)]]*uitkomst_doelgroep[[#This Row],[Percentage van patiëntaantallen in Wlz (overige is Zvw)]]</f>
        <v>0</v>
      </c>
      <c r="T50" s="398">
        <f>uitkomst_doelgroep[[#This Row],[Overige besparingen (€)]]*uitkomst_doelgroep[[#This Row],[Percentage van patiëntaantallen in Wlz (overige is Zvw)]]</f>
        <v>0</v>
      </c>
      <c r="U50" s="398">
        <f>uitkomst_doelgroep[[#This Row],[Kosten (€)]]*uitkomst_doelgroep[[#This Row],[Percentage van patiëntaantallen in Wlz (overige is Zvw)]]</f>
        <v>0</v>
      </c>
      <c r="V50" s="398">
        <f>uitkomst_doelgroep[[#This Row],[Investering (cash flow) (€)]]*uitkomst_doelgroep[[#This Row],[Percentage van patiëntaantallen in Wlz (overige is Zvw)]]</f>
        <v>0</v>
      </c>
    </row>
    <row r="51" spans="1:22" x14ac:dyDescent="0.5">
      <c r="A51" s="33" t="str">
        <f>INDEX(Technologieën[Veld],MATCH(B51,Technologieën[Digitale zorgtoepassing],0))</f>
        <v>Software - Behandeling</v>
      </c>
      <c r="B51" s="33" t="s">
        <v>609</v>
      </c>
      <c r="C51" s="33" t="s">
        <v>95</v>
      </c>
      <c r="D51" s="427" cm="1">
        <f t="array" ref="D51">INDEX(Berekening_patiëntaantal[Percentage van patiëntaantallen in Wlz (overige is Zvw)],MATCH(B51,IF(Berekening_patiëntaantal[Doelgroep (zoeksleutel)]=C51,Berekening_patiëntaantal[Digitale zorgtoepassing]),0))</f>
        <v>0</v>
      </c>
      <c r="E51" s="33" t="str" cm="1">
        <f t="array" ref="E51">INDEX(Berekening_patiëntaantal[Direct toepasbaar/extrapolatie/incidentie voor QALY],MATCH(B51,IF(Berekening_patiëntaantal[Doelgroep (zoeksleutel)]=C51,Berekening_patiëntaantal[Digitale zorgtoepassing]),0))</f>
        <v>Huidige toepassing</v>
      </c>
      <c r="F51" s="43" t="s">
        <v>812</v>
      </c>
      <c r="G51" s="33" t="str">
        <f>CONCATENATE(uitkomst_doelgroep[[#This Row],[Digitale zorgtoepassing]],"_",uitkomst_doelgroep[[#This Row],[Doelgroep]],"_",uitkomst_doelgroep[[#This Row],[Uitgangssituatie/effect beleid]])</f>
        <v>(Zelf)zorgplatform + telebegeleiding_COPD_Effect beleid</v>
      </c>
      <c r="H51" s="33">
        <v>2025</v>
      </c>
      <c r="I51" s="32">
        <v>3</v>
      </c>
      <c r="J51" s="406" cm="1">
        <f t="array" ref="J51">INDEX(implementatie[[2023]:[2034]],MATCH(G51, implementatie[Zoeksleutel],0),I51)</f>
        <v>0.64718695000000004</v>
      </c>
      <c r="K51" s="406" cm="1">
        <f t="array" ref="K51">INDEX(implementatie[[2023]:[2034]],MATCH(G51,implementatie[Zoeksleutel],0),I51 + 1)</f>
        <v>0.75875847703736388</v>
      </c>
      <c r="L5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10600.922241</v>
      </c>
      <c r="M51" s="398" cm="1">
        <f t="array" ref="M51">J51*INDEX(Berekening_impact[Totaal arbeidsbesparing (€/jaar)],MATCH(B51,IF(Berekening_impact[Doelgroep]=C51,Berekening_impact[Digitale zorgtoepassing]),0))</f>
        <v>6005161.9697228642</v>
      </c>
      <c r="N51" s="397" cm="1">
        <f t="array" ref="N51">J51*INDEX(Berekening_impact[Totaal arbeidsbesparing (FTE/jaar)],MATCH(B51,IF(Berekening_impact[Doelgroep]=C51,Berekening_impact[Digitale zorgtoepassing]),0))</f>
        <v>31.65511077095838</v>
      </c>
      <c r="O51" s="398" cm="1">
        <f t="array" ref="O51">J51*INDEX(Berekening_impact[Overige kostenbesparing (totaal/jaar totaal potentieel)],MATCH(B51,IF(Berekening_impact[Doelgroep]=C51,Berekening_impact[Digitale zorgtoepassing]),0))</f>
        <v>6859329.7648739778</v>
      </c>
      <c r="P51" s="398" cm="1">
        <f t="array" ref="P51">J51*INDEX(Berekening_impact[Opbrengsten door QALY''s],MATCH(B51,IF(Berekening_impact[Doelgroep]=C51,Berekening_impact[Digitale zorgtoepassing]),0))</f>
        <v>26502305.602500003</v>
      </c>
      <c r="Q51" s="398" cm="1">
        <f t="array" ref="Q51">J51*INDEX(Berekening_impact[Jaarlijkse kosten (totaal) - incl. schatting],MATCH(B51,IF(Berekening_impact[Doelgroep]=C51,Berekening_impact[Digitale zorgtoepassing]),0))</f>
        <v>9180398.6607060004</v>
      </c>
      <c r="R51" s="398" cm="1">
        <f t="array" ref="R51">(uitkomst_doelgroep[[#This Row],[Implementatiegraad t = T + 1]]-uitkomst_doelgroep[[#This Row],[Implementatiegraad t = T]])*INDEX(Berekening_impact[Initiële investering (totaal) - incl. schatting],MATCH(B51,IF(Berekening_impact[Doelgroep]=C51,Berekening_impact[Digitale zorgtoepassing]),0))</f>
        <v>0</v>
      </c>
      <c r="S51" s="398">
        <f>uitkomst_doelgroep[[#This Row],[Arbeidsbesparing (€)]]*uitkomst_doelgroep[[#This Row],[Percentage van patiëntaantallen in Wlz (overige is Zvw)]]</f>
        <v>0</v>
      </c>
      <c r="T51" s="398">
        <f>uitkomst_doelgroep[[#This Row],[Overige besparingen (€)]]*uitkomst_doelgroep[[#This Row],[Percentage van patiëntaantallen in Wlz (overige is Zvw)]]</f>
        <v>0</v>
      </c>
      <c r="U51" s="398">
        <f>uitkomst_doelgroep[[#This Row],[Kosten (€)]]*uitkomst_doelgroep[[#This Row],[Percentage van patiëntaantallen in Wlz (overige is Zvw)]]</f>
        <v>0</v>
      </c>
      <c r="V51" s="398">
        <f>uitkomst_doelgroep[[#This Row],[Investering (cash flow) (€)]]*uitkomst_doelgroep[[#This Row],[Percentage van patiëntaantallen in Wlz (overige is Zvw)]]</f>
        <v>0</v>
      </c>
    </row>
    <row r="52" spans="1:22" x14ac:dyDescent="0.5">
      <c r="A52" s="33" t="str">
        <f>INDEX(Technologieën[Veld],MATCH(B52,Technologieën[Digitale zorgtoepassing],0))</f>
        <v>Software - Behandeling</v>
      </c>
      <c r="B52" s="33" t="s">
        <v>609</v>
      </c>
      <c r="C52" s="33" t="s">
        <v>95</v>
      </c>
      <c r="D52" s="427" cm="1">
        <f t="array" ref="D52">INDEX(Berekening_patiëntaantal[Percentage van patiëntaantallen in Wlz (overige is Zvw)],MATCH(B52,IF(Berekening_patiëntaantal[Doelgroep (zoeksleutel)]=C52,Berekening_patiëntaantal[Digitale zorgtoepassing]),0))</f>
        <v>0</v>
      </c>
      <c r="E52" s="33" t="str" cm="1">
        <f t="array" ref="E52">INDEX(Berekening_patiëntaantal[Direct toepasbaar/extrapolatie/incidentie voor QALY],MATCH(B52,IF(Berekening_patiëntaantal[Doelgroep (zoeksleutel)]=C52,Berekening_patiëntaantal[Digitale zorgtoepassing]),0))</f>
        <v>Huidige toepassing</v>
      </c>
      <c r="F52" s="43" t="s">
        <v>812</v>
      </c>
      <c r="G52" s="33" t="str">
        <f>CONCATENATE(uitkomst_doelgroep[[#This Row],[Digitale zorgtoepassing]],"_",uitkomst_doelgroep[[#This Row],[Doelgroep]],"_",uitkomst_doelgroep[[#This Row],[Uitgangssituatie/effect beleid]])</f>
        <v>(Zelf)zorgplatform + telebegeleiding_COPD_Effect beleid</v>
      </c>
      <c r="H52" s="33">
        <v>2026</v>
      </c>
      <c r="I52" s="32">
        <v>4</v>
      </c>
      <c r="J52" s="406" cm="1">
        <f t="array" ref="J52">INDEX(implementatie[[2023]:[2034]],MATCH(G52, implementatie[Zoeksleutel],0),I52)</f>
        <v>0.75875847703736388</v>
      </c>
      <c r="K52" s="406" cm="1">
        <f t="array" ref="K52">INDEX(implementatie[[2023]:[2034]],MATCH(G52,implementatie[Zoeksleutel],0),I52 + 1)</f>
        <v>0.84715933786401665</v>
      </c>
      <c r="L5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12428.463853872021</v>
      </c>
      <c r="M52" s="398" cm="1">
        <f t="array" ref="M52">J52*INDEX(Berekening_impact[Totaal arbeidsbesparing (€/jaar)],MATCH(B52,IF(Berekening_impact[Doelgroep]=C52,Berekening_impact[Digitale zorgtoepassing]),0))</f>
        <v>7040419.3881066609</v>
      </c>
      <c r="N52" s="397" cm="1">
        <f t="array" ref="N52">J52*INDEX(Berekening_impact[Totaal arbeidsbesparing (FTE/jaar)],MATCH(B52,IF(Berekening_impact[Doelgroep]=C52,Berekening_impact[Digitale zorgtoepassing]),0))</f>
        <v>37.112280522685808</v>
      </c>
      <c r="O52" s="398" cm="1">
        <f t="array" ref="O52">J52*INDEX(Berekening_impact[Overige kostenbesparing (totaal/jaar totaal potentieel)],MATCH(B52,IF(Berekening_impact[Doelgroep]=C52,Berekening_impact[Digitale zorgtoepassing]),0))</f>
        <v>8041841.0876375642</v>
      </c>
      <c r="P52" s="398" cm="1">
        <f t="array" ref="P52">J52*INDEX(Berekening_impact[Opbrengsten door QALY''s],MATCH(B52,IF(Berekening_impact[Doelgroep]=C52,Berekening_impact[Digitale zorgtoepassing]),0))</f>
        <v>31071159.634680051</v>
      </c>
      <c r="Q52" s="398" cm="1">
        <f t="array" ref="Q52">J52*INDEX(Berekening_impact[Jaarlijkse kosten (totaal) - incl. schatting],MATCH(B52,IF(Berekening_impact[Doelgroep]=C52,Berekening_impact[Digitale zorgtoepassing]),0))</f>
        <v>10763049.697453169</v>
      </c>
      <c r="R52" s="398" cm="1">
        <f t="array" ref="R52">(uitkomst_doelgroep[[#This Row],[Implementatiegraad t = T + 1]]-uitkomst_doelgroep[[#This Row],[Implementatiegraad t = T]])*INDEX(Berekening_impact[Initiële investering (totaal) - incl. schatting],MATCH(B52,IF(Berekening_impact[Doelgroep]=C52,Berekening_impact[Digitale zorgtoepassing]),0))</f>
        <v>0</v>
      </c>
      <c r="S52" s="398">
        <f>uitkomst_doelgroep[[#This Row],[Arbeidsbesparing (€)]]*uitkomst_doelgroep[[#This Row],[Percentage van patiëntaantallen in Wlz (overige is Zvw)]]</f>
        <v>0</v>
      </c>
      <c r="T52" s="398">
        <f>uitkomst_doelgroep[[#This Row],[Overige besparingen (€)]]*uitkomst_doelgroep[[#This Row],[Percentage van patiëntaantallen in Wlz (overige is Zvw)]]</f>
        <v>0</v>
      </c>
      <c r="U52" s="398">
        <f>uitkomst_doelgroep[[#This Row],[Kosten (€)]]*uitkomst_doelgroep[[#This Row],[Percentage van patiëntaantallen in Wlz (overige is Zvw)]]</f>
        <v>0</v>
      </c>
      <c r="V52" s="398">
        <f>uitkomst_doelgroep[[#This Row],[Investering (cash flow) (€)]]*uitkomst_doelgroep[[#This Row],[Percentage van patiëntaantallen in Wlz (overige is Zvw)]]</f>
        <v>0</v>
      </c>
    </row>
    <row r="53" spans="1:22" x14ac:dyDescent="0.5">
      <c r="A53" s="33" t="str">
        <f>INDEX(Technologieën[Veld],MATCH(B53,Technologieën[Digitale zorgtoepassing],0))</f>
        <v>Software - Behandeling</v>
      </c>
      <c r="B53" s="33" t="s">
        <v>609</v>
      </c>
      <c r="C53" s="33" t="s">
        <v>95</v>
      </c>
      <c r="D53" s="427" cm="1">
        <f t="array" ref="D53">INDEX(Berekening_patiëntaantal[Percentage van patiëntaantallen in Wlz (overige is Zvw)],MATCH(B53,IF(Berekening_patiëntaantal[Doelgroep (zoeksleutel)]=C53,Berekening_patiëntaantal[Digitale zorgtoepassing]),0))</f>
        <v>0</v>
      </c>
      <c r="E53" s="33" t="str" cm="1">
        <f t="array" ref="E53">INDEX(Berekening_patiëntaantal[Direct toepasbaar/extrapolatie/incidentie voor QALY],MATCH(B53,IF(Berekening_patiëntaantal[Doelgroep (zoeksleutel)]=C53,Berekening_patiëntaantal[Digitale zorgtoepassing]),0))</f>
        <v>Huidige toepassing</v>
      </c>
      <c r="F53" s="43" t="s">
        <v>812</v>
      </c>
      <c r="G53" s="33" t="str">
        <f>CONCATENATE(uitkomst_doelgroep[[#This Row],[Digitale zorgtoepassing]],"_",uitkomst_doelgroep[[#This Row],[Doelgroep]],"_",uitkomst_doelgroep[[#This Row],[Uitgangssituatie/effect beleid]])</f>
        <v>(Zelf)zorgplatform + telebegeleiding_COPD_Effect beleid</v>
      </c>
      <c r="H53" s="33">
        <v>2027</v>
      </c>
      <c r="I53" s="32">
        <v>5</v>
      </c>
      <c r="J53" s="406" cm="1">
        <f t="array" ref="J53">INDEX(implementatie[[2023]:[2034]],MATCH(G53, implementatie[Zoeksleutel],0),I53)</f>
        <v>0.84715933786401665</v>
      </c>
      <c r="K53" s="406" cm="1">
        <f t="array" ref="K53">INDEX(implementatie[[2023]:[2034]],MATCH(G53,implementatie[Zoeksleutel],0),I53 + 1)</f>
        <v>0.90924653177763415</v>
      </c>
      <c r="L5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13876.469954212593</v>
      </c>
      <c r="M53" s="398" cm="1">
        <f t="array" ref="M53">J53*INDEX(Berekening_impact[Totaal arbeidsbesparing (€/jaar)],MATCH(B53,IF(Berekening_impact[Doelgroep]=C53,Berekening_impact[Digitale zorgtoepassing]),0))</f>
        <v>7860679.2643711297</v>
      </c>
      <c r="N53" s="397" cm="1">
        <f t="array" ref="N53">J53*INDEX(Berekening_impact[Totaal arbeidsbesparing (FTE/jaar)],MATCH(B53,IF(Berekening_impact[Doelgroep]=C53,Berekening_impact[Digitale zorgtoepassing]),0))</f>
        <v>41.436130133243879</v>
      </c>
      <c r="O53" s="398" cm="1">
        <f t="array" ref="O53">J53*INDEX(Berekening_impact[Overige kostenbesparing (totaal/jaar totaal potentieel)],MATCH(B53,IF(Berekening_impact[Doelgroep]=C53,Berekening_impact[Digitale zorgtoepassing]),0))</f>
        <v>8978773.8485789597</v>
      </c>
      <c r="P53" s="398" cm="1">
        <f t="array" ref="P53">J53*INDEX(Berekening_impact[Opbrengsten door QALY''s],MATCH(B53,IF(Berekening_impact[Doelgroep]=C53,Berekening_impact[Digitale zorgtoepassing]),0))</f>
        <v>34691174.885531485</v>
      </c>
      <c r="Q53" s="398" cm="1">
        <f t="array" ref="Q53">J53*INDEX(Berekening_impact[Jaarlijkse kosten (totaal) - incl. schatting],MATCH(B53,IF(Berekening_impact[Doelgroep]=C53,Berekening_impact[Digitale zorgtoepassing]),0))</f>
        <v>12017022.980348105</v>
      </c>
      <c r="R53" s="398" cm="1">
        <f t="array" ref="R53">(uitkomst_doelgroep[[#This Row],[Implementatiegraad t = T + 1]]-uitkomst_doelgroep[[#This Row],[Implementatiegraad t = T]])*INDEX(Berekening_impact[Initiële investering (totaal) - incl. schatting],MATCH(B53,IF(Berekening_impact[Doelgroep]=C53,Berekening_impact[Digitale zorgtoepassing]),0))</f>
        <v>0</v>
      </c>
      <c r="S53" s="398">
        <f>uitkomst_doelgroep[[#This Row],[Arbeidsbesparing (€)]]*uitkomst_doelgroep[[#This Row],[Percentage van patiëntaantallen in Wlz (overige is Zvw)]]</f>
        <v>0</v>
      </c>
      <c r="T53" s="398">
        <f>uitkomst_doelgroep[[#This Row],[Overige besparingen (€)]]*uitkomst_doelgroep[[#This Row],[Percentage van patiëntaantallen in Wlz (overige is Zvw)]]</f>
        <v>0</v>
      </c>
      <c r="U53" s="398">
        <f>uitkomst_doelgroep[[#This Row],[Kosten (€)]]*uitkomst_doelgroep[[#This Row],[Percentage van patiëntaantallen in Wlz (overige is Zvw)]]</f>
        <v>0</v>
      </c>
      <c r="V53" s="398">
        <f>uitkomst_doelgroep[[#This Row],[Investering (cash flow) (€)]]*uitkomst_doelgroep[[#This Row],[Percentage van patiëntaantallen in Wlz (overige is Zvw)]]</f>
        <v>0</v>
      </c>
    </row>
    <row r="54" spans="1:22" x14ac:dyDescent="0.5">
      <c r="A54" s="33" t="str">
        <f>INDEX(Technologieën[Veld],MATCH(B54,Technologieën[Digitale zorgtoepassing],0))</f>
        <v>Software - Behandeling</v>
      </c>
      <c r="B54" s="33" t="s">
        <v>609</v>
      </c>
      <c r="C54" s="33" t="s">
        <v>95</v>
      </c>
      <c r="D54" s="427" cm="1">
        <f t="array" ref="D54">INDEX(Berekening_patiëntaantal[Percentage van patiëntaantallen in Wlz (overige is Zvw)],MATCH(B54,IF(Berekening_patiëntaantal[Doelgroep (zoeksleutel)]=C54,Berekening_patiëntaantal[Digitale zorgtoepassing]),0))</f>
        <v>0</v>
      </c>
      <c r="E54" s="33" t="str" cm="1">
        <f t="array" ref="E54">INDEX(Berekening_patiëntaantal[Direct toepasbaar/extrapolatie/incidentie voor QALY],MATCH(B54,IF(Berekening_patiëntaantal[Doelgroep (zoeksleutel)]=C54,Berekening_patiëntaantal[Digitale zorgtoepassing]),0))</f>
        <v>Huidige toepassing</v>
      </c>
      <c r="F54" s="43" t="s">
        <v>812</v>
      </c>
      <c r="G54" s="33" t="str">
        <f>CONCATENATE(uitkomst_doelgroep[[#This Row],[Digitale zorgtoepassing]],"_",uitkomst_doelgroep[[#This Row],[Doelgroep]],"_",uitkomst_doelgroep[[#This Row],[Uitgangssituatie/effect beleid]])</f>
        <v>(Zelf)zorgplatform + telebegeleiding_COPD_Effect beleid</v>
      </c>
      <c r="H54" s="33">
        <v>2028</v>
      </c>
      <c r="I54" s="32">
        <v>6</v>
      </c>
      <c r="J54" s="406" cm="1">
        <f t="array" ref="J54">INDEX(implementatie[[2023]:[2034]],MATCH(G54, implementatie[Zoeksleutel],0),I54)</f>
        <v>0.90924653177763415</v>
      </c>
      <c r="K54" s="406" cm="1">
        <f t="array" ref="K54">INDEX(implementatie[[2023]:[2034]],MATCH(G54,implementatie[Zoeksleutel],0),I54 + 1)</f>
        <v>0.94864814278578335</v>
      </c>
      <c r="L5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14893.458190517647</v>
      </c>
      <c r="M54" s="398" cm="1">
        <f t="array" ref="M54">J54*INDEX(Berekening_impact[Totaal arbeidsbesparing (€/jaar)],MATCH(B54,IF(Berekening_impact[Doelgroep]=C54,Berekening_impact[Digitale zorgtoepassing]),0))</f>
        <v>8436778.1113841366</v>
      </c>
      <c r="N54" s="397" cm="1">
        <f t="array" ref="N54">J54*INDEX(Berekening_impact[Totaal arbeidsbesparing (FTE/jaar)],MATCH(B54,IF(Berekening_impact[Doelgroep]=C54,Berekening_impact[Digitale zorgtoepassing]),0))</f>
        <v>44.472929624941813</v>
      </c>
      <c r="O54" s="398" cm="1">
        <f t="array" ref="O54">J54*INDEX(Berekening_impact[Overige kostenbesparing (totaal/jaar totaal potentieel)],MATCH(B54,IF(Berekening_impact[Doelgroep]=C54,Berekening_impact[Digitale zorgtoepassing]),0))</f>
        <v>9636816.3774482142</v>
      </c>
      <c r="P54" s="398" cm="1">
        <f t="array" ref="P54">J54*INDEX(Berekening_impact[Opbrengsten door QALY''s],MATCH(B54,IF(Berekening_impact[Doelgroep]=C54,Berekening_impact[Digitale zorgtoepassing]),0))</f>
        <v>37233645.476294115</v>
      </c>
      <c r="Q54" s="398" cm="1">
        <f t="array" ref="Q54">J54*INDEX(Berekening_impact[Jaarlijkse kosten (totaal) - incl. schatting],MATCH(B54,IF(Berekening_impact[Doelgroep]=C54,Berekening_impact[Digitale zorgtoepassing]),0))</f>
        <v>12897734.792988282</v>
      </c>
      <c r="R54" s="398" cm="1">
        <f t="array" ref="R54">(uitkomst_doelgroep[[#This Row],[Implementatiegraad t = T + 1]]-uitkomst_doelgroep[[#This Row],[Implementatiegraad t = T]])*INDEX(Berekening_impact[Initiële investering (totaal) - incl. schatting],MATCH(B54,IF(Berekening_impact[Doelgroep]=C54,Berekening_impact[Digitale zorgtoepassing]),0))</f>
        <v>0</v>
      </c>
      <c r="S54" s="398">
        <f>uitkomst_doelgroep[[#This Row],[Arbeidsbesparing (€)]]*uitkomst_doelgroep[[#This Row],[Percentage van patiëntaantallen in Wlz (overige is Zvw)]]</f>
        <v>0</v>
      </c>
      <c r="T54" s="398">
        <f>uitkomst_doelgroep[[#This Row],[Overige besparingen (€)]]*uitkomst_doelgroep[[#This Row],[Percentage van patiëntaantallen in Wlz (overige is Zvw)]]</f>
        <v>0</v>
      </c>
      <c r="U54" s="398">
        <f>uitkomst_doelgroep[[#This Row],[Kosten (€)]]*uitkomst_doelgroep[[#This Row],[Percentage van patiëntaantallen in Wlz (overige is Zvw)]]</f>
        <v>0</v>
      </c>
      <c r="V54" s="398">
        <f>uitkomst_doelgroep[[#This Row],[Investering (cash flow) (€)]]*uitkomst_doelgroep[[#This Row],[Percentage van patiëntaantallen in Wlz (overige is Zvw)]]</f>
        <v>0</v>
      </c>
    </row>
    <row r="55" spans="1:22" x14ac:dyDescent="0.5">
      <c r="A55" s="33" t="str">
        <f>INDEX(Technologieën[Veld],MATCH(B55,Technologieën[Digitale zorgtoepassing],0))</f>
        <v>Software - Behandeling</v>
      </c>
      <c r="B55" s="33" t="s">
        <v>609</v>
      </c>
      <c r="C55" s="33" t="s">
        <v>95</v>
      </c>
      <c r="D55" s="427" cm="1">
        <f t="array" ref="D55">INDEX(Berekening_patiëntaantal[Percentage van patiëntaantallen in Wlz (overige is Zvw)],MATCH(B55,IF(Berekening_patiëntaantal[Doelgroep (zoeksleutel)]=C55,Berekening_patiëntaantal[Digitale zorgtoepassing]),0))</f>
        <v>0</v>
      </c>
      <c r="E55" s="33" t="str" cm="1">
        <f t="array" ref="E55">INDEX(Berekening_patiëntaantal[Direct toepasbaar/extrapolatie/incidentie voor QALY],MATCH(B55,IF(Berekening_patiëntaantal[Doelgroep (zoeksleutel)]=C55,Berekening_patiëntaantal[Digitale zorgtoepassing]),0))</f>
        <v>Huidige toepassing</v>
      </c>
      <c r="F55" s="43" t="s">
        <v>812</v>
      </c>
      <c r="G55" s="33" t="str">
        <f>CONCATENATE(uitkomst_doelgroep[[#This Row],[Digitale zorgtoepassing]],"_",uitkomst_doelgroep[[#This Row],[Doelgroep]],"_",uitkomst_doelgroep[[#This Row],[Uitgangssituatie/effect beleid]])</f>
        <v>(Zelf)zorgplatform + telebegeleiding_COPD_Effect beleid</v>
      </c>
      <c r="H55" s="33">
        <v>2029</v>
      </c>
      <c r="I55" s="32">
        <v>7</v>
      </c>
      <c r="J55" s="406" cm="1">
        <f t="array" ref="J55">INDEX(implementatie[[2023]:[2034]],MATCH(G55, implementatie[Zoeksleutel],0),I55)</f>
        <v>0.94864814278578335</v>
      </c>
      <c r="K55" s="406" cm="1">
        <f t="array" ref="K55">INDEX(implementatie[[2023]:[2034]],MATCH(G55,implementatie[Zoeksleutel],0),I55 + 1)</f>
        <v>0.97185361900482903</v>
      </c>
      <c r="L5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15538.856578831132</v>
      </c>
      <c r="M55" s="398" cm="1">
        <f t="array" ref="M55">J55*INDEX(Berekening_impact[Totaal arbeidsbesparing (€/jaar)],MATCH(B55,IF(Berekening_impact[Doelgroep]=C55,Berekening_impact[Digitale zorgtoepassing]),0))</f>
        <v>8802380.4400033262</v>
      </c>
      <c r="N55" s="397" cm="1">
        <f t="array" ref="N55">J55*INDEX(Berekening_impact[Totaal arbeidsbesparing (FTE/jaar)],MATCH(B55,IF(Berekening_impact[Doelgroep]=C55,Berekening_impact[Digitale zorgtoepassing]),0))</f>
        <v>46.400135297147003</v>
      </c>
      <c r="O55" s="398" cm="1">
        <f t="array" ref="O55">J55*INDEX(Berekening_impact[Overige kostenbesparing (totaal/jaar totaal potentieel)],MATCH(B55,IF(Berekening_impact[Doelgroep]=C55,Berekening_impact[Digitale zorgtoepassing]),0))</f>
        <v>10054421.589005994</v>
      </c>
      <c r="P55" s="398" cm="1">
        <f t="array" ref="P55">J55*INDEX(Berekening_impact[Opbrengsten door QALY''s],MATCH(B55,IF(Berekening_impact[Doelgroep]=C55,Berekening_impact[Digitale zorgtoepassing]),0))</f>
        <v>38847141.447077826</v>
      </c>
      <c r="Q55" s="398" cm="1">
        <f t="array" ref="Q55">J55*INDEX(Berekening_impact[Jaarlijkse kosten (totaal) - incl. schatting],MATCH(B55,IF(Berekening_impact[Doelgroep]=C55,Berekening_impact[Digitale zorgtoepassing]),0))</f>
        <v>13456649.797267759</v>
      </c>
      <c r="R55" s="398" cm="1">
        <f t="array" ref="R55">(uitkomst_doelgroep[[#This Row],[Implementatiegraad t = T + 1]]-uitkomst_doelgroep[[#This Row],[Implementatiegraad t = T]])*INDEX(Berekening_impact[Initiële investering (totaal) - incl. schatting],MATCH(B55,IF(Berekening_impact[Doelgroep]=C55,Berekening_impact[Digitale zorgtoepassing]),0))</f>
        <v>0</v>
      </c>
      <c r="S55" s="398">
        <f>uitkomst_doelgroep[[#This Row],[Arbeidsbesparing (€)]]*uitkomst_doelgroep[[#This Row],[Percentage van patiëntaantallen in Wlz (overige is Zvw)]]</f>
        <v>0</v>
      </c>
      <c r="T55" s="398">
        <f>uitkomst_doelgroep[[#This Row],[Overige besparingen (€)]]*uitkomst_doelgroep[[#This Row],[Percentage van patiëntaantallen in Wlz (overige is Zvw)]]</f>
        <v>0</v>
      </c>
      <c r="U55" s="398">
        <f>uitkomst_doelgroep[[#This Row],[Kosten (€)]]*uitkomst_doelgroep[[#This Row],[Percentage van patiëntaantallen in Wlz (overige is Zvw)]]</f>
        <v>0</v>
      </c>
      <c r="V55" s="398">
        <f>uitkomst_doelgroep[[#This Row],[Investering (cash flow) (€)]]*uitkomst_doelgroep[[#This Row],[Percentage van patiëntaantallen in Wlz (overige is Zvw)]]</f>
        <v>0</v>
      </c>
    </row>
    <row r="56" spans="1:22" x14ac:dyDescent="0.5">
      <c r="A56" s="33" t="str">
        <f>INDEX(Technologieën[Veld],MATCH(B56,Technologieën[Digitale zorgtoepassing],0))</f>
        <v>Software - Behandeling</v>
      </c>
      <c r="B56" s="33" t="s">
        <v>609</v>
      </c>
      <c r="C56" s="33" t="s">
        <v>95</v>
      </c>
      <c r="D56" s="427" cm="1">
        <f t="array" ref="D56">INDEX(Berekening_patiëntaantal[Percentage van patiëntaantallen in Wlz (overige is Zvw)],MATCH(B56,IF(Berekening_patiëntaantal[Doelgroep (zoeksleutel)]=C56,Berekening_patiëntaantal[Digitale zorgtoepassing]),0))</f>
        <v>0</v>
      </c>
      <c r="E56" s="33" t="str" cm="1">
        <f t="array" ref="E56">INDEX(Berekening_patiëntaantal[Direct toepasbaar/extrapolatie/incidentie voor QALY],MATCH(B56,IF(Berekening_patiëntaantal[Doelgroep (zoeksleutel)]=C56,Berekening_patiëntaantal[Digitale zorgtoepassing]),0))</f>
        <v>Huidige toepassing</v>
      </c>
      <c r="F56" s="43" t="s">
        <v>812</v>
      </c>
      <c r="G56" s="33" t="str">
        <f>CONCATENATE(uitkomst_doelgroep[[#This Row],[Digitale zorgtoepassing]],"_",uitkomst_doelgroep[[#This Row],[Doelgroep]],"_",uitkomst_doelgroep[[#This Row],[Uitgangssituatie/effect beleid]])</f>
        <v>(Zelf)zorgplatform + telebegeleiding_COPD_Effect beleid</v>
      </c>
      <c r="H56" s="33">
        <v>2030</v>
      </c>
      <c r="I56" s="32">
        <v>8</v>
      </c>
      <c r="J56" s="406" cm="1">
        <f t="array" ref="J56">INDEX(implementatie[[2023]:[2034]],MATCH(G56, implementatie[Zoeksleutel],0),I56)</f>
        <v>0.97185361900482903</v>
      </c>
      <c r="K56" s="406" cm="1">
        <f t="array" ref="K56">INDEX(implementatie[[2023]:[2034]],MATCH(G56,implementatie[Zoeksleutel],0),I56 + 1)</f>
        <v>0.98486665153412889</v>
      </c>
      <c r="L5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15918.962279299099</v>
      </c>
      <c r="M56" s="398" cm="1">
        <f t="array" ref="M56">J56*INDEX(Berekening_impact[Totaal arbeidsbesparing (€/jaar)],MATCH(B56,IF(Berekening_impact[Doelgroep]=C56,Berekening_impact[Digitale zorgtoepassing]),0))</f>
        <v>9017700.9795783628</v>
      </c>
      <c r="N56" s="397" cm="1">
        <f t="array" ref="N56">J56*INDEX(Berekening_impact[Totaal arbeidsbesparing (FTE/jaar)],MATCH(B56,IF(Berekening_impact[Doelgroep]=C56,Berekening_impact[Digitale zorgtoepassing]),0))</f>
        <v>47.535158060209099</v>
      </c>
      <c r="O56" s="398" cm="1">
        <f t="array" ref="O56">J56*INDEX(Berekening_impact[Overige kostenbesparing (totaal/jaar totaal potentieel)],MATCH(B56,IF(Berekening_impact[Doelgroep]=C56,Berekening_impact[Digitale zorgtoepassing]),0))</f>
        <v>10300369.091095421</v>
      </c>
      <c r="P56" s="398" cm="1">
        <f t="array" ref="P56">J56*INDEX(Berekening_impact[Opbrengsten door QALY''s],MATCH(B56,IF(Berekening_impact[Doelgroep]=C56,Berekening_impact[Digitale zorgtoepassing]),0))</f>
        <v>39797405.698247746</v>
      </c>
      <c r="Q56" s="398" cm="1">
        <f t="array" ref="Q56">J56*INDEX(Berekening_impact[Jaarlijkse kosten (totaal) - incl. schatting],MATCH(B56,IF(Berekening_impact[Doelgroep]=C56,Berekening_impact[Digitale zorgtoepassing]),0))</f>
        <v>13785821.33387302</v>
      </c>
      <c r="R56" s="398" cm="1">
        <f t="array" ref="R56">(uitkomst_doelgroep[[#This Row],[Implementatiegraad t = T + 1]]-uitkomst_doelgroep[[#This Row],[Implementatiegraad t = T]])*INDEX(Berekening_impact[Initiële investering (totaal) - incl. schatting],MATCH(B56,IF(Berekening_impact[Doelgroep]=C56,Berekening_impact[Digitale zorgtoepassing]),0))</f>
        <v>0</v>
      </c>
      <c r="S56" s="398">
        <f>uitkomst_doelgroep[[#This Row],[Arbeidsbesparing (€)]]*uitkomst_doelgroep[[#This Row],[Percentage van patiëntaantallen in Wlz (overige is Zvw)]]</f>
        <v>0</v>
      </c>
      <c r="T56" s="398">
        <f>uitkomst_doelgroep[[#This Row],[Overige besparingen (€)]]*uitkomst_doelgroep[[#This Row],[Percentage van patiëntaantallen in Wlz (overige is Zvw)]]</f>
        <v>0</v>
      </c>
      <c r="U56" s="398">
        <f>uitkomst_doelgroep[[#This Row],[Kosten (€)]]*uitkomst_doelgroep[[#This Row],[Percentage van patiëntaantallen in Wlz (overige is Zvw)]]</f>
        <v>0</v>
      </c>
      <c r="V56" s="398">
        <f>uitkomst_doelgroep[[#This Row],[Investering (cash flow) (€)]]*uitkomst_doelgroep[[#This Row],[Percentage van patiëntaantallen in Wlz (overige is Zvw)]]</f>
        <v>0</v>
      </c>
    </row>
    <row r="57" spans="1:22" x14ac:dyDescent="0.5">
      <c r="A57" s="33" t="str">
        <f>INDEX(Technologieën[Veld],MATCH(B57,Technologieën[Digitale zorgtoepassing],0))</f>
        <v>Software - Behandeling</v>
      </c>
      <c r="B57" s="33" t="s">
        <v>609</v>
      </c>
      <c r="C57" s="33" t="s">
        <v>95</v>
      </c>
      <c r="D57" s="427" cm="1">
        <f t="array" ref="D57">INDEX(Berekening_patiëntaantal[Percentage van patiëntaantallen in Wlz (overige is Zvw)],MATCH(B57,IF(Berekening_patiëntaantal[Doelgroep (zoeksleutel)]=C57,Berekening_patiëntaantal[Digitale zorgtoepassing]),0))</f>
        <v>0</v>
      </c>
      <c r="E57" s="33" t="str" cm="1">
        <f t="array" ref="E57">INDEX(Berekening_patiëntaantal[Direct toepasbaar/extrapolatie/incidentie voor QALY],MATCH(B57,IF(Berekening_patiëntaantal[Doelgroep (zoeksleutel)]=C57,Berekening_patiëntaantal[Digitale zorgtoepassing]),0))</f>
        <v>Huidige toepassing</v>
      </c>
      <c r="F57" s="43" t="s">
        <v>812</v>
      </c>
      <c r="G57" s="33" t="str">
        <f>CONCATENATE(uitkomst_doelgroep[[#This Row],[Digitale zorgtoepassing]],"_",uitkomst_doelgroep[[#This Row],[Doelgroep]],"_",uitkomst_doelgroep[[#This Row],[Uitgangssituatie/effect beleid]])</f>
        <v>(Zelf)zorgplatform + telebegeleiding_COPD_Effect beleid</v>
      </c>
      <c r="H57" s="33">
        <v>2031</v>
      </c>
      <c r="I57" s="32">
        <v>9</v>
      </c>
      <c r="J57" s="406" cm="1">
        <f t="array" ref="J57">INDEX(implementatie[[2023]:[2034]],MATCH(G57, implementatie[Zoeksleutel],0),I57)</f>
        <v>0.98486665153412889</v>
      </c>
      <c r="K57" s="406" cm="1">
        <f t="array" ref="K57">INDEX(implementatie[[2023]:[2034]],MATCH(G57,implementatie[Zoeksleutel],0),I57 + 1)</f>
        <v>0.99195193384931235</v>
      </c>
      <c r="L5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16132.115752129032</v>
      </c>
      <c r="M57" s="398" cm="1">
        <f t="array" ref="M57">J57*INDEX(Berekening_impact[Totaal arbeidsbesparing (€/jaar)],MATCH(B57,IF(Berekening_impact[Doelgroep]=C57,Berekening_impact[Digitale zorgtoepassing]),0))</f>
        <v>9138447.184451187</v>
      </c>
      <c r="N57" s="397" cm="1">
        <f t="array" ref="N57">J57*INDEX(Berekening_impact[Totaal arbeidsbesparing (FTE/jaar)],MATCH(B57,IF(Berekening_impact[Doelgroep]=C57,Berekening_impact[Digitale zorgtoepassing]),0))</f>
        <v>48.171649550312651</v>
      </c>
      <c r="O57" s="398" cm="1">
        <f t="array" ref="O57">J57*INDEX(Berekening_impact[Overige kostenbesparing (totaal/jaar totaal potentieel)],MATCH(B57,IF(Berekening_impact[Doelgroep]=C57,Berekening_impact[Digitale zorgtoepassing]),0))</f>
        <v>10438290.10659102</v>
      </c>
      <c r="P57" s="398" cm="1">
        <f t="array" ref="P57">J57*INDEX(Berekening_impact[Opbrengsten door QALY''s],MATCH(B57,IF(Berekening_impact[Doelgroep]=C57,Berekening_impact[Digitale zorgtoepassing]),0))</f>
        <v>40330289.380322576</v>
      </c>
      <c r="Q57" s="398" cm="1">
        <f t="array" ref="Q57">J57*INDEX(Berekening_impact[Jaarlijkse kosten (totaal) - incl. schatting],MATCH(B57,IF(Berekening_impact[Doelgroep]=C57,Berekening_impact[Digitale zorgtoepassing]),0))</f>
        <v>13970412.24134374</v>
      </c>
      <c r="R57" s="398" cm="1">
        <f t="array" ref="R57">(uitkomst_doelgroep[[#This Row],[Implementatiegraad t = T + 1]]-uitkomst_doelgroep[[#This Row],[Implementatiegraad t = T]])*INDEX(Berekening_impact[Initiële investering (totaal) - incl. schatting],MATCH(B57,IF(Berekening_impact[Doelgroep]=C57,Berekening_impact[Digitale zorgtoepassing]),0))</f>
        <v>0</v>
      </c>
      <c r="S57" s="398">
        <f>uitkomst_doelgroep[[#This Row],[Arbeidsbesparing (€)]]*uitkomst_doelgroep[[#This Row],[Percentage van patiëntaantallen in Wlz (overige is Zvw)]]</f>
        <v>0</v>
      </c>
      <c r="T57" s="398">
        <f>uitkomst_doelgroep[[#This Row],[Overige besparingen (€)]]*uitkomst_doelgroep[[#This Row],[Percentage van patiëntaantallen in Wlz (overige is Zvw)]]</f>
        <v>0</v>
      </c>
      <c r="U57" s="398">
        <f>uitkomst_doelgroep[[#This Row],[Kosten (€)]]*uitkomst_doelgroep[[#This Row],[Percentage van patiëntaantallen in Wlz (overige is Zvw)]]</f>
        <v>0</v>
      </c>
      <c r="V57" s="398">
        <f>uitkomst_doelgroep[[#This Row],[Investering (cash flow) (€)]]*uitkomst_doelgroep[[#This Row],[Percentage van patiëntaantallen in Wlz (overige is Zvw)]]</f>
        <v>0</v>
      </c>
    </row>
    <row r="58" spans="1:22" x14ac:dyDescent="0.5">
      <c r="A58" s="33" t="str">
        <f>INDEX(Technologieën[Veld],MATCH(B58,Technologieën[Digitale zorgtoepassing],0))</f>
        <v>Software - Behandeling</v>
      </c>
      <c r="B58" s="33" t="s">
        <v>609</v>
      </c>
      <c r="C58" s="33" t="s">
        <v>95</v>
      </c>
      <c r="D58" s="427" cm="1">
        <f t="array" ref="D58">INDEX(Berekening_patiëntaantal[Percentage van patiëntaantallen in Wlz (overige is Zvw)],MATCH(B58,IF(Berekening_patiëntaantal[Doelgroep (zoeksleutel)]=C58,Berekening_patiëntaantal[Digitale zorgtoepassing]),0))</f>
        <v>0</v>
      </c>
      <c r="E58" s="33" t="str" cm="1">
        <f t="array" ref="E58">INDEX(Berekening_patiëntaantal[Direct toepasbaar/extrapolatie/incidentie voor QALY],MATCH(B58,IF(Berekening_patiëntaantal[Doelgroep (zoeksleutel)]=C58,Berekening_patiëntaantal[Digitale zorgtoepassing]),0))</f>
        <v>Huidige toepassing</v>
      </c>
      <c r="F58" s="43" t="s">
        <v>812</v>
      </c>
      <c r="G58" s="33" t="str">
        <f>CONCATENATE(uitkomst_doelgroep[[#This Row],[Digitale zorgtoepassing]],"_",uitkomst_doelgroep[[#This Row],[Doelgroep]],"_",uitkomst_doelgroep[[#This Row],[Uitgangssituatie/effect beleid]])</f>
        <v>(Zelf)zorgplatform + telebegeleiding_COPD_Effect beleid</v>
      </c>
      <c r="H58" s="33">
        <v>2032</v>
      </c>
      <c r="I58" s="32">
        <v>10</v>
      </c>
      <c r="J58" s="406" cm="1">
        <f t="array" ref="J58">INDEX(implementatie[[2023]:[2034]],MATCH(G58, implementatie[Zoeksleutel],0),I58)</f>
        <v>0.99195193384931235</v>
      </c>
      <c r="K58" s="406" cm="1">
        <f t="array" ref="K58">INDEX(implementatie[[2023]:[2034]],MATCH(G58,implementatie[Zoeksleutel],0),I58 + 1)</f>
        <v>0.99574561815494433</v>
      </c>
      <c r="L5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16248.172676451737</v>
      </c>
      <c r="M58" s="398" cm="1">
        <f t="array" ref="M58">J58*INDEX(Berekening_impact[Totaal arbeidsbesparing (€/jaar)],MATCH(B58,IF(Berekening_impact[Doelgroep]=C58,Berekening_impact[Digitale zorgtoepassing]),0))</f>
        <v>9204190.5803955719</v>
      </c>
      <c r="N58" s="397" cm="1">
        <f t="array" ref="N58">J58*INDEX(Berekening_impact[Totaal arbeidsbesparing (FTE/jaar)],MATCH(B58,IF(Berekening_impact[Doelgroep]=C58,Berekening_impact[Digitale zorgtoepassing]),0))</f>
        <v>48.51820381339018</v>
      </c>
      <c r="O58" s="398" cm="1">
        <f t="array" ref="O58">J58*INDEX(Berekening_impact[Overige kostenbesparing (totaal/jaar totaal potentieel)],MATCH(B58,IF(Berekening_impact[Doelgroep]=C58,Berekening_impact[Digitale zorgtoepassing]),0))</f>
        <v>10513384.772633148</v>
      </c>
      <c r="P58" s="398" cm="1">
        <f t="array" ref="P58">J58*INDEX(Berekening_impact[Opbrengsten door QALY''s],MATCH(B58,IF(Berekening_impact[Doelgroep]=C58,Berekening_impact[Digitale zorgtoepassing]),0))</f>
        <v>40620431.691129342</v>
      </c>
      <c r="Q58" s="398" cm="1">
        <f t="array" ref="Q58">J58*INDEX(Berekening_impact[Jaarlijkse kosten (totaal) - incl. schatting],MATCH(B58,IF(Berekening_impact[Doelgroep]=C58,Berekening_impact[Digitale zorgtoepassing]),0))</f>
        <v>14070917.537807204</v>
      </c>
      <c r="R58" s="398" cm="1">
        <f t="array" ref="R58">(uitkomst_doelgroep[[#This Row],[Implementatiegraad t = T + 1]]-uitkomst_doelgroep[[#This Row],[Implementatiegraad t = T]])*INDEX(Berekening_impact[Initiële investering (totaal) - incl. schatting],MATCH(B58,IF(Berekening_impact[Doelgroep]=C58,Berekening_impact[Digitale zorgtoepassing]),0))</f>
        <v>0</v>
      </c>
      <c r="S58" s="398">
        <f>uitkomst_doelgroep[[#This Row],[Arbeidsbesparing (€)]]*uitkomst_doelgroep[[#This Row],[Percentage van patiëntaantallen in Wlz (overige is Zvw)]]</f>
        <v>0</v>
      </c>
      <c r="T58" s="398">
        <f>uitkomst_doelgroep[[#This Row],[Overige besparingen (€)]]*uitkomst_doelgroep[[#This Row],[Percentage van patiëntaantallen in Wlz (overige is Zvw)]]</f>
        <v>0</v>
      </c>
      <c r="U58" s="398">
        <f>uitkomst_doelgroep[[#This Row],[Kosten (€)]]*uitkomst_doelgroep[[#This Row],[Percentage van patiëntaantallen in Wlz (overige is Zvw)]]</f>
        <v>0</v>
      </c>
      <c r="V58" s="398">
        <f>uitkomst_doelgroep[[#This Row],[Investering (cash flow) (€)]]*uitkomst_doelgroep[[#This Row],[Percentage van patiëntaantallen in Wlz (overige is Zvw)]]</f>
        <v>0</v>
      </c>
    </row>
    <row r="59" spans="1:22" x14ac:dyDescent="0.5">
      <c r="A59" s="33" t="str">
        <f>INDEX(Technologieën[Veld],MATCH(B59,Technologieën[Digitale zorgtoepassing],0))</f>
        <v>Software - Behandeling</v>
      </c>
      <c r="B59" s="33" t="s">
        <v>609</v>
      </c>
      <c r="C59" s="33" t="s">
        <v>95</v>
      </c>
      <c r="D59" s="427" cm="1">
        <f t="array" ref="D59">INDEX(Berekening_patiëntaantal[Percentage van patiëntaantallen in Wlz (overige is Zvw)],MATCH(B59,IF(Berekening_patiëntaantal[Doelgroep (zoeksleutel)]=C59,Berekening_patiëntaantal[Digitale zorgtoepassing]),0))</f>
        <v>0</v>
      </c>
      <c r="E59" s="33" t="str" cm="1">
        <f t="array" ref="E59">INDEX(Berekening_patiëntaantal[Direct toepasbaar/extrapolatie/incidentie voor QALY],MATCH(B59,IF(Berekening_patiëntaantal[Doelgroep (zoeksleutel)]=C59,Berekening_patiëntaantal[Digitale zorgtoepassing]),0))</f>
        <v>Huidige toepassing</v>
      </c>
      <c r="F59" s="43" t="s">
        <v>812</v>
      </c>
      <c r="G59" s="33" t="str">
        <f>CONCATENATE(uitkomst_doelgroep[[#This Row],[Digitale zorgtoepassing]],"_",uitkomst_doelgroep[[#This Row],[Doelgroep]],"_",uitkomst_doelgroep[[#This Row],[Uitgangssituatie/effect beleid]])</f>
        <v>(Zelf)zorgplatform + telebegeleiding_COPD_Effect beleid</v>
      </c>
      <c r="H59" s="33">
        <v>2033</v>
      </c>
      <c r="I59" s="32">
        <v>11</v>
      </c>
      <c r="J59" s="406" cm="1">
        <f t="array" ref="J59">INDEX(implementatie[[2023]:[2034]],MATCH(G59, implementatie[Zoeksleutel],0),I59)</f>
        <v>0.99574561815494433</v>
      </c>
      <c r="K59" s="406" cm="1">
        <f t="array" ref="K59">INDEX(implementatie[[2023]:[2034]],MATCH(G59,implementatie[Zoeksleutel],0),I59 + 1)</f>
        <v>0.99775830463714821</v>
      </c>
      <c r="L5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16310.313225377988</v>
      </c>
      <c r="M59" s="398" cm="1">
        <f t="array" ref="M59">J59*INDEX(Berekening_impact[Totaal arbeidsbesparing (€/jaar)],MATCH(B59,IF(Berekening_impact[Doelgroep]=C59,Berekening_impact[Digitale zorgtoepassing]),0))</f>
        <v>9239391.6744802352</v>
      </c>
      <c r="N59" s="397" cm="1">
        <f t="array" ref="N59">J59*INDEX(Berekening_impact[Totaal arbeidsbesparing (FTE/jaar)],MATCH(B59,IF(Berekening_impact[Doelgroep]=C59,Berekening_impact[Digitale zorgtoepassing]),0))</f>
        <v>48.703759929632675</v>
      </c>
      <c r="O59" s="398" cm="1">
        <f t="array" ref="O59">J59*INDEX(Berekening_impact[Overige kostenbesparing (totaal/jaar totaal potentieel)],MATCH(B59,IF(Berekening_impact[Doelgroep]=C59,Berekening_impact[Digitale zorgtoepassing]),0))</f>
        <v>10553592.832570322</v>
      </c>
      <c r="P59" s="398" cm="1">
        <f t="array" ref="P59">J59*INDEX(Berekening_impact[Opbrengsten door QALY''s],MATCH(B59,IF(Berekening_impact[Doelgroep]=C59,Berekening_impact[Digitale zorgtoepassing]),0))</f>
        <v>40775783.063444972</v>
      </c>
      <c r="Q59" s="398" cm="1">
        <f t="array" ref="Q59">J59*INDEX(Berekening_impact[Jaarlijkse kosten (totaal) - incl. schatting],MATCH(B59,IF(Berekening_impact[Doelgroep]=C59,Berekening_impact[Digitale zorgtoepassing]),0))</f>
        <v>14124731.253177337</v>
      </c>
      <c r="R59" s="398" cm="1">
        <f t="array" ref="R59">(uitkomst_doelgroep[[#This Row],[Implementatiegraad t = T + 1]]-uitkomst_doelgroep[[#This Row],[Implementatiegraad t = T]])*INDEX(Berekening_impact[Initiële investering (totaal) - incl. schatting],MATCH(B59,IF(Berekening_impact[Doelgroep]=C59,Berekening_impact[Digitale zorgtoepassing]),0))</f>
        <v>0</v>
      </c>
      <c r="S59" s="398">
        <f>uitkomst_doelgroep[[#This Row],[Arbeidsbesparing (€)]]*uitkomst_doelgroep[[#This Row],[Percentage van patiëntaantallen in Wlz (overige is Zvw)]]</f>
        <v>0</v>
      </c>
      <c r="T59" s="398">
        <f>uitkomst_doelgroep[[#This Row],[Overige besparingen (€)]]*uitkomst_doelgroep[[#This Row],[Percentage van patiëntaantallen in Wlz (overige is Zvw)]]</f>
        <v>0</v>
      </c>
      <c r="U59" s="398">
        <f>uitkomst_doelgroep[[#This Row],[Kosten (€)]]*uitkomst_doelgroep[[#This Row],[Percentage van patiëntaantallen in Wlz (overige is Zvw)]]</f>
        <v>0</v>
      </c>
      <c r="V59" s="398">
        <f>uitkomst_doelgroep[[#This Row],[Investering (cash flow) (€)]]*uitkomst_doelgroep[[#This Row],[Percentage van patiëntaantallen in Wlz (overige is Zvw)]]</f>
        <v>0</v>
      </c>
    </row>
    <row r="60" spans="1:22" x14ac:dyDescent="0.5">
      <c r="A60" s="33" t="str">
        <f>INDEX(Technologieën[Veld],MATCH(B60,Technologieën[Digitale zorgtoepassing],0))</f>
        <v>Software - Behandeling</v>
      </c>
      <c r="B60" s="33" t="s">
        <v>609</v>
      </c>
      <c r="C60" s="33" t="s">
        <v>51</v>
      </c>
      <c r="D60" s="427" cm="1">
        <f t="array" ref="D60">INDEX(Berekening_patiëntaantal[Percentage van patiëntaantallen in Wlz (overige is Zvw)],MATCH(B60,IF(Berekening_patiëntaantal[Doelgroep (zoeksleutel)]=C60,Berekening_patiëntaantal[Digitale zorgtoepassing]),0))</f>
        <v>0</v>
      </c>
      <c r="E60" s="33" t="str" cm="1">
        <f t="array" ref="E60">INDEX(Berekening_patiëntaantal[Direct toepasbaar/extrapolatie/incidentie voor QALY],MATCH(B60,IF(Berekening_patiëntaantal[Doelgroep (zoeksleutel)]=C60,Berekening_patiëntaantal[Digitale zorgtoepassing]),0))</f>
        <v>Huidige toepassing</v>
      </c>
      <c r="F60" s="43" t="s">
        <v>812</v>
      </c>
      <c r="G60" s="33" t="str">
        <f>CONCATENATE(uitkomst_doelgroep[[#This Row],[Digitale zorgtoepassing]],"_",uitkomst_doelgroep[[#This Row],[Doelgroep]],"_",uitkomst_doelgroep[[#This Row],[Uitgangssituatie/effect beleid]])</f>
        <v>(Zelf)zorgplatform + telebegeleiding_Hartfalen_Effect beleid</v>
      </c>
      <c r="H60" s="33">
        <v>2023</v>
      </c>
      <c r="I60" s="32">
        <v>1</v>
      </c>
      <c r="J60" s="406" cm="1">
        <f t="array" ref="J60">INDEX(implementatie[[2023]:[2034]],MATCH(G60, implementatie[Zoeksleutel],0),I60)</f>
        <v>0.6</v>
      </c>
      <c r="K60" s="406" cm="1">
        <f t="array" ref="K60">INDEX(implementatie[[2023]:[2034]],MATCH(G60,implementatie[Zoeksleutel],0),I60 + 1)</f>
        <v>0.71799999999999997</v>
      </c>
      <c r="L6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28956</v>
      </c>
      <c r="M60" s="398" cm="1">
        <f t="array" ref="M60">J60*INDEX(Berekening_impact[Totaal arbeidsbesparing (€/jaar)],MATCH(B60,IF(Berekening_impact[Doelgroep]=C60,Berekening_impact[Digitale zorgtoepassing]),0))</f>
        <v>31957261.234465517</v>
      </c>
      <c r="N60" s="397" cm="1">
        <f t="array" ref="N60">J60*INDEX(Berekening_impact[Totaal arbeidsbesparing (FTE/jaar)],MATCH(B60,IF(Berekening_impact[Doelgroep]=C60,Berekening_impact[Digitale zorgtoepassing]),0))</f>
        <v>553.85797241558794</v>
      </c>
      <c r="O60" s="398" cm="1">
        <f t="array" ref="O60">J60*INDEX(Berekening_impact[Overige kostenbesparing (totaal/jaar totaal potentieel)],MATCH(B60,IF(Berekening_impact[Doelgroep]=C60,Berekening_impact[Digitale zorgtoepassing]),0))</f>
        <v>42506760</v>
      </c>
      <c r="P60" s="398" cm="1">
        <f t="array" ref="P60">J60*INDEX(Berekening_impact[Opbrengsten door QALY''s],MATCH(B60,IF(Berekening_impact[Doelgroep]=C60,Berekening_impact[Digitale zorgtoepassing]),0))</f>
        <v>0</v>
      </c>
      <c r="Q60" s="398" cm="1">
        <f t="array" ref="Q60">J60*INDEX(Berekening_impact[Jaarlijkse kosten (totaal) - incl. schatting],MATCH(B60,IF(Berekening_impact[Doelgroep]=C60,Berekening_impact[Digitale zorgtoepassing]),0))</f>
        <v>10134600</v>
      </c>
      <c r="R60" s="398" cm="1">
        <f t="array" ref="R60">(uitkomst_doelgroep[[#This Row],[Implementatiegraad t = T + 1]]-uitkomst_doelgroep[[#This Row],[Implementatiegraad t = T]])*INDEX(Berekening_impact[Initiële investering (totaal) - incl. schatting],MATCH(B60,IF(Berekening_impact[Doelgroep]=C60,Berekening_impact[Digitale zorgtoepassing]),0))</f>
        <v>0</v>
      </c>
      <c r="S60" s="398">
        <f>uitkomst_doelgroep[[#This Row],[Arbeidsbesparing (€)]]*uitkomst_doelgroep[[#This Row],[Percentage van patiëntaantallen in Wlz (overige is Zvw)]]</f>
        <v>0</v>
      </c>
      <c r="T60" s="398">
        <f>uitkomst_doelgroep[[#This Row],[Overige besparingen (€)]]*uitkomst_doelgroep[[#This Row],[Percentage van patiëntaantallen in Wlz (overige is Zvw)]]</f>
        <v>0</v>
      </c>
      <c r="U60" s="398">
        <f>uitkomst_doelgroep[[#This Row],[Kosten (€)]]*uitkomst_doelgroep[[#This Row],[Percentage van patiëntaantallen in Wlz (overige is Zvw)]]</f>
        <v>0</v>
      </c>
      <c r="V60" s="398">
        <f>uitkomst_doelgroep[[#This Row],[Investering (cash flow) (€)]]*uitkomst_doelgroep[[#This Row],[Percentage van patiëntaantallen in Wlz (overige is Zvw)]]</f>
        <v>0</v>
      </c>
    </row>
    <row r="61" spans="1:22" x14ac:dyDescent="0.5">
      <c r="A61" s="33" t="str">
        <f>INDEX(Technologieën[Veld],MATCH(B61,Technologieën[Digitale zorgtoepassing],0))</f>
        <v>Software - Behandeling</v>
      </c>
      <c r="B61" s="33" t="s">
        <v>609</v>
      </c>
      <c r="C61" s="33" t="s">
        <v>51</v>
      </c>
      <c r="D61" s="427" cm="1">
        <f t="array" ref="D61">INDEX(Berekening_patiëntaantal[Percentage van patiëntaantallen in Wlz (overige is Zvw)],MATCH(B61,IF(Berekening_patiëntaantal[Doelgroep (zoeksleutel)]=C61,Berekening_patiëntaantal[Digitale zorgtoepassing]),0))</f>
        <v>0</v>
      </c>
      <c r="E61" s="33" t="str" cm="1">
        <f t="array" ref="E61">INDEX(Berekening_patiëntaantal[Direct toepasbaar/extrapolatie/incidentie voor QALY],MATCH(B61,IF(Berekening_patiëntaantal[Doelgroep (zoeksleutel)]=C61,Berekening_patiëntaantal[Digitale zorgtoepassing]),0))</f>
        <v>Huidige toepassing</v>
      </c>
      <c r="F61" s="43" t="s">
        <v>812</v>
      </c>
      <c r="G61" s="33" t="str">
        <f>CONCATENATE(uitkomst_doelgroep[[#This Row],[Digitale zorgtoepassing]],"_",uitkomst_doelgroep[[#This Row],[Doelgroep]],"_",uitkomst_doelgroep[[#This Row],[Uitgangssituatie/effect beleid]])</f>
        <v>(Zelf)zorgplatform + telebegeleiding_Hartfalen_Effect beleid</v>
      </c>
      <c r="H61" s="33">
        <v>2024</v>
      </c>
      <c r="I61" s="32">
        <v>2</v>
      </c>
      <c r="J61" s="406" cm="1">
        <f t="array" ref="J61">INDEX(implementatie[[2023]:[2034]],MATCH(G61, implementatie[Zoeksleutel],0),I61)</f>
        <v>0.71799999999999997</v>
      </c>
      <c r="K61" s="406" cm="1">
        <f t="array" ref="K61">INDEX(implementatie[[2023]:[2034]],MATCH(G61,implementatie[Zoeksleutel],0),I61 + 1)</f>
        <v>0.81616420000000001</v>
      </c>
      <c r="L6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34650.68</v>
      </c>
      <c r="M61" s="398" cm="1">
        <f t="array" ref="M61">J61*INDEX(Berekening_impact[Totaal arbeidsbesparing (€/jaar)],MATCH(B61,IF(Berekening_impact[Doelgroep]=C61,Berekening_impact[Digitale zorgtoepassing]),0))</f>
        <v>38242189.277243733</v>
      </c>
      <c r="N61" s="397" cm="1">
        <f t="array" ref="N61">J61*INDEX(Berekening_impact[Totaal arbeidsbesparing (FTE/jaar)],MATCH(B61,IF(Berekening_impact[Doelgroep]=C61,Berekening_impact[Digitale zorgtoepassing]),0))</f>
        <v>662.78337365732023</v>
      </c>
      <c r="O61" s="398" cm="1">
        <f t="array" ref="O61">J61*INDEX(Berekening_impact[Overige kostenbesparing (totaal/jaar totaal potentieel)],MATCH(B61,IF(Berekening_impact[Doelgroep]=C61,Berekening_impact[Digitale zorgtoepassing]),0))</f>
        <v>50866422.799999997</v>
      </c>
      <c r="P61" s="398" cm="1">
        <f t="array" ref="P61">J61*INDEX(Berekening_impact[Opbrengsten door QALY''s],MATCH(B61,IF(Berekening_impact[Doelgroep]=C61,Berekening_impact[Digitale zorgtoepassing]),0))</f>
        <v>0</v>
      </c>
      <c r="Q61" s="398" cm="1">
        <f t="array" ref="Q61">J61*INDEX(Berekening_impact[Jaarlijkse kosten (totaal) - incl. schatting],MATCH(B61,IF(Berekening_impact[Doelgroep]=C61,Berekening_impact[Digitale zorgtoepassing]),0))</f>
        <v>12127738</v>
      </c>
      <c r="R61" s="398" cm="1">
        <f t="array" ref="R61">(uitkomst_doelgroep[[#This Row],[Implementatiegraad t = T + 1]]-uitkomst_doelgroep[[#This Row],[Implementatiegraad t = T]])*INDEX(Berekening_impact[Initiële investering (totaal) - incl. schatting],MATCH(B61,IF(Berekening_impact[Doelgroep]=C61,Berekening_impact[Digitale zorgtoepassing]),0))</f>
        <v>0</v>
      </c>
      <c r="S61" s="398">
        <f>uitkomst_doelgroep[[#This Row],[Arbeidsbesparing (€)]]*uitkomst_doelgroep[[#This Row],[Percentage van patiëntaantallen in Wlz (overige is Zvw)]]</f>
        <v>0</v>
      </c>
      <c r="T61" s="398">
        <f>uitkomst_doelgroep[[#This Row],[Overige besparingen (€)]]*uitkomst_doelgroep[[#This Row],[Percentage van patiëntaantallen in Wlz (overige is Zvw)]]</f>
        <v>0</v>
      </c>
      <c r="U61" s="398">
        <f>uitkomst_doelgroep[[#This Row],[Kosten (€)]]*uitkomst_doelgroep[[#This Row],[Percentage van patiëntaantallen in Wlz (overige is Zvw)]]</f>
        <v>0</v>
      </c>
      <c r="V61" s="398">
        <f>uitkomst_doelgroep[[#This Row],[Investering (cash flow) (€)]]*uitkomst_doelgroep[[#This Row],[Percentage van patiëntaantallen in Wlz (overige is Zvw)]]</f>
        <v>0</v>
      </c>
    </row>
    <row r="62" spans="1:22" x14ac:dyDescent="0.5">
      <c r="A62" s="33" t="str">
        <f>INDEX(Technologieën[Veld],MATCH(B62,Technologieën[Digitale zorgtoepassing],0))</f>
        <v>Software - Behandeling</v>
      </c>
      <c r="B62" s="33" t="s">
        <v>609</v>
      </c>
      <c r="C62" s="33" t="s">
        <v>51</v>
      </c>
      <c r="D62" s="427" cm="1">
        <f t="array" ref="D62">INDEX(Berekening_patiëntaantal[Percentage van patiëntaantallen in Wlz (overige is Zvw)],MATCH(B62,IF(Berekening_patiëntaantal[Doelgroep (zoeksleutel)]=C62,Berekening_patiëntaantal[Digitale zorgtoepassing]),0))</f>
        <v>0</v>
      </c>
      <c r="E62" s="33" t="str" cm="1">
        <f t="array" ref="E62">INDEX(Berekening_patiëntaantal[Direct toepasbaar/extrapolatie/incidentie voor QALY],MATCH(B62,IF(Berekening_patiëntaantal[Doelgroep (zoeksleutel)]=C62,Berekening_patiëntaantal[Digitale zorgtoepassing]),0))</f>
        <v>Huidige toepassing</v>
      </c>
      <c r="F62" s="43" t="s">
        <v>812</v>
      </c>
      <c r="G62" s="33" t="str">
        <f>CONCATENATE(uitkomst_doelgroep[[#This Row],[Digitale zorgtoepassing]],"_",uitkomst_doelgroep[[#This Row],[Doelgroep]],"_",uitkomst_doelgroep[[#This Row],[Uitgangssituatie/effect beleid]])</f>
        <v>(Zelf)zorgplatform + telebegeleiding_Hartfalen_Effect beleid</v>
      </c>
      <c r="H62" s="33">
        <v>2025</v>
      </c>
      <c r="I62" s="32">
        <v>3</v>
      </c>
      <c r="J62" s="406" cm="1">
        <f t="array" ref="J62">INDEX(implementatie[[2023]:[2034]],MATCH(G62, implementatie[Zoeksleutel],0),I62)</f>
        <v>0.81616420000000001</v>
      </c>
      <c r="K62" s="406" cm="1">
        <f t="array" ref="K62">INDEX(implementatie[[2023]:[2034]],MATCH(G62,implementatie[Zoeksleutel],0),I62 + 1)</f>
        <v>0.88827818438726203</v>
      </c>
      <c r="L6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39388.084292</v>
      </c>
      <c r="M62" s="398" cm="1">
        <f t="array" ref="M62">J62*INDEX(Berekening_impact[Totaal arbeidsbesparing (€/jaar)],MATCH(B62,IF(Berekening_impact[Doelgroep]=C62,Berekening_impact[Digitale zorgtoepassing]),0))</f>
        <v>43470620.916030936</v>
      </c>
      <c r="N62" s="397" cm="1">
        <f t="array" ref="N62">J62*INDEX(Berekening_impact[Totaal arbeidsbesparing (FTE/jaar)],MATCH(B62,IF(Berekening_impact[Doelgroep]=C62,Berekening_impact[Digitale zorgtoepassing]),0))</f>
        <v>753.39841495031737</v>
      </c>
      <c r="O62" s="398" cm="1">
        <f t="array" ref="O62">J62*INDEX(Berekening_impact[Overige kostenbesparing (totaal/jaar totaal potentieel)],MATCH(B62,IF(Berekening_impact[Doelgroep]=C62,Berekening_impact[Digitale zorgtoepassing]),0))</f>
        <v>57820826.283320002</v>
      </c>
      <c r="P62" s="398" cm="1">
        <f t="array" ref="P62">J62*INDEX(Berekening_impact[Opbrengsten door QALY''s],MATCH(B62,IF(Berekening_impact[Doelgroep]=C62,Berekening_impact[Digitale zorgtoepassing]),0))</f>
        <v>0</v>
      </c>
      <c r="Q62" s="398" cm="1">
        <f t="array" ref="Q62">J62*INDEX(Berekening_impact[Jaarlijkse kosten (totaal) - incl. schatting],MATCH(B62,IF(Berekening_impact[Doelgroep]=C62,Berekening_impact[Digitale zorgtoepassing]),0))</f>
        <v>13785829.5022</v>
      </c>
      <c r="R62" s="398" cm="1">
        <f t="array" ref="R62">(uitkomst_doelgroep[[#This Row],[Implementatiegraad t = T + 1]]-uitkomst_doelgroep[[#This Row],[Implementatiegraad t = T]])*INDEX(Berekening_impact[Initiële investering (totaal) - incl. schatting],MATCH(B62,IF(Berekening_impact[Doelgroep]=C62,Berekening_impact[Digitale zorgtoepassing]),0))</f>
        <v>0</v>
      </c>
      <c r="S62" s="398">
        <f>uitkomst_doelgroep[[#This Row],[Arbeidsbesparing (€)]]*uitkomst_doelgroep[[#This Row],[Percentage van patiëntaantallen in Wlz (overige is Zvw)]]</f>
        <v>0</v>
      </c>
      <c r="T62" s="398">
        <f>uitkomst_doelgroep[[#This Row],[Overige besparingen (€)]]*uitkomst_doelgroep[[#This Row],[Percentage van patiëntaantallen in Wlz (overige is Zvw)]]</f>
        <v>0</v>
      </c>
      <c r="U62" s="398">
        <f>uitkomst_doelgroep[[#This Row],[Kosten (€)]]*uitkomst_doelgroep[[#This Row],[Percentage van patiëntaantallen in Wlz (overige is Zvw)]]</f>
        <v>0</v>
      </c>
      <c r="V62" s="398">
        <f>uitkomst_doelgroep[[#This Row],[Investering (cash flow) (€)]]*uitkomst_doelgroep[[#This Row],[Percentage van patiëntaantallen in Wlz (overige is Zvw)]]</f>
        <v>0</v>
      </c>
    </row>
    <row r="63" spans="1:22" x14ac:dyDescent="0.5">
      <c r="A63" s="33" t="str">
        <f>INDEX(Technologieën[Veld],MATCH(B63,Technologieën[Digitale zorgtoepassing],0))</f>
        <v>Software - Behandeling</v>
      </c>
      <c r="B63" s="33" t="s">
        <v>609</v>
      </c>
      <c r="C63" s="33" t="s">
        <v>51</v>
      </c>
      <c r="D63" s="427" cm="1">
        <f t="array" ref="D63">INDEX(Berekening_patiëntaantal[Percentage van patiëntaantallen in Wlz (overige is Zvw)],MATCH(B63,IF(Berekening_patiëntaantal[Doelgroep (zoeksleutel)]=C63,Berekening_patiëntaantal[Digitale zorgtoepassing]),0))</f>
        <v>0</v>
      </c>
      <c r="E63" s="33" t="str" cm="1">
        <f t="array" ref="E63">INDEX(Berekening_patiëntaantal[Direct toepasbaar/extrapolatie/incidentie voor QALY],MATCH(B63,IF(Berekening_patiëntaantal[Doelgroep (zoeksleutel)]=C63,Berekening_patiëntaantal[Digitale zorgtoepassing]),0))</f>
        <v>Huidige toepassing</v>
      </c>
      <c r="F63" s="43" t="s">
        <v>812</v>
      </c>
      <c r="G63" s="33" t="str">
        <f>CONCATENATE(uitkomst_doelgroep[[#This Row],[Digitale zorgtoepassing]],"_",uitkomst_doelgroep[[#This Row],[Doelgroep]],"_",uitkomst_doelgroep[[#This Row],[Uitgangssituatie/effect beleid]])</f>
        <v>(Zelf)zorgplatform + telebegeleiding_Hartfalen_Effect beleid</v>
      </c>
      <c r="H63" s="33">
        <v>2026</v>
      </c>
      <c r="I63" s="32">
        <v>4</v>
      </c>
      <c r="J63" s="406" cm="1">
        <f t="array" ref="J63">INDEX(implementatie[[2023]:[2034]],MATCH(G63, implementatie[Zoeksleutel],0),I63)</f>
        <v>0.88827818438726203</v>
      </c>
      <c r="K63" s="406" cm="1">
        <f t="array" ref="K63">INDEX(implementatie[[2023]:[2034]],MATCH(G63,implementatie[Zoeksleutel],0),I63 + 1)</f>
        <v>0.93572925296559961</v>
      </c>
      <c r="L6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42868.305178529263</v>
      </c>
      <c r="M63" s="398" cm="1">
        <f t="array" ref="M63">J63*INDEX(Berekening_impact[Totaal arbeidsbesparing (€/jaar)],MATCH(B63,IF(Berekening_impact[Doelgroep]=C63,Berekening_impact[Digitale zorgtoepassing]),0))</f>
        <v>47311563.312234104</v>
      </c>
      <c r="N63" s="397" cm="1">
        <f t="array" ref="N63">J63*INDEX(Berekening_impact[Totaal arbeidsbesparing (FTE/jaar)],MATCH(B63,IF(Berekening_impact[Doelgroep]=C63,Berekening_impact[Digitale zorgtoepassing]),0))</f>
        <v>819.96659024288124</v>
      </c>
      <c r="O63" s="398" cm="1">
        <f t="array" ref="O63">J63*INDEX(Berekening_impact[Overige kostenbesparing (totaal/jaar totaal potentieel)],MATCH(B63,IF(Berekening_impact[Doelgroep]=C63,Berekening_impact[Digitale zorgtoepassing]),0))</f>
        <v>62929712.661641821</v>
      </c>
      <c r="P63" s="398" cm="1">
        <f t="array" ref="P63">J63*INDEX(Berekening_impact[Opbrengsten door QALY''s],MATCH(B63,IF(Berekening_impact[Doelgroep]=C63,Berekening_impact[Digitale zorgtoepassing]),0))</f>
        <v>0</v>
      </c>
      <c r="Q63" s="398" cm="1">
        <f t="array" ref="Q63">J63*INDEX(Berekening_impact[Jaarlijkse kosten (totaal) - incl. schatting],MATCH(B63,IF(Berekening_impact[Doelgroep]=C63,Berekening_impact[Digitale zorgtoepassing]),0))</f>
        <v>15003906.812485242</v>
      </c>
      <c r="R63" s="398" cm="1">
        <f t="array" ref="R63">(uitkomst_doelgroep[[#This Row],[Implementatiegraad t = T + 1]]-uitkomst_doelgroep[[#This Row],[Implementatiegraad t = T]])*INDEX(Berekening_impact[Initiële investering (totaal) - incl. schatting],MATCH(B63,IF(Berekening_impact[Doelgroep]=C63,Berekening_impact[Digitale zorgtoepassing]),0))</f>
        <v>0</v>
      </c>
      <c r="S63" s="398">
        <f>uitkomst_doelgroep[[#This Row],[Arbeidsbesparing (€)]]*uitkomst_doelgroep[[#This Row],[Percentage van patiëntaantallen in Wlz (overige is Zvw)]]</f>
        <v>0</v>
      </c>
      <c r="T63" s="398">
        <f>uitkomst_doelgroep[[#This Row],[Overige besparingen (€)]]*uitkomst_doelgroep[[#This Row],[Percentage van patiëntaantallen in Wlz (overige is Zvw)]]</f>
        <v>0</v>
      </c>
      <c r="U63" s="398">
        <f>uitkomst_doelgroep[[#This Row],[Kosten (€)]]*uitkomst_doelgroep[[#This Row],[Percentage van patiëntaantallen in Wlz (overige is Zvw)]]</f>
        <v>0</v>
      </c>
      <c r="V63" s="398">
        <f>uitkomst_doelgroep[[#This Row],[Investering (cash flow) (€)]]*uitkomst_doelgroep[[#This Row],[Percentage van patiëntaantallen in Wlz (overige is Zvw)]]</f>
        <v>0</v>
      </c>
    </row>
    <row r="64" spans="1:22" x14ac:dyDescent="0.5">
      <c r="A64" s="33" t="str">
        <f>INDEX(Technologieën[Veld],MATCH(B64,Technologieën[Digitale zorgtoepassing],0))</f>
        <v>Software - Behandeling</v>
      </c>
      <c r="B64" s="33" t="s">
        <v>609</v>
      </c>
      <c r="C64" s="33" t="s">
        <v>51</v>
      </c>
      <c r="D64" s="427" cm="1">
        <f t="array" ref="D64">INDEX(Berekening_patiëntaantal[Percentage van patiëntaantallen in Wlz (overige is Zvw)],MATCH(B64,IF(Berekening_patiëntaantal[Doelgroep (zoeksleutel)]=C64,Berekening_patiëntaantal[Digitale zorgtoepassing]),0))</f>
        <v>0</v>
      </c>
      <c r="E64" s="33" t="str" cm="1">
        <f t="array" ref="E64">INDEX(Berekening_patiëntaantal[Direct toepasbaar/extrapolatie/incidentie voor QALY],MATCH(B64,IF(Berekening_patiëntaantal[Doelgroep (zoeksleutel)]=C64,Berekening_patiëntaantal[Digitale zorgtoepassing]),0))</f>
        <v>Huidige toepassing</v>
      </c>
      <c r="F64" s="43" t="s">
        <v>812</v>
      </c>
      <c r="G64" s="33" t="str">
        <f>CONCATENATE(uitkomst_doelgroep[[#This Row],[Digitale zorgtoepassing]],"_",uitkomst_doelgroep[[#This Row],[Doelgroep]],"_",uitkomst_doelgroep[[#This Row],[Uitgangssituatie/effect beleid]])</f>
        <v>(Zelf)zorgplatform + telebegeleiding_Hartfalen_Effect beleid</v>
      </c>
      <c r="H64" s="33">
        <v>2027</v>
      </c>
      <c r="I64" s="32">
        <v>5</v>
      </c>
      <c r="J64" s="406" cm="1">
        <f t="array" ref="J64">INDEX(implementatie[[2023]:[2034]],MATCH(G64, implementatie[Zoeksleutel],0),I64)</f>
        <v>0.93572925296559961</v>
      </c>
      <c r="K64" s="406" cm="1">
        <f t="array" ref="K64">INDEX(implementatie[[2023]:[2034]],MATCH(G64,implementatie[Zoeksleutel],0),I64 + 1)</f>
        <v>0.9643990297909778</v>
      </c>
      <c r="L6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45158.293748119839</v>
      </c>
      <c r="M64" s="398" cm="1">
        <f t="array" ref="M64">J64*INDEX(Berekening_impact[Totaal arbeidsbesparing (€/jaar)],MATCH(B64,IF(Berekening_impact[Doelgroep]=C64,Berekening_impact[Digitale zorgtoepassing]),0))</f>
        <v>49838906.969588228</v>
      </c>
      <c r="N64" s="397" cm="1">
        <f t="array" ref="N64">J64*INDEX(Berekening_impact[Totaal arbeidsbesparing (FTE/jaar)],MATCH(B64,IF(Berekening_impact[Doelgroep]=C64,Berekening_impact[Digitale zorgtoepassing]),0))</f>
        <v>863.76851129579973</v>
      </c>
      <c r="O64" s="398" cm="1">
        <f t="array" ref="O64">J64*INDEX(Berekening_impact[Overige kostenbesparing (totaal/jaar totaal potentieel)],MATCH(B64,IF(Berekening_impact[Doelgroep]=C64,Berekening_impact[Digitale zorgtoepassing]),0))</f>
        <v>66291364.634646721</v>
      </c>
      <c r="P64" s="398" cm="1">
        <f t="array" ref="P64">J64*INDEX(Berekening_impact[Opbrengsten door QALY''s],MATCH(B64,IF(Berekening_impact[Doelgroep]=C64,Berekening_impact[Digitale zorgtoepassing]),0))</f>
        <v>0</v>
      </c>
      <c r="Q64" s="398" cm="1">
        <f t="array" ref="Q64">J64*INDEX(Berekening_impact[Jaarlijkse kosten (totaal) - incl. schatting],MATCH(B64,IF(Berekening_impact[Doelgroep]=C64,Berekening_impact[Digitale zorgtoepassing]),0))</f>
        <v>15805402.811841942</v>
      </c>
      <c r="R64" s="398" cm="1">
        <f t="array" ref="R64">(uitkomst_doelgroep[[#This Row],[Implementatiegraad t = T + 1]]-uitkomst_doelgroep[[#This Row],[Implementatiegraad t = T]])*INDEX(Berekening_impact[Initiële investering (totaal) - incl. schatting],MATCH(B64,IF(Berekening_impact[Doelgroep]=C64,Berekening_impact[Digitale zorgtoepassing]),0))</f>
        <v>0</v>
      </c>
      <c r="S64" s="398">
        <f>uitkomst_doelgroep[[#This Row],[Arbeidsbesparing (€)]]*uitkomst_doelgroep[[#This Row],[Percentage van patiëntaantallen in Wlz (overige is Zvw)]]</f>
        <v>0</v>
      </c>
      <c r="T64" s="398">
        <f>uitkomst_doelgroep[[#This Row],[Overige besparingen (€)]]*uitkomst_doelgroep[[#This Row],[Percentage van patiëntaantallen in Wlz (overige is Zvw)]]</f>
        <v>0</v>
      </c>
      <c r="U64" s="398">
        <f>uitkomst_doelgroep[[#This Row],[Kosten (€)]]*uitkomst_doelgroep[[#This Row],[Percentage van patiëntaantallen in Wlz (overige is Zvw)]]</f>
        <v>0</v>
      </c>
      <c r="V64" s="398">
        <f>uitkomst_doelgroep[[#This Row],[Investering (cash flow) (€)]]*uitkomst_doelgroep[[#This Row],[Percentage van patiëntaantallen in Wlz (overige is Zvw)]]</f>
        <v>0</v>
      </c>
    </row>
    <row r="65" spans="1:22" x14ac:dyDescent="0.5">
      <c r="A65" s="33" t="str">
        <f>INDEX(Technologieën[Veld],MATCH(B65,Technologieën[Digitale zorgtoepassing],0))</f>
        <v>Software - Behandeling</v>
      </c>
      <c r="B65" s="33" t="s">
        <v>609</v>
      </c>
      <c r="C65" s="33" t="s">
        <v>51</v>
      </c>
      <c r="D65" s="427" cm="1">
        <f t="array" ref="D65">INDEX(Berekening_patiëntaantal[Percentage van patiëntaantallen in Wlz (overige is Zvw)],MATCH(B65,IF(Berekening_patiëntaantal[Doelgroep (zoeksleutel)]=C65,Berekening_patiëntaantal[Digitale zorgtoepassing]),0))</f>
        <v>0</v>
      </c>
      <c r="E65" s="33" t="str" cm="1">
        <f t="array" ref="E65">INDEX(Berekening_patiëntaantal[Direct toepasbaar/extrapolatie/incidentie voor QALY],MATCH(B65,IF(Berekening_patiëntaantal[Doelgroep (zoeksleutel)]=C65,Berekening_patiëntaantal[Digitale zorgtoepassing]),0))</f>
        <v>Huidige toepassing</v>
      </c>
      <c r="F65" s="43" t="s">
        <v>812</v>
      </c>
      <c r="G65" s="33" t="str">
        <f>CONCATENATE(uitkomst_doelgroep[[#This Row],[Digitale zorgtoepassing]],"_",uitkomst_doelgroep[[#This Row],[Doelgroep]],"_",uitkomst_doelgroep[[#This Row],[Uitgangssituatie/effect beleid]])</f>
        <v>(Zelf)zorgplatform + telebegeleiding_Hartfalen_Effect beleid</v>
      </c>
      <c r="H65" s="33">
        <v>2028</v>
      </c>
      <c r="I65" s="32">
        <v>6</v>
      </c>
      <c r="J65" s="406" cm="1">
        <f t="array" ref="J65">INDEX(implementatie[[2023]:[2034]],MATCH(G65, implementatie[Zoeksleutel],0),I65)</f>
        <v>0.9643990297909778</v>
      </c>
      <c r="K65" s="406" cm="1">
        <f t="array" ref="K65">INDEX(implementatie[[2023]:[2034]],MATCH(G65,implementatie[Zoeksleutel],0),I65 + 1)</f>
        <v>0.98073914755434266</v>
      </c>
      <c r="L6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46541.897177712592</v>
      </c>
      <c r="M65" s="398" cm="1">
        <f t="array" ref="M65">J65*INDEX(Berekening_impact[Totaal arbeidsbesparing (€/jaar)],MATCH(B65,IF(Berekening_impact[Doelgroep]=C65,Berekening_impact[Digitale zorgtoepassing]),0))</f>
        <v>51365919.548825622</v>
      </c>
      <c r="N65" s="397" cm="1">
        <f t="array" ref="N65">J65*INDEX(Berekening_impact[Totaal arbeidsbesparing (FTE/jaar)],MATCH(B65,IF(Berekening_impact[Doelgroep]=C65,Berekening_impact[Digitale zorgtoepassing]),0))</f>
        <v>890.23348539931862</v>
      </c>
      <c r="O65" s="398" cm="1">
        <f t="array" ref="O65">J65*INDEX(Berekening_impact[Overige kostenbesparing (totaal/jaar totaal potentieel)],MATCH(B65,IF(Berekening_impact[Doelgroep]=C65,Berekening_impact[Digitale zorgtoepassing]),0))</f>
        <v>68322463.505929902</v>
      </c>
      <c r="P65" s="398" cm="1">
        <f t="array" ref="P65">J65*INDEX(Berekening_impact[Opbrengsten door QALY''s],MATCH(B65,IF(Berekening_impact[Doelgroep]=C65,Berekening_impact[Digitale zorgtoepassing]),0))</f>
        <v>0</v>
      </c>
      <c r="Q65" s="398" cm="1">
        <f t="array" ref="Q65">J65*INDEX(Berekening_impact[Jaarlijkse kosten (totaal) - incl. schatting],MATCH(B65,IF(Berekening_impact[Doelgroep]=C65,Berekening_impact[Digitale zorgtoepassing]),0))</f>
        <v>16289664.012199406</v>
      </c>
      <c r="R65" s="398" cm="1">
        <f t="array" ref="R65">(uitkomst_doelgroep[[#This Row],[Implementatiegraad t = T + 1]]-uitkomst_doelgroep[[#This Row],[Implementatiegraad t = T]])*INDEX(Berekening_impact[Initiële investering (totaal) - incl. schatting],MATCH(B65,IF(Berekening_impact[Doelgroep]=C65,Berekening_impact[Digitale zorgtoepassing]),0))</f>
        <v>0</v>
      </c>
      <c r="S65" s="398">
        <f>uitkomst_doelgroep[[#This Row],[Arbeidsbesparing (€)]]*uitkomst_doelgroep[[#This Row],[Percentage van patiëntaantallen in Wlz (overige is Zvw)]]</f>
        <v>0</v>
      </c>
      <c r="T65" s="398">
        <f>uitkomst_doelgroep[[#This Row],[Overige besparingen (€)]]*uitkomst_doelgroep[[#This Row],[Percentage van patiëntaantallen in Wlz (overige is Zvw)]]</f>
        <v>0</v>
      </c>
      <c r="U65" s="398">
        <f>uitkomst_doelgroep[[#This Row],[Kosten (€)]]*uitkomst_doelgroep[[#This Row],[Percentage van patiëntaantallen in Wlz (overige is Zvw)]]</f>
        <v>0</v>
      </c>
      <c r="V65" s="398">
        <f>uitkomst_doelgroep[[#This Row],[Investering (cash flow) (€)]]*uitkomst_doelgroep[[#This Row],[Percentage van patiëntaantallen in Wlz (overige is Zvw)]]</f>
        <v>0</v>
      </c>
    </row>
    <row r="66" spans="1:22" x14ac:dyDescent="0.5">
      <c r="A66" s="33" t="str">
        <f>INDEX(Technologieën[Veld],MATCH(B66,Technologieën[Digitale zorgtoepassing],0))</f>
        <v>Software - Behandeling</v>
      </c>
      <c r="B66" s="33" t="s">
        <v>609</v>
      </c>
      <c r="C66" s="33" t="s">
        <v>51</v>
      </c>
      <c r="D66" s="427" cm="1">
        <f t="array" ref="D66">INDEX(Berekening_patiëntaantal[Percentage van patiëntaantallen in Wlz (overige is Zvw)],MATCH(B66,IF(Berekening_patiëntaantal[Doelgroep (zoeksleutel)]=C66,Berekening_patiëntaantal[Digitale zorgtoepassing]),0))</f>
        <v>0</v>
      </c>
      <c r="E66" s="33" t="str" cm="1">
        <f t="array" ref="E66">INDEX(Berekening_patiëntaantal[Direct toepasbaar/extrapolatie/incidentie voor QALY],MATCH(B66,IF(Berekening_patiëntaantal[Doelgroep (zoeksleutel)]=C66,Berekening_patiëntaantal[Digitale zorgtoepassing]),0))</f>
        <v>Huidige toepassing</v>
      </c>
      <c r="F66" s="43" t="s">
        <v>812</v>
      </c>
      <c r="G66" s="33" t="str">
        <f>CONCATENATE(uitkomst_doelgroep[[#This Row],[Digitale zorgtoepassing]],"_",uitkomst_doelgroep[[#This Row],[Doelgroep]],"_",uitkomst_doelgroep[[#This Row],[Uitgangssituatie/effect beleid]])</f>
        <v>(Zelf)zorgplatform + telebegeleiding_Hartfalen_Effect beleid</v>
      </c>
      <c r="H66" s="33">
        <v>2029</v>
      </c>
      <c r="I66" s="32">
        <v>7</v>
      </c>
      <c r="J66" s="406" cm="1">
        <f t="array" ref="J66">INDEX(implementatie[[2023]:[2034]],MATCH(G66, implementatie[Zoeksleutel],0),I66)</f>
        <v>0.98073914755434266</v>
      </c>
      <c r="K66" s="406" cm="1">
        <f t="array" ref="K66">INDEX(implementatie[[2023]:[2034]],MATCH(G66,implementatie[Zoeksleutel],0),I66 + 1)</f>
        <v>0.98972111126940987</v>
      </c>
      <c r="L6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47330.471260972576</v>
      </c>
      <c r="M66" s="398" cm="1">
        <f t="array" ref="M66">J66*INDEX(Berekening_impact[Totaal arbeidsbesparing (€/jaar)],MATCH(B66,IF(Berekening_impact[Doelgroep]=C66,Berekening_impact[Digitale zorgtoepassing]),0))</f>
        <v>52236228.568768591</v>
      </c>
      <c r="N66" s="397" cm="1">
        <f t="array" ref="N66">J66*INDEX(Berekening_impact[Totaal arbeidsbesparing (FTE/jaar)],MATCH(B66,IF(Berekening_impact[Doelgroep]=C66,Berekening_impact[Digitale zorgtoepassing]),0))</f>
        <v>905.3169928884007</v>
      </c>
      <c r="O66" s="398" cm="1">
        <f t="array" ref="O66">J66*INDEX(Berekening_impact[Overige kostenbesparing (totaal/jaar totaal potentieel)],MATCH(B66,IF(Berekening_impact[Doelgroep]=C66,Berekening_impact[Digitale zorgtoepassing]),0))</f>
        <v>69480072.612828389</v>
      </c>
      <c r="P66" s="398" cm="1">
        <f t="array" ref="P66">J66*INDEX(Berekening_impact[Opbrengsten door QALY''s],MATCH(B66,IF(Berekening_impact[Doelgroep]=C66,Berekening_impact[Digitale zorgtoepassing]),0))</f>
        <v>0</v>
      </c>
      <c r="Q66" s="398" cm="1">
        <f t="array" ref="Q66">J66*INDEX(Berekening_impact[Jaarlijkse kosten (totaal) - incl. schatting],MATCH(B66,IF(Berekening_impact[Doelgroep]=C66,Berekening_impact[Digitale zorgtoepassing]),0))</f>
        <v>16565664.941340402</v>
      </c>
      <c r="R66" s="398" cm="1">
        <f t="array" ref="R66">(uitkomst_doelgroep[[#This Row],[Implementatiegraad t = T + 1]]-uitkomst_doelgroep[[#This Row],[Implementatiegraad t = T]])*INDEX(Berekening_impact[Initiële investering (totaal) - incl. schatting],MATCH(B66,IF(Berekening_impact[Doelgroep]=C66,Berekening_impact[Digitale zorgtoepassing]),0))</f>
        <v>0</v>
      </c>
      <c r="S66" s="398">
        <f>uitkomst_doelgroep[[#This Row],[Arbeidsbesparing (€)]]*uitkomst_doelgroep[[#This Row],[Percentage van patiëntaantallen in Wlz (overige is Zvw)]]</f>
        <v>0</v>
      </c>
      <c r="T66" s="398">
        <f>uitkomst_doelgroep[[#This Row],[Overige besparingen (€)]]*uitkomst_doelgroep[[#This Row],[Percentage van patiëntaantallen in Wlz (overige is Zvw)]]</f>
        <v>0</v>
      </c>
      <c r="U66" s="398">
        <f>uitkomst_doelgroep[[#This Row],[Kosten (€)]]*uitkomst_doelgroep[[#This Row],[Percentage van patiëntaantallen in Wlz (overige is Zvw)]]</f>
        <v>0</v>
      </c>
      <c r="V66" s="398">
        <f>uitkomst_doelgroep[[#This Row],[Investering (cash flow) (€)]]*uitkomst_doelgroep[[#This Row],[Percentage van patiëntaantallen in Wlz (overige is Zvw)]]</f>
        <v>0</v>
      </c>
    </row>
    <row r="67" spans="1:22" x14ac:dyDescent="0.5">
      <c r="A67" s="33" t="str">
        <f>INDEX(Technologieën[Veld],MATCH(B67,Technologieën[Digitale zorgtoepassing],0))</f>
        <v>Software - Behandeling</v>
      </c>
      <c r="B67" s="33" t="s">
        <v>609</v>
      </c>
      <c r="C67" s="33" t="s">
        <v>51</v>
      </c>
      <c r="D67" s="427" cm="1">
        <f t="array" ref="D67">INDEX(Berekening_patiëntaantal[Percentage van patiëntaantallen in Wlz (overige is Zvw)],MATCH(B67,IF(Berekening_patiëntaantal[Doelgroep (zoeksleutel)]=C67,Berekening_patiëntaantal[Digitale zorgtoepassing]),0))</f>
        <v>0</v>
      </c>
      <c r="E67" s="33" t="str" cm="1">
        <f t="array" ref="E67">INDEX(Berekening_patiëntaantal[Direct toepasbaar/extrapolatie/incidentie voor QALY],MATCH(B67,IF(Berekening_patiëntaantal[Doelgroep (zoeksleutel)]=C67,Berekening_patiëntaantal[Digitale zorgtoepassing]),0))</f>
        <v>Huidige toepassing</v>
      </c>
      <c r="F67" s="43" t="s">
        <v>812</v>
      </c>
      <c r="G67" s="33" t="str">
        <f>CONCATENATE(uitkomst_doelgroep[[#This Row],[Digitale zorgtoepassing]],"_",uitkomst_doelgroep[[#This Row],[Doelgroep]],"_",uitkomst_doelgroep[[#This Row],[Uitgangssituatie/effect beleid]])</f>
        <v>(Zelf)zorgplatform + telebegeleiding_Hartfalen_Effect beleid</v>
      </c>
      <c r="H67" s="33">
        <v>2030</v>
      </c>
      <c r="I67" s="32">
        <v>8</v>
      </c>
      <c r="J67" s="406" cm="1">
        <f t="array" ref="J67">INDEX(implementatie[[2023]:[2034]],MATCH(G67, implementatie[Zoeksleutel],0),I67)</f>
        <v>0.98972111126940987</v>
      </c>
      <c r="K67" s="406" cm="1">
        <f t="array" ref="K67">INDEX(implementatie[[2023]:[2034]],MATCH(G67,implementatie[Zoeksleutel],0),I67 + 1)</f>
        <v>0.99455603841734896</v>
      </c>
      <c r="L6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47763.94082986172</v>
      </c>
      <c r="M67" s="398" cm="1">
        <f t="array" ref="M67">J67*INDEX(Berekening_impact[Totaal arbeidsbesparing (€/jaar)],MATCH(B67,IF(Berekening_impact[Doelgroep]=C67,Berekening_impact[Digitale zorgtoepassing]),0))</f>
        <v>52714626.83683674</v>
      </c>
      <c r="N67" s="397" cm="1">
        <f t="array" ref="N67">J67*INDEX(Berekening_impact[Totaal arbeidsbesparing (FTE/jaar)],MATCH(B67,IF(Berekening_impact[Doelgroep]=C67,Berekening_impact[Digitale zorgtoepassing]),0))</f>
        <v>913.60821324096321</v>
      </c>
      <c r="O67" s="398" cm="1">
        <f t="array" ref="O67">J67*INDEX(Berekening_impact[Overige kostenbesparing (totaal/jaar totaal potentieel)],MATCH(B67,IF(Berekening_impact[Doelgroep]=C67,Berekening_impact[Digitale zorgtoepassing]),0))</f>
        <v>70116396.239436835</v>
      </c>
      <c r="P67" s="398" cm="1">
        <f t="array" ref="P67">J67*INDEX(Berekening_impact[Opbrengsten door QALY''s],MATCH(B67,IF(Berekening_impact[Doelgroep]=C67,Berekening_impact[Digitale zorgtoepassing]),0))</f>
        <v>0</v>
      </c>
      <c r="Q67" s="398" cm="1">
        <f t="array" ref="Q67">J67*INDEX(Berekening_impact[Jaarlijkse kosten (totaal) - incl. schatting],MATCH(B67,IF(Berekening_impact[Doelgroep]=C67,Berekening_impact[Digitale zorgtoepassing]),0))</f>
        <v>16717379.290451603</v>
      </c>
      <c r="R67" s="398" cm="1">
        <f t="array" ref="R67">(uitkomst_doelgroep[[#This Row],[Implementatiegraad t = T + 1]]-uitkomst_doelgroep[[#This Row],[Implementatiegraad t = T]])*INDEX(Berekening_impact[Initiële investering (totaal) - incl. schatting],MATCH(B67,IF(Berekening_impact[Doelgroep]=C67,Berekening_impact[Digitale zorgtoepassing]),0))</f>
        <v>0</v>
      </c>
      <c r="S67" s="398">
        <f>uitkomst_doelgroep[[#This Row],[Arbeidsbesparing (€)]]*uitkomst_doelgroep[[#This Row],[Percentage van patiëntaantallen in Wlz (overige is Zvw)]]</f>
        <v>0</v>
      </c>
      <c r="T67" s="398">
        <f>uitkomst_doelgroep[[#This Row],[Overige besparingen (€)]]*uitkomst_doelgroep[[#This Row],[Percentage van patiëntaantallen in Wlz (overige is Zvw)]]</f>
        <v>0</v>
      </c>
      <c r="U67" s="398">
        <f>uitkomst_doelgroep[[#This Row],[Kosten (€)]]*uitkomst_doelgroep[[#This Row],[Percentage van patiëntaantallen in Wlz (overige is Zvw)]]</f>
        <v>0</v>
      </c>
      <c r="V67" s="398">
        <f>uitkomst_doelgroep[[#This Row],[Investering (cash flow) (€)]]*uitkomst_doelgroep[[#This Row],[Percentage van patiëntaantallen in Wlz (overige is Zvw)]]</f>
        <v>0</v>
      </c>
    </row>
    <row r="68" spans="1:22" x14ac:dyDescent="0.5">
      <c r="A68" s="33" t="str">
        <f>INDEX(Technologieën[Veld],MATCH(B68,Technologieën[Digitale zorgtoepassing],0))</f>
        <v>Software - Behandeling</v>
      </c>
      <c r="B68" s="33" t="s">
        <v>609</v>
      </c>
      <c r="C68" s="33" t="s">
        <v>51</v>
      </c>
      <c r="D68" s="427" cm="1">
        <f t="array" ref="D68">INDEX(Berekening_patiëntaantal[Percentage van patiëntaantallen in Wlz (overige is Zvw)],MATCH(B68,IF(Berekening_patiëntaantal[Doelgroep (zoeksleutel)]=C68,Berekening_patiëntaantal[Digitale zorgtoepassing]),0))</f>
        <v>0</v>
      </c>
      <c r="E68" s="33" t="str" cm="1">
        <f t="array" ref="E68">INDEX(Berekening_patiëntaantal[Direct toepasbaar/extrapolatie/incidentie voor QALY],MATCH(B68,IF(Berekening_patiëntaantal[Doelgroep (zoeksleutel)]=C68,Berekening_patiëntaantal[Digitale zorgtoepassing]),0))</f>
        <v>Huidige toepassing</v>
      </c>
      <c r="F68" s="43" t="s">
        <v>812</v>
      </c>
      <c r="G68" s="33" t="str">
        <f>CONCATENATE(uitkomst_doelgroep[[#This Row],[Digitale zorgtoepassing]],"_",uitkomst_doelgroep[[#This Row],[Doelgroep]],"_",uitkomst_doelgroep[[#This Row],[Uitgangssituatie/effect beleid]])</f>
        <v>(Zelf)zorgplatform + telebegeleiding_Hartfalen_Effect beleid</v>
      </c>
      <c r="H68" s="33">
        <v>2031</v>
      </c>
      <c r="I68" s="32">
        <v>9</v>
      </c>
      <c r="J68" s="406" cm="1">
        <f t="array" ref="J68">INDEX(implementatie[[2023]:[2034]],MATCH(G68, implementatie[Zoeksleutel],0),I68)</f>
        <v>0.99455603841734896</v>
      </c>
      <c r="K68" s="406" cm="1">
        <f t="array" ref="K68">INDEX(implementatie[[2023]:[2034]],MATCH(G68,implementatie[Zoeksleutel],0),I68 + 1)</f>
        <v>0.9971285836461371</v>
      </c>
      <c r="L6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47997.27441402126</v>
      </c>
      <c r="M68" s="398" cm="1">
        <f t="array" ref="M68">J68*INDEX(Berekening_impact[Totaal arbeidsbesparing (€/jaar)],MATCH(B68,IF(Berekening_impact[Doelgroep]=C68,Berekening_impact[Digitale zorgtoepassing]),0))</f>
        <v>52972145.220030576</v>
      </c>
      <c r="N68" s="397" cm="1">
        <f t="array" ref="N68">J68*INDEX(Berekening_impact[Totaal arbeidsbesparing (FTE/jaar)],MATCH(B68,IF(Berekening_impact[Doelgroep]=C68,Berekening_impact[Digitale zorgtoepassing]),0))</f>
        <v>918.07131815252092</v>
      </c>
      <c r="O68" s="398" cm="1">
        <f t="array" ref="O68">J68*INDEX(Berekening_impact[Overige kostenbesparing (totaal/jaar totaal potentieel)],MATCH(B68,IF(Berekening_impact[Doelgroep]=C68,Berekening_impact[Digitale zorgtoepassing]),0))</f>
        <v>70458924.719261721</v>
      </c>
      <c r="P68" s="398" cm="1">
        <f t="array" ref="P68">J68*INDEX(Berekening_impact[Opbrengsten door QALY''s],MATCH(B68,IF(Berekening_impact[Doelgroep]=C68,Berekening_impact[Digitale zorgtoepassing]),0))</f>
        <v>0</v>
      </c>
      <c r="Q68" s="398" cm="1">
        <f t="array" ref="Q68">J68*INDEX(Berekening_impact[Jaarlijkse kosten (totaal) - incl. schatting],MATCH(B68,IF(Berekening_impact[Doelgroep]=C68,Berekening_impact[Digitale zorgtoepassing]),0))</f>
        <v>16799046.04490744</v>
      </c>
      <c r="R68" s="398" cm="1">
        <f t="array" ref="R68">(uitkomst_doelgroep[[#This Row],[Implementatiegraad t = T + 1]]-uitkomst_doelgroep[[#This Row],[Implementatiegraad t = T]])*INDEX(Berekening_impact[Initiële investering (totaal) - incl. schatting],MATCH(B68,IF(Berekening_impact[Doelgroep]=C68,Berekening_impact[Digitale zorgtoepassing]),0))</f>
        <v>0</v>
      </c>
      <c r="S68" s="398">
        <f>uitkomst_doelgroep[[#This Row],[Arbeidsbesparing (€)]]*uitkomst_doelgroep[[#This Row],[Percentage van patiëntaantallen in Wlz (overige is Zvw)]]</f>
        <v>0</v>
      </c>
      <c r="T68" s="398">
        <f>uitkomst_doelgroep[[#This Row],[Overige besparingen (€)]]*uitkomst_doelgroep[[#This Row],[Percentage van patiëntaantallen in Wlz (overige is Zvw)]]</f>
        <v>0</v>
      </c>
      <c r="U68" s="398">
        <f>uitkomst_doelgroep[[#This Row],[Kosten (€)]]*uitkomst_doelgroep[[#This Row],[Percentage van patiëntaantallen in Wlz (overige is Zvw)]]</f>
        <v>0</v>
      </c>
      <c r="V68" s="398">
        <f>uitkomst_doelgroep[[#This Row],[Investering (cash flow) (€)]]*uitkomst_doelgroep[[#This Row],[Percentage van patiëntaantallen in Wlz (overige is Zvw)]]</f>
        <v>0</v>
      </c>
    </row>
    <row r="69" spans="1:22" x14ac:dyDescent="0.5">
      <c r="A69" s="33" t="str">
        <f>INDEX(Technologieën[Veld],MATCH(B69,Technologieën[Digitale zorgtoepassing],0))</f>
        <v>Software - Behandeling</v>
      </c>
      <c r="B69" s="33" t="s">
        <v>609</v>
      </c>
      <c r="C69" s="33" t="s">
        <v>51</v>
      </c>
      <c r="D69" s="427" cm="1">
        <f t="array" ref="D69">INDEX(Berekening_patiëntaantal[Percentage van patiëntaantallen in Wlz (overige is Zvw)],MATCH(B69,IF(Berekening_patiëntaantal[Doelgroep (zoeksleutel)]=C69,Berekening_patiëntaantal[Digitale zorgtoepassing]),0))</f>
        <v>0</v>
      </c>
      <c r="E69" s="33" t="str" cm="1">
        <f t="array" ref="E69">INDEX(Berekening_patiëntaantal[Direct toepasbaar/extrapolatie/incidentie voor QALY],MATCH(B69,IF(Berekening_patiëntaantal[Doelgroep (zoeksleutel)]=C69,Berekening_patiëntaantal[Digitale zorgtoepassing]),0))</f>
        <v>Huidige toepassing</v>
      </c>
      <c r="F69" s="43" t="s">
        <v>812</v>
      </c>
      <c r="G69" s="33" t="str">
        <f>CONCATENATE(uitkomst_doelgroep[[#This Row],[Digitale zorgtoepassing]],"_",uitkomst_doelgroep[[#This Row],[Doelgroep]],"_",uitkomst_doelgroep[[#This Row],[Uitgangssituatie/effect beleid]])</f>
        <v>(Zelf)zorgplatform + telebegeleiding_Hartfalen_Effect beleid</v>
      </c>
      <c r="H69" s="33">
        <v>2032</v>
      </c>
      <c r="I69" s="32">
        <v>10</v>
      </c>
      <c r="J69" s="406" cm="1">
        <f t="array" ref="J69">INDEX(implementatie[[2023]:[2034]],MATCH(G69, implementatie[Zoeksleutel],0),I69)</f>
        <v>0.9971285836461371</v>
      </c>
      <c r="K69" s="406" cm="1">
        <f t="array" ref="K69">INDEX(implementatie[[2023]:[2034]],MATCH(G69,implementatie[Zoeksleutel],0),I69 + 1)</f>
        <v>0.99848879614987718</v>
      </c>
      <c r="L6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48121.42544676258</v>
      </c>
      <c r="M69" s="398" cm="1">
        <f t="array" ref="M69">J69*INDEX(Berekening_impact[Totaal arbeidsbesparing (€/jaar)],MATCH(B69,IF(Berekening_impact[Doelgroep]=C69,Berekening_impact[Digitale zorgtoepassing]),0))</f>
        <v>53109164.386553675</v>
      </c>
      <c r="N69" s="397" cm="1">
        <f t="array" ref="N69">J69*INDEX(Berekening_impact[Totaal arbeidsbesparing (FTE/jaar)],MATCH(B69,IF(Berekening_impact[Doelgroep]=C69,Berekening_impact[Digitale zorgtoepassing]),0))</f>
        <v>920.44602595979416</v>
      </c>
      <c r="O69" s="398" cm="1">
        <f t="array" ref="O69">J69*INDEX(Berekening_impact[Overige kostenbesparing (totaal/jaar totaal potentieel)],MATCH(B69,IF(Berekening_impact[Doelgroep]=C69,Berekening_impact[Digitale zorgtoepassing]),0))</f>
        <v>70641175.656977117</v>
      </c>
      <c r="P69" s="398" cm="1">
        <f t="array" ref="P69">J69*INDEX(Berekening_impact[Opbrengsten door QALY''s],MATCH(B69,IF(Berekening_impact[Doelgroep]=C69,Berekening_impact[Digitale zorgtoepassing]),0))</f>
        <v>0</v>
      </c>
      <c r="Q69" s="398" cm="1">
        <f t="array" ref="Q69">J69*INDEX(Berekening_impact[Jaarlijkse kosten (totaal) - incl. schatting],MATCH(B69,IF(Berekening_impact[Doelgroep]=C69,Berekening_impact[Digitale zorgtoepassing]),0))</f>
        <v>16842498.906366903</v>
      </c>
      <c r="R69" s="398" cm="1">
        <f t="array" ref="R69">(uitkomst_doelgroep[[#This Row],[Implementatiegraad t = T + 1]]-uitkomst_doelgroep[[#This Row],[Implementatiegraad t = T]])*INDEX(Berekening_impact[Initiële investering (totaal) - incl. schatting],MATCH(B69,IF(Berekening_impact[Doelgroep]=C69,Berekening_impact[Digitale zorgtoepassing]),0))</f>
        <v>0</v>
      </c>
      <c r="S69" s="398">
        <f>uitkomst_doelgroep[[#This Row],[Arbeidsbesparing (€)]]*uitkomst_doelgroep[[#This Row],[Percentage van patiëntaantallen in Wlz (overige is Zvw)]]</f>
        <v>0</v>
      </c>
      <c r="T69" s="398">
        <f>uitkomst_doelgroep[[#This Row],[Overige besparingen (€)]]*uitkomst_doelgroep[[#This Row],[Percentage van patiëntaantallen in Wlz (overige is Zvw)]]</f>
        <v>0</v>
      </c>
      <c r="U69" s="398">
        <f>uitkomst_doelgroep[[#This Row],[Kosten (€)]]*uitkomst_doelgroep[[#This Row],[Percentage van patiëntaantallen in Wlz (overige is Zvw)]]</f>
        <v>0</v>
      </c>
      <c r="V69" s="398">
        <f>uitkomst_doelgroep[[#This Row],[Investering (cash flow) (€)]]*uitkomst_doelgroep[[#This Row],[Percentage van patiëntaantallen in Wlz (overige is Zvw)]]</f>
        <v>0</v>
      </c>
    </row>
    <row r="70" spans="1:22" x14ac:dyDescent="0.5">
      <c r="A70" s="33" t="str">
        <f>INDEX(Technologieën[Veld],MATCH(B70,Technologieën[Digitale zorgtoepassing],0))</f>
        <v>Software - Behandeling</v>
      </c>
      <c r="B70" s="33" t="s">
        <v>609</v>
      </c>
      <c r="C70" s="33" t="s">
        <v>51</v>
      </c>
      <c r="D70" s="427" cm="1">
        <f t="array" ref="D70">INDEX(Berekening_patiëntaantal[Percentage van patiëntaantallen in Wlz (overige is Zvw)],MATCH(B70,IF(Berekening_patiëntaantal[Doelgroep (zoeksleutel)]=C70,Berekening_patiëntaantal[Digitale zorgtoepassing]),0))</f>
        <v>0</v>
      </c>
      <c r="E70" s="33" t="str" cm="1">
        <f t="array" ref="E70">INDEX(Berekening_patiëntaantal[Direct toepasbaar/extrapolatie/incidentie voor QALY],MATCH(B70,IF(Berekening_patiëntaantal[Doelgroep (zoeksleutel)]=C70,Berekening_patiëntaantal[Digitale zorgtoepassing]),0))</f>
        <v>Huidige toepassing</v>
      </c>
      <c r="F70" s="43" t="s">
        <v>812</v>
      </c>
      <c r="G70" s="33" t="str">
        <f>CONCATENATE(uitkomst_doelgroep[[#This Row],[Digitale zorgtoepassing]],"_",uitkomst_doelgroep[[#This Row],[Doelgroep]],"_",uitkomst_doelgroep[[#This Row],[Uitgangssituatie/effect beleid]])</f>
        <v>(Zelf)zorgplatform + telebegeleiding_Hartfalen_Effect beleid</v>
      </c>
      <c r="H70" s="33">
        <v>2033</v>
      </c>
      <c r="I70" s="32">
        <v>11</v>
      </c>
      <c r="J70" s="406" cm="1">
        <f t="array" ref="J70">INDEX(implementatie[[2023]:[2034]],MATCH(G70, implementatie[Zoeksleutel],0),I70)</f>
        <v>0.99848879614987718</v>
      </c>
      <c r="K70" s="406" cm="1">
        <f t="array" ref="K70">INDEX(implementatie[[2023]:[2034]],MATCH(G70,implementatie[Zoeksleutel],0),I70 + 1)</f>
        <v>0.99920559029700107</v>
      </c>
      <c r="L7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48187.069302193071</v>
      </c>
      <c r="M70" s="398" cm="1">
        <f t="array" ref="M70">J70*INDEX(Berekening_impact[Totaal arbeidsbesparing (€/jaar)],MATCH(B70,IF(Berekening_impact[Doelgroep]=C70,Berekening_impact[Digitale zorgtoepassing]),0))</f>
        <v>53181612.163747691</v>
      </c>
      <c r="N70" s="397" cm="1">
        <f t="array" ref="N70">J70*INDEX(Berekening_impact[Totaal arbeidsbesparing (FTE/jaar)],MATCH(B70,IF(Berekening_impact[Doelgroep]=C70,Berekening_impact[Digitale zorgtoepassing]),0))</f>
        <v>921.70163352542056</v>
      </c>
      <c r="O70" s="398" cm="1">
        <f t="array" ref="O70">J70*INDEX(Berekening_impact[Overige kostenbesparing (totaal/jaar totaal potentieel)],MATCH(B70,IF(Berekening_impact[Doelgroep]=C70,Berekening_impact[Digitale zorgtoepassing]),0))</f>
        <v>70737539.367719591</v>
      </c>
      <c r="P70" s="398" cm="1">
        <f t="array" ref="P70">J70*INDEX(Berekening_impact[Opbrengsten door QALY''s],MATCH(B70,IF(Berekening_impact[Doelgroep]=C70,Berekening_impact[Digitale zorgtoepassing]),0))</f>
        <v>0</v>
      </c>
      <c r="Q70" s="398" cm="1">
        <f t="array" ref="Q70">J70*INDEX(Berekening_impact[Jaarlijkse kosten (totaal) - incl. schatting],MATCH(B70,IF(Berekening_impact[Doelgroep]=C70,Berekening_impact[Digitale zorgtoepassing]),0))</f>
        <v>16865474.255767576</v>
      </c>
      <c r="R70" s="398" cm="1">
        <f t="array" ref="R70">(uitkomst_doelgroep[[#This Row],[Implementatiegraad t = T + 1]]-uitkomst_doelgroep[[#This Row],[Implementatiegraad t = T]])*INDEX(Berekening_impact[Initiële investering (totaal) - incl. schatting],MATCH(B70,IF(Berekening_impact[Doelgroep]=C70,Berekening_impact[Digitale zorgtoepassing]),0))</f>
        <v>0</v>
      </c>
      <c r="S70" s="398">
        <f>uitkomst_doelgroep[[#This Row],[Arbeidsbesparing (€)]]*uitkomst_doelgroep[[#This Row],[Percentage van patiëntaantallen in Wlz (overige is Zvw)]]</f>
        <v>0</v>
      </c>
      <c r="T70" s="398">
        <f>uitkomst_doelgroep[[#This Row],[Overige besparingen (€)]]*uitkomst_doelgroep[[#This Row],[Percentage van patiëntaantallen in Wlz (overige is Zvw)]]</f>
        <v>0</v>
      </c>
      <c r="U70" s="398">
        <f>uitkomst_doelgroep[[#This Row],[Kosten (€)]]*uitkomst_doelgroep[[#This Row],[Percentage van patiëntaantallen in Wlz (overige is Zvw)]]</f>
        <v>0</v>
      </c>
      <c r="V70" s="398">
        <f>uitkomst_doelgroep[[#This Row],[Investering (cash flow) (€)]]*uitkomst_doelgroep[[#This Row],[Percentage van patiëntaantallen in Wlz (overige is Zvw)]]</f>
        <v>0</v>
      </c>
    </row>
    <row r="71" spans="1:22" x14ac:dyDescent="0.5">
      <c r="A71" s="33" t="str">
        <f>INDEX(Technologieën[Veld],MATCH(B71,Technologieën[Digitale zorgtoepassing],0))</f>
        <v>Software - Behandeling</v>
      </c>
      <c r="B71" s="33" t="s">
        <v>609</v>
      </c>
      <c r="C71" s="33" t="s">
        <v>94</v>
      </c>
      <c r="D71" s="427" cm="1">
        <f t="array" ref="D71">INDEX(Berekening_patiëntaantal[Percentage van patiëntaantallen in Wlz (overige is Zvw)],MATCH(B71,IF(Berekening_patiëntaantal[Doelgroep (zoeksleutel)]=C71,Berekening_patiëntaantal[Digitale zorgtoepassing]),0))</f>
        <v>0</v>
      </c>
      <c r="E71" s="33" t="str" cm="1">
        <f t="array" ref="E71">INDEX(Berekening_patiëntaantal[Direct toepasbaar/extrapolatie/incidentie voor QALY],MATCH(B71,IF(Berekening_patiëntaantal[Doelgroep (zoeksleutel)]=C71,Berekening_patiëntaantal[Digitale zorgtoepassing]),0))</f>
        <v>Huidige toepassing</v>
      </c>
      <c r="F71" s="43" t="s">
        <v>812</v>
      </c>
      <c r="G71" s="33" t="str">
        <f>CONCATENATE(uitkomst_doelgroep[[#This Row],[Digitale zorgtoepassing]],"_",uitkomst_doelgroep[[#This Row],[Doelgroep]],"_",uitkomst_doelgroep[[#This Row],[Uitgangssituatie/effect beleid]])</f>
        <v>(Zelf)zorgplatform + telebegeleiding_Hypertensie_Effect beleid</v>
      </c>
      <c r="H71" s="33">
        <v>2023</v>
      </c>
      <c r="I71" s="32">
        <v>1</v>
      </c>
      <c r="J71" s="406" cm="1">
        <f t="array" ref="J71">INDEX(implementatie[[2023]:[2034]],MATCH(G71, implementatie[Zoeksleutel],0),I71)</f>
        <v>0.2</v>
      </c>
      <c r="K71" s="406" cm="1">
        <f t="array" ref="K71">INDEX(implementatie[[2023]:[2034]],MATCH(G71,implementatie[Zoeksleutel],0),I71 + 1)</f>
        <v>0.29200000000000004</v>
      </c>
      <c r="L7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5600</v>
      </c>
      <c r="M71" s="398" cm="1">
        <f t="array" ref="M71">J71*INDEX(Berekening_impact[Totaal arbeidsbesparing (€/jaar)],MATCH(B71,IF(Berekening_impact[Doelgroep]=C71,Berekening_impact[Digitale zorgtoepassing]),0))</f>
        <v>610009.68000000005</v>
      </c>
      <c r="N71" s="397" cm="1">
        <f t="array" ref="N71">J71*INDEX(Berekening_impact[Totaal arbeidsbesparing (FTE/jaar)],MATCH(B71,IF(Berekening_impact[Doelgroep]=C71,Berekening_impact[Digitale zorgtoepassing]),0))</f>
        <v>3.2155542330272939</v>
      </c>
      <c r="O71" s="398" cm="1">
        <f t="array" ref="O71">J71*INDEX(Berekening_impact[Overige kostenbesparing (totaal/jaar totaal potentieel)],MATCH(B71,IF(Berekening_impact[Doelgroep]=C71,Berekening_impact[Digitale zorgtoepassing]),0))</f>
        <v>406673.12</v>
      </c>
      <c r="P71" s="398" cm="1">
        <f t="array" ref="P71">J71*INDEX(Berekening_impact[Opbrengsten door QALY''s],MATCH(B71,IF(Berekening_impact[Doelgroep]=C71,Berekening_impact[Digitale zorgtoepassing]),0))</f>
        <v>8013793.1034482764</v>
      </c>
      <c r="Q71" s="398" cm="1">
        <f t="array" ref="Q71">J71*INDEX(Berekening_impact[Jaarlijkse kosten (totaal) - incl. schatting],MATCH(B71,IF(Berekening_impact[Doelgroep]=C71,Berekening_impact[Digitale zorgtoepassing]),0))</f>
        <v>644000</v>
      </c>
      <c r="R71" s="398" cm="1">
        <f t="array" ref="R71">(uitkomst_doelgroep[[#This Row],[Implementatiegraad t = T + 1]]-uitkomst_doelgroep[[#This Row],[Implementatiegraad t = T]])*INDEX(Berekening_impact[Initiële investering (totaal) - incl. schatting],MATCH(B71,IF(Berekening_impact[Doelgroep]=C71,Berekening_impact[Digitale zorgtoepassing]),0))</f>
        <v>542119.20000000019</v>
      </c>
      <c r="S71" s="398">
        <f>uitkomst_doelgroep[[#This Row],[Arbeidsbesparing (€)]]*uitkomst_doelgroep[[#This Row],[Percentage van patiëntaantallen in Wlz (overige is Zvw)]]</f>
        <v>0</v>
      </c>
      <c r="T71" s="398">
        <f>uitkomst_doelgroep[[#This Row],[Overige besparingen (€)]]*uitkomst_doelgroep[[#This Row],[Percentage van patiëntaantallen in Wlz (overige is Zvw)]]</f>
        <v>0</v>
      </c>
      <c r="U71" s="398">
        <f>uitkomst_doelgroep[[#This Row],[Kosten (€)]]*uitkomst_doelgroep[[#This Row],[Percentage van patiëntaantallen in Wlz (overige is Zvw)]]</f>
        <v>0</v>
      </c>
      <c r="V71" s="398">
        <f>uitkomst_doelgroep[[#This Row],[Investering (cash flow) (€)]]*uitkomst_doelgroep[[#This Row],[Percentage van patiëntaantallen in Wlz (overige is Zvw)]]</f>
        <v>0</v>
      </c>
    </row>
    <row r="72" spans="1:22" x14ac:dyDescent="0.5">
      <c r="A72" s="33" t="str">
        <f>INDEX(Technologieën[Veld],MATCH(B72,Technologieën[Digitale zorgtoepassing],0))</f>
        <v>Software - Behandeling</v>
      </c>
      <c r="B72" s="33" t="s">
        <v>609</v>
      </c>
      <c r="C72" s="33" t="s">
        <v>94</v>
      </c>
      <c r="D72" s="427" cm="1">
        <f t="array" ref="D72">INDEX(Berekening_patiëntaantal[Percentage van patiëntaantallen in Wlz (overige is Zvw)],MATCH(B72,IF(Berekening_patiëntaantal[Doelgroep (zoeksleutel)]=C72,Berekening_patiëntaantal[Digitale zorgtoepassing]),0))</f>
        <v>0</v>
      </c>
      <c r="E72" s="33" t="str" cm="1">
        <f t="array" ref="E72">INDEX(Berekening_patiëntaantal[Direct toepasbaar/extrapolatie/incidentie voor QALY],MATCH(B72,IF(Berekening_patiëntaantal[Doelgroep (zoeksleutel)]=C72,Berekening_patiëntaantal[Digitale zorgtoepassing]),0))</f>
        <v>Huidige toepassing</v>
      </c>
      <c r="F72" s="43" t="s">
        <v>812</v>
      </c>
      <c r="G72" s="33" t="str">
        <f>CONCATENATE(uitkomst_doelgroep[[#This Row],[Digitale zorgtoepassing]],"_",uitkomst_doelgroep[[#This Row],[Doelgroep]],"_",uitkomst_doelgroep[[#This Row],[Uitgangssituatie/effect beleid]])</f>
        <v>(Zelf)zorgplatform + telebegeleiding_Hypertensie_Effect beleid</v>
      </c>
      <c r="H72" s="33">
        <v>2024</v>
      </c>
      <c r="I72" s="32">
        <v>2</v>
      </c>
      <c r="J72" s="406" cm="1">
        <f t="array" ref="J72">INDEX(implementatie[[2023]:[2034]],MATCH(G72, implementatie[Zoeksleutel],0),I72)</f>
        <v>0.29200000000000004</v>
      </c>
      <c r="K72" s="406" cm="1">
        <f t="array" ref="K72">INDEX(implementatie[[2023]:[2034]],MATCH(G72,implementatie[Zoeksleutel],0),I72 + 1)</f>
        <v>0.40273120000000007</v>
      </c>
      <c r="L7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8176.0000000000009</v>
      </c>
      <c r="M72" s="398" cm="1">
        <f t="array" ref="M72">J72*INDEX(Berekening_impact[Totaal arbeidsbesparing (€/jaar)],MATCH(B72,IF(Berekening_impact[Doelgroep]=C72,Berekening_impact[Digitale zorgtoepassing]),0))</f>
        <v>890614.13280000025</v>
      </c>
      <c r="N72" s="397" cm="1">
        <f t="array" ref="N72">J72*INDEX(Berekening_impact[Totaal arbeidsbesparing (FTE/jaar)],MATCH(B72,IF(Berekening_impact[Doelgroep]=C72,Berekening_impact[Digitale zorgtoepassing]),0))</f>
        <v>4.6947091802198493</v>
      </c>
      <c r="O72" s="398" cm="1">
        <f t="array" ref="O72">J72*INDEX(Berekening_impact[Overige kostenbesparing (totaal/jaar totaal potentieel)],MATCH(B72,IF(Berekening_impact[Doelgroep]=C72,Berekening_impact[Digitale zorgtoepassing]),0))</f>
        <v>593742.75520000001</v>
      </c>
      <c r="P72" s="398" cm="1">
        <f t="array" ref="P72">J72*INDEX(Berekening_impact[Opbrengsten door QALY''s],MATCH(B72,IF(Berekening_impact[Doelgroep]=C72,Berekening_impact[Digitale zorgtoepassing]),0))</f>
        <v>11700137.931034485</v>
      </c>
      <c r="Q72" s="398" cm="1">
        <f t="array" ref="Q72">J72*INDEX(Berekening_impact[Jaarlijkse kosten (totaal) - incl. schatting],MATCH(B72,IF(Berekening_impact[Doelgroep]=C72,Berekening_impact[Digitale zorgtoepassing]),0))</f>
        <v>940240.00000000012</v>
      </c>
      <c r="R72" s="398" cm="1">
        <f t="array" ref="R72">(uitkomst_doelgroep[[#This Row],[Implementatiegraad t = T + 1]]-uitkomst_doelgroep[[#This Row],[Implementatiegraad t = T]])*INDEX(Berekening_impact[Initiële investering (totaal) - incl. schatting],MATCH(B72,IF(Berekening_impact[Doelgroep]=C72,Berekening_impact[Digitale zorgtoepassing]),0))</f>
        <v>652494.66912000021</v>
      </c>
      <c r="S72" s="398">
        <f>uitkomst_doelgroep[[#This Row],[Arbeidsbesparing (€)]]*uitkomst_doelgroep[[#This Row],[Percentage van patiëntaantallen in Wlz (overige is Zvw)]]</f>
        <v>0</v>
      </c>
      <c r="T72" s="398">
        <f>uitkomst_doelgroep[[#This Row],[Overige besparingen (€)]]*uitkomst_doelgroep[[#This Row],[Percentage van patiëntaantallen in Wlz (overige is Zvw)]]</f>
        <v>0</v>
      </c>
      <c r="U72" s="398">
        <f>uitkomst_doelgroep[[#This Row],[Kosten (€)]]*uitkomst_doelgroep[[#This Row],[Percentage van patiëntaantallen in Wlz (overige is Zvw)]]</f>
        <v>0</v>
      </c>
      <c r="V72" s="398">
        <f>uitkomst_doelgroep[[#This Row],[Investering (cash flow) (€)]]*uitkomst_doelgroep[[#This Row],[Percentage van patiëntaantallen in Wlz (overige is Zvw)]]</f>
        <v>0</v>
      </c>
    </row>
    <row r="73" spans="1:22" x14ac:dyDescent="0.5">
      <c r="A73" s="33" t="str">
        <f>INDEX(Technologieën[Veld],MATCH(B73,Technologieën[Digitale zorgtoepassing],0))</f>
        <v>Software - Behandeling</v>
      </c>
      <c r="B73" s="33" t="s">
        <v>609</v>
      </c>
      <c r="C73" s="33" t="s">
        <v>94</v>
      </c>
      <c r="D73" s="427" cm="1">
        <f t="array" ref="D73">INDEX(Berekening_patiëntaantal[Percentage van patiëntaantallen in Wlz (overige is Zvw)],MATCH(B73,IF(Berekening_patiëntaantal[Doelgroep (zoeksleutel)]=C73,Berekening_patiëntaantal[Digitale zorgtoepassing]),0))</f>
        <v>0</v>
      </c>
      <c r="E73" s="33" t="str" cm="1">
        <f t="array" ref="E73">INDEX(Berekening_patiëntaantal[Direct toepasbaar/extrapolatie/incidentie voor QALY],MATCH(B73,IF(Berekening_patiëntaantal[Doelgroep (zoeksleutel)]=C73,Berekening_patiëntaantal[Digitale zorgtoepassing]),0))</f>
        <v>Huidige toepassing</v>
      </c>
      <c r="F73" s="43" t="s">
        <v>812</v>
      </c>
      <c r="G73" s="33" t="str">
        <f>CONCATENATE(uitkomst_doelgroep[[#This Row],[Digitale zorgtoepassing]],"_",uitkomst_doelgroep[[#This Row],[Doelgroep]],"_",uitkomst_doelgroep[[#This Row],[Uitgangssituatie/effect beleid]])</f>
        <v>(Zelf)zorgplatform + telebegeleiding_Hypertensie_Effect beleid</v>
      </c>
      <c r="H73" s="33">
        <v>2025</v>
      </c>
      <c r="I73" s="32">
        <v>3</v>
      </c>
      <c r="J73" s="406" cm="1">
        <f t="array" ref="J73">INDEX(implementatie[[2023]:[2034]],MATCH(G73, implementatie[Zoeksleutel],0),I73)</f>
        <v>0.40273120000000007</v>
      </c>
      <c r="K73" s="406" cm="1">
        <f t="array" ref="K73">INDEX(implementatie[[2023]:[2034]],MATCH(G73,implementatie[Zoeksleutel],0),I73 + 1)</f>
        <v>0.52590537124595205</v>
      </c>
      <c r="L7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11276.473600000001</v>
      </c>
      <c r="M73" s="398" cm="1">
        <f t="array" ref="M73">J73*INDEX(Berekening_impact[Totaal arbeidsbesparing (€/jaar)],MATCH(B73,IF(Berekening_impact[Doelgroep]=C73,Berekening_impact[Digitale zorgtoepassing]),0))</f>
        <v>1228349.6521900804</v>
      </c>
      <c r="N73" s="397" cm="1">
        <f t="array" ref="N73">J73*INDEX(Berekening_impact[Totaal arbeidsbesparing (FTE/jaar)],MATCH(B73,IF(Berekening_impact[Doelgroep]=C73,Berekening_impact[Digitale zorgtoepassing]),0))</f>
        <v>6.4750200746608089</v>
      </c>
      <c r="O73" s="398" cm="1">
        <f t="array" ref="O73">J73*INDEX(Berekening_impact[Overige kostenbesparing (totaal/jaar totaal potentieel)],MATCH(B73,IF(Berekening_impact[Doelgroep]=C73,Berekening_impact[Digitale zorgtoepassing]),0))</f>
        <v>818899.7681267201</v>
      </c>
      <c r="P73" s="398" cm="1">
        <f t="array" ref="P73">J73*INDEX(Berekening_impact[Opbrengsten door QALY''s],MATCH(B73,IF(Berekening_impact[Doelgroep]=C73,Berekening_impact[Digitale zorgtoepassing]),0))</f>
        <v>16137022.565517245</v>
      </c>
      <c r="Q73" s="398" cm="1">
        <f t="array" ref="Q73">J73*INDEX(Berekening_impact[Jaarlijkse kosten (totaal) - incl. schatting],MATCH(B73,IF(Berekening_impact[Doelgroep]=C73,Berekening_impact[Digitale zorgtoepassing]),0))</f>
        <v>1296794.4640000002</v>
      </c>
      <c r="R73" s="398" cm="1">
        <f t="array" ref="R73">(uitkomst_doelgroep[[#This Row],[Implementatiegraad t = T + 1]]-uitkomst_doelgroep[[#This Row],[Implementatiegraad t = T]])*INDEX(Berekening_impact[Initiële investering (totaal) - incl. schatting],MATCH(B73,IF(Berekening_impact[Doelgroep]=C73,Berekening_impact[Digitale zorgtoepassing]),0))</f>
        <v>725816.12148389663</v>
      </c>
      <c r="S73" s="398">
        <f>uitkomst_doelgroep[[#This Row],[Arbeidsbesparing (€)]]*uitkomst_doelgroep[[#This Row],[Percentage van patiëntaantallen in Wlz (overige is Zvw)]]</f>
        <v>0</v>
      </c>
      <c r="T73" s="398">
        <f>uitkomst_doelgroep[[#This Row],[Overige besparingen (€)]]*uitkomst_doelgroep[[#This Row],[Percentage van patiëntaantallen in Wlz (overige is Zvw)]]</f>
        <v>0</v>
      </c>
      <c r="U73" s="398">
        <f>uitkomst_doelgroep[[#This Row],[Kosten (€)]]*uitkomst_doelgroep[[#This Row],[Percentage van patiëntaantallen in Wlz (overige is Zvw)]]</f>
        <v>0</v>
      </c>
      <c r="V73" s="398">
        <f>uitkomst_doelgroep[[#This Row],[Investering (cash flow) (€)]]*uitkomst_doelgroep[[#This Row],[Percentage van patiëntaantallen in Wlz (overige is Zvw)]]</f>
        <v>0</v>
      </c>
    </row>
    <row r="74" spans="1:22" x14ac:dyDescent="0.5">
      <c r="A74" s="33" t="str">
        <f>INDEX(Technologieën[Veld],MATCH(B74,Technologieën[Digitale zorgtoepassing],0))</f>
        <v>Software - Behandeling</v>
      </c>
      <c r="B74" s="33" t="s">
        <v>609</v>
      </c>
      <c r="C74" s="33" t="s">
        <v>94</v>
      </c>
      <c r="D74" s="427" cm="1">
        <f t="array" ref="D74">INDEX(Berekening_patiëntaantal[Percentage van patiëntaantallen in Wlz (overige is Zvw)],MATCH(B74,IF(Berekening_patiëntaantal[Doelgroep (zoeksleutel)]=C74,Berekening_patiëntaantal[Digitale zorgtoepassing]),0))</f>
        <v>0</v>
      </c>
      <c r="E74" s="33" t="str" cm="1">
        <f t="array" ref="E74">INDEX(Berekening_patiëntaantal[Direct toepasbaar/extrapolatie/incidentie voor QALY],MATCH(B74,IF(Berekening_patiëntaantal[Doelgroep (zoeksleutel)]=C74,Berekening_patiëntaantal[Digitale zorgtoepassing]),0))</f>
        <v>Huidige toepassing</v>
      </c>
      <c r="F74" s="43" t="s">
        <v>812</v>
      </c>
      <c r="G74" s="33" t="str">
        <f>CONCATENATE(uitkomst_doelgroep[[#This Row],[Digitale zorgtoepassing]],"_",uitkomst_doelgroep[[#This Row],[Doelgroep]],"_",uitkomst_doelgroep[[#This Row],[Uitgangssituatie/effect beleid]])</f>
        <v>(Zelf)zorgplatform + telebegeleiding_Hypertensie_Effect beleid</v>
      </c>
      <c r="H74" s="33">
        <v>2026</v>
      </c>
      <c r="I74" s="32">
        <v>4</v>
      </c>
      <c r="J74" s="406" cm="1">
        <f t="array" ref="J74">INDEX(implementatie[[2023]:[2034]],MATCH(G74, implementatie[Zoeksleutel],0),I74)</f>
        <v>0.52590537124595205</v>
      </c>
      <c r="K74" s="406" cm="1">
        <f t="array" ref="K74">INDEX(implementatie[[2023]:[2034]],MATCH(G74,implementatie[Zoeksleutel],0),I74 + 1)</f>
        <v>0.64995574724807748</v>
      </c>
      <c r="L7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14725.350394886656</v>
      </c>
      <c r="M74" s="398" cm="1">
        <f t="array" ref="M74">J74*INDEX(Berekening_impact[Totaal arbeidsbesparing (€/jaar)],MATCH(B74,IF(Berekening_impact[Doelgroep]=C74,Berekening_impact[Digitale zorgtoepassing]),0))</f>
        <v>1604036.8361201223</v>
      </c>
      <c r="N74" s="397" cm="1">
        <f t="array" ref="N74">J74*INDEX(Berekening_impact[Totaal arbeidsbesparing (FTE/jaar)],MATCH(B74,IF(Berekening_impact[Doelgroep]=C74,Berekening_impact[Digitale zorgtoepassing]),0))</f>
        <v>8.4553862134085573</v>
      </c>
      <c r="O74" s="398" cm="1">
        <f t="array" ref="O74">J74*INDEX(Berekening_impact[Overige kostenbesparing (totaal/jaar totaal potentieel)],MATCH(B74,IF(Berekening_impact[Doelgroep]=C74,Berekening_impact[Digitale zorgtoepassing]),0))</f>
        <v>1069357.8907467478</v>
      </c>
      <c r="P74" s="398" cm="1">
        <f t="array" ref="P74">J74*INDEX(Berekening_impact[Opbrengsten door QALY''s],MATCH(B74,IF(Berekening_impact[Doelgroep]=C74,Berekening_impact[Digitale zorgtoepassing]),0))</f>
        <v>21072484.18578608</v>
      </c>
      <c r="Q74" s="398" cm="1">
        <f t="array" ref="Q74">J74*INDEX(Berekening_impact[Jaarlijkse kosten (totaal) - incl. schatting],MATCH(B74,IF(Berekening_impact[Doelgroep]=C74,Berekening_impact[Digitale zorgtoepassing]),0))</f>
        <v>1693415.2954119656</v>
      </c>
      <c r="R74" s="398" cm="1">
        <f t="array" ref="R74">(uitkomst_doelgroep[[#This Row],[Implementatiegraad t = T + 1]]-uitkomst_doelgroep[[#This Row],[Implementatiegraad t = T]])*INDEX(Berekening_impact[Initiële investering (totaal) - incl. schatting],MATCH(B74,IF(Berekening_impact[Doelgroep]=C74,Berekening_impact[Digitale zorgtoepassing]),0))</f>
        <v>730979.24563012435</v>
      </c>
      <c r="S74" s="398">
        <f>uitkomst_doelgroep[[#This Row],[Arbeidsbesparing (€)]]*uitkomst_doelgroep[[#This Row],[Percentage van patiëntaantallen in Wlz (overige is Zvw)]]</f>
        <v>0</v>
      </c>
      <c r="T74" s="398">
        <f>uitkomst_doelgroep[[#This Row],[Overige besparingen (€)]]*uitkomst_doelgroep[[#This Row],[Percentage van patiëntaantallen in Wlz (overige is Zvw)]]</f>
        <v>0</v>
      </c>
      <c r="U74" s="398">
        <f>uitkomst_doelgroep[[#This Row],[Kosten (€)]]*uitkomst_doelgroep[[#This Row],[Percentage van patiëntaantallen in Wlz (overige is Zvw)]]</f>
        <v>0</v>
      </c>
      <c r="V74" s="398">
        <f>uitkomst_doelgroep[[#This Row],[Investering (cash flow) (€)]]*uitkomst_doelgroep[[#This Row],[Percentage van patiëntaantallen in Wlz (overige is Zvw)]]</f>
        <v>0</v>
      </c>
    </row>
    <row r="75" spans="1:22" ht="17.5" thickBot="1" x14ac:dyDescent="0.55000000000000004">
      <c r="A75" s="33" t="str">
        <f>INDEX(Technologieën[Veld],MATCH(B75,Technologieën[Digitale zorgtoepassing],0))</f>
        <v>Software - Behandeling</v>
      </c>
      <c r="B75" s="33" t="s">
        <v>609</v>
      </c>
      <c r="C75" s="40" t="s">
        <v>94</v>
      </c>
      <c r="D75" s="427" cm="1">
        <f t="array" ref="D75">INDEX(Berekening_patiëntaantal[Percentage van patiëntaantallen in Wlz (overige is Zvw)],MATCH(B75,IF(Berekening_patiëntaantal[Doelgroep (zoeksleutel)]=C75,Berekening_patiëntaantal[Digitale zorgtoepassing]),0))</f>
        <v>0</v>
      </c>
      <c r="E75" s="33" t="str" cm="1">
        <f t="array" ref="E75">INDEX(Berekening_patiëntaantal[Direct toepasbaar/extrapolatie/incidentie voor QALY],MATCH(B75,IF(Berekening_patiëntaantal[Doelgroep (zoeksleutel)]=C75,Berekening_patiëntaantal[Digitale zorgtoepassing]),0))</f>
        <v>Huidige toepassing</v>
      </c>
      <c r="F75" s="43" t="s">
        <v>812</v>
      </c>
      <c r="G75" s="33" t="str">
        <f>CONCATENATE(uitkomst_doelgroep[[#This Row],[Digitale zorgtoepassing]],"_",uitkomst_doelgroep[[#This Row],[Doelgroep]],"_",uitkomst_doelgroep[[#This Row],[Uitgangssituatie/effect beleid]])</f>
        <v>(Zelf)zorgplatform + telebegeleiding_Hypertensie_Effect beleid</v>
      </c>
      <c r="H75" s="33">
        <v>2027</v>
      </c>
      <c r="I75" s="32">
        <v>5</v>
      </c>
      <c r="J75" s="406" cm="1">
        <f t="array" ref="J75">INDEX(implementatie[[2023]:[2034]],MATCH(G75, implementatie[Zoeksleutel],0),I75)</f>
        <v>0.64995574724807748</v>
      </c>
      <c r="K75" s="406" cm="1">
        <f t="array" ref="K75">INDEX(implementatie[[2023]:[2034]],MATCH(G75,implementatie[Zoeksleutel],0),I75 + 1)</f>
        <v>0.76108782680714737</v>
      </c>
      <c r="L7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18198.76092294617</v>
      </c>
      <c r="M75" s="398" cm="1">
        <f t="array" ref="M75">J75*INDEX(Berekening_impact[Totaal arbeidsbesparing (€/jaar)],MATCH(B75,IF(Berekening_impact[Doelgroep]=C75,Berekening_impact[Digitale zorgtoepassing]),0))</f>
        <v>1982396.4869648034</v>
      </c>
      <c r="N75" s="397" cm="1">
        <f t="array" ref="N75">J75*INDEX(Berekening_impact[Totaal arbeidsbesparing (FTE/jaar)],MATCH(B75,IF(Berekening_impact[Doelgroep]=C75,Berekening_impact[Digitale zorgtoepassing]),0))</f>
        <v>10.449839771719866</v>
      </c>
      <c r="O75" s="398" cm="1">
        <f t="array" ref="O75">J75*INDEX(Berekening_impact[Overige kostenbesparing (totaal/jaar totaal potentieel)],MATCH(B75,IF(Berekening_impact[Doelgroep]=C75,Berekening_impact[Digitale zorgtoepassing]),0))</f>
        <v>1321597.6579765354</v>
      </c>
      <c r="P75" s="398" cm="1">
        <f t="array" ref="P75">J75*INDEX(Berekening_impact[Opbrengsten door QALY''s],MATCH(B75,IF(Berekening_impact[Doelgroep]=C75,Berekening_impact[Digitale zorgtoepassing]),0))</f>
        <v>26043054.424216069</v>
      </c>
      <c r="Q75" s="398" cm="1">
        <f t="array" ref="Q75">J75*INDEX(Berekening_impact[Jaarlijkse kosten (totaal) - incl. schatting],MATCH(B75,IF(Berekening_impact[Doelgroep]=C75,Berekening_impact[Digitale zorgtoepassing]),0))</f>
        <v>2092857.5061388095</v>
      </c>
      <c r="R75" s="398" cm="1">
        <f t="array" ref="R75">(uitkomst_doelgroep[[#This Row],[Implementatiegraad t = T + 1]]-uitkomst_doelgroep[[#This Row],[Implementatiegraad t = T]])*INDEX(Berekening_impact[Initiële investering (totaal) - incl. schatting],MATCH(B75,IF(Berekening_impact[Doelgroep]=C75,Berekening_impact[Digitale zorgtoepassing]),0))</f>
        <v>654856.89200977527</v>
      </c>
      <c r="S75" s="398">
        <f>uitkomst_doelgroep[[#This Row],[Arbeidsbesparing (€)]]*uitkomst_doelgroep[[#This Row],[Percentage van patiëntaantallen in Wlz (overige is Zvw)]]</f>
        <v>0</v>
      </c>
      <c r="T75" s="398">
        <f>uitkomst_doelgroep[[#This Row],[Overige besparingen (€)]]*uitkomst_doelgroep[[#This Row],[Percentage van patiëntaantallen in Wlz (overige is Zvw)]]</f>
        <v>0</v>
      </c>
      <c r="U75" s="398">
        <f>uitkomst_doelgroep[[#This Row],[Kosten (€)]]*uitkomst_doelgroep[[#This Row],[Percentage van patiëntaantallen in Wlz (overige is Zvw)]]</f>
        <v>0</v>
      </c>
      <c r="V75" s="398">
        <f>uitkomst_doelgroep[[#This Row],[Investering (cash flow) (€)]]*uitkomst_doelgroep[[#This Row],[Percentage van patiëntaantallen in Wlz (overige is Zvw)]]</f>
        <v>0</v>
      </c>
    </row>
    <row r="76" spans="1:22" x14ac:dyDescent="0.5">
      <c r="A76" s="33" t="str">
        <f>INDEX(Technologieën[Veld],MATCH(B76,Technologieën[Digitale zorgtoepassing],0))</f>
        <v>Software - Behandeling</v>
      </c>
      <c r="B76" s="33" t="s">
        <v>609</v>
      </c>
      <c r="C76" s="33" t="s">
        <v>94</v>
      </c>
      <c r="D76" s="427" cm="1">
        <f t="array" ref="D76">INDEX(Berekening_patiëntaantal[Percentage van patiëntaantallen in Wlz (overige is Zvw)],MATCH(B76,IF(Berekening_patiëntaantal[Doelgroep (zoeksleutel)]=C76,Berekening_patiëntaantal[Digitale zorgtoepassing]),0))</f>
        <v>0</v>
      </c>
      <c r="E76" s="33" t="str" cm="1">
        <f t="array" ref="E76">INDEX(Berekening_patiëntaantal[Direct toepasbaar/extrapolatie/incidentie voor QALY],MATCH(B76,IF(Berekening_patiëntaantal[Doelgroep (zoeksleutel)]=C76,Berekening_patiëntaantal[Digitale zorgtoepassing]),0))</f>
        <v>Huidige toepassing</v>
      </c>
      <c r="F76" s="43" t="s">
        <v>812</v>
      </c>
      <c r="G76" s="33" t="str">
        <f>CONCATENATE(uitkomst_doelgroep[[#This Row],[Digitale zorgtoepassing]],"_",uitkomst_doelgroep[[#This Row],[Doelgroep]],"_",uitkomst_doelgroep[[#This Row],[Uitgangssituatie/effect beleid]])</f>
        <v>(Zelf)zorgplatform + telebegeleiding_Hypertensie_Effect beleid</v>
      </c>
      <c r="H76" s="33">
        <v>2028</v>
      </c>
      <c r="I76" s="32">
        <v>6</v>
      </c>
      <c r="J76" s="406" cm="1">
        <f t="array" ref="J76">INDEX(implementatie[[2023]:[2034]],MATCH(G76, implementatie[Zoeksleutel],0),I76)</f>
        <v>0.76108782680714737</v>
      </c>
      <c r="K76" s="406" cm="1">
        <f t="array" ref="K76">INDEX(implementatie[[2023]:[2034]],MATCH(G76,implementatie[Zoeksleutel],0),I76 + 1)</f>
        <v>0.8488855471488731</v>
      </c>
      <c r="L7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21310.459150600127</v>
      </c>
      <c r="M76" s="398" cm="1">
        <f t="array" ref="M76">J76*INDEX(Berekening_impact[Totaal arbeidsbesparing (€/jaar)],MATCH(B76,IF(Berekening_impact[Doelgroep]=C76,Berekening_impact[Digitale zorgtoepassing]),0))</f>
        <v>2321354.7084126174</v>
      </c>
      <c r="N76" s="397" cm="1">
        <f t="array" ref="N76">J76*INDEX(Berekening_impact[Totaal arbeidsbesparing (FTE/jaar)],MATCH(B76,IF(Berekening_impact[Doelgroep]=C76,Berekening_impact[Digitale zorgtoepassing]),0))</f>
        <v>12.236595915976332</v>
      </c>
      <c r="O76" s="398" cm="1">
        <f t="array" ref="O76">J76*INDEX(Berekening_impact[Overige kostenbesparing (totaal/jaar totaal potentieel)],MATCH(B76,IF(Berekening_impact[Doelgroep]=C76,Berekening_impact[Digitale zorgtoepassing]),0))</f>
        <v>1547569.8056084111</v>
      </c>
      <c r="P76" s="398" cm="1">
        <f t="array" ref="P76">J76*INDEX(Berekening_impact[Opbrengsten door QALY''s],MATCH(B76,IF(Berekening_impact[Doelgroep]=C76,Berekening_impact[Digitale zorgtoepassing]),0))</f>
        <v>30496001.887927767</v>
      </c>
      <c r="Q76" s="398" cm="1">
        <f t="array" ref="Q76">J76*INDEX(Berekening_impact[Jaarlijkse kosten (totaal) - incl. schatting],MATCH(B76,IF(Berekening_impact[Doelgroep]=C76,Berekening_impact[Digitale zorgtoepassing]),0))</f>
        <v>2450702.8023190144</v>
      </c>
      <c r="R76" s="398" cm="1">
        <f t="array" ref="R76">(uitkomst_doelgroep[[#This Row],[Implementatiegraad t = T + 1]]-uitkomst_doelgroep[[#This Row],[Implementatiegraad t = T]])*INDEX(Berekening_impact[Initiële investering (totaal) - incl. schatting],MATCH(B76,IF(Berekening_impact[Doelgroep]=C76,Berekening_impact[Digitale zorgtoepassing]),0))</f>
        <v>517356.84688565304</v>
      </c>
      <c r="S76" s="398">
        <f>uitkomst_doelgroep[[#This Row],[Arbeidsbesparing (€)]]*uitkomst_doelgroep[[#This Row],[Percentage van patiëntaantallen in Wlz (overige is Zvw)]]</f>
        <v>0</v>
      </c>
      <c r="T76" s="398">
        <f>uitkomst_doelgroep[[#This Row],[Overige besparingen (€)]]*uitkomst_doelgroep[[#This Row],[Percentage van patiëntaantallen in Wlz (overige is Zvw)]]</f>
        <v>0</v>
      </c>
      <c r="U76" s="398">
        <f>uitkomst_doelgroep[[#This Row],[Kosten (€)]]*uitkomst_doelgroep[[#This Row],[Percentage van patiëntaantallen in Wlz (overige is Zvw)]]</f>
        <v>0</v>
      </c>
      <c r="V76" s="398">
        <f>uitkomst_doelgroep[[#This Row],[Investering (cash flow) (€)]]*uitkomst_doelgroep[[#This Row],[Percentage van patiëntaantallen in Wlz (overige is Zvw)]]</f>
        <v>0</v>
      </c>
    </row>
    <row r="77" spans="1:22" x14ac:dyDescent="0.5">
      <c r="A77" s="33" t="str">
        <f>INDEX(Technologieën[Veld],MATCH(B77,Technologieën[Digitale zorgtoepassing],0))</f>
        <v>Software - Behandeling</v>
      </c>
      <c r="B77" s="33" t="s">
        <v>609</v>
      </c>
      <c r="C77" s="33" t="s">
        <v>94</v>
      </c>
      <c r="D77" s="427" cm="1">
        <f t="array" ref="D77">INDEX(Berekening_patiëntaantal[Percentage van patiëntaantallen in Wlz (overige is Zvw)],MATCH(B77,IF(Berekening_patiëntaantal[Doelgroep (zoeksleutel)]=C77,Berekening_patiëntaantal[Digitale zorgtoepassing]),0))</f>
        <v>0</v>
      </c>
      <c r="E77" s="33" t="str" cm="1">
        <f t="array" ref="E77">INDEX(Berekening_patiëntaantal[Direct toepasbaar/extrapolatie/incidentie voor QALY],MATCH(B77,IF(Berekening_patiëntaantal[Doelgroep (zoeksleutel)]=C77,Berekening_patiëntaantal[Digitale zorgtoepassing]),0))</f>
        <v>Huidige toepassing</v>
      </c>
      <c r="F77" s="43" t="s">
        <v>812</v>
      </c>
      <c r="G77" s="33" t="str">
        <f>CONCATENATE(uitkomst_doelgroep[[#This Row],[Digitale zorgtoepassing]],"_",uitkomst_doelgroep[[#This Row],[Doelgroep]],"_",uitkomst_doelgroep[[#This Row],[Uitgangssituatie/effect beleid]])</f>
        <v>(Zelf)zorgplatform + telebegeleiding_Hypertensie_Effect beleid</v>
      </c>
      <c r="H77" s="33">
        <v>2029</v>
      </c>
      <c r="I77" s="32">
        <v>7</v>
      </c>
      <c r="J77" s="406" cm="1">
        <f t="array" ref="J77">INDEX(implementatie[[2023]:[2034]],MATCH(G77, implementatie[Zoeksleutel],0),I77)</f>
        <v>0.8488855471488731</v>
      </c>
      <c r="K77" s="406" cm="1">
        <f t="array" ref="K77">INDEX(implementatie[[2023]:[2034]],MATCH(G77,implementatie[Zoeksleutel],0),I77 + 1)</f>
        <v>0.91038890221593549</v>
      </c>
      <c r="L7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23768.795320168447</v>
      </c>
      <c r="M77" s="398" cm="1">
        <f t="array" ref="M77">J77*INDEX(Berekening_impact[Totaal arbeidsbesparing (€/jaar)],MATCH(B77,IF(Berekening_impact[Doelgroep]=C77,Berekening_impact[Digitale zorgtoepassing]),0))</f>
        <v>2589142.0048645451</v>
      </c>
      <c r="N77" s="397" cm="1">
        <f t="array" ref="N77">J77*INDEX(Berekening_impact[Totaal arbeidsbesparing (FTE/jaar)],MATCH(B77,IF(Berekening_impact[Doelgroep]=C77,Berekening_impact[Digitale zorgtoepassing]),0))</f>
        <v>13.648187572451246</v>
      </c>
      <c r="O77" s="398" cm="1">
        <f t="array" ref="O77">J77*INDEX(Berekening_impact[Overige kostenbesparing (totaal/jaar totaal potentieel)],MATCH(B77,IF(Berekening_impact[Doelgroep]=C77,Berekening_impact[Digitale zorgtoepassing]),0))</f>
        <v>1726094.6699096966</v>
      </c>
      <c r="P77" s="398" cm="1">
        <f t="array" ref="P77">J77*INDEX(Berekening_impact[Opbrengsten door QALY''s],MATCH(B77,IF(Berekening_impact[Doelgroep]=C77,Berekening_impact[Digitale zorgtoepassing]),0))</f>
        <v>34013965.716792777</v>
      </c>
      <c r="Q77" s="398" cm="1">
        <f t="array" ref="Q77">J77*INDEX(Berekening_impact[Jaarlijkse kosten (totaal) - incl. schatting],MATCH(B77,IF(Berekening_impact[Doelgroep]=C77,Berekening_impact[Digitale zorgtoepassing]),0))</f>
        <v>2733411.4618193712</v>
      </c>
      <c r="R77" s="398" cm="1">
        <f t="array" ref="R77">(uitkomst_doelgroep[[#This Row],[Implementatiegraad t = T + 1]]-uitkomst_doelgroep[[#This Row],[Implementatiegraad t = T]])*INDEX(Berekening_impact[Initiële investering (totaal) - incl. schatting],MATCH(B77,IF(Berekening_impact[Doelgroep]=C77,Berekening_impact[Digitale zorgtoepassing]),0))</f>
        <v>362414.67006817186</v>
      </c>
      <c r="S77" s="398">
        <f>uitkomst_doelgroep[[#This Row],[Arbeidsbesparing (€)]]*uitkomst_doelgroep[[#This Row],[Percentage van patiëntaantallen in Wlz (overige is Zvw)]]</f>
        <v>0</v>
      </c>
      <c r="T77" s="398">
        <f>uitkomst_doelgroep[[#This Row],[Overige besparingen (€)]]*uitkomst_doelgroep[[#This Row],[Percentage van patiëntaantallen in Wlz (overige is Zvw)]]</f>
        <v>0</v>
      </c>
      <c r="U77" s="398">
        <f>uitkomst_doelgroep[[#This Row],[Kosten (€)]]*uitkomst_doelgroep[[#This Row],[Percentage van patiëntaantallen in Wlz (overige is Zvw)]]</f>
        <v>0</v>
      </c>
      <c r="V77" s="398">
        <f>uitkomst_doelgroep[[#This Row],[Investering (cash flow) (€)]]*uitkomst_doelgroep[[#This Row],[Percentage van patiëntaantallen in Wlz (overige is Zvw)]]</f>
        <v>0</v>
      </c>
    </row>
    <row r="78" spans="1:22" x14ac:dyDescent="0.5">
      <c r="A78" s="33" t="str">
        <f>INDEX(Technologieën[Veld],MATCH(B78,Technologieën[Digitale zorgtoepassing],0))</f>
        <v>Software - Behandeling</v>
      </c>
      <c r="B78" s="33" t="s">
        <v>609</v>
      </c>
      <c r="C78" s="33" t="s">
        <v>94</v>
      </c>
      <c r="D78" s="427" cm="1">
        <f t="array" ref="D78">INDEX(Berekening_patiëntaantal[Percentage van patiëntaantallen in Wlz (overige is Zvw)],MATCH(B78,IF(Berekening_patiëntaantal[Doelgroep (zoeksleutel)]=C78,Berekening_patiëntaantal[Digitale zorgtoepassing]),0))</f>
        <v>0</v>
      </c>
      <c r="E78" s="33" t="str" cm="1">
        <f t="array" ref="E78">INDEX(Berekening_patiëntaantal[Direct toepasbaar/extrapolatie/incidentie voor QALY],MATCH(B78,IF(Berekening_patiëntaantal[Doelgroep (zoeksleutel)]=C78,Berekening_patiëntaantal[Digitale zorgtoepassing]),0))</f>
        <v>Huidige toepassing</v>
      </c>
      <c r="F78" s="43" t="s">
        <v>812</v>
      </c>
      <c r="G78" s="33" t="str">
        <f>CONCATENATE(uitkomst_doelgroep[[#This Row],[Digitale zorgtoepassing]],"_",uitkomst_doelgroep[[#This Row],[Doelgroep]],"_",uitkomst_doelgroep[[#This Row],[Uitgangssituatie/effect beleid]])</f>
        <v>(Zelf)zorgplatform + telebegeleiding_Hypertensie_Effect beleid</v>
      </c>
      <c r="H78" s="33">
        <v>2030</v>
      </c>
      <c r="I78" s="32">
        <v>8</v>
      </c>
      <c r="J78" s="406" cm="1">
        <f t="array" ref="J78">INDEX(implementatie[[2023]:[2034]],MATCH(G78, implementatie[Zoeksleutel],0),I78)</f>
        <v>0.91038890221593549</v>
      </c>
      <c r="K78" s="406" cm="1">
        <f t="array" ref="K78">INDEX(implementatie[[2023]:[2034]],MATCH(G78,implementatie[Zoeksleutel],0),I78 + 1)</f>
        <v>0.94934060668263687</v>
      </c>
      <c r="L7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25490.889262046192</v>
      </c>
      <c r="M78" s="398" cm="1">
        <f t="array" ref="M78">J78*INDEX(Berekening_impact[Totaal arbeidsbesparing (€/jaar)],MATCH(B78,IF(Berekening_impact[Doelgroep]=C78,Berekening_impact[Digitale zorgtoepassing]),0))</f>
        <v>2776730.2145814709</v>
      </c>
      <c r="N78" s="397" cm="1">
        <f t="array" ref="N78">J78*INDEX(Berekening_impact[Totaal arbeidsbesparing (FTE/jaar)],MATCH(B78,IF(Berekening_impact[Doelgroep]=C78,Berekening_impact[Digitale zorgtoepassing]),0))</f>
        <v>14.637024441107611</v>
      </c>
      <c r="O78" s="398" cm="1">
        <f t="array" ref="O78">J78*INDEX(Berekening_impact[Overige kostenbesparing (totaal/jaar totaal potentieel)],MATCH(B78,IF(Berekening_impact[Doelgroep]=C78,Berekening_impact[Digitale zorgtoepassing]),0))</f>
        <v>1851153.476387647</v>
      </c>
      <c r="P78" s="398" cm="1">
        <f t="array" ref="P78">J78*INDEX(Berekening_impact[Opbrengsten door QALY''s],MATCH(B78,IF(Berekening_impact[Doelgroep]=C78,Berekening_impact[Digitale zorgtoepassing]),0))</f>
        <v>36478341.530169554</v>
      </c>
      <c r="Q78" s="398" cm="1">
        <f t="array" ref="Q78">J78*INDEX(Berekening_impact[Jaarlijkse kosten (totaal) - incl. schatting],MATCH(B78,IF(Berekening_impact[Doelgroep]=C78,Berekening_impact[Digitale zorgtoepassing]),0))</f>
        <v>2931452.2651353125</v>
      </c>
      <c r="R78" s="398" cm="1">
        <f t="array" ref="R78">(uitkomst_doelgroep[[#This Row],[Implementatiegraad t = T + 1]]-uitkomst_doelgroep[[#This Row],[Implementatiegraad t = T]])*INDEX(Berekening_impact[Initiële investering (totaal) - incl. schatting],MATCH(B78,IF(Berekening_impact[Doelgroep]=C78,Berekening_impact[Digitale zorgtoepassing]),0))</f>
        <v>229526.81374048453</v>
      </c>
      <c r="S78" s="398">
        <f>uitkomst_doelgroep[[#This Row],[Arbeidsbesparing (€)]]*uitkomst_doelgroep[[#This Row],[Percentage van patiëntaantallen in Wlz (overige is Zvw)]]</f>
        <v>0</v>
      </c>
      <c r="T78" s="398">
        <f>uitkomst_doelgroep[[#This Row],[Overige besparingen (€)]]*uitkomst_doelgroep[[#This Row],[Percentage van patiëntaantallen in Wlz (overige is Zvw)]]</f>
        <v>0</v>
      </c>
      <c r="U78" s="398">
        <f>uitkomst_doelgroep[[#This Row],[Kosten (€)]]*uitkomst_doelgroep[[#This Row],[Percentage van patiëntaantallen in Wlz (overige is Zvw)]]</f>
        <v>0</v>
      </c>
      <c r="V78" s="398">
        <f>uitkomst_doelgroep[[#This Row],[Investering (cash flow) (€)]]*uitkomst_doelgroep[[#This Row],[Percentage van patiëntaantallen in Wlz (overige is Zvw)]]</f>
        <v>0</v>
      </c>
    </row>
    <row r="79" spans="1:22" x14ac:dyDescent="0.5">
      <c r="A79" s="33" t="str">
        <f>INDEX(Technologieën[Veld],MATCH(B79,Technologieën[Digitale zorgtoepassing],0))</f>
        <v>Software - Behandeling</v>
      </c>
      <c r="B79" s="33" t="s">
        <v>609</v>
      </c>
      <c r="C79" s="33" t="s">
        <v>94</v>
      </c>
      <c r="D79" s="427" cm="1">
        <f t="array" ref="D79">INDEX(Berekening_patiëntaantal[Percentage van patiëntaantallen in Wlz (overige is Zvw)],MATCH(B79,IF(Berekening_patiëntaantal[Doelgroep (zoeksleutel)]=C79,Berekening_patiëntaantal[Digitale zorgtoepassing]),0))</f>
        <v>0</v>
      </c>
      <c r="E79" s="33" t="str" cm="1">
        <f t="array" ref="E79">INDEX(Berekening_patiëntaantal[Direct toepasbaar/extrapolatie/incidentie voor QALY],MATCH(B79,IF(Berekening_patiëntaantal[Doelgroep (zoeksleutel)]=C79,Berekening_patiëntaantal[Digitale zorgtoepassing]),0))</f>
        <v>Huidige toepassing</v>
      </c>
      <c r="F79" s="43" t="s">
        <v>812</v>
      </c>
      <c r="G79" s="33" t="str">
        <f>CONCATENATE(uitkomst_doelgroep[[#This Row],[Digitale zorgtoepassing]],"_",uitkomst_doelgroep[[#This Row],[Doelgroep]],"_",uitkomst_doelgroep[[#This Row],[Uitgangssituatie/effect beleid]])</f>
        <v>(Zelf)zorgplatform + telebegeleiding_Hypertensie_Effect beleid</v>
      </c>
      <c r="H79" s="33">
        <v>2031</v>
      </c>
      <c r="I79" s="32">
        <v>9</v>
      </c>
      <c r="J79" s="406" cm="1">
        <f t="array" ref="J79">INDEX(implementatie[[2023]:[2034]],MATCH(G79, implementatie[Zoeksleutel],0),I79)</f>
        <v>0.94934060668263687</v>
      </c>
      <c r="K79" s="406" cm="1">
        <f t="array" ref="K79">INDEX(implementatie[[2023]:[2034]],MATCH(G79,implementatie[Zoeksleutel],0),I79 + 1)</f>
        <v>0.9722489501493069</v>
      </c>
      <c r="L7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26581.536987113832</v>
      </c>
      <c r="M79" s="398" cm="1">
        <f t="array" ref="M79">J79*INDEX(Berekening_impact[Totaal arbeidsbesparing (€/jaar)],MATCH(B79,IF(Berekening_impact[Doelgroep]=C79,Berekening_impact[Digitale zorgtoepassing]),0))</f>
        <v>2895534.7984674061</v>
      </c>
      <c r="N79" s="397" cm="1">
        <f t="array" ref="N79">J79*INDEX(Berekening_impact[Totaal arbeidsbesparing (FTE/jaar)],MATCH(B79,IF(Berekening_impact[Doelgroep]=C79,Berekening_impact[Digitale zorgtoepassing]),0))</f>
        <v>15.263281032015261</v>
      </c>
      <c r="O79" s="398" cm="1">
        <f t="array" ref="O79">J79*INDEX(Berekening_impact[Overige kostenbesparing (totaal/jaar totaal potentieel)],MATCH(B79,IF(Berekening_impact[Doelgroep]=C79,Berekening_impact[Digitale zorgtoepassing]),0))</f>
        <v>1930356.5323116039</v>
      </c>
      <c r="P79" s="398" cm="1">
        <f t="array" ref="P79">J79*INDEX(Berekening_impact[Opbrengsten door QALY''s],MATCH(B79,IF(Berekening_impact[Doelgroep]=C79,Berekening_impact[Digitale zorgtoepassing]),0))</f>
        <v>38039096.033283591</v>
      </c>
      <c r="Q79" s="398" cm="1">
        <f t="array" ref="Q79">J79*INDEX(Berekening_impact[Jaarlijkse kosten (totaal) - incl. schatting],MATCH(B79,IF(Berekening_impact[Doelgroep]=C79,Berekening_impact[Digitale zorgtoepassing]),0))</f>
        <v>3056876.7535180906</v>
      </c>
      <c r="R79" s="398" cm="1">
        <f t="array" ref="R79">(uitkomst_doelgroep[[#This Row],[Implementatiegraad t = T + 1]]-uitkomst_doelgroep[[#This Row],[Implementatiegraad t = T]])*INDEX(Berekening_impact[Initiële investering (totaal) - incl. schatting],MATCH(B79,IF(Berekening_impact[Doelgroep]=C79,Berekening_impact[Digitale zorgtoepassing]),0))</f>
        <v>134989.70471169983</v>
      </c>
      <c r="S79" s="398">
        <f>uitkomst_doelgroep[[#This Row],[Arbeidsbesparing (€)]]*uitkomst_doelgroep[[#This Row],[Percentage van patiëntaantallen in Wlz (overige is Zvw)]]</f>
        <v>0</v>
      </c>
      <c r="T79" s="398">
        <f>uitkomst_doelgroep[[#This Row],[Overige besparingen (€)]]*uitkomst_doelgroep[[#This Row],[Percentage van patiëntaantallen in Wlz (overige is Zvw)]]</f>
        <v>0</v>
      </c>
      <c r="U79" s="398">
        <f>uitkomst_doelgroep[[#This Row],[Kosten (€)]]*uitkomst_doelgroep[[#This Row],[Percentage van patiëntaantallen in Wlz (overige is Zvw)]]</f>
        <v>0</v>
      </c>
      <c r="V79" s="398">
        <f>uitkomst_doelgroep[[#This Row],[Investering (cash flow) (€)]]*uitkomst_doelgroep[[#This Row],[Percentage van patiëntaantallen in Wlz (overige is Zvw)]]</f>
        <v>0</v>
      </c>
    </row>
    <row r="80" spans="1:22" x14ac:dyDescent="0.5">
      <c r="A80" s="33" t="str">
        <f>INDEX(Technologieën[Veld],MATCH(B80,Technologieën[Digitale zorgtoepassing],0))</f>
        <v>Software - Behandeling</v>
      </c>
      <c r="B80" s="33" t="s">
        <v>609</v>
      </c>
      <c r="C80" s="33" t="s">
        <v>94</v>
      </c>
      <c r="D80" s="427" cm="1">
        <f t="array" ref="D80">INDEX(Berekening_patiëntaantal[Percentage van patiëntaantallen in Wlz (overige is Zvw)],MATCH(B80,IF(Berekening_patiëntaantal[Doelgroep (zoeksleutel)]=C80,Berekening_patiëntaantal[Digitale zorgtoepassing]),0))</f>
        <v>0</v>
      </c>
      <c r="E80" s="33" t="str" cm="1">
        <f t="array" ref="E80">INDEX(Berekening_patiëntaantal[Direct toepasbaar/extrapolatie/incidentie voor QALY],MATCH(B80,IF(Berekening_patiëntaantal[Doelgroep (zoeksleutel)]=C80,Berekening_patiëntaantal[Digitale zorgtoepassing]),0))</f>
        <v>Huidige toepassing</v>
      </c>
      <c r="F80" s="43" t="s">
        <v>812</v>
      </c>
      <c r="G80" s="33" t="str">
        <f>CONCATENATE(uitkomst_doelgroep[[#This Row],[Digitale zorgtoepassing]],"_",uitkomst_doelgroep[[#This Row],[Doelgroep]],"_",uitkomst_doelgroep[[#This Row],[Uitgangssituatie/effect beleid]])</f>
        <v>(Zelf)zorgplatform + telebegeleiding_Hypertensie_Effect beleid</v>
      </c>
      <c r="H80" s="33">
        <v>2032</v>
      </c>
      <c r="I80" s="32">
        <v>10</v>
      </c>
      <c r="J80" s="406" cm="1">
        <f t="array" ref="J80">INDEX(implementatie[[2023]:[2034]],MATCH(G80, implementatie[Zoeksleutel],0),I80)</f>
        <v>0.9722489501493069</v>
      </c>
      <c r="K80" s="406" cm="1">
        <f t="array" ref="K80">INDEX(implementatie[[2023]:[2034]],MATCH(G80,implementatie[Zoeksleutel],0),I80 + 1)</f>
        <v>0.98508414448286907</v>
      </c>
      <c r="L8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27222.970604180595</v>
      </c>
      <c r="M80" s="398" cm="1">
        <f t="array" ref="M80">J80*INDEX(Berekening_impact[Totaal arbeidsbesparing (€/jaar)],MATCH(B80,IF(Berekening_impact[Doelgroep]=C80,Berekening_impact[Digitale zorgtoepassing]),0))</f>
        <v>2965406.3548045736</v>
      </c>
      <c r="N80" s="397" cm="1">
        <f t="array" ref="N80">J80*INDEX(Berekening_impact[Totaal arbeidsbesparing (FTE/jaar)],MATCH(B80,IF(Berekening_impact[Doelgroep]=C80,Berekening_impact[Digitale zorgtoepassing]),0))</f>
        <v>15.631596136044729</v>
      </c>
      <c r="O80" s="398" cm="1">
        <f t="array" ref="O80">J80*INDEX(Berekening_impact[Overige kostenbesparing (totaal/jaar totaal potentieel)],MATCH(B80,IF(Berekening_impact[Doelgroep]=C80,Berekening_impact[Digitale zorgtoepassing]),0))</f>
        <v>1976937.5698697155</v>
      </c>
      <c r="P80" s="398" cm="1">
        <f t="array" ref="P80">J80*INDEX(Berekening_impact[Opbrengsten door QALY''s],MATCH(B80,IF(Berekening_impact[Doelgroep]=C80,Berekening_impact[Digitale zorgtoepassing]),0))</f>
        <v>38957009.657706715</v>
      </c>
      <c r="Q80" s="398" cm="1">
        <f t="array" ref="Q80">J80*INDEX(Berekening_impact[Jaarlijkse kosten (totaal) - incl. schatting],MATCH(B80,IF(Berekening_impact[Doelgroep]=C80,Berekening_impact[Digitale zorgtoepassing]),0))</f>
        <v>3130641.6194807682</v>
      </c>
      <c r="R80" s="398" cm="1">
        <f t="array" ref="R80">(uitkomst_doelgroep[[#This Row],[Implementatiegraad t = T + 1]]-uitkomst_doelgroep[[#This Row],[Implementatiegraad t = T]])*INDEX(Berekening_impact[Initiële investering (totaal) - incl. schatting],MATCH(B80,IF(Berekening_impact[Doelgroep]=C80,Berekening_impact[Digitale zorgtoepassing]),0))</f>
        <v>75632.666129948455</v>
      </c>
      <c r="S80" s="398">
        <f>uitkomst_doelgroep[[#This Row],[Arbeidsbesparing (€)]]*uitkomst_doelgroep[[#This Row],[Percentage van patiëntaantallen in Wlz (overige is Zvw)]]</f>
        <v>0</v>
      </c>
      <c r="T80" s="398">
        <f>uitkomst_doelgroep[[#This Row],[Overige besparingen (€)]]*uitkomst_doelgroep[[#This Row],[Percentage van patiëntaantallen in Wlz (overige is Zvw)]]</f>
        <v>0</v>
      </c>
      <c r="U80" s="398">
        <f>uitkomst_doelgroep[[#This Row],[Kosten (€)]]*uitkomst_doelgroep[[#This Row],[Percentage van patiëntaantallen in Wlz (overige is Zvw)]]</f>
        <v>0</v>
      </c>
      <c r="V80" s="398">
        <f>uitkomst_doelgroep[[#This Row],[Investering (cash flow) (€)]]*uitkomst_doelgroep[[#This Row],[Percentage van patiëntaantallen in Wlz (overige is Zvw)]]</f>
        <v>0</v>
      </c>
    </row>
    <row r="81" spans="1:22" x14ac:dyDescent="0.5">
      <c r="A81" s="33" t="str">
        <f>INDEX(Technologieën[Veld],MATCH(B81,Technologieën[Digitale zorgtoepassing],0))</f>
        <v>Software - Behandeling</v>
      </c>
      <c r="B81" s="33" t="s">
        <v>609</v>
      </c>
      <c r="C81" s="33" t="s">
        <v>94</v>
      </c>
      <c r="D81" s="427" cm="1">
        <f t="array" ref="D81">INDEX(Berekening_patiëntaantal[Percentage van patiëntaantallen in Wlz (overige is Zvw)],MATCH(B81,IF(Berekening_patiëntaantal[Doelgroep (zoeksleutel)]=C81,Berekening_patiëntaantal[Digitale zorgtoepassing]),0))</f>
        <v>0</v>
      </c>
      <c r="E81" s="33" t="str" cm="1">
        <f t="array" ref="E81">INDEX(Berekening_patiëntaantal[Direct toepasbaar/extrapolatie/incidentie voor QALY],MATCH(B81,IF(Berekening_patiëntaantal[Doelgroep (zoeksleutel)]=C81,Berekening_patiëntaantal[Digitale zorgtoepassing]),0))</f>
        <v>Huidige toepassing</v>
      </c>
      <c r="F81" s="43" t="s">
        <v>812</v>
      </c>
      <c r="G81" s="33" t="str">
        <f>CONCATENATE(uitkomst_doelgroep[[#This Row],[Digitale zorgtoepassing]],"_",uitkomst_doelgroep[[#This Row],[Doelgroep]],"_",uitkomst_doelgroep[[#This Row],[Uitgangssituatie/effect beleid]])</f>
        <v>(Zelf)zorgplatform + telebegeleiding_Hypertensie_Effect beleid</v>
      </c>
      <c r="H81" s="33">
        <v>2033</v>
      </c>
      <c r="I81" s="32">
        <v>11</v>
      </c>
      <c r="J81" s="406" cm="1">
        <f t="array" ref="J81">INDEX(implementatie[[2023]:[2034]],MATCH(G81, implementatie[Zoeksleutel],0),I81)</f>
        <v>0.98508414448286907</v>
      </c>
      <c r="K81" s="406" cm="1">
        <f t="array" ref="K81">INDEX(implementatie[[2023]:[2034]],MATCH(G81,implementatie[Zoeksleutel],0),I81 + 1)</f>
        <v>0.99206905861789263</v>
      </c>
      <c r="L8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27582.356045520333</v>
      </c>
      <c r="M81" s="398" cm="1">
        <f t="array" ref="M81">J81*INDEX(Berekening_impact[Totaal arbeidsbesparing (€/jaar)],MATCH(B81,IF(Berekening_impact[Doelgroep]=C81,Berekening_impact[Digitale zorgtoepassing]),0))</f>
        <v>3004554.3187453439</v>
      </c>
      <c r="N81" s="397" cm="1">
        <f t="array" ref="N81">J81*INDEX(Berekening_impact[Totaal arbeidsbesparing (FTE/jaar)],MATCH(B81,IF(Berekening_impact[Doelgroep]=C81,Berekening_impact[Digitale zorgtoepassing]),0))</f>
        <v>15.837957453399799</v>
      </c>
      <c r="O81" s="398" cm="1">
        <f t="array" ref="O81">J81*INDEX(Berekening_impact[Overige kostenbesparing (totaal/jaar totaal potentieel)],MATCH(B81,IF(Berekening_impact[Doelgroep]=C81,Berekening_impact[Digitale zorgtoepassing]),0))</f>
        <v>2003036.2124968956</v>
      </c>
      <c r="P81" s="398" cm="1">
        <f t="array" ref="P81">J81*INDEX(Berekening_impact[Opbrengsten door QALY''s],MATCH(B81,IF(Berekening_impact[Doelgroep]=C81,Berekening_impact[Digitale zorgtoepassing]),0))</f>
        <v>39471302.616865307</v>
      </c>
      <c r="Q81" s="398" cm="1">
        <f t="array" ref="Q81">J81*INDEX(Berekening_impact[Jaarlijkse kosten (totaal) - incl. schatting],MATCH(B81,IF(Berekening_impact[Doelgroep]=C81,Berekening_impact[Digitale zorgtoepassing]),0))</f>
        <v>3171970.9452348384</v>
      </c>
      <c r="R81" s="398" cm="1">
        <f t="array" ref="R81">(uitkomst_doelgroep[[#This Row],[Implementatiegraad t = T + 1]]-uitkomst_doelgroep[[#This Row],[Implementatiegraad t = T]])*INDEX(Berekening_impact[Initiële investering (totaal) - incl. schatting],MATCH(B81,IF(Berekening_impact[Doelgroep]=C81,Berekening_impact[Digitale zorgtoepassing]),0))</f>
        <v>41159.305032039811</v>
      </c>
      <c r="S81" s="398">
        <f>uitkomst_doelgroep[[#This Row],[Arbeidsbesparing (€)]]*uitkomst_doelgroep[[#This Row],[Percentage van patiëntaantallen in Wlz (overige is Zvw)]]</f>
        <v>0</v>
      </c>
      <c r="T81" s="398">
        <f>uitkomst_doelgroep[[#This Row],[Overige besparingen (€)]]*uitkomst_doelgroep[[#This Row],[Percentage van patiëntaantallen in Wlz (overige is Zvw)]]</f>
        <v>0</v>
      </c>
      <c r="U81" s="398">
        <f>uitkomst_doelgroep[[#This Row],[Kosten (€)]]*uitkomst_doelgroep[[#This Row],[Percentage van patiëntaantallen in Wlz (overige is Zvw)]]</f>
        <v>0</v>
      </c>
      <c r="V81" s="398">
        <f>uitkomst_doelgroep[[#This Row],[Investering (cash flow) (€)]]*uitkomst_doelgroep[[#This Row],[Percentage van patiëntaantallen in Wlz (overige is Zvw)]]</f>
        <v>0</v>
      </c>
    </row>
    <row r="82" spans="1:22" x14ac:dyDescent="0.5">
      <c r="A82" s="33" t="str">
        <f>INDEX(Technologieën[Veld],MATCH(B82,Technologieën[Digitale zorgtoepassing],0))</f>
        <v>Software - Behandeling</v>
      </c>
      <c r="B82" s="33" t="s">
        <v>609</v>
      </c>
      <c r="C82" s="33" t="s">
        <v>109</v>
      </c>
      <c r="D82" s="427" cm="1">
        <f t="array" ref="D82">INDEX(Berekening_patiëntaantal[Percentage van patiëntaantallen in Wlz (overige is Zvw)],MATCH(B82,IF(Berekening_patiëntaantal[Doelgroep (zoeksleutel)]=C82,Berekening_patiëntaantal[Digitale zorgtoepassing]),0))</f>
        <v>0</v>
      </c>
      <c r="E82" s="33" t="str" cm="1">
        <f t="array" ref="E82">INDEX(Berekening_patiëntaantal[Direct toepasbaar/extrapolatie/incidentie voor QALY],MATCH(B82,IF(Berekening_patiëntaantal[Doelgroep (zoeksleutel)]=C82,Berekening_patiëntaantal[Digitale zorgtoepassing]),0))</f>
        <v>Huidige toepassing</v>
      </c>
      <c r="F82" s="43" t="s">
        <v>812</v>
      </c>
      <c r="G82" s="33" t="str">
        <f>CONCATENATE(uitkomst_doelgroep[[#This Row],[Digitale zorgtoepassing]],"_",uitkomst_doelgroep[[#This Row],[Doelgroep]],"_",uitkomst_doelgroep[[#This Row],[Uitgangssituatie/effect beleid]])</f>
        <v>(Zelf)zorgplatform + telebegeleiding_MS_Effect beleid</v>
      </c>
      <c r="H82" s="33">
        <v>2023</v>
      </c>
      <c r="I82" s="32">
        <v>1</v>
      </c>
      <c r="J82" s="406" cm="1">
        <f t="array" ref="J82">INDEX(implementatie[[2023]:[2034]],MATCH(G82, implementatie[Zoeksleutel],0),I82)</f>
        <v>0.4</v>
      </c>
      <c r="K82" s="406" cm="1">
        <f t="array" ref="K82">INDEX(implementatie[[2023]:[2034]],MATCH(G82,implementatie[Zoeksleutel],0),I82 + 1)</f>
        <v>0.52300000000000002</v>
      </c>
      <c r="L8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13600</v>
      </c>
      <c r="M82" s="398" cm="1">
        <f t="array" ref="M82">J82*INDEX(Berekening_impact[Totaal arbeidsbesparing (€/jaar)],MATCH(B82,IF(Berekening_impact[Doelgroep]=C82,Berekening_impact[Digitale zorgtoepassing]),0))</f>
        <v>0</v>
      </c>
      <c r="N82" s="397" cm="1">
        <f t="array" ref="N82">J82*INDEX(Berekening_impact[Totaal arbeidsbesparing (FTE/jaar)],MATCH(B82,IF(Berekening_impact[Doelgroep]=C82,Berekening_impact[Digitale zorgtoepassing]),0))</f>
        <v>0</v>
      </c>
      <c r="O82" s="398" cm="1">
        <f t="array" ref="O82">J82*INDEX(Berekening_impact[Overige kostenbesparing (totaal/jaar totaal potentieel)],MATCH(B82,IF(Berekening_impact[Doelgroep]=C82,Berekening_impact[Digitale zorgtoepassing]),0))</f>
        <v>0</v>
      </c>
      <c r="P82" s="398" cm="1">
        <f t="array" ref="P82">J82*INDEX(Berekening_impact[Opbrengsten door QALY''s],MATCH(B82,IF(Berekening_impact[Doelgroep]=C82,Berekening_impact[Digitale zorgtoepassing]),0))</f>
        <v>30056000</v>
      </c>
      <c r="Q82" s="398" cm="1">
        <f t="array" ref="Q82">J82*INDEX(Berekening_impact[Jaarlijkse kosten (totaal) - incl. schatting],MATCH(B82,IF(Berekening_impact[Doelgroep]=C82,Berekening_impact[Digitale zorgtoepassing]),0))</f>
        <v>11299152</v>
      </c>
      <c r="R82" s="398" cm="1">
        <f t="array" ref="R82">(uitkomst_doelgroep[[#This Row],[Implementatiegraad t = T + 1]]-uitkomst_doelgroep[[#This Row],[Implementatiegraad t = T]])*INDEX(Berekening_impact[Initiële investering (totaal) - incl. schatting],MATCH(B82,IF(Berekening_impact[Doelgroep]=C82,Berekening_impact[Digitale zorgtoepassing]),0))</f>
        <v>0</v>
      </c>
      <c r="S82" s="398">
        <f>uitkomst_doelgroep[[#This Row],[Arbeidsbesparing (€)]]*uitkomst_doelgroep[[#This Row],[Percentage van patiëntaantallen in Wlz (overige is Zvw)]]</f>
        <v>0</v>
      </c>
      <c r="T82" s="398">
        <f>uitkomst_doelgroep[[#This Row],[Overige besparingen (€)]]*uitkomst_doelgroep[[#This Row],[Percentage van patiëntaantallen in Wlz (overige is Zvw)]]</f>
        <v>0</v>
      </c>
      <c r="U82" s="398">
        <f>uitkomst_doelgroep[[#This Row],[Kosten (€)]]*uitkomst_doelgroep[[#This Row],[Percentage van patiëntaantallen in Wlz (overige is Zvw)]]</f>
        <v>0</v>
      </c>
      <c r="V82" s="398">
        <f>uitkomst_doelgroep[[#This Row],[Investering (cash flow) (€)]]*uitkomst_doelgroep[[#This Row],[Percentage van patiëntaantallen in Wlz (overige is Zvw)]]</f>
        <v>0</v>
      </c>
    </row>
    <row r="83" spans="1:22" x14ac:dyDescent="0.5">
      <c r="A83" s="33" t="str">
        <f>INDEX(Technologieën[Veld],MATCH(B83,Technologieën[Digitale zorgtoepassing],0))</f>
        <v>Software - Behandeling</v>
      </c>
      <c r="B83" s="33" t="s">
        <v>609</v>
      </c>
      <c r="C83" s="33" t="s">
        <v>109</v>
      </c>
      <c r="D83" s="427" cm="1">
        <f t="array" ref="D83">INDEX(Berekening_patiëntaantal[Percentage van patiëntaantallen in Wlz (overige is Zvw)],MATCH(B83,IF(Berekening_patiëntaantal[Doelgroep (zoeksleutel)]=C83,Berekening_patiëntaantal[Digitale zorgtoepassing]),0))</f>
        <v>0</v>
      </c>
      <c r="E83" s="33" t="str" cm="1">
        <f t="array" ref="E83">INDEX(Berekening_patiëntaantal[Direct toepasbaar/extrapolatie/incidentie voor QALY],MATCH(B83,IF(Berekening_patiëntaantal[Doelgroep (zoeksleutel)]=C83,Berekening_patiëntaantal[Digitale zorgtoepassing]),0))</f>
        <v>Huidige toepassing</v>
      </c>
      <c r="F83" s="43" t="s">
        <v>812</v>
      </c>
      <c r="G83" s="33" t="str">
        <f>CONCATENATE(uitkomst_doelgroep[[#This Row],[Digitale zorgtoepassing]],"_",uitkomst_doelgroep[[#This Row],[Doelgroep]],"_",uitkomst_doelgroep[[#This Row],[Uitgangssituatie/effect beleid]])</f>
        <v>(Zelf)zorgplatform + telebegeleiding_MS_Effect beleid</v>
      </c>
      <c r="H83" s="33">
        <v>2024</v>
      </c>
      <c r="I83" s="32">
        <v>2</v>
      </c>
      <c r="J83" s="406" cm="1">
        <f t="array" ref="J83">INDEX(implementatie[[2023]:[2034]],MATCH(G83, implementatie[Zoeksleutel],0),I83)</f>
        <v>0.52300000000000002</v>
      </c>
      <c r="K83" s="406" cm="1">
        <f t="array" ref="K83">INDEX(implementatie[[2023]:[2034]],MATCH(G83,implementatie[Zoeksleutel],0),I83 + 1)</f>
        <v>0.64718695000000004</v>
      </c>
      <c r="L8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17782</v>
      </c>
      <c r="M83" s="398" cm="1">
        <f t="array" ref="M83">J83*INDEX(Berekening_impact[Totaal arbeidsbesparing (€/jaar)],MATCH(B83,IF(Berekening_impact[Doelgroep]=C83,Berekening_impact[Digitale zorgtoepassing]),0))</f>
        <v>0</v>
      </c>
      <c r="N83" s="397" cm="1">
        <f t="array" ref="N83">J83*INDEX(Berekening_impact[Totaal arbeidsbesparing (FTE/jaar)],MATCH(B83,IF(Berekening_impact[Doelgroep]=C83,Berekening_impact[Digitale zorgtoepassing]),0))</f>
        <v>0</v>
      </c>
      <c r="O83" s="398" cm="1">
        <f t="array" ref="O83">J83*INDEX(Berekening_impact[Overige kostenbesparing (totaal/jaar totaal potentieel)],MATCH(B83,IF(Berekening_impact[Doelgroep]=C83,Berekening_impact[Digitale zorgtoepassing]),0))</f>
        <v>0</v>
      </c>
      <c r="P83" s="398" cm="1">
        <f t="array" ref="P83">J83*INDEX(Berekening_impact[Opbrengsten door QALY''s],MATCH(B83,IF(Berekening_impact[Doelgroep]=C83,Berekening_impact[Digitale zorgtoepassing]),0))</f>
        <v>39298220</v>
      </c>
      <c r="Q83" s="398" cm="1">
        <f t="array" ref="Q83">J83*INDEX(Berekening_impact[Jaarlijkse kosten (totaal) - incl. schatting],MATCH(B83,IF(Berekening_impact[Doelgroep]=C83,Berekening_impact[Digitale zorgtoepassing]),0))</f>
        <v>14773641.239999998</v>
      </c>
      <c r="R83" s="398" cm="1">
        <f t="array" ref="R83">(uitkomst_doelgroep[[#This Row],[Implementatiegraad t = T + 1]]-uitkomst_doelgroep[[#This Row],[Implementatiegraad t = T]])*INDEX(Berekening_impact[Initiële investering (totaal) - incl. schatting],MATCH(B83,IF(Berekening_impact[Doelgroep]=C83,Berekening_impact[Digitale zorgtoepassing]),0))</f>
        <v>0</v>
      </c>
      <c r="S83" s="398">
        <f>uitkomst_doelgroep[[#This Row],[Arbeidsbesparing (€)]]*uitkomst_doelgroep[[#This Row],[Percentage van patiëntaantallen in Wlz (overige is Zvw)]]</f>
        <v>0</v>
      </c>
      <c r="T83" s="398">
        <f>uitkomst_doelgroep[[#This Row],[Overige besparingen (€)]]*uitkomst_doelgroep[[#This Row],[Percentage van patiëntaantallen in Wlz (overige is Zvw)]]</f>
        <v>0</v>
      </c>
      <c r="U83" s="398">
        <f>uitkomst_doelgroep[[#This Row],[Kosten (€)]]*uitkomst_doelgroep[[#This Row],[Percentage van patiëntaantallen in Wlz (overige is Zvw)]]</f>
        <v>0</v>
      </c>
      <c r="V83" s="398">
        <f>uitkomst_doelgroep[[#This Row],[Investering (cash flow) (€)]]*uitkomst_doelgroep[[#This Row],[Percentage van patiëntaantallen in Wlz (overige is Zvw)]]</f>
        <v>0</v>
      </c>
    </row>
    <row r="84" spans="1:22" x14ac:dyDescent="0.5">
      <c r="A84" s="33" t="str">
        <f>INDEX(Technologieën[Veld],MATCH(B84,Technologieën[Digitale zorgtoepassing],0))</f>
        <v>Software - Behandeling</v>
      </c>
      <c r="B84" s="33" t="s">
        <v>609</v>
      </c>
      <c r="C84" s="33" t="s">
        <v>109</v>
      </c>
      <c r="D84" s="427" cm="1">
        <f t="array" ref="D84">INDEX(Berekening_patiëntaantal[Percentage van patiëntaantallen in Wlz (overige is Zvw)],MATCH(B84,IF(Berekening_patiëntaantal[Doelgroep (zoeksleutel)]=C84,Berekening_patiëntaantal[Digitale zorgtoepassing]),0))</f>
        <v>0</v>
      </c>
      <c r="E84" s="33" t="str" cm="1">
        <f t="array" ref="E84">INDEX(Berekening_patiëntaantal[Direct toepasbaar/extrapolatie/incidentie voor QALY],MATCH(B84,IF(Berekening_patiëntaantal[Doelgroep (zoeksleutel)]=C84,Berekening_patiëntaantal[Digitale zorgtoepassing]),0))</f>
        <v>Huidige toepassing</v>
      </c>
      <c r="F84" s="43" t="s">
        <v>812</v>
      </c>
      <c r="G84" s="33" t="str">
        <f>CONCATENATE(uitkomst_doelgroep[[#This Row],[Digitale zorgtoepassing]],"_",uitkomst_doelgroep[[#This Row],[Doelgroep]],"_",uitkomst_doelgroep[[#This Row],[Uitgangssituatie/effect beleid]])</f>
        <v>(Zelf)zorgplatform + telebegeleiding_MS_Effect beleid</v>
      </c>
      <c r="H84" s="33">
        <v>2025</v>
      </c>
      <c r="I84" s="32">
        <v>3</v>
      </c>
      <c r="J84" s="406" cm="1">
        <f t="array" ref="J84">INDEX(implementatie[[2023]:[2034]],MATCH(G84, implementatie[Zoeksleutel],0),I84)</f>
        <v>0.64718695000000004</v>
      </c>
      <c r="K84" s="406" cm="1">
        <f t="array" ref="K84">INDEX(implementatie[[2023]:[2034]],MATCH(G84,implementatie[Zoeksleutel],0),I84 + 1)</f>
        <v>0.75875847703736388</v>
      </c>
      <c r="L8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22004.356300000003</v>
      </c>
      <c r="M84" s="398" cm="1">
        <f t="array" ref="M84">J84*INDEX(Berekening_impact[Totaal arbeidsbesparing (€/jaar)],MATCH(B84,IF(Berekening_impact[Doelgroep]=C84,Berekening_impact[Digitale zorgtoepassing]),0))</f>
        <v>0</v>
      </c>
      <c r="N84" s="397" cm="1">
        <f t="array" ref="N84">J84*INDEX(Berekening_impact[Totaal arbeidsbesparing (FTE/jaar)],MATCH(B84,IF(Berekening_impact[Doelgroep]=C84,Berekening_impact[Digitale zorgtoepassing]),0))</f>
        <v>0</v>
      </c>
      <c r="O84" s="398" cm="1">
        <f t="array" ref="O84">J84*INDEX(Berekening_impact[Overige kostenbesparing (totaal/jaar totaal potentieel)],MATCH(B84,IF(Berekening_impact[Doelgroep]=C84,Berekening_impact[Digitale zorgtoepassing]),0))</f>
        <v>0</v>
      </c>
      <c r="P84" s="398" cm="1">
        <f t="array" ref="P84">J84*INDEX(Berekening_impact[Opbrengsten door QALY''s],MATCH(B84,IF(Berekening_impact[Doelgroep]=C84,Berekening_impact[Digitale zorgtoepassing]),0))</f>
        <v>48629627.423</v>
      </c>
      <c r="Q84" s="398" cm="1">
        <f t="array" ref="Q84">J84*INDEX(Berekening_impact[Jaarlijkse kosten (totaal) - incl. schatting],MATCH(B84,IF(Berekening_impact[Doelgroep]=C84,Berekening_impact[Digitale zorgtoepassing]),0))</f>
        <v>18281659.301165998</v>
      </c>
      <c r="R84" s="398" cm="1">
        <f t="array" ref="R84">(uitkomst_doelgroep[[#This Row],[Implementatiegraad t = T + 1]]-uitkomst_doelgroep[[#This Row],[Implementatiegraad t = T]])*INDEX(Berekening_impact[Initiële investering (totaal) - incl. schatting],MATCH(B84,IF(Berekening_impact[Doelgroep]=C84,Berekening_impact[Digitale zorgtoepassing]),0))</f>
        <v>0</v>
      </c>
      <c r="S84" s="398">
        <f>uitkomst_doelgroep[[#This Row],[Arbeidsbesparing (€)]]*uitkomst_doelgroep[[#This Row],[Percentage van patiëntaantallen in Wlz (overige is Zvw)]]</f>
        <v>0</v>
      </c>
      <c r="T84" s="398">
        <f>uitkomst_doelgroep[[#This Row],[Overige besparingen (€)]]*uitkomst_doelgroep[[#This Row],[Percentage van patiëntaantallen in Wlz (overige is Zvw)]]</f>
        <v>0</v>
      </c>
      <c r="U84" s="398">
        <f>uitkomst_doelgroep[[#This Row],[Kosten (€)]]*uitkomst_doelgroep[[#This Row],[Percentage van patiëntaantallen in Wlz (overige is Zvw)]]</f>
        <v>0</v>
      </c>
      <c r="V84" s="398">
        <f>uitkomst_doelgroep[[#This Row],[Investering (cash flow) (€)]]*uitkomst_doelgroep[[#This Row],[Percentage van patiëntaantallen in Wlz (overige is Zvw)]]</f>
        <v>0</v>
      </c>
    </row>
    <row r="85" spans="1:22" x14ac:dyDescent="0.5">
      <c r="A85" s="33" t="str">
        <f>INDEX(Technologieën[Veld],MATCH(B85,Technologieën[Digitale zorgtoepassing],0))</f>
        <v>Software - Behandeling</v>
      </c>
      <c r="B85" s="33" t="s">
        <v>609</v>
      </c>
      <c r="C85" s="33" t="s">
        <v>109</v>
      </c>
      <c r="D85" s="427" cm="1">
        <f t="array" ref="D85">INDEX(Berekening_patiëntaantal[Percentage van patiëntaantallen in Wlz (overige is Zvw)],MATCH(B85,IF(Berekening_patiëntaantal[Doelgroep (zoeksleutel)]=C85,Berekening_patiëntaantal[Digitale zorgtoepassing]),0))</f>
        <v>0</v>
      </c>
      <c r="E85" s="33" t="str" cm="1">
        <f t="array" ref="E85">INDEX(Berekening_patiëntaantal[Direct toepasbaar/extrapolatie/incidentie voor QALY],MATCH(B85,IF(Berekening_patiëntaantal[Doelgroep (zoeksleutel)]=C85,Berekening_patiëntaantal[Digitale zorgtoepassing]),0))</f>
        <v>Huidige toepassing</v>
      </c>
      <c r="F85" s="43" t="s">
        <v>812</v>
      </c>
      <c r="G85" s="33" t="str">
        <f>CONCATENATE(uitkomst_doelgroep[[#This Row],[Digitale zorgtoepassing]],"_",uitkomst_doelgroep[[#This Row],[Doelgroep]],"_",uitkomst_doelgroep[[#This Row],[Uitgangssituatie/effect beleid]])</f>
        <v>(Zelf)zorgplatform + telebegeleiding_MS_Effect beleid</v>
      </c>
      <c r="H85" s="33">
        <v>2026</v>
      </c>
      <c r="I85" s="32">
        <v>4</v>
      </c>
      <c r="J85" s="406" cm="1">
        <f t="array" ref="J85">INDEX(implementatie[[2023]:[2034]],MATCH(G85, implementatie[Zoeksleutel],0),I85)</f>
        <v>0.75875847703736388</v>
      </c>
      <c r="K85" s="406" cm="1">
        <f t="array" ref="K85">INDEX(implementatie[[2023]:[2034]],MATCH(G85,implementatie[Zoeksleutel],0),I85 + 1)</f>
        <v>0.84715933786401665</v>
      </c>
      <c r="L8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25797.788219270373</v>
      </c>
      <c r="M85" s="398" cm="1">
        <f t="array" ref="M85">J85*INDEX(Berekening_impact[Totaal arbeidsbesparing (€/jaar)],MATCH(B85,IF(Berekening_impact[Doelgroep]=C85,Berekening_impact[Digitale zorgtoepassing]),0))</f>
        <v>0</v>
      </c>
      <c r="N85" s="397" cm="1">
        <f t="array" ref="N85">J85*INDEX(Berekening_impact[Totaal arbeidsbesparing (FTE/jaar)],MATCH(B85,IF(Berekening_impact[Doelgroep]=C85,Berekening_impact[Digitale zorgtoepassing]),0))</f>
        <v>0</v>
      </c>
      <c r="O85" s="398" cm="1">
        <f t="array" ref="O85">J85*INDEX(Berekening_impact[Overige kostenbesparing (totaal/jaar totaal potentieel)],MATCH(B85,IF(Berekening_impact[Doelgroep]=C85,Berekening_impact[Digitale zorgtoepassing]),0))</f>
        <v>0</v>
      </c>
      <c r="P85" s="398" cm="1">
        <f t="array" ref="P85">J85*INDEX(Berekening_impact[Opbrengsten door QALY''s],MATCH(B85,IF(Berekening_impact[Doelgroep]=C85,Berekening_impact[Digitale zorgtoepassing]),0))</f>
        <v>57013111.964587525</v>
      </c>
      <c r="Q85" s="398" cm="1">
        <f t="array" ref="Q85">J85*INDEX(Berekening_impact[Jaarlijkse kosten (totaal) - incl. schatting],MATCH(B85,IF(Berekening_impact[Doelgroep]=C85,Berekening_impact[Digitale zorgtoepassing]),0))</f>
        <v>21433318.408334207</v>
      </c>
      <c r="R85" s="398" cm="1">
        <f t="array" ref="R85">(uitkomst_doelgroep[[#This Row],[Implementatiegraad t = T + 1]]-uitkomst_doelgroep[[#This Row],[Implementatiegraad t = T]])*INDEX(Berekening_impact[Initiële investering (totaal) - incl. schatting],MATCH(B85,IF(Berekening_impact[Doelgroep]=C85,Berekening_impact[Digitale zorgtoepassing]),0))</f>
        <v>0</v>
      </c>
      <c r="S85" s="398">
        <f>uitkomst_doelgroep[[#This Row],[Arbeidsbesparing (€)]]*uitkomst_doelgroep[[#This Row],[Percentage van patiëntaantallen in Wlz (overige is Zvw)]]</f>
        <v>0</v>
      </c>
      <c r="T85" s="398">
        <f>uitkomst_doelgroep[[#This Row],[Overige besparingen (€)]]*uitkomst_doelgroep[[#This Row],[Percentage van patiëntaantallen in Wlz (overige is Zvw)]]</f>
        <v>0</v>
      </c>
      <c r="U85" s="398">
        <f>uitkomst_doelgroep[[#This Row],[Kosten (€)]]*uitkomst_doelgroep[[#This Row],[Percentage van patiëntaantallen in Wlz (overige is Zvw)]]</f>
        <v>0</v>
      </c>
      <c r="V85" s="398">
        <f>uitkomst_doelgroep[[#This Row],[Investering (cash flow) (€)]]*uitkomst_doelgroep[[#This Row],[Percentage van patiëntaantallen in Wlz (overige is Zvw)]]</f>
        <v>0</v>
      </c>
    </row>
    <row r="86" spans="1:22" x14ac:dyDescent="0.5">
      <c r="A86" s="33" t="str">
        <f>INDEX(Technologieën[Veld],MATCH(B86,Technologieën[Digitale zorgtoepassing],0))</f>
        <v>Software - Behandeling</v>
      </c>
      <c r="B86" s="33" t="s">
        <v>609</v>
      </c>
      <c r="C86" s="33" t="s">
        <v>109</v>
      </c>
      <c r="D86" s="427" cm="1">
        <f t="array" ref="D86">INDEX(Berekening_patiëntaantal[Percentage van patiëntaantallen in Wlz (overige is Zvw)],MATCH(B86,IF(Berekening_patiëntaantal[Doelgroep (zoeksleutel)]=C86,Berekening_patiëntaantal[Digitale zorgtoepassing]),0))</f>
        <v>0</v>
      </c>
      <c r="E86" s="33" t="str" cm="1">
        <f t="array" ref="E86">INDEX(Berekening_patiëntaantal[Direct toepasbaar/extrapolatie/incidentie voor QALY],MATCH(B86,IF(Berekening_patiëntaantal[Doelgroep (zoeksleutel)]=C86,Berekening_patiëntaantal[Digitale zorgtoepassing]),0))</f>
        <v>Huidige toepassing</v>
      </c>
      <c r="F86" s="43" t="s">
        <v>812</v>
      </c>
      <c r="G86" s="33" t="str">
        <f>CONCATENATE(uitkomst_doelgroep[[#This Row],[Digitale zorgtoepassing]],"_",uitkomst_doelgroep[[#This Row],[Doelgroep]],"_",uitkomst_doelgroep[[#This Row],[Uitgangssituatie/effect beleid]])</f>
        <v>(Zelf)zorgplatform + telebegeleiding_MS_Effect beleid</v>
      </c>
      <c r="H86" s="33">
        <v>2027</v>
      </c>
      <c r="I86" s="32">
        <v>5</v>
      </c>
      <c r="J86" s="406" cm="1">
        <f t="array" ref="J86">INDEX(implementatie[[2023]:[2034]],MATCH(G86, implementatie[Zoeksleutel],0),I86)</f>
        <v>0.84715933786401665</v>
      </c>
      <c r="K86" s="406" cm="1">
        <f t="array" ref="K86">INDEX(implementatie[[2023]:[2034]],MATCH(G86,implementatie[Zoeksleutel],0),I86 + 1)</f>
        <v>0.90924653177763415</v>
      </c>
      <c r="L8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28803.417487376566</v>
      </c>
      <c r="M86" s="398" cm="1">
        <f t="array" ref="M86">J86*INDEX(Berekening_impact[Totaal arbeidsbesparing (€/jaar)],MATCH(B86,IF(Berekening_impact[Doelgroep]=C86,Berekening_impact[Digitale zorgtoepassing]),0))</f>
        <v>0</v>
      </c>
      <c r="N86" s="397" cm="1">
        <f t="array" ref="N86">J86*INDEX(Berekening_impact[Totaal arbeidsbesparing (FTE/jaar)],MATCH(B86,IF(Berekening_impact[Doelgroep]=C86,Berekening_impact[Digitale zorgtoepassing]),0))</f>
        <v>0</v>
      </c>
      <c r="O86" s="398" cm="1">
        <f t="array" ref="O86">J86*INDEX(Berekening_impact[Overige kostenbesparing (totaal/jaar totaal potentieel)],MATCH(B86,IF(Berekening_impact[Doelgroep]=C86,Berekening_impact[Digitale zorgtoepassing]),0))</f>
        <v>0</v>
      </c>
      <c r="P86" s="398" cm="1">
        <f t="array" ref="P86">J86*INDEX(Berekening_impact[Opbrengsten door QALY''s],MATCH(B86,IF(Berekening_impact[Doelgroep]=C86,Berekening_impact[Digitale zorgtoepassing]),0))</f>
        <v>63655552.647102214</v>
      </c>
      <c r="Q86" s="398" cm="1">
        <f t="array" ref="Q86">J86*INDEX(Berekening_impact[Jaarlijkse kosten (totaal) - incl. schatting],MATCH(B86,IF(Berekening_impact[Doelgroep]=C86,Berekening_impact[Digitale zorgtoepassing]),0))</f>
        <v>23930455.316862196</v>
      </c>
      <c r="R86" s="398" cm="1">
        <f t="array" ref="R86">(uitkomst_doelgroep[[#This Row],[Implementatiegraad t = T + 1]]-uitkomst_doelgroep[[#This Row],[Implementatiegraad t = T]])*INDEX(Berekening_impact[Initiële investering (totaal) - incl. schatting],MATCH(B86,IF(Berekening_impact[Doelgroep]=C86,Berekening_impact[Digitale zorgtoepassing]),0))</f>
        <v>0</v>
      </c>
      <c r="S86" s="398">
        <f>uitkomst_doelgroep[[#This Row],[Arbeidsbesparing (€)]]*uitkomst_doelgroep[[#This Row],[Percentage van patiëntaantallen in Wlz (overige is Zvw)]]</f>
        <v>0</v>
      </c>
      <c r="T86" s="398">
        <f>uitkomst_doelgroep[[#This Row],[Overige besparingen (€)]]*uitkomst_doelgroep[[#This Row],[Percentage van patiëntaantallen in Wlz (overige is Zvw)]]</f>
        <v>0</v>
      </c>
      <c r="U86" s="398">
        <f>uitkomst_doelgroep[[#This Row],[Kosten (€)]]*uitkomst_doelgroep[[#This Row],[Percentage van patiëntaantallen in Wlz (overige is Zvw)]]</f>
        <v>0</v>
      </c>
      <c r="V86" s="398">
        <f>uitkomst_doelgroep[[#This Row],[Investering (cash flow) (€)]]*uitkomst_doelgroep[[#This Row],[Percentage van patiëntaantallen in Wlz (overige is Zvw)]]</f>
        <v>0</v>
      </c>
    </row>
    <row r="87" spans="1:22" x14ac:dyDescent="0.5">
      <c r="A87" s="33" t="str">
        <f>INDEX(Technologieën[Veld],MATCH(B87,Technologieën[Digitale zorgtoepassing],0))</f>
        <v>Software - Behandeling</v>
      </c>
      <c r="B87" s="33" t="s">
        <v>609</v>
      </c>
      <c r="C87" s="33" t="s">
        <v>109</v>
      </c>
      <c r="D87" s="427" cm="1">
        <f t="array" ref="D87">INDEX(Berekening_patiëntaantal[Percentage van patiëntaantallen in Wlz (overige is Zvw)],MATCH(B87,IF(Berekening_patiëntaantal[Doelgroep (zoeksleutel)]=C87,Berekening_patiëntaantal[Digitale zorgtoepassing]),0))</f>
        <v>0</v>
      </c>
      <c r="E87" s="33" t="str" cm="1">
        <f t="array" ref="E87">INDEX(Berekening_patiëntaantal[Direct toepasbaar/extrapolatie/incidentie voor QALY],MATCH(B87,IF(Berekening_patiëntaantal[Doelgroep (zoeksleutel)]=C87,Berekening_patiëntaantal[Digitale zorgtoepassing]),0))</f>
        <v>Huidige toepassing</v>
      </c>
      <c r="F87" s="43" t="s">
        <v>812</v>
      </c>
      <c r="G87" s="33" t="str">
        <f>CONCATENATE(uitkomst_doelgroep[[#This Row],[Digitale zorgtoepassing]],"_",uitkomst_doelgroep[[#This Row],[Doelgroep]],"_",uitkomst_doelgroep[[#This Row],[Uitgangssituatie/effect beleid]])</f>
        <v>(Zelf)zorgplatform + telebegeleiding_MS_Effect beleid</v>
      </c>
      <c r="H87" s="33">
        <v>2028</v>
      </c>
      <c r="I87" s="32">
        <v>6</v>
      </c>
      <c r="J87" s="406" cm="1">
        <f t="array" ref="J87">INDEX(implementatie[[2023]:[2034]],MATCH(G87, implementatie[Zoeksleutel],0),I87)</f>
        <v>0.90924653177763415</v>
      </c>
      <c r="K87" s="406" cm="1">
        <f t="array" ref="K87">INDEX(implementatie[[2023]:[2034]],MATCH(G87,implementatie[Zoeksleutel],0),I87 + 1)</f>
        <v>0.94864814278578335</v>
      </c>
      <c r="L8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30914.382080439562</v>
      </c>
      <c r="M87" s="398" cm="1">
        <f t="array" ref="M87">J87*INDEX(Berekening_impact[Totaal arbeidsbesparing (€/jaar)],MATCH(B87,IF(Berekening_impact[Doelgroep]=C87,Berekening_impact[Digitale zorgtoepassing]),0))</f>
        <v>0</v>
      </c>
      <c r="N87" s="397" cm="1">
        <f t="array" ref="N87">J87*INDEX(Berekening_impact[Totaal arbeidsbesparing (FTE/jaar)],MATCH(B87,IF(Berekening_impact[Doelgroep]=C87,Berekening_impact[Digitale zorgtoepassing]),0))</f>
        <v>0</v>
      </c>
      <c r="O87" s="398" cm="1">
        <f t="array" ref="O87">J87*INDEX(Berekening_impact[Overige kostenbesparing (totaal/jaar totaal potentieel)],MATCH(B87,IF(Berekening_impact[Doelgroep]=C87,Berekening_impact[Digitale zorgtoepassing]),0))</f>
        <v>0</v>
      </c>
      <c r="P87" s="398" cm="1">
        <f t="array" ref="P87">J87*INDEX(Berekening_impact[Opbrengsten door QALY''s],MATCH(B87,IF(Berekening_impact[Doelgroep]=C87,Berekening_impact[Digitale zorgtoepassing]),0))</f>
        <v>68320784.397771433</v>
      </c>
      <c r="Q87" s="398" cm="1">
        <f t="array" ref="Q87">J87*INDEX(Berekening_impact[Jaarlijkse kosten (totaal) - incl. schatting],MATCH(B87,IF(Berekening_impact[Doelgroep]=C87,Berekening_impact[Digitale zorgtoepassing]),0))</f>
        <v>25684286.920070793</v>
      </c>
      <c r="R87" s="398" cm="1">
        <f t="array" ref="R87">(uitkomst_doelgroep[[#This Row],[Implementatiegraad t = T + 1]]-uitkomst_doelgroep[[#This Row],[Implementatiegraad t = T]])*INDEX(Berekening_impact[Initiële investering (totaal) - incl. schatting],MATCH(B87,IF(Berekening_impact[Doelgroep]=C87,Berekening_impact[Digitale zorgtoepassing]),0))</f>
        <v>0</v>
      </c>
      <c r="S87" s="398">
        <f>uitkomst_doelgroep[[#This Row],[Arbeidsbesparing (€)]]*uitkomst_doelgroep[[#This Row],[Percentage van patiëntaantallen in Wlz (overige is Zvw)]]</f>
        <v>0</v>
      </c>
      <c r="T87" s="398">
        <f>uitkomst_doelgroep[[#This Row],[Overige besparingen (€)]]*uitkomst_doelgroep[[#This Row],[Percentage van patiëntaantallen in Wlz (overige is Zvw)]]</f>
        <v>0</v>
      </c>
      <c r="U87" s="398">
        <f>uitkomst_doelgroep[[#This Row],[Kosten (€)]]*uitkomst_doelgroep[[#This Row],[Percentage van patiëntaantallen in Wlz (overige is Zvw)]]</f>
        <v>0</v>
      </c>
      <c r="V87" s="398">
        <f>uitkomst_doelgroep[[#This Row],[Investering (cash flow) (€)]]*uitkomst_doelgroep[[#This Row],[Percentage van patiëntaantallen in Wlz (overige is Zvw)]]</f>
        <v>0</v>
      </c>
    </row>
    <row r="88" spans="1:22" x14ac:dyDescent="0.5">
      <c r="A88" s="33" t="str">
        <f>INDEX(Technologieën[Veld],MATCH(B88,Technologieën[Digitale zorgtoepassing],0))</f>
        <v>Software - Behandeling</v>
      </c>
      <c r="B88" s="33" t="s">
        <v>609</v>
      </c>
      <c r="C88" s="33" t="s">
        <v>109</v>
      </c>
      <c r="D88" s="427" cm="1">
        <f t="array" ref="D88">INDEX(Berekening_patiëntaantal[Percentage van patiëntaantallen in Wlz (overige is Zvw)],MATCH(B88,IF(Berekening_patiëntaantal[Doelgroep (zoeksleutel)]=C88,Berekening_patiëntaantal[Digitale zorgtoepassing]),0))</f>
        <v>0</v>
      </c>
      <c r="E88" s="33" t="str" cm="1">
        <f t="array" ref="E88">INDEX(Berekening_patiëntaantal[Direct toepasbaar/extrapolatie/incidentie voor QALY],MATCH(B88,IF(Berekening_patiëntaantal[Doelgroep (zoeksleutel)]=C88,Berekening_patiëntaantal[Digitale zorgtoepassing]),0))</f>
        <v>Huidige toepassing</v>
      </c>
      <c r="F88" s="43" t="s">
        <v>812</v>
      </c>
      <c r="G88" s="33" t="str">
        <f>CONCATENATE(uitkomst_doelgroep[[#This Row],[Digitale zorgtoepassing]],"_",uitkomst_doelgroep[[#This Row],[Doelgroep]],"_",uitkomst_doelgroep[[#This Row],[Uitgangssituatie/effect beleid]])</f>
        <v>(Zelf)zorgplatform + telebegeleiding_MS_Effect beleid</v>
      </c>
      <c r="H88" s="33">
        <v>2029</v>
      </c>
      <c r="I88" s="32">
        <v>7</v>
      </c>
      <c r="J88" s="406" cm="1">
        <f t="array" ref="J88">INDEX(implementatie[[2023]:[2034]],MATCH(G88, implementatie[Zoeksleutel],0),I88)</f>
        <v>0.94864814278578335</v>
      </c>
      <c r="K88" s="406" cm="1">
        <f t="array" ref="K88">INDEX(implementatie[[2023]:[2034]],MATCH(G88,implementatie[Zoeksleutel],0),I88 + 1)</f>
        <v>0.97185361900482903</v>
      </c>
      <c r="L8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32254.036854716633</v>
      </c>
      <c r="M88" s="398" cm="1">
        <f t="array" ref="M88">J88*INDEX(Berekening_impact[Totaal arbeidsbesparing (€/jaar)],MATCH(B88,IF(Berekening_impact[Doelgroep]=C88,Berekening_impact[Digitale zorgtoepassing]),0))</f>
        <v>0</v>
      </c>
      <c r="N88" s="397" cm="1">
        <f t="array" ref="N88">J88*INDEX(Berekening_impact[Totaal arbeidsbesparing (FTE/jaar)],MATCH(B88,IF(Berekening_impact[Doelgroep]=C88,Berekening_impact[Digitale zorgtoepassing]),0))</f>
        <v>0</v>
      </c>
      <c r="O88" s="398" cm="1">
        <f t="array" ref="O88">J88*INDEX(Berekening_impact[Overige kostenbesparing (totaal/jaar totaal potentieel)],MATCH(B88,IF(Berekening_impact[Doelgroep]=C88,Berekening_impact[Digitale zorgtoepassing]),0))</f>
        <v>0</v>
      </c>
      <c r="P88" s="398" cm="1">
        <f t="array" ref="P88">J88*INDEX(Berekening_impact[Opbrengsten door QALY''s],MATCH(B88,IF(Berekening_impact[Doelgroep]=C88,Berekening_impact[Digitale zorgtoepassing]),0))</f>
        <v>71281421.448923767</v>
      </c>
      <c r="Q88" s="398" cm="1">
        <f t="array" ref="Q88">J88*INDEX(Berekening_impact[Jaarlijkse kosten (totaal) - incl. schatting],MATCH(B88,IF(Berekening_impact[Doelgroep]=C88,Berekening_impact[Digitale zorgtoepassing]),0))</f>
        <v>26797298.899635669</v>
      </c>
      <c r="R88" s="398" cm="1">
        <f t="array" ref="R88">(uitkomst_doelgroep[[#This Row],[Implementatiegraad t = T + 1]]-uitkomst_doelgroep[[#This Row],[Implementatiegraad t = T]])*INDEX(Berekening_impact[Initiële investering (totaal) - incl. schatting],MATCH(B88,IF(Berekening_impact[Doelgroep]=C88,Berekening_impact[Digitale zorgtoepassing]),0))</f>
        <v>0</v>
      </c>
      <c r="S88" s="398">
        <f>uitkomst_doelgroep[[#This Row],[Arbeidsbesparing (€)]]*uitkomst_doelgroep[[#This Row],[Percentage van patiëntaantallen in Wlz (overige is Zvw)]]</f>
        <v>0</v>
      </c>
      <c r="T88" s="398">
        <f>uitkomst_doelgroep[[#This Row],[Overige besparingen (€)]]*uitkomst_doelgroep[[#This Row],[Percentage van patiëntaantallen in Wlz (overige is Zvw)]]</f>
        <v>0</v>
      </c>
      <c r="U88" s="398">
        <f>uitkomst_doelgroep[[#This Row],[Kosten (€)]]*uitkomst_doelgroep[[#This Row],[Percentage van patiëntaantallen in Wlz (overige is Zvw)]]</f>
        <v>0</v>
      </c>
      <c r="V88" s="398">
        <f>uitkomst_doelgroep[[#This Row],[Investering (cash flow) (€)]]*uitkomst_doelgroep[[#This Row],[Percentage van patiëntaantallen in Wlz (overige is Zvw)]]</f>
        <v>0</v>
      </c>
    </row>
    <row r="89" spans="1:22" x14ac:dyDescent="0.5">
      <c r="A89" s="33" t="str">
        <f>INDEX(Technologieën[Veld],MATCH(B89,Technologieën[Digitale zorgtoepassing],0))</f>
        <v>Software - Behandeling</v>
      </c>
      <c r="B89" s="33" t="s">
        <v>609</v>
      </c>
      <c r="C89" s="33" t="s">
        <v>109</v>
      </c>
      <c r="D89" s="427" cm="1">
        <f t="array" ref="D89">INDEX(Berekening_patiëntaantal[Percentage van patiëntaantallen in Wlz (overige is Zvw)],MATCH(B89,IF(Berekening_patiëntaantal[Doelgroep (zoeksleutel)]=C89,Berekening_patiëntaantal[Digitale zorgtoepassing]),0))</f>
        <v>0</v>
      </c>
      <c r="E89" s="33" t="str" cm="1">
        <f t="array" ref="E89">INDEX(Berekening_patiëntaantal[Direct toepasbaar/extrapolatie/incidentie voor QALY],MATCH(B89,IF(Berekening_patiëntaantal[Doelgroep (zoeksleutel)]=C89,Berekening_patiëntaantal[Digitale zorgtoepassing]),0))</f>
        <v>Huidige toepassing</v>
      </c>
      <c r="F89" s="43" t="s">
        <v>812</v>
      </c>
      <c r="G89" s="33" t="str">
        <f>CONCATENATE(uitkomst_doelgroep[[#This Row],[Digitale zorgtoepassing]],"_",uitkomst_doelgroep[[#This Row],[Doelgroep]],"_",uitkomst_doelgroep[[#This Row],[Uitgangssituatie/effect beleid]])</f>
        <v>(Zelf)zorgplatform + telebegeleiding_MS_Effect beleid</v>
      </c>
      <c r="H89" s="33">
        <v>2030</v>
      </c>
      <c r="I89" s="32">
        <v>8</v>
      </c>
      <c r="J89" s="406" cm="1">
        <f t="array" ref="J89">INDEX(implementatie[[2023]:[2034]],MATCH(G89, implementatie[Zoeksleutel],0),I89)</f>
        <v>0.97185361900482903</v>
      </c>
      <c r="K89" s="406" cm="1">
        <f t="array" ref="K89">INDEX(implementatie[[2023]:[2034]],MATCH(G89,implementatie[Zoeksleutel],0),I89 + 1)</f>
        <v>0.98486665153412889</v>
      </c>
      <c r="L8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33043.023046164184</v>
      </c>
      <c r="M89" s="398" cm="1">
        <f t="array" ref="M89">J89*INDEX(Berekening_impact[Totaal arbeidsbesparing (€/jaar)],MATCH(B89,IF(Berekening_impact[Doelgroep]=C89,Berekening_impact[Digitale zorgtoepassing]),0))</f>
        <v>0</v>
      </c>
      <c r="N89" s="397" cm="1">
        <f t="array" ref="N89">J89*INDEX(Berekening_impact[Totaal arbeidsbesparing (FTE/jaar)],MATCH(B89,IF(Berekening_impact[Doelgroep]=C89,Berekening_impact[Digitale zorgtoepassing]),0))</f>
        <v>0</v>
      </c>
      <c r="O89" s="398" cm="1">
        <f t="array" ref="O89">J89*INDEX(Berekening_impact[Overige kostenbesparing (totaal/jaar totaal potentieel)],MATCH(B89,IF(Berekening_impact[Doelgroep]=C89,Berekening_impact[Digitale zorgtoepassing]),0))</f>
        <v>0</v>
      </c>
      <c r="P89" s="398" cm="1">
        <f t="array" ref="P89">J89*INDEX(Berekening_impact[Opbrengsten door QALY''s],MATCH(B89,IF(Berekening_impact[Doelgroep]=C89,Berekening_impact[Digitale zorgtoepassing]),0))</f>
        <v>73025080.932022855</v>
      </c>
      <c r="Q89" s="398" cm="1">
        <f t="array" ref="Q89">J89*INDEX(Berekening_impact[Jaarlijkse kosten (totaal) - incl. schatting],MATCH(B89,IF(Berekening_impact[Doelgroep]=C89,Berekening_impact[Digitale zorgtoepassing]),0))</f>
        <v>27452804.407214127</v>
      </c>
      <c r="R89" s="398" cm="1">
        <f t="array" ref="R89">(uitkomst_doelgroep[[#This Row],[Implementatiegraad t = T + 1]]-uitkomst_doelgroep[[#This Row],[Implementatiegraad t = T]])*INDEX(Berekening_impact[Initiële investering (totaal) - incl. schatting],MATCH(B89,IF(Berekening_impact[Doelgroep]=C89,Berekening_impact[Digitale zorgtoepassing]),0))</f>
        <v>0</v>
      </c>
      <c r="S89" s="398">
        <f>uitkomst_doelgroep[[#This Row],[Arbeidsbesparing (€)]]*uitkomst_doelgroep[[#This Row],[Percentage van patiëntaantallen in Wlz (overige is Zvw)]]</f>
        <v>0</v>
      </c>
      <c r="T89" s="398">
        <f>uitkomst_doelgroep[[#This Row],[Overige besparingen (€)]]*uitkomst_doelgroep[[#This Row],[Percentage van patiëntaantallen in Wlz (overige is Zvw)]]</f>
        <v>0</v>
      </c>
      <c r="U89" s="398">
        <f>uitkomst_doelgroep[[#This Row],[Kosten (€)]]*uitkomst_doelgroep[[#This Row],[Percentage van patiëntaantallen in Wlz (overige is Zvw)]]</f>
        <v>0</v>
      </c>
      <c r="V89" s="398">
        <f>uitkomst_doelgroep[[#This Row],[Investering (cash flow) (€)]]*uitkomst_doelgroep[[#This Row],[Percentage van patiëntaantallen in Wlz (overige is Zvw)]]</f>
        <v>0</v>
      </c>
    </row>
    <row r="90" spans="1:22" x14ac:dyDescent="0.5">
      <c r="A90" s="33" t="str">
        <f>INDEX(Technologieën[Veld],MATCH(B90,Technologieën[Digitale zorgtoepassing],0))</f>
        <v>Software - Behandeling</v>
      </c>
      <c r="B90" s="33" t="s">
        <v>609</v>
      </c>
      <c r="C90" s="33" t="s">
        <v>109</v>
      </c>
      <c r="D90" s="427" cm="1">
        <f t="array" ref="D90">INDEX(Berekening_patiëntaantal[Percentage van patiëntaantallen in Wlz (overige is Zvw)],MATCH(B90,IF(Berekening_patiëntaantal[Doelgroep (zoeksleutel)]=C90,Berekening_patiëntaantal[Digitale zorgtoepassing]),0))</f>
        <v>0</v>
      </c>
      <c r="E90" s="33" t="str" cm="1">
        <f t="array" ref="E90">INDEX(Berekening_patiëntaantal[Direct toepasbaar/extrapolatie/incidentie voor QALY],MATCH(B90,IF(Berekening_patiëntaantal[Doelgroep (zoeksleutel)]=C90,Berekening_patiëntaantal[Digitale zorgtoepassing]),0))</f>
        <v>Huidige toepassing</v>
      </c>
      <c r="F90" s="43" t="s">
        <v>812</v>
      </c>
      <c r="G90" s="33" t="str">
        <f>CONCATENATE(uitkomst_doelgroep[[#This Row],[Digitale zorgtoepassing]],"_",uitkomst_doelgroep[[#This Row],[Doelgroep]],"_",uitkomst_doelgroep[[#This Row],[Uitgangssituatie/effect beleid]])</f>
        <v>(Zelf)zorgplatform + telebegeleiding_MS_Effect beleid</v>
      </c>
      <c r="H90" s="33">
        <v>2031</v>
      </c>
      <c r="I90" s="32">
        <v>9</v>
      </c>
      <c r="J90" s="406" cm="1">
        <f t="array" ref="J90">INDEX(implementatie[[2023]:[2034]],MATCH(G90, implementatie[Zoeksleutel],0),I90)</f>
        <v>0.98486665153412889</v>
      </c>
      <c r="K90" s="406" cm="1">
        <f t="array" ref="K90">INDEX(implementatie[[2023]:[2034]],MATCH(G90,implementatie[Zoeksleutel],0),I90 + 1)</f>
        <v>0.99195193384931235</v>
      </c>
      <c r="L9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33485.466152160385</v>
      </c>
      <c r="M90" s="398" cm="1">
        <f t="array" ref="M90">J90*INDEX(Berekening_impact[Totaal arbeidsbesparing (€/jaar)],MATCH(B90,IF(Berekening_impact[Doelgroep]=C90,Berekening_impact[Digitale zorgtoepassing]),0))</f>
        <v>0</v>
      </c>
      <c r="N90" s="397" cm="1">
        <f t="array" ref="N90">J90*INDEX(Berekening_impact[Totaal arbeidsbesparing (FTE/jaar)],MATCH(B90,IF(Berekening_impact[Doelgroep]=C90,Berekening_impact[Digitale zorgtoepassing]),0))</f>
        <v>0</v>
      </c>
      <c r="O90" s="398" cm="1">
        <f t="array" ref="O90">J90*INDEX(Berekening_impact[Overige kostenbesparing (totaal/jaar totaal potentieel)],MATCH(B90,IF(Berekening_impact[Doelgroep]=C90,Berekening_impact[Digitale zorgtoepassing]),0))</f>
        <v>0</v>
      </c>
      <c r="P90" s="398" cm="1">
        <f t="array" ref="P90">J90*INDEX(Berekening_impact[Opbrengsten door QALY''s],MATCH(B90,IF(Berekening_impact[Doelgroep]=C90,Berekening_impact[Digitale zorgtoepassing]),0))</f>
        <v>74002880.196274444</v>
      </c>
      <c r="Q90" s="398" cm="1">
        <f t="array" ref="Q90">J90*INDEX(Berekening_impact[Jaarlijkse kosten (totaal) - incl. schatting],MATCH(B90,IF(Berekening_impact[Doelgroep]=C90,Berekening_impact[Digitale zorgtoepassing]),0))</f>
        <v>27820394.988537885</v>
      </c>
      <c r="R90" s="398" cm="1">
        <f t="array" ref="R90">(uitkomst_doelgroep[[#This Row],[Implementatiegraad t = T + 1]]-uitkomst_doelgroep[[#This Row],[Implementatiegraad t = T]])*INDEX(Berekening_impact[Initiële investering (totaal) - incl. schatting],MATCH(B90,IF(Berekening_impact[Doelgroep]=C90,Berekening_impact[Digitale zorgtoepassing]),0))</f>
        <v>0</v>
      </c>
      <c r="S90" s="398">
        <f>uitkomst_doelgroep[[#This Row],[Arbeidsbesparing (€)]]*uitkomst_doelgroep[[#This Row],[Percentage van patiëntaantallen in Wlz (overige is Zvw)]]</f>
        <v>0</v>
      </c>
      <c r="T90" s="398">
        <f>uitkomst_doelgroep[[#This Row],[Overige besparingen (€)]]*uitkomst_doelgroep[[#This Row],[Percentage van patiëntaantallen in Wlz (overige is Zvw)]]</f>
        <v>0</v>
      </c>
      <c r="U90" s="398">
        <f>uitkomst_doelgroep[[#This Row],[Kosten (€)]]*uitkomst_doelgroep[[#This Row],[Percentage van patiëntaantallen in Wlz (overige is Zvw)]]</f>
        <v>0</v>
      </c>
      <c r="V90" s="398">
        <f>uitkomst_doelgroep[[#This Row],[Investering (cash flow) (€)]]*uitkomst_doelgroep[[#This Row],[Percentage van patiëntaantallen in Wlz (overige is Zvw)]]</f>
        <v>0</v>
      </c>
    </row>
    <row r="91" spans="1:22" x14ac:dyDescent="0.5">
      <c r="A91" s="33" t="str">
        <f>INDEX(Technologieën[Veld],MATCH(B91,Technologieën[Digitale zorgtoepassing],0))</f>
        <v>Software - Behandeling</v>
      </c>
      <c r="B91" s="33" t="s">
        <v>609</v>
      </c>
      <c r="C91" s="33" t="s">
        <v>109</v>
      </c>
      <c r="D91" s="427" cm="1">
        <f t="array" ref="D91">INDEX(Berekening_patiëntaantal[Percentage van patiëntaantallen in Wlz (overige is Zvw)],MATCH(B91,IF(Berekening_patiëntaantal[Doelgroep (zoeksleutel)]=C91,Berekening_patiëntaantal[Digitale zorgtoepassing]),0))</f>
        <v>0</v>
      </c>
      <c r="E91" s="33" t="str" cm="1">
        <f t="array" ref="E91">INDEX(Berekening_patiëntaantal[Direct toepasbaar/extrapolatie/incidentie voor QALY],MATCH(B91,IF(Berekening_patiëntaantal[Doelgroep (zoeksleutel)]=C91,Berekening_patiëntaantal[Digitale zorgtoepassing]),0))</f>
        <v>Huidige toepassing</v>
      </c>
      <c r="F91" s="43" t="s">
        <v>812</v>
      </c>
      <c r="G91" s="33" t="str">
        <f>CONCATENATE(uitkomst_doelgroep[[#This Row],[Digitale zorgtoepassing]],"_",uitkomst_doelgroep[[#This Row],[Doelgroep]],"_",uitkomst_doelgroep[[#This Row],[Uitgangssituatie/effect beleid]])</f>
        <v>(Zelf)zorgplatform + telebegeleiding_MS_Effect beleid</v>
      </c>
      <c r="H91" s="33">
        <v>2032</v>
      </c>
      <c r="I91" s="32">
        <v>10</v>
      </c>
      <c r="J91" s="406" cm="1">
        <f t="array" ref="J91">INDEX(implementatie[[2023]:[2034]],MATCH(G91, implementatie[Zoeksleutel],0),I91)</f>
        <v>0.99195193384931235</v>
      </c>
      <c r="K91" s="406" cm="1">
        <f t="array" ref="K91">INDEX(implementatie[[2023]:[2034]],MATCH(G91,implementatie[Zoeksleutel],0),I91 + 1)</f>
        <v>0.99574561815494433</v>
      </c>
      <c r="L9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33726.365750876619</v>
      </c>
      <c r="M91" s="398" cm="1">
        <f t="array" ref="M91">J91*INDEX(Berekening_impact[Totaal arbeidsbesparing (€/jaar)],MATCH(B91,IF(Berekening_impact[Doelgroep]=C91,Berekening_impact[Digitale zorgtoepassing]),0))</f>
        <v>0</v>
      </c>
      <c r="N91" s="397" cm="1">
        <f t="array" ref="N91">J91*INDEX(Berekening_impact[Totaal arbeidsbesparing (FTE/jaar)],MATCH(B91,IF(Berekening_impact[Doelgroep]=C91,Berekening_impact[Digitale zorgtoepassing]),0))</f>
        <v>0</v>
      </c>
      <c r="O91" s="398" cm="1">
        <f t="array" ref="O91">J91*INDEX(Berekening_impact[Overige kostenbesparing (totaal/jaar totaal potentieel)],MATCH(B91,IF(Berekening_impact[Doelgroep]=C91,Berekening_impact[Digitale zorgtoepassing]),0))</f>
        <v>0</v>
      </c>
      <c r="P91" s="398" cm="1">
        <f t="array" ref="P91">J91*INDEX(Berekening_impact[Opbrengsten door QALY''s],MATCH(B91,IF(Berekening_impact[Doelgroep]=C91,Berekening_impact[Digitale zorgtoepassing]),0))</f>
        <v>74535268.309437335</v>
      </c>
      <c r="Q91" s="398" cm="1">
        <f t="array" ref="Q91">J91*INDEX(Berekening_impact[Jaarlijkse kosten (totaal) - incl. schatting],MATCH(B91,IF(Berekening_impact[Doelgroep]=C91,Berekening_impact[Digitale zorgtoepassing]),0))</f>
        <v>28020539.193143308</v>
      </c>
      <c r="R91" s="398" cm="1">
        <f t="array" ref="R91">(uitkomst_doelgroep[[#This Row],[Implementatiegraad t = T + 1]]-uitkomst_doelgroep[[#This Row],[Implementatiegraad t = T]])*INDEX(Berekening_impact[Initiële investering (totaal) - incl. schatting],MATCH(B91,IF(Berekening_impact[Doelgroep]=C91,Berekening_impact[Digitale zorgtoepassing]),0))</f>
        <v>0</v>
      </c>
      <c r="S91" s="398">
        <f>uitkomst_doelgroep[[#This Row],[Arbeidsbesparing (€)]]*uitkomst_doelgroep[[#This Row],[Percentage van patiëntaantallen in Wlz (overige is Zvw)]]</f>
        <v>0</v>
      </c>
      <c r="T91" s="398">
        <f>uitkomst_doelgroep[[#This Row],[Overige besparingen (€)]]*uitkomst_doelgroep[[#This Row],[Percentage van patiëntaantallen in Wlz (overige is Zvw)]]</f>
        <v>0</v>
      </c>
      <c r="U91" s="398">
        <f>uitkomst_doelgroep[[#This Row],[Kosten (€)]]*uitkomst_doelgroep[[#This Row],[Percentage van patiëntaantallen in Wlz (overige is Zvw)]]</f>
        <v>0</v>
      </c>
      <c r="V91" s="398">
        <f>uitkomst_doelgroep[[#This Row],[Investering (cash flow) (€)]]*uitkomst_doelgroep[[#This Row],[Percentage van patiëntaantallen in Wlz (overige is Zvw)]]</f>
        <v>0</v>
      </c>
    </row>
    <row r="92" spans="1:22" x14ac:dyDescent="0.5">
      <c r="A92" s="33" t="str">
        <f>INDEX(Technologieën[Veld],MATCH(B92,Technologieën[Digitale zorgtoepassing],0))</f>
        <v>Software - Behandeling</v>
      </c>
      <c r="B92" s="33" t="s">
        <v>609</v>
      </c>
      <c r="C92" s="33" t="s">
        <v>109</v>
      </c>
      <c r="D92" s="427" cm="1">
        <f t="array" ref="D92">INDEX(Berekening_patiëntaantal[Percentage van patiëntaantallen in Wlz (overige is Zvw)],MATCH(B92,IF(Berekening_patiëntaantal[Doelgroep (zoeksleutel)]=C92,Berekening_patiëntaantal[Digitale zorgtoepassing]),0))</f>
        <v>0</v>
      </c>
      <c r="E92" s="33" t="str" cm="1">
        <f t="array" ref="E92">INDEX(Berekening_patiëntaantal[Direct toepasbaar/extrapolatie/incidentie voor QALY],MATCH(B92,IF(Berekening_patiëntaantal[Doelgroep (zoeksleutel)]=C92,Berekening_patiëntaantal[Digitale zorgtoepassing]),0))</f>
        <v>Huidige toepassing</v>
      </c>
      <c r="F92" s="43" t="s">
        <v>812</v>
      </c>
      <c r="G92" s="33" t="str">
        <f>CONCATENATE(uitkomst_doelgroep[[#This Row],[Digitale zorgtoepassing]],"_",uitkomst_doelgroep[[#This Row],[Doelgroep]],"_",uitkomst_doelgroep[[#This Row],[Uitgangssituatie/effect beleid]])</f>
        <v>(Zelf)zorgplatform + telebegeleiding_MS_Effect beleid</v>
      </c>
      <c r="H92" s="33">
        <v>2033</v>
      </c>
      <c r="I92" s="32">
        <v>11</v>
      </c>
      <c r="J92" s="406" cm="1">
        <f t="array" ref="J92">INDEX(implementatie[[2023]:[2034]],MATCH(G92, implementatie[Zoeksleutel],0),I92)</f>
        <v>0.99574561815494433</v>
      </c>
      <c r="K92" s="406" cm="1">
        <f t="array" ref="K92">INDEX(implementatie[[2023]:[2034]],MATCH(G92,implementatie[Zoeksleutel],0),I92 + 1)</f>
        <v>0.99775830463714821</v>
      </c>
      <c r="L9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33855.351017268105</v>
      </c>
      <c r="M92" s="398" cm="1">
        <f t="array" ref="M92">J92*INDEX(Berekening_impact[Totaal arbeidsbesparing (€/jaar)],MATCH(B92,IF(Berekening_impact[Doelgroep]=C92,Berekening_impact[Digitale zorgtoepassing]),0))</f>
        <v>0</v>
      </c>
      <c r="N92" s="397" cm="1">
        <f t="array" ref="N92">J92*INDEX(Berekening_impact[Totaal arbeidsbesparing (FTE/jaar)],MATCH(B92,IF(Berekening_impact[Doelgroep]=C92,Berekening_impact[Digitale zorgtoepassing]),0))</f>
        <v>0</v>
      </c>
      <c r="O92" s="398" cm="1">
        <f t="array" ref="O92">J92*INDEX(Berekening_impact[Overige kostenbesparing (totaal/jaar totaal potentieel)],MATCH(B92,IF(Berekening_impact[Doelgroep]=C92,Berekening_impact[Digitale zorgtoepassing]),0))</f>
        <v>0</v>
      </c>
      <c r="P92" s="398" cm="1">
        <f t="array" ref="P92">J92*INDEX(Berekening_impact[Opbrengsten door QALY''s],MATCH(B92,IF(Berekening_impact[Doelgroep]=C92,Berekening_impact[Digitale zorgtoepassing]),0))</f>
        <v>74820325.748162523</v>
      </c>
      <c r="Q92" s="398" cm="1">
        <f t="array" ref="Q92">J92*INDEX(Berekening_impact[Jaarlijkse kosten (totaal) - incl. schatting],MATCH(B92,IF(Berekening_impact[Doelgroep]=C92,Berekening_impact[Digitale zorgtoepassing]),0))</f>
        <v>28127702.732166685</v>
      </c>
      <c r="R92" s="398" cm="1">
        <f t="array" ref="R92">(uitkomst_doelgroep[[#This Row],[Implementatiegraad t = T + 1]]-uitkomst_doelgroep[[#This Row],[Implementatiegraad t = T]])*INDEX(Berekening_impact[Initiële investering (totaal) - incl. schatting],MATCH(B92,IF(Berekening_impact[Doelgroep]=C92,Berekening_impact[Digitale zorgtoepassing]),0))</f>
        <v>0</v>
      </c>
      <c r="S92" s="398">
        <f>uitkomst_doelgroep[[#This Row],[Arbeidsbesparing (€)]]*uitkomst_doelgroep[[#This Row],[Percentage van patiëntaantallen in Wlz (overige is Zvw)]]</f>
        <v>0</v>
      </c>
      <c r="T92" s="398">
        <f>uitkomst_doelgroep[[#This Row],[Overige besparingen (€)]]*uitkomst_doelgroep[[#This Row],[Percentage van patiëntaantallen in Wlz (overige is Zvw)]]</f>
        <v>0</v>
      </c>
      <c r="U92" s="398">
        <f>uitkomst_doelgroep[[#This Row],[Kosten (€)]]*uitkomst_doelgroep[[#This Row],[Percentage van patiëntaantallen in Wlz (overige is Zvw)]]</f>
        <v>0</v>
      </c>
      <c r="V92" s="398">
        <f>uitkomst_doelgroep[[#This Row],[Investering (cash flow) (€)]]*uitkomst_doelgroep[[#This Row],[Percentage van patiëntaantallen in Wlz (overige is Zvw)]]</f>
        <v>0</v>
      </c>
    </row>
    <row r="93" spans="1:22" x14ac:dyDescent="0.5">
      <c r="A93" s="33" t="str">
        <f>INDEX(Technologieën[Veld],MATCH(B93,Technologieën[Digitale zorgtoepassing],0))</f>
        <v>Software - Diagnose</v>
      </c>
      <c r="B93" s="33" t="s">
        <v>474</v>
      </c>
      <c r="C93" s="33" t="s">
        <v>111</v>
      </c>
      <c r="D93" s="427" cm="1">
        <f t="array" ref="D93">INDEX(Berekening_patiëntaantal[Percentage van patiëntaantallen in Wlz (overige is Zvw)],MATCH(B93,IF(Berekening_patiëntaantal[Doelgroep (zoeksleutel)]=C93,Berekening_patiëntaantal[Digitale zorgtoepassing]),0))</f>
        <v>0</v>
      </c>
      <c r="E93" s="33" t="str" cm="1">
        <f t="array" ref="E93">INDEX(Berekening_patiëntaantal[Direct toepasbaar/extrapolatie/incidentie voor QALY],MATCH(B93,IF(Berekening_patiëntaantal[Doelgroep (zoeksleutel)]=C93,Berekening_patiëntaantal[Digitale zorgtoepassing]),0))</f>
        <v>Huidige toepassing</v>
      </c>
      <c r="F93" s="43" t="s">
        <v>812</v>
      </c>
      <c r="G93" s="33" t="str">
        <f>CONCATENATE(uitkomst_doelgroep[[#This Row],[Digitale zorgtoepassing]],"_",uitkomst_doelgroep[[#This Row],[Doelgroep]],"_",uitkomst_doelgroep[[#This Row],[Uitgangssituatie/effect beleid]])</f>
        <v>AI om diagnoses te stellen (app)_Huisartsconsult_Goedaardige huidplek_Effect beleid</v>
      </c>
      <c r="H93" s="33">
        <v>2023</v>
      </c>
      <c r="I93" s="32">
        <v>1</v>
      </c>
      <c r="J93" s="406" cm="1">
        <f t="array" ref="J93">INDEX(implementatie[[2023]:[2034]],MATCH(G93, implementatie[Zoeksleutel],0),I93)</f>
        <v>0.4</v>
      </c>
      <c r="K93" s="406" cm="1">
        <f t="array" ref="K93">INDEX(implementatie[[2023]:[2034]],MATCH(G93,implementatie[Zoeksleutel],0),I93 + 1)</f>
        <v>0.53800000000000003</v>
      </c>
      <c r="L9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366160.60800000001</v>
      </c>
      <c r="M93" s="398" cm="1">
        <f t="array" ref="M93">J93*INDEX(Berekening_impact[Totaal arbeidsbesparing (€/jaar)],MATCH(B93,IF(Berekening_impact[Doelgroep]=C93,Berekening_impact[Digitale zorgtoepassing]),0))</f>
        <v>3218315.0025475873</v>
      </c>
      <c r="N93" s="397" cm="1">
        <f t="array" ref="N93">J93*INDEX(Berekening_impact[Totaal arbeidsbesparing (FTE/jaar)],MATCH(B93,IF(Berekening_impact[Doelgroep]=C93,Berekening_impact[Digitale zorgtoepassing]),0))</f>
        <v>23.765231769230773</v>
      </c>
      <c r="O93" s="398" cm="1">
        <f t="array" ref="O93">J93*INDEX(Berekening_impact[Overige kostenbesparing (totaal/jaar totaal potentieel)],MATCH(B93,IF(Berekening_impact[Doelgroep]=C93,Berekening_impact[Digitale zorgtoepassing]),0))</f>
        <v>0</v>
      </c>
      <c r="P93" s="398" cm="1">
        <f t="array" ref="P93">J93*INDEX(Berekening_impact[Opbrengsten door QALY''s],MATCH(B93,IF(Berekening_impact[Doelgroep]=C93,Berekening_impact[Digitale zorgtoepassing]),0))</f>
        <v>0</v>
      </c>
      <c r="Q93" s="398" cm="1">
        <f t="array" ref="Q93">J93*INDEX(Berekening_impact[Jaarlijkse kosten (totaal) - incl. schatting],MATCH(B93,IF(Berekening_impact[Doelgroep]=C93,Berekening_impact[Digitale zorgtoepassing]),0))</f>
        <v>2559462.6499200002</v>
      </c>
      <c r="R93" s="398" cm="1">
        <f t="array" ref="R93">(uitkomst_doelgroep[[#This Row],[Implementatiegraad t = T + 1]]-uitkomst_doelgroep[[#This Row],[Implementatiegraad t = T]])*INDEX(Berekening_impact[Initiële investering (totaal) - incl. schatting],MATCH(B93,IF(Berekening_impact[Doelgroep]=C93,Berekening_impact[Digitale zorgtoepassing]),0))</f>
        <v>0</v>
      </c>
      <c r="S93" s="398">
        <f>uitkomst_doelgroep[[#This Row],[Arbeidsbesparing (€)]]*uitkomst_doelgroep[[#This Row],[Percentage van patiëntaantallen in Wlz (overige is Zvw)]]</f>
        <v>0</v>
      </c>
      <c r="T93" s="398">
        <f>uitkomst_doelgroep[[#This Row],[Overige besparingen (€)]]*uitkomst_doelgroep[[#This Row],[Percentage van patiëntaantallen in Wlz (overige is Zvw)]]</f>
        <v>0</v>
      </c>
      <c r="U93" s="398">
        <f>uitkomst_doelgroep[[#This Row],[Kosten (€)]]*uitkomst_doelgroep[[#This Row],[Percentage van patiëntaantallen in Wlz (overige is Zvw)]]</f>
        <v>0</v>
      </c>
      <c r="V93" s="398">
        <f>uitkomst_doelgroep[[#This Row],[Investering (cash flow) (€)]]*uitkomst_doelgroep[[#This Row],[Percentage van patiëntaantallen in Wlz (overige is Zvw)]]</f>
        <v>0</v>
      </c>
    </row>
    <row r="94" spans="1:22" x14ac:dyDescent="0.5">
      <c r="A94" s="33" t="str">
        <f>INDEX(Technologieën[Veld],MATCH(B94,Technologieën[Digitale zorgtoepassing],0))</f>
        <v>Software - Diagnose</v>
      </c>
      <c r="B94" s="33" t="s">
        <v>474</v>
      </c>
      <c r="C94" s="33" t="s">
        <v>111</v>
      </c>
      <c r="D94" s="427" cm="1">
        <f t="array" ref="D94">INDEX(Berekening_patiëntaantal[Percentage van patiëntaantallen in Wlz (overige is Zvw)],MATCH(B94,IF(Berekening_patiëntaantal[Doelgroep (zoeksleutel)]=C94,Berekening_patiëntaantal[Digitale zorgtoepassing]),0))</f>
        <v>0</v>
      </c>
      <c r="E94" s="33" t="str" cm="1">
        <f t="array" ref="E94">INDEX(Berekening_patiëntaantal[Direct toepasbaar/extrapolatie/incidentie voor QALY],MATCH(B94,IF(Berekening_patiëntaantal[Doelgroep (zoeksleutel)]=C94,Berekening_patiëntaantal[Digitale zorgtoepassing]),0))</f>
        <v>Huidige toepassing</v>
      </c>
      <c r="F94" s="43" t="s">
        <v>812</v>
      </c>
      <c r="G94" s="33" t="str">
        <f>CONCATENATE(uitkomst_doelgroep[[#This Row],[Digitale zorgtoepassing]],"_",uitkomst_doelgroep[[#This Row],[Doelgroep]],"_",uitkomst_doelgroep[[#This Row],[Uitgangssituatie/effect beleid]])</f>
        <v>AI om diagnoses te stellen (app)_Huisartsconsult_Goedaardige huidplek_Effect beleid</v>
      </c>
      <c r="H94" s="33">
        <v>2024</v>
      </c>
      <c r="I94" s="32">
        <v>2</v>
      </c>
      <c r="J94" s="406" cm="1">
        <f t="array" ref="J94">INDEX(implementatie[[2023]:[2034]],MATCH(G94, implementatie[Zoeksleutel],0),I94)</f>
        <v>0.53800000000000003</v>
      </c>
      <c r="K94" s="406" cm="1">
        <f t="array" ref="K94">INDEX(implementatie[[2023]:[2034]],MATCH(G94,implementatie[Zoeksleutel],0),I94 + 1)</f>
        <v>0.67613800000000002</v>
      </c>
      <c r="L9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492486.01776000002</v>
      </c>
      <c r="M94" s="398" cm="1">
        <f t="array" ref="M94">J94*INDEX(Berekening_impact[Totaal arbeidsbesparing (€/jaar)],MATCH(B94,IF(Berekening_impact[Doelgroep]=C94,Berekening_impact[Digitale zorgtoepassing]),0))</f>
        <v>4328633.6784265051</v>
      </c>
      <c r="N94" s="397" cm="1">
        <f t="array" ref="N94">J94*INDEX(Berekening_impact[Totaal arbeidsbesparing (FTE/jaar)],MATCH(B94,IF(Berekening_impact[Doelgroep]=C94,Berekening_impact[Digitale zorgtoepassing]),0))</f>
        <v>31.96423672961539</v>
      </c>
      <c r="O94" s="398" cm="1">
        <f t="array" ref="O94">J94*INDEX(Berekening_impact[Overige kostenbesparing (totaal/jaar totaal potentieel)],MATCH(B94,IF(Berekening_impact[Doelgroep]=C94,Berekening_impact[Digitale zorgtoepassing]),0))</f>
        <v>0</v>
      </c>
      <c r="P94" s="398" cm="1">
        <f t="array" ref="P94">J94*INDEX(Berekening_impact[Opbrengsten door QALY''s],MATCH(B94,IF(Berekening_impact[Doelgroep]=C94,Berekening_impact[Digitale zorgtoepassing]),0))</f>
        <v>0</v>
      </c>
      <c r="Q94" s="398" cm="1">
        <f t="array" ref="Q94">J94*INDEX(Berekening_impact[Jaarlijkse kosten (totaal) - incl. schatting],MATCH(B94,IF(Berekening_impact[Doelgroep]=C94,Berekening_impact[Digitale zorgtoepassing]),0))</f>
        <v>3442477.2641424006</v>
      </c>
      <c r="R94" s="398" cm="1">
        <f t="array" ref="R94">(uitkomst_doelgroep[[#This Row],[Implementatiegraad t = T + 1]]-uitkomst_doelgroep[[#This Row],[Implementatiegraad t = T]])*INDEX(Berekening_impact[Initiële investering (totaal) - incl. schatting],MATCH(B94,IF(Berekening_impact[Doelgroep]=C94,Berekening_impact[Digitale zorgtoepassing]),0))</f>
        <v>0</v>
      </c>
      <c r="S94" s="398">
        <f>uitkomst_doelgroep[[#This Row],[Arbeidsbesparing (€)]]*uitkomst_doelgroep[[#This Row],[Percentage van patiëntaantallen in Wlz (overige is Zvw)]]</f>
        <v>0</v>
      </c>
      <c r="T94" s="398">
        <f>uitkomst_doelgroep[[#This Row],[Overige besparingen (€)]]*uitkomst_doelgroep[[#This Row],[Percentage van patiëntaantallen in Wlz (overige is Zvw)]]</f>
        <v>0</v>
      </c>
      <c r="U94" s="398">
        <f>uitkomst_doelgroep[[#This Row],[Kosten (€)]]*uitkomst_doelgroep[[#This Row],[Percentage van patiëntaantallen in Wlz (overige is Zvw)]]</f>
        <v>0</v>
      </c>
      <c r="V94" s="398">
        <f>uitkomst_doelgroep[[#This Row],[Investering (cash flow) (€)]]*uitkomst_doelgroep[[#This Row],[Percentage van patiëntaantallen in Wlz (overige is Zvw)]]</f>
        <v>0</v>
      </c>
    </row>
    <row r="95" spans="1:22" x14ac:dyDescent="0.5">
      <c r="A95" s="33" t="str">
        <f>INDEX(Technologieën[Veld],MATCH(B95,Technologieën[Digitale zorgtoepassing],0))</f>
        <v>Software - Diagnose</v>
      </c>
      <c r="B95" s="33" t="s">
        <v>474</v>
      </c>
      <c r="C95" s="33" t="s">
        <v>111</v>
      </c>
      <c r="D95" s="427" cm="1">
        <f t="array" ref="D95">INDEX(Berekening_patiëntaantal[Percentage van patiëntaantallen in Wlz (overige is Zvw)],MATCH(B95,IF(Berekening_patiëntaantal[Doelgroep (zoeksleutel)]=C95,Berekening_patiëntaantal[Digitale zorgtoepassing]),0))</f>
        <v>0</v>
      </c>
      <c r="E95" s="33" t="str" cm="1">
        <f t="array" ref="E95">INDEX(Berekening_patiëntaantal[Direct toepasbaar/extrapolatie/incidentie voor QALY],MATCH(B95,IF(Berekening_patiëntaantal[Doelgroep (zoeksleutel)]=C95,Berekening_patiëntaantal[Digitale zorgtoepassing]),0))</f>
        <v>Huidige toepassing</v>
      </c>
      <c r="F95" s="43" t="s">
        <v>812</v>
      </c>
      <c r="G95" s="33" t="str">
        <f>CONCATENATE(uitkomst_doelgroep[[#This Row],[Digitale zorgtoepassing]],"_",uitkomst_doelgroep[[#This Row],[Doelgroep]],"_",uitkomst_doelgroep[[#This Row],[Uitgangssituatie/effect beleid]])</f>
        <v>AI om diagnoses te stellen (app)_Huisartsconsult_Goedaardige huidplek_Effect beleid</v>
      </c>
      <c r="H95" s="33">
        <v>2025</v>
      </c>
      <c r="I95" s="32">
        <v>3</v>
      </c>
      <c r="J95" s="406" cm="1">
        <f t="array" ref="J95">INDEX(implementatie[[2023]:[2034]],MATCH(G95, implementatie[Zoeksleutel],0),I95)</f>
        <v>0.67613800000000002</v>
      </c>
      <c r="K95" s="406" cm="1">
        <f t="array" ref="K95">INDEX(implementatie[[2023]:[2034]],MATCH(G95,implementatie[Zoeksleutel],0),I95 + 1)</f>
        <v>0.79534156247800003</v>
      </c>
      <c r="L9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618937.75292976003</v>
      </c>
      <c r="M95" s="398" cm="1">
        <f t="array" ref="M95">J95*INDEX(Berekening_impact[Totaal arbeidsbesparing (€/jaar)],MATCH(B95,IF(Berekening_impact[Doelgroep]=C95,Berekening_impact[Digitale zorgtoepassing]),0))</f>
        <v>5440062.6729813013</v>
      </c>
      <c r="N95" s="397" cm="1">
        <f t="array" ref="N95">J95*INDEX(Berekening_impact[Totaal arbeidsbesparing (FTE/jaar)],MATCH(B95,IF(Berekening_impact[Doelgroep]=C95,Berekening_impact[Digitale zorgtoepassing]),0))</f>
        <v>40.171440694960388</v>
      </c>
      <c r="O95" s="398" cm="1">
        <f t="array" ref="O95">J95*INDEX(Berekening_impact[Overige kostenbesparing (totaal/jaar totaal potentieel)],MATCH(B95,IF(Berekening_impact[Doelgroep]=C95,Berekening_impact[Digitale zorgtoepassing]),0))</f>
        <v>0</v>
      </c>
      <c r="P95" s="398" cm="1">
        <f t="array" ref="P95">J95*INDEX(Berekening_impact[Opbrengsten door QALY''s],MATCH(B95,IF(Berekening_impact[Doelgroep]=C95,Berekening_impact[Digitale zorgtoepassing]),0))</f>
        <v>0</v>
      </c>
      <c r="Q95" s="398" cm="1">
        <f t="array" ref="Q95">J95*INDEX(Berekening_impact[Jaarlijkse kosten (totaal) - incl. schatting],MATCH(B95,IF(Berekening_impact[Doelgroep]=C95,Berekening_impact[Digitale zorgtoepassing]),0))</f>
        <v>4326374.892979023</v>
      </c>
      <c r="R95" s="398" cm="1">
        <f t="array" ref="R95">(uitkomst_doelgroep[[#This Row],[Implementatiegraad t = T + 1]]-uitkomst_doelgroep[[#This Row],[Implementatiegraad t = T]])*INDEX(Berekening_impact[Initiële investering (totaal) - incl. schatting],MATCH(B95,IF(Berekening_impact[Doelgroep]=C95,Berekening_impact[Digitale zorgtoepassing]),0))</f>
        <v>0</v>
      </c>
      <c r="S95" s="398">
        <f>uitkomst_doelgroep[[#This Row],[Arbeidsbesparing (€)]]*uitkomst_doelgroep[[#This Row],[Percentage van patiëntaantallen in Wlz (overige is Zvw)]]</f>
        <v>0</v>
      </c>
      <c r="T95" s="398">
        <f>uitkomst_doelgroep[[#This Row],[Overige besparingen (€)]]*uitkomst_doelgroep[[#This Row],[Percentage van patiëntaantallen in Wlz (overige is Zvw)]]</f>
        <v>0</v>
      </c>
      <c r="U95" s="398">
        <f>uitkomst_doelgroep[[#This Row],[Kosten (€)]]*uitkomst_doelgroep[[#This Row],[Percentage van patiëntaantallen in Wlz (overige is Zvw)]]</f>
        <v>0</v>
      </c>
      <c r="V95" s="398">
        <f>uitkomst_doelgroep[[#This Row],[Investering (cash flow) (€)]]*uitkomst_doelgroep[[#This Row],[Percentage van patiëntaantallen in Wlz (overige is Zvw)]]</f>
        <v>0</v>
      </c>
    </row>
    <row r="96" spans="1:22" x14ac:dyDescent="0.5">
      <c r="A96" s="33" t="str">
        <f>INDEX(Technologieën[Veld],MATCH(B96,Technologieën[Digitale zorgtoepassing],0))</f>
        <v>Software - Diagnose</v>
      </c>
      <c r="B96" s="33" t="s">
        <v>474</v>
      </c>
      <c r="C96" s="33" t="s">
        <v>111</v>
      </c>
      <c r="D96" s="427" cm="1">
        <f t="array" ref="D96">INDEX(Berekening_patiëntaantal[Percentage van patiëntaantallen in Wlz (overige is Zvw)],MATCH(B96,IF(Berekening_patiëntaantal[Doelgroep (zoeksleutel)]=C96,Berekening_patiëntaantal[Digitale zorgtoepassing]),0))</f>
        <v>0</v>
      </c>
      <c r="E96" s="33" t="str" cm="1">
        <f t="array" ref="E96">INDEX(Berekening_patiëntaantal[Direct toepasbaar/extrapolatie/incidentie voor QALY],MATCH(B96,IF(Berekening_patiëntaantal[Doelgroep (zoeksleutel)]=C96,Berekening_patiëntaantal[Digitale zorgtoepassing]),0))</f>
        <v>Huidige toepassing</v>
      </c>
      <c r="F96" s="43" t="s">
        <v>812</v>
      </c>
      <c r="G96" s="33" t="str">
        <f>CONCATENATE(uitkomst_doelgroep[[#This Row],[Digitale zorgtoepassing]],"_",uitkomst_doelgroep[[#This Row],[Doelgroep]],"_",uitkomst_doelgroep[[#This Row],[Uitgangssituatie/effect beleid]])</f>
        <v>AI om diagnoses te stellen (app)_Huisartsconsult_Goedaardige huidplek_Effect beleid</v>
      </c>
      <c r="H96" s="33">
        <v>2026</v>
      </c>
      <c r="I96" s="32">
        <v>4</v>
      </c>
      <c r="J96" s="406" cm="1">
        <f t="array" ref="J96">INDEX(implementatie[[2023]:[2034]],MATCH(G96, implementatie[Zoeksleutel],0),I96)</f>
        <v>0.79534156247800003</v>
      </c>
      <c r="K96" s="406" cm="1">
        <f t="array" ref="K96">INDEX(implementatie[[2023]:[2034]],MATCH(G96,implementatie[Zoeksleutel],0),I96 + 1)</f>
        <v>0.88286799634018676</v>
      </c>
      <c r="L9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728056.87521153619</v>
      </c>
      <c r="M96" s="398" cm="1">
        <f t="array" ref="M96">J96*INDEX(Berekening_impact[Totaal arbeidsbesparing (€/jaar)],MATCH(B96,IF(Berekening_impact[Doelgroep]=C96,Berekening_impact[Digitale zorgtoepassing]),0))</f>
        <v>6399149.2066814667</v>
      </c>
      <c r="N96" s="397" cm="1">
        <f t="array" ref="N96">J96*INDEX(Berekening_impact[Totaal arbeidsbesparing (FTE/jaar)],MATCH(B96,IF(Berekening_impact[Doelgroep]=C96,Berekening_impact[Digitale zorgtoepassing]),0))</f>
        <v>47.253691419979518</v>
      </c>
      <c r="O96" s="398" cm="1">
        <f t="array" ref="O96">J96*INDEX(Berekening_impact[Overige kostenbesparing (totaal/jaar totaal potentieel)],MATCH(B96,IF(Berekening_impact[Doelgroep]=C96,Berekening_impact[Digitale zorgtoepassing]),0))</f>
        <v>0</v>
      </c>
      <c r="P96" s="398" cm="1">
        <f t="array" ref="P96">J96*INDEX(Berekening_impact[Opbrengsten door QALY''s],MATCH(B96,IF(Berekening_impact[Doelgroep]=C96,Berekening_impact[Digitale zorgtoepassing]),0))</f>
        <v>0</v>
      </c>
      <c r="Q96" s="398" cm="1">
        <f t="array" ref="Q96">J96*INDEX(Berekening_impact[Jaarlijkse kosten (totaal) - incl. schatting],MATCH(B96,IF(Berekening_impact[Doelgroep]=C96,Berekening_impact[Digitale zorgtoepassing]),0))</f>
        <v>5089117.5577286379</v>
      </c>
      <c r="R96" s="398" cm="1">
        <f t="array" ref="R96">(uitkomst_doelgroep[[#This Row],[Implementatiegraad t = T + 1]]-uitkomst_doelgroep[[#This Row],[Implementatiegraad t = T]])*INDEX(Berekening_impact[Initiële investering (totaal) - incl. schatting],MATCH(B96,IF(Berekening_impact[Doelgroep]=C96,Berekening_impact[Digitale zorgtoepassing]),0))</f>
        <v>0</v>
      </c>
      <c r="S96" s="398">
        <f>uitkomst_doelgroep[[#This Row],[Arbeidsbesparing (€)]]*uitkomst_doelgroep[[#This Row],[Percentage van patiëntaantallen in Wlz (overige is Zvw)]]</f>
        <v>0</v>
      </c>
      <c r="T96" s="398">
        <f>uitkomst_doelgroep[[#This Row],[Overige besparingen (€)]]*uitkomst_doelgroep[[#This Row],[Percentage van patiëntaantallen in Wlz (overige is Zvw)]]</f>
        <v>0</v>
      </c>
      <c r="U96" s="398">
        <f>uitkomst_doelgroep[[#This Row],[Kosten (€)]]*uitkomst_doelgroep[[#This Row],[Percentage van patiëntaantallen in Wlz (overige is Zvw)]]</f>
        <v>0</v>
      </c>
      <c r="V96" s="398">
        <f>uitkomst_doelgroep[[#This Row],[Investering (cash flow) (€)]]*uitkomst_doelgroep[[#This Row],[Percentage van patiëntaantallen in Wlz (overige is Zvw)]]</f>
        <v>0</v>
      </c>
    </row>
    <row r="97" spans="1:22" x14ac:dyDescent="0.5">
      <c r="A97" s="33" t="str">
        <f>INDEX(Technologieën[Veld],MATCH(B97,Technologieën[Digitale zorgtoepassing],0))</f>
        <v>Software - Diagnose</v>
      </c>
      <c r="B97" s="33" t="s">
        <v>474</v>
      </c>
      <c r="C97" s="33" t="s">
        <v>111</v>
      </c>
      <c r="D97" s="427" cm="1">
        <f t="array" ref="D97">INDEX(Berekening_patiëntaantal[Percentage van patiëntaantallen in Wlz (overige is Zvw)],MATCH(B97,IF(Berekening_patiëntaantal[Doelgroep (zoeksleutel)]=C97,Berekening_patiëntaantal[Digitale zorgtoepassing]),0))</f>
        <v>0</v>
      </c>
      <c r="E97" s="33" t="str" cm="1">
        <f t="array" ref="E97">INDEX(Berekening_patiëntaantal[Direct toepasbaar/extrapolatie/incidentie voor QALY],MATCH(B97,IF(Berekening_patiëntaantal[Doelgroep (zoeksleutel)]=C97,Berekening_patiëntaantal[Digitale zorgtoepassing]),0))</f>
        <v>Huidige toepassing</v>
      </c>
      <c r="F97" s="43" t="s">
        <v>812</v>
      </c>
      <c r="G97" s="33" t="str">
        <f>CONCATENATE(uitkomst_doelgroep[[#This Row],[Digitale zorgtoepassing]],"_",uitkomst_doelgroep[[#This Row],[Doelgroep]],"_",uitkomst_doelgroep[[#This Row],[Uitgangssituatie/effect beleid]])</f>
        <v>AI om diagnoses te stellen (app)_Huisartsconsult_Goedaardige huidplek_Effect beleid</v>
      </c>
      <c r="H97" s="33">
        <v>2027</v>
      </c>
      <c r="I97" s="32">
        <v>5</v>
      </c>
      <c r="J97" s="406" cm="1">
        <f t="array" ref="J97">INDEX(implementatie[[2023]:[2034]],MATCH(G97, implementatie[Zoeksleutel],0),I97)</f>
        <v>0.88286799634018676</v>
      </c>
      <c r="K97" s="406" cm="1">
        <f t="array" ref="K97">INDEX(implementatie[[2023]:[2034]],MATCH(G97,implementatie[Zoeksleutel],0),I97 + 1)</f>
        <v>0.93808800513920654</v>
      </c>
      <c r="L9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808178.70580916142</v>
      </c>
      <c r="M97" s="398" cm="1">
        <f t="array" ref="M97">J97*INDEX(Berekening_impact[Totaal arbeidsbesparing (€/jaar)],MATCH(B97,IF(Berekening_impact[Doelgroep]=C97,Berekening_impact[Digitale zorgtoepassing]),0))</f>
        <v>7103368.2947268784</v>
      </c>
      <c r="N97" s="397" cm="1">
        <f t="array" ref="N97">J97*INDEX(Berekening_impact[Totaal arbeidsbesparing (FTE/jaar)],MATCH(B97,IF(Berekening_impact[Doelgroep]=C97,Berekening_impact[Digitale zorgtoepassing]),0))</f>
        <v>52.453906386652307</v>
      </c>
      <c r="O97" s="398" cm="1">
        <f t="array" ref="O97">J97*INDEX(Berekening_impact[Overige kostenbesparing (totaal/jaar totaal potentieel)],MATCH(B97,IF(Berekening_impact[Doelgroep]=C97,Berekening_impact[Digitale zorgtoepassing]),0))</f>
        <v>0</v>
      </c>
      <c r="P97" s="398" cm="1">
        <f t="array" ref="P97">J97*INDEX(Berekening_impact[Opbrengsten door QALY''s],MATCH(B97,IF(Berekening_impact[Doelgroep]=C97,Berekening_impact[Digitale zorgtoepassing]),0))</f>
        <v>0</v>
      </c>
      <c r="Q97" s="398" cm="1">
        <f t="array" ref="Q97">J97*INDEX(Berekening_impact[Jaarlijkse kosten (totaal) - incl. schatting],MATCH(B97,IF(Berekening_impact[Doelgroep]=C97,Berekening_impact[Digitale zorgtoepassing]),0))</f>
        <v>5649169.1536060385</v>
      </c>
      <c r="R97" s="398" cm="1">
        <f t="array" ref="R97">(uitkomst_doelgroep[[#This Row],[Implementatiegraad t = T + 1]]-uitkomst_doelgroep[[#This Row],[Implementatiegraad t = T]])*INDEX(Berekening_impact[Initiële investering (totaal) - incl. schatting],MATCH(B97,IF(Berekening_impact[Doelgroep]=C97,Berekening_impact[Digitale zorgtoepassing]),0))</f>
        <v>0</v>
      </c>
      <c r="S97" s="398">
        <f>uitkomst_doelgroep[[#This Row],[Arbeidsbesparing (€)]]*uitkomst_doelgroep[[#This Row],[Percentage van patiëntaantallen in Wlz (overige is Zvw)]]</f>
        <v>0</v>
      </c>
      <c r="T97" s="398">
        <f>uitkomst_doelgroep[[#This Row],[Overige besparingen (€)]]*uitkomst_doelgroep[[#This Row],[Percentage van patiëntaantallen in Wlz (overige is Zvw)]]</f>
        <v>0</v>
      </c>
      <c r="U97" s="398">
        <f>uitkomst_doelgroep[[#This Row],[Kosten (€)]]*uitkomst_doelgroep[[#This Row],[Percentage van patiëntaantallen in Wlz (overige is Zvw)]]</f>
        <v>0</v>
      </c>
      <c r="V97" s="398">
        <f>uitkomst_doelgroep[[#This Row],[Investering (cash flow) (€)]]*uitkomst_doelgroep[[#This Row],[Percentage van patiëntaantallen in Wlz (overige is Zvw)]]</f>
        <v>0</v>
      </c>
    </row>
    <row r="98" spans="1:22" x14ac:dyDescent="0.5">
      <c r="A98" s="33" t="str">
        <f>INDEX(Technologieën[Veld],MATCH(B98,Technologieën[Digitale zorgtoepassing],0))</f>
        <v>Software - Diagnose</v>
      </c>
      <c r="B98" s="33" t="s">
        <v>474</v>
      </c>
      <c r="C98" s="33" t="s">
        <v>111</v>
      </c>
      <c r="D98" s="427" cm="1">
        <f t="array" ref="D98">INDEX(Berekening_patiëntaantal[Percentage van patiëntaantallen in Wlz (overige is Zvw)],MATCH(B98,IF(Berekening_patiëntaantal[Doelgroep (zoeksleutel)]=C98,Berekening_patiëntaantal[Digitale zorgtoepassing]),0))</f>
        <v>0</v>
      </c>
      <c r="E98" s="33" t="str" cm="1">
        <f t="array" ref="E98">INDEX(Berekening_patiëntaantal[Direct toepasbaar/extrapolatie/incidentie voor QALY],MATCH(B98,IF(Berekening_patiëntaantal[Doelgroep (zoeksleutel)]=C98,Berekening_patiëntaantal[Digitale zorgtoepassing]),0))</f>
        <v>Huidige toepassing</v>
      </c>
      <c r="F98" s="43" t="s">
        <v>812</v>
      </c>
      <c r="G98" s="33" t="str">
        <f>CONCATENATE(uitkomst_doelgroep[[#This Row],[Digitale zorgtoepassing]],"_",uitkomst_doelgroep[[#This Row],[Doelgroep]],"_",uitkomst_doelgroep[[#This Row],[Uitgangssituatie/effect beleid]])</f>
        <v>AI om diagnoses te stellen (app)_Huisartsconsult_Goedaardige huidplek_Effect beleid</v>
      </c>
      <c r="H98" s="33">
        <v>2028</v>
      </c>
      <c r="I98" s="32">
        <v>6</v>
      </c>
      <c r="J98" s="406" cm="1">
        <f t="array" ref="J98">INDEX(implementatie[[2023]:[2034]],MATCH(G98, implementatie[Zoeksleutel],0),I98)</f>
        <v>0.93808800513920654</v>
      </c>
      <c r="K98" s="406" cm="1">
        <f t="array" ref="K98">INDEX(implementatie[[2023]:[2034]],MATCH(G98,implementatie[Zoeksleutel],0),I98 + 1)</f>
        <v>0.96898481486160559</v>
      </c>
      <c r="L9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858727.18579819752</v>
      </c>
      <c r="M98" s="398" cm="1">
        <f t="array" ref="M98">J98*INDEX(Berekening_impact[Totaal arbeidsbesparing (€/jaar)],MATCH(B98,IF(Berekening_impact[Doelgroep]=C98,Berekening_impact[Digitale zorgtoepassing]),0))</f>
        <v>7547656.7516236156</v>
      </c>
      <c r="N98" s="397" cm="1">
        <f t="array" ref="N98">J98*INDEX(Berekening_impact[Totaal arbeidsbesparing (FTE/jaar)],MATCH(B98,IF(Berekening_impact[Doelgroep]=C98,Berekening_impact[Digitale zorgtoepassing]),0))</f>
        <v>55.734697155171474</v>
      </c>
      <c r="O98" s="398" cm="1">
        <f t="array" ref="O98">J98*INDEX(Berekening_impact[Overige kostenbesparing (totaal/jaar totaal potentieel)],MATCH(B98,IF(Berekening_impact[Doelgroep]=C98,Berekening_impact[Digitale zorgtoepassing]),0))</f>
        <v>0</v>
      </c>
      <c r="P98" s="398" cm="1">
        <f t="array" ref="P98">J98*INDEX(Berekening_impact[Opbrengsten door QALY''s],MATCH(B98,IF(Berekening_impact[Doelgroep]=C98,Berekening_impact[Digitale zorgtoepassing]),0))</f>
        <v>0</v>
      </c>
      <c r="Q98" s="398" cm="1">
        <f t="array" ref="Q98">J98*INDEX(Berekening_impact[Jaarlijkse kosten (totaal) - incl. schatting],MATCH(B98,IF(Berekening_impact[Doelgroep]=C98,Berekening_impact[Digitale zorgtoepassing]),0))</f>
        <v>6002503.0287294006</v>
      </c>
      <c r="R98" s="398" cm="1">
        <f t="array" ref="R98">(uitkomst_doelgroep[[#This Row],[Implementatiegraad t = T + 1]]-uitkomst_doelgroep[[#This Row],[Implementatiegraad t = T]])*INDEX(Berekening_impact[Initiële investering (totaal) - incl. schatting],MATCH(B98,IF(Berekening_impact[Doelgroep]=C98,Berekening_impact[Digitale zorgtoepassing]),0))</f>
        <v>0</v>
      </c>
      <c r="S98" s="398">
        <f>uitkomst_doelgroep[[#This Row],[Arbeidsbesparing (€)]]*uitkomst_doelgroep[[#This Row],[Percentage van patiëntaantallen in Wlz (overige is Zvw)]]</f>
        <v>0</v>
      </c>
      <c r="T98" s="398">
        <f>uitkomst_doelgroep[[#This Row],[Overige besparingen (€)]]*uitkomst_doelgroep[[#This Row],[Percentage van patiëntaantallen in Wlz (overige is Zvw)]]</f>
        <v>0</v>
      </c>
      <c r="U98" s="398">
        <f>uitkomst_doelgroep[[#This Row],[Kosten (€)]]*uitkomst_doelgroep[[#This Row],[Percentage van patiëntaantallen in Wlz (overige is Zvw)]]</f>
        <v>0</v>
      </c>
      <c r="V98" s="398">
        <f>uitkomst_doelgroep[[#This Row],[Investering (cash flow) (€)]]*uitkomst_doelgroep[[#This Row],[Percentage van patiëntaantallen in Wlz (overige is Zvw)]]</f>
        <v>0</v>
      </c>
    </row>
    <row r="99" spans="1:22" x14ac:dyDescent="0.5">
      <c r="A99" s="33" t="str">
        <f>INDEX(Technologieën[Veld],MATCH(B99,Technologieën[Digitale zorgtoepassing],0))</f>
        <v>Software - Diagnose</v>
      </c>
      <c r="B99" s="33" t="s">
        <v>474</v>
      </c>
      <c r="C99" s="33" t="s">
        <v>111</v>
      </c>
      <c r="D99" s="427" cm="1">
        <f t="array" ref="D99">INDEX(Berekening_patiëntaantal[Percentage van patiëntaantallen in Wlz (overige is Zvw)],MATCH(B99,IF(Berekening_patiëntaantal[Doelgroep (zoeksleutel)]=C99,Berekening_patiëntaantal[Digitale zorgtoepassing]),0))</f>
        <v>0</v>
      </c>
      <c r="E99" s="33" t="str" cm="1">
        <f t="array" ref="E99">INDEX(Berekening_patiëntaantal[Direct toepasbaar/extrapolatie/incidentie voor QALY],MATCH(B99,IF(Berekening_patiëntaantal[Doelgroep (zoeksleutel)]=C99,Berekening_patiëntaantal[Digitale zorgtoepassing]),0))</f>
        <v>Huidige toepassing</v>
      </c>
      <c r="F99" s="43" t="s">
        <v>812</v>
      </c>
      <c r="G99" s="33" t="str">
        <f>CONCATENATE(uitkomst_doelgroep[[#This Row],[Digitale zorgtoepassing]],"_",uitkomst_doelgroep[[#This Row],[Doelgroep]],"_",uitkomst_doelgroep[[#This Row],[Uitgangssituatie/effect beleid]])</f>
        <v>AI om diagnoses te stellen (app)_Huisartsconsult_Goedaardige huidplek_Effect beleid</v>
      </c>
      <c r="H99" s="33">
        <v>2029</v>
      </c>
      <c r="I99" s="32">
        <v>7</v>
      </c>
      <c r="J99" s="406" cm="1">
        <f t="array" ref="J99">INDEX(implementatie[[2023]:[2034]],MATCH(G99, implementatie[Zoeksleutel],0),I99)</f>
        <v>0.96898481486160559</v>
      </c>
      <c r="K99" s="406" cm="1">
        <f t="array" ref="K99">INDEX(implementatie[[2023]:[2034]],MATCH(G99,implementatie[Zoeksleutel],0),I99 + 1)</f>
        <v>0.9849418921303702</v>
      </c>
      <c r="L9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887010.17238123238</v>
      </c>
      <c r="M99" s="398" cm="1">
        <f t="array" ref="M99">J99*INDEX(Berekening_impact[Totaal arbeidsbesparing (€/jaar)],MATCH(B99,IF(Berekening_impact[Doelgroep]=C99,Berekening_impact[Digitale zorgtoepassing]),0))</f>
        <v>7796245.9172747536</v>
      </c>
      <c r="N99" s="397" cm="1">
        <f t="array" ref="N99">J99*INDEX(Berekening_impact[Totaal arbeidsbesparing (FTE/jaar)],MATCH(B99,IF(Berekening_impact[Doelgroep]=C99,Berekening_impact[Digitale zorgtoepassing]),0))</f>
        <v>57.570371765128066</v>
      </c>
      <c r="O99" s="398" cm="1">
        <f t="array" ref="O99">J99*INDEX(Berekening_impact[Overige kostenbesparing (totaal/jaar totaal potentieel)],MATCH(B99,IF(Berekening_impact[Doelgroep]=C99,Berekening_impact[Digitale zorgtoepassing]),0))</f>
        <v>0</v>
      </c>
      <c r="P99" s="398" cm="1">
        <f t="array" ref="P99">J99*INDEX(Berekening_impact[Opbrengsten door QALY''s],MATCH(B99,IF(Berekening_impact[Doelgroep]=C99,Berekening_impact[Digitale zorgtoepassing]),0))</f>
        <v>0</v>
      </c>
      <c r="Q99" s="398" cm="1">
        <f t="array" ref="Q99">J99*INDEX(Berekening_impact[Jaarlijkse kosten (totaal) - incl. schatting],MATCH(B99,IF(Berekening_impact[Doelgroep]=C99,Berekening_impact[Digitale zorgtoepassing]),0))</f>
        <v>6200201.104944814</v>
      </c>
      <c r="R99" s="398" cm="1">
        <f t="array" ref="R99">(uitkomst_doelgroep[[#This Row],[Implementatiegraad t = T + 1]]-uitkomst_doelgroep[[#This Row],[Implementatiegraad t = T]])*INDEX(Berekening_impact[Initiële investering (totaal) - incl. schatting],MATCH(B99,IF(Berekening_impact[Doelgroep]=C99,Berekening_impact[Digitale zorgtoepassing]),0))</f>
        <v>0</v>
      </c>
      <c r="S99" s="398">
        <f>uitkomst_doelgroep[[#This Row],[Arbeidsbesparing (€)]]*uitkomst_doelgroep[[#This Row],[Percentage van patiëntaantallen in Wlz (overige is Zvw)]]</f>
        <v>0</v>
      </c>
      <c r="T99" s="398">
        <f>uitkomst_doelgroep[[#This Row],[Overige besparingen (€)]]*uitkomst_doelgroep[[#This Row],[Percentage van patiëntaantallen in Wlz (overige is Zvw)]]</f>
        <v>0</v>
      </c>
      <c r="U99" s="398">
        <f>uitkomst_doelgroep[[#This Row],[Kosten (€)]]*uitkomst_doelgroep[[#This Row],[Percentage van patiëntaantallen in Wlz (overige is Zvw)]]</f>
        <v>0</v>
      </c>
      <c r="V99" s="398">
        <f>uitkomst_doelgroep[[#This Row],[Investering (cash flow) (€)]]*uitkomst_doelgroep[[#This Row],[Percentage van patiëntaantallen in Wlz (overige is Zvw)]]</f>
        <v>0</v>
      </c>
    </row>
    <row r="100" spans="1:22" x14ac:dyDescent="0.5">
      <c r="A100" s="33" t="str">
        <f>INDEX(Technologieën[Veld],MATCH(B100,Technologieën[Digitale zorgtoepassing],0))</f>
        <v>Software - Diagnose</v>
      </c>
      <c r="B100" s="33" t="s">
        <v>474</v>
      </c>
      <c r="C100" s="33" t="s">
        <v>111</v>
      </c>
      <c r="D100" s="427" cm="1">
        <f t="array" ref="D100">INDEX(Berekening_patiëntaantal[Percentage van patiëntaantallen in Wlz (overige is Zvw)],MATCH(B100,IF(Berekening_patiëntaantal[Doelgroep (zoeksleutel)]=C100,Berekening_patiëntaantal[Digitale zorgtoepassing]),0))</f>
        <v>0</v>
      </c>
      <c r="E100" s="33" t="str" cm="1">
        <f t="array" ref="E100">INDEX(Berekening_patiëntaantal[Direct toepasbaar/extrapolatie/incidentie voor QALY],MATCH(B100,IF(Berekening_patiëntaantal[Doelgroep (zoeksleutel)]=C100,Berekening_patiëntaantal[Digitale zorgtoepassing]),0))</f>
        <v>Huidige toepassing</v>
      </c>
      <c r="F100" s="43" t="s">
        <v>812</v>
      </c>
      <c r="G100" s="33" t="str">
        <f>CONCATENATE(uitkomst_doelgroep[[#This Row],[Digitale zorgtoepassing]],"_",uitkomst_doelgroep[[#This Row],[Doelgroep]],"_",uitkomst_doelgroep[[#This Row],[Uitgangssituatie/effect beleid]])</f>
        <v>AI om diagnoses te stellen (app)_Huisartsconsult_Goedaardige huidplek_Effect beleid</v>
      </c>
      <c r="H100" s="33">
        <v>2030</v>
      </c>
      <c r="I100" s="32">
        <v>8</v>
      </c>
      <c r="J100" s="406" cm="1">
        <f t="array" ref="J100">INDEX(implementatie[[2023]:[2034]],MATCH(G100, implementatie[Zoeksleutel],0),I100)</f>
        <v>0.9849418921303702</v>
      </c>
      <c r="K100" s="406" cm="1">
        <f t="array" ref="K100">INDEX(implementatie[[2023]:[2034]],MATCH(G100,implementatie[Zoeksleutel],0),I100 + 1)</f>
        <v>0.99280931599496725</v>
      </c>
      <c r="L10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901617.30516781693</v>
      </c>
      <c r="M100" s="398" cm="1">
        <f t="array" ref="M100">J100*INDEX(Berekening_impact[Totaal arbeidsbesparing (€/jaar)],MATCH(B100,IF(Berekening_impact[Doelgroep]=C100,Berekening_impact[Digitale zorgtoepassing]),0))</f>
        <v>7924633.1702019442</v>
      </c>
      <c r="N100" s="397" cm="1">
        <f t="array" ref="N100">J100*INDEX(Berekening_impact[Totaal arbeidsbesparing (FTE/jaar)],MATCH(B100,IF(Berekening_impact[Doelgroep]=C100,Berekening_impact[Digitale zorgtoepassing]),0))</f>
        <v>58.518430864257354</v>
      </c>
      <c r="O100" s="398" cm="1">
        <f t="array" ref="O100">J100*INDEX(Berekening_impact[Overige kostenbesparing (totaal/jaar totaal potentieel)],MATCH(B100,IF(Berekening_impact[Doelgroep]=C100,Berekening_impact[Digitale zorgtoepassing]),0))</f>
        <v>0</v>
      </c>
      <c r="P100" s="398" cm="1">
        <f t="array" ref="P100">J100*INDEX(Berekening_impact[Opbrengsten door QALY''s],MATCH(B100,IF(Berekening_impact[Doelgroep]=C100,Berekening_impact[Digitale zorgtoepassing]),0))</f>
        <v>0</v>
      </c>
      <c r="Q100" s="398" cm="1">
        <f t="array" ref="Q100">J100*INDEX(Berekening_impact[Jaarlijkse kosten (totaal) - incl. schatting],MATCH(B100,IF(Berekening_impact[Doelgroep]=C100,Berekening_impact[Digitale zorgtoepassing]),0))</f>
        <v>6302304.9631230403</v>
      </c>
      <c r="R100" s="398" cm="1">
        <f t="array" ref="R100">(uitkomst_doelgroep[[#This Row],[Implementatiegraad t = T + 1]]-uitkomst_doelgroep[[#This Row],[Implementatiegraad t = T]])*INDEX(Berekening_impact[Initiële investering (totaal) - incl. schatting],MATCH(B100,IF(Berekening_impact[Doelgroep]=C100,Berekening_impact[Digitale zorgtoepassing]),0))</f>
        <v>0</v>
      </c>
      <c r="S100" s="398">
        <f>uitkomst_doelgroep[[#This Row],[Arbeidsbesparing (€)]]*uitkomst_doelgroep[[#This Row],[Percentage van patiëntaantallen in Wlz (overige is Zvw)]]</f>
        <v>0</v>
      </c>
      <c r="T100" s="398">
        <f>uitkomst_doelgroep[[#This Row],[Overige besparingen (€)]]*uitkomst_doelgroep[[#This Row],[Percentage van patiëntaantallen in Wlz (overige is Zvw)]]</f>
        <v>0</v>
      </c>
      <c r="U100" s="398">
        <f>uitkomst_doelgroep[[#This Row],[Kosten (€)]]*uitkomst_doelgroep[[#This Row],[Percentage van patiëntaantallen in Wlz (overige is Zvw)]]</f>
        <v>0</v>
      </c>
      <c r="V100" s="398">
        <f>uitkomst_doelgroep[[#This Row],[Investering (cash flow) (€)]]*uitkomst_doelgroep[[#This Row],[Percentage van patiëntaantallen in Wlz (overige is Zvw)]]</f>
        <v>0</v>
      </c>
    </row>
    <row r="101" spans="1:22" x14ac:dyDescent="0.5">
      <c r="A101" s="33" t="str">
        <f>INDEX(Technologieën[Veld],MATCH(B101,Technologieën[Digitale zorgtoepassing],0))</f>
        <v>Software - Diagnose</v>
      </c>
      <c r="B101" s="33" t="s">
        <v>474</v>
      </c>
      <c r="C101" s="33" t="s">
        <v>111</v>
      </c>
      <c r="D101" s="427" cm="1">
        <f t="array" ref="D101">INDEX(Berekening_patiëntaantal[Percentage van patiëntaantallen in Wlz (overige is Zvw)],MATCH(B101,IF(Berekening_patiëntaantal[Doelgroep (zoeksleutel)]=C101,Berekening_patiëntaantal[Digitale zorgtoepassing]),0))</f>
        <v>0</v>
      </c>
      <c r="E101" s="33" t="str" cm="1">
        <f t="array" ref="E101">INDEX(Berekening_patiëntaantal[Direct toepasbaar/extrapolatie/incidentie voor QALY],MATCH(B101,IF(Berekening_patiëntaantal[Doelgroep (zoeksleutel)]=C101,Berekening_patiëntaantal[Digitale zorgtoepassing]),0))</f>
        <v>Huidige toepassing</v>
      </c>
      <c r="F101" s="43" t="s">
        <v>812</v>
      </c>
      <c r="G101" s="33" t="str">
        <f>CONCATENATE(uitkomst_doelgroep[[#This Row],[Digitale zorgtoepassing]],"_",uitkomst_doelgroep[[#This Row],[Doelgroep]],"_",uitkomst_doelgroep[[#This Row],[Uitgangssituatie/effect beleid]])</f>
        <v>AI om diagnoses te stellen (app)_Huisartsconsult_Goedaardige huidplek_Effect beleid</v>
      </c>
      <c r="H101" s="33">
        <v>2031</v>
      </c>
      <c r="I101" s="32">
        <v>9</v>
      </c>
      <c r="J101" s="406" cm="1">
        <f t="array" ref="J101">INDEX(implementatie[[2023]:[2034]],MATCH(G101, implementatie[Zoeksleutel],0),I101)</f>
        <v>0.99280931599496725</v>
      </c>
      <c r="K101" s="406" cm="1">
        <f t="array" ref="K101">INDEX(implementatie[[2023]:[2034]],MATCH(G101,implementatie[Zoeksleutel],0),I101 + 1)</f>
        <v>0.99659452554940442</v>
      </c>
      <c r="L10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908819.15693195339</v>
      </c>
      <c r="M101" s="398" cm="1">
        <f t="array" ref="M101">J101*INDEX(Berekening_impact[Totaal arbeidsbesparing (€/jaar)],MATCH(B101,IF(Berekening_impact[Doelgroep]=C101,Berekening_impact[Digitale zorgtoepassing]),0))</f>
        <v>7987932.7908390276</v>
      </c>
      <c r="N101" s="397" cm="1">
        <f t="array" ref="N101">J101*INDEX(Berekening_impact[Totaal arbeidsbesparing (FTE/jaar)],MATCH(B101,IF(Berekening_impact[Doelgroep]=C101,Berekening_impact[Digitale zorgtoepassing]),0))</f>
        <v>58.985858743179669</v>
      </c>
      <c r="O101" s="398" cm="1">
        <f t="array" ref="O101">J101*INDEX(Berekening_impact[Overige kostenbesparing (totaal/jaar totaal potentieel)],MATCH(B101,IF(Berekening_impact[Doelgroep]=C101,Berekening_impact[Digitale zorgtoepassing]),0))</f>
        <v>0</v>
      </c>
      <c r="P101" s="398" cm="1">
        <f t="array" ref="P101">J101*INDEX(Berekening_impact[Opbrengsten door QALY''s],MATCH(B101,IF(Berekening_impact[Doelgroep]=C101,Berekening_impact[Digitale zorgtoepassing]),0))</f>
        <v>0</v>
      </c>
      <c r="Q101" s="398" cm="1">
        <f t="array" ref="Q101">J101*INDEX(Berekening_impact[Jaarlijkse kosten (totaal) - incl. schatting],MATCH(B101,IF(Berekening_impact[Doelgroep]=C101,Berekening_impact[Digitale zorgtoepassing]),0))</f>
        <v>6352645.9069543537</v>
      </c>
      <c r="R101" s="398" cm="1">
        <f t="array" ref="R101">(uitkomst_doelgroep[[#This Row],[Implementatiegraad t = T + 1]]-uitkomst_doelgroep[[#This Row],[Implementatiegraad t = T]])*INDEX(Berekening_impact[Initiële investering (totaal) - incl. schatting],MATCH(B101,IF(Berekening_impact[Doelgroep]=C101,Berekening_impact[Digitale zorgtoepassing]),0))</f>
        <v>0</v>
      </c>
      <c r="S101" s="398">
        <f>uitkomst_doelgroep[[#This Row],[Arbeidsbesparing (€)]]*uitkomst_doelgroep[[#This Row],[Percentage van patiëntaantallen in Wlz (overige is Zvw)]]</f>
        <v>0</v>
      </c>
      <c r="T101" s="398">
        <f>uitkomst_doelgroep[[#This Row],[Overige besparingen (€)]]*uitkomst_doelgroep[[#This Row],[Percentage van patiëntaantallen in Wlz (overige is Zvw)]]</f>
        <v>0</v>
      </c>
      <c r="U101" s="398">
        <f>uitkomst_doelgroep[[#This Row],[Kosten (€)]]*uitkomst_doelgroep[[#This Row],[Percentage van patiëntaantallen in Wlz (overige is Zvw)]]</f>
        <v>0</v>
      </c>
      <c r="V101" s="398">
        <f>uitkomst_doelgroep[[#This Row],[Investering (cash flow) (€)]]*uitkomst_doelgroep[[#This Row],[Percentage van patiëntaantallen in Wlz (overige is Zvw)]]</f>
        <v>0</v>
      </c>
    </row>
    <row r="102" spans="1:22" x14ac:dyDescent="0.5">
      <c r="A102" s="33" t="str">
        <f>INDEX(Technologieën[Veld],MATCH(B102,Technologieën[Digitale zorgtoepassing],0))</f>
        <v>Software - Diagnose</v>
      </c>
      <c r="B102" s="33" t="s">
        <v>474</v>
      </c>
      <c r="C102" s="33" t="s">
        <v>111</v>
      </c>
      <c r="D102" s="427" cm="1">
        <f t="array" ref="D102">INDEX(Berekening_patiëntaantal[Percentage van patiëntaantallen in Wlz (overige is Zvw)],MATCH(B102,IF(Berekening_patiëntaantal[Doelgroep (zoeksleutel)]=C102,Berekening_patiëntaantal[Digitale zorgtoepassing]),0))</f>
        <v>0</v>
      </c>
      <c r="E102" s="33" t="str" cm="1">
        <f t="array" ref="E102">INDEX(Berekening_patiëntaantal[Direct toepasbaar/extrapolatie/incidentie voor QALY],MATCH(B102,IF(Berekening_patiëntaantal[Doelgroep (zoeksleutel)]=C102,Berekening_patiëntaantal[Digitale zorgtoepassing]),0))</f>
        <v>Huidige toepassing</v>
      </c>
      <c r="F102" s="43" t="s">
        <v>812</v>
      </c>
      <c r="G102" s="33" t="str">
        <f>CONCATENATE(uitkomst_doelgroep[[#This Row],[Digitale zorgtoepassing]],"_",uitkomst_doelgroep[[#This Row],[Doelgroep]],"_",uitkomst_doelgroep[[#This Row],[Uitgangssituatie/effect beleid]])</f>
        <v>AI om diagnoses te stellen (app)_Huisartsconsult_Goedaardige huidplek_Effect beleid</v>
      </c>
      <c r="H102" s="33">
        <v>2032</v>
      </c>
      <c r="I102" s="32">
        <v>10</v>
      </c>
      <c r="J102" s="406" cm="1">
        <f t="array" ref="J102">INDEX(implementatie[[2023]:[2034]],MATCH(G102, implementatie[Zoeksleutel],0),I102)</f>
        <v>0.99659452554940442</v>
      </c>
      <c r="K102" s="406" cm="1">
        <f t="array" ref="K102">INDEX(implementatie[[2023]:[2034]],MATCH(G102,implementatie[Zoeksleutel],0),I102 + 1)</f>
        <v>0.99839362838010326</v>
      </c>
      <c r="L10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912284.1435116037</v>
      </c>
      <c r="M102" s="398" cm="1">
        <f t="array" ref="M102">J102*INDEX(Berekening_impact[Totaal arbeidsbesparing (€/jaar)],MATCH(B102,IF(Berekening_impact[Doelgroep]=C102,Berekening_impact[Digitale zorgtoepassing]),0))</f>
        <v>8018387.7825811068</v>
      </c>
      <c r="N102" s="397" cm="1">
        <f t="array" ref="N102">J102*INDEX(Berekening_impact[Totaal arbeidsbesparing (FTE/jaar)],MATCH(B102,IF(Berekening_impact[Doelgroep]=C102,Berekening_impact[Digitale zorgtoepassing]),0))</f>
        <v>59.210749699070433</v>
      </c>
      <c r="O102" s="398" cm="1">
        <f t="array" ref="O102">J102*INDEX(Berekening_impact[Overige kostenbesparing (totaal/jaar totaal potentieel)],MATCH(B102,IF(Berekening_impact[Doelgroep]=C102,Berekening_impact[Digitale zorgtoepassing]),0))</f>
        <v>0</v>
      </c>
      <c r="P102" s="398" cm="1">
        <f t="array" ref="P102">J102*INDEX(Berekening_impact[Opbrengsten door QALY''s],MATCH(B102,IF(Berekening_impact[Doelgroep]=C102,Berekening_impact[Digitale zorgtoepassing]),0))</f>
        <v>0</v>
      </c>
      <c r="Q102" s="398" cm="1">
        <f t="array" ref="Q102">J102*INDEX(Berekening_impact[Jaarlijkse kosten (totaal) - incl. schatting],MATCH(B102,IF(Berekening_impact[Doelgroep]=C102,Berekening_impact[Digitale zorgtoepassing]),0))</f>
        <v>6376866.1631461103</v>
      </c>
      <c r="R102" s="398" cm="1">
        <f t="array" ref="R102">(uitkomst_doelgroep[[#This Row],[Implementatiegraad t = T + 1]]-uitkomst_doelgroep[[#This Row],[Implementatiegraad t = T]])*INDEX(Berekening_impact[Initiële investering (totaal) - incl. schatting],MATCH(B102,IF(Berekening_impact[Doelgroep]=C102,Berekening_impact[Digitale zorgtoepassing]),0))</f>
        <v>0</v>
      </c>
      <c r="S102" s="398">
        <f>uitkomst_doelgroep[[#This Row],[Arbeidsbesparing (€)]]*uitkomst_doelgroep[[#This Row],[Percentage van patiëntaantallen in Wlz (overige is Zvw)]]</f>
        <v>0</v>
      </c>
      <c r="T102" s="398">
        <f>uitkomst_doelgroep[[#This Row],[Overige besparingen (€)]]*uitkomst_doelgroep[[#This Row],[Percentage van patiëntaantallen in Wlz (overige is Zvw)]]</f>
        <v>0</v>
      </c>
      <c r="U102" s="398">
        <f>uitkomst_doelgroep[[#This Row],[Kosten (€)]]*uitkomst_doelgroep[[#This Row],[Percentage van patiëntaantallen in Wlz (overige is Zvw)]]</f>
        <v>0</v>
      </c>
      <c r="V102" s="398">
        <f>uitkomst_doelgroep[[#This Row],[Investering (cash flow) (€)]]*uitkomst_doelgroep[[#This Row],[Percentage van patiëntaantallen in Wlz (overige is Zvw)]]</f>
        <v>0</v>
      </c>
    </row>
    <row r="103" spans="1:22" x14ac:dyDescent="0.5">
      <c r="A103" s="33" t="str">
        <f>INDEX(Technologieën[Veld],MATCH(B103,Technologieën[Digitale zorgtoepassing],0))</f>
        <v>Software - Diagnose</v>
      </c>
      <c r="B103" s="33" t="s">
        <v>474</v>
      </c>
      <c r="C103" s="33" t="s">
        <v>111</v>
      </c>
      <c r="D103" s="427" cm="1">
        <f t="array" ref="D103">INDEX(Berekening_patiëntaantal[Percentage van patiëntaantallen in Wlz (overige is Zvw)],MATCH(B103,IF(Berekening_patiëntaantal[Doelgroep (zoeksleutel)]=C103,Berekening_patiëntaantal[Digitale zorgtoepassing]),0))</f>
        <v>0</v>
      </c>
      <c r="E103" s="33" t="str" cm="1">
        <f t="array" ref="E103">INDEX(Berekening_patiëntaantal[Direct toepasbaar/extrapolatie/incidentie voor QALY],MATCH(B103,IF(Berekening_patiëntaantal[Doelgroep (zoeksleutel)]=C103,Berekening_patiëntaantal[Digitale zorgtoepassing]),0))</f>
        <v>Huidige toepassing</v>
      </c>
      <c r="F103" s="43" t="s">
        <v>812</v>
      </c>
      <c r="G103" s="33" t="str">
        <f>CONCATENATE(uitkomst_doelgroep[[#This Row],[Digitale zorgtoepassing]],"_",uitkomst_doelgroep[[#This Row],[Doelgroep]],"_",uitkomst_doelgroep[[#This Row],[Uitgangssituatie/effect beleid]])</f>
        <v>AI om diagnoses te stellen (app)_Huisartsconsult_Goedaardige huidplek_Effect beleid</v>
      </c>
      <c r="H103" s="33">
        <v>2033</v>
      </c>
      <c r="I103" s="32">
        <v>11</v>
      </c>
      <c r="J103" s="406" cm="1">
        <f t="array" ref="J103">INDEX(implementatie[[2023]:[2034]],MATCH(G103, implementatie[Zoeksleutel],0),I103)</f>
        <v>0.99839362838010326</v>
      </c>
      <c r="K103" s="406" cm="1">
        <f t="array" ref="K103">INDEX(implementatie[[2023]:[2034]],MATCH(G103,implementatie[Zoeksleutel],0),I103 + 1)</f>
        <v>0.99924371512375787</v>
      </c>
      <c r="L10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913931.04497746169</v>
      </c>
      <c r="M103" s="398" cm="1">
        <f t="array" ref="M103">J103*INDEX(Berekening_impact[Totaal arbeidsbesparing (€/jaar)],MATCH(B103,IF(Berekening_impact[Doelgroep]=C103,Berekening_impact[Digitale zorgtoepassing]),0))</f>
        <v>8032862.9816590166</v>
      </c>
      <c r="N103" s="397" cm="1">
        <f t="array" ref="N103">J103*INDEX(Berekening_impact[Totaal arbeidsbesparing (FTE/jaar)],MATCH(B103,IF(Berekening_impact[Doelgroep]=C103,Berekening_impact[Digitale zorgtoepassing]),0))</f>
        <v>59.317639938441026</v>
      </c>
      <c r="O103" s="398" cm="1">
        <f t="array" ref="O103">J103*INDEX(Berekening_impact[Overige kostenbesparing (totaal/jaar totaal potentieel)],MATCH(B103,IF(Berekening_impact[Doelgroep]=C103,Berekening_impact[Digitale zorgtoepassing]),0))</f>
        <v>0</v>
      </c>
      <c r="P103" s="398" cm="1">
        <f t="array" ref="P103">J103*INDEX(Berekening_impact[Opbrengsten door QALY''s],MATCH(B103,IF(Berekening_impact[Doelgroep]=C103,Berekening_impact[Digitale zorgtoepassing]),0))</f>
        <v>0</v>
      </c>
      <c r="Q103" s="398" cm="1">
        <f t="array" ref="Q103">J103*INDEX(Berekening_impact[Jaarlijkse kosten (totaal) - incl. schatting],MATCH(B103,IF(Berekening_impact[Doelgroep]=C103,Berekening_impact[Digitale zorgtoepassing]),0))</f>
        <v>6388378.0043924572</v>
      </c>
      <c r="R103" s="398" cm="1">
        <f t="array" ref="R103">(uitkomst_doelgroep[[#This Row],[Implementatiegraad t = T + 1]]-uitkomst_doelgroep[[#This Row],[Implementatiegraad t = T]])*INDEX(Berekening_impact[Initiële investering (totaal) - incl. schatting],MATCH(B103,IF(Berekening_impact[Doelgroep]=C103,Berekening_impact[Digitale zorgtoepassing]),0))</f>
        <v>0</v>
      </c>
      <c r="S103" s="398">
        <f>uitkomst_doelgroep[[#This Row],[Arbeidsbesparing (€)]]*uitkomst_doelgroep[[#This Row],[Percentage van patiëntaantallen in Wlz (overige is Zvw)]]</f>
        <v>0</v>
      </c>
      <c r="T103" s="398">
        <f>uitkomst_doelgroep[[#This Row],[Overige besparingen (€)]]*uitkomst_doelgroep[[#This Row],[Percentage van patiëntaantallen in Wlz (overige is Zvw)]]</f>
        <v>0</v>
      </c>
      <c r="U103" s="398">
        <f>uitkomst_doelgroep[[#This Row],[Kosten (€)]]*uitkomst_doelgroep[[#This Row],[Percentage van patiëntaantallen in Wlz (overige is Zvw)]]</f>
        <v>0</v>
      </c>
      <c r="V103" s="398">
        <f>uitkomst_doelgroep[[#This Row],[Investering (cash flow) (€)]]*uitkomst_doelgroep[[#This Row],[Percentage van patiëntaantallen in Wlz (overige is Zvw)]]</f>
        <v>0</v>
      </c>
    </row>
    <row r="104" spans="1:22" x14ac:dyDescent="0.5">
      <c r="A104" s="33" t="str">
        <f>INDEX(Technologieën[Veld],MATCH(B104,Technologieën[Digitale zorgtoepassing],0))</f>
        <v>Software - Diagnose</v>
      </c>
      <c r="B104" s="33" t="s">
        <v>473</v>
      </c>
      <c r="C104" s="33" t="s">
        <v>464</v>
      </c>
      <c r="D104" s="427" cm="1">
        <f t="array" ref="D104">INDEX(Berekening_patiëntaantal[Percentage van patiëntaantallen in Wlz (overige is Zvw)],MATCH(B104,IF(Berekening_patiëntaantal[Doelgroep (zoeksleutel)]=C104,Berekening_patiëntaantal[Digitale zorgtoepassing]),0))</f>
        <v>0</v>
      </c>
      <c r="E104" s="33" t="str" cm="1">
        <f t="array" ref="E104">INDEX(Berekening_patiëntaantal[Direct toepasbaar/extrapolatie/incidentie voor QALY],MATCH(B104,IF(Berekening_patiëntaantal[Doelgroep (zoeksleutel)]=C104,Berekening_patiëntaantal[Digitale zorgtoepassing]),0))</f>
        <v>Extrapolatie</v>
      </c>
      <c r="F104" s="43" t="s">
        <v>812</v>
      </c>
      <c r="G104" s="33" t="str">
        <f>CONCATENATE(uitkomst_doelgroep[[#This Row],[Digitale zorgtoepassing]],"_",uitkomst_doelgroep[[#This Row],[Doelgroep]],"_",uitkomst_doelgroep[[#This Row],[Uitgangssituatie/effect beleid]])</f>
        <v>AI om diagnoses te stellen (CT)_CT scan_Overig_Effect beleid</v>
      </c>
      <c r="H104" s="33">
        <v>2023</v>
      </c>
      <c r="I104" s="32">
        <v>1</v>
      </c>
      <c r="J104" s="406" cm="1">
        <f t="array" ref="J104">INDEX(implementatie[[2023]:[2034]],MATCH(G104, implementatie[Zoeksleutel],0),I104)</f>
        <v>0</v>
      </c>
      <c r="K104" s="406" cm="1">
        <f t="array" ref="K104">INDEX(implementatie[[2023]:[2034]],MATCH(G104,implementatie[Zoeksleutel],0),I104 + 1)</f>
        <v>0</v>
      </c>
      <c r="L10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04" s="398" cm="1">
        <f t="array" ref="M104">J104*INDEX(Berekening_impact[Totaal arbeidsbesparing (€/jaar)],MATCH(B104,IF(Berekening_impact[Doelgroep]=C104,Berekening_impact[Digitale zorgtoepassing]),0))</f>
        <v>0</v>
      </c>
      <c r="N104" s="397" cm="1">
        <f t="array" ref="N104">J104*INDEX(Berekening_impact[Totaal arbeidsbesparing (FTE/jaar)],MATCH(B104,IF(Berekening_impact[Doelgroep]=C104,Berekening_impact[Digitale zorgtoepassing]),0))</f>
        <v>0</v>
      </c>
      <c r="O104" s="398" cm="1">
        <f t="array" ref="O104">J104*INDEX(Berekening_impact[Overige kostenbesparing (totaal/jaar totaal potentieel)],MATCH(B104,IF(Berekening_impact[Doelgroep]=C104,Berekening_impact[Digitale zorgtoepassing]),0))</f>
        <v>0</v>
      </c>
      <c r="P104" s="398" cm="1">
        <f t="array" ref="P104">J104*INDEX(Berekening_impact[Opbrengsten door QALY''s],MATCH(B104,IF(Berekening_impact[Doelgroep]=C104,Berekening_impact[Digitale zorgtoepassing]),0))</f>
        <v>0</v>
      </c>
      <c r="Q104" s="398" cm="1">
        <f t="array" ref="Q104">J104*INDEX(Berekening_impact[Jaarlijkse kosten (totaal) - incl. schatting],MATCH(B104,IF(Berekening_impact[Doelgroep]=C104,Berekening_impact[Digitale zorgtoepassing]),0))</f>
        <v>0</v>
      </c>
      <c r="R104" s="398" cm="1">
        <f t="array" ref="R104">(uitkomst_doelgroep[[#This Row],[Implementatiegraad t = T + 1]]-uitkomst_doelgroep[[#This Row],[Implementatiegraad t = T]])*INDEX(Berekening_impact[Initiële investering (totaal) - incl. schatting],MATCH(B104,IF(Berekening_impact[Doelgroep]=C104,Berekening_impact[Digitale zorgtoepassing]),0))</f>
        <v>0</v>
      </c>
      <c r="S104" s="398">
        <f>uitkomst_doelgroep[[#This Row],[Arbeidsbesparing (€)]]*uitkomst_doelgroep[[#This Row],[Percentage van patiëntaantallen in Wlz (overige is Zvw)]]</f>
        <v>0</v>
      </c>
      <c r="T104" s="398">
        <f>uitkomst_doelgroep[[#This Row],[Overige besparingen (€)]]*uitkomst_doelgroep[[#This Row],[Percentage van patiëntaantallen in Wlz (overige is Zvw)]]</f>
        <v>0</v>
      </c>
      <c r="U104" s="398">
        <f>uitkomst_doelgroep[[#This Row],[Kosten (€)]]*uitkomst_doelgroep[[#This Row],[Percentage van patiëntaantallen in Wlz (overige is Zvw)]]</f>
        <v>0</v>
      </c>
      <c r="V104" s="398">
        <f>uitkomst_doelgroep[[#This Row],[Investering (cash flow) (€)]]*uitkomst_doelgroep[[#This Row],[Percentage van patiëntaantallen in Wlz (overige is Zvw)]]</f>
        <v>0</v>
      </c>
    </row>
    <row r="105" spans="1:22" x14ac:dyDescent="0.5">
      <c r="A105" s="33" t="str">
        <f>INDEX(Technologieën[Veld],MATCH(B105,Technologieën[Digitale zorgtoepassing],0))</f>
        <v>Software - Diagnose</v>
      </c>
      <c r="B105" s="33" t="s">
        <v>473</v>
      </c>
      <c r="C105" s="33" t="s">
        <v>455</v>
      </c>
      <c r="D105" s="427" cm="1">
        <f t="array" ref="D105">INDEX(Berekening_patiëntaantal[Percentage van patiëntaantallen in Wlz (overige is Zvw)],MATCH(B105,IF(Berekening_patiëntaantal[Doelgroep (zoeksleutel)]=C105,Berekening_patiëntaantal[Digitale zorgtoepassing]),0))</f>
        <v>0</v>
      </c>
      <c r="E105" s="33" t="str" cm="1">
        <f t="array" ref="E105">INDEX(Berekening_patiëntaantal[Direct toepasbaar/extrapolatie/incidentie voor QALY],MATCH(B105,IF(Berekening_patiëntaantal[Doelgroep (zoeksleutel)]=C105,Berekening_patiëntaantal[Digitale zorgtoepassing]),0))</f>
        <v>Huidige toepassing</v>
      </c>
      <c r="F105" s="43" t="s">
        <v>812</v>
      </c>
      <c r="G105" s="33" t="str">
        <f>CONCATENATE(uitkomst_doelgroep[[#This Row],[Digitale zorgtoepassing]],"_",uitkomst_doelgroep[[#This Row],[Doelgroep]],"_",uitkomst_doelgroep[[#This Row],[Uitgangssituatie/effect beleid]])</f>
        <v>AI om diagnoses te stellen (CT)_CT scan_Interstitiële longaandoening_Effect beleid</v>
      </c>
      <c r="H105" s="33">
        <v>2023</v>
      </c>
      <c r="I105" s="32">
        <v>1</v>
      </c>
      <c r="J105" s="406" cm="1">
        <f t="array" ref="J105">INDEX(implementatie[[2023]:[2034]],MATCH(G105, implementatie[Zoeksleutel],0),I105)</f>
        <v>0.4</v>
      </c>
      <c r="K105" s="406" cm="1">
        <f t="array" ref="K105">INDEX(implementatie[[2023]:[2034]],MATCH(G105,implementatie[Zoeksleutel],0),I105 + 1)</f>
        <v>0.53800000000000003</v>
      </c>
      <c r="L10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4321.6000000000004</v>
      </c>
      <c r="M105" s="398" cm="1">
        <f t="array" ref="M105">J105*INDEX(Berekening_impact[Totaal arbeidsbesparing (€/jaar)],MATCH(B105,IF(Berekening_impact[Doelgroep]=C105,Berekening_impact[Digitale zorgtoepassing]),0))</f>
        <v>9853.7633632183934</v>
      </c>
      <c r="N105" s="397" cm="1">
        <f t="array" ref="N105">J105*INDEX(Berekening_impact[Totaal arbeidsbesparing (FTE/jaar)],MATCH(B105,IF(Berekening_impact[Doelgroep]=C105,Berekening_impact[Digitale zorgtoepassing]),0))</f>
        <v>5.1942307692307704E-2</v>
      </c>
      <c r="O105" s="398" cm="1">
        <f t="array" ref="O105">J105*INDEX(Berekening_impact[Overige kostenbesparing (totaal/jaar totaal potentieel)],MATCH(B105,IF(Berekening_impact[Doelgroep]=C105,Berekening_impact[Digitale zorgtoepassing]),0))</f>
        <v>0</v>
      </c>
      <c r="P105" s="398" cm="1">
        <f t="array" ref="P105">J105*INDEX(Berekening_impact[Opbrengsten door QALY''s],MATCH(B105,IF(Berekening_impact[Doelgroep]=C105,Berekening_impact[Digitale zorgtoepassing]),0))</f>
        <v>0</v>
      </c>
      <c r="Q105" s="398" cm="1">
        <f t="array" ref="Q105">J105*INDEX(Berekening_impact[Jaarlijkse kosten (totaal) - incl. schatting],MATCH(B105,IF(Berekening_impact[Doelgroep]=C105,Berekening_impact[Digitale zorgtoepassing]),0))</f>
        <v>392343.27066666668</v>
      </c>
      <c r="R105" s="398" cm="1">
        <f t="array" ref="R105">(uitkomst_doelgroep[[#This Row],[Implementatiegraad t = T + 1]]-uitkomst_doelgroep[[#This Row],[Implementatiegraad t = T]])*INDEX(Berekening_impact[Initiële investering (totaal) - incl. schatting],MATCH(B105,IF(Berekening_impact[Doelgroep]=C105,Berekening_impact[Digitale zorgtoepassing]),0))</f>
        <v>0</v>
      </c>
      <c r="S105" s="398">
        <f>uitkomst_doelgroep[[#This Row],[Arbeidsbesparing (€)]]*uitkomst_doelgroep[[#This Row],[Percentage van patiëntaantallen in Wlz (overige is Zvw)]]</f>
        <v>0</v>
      </c>
      <c r="T105" s="398">
        <f>uitkomst_doelgroep[[#This Row],[Overige besparingen (€)]]*uitkomst_doelgroep[[#This Row],[Percentage van patiëntaantallen in Wlz (overige is Zvw)]]</f>
        <v>0</v>
      </c>
      <c r="U105" s="398">
        <f>uitkomst_doelgroep[[#This Row],[Kosten (€)]]*uitkomst_doelgroep[[#This Row],[Percentage van patiëntaantallen in Wlz (overige is Zvw)]]</f>
        <v>0</v>
      </c>
      <c r="V105" s="398">
        <f>uitkomst_doelgroep[[#This Row],[Investering (cash flow) (€)]]*uitkomst_doelgroep[[#This Row],[Percentage van patiëntaantallen in Wlz (overige is Zvw)]]</f>
        <v>0</v>
      </c>
    </row>
    <row r="106" spans="1:22" x14ac:dyDescent="0.5">
      <c r="A106" s="33" t="str">
        <f>INDEX(Technologieën[Veld],MATCH(B106,Technologieën[Digitale zorgtoepassing],0))</f>
        <v>Software - Diagnose</v>
      </c>
      <c r="B106" s="33" t="s">
        <v>473</v>
      </c>
      <c r="C106" s="33" t="s">
        <v>451</v>
      </c>
      <c r="D106" s="427" cm="1">
        <f t="array" ref="D106">INDEX(Berekening_patiëntaantal[Percentage van patiëntaantallen in Wlz (overige is Zvw)],MATCH(B106,IF(Berekening_patiëntaantal[Doelgroep (zoeksleutel)]=C106,Berekening_patiëntaantal[Digitale zorgtoepassing]),0))</f>
        <v>0</v>
      </c>
      <c r="E106" s="33" t="str" cm="1">
        <f t="array" ref="E106">INDEX(Berekening_patiëntaantal[Direct toepasbaar/extrapolatie/incidentie voor QALY],MATCH(B106,IF(Berekening_patiëntaantal[Doelgroep (zoeksleutel)]=C106,Berekening_patiëntaantal[Digitale zorgtoepassing]),0))</f>
        <v>Huidige toepassing</v>
      </c>
      <c r="F106" s="43" t="s">
        <v>812</v>
      </c>
      <c r="G106" s="33" t="str">
        <f>CONCATENATE(uitkomst_doelgroep[[#This Row],[Digitale zorgtoepassing]],"_",uitkomst_doelgroep[[#This Row],[Doelgroep]],"_",uitkomst_doelgroep[[#This Row],[Uitgangssituatie/effect beleid]])</f>
        <v>AI om diagnoses te stellen (CT)_CT scan_Longkanker_Effect beleid</v>
      </c>
      <c r="H106" s="33">
        <v>2023</v>
      </c>
      <c r="I106" s="32">
        <v>1</v>
      </c>
      <c r="J106" s="406" cm="1">
        <f t="array" ref="J106">INDEX(implementatie[[2023]:[2034]],MATCH(G106, implementatie[Zoeksleutel],0),I106)</f>
        <v>0.4</v>
      </c>
      <c r="K106" s="406" cm="1">
        <f t="array" ref="K106">INDEX(implementatie[[2023]:[2034]],MATCH(G106,implementatie[Zoeksleutel],0),I106 + 1)</f>
        <v>0.53800000000000003</v>
      </c>
      <c r="L10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29580.400000000001</v>
      </c>
      <c r="M106" s="398" cm="1">
        <f t="array" ref="M106">J106*INDEX(Berekening_impact[Totaal arbeidsbesparing (€/jaar)],MATCH(B106,IF(Berekening_impact[Doelgroep]=C106,Berekening_impact[Digitale zorgtoepassing]),0))</f>
        <v>93713.636504889218</v>
      </c>
      <c r="N106" s="397" cm="1">
        <f t="array" ref="N106">J106*INDEX(Berekening_impact[Totaal arbeidsbesparing (FTE/jaar)],MATCH(B106,IF(Berekening_impact[Doelgroep]=C106,Berekening_impact[Digitale zorgtoepassing]),0))</f>
        <v>0.49399426014957265</v>
      </c>
      <c r="O106" s="398" cm="1">
        <f t="array" ref="O106">J106*INDEX(Berekening_impact[Overige kostenbesparing (totaal/jaar totaal potentieel)],MATCH(B106,IF(Berekening_impact[Doelgroep]=C106,Berekening_impact[Digitale zorgtoepassing]),0))</f>
        <v>840000</v>
      </c>
      <c r="P106" s="398" cm="1">
        <f t="array" ref="P106">J106*INDEX(Berekening_impact[Opbrengsten door QALY''s],MATCH(B106,IF(Berekening_impact[Doelgroep]=C106,Berekening_impact[Digitale zorgtoepassing]),0))</f>
        <v>0</v>
      </c>
      <c r="Q106" s="398" cm="1">
        <f t="array" ref="Q106">J106*INDEX(Berekening_impact[Jaarlijkse kosten (totaal) - incl. schatting],MATCH(B106,IF(Berekening_impact[Doelgroep]=C106,Berekening_impact[Digitale zorgtoepassing]),0))</f>
        <v>389802.90100000001</v>
      </c>
      <c r="R106" s="398" cm="1">
        <f t="array" ref="R106">(uitkomst_doelgroep[[#This Row],[Implementatiegraad t = T + 1]]-uitkomst_doelgroep[[#This Row],[Implementatiegraad t = T]])*INDEX(Berekening_impact[Initiële investering (totaal) - incl. schatting],MATCH(B106,IF(Berekening_impact[Doelgroep]=C106,Berekening_impact[Digitale zorgtoepassing]),0))</f>
        <v>0</v>
      </c>
      <c r="S106" s="398">
        <f>uitkomst_doelgroep[[#This Row],[Arbeidsbesparing (€)]]*uitkomst_doelgroep[[#This Row],[Percentage van patiëntaantallen in Wlz (overige is Zvw)]]</f>
        <v>0</v>
      </c>
      <c r="T106" s="398">
        <f>uitkomst_doelgroep[[#This Row],[Overige besparingen (€)]]*uitkomst_doelgroep[[#This Row],[Percentage van patiëntaantallen in Wlz (overige is Zvw)]]</f>
        <v>0</v>
      </c>
      <c r="U106" s="398">
        <f>uitkomst_doelgroep[[#This Row],[Kosten (€)]]*uitkomst_doelgroep[[#This Row],[Percentage van patiëntaantallen in Wlz (overige is Zvw)]]</f>
        <v>0</v>
      </c>
      <c r="V106" s="398">
        <f>uitkomst_doelgroep[[#This Row],[Investering (cash flow) (€)]]*uitkomst_doelgroep[[#This Row],[Percentage van patiëntaantallen in Wlz (overige is Zvw)]]</f>
        <v>0</v>
      </c>
    </row>
    <row r="107" spans="1:22" x14ac:dyDescent="0.5">
      <c r="A107" s="33" t="str">
        <f>INDEX(Technologieën[Veld],MATCH(B107,Technologieën[Digitale zorgtoepassing],0))</f>
        <v>Software - Diagnose</v>
      </c>
      <c r="B107" s="33" t="s">
        <v>473</v>
      </c>
      <c r="C107" s="33" t="s">
        <v>464</v>
      </c>
      <c r="D107" s="427" cm="1">
        <f t="array" ref="D107">INDEX(Berekening_patiëntaantal[Percentage van patiëntaantallen in Wlz (overige is Zvw)],MATCH(B107,IF(Berekening_patiëntaantal[Doelgroep (zoeksleutel)]=C107,Berekening_patiëntaantal[Digitale zorgtoepassing]),0))</f>
        <v>0</v>
      </c>
      <c r="E107" s="33" t="str" cm="1">
        <f t="array" ref="E107">INDEX(Berekening_patiëntaantal[Direct toepasbaar/extrapolatie/incidentie voor QALY],MATCH(B107,IF(Berekening_patiëntaantal[Doelgroep (zoeksleutel)]=C107,Berekening_patiëntaantal[Digitale zorgtoepassing]),0))</f>
        <v>Extrapolatie</v>
      </c>
      <c r="F107" s="43" t="s">
        <v>812</v>
      </c>
      <c r="G107" s="33" t="str">
        <f>CONCATENATE(uitkomst_doelgroep[[#This Row],[Digitale zorgtoepassing]],"_",uitkomst_doelgroep[[#This Row],[Doelgroep]],"_",uitkomst_doelgroep[[#This Row],[Uitgangssituatie/effect beleid]])</f>
        <v>AI om diagnoses te stellen (CT)_CT scan_Overig_Effect beleid</v>
      </c>
      <c r="H107" s="33">
        <v>2024</v>
      </c>
      <c r="I107" s="32">
        <v>2</v>
      </c>
      <c r="J107" s="406" cm="1">
        <f t="array" ref="J107">INDEX(implementatie[[2023]:[2034]],MATCH(G107, implementatie[Zoeksleutel],0),I107)</f>
        <v>0</v>
      </c>
      <c r="K107" s="406" cm="1">
        <f t="array" ref="K107">INDEX(implementatie[[2023]:[2034]],MATCH(G107,implementatie[Zoeksleutel],0),I107 + 1)</f>
        <v>0</v>
      </c>
      <c r="L10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07" s="398" cm="1">
        <f t="array" ref="M107">J107*INDEX(Berekening_impact[Totaal arbeidsbesparing (€/jaar)],MATCH(B107,IF(Berekening_impact[Doelgroep]=C107,Berekening_impact[Digitale zorgtoepassing]),0))</f>
        <v>0</v>
      </c>
      <c r="N107" s="397" cm="1">
        <f t="array" ref="N107">J107*INDEX(Berekening_impact[Totaal arbeidsbesparing (FTE/jaar)],MATCH(B107,IF(Berekening_impact[Doelgroep]=C107,Berekening_impact[Digitale zorgtoepassing]),0))</f>
        <v>0</v>
      </c>
      <c r="O107" s="398" cm="1">
        <f t="array" ref="O107">J107*INDEX(Berekening_impact[Overige kostenbesparing (totaal/jaar totaal potentieel)],MATCH(B107,IF(Berekening_impact[Doelgroep]=C107,Berekening_impact[Digitale zorgtoepassing]),0))</f>
        <v>0</v>
      </c>
      <c r="P107" s="398" cm="1">
        <f t="array" ref="P107">J107*INDEX(Berekening_impact[Opbrengsten door QALY''s],MATCH(B107,IF(Berekening_impact[Doelgroep]=C107,Berekening_impact[Digitale zorgtoepassing]),0))</f>
        <v>0</v>
      </c>
      <c r="Q107" s="398" cm="1">
        <f t="array" ref="Q107">J107*INDEX(Berekening_impact[Jaarlijkse kosten (totaal) - incl. schatting],MATCH(B107,IF(Berekening_impact[Doelgroep]=C107,Berekening_impact[Digitale zorgtoepassing]),0))</f>
        <v>0</v>
      </c>
      <c r="R107" s="398" cm="1">
        <f t="array" ref="R107">(uitkomst_doelgroep[[#This Row],[Implementatiegraad t = T + 1]]-uitkomst_doelgroep[[#This Row],[Implementatiegraad t = T]])*INDEX(Berekening_impact[Initiële investering (totaal) - incl. schatting],MATCH(B107,IF(Berekening_impact[Doelgroep]=C107,Berekening_impact[Digitale zorgtoepassing]),0))</f>
        <v>0</v>
      </c>
      <c r="S107" s="398">
        <f>uitkomst_doelgroep[[#This Row],[Arbeidsbesparing (€)]]*uitkomst_doelgroep[[#This Row],[Percentage van patiëntaantallen in Wlz (overige is Zvw)]]</f>
        <v>0</v>
      </c>
      <c r="T107" s="398">
        <f>uitkomst_doelgroep[[#This Row],[Overige besparingen (€)]]*uitkomst_doelgroep[[#This Row],[Percentage van patiëntaantallen in Wlz (overige is Zvw)]]</f>
        <v>0</v>
      </c>
      <c r="U107" s="398">
        <f>uitkomst_doelgroep[[#This Row],[Kosten (€)]]*uitkomst_doelgroep[[#This Row],[Percentage van patiëntaantallen in Wlz (overige is Zvw)]]</f>
        <v>0</v>
      </c>
      <c r="V107" s="398">
        <f>uitkomst_doelgroep[[#This Row],[Investering (cash flow) (€)]]*uitkomst_doelgroep[[#This Row],[Percentage van patiëntaantallen in Wlz (overige is Zvw)]]</f>
        <v>0</v>
      </c>
    </row>
    <row r="108" spans="1:22" x14ac:dyDescent="0.5">
      <c r="A108" s="33" t="str">
        <f>INDEX(Technologieën[Veld],MATCH(B108,Technologieën[Digitale zorgtoepassing],0))</f>
        <v>Software - Diagnose</v>
      </c>
      <c r="B108" s="33" t="s">
        <v>473</v>
      </c>
      <c r="C108" s="33" t="s">
        <v>455</v>
      </c>
      <c r="D108" s="427" cm="1">
        <f t="array" ref="D108">INDEX(Berekening_patiëntaantal[Percentage van patiëntaantallen in Wlz (overige is Zvw)],MATCH(B108,IF(Berekening_patiëntaantal[Doelgroep (zoeksleutel)]=C108,Berekening_patiëntaantal[Digitale zorgtoepassing]),0))</f>
        <v>0</v>
      </c>
      <c r="E108" s="33" t="str" cm="1">
        <f t="array" ref="E108">INDEX(Berekening_patiëntaantal[Direct toepasbaar/extrapolatie/incidentie voor QALY],MATCH(B108,IF(Berekening_patiëntaantal[Doelgroep (zoeksleutel)]=C108,Berekening_patiëntaantal[Digitale zorgtoepassing]),0))</f>
        <v>Huidige toepassing</v>
      </c>
      <c r="F108" s="43" t="s">
        <v>812</v>
      </c>
      <c r="G108" s="33" t="str">
        <f>CONCATENATE(uitkomst_doelgroep[[#This Row],[Digitale zorgtoepassing]],"_",uitkomst_doelgroep[[#This Row],[Doelgroep]],"_",uitkomst_doelgroep[[#This Row],[Uitgangssituatie/effect beleid]])</f>
        <v>AI om diagnoses te stellen (CT)_CT scan_Interstitiële longaandoening_Effect beleid</v>
      </c>
      <c r="H108" s="33">
        <v>2024</v>
      </c>
      <c r="I108" s="32">
        <v>2</v>
      </c>
      <c r="J108" s="406" cm="1">
        <f t="array" ref="J108">INDEX(implementatie[[2023]:[2034]],MATCH(G108, implementatie[Zoeksleutel],0),I108)</f>
        <v>0.53800000000000003</v>
      </c>
      <c r="K108" s="406" cm="1">
        <f t="array" ref="K108">INDEX(implementatie[[2023]:[2034]],MATCH(G108,implementatie[Zoeksleutel],0),I108 + 1)</f>
        <v>0.67613800000000002</v>
      </c>
      <c r="L10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5812.5520000000006</v>
      </c>
      <c r="M108" s="398" cm="1">
        <f t="array" ref="M108">J108*INDEX(Berekening_impact[Totaal arbeidsbesparing (€/jaar)],MATCH(B108,IF(Berekening_impact[Doelgroep]=C108,Berekening_impact[Digitale zorgtoepassing]),0))</f>
        <v>13253.311723528737</v>
      </c>
      <c r="N108" s="397" cm="1">
        <f t="array" ref="N108">J108*INDEX(Berekening_impact[Totaal arbeidsbesparing (FTE/jaar)],MATCH(B108,IF(Berekening_impact[Doelgroep]=C108,Berekening_impact[Digitale zorgtoepassing]),0))</f>
        <v>6.9862403846153859E-2</v>
      </c>
      <c r="O108" s="398" cm="1">
        <f t="array" ref="O108">J108*INDEX(Berekening_impact[Overige kostenbesparing (totaal/jaar totaal potentieel)],MATCH(B108,IF(Berekening_impact[Doelgroep]=C108,Berekening_impact[Digitale zorgtoepassing]),0))</f>
        <v>0</v>
      </c>
      <c r="P108" s="398" cm="1">
        <f t="array" ref="P108">J108*INDEX(Berekening_impact[Opbrengsten door QALY''s],MATCH(B108,IF(Berekening_impact[Doelgroep]=C108,Berekening_impact[Digitale zorgtoepassing]),0))</f>
        <v>0</v>
      </c>
      <c r="Q108" s="398" cm="1">
        <f t="array" ref="Q108">J108*INDEX(Berekening_impact[Jaarlijkse kosten (totaal) - incl. schatting],MATCH(B108,IF(Berekening_impact[Doelgroep]=C108,Berekening_impact[Digitale zorgtoepassing]),0))</f>
        <v>527701.69904666673</v>
      </c>
      <c r="R108" s="398" cm="1">
        <f t="array" ref="R108">(uitkomst_doelgroep[[#This Row],[Implementatiegraad t = T + 1]]-uitkomst_doelgroep[[#This Row],[Implementatiegraad t = T]])*INDEX(Berekening_impact[Initiële investering (totaal) - incl. schatting],MATCH(B108,IF(Berekening_impact[Doelgroep]=C108,Berekening_impact[Digitale zorgtoepassing]),0))</f>
        <v>0</v>
      </c>
      <c r="S108" s="398">
        <f>uitkomst_doelgroep[[#This Row],[Arbeidsbesparing (€)]]*uitkomst_doelgroep[[#This Row],[Percentage van patiëntaantallen in Wlz (overige is Zvw)]]</f>
        <v>0</v>
      </c>
      <c r="T108" s="398">
        <f>uitkomst_doelgroep[[#This Row],[Overige besparingen (€)]]*uitkomst_doelgroep[[#This Row],[Percentage van patiëntaantallen in Wlz (overige is Zvw)]]</f>
        <v>0</v>
      </c>
      <c r="U108" s="398">
        <f>uitkomst_doelgroep[[#This Row],[Kosten (€)]]*uitkomst_doelgroep[[#This Row],[Percentage van patiëntaantallen in Wlz (overige is Zvw)]]</f>
        <v>0</v>
      </c>
      <c r="V108" s="398">
        <f>uitkomst_doelgroep[[#This Row],[Investering (cash flow) (€)]]*uitkomst_doelgroep[[#This Row],[Percentage van patiëntaantallen in Wlz (overige is Zvw)]]</f>
        <v>0</v>
      </c>
    </row>
    <row r="109" spans="1:22" x14ac:dyDescent="0.5">
      <c r="A109" s="33" t="str">
        <f>INDEX(Technologieën[Veld],MATCH(B109,Technologieën[Digitale zorgtoepassing],0))</f>
        <v>Software - Diagnose</v>
      </c>
      <c r="B109" s="33" t="s">
        <v>473</v>
      </c>
      <c r="C109" s="33" t="s">
        <v>451</v>
      </c>
      <c r="D109" s="427" cm="1">
        <f t="array" ref="D109">INDEX(Berekening_patiëntaantal[Percentage van patiëntaantallen in Wlz (overige is Zvw)],MATCH(B109,IF(Berekening_patiëntaantal[Doelgroep (zoeksleutel)]=C109,Berekening_patiëntaantal[Digitale zorgtoepassing]),0))</f>
        <v>0</v>
      </c>
      <c r="E109" s="33" t="str" cm="1">
        <f t="array" ref="E109">INDEX(Berekening_patiëntaantal[Direct toepasbaar/extrapolatie/incidentie voor QALY],MATCH(B109,IF(Berekening_patiëntaantal[Doelgroep (zoeksleutel)]=C109,Berekening_patiëntaantal[Digitale zorgtoepassing]),0))</f>
        <v>Huidige toepassing</v>
      </c>
      <c r="F109" s="43" t="s">
        <v>812</v>
      </c>
      <c r="G109" s="33" t="str">
        <f>CONCATENATE(uitkomst_doelgroep[[#This Row],[Digitale zorgtoepassing]],"_",uitkomst_doelgroep[[#This Row],[Doelgroep]],"_",uitkomst_doelgroep[[#This Row],[Uitgangssituatie/effect beleid]])</f>
        <v>AI om diagnoses te stellen (CT)_CT scan_Longkanker_Effect beleid</v>
      </c>
      <c r="H109" s="33">
        <v>2024</v>
      </c>
      <c r="I109" s="32">
        <v>2</v>
      </c>
      <c r="J109" s="406" cm="1">
        <f t="array" ref="J109">INDEX(implementatie[[2023]:[2034]],MATCH(G109, implementatie[Zoeksleutel],0),I109)</f>
        <v>0.53800000000000003</v>
      </c>
      <c r="K109" s="406" cm="1">
        <f t="array" ref="K109">INDEX(implementatie[[2023]:[2034]],MATCH(G109,implementatie[Zoeksleutel],0),I109 + 1)</f>
        <v>0.67613800000000002</v>
      </c>
      <c r="L10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39785.637999999999</v>
      </c>
      <c r="M109" s="398" cm="1">
        <f t="array" ref="M109">J109*INDEX(Berekening_impact[Totaal arbeidsbesparing (€/jaar)],MATCH(B109,IF(Berekening_impact[Doelgroep]=C109,Berekening_impact[Digitale zorgtoepassing]),0))</f>
        <v>126044.841099076</v>
      </c>
      <c r="N109" s="397" cm="1">
        <f t="array" ref="N109">J109*INDEX(Berekening_impact[Totaal arbeidsbesparing (FTE/jaar)],MATCH(B109,IF(Berekening_impact[Doelgroep]=C109,Berekening_impact[Digitale zorgtoepassing]),0))</f>
        <v>0.66442227990117519</v>
      </c>
      <c r="O109" s="398" cm="1">
        <f t="array" ref="O109">J109*INDEX(Berekening_impact[Overige kostenbesparing (totaal/jaar totaal potentieel)],MATCH(B109,IF(Berekening_impact[Doelgroep]=C109,Berekening_impact[Digitale zorgtoepassing]),0))</f>
        <v>1129800</v>
      </c>
      <c r="P109" s="398" cm="1">
        <f t="array" ref="P109">J109*INDEX(Berekening_impact[Opbrengsten door QALY''s],MATCH(B109,IF(Berekening_impact[Doelgroep]=C109,Berekening_impact[Digitale zorgtoepassing]),0))</f>
        <v>0</v>
      </c>
      <c r="Q109" s="398" cm="1">
        <f t="array" ref="Q109">J109*INDEX(Berekening_impact[Jaarlijkse kosten (totaal) - incl. schatting],MATCH(B109,IF(Berekening_impact[Doelgroep]=C109,Berekening_impact[Digitale zorgtoepassing]),0))</f>
        <v>524284.90184499999</v>
      </c>
      <c r="R109" s="398" cm="1">
        <f t="array" ref="R109">(uitkomst_doelgroep[[#This Row],[Implementatiegraad t = T + 1]]-uitkomst_doelgroep[[#This Row],[Implementatiegraad t = T]])*INDEX(Berekening_impact[Initiële investering (totaal) - incl. schatting],MATCH(B109,IF(Berekening_impact[Doelgroep]=C109,Berekening_impact[Digitale zorgtoepassing]),0))</f>
        <v>0</v>
      </c>
      <c r="S109" s="398">
        <f>uitkomst_doelgroep[[#This Row],[Arbeidsbesparing (€)]]*uitkomst_doelgroep[[#This Row],[Percentage van patiëntaantallen in Wlz (overige is Zvw)]]</f>
        <v>0</v>
      </c>
      <c r="T109" s="398">
        <f>uitkomst_doelgroep[[#This Row],[Overige besparingen (€)]]*uitkomst_doelgroep[[#This Row],[Percentage van patiëntaantallen in Wlz (overige is Zvw)]]</f>
        <v>0</v>
      </c>
      <c r="U109" s="398">
        <f>uitkomst_doelgroep[[#This Row],[Kosten (€)]]*uitkomst_doelgroep[[#This Row],[Percentage van patiëntaantallen in Wlz (overige is Zvw)]]</f>
        <v>0</v>
      </c>
      <c r="V109" s="398">
        <f>uitkomst_doelgroep[[#This Row],[Investering (cash flow) (€)]]*uitkomst_doelgroep[[#This Row],[Percentage van patiëntaantallen in Wlz (overige is Zvw)]]</f>
        <v>0</v>
      </c>
    </row>
    <row r="110" spans="1:22" x14ac:dyDescent="0.5">
      <c r="A110" s="33" t="str">
        <f>INDEX(Technologieën[Veld],MATCH(B110,Technologieën[Digitale zorgtoepassing],0))</f>
        <v>Software - Diagnose</v>
      </c>
      <c r="B110" s="33" t="s">
        <v>473</v>
      </c>
      <c r="C110" s="33" t="s">
        <v>464</v>
      </c>
      <c r="D110" s="427" cm="1">
        <f t="array" ref="D110">INDEX(Berekening_patiëntaantal[Percentage van patiëntaantallen in Wlz (overige is Zvw)],MATCH(B110,IF(Berekening_patiëntaantal[Doelgroep (zoeksleutel)]=C110,Berekening_patiëntaantal[Digitale zorgtoepassing]),0))</f>
        <v>0</v>
      </c>
      <c r="E110" s="33" t="str" cm="1">
        <f t="array" ref="E110">INDEX(Berekening_patiëntaantal[Direct toepasbaar/extrapolatie/incidentie voor QALY],MATCH(B110,IF(Berekening_patiëntaantal[Doelgroep (zoeksleutel)]=C110,Berekening_patiëntaantal[Digitale zorgtoepassing]),0))</f>
        <v>Extrapolatie</v>
      </c>
      <c r="F110" s="43" t="s">
        <v>812</v>
      </c>
      <c r="G110" s="33" t="str">
        <f>CONCATENATE(uitkomst_doelgroep[[#This Row],[Digitale zorgtoepassing]],"_",uitkomst_doelgroep[[#This Row],[Doelgroep]],"_",uitkomst_doelgroep[[#This Row],[Uitgangssituatie/effect beleid]])</f>
        <v>AI om diagnoses te stellen (CT)_CT scan_Overig_Effect beleid</v>
      </c>
      <c r="H110" s="33">
        <v>2025</v>
      </c>
      <c r="I110" s="32">
        <v>3</v>
      </c>
      <c r="J110" s="406" cm="1">
        <f t="array" ref="J110">INDEX(implementatie[[2023]:[2034]],MATCH(G110, implementatie[Zoeksleutel],0),I110)</f>
        <v>0</v>
      </c>
      <c r="K110" s="406" cm="1">
        <f t="array" ref="K110">INDEX(implementatie[[2023]:[2034]],MATCH(G110,implementatie[Zoeksleutel],0),I110 + 1)</f>
        <v>0</v>
      </c>
      <c r="L11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10" s="398" cm="1">
        <f t="array" ref="M110">J110*INDEX(Berekening_impact[Totaal arbeidsbesparing (€/jaar)],MATCH(B110,IF(Berekening_impact[Doelgroep]=C110,Berekening_impact[Digitale zorgtoepassing]),0))</f>
        <v>0</v>
      </c>
      <c r="N110" s="397" cm="1">
        <f t="array" ref="N110">J110*INDEX(Berekening_impact[Totaal arbeidsbesparing (FTE/jaar)],MATCH(B110,IF(Berekening_impact[Doelgroep]=C110,Berekening_impact[Digitale zorgtoepassing]),0))</f>
        <v>0</v>
      </c>
      <c r="O110" s="398" cm="1">
        <f t="array" ref="O110">J110*INDEX(Berekening_impact[Overige kostenbesparing (totaal/jaar totaal potentieel)],MATCH(B110,IF(Berekening_impact[Doelgroep]=C110,Berekening_impact[Digitale zorgtoepassing]),0))</f>
        <v>0</v>
      </c>
      <c r="P110" s="398" cm="1">
        <f t="array" ref="P110">J110*INDEX(Berekening_impact[Opbrengsten door QALY''s],MATCH(B110,IF(Berekening_impact[Doelgroep]=C110,Berekening_impact[Digitale zorgtoepassing]),0))</f>
        <v>0</v>
      </c>
      <c r="Q110" s="398" cm="1">
        <f t="array" ref="Q110">J110*INDEX(Berekening_impact[Jaarlijkse kosten (totaal) - incl. schatting],MATCH(B110,IF(Berekening_impact[Doelgroep]=C110,Berekening_impact[Digitale zorgtoepassing]),0))</f>
        <v>0</v>
      </c>
      <c r="R110" s="398" cm="1">
        <f t="array" ref="R110">(uitkomst_doelgroep[[#This Row],[Implementatiegraad t = T + 1]]-uitkomst_doelgroep[[#This Row],[Implementatiegraad t = T]])*INDEX(Berekening_impact[Initiële investering (totaal) - incl. schatting],MATCH(B110,IF(Berekening_impact[Doelgroep]=C110,Berekening_impact[Digitale zorgtoepassing]),0))</f>
        <v>0</v>
      </c>
      <c r="S110" s="398">
        <f>uitkomst_doelgroep[[#This Row],[Arbeidsbesparing (€)]]*uitkomst_doelgroep[[#This Row],[Percentage van patiëntaantallen in Wlz (overige is Zvw)]]</f>
        <v>0</v>
      </c>
      <c r="T110" s="398">
        <f>uitkomst_doelgroep[[#This Row],[Overige besparingen (€)]]*uitkomst_doelgroep[[#This Row],[Percentage van patiëntaantallen in Wlz (overige is Zvw)]]</f>
        <v>0</v>
      </c>
      <c r="U110" s="398">
        <f>uitkomst_doelgroep[[#This Row],[Kosten (€)]]*uitkomst_doelgroep[[#This Row],[Percentage van patiëntaantallen in Wlz (overige is Zvw)]]</f>
        <v>0</v>
      </c>
      <c r="V110" s="398">
        <f>uitkomst_doelgroep[[#This Row],[Investering (cash flow) (€)]]*uitkomst_doelgroep[[#This Row],[Percentage van patiëntaantallen in Wlz (overige is Zvw)]]</f>
        <v>0</v>
      </c>
    </row>
    <row r="111" spans="1:22" x14ac:dyDescent="0.5">
      <c r="A111" s="33" t="str">
        <f>INDEX(Technologieën[Veld],MATCH(B111,Technologieën[Digitale zorgtoepassing],0))</f>
        <v>Software - Diagnose</v>
      </c>
      <c r="B111" s="33" t="s">
        <v>473</v>
      </c>
      <c r="C111" s="33" t="s">
        <v>455</v>
      </c>
      <c r="D111" s="427" cm="1">
        <f t="array" ref="D111">INDEX(Berekening_patiëntaantal[Percentage van patiëntaantallen in Wlz (overige is Zvw)],MATCH(B111,IF(Berekening_patiëntaantal[Doelgroep (zoeksleutel)]=C111,Berekening_patiëntaantal[Digitale zorgtoepassing]),0))</f>
        <v>0</v>
      </c>
      <c r="E111" s="33" t="str" cm="1">
        <f t="array" ref="E111">INDEX(Berekening_patiëntaantal[Direct toepasbaar/extrapolatie/incidentie voor QALY],MATCH(B111,IF(Berekening_patiëntaantal[Doelgroep (zoeksleutel)]=C111,Berekening_patiëntaantal[Digitale zorgtoepassing]),0))</f>
        <v>Huidige toepassing</v>
      </c>
      <c r="F111" s="43" t="s">
        <v>812</v>
      </c>
      <c r="G111" s="33" t="str">
        <f>CONCATENATE(uitkomst_doelgroep[[#This Row],[Digitale zorgtoepassing]],"_",uitkomst_doelgroep[[#This Row],[Doelgroep]],"_",uitkomst_doelgroep[[#This Row],[Uitgangssituatie/effect beleid]])</f>
        <v>AI om diagnoses te stellen (CT)_CT scan_Interstitiële longaandoening_Effect beleid</v>
      </c>
      <c r="H111" s="33">
        <v>2025</v>
      </c>
      <c r="I111" s="32">
        <v>3</v>
      </c>
      <c r="J111" s="406" cm="1">
        <f t="array" ref="J111">INDEX(implementatie[[2023]:[2034]],MATCH(G111, implementatie[Zoeksleutel],0),I111)</f>
        <v>0.67613800000000002</v>
      </c>
      <c r="K111" s="406" cm="1">
        <f t="array" ref="K111">INDEX(implementatie[[2023]:[2034]],MATCH(G111,implementatie[Zoeksleutel],0),I111 + 1)</f>
        <v>0.79534156247800003</v>
      </c>
      <c r="L11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7304.994952</v>
      </c>
      <c r="M111" s="398" cm="1">
        <f t="array" ref="M111">J111*INDEX(Berekening_impact[Totaal arbeidsbesparing (€/jaar)],MATCH(B111,IF(Berekening_impact[Doelgroep]=C111,Berekening_impact[Digitale zorgtoepassing]),0))</f>
        <v>16656.259632199391</v>
      </c>
      <c r="N111" s="397" cm="1">
        <f t="array" ref="N111">J111*INDEX(Berekening_impact[Totaal arbeidsbesparing (FTE/jaar)],MATCH(B111,IF(Berekening_impact[Doelgroep]=C111,Berekening_impact[Digitale zorgtoepassing]),0))</f>
        <v>8.7800420096153853E-2</v>
      </c>
      <c r="O111" s="398" cm="1">
        <f t="array" ref="O111">J111*INDEX(Berekening_impact[Overige kostenbesparing (totaal/jaar totaal potentieel)],MATCH(B111,IF(Berekening_impact[Doelgroep]=C111,Berekening_impact[Digitale zorgtoepassing]),0))</f>
        <v>0</v>
      </c>
      <c r="P111" s="398" cm="1">
        <f t="array" ref="P111">J111*INDEX(Berekening_impact[Opbrengsten door QALY''s],MATCH(B111,IF(Berekening_impact[Doelgroep]=C111,Berekening_impact[Digitale zorgtoepassing]),0))</f>
        <v>0</v>
      </c>
      <c r="Q111" s="398" cm="1">
        <f t="array" ref="Q111">J111*INDEX(Berekening_impact[Jaarlijkse kosten (totaal) - incl. schatting],MATCH(B111,IF(Berekening_impact[Doelgroep]=C111,Berekening_impact[Digitale zorgtoepassing]),0))</f>
        <v>663195.48585504666</v>
      </c>
      <c r="R111" s="398" cm="1">
        <f t="array" ref="R111">(uitkomst_doelgroep[[#This Row],[Implementatiegraad t = T + 1]]-uitkomst_doelgroep[[#This Row],[Implementatiegraad t = T]])*INDEX(Berekening_impact[Initiële investering (totaal) - incl. schatting],MATCH(B111,IF(Berekening_impact[Doelgroep]=C111,Berekening_impact[Digitale zorgtoepassing]),0))</f>
        <v>0</v>
      </c>
      <c r="S111" s="398">
        <f>uitkomst_doelgroep[[#This Row],[Arbeidsbesparing (€)]]*uitkomst_doelgroep[[#This Row],[Percentage van patiëntaantallen in Wlz (overige is Zvw)]]</f>
        <v>0</v>
      </c>
      <c r="T111" s="398">
        <f>uitkomst_doelgroep[[#This Row],[Overige besparingen (€)]]*uitkomst_doelgroep[[#This Row],[Percentage van patiëntaantallen in Wlz (overige is Zvw)]]</f>
        <v>0</v>
      </c>
      <c r="U111" s="398">
        <f>uitkomst_doelgroep[[#This Row],[Kosten (€)]]*uitkomst_doelgroep[[#This Row],[Percentage van patiëntaantallen in Wlz (overige is Zvw)]]</f>
        <v>0</v>
      </c>
      <c r="V111" s="398">
        <f>uitkomst_doelgroep[[#This Row],[Investering (cash flow) (€)]]*uitkomst_doelgroep[[#This Row],[Percentage van patiëntaantallen in Wlz (overige is Zvw)]]</f>
        <v>0</v>
      </c>
    </row>
    <row r="112" spans="1:22" x14ac:dyDescent="0.5">
      <c r="A112" s="33" t="str">
        <f>INDEX(Technologieën[Veld],MATCH(B112,Technologieën[Digitale zorgtoepassing],0))</f>
        <v>Software - Diagnose</v>
      </c>
      <c r="B112" s="33" t="s">
        <v>473</v>
      </c>
      <c r="C112" s="33" t="s">
        <v>451</v>
      </c>
      <c r="D112" s="427" cm="1">
        <f t="array" ref="D112">INDEX(Berekening_patiëntaantal[Percentage van patiëntaantallen in Wlz (overige is Zvw)],MATCH(B112,IF(Berekening_patiëntaantal[Doelgroep (zoeksleutel)]=C112,Berekening_patiëntaantal[Digitale zorgtoepassing]),0))</f>
        <v>0</v>
      </c>
      <c r="E112" s="33" t="str" cm="1">
        <f t="array" ref="E112">INDEX(Berekening_patiëntaantal[Direct toepasbaar/extrapolatie/incidentie voor QALY],MATCH(B112,IF(Berekening_patiëntaantal[Doelgroep (zoeksleutel)]=C112,Berekening_patiëntaantal[Digitale zorgtoepassing]),0))</f>
        <v>Huidige toepassing</v>
      </c>
      <c r="F112" s="43" t="s">
        <v>812</v>
      </c>
      <c r="G112" s="33" t="str">
        <f>CONCATENATE(uitkomst_doelgroep[[#This Row],[Digitale zorgtoepassing]],"_",uitkomst_doelgroep[[#This Row],[Doelgroep]],"_",uitkomst_doelgroep[[#This Row],[Uitgangssituatie/effect beleid]])</f>
        <v>AI om diagnoses te stellen (CT)_CT scan_Longkanker_Effect beleid</v>
      </c>
      <c r="H112" s="33">
        <v>2025</v>
      </c>
      <c r="I112" s="32">
        <v>3</v>
      </c>
      <c r="J112" s="406" cm="1">
        <f t="array" ref="J112">INDEX(implementatie[[2023]:[2034]],MATCH(G112, implementatie[Zoeksleutel],0),I112)</f>
        <v>0.67613800000000002</v>
      </c>
      <c r="K112" s="406" cm="1">
        <f t="array" ref="K112">INDEX(implementatie[[2023]:[2034]],MATCH(G112,implementatie[Zoeksleutel],0),I112 + 1)</f>
        <v>0.79534156247800003</v>
      </c>
      <c r="L11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50001.081237999999</v>
      </c>
      <c r="M112" s="398" cm="1">
        <f t="array" ref="M112">J112*INDEX(Berekening_impact[Totaal arbeidsbesparing (€/jaar)],MATCH(B112,IF(Berekening_impact[Doelgroep]=C112,Berekening_impact[Digitale zorgtoepassing]),0))</f>
        <v>158408.37689785694</v>
      </c>
      <c r="N112" s="397" cm="1">
        <f t="array" ref="N112">J112*INDEX(Berekening_impact[Totaal arbeidsbesparing (FTE/jaar)],MATCH(B112,IF(Berekening_impact[Doelgroep]=C112,Berekening_impact[Digitale zorgtoepassing]),0))</f>
        <v>0.83502072767252944</v>
      </c>
      <c r="O112" s="398" cm="1">
        <f t="array" ref="O112">J112*INDEX(Berekening_impact[Overige kostenbesparing (totaal/jaar totaal potentieel)],MATCH(B112,IF(Berekening_impact[Doelgroep]=C112,Berekening_impact[Digitale zorgtoepassing]),0))</f>
        <v>1419889.8</v>
      </c>
      <c r="P112" s="398" cm="1">
        <f t="array" ref="P112">J112*INDEX(Berekening_impact[Opbrengsten door QALY''s],MATCH(B112,IF(Berekening_impact[Doelgroep]=C112,Berekening_impact[Digitale zorgtoepassing]),0))</f>
        <v>0</v>
      </c>
      <c r="Q112" s="398" cm="1">
        <f t="array" ref="Q112">J112*INDEX(Berekening_impact[Jaarlijkse kosten (totaal) - incl. schatting],MATCH(B112,IF(Berekening_impact[Doelgroep]=C112,Berekening_impact[Digitale zorgtoepassing]),0))</f>
        <v>658901.38469084504</v>
      </c>
      <c r="R112" s="398" cm="1">
        <f t="array" ref="R112">(uitkomst_doelgroep[[#This Row],[Implementatiegraad t = T + 1]]-uitkomst_doelgroep[[#This Row],[Implementatiegraad t = T]])*INDEX(Berekening_impact[Initiële investering (totaal) - incl. schatting],MATCH(B112,IF(Berekening_impact[Doelgroep]=C112,Berekening_impact[Digitale zorgtoepassing]),0))</f>
        <v>0</v>
      </c>
      <c r="S112" s="398">
        <f>uitkomst_doelgroep[[#This Row],[Arbeidsbesparing (€)]]*uitkomst_doelgroep[[#This Row],[Percentage van patiëntaantallen in Wlz (overige is Zvw)]]</f>
        <v>0</v>
      </c>
      <c r="T112" s="398">
        <f>uitkomst_doelgroep[[#This Row],[Overige besparingen (€)]]*uitkomst_doelgroep[[#This Row],[Percentage van patiëntaantallen in Wlz (overige is Zvw)]]</f>
        <v>0</v>
      </c>
      <c r="U112" s="398">
        <f>uitkomst_doelgroep[[#This Row],[Kosten (€)]]*uitkomst_doelgroep[[#This Row],[Percentage van patiëntaantallen in Wlz (overige is Zvw)]]</f>
        <v>0</v>
      </c>
      <c r="V112" s="398">
        <f>uitkomst_doelgroep[[#This Row],[Investering (cash flow) (€)]]*uitkomst_doelgroep[[#This Row],[Percentage van patiëntaantallen in Wlz (overige is Zvw)]]</f>
        <v>0</v>
      </c>
    </row>
    <row r="113" spans="1:22" x14ac:dyDescent="0.5">
      <c r="A113" s="33" t="str">
        <f>INDEX(Technologieën[Veld],MATCH(B113,Technologieën[Digitale zorgtoepassing],0))</f>
        <v>Software - Diagnose</v>
      </c>
      <c r="B113" s="33" t="s">
        <v>473</v>
      </c>
      <c r="C113" s="33" t="s">
        <v>464</v>
      </c>
      <c r="D113" s="427" cm="1">
        <f t="array" ref="D113">INDEX(Berekening_patiëntaantal[Percentage van patiëntaantallen in Wlz (overige is Zvw)],MATCH(B113,IF(Berekening_patiëntaantal[Doelgroep (zoeksleutel)]=C113,Berekening_patiëntaantal[Digitale zorgtoepassing]),0))</f>
        <v>0</v>
      </c>
      <c r="E113" s="33" t="str" cm="1">
        <f t="array" ref="E113">INDEX(Berekening_patiëntaantal[Direct toepasbaar/extrapolatie/incidentie voor QALY],MATCH(B113,IF(Berekening_patiëntaantal[Doelgroep (zoeksleutel)]=C113,Berekening_patiëntaantal[Digitale zorgtoepassing]),0))</f>
        <v>Extrapolatie</v>
      </c>
      <c r="F113" s="43" t="s">
        <v>812</v>
      </c>
      <c r="G113" s="33" t="str">
        <f>CONCATENATE(uitkomst_doelgroep[[#This Row],[Digitale zorgtoepassing]],"_",uitkomst_doelgroep[[#This Row],[Doelgroep]],"_",uitkomst_doelgroep[[#This Row],[Uitgangssituatie/effect beleid]])</f>
        <v>AI om diagnoses te stellen (CT)_CT scan_Overig_Effect beleid</v>
      </c>
      <c r="H113" s="33">
        <v>2026</v>
      </c>
      <c r="I113" s="32">
        <v>4</v>
      </c>
      <c r="J113" s="406" cm="1">
        <f t="array" ref="J113">INDEX(implementatie[[2023]:[2034]],MATCH(G113, implementatie[Zoeksleutel],0),I113)</f>
        <v>0</v>
      </c>
      <c r="K113" s="406" cm="1">
        <f t="array" ref="K113">INDEX(implementatie[[2023]:[2034]],MATCH(G113,implementatie[Zoeksleutel],0),I113 + 1)</f>
        <v>0.03</v>
      </c>
      <c r="L11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13" s="398" cm="1">
        <f t="array" ref="M113">J113*INDEX(Berekening_impact[Totaal arbeidsbesparing (€/jaar)],MATCH(B113,IF(Berekening_impact[Doelgroep]=C113,Berekening_impact[Digitale zorgtoepassing]),0))</f>
        <v>0</v>
      </c>
      <c r="N113" s="397" cm="1">
        <f t="array" ref="N113">J113*INDEX(Berekening_impact[Totaal arbeidsbesparing (FTE/jaar)],MATCH(B113,IF(Berekening_impact[Doelgroep]=C113,Berekening_impact[Digitale zorgtoepassing]),0))</f>
        <v>0</v>
      </c>
      <c r="O113" s="398" cm="1">
        <f t="array" ref="O113">J113*INDEX(Berekening_impact[Overige kostenbesparing (totaal/jaar totaal potentieel)],MATCH(B113,IF(Berekening_impact[Doelgroep]=C113,Berekening_impact[Digitale zorgtoepassing]),0))</f>
        <v>0</v>
      </c>
      <c r="P113" s="398" cm="1">
        <f t="array" ref="P113">J113*INDEX(Berekening_impact[Opbrengsten door QALY''s],MATCH(B113,IF(Berekening_impact[Doelgroep]=C113,Berekening_impact[Digitale zorgtoepassing]),0))</f>
        <v>0</v>
      </c>
      <c r="Q113" s="398" cm="1">
        <f t="array" ref="Q113">J113*INDEX(Berekening_impact[Jaarlijkse kosten (totaal) - incl. schatting],MATCH(B113,IF(Berekening_impact[Doelgroep]=C113,Berekening_impact[Digitale zorgtoepassing]),0))</f>
        <v>0</v>
      </c>
      <c r="R113" s="398" cm="1">
        <f t="array" ref="R113">(uitkomst_doelgroep[[#This Row],[Implementatiegraad t = T + 1]]-uitkomst_doelgroep[[#This Row],[Implementatiegraad t = T]])*INDEX(Berekening_impact[Initiële investering (totaal) - incl. schatting],MATCH(B113,IF(Berekening_impact[Doelgroep]=C113,Berekening_impact[Digitale zorgtoepassing]),0))</f>
        <v>0</v>
      </c>
      <c r="S113" s="398">
        <f>uitkomst_doelgroep[[#This Row],[Arbeidsbesparing (€)]]*uitkomst_doelgroep[[#This Row],[Percentage van patiëntaantallen in Wlz (overige is Zvw)]]</f>
        <v>0</v>
      </c>
      <c r="T113" s="398">
        <f>uitkomst_doelgroep[[#This Row],[Overige besparingen (€)]]*uitkomst_doelgroep[[#This Row],[Percentage van patiëntaantallen in Wlz (overige is Zvw)]]</f>
        <v>0</v>
      </c>
      <c r="U113" s="398">
        <f>uitkomst_doelgroep[[#This Row],[Kosten (€)]]*uitkomst_doelgroep[[#This Row],[Percentage van patiëntaantallen in Wlz (overige is Zvw)]]</f>
        <v>0</v>
      </c>
      <c r="V113" s="398">
        <f>uitkomst_doelgroep[[#This Row],[Investering (cash flow) (€)]]*uitkomst_doelgroep[[#This Row],[Percentage van patiëntaantallen in Wlz (overige is Zvw)]]</f>
        <v>0</v>
      </c>
    </row>
    <row r="114" spans="1:22" x14ac:dyDescent="0.5">
      <c r="A114" s="33" t="str">
        <f>INDEX(Technologieën[Veld],MATCH(B114,Technologieën[Digitale zorgtoepassing],0))</f>
        <v>Software - Diagnose</v>
      </c>
      <c r="B114" s="33" t="s">
        <v>473</v>
      </c>
      <c r="C114" s="33" t="s">
        <v>455</v>
      </c>
      <c r="D114" s="427" cm="1">
        <f t="array" ref="D114">INDEX(Berekening_patiëntaantal[Percentage van patiëntaantallen in Wlz (overige is Zvw)],MATCH(B114,IF(Berekening_patiëntaantal[Doelgroep (zoeksleutel)]=C114,Berekening_patiëntaantal[Digitale zorgtoepassing]),0))</f>
        <v>0</v>
      </c>
      <c r="E114" s="33" t="str" cm="1">
        <f t="array" ref="E114">INDEX(Berekening_patiëntaantal[Direct toepasbaar/extrapolatie/incidentie voor QALY],MATCH(B114,IF(Berekening_patiëntaantal[Doelgroep (zoeksleutel)]=C114,Berekening_patiëntaantal[Digitale zorgtoepassing]),0))</f>
        <v>Huidige toepassing</v>
      </c>
      <c r="F114" s="43" t="s">
        <v>812</v>
      </c>
      <c r="G114" s="33" t="str">
        <f>CONCATENATE(uitkomst_doelgroep[[#This Row],[Digitale zorgtoepassing]],"_",uitkomst_doelgroep[[#This Row],[Doelgroep]],"_",uitkomst_doelgroep[[#This Row],[Uitgangssituatie/effect beleid]])</f>
        <v>AI om diagnoses te stellen (CT)_CT scan_Interstitiële longaandoening_Effect beleid</v>
      </c>
      <c r="H114" s="33">
        <v>2026</v>
      </c>
      <c r="I114" s="32">
        <v>4</v>
      </c>
      <c r="J114" s="406" cm="1">
        <f t="array" ref="J114">INDEX(implementatie[[2023]:[2034]],MATCH(G114, implementatie[Zoeksleutel],0),I114)</f>
        <v>0.79534156247800003</v>
      </c>
      <c r="K114" s="406" cm="1">
        <f t="array" ref="K114">INDEX(implementatie[[2023]:[2034]],MATCH(G114,implementatie[Zoeksleutel],0),I114 + 1)</f>
        <v>0.88286799634018676</v>
      </c>
      <c r="L11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8592.8702410123115</v>
      </c>
      <c r="M114" s="398" cm="1">
        <f t="array" ref="M114">J114*INDEX(Berekening_impact[Totaal arbeidsbesparing (€/jaar)],MATCH(B114,IF(Berekening_impact[Doelgroep]=C114,Berekening_impact[Digitale zorgtoepassing]),0))</f>
        <v>19592.768873976471</v>
      </c>
      <c r="N114" s="397" cm="1">
        <f t="array" ref="N114">J114*INDEX(Berekening_impact[Totaal arbeidsbesparing (FTE/jaar)],MATCH(B114,IF(Berekening_impact[Doelgroep]=C114,Berekening_impact[Digitale zorgtoepassing]),0))</f>
        <v>0.10327969039678261</v>
      </c>
      <c r="O114" s="398" cm="1">
        <f t="array" ref="O114">J114*INDEX(Berekening_impact[Overige kostenbesparing (totaal/jaar totaal potentieel)],MATCH(B114,IF(Berekening_impact[Doelgroep]=C114,Berekening_impact[Digitale zorgtoepassing]),0))</f>
        <v>0</v>
      </c>
      <c r="P114" s="398" cm="1">
        <f t="array" ref="P114">J114*INDEX(Berekening_impact[Opbrengsten door QALY''s],MATCH(B114,IF(Berekening_impact[Doelgroep]=C114,Berekening_impact[Digitale zorgtoepassing]),0))</f>
        <v>0</v>
      </c>
      <c r="Q114" s="398" cm="1">
        <f t="array" ref="Q114">J114*INDEX(Berekening_impact[Jaarlijkse kosten (totaal) - incl. schatting],MATCH(B114,IF(Berekening_impact[Doelgroep]=C114,Berekening_impact[Digitale zorgtoepassing]),0))</f>
        <v>780117.27479938883</v>
      </c>
      <c r="R114" s="398" cm="1">
        <f t="array" ref="R114">(uitkomst_doelgroep[[#This Row],[Implementatiegraad t = T + 1]]-uitkomst_doelgroep[[#This Row],[Implementatiegraad t = T]])*INDEX(Berekening_impact[Initiële investering (totaal) - incl. schatting],MATCH(B114,IF(Berekening_impact[Doelgroep]=C114,Berekening_impact[Digitale zorgtoepassing]),0))</f>
        <v>0</v>
      </c>
      <c r="S114" s="398">
        <f>uitkomst_doelgroep[[#This Row],[Arbeidsbesparing (€)]]*uitkomst_doelgroep[[#This Row],[Percentage van patiëntaantallen in Wlz (overige is Zvw)]]</f>
        <v>0</v>
      </c>
      <c r="T114" s="398">
        <f>uitkomst_doelgroep[[#This Row],[Overige besparingen (€)]]*uitkomst_doelgroep[[#This Row],[Percentage van patiëntaantallen in Wlz (overige is Zvw)]]</f>
        <v>0</v>
      </c>
      <c r="U114" s="398">
        <f>uitkomst_doelgroep[[#This Row],[Kosten (€)]]*uitkomst_doelgroep[[#This Row],[Percentage van patiëntaantallen in Wlz (overige is Zvw)]]</f>
        <v>0</v>
      </c>
      <c r="V114" s="398">
        <f>uitkomst_doelgroep[[#This Row],[Investering (cash flow) (€)]]*uitkomst_doelgroep[[#This Row],[Percentage van patiëntaantallen in Wlz (overige is Zvw)]]</f>
        <v>0</v>
      </c>
    </row>
    <row r="115" spans="1:22" x14ac:dyDescent="0.5">
      <c r="A115" s="33" t="str">
        <f>INDEX(Technologieën[Veld],MATCH(B115,Technologieën[Digitale zorgtoepassing],0))</f>
        <v>Software - Diagnose</v>
      </c>
      <c r="B115" s="33" t="s">
        <v>473</v>
      </c>
      <c r="C115" s="33" t="s">
        <v>451</v>
      </c>
      <c r="D115" s="427" cm="1">
        <f t="array" ref="D115">INDEX(Berekening_patiëntaantal[Percentage van patiëntaantallen in Wlz (overige is Zvw)],MATCH(B115,IF(Berekening_patiëntaantal[Doelgroep (zoeksleutel)]=C115,Berekening_patiëntaantal[Digitale zorgtoepassing]),0))</f>
        <v>0</v>
      </c>
      <c r="E115" s="33" t="str" cm="1">
        <f t="array" ref="E115">INDEX(Berekening_patiëntaantal[Direct toepasbaar/extrapolatie/incidentie voor QALY],MATCH(B115,IF(Berekening_patiëntaantal[Doelgroep (zoeksleutel)]=C115,Berekening_patiëntaantal[Digitale zorgtoepassing]),0))</f>
        <v>Huidige toepassing</v>
      </c>
      <c r="F115" s="43" t="s">
        <v>812</v>
      </c>
      <c r="G115" s="33" t="str">
        <f>CONCATENATE(uitkomst_doelgroep[[#This Row],[Digitale zorgtoepassing]],"_",uitkomst_doelgroep[[#This Row],[Doelgroep]],"_",uitkomst_doelgroep[[#This Row],[Uitgangssituatie/effect beleid]])</f>
        <v>AI om diagnoses te stellen (CT)_CT scan_Longkanker_Effect beleid</v>
      </c>
      <c r="H115" s="33">
        <v>2026</v>
      </c>
      <c r="I115" s="32">
        <v>4</v>
      </c>
      <c r="J115" s="406" cm="1">
        <f t="array" ref="J115">INDEX(implementatie[[2023]:[2034]],MATCH(G115, implementatie[Zoeksleutel],0),I115)</f>
        <v>0.79534156247800003</v>
      </c>
      <c r="K115" s="406" cm="1">
        <f t="array" ref="K115">INDEX(implementatie[[2023]:[2034]],MATCH(G115,implementatie[Zoeksleutel],0),I115 + 1)</f>
        <v>0.88286799634018676</v>
      </c>
      <c r="L11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58816.30388681058</v>
      </c>
      <c r="M115" s="398" cm="1">
        <f t="array" ref="M115">J115*INDEX(Berekening_impact[Totaal arbeidsbesparing (€/jaar)],MATCH(B115,IF(Berekening_impact[Doelgroep]=C115,Berekening_impact[Digitale zorgtoepassing]),0))</f>
        <v>186335.87520823482</v>
      </c>
      <c r="N115" s="397" cm="1">
        <f t="array" ref="N115">J115*INDEX(Berekening_impact[Totaal arbeidsbesparing (FTE/jaar)],MATCH(B115,IF(Berekening_impact[Doelgroep]=C115,Berekening_impact[Digitale zorgtoepassing]),0))</f>
        <v>0.98223541680631177</v>
      </c>
      <c r="O115" s="398" cm="1">
        <f t="array" ref="O115">J115*INDEX(Berekening_impact[Overige kostenbesparing (totaal/jaar totaal potentieel)],MATCH(B115,IF(Berekening_impact[Doelgroep]=C115,Berekening_impact[Digitale zorgtoepassing]),0))</f>
        <v>1670217.2812038001</v>
      </c>
      <c r="P115" s="398" cm="1">
        <f t="array" ref="P115">J115*INDEX(Berekening_impact[Opbrengsten door QALY''s],MATCH(B115,IF(Berekening_impact[Doelgroep]=C115,Berekening_impact[Digitale zorgtoepassing]),0))</f>
        <v>0</v>
      </c>
      <c r="Q115" s="398" cm="1">
        <f t="array" ref="Q115">J115*INDEX(Berekening_impact[Jaarlijkse kosten (totaal) - incl. schatting],MATCH(B115,IF(Berekening_impact[Doelgroep]=C115,Berekening_impact[Digitale zorgtoepassing]),0))</f>
        <v>775066.12084949284</v>
      </c>
      <c r="R115" s="398" cm="1">
        <f t="array" ref="R115">(uitkomst_doelgroep[[#This Row],[Implementatiegraad t = T + 1]]-uitkomst_doelgroep[[#This Row],[Implementatiegraad t = T]])*INDEX(Berekening_impact[Initiële investering (totaal) - incl. schatting],MATCH(B115,IF(Berekening_impact[Doelgroep]=C115,Berekening_impact[Digitale zorgtoepassing]),0))</f>
        <v>0</v>
      </c>
      <c r="S115" s="398">
        <f>uitkomst_doelgroep[[#This Row],[Arbeidsbesparing (€)]]*uitkomst_doelgroep[[#This Row],[Percentage van patiëntaantallen in Wlz (overige is Zvw)]]</f>
        <v>0</v>
      </c>
      <c r="T115" s="398">
        <f>uitkomst_doelgroep[[#This Row],[Overige besparingen (€)]]*uitkomst_doelgroep[[#This Row],[Percentage van patiëntaantallen in Wlz (overige is Zvw)]]</f>
        <v>0</v>
      </c>
      <c r="U115" s="398">
        <f>uitkomst_doelgroep[[#This Row],[Kosten (€)]]*uitkomst_doelgroep[[#This Row],[Percentage van patiëntaantallen in Wlz (overige is Zvw)]]</f>
        <v>0</v>
      </c>
      <c r="V115" s="398">
        <f>uitkomst_doelgroep[[#This Row],[Investering (cash flow) (€)]]*uitkomst_doelgroep[[#This Row],[Percentage van patiëntaantallen in Wlz (overige is Zvw)]]</f>
        <v>0</v>
      </c>
    </row>
    <row r="116" spans="1:22" x14ac:dyDescent="0.5">
      <c r="A116" s="33" t="str">
        <f>INDEX(Technologieën[Veld],MATCH(B116,Technologieën[Digitale zorgtoepassing],0))</f>
        <v>Software - Diagnose</v>
      </c>
      <c r="B116" s="33" t="s">
        <v>473</v>
      </c>
      <c r="C116" s="33" t="s">
        <v>464</v>
      </c>
      <c r="D116" s="427" cm="1">
        <f t="array" ref="D116">INDEX(Berekening_patiëntaantal[Percentage van patiëntaantallen in Wlz (overige is Zvw)],MATCH(B116,IF(Berekening_patiëntaantal[Doelgroep (zoeksleutel)]=C116,Berekening_patiëntaantal[Digitale zorgtoepassing]),0))</f>
        <v>0</v>
      </c>
      <c r="E116" s="33" t="str" cm="1">
        <f t="array" ref="E116">INDEX(Berekening_patiëntaantal[Direct toepasbaar/extrapolatie/incidentie voor QALY],MATCH(B116,IF(Berekening_patiëntaantal[Doelgroep (zoeksleutel)]=C116,Berekening_patiëntaantal[Digitale zorgtoepassing]),0))</f>
        <v>Extrapolatie</v>
      </c>
      <c r="F116" s="43" t="s">
        <v>812</v>
      </c>
      <c r="G116" s="33" t="str">
        <f>CONCATENATE(uitkomst_doelgroep[[#This Row],[Digitale zorgtoepassing]],"_",uitkomst_doelgroep[[#This Row],[Doelgroep]],"_",uitkomst_doelgroep[[#This Row],[Uitgangssituatie/effect beleid]])</f>
        <v>AI om diagnoses te stellen (CT)_CT scan_Overig_Effect beleid</v>
      </c>
      <c r="H116" s="33">
        <v>2027</v>
      </c>
      <c r="I116" s="32">
        <v>5</v>
      </c>
      <c r="J116" s="406" cm="1">
        <f t="array" ref="J116">INDEX(implementatie[[2023]:[2034]],MATCH(G116, implementatie[Zoeksleutel],0),I116)</f>
        <v>0.03</v>
      </c>
      <c r="K116" s="406" cm="1">
        <f t="array" ref="K116">INDEX(implementatie[[2023]:[2034]],MATCH(G116,implementatie[Zoeksleutel],0),I116 + 1)</f>
        <v>7.3649999999999993E-2</v>
      </c>
      <c r="L11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57457.35</v>
      </c>
      <c r="M116" s="398" cm="1">
        <f t="array" ref="M116">J116*INDEX(Berekening_impact[Totaal arbeidsbesparing (€/jaar)],MATCH(B116,IF(Berekening_impact[Doelgroep]=C116,Berekening_impact[Digitale zorgtoepassing]),0))</f>
        <v>165023.58646439869</v>
      </c>
      <c r="N116" s="397" cm="1">
        <f t="array" ref="N116">J116*INDEX(Berekening_impact[Totaal arbeidsbesparing (FTE/jaar)],MATCH(B116,IF(Berekening_impact[Doelgroep]=C116,Berekening_impact[Digitale zorgtoepassing]),0))</f>
        <v>0.86989159254807669</v>
      </c>
      <c r="O116" s="398" cm="1">
        <f t="array" ref="O116">J116*INDEX(Berekening_impact[Overige kostenbesparing (totaal/jaar totaal potentieel)],MATCH(B116,IF(Berekening_impact[Doelgroep]=C116,Berekening_impact[Digitale zorgtoepassing]),0))</f>
        <v>0</v>
      </c>
      <c r="P116" s="398" cm="1">
        <f t="array" ref="P116">J116*INDEX(Berekening_impact[Opbrengsten door QALY''s],MATCH(B116,IF(Berekening_impact[Doelgroep]=C116,Berekening_impact[Digitale zorgtoepassing]),0))</f>
        <v>0</v>
      </c>
      <c r="Q116" s="398" cm="1">
        <f t="array" ref="Q116">J116*INDEX(Berekening_impact[Jaarlijkse kosten (totaal) - incl. schatting],MATCH(B116,IF(Berekening_impact[Doelgroep]=C116,Berekening_impact[Digitale zorgtoepassing]),0))</f>
        <v>229614.03712499994</v>
      </c>
      <c r="R116" s="398" cm="1">
        <f t="array" ref="R116">(uitkomst_doelgroep[[#This Row],[Implementatiegraad t = T + 1]]-uitkomst_doelgroep[[#This Row],[Implementatiegraad t = T]])*INDEX(Berekening_impact[Initiële investering (totaal) - incl. schatting],MATCH(B116,IF(Berekening_impact[Doelgroep]=C116,Berekening_impact[Digitale zorgtoepassing]),0))</f>
        <v>0</v>
      </c>
      <c r="S116" s="398">
        <f>uitkomst_doelgroep[[#This Row],[Arbeidsbesparing (€)]]*uitkomst_doelgroep[[#This Row],[Percentage van patiëntaantallen in Wlz (overige is Zvw)]]</f>
        <v>0</v>
      </c>
      <c r="T116" s="398">
        <f>uitkomst_doelgroep[[#This Row],[Overige besparingen (€)]]*uitkomst_doelgroep[[#This Row],[Percentage van patiëntaantallen in Wlz (overige is Zvw)]]</f>
        <v>0</v>
      </c>
      <c r="U116" s="398">
        <f>uitkomst_doelgroep[[#This Row],[Kosten (€)]]*uitkomst_doelgroep[[#This Row],[Percentage van patiëntaantallen in Wlz (overige is Zvw)]]</f>
        <v>0</v>
      </c>
      <c r="V116" s="398">
        <f>uitkomst_doelgroep[[#This Row],[Investering (cash flow) (€)]]*uitkomst_doelgroep[[#This Row],[Percentage van patiëntaantallen in Wlz (overige is Zvw)]]</f>
        <v>0</v>
      </c>
    </row>
    <row r="117" spans="1:22" x14ac:dyDescent="0.5">
      <c r="A117" s="33" t="str">
        <f>INDEX(Technologieën[Veld],MATCH(B117,Technologieën[Digitale zorgtoepassing],0))</f>
        <v>Software - Diagnose</v>
      </c>
      <c r="B117" s="33" t="s">
        <v>473</v>
      </c>
      <c r="C117" s="33" t="s">
        <v>455</v>
      </c>
      <c r="D117" s="427" cm="1">
        <f t="array" ref="D117">INDEX(Berekening_patiëntaantal[Percentage van patiëntaantallen in Wlz (overige is Zvw)],MATCH(B117,IF(Berekening_patiëntaantal[Doelgroep (zoeksleutel)]=C117,Berekening_patiëntaantal[Digitale zorgtoepassing]),0))</f>
        <v>0</v>
      </c>
      <c r="E117" s="33" t="str" cm="1">
        <f t="array" ref="E117">INDEX(Berekening_patiëntaantal[Direct toepasbaar/extrapolatie/incidentie voor QALY],MATCH(B117,IF(Berekening_patiëntaantal[Doelgroep (zoeksleutel)]=C117,Berekening_patiëntaantal[Digitale zorgtoepassing]),0))</f>
        <v>Huidige toepassing</v>
      </c>
      <c r="F117" s="43" t="s">
        <v>812</v>
      </c>
      <c r="G117" s="33" t="str">
        <f>CONCATENATE(uitkomst_doelgroep[[#This Row],[Digitale zorgtoepassing]],"_",uitkomst_doelgroep[[#This Row],[Doelgroep]],"_",uitkomst_doelgroep[[#This Row],[Uitgangssituatie/effect beleid]])</f>
        <v>AI om diagnoses te stellen (CT)_CT scan_Interstitiële longaandoening_Effect beleid</v>
      </c>
      <c r="H117" s="33">
        <v>2027</v>
      </c>
      <c r="I117" s="32">
        <v>5</v>
      </c>
      <c r="J117" s="406" cm="1">
        <f t="array" ref="J117">INDEX(implementatie[[2023]:[2034]],MATCH(G117, implementatie[Zoeksleutel],0),I117)</f>
        <v>0.88286799634018676</v>
      </c>
      <c r="K117" s="406" cm="1">
        <f t="array" ref="K117">INDEX(implementatie[[2023]:[2034]],MATCH(G117,implementatie[Zoeksleutel],0),I117 + 1)</f>
        <v>0.93808800513920654</v>
      </c>
      <c r="L11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9538.5058324593774</v>
      </c>
      <c r="M117" s="398" cm="1">
        <f t="array" ref="M117">J117*INDEX(Berekening_impact[Totaal arbeidsbesparing (€/jaar)],MATCH(B117,IF(Berekening_impact[Doelgroep]=C117,Berekening_impact[Digitale zorgtoepassing]),0))</f>
        <v>21748.930792237403</v>
      </c>
      <c r="N117" s="397" cm="1">
        <f t="array" ref="N117">J117*INDEX(Berekening_impact[Totaal arbeidsbesparing (FTE/jaar)],MATCH(B117,IF(Berekening_impact[Doelgroep]=C117,Berekening_impact[Digitale zorgtoepassing]),0))</f>
        <v>0.11464550279398292</v>
      </c>
      <c r="O117" s="398" cm="1">
        <f t="array" ref="O117">J117*INDEX(Berekening_impact[Overige kostenbesparing (totaal/jaar totaal potentieel)],MATCH(B117,IF(Berekening_impact[Doelgroep]=C117,Berekening_impact[Digitale zorgtoepassing]),0))</f>
        <v>0</v>
      </c>
      <c r="P117" s="398" cm="1">
        <f t="array" ref="P117">J117*INDEX(Berekening_impact[Opbrengsten door QALY''s],MATCH(B117,IF(Berekening_impact[Doelgroep]=C117,Berekening_impact[Digitale zorgtoepassing]),0))</f>
        <v>0</v>
      </c>
      <c r="Q117" s="398" cm="1">
        <f t="array" ref="Q117">J117*INDEX(Berekening_impact[Jaarlijkse kosten (totaal) - incl. schatting],MATCH(B117,IF(Berekening_impact[Doelgroep]=C117,Berekening_impact[Digitale zorgtoepassing]),0))</f>
        <v>865968.29312758893</v>
      </c>
      <c r="R117" s="398" cm="1">
        <f t="array" ref="R117">(uitkomst_doelgroep[[#This Row],[Implementatiegraad t = T + 1]]-uitkomst_doelgroep[[#This Row],[Implementatiegraad t = T]])*INDEX(Berekening_impact[Initiële investering (totaal) - incl. schatting],MATCH(B117,IF(Berekening_impact[Doelgroep]=C117,Berekening_impact[Digitale zorgtoepassing]),0))</f>
        <v>0</v>
      </c>
      <c r="S117" s="398">
        <f>uitkomst_doelgroep[[#This Row],[Arbeidsbesparing (€)]]*uitkomst_doelgroep[[#This Row],[Percentage van patiëntaantallen in Wlz (overige is Zvw)]]</f>
        <v>0</v>
      </c>
      <c r="T117" s="398">
        <f>uitkomst_doelgroep[[#This Row],[Overige besparingen (€)]]*uitkomst_doelgroep[[#This Row],[Percentage van patiëntaantallen in Wlz (overige is Zvw)]]</f>
        <v>0</v>
      </c>
      <c r="U117" s="398">
        <f>uitkomst_doelgroep[[#This Row],[Kosten (€)]]*uitkomst_doelgroep[[#This Row],[Percentage van patiëntaantallen in Wlz (overige is Zvw)]]</f>
        <v>0</v>
      </c>
      <c r="V117" s="398">
        <f>uitkomst_doelgroep[[#This Row],[Investering (cash flow) (€)]]*uitkomst_doelgroep[[#This Row],[Percentage van patiëntaantallen in Wlz (overige is Zvw)]]</f>
        <v>0</v>
      </c>
    </row>
    <row r="118" spans="1:22" x14ac:dyDescent="0.5">
      <c r="A118" s="33" t="str">
        <f>INDEX(Technologieën[Veld],MATCH(B118,Technologieën[Digitale zorgtoepassing],0))</f>
        <v>Software - Diagnose</v>
      </c>
      <c r="B118" s="33" t="s">
        <v>473</v>
      </c>
      <c r="C118" s="33" t="s">
        <v>451</v>
      </c>
      <c r="D118" s="427" cm="1">
        <f t="array" ref="D118">INDEX(Berekening_patiëntaantal[Percentage van patiëntaantallen in Wlz (overige is Zvw)],MATCH(B118,IF(Berekening_patiëntaantal[Doelgroep (zoeksleutel)]=C118,Berekening_patiëntaantal[Digitale zorgtoepassing]),0))</f>
        <v>0</v>
      </c>
      <c r="E118" s="33" t="str" cm="1">
        <f t="array" ref="E118">INDEX(Berekening_patiëntaantal[Direct toepasbaar/extrapolatie/incidentie voor QALY],MATCH(B118,IF(Berekening_patiëntaantal[Doelgroep (zoeksleutel)]=C118,Berekening_patiëntaantal[Digitale zorgtoepassing]),0))</f>
        <v>Huidige toepassing</v>
      </c>
      <c r="F118" s="43" t="s">
        <v>812</v>
      </c>
      <c r="G118" s="33" t="str">
        <f>CONCATENATE(uitkomst_doelgroep[[#This Row],[Digitale zorgtoepassing]],"_",uitkomst_doelgroep[[#This Row],[Doelgroep]],"_",uitkomst_doelgroep[[#This Row],[Uitgangssituatie/effect beleid]])</f>
        <v>AI om diagnoses te stellen (CT)_CT scan_Longkanker_Effect beleid</v>
      </c>
      <c r="H118" s="33">
        <v>2027</v>
      </c>
      <c r="I118" s="32">
        <v>5</v>
      </c>
      <c r="J118" s="406" cm="1">
        <f t="array" ref="J118">INDEX(implementatie[[2023]:[2034]],MATCH(G118, implementatie[Zoeksleutel],0),I118)</f>
        <v>0.88286799634018676</v>
      </c>
      <c r="K118" s="406" cm="1">
        <f t="array" ref="K118">INDEX(implementatie[[2023]:[2034]],MATCH(G118,implementatie[Zoeksleutel],0),I118 + 1)</f>
        <v>0.93808800513920654</v>
      </c>
      <c r="L11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65288.971197353152</v>
      </c>
      <c r="M118" s="398" cm="1">
        <f t="array" ref="M118">J118*INDEX(Berekening_impact[Totaal arbeidsbesparing (€/jaar)],MATCH(B118,IF(Berekening_impact[Doelgroep]=C118,Berekening_impact[Digitale zorgtoepassing]),0))</f>
        <v>206841.92622706029</v>
      </c>
      <c r="N118" s="397" cm="1">
        <f t="array" ref="N118">J118*INDEX(Berekening_impact[Totaal arbeidsbesparing (FTE/jaar)],MATCH(B118,IF(Berekening_impact[Doelgroep]=C118,Berekening_impact[Digitale zorgtoepassing]),0))</f>
        <v>1.0903293066545154</v>
      </c>
      <c r="O118" s="398" cm="1">
        <f t="array" ref="O118">J118*INDEX(Berekening_impact[Overige kostenbesparing (totaal/jaar totaal potentieel)],MATCH(B118,IF(Berekening_impact[Doelgroep]=C118,Berekening_impact[Digitale zorgtoepassing]),0))</f>
        <v>1854022.7923143923</v>
      </c>
      <c r="P118" s="398" cm="1">
        <f t="array" ref="P118">J118*INDEX(Berekening_impact[Opbrengsten door QALY''s],MATCH(B118,IF(Berekening_impact[Doelgroep]=C118,Berekening_impact[Digitale zorgtoepassing]),0))</f>
        <v>0</v>
      </c>
      <c r="Q118" s="398" cm="1">
        <f t="array" ref="Q118">J118*INDEX(Berekening_impact[Jaarlijkse kosten (totaal) - incl. schatting],MATCH(B118,IF(Berekening_impact[Doelgroep]=C118,Berekening_impact[Digitale zorgtoepassing]),0))</f>
        <v>860361.26543365535</v>
      </c>
      <c r="R118" s="398" cm="1">
        <f t="array" ref="R118">(uitkomst_doelgroep[[#This Row],[Implementatiegraad t = T + 1]]-uitkomst_doelgroep[[#This Row],[Implementatiegraad t = T]])*INDEX(Berekening_impact[Initiële investering (totaal) - incl. schatting],MATCH(B118,IF(Berekening_impact[Doelgroep]=C118,Berekening_impact[Digitale zorgtoepassing]),0))</f>
        <v>0</v>
      </c>
      <c r="S118" s="398">
        <f>uitkomst_doelgroep[[#This Row],[Arbeidsbesparing (€)]]*uitkomst_doelgroep[[#This Row],[Percentage van patiëntaantallen in Wlz (overige is Zvw)]]</f>
        <v>0</v>
      </c>
      <c r="T118" s="398">
        <f>uitkomst_doelgroep[[#This Row],[Overige besparingen (€)]]*uitkomst_doelgroep[[#This Row],[Percentage van patiëntaantallen in Wlz (overige is Zvw)]]</f>
        <v>0</v>
      </c>
      <c r="U118" s="398">
        <f>uitkomst_doelgroep[[#This Row],[Kosten (€)]]*uitkomst_doelgroep[[#This Row],[Percentage van patiëntaantallen in Wlz (overige is Zvw)]]</f>
        <v>0</v>
      </c>
      <c r="V118" s="398">
        <f>uitkomst_doelgroep[[#This Row],[Investering (cash flow) (€)]]*uitkomst_doelgroep[[#This Row],[Percentage van patiëntaantallen in Wlz (overige is Zvw)]]</f>
        <v>0</v>
      </c>
    </row>
    <row r="119" spans="1:22" x14ac:dyDescent="0.5">
      <c r="A119" s="33" t="str">
        <f>INDEX(Technologieën[Veld],MATCH(B119,Technologieën[Digitale zorgtoepassing],0))</f>
        <v>Software - Diagnose</v>
      </c>
      <c r="B119" s="33" t="s">
        <v>473</v>
      </c>
      <c r="C119" s="33" t="s">
        <v>464</v>
      </c>
      <c r="D119" s="427" cm="1">
        <f t="array" ref="D119">INDEX(Berekening_patiëntaantal[Percentage van patiëntaantallen in Wlz (overige is Zvw)],MATCH(B119,IF(Berekening_patiëntaantal[Doelgroep (zoeksleutel)]=C119,Berekening_patiëntaantal[Digitale zorgtoepassing]),0))</f>
        <v>0</v>
      </c>
      <c r="E119" s="33" t="str" cm="1">
        <f t="array" ref="E119">INDEX(Berekening_patiëntaantal[Direct toepasbaar/extrapolatie/incidentie voor QALY],MATCH(B119,IF(Berekening_patiëntaantal[Doelgroep (zoeksleutel)]=C119,Berekening_patiëntaantal[Digitale zorgtoepassing]),0))</f>
        <v>Extrapolatie</v>
      </c>
      <c r="F119" s="43" t="s">
        <v>812</v>
      </c>
      <c r="G119" s="33" t="str">
        <f>CONCATENATE(uitkomst_doelgroep[[#This Row],[Digitale zorgtoepassing]],"_",uitkomst_doelgroep[[#This Row],[Doelgroep]],"_",uitkomst_doelgroep[[#This Row],[Uitgangssituatie/effect beleid]])</f>
        <v>AI om diagnoses te stellen (CT)_CT scan_Overig_Effect beleid</v>
      </c>
      <c r="H119" s="33">
        <v>2028</v>
      </c>
      <c r="I119" s="32">
        <v>6</v>
      </c>
      <c r="J119" s="406" cm="1">
        <f t="array" ref="J119">INDEX(implementatie[[2023]:[2034]],MATCH(G119, implementatie[Zoeksleutel],0),I119)</f>
        <v>7.3649999999999993E-2</v>
      </c>
      <c r="K119" s="406" cm="1">
        <f t="array" ref="K119">INDEX(implementatie[[2023]:[2034]],MATCH(G119,implementatie[Zoeksleutel],0),I119 + 1)</f>
        <v>0.13555333874999997</v>
      </c>
      <c r="L11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141057.79424999998</v>
      </c>
      <c r="M119" s="398" cm="1">
        <f t="array" ref="M119">J119*INDEX(Berekening_impact[Totaal arbeidsbesparing (€/jaar)],MATCH(B119,IF(Berekening_impact[Doelgroep]=C119,Berekening_impact[Digitale zorgtoepassing]),0))</f>
        <v>405132.90477009874</v>
      </c>
      <c r="N119" s="397" cm="1">
        <f t="array" ref="N119">J119*INDEX(Berekening_impact[Totaal arbeidsbesparing (FTE/jaar)],MATCH(B119,IF(Berekening_impact[Doelgroep]=C119,Berekening_impact[Digitale zorgtoepassing]),0))</f>
        <v>2.1355838597055281</v>
      </c>
      <c r="O119" s="398" cm="1">
        <f t="array" ref="O119">J119*INDEX(Berekening_impact[Overige kostenbesparing (totaal/jaar totaal potentieel)],MATCH(B119,IF(Berekening_impact[Doelgroep]=C119,Berekening_impact[Digitale zorgtoepassing]),0))</f>
        <v>0</v>
      </c>
      <c r="P119" s="398" cm="1">
        <f t="array" ref="P119">J119*INDEX(Berekening_impact[Opbrengsten door QALY''s],MATCH(B119,IF(Berekening_impact[Doelgroep]=C119,Berekening_impact[Digitale zorgtoepassing]),0))</f>
        <v>0</v>
      </c>
      <c r="Q119" s="398" cm="1">
        <f t="array" ref="Q119">J119*INDEX(Berekening_impact[Jaarlijkse kosten (totaal) - incl. schatting],MATCH(B119,IF(Berekening_impact[Doelgroep]=C119,Berekening_impact[Digitale zorgtoepassing]),0))</f>
        <v>563702.4611418749</v>
      </c>
      <c r="R119" s="398" cm="1">
        <f t="array" ref="R119">(uitkomst_doelgroep[[#This Row],[Implementatiegraad t = T + 1]]-uitkomst_doelgroep[[#This Row],[Implementatiegraad t = T]])*INDEX(Berekening_impact[Initiële investering (totaal) - incl. schatting],MATCH(B119,IF(Berekening_impact[Doelgroep]=C119,Berekening_impact[Digitale zorgtoepassing]),0))</f>
        <v>0</v>
      </c>
      <c r="S119" s="398">
        <f>uitkomst_doelgroep[[#This Row],[Arbeidsbesparing (€)]]*uitkomst_doelgroep[[#This Row],[Percentage van patiëntaantallen in Wlz (overige is Zvw)]]</f>
        <v>0</v>
      </c>
      <c r="T119" s="398">
        <f>uitkomst_doelgroep[[#This Row],[Overige besparingen (€)]]*uitkomst_doelgroep[[#This Row],[Percentage van patiëntaantallen in Wlz (overige is Zvw)]]</f>
        <v>0</v>
      </c>
      <c r="U119" s="398">
        <f>uitkomst_doelgroep[[#This Row],[Kosten (€)]]*uitkomst_doelgroep[[#This Row],[Percentage van patiëntaantallen in Wlz (overige is Zvw)]]</f>
        <v>0</v>
      </c>
      <c r="V119" s="398">
        <f>uitkomst_doelgroep[[#This Row],[Investering (cash flow) (€)]]*uitkomst_doelgroep[[#This Row],[Percentage van patiëntaantallen in Wlz (overige is Zvw)]]</f>
        <v>0</v>
      </c>
    </row>
    <row r="120" spans="1:22" x14ac:dyDescent="0.5">
      <c r="A120" s="33" t="str">
        <f>INDEX(Technologieën[Veld],MATCH(B120,Technologieën[Digitale zorgtoepassing],0))</f>
        <v>Software - Diagnose</v>
      </c>
      <c r="B120" s="33" t="s">
        <v>473</v>
      </c>
      <c r="C120" s="33" t="s">
        <v>455</v>
      </c>
      <c r="D120" s="427" cm="1">
        <f t="array" ref="D120">INDEX(Berekening_patiëntaantal[Percentage van patiëntaantallen in Wlz (overige is Zvw)],MATCH(B120,IF(Berekening_patiëntaantal[Doelgroep (zoeksleutel)]=C120,Berekening_patiëntaantal[Digitale zorgtoepassing]),0))</f>
        <v>0</v>
      </c>
      <c r="E120" s="33" t="str" cm="1">
        <f t="array" ref="E120">INDEX(Berekening_patiëntaantal[Direct toepasbaar/extrapolatie/incidentie voor QALY],MATCH(B120,IF(Berekening_patiëntaantal[Doelgroep (zoeksleutel)]=C120,Berekening_patiëntaantal[Digitale zorgtoepassing]),0))</f>
        <v>Huidige toepassing</v>
      </c>
      <c r="F120" s="43" t="s">
        <v>812</v>
      </c>
      <c r="G120" s="33" t="str">
        <f>CONCATENATE(uitkomst_doelgroep[[#This Row],[Digitale zorgtoepassing]],"_",uitkomst_doelgroep[[#This Row],[Doelgroep]],"_",uitkomst_doelgroep[[#This Row],[Uitgangssituatie/effect beleid]])</f>
        <v>AI om diagnoses te stellen (CT)_CT scan_Interstitiële longaandoening_Effect beleid</v>
      </c>
      <c r="H120" s="33">
        <v>2028</v>
      </c>
      <c r="I120" s="32">
        <v>6</v>
      </c>
      <c r="J120" s="406" cm="1">
        <f t="array" ref="J120">INDEX(implementatie[[2023]:[2034]],MATCH(G120, implementatie[Zoeksleutel],0),I120)</f>
        <v>0.93808800513920654</v>
      </c>
      <c r="K120" s="406" cm="1">
        <f t="array" ref="K120">INDEX(implementatie[[2023]:[2034]],MATCH(G120,implementatie[Zoeksleutel],0),I120 + 1)</f>
        <v>0.96898481486160559</v>
      </c>
      <c r="L12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10135.102807523988</v>
      </c>
      <c r="M120" s="398" cm="1">
        <f t="array" ref="M120">J120*INDEX(Berekening_impact[Totaal arbeidsbesparing (€/jaar)],MATCH(B120,IF(Berekening_impact[Doelgroep]=C120,Berekening_impact[Digitale zorgtoepassing]),0))</f>
        <v>23109.243041288351</v>
      </c>
      <c r="N120" s="397" cm="1">
        <f t="array" ref="N120">J120*INDEX(Berekening_impact[Totaal arbeidsbesparing (FTE/jaar)],MATCH(B120,IF(Berekening_impact[Doelgroep]=C120,Berekening_impact[Digitale zorgtoepassing]),0))</f>
        <v>0.12181613951350947</v>
      </c>
      <c r="O120" s="398" cm="1">
        <f t="array" ref="O120">J120*INDEX(Berekening_impact[Overige kostenbesparing (totaal/jaar totaal potentieel)],MATCH(B120,IF(Berekening_impact[Doelgroep]=C120,Berekening_impact[Digitale zorgtoepassing]),0))</f>
        <v>0</v>
      </c>
      <c r="P120" s="398" cm="1">
        <f t="array" ref="P120">J120*INDEX(Berekening_impact[Opbrengsten door QALY''s],MATCH(B120,IF(Berekening_impact[Doelgroep]=C120,Berekening_impact[Digitale zorgtoepassing]),0))</f>
        <v>0</v>
      </c>
      <c r="Q120" s="398" cm="1">
        <f t="array" ref="Q120">J120*INDEX(Berekening_impact[Jaarlijkse kosten (totaal) - incl. schatting],MATCH(B120,IF(Berekening_impact[Doelgroep]=C120,Berekening_impact[Digitale zorgtoepassing]),0))</f>
        <v>920131.29027371272</v>
      </c>
      <c r="R120" s="398" cm="1">
        <f t="array" ref="R120">(uitkomst_doelgroep[[#This Row],[Implementatiegraad t = T + 1]]-uitkomst_doelgroep[[#This Row],[Implementatiegraad t = T]])*INDEX(Berekening_impact[Initiële investering (totaal) - incl. schatting],MATCH(B120,IF(Berekening_impact[Doelgroep]=C120,Berekening_impact[Digitale zorgtoepassing]),0))</f>
        <v>0</v>
      </c>
      <c r="S120" s="398">
        <f>uitkomst_doelgroep[[#This Row],[Arbeidsbesparing (€)]]*uitkomst_doelgroep[[#This Row],[Percentage van patiëntaantallen in Wlz (overige is Zvw)]]</f>
        <v>0</v>
      </c>
      <c r="T120" s="398">
        <f>uitkomst_doelgroep[[#This Row],[Overige besparingen (€)]]*uitkomst_doelgroep[[#This Row],[Percentage van patiëntaantallen in Wlz (overige is Zvw)]]</f>
        <v>0</v>
      </c>
      <c r="U120" s="398">
        <f>uitkomst_doelgroep[[#This Row],[Kosten (€)]]*uitkomst_doelgroep[[#This Row],[Percentage van patiëntaantallen in Wlz (overige is Zvw)]]</f>
        <v>0</v>
      </c>
      <c r="V120" s="398">
        <f>uitkomst_doelgroep[[#This Row],[Investering (cash flow) (€)]]*uitkomst_doelgroep[[#This Row],[Percentage van patiëntaantallen in Wlz (overige is Zvw)]]</f>
        <v>0</v>
      </c>
    </row>
    <row r="121" spans="1:22" x14ac:dyDescent="0.5">
      <c r="A121" s="33" t="str">
        <f>INDEX(Technologieën[Veld],MATCH(B121,Technologieën[Digitale zorgtoepassing],0))</f>
        <v>Software - Diagnose</v>
      </c>
      <c r="B121" s="33" t="s">
        <v>473</v>
      </c>
      <c r="C121" s="33" t="s">
        <v>451</v>
      </c>
      <c r="D121" s="427" cm="1">
        <f t="array" ref="D121">INDEX(Berekening_patiëntaantal[Percentage van patiëntaantallen in Wlz (overige is Zvw)],MATCH(B121,IF(Berekening_patiëntaantal[Doelgroep (zoeksleutel)]=C121,Berekening_patiëntaantal[Digitale zorgtoepassing]),0))</f>
        <v>0</v>
      </c>
      <c r="E121" s="33" t="str" cm="1">
        <f t="array" ref="E121">INDEX(Berekening_patiëntaantal[Direct toepasbaar/extrapolatie/incidentie voor QALY],MATCH(B121,IF(Berekening_patiëntaantal[Doelgroep (zoeksleutel)]=C121,Berekening_patiëntaantal[Digitale zorgtoepassing]),0))</f>
        <v>Huidige toepassing</v>
      </c>
      <c r="F121" s="43" t="s">
        <v>812</v>
      </c>
      <c r="G121" s="33" t="str">
        <f>CONCATENATE(uitkomst_doelgroep[[#This Row],[Digitale zorgtoepassing]],"_",uitkomst_doelgroep[[#This Row],[Doelgroep]],"_",uitkomst_doelgroep[[#This Row],[Uitgangssituatie/effect beleid]])</f>
        <v>AI om diagnoses te stellen (CT)_CT scan_Longkanker_Effect beleid</v>
      </c>
      <c r="H121" s="33">
        <v>2028</v>
      </c>
      <c r="I121" s="32">
        <v>6</v>
      </c>
      <c r="J121" s="406" cm="1">
        <f t="array" ref="J121">INDEX(implementatie[[2023]:[2034]],MATCH(G121, implementatie[Zoeksleutel],0),I121)</f>
        <v>0.93808800513920654</v>
      </c>
      <c r="K121" s="406" cm="1">
        <f t="array" ref="K121">INDEX(implementatie[[2023]:[2034]],MATCH(G121,implementatie[Zoeksleutel],0),I121 + 1)</f>
        <v>0.96898481486160559</v>
      </c>
      <c r="L12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69372.546068049458</v>
      </c>
      <c r="M121" s="398" cm="1">
        <f t="array" ref="M121">J121*INDEX(Berekening_impact[Totaal arbeidsbesparing (€/jaar)],MATCH(B121,IF(Berekening_impact[Doelgroep]=C121,Berekening_impact[Digitale zorgtoepassing]),0))</f>
        <v>219779.0958080306</v>
      </c>
      <c r="N121" s="397" cm="1">
        <f t="array" ref="N121">J121*INDEX(Berekening_impact[Totaal arbeidsbesparing (FTE/jaar)],MATCH(B121,IF(Berekening_impact[Doelgroep]=C121,Berekening_impact[Digitale zorgtoepassing]),0))</f>
        <v>1.158525225134827</v>
      </c>
      <c r="O121" s="398" cm="1">
        <f t="array" ref="O121">J121*INDEX(Berekening_impact[Overige kostenbesparing (totaal/jaar totaal potentieel)],MATCH(B121,IF(Berekening_impact[Doelgroep]=C121,Berekening_impact[Digitale zorgtoepassing]),0))</f>
        <v>1969984.8107923337</v>
      </c>
      <c r="P121" s="398" cm="1">
        <f t="array" ref="P121">J121*INDEX(Berekening_impact[Opbrengsten door QALY''s],MATCH(B121,IF(Berekening_impact[Doelgroep]=C121,Berekening_impact[Digitale zorgtoepassing]),0))</f>
        <v>0</v>
      </c>
      <c r="Q121" s="398" cm="1">
        <f t="array" ref="Q121">J121*INDEX(Berekening_impact[Jaarlijkse kosten (totaal) - incl. schatting],MATCH(B121,IF(Berekening_impact[Doelgroep]=C121,Berekening_impact[Digitale zorgtoepassing]),0))</f>
        <v>914173.564491414</v>
      </c>
      <c r="R121" s="398" cm="1">
        <f t="array" ref="R121">(uitkomst_doelgroep[[#This Row],[Implementatiegraad t = T + 1]]-uitkomst_doelgroep[[#This Row],[Implementatiegraad t = T]])*INDEX(Berekening_impact[Initiële investering (totaal) - incl. schatting],MATCH(B121,IF(Berekening_impact[Doelgroep]=C121,Berekening_impact[Digitale zorgtoepassing]),0))</f>
        <v>0</v>
      </c>
      <c r="S121" s="398">
        <f>uitkomst_doelgroep[[#This Row],[Arbeidsbesparing (€)]]*uitkomst_doelgroep[[#This Row],[Percentage van patiëntaantallen in Wlz (overige is Zvw)]]</f>
        <v>0</v>
      </c>
      <c r="T121" s="398">
        <f>uitkomst_doelgroep[[#This Row],[Overige besparingen (€)]]*uitkomst_doelgroep[[#This Row],[Percentage van patiëntaantallen in Wlz (overige is Zvw)]]</f>
        <v>0</v>
      </c>
      <c r="U121" s="398">
        <f>uitkomst_doelgroep[[#This Row],[Kosten (€)]]*uitkomst_doelgroep[[#This Row],[Percentage van patiëntaantallen in Wlz (overige is Zvw)]]</f>
        <v>0</v>
      </c>
      <c r="V121" s="398">
        <f>uitkomst_doelgroep[[#This Row],[Investering (cash flow) (€)]]*uitkomst_doelgroep[[#This Row],[Percentage van patiëntaantallen in Wlz (overige is Zvw)]]</f>
        <v>0</v>
      </c>
    </row>
    <row r="122" spans="1:22" x14ac:dyDescent="0.5">
      <c r="A122" s="33" t="str">
        <f>INDEX(Technologieën[Veld],MATCH(B122,Technologieën[Digitale zorgtoepassing],0))</f>
        <v>Software - Diagnose</v>
      </c>
      <c r="B122" s="33" t="s">
        <v>473</v>
      </c>
      <c r="C122" s="33" t="s">
        <v>464</v>
      </c>
      <c r="D122" s="427" cm="1">
        <f t="array" ref="D122">INDEX(Berekening_patiëntaantal[Percentage van patiëntaantallen in Wlz (overige is Zvw)],MATCH(B122,IF(Berekening_patiëntaantal[Doelgroep (zoeksleutel)]=C122,Berekening_patiëntaantal[Digitale zorgtoepassing]),0))</f>
        <v>0</v>
      </c>
      <c r="E122" s="33" t="str" cm="1">
        <f t="array" ref="E122">INDEX(Berekening_patiëntaantal[Direct toepasbaar/extrapolatie/incidentie voor QALY],MATCH(B122,IF(Berekening_patiëntaantal[Doelgroep (zoeksleutel)]=C122,Berekening_patiëntaantal[Digitale zorgtoepassing]),0))</f>
        <v>Extrapolatie</v>
      </c>
      <c r="F122" s="43" t="s">
        <v>812</v>
      </c>
      <c r="G122" s="33" t="str">
        <f>CONCATENATE(uitkomst_doelgroep[[#This Row],[Digitale zorgtoepassing]],"_",uitkomst_doelgroep[[#This Row],[Doelgroep]],"_",uitkomst_doelgroep[[#This Row],[Uitgangssituatie/effect beleid]])</f>
        <v>AI om diagnoses te stellen (CT)_CT scan_Overig_Effect beleid</v>
      </c>
      <c r="H122" s="33">
        <v>2029</v>
      </c>
      <c r="I122" s="32">
        <v>7</v>
      </c>
      <c r="J122" s="406" cm="1">
        <f t="array" ref="J122">INDEX(implementatie[[2023]:[2034]],MATCH(G122, implementatie[Zoeksleutel],0),I122)</f>
        <v>0.13555333874999997</v>
      </c>
      <c r="K122" s="406" cm="1">
        <f t="array" ref="K122">INDEX(implementatie[[2023]:[2034]],MATCH(G122,implementatie[Zoeksleutel],0),I122 + 1)</f>
        <v>0.22007605413936385</v>
      </c>
      <c r="L12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259617.8542742437</v>
      </c>
      <c r="M122" s="398" cm="1">
        <f t="array" ref="M122">J122*INDEX(Berekening_impact[Totaal arbeidsbesparing (€/jaar)],MATCH(B122,IF(Berekening_impact[Doelgroep]=C122,Berekening_impact[Digitale zorgtoepassing]),0))</f>
        <v>745649.93725828477</v>
      </c>
      <c r="N122" s="397" cm="1">
        <f t="array" ref="N122">J122*INDEX(Berekening_impact[Totaal arbeidsbesparing (FTE/jaar)],MATCH(B122,IF(Berekening_impact[Doelgroep]=C122,Berekening_impact[Digitale zorgtoepassing]),0))</f>
        <v>3.9305569906815467</v>
      </c>
      <c r="O122" s="398" cm="1">
        <f t="array" ref="O122">J122*INDEX(Berekening_impact[Overige kostenbesparing (totaal/jaar totaal potentieel)],MATCH(B122,IF(Berekening_impact[Doelgroep]=C122,Berekening_impact[Digitale zorgtoepassing]),0))</f>
        <v>0</v>
      </c>
      <c r="P122" s="398" cm="1">
        <f t="array" ref="P122">J122*INDEX(Berekening_impact[Opbrengsten door QALY''s],MATCH(B122,IF(Berekening_impact[Doelgroep]=C122,Berekening_impact[Digitale zorgtoepassing]),0))</f>
        <v>0</v>
      </c>
      <c r="Q122" s="398" cm="1">
        <f t="array" ref="Q122">J122*INDEX(Berekening_impact[Jaarlijkse kosten (totaal) - incl. schatting],MATCH(B122,IF(Berekening_impact[Doelgroep]=C122,Berekening_impact[Digitale zorgtoepassing]),0))</f>
        <v>1037498.3118720064</v>
      </c>
      <c r="R122" s="398" cm="1">
        <f t="array" ref="R122">(uitkomst_doelgroep[[#This Row],[Implementatiegraad t = T + 1]]-uitkomst_doelgroep[[#This Row],[Implementatiegraad t = T]])*INDEX(Berekening_impact[Initiële investering (totaal) - incl. schatting],MATCH(B122,IF(Berekening_impact[Doelgroep]=C122,Berekening_impact[Digitale zorgtoepassing]),0))</f>
        <v>0</v>
      </c>
      <c r="S122" s="398">
        <f>uitkomst_doelgroep[[#This Row],[Arbeidsbesparing (€)]]*uitkomst_doelgroep[[#This Row],[Percentage van patiëntaantallen in Wlz (overige is Zvw)]]</f>
        <v>0</v>
      </c>
      <c r="T122" s="398">
        <f>uitkomst_doelgroep[[#This Row],[Overige besparingen (€)]]*uitkomst_doelgroep[[#This Row],[Percentage van patiëntaantallen in Wlz (overige is Zvw)]]</f>
        <v>0</v>
      </c>
      <c r="U122" s="398">
        <f>uitkomst_doelgroep[[#This Row],[Kosten (€)]]*uitkomst_doelgroep[[#This Row],[Percentage van patiëntaantallen in Wlz (overige is Zvw)]]</f>
        <v>0</v>
      </c>
      <c r="V122" s="398">
        <f>uitkomst_doelgroep[[#This Row],[Investering (cash flow) (€)]]*uitkomst_doelgroep[[#This Row],[Percentage van patiëntaantallen in Wlz (overige is Zvw)]]</f>
        <v>0</v>
      </c>
    </row>
    <row r="123" spans="1:22" x14ac:dyDescent="0.5">
      <c r="A123" s="33" t="str">
        <f>INDEX(Technologieën[Veld],MATCH(B123,Technologieën[Digitale zorgtoepassing],0))</f>
        <v>Software - Diagnose</v>
      </c>
      <c r="B123" s="33" t="s">
        <v>473</v>
      </c>
      <c r="C123" s="33" t="s">
        <v>455</v>
      </c>
      <c r="D123" s="427" cm="1">
        <f t="array" ref="D123">INDEX(Berekening_patiëntaantal[Percentage van patiëntaantallen in Wlz (overige is Zvw)],MATCH(B123,IF(Berekening_patiëntaantal[Doelgroep (zoeksleutel)]=C123,Berekening_patiëntaantal[Digitale zorgtoepassing]),0))</f>
        <v>0</v>
      </c>
      <c r="E123" s="33" t="str" cm="1">
        <f t="array" ref="E123">INDEX(Berekening_patiëntaantal[Direct toepasbaar/extrapolatie/incidentie voor QALY],MATCH(B123,IF(Berekening_patiëntaantal[Doelgroep (zoeksleutel)]=C123,Berekening_patiëntaantal[Digitale zorgtoepassing]),0))</f>
        <v>Huidige toepassing</v>
      </c>
      <c r="F123" s="43" t="s">
        <v>812</v>
      </c>
      <c r="G123" s="33" t="str">
        <f>CONCATENATE(uitkomst_doelgroep[[#This Row],[Digitale zorgtoepassing]],"_",uitkomst_doelgroep[[#This Row],[Doelgroep]],"_",uitkomst_doelgroep[[#This Row],[Uitgangssituatie/effect beleid]])</f>
        <v>AI om diagnoses te stellen (CT)_CT scan_Interstitiële longaandoening_Effect beleid</v>
      </c>
      <c r="H123" s="33">
        <v>2029</v>
      </c>
      <c r="I123" s="32">
        <v>7</v>
      </c>
      <c r="J123" s="406" cm="1">
        <f t="array" ref="J123">INDEX(implementatie[[2023]:[2034]],MATCH(G123, implementatie[Zoeksleutel],0),I123)</f>
        <v>0.96898481486160559</v>
      </c>
      <c r="K123" s="406" cm="1">
        <f t="array" ref="K123">INDEX(implementatie[[2023]:[2034]],MATCH(G123,implementatie[Zoeksleutel],0),I123 + 1)</f>
        <v>0.9849418921303702</v>
      </c>
      <c r="L12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10468.911939764786</v>
      </c>
      <c r="M123" s="398" cm="1">
        <f t="array" ref="M123">J123*INDEX(Berekening_impact[Totaal arbeidsbesparing (€/jaar)],MATCH(B123,IF(Berekening_impact[Doelgroep]=C123,Berekening_impact[Digitale zorgtoepassing]),0))</f>
        <v>23870.367670495612</v>
      </c>
      <c r="N123" s="397" cm="1">
        <f t="array" ref="N123">J123*INDEX(Berekening_impact[Totaal arbeidsbesparing (FTE/jaar)],MATCH(B123,IF(Berekening_impact[Doelgroep]=C123,Berekening_impact[Digitale zorgtoepassing]),0))</f>
        <v>0.12582826850678833</v>
      </c>
      <c r="O123" s="398" cm="1">
        <f t="array" ref="O123">J123*INDEX(Berekening_impact[Overige kostenbesparing (totaal/jaar totaal potentieel)],MATCH(B123,IF(Berekening_impact[Doelgroep]=C123,Berekening_impact[Digitale zorgtoepassing]),0))</f>
        <v>0</v>
      </c>
      <c r="P123" s="398" cm="1">
        <f t="array" ref="P123">J123*INDEX(Berekening_impact[Opbrengsten door QALY''s],MATCH(B123,IF(Berekening_impact[Doelgroep]=C123,Berekening_impact[Digitale zorgtoepassing]),0))</f>
        <v>0</v>
      </c>
      <c r="Q123" s="398" cm="1">
        <f t="array" ref="Q123">J123*INDEX(Berekening_impact[Jaarlijkse kosten (totaal) - incl. schatting],MATCH(B123,IF(Berekening_impact[Doelgroep]=C123,Berekening_impact[Digitale zorgtoepassing]),0))</f>
        <v>950436.67872284201</v>
      </c>
      <c r="R123" s="398" cm="1">
        <f t="array" ref="R123">(uitkomst_doelgroep[[#This Row],[Implementatiegraad t = T + 1]]-uitkomst_doelgroep[[#This Row],[Implementatiegraad t = T]])*INDEX(Berekening_impact[Initiële investering (totaal) - incl. schatting],MATCH(B123,IF(Berekening_impact[Doelgroep]=C123,Berekening_impact[Digitale zorgtoepassing]),0))</f>
        <v>0</v>
      </c>
      <c r="S123" s="398">
        <f>uitkomst_doelgroep[[#This Row],[Arbeidsbesparing (€)]]*uitkomst_doelgroep[[#This Row],[Percentage van patiëntaantallen in Wlz (overige is Zvw)]]</f>
        <v>0</v>
      </c>
      <c r="T123" s="398">
        <f>uitkomst_doelgroep[[#This Row],[Overige besparingen (€)]]*uitkomst_doelgroep[[#This Row],[Percentage van patiëntaantallen in Wlz (overige is Zvw)]]</f>
        <v>0</v>
      </c>
      <c r="U123" s="398">
        <f>uitkomst_doelgroep[[#This Row],[Kosten (€)]]*uitkomst_doelgroep[[#This Row],[Percentage van patiëntaantallen in Wlz (overige is Zvw)]]</f>
        <v>0</v>
      </c>
      <c r="V123" s="398">
        <f>uitkomst_doelgroep[[#This Row],[Investering (cash flow) (€)]]*uitkomst_doelgroep[[#This Row],[Percentage van patiëntaantallen in Wlz (overige is Zvw)]]</f>
        <v>0</v>
      </c>
    </row>
    <row r="124" spans="1:22" x14ac:dyDescent="0.5">
      <c r="A124" s="33" t="str">
        <f>INDEX(Technologieën[Veld],MATCH(B124,Technologieën[Digitale zorgtoepassing],0))</f>
        <v>Software - Diagnose</v>
      </c>
      <c r="B124" s="33" t="s">
        <v>473</v>
      </c>
      <c r="C124" s="33" t="s">
        <v>451</v>
      </c>
      <c r="D124" s="427" cm="1">
        <f t="array" ref="D124">INDEX(Berekening_patiëntaantal[Percentage van patiëntaantallen in Wlz (overige is Zvw)],MATCH(B124,IF(Berekening_patiëntaantal[Doelgroep (zoeksleutel)]=C124,Berekening_patiëntaantal[Digitale zorgtoepassing]),0))</f>
        <v>0</v>
      </c>
      <c r="E124" s="33" t="str" cm="1">
        <f t="array" ref="E124">INDEX(Berekening_patiëntaantal[Direct toepasbaar/extrapolatie/incidentie voor QALY],MATCH(B124,IF(Berekening_patiëntaantal[Doelgroep (zoeksleutel)]=C124,Berekening_patiëntaantal[Digitale zorgtoepassing]),0))</f>
        <v>Huidige toepassing</v>
      </c>
      <c r="F124" s="43" t="s">
        <v>812</v>
      </c>
      <c r="G124" s="33" t="str">
        <f>CONCATENATE(uitkomst_doelgroep[[#This Row],[Digitale zorgtoepassing]],"_",uitkomst_doelgroep[[#This Row],[Doelgroep]],"_",uitkomst_doelgroep[[#This Row],[Uitgangssituatie/effect beleid]])</f>
        <v>AI om diagnoses te stellen (CT)_CT scan_Longkanker_Effect beleid</v>
      </c>
      <c r="H124" s="33">
        <v>2029</v>
      </c>
      <c r="I124" s="32">
        <v>7</v>
      </c>
      <c r="J124" s="406" cm="1">
        <f t="array" ref="J124">INDEX(implementatie[[2023]:[2034]],MATCH(G124, implementatie[Zoeksleutel],0),I124)</f>
        <v>0.96898481486160559</v>
      </c>
      <c r="K124" s="406" cm="1">
        <f t="array" ref="K124">INDEX(implementatie[[2023]:[2034]],MATCH(G124,implementatie[Zoeksleutel],0),I124 + 1)</f>
        <v>0.9849418921303702</v>
      </c>
      <c r="L12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71657.396043830595</v>
      </c>
      <c r="M124" s="398" cm="1">
        <f t="array" ref="M124">J124*INDEX(Berekening_impact[Totaal arbeidsbesparing (€/jaar)],MATCH(B124,IF(Berekening_impact[Doelgroep]=C124,Berekening_impact[Digitale zorgtoepassing]),0))</f>
        <v>227017.72679674468</v>
      </c>
      <c r="N124" s="397" cm="1">
        <f t="array" ref="N124">J124*INDEX(Berekening_impact[Totaal arbeidsbesparing (FTE/jaar)],MATCH(B124,IF(Berekening_impact[Doelgroep]=C124,Berekening_impact[Digitale zorgtoepassing]),0))</f>
        <v>1.1966823417843238</v>
      </c>
      <c r="O124" s="398" cm="1">
        <f t="array" ref="O124">J124*INDEX(Berekening_impact[Overige kostenbesparing (totaal/jaar totaal potentieel)],MATCH(B124,IF(Berekening_impact[Doelgroep]=C124,Berekening_impact[Digitale zorgtoepassing]),0))</f>
        <v>2034868.1112093718</v>
      </c>
      <c r="P124" s="398" cm="1">
        <f t="array" ref="P124">J124*INDEX(Berekening_impact[Opbrengsten door QALY''s],MATCH(B124,IF(Berekening_impact[Doelgroep]=C124,Berekening_impact[Digitale zorgtoepassing]),0))</f>
        <v>0</v>
      </c>
      <c r="Q124" s="398" cm="1">
        <f t="array" ref="Q124">J124*INDEX(Berekening_impact[Jaarlijkse kosten (totaal) - incl. schatting],MATCH(B124,IF(Berekening_impact[Doelgroep]=C124,Berekening_impact[Digitale zorgtoepassing]),0))</f>
        <v>944282.72964500438</v>
      </c>
      <c r="R124" s="398" cm="1">
        <f t="array" ref="R124">(uitkomst_doelgroep[[#This Row],[Implementatiegraad t = T + 1]]-uitkomst_doelgroep[[#This Row],[Implementatiegraad t = T]])*INDEX(Berekening_impact[Initiële investering (totaal) - incl. schatting],MATCH(B124,IF(Berekening_impact[Doelgroep]=C124,Berekening_impact[Digitale zorgtoepassing]),0))</f>
        <v>0</v>
      </c>
      <c r="S124" s="398">
        <f>uitkomst_doelgroep[[#This Row],[Arbeidsbesparing (€)]]*uitkomst_doelgroep[[#This Row],[Percentage van patiëntaantallen in Wlz (overige is Zvw)]]</f>
        <v>0</v>
      </c>
      <c r="T124" s="398">
        <f>uitkomst_doelgroep[[#This Row],[Overige besparingen (€)]]*uitkomst_doelgroep[[#This Row],[Percentage van patiëntaantallen in Wlz (overige is Zvw)]]</f>
        <v>0</v>
      </c>
      <c r="U124" s="398">
        <f>uitkomst_doelgroep[[#This Row],[Kosten (€)]]*uitkomst_doelgroep[[#This Row],[Percentage van patiëntaantallen in Wlz (overige is Zvw)]]</f>
        <v>0</v>
      </c>
      <c r="V124" s="398">
        <f>uitkomst_doelgroep[[#This Row],[Investering (cash flow) (€)]]*uitkomst_doelgroep[[#This Row],[Percentage van patiëntaantallen in Wlz (overige is Zvw)]]</f>
        <v>0</v>
      </c>
    </row>
    <row r="125" spans="1:22" x14ac:dyDescent="0.5">
      <c r="A125" s="33" t="str">
        <f>INDEX(Technologieën[Veld],MATCH(B125,Technologieën[Digitale zorgtoepassing],0))</f>
        <v>Software - Diagnose</v>
      </c>
      <c r="B125" s="33" t="s">
        <v>473</v>
      </c>
      <c r="C125" s="33" t="s">
        <v>464</v>
      </c>
      <c r="D125" s="427" cm="1">
        <f t="array" ref="D125">INDEX(Berekening_patiëntaantal[Percentage van patiëntaantallen in Wlz (overige is Zvw)],MATCH(B125,IF(Berekening_patiëntaantal[Doelgroep (zoeksleutel)]=C125,Berekening_patiëntaantal[Digitale zorgtoepassing]),0))</f>
        <v>0</v>
      </c>
      <c r="E125" s="33" t="str" cm="1">
        <f t="array" ref="E125">INDEX(Berekening_patiëntaantal[Direct toepasbaar/extrapolatie/incidentie voor QALY],MATCH(B125,IF(Berekening_patiëntaantal[Doelgroep (zoeksleutel)]=C125,Berekening_patiëntaantal[Digitale zorgtoepassing]),0))</f>
        <v>Extrapolatie</v>
      </c>
      <c r="F125" s="43" t="s">
        <v>812</v>
      </c>
      <c r="G125" s="33" t="str">
        <f>CONCATENATE(uitkomst_doelgroep[[#This Row],[Digitale zorgtoepassing]],"_",uitkomst_doelgroep[[#This Row],[Doelgroep]],"_",uitkomst_doelgroep[[#This Row],[Uitgangssituatie/effect beleid]])</f>
        <v>AI om diagnoses te stellen (CT)_CT scan_Overig_Effect beleid</v>
      </c>
      <c r="H125" s="33">
        <v>2030</v>
      </c>
      <c r="I125" s="32">
        <v>8</v>
      </c>
      <c r="J125" s="406" cm="1">
        <f t="array" ref="J125">INDEX(implementatie[[2023]:[2034]],MATCH(G125, implementatie[Zoeksleutel],0),I125)</f>
        <v>0.22007605413936385</v>
      </c>
      <c r="K125" s="406" cm="1">
        <f t="array" ref="K125">INDEX(implementatie[[2023]:[2034]],MATCH(G125,implementatie[Zoeksleutel],0),I125 + 1)</f>
        <v>0.32929506478208875</v>
      </c>
      <c r="L12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421499.56231014594</v>
      </c>
      <c r="M125" s="398" cm="1">
        <f t="array" ref="M125">J125*INDEX(Berekening_impact[Totaal arbeidsbesparing (€/jaar)],MATCH(B125,IF(Berekening_impact[Doelgroep]=C125,Berekening_impact[Digitale zorgtoepassing]),0))</f>
        <v>1210591.3249670332</v>
      </c>
      <c r="N125" s="397" cm="1">
        <f t="array" ref="N125">J125*INDEX(Berekening_impact[Totaal arbeidsbesparing (FTE/jaar)],MATCH(B125,IF(Berekening_impact[Doelgroep]=C125,Berekening_impact[Digitale zorgtoepassing]),0))</f>
        <v>6.3814103072329322</v>
      </c>
      <c r="O125" s="398" cm="1">
        <f t="array" ref="O125">J125*INDEX(Berekening_impact[Overige kostenbesparing (totaal/jaar totaal potentieel)],MATCH(B125,IF(Berekening_impact[Doelgroep]=C125,Berekening_impact[Digitale zorgtoepassing]),0))</f>
        <v>0</v>
      </c>
      <c r="P125" s="398" cm="1">
        <f t="array" ref="P125">J125*INDEX(Berekening_impact[Opbrengsten door QALY''s],MATCH(B125,IF(Berekening_impact[Doelgroep]=C125,Berekening_impact[Digitale zorgtoepassing]),0))</f>
        <v>0</v>
      </c>
      <c r="Q125" s="398" cm="1">
        <f t="array" ref="Q125">J125*INDEX(Berekening_impact[Jaarlijkse kosten (totaal) - incl. schatting],MATCH(B125,IF(Berekening_impact[Doelgroep]=C125,Berekening_impact[Digitale zorgtoepassing]),0))</f>
        <v>1684418.3755159797</v>
      </c>
      <c r="R125" s="398" cm="1">
        <f t="array" ref="R125">(uitkomst_doelgroep[[#This Row],[Implementatiegraad t = T + 1]]-uitkomst_doelgroep[[#This Row],[Implementatiegraad t = T]])*INDEX(Berekening_impact[Initiële investering (totaal) - incl. schatting],MATCH(B125,IF(Berekening_impact[Doelgroep]=C125,Berekening_impact[Digitale zorgtoepassing]),0))</f>
        <v>0</v>
      </c>
      <c r="S125" s="398">
        <f>uitkomst_doelgroep[[#This Row],[Arbeidsbesparing (€)]]*uitkomst_doelgroep[[#This Row],[Percentage van patiëntaantallen in Wlz (overige is Zvw)]]</f>
        <v>0</v>
      </c>
      <c r="T125" s="398">
        <f>uitkomst_doelgroep[[#This Row],[Overige besparingen (€)]]*uitkomst_doelgroep[[#This Row],[Percentage van patiëntaantallen in Wlz (overige is Zvw)]]</f>
        <v>0</v>
      </c>
      <c r="U125" s="398">
        <f>uitkomst_doelgroep[[#This Row],[Kosten (€)]]*uitkomst_doelgroep[[#This Row],[Percentage van patiëntaantallen in Wlz (overige is Zvw)]]</f>
        <v>0</v>
      </c>
      <c r="V125" s="398">
        <f>uitkomst_doelgroep[[#This Row],[Investering (cash flow) (€)]]*uitkomst_doelgroep[[#This Row],[Percentage van patiëntaantallen in Wlz (overige is Zvw)]]</f>
        <v>0</v>
      </c>
    </row>
    <row r="126" spans="1:22" x14ac:dyDescent="0.5">
      <c r="A126" s="33" t="str">
        <f>INDEX(Technologieën[Veld],MATCH(B126,Technologieën[Digitale zorgtoepassing],0))</f>
        <v>Software - Diagnose</v>
      </c>
      <c r="B126" s="33" t="s">
        <v>473</v>
      </c>
      <c r="C126" s="33" t="s">
        <v>455</v>
      </c>
      <c r="D126" s="427" cm="1">
        <f t="array" ref="D126">INDEX(Berekening_patiëntaantal[Percentage van patiëntaantallen in Wlz (overige is Zvw)],MATCH(B126,IF(Berekening_patiëntaantal[Doelgroep (zoeksleutel)]=C126,Berekening_patiëntaantal[Digitale zorgtoepassing]),0))</f>
        <v>0</v>
      </c>
      <c r="E126" s="33" t="str" cm="1">
        <f t="array" ref="E126">INDEX(Berekening_patiëntaantal[Direct toepasbaar/extrapolatie/incidentie voor QALY],MATCH(B126,IF(Berekening_patiëntaantal[Doelgroep (zoeksleutel)]=C126,Berekening_patiëntaantal[Digitale zorgtoepassing]),0))</f>
        <v>Huidige toepassing</v>
      </c>
      <c r="F126" s="43" t="s">
        <v>812</v>
      </c>
      <c r="G126" s="33" t="str">
        <f>CONCATENATE(uitkomst_doelgroep[[#This Row],[Digitale zorgtoepassing]],"_",uitkomst_doelgroep[[#This Row],[Doelgroep]],"_",uitkomst_doelgroep[[#This Row],[Uitgangssituatie/effect beleid]])</f>
        <v>AI om diagnoses te stellen (CT)_CT scan_Interstitiële longaandoening_Effect beleid</v>
      </c>
      <c r="H126" s="33">
        <v>2030</v>
      </c>
      <c r="I126" s="32">
        <v>8</v>
      </c>
      <c r="J126" s="406" cm="1">
        <f t="array" ref="J126">INDEX(implementatie[[2023]:[2034]],MATCH(G126, implementatie[Zoeksleutel],0),I126)</f>
        <v>0.9849418921303702</v>
      </c>
      <c r="K126" s="406" cm="1">
        <f t="array" ref="K126">INDEX(implementatie[[2023]:[2034]],MATCH(G126,implementatie[Zoeksleutel],0),I126 + 1)</f>
        <v>0.99280931599496725</v>
      </c>
      <c r="L12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10641.312202576519</v>
      </c>
      <c r="M126" s="398" cm="1">
        <f t="array" ref="M126">J126*INDEX(Berekening_impact[Totaal arbeidsbesparing (€/jaar)],MATCH(B126,IF(Berekening_impact[Doelgroep]=C126,Berekening_impact[Digitale zorgtoepassing]),0))</f>
        <v>24263.460828933108</v>
      </c>
      <c r="N126" s="397" cm="1">
        <f t="array" ref="N126">J126*INDEX(Berekening_impact[Totaal arbeidsbesparing (FTE/jaar)],MATCH(B126,IF(Berekening_impact[Doelgroep]=C126,Berekening_impact[Digitale zorgtoepassing]),0))</f>
        <v>0.12790038705019857</v>
      </c>
      <c r="O126" s="398" cm="1">
        <f t="array" ref="O126">J126*INDEX(Berekening_impact[Overige kostenbesparing (totaal/jaar totaal potentieel)],MATCH(B126,IF(Berekening_impact[Doelgroep]=C126,Berekening_impact[Digitale zorgtoepassing]),0))</f>
        <v>0</v>
      </c>
      <c r="P126" s="398" cm="1">
        <f t="array" ref="P126">J126*INDEX(Berekening_impact[Opbrengsten door QALY''s],MATCH(B126,IF(Berekening_impact[Doelgroep]=C126,Berekening_impact[Digitale zorgtoepassing]),0))</f>
        <v>0</v>
      </c>
      <c r="Q126" s="398" cm="1">
        <f t="array" ref="Q126">J126*INDEX(Berekening_impact[Jaarlijkse kosten (totaal) - incl. schatting],MATCH(B126,IF(Berekening_impact[Doelgroep]=C126,Berekening_impact[Digitale zorgtoepassing]),0))</f>
        <v>966088.30843761156</v>
      </c>
      <c r="R126" s="398" cm="1">
        <f t="array" ref="R126">(uitkomst_doelgroep[[#This Row],[Implementatiegraad t = T + 1]]-uitkomst_doelgroep[[#This Row],[Implementatiegraad t = T]])*INDEX(Berekening_impact[Initiële investering (totaal) - incl. schatting],MATCH(B126,IF(Berekening_impact[Doelgroep]=C126,Berekening_impact[Digitale zorgtoepassing]),0))</f>
        <v>0</v>
      </c>
      <c r="S126" s="398">
        <f>uitkomst_doelgroep[[#This Row],[Arbeidsbesparing (€)]]*uitkomst_doelgroep[[#This Row],[Percentage van patiëntaantallen in Wlz (overige is Zvw)]]</f>
        <v>0</v>
      </c>
      <c r="T126" s="398">
        <f>uitkomst_doelgroep[[#This Row],[Overige besparingen (€)]]*uitkomst_doelgroep[[#This Row],[Percentage van patiëntaantallen in Wlz (overige is Zvw)]]</f>
        <v>0</v>
      </c>
      <c r="U126" s="398">
        <f>uitkomst_doelgroep[[#This Row],[Kosten (€)]]*uitkomst_doelgroep[[#This Row],[Percentage van patiëntaantallen in Wlz (overige is Zvw)]]</f>
        <v>0</v>
      </c>
      <c r="V126" s="398">
        <f>uitkomst_doelgroep[[#This Row],[Investering (cash flow) (€)]]*uitkomst_doelgroep[[#This Row],[Percentage van patiëntaantallen in Wlz (overige is Zvw)]]</f>
        <v>0</v>
      </c>
    </row>
    <row r="127" spans="1:22" x14ac:dyDescent="0.5">
      <c r="A127" s="33" t="str">
        <f>INDEX(Technologieën[Veld],MATCH(B127,Technologieën[Digitale zorgtoepassing],0))</f>
        <v>Software - Diagnose</v>
      </c>
      <c r="B127" s="33" t="s">
        <v>473</v>
      </c>
      <c r="C127" s="33" t="s">
        <v>451</v>
      </c>
      <c r="D127" s="427" cm="1">
        <f t="array" ref="D127">INDEX(Berekening_patiëntaantal[Percentage van patiëntaantallen in Wlz (overige is Zvw)],MATCH(B127,IF(Berekening_patiëntaantal[Doelgroep (zoeksleutel)]=C127,Berekening_patiëntaantal[Digitale zorgtoepassing]),0))</f>
        <v>0</v>
      </c>
      <c r="E127" s="33" t="str" cm="1">
        <f t="array" ref="E127">INDEX(Berekening_patiëntaantal[Direct toepasbaar/extrapolatie/incidentie voor QALY],MATCH(B127,IF(Berekening_patiëntaantal[Doelgroep (zoeksleutel)]=C127,Berekening_patiëntaantal[Digitale zorgtoepassing]),0))</f>
        <v>Huidige toepassing</v>
      </c>
      <c r="F127" s="43" t="s">
        <v>812</v>
      </c>
      <c r="G127" s="33" t="str">
        <f>CONCATENATE(uitkomst_doelgroep[[#This Row],[Digitale zorgtoepassing]],"_",uitkomst_doelgroep[[#This Row],[Doelgroep]],"_",uitkomst_doelgroep[[#This Row],[Uitgangssituatie/effect beleid]])</f>
        <v>AI om diagnoses te stellen (CT)_CT scan_Longkanker_Effect beleid</v>
      </c>
      <c r="H127" s="33">
        <v>2030</v>
      </c>
      <c r="I127" s="32">
        <v>8</v>
      </c>
      <c r="J127" s="406" cm="1">
        <f t="array" ref="J127">INDEX(implementatie[[2023]:[2034]],MATCH(G127, implementatie[Zoeksleutel],0),I127)</f>
        <v>0.9849418921303702</v>
      </c>
      <c r="K127" s="406" cm="1">
        <f t="array" ref="K127">INDEX(implementatie[[2023]:[2034]],MATCH(G127,implementatie[Zoeksleutel],0),I127 + 1)</f>
        <v>0.99280931599496725</v>
      </c>
      <c r="L12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72837.437864933003</v>
      </c>
      <c r="M127" s="398" cm="1">
        <f t="array" ref="M127">J127*INDEX(Berekening_impact[Totaal arbeidsbesparing (€/jaar)],MATCH(B127,IF(Berekening_impact[Doelgroep]=C127,Berekening_impact[Digitale zorgtoepassing]),0))</f>
        <v>230756.21614385827</v>
      </c>
      <c r="N127" s="397" cm="1">
        <f t="array" ref="N127">J127*INDEX(Berekening_impact[Totaal arbeidsbesparing (FTE/jaar)],MATCH(B127,IF(Berekening_impact[Doelgroep]=C127,Berekening_impact[Digitale zorgtoepassing]),0))</f>
        <v>1.216389103233156</v>
      </c>
      <c r="O127" s="398" cm="1">
        <f t="array" ref="O127">J127*INDEX(Berekening_impact[Overige kostenbesparing (totaal/jaar totaal potentieel)],MATCH(B127,IF(Berekening_impact[Doelgroep]=C127,Berekening_impact[Digitale zorgtoepassing]),0))</f>
        <v>2068377.9734737775</v>
      </c>
      <c r="P127" s="398" cm="1">
        <f t="array" ref="P127">J127*INDEX(Berekening_impact[Opbrengsten door QALY''s],MATCH(B127,IF(Berekening_impact[Doelgroep]=C127,Berekening_impact[Digitale zorgtoepassing]),0))</f>
        <v>0</v>
      </c>
      <c r="Q127" s="398" cm="1">
        <f t="array" ref="Q127">J127*INDEX(Berekening_impact[Jaarlijkse kosten (totaal) - incl. schatting],MATCH(B127,IF(Berekening_impact[Doelgroep]=C127,Berekening_impact[Digitale zorgtoepassing]),0))</f>
        <v>959833.01717211842</v>
      </c>
      <c r="R127" s="398" cm="1">
        <f t="array" ref="R127">(uitkomst_doelgroep[[#This Row],[Implementatiegraad t = T + 1]]-uitkomst_doelgroep[[#This Row],[Implementatiegraad t = T]])*INDEX(Berekening_impact[Initiële investering (totaal) - incl. schatting],MATCH(B127,IF(Berekening_impact[Doelgroep]=C127,Berekening_impact[Digitale zorgtoepassing]),0))</f>
        <v>0</v>
      </c>
      <c r="S127" s="398">
        <f>uitkomst_doelgroep[[#This Row],[Arbeidsbesparing (€)]]*uitkomst_doelgroep[[#This Row],[Percentage van patiëntaantallen in Wlz (overige is Zvw)]]</f>
        <v>0</v>
      </c>
      <c r="T127" s="398">
        <f>uitkomst_doelgroep[[#This Row],[Overige besparingen (€)]]*uitkomst_doelgroep[[#This Row],[Percentage van patiëntaantallen in Wlz (overige is Zvw)]]</f>
        <v>0</v>
      </c>
      <c r="U127" s="398">
        <f>uitkomst_doelgroep[[#This Row],[Kosten (€)]]*uitkomst_doelgroep[[#This Row],[Percentage van patiëntaantallen in Wlz (overige is Zvw)]]</f>
        <v>0</v>
      </c>
      <c r="V127" s="398">
        <f>uitkomst_doelgroep[[#This Row],[Investering (cash flow) (€)]]*uitkomst_doelgroep[[#This Row],[Percentage van patiëntaantallen in Wlz (overige is Zvw)]]</f>
        <v>0</v>
      </c>
    </row>
    <row r="128" spans="1:22" x14ac:dyDescent="0.5">
      <c r="A128" s="33" t="str">
        <f>INDEX(Technologieën[Veld],MATCH(B128,Technologieën[Digitale zorgtoepassing],0))</f>
        <v>Software - Diagnose</v>
      </c>
      <c r="B128" s="33" t="s">
        <v>473</v>
      </c>
      <c r="C128" s="33" t="s">
        <v>464</v>
      </c>
      <c r="D128" s="427" cm="1">
        <f t="array" ref="D128">INDEX(Berekening_patiëntaantal[Percentage van patiëntaantallen in Wlz (overige is Zvw)],MATCH(B128,IF(Berekening_patiëntaantal[Doelgroep (zoeksleutel)]=C128,Berekening_patiëntaantal[Digitale zorgtoepassing]),0))</f>
        <v>0</v>
      </c>
      <c r="E128" s="33" t="str" cm="1">
        <f t="array" ref="E128">INDEX(Berekening_patiëntaantal[Direct toepasbaar/extrapolatie/incidentie voor QALY],MATCH(B128,IF(Berekening_patiëntaantal[Doelgroep (zoeksleutel)]=C128,Berekening_patiëntaantal[Digitale zorgtoepassing]),0))</f>
        <v>Extrapolatie</v>
      </c>
      <c r="F128" s="43" t="s">
        <v>812</v>
      </c>
      <c r="G128" s="33" t="str">
        <f>CONCATENATE(uitkomst_doelgroep[[#This Row],[Digitale zorgtoepassing]],"_",uitkomst_doelgroep[[#This Row],[Doelgroep]],"_",uitkomst_doelgroep[[#This Row],[Uitgangssituatie/effect beleid]])</f>
        <v>AI om diagnoses te stellen (CT)_CT scan_Overig_Effect beleid</v>
      </c>
      <c r="H128" s="33">
        <v>2031</v>
      </c>
      <c r="I128" s="32">
        <v>9</v>
      </c>
      <c r="J128" s="406" cm="1">
        <f t="array" ref="J128">INDEX(implementatie[[2023]:[2034]],MATCH(G128, implementatie[Zoeksleutel],0),I128)</f>
        <v>0.32929506478208875</v>
      </c>
      <c r="K128" s="406" cm="1">
        <f t="array" ref="K128">INDEX(implementatie[[2023]:[2034]],MATCH(G128,implementatie[Zoeksleutel],0),I128 + 1)</f>
        <v>0.4598461253847505</v>
      </c>
      <c r="L12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630680.7263485716</v>
      </c>
      <c r="M128" s="398" cm="1">
        <f t="array" ref="M128">J128*INDEX(Berekening_impact[Totaal arbeidsbesparing (€/jaar)],MATCH(B128,IF(Berekening_impact[Doelgroep]=C128,Berekening_impact[Digitale zorgtoepassing]),0))</f>
        <v>1811381.7531788929</v>
      </c>
      <c r="N128" s="397" cm="1">
        <f t="array" ref="N128">J128*INDEX(Berekening_impact[Totaal arbeidsbesparing (FTE/jaar)],MATCH(B128,IF(Berekening_impact[Doelgroep]=C128,Berekening_impact[Digitale zorgtoepassing]),0))</f>
        <v>9.5483669440504428</v>
      </c>
      <c r="O128" s="398" cm="1">
        <f t="array" ref="O128">J128*INDEX(Berekening_impact[Overige kostenbesparing (totaal/jaar totaal potentieel)],MATCH(B128,IF(Berekening_impact[Doelgroep]=C128,Berekening_impact[Digitale zorgtoepassing]),0))</f>
        <v>0</v>
      </c>
      <c r="P128" s="398" cm="1">
        <f t="array" ref="P128">J128*INDEX(Berekening_impact[Opbrengsten door QALY''s],MATCH(B128,IF(Berekening_impact[Doelgroep]=C128,Berekening_impact[Digitale zorgtoepassing]),0))</f>
        <v>0</v>
      </c>
      <c r="Q128" s="398" cm="1">
        <f t="array" ref="Q128">J128*INDEX(Berekening_impact[Jaarlijkse kosten (totaal) - incl. schatting],MATCH(B128,IF(Berekening_impact[Doelgroep]=C128,Berekening_impact[Digitale zorgtoepassing]),0))</f>
        <v>2520358.9743317934</v>
      </c>
      <c r="R128" s="398" cm="1">
        <f t="array" ref="R128">(uitkomst_doelgroep[[#This Row],[Implementatiegraad t = T + 1]]-uitkomst_doelgroep[[#This Row],[Implementatiegraad t = T]])*INDEX(Berekening_impact[Initiële investering (totaal) - incl. schatting],MATCH(B128,IF(Berekening_impact[Doelgroep]=C128,Berekening_impact[Digitale zorgtoepassing]),0))</f>
        <v>0</v>
      </c>
      <c r="S128" s="398">
        <f>uitkomst_doelgroep[[#This Row],[Arbeidsbesparing (€)]]*uitkomst_doelgroep[[#This Row],[Percentage van patiëntaantallen in Wlz (overige is Zvw)]]</f>
        <v>0</v>
      </c>
      <c r="T128" s="398">
        <f>uitkomst_doelgroep[[#This Row],[Overige besparingen (€)]]*uitkomst_doelgroep[[#This Row],[Percentage van patiëntaantallen in Wlz (overige is Zvw)]]</f>
        <v>0</v>
      </c>
      <c r="U128" s="398">
        <f>uitkomst_doelgroep[[#This Row],[Kosten (€)]]*uitkomst_doelgroep[[#This Row],[Percentage van patiëntaantallen in Wlz (overige is Zvw)]]</f>
        <v>0</v>
      </c>
      <c r="V128" s="398">
        <f>uitkomst_doelgroep[[#This Row],[Investering (cash flow) (€)]]*uitkomst_doelgroep[[#This Row],[Percentage van patiëntaantallen in Wlz (overige is Zvw)]]</f>
        <v>0</v>
      </c>
    </row>
    <row r="129" spans="1:22" x14ac:dyDescent="0.5">
      <c r="A129" s="33" t="str">
        <f>INDEX(Technologieën[Veld],MATCH(B129,Technologieën[Digitale zorgtoepassing],0))</f>
        <v>Software - Diagnose</v>
      </c>
      <c r="B129" s="33" t="s">
        <v>473</v>
      </c>
      <c r="C129" s="33" t="s">
        <v>455</v>
      </c>
      <c r="D129" s="427" cm="1">
        <f t="array" ref="D129">INDEX(Berekening_patiëntaantal[Percentage van patiëntaantallen in Wlz (overige is Zvw)],MATCH(B129,IF(Berekening_patiëntaantal[Doelgroep (zoeksleutel)]=C129,Berekening_patiëntaantal[Digitale zorgtoepassing]),0))</f>
        <v>0</v>
      </c>
      <c r="E129" s="33" t="str" cm="1">
        <f t="array" ref="E129">INDEX(Berekening_patiëntaantal[Direct toepasbaar/extrapolatie/incidentie voor QALY],MATCH(B129,IF(Berekening_patiëntaantal[Doelgroep (zoeksleutel)]=C129,Berekening_patiëntaantal[Digitale zorgtoepassing]),0))</f>
        <v>Huidige toepassing</v>
      </c>
      <c r="F129" s="43" t="s">
        <v>812</v>
      </c>
      <c r="G129" s="33" t="str">
        <f>CONCATENATE(uitkomst_doelgroep[[#This Row],[Digitale zorgtoepassing]],"_",uitkomst_doelgroep[[#This Row],[Doelgroep]],"_",uitkomst_doelgroep[[#This Row],[Uitgangssituatie/effect beleid]])</f>
        <v>AI om diagnoses te stellen (CT)_CT scan_Interstitiële longaandoening_Effect beleid</v>
      </c>
      <c r="H129" s="33">
        <v>2031</v>
      </c>
      <c r="I129" s="32">
        <v>9</v>
      </c>
      <c r="J129" s="406" cm="1">
        <f t="array" ref="J129">INDEX(implementatie[[2023]:[2034]],MATCH(G129, implementatie[Zoeksleutel],0),I129)</f>
        <v>0.99280931599496725</v>
      </c>
      <c r="K129" s="406" cm="1">
        <f t="array" ref="K129">INDEX(implementatie[[2023]:[2034]],MATCH(G129,implementatie[Zoeksleutel],0),I129 + 1)</f>
        <v>0.99659452554940442</v>
      </c>
      <c r="L12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10726.311850009626</v>
      </c>
      <c r="M129" s="398" cm="1">
        <f t="array" ref="M129">J129*INDEX(Berekening_impact[Totaal arbeidsbesparing (€/jaar)],MATCH(B129,IF(Berekening_impact[Doelgroep]=C129,Berekening_impact[Digitale zorgtoepassing]),0))</f>
        <v>24457.270161532801</v>
      </c>
      <c r="N129" s="397" cm="1">
        <f t="array" ref="N129">J129*INDEX(Berekening_impact[Totaal arbeidsbesparing (FTE/jaar)],MATCH(B129,IF(Berekening_impact[Doelgroep]=C129,Berekening_impact[Digitale zorgtoepassing]),0))</f>
        <v>0.12892201742800033</v>
      </c>
      <c r="O129" s="398" cm="1">
        <f t="array" ref="O129">J129*INDEX(Berekening_impact[Overige kostenbesparing (totaal/jaar totaal potentieel)],MATCH(B129,IF(Berekening_impact[Doelgroep]=C129,Berekening_impact[Digitale zorgtoepassing]),0))</f>
        <v>0</v>
      </c>
      <c r="P129" s="398" cm="1">
        <f t="array" ref="P129">J129*INDEX(Berekening_impact[Opbrengsten door QALY''s],MATCH(B129,IF(Berekening_impact[Doelgroep]=C129,Berekening_impact[Digitale zorgtoepassing]),0))</f>
        <v>0</v>
      </c>
      <c r="Q129" s="398" cm="1">
        <f t="array" ref="Q129">J129*INDEX(Berekening_impact[Jaarlijkse kosten (totaal) - incl. schatting],MATCH(B129,IF(Berekening_impact[Doelgroep]=C129,Berekening_impact[Digitale zorgtoepassing]),0))</f>
        <v>973805.13546450401</v>
      </c>
      <c r="R129" s="398" cm="1">
        <f t="array" ref="R129">(uitkomst_doelgroep[[#This Row],[Implementatiegraad t = T + 1]]-uitkomst_doelgroep[[#This Row],[Implementatiegraad t = T]])*INDEX(Berekening_impact[Initiële investering (totaal) - incl. schatting],MATCH(B129,IF(Berekening_impact[Doelgroep]=C129,Berekening_impact[Digitale zorgtoepassing]),0))</f>
        <v>0</v>
      </c>
      <c r="S129" s="398">
        <f>uitkomst_doelgroep[[#This Row],[Arbeidsbesparing (€)]]*uitkomst_doelgroep[[#This Row],[Percentage van patiëntaantallen in Wlz (overige is Zvw)]]</f>
        <v>0</v>
      </c>
      <c r="T129" s="398">
        <f>uitkomst_doelgroep[[#This Row],[Overige besparingen (€)]]*uitkomst_doelgroep[[#This Row],[Percentage van patiëntaantallen in Wlz (overige is Zvw)]]</f>
        <v>0</v>
      </c>
      <c r="U129" s="398">
        <f>uitkomst_doelgroep[[#This Row],[Kosten (€)]]*uitkomst_doelgroep[[#This Row],[Percentage van patiëntaantallen in Wlz (overige is Zvw)]]</f>
        <v>0</v>
      </c>
      <c r="V129" s="398">
        <f>uitkomst_doelgroep[[#This Row],[Investering (cash flow) (€)]]*uitkomst_doelgroep[[#This Row],[Percentage van patiëntaantallen in Wlz (overige is Zvw)]]</f>
        <v>0</v>
      </c>
    </row>
    <row r="130" spans="1:22" x14ac:dyDescent="0.5">
      <c r="A130" s="33" t="str">
        <f>INDEX(Technologieën[Veld],MATCH(B130,Technologieën[Digitale zorgtoepassing],0))</f>
        <v>Software - Diagnose</v>
      </c>
      <c r="B130" s="33" t="s">
        <v>473</v>
      </c>
      <c r="C130" s="33" t="s">
        <v>451</v>
      </c>
      <c r="D130" s="427" cm="1">
        <f t="array" ref="D130">INDEX(Berekening_patiëntaantal[Percentage van patiëntaantallen in Wlz (overige is Zvw)],MATCH(B130,IF(Berekening_patiëntaantal[Doelgroep (zoeksleutel)]=C130,Berekening_patiëntaantal[Digitale zorgtoepassing]),0))</f>
        <v>0</v>
      </c>
      <c r="E130" s="33" t="str" cm="1">
        <f t="array" ref="E130">INDEX(Berekening_patiëntaantal[Direct toepasbaar/extrapolatie/incidentie voor QALY],MATCH(B130,IF(Berekening_patiëntaantal[Doelgroep (zoeksleutel)]=C130,Berekening_patiëntaantal[Digitale zorgtoepassing]),0))</f>
        <v>Huidige toepassing</v>
      </c>
      <c r="F130" s="43" t="s">
        <v>812</v>
      </c>
      <c r="G130" s="33" t="str">
        <f>CONCATENATE(uitkomst_doelgroep[[#This Row],[Digitale zorgtoepassing]],"_",uitkomst_doelgroep[[#This Row],[Doelgroep]],"_",uitkomst_doelgroep[[#This Row],[Uitgangssituatie/effect beleid]])</f>
        <v>AI om diagnoses te stellen (CT)_CT scan_Longkanker_Effect beleid</v>
      </c>
      <c r="H130" s="33">
        <v>2031</v>
      </c>
      <c r="I130" s="32">
        <v>9</v>
      </c>
      <c r="J130" s="406" cm="1">
        <f t="array" ref="J130">INDEX(implementatie[[2023]:[2034]],MATCH(G130, implementatie[Zoeksleutel],0),I130)</f>
        <v>0.99280931599496725</v>
      </c>
      <c r="K130" s="406" cm="1">
        <f t="array" ref="K130">INDEX(implementatie[[2023]:[2034]],MATCH(G130,implementatie[Zoeksleutel],0),I130 + 1)</f>
        <v>0.99659452554940442</v>
      </c>
      <c r="L13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73419.241727143817</v>
      </c>
      <c r="M130" s="398" cm="1">
        <f t="array" ref="M130">J130*INDEX(Berekening_impact[Totaal arbeidsbesparing (€/jaar)],MATCH(B130,IF(Berekening_impact[Doelgroep]=C130,Berekening_impact[Digitale zorgtoepassing]),0))</f>
        <v>232599.42839455014</v>
      </c>
      <c r="N130" s="397" cm="1">
        <f t="array" ref="N130">J130*INDEX(Berekening_impact[Totaal arbeidsbesparing (FTE/jaar)],MATCH(B130,IF(Berekening_impact[Doelgroep]=C130,Berekening_impact[Digitale zorgtoepassing]),0))</f>
        <v>1.2261052588113428</v>
      </c>
      <c r="O130" s="398" cm="1">
        <f t="array" ref="O130">J130*INDEX(Berekening_impact[Overige kostenbesparing (totaal/jaar totaal potentieel)],MATCH(B130,IF(Berekening_impact[Doelgroep]=C130,Berekening_impact[Digitale zorgtoepassing]),0))</f>
        <v>2084899.5635894311</v>
      </c>
      <c r="P130" s="398" cm="1">
        <f t="array" ref="P130">J130*INDEX(Berekening_impact[Opbrengsten door QALY''s],MATCH(B130,IF(Berekening_impact[Doelgroep]=C130,Berekening_impact[Digitale zorgtoepassing]),0))</f>
        <v>0</v>
      </c>
      <c r="Q130" s="398" cm="1">
        <f t="array" ref="Q130">J130*INDEX(Berekening_impact[Jaarlijkse kosten (totaal) - incl. schatting],MATCH(B130,IF(Berekening_impact[Doelgroep]=C130,Berekening_impact[Digitale zorgtoepassing]),0))</f>
        <v>967499.8787866598</v>
      </c>
      <c r="R130" s="398" cm="1">
        <f t="array" ref="R130">(uitkomst_doelgroep[[#This Row],[Implementatiegraad t = T + 1]]-uitkomst_doelgroep[[#This Row],[Implementatiegraad t = T]])*INDEX(Berekening_impact[Initiële investering (totaal) - incl. schatting],MATCH(B130,IF(Berekening_impact[Doelgroep]=C130,Berekening_impact[Digitale zorgtoepassing]),0))</f>
        <v>0</v>
      </c>
      <c r="S130" s="398">
        <f>uitkomst_doelgroep[[#This Row],[Arbeidsbesparing (€)]]*uitkomst_doelgroep[[#This Row],[Percentage van patiëntaantallen in Wlz (overige is Zvw)]]</f>
        <v>0</v>
      </c>
      <c r="T130" s="398">
        <f>uitkomst_doelgroep[[#This Row],[Overige besparingen (€)]]*uitkomst_doelgroep[[#This Row],[Percentage van patiëntaantallen in Wlz (overige is Zvw)]]</f>
        <v>0</v>
      </c>
      <c r="U130" s="398">
        <f>uitkomst_doelgroep[[#This Row],[Kosten (€)]]*uitkomst_doelgroep[[#This Row],[Percentage van patiëntaantallen in Wlz (overige is Zvw)]]</f>
        <v>0</v>
      </c>
      <c r="V130" s="398">
        <f>uitkomst_doelgroep[[#This Row],[Investering (cash flow) (€)]]*uitkomst_doelgroep[[#This Row],[Percentage van patiëntaantallen in Wlz (overige is Zvw)]]</f>
        <v>0</v>
      </c>
    </row>
    <row r="131" spans="1:22" x14ac:dyDescent="0.5">
      <c r="A131" s="33" t="str">
        <f>INDEX(Technologieën[Veld],MATCH(B131,Technologieën[Digitale zorgtoepassing],0))</f>
        <v>Software - Diagnose</v>
      </c>
      <c r="B131" s="33" t="s">
        <v>473</v>
      </c>
      <c r="C131" s="33" t="s">
        <v>464</v>
      </c>
      <c r="D131" s="427" cm="1">
        <f t="array" ref="D131">INDEX(Berekening_patiëntaantal[Percentage van patiëntaantallen in Wlz (overige is Zvw)],MATCH(B131,IF(Berekening_patiëntaantal[Doelgroep (zoeksleutel)]=C131,Berekening_patiëntaantal[Digitale zorgtoepassing]),0))</f>
        <v>0</v>
      </c>
      <c r="E131" s="33" t="str" cm="1">
        <f t="array" ref="E131">INDEX(Berekening_patiëntaantal[Direct toepasbaar/extrapolatie/incidentie voor QALY],MATCH(B131,IF(Berekening_patiëntaantal[Doelgroep (zoeksleutel)]=C131,Berekening_patiëntaantal[Digitale zorgtoepassing]),0))</f>
        <v>Extrapolatie</v>
      </c>
      <c r="F131" s="43" t="s">
        <v>812</v>
      </c>
      <c r="G131" s="33" t="str">
        <f>CONCATENATE(uitkomst_doelgroep[[#This Row],[Digitale zorgtoepassing]],"_",uitkomst_doelgroep[[#This Row],[Doelgroep]],"_",uitkomst_doelgroep[[#This Row],[Uitgangssituatie/effect beleid]])</f>
        <v>AI om diagnoses te stellen (CT)_CT scan_Overig_Effect beleid</v>
      </c>
      <c r="H131" s="33">
        <v>2032</v>
      </c>
      <c r="I131" s="32">
        <v>10</v>
      </c>
      <c r="J131" s="406" cm="1">
        <f t="array" ref="J131">INDEX(implementatie[[2023]:[2034]],MATCH(G131, implementatie[Zoeksleutel],0),I131)</f>
        <v>0.4598461253847505</v>
      </c>
      <c r="K131" s="406" cm="1">
        <f t="array" ref="K131">INDEX(implementatie[[2023]:[2034]],MATCH(G131,implementatie[Zoeksleutel],0),I131 + 1)</f>
        <v>0.60024457479989934</v>
      </c>
      <c r="L13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880717.9924125165</v>
      </c>
      <c r="M131" s="398" cm="1">
        <f t="array" ref="M131">J131*INDEX(Berekening_impact[Totaal arbeidsbesparing (€/jaar)],MATCH(B131,IF(Berekening_impact[Doelgroep]=C131,Berekening_impact[Digitale zorgtoepassing]),0))</f>
        <v>2529515.2277583033</v>
      </c>
      <c r="N131" s="397" cm="1">
        <f t="array" ref="N131">J131*INDEX(Berekening_impact[Totaal arbeidsbesparing (FTE/jaar)],MATCH(B131,IF(Berekening_impact[Doelgroep]=C131,Berekening_impact[Digitale zorgtoepassing]),0))</f>
        <v>13.333875944600107</v>
      </c>
      <c r="O131" s="398" cm="1">
        <f t="array" ref="O131">J131*INDEX(Berekening_impact[Overige kostenbesparing (totaal/jaar totaal potentieel)],MATCH(B131,IF(Berekening_impact[Doelgroep]=C131,Berekening_impact[Digitale zorgtoepassing]),0))</f>
        <v>0</v>
      </c>
      <c r="P131" s="398" cm="1">
        <f t="array" ref="P131">J131*INDEX(Berekening_impact[Opbrengsten door QALY''s],MATCH(B131,IF(Berekening_impact[Doelgroep]=C131,Berekening_impact[Digitale zorgtoepassing]),0))</f>
        <v>0</v>
      </c>
      <c r="Q131" s="398" cm="1">
        <f t="array" ref="Q131">J131*INDEX(Berekening_impact[Jaarlijkse kosten (totaal) - incl. schatting],MATCH(B131,IF(Berekening_impact[Doelgroep]=C131,Berekening_impact[Digitale zorgtoepassing]),0))</f>
        <v>3519570.8435293832</v>
      </c>
      <c r="R131" s="398" cm="1">
        <f t="array" ref="R131">(uitkomst_doelgroep[[#This Row],[Implementatiegraad t = T + 1]]-uitkomst_doelgroep[[#This Row],[Implementatiegraad t = T]])*INDEX(Berekening_impact[Initiële investering (totaal) - incl. schatting],MATCH(B131,IF(Berekening_impact[Doelgroep]=C131,Berekening_impact[Digitale zorgtoepassing]),0))</f>
        <v>0</v>
      </c>
      <c r="S131" s="398">
        <f>uitkomst_doelgroep[[#This Row],[Arbeidsbesparing (€)]]*uitkomst_doelgroep[[#This Row],[Percentage van patiëntaantallen in Wlz (overige is Zvw)]]</f>
        <v>0</v>
      </c>
      <c r="T131" s="398">
        <f>uitkomst_doelgroep[[#This Row],[Overige besparingen (€)]]*uitkomst_doelgroep[[#This Row],[Percentage van patiëntaantallen in Wlz (overige is Zvw)]]</f>
        <v>0</v>
      </c>
      <c r="U131" s="398">
        <f>uitkomst_doelgroep[[#This Row],[Kosten (€)]]*uitkomst_doelgroep[[#This Row],[Percentage van patiëntaantallen in Wlz (overige is Zvw)]]</f>
        <v>0</v>
      </c>
      <c r="V131" s="398">
        <f>uitkomst_doelgroep[[#This Row],[Investering (cash flow) (€)]]*uitkomst_doelgroep[[#This Row],[Percentage van patiëntaantallen in Wlz (overige is Zvw)]]</f>
        <v>0</v>
      </c>
    </row>
    <row r="132" spans="1:22" x14ac:dyDescent="0.5">
      <c r="A132" s="33" t="str">
        <f>INDEX(Technologieën[Veld],MATCH(B132,Technologieën[Digitale zorgtoepassing],0))</f>
        <v>Software - Diagnose</v>
      </c>
      <c r="B132" s="33" t="s">
        <v>473</v>
      </c>
      <c r="C132" s="33" t="s">
        <v>455</v>
      </c>
      <c r="D132" s="427" cm="1">
        <f t="array" ref="D132">INDEX(Berekening_patiëntaantal[Percentage van patiëntaantallen in Wlz (overige is Zvw)],MATCH(B132,IF(Berekening_patiëntaantal[Doelgroep (zoeksleutel)]=C132,Berekening_patiëntaantal[Digitale zorgtoepassing]),0))</f>
        <v>0</v>
      </c>
      <c r="E132" s="33" t="str" cm="1">
        <f t="array" ref="E132">INDEX(Berekening_patiëntaantal[Direct toepasbaar/extrapolatie/incidentie voor QALY],MATCH(B132,IF(Berekening_patiëntaantal[Doelgroep (zoeksleutel)]=C132,Berekening_patiëntaantal[Digitale zorgtoepassing]),0))</f>
        <v>Huidige toepassing</v>
      </c>
      <c r="F132" s="43" t="s">
        <v>812</v>
      </c>
      <c r="G132" s="33" t="str">
        <f>CONCATENATE(uitkomst_doelgroep[[#This Row],[Digitale zorgtoepassing]],"_",uitkomst_doelgroep[[#This Row],[Doelgroep]],"_",uitkomst_doelgroep[[#This Row],[Uitgangssituatie/effect beleid]])</f>
        <v>AI om diagnoses te stellen (CT)_CT scan_Interstitiële longaandoening_Effect beleid</v>
      </c>
      <c r="H132" s="33">
        <v>2032</v>
      </c>
      <c r="I132" s="32">
        <v>10</v>
      </c>
      <c r="J132" s="406" cm="1">
        <f t="array" ref="J132">INDEX(implementatie[[2023]:[2034]],MATCH(G132, implementatie[Zoeksleutel],0),I132)</f>
        <v>0.99659452554940442</v>
      </c>
      <c r="K132" s="406" cm="1">
        <f t="array" ref="K132">INDEX(implementatie[[2023]:[2034]],MATCH(G132,implementatie[Zoeksleutel],0),I132 + 1)</f>
        <v>0.99839362838010326</v>
      </c>
      <c r="L13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10767.207254035766</v>
      </c>
      <c r="M132" s="398" cm="1">
        <f t="array" ref="M132">J132*INDEX(Berekening_impact[Totaal arbeidsbesparing (€/jaar)],MATCH(B132,IF(Berekening_impact[Doelgroep]=C132,Berekening_impact[Digitale zorgtoepassing]),0))</f>
        <v>24550.516559606844</v>
      </c>
      <c r="N132" s="397" cm="1">
        <f t="array" ref="N132">J132*INDEX(Berekening_impact[Totaal arbeidsbesparing (FTE/jaar)],MATCH(B132,IF(Berekening_impact[Doelgroep]=C132,Berekening_impact[Digitale zorgtoepassing]),0))</f>
        <v>0.12941354872639144</v>
      </c>
      <c r="O132" s="398" cm="1">
        <f t="array" ref="O132">J132*INDEX(Berekening_impact[Overige kostenbesparing (totaal/jaar totaal potentieel)],MATCH(B132,IF(Berekening_impact[Doelgroep]=C132,Berekening_impact[Digitale zorgtoepassing]),0))</f>
        <v>0</v>
      </c>
      <c r="P132" s="398" cm="1">
        <f t="array" ref="P132">J132*INDEX(Berekening_impact[Opbrengsten door QALY''s],MATCH(B132,IF(Berekening_impact[Doelgroep]=C132,Berekening_impact[Digitale zorgtoepassing]),0))</f>
        <v>0</v>
      </c>
      <c r="Q132" s="398" cm="1">
        <f t="array" ref="Q132">J132*INDEX(Berekening_impact[Jaarlijkse kosten (totaal) - incl. schatting],MATCH(B132,IF(Berekening_impact[Doelgroep]=C132,Berekening_impact[Digitale zorgtoepassing]),0))</f>
        <v>977517.88920637057</v>
      </c>
      <c r="R132" s="398" cm="1">
        <f t="array" ref="R132">(uitkomst_doelgroep[[#This Row],[Implementatiegraad t = T + 1]]-uitkomst_doelgroep[[#This Row],[Implementatiegraad t = T]])*INDEX(Berekening_impact[Initiële investering (totaal) - incl. schatting],MATCH(B132,IF(Berekening_impact[Doelgroep]=C132,Berekening_impact[Digitale zorgtoepassing]),0))</f>
        <v>0</v>
      </c>
      <c r="S132" s="398">
        <f>uitkomst_doelgroep[[#This Row],[Arbeidsbesparing (€)]]*uitkomst_doelgroep[[#This Row],[Percentage van patiëntaantallen in Wlz (overige is Zvw)]]</f>
        <v>0</v>
      </c>
      <c r="T132" s="398">
        <f>uitkomst_doelgroep[[#This Row],[Overige besparingen (€)]]*uitkomst_doelgroep[[#This Row],[Percentage van patiëntaantallen in Wlz (overige is Zvw)]]</f>
        <v>0</v>
      </c>
      <c r="U132" s="398">
        <f>uitkomst_doelgroep[[#This Row],[Kosten (€)]]*uitkomst_doelgroep[[#This Row],[Percentage van patiëntaantallen in Wlz (overige is Zvw)]]</f>
        <v>0</v>
      </c>
      <c r="V132" s="398">
        <f>uitkomst_doelgroep[[#This Row],[Investering (cash flow) (€)]]*uitkomst_doelgroep[[#This Row],[Percentage van patiëntaantallen in Wlz (overige is Zvw)]]</f>
        <v>0</v>
      </c>
    </row>
    <row r="133" spans="1:22" x14ac:dyDescent="0.5">
      <c r="A133" s="33" t="str">
        <f>INDEX(Technologieën[Veld],MATCH(B133,Technologieën[Digitale zorgtoepassing],0))</f>
        <v>Software - Diagnose</v>
      </c>
      <c r="B133" s="33" t="s">
        <v>473</v>
      </c>
      <c r="C133" s="33" t="s">
        <v>451</v>
      </c>
      <c r="D133" s="427" cm="1">
        <f t="array" ref="D133">INDEX(Berekening_patiëntaantal[Percentage van patiëntaantallen in Wlz (overige is Zvw)],MATCH(B133,IF(Berekening_patiëntaantal[Doelgroep (zoeksleutel)]=C133,Berekening_patiëntaantal[Digitale zorgtoepassing]),0))</f>
        <v>0</v>
      </c>
      <c r="E133" s="33" t="str" cm="1">
        <f t="array" ref="E133">INDEX(Berekening_patiëntaantal[Direct toepasbaar/extrapolatie/incidentie voor QALY],MATCH(B133,IF(Berekening_patiëntaantal[Doelgroep (zoeksleutel)]=C133,Berekening_patiëntaantal[Digitale zorgtoepassing]),0))</f>
        <v>Huidige toepassing</v>
      </c>
      <c r="F133" s="43" t="s">
        <v>812</v>
      </c>
      <c r="G133" s="33" t="str">
        <f>CONCATENATE(uitkomst_doelgroep[[#This Row],[Digitale zorgtoepassing]],"_",uitkomst_doelgroep[[#This Row],[Doelgroep]],"_",uitkomst_doelgroep[[#This Row],[Uitgangssituatie/effect beleid]])</f>
        <v>AI om diagnoses te stellen (CT)_CT scan_Longkanker_Effect beleid</v>
      </c>
      <c r="H133" s="33">
        <v>2032</v>
      </c>
      <c r="I133" s="32">
        <v>10</v>
      </c>
      <c r="J133" s="406" cm="1">
        <f t="array" ref="J133">INDEX(implementatie[[2023]:[2034]],MATCH(G133, implementatie[Zoeksleutel],0),I133)</f>
        <v>0.99659452554940442</v>
      </c>
      <c r="K133" s="406" cm="1">
        <f t="array" ref="K133">INDEX(implementatie[[2023]:[2034]],MATCH(G133,implementatie[Zoeksleutel],0),I133 + 1)</f>
        <v>0.99839362838010326</v>
      </c>
      <c r="L13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73699.161758904011</v>
      </c>
      <c r="M133" s="398" cm="1">
        <f t="array" ref="M133">J133*INDEX(Berekening_impact[Totaal arbeidsbesparing (€/jaar)],MATCH(B133,IF(Berekening_impact[Doelgroep]=C133,Berekening_impact[Digitale zorgtoepassing]),0))</f>
        <v>233486.24277524851</v>
      </c>
      <c r="N133" s="397" cm="1">
        <f t="array" ref="N133">J133*INDEX(Berekening_impact[Totaal arbeidsbesparing (FTE/jaar)],MATCH(B133,IF(Berekening_impact[Doelgroep]=C133,Berekening_impact[Digitale zorgtoepassing]),0))</f>
        <v>1.2307799382947311</v>
      </c>
      <c r="O133" s="398" cm="1">
        <f t="array" ref="O133">J133*INDEX(Berekening_impact[Overige kostenbesparing (totaal/jaar totaal potentieel)],MATCH(B133,IF(Berekening_impact[Doelgroep]=C133,Berekening_impact[Digitale zorgtoepassing]),0))</f>
        <v>2092848.5036537494</v>
      </c>
      <c r="P133" s="398" cm="1">
        <f t="array" ref="P133">J133*INDEX(Berekening_impact[Opbrengsten door QALY''s],MATCH(B133,IF(Berekening_impact[Doelgroep]=C133,Berekening_impact[Digitale zorgtoepassing]),0))</f>
        <v>0</v>
      </c>
      <c r="Q133" s="398" cm="1">
        <f t="array" ref="Q133">J133*INDEX(Berekening_impact[Jaarlijkse kosten (totaal) - incl. schatting],MATCH(B133,IF(Berekening_impact[Doelgroep]=C133,Berekening_impact[Digitale zorgtoepassing]),0))</f>
        <v>971188.59294969111</v>
      </c>
      <c r="R133" s="398" cm="1">
        <f t="array" ref="R133">(uitkomst_doelgroep[[#This Row],[Implementatiegraad t = T + 1]]-uitkomst_doelgroep[[#This Row],[Implementatiegraad t = T]])*INDEX(Berekening_impact[Initiële investering (totaal) - incl. schatting],MATCH(B133,IF(Berekening_impact[Doelgroep]=C133,Berekening_impact[Digitale zorgtoepassing]),0))</f>
        <v>0</v>
      </c>
      <c r="S133" s="398">
        <f>uitkomst_doelgroep[[#This Row],[Arbeidsbesparing (€)]]*uitkomst_doelgroep[[#This Row],[Percentage van patiëntaantallen in Wlz (overige is Zvw)]]</f>
        <v>0</v>
      </c>
      <c r="T133" s="398">
        <f>uitkomst_doelgroep[[#This Row],[Overige besparingen (€)]]*uitkomst_doelgroep[[#This Row],[Percentage van patiëntaantallen in Wlz (overige is Zvw)]]</f>
        <v>0</v>
      </c>
      <c r="U133" s="398">
        <f>uitkomst_doelgroep[[#This Row],[Kosten (€)]]*uitkomst_doelgroep[[#This Row],[Percentage van patiëntaantallen in Wlz (overige is Zvw)]]</f>
        <v>0</v>
      </c>
      <c r="V133" s="398">
        <f>uitkomst_doelgroep[[#This Row],[Investering (cash flow) (€)]]*uitkomst_doelgroep[[#This Row],[Percentage van patiëntaantallen in Wlz (overige is Zvw)]]</f>
        <v>0</v>
      </c>
    </row>
    <row r="134" spans="1:22" x14ac:dyDescent="0.5">
      <c r="A134" s="33" t="str">
        <f>INDEX(Technologieën[Veld],MATCH(B134,Technologieën[Digitale zorgtoepassing],0))</f>
        <v>Software - Diagnose</v>
      </c>
      <c r="B134" s="33" t="s">
        <v>473</v>
      </c>
      <c r="C134" s="33" t="s">
        <v>464</v>
      </c>
      <c r="D134" s="427" cm="1">
        <f t="array" ref="D134">INDEX(Berekening_patiëntaantal[Percentage van patiëntaantallen in Wlz (overige is Zvw)],MATCH(B134,IF(Berekening_patiëntaantal[Doelgroep (zoeksleutel)]=C134,Berekening_patiëntaantal[Digitale zorgtoepassing]),0))</f>
        <v>0</v>
      </c>
      <c r="E134" s="33" t="str" cm="1">
        <f t="array" ref="E134">INDEX(Berekening_patiëntaantal[Direct toepasbaar/extrapolatie/incidentie voor QALY],MATCH(B134,IF(Berekening_patiëntaantal[Doelgroep (zoeksleutel)]=C134,Berekening_patiëntaantal[Digitale zorgtoepassing]),0))</f>
        <v>Extrapolatie</v>
      </c>
      <c r="F134" s="43" t="s">
        <v>812</v>
      </c>
      <c r="G134" s="33" t="str">
        <f>CONCATENATE(uitkomst_doelgroep[[#This Row],[Digitale zorgtoepassing]],"_",uitkomst_doelgroep[[#This Row],[Doelgroep]],"_",uitkomst_doelgroep[[#This Row],[Uitgangssituatie/effect beleid]])</f>
        <v>AI om diagnoses te stellen (CT)_CT scan_Overig_Effect beleid</v>
      </c>
      <c r="H134" s="33">
        <v>2033</v>
      </c>
      <c r="I134" s="32">
        <v>11</v>
      </c>
      <c r="J134" s="406" cm="1">
        <f t="array" ref="J134">INDEX(implementatie[[2023]:[2034]],MATCH(G134, implementatie[Zoeksleutel],0),I134)</f>
        <v>0.60024457479989934</v>
      </c>
      <c r="K134" s="406" cm="1">
        <f t="array" ref="K134">INDEX(implementatie[[2023]:[2034]],MATCH(G134,implementatie[Zoeksleutel],0),I134 + 1)</f>
        <v>0.73221275016749598</v>
      </c>
      <c r="L13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1149615.4206626331</v>
      </c>
      <c r="M134" s="398" cm="1">
        <f t="array" ref="M134">J134*INDEX(Berekening_impact[Totaal arbeidsbesparing (€/jaar)],MATCH(B134,IF(Berekening_impact[Doelgroep]=C134,Berekening_impact[Digitale zorgtoepassing]),0))</f>
        <v>3301817.0829759138</v>
      </c>
      <c r="N134" s="397" cm="1">
        <f t="array" ref="N134">J134*INDEX(Berekening_impact[Totaal arbeidsbesparing (FTE/jaar)],MATCH(B134,IF(Berekening_impact[Doelgroep]=C134,Berekening_impact[Digitale zorgtoepassing]),0))</f>
        <v>17.404923636367588</v>
      </c>
      <c r="O134" s="398" cm="1">
        <f t="array" ref="O134">J134*INDEX(Berekening_impact[Overige kostenbesparing (totaal/jaar totaal potentieel)],MATCH(B134,IF(Berekening_impact[Doelgroep]=C134,Berekening_impact[Digitale zorgtoepassing]),0))</f>
        <v>0</v>
      </c>
      <c r="P134" s="398" cm="1">
        <f t="array" ref="P134">J134*INDEX(Berekening_impact[Opbrengsten door QALY''s],MATCH(B134,IF(Berekening_impact[Doelgroep]=C134,Berekening_impact[Digitale zorgtoepassing]),0))</f>
        <v>0</v>
      </c>
      <c r="Q134" s="398" cm="1">
        <f t="array" ref="Q134">J134*INDEX(Berekening_impact[Jaarlijkse kosten (totaal) - incl. schatting],MATCH(B134,IF(Berekening_impact[Doelgroep]=C134,Berekening_impact[Digitale zorgtoepassing]),0))</f>
        <v>4594152.66940613</v>
      </c>
      <c r="R134" s="398" cm="1">
        <f t="array" ref="R134">(uitkomst_doelgroep[[#This Row],[Implementatiegraad t = T + 1]]-uitkomst_doelgroep[[#This Row],[Implementatiegraad t = T]])*INDEX(Berekening_impact[Initiële investering (totaal) - incl. schatting],MATCH(B134,IF(Berekening_impact[Doelgroep]=C134,Berekening_impact[Digitale zorgtoepassing]),0))</f>
        <v>0</v>
      </c>
      <c r="S134" s="398">
        <f>uitkomst_doelgroep[[#This Row],[Arbeidsbesparing (€)]]*uitkomst_doelgroep[[#This Row],[Percentage van patiëntaantallen in Wlz (overige is Zvw)]]</f>
        <v>0</v>
      </c>
      <c r="T134" s="398">
        <f>uitkomst_doelgroep[[#This Row],[Overige besparingen (€)]]*uitkomst_doelgroep[[#This Row],[Percentage van patiëntaantallen in Wlz (overige is Zvw)]]</f>
        <v>0</v>
      </c>
      <c r="U134" s="398">
        <f>uitkomst_doelgroep[[#This Row],[Kosten (€)]]*uitkomst_doelgroep[[#This Row],[Percentage van patiëntaantallen in Wlz (overige is Zvw)]]</f>
        <v>0</v>
      </c>
      <c r="V134" s="398">
        <f>uitkomst_doelgroep[[#This Row],[Investering (cash flow) (€)]]*uitkomst_doelgroep[[#This Row],[Percentage van patiëntaantallen in Wlz (overige is Zvw)]]</f>
        <v>0</v>
      </c>
    </row>
    <row r="135" spans="1:22" x14ac:dyDescent="0.5">
      <c r="A135" s="33" t="str">
        <f>INDEX(Technologieën[Veld],MATCH(B135,Technologieën[Digitale zorgtoepassing],0))</f>
        <v>Software - Diagnose</v>
      </c>
      <c r="B135" s="33" t="s">
        <v>473</v>
      </c>
      <c r="C135" s="33" t="s">
        <v>455</v>
      </c>
      <c r="D135" s="427" cm="1">
        <f t="array" ref="D135">INDEX(Berekening_patiëntaantal[Percentage van patiëntaantallen in Wlz (overige is Zvw)],MATCH(B135,IF(Berekening_patiëntaantal[Doelgroep (zoeksleutel)]=C135,Berekening_patiëntaantal[Digitale zorgtoepassing]),0))</f>
        <v>0</v>
      </c>
      <c r="E135" s="33" t="str" cm="1">
        <f t="array" ref="E135">INDEX(Berekening_patiëntaantal[Direct toepasbaar/extrapolatie/incidentie voor QALY],MATCH(B135,IF(Berekening_patiëntaantal[Doelgroep (zoeksleutel)]=C135,Berekening_patiëntaantal[Digitale zorgtoepassing]),0))</f>
        <v>Huidige toepassing</v>
      </c>
      <c r="F135" s="43" t="s">
        <v>812</v>
      </c>
      <c r="G135" s="33" t="str">
        <f>CONCATENATE(uitkomst_doelgroep[[#This Row],[Digitale zorgtoepassing]],"_",uitkomst_doelgroep[[#This Row],[Doelgroep]],"_",uitkomst_doelgroep[[#This Row],[Uitgangssituatie/effect beleid]])</f>
        <v>AI om diagnoses te stellen (CT)_CT scan_Interstitiële longaandoening_Effect beleid</v>
      </c>
      <c r="H135" s="33">
        <v>2033</v>
      </c>
      <c r="I135" s="32">
        <v>11</v>
      </c>
      <c r="J135" s="406" cm="1">
        <f t="array" ref="J135">INDEX(implementatie[[2023]:[2034]],MATCH(G135, implementatie[Zoeksleutel],0),I135)</f>
        <v>0.99839362838010326</v>
      </c>
      <c r="K135" s="406" cm="1">
        <f t="array" ref="K135">INDEX(implementatie[[2023]:[2034]],MATCH(G135,implementatie[Zoeksleutel],0),I135 + 1)</f>
        <v>0.99924371512375787</v>
      </c>
      <c r="L13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10786.644761018635</v>
      </c>
      <c r="M135" s="398" cm="1">
        <f t="array" ref="M135">J135*INDEX(Berekening_impact[Totaal arbeidsbesparing (€/jaar)],MATCH(B135,IF(Berekening_impact[Doelgroep]=C135,Berekening_impact[Digitale zorgtoepassing]),0))</f>
        <v>24594.83639350635</v>
      </c>
      <c r="N135" s="397" cm="1">
        <f t="array" ref="N135">J135*INDEX(Berekening_impact[Totaal arbeidsbesparing (FTE/jaar)],MATCH(B135,IF(Berekening_impact[Doelgroep]=C135,Berekening_impact[Digitale zorgtoepassing]),0))</f>
        <v>0.12964717260839709</v>
      </c>
      <c r="O135" s="398" cm="1">
        <f t="array" ref="O135">J135*INDEX(Berekening_impact[Overige kostenbesparing (totaal/jaar totaal potentieel)],MATCH(B135,IF(Berekening_impact[Doelgroep]=C135,Berekening_impact[Digitale zorgtoepassing]),0))</f>
        <v>0</v>
      </c>
      <c r="P135" s="398" cm="1">
        <f t="array" ref="P135">J135*INDEX(Berekening_impact[Opbrengsten door QALY''s],MATCH(B135,IF(Berekening_impact[Doelgroep]=C135,Berekening_impact[Digitale zorgtoepassing]),0))</f>
        <v>0</v>
      </c>
      <c r="Q135" s="398" cm="1">
        <f t="array" ref="Q135">J135*INDEX(Berekening_impact[Jaarlijkse kosten (totaal) - incl. schatting],MATCH(B135,IF(Berekening_impact[Doelgroep]=C135,Berekening_impact[Digitale zorgtoepassing]),0))</f>
        <v>979282.55392852565</v>
      </c>
      <c r="R135" s="398" cm="1">
        <f t="array" ref="R135">(uitkomst_doelgroep[[#This Row],[Implementatiegraad t = T + 1]]-uitkomst_doelgroep[[#This Row],[Implementatiegraad t = T]])*INDEX(Berekening_impact[Initiële investering (totaal) - incl. schatting],MATCH(B135,IF(Berekening_impact[Doelgroep]=C135,Berekening_impact[Digitale zorgtoepassing]),0))</f>
        <v>0</v>
      </c>
      <c r="S135" s="398">
        <f>uitkomst_doelgroep[[#This Row],[Arbeidsbesparing (€)]]*uitkomst_doelgroep[[#This Row],[Percentage van patiëntaantallen in Wlz (overige is Zvw)]]</f>
        <v>0</v>
      </c>
      <c r="T135" s="398">
        <f>uitkomst_doelgroep[[#This Row],[Overige besparingen (€)]]*uitkomst_doelgroep[[#This Row],[Percentage van patiëntaantallen in Wlz (overige is Zvw)]]</f>
        <v>0</v>
      </c>
      <c r="U135" s="398">
        <f>uitkomst_doelgroep[[#This Row],[Kosten (€)]]*uitkomst_doelgroep[[#This Row],[Percentage van patiëntaantallen in Wlz (overige is Zvw)]]</f>
        <v>0</v>
      </c>
      <c r="V135" s="398">
        <f>uitkomst_doelgroep[[#This Row],[Investering (cash flow) (€)]]*uitkomst_doelgroep[[#This Row],[Percentage van patiëntaantallen in Wlz (overige is Zvw)]]</f>
        <v>0</v>
      </c>
    </row>
    <row r="136" spans="1:22" x14ac:dyDescent="0.5">
      <c r="A136" s="33" t="str">
        <f>INDEX(Technologieën[Veld],MATCH(B136,Technologieën[Digitale zorgtoepassing],0))</f>
        <v>Software - Diagnose</v>
      </c>
      <c r="B136" s="33" t="s">
        <v>473</v>
      </c>
      <c r="C136" s="33" t="s">
        <v>451</v>
      </c>
      <c r="D136" s="427" cm="1">
        <f t="array" ref="D136">INDEX(Berekening_patiëntaantal[Percentage van patiëntaantallen in Wlz (overige is Zvw)],MATCH(B136,IF(Berekening_patiëntaantal[Doelgroep (zoeksleutel)]=C136,Berekening_patiëntaantal[Digitale zorgtoepassing]),0))</f>
        <v>0</v>
      </c>
      <c r="E136" s="33" t="str" cm="1">
        <f t="array" ref="E136">INDEX(Berekening_patiëntaantal[Direct toepasbaar/extrapolatie/incidentie voor QALY],MATCH(B136,IF(Berekening_patiëntaantal[Doelgroep (zoeksleutel)]=C136,Berekening_patiëntaantal[Digitale zorgtoepassing]),0))</f>
        <v>Huidige toepassing</v>
      </c>
      <c r="F136" s="43" t="s">
        <v>812</v>
      </c>
      <c r="G136" s="33" t="str">
        <f>CONCATENATE(uitkomst_doelgroep[[#This Row],[Digitale zorgtoepassing]],"_",uitkomst_doelgroep[[#This Row],[Doelgroep]],"_",uitkomst_doelgroep[[#This Row],[Uitgangssituatie/effect beleid]])</f>
        <v>AI om diagnoses te stellen (CT)_CT scan_Longkanker_Effect beleid</v>
      </c>
      <c r="H136" s="33">
        <v>2033</v>
      </c>
      <c r="I136" s="32">
        <v>11</v>
      </c>
      <c r="J136" s="406" cm="1">
        <f t="array" ref="J136">INDEX(implementatie[[2023]:[2034]],MATCH(G136, implementatie[Zoeksleutel],0),I136)</f>
        <v>0.99839362838010326</v>
      </c>
      <c r="K136" s="406" cm="1">
        <f t="array" ref="K136">INDEX(implementatie[[2023]:[2034]],MATCH(G136,implementatie[Zoeksleutel],0),I136 + 1)</f>
        <v>0.99924371512375787</v>
      </c>
      <c r="L13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73832.207212337016</v>
      </c>
      <c r="M136" s="398" cm="1">
        <f t="array" ref="M136">J136*INDEX(Berekening_impact[Totaal arbeidsbesparing (€/jaar)],MATCH(B136,IF(Berekening_impact[Doelgroep]=C136,Berekening_impact[Digitale zorgtoepassing]),0))</f>
        <v>233907.74394702609</v>
      </c>
      <c r="N136" s="397" cm="1">
        <f t="array" ref="N136">J136*INDEX(Berekening_impact[Totaal arbeidsbesparing (FTE/jaar)],MATCH(B136,IF(Berekening_impact[Doelgroep]=C136,Berekening_impact[Digitale zorgtoepassing]),0))</f>
        <v>1.2330018044741913</v>
      </c>
      <c r="O136" s="398" cm="1">
        <f t="array" ref="O136">J136*INDEX(Berekening_impact[Overige kostenbesparing (totaal/jaar totaal potentieel)],MATCH(B136,IF(Berekening_impact[Doelgroep]=C136,Berekening_impact[Digitale zorgtoepassing]),0))</f>
        <v>2096626.6195982168</v>
      </c>
      <c r="P136" s="398" cm="1">
        <f t="array" ref="P136">J136*INDEX(Berekening_impact[Opbrengsten door QALY''s],MATCH(B136,IF(Berekening_impact[Doelgroep]=C136,Berekening_impact[Digitale zorgtoepassing]),0))</f>
        <v>0</v>
      </c>
      <c r="Q136" s="398" cm="1">
        <f t="array" ref="Q136">J136*INDEX(Berekening_impact[Jaarlijkse kosten (totaal) - incl. schatting],MATCH(B136,IF(Berekening_impact[Doelgroep]=C136,Berekening_impact[Digitale zorgtoepassing]),0))</f>
        <v>972941.83170620038</v>
      </c>
      <c r="R136" s="398" cm="1">
        <f t="array" ref="R136">(uitkomst_doelgroep[[#This Row],[Implementatiegraad t = T + 1]]-uitkomst_doelgroep[[#This Row],[Implementatiegraad t = T]])*INDEX(Berekening_impact[Initiële investering (totaal) - incl. schatting],MATCH(B136,IF(Berekening_impact[Doelgroep]=C136,Berekening_impact[Digitale zorgtoepassing]),0))</f>
        <v>0</v>
      </c>
      <c r="S136" s="398">
        <f>uitkomst_doelgroep[[#This Row],[Arbeidsbesparing (€)]]*uitkomst_doelgroep[[#This Row],[Percentage van patiëntaantallen in Wlz (overige is Zvw)]]</f>
        <v>0</v>
      </c>
      <c r="T136" s="398">
        <f>uitkomst_doelgroep[[#This Row],[Overige besparingen (€)]]*uitkomst_doelgroep[[#This Row],[Percentage van patiëntaantallen in Wlz (overige is Zvw)]]</f>
        <v>0</v>
      </c>
      <c r="U136" s="398">
        <f>uitkomst_doelgroep[[#This Row],[Kosten (€)]]*uitkomst_doelgroep[[#This Row],[Percentage van patiëntaantallen in Wlz (overige is Zvw)]]</f>
        <v>0</v>
      </c>
      <c r="V136" s="398">
        <f>uitkomst_doelgroep[[#This Row],[Investering (cash flow) (€)]]*uitkomst_doelgroep[[#This Row],[Percentage van patiëntaantallen in Wlz (overige is Zvw)]]</f>
        <v>0</v>
      </c>
    </row>
    <row r="137" spans="1:22" x14ac:dyDescent="0.5">
      <c r="A137" s="33" t="str">
        <f>INDEX(Technologieën[Veld],MATCH(B137,Technologieën[Digitale zorgtoepassing],0))</f>
        <v>Software - Diagnose</v>
      </c>
      <c r="B137" s="33" t="s">
        <v>472</v>
      </c>
      <c r="C137" s="33" t="s">
        <v>465</v>
      </c>
      <c r="D137" s="427" cm="1">
        <f t="array" ref="D137">INDEX(Berekening_patiëntaantal[Percentage van patiëntaantallen in Wlz (overige is Zvw)],MATCH(B137,IF(Berekening_patiëntaantal[Doelgroep (zoeksleutel)]=C137,Berekening_patiëntaantal[Digitale zorgtoepassing]),0))</f>
        <v>0</v>
      </c>
      <c r="E137" s="33" t="str" cm="1">
        <f t="array" ref="E137">INDEX(Berekening_patiëntaantal[Direct toepasbaar/extrapolatie/incidentie voor QALY],MATCH(B137,IF(Berekening_patiëntaantal[Doelgroep (zoeksleutel)]=C137,Berekening_patiëntaantal[Digitale zorgtoepassing]),0))</f>
        <v>Extrapolatie</v>
      </c>
      <c r="F137" s="43" t="s">
        <v>812</v>
      </c>
      <c r="G137" s="33" t="str">
        <f>CONCATENATE(uitkomst_doelgroep[[#This Row],[Digitale zorgtoepassing]],"_",uitkomst_doelgroep[[#This Row],[Doelgroep]],"_",uitkomst_doelgroep[[#This Row],[Uitgangssituatie/effect beleid]])</f>
        <v>AI om diagnoses te stellen (MRI)_MRI onderzoek_Overig_Effect beleid</v>
      </c>
      <c r="H137" s="33">
        <v>2023</v>
      </c>
      <c r="I137" s="32">
        <v>1</v>
      </c>
      <c r="J137" s="406" cm="1">
        <f t="array" ref="J137">INDEX(implementatie[[2023]:[2034]],MATCH(G137, implementatie[Zoeksleutel],0),I137)</f>
        <v>0</v>
      </c>
      <c r="K137" s="406" cm="1">
        <f t="array" ref="K137">INDEX(implementatie[[2023]:[2034]],MATCH(G137,implementatie[Zoeksleutel],0),I137 + 1)</f>
        <v>0</v>
      </c>
      <c r="L13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7" s="398" cm="1">
        <f t="array" ref="M137">J137*INDEX(Berekening_impact[Totaal arbeidsbesparing (€/jaar)],MATCH(B137,IF(Berekening_impact[Doelgroep]=C137,Berekening_impact[Digitale zorgtoepassing]),0))</f>
        <v>0</v>
      </c>
      <c r="N137" s="397" cm="1">
        <f t="array" ref="N137">J137*INDEX(Berekening_impact[Totaal arbeidsbesparing (FTE/jaar)],MATCH(B137,IF(Berekening_impact[Doelgroep]=C137,Berekening_impact[Digitale zorgtoepassing]),0))</f>
        <v>0</v>
      </c>
      <c r="O137" s="398" cm="1">
        <f t="array" ref="O137">J137*INDEX(Berekening_impact[Overige kostenbesparing (totaal/jaar totaal potentieel)],MATCH(B137,IF(Berekening_impact[Doelgroep]=C137,Berekening_impact[Digitale zorgtoepassing]),0))</f>
        <v>0</v>
      </c>
      <c r="P137" s="398" cm="1">
        <f t="array" ref="P137">J137*INDEX(Berekening_impact[Opbrengsten door QALY''s],MATCH(B137,IF(Berekening_impact[Doelgroep]=C137,Berekening_impact[Digitale zorgtoepassing]),0))</f>
        <v>0</v>
      </c>
      <c r="Q137" s="398" cm="1">
        <f t="array" ref="Q137">J137*INDEX(Berekening_impact[Jaarlijkse kosten (totaal) - incl. schatting],MATCH(B137,IF(Berekening_impact[Doelgroep]=C137,Berekening_impact[Digitale zorgtoepassing]),0))</f>
        <v>0</v>
      </c>
      <c r="R137" s="398" cm="1">
        <f t="array" ref="R137">(uitkomst_doelgroep[[#This Row],[Implementatiegraad t = T + 1]]-uitkomst_doelgroep[[#This Row],[Implementatiegraad t = T]])*INDEX(Berekening_impact[Initiële investering (totaal) - incl. schatting],MATCH(B137,IF(Berekening_impact[Doelgroep]=C137,Berekening_impact[Digitale zorgtoepassing]),0))</f>
        <v>0</v>
      </c>
      <c r="S137" s="398">
        <f>uitkomst_doelgroep[[#This Row],[Arbeidsbesparing (€)]]*uitkomst_doelgroep[[#This Row],[Percentage van patiëntaantallen in Wlz (overige is Zvw)]]</f>
        <v>0</v>
      </c>
      <c r="T137" s="398">
        <f>uitkomst_doelgroep[[#This Row],[Overige besparingen (€)]]*uitkomst_doelgroep[[#This Row],[Percentage van patiëntaantallen in Wlz (overige is Zvw)]]</f>
        <v>0</v>
      </c>
      <c r="U137" s="398">
        <f>uitkomst_doelgroep[[#This Row],[Kosten (€)]]*uitkomst_doelgroep[[#This Row],[Percentage van patiëntaantallen in Wlz (overige is Zvw)]]</f>
        <v>0</v>
      </c>
      <c r="V137" s="398">
        <f>uitkomst_doelgroep[[#This Row],[Investering (cash flow) (€)]]*uitkomst_doelgroep[[#This Row],[Percentage van patiëntaantallen in Wlz (overige is Zvw)]]</f>
        <v>0</v>
      </c>
    </row>
    <row r="138" spans="1:22" x14ac:dyDescent="0.5">
      <c r="A138" s="33" t="str">
        <f>INDEX(Technologieën[Veld],MATCH(B138,Technologieën[Digitale zorgtoepassing],0))</f>
        <v>Software - Diagnose</v>
      </c>
      <c r="B138" s="33" t="s">
        <v>472</v>
      </c>
      <c r="C138" s="33" t="s">
        <v>442</v>
      </c>
      <c r="D138" s="427" cm="1">
        <f t="array" ref="D138">INDEX(Berekening_patiëntaantal[Percentage van patiëntaantallen in Wlz (overige is Zvw)],MATCH(B138,IF(Berekening_patiëntaantal[Doelgroep (zoeksleutel)]=C138,Berekening_patiëntaantal[Digitale zorgtoepassing]),0))</f>
        <v>0</v>
      </c>
      <c r="E138" s="33" t="str" cm="1">
        <f t="array" ref="E138">INDEX(Berekening_patiëntaantal[Direct toepasbaar/extrapolatie/incidentie voor QALY],MATCH(B138,IF(Berekening_patiëntaantal[Doelgroep (zoeksleutel)]=C138,Berekening_patiëntaantal[Digitale zorgtoepassing]),0))</f>
        <v>Huidige toepassing</v>
      </c>
      <c r="F138" s="43" t="s">
        <v>812</v>
      </c>
      <c r="G138" s="33" t="str">
        <f>CONCATENATE(uitkomst_doelgroep[[#This Row],[Digitale zorgtoepassing]],"_",uitkomst_doelgroep[[#This Row],[Doelgroep]],"_",uitkomst_doelgroep[[#This Row],[Uitgangssituatie/effect beleid]])</f>
        <v>AI om diagnoses te stellen (MRI)_MRI onderzoek_Prostaatkanker_Effect beleid</v>
      </c>
      <c r="H138" s="33">
        <v>2023</v>
      </c>
      <c r="I138" s="32">
        <v>1</v>
      </c>
      <c r="J138" s="406" cm="1">
        <f t="array" ref="J138">INDEX(implementatie[[2023]:[2034]],MATCH(G138, implementatie[Zoeksleutel],0),I138)</f>
        <v>0.4</v>
      </c>
      <c r="K138" s="406" cm="1">
        <f t="array" ref="K138">INDEX(implementatie[[2023]:[2034]],MATCH(G138,implementatie[Zoeksleutel],0),I138 + 1)</f>
        <v>0.53800000000000003</v>
      </c>
      <c r="L13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10324.800000000001</v>
      </c>
      <c r="M138" s="398" cm="1">
        <f t="array" ref="M138">J138*INDEX(Berekening_impact[Totaal arbeidsbesparing (€/jaar)],MATCH(B138,IF(Berekening_impact[Doelgroep]=C138,Berekening_impact[Digitale zorgtoepassing]),0))</f>
        <v>235417.75262068969</v>
      </c>
      <c r="N138" s="397" cm="1">
        <f t="array" ref="N138">J138*INDEX(Berekening_impact[Totaal arbeidsbesparing (FTE/jaar)],MATCH(B138,IF(Berekening_impact[Doelgroep]=C138,Berekening_impact[Digitale zorgtoepassing]),0))</f>
        <v>1.2409615384615384</v>
      </c>
      <c r="O138" s="398" cm="1">
        <f t="array" ref="O138">J138*INDEX(Berekening_impact[Overige kostenbesparing (totaal/jaar totaal potentieel)],MATCH(B138,IF(Berekening_impact[Doelgroep]=C138,Berekening_impact[Digitale zorgtoepassing]),0))</f>
        <v>0</v>
      </c>
      <c r="P138" s="398" cm="1">
        <f t="array" ref="P138">J138*INDEX(Berekening_impact[Opbrengsten door QALY''s],MATCH(B138,IF(Berekening_impact[Doelgroep]=C138,Berekening_impact[Digitale zorgtoepassing]),0))</f>
        <v>0</v>
      </c>
      <c r="Q138" s="398" cm="1">
        <f t="array" ref="Q138">J138*INDEX(Berekening_impact[Jaarlijkse kosten (totaal) - incl. schatting],MATCH(B138,IF(Berekening_impact[Doelgroep]=C138,Berekening_impact[Digitale zorgtoepassing]),0))</f>
        <v>175521.6</v>
      </c>
      <c r="R138" s="398" cm="1">
        <f t="array" ref="R138">(uitkomst_doelgroep[[#This Row],[Implementatiegraad t = T + 1]]-uitkomst_doelgroep[[#This Row],[Implementatiegraad t = T]])*INDEX(Berekening_impact[Initiële investering (totaal) - incl. schatting],MATCH(B138,IF(Berekening_impact[Doelgroep]=C138,Berekening_impact[Digitale zorgtoepassing]),0))</f>
        <v>135600.00000000003</v>
      </c>
      <c r="S138" s="398">
        <f>uitkomst_doelgroep[[#This Row],[Arbeidsbesparing (€)]]*uitkomst_doelgroep[[#This Row],[Percentage van patiëntaantallen in Wlz (overige is Zvw)]]</f>
        <v>0</v>
      </c>
      <c r="T138" s="398">
        <f>uitkomst_doelgroep[[#This Row],[Overige besparingen (€)]]*uitkomst_doelgroep[[#This Row],[Percentage van patiëntaantallen in Wlz (overige is Zvw)]]</f>
        <v>0</v>
      </c>
      <c r="U138" s="398">
        <f>uitkomst_doelgroep[[#This Row],[Kosten (€)]]*uitkomst_doelgroep[[#This Row],[Percentage van patiëntaantallen in Wlz (overige is Zvw)]]</f>
        <v>0</v>
      </c>
      <c r="V138" s="398">
        <f>uitkomst_doelgroep[[#This Row],[Investering (cash flow) (€)]]*uitkomst_doelgroep[[#This Row],[Percentage van patiëntaantallen in Wlz (overige is Zvw)]]</f>
        <v>0</v>
      </c>
    </row>
    <row r="139" spans="1:22" x14ac:dyDescent="0.5">
      <c r="A139" s="33" t="str">
        <f>INDEX(Technologieën[Veld],MATCH(B139,Technologieën[Digitale zorgtoepassing],0))</f>
        <v>Software - Diagnose</v>
      </c>
      <c r="B139" s="33" t="s">
        <v>472</v>
      </c>
      <c r="C139" s="33" t="s">
        <v>465</v>
      </c>
      <c r="D139" s="427" cm="1">
        <f t="array" ref="D139">INDEX(Berekening_patiëntaantal[Percentage van patiëntaantallen in Wlz (overige is Zvw)],MATCH(B139,IF(Berekening_patiëntaantal[Doelgroep (zoeksleutel)]=C139,Berekening_patiëntaantal[Digitale zorgtoepassing]),0))</f>
        <v>0</v>
      </c>
      <c r="E139" s="33" t="str" cm="1">
        <f t="array" ref="E139">INDEX(Berekening_patiëntaantal[Direct toepasbaar/extrapolatie/incidentie voor QALY],MATCH(B139,IF(Berekening_patiëntaantal[Doelgroep (zoeksleutel)]=C139,Berekening_patiëntaantal[Digitale zorgtoepassing]),0))</f>
        <v>Extrapolatie</v>
      </c>
      <c r="F139" s="43" t="s">
        <v>812</v>
      </c>
      <c r="G139" s="33" t="str">
        <f>CONCATENATE(uitkomst_doelgroep[[#This Row],[Digitale zorgtoepassing]],"_",uitkomst_doelgroep[[#This Row],[Doelgroep]],"_",uitkomst_doelgroep[[#This Row],[Uitgangssituatie/effect beleid]])</f>
        <v>AI om diagnoses te stellen (MRI)_MRI onderzoek_Overig_Effect beleid</v>
      </c>
      <c r="H139" s="33">
        <v>2024</v>
      </c>
      <c r="I139" s="32">
        <v>2</v>
      </c>
      <c r="J139" s="406" cm="1">
        <f t="array" ref="J139">INDEX(implementatie[[2023]:[2034]],MATCH(G139, implementatie[Zoeksleutel],0),I139)</f>
        <v>0</v>
      </c>
      <c r="K139" s="406" cm="1">
        <f t="array" ref="K139">INDEX(implementatie[[2023]:[2034]],MATCH(G139,implementatie[Zoeksleutel],0),I139 + 1)</f>
        <v>0</v>
      </c>
      <c r="L13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9" s="398" cm="1">
        <f t="array" ref="M139">J139*INDEX(Berekening_impact[Totaal arbeidsbesparing (€/jaar)],MATCH(B139,IF(Berekening_impact[Doelgroep]=C139,Berekening_impact[Digitale zorgtoepassing]),0))</f>
        <v>0</v>
      </c>
      <c r="N139" s="397" cm="1">
        <f t="array" ref="N139">J139*INDEX(Berekening_impact[Totaal arbeidsbesparing (FTE/jaar)],MATCH(B139,IF(Berekening_impact[Doelgroep]=C139,Berekening_impact[Digitale zorgtoepassing]),0))</f>
        <v>0</v>
      </c>
      <c r="O139" s="398" cm="1">
        <f t="array" ref="O139">J139*INDEX(Berekening_impact[Overige kostenbesparing (totaal/jaar totaal potentieel)],MATCH(B139,IF(Berekening_impact[Doelgroep]=C139,Berekening_impact[Digitale zorgtoepassing]),0))</f>
        <v>0</v>
      </c>
      <c r="P139" s="398" cm="1">
        <f t="array" ref="P139">J139*INDEX(Berekening_impact[Opbrengsten door QALY''s],MATCH(B139,IF(Berekening_impact[Doelgroep]=C139,Berekening_impact[Digitale zorgtoepassing]),0))</f>
        <v>0</v>
      </c>
      <c r="Q139" s="398" cm="1">
        <f t="array" ref="Q139">J139*INDEX(Berekening_impact[Jaarlijkse kosten (totaal) - incl. schatting],MATCH(B139,IF(Berekening_impact[Doelgroep]=C139,Berekening_impact[Digitale zorgtoepassing]),0))</f>
        <v>0</v>
      </c>
      <c r="R139" s="398" cm="1">
        <f t="array" ref="R139">(uitkomst_doelgroep[[#This Row],[Implementatiegraad t = T + 1]]-uitkomst_doelgroep[[#This Row],[Implementatiegraad t = T]])*INDEX(Berekening_impact[Initiële investering (totaal) - incl. schatting],MATCH(B139,IF(Berekening_impact[Doelgroep]=C139,Berekening_impact[Digitale zorgtoepassing]),0))</f>
        <v>0</v>
      </c>
      <c r="S139" s="398">
        <f>uitkomst_doelgroep[[#This Row],[Arbeidsbesparing (€)]]*uitkomst_doelgroep[[#This Row],[Percentage van patiëntaantallen in Wlz (overige is Zvw)]]</f>
        <v>0</v>
      </c>
      <c r="T139" s="398">
        <f>uitkomst_doelgroep[[#This Row],[Overige besparingen (€)]]*uitkomst_doelgroep[[#This Row],[Percentage van patiëntaantallen in Wlz (overige is Zvw)]]</f>
        <v>0</v>
      </c>
      <c r="U139" s="398">
        <f>uitkomst_doelgroep[[#This Row],[Kosten (€)]]*uitkomst_doelgroep[[#This Row],[Percentage van patiëntaantallen in Wlz (overige is Zvw)]]</f>
        <v>0</v>
      </c>
      <c r="V139" s="398">
        <f>uitkomst_doelgroep[[#This Row],[Investering (cash flow) (€)]]*uitkomst_doelgroep[[#This Row],[Percentage van patiëntaantallen in Wlz (overige is Zvw)]]</f>
        <v>0</v>
      </c>
    </row>
    <row r="140" spans="1:22" x14ac:dyDescent="0.5">
      <c r="A140" s="33" t="str">
        <f>INDEX(Technologieën[Veld],MATCH(B140,Technologieën[Digitale zorgtoepassing],0))</f>
        <v>Software - Diagnose</v>
      </c>
      <c r="B140" s="33" t="s">
        <v>472</v>
      </c>
      <c r="C140" s="33" t="s">
        <v>442</v>
      </c>
      <c r="D140" s="427" cm="1">
        <f t="array" ref="D140">INDEX(Berekening_patiëntaantal[Percentage van patiëntaantallen in Wlz (overige is Zvw)],MATCH(B140,IF(Berekening_patiëntaantal[Doelgroep (zoeksleutel)]=C140,Berekening_patiëntaantal[Digitale zorgtoepassing]),0))</f>
        <v>0</v>
      </c>
      <c r="E140" s="33" t="str" cm="1">
        <f t="array" ref="E140">INDEX(Berekening_patiëntaantal[Direct toepasbaar/extrapolatie/incidentie voor QALY],MATCH(B140,IF(Berekening_patiëntaantal[Doelgroep (zoeksleutel)]=C140,Berekening_patiëntaantal[Digitale zorgtoepassing]),0))</f>
        <v>Huidige toepassing</v>
      </c>
      <c r="F140" s="43" t="s">
        <v>812</v>
      </c>
      <c r="G140" s="33" t="str">
        <f>CONCATENATE(uitkomst_doelgroep[[#This Row],[Digitale zorgtoepassing]],"_",uitkomst_doelgroep[[#This Row],[Doelgroep]],"_",uitkomst_doelgroep[[#This Row],[Uitgangssituatie/effect beleid]])</f>
        <v>AI om diagnoses te stellen (MRI)_MRI onderzoek_Prostaatkanker_Effect beleid</v>
      </c>
      <c r="H140" s="33">
        <v>2024</v>
      </c>
      <c r="I140" s="32">
        <v>2</v>
      </c>
      <c r="J140" s="406" cm="1">
        <f t="array" ref="J140">INDEX(implementatie[[2023]:[2034]],MATCH(G140, implementatie[Zoeksleutel],0),I140)</f>
        <v>0.53800000000000003</v>
      </c>
      <c r="K140" s="406" cm="1">
        <f t="array" ref="K140">INDEX(implementatie[[2023]:[2034]],MATCH(G140,implementatie[Zoeksleutel],0),I140 + 1)</f>
        <v>0.67613800000000002</v>
      </c>
      <c r="L14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13886.856000000002</v>
      </c>
      <c r="M140" s="398" cm="1">
        <f t="array" ref="M140">J140*INDEX(Berekening_impact[Totaal arbeidsbesparing (€/jaar)],MATCH(B140,IF(Berekening_impact[Doelgroep]=C140,Berekening_impact[Digitale zorgtoepassing]),0))</f>
        <v>316636.87727482762</v>
      </c>
      <c r="N140" s="397" cm="1">
        <f t="array" ref="N140">J140*INDEX(Berekening_impact[Totaal arbeidsbesparing (FTE/jaar)],MATCH(B140,IF(Berekening_impact[Doelgroep]=C140,Berekening_impact[Digitale zorgtoepassing]),0))</f>
        <v>1.6690932692307692</v>
      </c>
      <c r="O140" s="398" cm="1">
        <f t="array" ref="O140">J140*INDEX(Berekening_impact[Overige kostenbesparing (totaal/jaar totaal potentieel)],MATCH(B140,IF(Berekening_impact[Doelgroep]=C140,Berekening_impact[Digitale zorgtoepassing]),0))</f>
        <v>0</v>
      </c>
      <c r="P140" s="398" cm="1">
        <f t="array" ref="P140">J140*INDEX(Berekening_impact[Opbrengsten door QALY''s],MATCH(B140,IF(Berekening_impact[Doelgroep]=C140,Berekening_impact[Digitale zorgtoepassing]),0))</f>
        <v>0</v>
      </c>
      <c r="Q140" s="398" cm="1">
        <f t="array" ref="Q140">J140*INDEX(Berekening_impact[Jaarlijkse kosten (totaal) - incl. schatting],MATCH(B140,IF(Berekening_impact[Doelgroep]=C140,Berekening_impact[Digitale zorgtoepassing]),0))</f>
        <v>236076.55200000003</v>
      </c>
      <c r="R140" s="398" cm="1">
        <f t="array" ref="R140">(uitkomst_doelgroep[[#This Row],[Implementatiegraad t = T + 1]]-uitkomst_doelgroep[[#This Row],[Implementatiegraad t = T]])*INDEX(Berekening_impact[Initiële investering (totaal) - incl. schatting],MATCH(B140,IF(Berekening_impact[Doelgroep]=C140,Berekening_impact[Digitale zorgtoepassing]),0))</f>
        <v>135735.59999999998</v>
      </c>
      <c r="S140" s="398">
        <f>uitkomst_doelgroep[[#This Row],[Arbeidsbesparing (€)]]*uitkomst_doelgroep[[#This Row],[Percentage van patiëntaantallen in Wlz (overige is Zvw)]]</f>
        <v>0</v>
      </c>
      <c r="T140" s="398">
        <f>uitkomst_doelgroep[[#This Row],[Overige besparingen (€)]]*uitkomst_doelgroep[[#This Row],[Percentage van patiëntaantallen in Wlz (overige is Zvw)]]</f>
        <v>0</v>
      </c>
      <c r="U140" s="398">
        <f>uitkomst_doelgroep[[#This Row],[Kosten (€)]]*uitkomst_doelgroep[[#This Row],[Percentage van patiëntaantallen in Wlz (overige is Zvw)]]</f>
        <v>0</v>
      </c>
      <c r="V140" s="398">
        <f>uitkomst_doelgroep[[#This Row],[Investering (cash flow) (€)]]*uitkomst_doelgroep[[#This Row],[Percentage van patiëntaantallen in Wlz (overige is Zvw)]]</f>
        <v>0</v>
      </c>
    </row>
    <row r="141" spans="1:22" x14ac:dyDescent="0.5">
      <c r="A141" s="33" t="str">
        <f>INDEX(Technologieën[Veld],MATCH(B141,Technologieën[Digitale zorgtoepassing],0))</f>
        <v>Software - Diagnose</v>
      </c>
      <c r="B141" s="33" t="s">
        <v>472</v>
      </c>
      <c r="C141" s="33" t="s">
        <v>465</v>
      </c>
      <c r="D141" s="427" cm="1">
        <f t="array" ref="D141">INDEX(Berekening_patiëntaantal[Percentage van patiëntaantallen in Wlz (overige is Zvw)],MATCH(B141,IF(Berekening_patiëntaantal[Doelgroep (zoeksleutel)]=C141,Berekening_patiëntaantal[Digitale zorgtoepassing]),0))</f>
        <v>0</v>
      </c>
      <c r="E141" s="33" t="str" cm="1">
        <f t="array" ref="E141">INDEX(Berekening_patiëntaantal[Direct toepasbaar/extrapolatie/incidentie voor QALY],MATCH(B141,IF(Berekening_patiëntaantal[Doelgroep (zoeksleutel)]=C141,Berekening_patiëntaantal[Digitale zorgtoepassing]),0))</f>
        <v>Extrapolatie</v>
      </c>
      <c r="F141" s="43" t="s">
        <v>812</v>
      </c>
      <c r="G141" s="33" t="str">
        <f>CONCATENATE(uitkomst_doelgroep[[#This Row],[Digitale zorgtoepassing]],"_",uitkomst_doelgroep[[#This Row],[Doelgroep]],"_",uitkomst_doelgroep[[#This Row],[Uitgangssituatie/effect beleid]])</f>
        <v>AI om diagnoses te stellen (MRI)_MRI onderzoek_Overig_Effect beleid</v>
      </c>
      <c r="H141" s="33">
        <v>2025</v>
      </c>
      <c r="I141" s="32">
        <v>3</v>
      </c>
      <c r="J141" s="406" cm="1">
        <f t="array" ref="J141">INDEX(implementatie[[2023]:[2034]],MATCH(G141, implementatie[Zoeksleutel],0),I141)</f>
        <v>0</v>
      </c>
      <c r="K141" s="406" cm="1">
        <f t="array" ref="K141">INDEX(implementatie[[2023]:[2034]],MATCH(G141,implementatie[Zoeksleutel],0),I141 + 1)</f>
        <v>0</v>
      </c>
      <c r="L14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41" s="398" cm="1">
        <f t="array" ref="M141">J141*INDEX(Berekening_impact[Totaal arbeidsbesparing (€/jaar)],MATCH(B141,IF(Berekening_impact[Doelgroep]=C141,Berekening_impact[Digitale zorgtoepassing]),0))</f>
        <v>0</v>
      </c>
      <c r="N141" s="397" cm="1">
        <f t="array" ref="N141">J141*INDEX(Berekening_impact[Totaal arbeidsbesparing (FTE/jaar)],MATCH(B141,IF(Berekening_impact[Doelgroep]=C141,Berekening_impact[Digitale zorgtoepassing]),0))</f>
        <v>0</v>
      </c>
      <c r="O141" s="398" cm="1">
        <f t="array" ref="O141">J141*INDEX(Berekening_impact[Overige kostenbesparing (totaal/jaar totaal potentieel)],MATCH(B141,IF(Berekening_impact[Doelgroep]=C141,Berekening_impact[Digitale zorgtoepassing]),0))</f>
        <v>0</v>
      </c>
      <c r="P141" s="398" cm="1">
        <f t="array" ref="P141">J141*INDEX(Berekening_impact[Opbrengsten door QALY''s],MATCH(B141,IF(Berekening_impact[Doelgroep]=C141,Berekening_impact[Digitale zorgtoepassing]),0))</f>
        <v>0</v>
      </c>
      <c r="Q141" s="398" cm="1">
        <f t="array" ref="Q141">J141*INDEX(Berekening_impact[Jaarlijkse kosten (totaal) - incl. schatting],MATCH(B141,IF(Berekening_impact[Doelgroep]=C141,Berekening_impact[Digitale zorgtoepassing]),0))</f>
        <v>0</v>
      </c>
      <c r="R141" s="398" cm="1">
        <f t="array" ref="R141">(uitkomst_doelgroep[[#This Row],[Implementatiegraad t = T + 1]]-uitkomst_doelgroep[[#This Row],[Implementatiegraad t = T]])*INDEX(Berekening_impact[Initiële investering (totaal) - incl. schatting],MATCH(B141,IF(Berekening_impact[Doelgroep]=C141,Berekening_impact[Digitale zorgtoepassing]),0))</f>
        <v>0</v>
      </c>
      <c r="S141" s="398">
        <f>uitkomst_doelgroep[[#This Row],[Arbeidsbesparing (€)]]*uitkomst_doelgroep[[#This Row],[Percentage van patiëntaantallen in Wlz (overige is Zvw)]]</f>
        <v>0</v>
      </c>
      <c r="T141" s="398">
        <f>uitkomst_doelgroep[[#This Row],[Overige besparingen (€)]]*uitkomst_doelgroep[[#This Row],[Percentage van patiëntaantallen in Wlz (overige is Zvw)]]</f>
        <v>0</v>
      </c>
      <c r="U141" s="398">
        <f>uitkomst_doelgroep[[#This Row],[Kosten (€)]]*uitkomst_doelgroep[[#This Row],[Percentage van patiëntaantallen in Wlz (overige is Zvw)]]</f>
        <v>0</v>
      </c>
      <c r="V141" s="398">
        <f>uitkomst_doelgroep[[#This Row],[Investering (cash flow) (€)]]*uitkomst_doelgroep[[#This Row],[Percentage van patiëntaantallen in Wlz (overige is Zvw)]]</f>
        <v>0</v>
      </c>
    </row>
    <row r="142" spans="1:22" x14ac:dyDescent="0.5">
      <c r="A142" s="33" t="str">
        <f>INDEX(Technologieën[Veld],MATCH(B142,Technologieën[Digitale zorgtoepassing],0))</f>
        <v>Software - Diagnose</v>
      </c>
      <c r="B142" s="33" t="s">
        <v>472</v>
      </c>
      <c r="C142" s="33" t="s">
        <v>442</v>
      </c>
      <c r="D142" s="427" cm="1">
        <f t="array" ref="D142">INDEX(Berekening_patiëntaantal[Percentage van patiëntaantallen in Wlz (overige is Zvw)],MATCH(B142,IF(Berekening_patiëntaantal[Doelgroep (zoeksleutel)]=C142,Berekening_patiëntaantal[Digitale zorgtoepassing]),0))</f>
        <v>0</v>
      </c>
      <c r="E142" s="33" t="str" cm="1">
        <f t="array" ref="E142">INDEX(Berekening_patiëntaantal[Direct toepasbaar/extrapolatie/incidentie voor QALY],MATCH(B142,IF(Berekening_patiëntaantal[Doelgroep (zoeksleutel)]=C142,Berekening_patiëntaantal[Digitale zorgtoepassing]),0))</f>
        <v>Huidige toepassing</v>
      </c>
      <c r="F142" s="43" t="s">
        <v>812</v>
      </c>
      <c r="G142" s="33" t="str">
        <f>CONCATENATE(uitkomst_doelgroep[[#This Row],[Digitale zorgtoepassing]],"_",uitkomst_doelgroep[[#This Row],[Doelgroep]],"_",uitkomst_doelgroep[[#This Row],[Uitgangssituatie/effect beleid]])</f>
        <v>AI om diagnoses te stellen (MRI)_MRI onderzoek_Prostaatkanker_Effect beleid</v>
      </c>
      <c r="H142" s="33">
        <v>2025</v>
      </c>
      <c r="I142" s="32">
        <v>3</v>
      </c>
      <c r="J142" s="406" cm="1">
        <f t="array" ref="J142">INDEX(implementatie[[2023]:[2034]],MATCH(G142, implementatie[Zoeksleutel],0),I142)</f>
        <v>0.67613800000000002</v>
      </c>
      <c r="K142" s="406" cm="1">
        <f t="array" ref="K142">INDEX(implementatie[[2023]:[2034]],MATCH(G142,implementatie[Zoeksleutel],0),I142 + 1)</f>
        <v>0.79534156247800003</v>
      </c>
      <c r="L14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17452.474055999999</v>
      </c>
      <c r="M142" s="398" cm="1">
        <f t="array" ref="M142">J142*INDEX(Berekening_impact[Totaal arbeidsbesparing (€/jaar)],MATCH(B142,IF(Berekening_impact[Doelgroep]=C142,Berekening_impact[Digitale zorgtoepassing]),0))</f>
        <v>397937.22105361969</v>
      </c>
      <c r="N142" s="397" cm="1">
        <f t="array" ref="N142">J142*INDEX(Berekening_impact[Totaal arbeidsbesparing (FTE/jaar)],MATCH(B142,IF(Berekening_impact[Doelgroep]=C142,Berekening_impact[Digitale zorgtoepassing]),0))</f>
        <v>2.0976531317307692</v>
      </c>
      <c r="O142" s="398" cm="1">
        <f t="array" ref="O142">J142*INDEX(Berekening_impact[Overige kostenbesparing (totaal/jaar totaal potentieel)],MATCH(B142,IF(Berekening_impact[Doelgroep]=C142,Berekening_impact[Digitale zorgtoepassing]),0))</f>
        <v>0</v>
      </c>
      <c r="P142" s="398" cm="1">
        <f t="array" ref="P142">J142*INDEX(Berekening_impact[Opbrengsten door QALY''s],MATCH(B142,IF(Berekening_impact[Doelgroep]=C142,Berekening_impact[Digitale zorgtoepassing]),0))</f>
        <v>0</v>
      </c>
      <c r="Q142" s="398" cm="1">
        <f t="array" ref="Q142">J142*INDEX(Berekening_impact[Jaarlijkse kosten (totaal) - incl. schatting],MATCH(B142,IF(Berekening_impact[Doelgroep]=C142,Berekening_impact[Digitale zorgtoepassing]),0))</f>
        <v>296692.05895199999</v>
      </c>
      <c r="R142" s="398" cm="1">
        <f t="array" ref="R142">(uitkomst_doelgroep[[#This Row],[Implementatiegraad t = T + 1]]-uitkomst_doelgroep[[#This Row],[Implementatiegraad t = T]])*INDEX(Berekening_impact[Initiële investering (totaal) - incl. schatting],MATCH(B142,IF(Berekening_impact[Doelgroep]=C142,Berekening_impact[Digitale zorgtoepassing]),0))</f>
        <v>117130.45704360002</v>
      </c>
      <c r="S142" s="398">
        <f>uitkomst_doelgroep[[#This Row],[Arbeidsbesparing (€)]]*uitkomst_doelgroep[[#This Row],[Percentage van patiëntaantallen in Wlz (overige is Zvw)]]</f>
        <v>0</v>
      </c>
      <c r="T142" s="398">
        <f>uitkomst_doelgroep[[#This Row],[Overige besparingen (€)]]*uitkomst_doelgroep[[#This Row],[Percentage van patiëntaantallen in Wlz (overige is Zvw)]]</f>
        <v>0</v>
      </c>
      <c r="U142" s="398">
        <f>uitkomst_doelgroep[[#This Row],[Kosten (€)]]*uitkomst_doelgroep[[#This Row],[Percentage van patiëntaantallen in Wlz (overige is Zvw)]]</f>
        <v>0</v>
      </c>
      <c r="V142" s="398">
        <f>uitkomst_doelgroep[[#This Row],[Investering (cash flow) (€)]]*uitkomst_doelgroep[[#This Row],[Percentage van patiëntaantallen in Wlz (overige is Zvw)]]</f>
        <v>0</v>
      </c>
    </row>
    <row r="143" spans="1:22" x14ac:dyDescent="0.5">
      <c r="A143" s="33" t="str">
        <f>INDEX(Technologieën[Veld],MATCH(B143,Technologieën[Digitale zorgtoepassing],0))</f>
        <v>Software - Diagnose</v>
      </c>
      <c r="B143" s="33" t="s">
        <v>472</v>
      </c>
      <c r="C143" s="33" t="s">
        <v>465</v>
      </c>
      <c r="D143" s="427" cm="1">
        <f t="array" ref="D143">INDEX(Berekening_patiëntaantal[Percentage van patiëntaantallen in Wlz (overige is Zvw)],MATCH(B143,IF(Berekening_patiëntaantal[Doelgroep (zoeksleutel)]=C143,Berekening_patiëntaantal[Digitale zorgtoepassing]),0))</f>
        <v>0</v>
      </c>
      <c r="E143" s="33" t="str" cm="1">
        <f t="array" ref="E143">INDEX(Berekening_patiëntaantal[Direct toepasbaar/extrapolatie/incidentie voor QALY],MATCH(B143,IF(Berekening_patiëntaantal[Doelgroep (zoeksleutel)]=C143,Berekening_patiëntaantal[Digitale zorgtoepassing]),0))</f>
        <v>Extrapolatie</v>
      </c>
      <c r="F143" s="43" t="s">
        <v>812</v>
      </c>
      <c r="G143" s="33" t="str">
        <f>CONCATENATE(uitkomst_doelgroep[[#This Row],[Digitale zorgtoepassing]],"_",uitkomst_doelgroep[[#This Row],[Doelgroep]],"_",uitkomst_doelgroep[[#This Row],[Uitgangssituatie/effect beleid]])</f>
        <v>AI om diagnoses te stellen (MRI)_MRI onderzoek_Overig_Effect beleid</v>
      </c>
      <c r="H143" s="33">
        <v>2026</v>
      </c>
      <c r="I143" s="32">
        <v>4</v>
      </c>
      <c r="J143" s="406" cm="1">
        <f t="array" ref="J143">INDEX(implementatie[[2023]:[2034]],MATCH(G143, implementatie[Zoeksleutel],0),I143)</f>
        <v>0</v>
      </c>
      <c r="K143" s="406" cm="1">
        <f t="array" ref="K143">INDEX(implementatie[[2023]:[2034]],MATCH(G143,implementatie[Zoeksleutel],0),I143 + 1)</f>
        <v>0.03</v>
      </c>
      <c r="L14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43" s="398" cm="1">
        <f t="array" ref="M143">J143*INDEX(Berekening_impact[Totaal arbeidsbesparing (€/jaar)],MATCH(B143,IF(Berekening_impact[Doelgroep]=C143,Berekening_impact[Digitale zorgtoepassing]),0))</f>
        <v>0</v>
      </c>
      <c r="N143" s="397" cm="1">
        <f t="array" ref="N143">J143*INDEX(Berekening_impact[Totaal arbeidsbesparing (FTE/jaar)],MATCH(B143,IF(Berekening_impact[Doelgroep]=C143,Berekening_impact[Digitale zorgtoepassing]),0))</f>
        <v>0</v>
      </c>
      <c r="O143" s="398" cm="1">
        <f t="array" ref="O143">J143*INDEX(Berekening_impact[Overige kostenbesparing (totaal/jaar totaal potentieel)],MATCH(B143,IF(Berekening_impact[Doelgroep]=C143,Berekening_impact[Digitale zorgtoepassing]),0))</f>
        <v>0</v>
      </c>
      <c r="P143" s="398" cm="1">
        <f t="array" ref="P143">J143*INDEX(Berekening_impact[Opbrengsten door QALY''s],MATCH(B143,IF(Berekening_impact[Doelgroep]=C143,Berekening_impact[Digitale zorgtoepassing]),0))</f>
        <v>0</v>
      </c>
      <c r="Q143" s="398" cm="1">
        <f t="array" ref="Q143">J143*INDEX(Berekening_impact[Jaarlijkse kosten (totaal) - incl. schatting],MATCH(B143,IF(Berekening_impact[Doelgroep]=C143,Berekening_impact[Digitale zorgtoepassing]),0))</f>
        <v>0</v>
      </c>
      <c r="R143" s="398" cm="1">
        <f t="array" ref="R143">(uitkomst_doelgroep[[#This Row],[Implementatiegraad t = T + 1]]-uitkomst_doelgroep[[#This Row],[Implementatiegraad t = T]])*INDEX(Berekening_impact[Initiële investering (totaal) - incl. schatting],MATCH(B143,IF(Berekening_impact[Doelgroep]=C143,Berekening_impact[Digitale zorgtoepassing]),0))</f>
        <v>0</v>
      </c>
      <c r="S143" s="398">
        <f>uitkomst_doelgroep[[#This Row],[Arbeidsbesparing (€)]]*uitkomst_doelgroep[[#This Row],[Percentage van patiëntaantallen in Wlz (overige is Zvw)]]</f>
        <v>0</v>
      </c>
      <c r="T143" s="398">
        <f>uitkomst_doelgroep[[#This Row],[Overige besparingen (€)]]*uitkomst_doelgroep[[#This Row],[Percentage van patiëntaantallen in Wlz (overige is Zvw)]]</f>
        <v>0</v>
      </c>
      <c r="U143" s="398">
        <f>uitkomst_doelgroep[[#This Row],[Kosten (€)]]*uitkomst_doelgroep[[#This Row],[Percentage van patiëntaantallen in Wlz (overige is Zvw)]]</f>
        <v>0</v>
      </c>
      <c r="V143" s="398">
        <f>uitkomst_doelgroep[[#This Row],[Investering (cash flow) (€)]]*uitkomst_doelgroep[[#This Row],[Percentage van patiëntaantallen in Wlz (overige is Zvw)]]</f>
        <v>0</v>
      </c>
    </row>
    <row r="144" spans="1:22" x14ac:dyDescent="0.5">
      <c r="A144" s="33" t="str">
        <f>INDEX(Technologieën[Veld],MATCH(B144,Technologieën[Digitale zorgtoepassing],0))</f>
        <v>Software - Diagnose</v>
      </c>
      <c r="B144" s="33" t="s">
        <v>472</v>
      </c>
      <c r="C144" s="33" t="s">
        <v>442</v>
      </c>
      <c r="D144" s="427" cm="1">
        <f t="array" ref="D144">INDEX(Berekening_patiëntaantal[Percentage van patiëntaantallen in Wlz (overige is Zvw)],MATCH(B144,IF(Berekening_patiëntaantal[Doelgroep (zoeksleutel)]=C144,Berekening_patiëntaantal[Digitale zorgtoepassing]),0))</f>
        <v>0</v>
      </c>
      <c r="E144" s="33" t="str" cm="1">
        <f t="array" ref="E144">INDEX(Berekening_patiëntaantal[Direct toepasbaar/extrapolatie/incidentie voor QALY],MATCH(B144,IF(Berekening_patiëntaantal[Doelgroep (zoeksleutel)]=C144,Berekening_patiëntaantal[Digitale zorgtoepassing]),0))</f>
        <v>Huidige toepassing</v>
      </c>
      <c r="F144" s="43" t="s">
        <v>812</v>
      </c>
      <c r="G144" s="33" t="str">
        <f>CONCATENATE(uitkomst_doelgroep[[#This Row],[Digitale zorgtoepassing]],"_",uitkomst_doelgroep[[#This Row],[Doelgroep]],"_",uitkomst_doelgroep[[#This Row],[Uitgangssituatie/effect beleid]])</f>
        <v>AI om diagnoses te stellen (MRI)_MRI onderzoek_Prostaatkanker_Effect beleid</v>
      </c>
      <c r="H144" s="33">
        <v>2026</v>
      </c>
      <c r="I144" s="32">
        <v>4</v>
      </c>
      <c r="J144" s="406" cm="1">
        <f t="array" ref="J144">INDEX(implementatie[[2023]:[2034]],MATCH(G144, implementatie[Zoeksleutel],0),I144)</f>
        <v>0.79534156247800003</v>
      </c>
      <c r="K144" s="406" cm="1">
        <f t="array" ref="K144">INDEX(implementatie[[2023]:[2034]],MATCH(G144,implementatie[Zoeksleutel],0),I144 + 1)</f>
        <v>0.88286799634018676</v>
      </c>
      <c r="L14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20529.356410682136</v>
      </c>
      <c r="M144" s="398" cm="1">
        <f t="array" ref="M144">J144*INDEX(Berekening_impact[Totaal arbeidsbesparing (€/jaar)],MATCH(B144,IF(Berekening_impact[Doelgroep]=C144,Berekening_impact[Digitale zorgtoepassing]),0))</f>
        <v>468093.80801099649</v>
      </c>
      <c r="N144" s="397" cm="1">
        <f t="array" ref="N144">J144*INDEX(Berekening_impact[Totaal arbeidsbesparing (FTE/jaar)],MATCH(B144,IF(Berekening_impact[Doelgroep]=C144,Berekening_impact[Digitale zorgtoepassing]),0))</f>
        <v>2.4674707224377568</v>
      </c>
      <c r="O144" s="398" cm="1">
        <f t="array" ref="O144">J144*INDEX(Berekening_impact[Overige kostenbesparing (totaal/jaar totaal potentieel)],MATCH(B144,IF(Berekening_impact[Doelgroep]=C144,Berekening_impact[Digitale zorgtoepassing]),0))</f>
        <v>0</v>
      </c>
      <c r="P144" s="398" cm="1">
        <f t="array" ref="P144">J144*INDEX(Berekening_impact[Opbrengsten door QALY''s],MATCH(B144,IF(Berekening_impact[Doelgroep]=C144,Berekening_impact[Digitale zorgtoepassing]),0))</f>
        <v>0</v>
      </c>
      <c r="Q144" s="398" cm="1">
        <f t="array" ref="Q144">J144*INDEX(Berekening_impact[Jaarlijkse kosten (totaal) - incl. schatting],MATCH(B144,IF(Berekening_impact[Doelgroep]=C144,Berekening_impact[Digitale zorgtoepassing]),0))</f>
        <v>348999.05898159632</v>
      </c>
      <c r="R144" s="398" cm="1">
        <f t="array" ref="R144">(uitkomst_doelgroep[[#This Row],[Implementatiegraad t = T + 1]]-uitkomst_doelgroep[[#This Row],[Implementatiegraad t = T]])*INDEX(Berekening_impact[Initiële investering (totaal) - incl. schatting],MATCH(B144,IF(Berekening_impact[Doelgroep]=C144,Berekening_impact[Digitale zorgtoepassing]),0))</f>
        <v>86004.235012409568</v>
      </c>
      <c r="S144" s="398">
        <f>uitkomst_doelgroep[[#This Row],[Arbeidsbesparing (€)]]*uitkomst_doelgroep[[#This Row],[Percentage van patiëntaantallen in Wlz (overige is Zvw)]]</f>
        <v>0</v>
      </c>
      <c r="T144" s="398">
        <f>uitkomst_doelgroep[[#This Row],[Overige besparingen (€)]]*uitkomst_doelgroep[[#This Row],[Percentage van patiëntaantallen in Wlz (overige is Zvw)]]</f>
        <v>0</v>
      </c>
      <c r="U144" s="398">
        <f>uitkomst_doelgroep[[#This Row],[Kosten (€)]]*uitkomst_doelgroep[[#This Row],[Percentage van patiëntaantallen in Wlz (overige is Zvw)]]</f>
        <v>0</v>
      </c>
      <c r="V144" s="398">
        <f>uitkomst_doelgroep[[#This Row],[Investering (cash flow) (€)]]*uitkomst_doelgroep[[#This Row],[Percentage van patiëntaantallen in Wlz (overige is Zvw)]]</f>
        <v>0</v>
      </c>
    </row>
    <row r="145" spans="1:22" x14ac:dyDescent="0.5">
      <c r="A145" s="33" t="str">
        <f>INDEX(Technologieën[Veld],MATCH(B145,Technologieën[Digitale zorgtoepassing],0))</f>
        <v>Software - Diagnose</v>
      </c>
      <c r="B145" s="33" t="s">
        <v>472</v>
      </c>
      <c r="C145" s="33" t="s">
        <v>465</v>
      </c>
      <c r="D145" s="427" cm="1">
        <f t="array" ref="D145">INDEX(Berekening_patiëntaantal[Percentage van patiëntaantallen in Wlz (overige is Zvw)],MATCH(B145,IF(Berekening_patiëntaantal[Doelgroep (zoeksleutel)]=C145,Berekening_patiëntaantal[Digitale zorgtoepassing]),0))</f>
        <v>0</v>
      </c>
      <c r="E145" s="33" t="str" cm="1">
        <f t="array" ref="E145">INDEX(Berekening_patiëntaantal[Direct toepasbaar/extrapolatie/incidentie voor QALY],MATCH(B145,IF(Berekening_patiëntaantal[Doelgroep (zoeksleutel)]=C145,Berekening_patiëntaantal[Digitale zorgtoepassing]),0))</f>
        <v>Extrapolatie</v>
      </c>
      <c r="F145" s="43" t="s">
        <v>812</v>
      </c>
      <c r="G145" s="33" t="str">
        <f>CONCATENATE(uitkomst_doelgroep[[#This Row],[Digitale zorgtoepassing]],"_",uitkomst_doelgroep[[#This Row],[Doelgroep]],"_",uitkomst_doelgroep[[#This Row],[Uitgangssituatie/effect beleid]])</f>
        <v>AI om diagnoses te stellen (MRI)_MRI onderzoek_Overig_Effect beleid</v>
      </c>
      <c r="H145" s="33">
        <v>2027</v>
      </c>
      <c r="I145" s="32">
        <v>5</v>
      </c>
      <c r="J145" s="406" cm="1">
        <f t="array" ref="J145">INDEX(implementatie[[2023]:[2034]],MATCH(G145, implementatie[Zoeksleutel],0),I145)</f>
        <v>0.03</v>
      </c>
      <c r="K145" s="406" cm="1">
        <f t="array" ref="K145">INDEX(implementatie[[2023]:[2034]],MATCH(G145,implementatie[Zoeksleutel],0),I145 + 1)</f>
        <v>7.3649999999999993E-2</v>
      </c>
      <c r="L14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29225.64</v>
      </c>
      <c r="M145" s="398" cm="1">
        <f t="array" ref="M145">J145*INDEX(Berekening_impact[Totaal arbeidsbesparing (€/jaar)],MATCH(B145,IF(Berekening_impact[Doelgroep]=C145,Berekening_impact[Digitale zorgtoepassing]),0))</f>
        <v>666379.44441551738</v>
      </c>
      <c r="N145" s="397" cm="1">
        <f t="array" ref="N145">J145*INDEX(Berekening_impact[Totaal arbeidsbesparing (FTE/jaar)],MATCH(B145,IF(Berekening_impact[Doelgroep]=C145,Berekening_impact[Digitale zorgtoepassing]),0))</f>
        <v>3.5126971153846158</v>
      </c>
      <c r="O145" s="398" cm="1">
        <f t="array" ref="O145">J145*INDEX(Berekening_impact[Overige kostenbesparing (totaal/jaar totaal potentieel)],MATCH(B145,IF(Berekening_impact[Doelgroep]=C145,Berekening_impact[Digitale zorgtoepassing]),0))</f>
        <v>0</v>
      </c>
      <c r="P145" s="398" cm="1">
        <f t="array" ref="P145">J145*INDEX(Berekening_impact[Opbrengsten door QALY''s],MATCH(B145,IF(Berekening_impact[Doelgroep]=C145,Berekening_impact[Digitale zorgtoepassing]),0))</f>
        <v>0</v>
      </c>
      <c r="Q145" s="398" cm="1">
        <f t="array" ref="Q145">J145*INDEX(Berekening_impact[Jaarlijkse kosten (totaal) - incl. schatting],MATCH(B145,IF(Berekening_impact[Doelgroep]=C145,Berekening_impact[Digitale zorgtoepassing]),0))</f>
        <v>496835.88</v>
      </c>
      <c r="R145" s="398" cm="1">
        <f t="array" ref="R145">(uitkomst_doelgroep[[#This Row],[Implementatiegraad t = T + 1]]-uitkomst_doelgroep[[#This Row],[Implementatiegraad t = T]])*INDEX(Berekening_impact[Initiële investering (totaal) - incl. schatting],MATCH(B145,IF(Berekening_impact[Doelgroep]=C145,Berekening_impact[Digitale zorgtoepassing]),0))</f>
        <v>0</v>
      </c>
      <c r="S145" s="398">
        <f>uitkomst_doelgroep[[#This Row],[Arbeidsbesparing (€)]]*uitkomst_doelgroep[[#This Row],[Percentage van patiëntaantallen in Wlz (overige is Zvw)]]</f>
        <v>0</v>
      </c>
      <c r="T145" s="398">
        <f>uitkomst_doelgroep[[#This Row],[Overige besparingen (€)]]*uitkomst_doelgroep[[#This Row],[Percentage van patiëntaantallen in Wlz (overige is Zvw)]]</f>
        <v>0</v>
      </c>
      <c r="U145" s="398">
        <f>uitkomst_doelgroep[[#This Row],[Kosten (€)]]*uitkomst_doelgroep[[#This Row],[Percentage van patiëntaantallen in Wlz (overige is Zvw)]]</f>
        <v>0</v>
      </c>
      <c r="V145" s="398">
        <f>uitkomst_doelgroep[[#This Row],[Investering (cash flow) (€)]]*uitkomst_doelgroep[[#This Row],[Percentage van patiëntaantallen in Wlz (overige is Zvw)]]</f>
        <v>0</v>
      </c>
    </row>
    <row r="146" spans="1:22" x14ac:dyDescent="0.5">
      <c r="A146" s="33" t="str">
        <f>INDEX(Technologieën[Veld],MATCH(B146,Technologieën[Digitale zorgtoepassing],0))</f>
        <v>Software - Diagnose</v>
      </c>
      <c r="B146" s="33" t="s">
        <v>472</v>
      </c>
      <c r="C146" s="33" t="s">
        <v>442</v>
      </c>
      <c r="D146" s="427" cm="1">
        <f t="array" ref="D146">INDEX(Berekening_patiëntaantal[Percentage van patiëntaantallen in Wlz (overige is Zvw)],MATCH(B146,IF(Berekening_patiëntaantal[Doelgroep (zoeksleutel)]=C146,Berekening_patiëntaantal[Digitale zorgtoepassing]),0))</f>
        <v>0</v>
      </c>
      <c r="E146" s="33" t="str" cm="1">
        <f t="array" ref="E146">INDEX(Berekening_patiëntaantal[Direct toepasbaar/extrapolatie/incidentie voor QALY],MATCH(B146,IF(Berekening_patiëntaantal[Doelgroep (zoeksleutel)]=C146,Berekening_patiëntaantal[Digitale zorgtoepassing]),0))</f>
        <v>Huidige toepassing</v>
      </c>
      <c r="F146" s="43" t="s">
        <v>812</v>
      </c>
      <c r="G146" s="33" t="str">
        <f>CONCATENATE(uitkomst_doelgroep[[#This Row],[Digitale zorgtoepassing]],"_",uitkomst_doelgroep[[#This Row],[Doelgroep]],"_",uitkomst_doelgroep[[#This Row],[Uitgangssituatie/effect beleid]])</f>
        <v>AI om diagnoses te stellen (MRI)_MRI onderzoek_Prostaatkanker_Effect beleid</v>
      </c>
      <c r="H146" s="33">
        <v>2027</v>
      </c>
      <c r="I146" s="32">
        <v>5</v>
      </c>
      <c r="J146" s="406" cm="1">
        <f t="array" ref="J146">INDEX(implementatie[[2023]:[2034]],MATCH(G146, implementatie[Zoeksleutel],0),I146)</f>
        <v>0.88286799634018676</v>
      </c>
      <c r="K146" s="406" cm="1">
        <f t="array" ref="K146">INDEX(implementatie[[2023]:[2034]],MATCH(G146,implementatie[Zoeksleutel],0),I146 + 1)</f>
        <v>0.93808800513920654</v>
      </c>
      <c r="L14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22788.588721532902</v>
      </c>
      <c r="M146" s="398" cm="1">
        <f t="array" ref="M146">J146*INDEX(Berekening_impact[Totaal arbeidsbesparing (€/jaar)],MATCH(B146,IF(Berekening_impact[Doelgroep]=C146,Berekening_impact[Digitale zorgtoepassing]),0))</f>
        <v>519606.9988978451</v>
      </c>
      <c r="N146" s="397" cm="1">
        <f t="array" ref="N146">J146*INDEX(Berekening_impact[Totaal arbeidsbesparing (FTE/jaar)],MATCH(B146,IF(Berekening_impact[Doelgroep]=C146,Berekening_impact[Digitale zorgtoepassing]),0))</f>
        <v>2.7390130674919351</v>
      </c>
      <c r="O146" s="398" cm="1">
        <f t="array" ref="O146">J146*INDEX(Berekening_impact[Overige kostenbesparing (totaal/jaar totaal potentieel)],MATCH(B146,IF(Berekening_impact[Doelgroep]=C146,Berekening_impact[Digitale zorgtoepassing]),0))</f>
        <v>0</v>
      </c>
      <c r="P146" s="398" cm="1">
        <f t="array" ref="P146">J146*INDEX(Berekening_impact[Opbrengsten door QALY''s],MATCH(B146,IF(Berekening_impact[Doelgroep]=C146,Berekening_impact[Digitale zorgtoepassing]),0))</f>
        <v>0</v>
      </c>
      <c r="Q146" s="398" cm="1">
        <f t="array" ref="Q146">J146*INDEX(Berekening_impact[Jaarlijkse kosten (totaal) - incl. schatting],MATCH(B146,IF(Berekening_impact[Doelgroep]=C146,Berekening_impact[Digitale zorgtoepassing]),0))</f>
        <v>387406.00826605933</v>
      </c>
      <c r="R146" s="398" cm="1">
        <f t="array" ref="R146">(uitkomst_doelgroep[[#This Row],[Implementatiegraad t = T + 1]]-uitkomst_doelgroep[[#This Row],[Implementatiegraad t = T]])*INDEX(Berekening_impact[Initiële investering (totaal) - incl. schatting],MATCH(B146,IF(Berekening_impact[Doelgroep]=C146,Berekening_impact[Digitale zorgtoepassing]),0))</f>
        <v>54259.660819906399</v>
      </c>
      <c r="S146" s="398">
        <f>uitkomst_doelgroep[[#This Row],[Arbeidsbesparing (€)]]*uitkomst_doelgroep[[#This Row],[Percentage van patiëntaantallen in Wlz (overige is Zvw)]]</f>
        <v>0</v>
      </c>
      <c r="T146" s="398">
        <f>uitkomst_doelgroep[[#This Row],[Overige besparingen (€)]]*uitkomst_doelgroep[[#This Row],[Percentage van patiëntaantallen in Wlz (overige is Zvw)]]</f>
        <v>0</v>
      </c>
      <c r="U146" s="398">
        <f>uitkomst_doelgroep[[#This Row],[Kosten (€)]]*uitkomst_doelgroep[[#This Row],[Percentage van patiëntaantallen in Wlz (overige is Zvw)]]</f>
        <v>0</v>
      </c>
      <c r="V146" s="398">
        <f>uitkomst_doelgroep[[#This Row],[Investering (cash flow) (€)]]*uitkomst_doelgroep[[#This Row],[Percentage van patiëntaantallen in Wlz (overige is Zvw)]]</f>
        <v>0</v>
      </c>
    </row>
    <row r="147" spans="1:22" x14ac:dyDescent="0.5">
      <c r="A147" s="33" t="str">
        <f>INDEX(Technologieën[Veld],MATCH(B147,Technologieën[Digitale zorgtoepassing],0))</f>
        <v>Software - Diagnose</v>
      </c>
      <c r="B147" s="33" t="s">
        <v>472</v>
      </c>
      <c r="C147" s="33" t="s">
        <v>465</v>
      </c>
      <c r="D147" s="427" cm="1">
        <f t="array" ref="D147">INDEX(Berekening_patiëntaantal[Percentage van patiëntaantallen in Wlz (overige is Zvw)],MATCH(B147,IF(Berekening_patiëntaantal[Doelgroep (zoeksleutel)]=C147,Berekening_patiëntaantal[Digitale zorgtoepassing]),0))</f>
        <v>0</v>
      </c>
      <c r="E147" s="33" t="str" cm="1">
        <f t="array" ref="E147">INDEX(Berekening_patiëntaantal[Direct toepasbaar/extrapolatie/incidentie voor QALY],MATCH(B147,IF(Berekening_patiëntaantal[Doelgroep (zoeksleutel)]=C147,Berekening_patiëntaantal[Digitale zorgtoepassing]),0))</f>
        <v>Extrapolatie</v>
      </c>
      <c r="F147" s="43" t="s">
        <v>812</v>
      </c>
      <c r="G147" s="33" t="str">
        <f>CONCATENATE(uitkomst_doelgroep[[#This Row],[Digitale zorgtoepassing]],"_",uitkomst_doelgroep[[#This Row],[Doelgroep]],"_",uitkomst_doelgroep[[#This Row],[Uitgangssituatie/effect beleid]])</f>
        <v>AI om diagnoses te stellen (MRI)_MRI onderzoek_Overig_Effect beleid</v>
      </c>
      <c r="H147" s="33">
        <v>2028</v>
      </c>
      <c r="I147" s="32">
        <v>6</v>
      </c>
      <c r="J147" s="406" cm="1">
        <f t="array" ref="J147">INDEX(implementatie[[2023]:[2034]],MATCH(G147, implementatie[Zoeksleutel],0),I147)</f>
        <v>7.3649999999999993E-2</v>
      </c>
      <c r="K147" s="406" cm="1">
        <f t="array" ref="K147">INDEX(implementatie[[2023]:[2034]],MATCH(G147,implementatie[Zoeksleutel],0),I147 + 1)</f>
        <v>0.13555333874999997</v>
      </c>
      <c r="L14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71748.946199999991</v>
      </c>
      <c r="M147" s="398" cm="1">
        <f t="array" ref="M147">J147*INDEX(Berekening_impact[Totaal arbeidsbesparing (€/jaar)],MATCH(B147,IF(Berekening_impact[Doelgroep]=C147,Berekening_impact[Digitale zorgtoepassing]),0))</f>
        <v>1635961.5360400951</v>
      </c>
      <c r="N147" s="397" cm="1">
        <f t="array" ref="N147">J147*INDEX(Berekening_impact[Totaal arbeidsbesparing (FTE/jaar)],MATCH(B147,IF(Berekening_impact[Doelgroep]=C147,Berekening_impact[Digitale zorgtoepassing]),0))</f>
        <v>8.6236714182692307</v>
      </c>
      <c r="O147" s="398" cm="1">
        <f t="array" ref="O147">J147*INDEX(Berekening_impact[Overige kostenbesparing (totaal/jaar totaal potentieel)],MATCH(B147,IF(Berekening_impact[Doelgroep]=C147,Berekening_impact[Digitale zorgtoepassing]),0))</f>
        <v>0</v>
      </c>
      <c r="P147" s="398" cm="1">
        <f t="array" ref="P147">J147*INDEX(Berekening_impact[Opbrengsten door QALY''s],MATCH(B147,IF(Berekening_impact[Doelgroep]=C147,Berekening_impact[Digitale zorgtoepassing]),0))</f>
        <v>0</v>
      </c>
      <c r="Q147" s="398" cm="1">
        <f t="array" ref="Q147">J147*INDEX(Berekening_impact[Jaarlijkse kosten (totaal) - incl. schatting],MATCH(B147,IF(Berekening_impact[Doelgroep]=C147,Berekening_impact[Digitale zorgtoepassing]),0))</f>
        <v>1219732.0854</v>
      </c>
      <c r="R147" s="398" cm="1">
        <f t="array" ref="R147">(uitkomst_doelgroep[[#This Row],[Implementatiegraad t = T + 1]]-uitkomst_doelgroep[[#This Row],[Implementatiegraad t = T]])*INDEX(Berekening_impact[Initiële investering (totaal) - incl. schatting],MATCH(B147,IF(Berekening_impact[Doelgroep]=C147,Berekening_impact[Digitale zorgtoepassing]),0))</f>
        <v>0</v>
      </c>
      <c r="S147" s="398">
        <f>uitkomst_doelgroep[[#This Row],[Arbeidsbesparing (€)]]*uitkomst_doelgroep[[#This Row],[Percentage van patiëntaantallen in Wlz (overige is Zvw)]]</f>
        <v>0</v>
      </c>
      <c r="T147" s="398">
        <f>uitkomst_doelgroep[[#This Row],[Overige besparingen (€)]]*uitkomst_doelgroep[[#This Row],[Percentage van patiëntaantallen in Wlz (overige is Zvw)]]</f>
        <v>0</v>
      </c>
      <c r="U147" s="398">
        <f>uitkomst_doelgroep[[#This Row],[Kosten (€)]]*uitkomst_doelgroep[[#This Row],[Percentage van patiëntaantallen in Wlz (overige is Zvw)]]</f>
        <v>0</v>
      </c>
      <c r="V147" s="398">
        <f>uitkomst_doelgroep[[#This Row],[Investering (cash flow) (€)]]*uitkomst_doelgroep[[#This Row],[Percentage van patiëntaantallen in Wlz (overige is Zvw)]]</f>
        <v>0</v>
      </c>
    </row>
    <row r="148" spans="1:22" x14ac:dyDescent="0.5">
      <c r="A148" s="33" t="str">
        <f>INDEX(Technologieën[Veld],MATCH(B148,Technologieën[Digitale zorgtoepassing],0))</f>
        <v>Software - Diagnose</v>
      </c>
      <c r="B148" s="33" t="s">
        <v>472</v>
      </c>
      <c r="C148" s="33" t="s">
        <v>442</v>
      </c>
      <c r="D148" s="427" cm="1">
        <f t="array" ref="D148">INDEX(Berekening_patiëntaantal[Percentage van patiëntaantallen in Wlz (overige is Zvw)],MATCH(B148,IF(Berekening_patiëntaantal[Doelgroep (zoeksleutel)]=C148,Berekening_patiëntaantal[Digitale zorgtoepassing]),0))</f>
        <v>0</v>
      </c>
      <c r="E148" s="33" t="str" cm="1">
        <f t="array" ref="E148">INDEX(Berekening_patiëntaantal[Direct toepasbaar/extrapolatie/incidentie voor QALY],MATCH(B148,IF(Berekening_patiëntaantal[Doelgroep (zoeksleutel)]=C148,Berekening_patiëntaantal[Digitale zorgtoepassing]),0))</f>
        <v>Huidige toepassing</v>
      </c>
      <c r="F148" s="43" t="s">
        <v>812</v>
      </c>
      <c r="G148" s="33" t="str">
        <f>CONCATENATE(uitkomst_doelgroep[[#This Row],[Digitale zorgtoepassing]],"_",uitkomst_doelgroep[[#This Row],[Doelgroep]],"_",uitkomst_doelgroep[[#This Row],[Uitgangssituatie/effect beleid]])</f>
        <v>AI om diagnoses te stellen (MRI)_MRI onderzoek_Prostaatkanker_Effect beleid</v>
      </c>
      <c r="H148" s="33">
        <v>2028</v>
      </c>
      <c r="I148" s="32">
        <v>6</v>
      </c>
      <c r="J148" s="406" cm="1">
        <f t="array" ref="J148">INDEX(implementatie[[2023]:[2034]],MATCH(G148, implementatie[Zoeksleutel],0),I148)</f>
        <v>0.93808800513920654</v>
      </c>
      <c r="K148" s="406" cm="1">
        <f t="array" ref="K148">INDEX(implementatie[[2023]:[2034]],MATCH(G148,implementatie[Zoeksleutel],0),I148 + 1)</f>
        <v>0.96898481486160559</v>
      </c>
      <c r="L14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24213.927588653198</v>
      </c>
      <c r="M148" s="398" cm="1">
        <f t="array" ref="M148">J148*INDEX(Berekening_impact[Totaal arbeidsbesparing (€/jaar)],MATCH(B148,IF(Berekening_impact[Doelgroep]=C148,Berekening_impact[Digitale zorgtoepassing]),0))</f>
        <v>552106.42482574494</v>
      </c>
      <c r="N148" s="397" cm="1">
        <f t="array" ref="N148">J148*INDEX(Berekening_impact[Totaal arbeidsbesparing (FTE/jaar)],MATCH(B148,IF(Berekening_impact[Doelgroep]=C148,Berekening_impact[Digitale zorgtoepassing]),0))</f>
        <v>2.9103278351746633</v>
      </c>
      <c r="O148" s="398" cm="1">
        <f t="array" ref="O148">J148*INDEX(Berekening_impact[Overige kostenbesparing (totaal/jaar totaal potentieel)],MATCH(B148,IF(Berekening_impact[Doelgroep]=C148,Berekening_impact[Digitale zorgtoepassing]),0))</f>
        <v>0</v>
      </c>
      <c r="P148" s="398" cm="1">
        <f t="array" ref="P148">J148*INDEX(Berekening_impact[Opbrengsten door QALY''s],MATCH(B148,IF(Berekening_impact[Doelgroep]=C148,Berekening_impact[Digitale zorgtoepassing]),0))</f>
        <v>0</v>
      </c>
      <c r="Q148" s="398" cm="1">
        <f t="array" ref="Q148">J148*INDEX(Berekening_impact[Jaarlijkse kosten (totaal) - incl. schatting],MATCH(B148,IF(Berekening_impact[Doelgroep]=C148,Berekening_impact[Digitale zorgtoepassing]),0))</f>
        <v>411636.76900710439</v>
      </c>
      <c r="R148" s="398" cm="1">
        <f t="array" ref="R148">(uitkomst_doelgroep[[#This Row],[Implementatiegraad t = T + 1]]-uitkomst_doelgroep[[#This Row],[Implementatiegraad t = T]])*INDEX(Berekening_impact[Initiële investering (totaal) - incl. schatting],MATCH(B148,IF(Berekening_impact[Doelgroep]=C148,Berekening_impact[Digitale zorgtoepassing]),0))</f>
        <v>30359.473901139943</v>
      </c>
      <c r="S148" s="398">
        <f>uitkomst_doelgroep[[#This Row],[Arbeidsbesparing (€)]]*uitkomst_doelgroep[[#This Row],[Percentage van patiëntaantallen in Wlz (overige is Zvw)]]</f>
        <v>0</v>
      </c>
      <c r="T148" s="398">
        <f>uitkomst_doelgroep[[#This Row],[Overige besparingen (€)]]*uitkomst_doelgroep[[#This Row],[Percentage van patiëntaantallen in Wlz (overige is Zvw)]]</f>
        <v>0</v>
      </c>
      <c r="U148" s="398">
        <f>uitkomst_doelgroep[[#This Row],[Kosten (€)]]*uitkomst_doelgroep[[#This Row],[Percentage van patiëntaantallen in Wlz (overige is Zvw)]]</f>
        <v>0</v>
      </c>
      <c r="V148" s="398">
        <f>uitkomst_doelgroep[[#This Row],[Investering (cash flow) (€)]]*uitkomst_doelgroep[[#This Row],[Percentage van patiëntaantallen in Wlz (overige is Zvw)]]</f>
        <v>0</v>
      </c>
    </row>
    <row r="149" spans="1:22" x14ac:dyDescent="0.5">
      <c r="A149" s="33" t="str">
        <f>INDEX(Technologieën[Veld],MATCH(B149,Technologieën[Digitale zorgtoepassing],0))</f>
        <v>Software - Diagnose</v>
      </c>
      <c r="B149" s="33" t="s">
        <v>472</v>
      </c>
      <c r="C149" s="33" t="s">
        <v>465</v>
      </c>
      <c r="D149" s="427" cm="1">
        <f t="array" ref="D149">INDEX(Berekening_patiëntaantal[Percentage van patiëntaantallen in Wlz (overige is Zvw)],MATCH(B149,IF(Berekening_patiëntaantal[Doelgroep (zoeksleutel)]=C149,Berekening_patiëntaantal[Digitale zorgtoepassing]),0))</f>
        <v>0</v>
      </c>
      <c r="E149" s="33" t="str" cm="1">
        <f t="array" ref="E149">INDEX(Berekening_patiëntaantal[Direct toepasbaar/extrapolatie/incidentie voor QALY],MATCH(B149,IF(Berekening_patiëntaantal[Doelgroep (zoeksleutel)]=C149,Berekening_patiëntaantal[Digitale zorgtoepassing]),0))</f>
        <v>Extrapolatie</v>
      </c>
      <c r="F149" s="43" t="s">
        <v>812</v>
      </c>
      <c r="G149" s="33" t="str">
        <f>CONCATENATE(uitkomst_doelgroep[[#This Row],[Digitale zorgtoepassing]],"_",uitkomst_doelgroep[[#This Row],[Doelgroep]],"_",uitkomst_doelgroep[[#This Row],[Uitgangssituatie/effect beleid]])</f>
        <v>AI om diagnoses te stellen (MRI)_MRI onderzoek_Overig_Effect beleid</v>
      </c>
      <c r="H149" s="33">
        <v>2029</v>
      </c>
      <c r="I149" s="32">
        <v>7</v>
      </c>
      <c r="J149" s="406" cm="1">
        <f t="array" ref="J149">INDEX(implementatie[[2023]:[2034]],MATCH(G149, implementatie[Zoeksleutel],0),I149)</f>
        <v>0.13555333874999997</v>
      </c>
      <c r="K149" s="406" cm="1">
        <f t="array" ref="K149">INDEX(implementatie[[2023]:[2034]],MATCH(G149,implementatie[Zoeksleutel],0),I149 + 1)</f>
        <v>0.22007605413936385</v>
      </c>
      <c r="L14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132054.43597018498</v>
      </c>
      <c r="M149" s="398" cm="1">
        <f t="array" ref="M149">J149*INDEX(Berekening_impact[Totaal arbeidsbesparing (€/jaar)],MATCH(B149,IF(Berekening_impact[Doelgroep]=C149,Berekening_impact[Digitale zorgtoepassing]),0))</f>
        <v>3010998.6188297803</v>
      </c>
      <c r="N149" s="397" cm="1">
        <f t="array" ref="N149">J149*INDEX(Berekening_impact[Totaal arbeidsbesparing (FTE/jaar)],MATCH(B149,IF(Berekening_impact[Doelgroep]=C149,Berekening_impact[Digitale zorgtoepassing]),0))</f>
        <v>15.871927400262619</v>
      </c>
      <c r="O149" s="398" cm="1">
        <f t="array" ref="O149">J149*INDEX(Berekening_impact[Overige kostenbesparing (totaal/jaar totaal potentieel)],MATCH(B149,IF(Berekening_impact[Doelgroep]=C149,Berekening_impact[Digitale zorgtoepassing]),0))</f>
        <v>0</v>
      </c>
      <c r="P149" s="398" cm="1">
        <f t="array" ref="P149">J149*INDEX(Berekening_impact[Opbrengsten door QALY''s],MATCH(B149,IF(Berekening_impact[Doelgroep]=C149,Berekening_impact[Digitale zorgtoepassing]),0))</f>
        <v>0</v>
      </c>
      <c r="Q149" s="398" cm="1">
        <f t="array" ref="Q149">J149*INDEX(Berekening_impact[Jaarlijkse kosten (totaal) - incl. schatting],MATCH(B149,IF(Berekening_impact[Doelgroep]=C149,Berekening_impact[Digitale zorgtoepassing]),0))</f>
        <v>2244925.4114931445</v>
      </c>
      <c r="R149" s="398" cm="1">
        <f t="array" ref="R149">(uitkomst_doelgroep[[#This Row],[Implementatiegraad t = T + 1]]-uitkomst_doelgroep[[#This Row],[Implementatiegraad t = T]])*INDEX(Berekening_impact[Initiële investering (totaal) - incl. schatting],MATCH(B149,IF(Berekening_impact[Doelgroep]=C149,Berekening_impact[Digitale zorgtoepassing]),0))</f>
        <v>0</v>
      </c>
      <c r="S149" s="398">
        <f>uitkomst_doelgroep[[#This Row],[Arbeidsbesparing (€)]]*uitkomst_doelgroep[[#This Row],[Percentage van patiëntaantallen in Wlz (overige is Zvw)]]</f>
        <v>0</v>
      </c>
      <c r="T149" s="398">
        <f>uitkomst_doelgroep[[#This Row],[Overige besparingen (€)]]*uitkomst_doelgroep[[#This Row],[Percentage van patiëntaantallen in Wlz (overige is Zvw)]]</f>
        <v>0</v>
      </c>
      <c r="U149" s="398">
        <f>uitkomst_doelgroep[[#This Row],[Kosten (€)]]*uitkomst_doelgroep[[#This Row],[Percentage van patiëntaantallen in Wlz (overige is Zvw)]]</f>
        <v>0</v>
      </c>
      <c r="V149" s="398">
        <f>uitkomst_doelgroep[[#This Row],[Investering (cash flow) (€)]]*uitkomst_doelgroep[[#This Row],[Percentage van patiëntaantallen in Wlz (overige is Zvw)]]</f>
        <v>0</v>
      </c>
    </row>
    <row r="150" spans="1:22" x14ac:dyDescent="0.5">
      <c r="A150" s="33" t="str">
        <f>INDEX(Technologieën[Veld],MATCH(B150,Technologieën[Digitale zorgtoepassing],0))</f>
        <v>Software - Diagnose</v>
      </c>
      <c r="B150" s="33" t="s">
        <v>472</v>
      </c>
      <c r="C150" s="33" t="s">
        <v>442</v>
      </c>
      <c r="D150" s="427" cm="1">
        <f t="array" ref="D150">INDEX(Berekening_patiëntaantal[Percentage van patiëntaantallen in Wlz (overige is Zvw)],MATCH(B150,IF(Berekening_patiëntaantal[Doelgroep (zoeksleutel)]=C150,Berekening_patiëntaantal[Digitale zorgtoepassing]),0))</f>
        <v>0</v>
      </c>
      <c r="E150" s="33" t="str" cm="1">
        <f t="array" ref="E150">INDEX(Berekening_patiëntaantal[Direct toepasbaar/extrapolatie/incidentie voor QALY],MATCH(B150,IF(Berekening_patiëntaantal[Doelgroep (zoeksleutel)]=C150,Berekening_patiëntaantal[Digitale zorgtoepassing]),0))</f>
        <v>Huidige toepassing</v>
      </c>
      <c r="F150" s="43" t="s">
        <v>812</v>
      </c>
      <c r="G150" s="33" t="str">
        <f>CONCATENATE(uitkomst_doelgroep[[#This Row],[Digitale zorgtoepassing]],"_",uitkomst_doelgroep[[#This Row],[Doelgroep]],"_",uitkomst_doelgroep[[#This Row],[Uitgangssituatie/effect beleid]])</f>
        <v>AI om diagnoses te stellen (MRI)_MRI onderzoek_Prostaatkanker_Effect beleid</v>
      </c>
      <c r="H150" s="33">
        <v>2029</v>
      </c>
      <c r="I150" s="32">
        <v>7</v>
      </c>
      <c r="J150" s="406" cm="1">
        <f t="array" ref="J150">INDEX(implementatie[[2023]:[2034]],MATCH(G150, implementatie[Zoeksleutel],0),I150)</f>
        <v>0.96898481486160559</v>
      </c>
      <c r="K150" s="406" cm="1">
        <f t="array" ref="K150">INDEX(implementatie[[2023]:[2034]],MATCH(G150,implementatie[Zoeksleutel],0),I150 + 1)</f>
        <v>0.9849418921303702</v>
      </c>
      <c r="L15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25011.436041207762</v>
      </c>
      <c r="M150" s="398" cm="1">
        <f t="array" ref="M150">J150*INDEX(Berekening_impact[Totaal arbeidsbesparing (€/jaar)],MATCH(B150,IF(Berekening_impact[Doelgroep]=C150,Berekening_impact[Digitale zorgtoepassing]),0))</f>
        <v>570290.56859573559</v>
      </c>
      <c r="N150" s="397" cm="1">
        <f t="array" ref="N150">J150*INDEX(Berekening_impact[Totaal arbeidsbesparing (FTE/jaar)],MATCH(B150,IF(Berekening_impact[Doelgroep]=C150,Berekening_impact[Digitale zorgtoepassing]),0))</f>
        <v>3.0061822164913177</v>
      </c>
      <c r="O150" s="398" cm="1">
        <f t="array" ref="O150">J150*INDEX(Berekening_impact[Overige kostenbesparing (totaal/jaar totaal potentieel)],MATCH(B150,IF(Berekening_impact[Doelgroep]=C150,Berekening_impact[Digitale zorgtoepassing]),0))</f>
        <v>0</v>
      </c>
      <c r="P150" s="398" cm="1">
        <f t="array" ref="P150">J150*INDEX(Berekening_impact[Opbrengsten door QALY''s],MATCH(B150,IF(Berekening_impact[Doelgroep]=C150,Berekening_impact[Digitale zorgtoepassing]),0))</f>
        <v>0</v>
      </c>
      <c r="Q150" s="398" cm="1">
        <f t="array" ref="Q150">J150*INDEX(Berekening_impact[Jaarlijkse kosten (totaal) - incl. schatting],MATCH(B150,IF(Berekening_impact[Doelgroep]=C150,Berekening_impact[Digitale zorgtoepassing]),0))</f>
        <v>425194.412700532</v>
      </c>
      <c r="R150" s="398" cm="1">
        <f t="array" ref="R150">(uitkomst_doelgroep[[#This Row],[Implementatiegraad t = T + 1]]-uitkomst_doelgroep[[#This Row],[Implementatiegraad t = T]])*INDEX(Berekening_impact[Initiële investering (totaal) - incl. schatting],MATCH(B150,IF(Berekening_impact[Doelgroep]=C150,Berekening_impact[Digitale zorgtoepassing]),0))</f>
        <v>15679.562881481746</v>
      </c>
      <c r="S150" s="398">
        <f>uitkomst_doelgroep[[#This Row],[Arbeidsbesparing (€)]]*uitkomst_doelgroep[[#This Row],[Percentage van patiëntaantallen in Wlz (overige is Zvw)]]</f>
        <v>0</v>
      </c>
      <c r="T150" s="398">
        <f>uitkomst_doelgroep[[#This Row],[Overige besparingen (€)]]*uitkomst_doelgroep[[#This Row],[Percentage van patiëntaantallen in Wlz (overige is Zvw)]]</f>
        <v>0</v>
      </c>
      <c r="U150" s="398">
        <f>uitkomst_doelgroep[[#This Row],[Kosten (€)]]*uitkomst_doelgroep[[#This Row],[Percentage van patiëntaantallen in Wlz (overige is Zvw)]]</f>
        <v>0</v>
      </c>
      <c r="V150" s="398">
        <f>uitkomst_doelgroep[[#This Row],[Investering (cash flow) (€)]]*uitkomst_doelgroep[[#This Row],[Percentage van patiëntaantallen in Wlz (overige is Zvw)]]</f>
        <v>0</v>
      </c>
    </row>
    <row r="151" spans="1:22" x14ac:dyDescent="0.5">
      <c r="A151" s="33" t="str">
        <f>INDEX(Technologieën[Veld],MATCH(B151,Technologieën[Digitale zorgtoepassing],0))</f>
        <v>Software - Diagnose</v>
      </c>
      <c r="B151" s="33" t="s">
        <v>472</v>
      </c>
      <c r="C151" s="33" t="s">
        <v>465</v>
      </c>
      <c r="D151" s="427" cm="1">
        <f t="array" ref="D151">INDEX(Berekening_patiëntaantal[Percentage van patiëntaantallen in Wlz (overige is Zvw)],MATCH(B151,IF(Berekening_patiëntaantal[Doelgroep (zoeksleutel)]=C151,Berekening_patiëntaantal[Digitale zorgtoepassing]),0))</f>
        <v>0</v>
      </c>
      <c r="E151" s="33" t="str" cm="1">
        <f t="array" ref="E151">INDEX(Berekening_patiëntaantal[Direct toepasbaar/extrapolatie/incidentie voor QALY],MATCH(B151,IF(Berekening_patiëntaantal[Doelgroep (zoeksleutel)]=C151,Berekening_patiëntaantal[Digitale zorgtoepassing]),0))</f>
        <v>Extrapolatie</v>
      </c>
      <c r="F151" s="43" t="s">
        <v>812</v>
      </c>
      <c r="G151" s="33" t="str">
        <f>CONCATENATE(uitkomst_doelgroep[[#This Row],[Digitale zorgtoepassing]],"_",uitkomst_doelgroep[[#This Row],[Doelgroep]],"_",uitkomst_doelgroep[[#This Row],[Uitgangssituatie/effect beleid]])</f>
        <v>AI om diagnoses te stellen (MRI)_MRI onderzoek_Overig_Effect beleid</v>
      </c>
      <c r="H151" s="33">
        <v>2030</v>
      </c>
      <c r="I151" s="32">
        <v>8</v>
      </c>
      <c r="J151" s="406" cm="1">
        <f t="array" ref="J151">INDEX(implementatie[[2023]:[2034]],MATCH(G151, implementatie[Zoeksleutel],0),I151)</f>
        <v>0.22007605413936385</v>
      </c>
      <c r="K151" s="406" cm="1">
        <f t="array" ref="K151">INDEX(implementatie[[2023]:[2034]],MATCH(G151,implementatie[Zoeksleutel],0),I151 + 1)</f>
        <v>0.32929506478208875</v>
      </c>
      <c r="L15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214395.45102991859</v>
      </c>
      <c r="M151" s="398" cm="1">
        <f t="array" ref="M151">J151*INDEX(Berekening_impact[Totaal arbeidsbesparing (€/jaar)],MATCH(B151,IF(Berekening_impact[Doelgroep]=C151,Berekening_impact[Digitale zorgtoepassing]),0))</f>
        <v>4888471.9562182873</v>
      </c>
      <c r="N151" s="397" cm="1">
        <f t="array" ref="N151">J151*INDEX(Berekening_impact[Totaal arbeidsbesparing (FTE/jaar)],MATCH(B151,IF(Berekening_impact[Doelgroep]=C151,Berekening_impact[Digitale zorgtoepassing]),0))</f>
        <v>25.768684018019062</v>
      </c>
      <c r="O151" s="398" cm="1">
        <f t="array" ref="O151">J151*INDEX(Berekening_impact[Overige kostenbesparing (totaal/jaar totaal potentieel)],MATCH(B151,IF(Berekening_impact[Doelgroep]=C151,Berekening_impact[Digitale zorgtoepassing]),0))</f>
        <v>0</v>
      </c>
      <c r="P151" s="398" cm="1">
        <f t="array" ref="P151">J151*INDEX(Berekening_impact[Opbrengsten door QALY''s],MATCH(B151,IF(Berekening_impact[Doelgroep]=C151,Berekening_impact[Digitale zorgtoepassing]),0))</f>
        <v>0</v>
      </c>
      <c r="Q151" s="398" cm="1">
        <f t="array" ref="Q151">J151*INDEX(Berekening_impact[Jaarlijkse kosten (totaal) - incl. schatting],MATCH(B151,IF(Berekening_impact[Doelgroep]=C151,Berekening_impact[Digitale zorgtoepassing]),0))</f>
        <v>3644722.6675086161</v>
      </c>
      <c r="R151" s="398" cm="1">
        <f t="array" ref="R151">(uitkomst_doelgroep[[#This Row],[Implementatiegraad t = T + 1]]-uitkomst_doelgroep[[#This Row],[Implementatiegraad t = T]])*INDEX(Berekening_impact[Initiële investering (totaal) - incl. schatting],MATCH(B151,IF(Berekening_impact[Doelgroep]=C151,Berekening_impact[Digitale zorgtoepassing]),0))</f>
        <v>0</v>
      </c>
      <c r="S151" s="398">
        <f>uitkomst_doelgroep[[#This Row],[Arbeidsbesparing (€)]]*uitkomst_doelgroep[[#This Row],[Percentage van patiëntaantallen in Wlz (overige is Zvw)]]</f>
        <v>0</v>
      </c>
      <c r="T151" s="398">
        <f>uitkomst_doelgroep[[#This Row],[Overige besparingen (€)]]*uitkomst_doelgroep[[#This Row],[Percentage van patiëntaantallen in Wlz (overige is Zvw)]]</f>
        <v>0</v>
      </c>
      <c r="U151" s="398">
        <f>uitkomst_doelgroep[[#This Row],[Kosten (€)]]*uitkomst_doelgroep[[#This Row],[Percentage van patiëntaantallen in Wlz (overige is Zvw)]]</f>
        <v>0</v>
      </c>
      <c r="V151" s="398">
        <f>uitkomst_doelgroep[[#This Row],[Investering (cash flow) (€)]]*uitkomst_doelgroep[[#This Row],[Percentage van patiëntaantallen in Wlz (overige is Zvw)]]</f>
        <v>0</v>
      </c>
    </row>
    <row r="152" spans="1:22" x14ac:dyDescent="0.5">
      <c r="A152" s="33" t="str">
        <f>INDEX(Technologieën[Veld],MATCH(B152,Technologieën[Digitale zorgtoepassing],0))</f>
        <v>Software - Diagnose</v>
      </c>
      <c r="B152" s="33" t="s">
        <v>472</v>
      </c>
      <c r="C152" s="33" t="s">
        <v>442</v>
      </c>
      <c r="D152" s="427" cm="1">
        <f t="array" ref="D152">INDEX(Berekening_patiëntaantal[Percentage van patiëntaantallen in Wlz (overige is Zvw)],MATCH(B152,IF(Berekening_patiëntaantal[Doelgroep (zoeksleutel)]=C152,Berekening_patiëntaantal[Digitale zorgtoepassing]),0))</f>
        <v>0</v>
      </c>
      <c r="E152" s="33" t="str" cm="1">
        <f t="array" ref="E152">INDEX(Berekening_patiëntaantal[Direct toepasbaar/extrapolatie/incidentie voor QALY],MATCH(B152,IF(Berekening_patiëntaantal[Doelgroep (zoeksleutel)]=C152,Berekening_patiëntaantal[Digitale zorgtoepassing]),0))</f>
        <v>Huidige toepassing</v>
      </c>
      <c r="F152" s="43" t="s">
        <v>812</v>
      </c>
      <c r="G152" s="33" t="str">
        <f>CONCATENATE(uitkomst_doelgroep[[#This Row],[Digitale zorgtoepassing]],"_",uitkomst_doelgroep[[#This Row],[Doelgroep]],"_",uitkomst_doelgroep[[#This Row],[Uitgangssituatie/effect beleid]])</f>
        <v>AI om diagnoses te stellen (MRI)_MRI onderzoek_Prostaatkanker_Effect beleid</v>
      </c>
      <c r="H152" s="33">
        <v>2030</v>
      </c>
      <c r="I152" s="32">
        <v>8</v>
      </c>
      <c r="J152" s="406" cm="1">
        <f t="array" ref="J152">INDEX(implementatie[[2023]:[2034]],MATCH(G152, implementatie[Zoeksleutel],0),I152)</f>
        <v>0.9849418921303702</v>
      </c>
      <c r="K152" s="406" cm="1">
        <f t="array" ref="K152">INDEX(implementatie[[2023]:[2034]],MATCH(G152,implementatie[Zoeksleutel],0),I152 + 1)</f>
        <v>0.99280931599496725</v>
      </c>
      <c r="L15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25423.320119669115</v>
      </c>
      <c r="M152" s="398" cm="1">
        <f t="array" ref="M152">J152*INDEX(Berekening_impact[Totaal arbeidsbesparing (€/jaar)],MATCH(B152,IF(Berekening_impact[Doelgroep]=C152,Berekening_impact[Digitale zorgtoepassing]),0))</f>
        <v>579682.01676825376</v>
      </c>
      <c r="N152" s="397" cm="1">
        <f t="array" ref="N152">J152*INDEX(Berekening_impact[Totaal arbeidsbesparing (FTE/jaar)],MATCH(B152,IF(Berekening_impact[Doelgroep]=C152,Berekening_impact[Digitale zorgtoepassing]),0))</f>
        <v>3.0556875143833069</v>
      </c>
      <c r="O152" s="398" cm="1">
        <f t="array" ref="O152">J152*INDEX(Berekening_impact[Overige kostenbesparing (totaal/jaar totaal potentieel)],MATCH(B152,IF(Berekening_impact[Doelgroep]=C152,Berekening_impact[Digitale zorgtoepassing]),0))</f>
        <v>0</v>
      </c>
      <c r="P152" s="398" cm="1">
        <f t="array" ref="P152">J152*INDEX(Berekening_impact[Opbrengsten door QALY''s],MATCH(B152,IF(Berekening_impact[Doelgroep]=C152,Berekening_impact[Digitale zorgtoepassing]),0))</f>
        <v>0</v>
      </c>
      <c r="Q152" s="398" cm="1">
        <f t="array" ref="Q152">J152*INDEX(Berekening_impact[Jaarlijkse kosten (totaal) - incl. schatting],MATCH(B152,IF(Berekening_impact[Doelgroep]=C152,Berekening_impact[Digitale zorgtoepassing]),0))</f>
        <v>432196.44203437498</v>
      </c>
      <c r="R152" s="398" cm="1">
        <f t="array" ref="R152">(uitkomst_doelgroep[[#This Row],[Implementatiegraad t = T + 1]]-uitkomst_doelgroep[[#This Row],[Implementatiegraad t = T]])*INDEX(Berekening_impact[Initiële investering (totaal) - incl. schatting],MATCH(B152,IF(Berekening_impact[Doelgroep]=C152,Berekening_impact[Digitale zorgtoepassing]),0))</f>
        <v>7730.5991017344877</v>
      </c>
      <c r="S152" s="398">
        <f>uitkomst_doelgroep[[#This Row],[Arbeidsbesparing (€)]]*uitkomst_doelgroep[[#This Row],[Percentage van patiëntaantallen in Wlz (overige is Zvw)]]</f>
        <v>0</v>
      </c>
      <c r="T152" s="398">
        <f>uitkomst_doelgroep[[#This Row],[Overige besparingen (€)]]*uitkomst_doelgroep[[#This Row],[Percentage van patiëntaantallen in Wlz (overige is Zvw)]]</f>
        <v>0</v>
      </c>
      <c r="U152" s="398">
        <f>uitkomst_doelgroep[[#This Row],[Kosten (€)]]*uitkomst_doelgroep[[#This Row],[Percentage van patiëntaantallen in Wlz (overige is Zvw)]]</f>
        <v>0</v>
      </c>
      <c r="V152" s="398">
        <f>uitkomst_doelgroep[[#This Row],[Investering (cash flow) (€)]]*uitkomst_doelgroep[[#This Row],[Percentage van patiëntaantallen in Wlz (overige is Zvw)]]</f>
        <v>0</v>
      </c>
    </row>
    <row r="153" spans="1:22" x14ac:dyDescent="0.5">
      <c r="A153" s="33" t="str">
        <f>INDEX(Technologieën[Veld],MATCH(B153,Technologieën[Digitale zorgtoepassing],0))</f>
        <v>Software - Diagnose</v>
      </c>
      <c r="B153" s="33" t="s">
        <v>472</v>
      </c>
      <c r="C153" s="33" t="s">
        <v>465</v>
      </c>
      <c r="D153" s="427" cm="1">
        <f t="array" ref="D153">INDEX(Berekening_patiëntaantal[Percentage van patiëntaantallen in Wlz (overige is Zvw)],MATCH(B153,IF(Berekening_patiëntaantal[Doelgroep (zoeksleutel)]=C153,Berekening_patiëntaantal[Digitale zorgtoepassing]),0))</f>
        <v>0</v>
      </c>
      <c r="E153" s="33" t="str" cm="1">
        <f t="array" ref="E153">INDEX(Berekening_patiëntaantal[Direct toepasbaar/extrapolatie/incidentie voor QALY],MATCH(B153,IF(Berekening_patiëntaantal[Doelgroep (zoeksleutel)]=C153,Berekening_patiëntaantal[Digitale zorgtoepassing]),0))</f>
        <v>Extrapolatie</v>
      </c>
      <c r="F153" s="43" t="s">
        <v>812</v>
      </c>
      <c r="G153" s="33" t="str">
        <f>CONCATENATE(uitkomst_doelgroep[[#This Row],[Digitale zorgtoepassing]],"_",uitkomst_doelgroep[[#This Row],[Doelgroep]],"_",uitkomst_doelgroep[[#This Row],[Uitgangssituatie/effect beleid]])</f>
        <v>AI om diagnoses te stellen (MRI)_MRI onderzoek_Overig_Effect beleid</v>
      </c>
      <c r="H153" s="33">
        <v>2031</v>
      </c>
      <c r="I153" s="32">
        <v>9</v>
      </c>
      <c r="J153" s="406" cm="1">
        <f t="array" ref="J153">INDEX(implementatie[[2023]:[2034]],MATCH(G153, implementatie[Zoeksleutel],0),I153)</f>
        <v>0.32929506478208875</v>
      </c>
      <c r="K153" s="406" cm="1">
        <f t="array" ref="K153">INDEX(implementatie[[2023]:[2034]],MATCH(G153,implementatie[Zoeksleutel],0),I153 + 1)</f>
        <v>0.4598461253847505</v>
      </c>
      <c r="L15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320795.30056993349</v>
      </c>
      <c r="M153" s="398" cm="1">
        <f t="array" ref="M153">J153*INDEX(Berekening_impact[Totaal arbeidsbesparing (€/jaar)],MATCH(B153,IF(Berekening_impact[Doelgroep]=C153,Berekening_impact[Digitale zorgtoepassing]),0))</f>
        <v>7314515.4106086707</v>
      </c>
      <c r="N153" s="397" cm="1">
        <f t="array" ref="N153">J153*INDEX(Berekening_impact[Totaal arbeidsbesparing (FTE/jaar)],MATCH(B153,IF(Berekening_impact[Doelgroep]=C153,Berekening_impact[Digitale zorgtoepassing]),0))</f>
        <v>38.55712747234778</v>
      </c>
      <c r="O153" s="398" cm="1">
        <f t="array" ref="O153">J153*INDEX(Berekening_impact[Overige kostenbesparing (totaal/jaar totaal potentieel)],MATCH(B153,IF(Berekening_impact[Doelgroep]=C153,Berekening_impact[Digitale zorgtoepassing]),0))</f>
        <v>0</v>
      </c>
      <c r="P153" s="398" cm="1">
        <f t="array" ref="P153">J153*INDEX(Berekening_impact[Opbrengsten door QALY''s],MATCH(B153,IF(Berekening_impact[Doelgroep]=C153,Berekening_impact[Digitale zorgtoepassing]),0))</f>
        <v>0</v>
      </c>
      <c r="Q153" s="398" cm="1">
        <f t="array" ref="Q153">J153*INDEX(Berekening_impact[Jaarlijkse kosten (totaal) - incl. schatting],MATCH(B153,IF(Berekening_impact[Doelgroep]=C153,Berekening_impact[Digitale zorgtoepassing]),0))</f>
        <v>5453520.1096888687</v>
      </c>
      <c r="R153" s="398" cm="1">
        <f t="array" ref="R153">(uitkomst_doelgroep[[#This Row],[Implementatiegraad t = T + 1]]-uitkomst_doelgroep[[#This Row],[Implementatiegraad t = T]])*INDEX(Berekening_impact[Initiële investering (totaal) - incl. schatting],MATCH(B153,IF(Berekening_impact[Doelgroep]=C153,Berekening_impact[Digitale zorgtoepassing]),0))</f>
        <v>0</v>
      </c>
      <c r="S153" s="398">
        <f>uitkomst_doelgroep[[#This Row],[Arbeidsbesparing (€)]]*uitkomst_doelgroep[[#This Row],[Percentage van patiëntaantallen in Wlz (overige is Zvw)]]</f>
        <v>0</v>
      </c>
      <c r="T153" s="398">
        <f>uitkomst_doelgroep[[#This Row],[Overige besparingen (€)]]*uitkomst_doelgroep[[#This Row],[Percentage van patiëntaantallen in Wlz (overige is Zvw)]]</f>
        <v>0</v>
      </c>
      <c r="U153" s="398">
        <f>uitkomst_doelgroep[[#This Row],[Kosten (€)]]*uitkomst_doelgroep[[#This Row],[Percentage van patiëntaantallen in Wlz (overige is Zvw)]]</f>
        <v>0</v>
      </c>
      <c r="V153" s="398">
        <f>uitkomst_doelgroep[[#This Row],[Investering (cash flow) (€)]]*uitkomst_doelgroep[[#This Row],[Percentage van patiëntaantallen in Wlz (overige is Zvw)]]</f>
        <v>0</v>
      </c>
    </row>
    <row r="154" spans="1:22" x14ac:dyDescent="0.5">
      <c r="A154" s="33" t="str">
        <f>INDEX(Technologieën[Veld],MATCH(B154,Technologieën[Digitale zorgtoepassing],0))</f>
        <v>Software - Diagnose</v>
      </c>
      <c r="B154" s="33" t="s">
        <v>472</v>
      </c>
      <c r="C154" s="33" t="s">
        <v>442</v>
      </c>
      <c r="D154" s="427" cm="1">
        <f t="array" ref="D154">INDEX(Berekening_patiëntaantal[Percentage van patiëntaantallen in Wlz (overige is Zvw)],MATCH(B154,IF(Berekening_patiëntaantal[Doelgroep (zoeksleutel)]=C154,Berekening_patiëntaantal[Digitale zorgtoepassing]),0))</f>
        <v>0</v>
      </c>
      <c r="E154" s="33" t="str" cm="1">
        <f t="array" ref="E154">INDEX(Berekening_patiëntaantal[Direct toepasbaar/extrapolatie/incidentie voor QALY],MATCH(B154,IF(Berekening_patiëntaantal[Doelgroep (zoeksleutel)]=C154,Berekening_patiëntaantal[Digitale zorgtoepassing]),0))</f>
        <v>Huidige toepassing</v>
      </c>
      <c r="F154" s="43" t="s">
        <v>812</v>
      </c>
      <c r="G154" s="33" t="str">
        <f>CONCATENATE(uitkomst_doelgroep[[#This Row],[Digitale zorgtoepassing]],"_",uitkomst_doelgroep[[#This Row],[Doelgroep]],"_",uitkomst_doelgroep[[#This Row],[Uitgangssituatie/effect beleid]])</f>
        <v>AI om diagnoses te stellen (MRI)_MRI onderzoek_Prostaatkanker_Effect beleid</v>
      </c>
      <c r="H154" s="33">
        <v>2031</v>
      </c>
      <c r="I154" s="32">
        <v>9</v>
      </c>
      <c r="J154" s="406" cm="1">
        <f t="array" ref="J154">INDEX(implementatie[[2023]:[2034]],MATCH(G154, implementatie[Zoeksleutel],0),I154)</f>
        <v>0.99280931599496725</v>
      </c>
      <c r="K154" s="406" cm="1">
        <f t="array" ref="K154">INDEX(implementatie[[2023]:[2034]],MATCH(G154,implementatie[Zoeksleutel],0),I154 + 1)</f>
        <v>0.99659452554940442</v>
      </c>
      <c r="L15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25626.394064462096</v>
      </c>
      <c r="M154" s="398" cm="1">
        <f t="array" ref="M154">J154*INDEX(Berekening_impact[Totaal arbeidsbesparing (€/jaar)],MATCH(B154,IF(Berekening_impact[Doelgroep]=C154,Berekening_impact[Digitale zorgtoepassing]),0))</f>
        <v>584312.34488104831</v>
      </c>
      <c r="N154" s="397" cm="1">
        <f t="array" ref="N154">J154*INDEX(Berekening_impact[Totaal arbeidsbesparing (FTE/jaar)],MATCH(B154,IF(Berekening_impact[Doelgroep]=C154,Berekening_impact[Digitale zorgtoepassing]),0))</f>
        <v>3.0800954404401555</v>
      </c>
      <c r="O154" s="398" cm="1">
        <f t="array" ref="O154">J154*INDEX(Berekening_impact[Overige kostenbesparing (totaal/jaar totaal potentieel)],MATCH(B154,IF(Berekening_impact[Doelgroep]=C154,Berekening_impact[Digitale zorgtoepassing]),0))</f>
        <v>0</v>
      </c>
      <c r="P154" s="398" cm="1">
        <f t="array" ref="P154">J154*INDEX(Berekening_impact[Opbrengsten door QALY''s],MATCH(B154,IF(Berekening_impact[Doelgroep]=C154,Berekening_impact[Digitale zorgtoepassing]),0))</f>
        <v>0</v>
      </c>
      <c r="Q154" s="398" cm="1">
        <f t="array" ref="Q154">J154*INDEX(Berekening_impact[Jaarlijkse kosten (totaal) - incl. schatting],MATCH(B154,IF(Berekening_impact[Doelgroep]=C154,Berekening_impact[Digitale zorgtoepassing]),0))</f>
        <v>435648.69909585558</v>
      </c>
      <c r="R154" s="398" cm="1">
        <f t="array" ref="R154">(uitkomst_doelgroep[[#This Row],[Implementatiegraad t = T + 1]]-uitkomst_doelgroep[[#This Row],[Implementatiegraad t = T]])*INDEX(Berekening_impact[Initiële investering (totaal) - incl. schatting],MATCH(B154,IF(Berekening_impact[Doelgroep]=C154,Berekening_impact[Digitale zorgtoepassing]),0))</f>
        <v>3719.3798230556586</v>
      </c>
      <c r="S154" s="398">
        <f>uitkomst_doelgroep[[#This Row],[Arbeidsbesparing (€)]]*uitkomst_doelgroep[[#This Row],[Percentage van patiëntaantallen in Wlz (overige is Zvw)]]</f>
        <v>0</v>
      </c>
      <c r="T154" s="398">
        <f>uitkomst_doelgroep[[#This Row],[Overige besparingen (€)]]*uitkomst_doelgroep[[#This Row],[Percentage van patiëntaantallen in Wlz (overige is Zvw)]]</f>
        <v>0</v>
      </c>
      <c r="U154" s="398">
        <f>uitkomst_doelgroep[[#This Row],[Kosten (€)]]*uitkomst_doelgroep[[#This Row],[Percentage van patiëntaantallen in Wlz (overige is Zvw)]]</f>
        <v>0</v>
      </c>
      <c r="V154" s="398">
        <f>uitkomst_doelgroep[[#This Row],[Investering (cash flow) (€)]]*uitkomst_doelgroep[[#This Row],[Percentage van patiëntaantallen in Wlz (overige is Zvw)]]</f>
        <v>0</v>
      </c>
    </row>
    <row r="155" spans="1:22" x14ac:dyDescent="0.5">
      <c r="A155" s="33" t="str">
        <f>INDEX(Technologieën[Veld],MATCH(B155,Technologieën[Digitale zorgtoepassing],0))</f>
        <v>Software - Diagnose</v>
      </c>
      <c r="B155" s="33" t="s">
        <v>472</v>
      </c>
      <c r="C155" s="33" t="s">
        <v>465</v>
      </c>
      <c r="D155" s="427" cm="1">
        <f t="array" ref="D155">INDEX(Berekening_patiëntaantal[Percentage van patiëntaantallen in Wlz (overige is Zvw)],MATCH(B155,IF(Berekening_patiëntaantal[Doelgroep (zoeksleutel)]=C155,Berekening_patiëntaantal[Digitale zorgtoepassing]),0))</f>
        <v>0</v>
      </c>
      <c r="E155" s="33" t="str" cm="1">
        <f t="array" ref="E155">INDEX(Berekening_patiëntaantal[Direct toepasbaar/extrapolatie/incidentie voor QALY],MATCH(B155,IF(Berekening_patiëntaantal[Doelgroep (zoeksleutel)]=C155,Berekening_patiëntaantal[Digitale zorgtoepassing]),0))</f>
        <v>Extrapolatie</v>
      </c>
      <c r="F155" s="43" t="s">
        <v>812</v>
      </c>
      <c r="G155" s="33" t="str">
        <f>CONCATENATE(uitkomst_doelgroep[[#This Row],[Digitale zorgtoepassing]],"_",uitkomst_doelgroep[[#This Row],[Doelgroep]],"_",uitkomst_doelgroep[[#This Row],[Uitgangssituatie/effect beleid]])</f>
        <v>AI om diagnoses te stellen (MRI)_MRI onderzoek_Overig_Effect beleid</v>
      </c>
      <c r="H155" s="33">
        <v>2032</v>
      </c>
      <c r="I155" s="32">
        <v>10</v>
      </c>
      <c r="J155" s="406" cm="1">
        <f t="array" ref="J155">INDEX(implementatie[[2023]:[2034]],MATCH(G155, implementatie[Zoeksleutel],0),I155)</f>
        <v>0.4598461253847505</v>
      </c>
      <c r="K155" s="406" cm="1">
        <f t="array" ref="K155">INDEX(implementatie[[2023]:[2034]],MATCH(G155,implementatie[Zoeksleutel],0),I155 + 1)</f>
        <v>0.60024457479989934</v>
      </c>
      <c r="L15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447976.5771963193</v>
      </c>
      <c r="M155" s="398" cm="1">
        <f t="array" ref="M155">J155*INDEX(Berekening_impact[Totaal arbeidsbesparing (€/jaar)],MATCH(B155,IF(Berekening_impact[Doelgroep]=C155,Berekening_impact[Digitale zorgtoepassing]),0))</f>
        <v>10214400.18501728</v>
      </c>
      <c r="N155" s="397" cm="1">
        <f t="array" ref="N155">J155*INDEX(Berekening_impact[Totaal arbeidsbesparing (FTE/jaar)],MATCH(B155,IF(Berekening_impact[Doelgroep]=C155,Berekening_impact[Digitale zorgtoepassing]),0))</f>
        <v>53.843338605326849</v>
      </c>
      <c r="O155" s="398" cm="1">
        <f t="array" ref="O155">J155*INDEX(Berekening_impact[Overige kostenbesparing (totaal/jaar totaal potentieel)],MATCH(B155,IF(Berekening_impact[Doelgroep]=C155,Berekening_impact[Digitale zorgtoepassing]),0))</f>
        <v>0</v>
      </c>
      <c r="P155" s="398" cm="1">
        <f t="array" ref="P155">J155*INDEX(Berekening_impact[Opbrengsten door QALY''s],MATCH(B155,IF(Berekening_impact[Doelgroep]=C155,Berekening_impact[Digitale zorgtoepassing]),0))</f>
        <v>0</v>
      </c>
      <c r="Q155" s="398" cm="1">
        <f t="array" ref="Q155">J155*INDEX(Berekening_impact[Jaarlijkse kosten (totaal) - incl. schatting],MATCH(B155,IF(Berekening_impact[Doelgroep]=C155,Berekening_impact[Digitale zorgtoepassing]),0))</f>
        <v>7615601.8123374283</v>
      </c>
      <c r="R155" s="398" cm="1">
        <f t="array" ref="R155">(uitkomst_doelgroep[[#This Row],[Implementatiegraad t = T + 1]]-uitkomst_doelgroep[[#This Row],[Implementatiegraad t = T]])*INDEX(Berekening_impact[Initiële investering (totaal) - incl. schatting],MATCH(B155,IF(Berekening_impact[Doelgroep]=C155,Berekening_impact[Digitale zorgtoepassing]),0))</f>
        <v>0</v>
      </c>
      <c r="S155" s="398">
        <f>uitkomst_doelgroep[[#This Row],[Arbeidsbesparing (€)]]*uitkomst_doelgroep[[#This Row],[Percentage van patiëntaantallen in Wlz (overige is Zvw)]]</f>
        <v>0</v>
      </c>
      <c r="T155" s="398">
        <f>uitkomst_doelgroep[[#This Row],[Overige besparingen (€)]]*uitkomst_doelgroep[[#This Row],[Percentage van patiëntaantallen in Wlz (overige is Zvw)]]</f>
        <v>0</v>
      </c>
      <c r="U155" s="398">
        <f>uitkomst_doelgroep[[#This Row],[Kosten (€)]]*uitkomst_doelgroep[[#This Row],[Percentage van patiëntaantallen in Wlz (overige is Zvw)]]</f>
        <v>0</v>
      </c>
      <c r="V155" s="398">
        <f>uitkomst_doelgroep[[#This Row],[Investering (cash flow) (€)]]*uitkomst_doelgroep[[#This Row],[Percentage van patiëntaantallen in Wlz (overige is Zvw)]]</f>
        <v>0</v>
      </c>
    </row>
    <row r="156" spans="1:22" x14ac:dyDescent="0.5">
      <c r="A156" s="33" t="str">
        <f>INDEX(Technologieën[Veld],MATCH(B156,Technologieën[Digitale zorgtoepassing],0))</f>
        <v>Software - Diagnose</v>
      </c>
      <c r="B156" s="33" t="s">
        <v>472</v>
      </c>
      <c r="C156" s="33" t="s">
        <v>442</v>
      </c>
      <c r="D156" s="427" cm="1">
        <f t="array" ref="D156">INDEX(Berekening_patiëntaantal[Percentage van patiëntaantallen in Wlz (overige is Zvw)],MATCH(B156,IF(Berekening_patiëntaantal[Doelgroep (zoeksleutel)]=C156,Berekening_patiëntaantal[Digitale zorgtoepassing]),0))</f>
        <v>0</v>
      </c>
      <c r="E156" s="33" t="str" cm="1">
        <f t="array" ref="E156">INDEX(Berekening_patiëntaantal[Direct toepasbaar/extrapolatie/incidentie voor QALY],MATCH(B156,IF(Berekening_patiëntaantal[Doelgroep (zoeksleutel)]=C156,Berekening_patiëntaantal[Digitale zorgtoepassing]),0))</f>
        <v>Huidige toepassing</v>
      </c>
      <c r="F156" s="43" t="s">
        <v>812</v>
      </c>
      <c r="G156" s="33" t="str">
        <f>CONCATENATE(uitkomst_doelgroep[[#This Row],[Digitale zorgtoepassing]],"_",uitkomst_doelgroep[[#This Row],[Doelgroep]],"_",uitkomst_doelgroep[[#This Row],[Uitgangssituatie/effect beleid]])</f>
        <v>AI om diagnoses te stellen (MRI)_MRI onderzoek_Prostaatkanker_Effect beleid</v>
      </c>
      <c r="H156" s="33">
        <v>2032</v>
      </c>
      <c r="I156" s="32">
        <v>10</v>
      </c>
      <c r="J156" s="406" cm="1">
        <f t="array" ref="J156">INDEX(implementatie[[2023]:[2034]],MATCH(G156, implementatie[Zoeksleutel],0),I156)</f>
        <v>0.99659452554940442</v>
      </c>
      <c r="K156" s="406" cm="1">
        <f t="array" ref="K156">INDEX(implementatie[[2023]:[2034]],MATCH(G156,implementatie[Zoeksleutel],0),I156 + 1)</f>
        <v>0.99839362838010326</v>
      </c>
      <c r="L15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25724.097893481226</v>
      </c>
      <c r="M156" s="398" cm="1">
        <f t="array" ref="M156">J156*INDEX(Berekening_impact[Totaal arbeidsbesparing (€/jaar)],MATCH(B156,IF(Berekening_impact[Doelgroep]=C156,Berekening_impact[Digitale zorgtoepassing]),0))</f>
        <v>586540.10869730823</v>
      </c>
      <c r="N156" s="397" cm="1">
        <f t="array" ref="N156">J156*INDEX(Berekening_impact[Totaal arbeidsbesparing (FTE/jaar)],MATCH(B156,IF(Berekening_impact[Doelgroep]=C156,Berekening_impact[Digitale zorgtoepassing]),0))</f>
        <v>3.0918386891203395</v>
      </c>
      <c r="O156" s="398" cm="1">
        <f t="array" ref="O156">J156*INDEX(Berekening_impact[Overige kostenbesparing (totaal/jaar totaal potentieel)],MATCH(B156,IF(Berekening_impact[Doelgroep]=C156,Berekening_impact[Digitale zorgtoepassing]),0))</f>
        <v>0</v>
      </c>
      <c r="P156" s="398" cm="1">
        <f t="array" ref="P156">J156*INDEX(Berekening_impact[Opbrengsten door QALY''s],MATCH(B156,IF(Berekening_impact[Doelgroep]=C156,Berekening_impact[Digitale zorgtoepassing]),0))</f>
        <v>0</v>
      </c>
      <c r="Q156" s="398" cm="1">
        <f t="array" ref="Q156">J156*INDEX(Berekening_impact[Jaarlijkse kosten (totaal) - incl. schatting],MATCH(B156,IF(Berekening_impact[Doelgroep]=C156,Berekening_impact[Digitale zorgtoepassing]),0))</f>
        <v>437309.66418918088</v>
      </c>
      <c r="R156" s="398" cm="1">
        <f t="array" ref="R156">(uitkomst_doelgroep[[#This Row],[Implementatiegraad t = T + 1]]-uitkomst_doelgroep[[#This Row],[Implementatiegraad t = T]])*INDEX(Berekening_impact[Initiële investering (totaal) - incl. schatting],MATCH(B156,IF(Berekening_impact[Doelgroep]=C156,Berekening_impact[Digitale zorgtoepassing]),0))</f>
        <v>1767.8140858171209</v>
      </c>
      <c r="S156" s="398">
        <f>uitkomst_doelgroep[[#This Row],[Arbeidsbesparing (€)]]*uitkomst_doelgroep[[#This Row],[Percentage van patiëntaantallen in Wlz (overige is Zvw)]]</f>
        <v>0</v>
      </c>
      <c r="T156" s="398">
        <f>uitkomst_doelgroep[[#This Row],[Overige besparingen (€)]]*uitkomst_doelgroep[[#This Row],[Percentage van patiëntaantallen in Wlz (overige is Zvw)]]</f>
        <v>0</v>
      </c>
      <c r="U156" s="398">
        <f>uitkomst_doelgroep[[#This Row],[Kosten (€)]]*uitkomst_doelgroep[[#This Row],[Percentage van patiëntaantallen in Wlz (overige is Zvw)]]</f>
        <v>0</v>
      </c>
      <c r="V156" s="398">
        <f>uitkomst_doelgroep[[#This Row],[Investering (cash flow) (€)]]*uitkomst_doelgroep[[#This Row],[Percentage van patiëntaantallen in Wlz (overige is Zvw)]]</f>
        <v>0</v>
      </c>
    </row>
    <row r="157" spans="1:22" x14ac:dyDescent="0.5">
      <c r="A157" s="33" t="str">
        <f>INDEX(Technologieën[Veld],MATCH(B157,Technologieën[Digitale zorgtoepassing],0))</f>
        <v>Software - Diagnose</v>
      </c>
      <c r="B157" s="33" t="s">
        <v>472</v>
      </c>
      <c r="C157" s="33" t="s">
        <v>465</v>
      </c>
      <c r="D157" s="427" cm="1">
        <f t="array" ref="D157">INDEX(Berekening_patiëntaantal[Percentage van patiëntaantallen in Wlz (overige is Zvw)],MATCH(B157,IF(Berekening_patiëntaantal[Doelgroep (zoeksleutel)]=C157,Berekening_patiëntaantal[Digitale zorgtoepassing]),0))</f>
        <v>0</v>
      </c>
      <c r="E157" s="33" t="str" cm="1">
        <f t="array" ref="E157">INDEX(Berekening_patiëntaantal[Direct toepasbaar/extrapolatie/incidentie voor QALY],MATCH(B157,IF(Berekening_patiëntaantal[Doelgroep (zoeksleutel)]=C157,Berekening_patiëntaantal[Digitale zorgtoepassing]),0))</f>
        <v>Extrapolatie</v>
      </c>
      <c r="F157" s="43" t="s">
        <v>812</v>
      </c>
      <c r="G157" s="33" t="str">
        <f>CONCATENATE(uitkomst_doelgroep[[#This Row],[Digitale zorgtoepassing]],"_",uitkomst_doelgroep[[#This Row],[Doelgroep]],"_",uitkomst_doelgroep[[#This Row],[Uitgangssituatie/effect beleid]])</f>
        <v>AI om diagnoses te stellen (MRI)_MRI onderzoek_Overig_Effect beleid</v>
      </c>
      <c r="H157" s="33">
        <v>2033</v>
      </c>
      <c r="I157" s="32">
        <v>11</v>
      </c>
      <c r="J157" s="406" cm="1">
        <f t="array" ref="J157">INDEX(implementatie[[2023]:[2034]],MATCH(G157, implementatie[Zoeksleutel],0),I157)</f>
        <v>0.60024457479989934</v>
      </c>
      <c r="K157" s="406" cm="1">
        <f t="array" ref="K157">INDEX(implementatie[[2023]:[2034]],MATCH(G157,implementatie[Zoeksleutel],0),I157 + 1)</f>
        <v>0.73221275016749598</v>
      </c>
      <c r="L15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584751.06183516432</v>
      </c>
      <c r="M157" s="398" cm="1">
        <f t="array" ref="M157">J157*INDEX(Berekening_impact[Totaal arbeidsbesparing (€/jaar)],MATCH(B157,IF(Berekening_impact[Doelgroep]=C157,Berekening_impact[Digitale zorgtoepassing]),0))</f>
        <v>13333021.54228618</v>
      </c>
      <c r="N157" s="397" cm="1">
        <f t="array" ref="N157">J157*INDEX(Berekening_impact[Totaal arbeidsbesparing (FTE/jaar)],MATCH(B157,IF(Berekening_impact[Doelgroep]=C157,Berekening_impact[Digitale zorgtoepassing]),0))</f>
        <v>70.282579547495729</v>
      </c>
      <c r="O157" s="398" cm="1">
        <f t="array" ref="O157">J157*INDEX(Berekening_impact[Overige kostenbesparing (totaal/jaar totaal potentieel)],MATCH(B157,IF(Berekening_impact[Doelgroep]=C157,Berekening_impact[Digitale zorgtoepassing]),0))</f>
        <v>0</v>
      </c>
      <c r="P157" s="398" cm="1">
        <f t="array" ref="P157">J157*INDEX(Berekening_impact[Opbrengsten door QALY''s],MATCH(B157,IF(Berekening_impact[Doelgroep]=C157,Berekening_impact[Digitale zorgtoepassing]),0))</f>
        <v>0</v>
      </c>
      <c r="Q157" s="398" cm="1">
        <f t="array" ref="Q157">J157*INDEX(Berekening_impact[Jaarlijkse kosten (totaal) - incl. schatting],MATCH(B157,IF(Berekening_impact[Doelgroep]=C157,Berekening_impact[Digitale zorgtoepassing]),0))</f>
        <v>9940768.0511977933</v>
      </c>
      <c r="R157" s="398" cm="1">
        <f t="array" ref="R157">(uitkomst_doelgroep[[#This Row],[Implementatiegraad t = T + 1]]-uitkomst_doelgroep[[#This Row],[Implementatiegraad t = T]])*INDEX(Berekening_impact[Initiële investering (totaal) - incl. schatting],MATCH(B157,IF(Berekening_impact[Doelgroep]=C157,Berekening_impact[Digitale zorgtoepassing]),0))</f>
        <v>0</v>
      </c>
      <c r="S157" s="398">
        <f>uitkomst_doelgroep[[#This Row],[Arbeidsbesparing (€)]]*uitkomst_doelgroep[[#This Row],[Percentage van patiëntaantallen in Wlz (overige is Zvw)]]</f>
        <v>0</v>
      </c>
      <c r="T157" s="398">
        <f>uitkomst_doelgroep[[#This Row],[Overige besparingen (€)]]*uitkomst_doelgroep[[#This Row],[Percentage van patiëntaantallen in Wlz (overige is Zvw)]]</f>
        <v>0</v>
      </c>
      <c r="U157" s="398">
        <f>uitkomst_doelgroep[[#This Row],[Kosten (€)]]*uitkomst_doelgroep[[#This Row],[Percentage van patiëntaantallen in Wlz (overige is Zvw)]]</f>
        <v>0</v>
      </c>
      <c r="V157" s="398">
        <f>uitkomst_doelgroep[[#This Row],[Investering (cash flow) (€)]]*uitkomst_doelgroep[[#This Row],[Percentage van patiëntaantallen in Wlz (overige is Zvw)]]</f>
        <v>0</v>
      </c>
    </row>
    <row r="158" spans="1:22" x14ac:dyDescent="0.5">
      <c r="A158" s="33" t="str">
        <f>INDEX(Technologieën[Veld],MATCH(B158,Technologieën[Digitale zorgtoepassing],0))</f>
        <v>Software - Diagnose</v>
      </c>
      <c r="B158" s="33" t="s">
        <v>472</v>
      </c>
      <c r="C158" s="33" t="s">
        <v>442</v>
      </c>
      <c r="D158" s="427" cm="1">
        <f t="array" ref="D158">INDEX(Berekening_patiëntaantal[Percentage van patiëntaantallen in Wlz (overige is Zvw)],MATCH(B158,IF(Berekening_patiëntaantal[Doelgroep (zoeksleutel)]=C158,Berekening_patiëntaantal[Digitale zorgtoepassing]),0))</f>
        <v>0</v>
      </c>
      <c r="E158" s="33" t="str" cm="1">
        <f t="array" ref="E158">INDEX(Berekening_patiëntaantal[Direct toepasbaar/extrapolatie/incidentie voor QALY],MATCH(B158,IF(Berekening_patiëntaantal[Doelgroep (zoeksleutel)]=C158,Berekening_patiëntaantal[Digitale zorgtoepassing]),0))</f>
        <v>Huidige toepassing</v>
      </c>
      <c r="F158" s="43" t="s">
        <v>812</v>
      </c>
      <c r="G158" s="33" t="str">
        <f>CONCATENATE(uitkomst_doelgroep[[#This Row],[Digitale zorgtoepassing]],"_",uitkomst_doelgroep[[#This Row],[Doelgroep]],"_",uitkomst_doelgroep[[#This Row],[Uitgangssituatie/effect beleid]])</f>
        <v>AI om diagnoses te stellen (MRI)_MRI onderzoek_Prostaatkanker_Effect beleid</v>
      </c>
      <c r="H158" s="33">
        <v>2033</v>
      </c>
      <c r="I158" s="32">
        <v>11</v>
      </c>
      <c r="J158" s="406" cm="1">
        <f t="array" ref="J158">INDEX(implementatie[[2023]:[2034]],MATCH(G158, implementatie[Zoeksleutel],0),I158)</f>
        <v>0.99839362838010326</v>
      </c>
      <c r="K158" s="406" cm="1">
        <f t="array" ref="K158">INDEX(implementatie[[2023]:[2034]],MATCH(G158,implementatie[Zoeksleutel],0),I158 + 1)</f>
        <v>0.99924371512375787</v>
      </c>
      <c r="L15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25770.536335747227</v>
      </c>
      <c r="M158" s="398" cm="1">
        <f t="array" ref="M158">J158*INDEX(Berekening_impact[Totaal arbeidsbesparing (€/jaar)],MATCH(B158,IF(Berekening_impact[Doelgroep]=C158,Berekening_impact[Digitale zorgtoepassing]),0))</f>
        <v>587598.96056014975</v>
      </c>
      <c r="N158" s="397" cm="1">
        <f t="array" ref="N158">J158*INDEX(Berekening_impact[Totaal arbeidsbesparing (FTE/jaar)],MATCH(B158,IF(Berekening_impact[Doelgroep]=C158,Berekening_impact[Digitale zorgtoepassing]),0))</f>
        <v>3.0974202326619258</v>
      </c>
      <c r="O158" s="398" cm="1">
        <f t="array" ref="O158">J158*INDEX(Berekening_impact[Overige kostenbesparing (totaal/jaar totaal potentieel)],MATCH(B158,IF(Berekening_impact[Doelgroep]=C158,Berekening_impact[Digitale zorgtoepassing]),0))</f>
        <v>0</v>
      </c>
      <c r="P158" s="398" cm="1">
        <f t="array" ref="P158">J158*INDEX(Berekening_impact[Opbrengsten door QALY''s],MATCH(B158,IF(Berekening_impact[Doelgroep]=C158,Berekening_impact[Digitale zorgtoepassing]),0))</f>
        <v>0</v>
      </c>
      <c r="Q158" s="398" cm="1">
        <f t="array" ref="Q158">J158*INDEX(Berekening_impact[Jaarlijkse kosten (totaal) - incl. schatting],MATCH(B158,IF(Berekening_impact[Doelgroep]=C158,Berekening_impact[Digitale zorgtoepassing]),0))</f>
        <v>438099.11770770286</v>
      </c>
      <c r="R158" s="398" cm="1">
        <f t="array" ref="R158">(uitkomst_doelgroep[[#This Row],[Implementatiegraad t = T + 1]]-uitkomst_doelgroep[[#This Row],[Implementatiegraad t = T]])*INDEX(Berekening_impact[Initiële investering (totaal) - incl. schatting],MATCH(B158,IF(Berekening_impact[Doelgroep]=C158,Berekening_impact[Digitale zorgtoepassing]),0))</f>
        <v>835.30262637366025</v>
      </c>
      <c r="S158" s="398">
        <f>uitkomst_doelgroep[[#This Row],[Arbeidsbesparing (€)]]*uitkomst_doelgroep[[#This Row],[Percentage van patiëntaantallen in Wlz (overige is Zvw)]]</f>
        <v>0</v>
      </c>
      <c r="T158" s="398">
        <f>uitkomst_doelgroep[[#This Row],[Overige besparingen (€)]]*uitkomst_doelgroep[[#This Row],[Percentage van patiëntaantallen in Wlz (overige is Zvw)]]</f>
        <v>0</v>
      </c>
      <c r="U158" s="398">
        <f>uitkomst_doelgroep[[#This Row],[Kosten (€)]]*uitkomst_doelgroep[[#This Row],[Percentage van patiëntaantallen in Wlz (overige is Zvw)]]</f>
        <v>0</v>
      </c>
      <c r="V158" s="398">
        <f>uitkomst_doelgroep[[#This Row],[Investering (cash flow) (€)]]*uitkomst_doelgroep[[#This Row],[Percentage van patiëntaantallen in Wlz (overige is Zvw)]]</f>
        <v>0</v>
      </c>
    </row>
    <row r="159" spans="1:22" x14ac:dyDescent="0.5">
      <c r="A159" s="33" t="str">
        <f>INDEX(Technologieën[Veld],MATCH(B159,Technologieën[Digitale zorgtoepassing],0))</f>
        <v>Software - Diagnose</v>
      </c>
      <c r="B159" s="33" t="s">
        <v>475</v>
      </c>
      <c r="C159" s="33" t="s">
        <v>492</v>
      </c>
      <c r="D159" s="427" cm="1">
        <f t="array" ref="D159">INDEX(Berekening_patiëntaantal[Percentage van patiëntaantallen in Wlz (overige is Zvw)],MATCH(B159,IF(Berekening_patiëntaantal[Doelgroep (zoeksleutel)]=C159,Berekening_patiëntaantal[Digitale zorgtoepassing]),0))</f>
        <v>0</v>
      </c>
      <c r="E159" s="33" t="str" cm="1">
        <f t="array" ref="E159">INDEX(Berekening_patiëntaantal[Direct toepasbaar/extrapolatie/incidentie voor QALY],MATCH(B159,IF(Berekening_patiëntaantal[Doelgroep (zoeksleutel)]=C159,Berekening_patiëntaantal[Digitale zorgtoepassing]),0))</f>
        <v>Extrapolatie</v>
      </c>
      <c r="F159" s="43" t="s">
        <v>812</v>
      </c>
      <c r="G159" s="33" t="str">
        <f>CONCATENATE(uitkomst_doelgroep[[#This Row],[Digitale zorgtoepassing]],"_",uitkomst_doelgroep[[#This Row],[Doelgroep]],"_",uitkomst_doelgroep[[#This Row],[Uitgangssituatie/effect beleid]])</f>
        <v>AI om diagnoses te stellen (röntgen)_Röntgenscan_Overig_Effect beleid</v>
      </c>
      <c r="H159" s="33">
        <v>2023</v>
      </c>
      <c r="I159" s="32">
        <v>1</v>
      </c>
      <c r="J159" s="406" cm="1">
        <f t="array" ref="J159">INDEX(implementatie[[2023]:[2034]],MATCH(G159, implementatie[Zoeksleutel],0),I159)</f>
        <v>0</v>
      </c>
      <c r="K159" s="406" cm="1">
        <f t="array" ref="K159">INDEX(implementatie[[2023]:[2034]],MATCH(G159,implementatie[Zoeksleutel],0),I159 + 1)</f>
        <v>0</v>
      </c>
      <c r="L15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59" s="398" cm="1">
        <f t="array" ref="M159">J159*INDEX(Berekening_impact[Totaal arbeidsbesparing (€/jaar)],MATCH(B159,IF(Berekening_impact[Doelgroep]=C159,Berekening_impact[Digitale zorgtoepassing]),0))</f>
        <v>0</v>
      </c>
      <c r="N159" s="397" cm="1">
        <f t="array" ref="N159">J159*INDEX(Berekening_impact[Totaal arbeidsbesparing (FTE/jaar)],MATCH(B159,IF(Berekening_impact[Doelgroep]=C159,Berekening_impact[Digitale zorgtoepassing]),0))</f>
        <v>0</v>
      </c>
      <c r="O159" s="398" cm="1">
        <f t="array" ref="O159">J159*INDEX(Berekening_impact[Overige kostenbesparing (totaal/jaar totaal potentieel)],MATCH(B159,IF(Berekening_impact[Doelgroep]=C159,Berekening_impact[Digitale zorgtoepassing]),0))</f>
        <v>0</v>
      </c>
      <c r="P159" s="398" cm="1">
        <f t="array" ref="P159">J159*INDEX(Berekening_impact[Opbrengsten door QALY''s],MATCH(B159,IF(Berekening_impact[Doelgroep]=C159,Berekening_impact[Digitale zorgtoepassing]),0))</f>
        <v>0</v>
      </c>
      <c r="Q159" s="398" cm="1">
        <f t="array" ref="Q159">J159*INDEX(Berekening_impact[Jaarlijkse kosten (totaal) - incl. schatting],MATCH(B159,IF(Berekening_impact[Doelgroep]=C159,Berekening_impact[Digitale zorgtoepassing]),0))</f>
        <v>0</v>
      </c>
      <c r="R159" s="398" cm="1">
        <f t="array" ref="R159">(uitkomst_doelgroep[[#This Row],[Implementatiegraad t = T + 1]]-uitkomst_doelgroep[[#This Row],[Implementatiegraad t = T]])*INDEX(Berekening_impact[Initiële investering (totaal) - incl. schatting],MATCH(B159,IF(Berekening_impact[Doelgroep]=C159,Berekening_impact[Digitale zorgtoepassing]),0))</f>
        <v>0</v>
      </c>
      <c r="S159" s="398">
        <f>uitkomst_doelgroep[[#This Row],[Arbeidsbesparing (€)]]*uitkomst_doelgroep[[#This Row],[Percentage van patiëntaantallen in Wlz (overige is Zvw)]]</f>
        <v>0</v>
      </c>
      <c r="T159" s="398">
        <f>uitkomst_doelgroep[[#This Row],[Overige besparingen (€)]]*uitkomst_doelgroep[[#This Row],[Percentage van patiëntaantallen in Wlz (overige is Zvw)]]</f>
        <v>0</v>
      </c>
      <c r="U159" s="398">
        <f>uitkomst_doelgroep[[#This Row],[Kosten (€)]]*uitkomst_doelgroep[[#This Row],[Percentage van patiëntaantallen in Wlz (overige is Zvw)]]</f>
        <v>0</v>
      </c>
      <c r="V159" s="398">
        <f>uitkomst_doelgroep[[#This Row],[Investering (cash flow) (€)]]*uitkomst_doelgroep[[#This Row],[Percentage van patiëntaantallen in Wlz (overige is Zvw)]]</f>
        <v>0</v>
      </c>
    </row>
    <row r="160" spans="1:22" x14ac:dyDescent="0.5">
      <c r="A160" s="33" t="str">
        <f>INDEX(Technologieën[Veld],MATCH(B160,Technologieën[Digitale zorgtoepassing],0))</f>
        <v>Software - Diagnose</v>
      </c>
      <c r="B160" s="33" t="s">
        <v>475</v>
      </c>
      <c r="C160" s="33" t="s">
        <v>460</v>
      </c>
      <c r="D160" s="427" cm="1">
        <f t="array" ref="D160">INDEX(Berekening_patiëntaantal[Percentage van patiëntaantallen in Wlz (overige is Zvw)],MATCH(B160,IF(Berekening_patiëntaantal[Doelgroep (zoeksleutel)]=C160,Berekening_patiëntaantal[Digitale zorgtoepassing]),0))</f>
        <v>0</v>
      </c>
      <c r="E160" s="33" t="str" cm="1">
        <f t="array" ref="E160">INDEX(Berekening_patiëntaantal[Direct toepasbaar/extrapolatie/incidentie voor QALY],MATCH(B160,IF(Berekening_patiëntaantal[Doelgroep (zoeksleutel)]=C160,Berekening_patiëntaantal[Digitale zorgtoepassing]),0))</f>
        <v>Huidige toepassing</v>
      </c>
      <c r="F160" s="43" t="s">
        <v>812</v>
      </c>
      <c r="G160" s="33" t="str">
        <f>CONCATENATE(uitkomst_doelgroep[[#This Row],[Digitale zorgtoepassing]],"_",uitkomst_doelgroep[[#This Row],[Doelgroep]],"_",uitkomst_doelgroep[[#This Row],[Uitgangssituatie/effect beleid]])</f>
        <v>AI om diagnoses te stellen (röntgen)_Röntgenscan_Botbreuk_Effect beleid</v>
      </c>
      <c r="H160" s="33">
        <v>2023</v>
      </c>
      <c r="I160" s="32">
        <v>1</v>
      </c>
      <c r="J160" s="406" cm="1">
        <f t="array" ref="J160">INDEX(implementatie[[2023]:[2034]],MATCH(G160, implementatie[Zoeksleutel],0),I160)</f>
        <v>0.2</v>
      </c>
      <c r="K160" s="406" cm="1">
        <f t="array" ref="K160">INDEX(implementatie[[2023]:[2034]],MATCH(G160,implementatie[Zoeksleutel],0),I160 + 1)</f>
        <v>0.29200000000000004</v>
      </c>
      <c r="L16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80397.200000000012</v>
      </c>
      <c r="M160" s="398" cm="1">
        <f t="array" ref="M160">J160*INDEX(Berekening_impact[Totaal arbeidsbesparing (€/jaar)],MATCH(B160,IF(Berekening_impact[Doelgroep]=C160,Berekening_impact[Digitale zorgtoepassing]),0))</f>
        <v>20368.355955236268</v>
      </c>
      <c r="N160" s="397" cm="1">
        <f t="array" ref="N160">J160*INDEX(Berekening_impact[Totaal arbeidsbesparing (FTE/jaar)],MATCH(B160,IF(Berekening_impact[Doelgroep]=C160,Berekening_impact[Digitale zorgtoepassing]),0))</f>
        <v>0.10736805555555554</v>
      </c>
      <c r="O160" s="398" cm="1">
        <f t="array" ref="O160">J160*INDEX(Berekening_impact[Overige kostenbesparing (totaal/jaar totaal potentieel)],MATCH(B160,IF(Berekening_impact[Doelgroep]=C160,Berekening_impact[Digitale zorgtoepassing]),0))</f>
        <v>0</v>
      </c>
      <c r="P160" s="398" cm="1">
        <f t="array" ref="P160">J160*INDEX(Berekening_impact[Opbrengsten door QALY''s],MATCH(B160,IF(Berekening_impact[Doelgroep]=C160,Berekening_impact[Digitale zorgtoepassing]),0))</f>
        <v>0</v>
      </c>
      <c r="Q160" s="398" cm="1">
        <f t="array" ref="Q160">J160*INDEX(Berekening_impact[Jaarlijkse kosten (totaal) - incl. schatting],MATCH(B160,IF(Berekening_impact[Doelgroep]=C160,Berekening_impact[Digitale zorgtoepassing]),0))</f>
        <v>17309.674764613756</v>
      </c>
      <c r="R160" s="398" cm="1">
        <f t="array" ref="R160">(uitkomst_doelgroep[[#This Row],[Implementatiegraad t = T + 1]]-uitkomst_doelgroep[[#This Row],[Implementatiegraad t = T]])*INDEX(Berekening_impact[Initiële investering (totaal) - incl. schatting],MATCH(B160,IF(Berekening_impact[Doelgroep]=C160,Berekening_impact[Digitale zorgtoepassing]),0))</f>
        <v>0</v>
      </c>
      <c r="S160" s="398">
        <f>uitkomst_doelgroep[[#This Row],[Arbeidsbesparing (€)]]*uitkomst_doelgroep[[#This Row],[Percentage van patiëntaantallen in Wlz (overige is Zvw)]]</f>
        <v>0</v>
      </c>
      <c r="T160" s="398">
        <f>uitkomst_doelgroep[[#This Row],[Overige besparingen (€)]]*uitkomst_doelgroep[[#This Row],[Percentage van patiëntaantallen in Wlz (overige is Zvw)]]</f>
        <v>0</v>
      </c>
      <c r="U160" s="398">
        <f>uitkomst_doelgroep[[#This Row],[Kosten (€)]]*uitkomst_doelgroep[[#This Row],[Percentage van patiëntaantallen in Wlz (overige is Zvw)]]</f>
        <v>0</v>
      </c>
      <c r="V160" s="398">
        <f>uitkomst_doelgroep[[#This Row],[Investering (cash flow) (€)]]*uitkomst_doelgroep[[#This Row],[Percentage van patiëntaantallen in Wlz (overige is Zvw)]]</f>
        <v>0</v>
      </c>
    </row>
    <row r="161" spans="1:22" x14ac:dyDescent="0.5">
      <c r="A161" s="33" t="str">
        <f>INDEX(Technologieën[Veld],MATCH(B161,Technologieën[Digitale zorgtoepassing],0))</f>
        <v>Software - Diagnose</v>
      </c>
      <c r="B161" s="33" t="s">
        <v>475</v>
      </c>
      <c r="C161" s="33" t="s">
        <v>492</v>
      </c>
      <c r="D161" s="427" cm="1">
        <f t="array" ref="D161">INDEX(Berekening_patiëntaantal[Percentage van patiëntaantallen in Wlz (overige is Zvw)],MATCH(B161,IF(Berekening_patiëntaantal[Doelgroep (zoeksleutel)]=C161,Berekening_patiëntaantal[Digitale zorgtoepassing]),0))</f>
        <v>0</v>
      </c>
      <c r="E161" s="33" t="str" cm="1">
        <f t="array" ref="E161">INDEX(Berekening_patiëntaantal[Direct toepasbaar/extrapolatie/incidentie voor QALY],MATCH(B161,IF(Berekening_patiëntaantal[Doelgroep (zoeksleutel)]=C161,Berekening_patiëntaantal[Digitale zorgtoepassing]),0))</f>
        <v>Extrapolatie</v>
      </c>
      <c r="F161" s="43" t="s">
        <v>812</v>
      </c>
      <c r="G161" s="33" t="str">
        <f>CONCATENATE(uitkomst_doelgroep[[#This Row],[Digitale zorgtoepassing]],"_",uitkomst_doelgroep[[#This Row],[Doelgroep]],"_",uitkomst_doelgroep[[#This Row],[Uitgangssituatie/effect beleid]])</f>
        <v>AI om diagnoses te stellen (röntgen)_Röntgenscan_Overig_Effect beleid</v>
      </c>
      <c r="H161" s="33">
        <v>2024</v>
      </c>
      <c r="I161" s="32">
        <v>2</v>
      </c>
      <c r="J161" s="406" cm="1">
        <f t="array" ref="J161">INDEX(implementatie[[2023]:[2034]],MATCH(G161, implementatie[Zoeksleutel],0),I161)</f>
        <v>0</v>
      </c>
      <c r="K161" s="406" cm="1">
        <f t="array" ref="K161">INDEX(implementatie[[2023]:[2034]],MATCH(G161,implementatie[Zoeksleutel],0),I161 + 1)</f>
        <v>0</v>
      </c>
      <c r="L16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61" s="398" cm="1">
        <f t="array" ref="M161">J161*INDEX(Berekening_impact[Totaal arbeidsbesparing (€/jaar)],MATCH(B161,IF(Berekening_impact[Doelgroep]=C161,Berekening_impact[Digitale zorgtoepassing]),0))</f>
        <v>0</v>
      </c>
      <c r="N161" s="397" cm="1">
        <f t="array" ref="N161">J161*INDEX(Berekening_impact[Totaal arbeidsbesparing (FTE/jaar)],MATCH(B161,IF(Berekening_impact[Doelgroep]=C161,Berekening_impact[Digitale zorgtoepassing]),0))</f>
        <v>0</v>
      </c>
      <c r="O161" s="398" cm="1">
        <f t="array" ref="O161">J161*INDEX(Berekening_impact[Overige kostenbesparing (totaal/jaar totaal potentieel)],MATCH(B161,IF(Berekening_impact[Doelgroep]=C161,Berekening_impact[Digitale zorgtoepassing]),0))</f>
        <v>0</v>
      </c>
      <c r="P161" s="398" cm="1">
        <f t="array" ref="P161">J161*INDEX(Berekening_impact[Opbrengsten door QALY''s],MATCH(B161,IF(Berekening_impact[Doelgroep]=C161,Berekening_impact[Digitale zorgtoepassing]),0))</f>
        <v>0</v>
      </c>
      <c r="Q161" s="398" cm="1">
        <f t="array" ref="Q161">J161*INDEX(Berekening_impact[Jaarlijkse kosten (totaal) - incl. schatting],MATCH(B161,IF(Berekening_impact[Doelgroep]=C161,Berekening_impact[Digitale zorgtoepassing]),0))</f>
        <v>0</v>
      </c>
      <c r="R161" s="398" cm="1">
        <f t="array" ref="R161">(uitkomst_doelgroep[[#This Row],[Implementatiegraad t = T + 1]]-uitkomst_doelgroep[[#This Row],[Implementatiegraad t = T]])*INDEX(Berekening_impact[Initiële investering (totaal) - incl. schatting],MATCH(B161,IF(Berekening_impact[Doelgroep]=C161,Berekening_impact[Digitale zorgtoepassing]),0))</f>
        <v>0</v>
      </c>
      <c r="S161" s="398">
        <f>uitkomst_doelgroep[[#This Row],[Arbeidsbesparing (€)]]*uitkomst_doelgroep[[#This Row],[Percentage van patiëntaantallen in Wlz (overige is Zvw)]]</f>
        <v>0</v>
      </c>
      <c r="T161" s="398">
        <f>uitkomst_doelgroep[[#This Row],[Overige besparingen (€)]]*uitkomst_doelgroep[[#This Row],[Percentage van patiëntaantallen in Wlz (overige is Zvw)]]</f>
        <v>0</v>
      </c>
      <c r="U161" s="398">
        <f>uitkomst_doelgroep[[#This Row],[Kosten (€)]]*uitkomst_doelgroep[[#This Row],[Percentage van patiëntaantallen in Wlz (overige is Zvw)]]</f>
        <v>0</v>
      </c>
      <c r="V161" s="398">
        <f>uitkomst_doelgroep[[#This Row],[Investering (cash flow) (€)]]*uitkomst_doelgroep[[#This Row],[Percentage van patiëntaantallen in Wlz (overige is Zvw)]]</f>
        <v>0</v>
      </c>
    </row>
    <row r="162" spans="1:22" x14ac:dyDescent="0.5">
      <c r="A162" s="33" t="str">
        <f>INDEX(Technologieën[Veld],MATCH(B162,Technologieën[Digitale zorgtoepassing],0))</f>
        <v>Software - Diagnose</v>
      </c>
      <c r="B162" s="33" t="s">
        <v>475</v>
      </c>
      <c r="C162" s="33" t="s">
        <v>460</v>
      </c>
      <c r="D162" s="427" cm="1">
        <f t="array" ref="D162">INDEX(Berekening_patiëntaantal[Percentage van patiëntaantallen in Wlz (overige is Zvw)],MATCH(B162,IF(Berekening_patiëntaantal[Doelgroep (zoeksleutel)]=C162,Berekening_patiëntaantal[Digitale zorgtoepassing]),0))</f>
        <v>0</v>
      </c>
      <c r="E162" s="33" t="str" cm="1">
        <f t="array" ref="E162">INDEX(Berekening_patiëntaantal[Direct toepasbaar/extrapolatie/incidentie voor QALY],MATCH(B162,IF(Berekening_patiëntaantal[Doelgroep (zoeksleutel)]=C162,Berekening_patiëntaantal[Digitale zorgtoepassing]),0))</f>
        <v>Huidige toepassing</v>
      </c>
      <c r="F162" s="43" t="s">
        <v>812</v>
      </c>
      <c r="G162" s="33" t="str">
        <f>CONCATENATE(uitkomst_doelgroep[[#This Row],[Digitale zorgtoepassing]],"_",uitkomst_doelgroep[[#This Row],[Doelgroep]],"_",uitkomst_doelgroep[[#This Row],[Uitgangssituatie/effect beleid]])</f>
        <v>AI om diagnoses te stellen (röntgen)_Röntgenscan_Botbreuk_Effect beleid</v>
      </c>
      <c r="H162" s="33">
        <v>2024</v>
      </c>
      <c r="I162" s="32">
        <v>2</v>
      </c>
      <c r="J162" s="406" cm="1">
        <f t="array" ref="J162">INDEX(implementatie[[2023]:[2034]],MATCH(G162, implementatie[Zoeksleutel],0),I162)</f>
        <v>0.29200000000000004</v>
      </c>
      <c r="K162" s="406" cm="1">
        <f t="array" ref="K162">INDEX(implementatie[[2023]:[2034]],MATCH(G162,implementatie[Zoeksleutel],0),I162 + 1)</f>
        <v>0.40273120000000007</v>
      </c>
      <c r="L16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117379.91200000001</v>
      </c>
      <c r="M162" s="398" cm="1">
        <f t="array" ref="M162">J162*INDEX(Berekening_impact[Totaal arbeidsbesparing (€/jaar)],MATCH(B162,IF(Berekening_impact[Doelgroep]=C162,Berekening_impact[Digitale zorgtoepassing]),0))</f>
        <v>29737.799694644953</v>
      </c>
      <c r="N162" s="397" cm="1">
        <f t="array" ref="N162">J162*INDEX(Berekening_impact[Totaal arbeidsbesparing (FTE/jaar)],MATCH(B162,IF(Berekening_impact[Doelgroep]=C162,Berekening_impact[Digitale zorgtoepassing]),0))</f>
        <v>0.1567573611111111</v>
      </c>
      <c r="O162" s="398" cm="1">
        <f t="array" ref="O162">J162*INDEX(Berekening_impact[Overige kostenbesparing (totaal/jaar totaal potentieel)],MATCH(B162,IF(Berekening_impact[Doelgroep]=C162,Berekening_impact[Digitale zorgtoepassing]),0))</f>
        <v>0</v>
      </c>
      <c r="P162" s="398" cm="1">
        <f t="array" ref="P162">J162*INDEX(Berekening_impact[Opbrengsten door QALY''s],MATCH(B162,IF(Berekening_impact[Doelgroep]=C162,Berekening_impact[Digitale zorgtoepassing]),0))</f>
        <v>0</v>
      </c>
      <c r="Q162" s="398" cm="1">
        <f t="array" ref="Q162">J162*INDEX(Berekening_impact[Jaarlijkse kosten (totaal) - incl. schatting],MATCH(B162,IF(Berekening_impact[Doelgroep]=C162,Berekening_impact[Digitale zorgtoepassing]),0))</f>
        <v>25272.125156336086</v>
      </c>
      <c r="R162" s="398" cm="1">
        <f t="array" ref="R162">(uitkomst_doelgroep[[#This Row],[Implementatiegraad t = T + 1]]-uitkomst_doelgroep[[#This Row],[Implementatiegraad t = T]])*INDEX(Berekening_impact[Initiële investering (totaal) - incl. schatting],MATCH(B162,IF(Berekening_impact[Doelgroep]=C162,Berekening_impact[Digitale zorgtoepassing]),0))</f>
        <v>0</v>
      </c>
      <c r="S162" s="398">
        <f>uitkomst_doelgroep[[#This Row],[Arbeidsbesparing (€)]]*uitkomst_doelgroep[[#This Row],[Percentage van patiëntaantallen in Wlz (overige is Zvw)]]</f>
        <v>0</v>
      </c>
      <c r="T162" s="398">
        <f>uitkomst_doelgroep[[#This Row],[Overige besparingen (€)]]*uitkomst_doelgroep[[#This Row],[Percentage van patiëntaantallen in Wlz (overige is Zvw)]]</f>
        <v>0</v>
      </c>
      <c r="U162" s="398">
        <f>uitkomst_doelgroep[[#This Row],[Kosten (€)]]*uitkomst_doelgroep[[#This Row],[Percentage van patiëntaantallen in Wlz (overige is Zvw)]]</f>
        <v>0</v>
      </c>
      <c r="V162" s="398">
        <f>uitkomst_doelgroep[[#This Row],[Investering (cash flow) (€)]]*uitkomst_doelgroep[[#This Row],[Percentage van patiëntaantallen in Wlz (overige is Zvw)]]</f>
        <v>0</v>
      </c>
    </row>
    <row r="163" spans="1:22" x14ac:dyDescent="0.5">
      <c r="A163" s="33" t="str">
        <f>INDEX(Technologieën[Veld],MATCH(B163,Technologieën[Digitale zorgtoepassing],0))</f>
        <v>Software - Diagnose</v>
      </c>
      <c r="B163" s="33" t="s">
        <v>475</v>
      </c>
      <c r="C163" s="33" t="s">
        <v>492</v>
      </c>
      <c r="D163" s="427" cm="1">
        <f t="array" ref="D163">INDEX(Berekening_patiëntaantal[Percentage van patiëntaantallen in Wlz (overige is Zvw)],MATCH(B163,IF(Berekening_patiëntaantal[Doelgroep (zoeksleutel)]=C163,Berekening_patiëntaantal[Digitale zorgtoepassing]),0))</f>
        <v>0</v>
      </c>
      <c r="E163" s="33" t="str" cm="1">
        <f t="array" ref="E163">INDEX(Berekening_patiëntaantal[Direct toepasbaar/extrapolatie/incidentie voor QALY],MATCH(B163,IF(Berekening_patiëntaantal[Doelgroep (zoeksleutel)]=C163,Berekening_patiëntaantal[Digitale zorgtoepassing]),0))</f>
        <v>Extrapolatie</v>
      </c>
      <c r="F163" s="43" t="s">
        <v>812</v>
      </c>
      <c r="G163" s="33" t="str">
        <f>CONCATENATE(uitkomst_doelgroep[[#This Row],[Digitale zorgtoepassing]],"_",uitkomst_doelgroep[[#This Row],[Doelgroep]],"_",uitkomst_doelgroep[[#This Row],[Uitgangssituatie/effect beleid]])</f>
        <v>AI om diagnoses te stellen (röntgen)_Röntgenscan_Overig_Effect beleid</v>
      </c>
      <c r="H163" s="33">
        <v>2025</v>
      </c>
      <c r="I163" s="32">
        <v>3</v>
      </c>
      <c r="J163" s="406" cm="1">
        <f t="array" ref="J163">INDEX(implementatie[[2023]:[2034]],MATCH(G163, implementatie[Zoeksleutel],0),I163)</f>
        <v>0</v>
      </c>
      <c r="K163" s="406" cm="1">
        <f t="array" ref="K163">INDEX(implementatie[[2023]:[2034]],MATCH(G163,implementatie[Zoeksleutel],0),I163 + 1)</f>
        <v>0</v>
      </c>
      <c r="L16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63" s="398" cm="1">
        <f t="array" ref="M163">J163*INDEX(Berekening_impact[Totaal arbeidsbesparing (€/jaar)],MATCH(B163,IF(Berekening_impact[Doelgroep]=C163,Berekening_impact[Digitale zorgtoepassing]),0))</f>
        <v>0</v>
      </c>
      <c r="N163" s="397" cm="1">
        <f t="array" ref="N163">J163*INDEX(Berekening_impact[Totaal arbeidsbesparing (FTE/jaar)],MATCH(B163,IF(Berekening_impact[Doelgroep]=C163,Berekening_impact[Digitale zorgtoepassing]),0))</f>
        <v>0</v>
      </c>
      <c r="O163" s="398" cm="1">
        <f t="array" ref="O163">J163*INDEX(Berekening_impact[Overige kostenbesparing (totaal/jaar totaal potentieel)],MATCH(B163,IF(Berekening_impact[Doelgroep]=C163,Berekening_impact[Digitale zorgtoepassing]),0))</f>
        <v>0</v>
      </c>
      <c r="P163" s="398" cm="1">
        <f t="array" ref="P163">J163*INDEX(Berekening_impact[Opbrengsten door QALY''s],MATCH(B163,IF(Berekening_impact[Doelgroep]=C163,Berekening_impact[Digitale zorgtoepassing]),0))</f>
        <v>0</v>
      </c>
      <c r="Q163" s="398" cm="1">
        <f t="array" ref="Q163">J163*INDEX(Berekening_impact[Jaarlijkse kosten (totaal) - incl. schatting],MATCH(B163,IF(Berekening_impact[Doelgroep]=C163,Berekening_impact[Digitale zorgtoepassing]),0))</f>
        <v>0</v>
      </c>
      <c r="R163" s="398" cm="1">
        <f t="array" ref="R163">(uitkomst_doelgroep[[#This Row],[Implementatiegraad t = T + 1]]-uitkomst_doelgroep[[#This Row],[Implementatiegraad t = T]])*INDEX(Berekening_impact[Initiële investering (totaal) - incl. schatting],MATCH(B163,IF(Berekening_impact[Doelgroep]=C163,Berekening_impact[Digitale zorgtoepassing]),0))</f>
        <v>0</v>
      </c>
      <c r="S163" s="398">
        <f>uitkomst_doelgroep[[#This Row],[Arbeidsbesparing (€)]]*uitkomst_doelgroep[[#This Row],[Percentage van patiëntaantallen in Wlz (overige is Zvw)]]</f>
        <v>0</v>
      </c>
      <c r="T163" s="398">
        <f>uitkomst_doelgroep[[#This Row],[Overige besparingen (€)]]*uitkomst_doelgroep[[#This Row],[Percentage van patiëntaantallen in Wlz (overige is Zvw)]]</f>
        <v>0</v>
      </c>
      <c r="U163" s="398">
        <f>uitkomst_doelgroep[[#This Row],[Kosten (€)]]*uitkomst_doelgroep[[#This Row],[Percentage van patiëntaantallen in Wlz (overige is Zvw)]]</f>
        <v>0</v>
      </c>
      <c r="V163" s="398">
        <f>uitkomst_doelgroep[[#This Row],[Investering (cash flow) (€)]]*uitkomst_doelgroep[[#This Row],[Percentage van patiëntaantallen in Wlz (overige is Zvw)]]</f>
        <v>0</v>
      </c>
    </row>
    <row r="164" spans="1:22" x14ac:dyDescent="0.5">
      <c r="A164" s="33" t="str">
        <f>INDEX(Technologieën[Veld],MATCH(B164,Technologieën[Digitale zorgtoepassing],0))</f>
        <v>Software - Diagnose</v>
      </c>
      <c r="B164" s="33" t="s">
        <v>475</v>
      </c>
      <c r="C164" s="33" t="s">
        <v>460</v>
      </c>
      <c r="D164" s="427" cm="1">
        <f t="array" ref="D164">INDEX(Berekening_patiëntaantal[Percentage van patiëntaantallen in Wlz (overige is Zvw)],MATCH(B164,IF(Berekening_patiëntaantal[Doelgroep (zoeksleutel)]=C164,Berekening_patiëntaantal[Digitale zorgtoepassing]),0))</f>
        <v>0</v>
      </c>
      <c r="E164" s="33" t="str" cm="1">
        <f t="array" ref="E164">INDEX(Berekening_patiëntaantal[Direct toepasbaar/extrapolatie/incidentie voor QALY],MATCH(B164,IF(Berekening_patiëntaantal[Doelgroep (zoeksleutel)]=C164,Berekening_patiëntaantal[Digitale zorgtoepassing]),0))</f>
        <v>Huidige toepassing</v>
      </c>
      <c r="F164" s="43" t="s">
        <v>812</v>
      </c>
      <c r="G164" s="33" t="str">
        <f>CONCATENATE(uitkomst_doelgroep[[#This Row],[Digitale zorgtoepassing]],"_",uitkomst_doelgroep[[#This Row],[Doelgroep]],"_",uitkomst_doelgroep[[#This Row],[Uitgangssituatie/effect beleid]])</f>
        <v>AI om diagnoses te stellen (röntgen)_Röntgenscan_Botbreuk_Effect beleid</v>
      </c>
      <c r="H164" s="33">
        <v>2025</v>
      </c>
      <c r="I164" s="32">
        <v>3</v>
      </c>
      <c r="J164" s="406" cm="1">
        <f t="array" ref="J164">INDEX(implementatie[[2023]:[2034]],MATCH(G164, implementatie[Zoeksleutel],0),I164)</f>
        <v>0.40273120000000007</v>
      </c>
      <c r="K164" s="406" cm="1">
        <f t="array" ref="K164">INDEX(implementatie[[2023]:[2034]],MATCH(G164,implementatie[Zoeksleutel],0),I164 + 1)</f>
        <v>0.52590537124595205</v>
      </c>
      <c r="L16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161892.30416320002</v>
      </c>
      <c r="M164" s="398" cm="1">
        <f t="array" ref="M164">J164*INDEX(Berekening_impact[Totaal arbeidsbesparing (€/jaar)],MATCH(B164,IF(Berekening_impact[Doelgroep]=C164,Berekening_impact[Digitale zorgtoepassing]),0))</f>
        <v>41014.862179397242</v>
      </c>
      <c r="N164" s="397" cm="1">
        <f t="array" ref="N164">J164*INDEX(Berekening_impact[Totaal arbeidsbesparing (FTE/jaar)],MATCH(B164,IF(Berekening_impact[Doelgroep]=C164,Berekening_impact[Digitale zorgtoepassing]),0))</f>
        <v>0.21620232927777777</v>
      </c>
      <c r="O164" s="398" cm="1">
        <f t="array" ref="O164">J164*INDEX(Berekening_impact[Overige kostenbesparing (totaal/jaar totaal potentieel)],MATCH(B164,IF(Berekening_impact[Doelgroep]=C164,Berekening_impact[Digitale zorgtoepassing]),0))</f>
        <v>0</v>
      </c>
      <c r="P164" s="398" cm="1">
        <f t="array" ref="P164">J164*INDEX(Berekening_impact[Opbrengsten door QALY''s],MATCH(B164,IF(Berekening_impact[Doelgroep]=C164,Berekening_impact[Digitale zorgtoepassing]),0))</f>
        <v>0</v>
      </c>
      <c r="Q164" s="398" cm="1">
        <f t="array" ref="Q164">J164*INDEX(Berekening_impact[Jaarlijkse kosten (totaal) - incl. schatting],MATCH(B164,IF(Berekening_impact[Doelgroep]=C164,Berekening_impact[Digitale zorgtoepassing]),0))</f>
        <v>34855.730447813083</v>
      </c>
      <c r="R164" s="398" cm="1">
        <f t="array" ref="R164">(uitkomst_doelgroep[[#This Row],[Implementatiegraad t = T + 1]]-uitkomst_doelgroep[[#This Row],[Implementatiegraad t = T]])*INDEX(Berekening_impact[Initiële investering (totaal) - incl. schatting],MATCH(B164,IF(Berekening_impact[Doelgroep]=C164,Berekening_impact[Digitale zorgtoepassing]),0))</f>
        <v>0</v>
      </c>
      <c r="S164" s="398">
        <f>uitkomst_doelgroep[[#This Row],[Arbeidsbesparing (€)]]*uitkomst_doelgroep[[#This Row],[Percentage van patiëntaantallen in Wlz (overige is Zvw)]]</f>
        <v>0</v>
      </c>
      <c r="T164" s="398">
        <f>uitkomst_doelgroep[[#This Row],[Overige besparingen (€)]]*uitkomst_doelgroep[[#This Row],[Percentage van patiëntaantallen in Wlz (overige is Zvw)]]</f>
        <v>0</v>
      </c>
      <c r="U164" s="398">
        <f>uitkomst_doelgroep[[#This Row],[Kosten (€)]]*uitkomst_doelgroep[[#This Row],[Percentage van patiëntaantallen in Wlz (overige is Zvw)]]</f>
        <v>0</v>
      </c>
      <c r="V164" s="398">
        <f>uitkomst_doelgroep[[#This Row],[Investering (cash flow) (€)]]*uitkomst_doelgroep[[#This Row],[Percentage van patiëntaantallen in Wlz (overige is Zvw)]]</f>
        <v>0</v>
      </c>
    </row>
    <row r="165" spans="1:22" x14ac:dyDescent="0.5">
      <c r="A165" s="33" t="str">
        <f>INDEX(Technologieën[Veld],MATCH(B165,Technologieën[Digitale zorgtoepassing],0))</f>
        <v>Software - Diagnose</v>
      </c>
      <c r="B165" s="33" t="s">
        <v>475</v>
      </c>
      <c r="C165" s="33" t="s">
        <v>492</v>
      </c>
      <c r="D165" s="427" cm="1">
        <f t="array" ref="D165">INDEX(Berekening_patiëntaantal[Percentage van patiëntaantallen in Wlz (overige is Zvw)],MATCH(B165,IF(Berekening_patiëntaantal[Doelgroep (zoeksleutel)]=C165,Berekening_patiëntaantal[Digitale zorgtoepassing]),0))</f>
        <v>0</v>
      </c>
      <c r="E165" s="33" t="str" cm="1">
        <f t="array" ref="E165">INDEX(Berekening_patiëntaantal[Direct toepasbaar/extrapolatie/incidentie voor QALY],MATCH(B165,IF(Berekening_patiëntaantal[Doelgroep (zoeksleutel)]=C165,Berekening_patiëntaantal[Digitale zorgtoepassing]),0))</f>
        <v>Extrapolatie</v>
      </c>
      <c r="F165" s="43" t="s">
        <v>812</v>
      </c>
      <c r="G165" s="33" t="str">
        <f>CONCATENATE(uitkomst_doelgroep[[#This Row],[Digitale zorgtoepassing]],"_",uitkomst_doelgroep[[#This Row],[Doelgroep]],"_",uitkomst_doelgroep[[#This Row],[Uitgangssituatie/effect beleid]])</f>
        <v>AI om diagnoses te stellen (röntgen)_Röntgenscan_Overig_Effect beleid</v>
      </c>
      <c r="H165" s="33">
        <v>2026</v>
      </c>
      <c r="I165" s="32">
        <v>4</v>
      </c>
      <c r="J165" s="406" cm="1">
        <f t="array" ref="J165">INDEX(implementatie[[2023]:[2034]],MATCH(G165, implementatie[Zoeksleutel],0),I165)</f>
        <v>0</v>
      </c>
      <c r="K165" s="406" cm="1">
        <f t="array" ref="K165">INDEX(implementatie[[2023]:[2034]],MATCH(G165,implementatie[Zoeksleutel],0),I165 + 1)</f>
        <v>2.5000000000000001E-2</v>
      </c>
      <c r="L16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65" s="398" cm="1">
        <f t="array" ref="M165">J165*INDEX(Berekening_impact[Totaal arbeidsbesparing (€/jaar)],MATCH(B165,IF(Berekening_impact[Doelgroep]=C165,Berekening_impact[Digitale zorgtoepassing]),0))</f>
        <v>0</v>
      </c>
      <c r="N165" s="397" cm="1">
        <f t="array" ref="N165">J165*INDEX(Berekening_impact[Totaal arbeidsbesparing (FTE/jaar)],MATCH(B165,IF(Berekening_impact[Doelgroep]=C165,Berekening_impact[Digitale zorgtoepassing]),0))</f>
        <v>0</v>
      </c>
      <c r="O165" s="398" cm="1">
        <f t="array" ref="O165">J165*INDEX(Berekening_impact[Overige kostenbesparing (totaal/jaar totaal potentieel)],MATCH(B165,IF(Berekening_impact[Doelgroep]=C165,Berekening_impact[Digitale zorgtoepassing]),0))</f>
        <v>0</v>
      </c>
      <c r="P165" s="398" cm="1">
        <f t="array" ref="P165">J165*INDEX(Berekening_impact[Opbrengsten door QALY''s],MATCH(B165,IF(Berekening_impact[Doelgroep]=C165,Berekening_impact[Digitale zorgtoepassing]),0))</f>
        <v>0</v>
      </c>
      <c r="Q165" s="398" cm="1">
        <f t="array" ref="Q165">J165*INDEX(Berekening_impact[Jaarlijkse kosten (totaal) - incl. schatting],MATCH(B165,IF(Berekening_impact[Doelgroep]=C165,Berekening_impact[Digitale zorgtoepassing]),0))</f>
        <v>0</v>
      </c>
      <c r="R165" s="398" cm="1">
        <f t="array" ref="R165">(uitkomst_doelgroep[[#This Row],[Implementatiegraad t = T + 1]]-uitkomst_doelgroep[[#This Row],[Implementatiegraad t = T]])*INDEX(Berekening_impact[Initiële investering (totaal) - incl. schatting],MATCH(B165,IF(Berekening_impact[Doelgroep]=C165,Berekening_impact[Digitale zorgtoepassing]),0))</f>
        <v>0</v>
      </c>
      <c r="S165" s="398">
        <f>uitkomst_doelgroep[[#This Row],[Arbeidsbesparing (€)]]*uitkomst_doelgroep[[#This Row],[Percentage van patiëntaantallen in Wlz (overige is Zvw)]]</f>
        <v>0</v>
      </c>
      <c r="T165" s="398">
        <f>uitkomst_doelgroep[[#This Row],[Overige besparingen (€)]]*uitkomst_doelgroep[[#This Row],[Percentage van patiëntaantallen in Wlz (overige is Zvw)]]</f>
        <v>0</v>
      </c>
      <c r="U165" s="398">
        <f>uitkomst_doelgroep[[#This Row],[Kosten (€)]]*uitkomst_doelgroep[[#This Row],[Percentage van patiëntaantallen in Wlz (overige is Zvw)]]</f>
        <v>0</v>
      </c>
      <c r="V165" s="398">
        <f>uitkomst_doelgroep[[#This Row],[Investering (cash flow) (€)]]*uitkomst_doelgroep[[#This Row],[Percentage van patiëntaantallen in Wlz (overige is Zvw)]]</f>
        <v>0</v>
      </c>
    </row>
    <row r="166" spans="1:22" x14ac:dyDescent="0.5">
      <c r="A166" s="33" t="str">
        <f>INDEX(Technologieën[Veld],MATCH(B166,Technologieën[Digitale zorgtoepassing],0))</f>
        <v>Software - Diagnose</v>
      </c>
      <c r="B166" s="33" t="s">
        <v>475</v>
      </c>
      <c r="C166" s="33" t="s">
        <v>460</v>
      </c>
      <c r="D166" s="427" cm="1">
        <f t="array" ref="D166">INDEX(Berekening_patiëntaantal[Percentage van patiëntaantallen in Wlz (overige is Zvw)],MATCH(B166,IF(Berekening_patiëntaantal[Doelgroep (zoeksleutel)]=C166,Berekening_patiëntaantal[Digitale zorgtoepassing]),0))</f>
        <v>0</v>
      </c>
      <c r="E166" s="33" t="str" cm="1">
        <f t="array" ref="E166">INDEX(Berekening_patiëntaantal[Direct toepasbaar/extrapolatie/incidentie voor QALY],MATCH(B166,IF(Berekening_patiëntaantal[Doelgroep (zoeksleutel)]=C166,Berekening_patiëntaantal[Digitale zorgtoepassing]),0))</f>
        <v>Huidige toepassing</v>
      </c>
      <c r="F166" s="43" t="s">
        <v>812</v>
      </c>
      <c r="G166" s="33" t="str">
        <f>CONCATENATE(uitkomst_doelgroep[[#This Row],[Digitale zorgtoepassing]],"_",uitkomst_doelgroep[[#This Row],[Doelgroep]],"_",uitkomst_doelgroep[[#This Row],[Uitgangssituatie/effect beleid]])</f>
        <v>AI om diagnoses te stellen (röntgen)_Röntgenscan_Botbreuk_Effect beleid</v>
      </c>
      <c r="H166" s="33">
        <v>2026</v>
      </c>
      <c r="I166" s="32">
        <v>4</v>
      </c>
      <c r="J166" s="406" cm="1">
        <f t="array" ref="J166">INDEX(implementatie[[2023]:[2034]],MATCH(G166, implementatie[Zoeksleutel],0),I166)</f>
        <v>0.52590537124595205</v>
      </c>
      <c r="K166" s="406" cm="1">
        <f t="array" ref="K166">INDEX(implementatie[[2023]:[2034]],MATCH(G166,implementatie[Zoeksleutel],0),I166 + 1)</f>
        <v>0.64995574724807748</v>
      </c>
      <c r="L16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211406.59656567528</v>
      </c>
      <c r="M166" s="398" cm="1">
        <f t="array" ref="M166">J166*INDEX(Berekening_impact[Totaal arbeidsbesparing (€/jaar)],MATCH(B166,IF(Berekening_impact[Doelgroep]=C166,Berekening_impact[Digitale zorgtoepassing]),0))</f>
        <v>53559.139001541131</v>
      </c>
      <c r="N166" s="397" cm="1">
        <f t="array" ref="N166">J166*INDEX(Berekening_impact[Totaal arbeidsbesparing (FTE/jaar)],MATCH(B166,IF(Berekening_impact[Doelgroep]=C166,Berekening_impact[Digitale zorgtoepassing]),0))</f>
        <v>0.28232718558450215</v>
      </c>
      <c r="O166" s="398" cm="1">
        <f t="array" ref="O166">J166*INDEX(Berekening_impact[Overige kostenbesparing (totaal/jaar totaal potentieel)],MATCH(B166,IF(Berekening_impact[Doelgroep]=C166,Berekening_impact[Digitale zorgtoepassing]),0))</f>
        <v>0</v>
      </c>
      <c r="P166" s="398" cm="1">
        <f t="array" ref="P166">J166*INDEX(Berekening_impact[Opbrengsten door QALY''s],MATCH(B166,IF(Berekening_impact[Doelgroep]=C166,Berekening_impact[Digitale zorgtoepassing]),0))</f>
        <v>0</v>
      </c>
      <c r="Q166" s="398" cm="1">
        <f t="array" ref="Q166">J166*INDEX(Berekening_impact[Jaarlijkse kosten (totaal) - incl. schatting],MATCH(B166,IF(Berekening_impact[Doelgroep]=C166,Berekening_impact[Digitale zorgtoepassing]),0))</f>
        <v>45516.254666154418</v>
      </c>
      <c r="R166" s="398" cm="1">
        <f t="array" ref="R166">(uitkomst_doelgroep[[#This Row],[Implementatiegraad t = T + 1]]-uitkomst_doelgroep[[#This Row],[Implementatiegraad t = T]])*INDEX(Berekening_impact[Initiële investering (totaal) - incl. schatting],MATCH(B166,IF(Berekening_impact[Doelgroep]=C166,Berekening_impact[Digitale zorgtoepassing]),0))</f>
        <v>0</v>
      </c>
      <c r="S166" s="398">
        <f>uitkomst_doelgroep[[#This Row],[Arbeidsbesparing (€)]]*uitkomst_doelgroep[[#This Row],[Percentage van patiëntaantallen in Wlz (overige is Zvw)]]</f>
        <v>0</v>
      </c>
      <c r="T166" s="398">
        <f>uitkomst_doelgroep[[#This Row],[Overige besparingen (€)]]*uitkomst_doelgroep[[#This Row],[Percentage van patiëntaantallen in Wlz (overige is Zvw)]]</f>
        <v>0</v>
      </c>
      <c r="U166" s="398">
        <f>uitkomst_doelgroep[[#This Row],[Kosten (€)]]*uitkomst_doelgroep[[#This Row],[Percentage van patiëntaantallen in Wlz (overige is Zvw)]]</f>
        <v>0</v>
      </c>
      <c r="V166" s="398">
        <f>uitkomst_doelgroep[[#This Row],[Investering (cash flow) (€)]]*uitkomst_doelgroep[[#This Row],[Percentage van patiëntaantallen in Wlz (overige is Zvw)]]</f>
        <v>0</v>
      </c>
    </row>
    <row r="167" spans="1:22" x14ac:dyDescent="0.5">
      <c r="A167" s="33" t="str">
        <f>INDEX(Technologieën[Veld],MATCH(B167,Technologieën[Digitale zorgtoepassing],0))</f>
        <v>Software - Diagnose</v>
      </c>
      <c r="B167" s="33" t="s">
        <v>475</v>
      </c>
      <c r="C167" s="33" t="s">
        <v>492</v>
      </c>
      <c r="D167" s="427" cm="1">
        <f t="array" ref="D167">INDEX(Berekening_patiëntaantal[Percentage van patiëntaantallen in Wlz (overige is Zvw)],MATCH(B167,IF(Berekening_patiëntaantal[Doelgroep (zoeksleutel)]=C167,Berekening_patiëntaantal[Digitale zorgtoepassing]),0))</f>
        <v>0</v>
      </c>
      <c r="E167" s="33" t="str" cm="1">
        <f t="array" ref="E167">INDEX(Berekening_patiëntaantal[Direct toepasbaar/extrapolatie/incidentie voor QALY],MATCH(B167,IF(Berekening_patiëntaantal[Doelgroep (zoeksleutel)]=C167,Berekening_patiëntaantal[Digitale zorgtoepassing]),0))</f>
        <v>Extrapolatie</v>
      </c>
      <c r="F167" s="43" t="s">
        <v>812</v>
      </c>
      <c r="G167" s="33" t="str">
        <f>CONCATENATE(uitkomst_doelgroep[[#This Row],[Digitale zorgtoepassing]],"_",uitkomst_doelgroep[[#This Row],[Doelgroep]],"_",uitkomst_doelgroep[[#This Row],[Uitgangssituatie/effect beleid]])</f>
        <v>AI om diagnoses te stellen (röntgen)_Röntgenscan_Overig_Effect beleid</v>
      </c>
      <c r="H167" s="33">
        <v>2027</v>
      </c>
      <c r="I167" s="32">
        <v>5</v>
      </c>
      <c r="J167" s="406" cm="1">
        <f t="array" ref="J167">INDEX(implementatie[[2023]:[2034]],MATCH(G167, implementatie[Zoeksleutel],0),I167)</f>
        <v>2.5000000000000001E-2</v>
      </c>
      <c r="K167" s="406" cm="1">
        <f t="array" ref="K167">INDEX(implementatie[[2023]:[2034]],MATCH(G167,implementatie[Zoeksleutel],0),I167 + 1)</f>
        <v>6.0343750000000002E-2</v>
      </c>
      <c r="L16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157450.35</v>
      </c>
      <c r="M167" s="398" cm="1">
        <f t="array" ref="M167">J167*INDEX(Berekening_impact[Totaal arbeidsbesparing (€/jaar)],MATCH(B167,IF(Berekening_impact[Doelgroep]=C167,Berekening_impact[Digitale zorgtoepassing]),0))</f>
        <v>39889.508267409008</v>
      </c>
      <c r="N167" s="397" cm="1">
        <f t="array" ref="N167">J167*INDEX(Berekening_impact[Totaal arbeidsbesparing (FTE/jaar)],MATCH(B167,IF(Berekening_impact[Doelgroep]=C167,Berekening_impact[Digitale zorgtoepassing]),0))</f>
        <v>0.21027023237179487</v>
      </c>
      <c r="O167" s="398" cm="1">
        <f t="array" ref="O167">J167*INDEX(Berekening_impact[Overige kostenbesparing (totaal/jaar totaal potentieel)],MATCH(B167,IF(Berekening_impact[Doelgroep]=C167,Berekening_impact[Digitale zorgtoepassing]),0))</f>
        <v>0</v>
      </c>
      <c r="P167" s="398" cm="1">
        <f t="array" ref="P167">J167*INDEX(Berekening_impact[Opbrengsten door QALY''s],MATCH(B167,IF(Berekening_impact[Doelgroep]=C167,Berekening_impact[Digitale zorgtoepassing]),0))</f>
        <v>0</v>
      </c>
      <c r="Q167" s="398" cm="1">
        <f t="array" ref="Q167">J167*INDEX(Berekening_impact[Jaarlijkse kosten (totaal) - incl. schatting],MATCH(B167,IF(Berekening_impact[Doelgroep]=C167,Berekening_impact[Digitale zorgtoepassing]),0))</f>
        <v>33899.369008803842</v>
      </c>
      <c r="R167" s="398" cm="1">
        <f t="array" ref="R167">(uitkomst_doelgroep[[#This Row],[Implementatiegraad t = T + 1]]-uitkomst_doelgroep[[#This Row],[Implementatiegraad t = T]])*INDEX(Berekening_impact[Initiële investering (totaal) - incl. schatting],MATCH(B167,IF(Berekening_impact[Doelgroep]=C167,Berekening_impact[Digitale zorgtoepassing]),0))</f>
        <v>0</v>
      </c>
      <c r="S167" s="398">
        <f>uitkomst_doelgroep[[#This Row],[Arbeidsbesparing (€)]]*uitkomst_doelgroep[[#This Row],[Percentage van patiëntaantallen in Wlz (overige is Zvw)]]</f>
        <v>0</v>
      </c>
      <c r="T167" s="398">
        <f>uitkomst_doelgroep[[#This Row],[Overige besparingen (€)]]*uitkomst_doelgroep[[#This Row],[Percentage van patiëntaantallen in Wlz (overige is Zvw)]]</f>
        <v>0</v>
      </c>
      <c r="U167" s="398">
        <f>uitkomst_doelgroep[[#This Row],[Kosten (€)]]*uitkomst_doelgroep[[#This Row],[Percentage van patiëntaantallen in Wlz (overige is Zvw)]]</f>
        <v>0</v>
      </c>
      <c r="V167" s="398">
        <f>uitkomst_doelgroep[[#This Row],[Investering (cash flow) (€)]]*uitkomst_doelgroep[[#This Row],[Percentage van patiëntaantallen in Wlz (overige is Zvw)]]</f>
        <v>0</v>
      </c>
    </row>
    <row r="168" spans="1:22" x14ac:dyDescent="0.5">
      <c r="A168" s="33" t="str">
        <f>INDEX(Technologieën[Veld],MATCH(B168,Technologieën[Digitale zorgtoepassing],0))</f>
        <v>Software - Diagnose</v>
      </c>
      <c r="B168" s="33" t="s">
        <v>475</v>
      </c>
      <c r="C168" s="33" t="s">
        <v>460</v>
      </c>
      <c r="D168" s="427" cm="1">
        <f t="array" ref="D168">INDEX(Berekening_patiëntaantal[Percentage van patiëntaantallen in Wlz (overige is Zvw)],MATCH(B168,IF(Berekening_patiëntaantal[Doelgroep (zoeksleutel)]=C168,Berekening_patiëntaantal[Digitale zorgtoepassing]),0))</f>
        <v>0</v>
      </c>
      <c r="E168" s="33" t="str" cm="1">
        <f t="array" ref="E168">INDEX(Berekening_patiëntaantal[Direct toepasbaar/extrapolatie/incidentie voor QALY],MATCH(B168,IF(Berekening_patiëntaantal[Doelgroep (zoeksleutel)]=C168,Berekening_patiëntaantal[Digitale zorgtoepassing]),0))</f>
        <v>Huidige toepassing</v>
      </c>
      <c r="F168" s="43" t="s">
        <v>812</v>
      </c>
      <c r="G168" s="33" t="str">
        <f>CONCATENATE(uitkomst_doelgroep[[#This Row],[Digitale zorgtoepassing]],"_",uitkomst_doelgroep[[#This Row],[Doelgroep]],"_",uitkomst_doelgroep[[#This Row],[Uitgangssituatie/effect beleid]])</f>
        <v>AI om diagnoses te stellen (röntgen)_Röntgenscan_Botbreuk_Effect beleid</v>
      </c>
      <c r="H168" s="33">
        <v>2027</v>
      </c>
      <c r="I168" s="32">
        <v>5</v>
      </c>
      <c r="J168" s="406" cm="1">
        <f t="array" ref="J168">INDEX(implementatie[[2023]:[2034]],MATCH(G168, implementatie[Zoeksleutel],0),I168)</f>
        <v>0.64995574724807748</v>
      </c>
      <c r="K168" s="406" cm="1">
        <f t="array" ref="K168">INDEX(implementatie[[2023]:[2034]],MATCH(G168,implementatie[Zoeksleutel],0),I168 + 1)</f>
        <v>0.76108782680714737</v>
      </c>
      <c r="L16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261273.11101326568</v>
      </c>
      <c r="M168" s="398" cm="1">
        <f t="array" ref="M168">J168*INDEX(Berekening_impact[Totaal arbeidsbesparing (€/jaar)],MATCH(B168,IF(Berekening_impact[Doelgroep]=C168,Berekening_impact[Digitale zorgtoepassing]),0))</f>
        <v>66192.650075502082</v>
      </c>
      <c r="N168" s="397" cm="1">
        <f t="array" ref="N168">J168*INDEX(Berekening_impact[Totaal arbeidsbesparing (FTE/jaar)],MATCH(B168,IF(Berekening_impact[Doelgroep]=C168,Berekening_impact[Digitale zorgtoepassing]),0))</f>
        <v>0.34892242389592093</v>
      </c>
      <c r="O168" s="398" cm="1">
        <f t="array" ref="O168">J168*INDEX(Berekening_impact[Overige kostenbesparing (totaal/jaar totaal potentieel)],MATCH(B168,IF(Berekening_impact[Doelgroep]=C168,Berekening_impact[Digitale zorgtoepassing]),0))</f>
        <v>0</v>
      </c>
      <c r="P168" s="398" cm="1">
        <f t="array" ref="P168">J168*INDEX(Berekening_impact[Opbrengsten door QALY''s],MATCH(B168,IF(Berekening_impact[Doelgroep]=C168,Berekening_impact[Digitale zorgtoepassing]),0))</f>
        <v>0</v>
      </c>
      <c r="Q168" s="398" cm="1">
        <f t="array" ref="Q168">J168*INDEX(Berekening_impact[Jaarlijkse kosten (totaal) - incl. schatting],MATCH(B168,IF(Berekening_impact[Doelgroep]=C168,Berekening_impact[Digitale zorgtoepassing]),0))</f>
        <v>56252.612981278609</v>
      </c>
      <c r="R168" s="398" cm="1">
        <f t="array" ref="R168">(uitkomst_doelgroep[[#This Row],[Implementatiegraad t = T + 1]]-uitkomst_doelgroep[[#This Row],[Implementatiegraad t = T]])*INDEX(Berekening_impact[Initiële investering (totaal) - incl. schatting],MATCH(B168,IF(Berekening_impact[Doelgroep]=C168,Berekening_impact[Digitale zorgtoepassing]),0))</f>
        <v>0</v>
      </c>
      <c r="S168" s="398">
        <f>uitkomst_doelgroep[[#This Row],[Arbeidsbesparing (€)]]*uitkomst_doelgroep[[#This Row],[Percentage van patiëntaantallen in Wlz (overige is Zvw)]]</f>
        <v>0</v>
      </c>
      <c r="T168" s="398">
        <f>uitkomst_doelgroep[[#This Row],[Overige besparingen (€)]]*uitkomst_doelgroep[[#This Row],[Percentage van patiëntaantallen in Wlz (overige is Zvw)]]</f>
        <v>0</v>
      </c>
      <c r="U168" s="398">
        <f>uitkomst_doelgroep[[#This Row],[Kosten (€)]]*uitkomst_doelgroep[[#This Row],[Percentage van patiëntaantallen in Wlz (overige is Zvw)]]</f>
        <v>0</v>
      </c>
      <c r="V168" s="398">
        <f>uitkomst_doelgroep[[#This Row],[Investering (cash flow) (€)]]*uitkomst_doelgroep[[#This Row],[Percentage van patiëntaantallen in Wlz (overige is Zvw)]]</f>
        <v>0</v>
      </c>
    </row>
    <row r="169" spans="1:22" x14ac:dyDescent="0.5">
      <c r="A169" s="33" t="str">
        <f>INDEX(Technologieën[Veld],MATCH(B169,Technologieën[Digitale zorgtoepassing],0))</f>
        <v>Software - Diagnose</v>
      </c>
      <c r="B169" s="33" t="s">
        <v>475</v>
      </c>
      <c r="C169" s="33" t="s">
        <v>492</v>
      </c>
      <c r="D169" s="427" cm="1">
        <f t="array" ref="D169">INDEX(Berekening_patiëntaantal[Percentage van patiëntaantallen in Wlz (overige is Zvw)],MATCH(B169,IF(Berekening_patiëntaantal[Doelgroep (zoeksleutel)]=C169,Berekening_patiëntaantal[Digitale zorgtoepassing]),0))</f>
        <v>0</v>
      </c>
      <c r="E169" s="33" t="str" cm="1">
        <f t="array" ref="E169">INDEX(Berekening_patiëntaantal[Direct toepasbaar/extrapolatie/incidentie voor QALY],MATCH(B169,IF(Berekening_patiëntaantal[Doelgroep (zoeksleutel)]=C169,Berekening_patiëntaantal[Digitale zorgtoepassing]),0))</f>
        <v>Extrapolatie</v>
      </c>
      <c r="F169" s="43" t="s">
        <v>812</v>
      </c>
      <c r="G169" s="33" t="str">
        <f>CONCATENATE(uitkomst_doelgroep[[#This Row],[Digitale zorgtoepassing]],"_",uitkomst_doelgroep[[#This Row],[Doelgroep]],"_",uitkomst_doelgroep[[#This Row],[Uitgangssituatie/effect beleid]])</f>
        <v>AI om diagnoses te stellen (röntgen)_Röntgenscan_Overig_Effect beleid</v>
      </c>
      <c r="H169" s="33">
        <v>2028</v>
      </c>
      <c r="I169" s="32">
        <v>6</v>
      </c>
      <c r="J169" s="406" cm="1">
        <f t="array" ref="J169">INDEX(implementatie[[2023]:[2034]],MATCH(G169, implementatie[Zoeksleutel],0),I169)</f>
        <v>6.0343750000000002E-2</v>
      </c>
      <c r="K169" s="406" cm="1">
        <f t="array" ref="K169">INDEX(implementatie[[2023]:[2034]],MATCH(G169,implementatie[Zoeksleutel],0),I169 + 1)</f>
        <v>0.10935122807617187</v>
      </c>
      <c r="L16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380045.7823125</v>
      </c>
      <c r="M169" s="398" cm="1">
        <f t="array" ref="M169">J169*INDEX(Berekening_impact[Totaal arbeidsbesparing (€/jaar)],MATCH(B169,IF(Berekening_impact[Doelgroep]=C169,Berekening_impact[Digitale zorgtoepassing]),0))</f>
        <v>96283.300580458483</v>
      </c>
      <c r="N169" s="397" cm="1">
        <f t="array" ref="N169">J169*INDEX(Berekening_impact[Totaal arbeidsbesparing (FTE/jaar)],MATCH(B169,IF(Berekening_impact[Doelgroep]=C169,Berekening_impact[Digitale zorgtoepassing]),0))</f>
        <v>0.50753977338741985</v>
      </c>
      <c r="O169" s="398" cm="1">
        <f t="array" ref="O169">J169*INDEX(Berekening_impact[Overige kostenbesparing (totaal/jaar totaal potentieel)],MATCH(B169,IF(Berekening_impact[Doelgroep]=C169,Berekening_impact[Digitale zorgtoepassing]),0))</f>
        <v>0</v>
      </c>
      <c r="P169" s="398" cm="1">
        <f t="array" ref="P169">J169*INDEX(Berekening_impact[Opbrengsten door QALY''s],MATCH(B169,IF(Berekening_impact[Doelgroep]=C169,Berekening_impact[Digitale zorgtoepassing]),0))</f>
        <v>0</v>
      </c>
      <c r="Q169" s="398" cm="1">
        <f t="array" ref="Q169">J169*INDEX(Berekening_impact[Jaarlijkse kosten (totaal) - incl. schatting],MATCH(B169,IF(Berekening_impact[Doelgroep]=C169,Berekening_impact[Digitale zorgtoepassing]),0))</f>
        <v>81824.601945000264</v>
      </c>
      <c r="R169" s="398" cm="1">
        <f t="array" ref="R169">(uitkomst_doelgroep[[#This Row],[Implementatiegraad t = T + 1]]-uitkomst_doelgroep[[#This Row],[Implementatiegraad t = T]])*INDEX(Berekening_impact[Initiële investering (totaal) - incl. schatting],MATCH(B169,IF(Berekening_impact[Doelgroep]=C169,Berekening_impact[Digitale zorgtoepassing]),0))</f>
        <v>0</v>
      </c>
      <c r="S169" s="398">
        <f>uitkomst_doelgroep[[#This Row],[Arbeidsbesparing (€)]]*uitkomst_doelgroep[[#This Row],[Percentage van patiëntaantallen in Wlz (overige is Zvw)]]</f>
        <v>0</v>
      </c>
      <c r="T169" s="398">
        <f>uitkomst_doelgroep[[#This Row],[Overige besparingen (€)]]*uitkomst_doelgroep[[#This Row],[Percentage van patiëntaantallen in Wlz (overige is Zvw)]]</f>
        <v>0</v>
      </c>
      <c r="U169" s="398">
        <f>uitkomst_doelgroep[[#This Row],[Kosten (€)]]*uitkomst_doelgroep[[#This Row],[Percentage van patiëntaantallen in Wlz (overige is Zvw)]]</f>
        <v>0</v>
      </c>
      <c r="V169" s="398">
        <f>uitkomst_doelgroep[[#This Row],[Investering (cash flow) (€)]]*uitkomst_doelgroep[[#This Row],[Percentage van patiëntaantallen in Wlz (overige is Zvw)]]</f>
        <v>0</v>
      </c>
    </row>
    <row r="170" spans="1:22" x14ac:dyDescent="0.5">
      <c r="A170" s="33" t="str">
        <f>INDEX(Technologieën[Veld],MATCH(B170,Technologieën[Digitale zorgtoepassing],0))</f>
        <v>Software - Diagnose</v>
      </c>
      <c r="B170" s="33" t="s">
        <v>475</v>
      </c>
      <c r="C170" s="33" t="s">
        <v>460</v>
      </c>
      <c r="D170" s="427" cm="1">
        <f t="array" ref="D170">INDEX(Berekening_patiëntaantal[Percentage van patiëntaantallen in Wlz (overige is Zvw)],MATCH(B170,IF(Berekening_patiëntaantal[Doelgroep (zoeksleutel)]=C170,Berekening_patiëntaantal[Digitale zorgtoepassing]),0))</f>
        <v>0</v>
      </c>
      <c r="E170" s="33" t="str" cm="1">
        <f t="array" ref="E170">INDEX(Berekening_patiëntaantal[Direct toepasbaar/extrapolatie/incidentie voor QALY],MATCH(B170,IF(Berekening_patiëntaantal[Doelgroep (zoeksleutel)]=C170,Berekening_patiëntaantal[Digitale zorgtoepassing]),0))</f>
        <v>Huidige toepassing</v>
      </c>
      <c r="F170" s="43" t="s">
        <v>812</v>
      </c>
      <c r="G170" s="33" t="str">
        <f>CONCATENATE(uitkomst_doelgroep[[#This Row],[Digitale zorgtoepassing]],"_",uitkomst_doelgroep[[#This Row],[Doelgroep]],"_",uitkomst_doelgroep[[#This Row],[Uitgangssituatie/effect beleid]])</f>
        <v>AI om diagnoses te stellen (röntgen)_Röntgenscan_Botbreuk_Effect beleid</v>
      </c>
      <c r="H170" s="33">
        <v>2028</v>
      </c>
      <c r="I170" s="32">
        <v>6</v>
      </c>
      <c r="J170" s="406" cm="1">
        <f t="array" ref="J170">INDEX(implementatie[[2023]:[2034]],MATCH(G170, implementatie[Zoeksleutel],0),I170)</f>
        <v>0.76108782680714737</v>
      </c>
      <c r="K170" s="406" cm="1">
        <f t="array" ref="K170">INDEX(implementatie[[2023]:[2034]],MATCH(G170,implementatie[Zoeksleutel],0),I170 + 1)</f>
        <v>0.8488855471488731</v>
      </c>
      <c r="L17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305946.65114689793</v>
      </c>
      <c r="M170" s="398" cm="1">
        <f t="array" ref="M170">J170*INDEX(Berekening_impact[Totaal arbeidsbesparing (€/jaar)],MATCH(B170,IF(Berekening_impact[Doelgroep]=C170,Berekening_impact[Digitale zorgtoepassing]),0))</f>
        <v>77510.538848025943</v>
      </c>
      <c r="N170" s="397" cm="1">
        <f t="array" ref="N170">J170*INDEX(Berekening_impact[Totaal arbeidsbesparing (FTE/jaar)],MATCH(B170,IF(Berekening_impact[Doelgroep]=C170,Berekening_impact[Digitale zorgtoepassing]),0))</f>
        <v>0.40858260035643412</v>
      </c>
      <c r="O170" s="398" cm="1">
        <f t="array" ref="O170">J170*INDEX(Berekening_impact[Overige kostenbesparing (totaal/jaar totaal potentieel)],MATCH(B170,IF(Berekening_impact[Doelgroep]=C170,Berekening_impact[Digitale zorgtoepassing]),0))</f>
        <v>0</v>
      </c>
      <c r="P170" s="398" cm="1">
        <f t="array" ref="P170">J170*INDEX(Berekening_impact[Opbrengsten door QALY''s],MATCH(B170,IF(Berekening_impact[Doelgroep]=C170,Berekening_impact[Digitale zorgtoepassing]),0))</f>
        <v>0</v>
      </c>
      <c r="Q170" s="398" cm="1">
        <f t="array" ref="Q170">J170*INDEX(Berekening_impact[Jaarlijkse kosten (totaal) - incl. schatting],MATCH(B170,IF(Berekening_impact[Doelgroep]=C170,Berekening_impact[Digitale zorgtoepassing]),0))</f>
        <v>65870.913746692007</v>
      </c>
      <c r="R170" s="398" cm="1">
        <f t="array" ref="R170">(uitkomst_doelgroep[[#This Row],[Implementatiegraad t = T + 1]]-uitkomst_doelgroep[[#This Row],[Implementatiegraad t = T]])*INDEX(Berekening_impact[Initiële investering (totaal) - incl. schatting],MATCH(B170,IF(Berekening_impact[Doelgroep]=C170,Berekening_impact[Digitale zorgtoepassing]),0))</f>
        <v>0</v>
      </c>
      <c r="S170" s="398">
        <f>uitkomst_doelgroep[[#This Row],[Arbeidsbesparing (€)]]*uitkomst_doelgroep[[#This Row],[Percentage van patiëntaantallen in Wlz (overige is Zvw)]]</f>
        <v>0</v>
      </c>
      <c r="T170" s="398">
        <f>uitkomst_doelgroep[[#This Row],[Overige besparingen (€)]]*uitkomst_doelgroep[[#This Row],[Percentage van patiëntaantallen in Wlz (overige is Zvw)]]</f>
        <v>0</v>
      </c>
      <c r="U170" s="398">
        <f>uitkomst_doelgroep[[#This Row],[Kosten (€)]]*uitkomst_doelgroep[[#This Row],[Percentage van patiëntaantallen in Wlz (overige is Zvw)]]</f>
        <v>0</v>
      </c>
      <c r="V170" s="398">
        <f>uitkomst_doelgroep[[#This Row],[Investering (cash flow) (€)]]*uitkomst_doelgroep[[#This Row],[Percentage van patiëntaantallen in Wlz (overige is Zvw)]]</f>
        <v>0</v>
      </c>
    </row>
    <row r="171" spans="1:22" x14ac:dyDescent="0.5">
      <c r="A171" s="33" t="str">
        <f>INDEX(Technologieën[Veld],MATCH(B171,Technologieën[Digitale zorgtoepassing],0))</f>
        <v>Software - Diagnose</v>
      </c>
      <c r="B171" s="33" t="s">
        <v>475</v>
      </c>
      <c r="C171" s="33" t="s">
        <v>492</v>
      </c>
      <c r="D171" s="427" cm="1">
        <f t="array" ref="D171">INDEX(Berekening_patiëntaantal[Percentage van patiëntaantallen in Wlz (overige is Zvw)],MATCH(B171,IF(Berekening_patiëntaantal[Doelgroep (zoeksleutel)]=C171,Berekening_patiëntaantal[Digitale zorgtoepassing]),0))</f>
        <v>0</v>
      </c>
      <c r="E171" s="33" t="str" cm="1">
        <f t="array" ref="E171">INDEX(Berekening_patiëntaantal[Direct toepasbaar/extrapolatie/incidentie voor QALY],MATCH(B171,IF(Berekening_patiëntaantal[Doelgroep (zoeksleutel)]=C171,Berekening_patiëntaantal[Digitale zorgtoepassing]),0))</f>
        <v>Extrapolatie</v>
      </c>
      <c r="F171" s="43" t="s">
        <v>812</v>
      </c>
      <c r="G171" s="33" t="str">
        <f>CONCATENATE(uitkomst_doelgroep[[#This Row],[Digitale zorgtoepassing]],"_",uitkomst_doelgroep[[#This Row],[Doelgroep]],"_",uitkomst_doelgroep[[#This Row],[Uitgangssituatie/effect beleid]])</f>
        <v>AI om diagnoses te stellen (röntgen)_Röntgenscan_Overig_Effect beleid</v>
      </c>
      <c r="H171" s="33">
        <v>2029</v>
      </c>
      <c r="I171" s="32">
        <v>7</v>
      </c>
      <c r="J171" s="406" cm="1">
        <f t="array" ref="J171">INDEX(implementatie[[2023]:[2034]],MATCH(G171, implementatie[Zoeksleutel],0),I171)</f>
        <v>0.10935122807617187</v>
      </c>
      <c r="K171" s="406" cm="1">
        <f t="array" ref="K171">INDEX(implementatie[[2023]:[2034]],MATCH(G171,implementatie[Zoeksleutel],0),I171 + 1)</f>
        <v>0.17544453902174978</v>
      </c>
      <c r="L17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688695.56534092349</v>
      </c>
      <c r="M171" s="398" cm="1">
        <f t="array" ref="M171">J171*INDEX(Berekening_impact[Totaal arbeidsbesparing (€/jaar)],MATCH(B171,IF(Berekening_impact[Doelgroep]=C171,Berekening_impact[Digitale zorgtoepassing]),0))</f>
        <v>174478.66865583142</v>
      </c>
      <c r="N171" s="397" cm="1">
        <f t="array" ref="N171">J171*INDEX(Berekening_impact[Totaal arbeidsbesparing (FTE/jaar)],MATCH(B171,IF(Berekening_impact[Doelgroep]=C171,Berekening_impact[Digitale zorgtoepassing]),0))</f>
        <v>0.91973232550871198</v>
      </c>
      <c r="O171" s="398" cm="1">
        <f t="array" ref="O171">J171*INDEX(Berekening_impact[Overige kostenbesparing (totaal/jaar totaal potentieel)],MATCH(B171,IF(Berekening_impact[Doelgroep]=C171,Berekening_impact[Digitale zorgtoepassing]),0))</f>
        <v>0</v>
      </c>
      <c r="P171" s="398" cm="1">
        <f t="array" ref="P171">J171*INDEX(Berekening_impact[Opbrengsten door QALY''s],MATCH(B171,IF(Berekening_impact[Doelgroep]=C171,Berekening_impact[Digitale zorgtoepassing]),0))</f>
        <v>0</v>
      </c>
      <c r="Q171" s="398" cm="1">
        <f t="array" ref="Q171">J171*INDEX(Berekening_impact[Jaarlijkse kosten (totaal) - incl. schatting],MATCH(B171,IF(Berekening_impact[Doelgroep]=C171,Berekening_impact[Digitale zorgtoepassing]),0))</f>
        <v>148277.50528480083</v>
      </c>
      <c r="R171" s="398" cm="1">
        <f t="array" ref="R171">(uitkomst_doelgroep[[#This Row],[Implementatiegraad t = T + 1]]-uitkomst_doelgroep[[#This Row],[Implementatiegraad t = T]])*INDEX(Berekening_impact[Initiële investering (totaal) - incl. schatting],MATCH(B171,IF(Berekening_impact[Doelgroep]=C171,Berekening_impact[Digitale zorgtoepassing]),0))</f>
        <v>0</v>
      </c>
      <c r="S171" s="398">
        <f>uitkomst_doelgroep[[#This Row],[Arbeidsbesparing (€)]]*uitkomst_doelgroep[[#This Row],[Percentage van patiëntaantallen in Wlz (overige is Zvw)]]</f>
        <v>0</v>
      </c>
      <c r="T171" s="398">
        <f>uitkomst_doelgroep[[#This Row],[Overige besparingen (€)]]*uitkomst_doelgroep[[#This Row],[Percentage van patiëntaantallen in Wlz (overige is Zvw)]]</f>
        <v>0</v>
      </c>
      <c r="U171" s="398">
        <f>uitkomst_doelgroep[[#This Row],[Kosten (€)]]*uitkomst_doelgroep[[#This Row],[Percentage van patiëntaantallen in Wlz (overige is Zvw)]]</f>
        <v>0</v>
      </c>
      <c r="V171" s="398">
        <f>uitkomst_doelgroep[[#This Row],[Investering (cash flow) (€)]]*uitkomst_doelgroep[[#This Row],[Percentage van patiëntaantallen in Wlz (overige is Zvw)]]</f>
        <v>0</v>
      </c>
    </row>
    <row r="172" spans="1:22" x14ac:dyDescent="0.5">
      <c r="A172" s="33" t="str">
        <f>INDEX(Technologieën[Veld],MATCH(B172,Technologieën[Digitale zorgtoepassing],0))</f>
        <v>Software - Diagnose</v>
      </c>
      <c r="B172" s="33" t="s">
        <v>475</v>
      </c>
      <c r="C172" s="33" t="s">
        <v>460</v>
      </c>
      <c r="D172" s="427" cm="1">
        <f t="array" ref="D172">INDEX(Berekening_patiëntaantal[Percentage van patiëntaantallen in Wlz (overige is Zvw)],MATCH(B172,IF(Berekening_patiëntaantal[Doelgroep (zoeksleutel)]=C172,Berekening_patiëntaantal[Digitale zorgtoepassing]),0))</f>
        <v>0</v>
      </c>
      <c r="E172" s="33" t="str" cm="1">
        <f t="array" ref="E172">INDEX(Berekening_patiëntaantal[Direct toepasbaar/extrapolatie/incidentie voor QALY],MATCH(B172,IF(Berekening_patiëntaantal[Doelgroep (zoeksleutel)]=C172,Berekening_patiëntaantal[Digitale zorgtoepassing]),0))</f>
        <v>Huidige toepassing</v>
      </c>
      <c r="F172" s="43" t="s">
        <v>812</v>
      </c>
      <c r="G172" s="33" t="str">
        <f>CONCATENATE(uitkomst_doelgroep[[#This Row],[Digitale zorgtoepassing]],"_",uitkomst_doelgroep[[#This Row],[Doelgroep]],"_",uitkomst_doelgroep[[#This Row],[Uitgangssituatie/effect beleid]])</f>
        <v>AI om diagnoses te stellen (röntgen)_Röntgenscan_Botbreuk_Effect beleid</v>
      </c>
      <c r="H172" s="33">
        <v>2029</v>
      </c>
      <c r="I172" s="32">
        <v>7</v>
      </c>
      <c r="J172" s="406" cm="1">
        <f t="array" ref="J172">INDEX(implementatie[[2023]:[2034]],MATCH(G172, implementatie[Zoeksleutel],0),I172)</f>
        <v>0.8488855471488731</v>
      </c>
      <c r="K172" s="406" cm="1">
        <f t="array" ref="K172">INDEX(implementatie[[2023]:[2034]],MATCH(G172,implementatie[Zoeksleutel],0),I172 + 1)</f>
        <v>0.91038890221593549</v>
      </c>
      <c r="L17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341240.10555618693</v>
      </c>
      <c r="M172" s="398" cm="1">
        <f t="array" ref="M172">J172*INDEX(Berekening_impact[Totaal arbeidsbesparing (€/jaar)],MATCH(B172,IF(Berekening_impact[Doelgroep]=C172,Berekening_impact[Digitale zorgtoepassing]),0))</f>
        <v>86452.014947918724</v>
      </c>
      <c r="N172" s="397" cm="1">
        <f t="array" ref="N172">J172*INDEX(Berekening_impact[Totaal arbeidsbesparing (FTE/jaar)],MATCH(B172,IF(Berekening_impact[Doelgroep]=C172,Berekening_impact[Digitale zorgtoepassing]),0))</f>
        <v>0.45571595293294181</v>
      </c>
      <c r="O172" s="398" cm="1">
        <f t="array" ref="O172">J172*INDEX(Berekening_impact[Overige kostenbesparing (totaal/jaar totaal potentieel)],MATCH(B172,IF(Berekening_impact[Doelgroep]=C172,Berekening_impact[Digitale zorgtoepassing]),0))</f>
        <v>0</v>
      </c>
      <c r="P172" s="398" cm="1">
        <f t="array" ref="P172">J172*INDEX(Berekening_impact[Opbrengsten door QALY''s],MATCH(B172,IF(Berekening_impact[Doelgroep]=C172,Berekening_impact[Digitale zorgtoepassing]),0))</f>
        <v>0</v>
      </c>
      <c r="Q172" s="398" cm="1">
        <f t="array" ref="Q172">J172*INDEX(Berekening_impact[Jaarlijkse kosten (totaal) - incl. schatting],MATCH(B172,IF(Berekening_impact[Doelgroep]=C172,Berekening_impact[Digitale zorgtoepassing]),0))</f>
        <v>73469.66366764094</v>
      </c>
      <c r="R172" s="398" cm="1">
        <f t="array" ref="R172">(uitkomst_doelgroep[[#This Row],[Implementatiegraad t = T + 1]]-uitkomst_doelgroep[[#This Row],[Implementatiegraad t = T]])*INDEX(Berekening_impact[Initiële investering (totaal) - incl. schatting],MATCH(B172,IF(Berekening_impact[Doelgroep]=C172,Berekening_impact[Digitale zorgtoepassing]),0))</f>
        <v>0</v>
      </c>
      <c r="S172" s="398">
        <f>uitkomst_doelgroep[[#This Row],[Arbeidsbesparing (€)]]*uitkomst_doelgroep[[#This Row],[Percentage van patiëntaantallen in Wlz (overige is Zvw)]]</f>
        <v>0</v>
      </c>
      <c r="T172" s="398">
        <f>uitkomst_doelgroep[[#This Row],[Overige besparingen (€)]]*uitkomst_doelgroep[[#This Row],[Percentage van patiëntaantallen in Wlz (overige is Zvw)]]</f>
        <v>0</v>
      </c>
      <c r="U172" s="398">
        <f>uitkomst_doelgroep[[#This Row],[Kosten (€)]]*uitkomst_doelgroep[[#This Row],[Percentage van patiëntaantallen in Wlz (overige is Zvw)]]</f>
        <v>0</v>
      </c>
      <c r="V172" s="398">
        <f>uitkomst_doelgroep[[#This Row],[Investering (cash flow) (€)]]*uitkomst_doelgroep[[#This Row],[Percentage van patiëntaantallen in Wlz (overige is Zvw)]]</f>
        <v>0</v>
      </c>
    </row>
    <row r="173" spans="1:22" x14ac:dyDescent="0.5">
      <c r="A173" s="33" t="str">
        <f>INDEX(Technologieën[Veld],MATCH(B173,Technologieën[Digitale zorgtoepassing],0))</f>
        <v>Software - Diagnose</v>
      </c>
      <c r="B173" s="33" t="s">
        <v>475</v>
      </c>
      <c r="C173" s="33" t="s">
        <v>492</v>
      </c>
      <c r="D173" s="427" cm="1">
        <f t="array" ref="D173">INDEX(Berekening_patiëntaantal[Percentage van patiëntaantallen in Wlz (overige is Zvw)],MATCH(B173,IF(Berekening_patiëntaantal[Doelgroep (zoeksleutel)]=C173,Berekening_patiëntaantal[Digitale zorgtoepassing]),0))</f>
        <v>0</v>
      </c>
      <c r="E173" s="33" t="str" cm="1">
        <f t="array" ref="E173">INDEX(Berekening_patiëntaantal[Direct toepasbaar/extrapolatie/incidentie voor QALY],MATCH(B173,IF(Berekening_patiëntaantal[Doelgroep (zoeksleutel)]=C173,Berekening_patiëntaantal[Digitale zorgtoepassing]),0))</f>
        <v>Extrapolatie</v>
      </c>
      <c r="F173" s="43" t="s">
        <v>812</v>
      </c>
      <c r="G173" s="33" t="str">
        <f>CONCATENATE(uitkomst_doelgroep[[#This Row],[Digitale zorgtoepassing]],"_",uitkomst_doelgroep[[#This Row],[Doelgroep]],"_",uitkomst_doelgroep[[#This Row],[Uitgangssituatie/effect beleid]])</f>
        <v>AI om diagnoses te stellen (röntgen)_Röntgenscan_Overig_Effect beleid</v>
      </c>
      <c r="H173" s="33">
        <v>2030</v>
      </c>
      <c r="I173" s="32">
        <v>8</v>
      </c>
      <c r="J173" s="406" cm="1">
        <f t="array" ref="J173">INDEX(implementatie[[2023]:[2034]],MATCH(G173, implementatie[Zoeksleutel],0),I173)</f>
        <v>0.17544453902174978</v>
      </c>
      <c r="K173" s="406" cm="1">
        <f t="array" ref="K173">INDEX(implementatie[[2023]:[2034]],MATCH(G173,implementatie[Zoeksleutel],0),I173 + 1)</f>
        <v>0.26115711428334398</v>
      </c>
      <c r="L17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1104952.1629825265</v>
      </c>
      <c r="M173" s="398" cm="1">
        <f t="array" ref="M173">J173*INDEX(Berekening_impact[Totaal arbeidsbesparing (€/jaar)],MATCH(B173,IF(Berekening_impact[Doelgroep]=C173,Berekening_impact[Digitale zorgtoepassing]),0))</f>
        <v>279935.85559119401</v>
      </c>
      <c r="N173" s="397" cm="1">
        <f t="array" ref="N173">J173*INDEX(Berekening_impact[Totaal arbeidsbesparing (FTE/jaar)],MATCH(B173,IF(Berekening_impact[Doelgroep]=C173,Berekening_impact[Digitale zorgtoepassing]),0))</f>
        <v>1.4756305595386303</v>
      </c>
      <c r="O173" s="398" cm="1">
        <f t="array" ref="O173">J173*INDEX(Berekening_impact[Overige kostenbesparing (totaal/jaar totaal potentieel)],MATCH(B173,IF(Berekening_impact[Doelgroep]=C173,Berekening_impact[Digitale zorgtoepassing]),0))</f>
        <v>0</v>
      </c>
      <c r="P173" s="398" cm="1">
        <f t="array" ref="P173">J173*INDEX(Berekening_impact[Opbrengsten door QALY''s],MATCH(B173,IF(Berekening_impact[Doelgroep]=C173,Berekening_impact[Digitale zorgtoepassing]),0))</f>
        <v>0</v>
      </c>
      <c r="Q173" s="398" cm="1">
        <f t="array" ref="Q173">J173*INDEX(Berekening_impact[Jaarlijkse kosten (totaal) - incl. schatting],MATCH(B173,IF(Berekening_impact[Doelgroep]=C173,Berekening_impact[Digitale zorgtoepassing]),0))</f>
        <v>237898.3667551112</v>
      </c>
      <c r="R173" s="398" cm="1">
        <f t="array" ref="R173">(uitkomst_doelgroep[[#This Row],[Implementatiegraad t = T + 1]]-uitkomst_doelgroep[[#This Row],[Implementatiegraad t = T]])*INDEX(Berekening_impact[Initiële investering (totaal) - incl. schatting],MATCH(B173,IF(Berekening_impact[Doelgroep]=C173,Berekening_impact[Digitale zorgtoepassing]),0))</f>
        <v>0</v>
      </c>
      <c r="S173" s="398">
        <f>uitkomst_doelgroep[[#This Row],[Arbeidsbesparing (€)]]*uitkomst_doelgroep[[#This Row],[Percentage van patiëntaantallen in Wlz (overige is Zvw)]]</f>
        <v>0</v>
      </c>
      <c r="T173" s="398">
        <f>uitkomst_doelgroep[[#This Row],[Overige besparingen (€)]]*uitkomst_doelgroep[[#This Row],[Percentage van patiëntaantallen in Wlz (overige is Zvw)]]</f>
        <v>0</v>
      </c>
      <c r="U173" s="398">
        <f>uitkomst_doelgroep[[#This Row],[Kosten (€)]]*uitkomst_doelgroep[[#This Row],[Percentage van patiëntaantallen in Wlz (overige is Zvw)]]</f>
        <v>0</v>
      </c>
      <c r="V173" s="398">
        <f>uitkomst_doelgroep[[#This Row],[Investering (cash flow) (€)]]*uitkomst_doelgroep[[#This Row],[Percentage van patiëntaantallen in Wlz (overige is Zvw)]]</f>
        <v>0</v>
      </c>
    </row>
    <row r="174" spans="1:22" x14ac:dyDescent="0.5">
      <c r="A174" s="33" t="str">
        <f>INDEX(Technologieën[Veld],MATCH(B174,Technologieën[Digitale zorgtoepassing],0))</f>
        <v>Software - Diagnose</v>
      </c>
      <c r="B174" s="33" t="s">
        <v>475</v>
      </c>
      <c r="C174" s="33" t="s">
        <v>460</v>
      </c>
      <c r="D174" s="427" cm="1">
        <f t="array" ref="D174">INDEX(Berekening_patiëntaantal[Percentage van patiëntaantallen in Wlz (overige is Zvw)],MATCH(B174,IF(Berekening_patiëntaantal[Doelgroep (zoeksleutel)]=C174,Berekening_patiëntaantal[Digitale zorgtoepassing]),0))</f>
        <v>0</v>
      </c>
      <c r="E174" s="33" t="str" cm="1">
        <f t="array" ref="E174">INDEX(Berekening_patiëntaantal[Direct toepasbaar/extrapolatie/incidentie voor QALY],MATCH(B174,IF(Berekening_patiëntaantal[Doelgroep (zoeksleutel)]=C174,Berekening_patiëntaantal[Digitale zorgtoepassing]),0))</f>
        <v>Huidige toepassing</v>
      </c>
      <c r="F174" s="43" t="s">
        <v>812</v>
      </c>
      <c r="G174" s="33" t="str">
        <f>CONCATENATE(uitkomst_doelgroep[[#This Row],[Digitale zorgtoepassing]],"_",uitkomst_doelgroep[[#This Row],[Doelgroep]],"_",uitkomst_doelgroep[[#This Row],[Uitgangssituatie/effect beleid]])</f>
        <v>AI om diagnoses te stellen (röntgen)_Röntgenscan_Botbreuk_Effect beleid</v>
      </c>
      <c r="H174" s="33">
        <v>2030</v>
      </c>
      <c r="I174" s="32">
        <v>8</v>
      </c>
      <c r="J174" s="406" cm="1">
        <f t="array" ref="J174">INDEX(implementatie[[2023]:[2034]],MATCH(G174, implementatie[Zoeksleutel],0),I174)</f>
        <v>0.91038890221593549</v>
      </c>
      <c r="K174" s="406" cm="1">
        <f t="array" ref="K174">INDEX(implementatie[[2023]:[2034]],MATCH(G174,implementatie[Zoeksleutel],0),I174 + 1)</f>
        <v>0.94934060668263687</v>
      </c>
      <c r="L17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365963.59324617503</v>
      </c>
      <c r="M174" s="398" cm="1">
        <f t="array" ref="M174">J174*INDEX(Berekening_impact[Totaal arbeidsbesparing (€/jaar)],MATCH(B174,IF(Berekening_impact[Doelgroep]=C174,Berekening_impact[Digitale zorgtoepassing]),0))</f>
        <v>92715.626090154779</v>
      </c>
      <c r="N174" s="397" cm="1">
        <f t="array" ref="N174">J174*INDEX(Berekening_impact[Totaal arbeidsbesparing (FTE/jaar)],MATCH(B174,IF(Berekening_impact[Doelgroep]=C174,Berekening_impact[Digitale zorgtoepassing]),0))</f>
        <v>0.48873343115140888</v>
      </c>
      <c r="O174" s="398" cm="1">
        <f t="array" ref="O174">J174*INDEX(Berekening_impact[Overige kostenbesparing (totaal/jaar totaal potentieel)],MATCH(B174,IF(Berekening_impact[Doelgroep]=C174,Berekening_impact[Digitale zorgtoepassing]),0))</f>
        <v>0</v>
      </c>
      <c r="P174" s="398" cm="1">
        <f t="array" ref="P174">J174*INDEX(Berekening_impact[Opbrengsten door QALY''s],MATCH(B174,IF(Berekening_impact[Doelgroep]=C174,Berekening_impact[Digitale zorgtoepassing]),0))</f>
        <v>0</v>
      </c>
      <c r="Q174" s="398" cm="1">
        <f t="array" ref="Q174">J174*INDEX(Berekening_impact[Jaarlijkse kosten (totaal) - incl. schatting],MATCH(B174,IF(Berekening_impact[Doelgroep]=C174,Berekening_impact[Digitale zorgtoepassing]),0))</f>
        <v>78792.679033357985</v>
      </c>
      <c r="R174" s="398" cm="1">
        <f t="array" ref="R174">(uitkomst_doelgroep[[#This Row],[Implementatiegraad t = T + 1]]-uitkomst_doelgroep[[#This Row],[Implementatiegraad t = T]])*INDEX(Berekening_impact[Initiële investering (totaal) - incl. schatting],MATCH(B174,IF(Berekening_impact[Doelgroep]=C174,Berekening_impact[Digitale zorgtoepassing]),0))</f>
        <v>0</v>
      </c>
      <c r="S174" s="398">
        <f>uitkomst_doelgroep[[#This Row],[Arbeidsbesparing (€)]]*uitkomst_doelgroep[[#This Row],[Percentage van patiëntaantallen in Wlz (overige is Zvw)]]</f>
        <v>0</v>
      </c>
      <c r="T174" s="398">
        <f>uitkomst_doelgroep[[#This Row],[Overige besparingen (€)]]*uitkomst_doelgroep[[#This Row],[Percentage van patiëntaantallen in Wlz (overige is Zvw)]]</f>
        <v>0</v>
      </c>
      <c r="U174" s="398">
        <f>uitkomst_doelgroep[[#This Row],[Kosten (€)]]*uitkomst_doelgroep[[#This Row],[Percentage van patiëntaantallen in Wlz (overige is Zvw)]]</f>
        <v>0</v>
      </c>
      <c r="V174" s="398">
        <f>uitkomst_doelgroep[[#This Row],[Investering (cash flow) (€)]]*uitkomst_doelgroep[[#This Row],[Percentage van patiëntaantallen in Wlz (overige is Zvw)]]</f>
        <v>0</v>
      </c>
    </row>
    <row r="175" spans="1:22" x14ac:dyDescent="0.5">
      <c r="A175" s="33" t="str">
        <f>INDEX(Technologieën[Veld],MATCH(B175,Technologieën[Digitale zorgtoepassing],0))</f>
        <v>Software - Diagnose</v>
      </c>
      <c r="B175" s="33" t="s">
        <v>475</v>
      </c>
      <c r="C175" s="33" t="s">
        <v>492</v>
      </c>
      <c r="D175" s="427" cm="1">
        <f t="array" ref="D175">INDEX(Berekening_patiëntaantal[Percentage van patiëntaantallen in Wlz (overige is Zvw)],MATCH(B175,IF(Berekening_patiëntaantal[Doelgroep (zoeksleutel)]=C175,Berekening_patiëntaantal[Digitale zorgtoepassing]),0))</f>
        <v>0</v>
      </c>
      <c r="E175" s="33" t="str" cm="1">
        <f t="array" ref="E175">INDEX(Berekening_patiëntaantal[Direct toepasbaar/extrapolatie/incidentie voor QALY],MATCH(B175,IF(Berekening_patiëntaantal[Doelgroep (zoeksleutel)]=C175,Berekening_patiëntaantal[Digitale zorgtoepassing]),0))</f>
        <v>Extrapolatie</v>
      </c>
      <c r="F175" s="43" t="s">
        <v>812</v>
      </c>
      <c r="G175" s="33" t="str">
        <f>CONCATENATE(uitkomst_doelgroep[[#This Row],[Digitale zorgtoepassing]],"_",uitkomst_doelgroep[[#This Row],[Doelgroep]],"_",uitkomst_doelgroep[[#This Row],[Uitgangssituatie/effect beleid]])</f>
        <v>AI om diagnoses te stellen (röntgen)_Röntgenscan_Overig_Effect beleid</v>
      </c>
      <c r="H175" s="33">
        <v>2031</v>
      </c>
      <c r="I175" s="32">
        <v>9</v>
      </c>
      <c r="J175" s="406" cm="1">
        <f t="array" ref="J175">INDEX(implementatie[[2023]:[2034]],MATCH(G175, implementatie[Zoeksleutel],0),I175)</f>
        <v>0.26115711428334398</v>
      </c>
      <c r="K175" s="406" cm="1">
        <f t="array" ref="K175">INDEX(implementatie[[2023]:[2034]],MATCH(G175,implementatie[Zoeksleutel],0),I175 + 1)</f>
        <v>0.36645752060040354</v>
      </c>
      <c r="L17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1644771.1619561003</v>
      </c>
      <c r="M175" s="398" cm="1">
        <f t="array" ref="M175">J175*INDEX(Berekening_impact[Totaal arbeidsbesparing (€/jaar)],MATCH(B175,IF(Berekening_impact[Doelgroep]=C175,Berekening_impact[Digitale zorgtoepassing]),0))</f>
        <v>416697.15477192512</v>
      </c>
      <c r="N175" s="397" cm="1">
        <f t="array" ref="N175">J175*INDEX(Berekening_impact[Totaal arbeidsbesparing (FTE/jaar)],MATCH(B175,IF(Berekening_impact[Doelgroep]=C175,Berekening_impact[Digitale zorgtoepassing]),0))</f>
        <v>2.196542684236245</v>
      </c>
      <c r="O175" s="398" cm="1">
        <f t="array" ref="O175">J175*INDEX(Berekening_impact[Overige kostenbesparing (totaal/jaar totaal potentieel)],MATCH(B175,IF(Berekening_impact[Doelgroep]=C175,Berekening_impact[Digitale zorgtoepassing]),0))</f>
        <v>0</v>
      </c>
      <c r="P175" s="398" cm="1">
        <f t="array" ref="P175">J175*INDEX(Berekening_impact[Opbrengsten door QALY''s],MATCH(B175,IF(Berekening_impact[Doelgroep]=C175,Berekening_impact[Digitale zorgtoepassing]),0))</f>
        <v>0</v>
      </c>
      <c r="Q175" s="398" cm="1">
        <f t="array" ref="Q175">J175*INDEX(Berekening_impact[Jaarlijkse kosten (totaal) - incl. schatting],MATCH(B175,IF(Berekening_impact[Doelgroep]=C175,Berekening_impact[Digitale zorgtoepassing]),0))</f>
        <v>354122.45545461733</v>
      </c>
      <c r="R175" s="398" cm="1">
        <f t="array" ref="R175">(uitkomst_doelgroep[[#This Row],[Implementatiegraad t = T + 1]]-uitkomst_doelgroep[[#This Row],[Implementatiegraad t = T]])*INDEX(Berekening_impact[Initiële investering (totaal) - incl. schatting],MATCH(B175,IF(Berekening_impact[Doelgroep]=C175,Berekening_impact[Digitale zorgtoepassing]),0))</f>
        <v>0</v>
      </c>
      <c r="S175" s="398">
        <f>uitkomst_doelgroep[[#This Row],[Arbeidsbesparing (€)]]*uitkomst_doelgroep[[#This Row],[Percentage van patiëntaantallen in Wlz (overige is Zvw)]]</f>
        <v>0</v>
      </c>
      <c r="T175" s="398">
        <f>uitkomst_doelgroep[[#This Row],[Overige besparingen (€)]]*uitkomst_doelgroep[[#This Row],[Percentage van patiëntaantallen in Wlz (overige is Zvw)]]</f>
        <v>0</v>
      </c>
      <c r="U175" s="398">
        <f>uitkomst_doelgroep[[#This Row],[Kosten (€)]]*uitkomst_doelgroep[[#This Row],[Percentage van patiëntaantallen in Wlz (overige is Zvw)]]</f>
        <v>0</v>
      </c>
      <c r="V175" s="398">
        <f>uitkomst_doelgroep[[#This Row],[Investering (cash flow) (€)]]*uitkomst_doelgroep[[#This Row],[Percentage van patiëntaantallen in Wlz (overige is Zvw)]]</f>
        <v>0</v>
      </c>
    </row>
    <row r="176" spans="1:22" x14ac:dyDescent="0.5">
      <c r="A176" s="33" t="str">
        <f>INDEX(Technologieën[Veld],MATCH(B176,Technologieën[Digitale zorgtoepassing],0))</f>
        <v>Software - Diagnose</v>
      </c>
      <c r="B176" s="33" t="s">
        <v>475</v>
      </c>
      <c r="C176" s="33" t="s">
        <v>460</v>
      </c>
      <c r="D176" s="427" cm="1">
        <f t="array" ref="D176">INDEX(Berekening_patiëntaantal[Percentage van patiëntaantallen in Wlz (overige is Zvw)],MATCH(B176,IF(Berekening_patiëntaantal[Doelgroep (zoeksleutel)]=C176,Berekening_patiëntaantal[Digitale zorgtoepassing]),0))</f>
        <v>0</v>
      </c>
      <c r="E176" s="33" t="str" cm="1">
        <f t="array" ref="E176">INDEX(Berekening_patiëntaantal[Direct toepasbaar/extrapolatie/incidentie voor QALY],MATCH(B176,IF(Berekening_patiëntaantal[Doelgroep (zoeksleutel)]=C176,Berekening_patiëntaantal[Digitale zorgtoepassing]),0))</f>
        <v>Huidige toepassing</v>
      </c>
      <c r="F176" s="43" t="s">
        <v>812</v>
      </c>
      <c r="G176" s="33" t="str">
        <f>CONCATENATE(uitkomst_doelgroep[[#This Row],[Digitale zorgtoepassing]],"_",uitkomst_doelgroep[[#This Row],[Doelgroep]],"_",uitkomst_doelgroep[[#This Row],[Uitgangssituatie/effect beleid]])</f>
        <v>AI om diagnoses te stellen (röntgen)_Röntgenscan_Botbreuk_Effect beleid</v>
      </c>
      <c r="H176" s="33">
        <v>2031</v>
      </c>
      <c r="I176" s="32">
        <v>9</v>
      </c>
      <c r="J176" s="406" cm="1">
        <f t="array" ref="J176">INDEX(implementatie[[2023]:[2034]],MATCH(G176, implementatie[Zoeksleutel],0),I176)</f>
        <v>0.94934060668263687</v>
      </c>
      <c r="K176" s="406" cm="1">
        <f t="array" ref="K176">INDEX(implementatie[[2023]:[2034]],MATCH(G176,implementatie[Zoeksleutel],0),I176 + 1)</f>
        <v>0.9722489501493069</v>
      </c>
      <c r="L17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381621.63311792648</v>
      </c>
      <c r="M176" s="398" cm="1">
        <f t="array" ref="M176">J176*INDEX(Berekening_impact[Totaal arbeidsbesparing (€/jaar)],MATCH(B176,IF(Berekening_impact[Doelgroep]=C176,Berekening_impact[Digitale zorgtoepassing]),0))</f>
        <v>96682.536998359472</v>
      </c>
      <c r="N176" s="397" cm="1">
        <f t="array" ref="N176">J176*INDEX(Berekening_impact[Totaal arbeidsbesparing (FTE/jaar)],MATCH(B176,IF(Berekening_impact[Doelgroep]=C176,Berekening_impact[Digitale zorgtoepassing]),0))</f>
        <v>0.50964427499723075</v>
      </c>
      <c r="O176" s="398" cm="1">
        <f t="array" ref="O176">J176*INDEX(Berekening_impact[Overige kostenbesparing (totaal/jaar totaal potentieel)],MATCH(B176,IF(Berekening_impact[Doelgroep]=C176,Berekening_impact[Digitale zorgtoepassing]),0))</f>
        <v>0</v>
      </c>
      <c r="P176" s="398" cm="1">
        <f t="array" ref="P176">J176*INDEX(Berekening_impact[Opbrengsten door QALY''s],MATCH(B176,IF(Berekening_impact[Doelgroep]=C176,Berekening_impact[Digitale zorgtoepassing]),0))</f>
        <v>0</v>
      </c>
      <c r="Q176" s="398" cm="1">
        <f t="array" ref="Q176">J176*INDEX(Berekening_impact[Jaarlijkse kosten (totaal) - incl. schatting],MATCH(B176,IF(Berekening_impact[Doelgroep]=C176,Berekening_impact[Digitale zorgtoepassing]),0))</f>
        <v>82163.885712587755</v>
      </c>
      <c r="R176" s="398" cm="1">
        <f t="array" ref="R176">(uitkomst_doelgroep[[#This Row],[Implementatiegraad t = T + 1]]-uitkomst_doelgroep[[#This Row],[Implementatiegraad t = T]])*INDEX(Berekening_impact[Initiële investering (totaal) - incl. schatting],MATCH(B176,IF(Berekening_impact[Doelgroep]=C176,Berekening_impact[Digitale zorgtoepassing]),0))</f>
        <v>0</v>
      </c>
      <c r="S176" s="398">
        <f>uitkomst_doelgroep[[#This Row],[Arbeidsbesparing (€)]]*uitkomst_doelgroep[[#This Row],[Percentage van patiëntaantallen in Wlz (overige is Zvw)]]</f>
        <v>0</v>
      </c>
      <c r="T176" s="398">
        <f>uitkomst_doelgroep[[#This Row],[Overige besparingen (€)]]*uitkomst_doelgroep[[#This Row],[Percentage van patiëntaantallen in Wlz (overige is Zvw)]]</f>
        <v>0</v>
      </c>
      <c r="U176" s="398">
        <f>uitkomst_doelgroep[[#This Row],[Kosten (€)]]*uitkomst_doelgroep[[#This Row],[Percentage van patiëntaantallen in Wlz (overige is Zvw)]]</f>
        <v>0</v>
      </c>
      <c r="V176" s="398">
        <f>uitkomst_doelgroep[[#This Row],[Investering (cash flow) (€)]]*uitkomst_doelgroep[[#This Row],[Percentage van patiëntaantallen in Wlz (overige is Zvw)]]</f>
        <v>0</v>
      </c>
    </row>
    <row r="177" spans="1:22" x14ac:dyDescent="0.5">
      <c r="A177" s="33" t="str">
        <f>INDEX(Technologieën[Veld],MATCH(B177,Technologieën[Digitale zorgtoepassing],0))</f>
        <v>Software - Diagnose</v>
      </c>
      <c r="B177" s="33" t="s">
        <v>475</v>
      </c>
      <c r="C177" s="33" t="s">
        <v>492</v>
      </c>
      <c r="D177" s="427" cm="1">
        <f t="array" ref="D177">INDEX(Berekening_patiëntaantal[Percentage van patiëntaantallen in Wlz (overige is Zvw)],MATCH(B177,IF(Berekening_patiëntaantal[Doelgroep (zoeksleutel)]=C177,Berekening_patiëntaantal[Digitale zorgtoepassing]),0))</f>
        <v>0</v>
      </c>
      <c r="E177" s="33" t="str" cm="1">
        <f t="array" ref="E177">INDEX(Berekening_patiëntaantal[Direct toepasbaar/extrapolatie/incidentie voor QALY],MATCH(B177,IF(Berekening_patiëntaantal[Doelgroep (zoeksleutel)]=C177,Berekening_patiëntaantal[Digitale zorgtoepassing]),0))</f>
        <v>Extrapolatie</v>
      </c>
      <c r="F177" s="43" t="s">
        <v>812</v>
      </c>
      <c r="G177" s="33" t="str">
        <f>CONCATENATE(uitkomst_doelgroep[[#This Row],[Digitale zorgtoepassing]],"_",uitkomst_doelgroep[[#This Row],[Doelgroep]],"_",uitkomst_doelgroep[[#This Row],[Uitgangssituatie/effect beleid]])</f>
        <v>AI om diagnoses te stellen (röntgen)_Röntgenscan_Overig_Effect beleid</v>
      </c>
      <c r="H177" s="33">
        <v>2032</v>
      </c>
      <c r="I177" s="32">
        <v>10</v>
      </c>
      <c r="J177" s="406" cm="1">
        <f t="array" ref="J177">INDEX(implementatie[[2023]:[2034]],MATCH(G177, implementatie[Zoeksleutel],0),I177)</f>
        <v>0.36645752060040354</v>
      </c>
      <c r="K177" s="406" cm="1">
        <f t="array" ref="K177">INDEX(implementatie[[2023]:[2034]],MATCH(G177,implementatie[Zoeksleutel],0),I177 + 1)</f>
        <v>0.48677096537350723</v>
      </c>
      <c r="L17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2307954.59514663</v>
      </c>
      <c r="M177" s="398" cm="1">
        <f t="array" ref="M177">J177*INDEX(Berekening_impact[Totaal arbeidsbesparing (€/jaar)],MATCH(B177,IF(Berekening_impact[Doelgroep]=C177,Berekening_impact[Digitale zorgtoepassing]),0))</f>
        <v>584712.41190576006</v>
      </c>
      <c r="N177" s="397" cm="1">
        <f t="array" ref="N177">J177*INDEX(Berekening_impact[Totaal arbeidsbesparing (FTE/jaar)],MATCH(B177,IF(Berekening_impact[Doelgroep]=C177,Berekening_impact[Digitale zorgtoepassing]),0))</f>
        <v>3.0822043204415466</v>
      </c>
      <c r="O177" s="398" cm="1">
        <f t="array" ref="O177">J177*INDEX(Berekening_impact[Overige kostenbesparing (totaal/jaar totaal potentieel)],MATCH(B177,IF(Berekening_impact[Doelgroep]=C177,Berekening_impact[Digitale zorgtoepassing]),0))</f>
        <v>0</v>
      </c>
      <c r="P177" s="398" cm="1">
        <f t="array" ref="P177">J177*INDEX(Berekening_impact[Opbrengsten door QALY''s],MATCH(B177,IF(Berekening_impact[Doelgroep]=C177,Berekening_impact[Digitale zorgtoepassing]),0))</f>
        <v>0</v>
      </c>
      <c r="Q177" s="398" cm="1">
        <f t="array" ref="Q177">J177*INDEX(Berekening_impact[Jaarlijkse kosten (totaal) - incl. schatting],MATCH(B177,IF(Berekening_impact[Doelgroep]=C177,Berekening_impact[Digitale zorgtoepassing]),0))</f>
        <v>496907.14867537655</v>
      </c>
      <c r="R177" s="398" cm="1">
        <f t="array" ref="R177">(uitkomst_doelgroep[[#This Row],[Implementatiegraad t = T + 1]]-uitkomst_doelgroep[[#This Row],[Implementatiegraad t = T]])*INDEX(Berekening_impact[Initiële investering (totaal) - incl. schatting],MATCH(B177,IF(Berekening_impact[Doelgroep]=C177,Berekening_impact[Digitale zorgtoepassing]),0))</f>
        <v>0</v>
      </c>
      <c r="S177" s="398">
        <f>uitkomst_doelgroep[[#This Row],[Arbeidsbesparing (€)]]*uitkomst_doelgroep[[#This Row],[Percentage van patiëntaantallen in Wlz (overige is Zvw)]]</f>
        <v>0</v>
      </c>
      <c r="T177" s="398">
        <f>uitkomst_doelgroep[[#This Row],[Overige besparingen (€)]]*uitkomst_doelgroep[[#This Row],[Percentage van patiëntaantallen in Wlz (overige is Zvw)]]</f>
        <v>0</v>
      </c>
      <c r="U177" s="398">
        <f>uitkomst_doelgroep[[#This Row],[Kosten (€)]]*uitkomst_doelgroep[[#This Row],[Percentage van patiëntaantallen in Wlz (overige is Zvw)]]</f>
        <v>0</v>
      </c>
      <c r="V177" s="398">
        <f>uitkomst_doelgroep[[#This Row],[Investering (cash flow) (€)]]*uitkomst_doelgroep[[#This Row],[Percentage van patiëntaantallen in Wlz (overige is Zvw)]]</f>
        <v>0</v>
      </c>
    </row>
    <row r="178" spans="1:22" x14ac:dyDescent="0.5">
      <c r="A178" s="33" t="str">
        <f>INDEX(Technologieën[Veld],MATCH(B178,Technologieën[Digitale zorgtoepassing],0))</f>
        <v>Software - Diagnose</v>
      </c>
      <c r="B178" s="33" t="s">
        <v>475</v>
      </c>
      <c r="C178" s="33" t="s">
        <v>460</v>
      </c>
      <c r="D178" s="427" cm="1">
        <f t="array" ref="D178">INDEX(Berekening_patiëntaantal[Percentage van patiëntaantallen in Wlz (overige is Zvw)],MATCH(B178,IF(Berekening_patiëntaantal[Doelgroep (zoeksleutel)]=C178,Berekening_patiëntaantal[Digitale zorgtoepassing]),0))</f>
        <v>0</v>
      </c>
      <c r="E178" s="33" t="str" cm="1">
        <f t="array" ref="E178">INDEX(Berekening_patiëntaantal[Direct toepasbaar/extrapolatie/incidentie voor QALY],MATCH(B178,IF(Berekening_patiëntaantal[Doelgroep (zoeksleutel)]=C178,Berekening_patiëntaantal[Digitale zorgtoepassing]),0))</f>
        <v>Huidige toepassing</v>
      </c>
      <c r="F178" s="43" t="s">
        <v>812</v>
      </c>
      <c r="G178" s="33" t="str">
        <f>CONCATENATE(uitkomst_doelgroep[[#This Row],[Digitale zorgtoepassing]],"_",uitkomst_doelgroep[[#This Row],[Doelgroep]],"_",uitkomst_doelgroep[[#This Row],[Uitgangssituatie/effect beleid]])</f>
        <v>AI om diagnoses te stellen (röntgen)_Röntgenscan_Botbreuk_Effect beleid</v>
      </c>
      <c r="H178" s="33">
        <v>2032</v>
      </c>
      <c r="I178" s="32">
        <v>10</v>
      </c>
      <c r="J178" s="406" cm="1">
        <f t="array" ref="J178">INDEX(implementatie[[2023]:[2034]],MATCH(G178, implementatie[Zoeksleutel],0),I178)</f>
        <v>0.9722489501493069</v>
      </c>
      <c r="K178" s="406" cm="1">
        <f t="array" ref="K178">INDEX(implementatie[[2023]:[2034]],MATCH(G178,implementatie[Zoeksleutel],0),I178 + 1)</f>
        <v>0.98508414448286907</v>
      </c>
      <c r="L17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390830.46647471929</v>
      </c>
      <c r="M178" s="398" cm="1">
        <f t="array" ref="M178">J178*INDEX(Berekening_impact[Totaal arbeidsbesparing (€/jaar)],MATCH(B178,IF(Berekening_impact[Doelgroep]=C178,Berekening_impact[Digitale zorgtoepassing]),0))</f>
        <v>99015.563468729204</v>
      </c>
      <c r="N178" s="397" cm="1">
        <f t="array" ref="N178">J178*INDEX(Berekening_impact[Totaal arbeidsbesparing (FTE/jaar)],MATCH(B178,IF(Berekening_impact[Doelgroep]=C178,Berekening_impact[Digitale zorgtoepassing]),0))</f>
        <v>0.52194239646730667</v>
      </c>
      <c r="O178" s="398" cm="1">
        <f t="array" ref="O178">J178*INDEX(Berekening_impact[Overige kostenbesparing (totaal/jaar totaal potentieel)],MATCH(B178,IF(Berekening_impact[Doelgroep]=C178,Berekening_impact[Digitale zorgtoepassing]),0))</f>
        <v>0</v>
      </c>
      <c r="P178" s="398" cm="1">
        <f t="array" ref="P178">J178*INDEX(Berekening_impact[Opbrengsten door QALY''s],MATCH(B178,IF(Berekening_impact[Doelgroep]=C178,Berekening_impact[Digitale zorgtoepassing]),0))</f>
        <v>0</v>
      </c>
      <c r="Q178" s="398" cm="1">
        <f t="array" ref="Q178">J178*INDEX(Berekening_impact[Jaarlijkse kosten (totaal) - incl. schatting],MATCH(B178,IF(Berekening_impact[Doelgroep]=C178,Berekening_impact[Digitale zorgtoepassing]),0))</f>
        <v>84146.565586608369</v>
      </c>
      <c r="R178" s="398" cm="1">
        <f t="array" ref="R178">(uitkomst_doelgroep[[#This Row],[Implementatiegraad t = T + 1]]-uitkomst_doelgroep[[#This Row],[Implementatiegraad t = T]])*INDEX(Berekening_impact[Initiële investering (totaal) - incl. schatting],MATCH(B178,IF(Berekening_impact[Doelgroep]=C178,Berekening_impact[Digitale zorgtoepassing]),0))</f>
        <v>0</v>
      </c>
      <c r="S178" s="398">
        <f>uitkomst_doelgroep[[#This Row],[Arbeidsbesparing (€)]]*uitkomst_doelgroep[[#This Row],[Percentage van patiëntaantallen in Wlz (overige is Zvw)]]</f>
        <v>0</v>
      </c>
      <c r="T178" s="398">
        <f>uitkomst_doelgroep[[#This Row],[Overige besparingen (€)]]*uitkomst_doelgroep[[#This Row],[Percentage van patiëntaantallen in Wlz (overige is Zvw)]]</f>
        <v>0</v>
      </c>
      <c r="U178" s="398">
        <f>uitkomst_doelgroep[[#This Row],[Kosten (€)]]*uitkomst_doelgroep[[#This Row],[Percentage van patiëntaantallen in Wlz (overige is Zvw)]]</f>
        <v>0</v>
      </c>
      <c r="V178" s="398">
        <f>uitkomst_doelgroep[[#This Row],[Investering (cash flow) (€)]]*uitkomst_doelgroep[[#This Row],[Percentage van patiëntaantallen in Wlz (overige is Zvw)]]</f>
        <v>0</v>
      </c>
    </row>
    <row r="179" spans="1:22" x14ac:dyDescent="0.5">
      <c r="A179" s="33" t="str">
        <f>INDEX(Technologieën[Veld],MATCH(B179,Technologieën[Digitale zorgtoepassing],0))</f>
        <v>Software - Diagnose</v>
      </c>
      <c r="B179" s="33" t="s">
        <v>475</v>
      </c>
      <c r="C179" s="33" t="s">
        <v>492</v>
      </c>
      <c r="D179" s="427" cm="1">
        <f t="array" ref="D179">INDEX(Berekening_patiëntaantal[Percentage van patiëntaantallen in Wlz (overige is Zvw)],MATCH(B179,IF(Berekening_patiëntaantal[Doelgroep (zoeksleutel)]=C179,Berekening_patiëntaantal[Digitale zorgtoepassing]),0))</f>
        <v>0</v>
      </c>
      <c r="E179" s="33" t="str" cm="1">
        <f t="array" ref="E179">INDEX(Berekening_patiëntaantal[Direct toepasbaar/extrapolatie/incidentie voor QALY],MATCH(B179,IF(Berekening_patiëntaantal[Doelgroep (zoeksleutel)]=C179,Berekening_patiëntaantal[Digitale zorgtoepassing]),0))</f>
        <v>Extrapolatie</v>
      </c>
      <c r="F179" s="43" t="s">
        <v>812</v>
      </c>
      <c r="G179" s="33" t="str">
        <f>CONCATENATE(uitkomst_doelgroep[[#This Row],[Digitale zorgtoepassing]],"_",uitkomst_doelgroep[[#This Row],[Doelgroep]],"_",uitkomst_doelgroep[[#This Row],[Uitgangssituatie/effect beleid]])</f>
        <v>AI om diagnoses te stellen (röntgen)_Röntgenscan_Overig_Effect beleid</v>
      </c>
      <c r="H179" s="33">
        <v>2033</v>
      </c>
      <c r="I179" s="32">
        <v>11</v>
      </c>
      <c r="J179" s="406" cm="1">
        <f t="array" ref="J179">INDEX(implementatie[[2023]:[2034]],MATCH(G179, implementatie[Zoeksleutel],0),I179)</f>
        <v>0.48677096537350723</v>
      </c>
      <c r="K179" s="406" cm="1">
        <f t="array" ref="K179">INDEX(implementatie[[2023]:[2034]],MATCH(G179,implementatie[Zoeksleutel],0),I179 + 1)</f>
        <v>0.61202293792845253</v>
      </c>
      <c r="L17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3065690.3547158637</v>
      </c>
      <c r="M179" s="398" cm="1">
        <f t="array" ref="M179">J179*INDEX(Berekening_impact[Totaal arbeidsbesparing (€/jaar)],MATCH(B179,IF(Berekening_impact[Doelgroep]=C179,Berekening_impact[Digitale zorgtoepassing]),0))</f>
        <v>776682.17790404719</v>
      </c>
      <c r="N179" s="397" cm="1">
        <f t="array" ref="N179">J179*INDEX(Berekening_impact[Totaal arbeidsbesparing (FTE/jaar)],MATCH(B179,IF(Berekening_impact[Doelgroep]=C179,Berekening_impact[Digitale zorgtoepassing]),0))</f>
        <v>4.0941377600372109</v>
      </c>
      <c r="O179" s="398" cm="1">
        <f t="array" ref="O179">J179*INDEX(Berekening_impact[Overige kostenbesparing (totaal/jaar totaal potentieel)],MATCH(B179,IF(Berekening_impact[Doelgroep]=C179,Berekening_impact[Digitale zorgtoepassing]),0))</f>
        <v>0</v>
      </c>
      <c r="P179" s="398" cm="1">
        <f t="array" ref="P179">J179*INDEX(Berekening_impact[Opbrengsten door QALY''s],MATCH(B179,IF(Berekening_impact[Doelgroep]=C179,Berekening_impact[Digitale zorgtoepassing]),0))</f>
        <v>0</v>
      </c>
      <c r="Q179" s="398" cm="1">
        <f t="array" ref="Q179">J179*INDEX(Berekening_impact[Jaarlijkse kosten (totaal) - incl. schatting],MATCH(B179,IF(Berekening_impact[Doelgroep]=C179,Berekening_impact[Digitale zorgtoepassing]),0))</f>
        <v>660049.14311872795</v>
      </c>
      <c r="R179" s="398" cm="1">
        <f t="array" ref="R179">(uitkomst_doelgroep[[#This Row],[Implementatiegraad t = T + 1]]-uitkomst_doelgroep[[#This Row],[Implementatiegraad t = T]])*INDEX(Berekening_impact[Initiële investering (totaal) - incl. schatting],MATCH(B179,IF(Berekening_impact[Doelgroep]=C179,Berekening_impact[Digitale zorgtoepassing]),0))</f>
        <v>0</v>
      </c>
      <c r="S179" s="398">
        <f>uitkomst_doelgroep[[#This Row],[Arbeidsbesparing (€)]]*uitkomst_doelgroep[[#This Row],[Percentage van patiëntaantallen in Wlz (overige is Zvw)]]</f>
        <v>0</v>
      </c>
      <c r="T179" s="398">
        <f>uitkomst_doelgroep[[#This Row],[Overige besparingen (€)]]*uitkomst_doelgroep[[#This Row],[Percentage van patiëntaantallen in Wlz (overige is Zvw)]]</f>
        <v>0</v>
      </c>
      <c r="U179" s="398">
        <f>uitkomst_doelgroep[[#This Row],[Kosten (€)]]*uitkomst_doelgroep[[#This Row],[Percentage van patiëntaantallen in Wlz (overige is Zvw)]]</f>
        <v>0</v>
      </c>
      <c r="V179" s="398">
        <f>uitkomst_doelgroep[[#This Row],[Investering (cash flow) (€)]]*uitkomst_doelgroep[[#This Row],[Percentage van patiëntaantallen in Wlz (overige is Zvw)]]</f>
        <v>0</v>
      </c>
    </row>
    <row r="180" spans="1:22" x14ac:dyDescent="0.5">
      <c r="A180" s="33" t="str">
        <f>INDEX(Technologieën[Veld],MATCH(B180,Technologieën[Digitale zorgtoepassing],0))</f>
        <v>Software - Diagnose</v>
      </c>
      <c r="B180" s="33" t="s">
        <v>475</v>
      </c>
      <c r="C180" s="33" t="s">
        <v>460</v>
      </c>
      <c r="D180" s="427" cm="1">
        <f t="array" ref="D180">INDEX(Berekening_patiëntaantal[Percentage van patiëntaantallen in Wlz (overige is Zvw)],MATCH(B180,IF(Berekening_patiëntaantal[Doelgroep (zoeksleutel)]=C180,Berekening_patiëntaantal[Digitale zorgtoepassing]),0))</f>
        <v>0</v>
      </c>
      <c r="E180" s="33" t="str" cm="1">
        <f t="array" ref="E180">INDEX(Berekening_patiëntaantal[Direct toepasbaar/extrapolatie/incidentie voor QALY],MATCH(B180,IF(Berekening_patiëntaantal[Doelgroep (zoeksleutel)]=C180,Berekening_patiëntaantal[Digitale zorgtoepassing]),0))</f>
        <v>Huidige toepassing</v>
      </c>
      <c r="F180" s="43" t="s">
        <v>812</v>
      </c>
      <c r="G180" s="33" t="str">
        <f>CONCATENATE(uitkomst_doelgroep[[#This Row],[Digitale zorgtoepassing]],"_",uitkomst_doelgroep[[#This Row],[Doelgroep]],"_",uitkomst_doelgroep[[#This Row],[Uitgangssituatie/effect beleid]])</f>
        <v>AI om diagnoses te stellen (röntgen)_Röntgenscan_Botbreuk_Effect beleid</v>
      </c>
      <c r="H180" s="33">
        <v>2033</v>
      </c>
      <c r="I180" s="32">
        <v>11</v>
      </c>
      <c r="J180" s="406" cm="1">
        <f t="array" ref="J180">INDEX(implementatie[[2023]:[2034]],MATCH(G180, implementatie[Zoeksleutel],0),I180)</f>
        <v>0.98508414448286907</v>
      </c>
      <c r="K180" s="406" cm="1">
        <f t="array" ref="K180">INDEX(implementatie[[2023]:[2034]],MATCH(G180,implementatie[Zoeksleutel],0),I180 + 1)</f>
        <v>0.99206905861789263</v>
      </c>
      <c r="L18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395990.03490409063</v>
      </c>
      <c r="M180" s="398" cm="1">
        <f t="array" ref="M180">J180*INDEX(Berekening_impact[Totaal arbeidsbesparing (€/jaar)],MATCH(B180,IF(Berekening_impact[Doelgroep]=C180,Berekening_impact[Digitale zorgtoepassing]),0))</f>
        <v>100322.72250343233</v>
      </c>
      <c r="N180" s="397" cm="1">
        <f t="array" ref="N180">J180*INDEX(Berekening_impact[Totaal arbeidsbesparing (FTE/jaar)],MATCH(B180,IF(Berekening_impact[Doelgroep]=C180,Berekening_impact[Digitale zorgtoepassing]),0))</f>
        <v>0.52883284575866785</v>
      </c>
      <c r="O180" s="398" cm="1">
        <f t="array" ref="O180">J180*INDEX(Berekening_impact[Overige kostenbesparing (totaal/jaar totaal potentieel)],MATCH(B180,IF(Berekening_impact[Doelgroep]=C180,Berekening_impact[Digitale zorgtoepassing]),0))</f>
        <v>0</v>
      </c>
      <c r="P180" s="398" cm="1">
        <f t="array" ref="P180">J180*INDEX(Berekening_impact[Opbrengsten door QALY''s],MATCH(B180,IF(Berekening_impact[Doelgroep]=C180,Berekening_impact[Digitale zorgtoepassing]),0))</f>
        <v>0</v>
      </c>
      <c r="Q180" s="398" cm="1">
        <f t="array" ref="Q180">J180*INDEX(Berekening_impact[Jaarlijkse kosten (totaal) - incl. schatting],MATCH(B180,IF(Berekening_impact[Doelgroep]=C180,Berekening_impact[Digitale zorgtoepassing]),0))</f>
        <v>85257.430783881238</v>
      </c>
      <c r="R180" s="398" cm="1">
        <f t="array" ref="R180">(uitkomst_doelgroep[[#This Row],[Implementatiegraad t = T + 1]]-uitkomst_doelgroep[[#This Row],[Implementatiegraad t = T]])*INDEX(Berekening_impact[Initiële investering (totaal) - incl. schatting],MATCH(B180,IF(Berekening_impact[Doelgroep]=C180,Berekening_impact[Digitale zorgtoepassing]),0))</f>
        <v>0</v>
      </c>
      <c r="S180" s="398">
        <f>uitkomst_doelgroep[[#This Row],[Arbeidsbesparing (€)]]*uitkomst_doelgroep[[#This Row],[Percentage van patiëntaantallen in Wlz (overige is Zvw)]]</f>
        <v>0</v>
      </c>
      <c r="T180" s="398">
        <f>uitkomst_doelgroep[[#This Row],[Overige besparingen (€)]]*uitkomst_doelgroep[[#This Row],[Percentage van patiëntaantallen in Wlz (overige is Zvw)]]</f>
        <v>0</v>
      </c>
      <c r="U180" s="398">
        <f>uitkomst_doelgroep[[#This Row],[Kosten (€)]]*uitkomst_doelgroep[[#This Row],[Percentage van patiëntaantallen in Wlz (overige is Zvw)]]</f>
        <v>0</v>
      </c>
      <c r="V180" s="398">
        <f>uitkomst_doelgroep[[#This Row],[Investering (cash flow) (€)]]*uitkomst_doelgroep[[#This Row],[Percentage van patiëntaantallen in Wlz (overige is Zvw)]]</f>
        <v>0</v>
      </c>
    </row>
    <row r="181" spans="1:22" x14ac:dyDescent="0.5">
      <c r="A181" s="33" t="str">
        <f>INDEX(Technologieën[Veld],MATCH(B181,Technologieën[Digitale zorgtoepassing],0))</f>
        <v>Software - Behandeling</v>
      </c>
      <c r="B181" s="33" t="s">
        <v>716</v>
      </c>
      <c r="C181" s="33" t="s">
        <v>80</v>
      </c>
      <c r="D181" s="427" cm="1">
        <f t="array" ref="D181">INDEX(Berekening_patiëntaantal[Percentage van patiëntaantallen in Wlz (overige is Zvw)],MATCH(B181,IF(Berekening_patiëntaantal[Doelgroep (zoeksleutel)]=C181,Berekening_patiëntaantal[Digitale zorgtoepassing]),0))</f>
        <v>0</v>
      </c>
      <c r="E181" s="33" t="str" cm="1">
        <f t="array" ref="E181">INDEX(Berekening_patiëntaantal[Direct toepasbaar/extrapolatie/incidentie voor QALY],MATCH(B181,IF(Berekening_patiëntaantal[Doelgroep (zoeksleutel)]=C181,Berekening_patiëntaantal[Digitale zorgtoepassing]),0))</f>
        <v>Huidige toepassing</v>
      </c>
      <c r="F181" s="43" t="s">
        <v>812</v>
      </c>
      <c r="G181" s="33" t="str">
        <f>CONCATENATE(uitkomst_doelgroep[[#This Row],[Digitale zorgtoepassing]],"_",uitkomst_doelgroep[[#This Row],[Doelgroep]],"_",uitkomst_doelgroep[[#This Row],[Uitgangssituatie/effect beleid]])</f>
        <v>AI op de IC (ontslag beslissing)_IC_Effect beleid</v>
      </c>
      <c r="H181" s="33">
        <v>2023</v>
      </c>
      <c r="I181" s="32">
        <v>1</v>
      </c>
      <c r="J181" s="406" cm="1">
        <f t="array" ref="J181">INDEX(implementatie[[2023]:[2034]],MATCH(G181, implementatie[Zoeksleutel],0),I181)</f>
        <v>0</v>
      </c>
      <c r="K181" s="406" cm="1">
        <f t="array" ref="K181">INDEX(implementatie[[2023]:[2034]],MATCH(G181,implementatie[Zoeksleutel],0),I181 + 1)</f>
        <v>0</v>
      </c>
      <c r="L18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81" s="398" cm="1">
        <f t="array" ref="M181">J181*INDEX(Berekening_impact[Totaal arbeidsbesparing (€/jaar)],MATCH(B181,IF(Berekening_impact[Doelgroep]=C181,Berekening_impact[Digitale zorgtoepassing]),0))</f>
        <v>0</v>
      </c>
      <c r="N181" s="397" cm="1">
        <f t="array" ref="N181">J181*INDEX(Berekening_impact[Totaal arbeidsbesparing (FTE/jaar)],MATCH(B181,IF(Berekening_impact[Doelgroep]=C181,Berekening_impact[Digitale zorgtoepassing]),0))</f>
        <v>0</v>
      </c>
      <c r="O181" s="398" cm="1">
        <f t="array" ref="O181">J181*INDEX(Berekening_impact[Overige kostenbesparing (totaal/jaar totaal potentieel)],MATCH(B181,IF(Berekening_impact[Doelgroep]=C181,Berekening_impact[Digitale zorgtoepassing]),0))</f>
        <v>0</v>
      </c>
      <c r="P181" s="398" cm="1">
        <f t="array" ref="P181">J181*INDEX(Berekening_impact[Opbrengsten door QALY''s],MATCH(B181,IF(Berekening_impact[Doelgroep]=C181,Berekening_impact[Digitale zorgtoepassing]),0))</f>
        <v>0</v>
      </c>
      <c r="Q181" s="398" cm="1">
        <f t="array" ref="Q181">J181*INDEX(Berekening_impact[Jaarlijkse kosten (totaal) - incl. schatting],MATCH(B181,IF(Berekening_impact[Doelgroep]=C181,Berekening_impact[Digitale zorgtoepassing]),0))</f>
        <v>0</v>
      </c>
      <c r="R181" s="398" cm="1">
        <f t="array" ref="R181">(uitkomst_doelgroep[[#This Row],[Implementatiegraad t = T + 1]]-uitkomst_doelgroep[[#This Row],[Implementatiegraad t = T]])*INDEX(Berekening_impact[Initiële investering (totaal) - incl. schatting],MATCH(B181,IF(Berekening_impact[Doelgroep]=C181,Berekening_impact[Digitale zorgtoepassing]),0))</f>
        <v>0</v>
      </c>
      <c r="S181" s="398">
        <f>uitkomst_doelgroep[[#This Row],[Arbeidsbesparing (€)]]*uitkomst_doelgroep[[#This Row],[Percentage van patiëntaantallen in Wlz (overige is Zvw)]]</f>
        <v>0</v>
      </c>
      <c r="T181" s="398">
        <f>uitkomst_doelgroep[[#This Row],[Overige besparingen (€)]]*uitkomst_doelgroep[[#This Row],[Percentage van patiëntaantallen in Wlz (overige is Zvw)]]</f>
        <v>0</v>
      </c>
      <c r="U181" s="398">
        <f>uitkomst_doelgroep[[#This Row],[Kosten (€)]]*uitkomst_doelgroep[[#This Row],[Percentage van patiëntaantallen in Wlz (overige is Zvw)]]</f>
        <v>0</v>
      </c>
      <c r="V181" s="398">
        <f>uitkomst_doelgroep[[#This Row],[Investering (cash flow) (€)]]*uitkomst_doelgroep[[#This Row],[Percentage van patiëntaantallen in Wlz (overige is Zvw)]]</f>
        <v>0</v>
      </c>
    </row>
    <row r="182" spans="1:22" x14ac:dyDescent="0.5">
      <c r="A182" s="33" t="str">
        <f>INDEX(Technologieën[Veld],MATCH(B182,Technologieën[Digitale zorgtoepassing],0))</f>
        <v>Software - Behandeling</v>
      </c>
      <c r="B182" s="33" t="s">
        <v>716</v>
      </c>
      <c r="C182" s="33" t="s">
        <v>80</v>
      </c>
      <c r="D182" s="427" cm="1">
        <f t="array" ref="D182">INDEX(Berekening_patiëntaantal[Percentage van patiëntaantallen in Wlz (overige is Zvw)],MATCH(B182,IF(Berekening_patiëntaantal[Doelgroep (zoeksleutel)]=C182,Berekening_patiëntaantal[Digitale zorgtoepassing]),0))</f>
        <v>0</v>
      </c>
      <c r="E182" s="33" t="str" cm="1">
        <f t="array" ref="E182">INDEX(Berekening_patiëntaantal[Direct toepasbaar/extrapolatie/incidentie voor QALY],MATCH(B182,IF(Berekening_patiëntaantal[Doelgroep (zoeksleutel)]=C182,Berekening_patiëntaantal[Digitale zorgtoepassing]),0))</f>
        <v>Huidige toepassing</v>
      </c>
      <c r="F182" s="43" t="s">
        <v>812</v>
      </c>
      <c r="G182" s="33" t="str">
        <f>CONCATENATE(uitkomst_doelgroep[[#This Row],[Digitale zorgtoepassing]],"_",uitkomst_doelgroep[[#This Row],[Doelgroep]],"_",uitkomst_doelgroep[[#This Row],[Uitgangssituatie/effect beleid]])</f>
        <v>AI op de IC (ontslag beslissing)_IC_Effect beleid</v>
      </c>
      <c r="H182" s="33">
        <v>2024</v>
      </c>
      <c r="I182" s="32">
        <v>2</v>
      </c>
      <c r="J182" s="406" cm="1">
        <f t="array" ref="J182">INDEX(implementatie[[2023]:[2034]],MATCH(G182, implementatie[Zoeksleutel],0),I182)</f>
        <v>0</v>
      </c>
      <c r="K182" s="406" cm="1">
        <f t="array" ref="K182">INDEX(implementatie[[2023]:[2034]],MATCH(G182,implementatie[Zoeksleutel],0),I182 + 1)</f>
        <v>0</v>
      </c>
      <c r="L18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82" s="398" cm="1">
        <f t="array" ref="M182">J182*INDEX(Berekening_impact[Totaal arbeidsbesparing (€/jaar)],MATCH(B182,IF(Berekening_impact[Doelgroep]=C182,Berekening_impact[Digitale zorgtoepassing]),0))</f>
        <v>0</v>
      </c>
      <c r="N182" s="397" cm="1">
        <f t="array" ref="N182">J182*INDEX(Berekening_impact[Totaal arbeidsbesparing (FTE/jaar)],MATCH(B182,IF(Berekening_impact[Doelgroep]=C182,Berekening_impact[Digitale zorgtoepassing]),0))</f>
        <v>0</v>
      </c>
      <c r="O182" s="398" cm="1">
        <f t="array" ref="O182">J182*INDEX(Berekening_impact[Overige kostenbesparing (totaal/jaar totaal potentieel)],MATCH(B182,IF(Berekening_impact[Doelgroep]=C182,Berekening_impact[Digitale zorgtoepassing]),0))</f>
        <v>0</v>
      </c>
      <c r="P182" s="398" cm="1">
        <f t="array" ref="P182">J182*INDEX(Berekening_impact[Opbrengsten door QALY''s],MATCH(B182,IF(Berekening_impact[Doelgroep]=C182,Berekening_impact[Digitale zorgtoepassing]),0))</f>
        <v>0</v>
      </c>
      <c r="Q182" s="398" cm="1">
        <f t="array" ref="Q182">J182*INDEX(Berekening_impact[Jaarlijkse kosten (totaal) - incl. schatting],MATCH(B182,IF(Berekening_impact[Doelgroep]=C182,Berekening_impact[Digitale zorgtoepassing]),0))</f>
        <v>0</v>
      </c>
      <c r="R182" s="398" cm="1">
        <f t="array" ref="R182">(uitkomst_doelgroep[[#This Row],[Implementatiegraad t = T + 1]]-uitkomst_doelgroep[[#This Row],[Implementatiegraad t = T]])*INDEX(Berekening_impact[Initiële investering (totaal) - incl. schatting],MATCH(B182,IF(Berekening_impact[Doelgroep]=C182,Berekening_impact[Digitale zorgtoepassing]),0))</f>
        <v>0</v>
      </c>
      <c r="S182" s="398">
        <f>uitkomst_doelgroep[[#This Row],[Arbeidsbesparing (€)]]*uitkomst_doelgroep[[#This Row],[Percentage van patiëntaantallen in Wlz (overige is Zvw)]]</f>
        <v>0</v>
      </c>
      <c r="T182" s="398">
        <f>uitkomst_doelgroep[[#This Row],[Overige besparingen (€)]]*uitkomst_doelgroep[[#This Row],[Percentage van patiëntaantallen in Wlz (overige is Zvw)]]</f>
        <v>0</v>
      </c>
      <c r="U182" s="398">
        <f>uitkomst_doelgroep[[#This Row],[Kosten (€)]]*uitkomst_doelgroep[[#This Row],[Percentage van patiëntaantallen in Wlz (overige is Zvw)]]</f>
        <v>0</v>
      </c>
      <c r="V182" s="398">
        <f>uitkomst_doelgroep[[#This Row],[Investering (cash flow) (€)]]*uitkomst_doelgroep[[#This Row],[Percentage van patiëntaantallen in Wlz (overige is Zvw)]]</f>
        <v>0</v>
      </c>
    </row>
    <row r="183" spans="1:22" x14ac:dyDescent="0.5">
      <c r="A183" s="33" t="str">
        <f>INDEX(Technologieën[Veld],MATCH(B183,Technologieën[Digitale zorgtoepassing],0))</f>
        <v>Software - Behandeling</v>
      </c>
      <c r="B183" s="33" t="s">
        <v>716</v>
      </c>
      <c r="C183" s="33" t="s">
        <v>80</v>
      </c>
      <c r="D183" s="427" cm="1">
        <f t="array" ref="D183">INDEX(Berekening_patiëntaantal[Percentage van patiëntaantallen in Wlz (overige is Zvw)],MATCH(B183,IF(Berekening_patiëntaantal[Doelgroep (zoeksleutel)]=C183,Berekening_patiëntaantal[Digitale zorgtoepassing]),0))</f>
        <v>0</v>
      </c>
      <c r="E183" s="33" t="str" cm="1">
        <f t="array" ref="E183">INDEX(Berekening_patiëntaantal[Direct toepasbaar/extrapolatie/incidentie voor QALY],MATCH(B183,IF(Berekening_patiëntaantal[Doelgroep (zoeksleutel)]=C183,Berekening_patiëntaantal[Digitale zorgtoepassing]),0))</f>
        <v>Huidige toepassing</v>
      </c>
      <c r="F183" s="43" t="s">
        <v>812</v>
      </c>
      <c r="G183" s="33" t="str">
        <f>CONCATENATE(uitkomst_doelgroep[[#This Row],[Digitale zorgtoepassing]],"_",uitkomst_doelgroep[[#This Row],[Doelgroep]],"_",uitkomst_doelgroep[[#This Row],[Uitgangssituatie/effect beleid]])</f>
        <v>AI op de IC (ontslag beslissing)_IC_Effect beleid</v>
      </c>
      <c r="H183" s="33">
        <v>2025</v>
      </c>
      <c r="I183" s="32">
        <v>3</v>
      </c>
      <c r="J183" s="406" cm="1">
        <f t="array" ref="J183">INDEX(implementatie[[2023]:[2034]],MATCH(G183, implementatie[Zoeksleutel],0),I183)</f>
        <v>0</v>
      </c>
      <c r="K183" s="406" cm="1">
        <f t="array" ref="K183">INDEX(implementatie[[2023]:[2034]],MATCH(G183,implementatie[Zoeksleutel],0),I183 + 1)</f>
        <v>0.02</v>
      </c>
      <c r="L18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83" s="398" cm="1">
        <f t="array" ref="M183">J183*INDEX(Berekening_impact[Totaal arbeidsbesparing (€/jaar)],MATCH(B183,IF(Berekening_impact[Doelgroep]=C183,Berekening_impact[Digitale zorgtoepassing]),0))</f>
        <v>0</v>
      </c>
      <c r="N183" s="397" cm="1">
        <f t="array" ref="N183">J183*INDEX(Berekening_impact[Totaal arbeidsbesparing (FTE/jaar)],MATCH(B183,IF(Berekening_impact[Doelgroep]=C183,Berekening_impact[Digitale zorgtoepassing]),0))</f>
        <v>0</v>
      </c>
      <c r="O183" s="398" cm="1">
        <f t="array" ref="O183">J183*INDEX(Berekening_impact[Overige kostenbesparing (totaal/jaar totaal potentieel)],MATCH(B183,IF(Berekening_impact[Doelgroep]=C183,Berekening_impact[Digitale zorgtoepassing]),0))</f>
        <v>0</v>
      </c>
      <c r="P183" s="398" cm="1">
        <f t="array" ref="P183">J183*INDEX(Berekening_impact[Opbrengsten door QALY''s],MATCH(B183,IF(Berekening_impact[Doelgroep]=C183,Berekening_impact[Digitale zorgtoepassing]),0))</f>
        <v>0</v>
      </c>
      <c r="Q183" s="398" cm="1">
        <f t="array" ref="Q183">J183*INDEX(Berekening_impact[Jaarlijkse kosten (totaal) - incl. schatting],MATCH(B183,IF(Berekening_impact[Doelgroep]=C183,Berekening_impact[Digitale zorgtoepassing]),0))</f>
        <v>0</v>
      </c>
      <c r="R183" s="398" cm="1">
        <f t="array" ref="R183">(uitkomst_doelgroep[[#This Row],[Implementatiegraad t = T + 1]]-uitkomst_doelgroep[[#This Row],[Implementatiegraad t = T]])*INDEX(Berekening_impact[Initiële investering (totaal) - incl. schatting],MATCH(B183,IF(Berekening_impact[Doelgroep]=C183,Berekening_impact[Digitale zorgtoepassing]),0))</f>
        <v>0</v>
      </c>
      <c r="S183" s="398">
        <f>uitkomst_doelgroep[[#This Row],[Arbeidsbesparing (€)]]*uitkomst_doelgroep[[#This Row],[Percentage van patiëntaantallen in Wlz (overige is Zvw)]]</f>
        <v>0</v>
      </c>
      <c r="T183" s="398">
        <f>uitkomst_doelgroep[[#This Row],[Overige besparingen (€)]]*uitkomst_doelgroep[[#This Row],[Percentage van patiëntaantallen in Wlz (overige is Zvw)]]</f>
        <v>0</v>
      </c>
      <c r="U183" s="398">
        <f>uitkomst_doelgroep[[#This Row],[Kosten (€)]]*uitkomst_doelgroep[[#This Row],[Percentage van patiëntaantallen in Wlz (overige is Zvw)]]</f>
        <v>0</v>
      </c>
      <c r="V183" s="398">
        <f>uitkomst_doelgroep[[#This Row],[Investering (cash flow) (€)]]*uitkomst_doelgroep[[#This Row],[Percentage van patiëntaantallen in Wlz (overige is Zvw)]]</f>
        <v>0</v>
      </c>
    </row>
    <row r="184" spans="1:22" ht="17.5" thickBot="1" x14ac:dyDescent="0.55000000000000004">
      <c r="A184" s="33" t="str">
        <f>INDEX(Technologieën[Veld],MATCH(B184,Technologieën[Digitale zorgtoepassing],0))</f>
        <v>Software - Behandeling</v>
      </c>
      <c r="B184" s="33" t="s">
        <v>716</v>
      </c>
      <c r="C184" s="40" t="s">
        <v>80</v>
      </c>
      <c r="D184" s="427" cm="1">
        <f t="array" ref="D184">INDEX(Berekening_patiëntaantal[Percentage van patiëntaantallen in Wlz (overige is Zvw)],MATCH(B184,IF(Berekening_patiëntaantal[Doelgroep (zoeksleutel)]=C184,Berekening_patiëntaantal[Digitale zorgtoepassing]),0))</f>
        <v>0</v>
      </c>
      <c r="E184" s="33" t="str" cm="1">
        <f t="array" ref="E184">INDEX(Berekening_patiëntaantal[Direct toepasbaar/extrapolatie/incidentie voor QALY],MATCH(B184,IF(Berekening_patiëntaantal[Doelgroep (zoeksleutel)]=C184,Berekening_patiëntaantal[Digitale zorgtoepassing]),0))</f>
        <v>Huidige toepassing</v>
      </c>
      <c r="F184" s="43" t="s">
        <v>812</v>
      </c>
      <c r="G184" s="33" t="str">
        <f>CONCATENATE(uitkomst_doelgroep[[#This Row],[Digitale zorgtoepassing]],"_",uitkomst_doelgroep[[#This Row],[Doelgroep]],"_",uitkomst_doelgroep[[#This Row],[Uitgangssituatie/effect beleid]])</f>
        <v>AI op de IC (ontslag beslissing)_IC_Effect beleid</v>
      </c>
      <c r="H184" s="33">
        <v>2026</v>
      </c>
      <c r="I184" s="32">
        <v>4</v>
      </c>
      <c r="J184" s="406" cm="1">
        <f t="array" ref="J184">INDEX(implementatie[[2023]:[2034]],MATCH(G184, implementatie[Zoeksleutel],0),I184)</f>
        <v>0.02</v>
      </c>
      <c r="K184" s="406" cm="1">
        <f t="array" ref="K184">INDEX(implementatie[[2023]:[2034]],MATCH(G184,implementatie[Zoeksleutel],0),I184 + 1)</f>
        <v>4.7439999999999996E-2</v>
      </c>
      <c r="L18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1297.3600000000001</v>
      </c>
      <c r="M184" s="398" cm="1">
        <f t="array" ref="M184">J184*INDEX(Berekening_impact[Totaal arbeidsbesparing (€/jaar)],MATCH(B184,IF(Berekening_impact[Doelgroep]=C184,Berekening_impact[Digitale zorgtoepassing]),0))</f>
        <v>19530.457440000006</v>
      </c>
      <c r="N184" s="397" cm="1">
        <f t="array" ref="N184">J184*INDEX(Berekening_impact[Totaal arbeidsbesparing (FTE/jaar)],MATCH(B184,IF(Berekening_impact[Doelgroep]=C184,Berekening_impact[Digitale zorgtoepassing]),0))</f>
        <v>0.33848643908199577</v>
      </c>
      <c r="O184" s="398" cm="1">
        <f t="array" ref="O184">J184*INDEX(Berekening_impact[Overige kostenbesparing (totaal/jaar totaal potentieel)],MATCH(B184,IF(Berekening_impact[Doelgroep]=C184,Berekening_impact[Digitale zorgtoepassing]),0))</f>
        <v>13020.304960000003</v>
      </c>
      <c r="P184" s="398" cm="1">
        <f t="array" ref="P184">J184*INDEX(Berekening_impact[Opbrengsten door QALY''s],MATCH(B184,IF(Berekening_impact[Doelgroep]=C184,Berekening_impact[Digitale zorgtoepassing]),0))</f>
        <v>116762.40000000001</v>
      </c>
      <c r="Q184" s="398" cm="1">
        <f t="array" ref="Q184">J184*INDEX(Berekening_impact[Jaarlijkse kosten (totaal) - incl. schatting],MATCH(B184,IF(Berekening_impact[Doelgroep]=C184,Berekening_impact[Digitale zorgtoepassing]),0))</f>
        <v>77841.600000000006</v>
      </c>
      <c r="R184" s="398" cm="1">
        <f t="array" ref="R184">(uitkomst_doelgroep[[#This Row],[Implementatiegraad t = T + 1]]-uitkomst_doelgroep[[#This Row],[Implementatiegraad t = T]])*INDEX(Berekening_impact[Initiële investering (totaal) - incl. schatting],MATCH(B184,IF(Berekening_impact[Doelgroep]=C184,Berekening_impact[Digitale zorgtoepassing]),0))</f>
        <v>0</v>
      </c>
      <c r="S184" s="398">
        <f>uitkomst_doelgroep[[#This Row],[Arbeidsbesparing (€)]]*uitkomst_doelgroep[[#This Row],[Percentage van patiëntaantallen in Wlz (overige is Zvw)]]</f>
        <v>0</v>
      </c>
      <c r="T184" s="398">
        <f>uitkomst_doelgroep[[#This Row],[Overige besparingen (€)]]*uitkomst_doelgroep[[#This Row],[Percentage van patiëntaantallen in Wlz (overige is Zvw)]]</f>
        <v>0</v>
      </c>
      <c r="U184" s="398">
        <f>uitkomst_doelgroep[[#This Row],[Kosten (€)]]*uitkomst_doelgroep[[#This Row],[Percentage van patiëntaantallen in Wlz (overige is Zvw)]]</f>
        <v>0</v>
      </c>
      <c r="V184" s="398">
        <f>uitkomst_doelgroep[[#This Row],[Investering (cash flow) (€)]]*uitkomst_doelgroep[[#This Row],[Percentage van patiëntaantallen in Wlz (overige is Zvw)]]</f>
        <v>0</v>
      </c>
    </row>
    <row r="185" spans="1:22" x14ac:dyDescent="0.5">
      <c r="A185" s="33" t="str">
        <f>INDEX(Technologieën[Veld],MATCH(B185,Technologieën[Digitale zorgtoepassing],0))</f>
        <v>Software - Behandeling</v>
      </c>
      <c r="B185" s="33" t="s">
        <v>716</v>
      </c>
      <c r="C185" s="33" t="s">
        <v>80</v>
      </c>
      <c r="D185" s="427" cm="1">
        <f t="array" ref="D185">INDEX(Berekening_patiëntaantal[Percentage van patiëntaantallen in Wlz (overige is Zvw)],MATCH(B185,IF(Berekening_patiëntaantal[Doelgroep (zoeksleutel)]=C185,Berekening_patiëntaantal[Digitale zorgtoepassing]),0))</f>
        <v>0</v>
      </c>
      <c r="E185" s="33" t="str" cm="1">
        <f t="array" ref="E185">INDEX(Berekening_patiëntaantal[Direct toepasbaar/extrapolatie/incidentie voor QALY],MATCH(B185,IF(Berekening_patiëntaantal[Doelgroep (zoeksleutel)]=C185,Berekening_patiëntaantal[Digitale zorgtoepassing]),0))</f>
        <v>Huidige toepassing</v>
      </c>
      <c r="F185" s="43" t="s">
        <v>812</v>
      </c>
      <c r="G185" s="33" t="str">
        <f>CONCATENATE(uitkomst_doelgroep[[#This Row],[Digitale zorgtoepassing]],"_",uitkomst_doelgroep[[#This Row],[Doelgroep]],"_",uitkomst_doelgroep[[#This Row],[Uitgangssituatie/effect beleid]])</f>
        <v>AI op de IC (ontslag beslissing)_IC_Effect beleid</v>
      </c>
      <c r="H185" s="33">
        <v>2027</v>
      </c>
      <c r="I185" s="32">
        <v>5</v>
      </c>
      <c r="J185" s="406" cm="1">
        <f t="array" ref="J185">INDEX(implementatie[[2023]:[2034]],MATCH(G185, implementatie[Zoeksleutel],0),I185)</f>
        <v>4.7439999999999996E-2</v>
      </c>
      <c r="K185" s="406" cm="1">
        <f t="array" ref="K185">INDEX(implementatie[[2023]:[2034]],MATCH(G185,implementatie[Zoeksleutel],0),I185 + 1)</f>
        <v>8.4566978560000006E-2</v>
      </c>
      <c r="L18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3077.3379199999999</v>
      </c>
      <c r="M185" s="398" cm="1">
        <f t="array" ref="M185">J185*INDEX(Berekening_impact[Totaal arbeidsbesparing (€/jaar)],MATCH(B185,IF(Berekening_impact[Doelgroep]=C185,Berekening_impact[Digitale zorgtoepassing]),0))</f>
        <v>46326.245047680008</v>
      </c>
      <c r="N185" s="397" cm="1">
        <f t="array" ref="N185">J185*INDEX(Berekening_impact[Totaal arbeidsbesparing (FTE/jaar)],MATCH(B185,IF(Berekening_impact[Doelgroep]=C185,Berekening_impact[Digitale zorgtoepassing]),0))</f>
        <v>0.80288983350249388</v>
      </c>
      <c r="O185" s="398" cm="1">
        <f t="array" ref="O185">J185*INDEX(Berekening_impact[Overige kostenbesparing (totaal/jaar totaal potentieel)],MATCH(B185,IF(Berekening_impact[Doelgroep]=C185,Berekening_impact[Digitale zorgtoepassing]),0))</f>
        <v>30884.163365120003</v>
      </c>
      <c r="P185" s="398" cm="1">
        <f t="array" ref="P185">J185*INDEX(Berekening_impact[Opbrengsten door QALY''s],MATCH(B185,IF(Berekening_impact[Doelgroep]=C185,Berekening_impact[Digitale zorgtoepassing]),0))</f>
        <v>276960.41279999999</v>
      </c>
      <c r="Q185" s="398" cm="1">
        <f t="array" ref="Q185">J185*INDEX(Berekening_impact[Jaarlijkse kosten (totaal) - incl. schatting],MATCH(B185,IF(Berekening_impact[Doelgroep]=C185,Berekening_impact[Digitale zorgtoepassing]),0))</f>
        <v>184640.27519999997</v>
      </c>
      <c r="R185" s="398" cm="1">
        <f t="array" ref="R185">(uitkomst_doelgroep[[#This Row],[Implementatiegraad t = T + 1]]-uitkomst_doelgroep[[#This Row],[Implementatiegraad t = T]])*INDEX(Berekening_impact[Initiële investering (totaal) - incl. schatting],MATCH(B185,IF(Berekening_impact[Doelgroep]=C185,Berekening_impact[Digitale zorgtoepassing]),0))</f>
        <v>0</v>
      </c>
      <c r="S185" s="398">
        <f>uitkomst_doelgroep[[#This Row],[Arbeidsbesparing (€)]]*uitkomst_doelgroep[[#This Row],[Percentage van patiëntaantallen in Wlz (overige is Zvw)]]</f>
        <v>0</v>
      </c>
      <c r="T185" s="398">
        <f>uitkomst_doelgroep[[#This Row],[Overige besparingen (€)]]*uitkomst_doelgroep[[#This Row],[Percentage van patiëntaantallen in Wlz (overige is Zvw)]]</f>
        <v>0</v>
      </c>
      <c r="U185" s="398">
        <f>uitkomst_doelgroep[[#This Row],[Kosten (€)]]*uitkomst_doelgroep[[#This Row],[Percentage van patiëntaantallen in Wlz (overige is Zvw)]]</f>
        <v>0</v>
      </c>
      <c r="V185" s="398">
        <f>uitkomst_doelgroep[[#This Row],[Investering (cash flow) (€)]]*uitkomst_doelgroep[[#This Row],[Percentage van patiëntaantallen in Wlz (overige is Zvw)]]</f>
        <v>0</v>
      </c>
    </row>
    <row r="186" spans="1:22" x14ac:dyDescent="0.5">
      <c r="A186" s="33" t="str">
        <f>INDEX(Technologieën[Veld],MATCH(B186,Technologieën[Digitale zorgtoepassing],0))</f>
        <v>Software - Behandeling</v>
      </c>
      <c r="B186" s="33" t="s">
        <v>716</v>
      </c>
      <c r="C186" s="33" t="s">
        <v>80</v>
      </c>
      <c r="D186" s="427" cm="1">
        <f t="array" ref="D186">INDEX(Berekening_patiëntaantal[Percentage van patiëntaantallen in Wlz (overige is Zvw)],MATCH(B186,IF(Berekening_patiëntaantal[Doelgroep (zoeksleutel)]=C186,Berekening_patiëntaantal[Digitale zorgtoepassing]),0))</f>
        <v>0</v>
      </c>
      <c r="E186" s="33" t="str" cm="1">
        <f t="array" ref="E186">INDEX(Berekening_patiëntaantal[Direct toepasbaar/extrapolatie/incidentie voor QALY],MATCH(B186,IF(Berekening_patiëntaantal[Doelgroep (zoeksleutel)]=C186,Berekening_patiëntaantal[Digitale zorgtoepassing]),0))</f>
        <v>Huidige toepassing</v>
      </c>
      <c r="F186" s="43" t="s">
        <v>812</v>
      </c>
      <c r="G186" s="33" t="str">
        <f>CONCATENATE(uitkomst_doelgroep[[#This Row],[Digitale zorgtoepassing]],"_",uitkomst_doelgroep[[#This Row],[Doelgroep]],"_",uitkomst_doelgroep[[#This Row],[Uitgangssituatie/effect beleid]])</f>
        <v>AI op de IC (ontslag beslissing)_IC_Effect beleid</v>
      </c>
      <c r="H186" s="33">
        <v>2028</v>
      </c>
      <c r="I186" s="32">
        <v>6</v>
      </c>
      <c r="J186" s="406" cm="1">
        <f t="array" ref="J186">INDEX(implementatie[[2023]:[2034]],MATCH(G186, implementatie[Zoeksleutel],0),I186)</f>
        <v>8.4566978560000006E-2</v>
      </c>
      <c r="K186" s="406" cm="1">
        <f t="array" ref="K186">INDEX(implementatie[[2023]:[2034]],MATCH(G186,implementatie[Zoeksleutel],0),I186 + 1)</f>
        <v>0.13384180086769301</v>
      </c>
      <c r="L18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5485.6907652300806</v>
      </c>
      <c r="M186" s="398" cm="1">
        <f t="array" ref="M186">J186*INDEX(Berekening_impact[Totaal arbeidsbesparing (€/jaar)],MATCH(B186,IF(Berekening_impact[Doelgroep]=C186,Berekening_impact[Digitale zorgtoepassing]),0))</f>
        <v>82581.58877977365</v>
      </c>
      <c r="N186" s="397" cm="1">
        <f t="array" ref="N186">J186*INDEX(Berekening_impact[Totaal arbeidsbesparing (FTE/jaar)],MATCH(B186,IF(Berekening_impact[Doelgroep]=C186,Berekening_impact[Digitale zorgtoepassing]),0))</f>
        <v>1.4312387718348942</v>
      </c>
      <c r="O186" s="398" cm="1">
        <f t="array" ref="O186">J186*INDEX(Berekening_impact[Overige kostenbesparing (totaal/jaar totaal potentieel)],MATCH(B186,IF(Berekening_impact[Doelgroep]=C186,Berekening_impact[Digitale zorgtoepassing]),0))</f>
        <v>55054.392519849098</v>
      </c>
      <c r="P186" s="398" cm="1">
        <f t="array" ref="P186">J186*INDEX(Berekening_impact[Opbrengsten door QALY''s],MATCH(B186,IF(Berekening_impact[Doelgroep]=C186,Berekening_impact[Digitale zorgtoepassing]),0))</f>
        <v>493712.16887070722</v>
      </c>
      <c r="Q186" s="398" cm="1">
        <f t="array" ref="Q186">J186*INDEX(Berekening_impact[Jaarlijkse kosten (totaal) - incl. schatting],MATCH(B186,IF(Berekening_impact[Doelgroep]=C186,Berekening_impact[Digitale zorgtoepassing]),0))</f>
        <v>329141.44591380481</v>
      </c>
      <c r="R186" s="398" cm="1">
        <f t="array" ref="R186">(uitkomst_doelgroep[[#This Row],[Implementatiegraad t = T + 1]]-uitkomst_doelgroep[[#This Row],[Implementatiegraad t = T]])*INDEX(Berekening_impact[Initiële investering (totaal) - incl. schatting],MATCH(B186,IF(Berekening_impact[Doelgroep]=C186,Berekening_impact[Digitale zorgtoepassing]),0))</f>
        <v>0</v>
      </c>
      <c r="S186" s="398">
        <f>uitkomst_doelgroep[[#This Row],[Arbeidsbesparing (€)]]*uitkomst_doelgroep[[#This Row],[Percentage van patiëntaantallen in Wlz (overige is Zvw)]]</f>
        <v>0</v>
      </c>
      <c r="T186" s="398">
        <f>uitkomst_doelgroep[[#This Row],[Overige besparingen (€)]]*uitkomst_doelgroep[[#This Row],[Percentage van patiëntaantallen in Wlz (overige is Zvw)]]</f>
        <v>0</v>
      </c>
      <c r="U186" s="398">
        <f>uitkomst_doelgroep[[#This Row],[Kosten (€)]]*uitkomst_doelgroep[[#This Row],[Percentage van patiëntaantallen in Wlz (overige is Zvw)]]</f>
        <v>0</v>
      </c>
      <c r="V186" s="398">
        <f>uitkomst_doelgroep[[#This Row],[Investering (cash flow) (€)]]*uitkomst_doelgroep[[#This Row],[Percentage van patiëntaantallen in Wlz (overige is Zvw)]]</f>
        <v>0</v>
      </c>
    </row>
    <row r="187" spans="1:22" x14ac:dyDescent="0.5">
      <c r="A187" s="33" t="str">
        <f>INDEX(Technologieën[Veld],MATCH(B187,Technologieën[Digitale zorgtoepassing],0))</f>
        <v>Software - Behandeling</v>
      </c>
      <c r="B187" s="33" t="s">
        <v>716</v>
      </c>
      <c r="C187" s="33" t="s">
        <v>80</v>
      </c>
      <c r="D187" s="427" cm="1">
        <f t="array" ref="D187">INDEX(Berekening_patiëntaantal[Percentage van patiëntaantallen in Wlz (overige is Zvw)],MATCH(B187,IF(Berekening_patiëntaantal[Doelgroep (zoeksleutel)]=C187,Berekening_patiëntaantal[Digitale zorgtoepassing]),0))</f>
        <v>0</v>
      </c>
      <c r="E187" s="33" t="str" cm="1">
        <f t="array" ref="E187">INDEX(Berekening_patiëntaantal[Direct toepasbaar/extrapolatie/incidentie voor QALY],MATCH(B187,IF(Berekening_patiëntaantal[Doelgroep (zoeksleutel)]=C187,Berekening_patiëntaantal[Digitale zorgtoepassing]),0))</f>
        <v>Huidige toepassing</v>
      </c>
      <c r="F187" s="43" t="s">
        <v>812</v>
      </c>
      <c r="G187" s="33" t="str">
        <f>CONCATENATE(uitkomst_doelgroep[[#This Row],[Digitale zorgtoepassing]],"_",uitkomst_doelgroep[[#This Row],[Doelgroep]],"_",uitkomst_doelgroep[[#This Row],[Uitgangssituatie/effect beleid]])</f>
        <v>AI op de IC (ontslag beslissing)_IC_Effect beleid</v>
      </c>
      <c r="H187" s="33">
        <v>2029</v>
      </c>
      <c r="I187" s="32">
        <v>7</v>
      </c>
      <c r="J187" s="406" cm="1">
        <f t="array" ref="J187">INDEX(implementatie[[2023]:[2034]],MATCH(G187, implementatie[Zoeksleutel],0),I187)</f>
        <v>0.13384180086769301</v>
      </c>
      <c r="K187" s="406" cm="1">
        <f t="array" ref="K187">INDEX(implementatie[[2023]:[2034]],MATCH(G187,implementatie[Zoeksleutel],0),I187 + 1)</f>
        <v>0.19753623413361349</v>
      </c>
      <c r="L18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8682.0499386855099</v>
      </c>
      <c r="M187" s="398" cm="1">
        <f t="array" ref="M187">J187*INDEX(Berekening_impact[Totaal arbeidsbesparing (€/jaar)],MATCH(B187,IF(Berekening_impact[Doelgroep]=C187,Berekening_impact[Digitale zorgtoepassing]),0))</f>
        <v>130699.5797769717</v>
      </c>
      <c r="N187" s="397" cm="1">
        <f t="array" ref="N187">J187*INDEX(Berekening_impact[Totaal arbeidsbesparing (FTE/jaar)],MATCH(B187,IF(Berekening_impact[Doelgroep]=C187,Berekening_impact[Digitale zorgtoepassing]),0))</f>
        <v>2.2651817288013492</v>
      </c>
      <c r="O187" s="398" cm="1">
        <f t="array" ref="O187">J187*INDEX(Berekening_impact[Overige kostenbesparing (totaal/jaar totaal potentieel)],MATCH(B187,IF(Berekening_impact[Doelgroep]=C187,Berekening_impact[Digitale zorgtoepassing]),0))</f>
        <v>87133.053184647797</v>
      </c>
      <c r="P187" s="398" cm="1">
        <f t="array" ref="P187">J187*INDEX(Berekening_impact[Opbrengsten door QALY''s],MATCH(B187,IF(Berekening_impact[Doelgroep]=C187,Berekening_impact[Digitale zorgtoepassing]),0))</f>
        <v>781384.49448169593</v>
      </c>
      <c r="Q187" s="398" cm="1">
        <f t="array" ref="Q187">J187*INDEX(Berekening_impact[Jaarlijkse kosten (totaal) - incl. schatting],MATCH(B187,IF(Berekening_impact[Doelgroep]=C187,Berekening_impact[Digitale zorgtoepassing]),0))</f>
        <v>520922.9963211306</v>
      </c>
      <c r="R187" s="398" cm="1">
        <f t="array" ref="R187">(uitkomst_doelgroep[[#This Row],[Implementatiegraad t = T + 1]]-uitkomst_doelgroep[[#This Row],[Implementatiegraad t = T]])*INDEX(Berekening_impact[Initiële investering (totaal) - incl. schatting],MATCH(B187,IF(Berekening_impact[Doelgroep]=C187,Berekening_impact[Digitale zorgtoepassing]),0))</f>
        <v>0</v>
      </c>
      <c r="S187" s="398">
        <f>uitkomst_doelgroep[[#This Row],[Arbeidsbesparing (€)]]*uitkomst_doelgroep[[#This Row],[Percentage van patiëntaantallen in Wlz (overige is Zvw)]]</f>
        <v>0</v>
      </c>
      <c r="T187" s="398">
        <f>uitkomst_doelgroep[[#This Row],[Overige besparingen (€)]]*uitkomst_doelgroep[[#This Row],[Percentage van patiëntaantallen in Wlz (overige is Zvw)]]</f>
        <v>0</v>
      </c>
      <c r="U187" s="398">
        <f>uitkomst_doelgroep[[#This Row],[Kosten (€)]]*uitkomst_doelgroep[[#This Row],[Percentage van patiëntaantallen in Wlz (overige is Zvw)]]</f>
        <v>0</v>
      </c>
      <c r="V187" s="398">
        <f>uitkomst_doelgroep[[#This Row],[Investering (cash flow) (€)]]*uitkomst_doelgroep[[#This Row],[Percentage van patiëntaantallen in Wlz (overige is Zvw)]]</f>
        <v>0</v>
      </c>
    </row>
    <row r="188" spans="1:22" x14ac:dyDescent="0.5">
      <c r="A188" s="33" t="str">
        <f>INDEX(Technologieën[Veld],MATCH(B188,Technologieën[Digitale zorgtoepassing],0))</f>
        <v>Software - Behandeling</v>
      </c>
      <c r="B188" s="33" t="s">
        <v>716</v>
      </c>
      <c r="C188" s="33" t="s">
        <v>80</v>
      </c>
      <c r="D188" s="427" cm="1">
        <f t="array" ref="D188">INDEX(Berekening_patiëntaantal[Percentage van patiëntaantallen in Wlz (overige is Zvw)],MATCH(B188,IF(Berekening_patiëntaantal[Doelgroep (zoeksleutel)]=C188,Berekening_patiëntaantal[Digitale zorgtoepassing]),0))</f>
        <v>0</v>
      </c>
      <c r="E188" s="33" t="str" cm="1">
        <f t="array" ref="E188">INDEX(Berekening_patiëntaantal[Direct toepasbaar/extrapolatie/incidentie voor QALY],MATCH(B188,IF(Berekening_patiëntaantal[Doelgroep (zoeksleutel)]=C188,Berekening_patiëntaantal[Digitale zorgtoepassing]),0))</f>
        <v>Huidige toepassing</v>
      </c>
      <c r="F188" s="43" t="s">
        <v>812</v>
      </c>
      <c r="G188" s="33" t="str">
        <f>CONCATENATE(uitkomst_doelgroep[[#This Row],[Digitale zorgtoepassing]],"_",uitkomst_doelgroep[[#This Row],[Doelgroep]],"_",uitkomst_doelgroep[[#This Row],[Uitgangssituatie/effect beleid]])</f>
        <v>AI op de IC (ontslag beslissing)_IC_Effect beleid</v>
      </c>
      <c r="H188" s="33">
        <v>2030</v>
      </c>
      <c r="I188" s="32">
        <v>8</v>
      </c>
      <c r="J188" s="406" cm="1">
        <f t="array" ref="J188">INDEX(implementatie[[2023]:[2034]],MATCH(G188, implementatie[Zoeksleutel],0),I188)</f>
        <v>0.19753623413361349</v>
      </c>
      <c r="K188" s="406" cm="1">
        <f t="array" ref="K188">INDEX(implementatie[[2023]:[2034]],MATCH(G188,implementatie[Zoeksleutel],0),I188 + 1)</f>
        <v>0.27699177758611071</v>
      </c>
      <c r="L18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12813.780435779239</v>
      </c>
      <c r="M188" s="398" cm="1">
        <f t="array" ref="M188">J188*INDEX(Berekening_impact[Totaal arbeidsbesparing (€/jaar)],MATCH(B188,IF(Berekening_impact[Doelgroep]=C188,Berekening_impact[Digitale zorgtoepassing]),0))</f>
        <v>192898.65068022072</v>
      </c>
      <c r="N188" s="397" cm="1">
        <f t="array" ref="N188">J188*INDEX(Berekening_impact[Totaal arbeidsbesparing (FTE/jaar)],MATCH(B188,IF(Berekening_impact[Doelgroep]=C188,Berekening_impact[Digitale zorgtoepassing]),0))</f>
        <v>3.3431668240777106</v>
      </c>
      <c r="O188" s="398" cm="1">
        <f t="array" ref="O188">J188*INDEX(Berekening_impact[Overige kostenbesparing (totaal/jaar totaal potentieel)],MATCH(B188,IF(Berekening_impact[Doelgroep]=C188,Berekening_impact[Digitale zorgtoepassing]),0))</f>
        <v>128599.10045348048</v>
      </c>
      <c r="P188" s="398" cm="1">
        <f t="array" ref="P188">J188*INDEX(Berekening_impact[Opbrengsten door QALY''s],MATCH(B188,IF(Berekening_impact[Doelgroep]=C188,Berekening_impact[Digitale zorgtoepassing]),0))</f>
        <v>1153240.2392201317</v>
      </c>
      <c r="Q188" s="398" cm="1">
        <f t="array" ref="Q188">J188*INDEX(Berekening_impact[Jaarlijkse kosten (totaal) - incl. schatting],MATCH(B188,IF(Berekening_impact[Doelgroep]=C188,Berekening_impact[Digitale zorgtoepassing]),0))</f>
        <v>768826.82614675444</v>
      </c>
      <c r="R188" s="398" cm="1">
        <f t="array" ref="R188">(uitkomst_doelgroep[[#This Row],[Implementatiegraad t = T + 1]]-uitkomst_doelgroep[[#This Row],[Implementatiegraad t = T]])*INDEX(Berekening_impact[Initiële investering (totaal) - incl. schatting],MATCH(B188,IF(Berekening_impact[Doelgroep]=C188,Berekening_impact[Digitale zorgtoepassing]),0))</f>
        <v>0</v>
      </c>
      <c r="S188" s="398">
        <f>uitkomst_doelgroep[[#This Row],[Arbeidsbesparing (€)]]*uitkomst_doelgroep[[#This Row],[Percentage van patiëntaantallen in Wlz (overige is Zvw)]]</f>
        <v>0</v>
      </c>
      <c r="T188" s="398">
        <f>uitkomst_doelgroep[[#This Row],[Overige besparingen (€)]]*uitkomst_doelgroep[[#This Row],[Percentage van patiëntaantallen in Wlz (overige is Zvw)]]</f>
        <v>0</v>
      </c>
      <c r="U188" s="398">
        <f>uitkomst_doelgroep[[#This Row],[Kosten (€)]]*uitkomst_doelgroep[[#This Row],[Percentage van patiëntaantallen in Wlz (overige is Zvw)]]</f>
        <v>0</v>
      </c>
      <c r="V188" s="398">
        <f>uitkomst_doelgroep[[#This Row],[Investering (cash flow) (€)]]*uitkomst_doelgroep[[#This Row],[Percentage van patiëntaantallen in Wlz (overige is Zvw)]]</f>
        <v>0</v>
      </c>
    </row>
    <row r="189" spans="1:22" x14ac:dyDescent="0.5">
      <c r="A189" s="33" t="str">
        <f>INDEX(Technologieën[Veld],MATCH(B189,Technologieën[Digitale zorgtoepassing],0))</f>
        <v>Software - Behandeling</v>
      </c>
      <c r="B189" s="33" t="s">
        <v>716</v>
      </c>
      <c r="C189" s="33" t="s">
        <v>80</v>
      </c>
      <c r="D189" s="427" cm="1">
        <f t="array" ref="D189">INDEX(Berekening_patiëntaantal[Percentage van patiëntaantallen in Wlz (overige is Zvw)],MATCH(B189,IF(Berekening_patiëntaantal[Doelgroep (zoeksleutel)]=C189,Berekening_patiëntaantal[Digitale zorgtoepassing]),0))</f>
        <v>0</v>
      </c>
      <c r="E189" s="33" t="str" cm="1">
        <f t="array" ref="E189">INDEX(Berekening_patiëntaantal[Direct toepasbaar/extrapolatie/incidentie voor QALY],MATCH(B189,IF(Berekening_patiëntaantal[Doelgroep (zoeksleutel)]=C189,Berekening_patiëntaantal[Digitale zorgtoepassing]),0))</f>
        <v>Huidige toepassing</v>
      </c>
      <c r="F189" s="43" t="s">
        <v>812</v>
      </c>
      <c r="G189" s="33" t="str">
        <f>CONCATENATE(uitkomst_doelgroep[[#This Row],[Digitale zorgtoepassing]],"_",uitkomst_doelgroep[[#This Row],[Doelgroep]],"_",uitkomst_doelgroep[[#This Row],[Uitgangssituatie/effect beleid]])</f>
        <v>AI op de IC (ontslag beslissing)_IC_Effect beleid</v>
      </c>
      <c r="H189" s="33">
        <v>2031</v>
      </c>
      <c r="I189" s="32">
        <v>9</v>
      </c>
      <c r="J189" s="406" cm="1">
        <f t="array" ref="J189">INDEX(implementatie[[2023]:[2034]],MATCH(G189, implementatie[Zoeksleutel],0),I189)</f>
        <v>0.27699177758611071</v>
      </c>
      <c r="K189" s="406" cm="1">
        <f t="array" ref="K189">INDEX(implementatie[[2023]:[2034]],MATCH(G189,implementatie[Zoeksleutel],0),I189 + 1)</f>
        <v>0.37155887512870744</v>
      </c>
      <c r="L18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17967.902628455831</v>
      </c>
      <c r="M189" s="398" cm="1">
        <f t="array" ref="M189">J189*INDEX(Berekening_impact[Totaal arbeidsbesparing (€/jaar)],MATCH(B189,IF(Berekening_impact[Doelgroep]=C189,Berekening_impact[Digitale zorgtoepassing]),0))</f>
        <v>270488.80616877414</v>
      </c>
      <c r="N189" s="397" cm="1">
        <f t="array" ref="N189">J189*INDEX(Berekening_impact[Totaal arbeidsbesparing (FTE/jaar)],MATCH(B189,IF(Berekening_impact[Doelgroep]=C189,Berekening_impact[Digitale zorgtoepassing]),0))</f>
        <v>4.6878980225057392</v>
      </c>
      <c r="O189" s="398" cm="1">
        <f t="array" ref="O189">J189*INDEX(Berekening_impact[Overige kostenbesparing (totaal/jaar totaal potentieel)],MATCH(B189,IF(Berekening_impact[Doelgroep]=C189,Berekening_impact[Digitale zorgtoepassing]),0))</f>
        <v>180325.87077918273</v>
      </c>
      <c r="P189" s="398" cm="1">
        <f t="array" ref="P189">J189*INDEX(Berekening_impact[Opbrengsten door QALY''s],MATCH(B189,IF(Berekening_impact[Doelgroep]=C189,Berekening_impact[Digitale zorgtoepassing]),0))</f>
        <v>1617111.2365610246</v>
      </c>
      <c r="Q189" s="398" cm="1">
        <f t="array" ref="Q189">J189*INDEX(Berekening_impact[Jaarlijkse kosten (totaal) - incl. schatting],MATCH(B189,IF(Berekening_impact[Doelgroep]=C189,Berekening_impact[Digitale zorgtoepassing]),0))</f>
        <v>1078074.1577073499</v>
      </c>
      <c r="R189" s="398" cm="1">
        <f t="array" ref="R189">(uitkomst_doelgroep[[#This Row],[Implementatiegraad t = T + 1]]-uitkomst_doelgroep[[#This Row],[Implementatiegraad t = T]])*INDEX(Berekening_impact[Initiële investering (totaal) - incl. schatting],MATCH(B189,IF(Berekening_impact[Doelgroep]=C189,Berekening_impact[Digitale zorgtoepassing]),0))</f>
        <v>0</v>
      </c>
      <c r="S189" s="398">
        <f>uitkomst_doelgroep[[#This Row],[Arbeidsbesparing (€)]]*uitkomst_doelgroep[[#This Row],[Percentage van patiëntaantallen in Wlz (overige is Zvw)]]</f>
        <v>0</v>
      </c>
      <c r="T189" s="398">
        <f>uitkomst_doelgroep[[#This Row],[Overige besparingen (€)]]*uitkomst_doelgroep[[#This Row],[Percentage van patiëntaantallen in Wlz (overige is Zvw)]]</f>
        <v>0</v>
      </c>
      <c r="U189" s="398">
        <f>uitkomst_doelgroep[[#This Row],[Kosten (€)]]*uitkomst_doelgroep[[#This Row],[Percentage van patiëntaantallen in Wlz (overige is Zvw)]]</f>
        <v>0</v>
      </c>
      <c r="V189" s="398">
        <f>uitkomst_doelgroep[[#This Row],[Investering (cash flow) (€)]]*uitkomst_doelgroep[[#This Row],[Percentage van patiëntaantallen in Wlz (overige is Zvw)]]</f>
        <v>0</v>
      </c>
    </row>
    <row r="190" spans="1:22" x14ac:dyDescent="0.5">
      <c r="A190" s="33" t="str">
        <f>INDEX(Technologieën[Veld],MATCH(B190,Technologieën[Digitale zorgtoepassing],0))</f>
        <v>Software - Behandeling</v>
      </c>
      <c r="B190" s="33" t="s">
        <v>716</v>
      </c>
      <c r="C190" s="33" t="s">
        <v>80</v>
      </c>
      <c r="D190" s="427" cm="1">
        <f t="array" ref="D190">INDEX(Berekening_patiëntaantal[Percentage van patiëntaantallen in Wlz (overige is Zvw)],MATCH(B190,IF(Berekening_patiëntaantal[Doelgroep (zoeksleutel)]=C190,Berekening_patiëntaantal[Digitale zorgtoepassing]),0))</f>
        <v>0</v>
      </c>
      <c r="E190" s="33" t="str" cm="1">
        <f t="array" ref="E190">INDEX(Berekening_patiëntaantal[Direct toepasbaar/extrapolatie/incidentie voor QALY],MATCH(B190,IF(Berekening_patiëntaantal[Doelgroep (zoeksleutel)]=C190,Berekening_patiëntaantal[Digitale zorgtoepassing]),0))</f>
        <v>Huidige toepassing</v>
      </c>
      <c r="F190" s="43" t="s">
        <v>812</v>
      </c>
      <c r="G190" s="33" t="str">
        <f>CONCATENATE(uitkomst_doelgroep[[#This Row],[Digitale zorgtoepassing]],"_",uitkomst_doelgroep[[#This Row],[Doelgroep]],"_",uitkomst_doelgroep[[#This Row],[Uitgangssituatie/effect beleid]])</f>
        <v>AI op de IC (ontslag beslissing)_IC_Effect beleid</v>
      </c>
      <c r="H190" s="33">
        <v>2032</v>
      </c>
      <c r="I190" s="32">
        <v>10</v>
      </c>
      <c r="J190" s="406" cm="1">
        <f t="array" ref="J190">INDEX(implementatie[[2023]:[2034]],MATCH(G190, implementatie[Zoeksleutel],0),I190)</f>
        <v>0.37155887512870744</v>
      </c>
      <c r="K190" s="406" cm="1">
        <f t="array" ref="K190">INDEX(implementatie[[2023]:[2034]],MATCH(G190,implementatie[Zoeksleutel],0),I190 + 1)</f>
        <v>0.47752884860285211</v>
      </c>
      <c r="L19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24102.281111848995</v>
      </c>
      <c r="M190" s="398" cm="1">
        <f t="array" ref="M190">J190*INDEX(Berekening_impact[Totaal arbeidsbesparing (€/jaar)],MATCH(B190,IF(Berekening_impact[Doelgroep]=C190,Berekening_impact[Digitale zorgtoepassing]),0))</f>
        <v>362835.73985777487</v>
      </c>
      <c r="N190" s="397" cm="1">
        <f t="array" ref="N190">J190*INDEX(Berekening_impact[Totaal arbeidsbesparing (FTE/jaar)],MATCH(B190,IF(Berekening_impact[Doelgroep]=C190,Berekening_impact[Digitale zorgtoepassing]),0))</f>
        <v>6.2883820275814051</v>
      </c>
      <c r="O190" s="398" cm="1">
        <f t="array" ref="O190">J190*INDEX(Berekening_impact[Overige kostenbesparing (totaal/jaar totaal potentieel)],MATCH(B190,IF(Berekening_impact[Doelgroep]=C190,Berekening_impact[Digitale zorgtoepassing]),0))</f>
        <v>241890.49323851656</v>
      </c>
      <c r="P190" s="398" cm="1">
        <f t="array" ref="P190">J190*INDEX(Berekening_impact[Opbrengsten door QALY''s],MATCH(B190,IF(Berekening_impact[Doelgroep]=C190,Berekening_impact[Digitale zorgtoepassing]),0))</f>
        <v>2169205.3000664096</v>
      </c>
      <c r="Q190" s="398" cm="1">
        <f t="array" ref="Q190">J190*INDEX(Berekening_impact[Jaarlijkse kosten (totaal) - incl. schatting],MATCH(B190,IF(Berekening_impact[Doelgroep]=C190,Berekening_impact[Digitale zorgtoepassing]),0))</f>
        <v>1446136.8667109397</v>
      </c>
      <c r="R190" s="398" cm="1">
        <f t="array" ref="R190">(uitkomst_doelgroep[[#This Row],[Implementatiegraad t = T + 1]]-uitkomst_doelgroep[[#This Row],[Implementatiegraad t = T]])*INDEX(Berekening_impact[Initiële investering (totaal) - incl. schatting],MATCH(B190,IF(Berekening_impact[Doelgroep]=C190,Berekening_impact[Digitale zorgtoepassing]),0))</f>
        <v>0</v>
      </c>
      <c r="S190" s="398">
        <f>uitkomst_doelgroep[[#This Row],[Arbeidsbesparing (€)]]*uitkomst_doelgroep[[#This Row],[Percentage van patiëntaantallen in Wlz (overige is Zvw)]]</f>
        <v>0</v>
      </c>
      <c r="T190" s="398">
        <f>uitkomst_doelgroep[[#This Row],[Overige besparingen (€)]]*uitkomst_doelgroep[[#This Row],[Percentage van patiëntaantallen in Wlz (overige is Zvw)]]</f>
        <v>0</v>
      </c>
      <c r="U190" s="398">
        <f>uitkomst_doelgroep[[#This Row],[Kosten (€)]]*uitkomst_doelgroep[[#This Row],[Percentage van patiëntaantallen in Wlz (overige is Zvw)]]</f>
        <v>0</v>
      </c>
      <c r="V190" s="398">
        <f>uitkomst_doelgroep[[#This Row],[Investering (cash flow) (€)]]*uitkomst_doelgroep[[#This Row],[Percentage van patiëntaantallen in Wlz (overige is Zvw)]]</f>
        <v>0</v>
      </c>
    </row>
    <row r="191" spans="1:22" x14ac:dyDescent="0.5">
      <c r="A191" s="33" t="str">
        <f>INDEX(Technologieën[Veld],MATCH(B191,Technologieën[Digitale zorgtoepassing],0))</f>
        <v>Software - Behandeling</v>
      </c>
      <c r="B191" s="33" t="s">
        <v>716</v>
      </c>
      <c r="C191" s="33" t="s">
        <v>80</v>
      </c>
      <c r="D191" s="427" cm="1">
        <f t="array" ref="D191">INDEX(Berekening_patiëntaantal[Percentage van patiëntaantallen in Wlz (overige is Zvw)],MATCH(B191,IF(Berekening_patiëntaantal[Doelgroep (zoeksleutel)]=C191,Berekening_patiëntaantal[Digitale zorgtoepassing]),0))</f>
        <v>0</v>
      </c>
      <c r="E191" s="33" t="str" cm="1">
        <f t="array" ref="E191">INDEX(Berekening_patiëntaantal[Direct toepasbaar/extrapolatie/incidentie voor QALY],MATCH(B191,IF(Berekening_patiëntaantal[Doelgroep (zoeksleutel)]=C191,Berekening_patiëntaantal[Digitale zorgtoepassing]),0))</f>
        <v>Huidige toepassing</v>
      </c>
      <c r="F191" s="43" t="s">
        <v>812</v>
      </c>
      <c r="G191" s="33" t="str">
        <f>CONCATENATE(uitkomst_doelgroep[[#This Row],[Digitale zorgtoepassing]],"_",uitkomst_doelgroep[[#This Row],[Doelgroep]],"_",uitkomst_doelgroep[[#This Row],[Uitgangssituatie/effect beleid]])</f>
        <v>AI op de IC (ontslag beslissing)_IC_Effect beleid</v>
      </c>
      <c r="H191" s="33">
        <v>2033</v>
      </c>
      <c r="I191" s="32">
        <v>11</v>
      </c>
      <c r="J191" s="406" cm="1">
        <f t="array" ref="J191">INDEX(implementatie[[2023]:[2034]],MATCH(G191, implementatie[Zoeksleutel],0),I191)</f>
        <v>0.47752884860285211</v>
      </c>
      <c r="K191" s="406" cm="1">
        <f t="array" ref="K191">INDEX(implementatie[[2023]:[2034]],MATCH(G191,implementatie[Zoeksleutel],0),I191 + 1)</f>
        <v>0.5877762905727496</v>
      </c>
      <c r="L19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30976.341351169809</v>
      </c>
      <c r="M191" s="398" cm="1">
        <f t="array" ref="M191">J191*INDEX(Berekening_impact[Totaal arbeidsbesparing (€/jaar)],MATCH(B191,IF(Berekening_impact[Doelgroep]=C191,Berekening_impact[Digitale zorgtoepassing]),0))</f>
        <v>466317.8427005104</v>
      </c>
      <c r="N191" s="397" cm="1">
        <f t="array" ref="N191">J191*INDEX(Berekening_impact[Totaal arbeidsbesparing (FTE/jaar)],MATCH(B191,IF(Berekening_impact[Doelgroep]=C191,Berekening_impact[Digitale zorgtoepassing]),0))</f>
        <v>8.0818519761252432</v>
      </c>
      <c r="O191" s="398" cm="1">
        <f t="array" ref="O191">J191*INDEX(Berekening_impact[Overige kostenbesparing (totaal/jaar totaal potentieel)],MATCH(B191,IF(Berekening_impact[Doelgroep]=C191,Berekening_impact[Digitale zorgtoepassing]),0))</f>
        <v>310878.56180034031</v>
      </c>
      <c r="P191" s="398" cm="1">
        <f t="array" ref="P191">J191*INDEX(Berekening_impact[Opbrengsten door QALY''s],MATCH(B191,IF(Berekening_impact[Doelgroep]=C191,Berekening_impact[Digitale zorgtoepassing]),0))</f>
        <v>2787870.7216052827</v>
      </c>
      <c r="Q191" s="398" cm="1">
        <f t="array" ref="Q191">J191*INDEX(Berekening_impact[Jaarlijkse kosten (totaal) - incl. schatting],MATCH(B191,IF(Berekening_impact[Doelgroep]=C191,Berekening_impact[Digitale zorgtoepassing]),0))</f>
        <v>1858580.4810701886</v>
      </c>
      <c r="R191" s="398" cm="1">
        <f t="array" ref="R191">(uitkomst_doelgroep[[#This Row],[Implementatiegraad t = T + 1]]-uitkomst_doelgroep[[#This Row],[Implementatiegraad t = T]])*INDEX(Berekening_impact[Initiële investering (totaal) - incl. schatting],MATCH(B191,IF(Berekening_impact[Doelgroep]=C191,Berekening_impact[Digitale zorgtoepassing]),0))</f>
        <v>0</v>
      </c>
      <c r="S191" s="398">
        <f>uitkomst_doelgroep[[#This Row],[Arbeidsbesparing (€)]]*uitkomst_doelgroep[[#This Row],[Percentage van patiëntaantallen in Wlz (overige is Zvw)]]</f>
        <v>0</v>
      </c>
      <c r="T191" s="398">
        <f>uitkomst_doelgroep[[#This Row],[Overige besparingen (€)]]*uitkomst_doelgroep[[#This Row],[Percentage van patiëntaantallen in Wlz (overige is Zvw)]]</f>
        <v>0</v>
      </c>
      <c r="U191" s="398">
        <f>uitkomst_doelgroep[[#This Row],[Kosten (€)]]*uitkomst_doelgroep[[#This Row],[Percentage van patiëntaantallen in Wlz (overige is Zvw)]]</f>
        <v>0</v>
      </c>
      <c r="V191" s="398">
        <f>uitkomst_doelgroep[[#This Row],[Investering (cash flow) (€)]]*uitkomst_doelgroep[[#This Row],[Percentage van patiëntaantallen in Wlz (overige is Zvw)]]</f>
        <v>0</v>
      </c>
    </row>
    <row r="192" spans="1:22" x14ac:dyDescent="0.5">
      <c r="A192" s="33" t="str">
        <f>INDEX(Technologieën[Veld],MATCH(B192,Technologieën[Digitale zorgtoepassing],0))</f>
        <v>Software - Diagnose</v>
      </c>
      <c r="B192" s="33" t="s">
        <v>66</v>
      </c>
      <c r="C192" s="33" t="s">
        <v>69</v>
      </c>
      <c r="D192" s="427" cm="1">
        <f t="array" ref="D192">INDEX(Berekening_patiëntaantal[Percentage van patiëntaantallen in Wlz (overige is Zvw)],MATCH(B192,IF(Berekening_patiëntaantal[Doelgroep (zoeksleutel)]=C192,Berekening_patiëntaantal[Digitale zorgtoepassing]),0))</f>
        <v>0</v>
      </c>
      <c r="E192" s="33" t="str" cm="1">
        <f t="array" ref="E192">INDEX(Berekening_patiëntaantal[Direct toepasbaar/extrapolatie/incidentie voor QALY],MATCH(B192,IF(Berekening_patiëntaantal[Doelgroep (zoeksleutel)]=C192,Berekening_patiëntaantal[Digitale zorgtoepassing]),0))</f>
        <v>Huidige toepassing</v>
      </c>
      <c r="F192" s="43" t="s">
        <v>812</v>
      </c>
      <c r="G192" s="33" t="str">
        <f>CONCATENATE(uitkomst_doelgroep[[#This Row],[Digitale zorgtoepassing]],"_",uitkomst_doelgroep[[#This Row],[Doelgroep]],"_",uitkomst_doelgroep[[#This Row],[Uitgangssituatie/effect beleid]])</f>
        <v>Apps voor cognitieve testen_Mild Cognitive Impairment_Effect beleid</v>
      </c>
      <c r="H192" s="33">
        <v>2023</v>
      </c>
      <c r="I192" s="32">
        <v>1</v>
      </c>
      <c r="J192" s="406" cm="1">
        <f t="array" ref="J192">INDEX(implementatie[[2023]:[2034]],MATCH(G192, implementatie[Zoeksleutel],0),I192)</f>
        <v>0</v>
      </c>
      <c r="K192" s="406" cm="1">
        <f t="array" ref="K192">INDEX(implementatie[[2023]:[2034]],MATCH(G192,implementatie[Zoeksleutel],0),I192 + 1)</f>
        <v>0</v>
      </c>
      <c r="L19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92" s="398" cm="1">
        <f t="array" ref="M192">J192*INDEX(Berekening_impact[Totaal arbeidsbesparing (€/jaar)],MATCH(B192,IF(Berekening_impact[Doelgroep]=C192,Berekening_impact[Digitale zorgtoepassing]),0))</f>
        <v>0</v>
      </c>
      <c r="N192" s="397" cm="1">
        <f t="array" ref="N192">J192*INDEX(Berekening_impact[Totaal arbeidsbesparing (FTE/jaar)],MATCH(B192,IF(Berekening_impact[Doelgroep]=C192,Berekening_impact[Digitale zorgtoepassing]),0))</f>
        <v>0</v>
      </c>
      <c r="O192" s="398" cm="1">
        <f t="array" ref="O192">J192*INDEX(Berekening_impact[Overige kostenbesparing (totaal/jaar totaal potentieel)],MATCH(B192,IF(Berekening_impact[Doelgroep]=C192,Berekening_impact[Digitale zorgtoepassing]),0))</f>
        <v>0</v>
      </c>
      <c r="P192" s="398" cm="1">
        <f t="array" ref="P192">J192*INDEX(Berekening_impact[Opbrengsten door QALY''s],MATCH(B192,IF(Berekening_impact[Doelgroep]=C192,Berekening_impact[Digitale zorgtoepassing]),0))</f>
        <v>0</v>
      </c>
      <c r="Q192" s="398" cm="1">
        <f t="array" ref="Q192">J192*INDEX(Berekening_impact[Jaarlijkse kosten (totaal) - incl. schatting],MATCH(B192,IF(Berekening_impact[Doelgroep]=C192,Berekening_impact[Digitale zorgtoepassing]),0))</f>
        <v>0</v>
      </c>
      <c r="R192" s="398" cm="1">
        <f t="array" ref="R192">(uitkomst_doelgroep[[#This Row],[Implementatiegraad t = T + 1]]-uitkomst_doelgroep[[#This Row],[Implementatiegraad t = T]])*INDEX(Berekening_impact[Initiële investering (totaal) - incl. schatting],MATCH(B192,IF(Berekening_impact[Doelgroep]=C192,Berekening_impact[Digitale zorgtoepassing]),0))</f>
        <v>0</v>
      </c>
      <c r="S192" s="398">
        <f>uitkomst_doelgroep[[#This Row],[Arbeidsbesparing (€)]]*uitkomst_doelgroep[[#This Row],[Percentage van patiëntaantallen in Wlz (overige is Zvw)]]</f>
        <v>0</v>
      </c>
      <c r="T192" s="398">
        <f>uitkomst_doelgroep[[#This Row],[Overige besparingen (€)]]*uitkomst_doelgroep[[#This Row],[Percentage van patiëntaantallen in Wlz (overige is Zvw)]]</f>
        <v>0</v>
      </c>
      <c r="U192" s="398">
        <f>uitkomst_doelgroep[[#This Row],[Kosten (€)]]*uitkomst_doelgroep[[#This Row],[Percentage van patiëntaantallen in Wlz (overige is Zvw)]]</f>
        <v>0</v>
      </c>
      <c r="V192" s="398">
        <f>uitkomst_doelgroep[[#This Row],[Investering (cash flow) (€)]]*uitkomst_doelgroep[[#This Row],[Percentage van patiëntaantallen in Wlz (overige is Zvw)]]</f>
        <v>0</v>
      </c>
    </row>
    <row r="193" spans="1:22" x14ac:dyDescent="0.5">
      <c r="A193" s="33" t="str">
        <f>INDEX(Technologieën[Veld],MATCH(B193,Technologieën[Digitale zorgtoepassing],0))</f>
        <v>Software - Diagnose</v>
      </c>
      <c r="B193" s="33" t="s">
        <v>66</v>
      </c>
      <c r="C193" s="33" t="s">
        <v>67</v>
      </c>
      <c r="D193" s="427" cm="1">
        <f t="array" ref="D193">INDEX(Berekening_patiëntaantal[Percentage van patiëntaantallen in Wlz (overige is Zvw)],MATCH(B193,IF(Berekening_patiëntaantal[Doelgroep (zoeksleutel)]=C193,Berekening_patiëntaantal[Digitale zorgtoepassing]),0))</f>
        <v>0</v>
      </c>
      <c r="E193" s="33" t="str" cm="1">
        <f t="array" ref="E193">INDEX(Berekening_patiëntaantal[Direct toepasbaar/extrapolatie/incidentie voor QALY],MATCH(B193,IF(Berekening_patiëntaantal[Doelgroep (zoeksleutel)]=C193,Berekening_patiëntaantal[Digitale zorgtoepassing]),0))</f>
        <v>Huidige toepassing</v>
      </c>
      <c r="F193" s="43" t="s">
        <v>812</v>
      </c>
      <c r="G193" s="33" t="str">
        <f>CONCATENATE(uitkomst_doelgroep[[#This Row],[Digitale zorgtoepassing]],"_",uitkomst_doelgroep[[#This Row],[Doelgroep]],"_",uitkomst_doelgroep[[#This Row],[Uitgangssituatie/effect beleid]])</f>
        <v>Apps voor cognitieve testen_Multiple Sclerosis_Effect beleid</v>
      </c>
      <c r="H193" s="33">
        <v>2023</v>
      </c>
      <c r="I193" s="32">
        <v>1</v>
      </c>
      <c r="J193" s="406" cm="1">
        <f t="array" ref="J193">INDEX(implementatie[[2023]:[2034]],MATCH(G193, implementatie[Zoeksleutel],0),I193)</f>
        <v>0</v>
      </c>
      <c r="K193" s="406" cm="1">
        <f t="array" ref="K193">INDEX(implementatie[[2023]:[2034]],MATCH(G193,implementatie[Zoeksleutel],0),I193 + 1)</f>
        <v>0</v>
      </c>
      <c r="L19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93" s="398" cm="1">
        <f t="array" ref="M193">J193*INDEX(Berekening_impact[Totaal arbeidsbesparing (€/jaar)],MATCH(B193,IF(Berekening_impact[Doelgroep]=C193,Berekening_impact[Digitale zorgtoepassing]),0))</f>
        <v>0</v>
      </c>
      <c r="N193" s="397" cm="1">
        <f t="array" ref="N193">J193*INDEX(Berekening_impact[Totaal arbeidsbesparing (FTE/jaar)],MATCH(B193,IF(Berekening_impact[Doelgroep]=C193,Berekening_impact[Digitale zorgtoepassing]),0))</f>
        <v>0</v>
      </c>
      <c r="O193" s="398" cm="1">
        <f t="array" ref="O193">J193*INDEX(Berekening_impact[Overige kostenbesparing (totaal/jaar totaal potentieel)],MATCH(B193,IF(Berekening_impact[Doelgroep]=C193,Berekening_impact[Digitale zorgtoepassing]),0))</f>
        <v>0</v>
      </c>
      <c r="P193" s="398" cm="1">
        <f t="array" ref="P193">J193*INDEX(Berekening_impact[Opbrengsten door QALY''s],MATCH(B193,IF(Berekening_impact[Doelgroep]=C193,Berekening_impact[Digitale zorgtoepassing]),0))</f>
        <v>0</v>
      </c>
      <c r="Q193" s="398" cm="1">
        <f t="array" ref="Q193">J193*INDEX(Berekening_impact[Jaarlijkse kosten (totaal) - incl. schatting],MATCH(B193,IF(Berekening_impact[Doelgroep]=C193,Berekening_impact[Digitale zorgtoepassing]),0))</f>
        <v>0</v>
      </c>
      <c r="R193" s="398" cm="1">
        <f t="array" ref="R193">(uitkomst_doelgroep[[#This Row],[Implementatiegraad t = T + 1]]-uitkomst_doelgroep[[#This Row],[Implementatiegraad t = T]])*INDEX(Berekening_impact[Initiële investering (totaal) - incl. schatting],MATCH(B193,IF(Berekening_impact[Doelgroep]=C193,Berekening_impact[Digitale zorgtoepassing]),0))</f>
        <v>0</v>
      </c>
      <c r="S193" s="398">
        <f>uitkomst_doelgroep[[#This Row],[Arbeidsbesparing (€)]]*uitkomst_doelgroep[[#This Row],[Percentage van patiëntaantallen in Wlz (overige is Zvw)]]</f>
        <v>0</v>
      </c>
      <c r="T193" s="398">
        <f>uitkomst_doelgroep[[#This Row],[Overige besparingen (€)]]*uitkomst_doelgroep[[#This Row],[Percentage van patiëntaantallen in Wlz (overige is Zvw)]]</f>
        <v>0</v>
      </c>
      <c r="U193" s="398">
        <f>uitkomst_doelgroep[[#This Row],[Kosten (€)]]*uitkomst_doelgroep[[#This Row],[Percentage van patiëntaantallen in Wlz (overige is Zvw)]]</f>
        <v>0</v>
      </c>
      <c r="V193" s="398">
        <f>uitkomst_doelgroep[[#This Row],[Investering (cash flow) (€)]]*uitkomst_doelgroep[[#This Row],[Percentage van patiëntaantallen in Wlz (overige is Zvw)]]</f>
        <v>0</v>
      </c>
    </row>
    <row r="194" spans="1:22" x14ac:dyDescent="0.5">
      <c r="A194" s="33" t="str">
        <f>INDEX(Technologieën[Veld],MATCH(B194,Technologieën[Digitale zorgtoepassing],0))</f>
        <v>Software - Diagnose</v>
      </c>
      <c r="B194" s="33" t="s">
        <v>66</v>
      </c>
      <c r="C194" s="33" t="s">
        <v>69</v>
      </c>
      <c r="D194" s="427" cm="1">
        <f t="array" ref="D194">INDEX(Berekening_patiëntaantal[Percentage van patiëntaantallen in Wlz (overige is Zvw)],MATCH(B194,IF(Berekening_patiëntaantal[Doelgroep (zoeksleutel)]=C194,Berekening_patiëntaantal[Digitale zorgtoepassing]),0))</f>
        <v>0</v>
      </c>
      <c r="E194" s="33" t="str" cm="1">
        <f t="array" ref="E194">INDEX(Berekening_patiëntaantal[Direct toepasbaar/extrapolatie/incidentie voor QALY],MATCH(B194,IF(Berekening_patiëntaantal[Doelgroep (zoeksleutel)]=C194,Berekening_patiëntaantal[Digitale zorgtoepassing]),0))</f>
        <v>Huidige toepassing</v>
      </c>
      <c r="F194" s="43" t="s">
        <v>812</v>
      </c>
      <c r="G194" s="33" t="str">
        <f>CONCATENATE(uitkomst_doelgroep[[#This Row],[Digitale zorgtoepassing]],"_",uitkomst_doelgroep[[#This Row],[Doelgroep]],"_",uitkomst_doelgroep[[#This Row],[Uitgangssituatie/effect beleid]])</f>
        <v>Apps voor cognitieve testen_Mild Cognitive Impairment_Effect beleid</v>
      </c>
      <c r="H194" s="33">
        <v>2024</v>
      </c>
      <c r="I194" s="32">
        <v>2</v>
      </c>
      <c r="J194" s="406" cm="1">
        <f t="array" ref="J194">INDEX(implementatie[[2023]:[2034]],MATCH(G194, implementatie[Zoeksleutel],0),I194)</f>
        <v>0</v>
      </c>
      <c r="K194" s="406" cm="1">
        <f t="array" ref="K194">INDEX(implementatie[[2023]:[2034]],MATCH(G194,implementatie[Zoeksleutel],0),I194 + 1)</f>
        <v>0</v>
      </c>
      <c r="L19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94" s="398" cm="1">
        <f t="array" ref="M194">J194*INDEX(Berekening_impact[Totaal arbeidsbesparing (€/jaar)],MATCH(B194,IF(Berekening_impact[Doelgroep]=C194,Berekening_impact[Digitale zorgtoepassing]),0))</f>
        <v>0</v>
      </c>
      <c r="N194" s="397" cm="1">
        <f t="array" ref="N194">J194*INDEX(Berekening_impact[Totaal arbeidsbesparing (FTE/jaar)],MATCH(B194,IF(Berekening_impact[Doelgroep]=C194,Berekening_impact[Digitale zorgtoepassing]),0))</f>
        <v>0</v>
      </c>
      <c r="O194" s="398" cm="1">
        <f t="array" ref="O194">J194*INDEX(Berekening_impact[Overige kostenbesparing (totaal/jaar totaal potentieel)],MATCH(B194,IF(Berekening_impact[Doelgroep]=C194,Berekening_impact[Digitale zorgtoepassing]),0))</f>
        <v>0</v>
      </c>
      <c r="P194" s="398" cm="1">
        <f t="array" ref="P194">J194*INDEX(Berekening_impact[Opbrengsten door QALY''s],MATCH(B194,IF(Berekening_impact[Doelgroep]=C194,Berekening_impact[Digitale zorgtoepassing]),0))</f>
        <v>0</v>
      </c>
      <c r="Q194" s="398" cm="1">
        <f t="array" ref="Q194">J194*INDEX(Berekening_impact[Jaarlijkse kosten (totaal) - incl. schatting],MATCH(B194,IF(Berekening_impact[Doelgroep]=C194,Berekening_impact[Digitale zorgtoepassing]),0))</f>
        <v>0</v>
      </c>
      <c r="R194" s="398" cm="1">
        <f t="array" ref="R194">(uitkomst_doelgroep[[#This Row],[Implementatiegraad t = T + 1]]-uitkomst_doelgroep[[#This Row],[Implementatiegraad t = T]])*INDEX(Berekening_impact[Initiële investering (totaal) - incl. schatting],MATCH(B194,IF(Berekening_impact[Doelgroep]=C194,Berekening_impact[Digitale zorgtoepassing]),0))</f>
        <v>0</v>
      </c>
      <c r="S194" s="398">
        <f>uitkomst_doelgroep[[#This Row],[Arbeidsbesparing (€)]]*uitkomst_doelgroep[[#This Row],[Percentage van patiëntaantallen in Wlz (overige is Zvw)]]</f>
        <v>0</v>
      </c>
      <c r="T194" s="398">
        <f>uitkomst_doelgroep[[#This Row],[Overige besparingen (€)]]*uitkomst_doelgroep[[#This Row],[Percentage van patiëntaantallen in Wlz (overige is Zvw)]]</f>
        <v>0</v>
      </c>
      <c r="U194" s="398">
        <f>uitkomst_doelgroep[[#This Row],[Kosten (€)]]*uitkomst_doelgroep[[#This Row],[Percentage van patiëntaantallen in Wlz (overige is Zvw)]]</f>
        <v>0</v>
      </c>
      <c r="V194" s="398">
        <f>uitkomst_doelgroep[[#This Row],[Investering (cash flow) (€)]]*uitkomst_doelgroep[[#This Row],[Percentage van patiëntaantallen in Wlz (overige is Zvw)]]</f>
        <v>0</v>
      </c>
    </row>
    <row r="195" spans="1:22" x14ac:dyDescent="0.5">
      <c r="A195" s="33" t="str">
        <f>INDEX(Technologieën[Veld],MATCH(B195,Technologieën[Digitale zorgtoepassing],0))</f>
        <v>Software - Diagnose</v>
      </c>
      <c r="B195" s="33" t="s">
        <v>66</v>
      </c>
      <c r="C195" s="33" t="s">
        <v>67</v>
      </c>
      <c r="D195" s="427" cm="1">
        <f t="array" ref="D195">INDEX(Berekening_patiëntaantal[Percentage van patiëntaantallen in Wlz (overige is Zvw)],MATCH(B195,IF(Berekening_patiëntaantal[Doelgroep (zoeksleutel)]=C195,Berekening_patiëntaantal[Digitale zorgtoepassing]),0))</f>
        <v>0</v>
      </c>
      <c r="E195" s="33" t="str" cm="1">
        <f t="array" ref="E195">INDEX(Berekening_patiëntaantal[Direct toepasbaar/extrapolatie/incidentie voor QALY],MATCH(B195,IF(Berekening_patiëntaantal[Doelgroep (zoeksleutel)]=C195,Berekening_patiëntaantal[Digitale zorgtoepassing]),0))</f>
        <v>Huidige toepassing</v>
      </c>
      <c r="F195" s="43" t="s">
        <v>812</v>
      </c>
      <c r="G195" s="33" t="str">
        <f>CONCATENATE(uitkomst_doelgroep[[#This Row],[Digitale zorgtoepassing]],"_",uitkomst_doelgroep[[#This Row],[Doelgroep]],"_",uitkomst_doelgroep[[#This Row],[Uitgangssituatie/effect beleid]])</f>
        <v>Apps voor cognitieve testen_Multiple Sclerosis_Effect beleid</v>
      </c>
      <c r="H195" s="33">
        <v>2024</v>
      </c>
      <c r="I195" s="32">
        <v>2</v>
      </c>
      <c r="J195" s="406" cm="1">
        <f t="array" ref="J195">INDEX(implementatie[[2023]:[2034]],MATCH(G195, implementatie[Zoeksleutel],0),I195)</f>
        <v>0</v>
      </c>
      <c r="K195" s="406" cm="1">
        <f t="array" ref="K195">INDEX(implementatie[[2023]:[2034]],MATCH(G195,implementatie[Zoeksleutel],0),I195 + 1)</f>
        <v>0</v>
      </c>
      <c r="L19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95" s="398" cm="1">
        <f t="array" ref="M195">J195*INDEX(Berekening_impact[Totaal arbeidsbesparing (€/jaar)],MATCH(B195,IF(Berekening_impact[Doelgroep]=C195,Berekening_impact[Digitale zorgtoepassing]),0))</f>
        <v>0</v>
      </c>
      <c r="N195" s="397" cm="1">
        <f t="array" ref="N195">J195*INDEX(Berekening_impact[Totaal arbeidsbesparing (FTE/jaar)],MATCH(B195,IF(Berekening_impact[Doelgroep]=C195,Berekening_impact[Digitale zorgtoepassing]),0))</f>
        <v>0</v>
      </c>
      <c r="O195" s="398" cm="1">
        <f t="array" ref="O195">J195*INDEX(Berekening_impact[Overige kostenbesparing (totaal/jaar totaal potentieel)],MATCH(B195,IF(Berekening_impact[Doelgroep]=C195,Berekening_impact[Digitale zorgtoepassing]),0))</f>
        <v>0</v>
      </c>
      <c r="P195" s="398" cm="1">
        <f t="array" ref="P195">J195*INDEX(Berekening_impact[Opbrengsten door QALY''s],MATCH(B195,IF(Berekening_impact[Doelgroep]=C195,Berekening_impact[Digitale zorgtoepassing]),0))</f>
        <v>0</v>
      </c>
      <c r="Q195" s="398" cm="1">
        <f t="array" ref="Q195">J195*INDEX(Berekening_impact[Jaarlijkse kosten (totaal) - incl. schatting],MATCH(B195,IF(Berekening_impact[Doelgroep]=C195,Berekening_impact[Digitale zorgtoepassing]),0))</f>
        <v>0</v>
      </c>
      <c r="R195" s="398" cm="1">
        <f t="array" ref="R195">(uitkomst_doelgroep[[#This Row],[Implementatiegraad t = T + 1]]-uitkomst_doelgroep[[#This Row],[Implementatiegraad t = T]])*INDEX(Berekening_impact[Initiële investering (totaal) - incl. schatting],MATCH(B195,IF(Berekening_impact[Doelgroep]=C195,Berekening_impact[Digitale zorgtoepassing]),0))</f>
        <v>0</v>
      </c>
      <c r="S195" s="398">
        <f>uitkomst_doelgroep[[#This Row],[Arbeidsbesparing (€)]]*uitkomst_doelgroep[[#This Row],[Percentage van patiëntaantallen in Wlz (overige is Zvw)]]</f>
        <v>0</v>
      </c>
      <c r="T195" s="398">
        <f>uitkomst_doelgroep[[#This Row],[Overige besparingen (€)]]*uitkomst_doelgroep[[#This Row],[Percentage van patiëntaantallen in Wlz (overige is Zvw)]]</f>
        <v>0</v>
      </c>
      <c r="U195" s="398">
        <f>uitkomst_doelgroep[[#This Row],[Kosten (€)]]*uitkomst_doelgroep[[#This Row],[Percentage van patiëntaantallen in Wlz (overige is Zvw)]]</f>
        <v>0</v>
      </c>
      <c r="V195" s="398">
        <f>uitkomst_doelgroep[[#This Row],[Investering (cash flow) (€)]]*uitkomst_doelgroep[[#This Row],[Percentage van patiëntaantallen in Wlz (overige is Zvw)]]</f>
        <v>0</v>
      </c>
    </row>
    <row r="196" spans="1:22" x14ac:dyDescent="0.5">
      <c r="A196" s="33" t="str">
        <f>INDEX(Technologieën[Veld],MATCH(B196,Technologieën[Digitale zorgtoepassing],0))</f>
        <v>Software - Diagnose</v>
      </c>
      <c r="B196" s="33" t="s">
        <v>66</v>
      </c>
      <c r="C196" s="33" t="s">
        <v>69</v>
      </c>
      <c r="D196" s="427" cm="1">
        <f t="array" ref="D196">INDEX(Berekening_patiëntaantal[Percentage van patiëntaantallen in Wlz (overige is Zvw)],MATCH(B196,IF(Berekening_patiëntaantal[Doelgroep (zoeksleutel)]=C196,Berekening_patiëntaantal[Digitale zorgtoepassing]),0))</f>
        <v>0</v>
      </c>
      <c r="E196" s="33" t="str" cm="1">
        <f t="array" ref="E196">INDEX(Berekening_patiëntaantal[Direct toepasbaar/extrapolatie/incidentie voor QALY],MATCH(B196,IF(Berekening_patiëntaantal[Doelgroep (zoeksleutel)]=C196,Berekening_patiëntaantal[Digitale zorgtoepassing]),0))</f>
        <v>Huidige toepassing</v>
      </c>
      <c r="F196" s="43" t="s">
        <v>812</v>
      </c>
      <c r="G196" s="33" t="str">
        <f>CONCATENATE(uitkomst_doelgroep[[#This Row],[Digitale zorgtoepassing]],"_",uitkomst_doelgroep[[#This Row],[Doelgroep]],"_",uitkomst_doelgroep[[#This Row],[Uitgangssituatie/effect beleid]])</f>
        <v>Apps voor cognitieve testen_Mild Cognitive Impairment_Effect beleid</v>
      </c>
      <c r="H196" s="33">
        <v>2025</v>
      </c>
      <c r="I196" s="32">
        <v>3</v>
      </c>
      <c r="J196" s="406" cm="1">
        <f t="array" ref="J196">INDEX(implementatie[[2023]:[2034]],MATCH(G196, implementatie[Zoeksleutel],0),I196)</f>
        <v>0</v>
      </c>
      <c r="K196" s="406" cm="1">
        <f t="array" ref="K196">INDEX(implementatie[[2023]:[2034]],MATCH(G196,implementatie[Zoeksleutel],0),I196 + 1)</f>
        <v>0.02</v>
      </c>
      <c r="L19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96" s="398" cm="1">
        <f t="array" ref="M196">J196*INDEX(Berekening_impact[Totaal arbeidsbesparing (€/jaar)],MATCH(B196,IF(Berekening_impact[Doelgroep]=C196,Berekening_impact[Digitale zorgtoepassing]),0))</f>
        <v>0</v>
      </c>
      <c r="N196" s="397" cm="1">
        <f t="array" ref="N196">J196*INDEX(Berekening_impact[Totaal arbeidsbesparing (FTE/jaar)],MATCH(B196,IF(Berekening_impact[Doelgroep]=C196,Berekening_impact[Digitale zorgtoepassing]),0))</f>
        <v>0</v>
      </c>
      <c r="O196" s="398" cm="1">
        <f t="array" ref="O196">J196*INDEX(Berekening_impact[Overige kostenbesparing (totaal/jaar totaal potentieel)],MATCH(B196,IF(Berekening_impact[Doelgroep]=C196,Berekening_impact[Digitale zorgtoepassing]),0))</f>
        <v>0</v>
      </c>
      <c r="P196" s="398" cm="1">
        <f t="array" ref="P196">J196*INDEX(Berekening_impact[Opbrengsten door QALY''s],MATCH(B196,IF(Berekening_impact[Doelgroep]=C196,Berekening_impact[Digitale zorgtoepassing]),0))</f>
        <v>0</v>
      </c>
      <c r="Q196" s="398" cm="1">
        <f t="array" ref="Q196">J196*INDEX(Berekening_impact[Jaarlijkse kosten (totaal) - incl. schatting],MATCH(B196,IF(Berekening_impact[Doelgroep]=C196,Berekening_impact[Digitale zorgtoepassing]),0))</f>
        <v>0</v>
      </c>
      <c r="R196" s="398" cm="1">
        <f t="array" ref="R196">(uitkomst_doelgroep[[#This Row],[Implementatiegraad t = T + 1]]-uitkomst_doelgroep[[#This Row],[Implementatiegraad t = T]])*INDEX(Berekening_impact[Initiële investering (totaal) - incl. schatting],MATCH(B196,IF(Berekening_impact[Doelgroep]=C196,Berekening_impact[Digitale zorgtoepassing]),0))</f>
        <v>0</v>
      </c>
      <c r="S196" s="398">
        <f>uitkomst_doelgroep[[#This Row],[Arbeidsbesparing (€)]]*uitkomst_doelgroep[[#This Row],[Percentage van patiëntaantallen in Wlz (overige is Zvw)]]</f>
        <v>0</v>
      </c>
      <c r="T196" s="398">
        <f>uitkomst_doelgroep[[#This Row],[Overige besparingen (€)]]*uitkomst_doelgroep[[#This Row],[Percentage van patiëntaantallen in Wlz (overige is Zvw)]]</f>
        <v>0</v>
      </c>
      <c r="U196" s="398">
        <f>uitkomst_doelgroep[[#This Row],[Kosten (€)]]*uitkomst_doelgroep[[#This Row],[Percentage van patiëntaantallen in Wlz (overige is Zvw)]]</f>
        <v>0</v>
      </c>
      <c r="V196" s="398">
        <f>uitkomst_doelgroep[[#This Row],[Investering (cash flow) (€)]]*uitkomst_doelgroep[[#This Row],[Percentage van patiëntaantallen in Wlz (overige is Zvw)]]</f>
        <v>0</v>
      </c>
    </row>
    <row r="197" spans="1:22" x14ac:dyDescent="0.5">
      <c r="A197" s="33" t="str">
        <f>INDEX(Technologieën[Veld],MATCH(B197,Technologieën[Digitale zorgtoepassing],0))</f>
        <v>Software - Diagnose</v>
      </c>
      <c r="B197" s="33" t="s">
        <v>66</v>
      </c>
      <c r="C197" s="33" t="s">
        <v>67</v>
      </c>
      <c r="D197" s="427" cm="1">
        <f t="array" ref="D197">INDEX(Berekening_patiëntaantal[Percentage van patiëntaantallen in Wlz (overige is Zvw)],MATCH(B197,IF(Berekening_patiëntaantal[Doelgroep (zoeksleutel)]=C197,Berekening_patiëntaantal[Digitale zorgtoepassing]),0))</f>
        <v>0</v>
      </c>
      <c r="E197" s="33" t="str" cm="1">
        <f t="array" ref="E197">INDEX(Berekening_patiëntaantal[Direct toepasbaar/extrapolatie/incidentie voor QALY],MATCH(B197,IF(Berekening_patiëntaantal[Doelgroep (zoeksleutel)]=C197,Berekening_patiëntaantal[Digitale zorgtoepassing]),0))</f>
        <v>Huidige toepassing</v>
      </c>
      <c r="F197" s="43" t="s">
        <v>812</v>
      </c>
      <c r="G197" s="33" t="str">
        <f>CONCATENATE(uitkomst_doelgroep[[#This Row],[Digitale zorgtoepassing]],"_",uitkomst_doelgroep[[#This Row],[Doelgroep]],"_",uitkomst_doelgroep[[#This Row],[Uitgangssituatie/effect beleid]])</f>
        <v>Apps voor cognitieve testen_Multiple Sclerosis_Effect beleid</v>
      </c>
      <c r="H197" s="33">
        <v>2025</v>
      </c>
      <c r="I197" s="32">
        <v>3</v>
      </c>
      <c r="J197" s="406" cm="1">
        <f t="array" ref="J197">INDEX(implementatie[[2023]:[2034]],MATCH(G197, implementatie[Zoeksleutel],0),I197)</f>
        <v>0</v>
      </c>
      <c r="K197" s="406" cm="1">
        <f t="array" ref="K197">INDEX(implementatie[[2023]:[2034]],MATCH(G197,implementatie[Zoeksleutel],0),I197 + 1)</f>
        <v>0.02</v>
      </c>
      <c r="L19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97" s="398" cm="1">
        <f t="array" ref="M197">J197*INDEX(Berekening_impact[Totaal arbeidsbesparing (€/jaar)],MATCH(B197,IF(Berekening_impact[Doelgroep]=C197,Berekening_impact[Digitale zorgtoepassing]),0))</f>
        <v>0</v>
      </c>
      <c r="N197" s="397" cm="1">
        <f t="array" ref="N197">J197*INDEX(Berekening_impact[Totaal arbeidsbesparing (FTE/jaar)],MATCH(B197,IF(Berekening_impact[Doelgroep]=C197,Berekening_impact[Digitale zorgtoepassing]),0))</f>
        <v>0</v>
      </c>
      <c r="O197" s="398" cm="1">
        <f t="array" ref="O197">J197*INDEX(Berekening_impact[Overige kostenbesparing (totaal/jaar totaal potentieel)],MATCH(B197,IF(Berekening_impact[Doelgroep]=C197,Berekening_impact[Digitale zorgtoepassing]),0))</f>
        <v>0</v>
      </c>
      <c r="P197" s="398" cm="1">
        <f t="array" ref="P197">J197*INDEX(Berekening_impact[Opbrengsten door QALY''s],MATCH(B197,IF(Berekening_impact[Doelgroep]=C197,Berekening_impact[Digitale zorgtoepassing]),0))</f>
        <v>0</v>
      </c>
      <c r="Q197" s="398" cm="1">
        <f t="array" ref="Q197">J197*INDEX(Berekening_impact[Jaarlijkse kosten (totaal) - incl. schatting],MATCH(B197,IF(Berekening_impact[Doelgroep]=C197,Berekening_impact[Digitale zorgtoepassing]),0))</f>
        <v>0</v>
      </c>
      <c r="R197" s="398" cm="1">
        <f t="array" ref="R197">(uitkomst_doelgroep[[#This Row],[Implementatiegraad t = T + 1]]-uitkomst_doelgroep[[#This Row],[Implementatiegraad t = T]])*INDEX(Berekening_impact[Initiële investering (totaal) - incl. schatting],MATCH(B197,IF(Berekening_impact[Doelgroep]=C197,Berekening_impact[Digitale zorgtoepassing]),0))</f>
        <v>0</v>
      </c>
      <c r="S197" s="398">
        <f>uitkomst_doelgroep[[#This Row],[Arbeidsbesparing (€)]]*uitkomst_doelgroep[[#This Row],[Percentage van patiëntaantallen in Wlz (overige is Zvw)]]</f>
        <v>0</v>
      </c>
      <c r="T197" s="398">
        <f>uitkomst_doelgroep[[#This Row],[Overige besparingen (€)]]*uitkomst_doelgroep[[#This Row],[Percentage van patiëntaantallen in Wlz (overige is Zvw)]]</f>
        <v>0</v>
      </c>
      <c r="U197" s="398">
        <f>uitkomst_doelgroep[[#This Row],[Kosten (€)]]*uitkomst_doelgroep[[#This Row],[Percentage van patiëntaantallen in Wlz (overige is Zvw)]]</f>
        <v>0</v>
      </c>
      <c r="V197" s="398">
        <f>uitkomst_doelgroep[[#This Row],[Investering (cash flow) (€)]]*uitkomst_doelgroep[[#This Row],[Percentage van patiëntaantallen in Wlz (overige is Zvw)]]</f>
        <v>0</v>
      </c>
    </row>
    <row r="198" spans="1:22" x14ac:dyDescent="0.5">
      <c r="A198" s="33" t="str">
        <f>INDEX(Technologieën[Veld],MATCH(B198,Technologieën[Digitale zorgtoepassing],0))</f>
        <v>Software - Diagnose</v>
      </c>
      <c r="B198" s="33" t="s">
        <v>66</v>
      </c>
      <c r="C198" s="33" t="s">
        <v>69</v>
      </c>
      <c r="D198" s="427" cm="1">
        <f t="array" ref="D198">INDEX(Berekening_patiëntaantal[Percentage van patiëntaantallen in Wlz (overige is Zvw)],MATCH(B198,IF(Berekening_patiëntaantal[Doelgroep (zoeksleutel)]=C198,Berekening_patiëntaantal[Digitale zorgtoepassing]),0))</f>
        <v>0</v>
      </c>
      <c r="E198" s="33" t="str" cm="1">
        <f t="array" ref="E198">INDEX(Berekening_patiëntaantal[Direct toepasbaar/extrapolatie/incidentie voor QALY],MATCH(B198,IF(Berekening_patiëntaantal[Doelgroep (zoeksleutel)]=C198,Berekening_patiëntaantal[Digitale zorgtoepassing]),0))</f>
        <v>Huidige toepassing</v>
      </c>
      <c r="F198" s="43" t="s">
        <v>812</v>
      </c>
      <c r="G198" s="33" t="str">
        <f>CONCATENATE(uitkomst_doelgroep[[#This Row],[Digitale zorgtoepassing]],"_",uitkomst_doelgroep[[#This Row],[Doelgroep]],"_",uitkomst_doelgroep[[#This Row],[Uitgangssituatie/effect beleid]])</f>
        <v>Apps voor cognitieve testen_Mild Cognitive Impairment_Effect beleid</v>
      </c>
      <c r="H198" s="33">
        <v>2026</v>
      </c>
      <c r="I198" s="32">
        <v>4</v>
      </c>
      <c r="J198" s="406" cm="1">
        <f t="array" ref="J198">INDEX(implementatie[[2023]:[2034]],MATCH(G198, implementatie[Zoeksleutel],0),I198)</f>
        <v>0.02</v>
      </c>
      <c r="K198" s="406" cm="1">
        <f t="array" ref="K198">INDEX(implementatie[[2023]:[2034]],MATCH(G198,implementatie[Zoeksleutel],0),I198 + 1)</f>
        <v>4.7439999999999996E-2</v>
      </c>
      <c r="L19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2995.63375</v>
      </c>
      <c r="M198" s="398" cm="1">
        <f t="array" ref="M198">J198*INDEX(Berekening_impact[Totaal arbeidsbesparing (€/jaar)],MATCH(B198,IF(Berekening_impact[Doelgroep]=C198,Berekening_impact[Digitale zorgtoepassing]),0))</f>
        <v>90637.289259159486</v>
      </c>
      <c r="N198" s="397" cm="1">
        <f t="array" ref="N198">J198*INDEX(Berekening_impact[Totaal arbeidsbesparing (FTE/jaar)],MATCH(B198,IF(Berekening_impact[Doelgroep]=C198,Berekening_impact[Digitale zorgtoepassing]),0))</f>
        <v>1.0801564002403845</v>
      </c>
      <c r="O198" s="398" cm="1">
        <f t="array" ref="O198">J198*INDEX(Berekening_impact[Overige kostenbesparing (totaal/jaar totaal potentieel)],MATCH(B198,IF(Berekening_impact[Doelgroep]=C198,Berekening_impact[Digitale zorgtoepassing]),0))</f>
        <v>0</v>
      </c>
      <c r="P198" s="398" cm="1">
        <f t="array" ref="P198">J198*INDEX(Berekening_impact[Opbrengsten door QALY''s],MATCH(B198,IF(Berekening_impact[Doelgroep]=C198,Berekening_impact[Digitale zorgtoepassing]),0))</f>
        <v>0</v>
      </c>
      <c r="Q198" s="398" cm="1">
        <f t="array" ref="Q198">J198*INDEX(Berekening_impact[Jaarlijkse kosten (totaal) - incl. schatting],MATCH(B198,IF(Berekening_impact[Doelgroep]=C198,Berekening_impact[Digitale zorgtoepassing]),0))</f>
        <v>77026.442491002294</v>
      </c>
      <c r="R198" s="398" cm="1">
        <f t="array" ref="R198">(uitkomst_doelgroep[[#This Row],[Implementatiegraad t = T + 1]]-uitkomst_doelgroep[[#This Row],[Implementatiegraad t = T]])*INDEX(Berekening_impact[Initiële investering (totaal) - incl. schatting],MATCH(B198,IF(Berekening_impact[Doelgroep]=C198,Berekening_impact[Digitale zorgtoepassing]),0))</f>
        <v>0</v>
      </c>
      <c r="S198" s="398">
        <f>uitkomst_doelgroep[[#This Row],[Arbeidsbesparing (€)]]*uitkomst_doelgroep[[#This Row],[Percentage van patiëntaantallen in Wlz (overige is Zvw)]]</f>
        <v>0</v>
      </c>
      <c r="T198" s="398">
        <f>uitkomst_doelgroep[[#This Row],[Overige besparingen (€)]]*uitkomst_doelgroep[[#This Row],[Percentage van patiëntaantallen in Wlz (overige is Zvw)]]</f>
        <v>0</v>
      </c>
      <c r="U198" s="398">
        <f>uitkomst_doelgroep[[#This Row],[Kosten (€)]]*uitkomst_doelgroep[[#This Row],[Percentage van patiëntaantallen in Wlz (overige is Zvw)]]</f>
        <v>0</v>
      </c>
      <c r="V198" s="398">
        <f>uitkomst_doelgroep[[#This Row],[Investering (cash flow) (€)]]*uitkomst_doelgroep[[#This Row],[Percentage van patiëntaantallen in Wlz (overige is Zvw)]]</f>
        <v>0</v>
      </c>
    </row>
    <row r="199" spans="1:22" x14ac:dyDescent="0.5">
      <c r="A199" s="33" t="str">
        <f>INDEX(Technologieën[Veld],MATCH(B199,Technologieën[Digitale zorgtoepassing],0))</f>
        <v>Software - Diagnose</v>
      </c>
      <c r="B199" s="33" t="s">
        <v>66</v>
      </c>
      <c r="C199" s="33" t="s">
        <v>67</v>
      </c>
      <c r="D199" s="427" cm="1">
        <f t="array" ref="D199">INDEX(Berekening_patiëntaantal[Percentage van patiëntaantallen in Wlz (overige is Zvw)],MATCH(B199,IF(Berekening_patiëntaantal[Doelgroep (zoeksleutel)]=C199,Berekening_patiëntaantal[Digitale zorgtoepassing]),0))</f>
        <v>0</v>
      </c>
      <c r="E199" s="33" t="str" cm="1">
        <f t="array" ref="E199">INDEX(Berekening_patiëntaantal[Direct toepasbaar/extrapolatie/incidentie voor QALY],MATCH(B199,IF(Berekening_patiëntaantal[Doelgroep (zoeksleutel)]=C199,Berekening_patiëntaantal[Digitale zorgtoepassing]),0))</f>
        <v>Huidige toepassing</v>
      </c>
      <c r="F199" s="43" t="s">
        <v>812</v>
      </c>
      <c r="G199" s="33" t="str">
        <f>CONCATENATE(uitkomst_doelgroep[[#This Row],[Digitale zorgtoepassing]],"_",uitkomst_doelgroep[[#This Row],[Doelgroep]],"_",uitkomst_doelgroep[[#This Row],[Uitgangssituatie/effect beleid]])</f>
        <v>Apps voor cognitieve testen_Multiple Sclerosis_Effect beleid</v>
      </c>
      <c r="H199" s="33">
        <v>2026</v>
      </c>
      <c r="I199" s="32">
        <v>4</v>
      </c>
      <c r="J199" s="406" cm="1">
        <f t="array" ref="J199">INDEX(implementatie[[2023]:[2034]],MATCH(G199, implementatie[Zoeksleutel],0),I199)</f>
        <v>0.02</v>
      </c>
      <c r="K199" s="406" cm="1">
        <f t="array" ref="K199">INDEX(implementatie[[2023]:[2034]],MATCH(G199,implementatie[Zoeksleutel],0),I199 + 1)</f>
        <v>4.7439999999999996E-2</v>
      </c>
      <c r="L19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476</v>
      </c>
      <c r="M199" s="398" cm="1">
        <f t="array" ref="M199">J199*INDEX(Berekening_impact[Totaal arbeidsbesparing (€/jaar)],MATCH(B199,IF(Berekening_impact[Doelgroep]=C199,Berekening_impact[Digitale zorgtoepassing]),0))</f>
        <v>4800.6925287356325</v>
      </c>
      <c r="N199" s="397" cm="1">
        <f t="array" ref="N199">J199*INDEX(Berekening_impact[Totaal arbeidsbesparing (FTE/jaar)],MATCH(B199,IF(Berekening_impact[Doelgroep]=C199,Berekening_impact[Digitale zorgtoepassing]),0))</f>
        <v>5.721153846153846E-2</v>
      </c>
      <c r="O199" s="398" cm="1">
        <f t="array" ref="O199">J199*INDEX(Berekening_impact[Overige kostenbesparing (totaal/jaar totaal potentieel)],MATCH(B199,IF(Berekening_impact[Doelgroep]=C199,Berekening_impact[Digitale zorgtoepassing]),0))</f>
        <v>0</v>
      </c>
      <c r="P199" s="398" cm="1">
        <f t="array" ref="P199">J199*INDEX(Berekening_impact[Opbrengsten door QALY''s],MATCH(B199,IF(Berekening_impact[Doelgroep]=C199,Berekening_impact[Digitale zorgtoepassing]),0))</f>
        <v>0</v>
      </c>
      <c r="Q199" s="398" cm="1">
        <f t="array" ref="Q199">J199*INDEX(Berekening_impact[Jaarlijkse kosten (totaal) - incl. schatting],MATCH(B199,IF(Berekening_impact[Doelgroep]=C199,Berekening_impact[Digitale zorgtoepassing]),0))</f>
        <v>4079.7807392973291</v>
      </c>
      <c r="R199" s="398" cm="1">
        <f t="array" ref="R199">(uitkomst_doelgroep[[#This Row],[Implementatiegraad t = T + 1]]-uitkomst_doelgroep[[#This Row],[Implementatiegraad t = T]])*INDEX(Berekening_impact[Initiële investering (totaal) - incl. schatting],MATCH(B199,IF(Berekening_impact[Doelgroep]=C199,Berekening_impact[Digitale zorgtoepassing]),0))</f>
        <v>0</v>
      </c>
      <c r="S199" s="398">
        <f>uitkomst_doelgroep[[#This Row],[Arbeidsbesparing (€)]]*uitkomst_doelgroep[[#This Row],[Percentage van patiëntaantallen in Wlz (overige is Zvw)]]</f>
        <v>0</v>
      </c>
      <c r="T199" s="398">
        <f>uitkomst_doelgroep[[#This Row],[Overige besparingen (€)]]*uitkomst_doelgroep[[#This Row],[Percentage van patiëntaantallen in Wlz (overige is Zvw)]]</f>
        <v>0</v>
      </c>
      <c r="U199" s="398">
        <f>uitkomst_doelgroep[[#This Row],[Kosten (€)]]*uitkomst_doelgroep[[#This Row],[Percentage van patiëntaantallen in Wlz (overige is Zvw)]]</f>
        <v>0</v>
      </c>
      <c r="V199" s="398">
        <f>uitkomst_doelgroep[[#This Row],[Investering (cash flow) (€)]]*uitkomst_doelgroep[[#This Row],[Percentage van patiëntaantallen in Wlz (overige is Zvw)]]</f>
        <v>0</v>
      </c>
    </row>
    <row r="200" spans="1:22" x14ac:dyDescent="0.5">
      <c r="A200" s="33" t="str">
        <f>INDEX(Technologieën[Veld],MATCH(B200,Technologieën[Digitale zorgtoepassing],0))</f>
        <v>Software - Diagnose</v>
      </c>
      <c r="B200" s="33" t="s">
        <v>66</v>
      </c>
      <c r="C200" s="33" t="s">
        <v>69</v>
      </c>
      <c r="D200" s="427" cm="1">
        <f t="array" ref="D200">INDEX(Berekening_patiëntaantal[Percentage van patiëntaantallen in Wlz (overige is Zvw)],MATCH(B200,IF(Berekening_patiëntaantal[Doelgroep (zoeksleutel)]=C200,Berekening_patiëntaantal[Digitale zorgtoepassing]),0))</f>
        <v>0</v>
      </c>
      <c r="E200" s="33" t="str" cm="1">
        <f t="array" ref="E200">INDEX(Berekening_patiëntaantal[Direct toepasbaar/extrapolatie/incidentie voor QALY],MATCH(B200,IF(Berekening_patiëntaantal[Doelgroep (zoeksleutel)]=C200,Berekening_patiëntaantal[Digitale zorgtoepassing]),0))</f>
        <v>Huidige toepassing</v>
      </c>
      <c r="F200" s="43" t="s">
        <v>812</v>
      </c>
      <c r="G200" s="33" t="str">
        <f>CONCATENATE(uitkomst_doelgroep[[#This Row],[Digitale zorgtoepassing]],"_",uitkomst_doelgroep[[#This Row],[Doelgroep]],"_",uitkomst_doelgroep[[#This Row],[Uitgangssituatie/effect beleid]])</f>
        <v>Apps voor cognitieve testen_Mild Cognitive Impairment_Effect beleid</v>
      </c>
      <c r="H200" s="33">
        <v>2027</v>
      </c>
      <c r="I200" s="32">
        <v>5</v>
      </c>
      <c r="J200" s="406" cm="1">
        <f t="array" ref="J200">INDEX(implementatie[[2023]:[2034]],MATCH(G200, implementatie[Zoeksleutel],0),I200)</f>
        <v>4.7439999999999996E-2</v>
      </c>
      <c r="K200" s="406" cm="1">
        <f t="array" ref="K200">INDEX(implementatie[[2023]:[2034]],MATCH(G200,implementatie[Zoeksleutel],0),I200 + 1)</f>
        <v>8.4566978560000006E-2</v>
      </c>
      <c r="L20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7105.643254999999</v>
      </c>
      <c r="M200" s="398" cm="1">
        <f t="array" ref="M200">J200*INDEX(Berekening_impact[Totaal arbeidsbesparing (€/jaar)],MATCH(B200,IF(Berekening_impact[Doelgroep]=C200,Berekening_impact[Digitale zorgtoepassing]),0))</f>
        <v>214991.65012272631</v>
      </c>
      <c r="N200" s="397" cm="1">
        <f t="array" ref="N200">J200*INDEX(Berekening_impact[Totaal arbeidsbesparing (FTE/jaar)],MATCH(B200,IF(Berekening_impact[Doelgroep]=C200,Berekening_impact[Digitale zorgtoepassing]),0))</f>
        <v>2.5621309813701916</v>
      </c>
      <c r="O200" s="398" cm="1">
        <f t="array" ref="O200">J200*INDEX(Berekening_impact[Overige kostenbesparing (totaal/jaar totaal potentieel)],MATCH(B200,IF(Berekening_impact[Doelgroep]=C200,Berekening_impact[Digitale zorgtoepassing]),0))</f>
        <v>0</v>
      </c>
      <c r="P200" s="398" cm="1">
        <f t="array" ref="P200">J200*INDEX(Berekening_impact[Opbrengsten door QALY''s],MATCH(B200,IF(Berekening_impact[Doelgroep]=C200,Berekening_impact[Digitale zorgtoepassing]),0))</f>
        <v>0</v>
      </c>
      <c r="Q200" s="398" cm="1">
        <f t="array" ref="Q200">J200*INDEX(Berekening_impact[Jaarlijkse kosten (totaal) - incl. schatting],MATCH(B200,IF(Berekening_impact[Doelgroep]=C200,Berekening_impact[Digitale zorgtoepassing]),0))</f>
        <v>182706.72158865744</v>
      </c>
      <c r="R200" s="398" cm="1">
        <f t="array" ref="R200">(uitkomst_doelgroep[[#This Row],[Implementatiegraad t = T + 1]]-uitkomst_doelgroep[[#This Row],[Implementatiegraad t = T]])*INDEX(Berekening_impact[Initiële investering (totaal) - incl. schatting],MATCH(B200,IF(Berekening_impact[Doelgroep]=C200,Berekening_impact[Digitale zorgtoepassing]),0))</f>
        <v>0</v>
      </c>
      <c r="S200" s="398">
        <f>uitkomst_doelgroep[[#This Row],[Arbeidsbesparing (€)]]*uitkomst_doelgroep[[#This Row],[Percentage van patiëntaantallen in Wlz (overige is Zvw)]]</f>
        <v>0</v>
      </c>
      <c r="T200" s="398">
        <f>uitkomst_doelgroep[[#This Row],[Overige besparingen (€)]]*uitkomst_doelgroep[[#This Row],[Percentage van patiëntaantallen in Wlz (overige is Zvw)]]</f>
        <v>0</v>
      </c>
      <c r="U200" s="398">
        <f>uitkomst_doelgroep[[#This Row],[Kosten (€)]]*uitkomst_doelgroep[[#This Row],[Percentage van patiëntaantallen in Wlz (overige is Zvw)]]</f>
        <v>0</v>
      </c>
      <c r="V200" s="398">
        <f>uitkomst_doelgroep[[#This Row],[Investering (cash flow) (€)]]*uitkomst_doelgroep[[#This Row],[Percentage van patiëntaantallen in Wlz (overige is Zvw)]]</f>
        <v>0</v>
      </c>
    </row>
    <row r="201" spans="1:22" x14ac:dyDescent="0.5">
      <c r="A201" s="33" t="str">
        <f>INDEX(Technologieën[Veld],MATCH(B201,Technologieën[Digitale zorgtoepassing],0))</f>
        <v>Software - Diagnose</v>
      </c>
      <c r="B201" s="33" t="s">
        <v>66</v>
      </c>
      <c r="C201" s="33" t="s">
        <v>67</v>
      </c>
      <c r="D201" s="427" cm="1">
        <f t="array" ref="D201">INDEX(Berekening_patiëntaantal[Percentage van patiëntaantallen in Wlz (overige is Zvw)],MATCH(B201,IF(Berekening_patiëntaantal[Doelgroep (zoeksleutel)]=C201,Berekening_patiëntaantal[Digitale zorgtoepassing]),0))</f>
        <v>0</v>
      </c>
      <c r="E201" s="33" t="str" cm="1">
        <f t="array" ref="E201">INDEX(Berekening_patiëntaantal[Direct toepasbaar/extrapolatie/incidentie voor QALY],MATCH(B201,IF(Berekening_patiëntaantal[Doelgroep (zoeksleutel)]=C201,Berekening_patiëntaantal[Digitale zorgtoepassing]),0))</f>
        <v>Huidige toepassing</v>
      </c>
      <c r="F201" s="43" t="s">
        <v>812</v>
      </c>
      <c r="G201" s="33" t="str">
        <f>CONCATENATE(uitkomst_doelgroep[[#This Row],[Digitale zorgtoepassing]],"_",uitkomst_doelgroep[[#This Row],[Doelgroep]],"_",uitkomst_doelgroep[[#This Row],[Uitgangssituatie/effect beleid]])</f>
        <v>Apps voor cognitieve testen_Multiple Sclerosis_Effect beleid</v>
      </c>
      <c r="H201" s="33">
        <v>2027</v>
      </c>
      <c r="I201" s="32">
        <v>5</v>
      </c>
      <c r="J201" s="406" cm="1">
        <f t="array" ref="J201">INDEX(implementatie[[2023]:[2034]],MATCH(G201, implementatie[Zoeksleutel],0),I201)</f>
        <v>4.7439999999999996E-2</v>
      </c>
      <c r="K201" s="406" cm="1">
        <f t="array" ref="K201">INDEX(implementatie[[2023]:[2034]],MATCH(G201,implementatie[Zoeksleutel],0),I201 + 1)</f>
        <v>8.4566978560000006E-2</v>
      </c>
      <c r="L20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1129.0719999999999</v>
      </c>
      <c r="M201" s="398" cm="1">
        <f t="array" ref="M201">J201*INDEX(Berekening_impact[Totaal arbeidsbesparing (€/jaar)],MATCH(B201,IF(Berekening_impact[Doelgroep]=C201,Berekening_impact[Digitale zorgtoepassing]),0))</f>
        <v>11387.242678160919</v>
      </c>
      <c r="N201" s="397" cm="1">
        <f t="array" ref="N201">J201*INDEX(Berekening_impact[Totaal arbeidsbesparing (FTE/jaar)],MATCH(B201,IF(Berekening_impact[Doelgroep]=C201,Berekening_impact[Digitale zorgtoepassing]),0))</f>
        <v>0.13570576923076921</v>
      </c>
      <c r="O201" s="398" cm="1">
        <f t="array" ref="O201">J201*INDEX(Berekening_impact[Overige kostenbesparing (totaal/jaar totaal potentieel)],MATCH(B201,IF(Berekening_impact[Doelgroep]=C201,Berekening_impact[Digitale zorgtoepassing]),0))</f>
        <v>0</v>
      </c>
      <c r="P201" s="398" cm="1">
        <f t="array" ref="P201">J201*INDEX(Berekening_impact[Opbrengsten door QALY''s],MATCH(B201,IF(Berekening_impact[Doelgroep]=C201,Berekening_impact[Digitale zorgtoepassing]),0))</f>
        <v>0</v>
      </c>
      <c r="Q201" s="398" cm="1">
        <f t="array" ref="Q201">J201*INDEX(Berekening_impact[Jaarlijkse kosten (totaal) - incl. schatting],MATCH(B201,IF(Berekening_impact[Doelgroep]=C201,Berekening_impact[Digitale zorgtoepassing]),0))</f>
        <v>9677.2399136132644</v>
      </c>
      <c r="R201" s="398" cm="1">
        <f t="array" ref="R201">(uitkomst_doelgroep[[#This Row],[Implementatiegraad t = T + 1]]-uitkomst_doelgroep[[#This Row],[Implementatiegraad t = T]])*INDEX(Berekening_impact[Initiële investering (totaal) - incl. schatting],MATCH(B201,IF(Berekening_impact[Doelgroep]=C201,Berekening_impact[Digitale zorgtoepassing]),0))</f>
        <v>0</v>
      </c>
      <c r="S201" s="398">
        <f>uitkomst_doelgroep[[#This Row],[Arbeidsbesparing (€)]]*uitkomst_doelgroep[[#This Row],[Percentage van patiëntaantallen in Wlz (overige is Zvw)]]</f>
        <v>0</v>
      </c>
      <c r="T201" s="398">
        <f>uitkomst_doelgroep[[#This Row],[Overige besparingen (€)]]*uitkomst_doelgroep[[#This Row],[Percentage van patiëntaantallen in Wlz (overige is Zvw)]]</f>
        <v>0</v>
      </c>
      <c r="U201" s="398">
        <f>uitkomst_doelgroep[[#This Row],[Kosten (€)]]*uitkomst_doelgroep[[#This Row],[Percentage van patiëntaantallen in Wlz (overige is Zvw)]]</f>
        <v>0</v>
      </c>
      <c r="V201" s="398">
        <f>uitkomst_doelgroep[[#This Row],[Investering (cash flow) (€)]]*uitkomst_doelgroep[[#This Row],[Percentage van patiëntaantallen in Wlz (overige is Zvw)]]</f>
        <v>0</v>
      </c>
    </row>
    <row r="202" spans="1:22" x14ac:dyDescent="0.5">
      <c r="A202" s="33" t="str">
        <f>INDEX(Technologieën[Veld],MATCH(B202,Technologieën[Digitale zorgtoepassing],0))</f>
        <v>Software - Diagnose</v>
      </c>
      <c r="B202" s="33" t="s">
        <v>66</v>
      </c>
      <c r="C202" s="33" t="s">
        <v>69</v>
      </c>
      <c r="D202" s="427" cm="1">
        <f t="array" ref="D202">INDEX(Berekening_patiëntaantal[Percentage van patiëntaantallen in Wlz (overige is Zvw)],MATCH(B202,IF(Berekening_patiëntaantal[Doelgroep (zoeksleutel)]=C202,Berekening_patiëntaantal[Digitale zorgtoepassing]),0))</f>
        <v>0</v>
      </c>
      <c r="E202" s="33" t="str" cm="1">
        <f t="array" ref="E202">INDEX(Berekening_patiëntaantal[Direct toepasbaar/extrapolatie/incidentie voor QALY],MATCH(B202,IF(Berekening_patiëntaantal[Doelgroep (zoeksleutel)]=C202,Berekening_patiëntaantal[Digitale zorgtoepassing]),0))</f>
        <v>Huidige toepassing</v>
      </c>
      <c r="F202" s="43" t="s">
        <v>812</v>
      </c>
      <c r="G202" s="33" t="str">
        <f>CONCATENATE(uitkomst_doelgroep[[#This Row],[Digitale zorgtoepassing]],"_",uitkomst_doelgroep[[#This Row],[Doelgroep]],"_",uitkomst_doelgroep[[#This Row],[Uitgangssituatie/effect beleid]])</f>
        <v>Apps voor cognitieve testen_Mild Cognitive Impairment_Effect beleid</v>
      </c>
      <c r="H202" s="33">
        <v>2028</v>
      </c>
      <c r="I202" s="32">
        <v>6</v>
      </c>
      <c r="J202" s="406" cm="1">
        <f t="array" ref="J202">INDEX(implementatie[[2023]:[2034]],MATCH(G202, implementatie[Zoeksleutel],0),I202)</f>
        <v>8.4566978560000006E-2</v>
      </c>
      <c r="K202" s="406" cm="1">
        <f t="array" ref="K202">INDEX(implementatie[[2023]:[2034]],MATCH(G202,implementatie[Zoeksleutel],0),I202 + 1)</f>
        <v>0.13384180086769301</v>
      </c>
      <c r="L20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12666.584755493121</v>
      </c>
      <c r="M202" s="398" cm="1">
        <f t="array" ref="M202">J202*INDEX(Berekening_impact[Totaal arbeidsbesparing (€/jaar)],MATCH(B202,IF(Berekening_impact[Doelgroep]=C202,Berekening_impact[Digitale zorgtoepassing]),0))</f>
        <v>383246.08487579296</v>
      </c>
      <c r="N202" s="397" cm="1">
        <f t="array" ref="N202">J202*INDEX(Berekening_impact[Totaal arbeidsbesparing (FTE/jaar)],MATCH(B202,IF(Berekening_impact[Doelgroep]=C202,Berekening_impact[Digitale zorgtoepassing]),0))</f>
        <v>4.5672781570287686</v>
      </c>
      <c r="O202" s="398" cm="1">
        <f t="array" ref="O202">J202*INDEX(Berekening_impact[Overige kostenbesparing (totaal/jaar totaal potentieel)],MATCH(B202,IF(Berekening_impact[Doelgroep]=C202,Berekening_impact[Digitale zorgtoepassing]),0))</f>
        <v>0</v>
      </c>
      <c r="P202" s="398" cm="1">
        <f t="array" ref="P202">J202*INDEX(Berekening_impact[Opbrengsten door QALY''s],MATCH(B202,IF(Berekening_impact[Doelgroep]=C202,Berekening_impact[Digitale zorgtoepassing]),0))</f>
        <v>0</v>
      </c>
      <c r="Q202" s="398" cm="1">
        <f t="array" ref="Q202">J202*INDEX(Berekening_impact[Jaarlijkse kosten (totaal) - incl. schatting],MATCH(B202,IF(Berekening_impact[Doelgroep]=C202,Berekening_impact[Digitale zorgtoepassing]),0))</f>
        <v>325694.67553448322</v>
      </c>
      <c r="R202" s="398" cm="1">
        <f t="array" ref="R202">(uitkomst_doelgroep[[#This Row],[Implementatiegraad t = T + 1]]-uitkomst_doelgroep[[#This Row],[Implementatiegraad t = T]])*INDEX(Berekening_impact[Initiële investering (totaal) - incl. schatting],MATCH(B202,IF(Berekening_impact[Doelgroep]=C202,Berekening_impact[Digitale zorgtoepassing]),0))</f>
        <v>0</v>
      </c>
      <c r="S202" s="398">
        <f>uitkomst_doelgroep[[#This Row],[Arbeidsbesparing (€)]]*uitkomst_doelgroep[[#This Row],[Percentage van patiëntaantallen in Wlz (overige is Zvw)]]</f>
        <v>0</v>
      </c>
      <c r="T202" s="398">
        <f>uitkomst_doelgroep[[#This Row],[Overige besparingen (€)]]*uitkomst_doelgroep[[#This Row],[Percentage van patiëntaantallen in Wlz (overige is Zvw)]]</f>
        <v>0</v>
      </c>
      <c r="U202" s="398">
        <f>uitkomst_doelgroep[[#This Row],[Kosten (€)]]*uitkomst_doelgroep[[#This Row],[Percentage van patiëntaantallen in Wlz (overige is Zvw)]]</f>
        <v>0</v>
      </c>
      <c r="V202" s="398">
        <f>uitkomst_doelgroep[[#This Row],[Investering (cash flow) (€)]]*uitkomst_doelgroep[[#This Row],[Percentage van patiëntaantallen in Wlz (overige is Zvw)]]</f>
        <v>0</v>
      </c>
    </row>
    <row r="203" spans="1:22" x14ac:dyDescent="0.5">
      <c r="A203" s="33" t="str">
        <f>INDEX(Technologieën[Veld],MATCH(B203,Technologieën[Digitale zorgtoepassing],0))</f>
        <v>Software - Diagnose</v>
      </c>
      <c r="B203" s="33" t="s">
        <v>66</v>
      </c>
      <c r="C203" s="33" t="s">
        <v>67</v>
      </c>
      <c r="D203" s="427" cm="1">
        <f t="array" ref="D203">INDEX(Berekening_patiëntaantal[Percentage van patiëntaantallen in Wlz (overige is Zvw)],MATCH(B203,IF(Berekening_patiëntaantal[Doelgroep (zoeksleutel)]=C203,Berekening_patiëntaantal[Digitale zorgtoepassing]),0))</f>
        <v>0</v>
      </c>
      <c r="E203" s="33" t="str" cm="1">
        <f t="array" ref="E203">INDEX(Berekening_patiëntaantal[Direct toepasbaar/extrapolatie/incidentie voor QALY],MATCH(B203,IF(Berekening_patiëntaantal[Doelgroep (zoeksleutel)]=C203,Berekening_patiëntaantal[Digitale zorgtoepassing]),0))</f>
        <v>Huidige toepassing</v>
      </c>
      <c r="F203" s="43" t="s">
        <v>812</v>
      </c>
      <c r="G203" s="33" t="str">
        <f>CONCATENATE(uitkomst_doelgroep[[#This Row],[Digitale zorgtoepassing]],"_",uitkomst_doelgroep[[#This Row],[Doelgroep]],"_",uitkomst_doelgroep[[#This Row],[Uitgangssituatie/effect beleid]])</f>
        <v>Apps voor cognitieve testen_Multiple Sclerosis_Effect beleid</v>
      </c>
      <c r="H203" s="33">
        <v>2028</v>
      </c>
      <c r="I203" s="32">
        <v>6</v>
      </c>
      <c r="J203" s="406" cm="1">
        <f t="array" ref="J203">INDEX(implementatie[[2023]:[2034]],MATCH(G203, implementatie[Zoeksleutel],0),I203)</f>
        <v>8.4566978560000006E-2</v>
      </c>
      <c r="K203" s="406" cm="1">
        <f t="array" ref="K203">INDEX(implementatie[[2023]:[2034]],MATCH(G203,implementatie[Zoeksleutel],0),I203 + 1)</f>
        <v>0.13384180086769301</v>
      </c>
      <c r="L20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2012.6940897280001</v>
      </c>
      <c r="M203" s="398" cm="1">
        <f t="array" ref="M203">J203*INDEX(Berekening_impact[Totaal arbeidsbesparing (€/jaar)],MATCH(B203,IF(Berekening_impact[Doelgroep]=C203,Berekening_impact[Digitale zorgtoepassing]),0))</f>
        <v>20299.003107536922</v>
      </c>
      <c r="N203" s="397" cm="1">
        <f t="array" ref="N203">J203*INDEX(Berekening_impact[Totaal arbeidsbesparing (FTE/jaar)],MATCH(B203,IF(Berekening_impact[Doelgroep]=C203,Berekening_impact[Digitale zorgtoepassing]),0))</f>
        <v>0.24191034732307692</v>
      </c>
      <c r="O203" s="398" cm="1">
        <f t="array" ref="O203">J203*INDEX(Berekening_impact[Overige kostenbesparing (totaal/jaar totaal potentieel)],MATCH(B203,IF(Berekening_impact[Doelgroep]=C203,Berekening_impact[Digitale zorgtoepassing]),0))</f>
        <v>0</v>
      </c>
      <c r="P203" s="398" cm="1">
        <f t="array" ref="P203">J203*INDEX(Berekening_impact[Opbrengsten door QALY''s],MATCH(B203,IF(Berekening_impact[Doelgroep]=C203,Berekening_impact[Digitale zorgtoepassing]),0))</f>
        <v>0</v>
      </c>
      <c r="Q203" s="398" cm="1">
        <f t="array" ref="Q203">J203*INDEX(Berekening_impact[Jaarlijkse kosten (totaal) - incl. schatting],MATCH(B203,IF(Berekening_impact[Doelgroep]=C203,Berekening_impact[Digitale zorgtoepassing]),0))</f>
        <v>17250.736515482909</v>
      </c>
      <c r="R203" s="398" cm="1">
        <f t="array" ref="R203">(uitkomst_doelgroep[[#This Row],[Implementatiegraad t = T + 1]]-uitkomst_doelgroep[[#This Row],[Implementatiegraad t = T]])*INDEX(Berekening_impact[Initiële investering (totaal) - incl. schatting],MATCH(B203,IF(Berekening_impact[Doelgroep]=C203,Berekening_impact[Digitale zorgtoepassing]),0))</f>
        <v>0</v>
      </c>
      <c r="S203" s="398">
        <f>uitkomst_doelgroep[[#This Row],[Arbeidsbesparing (€)]]*uitkomst_doelgroep[[#This Row],[Percentage van patiëntaantallen in Wlz (overige is Zvw)]]</f>
        <v>0</v>
      </c>
      <c r="T203" s="398">
        <f>uitkomst_doelgroep[[#This Row],[Overige besparingen (€)]]*uitkomst_doelgroep[[#This Row],[Percentage van patiëntaantallen in Wlz (overige is Zvw)]]</f>
        <v>0</v>
      </c>
      <c r="U203" s="398">
        <f>uitkomst_doelgroep[[#This Row],[Kosten (€)]]*uitkomst_doelgroep[[#This Row],[Percentage van patiëntaantallen in Wlz (overige is Zvw)]]</f>
        <v>0</v>
      </c>
      <c r="V203" s="398">
        <f>uitkomst_doelgroep[[#This Row],[Investering (cash flow) (€)]]*uitkomst_doelgroep[[#This Row],[Percentage van patiëntaantallen in Wlz (overige is Zvw)]]</f>
        <v>0</v>
      </c>
    </row>
    <row r="204" spans="1:22" x14ac:dyDescent="0.5">
      <c r="A204" s="33" t="str">
        <f>INDEX(Technologieën[Veld],MATCH(B204,Technologieën[Digitale zorgtoepassing],0))</f>
        <v>Software - Diagnose</v>
      </c>
      <c r="B204" s="33" t="s">
        <v>66</v>
      </c>
      <c r="C204" s="33" t="s">
        <v>69</v>
      </c>
      <c r="D204" s="427" cm="1">
        <f t="array" ref="D204">INDEX(Berekening_patiëntaantal[Percentage van patiëntaantallen in Wlz (overige is Zvw)],MATCH(B204,IF(Berekening_patiëntaantal[Doelgroep (zoeksleutel)]=C204,Berekening_patiëntaantal[Digitale zorgtoepassing]),0))</f>
        <v>0</v>
      </c>
      <c r="E204" s="33" t="str" cm="1">
        <f t="array" ref="E204">INDEX(Berekening_patiëntaantal[Direct toepasbaar/extrapolatie/incidentie voor QALY],MATCH(B204,IF(Berekening_patiëntaantal[Doelgroep (zoeksleutel)]=C204,Berekening_patiëntaantal[Digitale zorgtoepassing]),0))</f>
        <v>Huidige toepassing</v>
      </c>
      <c r="F204" s="43" t="s">
        <v>812</v>
      </c>
      <c r="G204" s="33" t="str">
        <f>CONCATENATE(uitkomst_doelgroep[[#This Row],[Digitale zorgtoepassing]],"_",uitkomst_doelgroep[[#This Row],[Doelgroep]],"_",uitkomst_doelgroep[[#This Row],[Uitgangssituatie/effect beleid]])</f>
        <v>Apps voor cognitieve testen_Mild Cognitive Impairment_Effect beleid</v>
      </c>
      <c r="H204" s="33">
        <v>2029</v>
      </c>
      <c r="I204" s="32">
        <v>7</v>
      </c>
      <c r="J204" s="406" cm="1">
        <f t="array" ref="J204">INDEX(implementatie[[2023]:[2034]],MATCH(G204, implementatie[Zoeksleutel],0),I204)</f>
        <v>0.13384180086769301</v>
      </c>
      <c r="K204" s="406" cm="1">
        <f t="array" ref="K204">INDEX(implementatie[[2023]:[2034]],MATCH(G204,implementatie[Zoeksleutel],0),I204 + 1)</f>
        <v>0.19753623413361349</v>
      </c>
      <c r="L20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20047.050792002025</v>
      </c>
      <c r="M204" s="398" cm="1">
        <f t="array" ref="M204">J204*INDEX(Berekening_impact[Totaal arbeidsbesparing (€/jaar)],MATCH(B204,IF(Berekening_impact[Doelgroep]=C204,Berekening_impact[Digitale zorgtoepassing]),0))</f>
        <v>606552.90101059573</v>
      </c>
      <c r="N204" s="397" cm="1">
        <f t="array" ref="N204">J204*INDEX(Berekening_impact[Totaal arbeidsbesparing (FTE/jaar)],MATCH(B204,IF(Berekening_impact[Doelgroep]=C204,Berekening_impact[Digitale zorgtoepassing]),0))</f>
        <v>7.2285038913468824</v>
      </c>
      <c r="O204" s="398" cm="1">
        <f t="array" ref="O204">J204*INDEX(Berekening_impact[Overige kostenbesparing (totaal/jaar totaal potentieel)],MATCH(B204,IF(Berekening_impact[Doelgroep]=C204,Berekening_impact[Digitale zorgtoepassing]),0))</f>
        <v>0</v>
      </c>
      <c r="P204" s="398" cm="1">
        <f t="array" ref="P204">J204*INDEX(Berekening_impact[Opbrengsten door QALY''s],MATCH(B204,IF(Berekening_impact[Doelgroep]=C204,Berekening_impact[Digitale zorgtoepassing]),0))</f>
        <v>0</v>
      </c>
      <c r="Q204" s="398" cm="1">
        <f t="array" ref="Q204">J204*INDEX(Berekening_impact[Jaarlijkse kosten (totaal) - incl. schatting],MATCH(B204,IF(Berekening_impact[Doelgroep]=C204,Berekening_impact[Digitale zorgtoepassing]),0))</f>
        <v>515467.88887137687</v>
      </c>
      <c r="R204" s="398" cm="1">
        <f t="array" ref="R204">(uitkomst_doelgroep[[#This Row],[Implementatiegraad t = T + 1]]-uitkomst_doelgroep[[#This Row],[Implementatiegraad t = T]])*INDEX(Berekening_impact[Initiële investering (totaal) - incl. schatting],MATCH(B204,IF(Berekening_impact[Doelgroep]=C204,Berekening_impact[Digitale zorgtoepassing]),0))</f>
        <v>0</v>
      </c>
      <c r="S204" s="398">
        <f>uitkomst_doelgroep[[#This Row],[Arbeidsbesparing (€)]]*uitkomst_doelgroep[[#This Row],[Percentage van patiëntaantallen in Wlz (overige is Zvw)]]</f>
        <v>0</v>
      </c>
      <c r="T204" s="398">
        <f>uitkomst_doelgroep[[#This Row],[Overige besparingen (€)]]*uitkomst_doelgroep[[#This Row],[Percentage van patiëntaantallen in Wlz (overige is Zvw)]]</f>
        <v>0</v>
      </c>
      <c r="U204" s="398">
        <f>uitkomst_doelgroep[[#This Row],[Kosten (€)]]*uitkomst_doelgroep[[#This Row],[Percentage van patiëntaantallen in Wlz (overige is Zvw)]]</f>
        <v>0</v>
      </c>
      <c r="V204" s="398">
        <f>uitkomst_doelgroep[[#This Row],[Investering (cash flow) (€)]]*uitkomst_doelgroep[[#This Row],[Percentage van patiëntaantallen in Wlz (overige is Zvw)]]</f>
        <v>0</v>
      </c>
    </row>
    <row r="205" spans="1:22" x14ac:dyDescent="0.5">
      <c r="A205" s="33" t="str">
        <f>INDEX(Technologieën[Veld],MATCH(B205,Technologieën[Digitale zorgtoepassing],0))</f>
        <v>Software - Diagnose</v>
      </c>
      <c r="B205" s="33" t="s">
        <v>66</v>
      </c>
      <c r="C205" s="33" t="s">
        <v>67</v>
      </c>
      <c r="D205" s="427" cm="1">
        <f t="array" ref="D205">INDEX(Berekening_patiëntaantal[Percentage van patiëntaantallen in Wlz (overige is Zvw)],MATCH(B205,IF(Berekening_patiëntaantal[Doelgroep (zoeksleutel)]=C205,Berekening_patiëntaantal[Digitale zorgtoepassing]),0))</f>
        <v>0</v>
      </c>
      <c r="E205" s="33" t="str" cm="1">
        <f t="array" ref="E205">INDEX(Berekening_patiëntaantal[Direct toepasbaar/extrapolatie/incidentie voor QALY],MATCH(B205,IF(Berekening_patiëntaantal[Doelgroep (zoeksleutel)]=C205,Berekening_patiëntaantal[Digitale zorgtoepassing]),0))</f>
        <v>Huidige toepassing</v>
      </c>
      <c r="F205" s="43" t="s">
        <v>812</v>
      </c>
      <c r="G205" s="33" t="str">
        <f>CONCATENATE(uitkomst_doelgroep[[#This Row],[Digitale zorgtoepassing]],"_",uitkomst_doelgroep[[#This Row],[Doelgroep]],"_",uitkomst_doelgroep[[#This Row],[Uitgangssituatie/effect beleid]])</f>
        <v>Apps voor cognitieve testen_Multiple Sclerosis_Effect beleid</v>
      </c>
      <c r="H205" s="33">
        <v>2029</v>
      </c>
      <c r="I205" s="32">
        <v>7</v>
      </c>
      <c r="J205" s="406" cm="1">
        <f t="array" ref="J205">INDEX(implementatie[[2023]:[2034]],MATCH(G205, implementatie[Zoeksleutel],0),I205)</f>
        <v>0.13384180086769301</v>
      </c>
      <c r="K205" s="406" cm="1">
        <f t="array" ref="K205">INDEX(implementatie[[2023]:[2034]],MATCH(G205,implementatie[Zoeksleutel],0),I205 + 1)</f>
        <v>0.19753623413361349</v>
      </c>
      <c r="L20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3185.4348606510935</v>
      </c>
      <c r="M205" s="398" cm="1">
        <f t="array" ref="M205">J205*INDEX(Berekening_impact[Totaal arbeidsbesparing (€/jaar)],MATCH(B205,IF(Berekening_impact[Doelgroep]=C205,Berekening_impact[Digitale zorgtoepassing]),0))</f>
        <v>32126.666672902807</v>
      </c>
      <c r="N205" s="397" cm="1">
        <f t="array" ref="N205">J205*INDEX(Berekening_impact[Totaal arbeidsbesparing (FTE/jaar)],MATCH(B205,IF(Berekening_impact[Doelgroep]=C205,Berekening_impact[Digitale zorgtoepassing]),0))</f>
        <v>0.38286476690517951</v>
      </c>
      <c r="O205" s="398" cm="1">
        <f t="array" ref="O205">J205*INDEX(Berekening_impact[Overige kostenbesparing (totaal/jaar totaal potentieel)],MATCH(B205,IF(Berekening_impact[Doelgroep]=C205,Berekening_impact[Digitale zorgtoepassing]),0))</f>
        <v>0</v>
      </c>
      <c r="P205" s="398" cm="1">
        <f t="array" ref="P205">J205*INDEX(Berekening_impact[Opbrengsten door QALY''s],MATCH(B205,IF(Berekening_impact[Doelgroep]=C205,Berekening_impact[Digitale zorgtoepassing]),0))</f>
        <v>0</v>
      </c>
      <c r="Q205" s="398" cm="1">
        <f t="array" ref="Q205">J205*INDEX(Berekening_impact[Jaarlijkse kosten (totaal) - incl. schatting],MATCH(B205,IF(Berekening_impact[Doelgroep]=C205,Berekening_impact[Digitale zorgtoepassing]),0))</f>
        <v>27302.260064644124</v>
      </c>
      <c r="R205" s="398" cm="1">
        <f t="array" ref="R205">(uitkomst_doelgroep[[#This Row],[Implementatiegraad t = T + 1]]-uitkomst_doelgroep[[#This Row],[Implementatiegraad t = T]])*INDEX(Berekening_impact[Initiële investering (totaal) - incl. schatting],MATCH(B205,IF(Berekening_impact[Doelgroep]=C205,Berekening_impact[Digitale zorgtoepassing]),0))</f>
        <v>0</v>
      </c>
      <c r="S205" s="398">
        <f>uitkomst_doelgroep[[#This Row],[Arbeidsbesparing (€)]]*uitkomst_doelgroep[[#This Row],[Percentage van patiëntaantallen in Wlz (overige is Zvw)]]</f>
        <v>0</v>
      </c>
      <c r="T205" s="398">
        <f>uitkomst_doelgroep[[#This Row],[Overige besparingen (€)]]*uitkomst_doelgroep[[#This Row],[Percentage van patiëntaantallen in Wlz (overige is Zvw)]]</f>
        <v>0</v>
      </c>
      <c r="U205" s="398">
        <f>uitkomst_doelgroep[[#This Row],[Kosten (€)]]*uitkomst_doelgroep[[#This Row],[Percentage van patiëntaantallen in Wlz (overige is Zvw)]]</f>
        <v>0</v>
      </c>
      <c r="V205" s="398">
        <f>uitkomst_doelgroep[[#This Row],[Investering (cash flow) (€)]]*uitkomst_doelgroep[[#This Row],[Percentage van patiëntaantallen in Wlz (overige is Zvw)]]</f>
        <v>0</v>
      </c>
    </row>
    <row r="206" spans="1:22" x14ac:dyDescent="0.5">
      <c r="A206" s="33" t="str">
        <f>INDEX(Technologieën[Veld],MATCH(B206,Technologieën[Digitale zorgtoepassing],0))</f>
        <v>Software - Diagnose</v>
      </c>
      <c r="B206" s="33" t="s">
        <v>66</v>
      </c>
      <c r="C206" s="33" t="s">
        <v>69</v>
      </c>
      <c r="D206" s="427" cm="1">
        <f t="array" ref="D206">INDEX(Berekening_patiëntaantal[Percentage van patiëntaantallen in Wlz (overige is Zvw)],MATCH(B206,IF(Berekening_patiëntaantal[Doelgroep (zoeksleutel)]=C206,Berekening_patiëntaantal[Digitale zorgtoepassing]),0))</f>
        <v>0</v>
      </c>
      <c r="E206" s="33" t="str" cm="1">
        <f t="array" ref="E206">INDEX(Berekening_patiëntaantal[Direct toepasbaar/extrapolatie/incidentie voor QALY],MATCH(B206,IF(Berekening_patiëntaantal[Doelgroep (zoeksleutel)]=C206,Berekening_patiëntaantal[Digitale zorgtoepassing]),0))</f>
        <v>Huidige toepassing</v>
      </c>
      <c r="F206" s="43" t="s">
        <v>812</v>
      </c>
      <c r="G206" s="33" t="str">
        <f>CONCATENATE(uitkomst_doelgroep[[#This Row],[Digitale zorgtoepassing]],"_",uitkomst_doelgroep[[#This Row],[Doelgroep]],"_",uitkomst_doelgroep[[#This Row],[Uitgangssituatie/effect beleid]])</f>
        <v>Apps voor cognitieve testen_Mild Cognitive Impairment_Effect beleid</v>
      </c>
      <c r="H206" s="33">
        <v>2030</v>
      </c>
      <c r="I206" s="32">
        <v>8</v>
      </c>
      <c r="J206" s="406" cm="1">
        <f t="array" ref="J206">INDEX(implementatie[[2023]:[2034]],MATCH(G206, implementatie[Zoeksleutel],0),I206)</f>
        <v>0.19753623413361349</v>
      </c>
      <c r="K206" s="406" cm="1">
        <f t="array" ref="K206">INDEX(implementatie[[2023]:[2034]],MATCH(G206,implementatie[Zoeksleutel],0),I206 + 1)</f>
        <v>0.27699177758611071</v>
      </c>
      <c r="L20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29587.310490927728</v>
      </c>
      <c r="M206" s="398" cm="1">
        <f t="array" ref="M206">J206*INDEX(Berekening_impact[Totaal arbeidsbesparing (€/jaar)],MATCH(B206,IF(Berekening_impact[Doelgroep]=C206,Berekening_impact[Digitale zorgtoepassing]),0))</f>
        <v>895207.43961666897</v>
      </c>
      <c r="N206" s="397" cm="1">
        <f t="array" ref="N206">J206*INDEX(Berekening_impact[Totaal arbeidsbesparing (FTE/jaar)],MATCH(B206,IF(Berekening_impact[Doelgroep]=C206,Berekening_impact[Digitale zorgtoepassing]),0))</f>
        <v>10.668501378940284</v>
      </c>
      <c r="O206" s="398" cm="1">
        <f t="array" ref="O206">J206*INDEX(Berekening_impact[Overige kostenbesparing (totaal/jaar totaal potentieel)],MATCH(B206,IF(Berekening_impact[Doelgroep]=C206,Berekening_impact[Digitale zorgtoepassing]),0))</f>
        <v>0</v>
      </c>
      <c r="P206" s="398" cm="1">
        <f t="array" ref="P206">J206*INDEX(Berekening_impact[Opbrengsten door QALY''s],MATCH(B206,IF(Berekening_impact[Doelgroep]=C206,Berekening_impact[Digitale zorgtoepassing]),0))</f>
        <v>0</v>
      </c>
      <c r="Q206" s="398" cm="1">
        <f t="array" ref="Q206">J206*INDEX(Berekening_impact[Jaarlijkse kosten (totaal) - incl. schatting],MATCH(B206,IF(Berekening_impact[Doelgroep]=C206,Berekening_impact[Digitale zorgtoepassing]),0))</f>
        <v>760775.66891909717</v>
      </c>
      <c r="R206" s="398" cm="1">
        <f t="array" ref="R206">(uitkomst_doelgroep[[#This Row],[Implementatiegraad t = T + 1]]-uitkomst_doelgroep[[#This Row],[Implementatiegraad t = T]])*INDEX(Berekening_impact[Initiële investering (totaal) - incl. schatting],MATCH(B206,IF(Berekening_impact[Doelgroep]=C206,Berekening_impact[Digitale zorgtoepassing]),0))</f>
        <v>0</v>
      </c>
      <c r="S206" s="398">
        <f>uitkomst_doelgroep[[#This Row],[Arbeidsbesparing (€)]]*uitkomst_doelgroep[[#This Row],[Percentage van patiëntaantallen in Wlz (overige is Zvw)]]</f>
        <v>0</v>
      </c>
      <c r="T206" s="398">
        <f>uitkomst_doelgroep[[#This Row],[Overige besparingen (€)]]*uitkomst_doelgroep[[#This Row],[Percentage van patiëntaantallen in Wlz (overige is Zvw)]]</f>
        <v>0</v>
      </c>
      <c r="U206" s="398">
        <f>uitkomst_doelgroep[[#This Row],[Kosten (€)]]*uitkomst_doelgroep[[#This Row],[Percentage van patiëntaantallen in Wlz (overige is Zvw)]]</f>
        <v>0</v>
      </c>
      <c r="V206" s="398">
        <f>uitkomst_doelgroep[[#This Row],[Investering (cash flow) (€)]]*uitkomst_doelgroep[[#This Row],[Percentage van patiëntaantallen in Wlz (overige is Zvw)]]</f>
        <v>0</v>
      </c>
    </row>
    <row r="207" spans="1:22" x14ac:dyDescent="0.5">
      <c r="A207" s="33" t="str">
        <f>INDEX(Technologieën[Veld],MATCH(B207,Technologieën[Digitale zorgtoepassing],0))</f>
        <v>Software - Diagnose</v>
      </c>
      <c r="B207" s="33" t="s">
        <v>66</v>
      </c>
      <c r="C207" s="33" t="s">
        <v>67</v>
      </c>
      <c r="D207" s="427" cm="1">
        <f t="array" ref="D207">INDEX(Berekening_patiëntaantal[Percentage van patiëntaantallen in Wlz (overige is Zvw)],MATCH(B207,IF(Berekening_patiëntaantal[Doelgroep (zoeksleutel)]=C207,Berekening_patiëntaantal[Digitale zorgtoepassing]),0))</f>
        <v>0</v>
      </c>
      <c r="E207" s="33" t="str" cm="1">
        <f t="array" ref="E207">INDEX(Berekening_patiëntaantal[Direct toepasbaar/extrapolatie/incidentie voor QALY],MATCH(B207,IF(Berekening_patiëntaantal[Doelgroep (zoeksleutel)]=C207,Berekening_patiëntaantal[Digitale zorgtoepassing]),0))</f>
        <v>Huidige toepassing</v>
      </c>
      <c r="F207" s="43" t="s">
        <v>812</v>
      </c>
      <c r="G207" s="33" t="str">
        <f>CONCATENATE(uitkomst_doelgroep[[#This Row],[Digitale zorgtoepassing]],"_",uitkomst_doelgroep[[#This Row],[Doelgroep]],"_",uitkomst_doelgroep[[#This Row],[Uitgangssituatie/effect beleid]])</f>
        <v>Apps voor cognitieve testen_Multiple Sclerosis_Effect beleid</v>
      </c>
      <c r="H207" s="33">
        <v>2030</v>
      </c>
      <c r="I207" s="32">
        <v>8</v>
      </c>
      <c r="J207" s="406" cm="1">
        <f t="array" ref="J207">INDEX(implementatie[[2023]:[2034]],MATCH(G207, implementatie[Zoeksleutel],0),I207)</f>
        <v>0.19753623413361349</v>
      </c>
      <c r="K207" s="406" cm="1">
        <f t="array" ref="K207">INDEX(implementatie[[2023]:[2034]],MATCH(G207,implementatie[Zoeksleutel],0),I207 + 1)</f>
        <v>0.27699177758611071</v>
      </c>
      <c r="L20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4701.362372380001</v>
      </c>
      <c r="M207" s="398" cm="1">
        <f t="array" ref="M207">J207*INDEX(Berekening_impact[Totaal arbeidsbesparing (€/jaar)],MATCH(B207,IF(Berekening_impact[Doelgroep]=C207,Berekening_impact[Digitale zorgtoepassing]),0))</f>
        <v>47415.536167990547</v>
      </c>
      <c r="N207" s="397" cm="1">
        <f t="array" ref="N207">J207*INDEX(Berekening_impact[Totaal arbeidsbesparing (FTE/jaar)],MATCH(B207,IF(Berekening_impact[Doelgroep]=C207,Berekening_impact[Digitale zorgtoepassing]),0))</f>
        <v>0.56506759283413466</v>
      </c>
      <c r="O207" s="398" cm="1">
        <f t="array" ref="O207">J207*INDEX(Berekening_impact[Overige kostenbesparing (totaal/jaar totaal potentieel)],MATCH(B207,IF(Berekening_impact[Doelgroep]=C207,Berekening_impact[Digitale zorgtoepassing]),0))</f>
        <v>0</v>
      </c>
      <c r="P207" s="398" cm="1">
        <f t="array" ref="P207">J207*INDEX(Berekening_impact[Opbrengsten door QALY''s],MATCH(B207,IF(Berekening_impact[Doelgroep]=C207,Berekening_impact[Digitale zorgtoepassing]),0))</f>
        <v>0</v>
      </c>
      <c r="Q207" s="398" cm="1">
        <f t="array" ref="Q207">J207*INDEX(Berekening_impact[Jaarlijkse kosten (totaal) - incl. schatting],MATCH(B207,IF(Berekening_impact[Doelgroep]=C207,Berekening_impact[Digitale zorgtoepassing]),0))</f>
        <v>40295.226166582193</v>
      </c>
      <c r="R207" s="398" cm="1">
        <f t="array" ref="R207">(uitkomst_doelgroep[[#This Row],[Implementatiegraad t = T + 1]]-uitkomst_doelgroep[[#This Row],[Implementatiegraad t = T]])*INDEX(Berekening_impact[Initiële investering (totaal) - incl. schatting],MATCH(B207,IF(Berekening_impact[Doelgroep]=C207,Berekening_impact[Digitale zorgtoepassing]),0))</f>
        <v>0</v>
      </c>
      <c r="S207" s="398">
        <f>uitkomst_doelgroep[[#This Row],[Arbeidsbesparing (€)]]*uitkomst_doelgroep[[#This Row],[Percentage van patiëntaantallen in Wlz (overige is Zvw)]]</f>
        <v>0</v>
      </c>
      <c r="T207" s="398">
        <f>uitkomst_doelgroep[[#This Row],[Overige besparingen (€)]]*uitkomst_doelgroep[[#This Row],[Percentage van patiëntaantallen in Wlz (overige is Zvw)]]</f>
        <v>0</v>
      </c>
      <c r="U207" s="398">
        <f>uitkomst_doelgroep[[#This Row],[Kosten (€)]]*uitkomst_doelgroep[[#This Row],[Percentage van patiëntaantallen in Wlz (overige is Zvw)]]</f>
        <v>0</v>
      </c>
      <c r="V207" s="398">
        <f>uitkomst_doelgroep[[#This Row],[Investering (cash flow) (€)]]*uitkomst_doelgroep[[#This Row],[Percentage van patiëntaantallen in Wlz (overige is Zvw)]]</f>
        <v>0</v>
      </c>
    </row>
    <row r="208" spans="1:22" x14ac:dyDescent="0.5">
      <c r="A208" s="33" t="str">
        <f>INDEX(Technologieën[Veld],MATCH(B208,Technologieën[Digitale zorgtoepassing],0))</f>
        <v>Software - Diagnose</v>
      </c>
      <c r="B208" s="33" t="s">
        <v>66</v>
      </c>
      <c r="C208" s="33" t="s">
        <v>69</v>
      </c>
      <c r="D208" s="427" cm="1">
        <f t="array" ref="D208">INDEX(Berekening_patiëntaantal[Percentage van patiëntaantallen in Wlz (overige is Zvw)],MATCH(B208,IF(Berekening_patiëntaantal[Doelgroep (zoeksleutel)]=C208,Berekening_patiëntaantal[Digitale zorgtoepassing]),0))</f>
        <v>0</v>
      </c>
      <c r="E208" s="33" t="str" cm="1">
        <f t="array" ref="E208">INDEX(Berekening_patiëntaantal[Direct toepasbaar/extrapolatie/incidentie voor QALY],MATCH(B208,IF(Berekening_patiëntaantal[Doelgroep (zoeksleutel)]=C208,Berekening_patiëntaantal[Digitale zorgtoepassing]),0))</f>
        <v>Huidige toepassing</v>
      </c>
      <c r="F208" s="43" t="s">
        <v>812</v>
      </c>
      <c r="G208" s="33" t="str">
        <f>CONCATENATE(uitkomst_doelgroep[[#This Row],[Digitale zorgtoepassing]],"_",uitkomst_doelgroep[[#This Row],[Doelgroep]],"_",uitkomst_doelgroep[[#This Row],[Uitgangssituatie/effect beleid]])</f>
        <v>Apps voor cognitieve testen_Mild Cognitive Impairment_Effect beleid</v>
      </c>
      <c r="H208" s="33">
        <v>2031</v>
      </c>
      <c r="I208" s="32">
        <v>9</v>
      </c>
      <c r="J208" s="406" cm="1">
        <f t="array" ref="J208">INDEX(implementatie[[2023]:[2034]],MATCH(G208, implementatie[Zoeksleutel],0),I208)</f>
        <v>0.27699177758611071</v>
      </c>
      <c r="K208" s="406" cm="1">
        <f t="array" ref="K208">INDEX(implementatie[[2023]:[2034]],MATCH(G208,implementatie[Zoeksleutel],0),I208 + 1)</f>
        <v>0.37155887512870744</v>
      </c>
      <c r="L20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41488.295870472342</v>
      </c>
      <c r="M208" s="398" cm="1">
        <f t="array" ref="M208">J208*INDEX(Berekening_impact[Totaal arbeidsbesparing (€/jaar)],MATCH(B208,IF(Berekening_impact[Doelgroep]=C208,Berekening_impact[Digitale zorgtoepassing]),0))</f>
        <v>1255289.1933740543</v>
      </c>
      <c r="N208" s="397" cm="1">
        <f t="array" ref="N208">J208*INDEX(Berekening_impact[Totaal arbeidsbesparing (FTE/jaar)],MATCH(B208,IF(Berekening_impact[Doelgroep]=C208,Berekening_impact[Digitale zorgtoepassing]),0))</f>
        <v>14.959722068679929</v>
      </c>
      <c r="O208" s="398" cm="1">
        <f t="array" ref="O208">J208*INDEX(Berekening_impact[Overige kostenbesparing (totaal/jaar totaal potentieel)],MATCH(B208,IF(Berekening_impact[Doelgroep]=C208,Berekening_impact[Digitale zorgtoepassing]),0))</f>
        <v>0</v>
      </c>
      <c r="P208" s="398" cm="1">
        <f t="array" ref="P208">J208*INDEX(Berekening_impact[Opbrengsten door QALY''s],MATCH(B208,IF(Berekening_impact[Doelgroep]=C208,Berekening_impact[Digitale zorgtoepassing]),0))</f>
        <v>0</v>
      </c>
      <c r="Q208" s="398" cm="1">
        <f t="array" ref="Q208">J208*INDEX(Berekening_impact[Jaarlijkse kosten (totaal) - incl. schatting],MATCH(B208,IF(Berekening_impact[Doelgroep]=C208,Berekening_impact[Digitale zorgtoepassing]),0))</f>
        <v>1066784.5613358528</v>
      </c>
      <c r="R208" s="398" cm="1">
        <f t="array" ref="R208">(uitkomst_doelgroep[[#This Row],[Implementatiegraad t = T + 1]]-uitkomst_doelgroep[[#This Row],[Implementatiegraad t = T]])*INDEX(Berekening_impact[Initiële investering (totaal) - incl. schatting],MATCH(B208,IF(Berekening_impact[Doelgroep]=C208,Berekening_impact[Digitale zorgtoepassing]),0))</f>
        <v>0</v>
      </c>
      <c r="S208" s="398">
        <f>uitkomst_doelgroep[[#This Row],[Arbeidsbesparing (€)]]*uitkomst_doelgroep[[#This Row],[Percentage van patiëntaantallen in Wlz (overige is Zvw)]]</f>
        <v>0</v>
      </c>
      <c r="T208" s="398">
        <f>uitkomst_doelgroep[[#This Row],[Overige besparingen (€)]]*uitkomst_doelgroep[[#This Row],[Percentage van patiëntaantallen in Wlz (overige is Zvw)]]</f>
        <v>0</v>
      </c>
      <c r="U208" s="398">
        <f>uitkomst_doelgroep[[#This Row],[Kosten (€)]]*uitkomst_doelgroep[[#This Row],[Percentage van patiëntaantallen in Wlz (overige is Zvw)]]</f>
        <v>0</v>
      </c>
      <c r="V208" s="398">
        <f>uitkomst_doelgroep[[#This Row],[Investering (cash flow) (€)]]*uitkomst_doelgroep[[#This Row],[Percentage van patiëntaantallen in Wlz (overige is Zvw)]]</f>
        <v>0</v>
      </c>
    </row>
    <row r="209" spans="1:22" x14ac:dyDescent="0.5">
      <c r="A209" s="33" t="str">
        <f>INDEX(Technologieën[Veld],MATCH(B209,Technologieën[Digitale zorgtoepassing],0))</f>
        <v>Software - Diagnose</v>
      </c>
      <c r="B209" s="33" t="s">
        <v>66</v>
      </c>
      <c r="C209" s="33" t="s">
        <v>67</v>
      </c>
      <c r="D209" s="427" cm="1">
        <f t="array" ref="D209">INDEX(Berekening_patiëntaantal[Percentage van patiëntaantallen in Wlz (overige is Zvw)],MATCH(B209,IF(Berekening_patiëntaantal[Doelgroep (zoeksleutel)]=C209,Berekening_patiëntaantal[Digitale zorgtoepassing]),0))</f>
        <v>0</v>
      </c>
      <c r="E209" s="33" t="str" cm="1">
        <f t="array" ref="E209">INDEX(Berekening_patiëntaantal[Direct toepasbaar/extrapolatie/incidentie voor QALY],MATCH(B209,IF(Berekening_patiëntaantal[Doelgroep (zoeksleutel)]=C209,Berekening_patiëntaantal[Digitale zorgtoepassing]),0))</f>
        <v>Huidige toepassing</v>
      </c>
      <c r="F209" s="43" t="s">
        <v>812</v>
      </c>
      <c r="G209" s="33" t="str">
        <f>CONCATENATE(uitkomst_doelgroep[[#This Row],[Digitale zorgtoepassing]],"_",uitkomst_doelgroep[[#This Row],[Doelgroep]],"_",uitkomst_doelgroep[[#This Row],[Uitgangssituatie/effect beleid]])</f>
        <v>Apps voor cognitieve testen_Multiple Sclerosis_Effect beleid</v>
      </c>
      <c r="H209" s="33">
        <v>2031</v>
      </c>
      <c r="I209" s="32">
        <v>9</v>
      </c>
      <c r="J209" s="406" cm="1">
        <f t="array" ref="J209">INDEX(implementatie[[2023]:[2034]],MATCH(G209, implementatie[Zoeksleutel],0),I209)</f>
        <v>0.27699177758611071</v>
      </c>
      <c r="K209" s="406" cm="1">
        <f t="array" ref="K209">INDEX(implementatie[[2023]:[2034]],MATCH(G209,implementatie[Zoeksleutel],0),I209 + 1)</f>
        <v>0.37155887512870744</v>
      </c>
      <c r="L20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6592.4043065494352</v>
      </c>
      <c r="M209" s="398" cm="1">
        <f t="array" ref="M209">J209*INDEX(Berekening_impact[Totaal arbeidsbesparing (€/jaar)],MATCH(B209,IF(Berekening_impact[Doelgroep]=C209,Berekening_impact[Digitale zorgtoepassing]),0))</f>
        <v>66487.617858942191</v>
      </c>
      <c r="N209" s="397" cm="1">
        <f t="array" ref="N209">J209*INDEX(Berekening_impact[Totaal arbeidsbesparing (FTE/jaar)],MATCH(B209,IF(Berekening_impact[Doelgroep]=C209,Berekening_impact[Digitale zorgtoepassing]),0))</f>
        <v>0.79235628684488391</v>
      </c>
      <c r="O209" s="398" cm="1">
        <f t="array" ref="O209">J209*INDEX(Berekening_impact[Overige kostenbesparing (totaal/jaar totaal potentieel)],MATCH(B209,IF(Berekening_impact[Doelgroep]=C209,Berekening_impact[Digitale zorgtoepassing]),0))</f>
        <v>0</v>
      </c>
      <c r="P209" s="398" cm="1">
        <f t="array" ref="P209">J209*INDEX(Berekening_impact[Opbrengsten door QALY''s],MATCH(B209,IF(Berekening_impact[Doelgroep]=C209,Berekening_impact[Digitale zorgtoepassing]),0))</f>
        <v>0</v>
      </c>
      <c r="Q209" s="398" cm="1">
        <f t="array" ref="Q209">J209*INDEX(Berekening_impact[Jaarlijkse kosten (totaal) - incl. schatting],MATCH(B209,IF(Berekening_impact[Doelgroep]=C209,Berekening_impact[Digitale zorgtoepassing]),0))</f>
        <v>56503.285956977204</v>
      </c>
      <c r="R209" s="398" cm="1">
        <f t="array" ref="R209">(uitkomst_doelgroep[[#This Row],[Implementatiegraad t = T + 1]]-uitkomst_doelgroep[[#This Row],[Implementatiegraad t = T]])*INDEX(Berekening_impact[Initiële investering (totaal) - incl. schatting],MATCH(B209,IF(Berekening_impact[Doelgroep]=C209,Berekening_impact[Digitale zorgtoepassing]),0))</f>
        <v>0</v>
      </c>
      <c r="S209" s="398">
        <f>uitkomst_doelgroep[[#This Row],[Arbeidsbesparing (€)]]*uitkomst_doelgroep[[#This Row],[Percentage van patiëntaantallen in Wlz (overige is Zvw)]]</f>
        <v>0</v>
      </c>
      <c r="T209" s="398">
        <f>uitkomst_doelgroep[[#This Row],[Overige besparingen (€)]]*uitkomst_doelgroep[[#This Row],[Percentage van patiëntaantallen in Wlz (overige is Zvw)]]</f>
        <v>0</v>
      </c>
      <c r="U209" s="398">
        <f>uitkomst_doelgroep[[#This Row],[Kosten (€)]]*uitkomst_doelgroep[[#This Row],[Percentage van patiëntaantallen in Wlz (overige is Zvw)]]</f>
        <v>0</v>
      </c>
      <c r="V209" s="398">
        <f>uitkomst_doelgroep[[#This Row],[Investering (cash flow) (€)]]*uitkomst_doelgroep[[#This Row],[Percentage van patiëntaantallen in Wlz (overige is Zvw)]]</f>
        <v>0</v>
      </c>
    </row>
    <row r="210" spans="1:22" x14ac:dyDescent="0.5">
      <c r="A210" s="33" t="str">
        <f>INDEX(Technologieën[Veld],MATCH(B210,Technologieën[Digitale zorgtoepassing],0))</f>
        <v>Software - Diagnose</v>
      </c>
      <c r="B210" s="33" t="s">
        <v>66</v>
      </c>
      <c r="C210" s="33" t="s">
        <v>69</v>
      </c>
      <c r="D210" s="427" cm="1">
        <f t="array" ref="D210">INDEX(Berekening_patiëntaantal[Percentage van patiëntaantallen in Wlz (overige is Zvw)],MATCH(B210,IF(Berekening_patiëntaantal[Doelgroep (zoeksleutel)]=C210,Berekening_patiëntaantal[Digitale zorgtoepassing]),0))</f>
        <v>0</v>
      </c>
      <c r="E210" s="33" t="str" cm="1">
        <f t="array" ref="E210">INDEX(Berekening_patiëntaantal[Direct toepasbaar/extrapolatie/incidentie voor QALY],MATCH(B210,IF(Berekening_patiëntaantal[Doelgroep (zoeksleutel)]=C210,Berekening_patiëntaantal[Digitale zorgtoepassing]),0))</f>
        <v>Huidige toepassing</v>
      </c>
      <c r="F210" s="43" t="s">
        <v>812</v>
      </c>
      <c r="G210" s="33" t="str">
        <f>CONCATENATE(uitkomst_doelgroep[[#This Row],[Digitale zorgtoepassing]],"_",uitkomst_doelgroep[[#This Row],[Doelgroep]],"_",uitkomst_doelgroep[[#This Row],[Uitgangssituatie/effect beleid]])</f>
        <v>Apps voor cognitieve testen_Mild Cognitive Impairment_Effect beleid</v>
      </c>
      <c r="H210" s="33">
        <v>2032</v>
      </c>
      <c r="I210" s="32">
        <v>10</v>
      </c>
      <c r="J210" s="406" cm="1">
        <f t="array" ref="J210">INDEX(implementatie[[2023]:[2034]],MATCH(G210, implementatie[Zoeksleutel],0),I210)</f>
        <v>0.37155887512870744</v>
      </c>
      <c r="K210" s="406" cm="1">
        <f t="array" ref="K210">INDEX(implementatie[[2023]:[2034]],MATCH(G210,implementatie[Zoeksleutel],0),I210 + 1)</f>
        <v>0.47752884860285211</v>
      </c>
      <c r="L21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55652.715322379583</v>
      </c>
      <c r="M210" s="398" cm="1">
        <f t="array" ref="M210">J210*INDEX(Berekening_impact[Totaal arbeidsbesparing (€/jaar)],MATCH(B210,IF(Berekening_impact[Doelgroep]=C210,Berekening_impact[Digitale zorgtoepassing]),0))</f>
        <v>1683854.4620924289</v>
      </c>
      <c r="N210" s="397" cm="1">
        <f t="array" ref="N210">J210*INDEX(Berekening_impact[Totaal arbeidsbesparing (FTE/jaar)],MATCH(B210,IF(Berekening_impact[Doelgroep]=C210,Berekening_impact[Digitale zorgtoepassing]),0))</f>
        <v>20.067084851819558</v>
      </c>
      <c r="O210" s="398" cm="1">
        <f t="array" ref="O210">J210*INDEX(Berekening_impact[Overige kostenbesparing (totaal/jaar totaal potentieel)],MATCH(B210,IF(Berekening_impact[Doelgroep]=C210,Berekening_impact[Digitale zorgtoepassing]),0))</f>
        <v>0</v>
      </c>
      <c r="P210" s="398" cm="1">
        <f t="array" ref="P210">J210*INDEX(Berekening_impact[Opbrengsten door QALY''s],MATCH(B210,IF(Berekening_impact[Doelgroep]=C210,Berekening_impact[Digitale zorgtoepassing]),0))</f>
        <v>0</v>
      </c>
      <c r="Q210" s="398" cm="1">
        <f t="array" ref="Q210">J210*INDEX(Berekening_impact[Jaarlijkse kosten (totaal) - incl. schatting],MATCH(B210,IF(Berekening_impact[Doelgroep]=C210,Berekening_impact[Digitale zorgtoepassing]),0))</f>
        <v>1430992.9163561445</v>
      </c>
      <c r="R210" s="398" cm="1">
        <f t="array" ref="R210">(uitkomst_doelgroep[[#This Row],[Implementatiegraad t = T + 1]]-uitkomst_doelgroep[[#This Row],[Implementatiegraad t = T]])*INDEX(Berekening_impact[Initiële investering (totaal) - incl. schatting],MATCH(B210,IF(Berekening_impact[Doelgroep]=C210,Berekening_impact[Digitale zorgtoepassing]),0))</f>
        <v>0</v>
      </c>
      <c r="S210" s="398">
        <f>uitkomst_doelgroep[[#This Row],[Arbeidsbesparing (€)]]*uitkomst_doelgroep[[#This Row],[Percentage van patiëntaantallen in Wlz (overige is Zvw)]]</f>
        <v>0</v>
      </c>
      <c r="T210" s="398">
        <f>uitkomst_doelgroep[[#This Row],[Overige besparingen (€)]]*uitkomst_doelgroep[[#This Row],[Percentage van patiëntaantallen in Wlz (overige is Zvw)]]</f>
        <v>0</v>
      </c>
      <c r="U210" s="398">
        <f>uitkomst_doelgroep[[#This Row],[Kosten (€)]]*uitkomst_doelgroep[[#This Row],[Percentage van patiëntaantallen in Wlz (overige is Zvw)]]</f>
        <v>0</v>
      </c>
      <c r="V210" s="398">
        <f>uitkomst_doelgroep[[#This Row],[Investering (cash flow) (€)]]*uitkomst_doelgroep[[#This Row],[Percentage van patiëntaantallen in Wlz (overige is Zvw)]]</f>
        <v>0</v>
      </c>
    </row>
    <row r="211" spans="1:22" x14ac:dyDescent="0.5">
      <c r="A211" s="33" t="str">
        <f>INDEX(Technologieën[Veld],MATCH(B211,Technologieën[Digitale zorgtoepassing],0))</f>
        <v>Software - Diagnose</v>
      </c>
      <c r="B211" s="33" t="s">
        <v>66</v>
      </c>
      <c r="C211" s="33" t="s">
        <v>67</v>
      </c>
      <c r="D211" s="427" cm="1">
        <f t="array" ref="D211">INDEX(Berekening_patiëntaantal[Percentage van patiëntaantallen in Wlz (overige is Zvw)],MATCH(B211,IF(Berekening_patiëntaantal[Doelgroep (zoeksleutel)]=C211,Berekening_patiëntaantal[Digitale zorgtoepassing]),0))</f>
        <v>0</v>
      </c>
      <c r="E211" s="33" t="str" cm="1">
        <f t="array" ref="E211">INDEX(Berekening_patiëntaantal[Direct toepasbaar/extrapolatie/incidentie voor QALY],MATCH(B211,IF(Berekening_patiëntaantal[Doelgroep (zoeksleutel)]=C211,Berekening_patiëntaantal[Digitale zorgtoepassing]),0))</f>
        <v>Huidige toepassing</v>
      </c>
      <c r="F211" s="43" t="s">
        <v>812</v>
      </c>
      <c r="G211" s="33" t="str">
        <f>CONCATENATE(uitkomst_doelgroep[[#This Row],[Digitale zorgtoepassing]],"_",uitkomst_doelgroep[[#This Row],[Doelgroep]],"_",uitkomst_doelgroep[[#This Row],[Uitgangssituatie/effect beleid]])</f>
        <v>Apps voor cognitieve testen_Multiple Sclerosis_Effect beleid</v>
      </c>
      <c r="H211" s="33">
        <v>2032</v>
      </c>
      <c r="I211" s="32">
        <v>10</v>
      </c>
      <c r="J211" s="406" cm="1">
        <f t="array" ref="J211">INDEX(implementatie[[2023]:[2034]],MATCH(G211, implementatie[Zoeksleutel],0),I211)</f>
        <v>0.37155887512870744</v>
      </c>
      <c r="K211" s="406" cm="1">
        <f t="array" ref="K211">INDEX(implementatie[[2023]:[2034]],MATCH(G211,implementatie[Zoeksleutel],0),I211 + 1)</f>
        <v>0.47752884860285211</v>
      </c>
      <c r="L21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8843.1012280632367</v>
      </c>
      <c r="M211" s="398" cm="1">
        <f t="array" ref="M211">J211*INDEX(Berekening_impact[Totaal arbeidsbesparing (€/jaar)],MATCH(B211,IF(Berekening_impact[Doelgroep]=C211,Berekening_impact[Digitale zorgtoepassing]),0))</f>
        <v>89186.995790790083</v>
      </c>
      <c r="N211" s="397" cm="1">
        <f t="array" ref="N211">J211*INDEX(Berekening_impact[Totaal arbeidsbesparing (FTE/jaar)],MATCH(B211,IF(Berekening_impact[Doelgroep]=C211,Berekening_impact[Digitale zorgtoepassing]),0))</f>
        <v>1.0628727437576007</v>
      </c>
      <c r="O211" s="398" cm="1">
        <f t="array" ref="O211">J211*INDEX(Berekening_impact[Overige kostenbesparing (totaal/jaar totaal potentieel)],MATCH(B211,IF(Berekening_impact[Doelgroep]=C211,Berekening_impact[Digitale zorgtoepassing]),0))</f>
        <v>0</v>
      </c>
      <c r="P211" s="398" cm="1">
        <f t="array" ref="P211">J211*INDEX(Berekening_impact[Opbrengsten door QALY''s],MATCH(B211,IF(Berekening_impact[Doelgroep]=C211,Berekening_impact[Digitale zorgtoepassing]),0))</f>
        <v>0</v>
      </c>
      <c r="Q211" s="398" cm="1">
        <f t="array" ref="Q211">J211*INDEX(Berekening_impact[Jaarlijkse kosten (totaal) - incl. schatting],MATCH(B211,IF(Berekening_impact[Doelgroep]=C211,Berekening_impact[Digitale zorgtoepassing]),0))</f>
        <v>75793.937113254098</v>
      </c>
      <c r="R211" s="398" cm="1">
        <f t="array" ref="R211">(uitkomst_doelgroep[[#This Row],[Implementatiegraad t = T + 1]]-uitkomst_doelgroep[[#This Row],[Implementatiegraad t = T]])*INDEX(Berekening_impact[Initiële investering (totaal) - incl. schatting],MATCH(B211,IF(Berekening_impact[Doelgroep]=C211,Berekening_impact[Digitale zorgtoepassing]),0))</f>
        <v>0</v>
      </c>
      <c r="S211" s="398">
        <f>uitkomst_doelgroep[[#This Row],[Arbeidsbesparing (€)]]*uitkomst_doelgroep[[#This Row],[Percentage van patiëntaantallen in Wlz (overige is Zvw)]]</f>
        <v>0</v>
      </c>
      <c r="T211" s="398">
        <f>uitkomst_doelgroep[[#This Row],[Overige besparingen (€)]]*uitkomst_doelgroep[[#This Row],[Percentage van patiëntaantallen in Wlz (overige is Zvw)]]</f>
        <v>0</v>
      </c>
      <c r="U211" s="398">
        <f>uitkomst_doelgroep[[#This Row],[Kosten (€)]]*uitkomst_doelgroep[[#This Row],[Percentage van patiëntaantallen in Wlz (overige is Zvw)]]</f>
        <v>0</v>
      </c>
      <c r="V211" s="398">
        <f>uitkomst_doelgroep[[#This Row],[Investering (cash flow) (€)]]*uitkomst_doelgroep[[#This Row],[Percentage van patiëntaantallen in Wlz (overige is Zvw)]]</f>
        <v>0</v>
      </c>
    </row>
    <row r="212" spans="1:22" x14ac:dyDescent="0.5">
      <c r="A212" s="33" t="str">
        <f>INDEX(Technologieën[Veld],MATCH(B212,Technologieën[Digitale zorgtoepassing],0))</f>
        <v>Software - Diagnose</v>
      </c>
      <c r="B212" s="33" t="s">
        <v>66</v>
      </c>
      <c r="C212" s="33" t="s">
        <v>69</v>
      </c>
      <c r="D212" s="427" cm="1">
        <f t="array" ref="D212">INDEX(Berekening_patiëntaantal[Percentage van patiëntaantallen in Wlz (overige is Zvw)],MATCH(B212,IF(Berekening_patiëntaantal[Doelgroep (zoeksleutel)]=C212,Berekening_patiëntaantal[Digitale zorgtoepassing]),0))</f>
        <v>0</v>
      </c>
      <c r="E212" s="33" t="str" cm="1">
        <f t="array" ref="E212">INDEX(Berekening_patiëntaantal[Direct toepasbaar/extrapolatie/incidentie voor QALY],MATCH(B212,IF(Berekening_patiëntaantal[Doelgroep (zoeksleutel)]=C212,Berekening_patiëntaantal[Digitale zorgtoepassing]),0))</f>
        <v>Huidige toepassing</v>
      </c>
      <c r="F212" s="43" t="s">
        <v>812</v>
      </c>
      <c r="G212" s="33" t="str">
        <f>CONCATENATE(uitkomst_doelgroep[[#This Row],[Digitale zorgtoepassing]],"_",uitkomst_doelgroep[[#This Row],[Doelgroep]],"_",uitkomst_doelgroep[[#This Row],[Uitgangssituatie/effect beleid]])</f>
        <v>Apps voor cognitieve testen_Mild Cognitive Impairment_Effect beleid</v>
      </c>
      <c r="H212" s="33">
        <v>2033</v>
      </c>
      <c r="I212" s="32">
        <v>11</v>
      </c>
      <c r="J212" s="406" cm="1">
        <f t="array" ref="J212">INDEX(implementatie[[2023]:[2034]],MATCH(G212, implementatie[Zoeksleutel],0),I212)</f>
        <v>0.47752884860285211</v>
      </c>
      <c r="K212" s="406" cm="1">
        <f t="array" ref="K212">INDEX(implementatie[[2023]:[2034]],MATCH(G212,implementatie[Zoeksleutel],0),I212 + 1)</f>
        <v>0.5877762905727496</v>
      </c>
      <c r="L21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71525.076773667199</v>
      </c>
      <c r="M212" s="398" cm="1">
        <f t="array" ref="M212">J212*INDEX(Berekening_impact[Totaal arbeidsbesparing (€/jaar)],MATCH(B212,IF(Berekening_impact[Doelgroep]=C212,Berekening_impact[Digitale zorgtoepassing]),0))</f>
        <v>2164096.0190205043</v>
      </c>
      <c r="N212" s="397" cm="1">
        <f t="array" ref="N212">J212*INDEX(Berekening_impact[Totaal arbeidsbesparing (FTE/jaar)],MATCH(B212,IF(Berekening_impact[Doelgroep]=C212,Berekening_impact[Digitale zorgtoepassing]),0))</f>
        <v>25.790292105889613</v>
      </c>
      <c r="O212" s="398" cm="1">
        <f t="array" ref="O212">J212*INDEX(Berekening_impact[Overige kostenbesparing (totaal/jaar totaal potentieel)],MATCH(B212,IF(Berekening_impact[Doelgroep]=C212,Berekening_impact[Digitale zorgtoepassing]),0))</f>
        <v>0</v>
      </c>
      <c r="P212" s="398" cm="1">
        <f t="array" ref="P212">J212*INDEX(Berekening_impact[Opbrengsten door QALY''s],MATCH(B212,IF(Berekening_impact[Doelgroep]=C212,Berekening_impact[Digitale zorgtoepassing]),0))</f>
        <v>0</v>
      </c>
      <c r="Q212" s="398" cm="1">
        <f t="array" ref="Q212">J212*INDEX(Berekening_impact[Jaarlijkse kosten (totaal) - incl. schatting],MATCH(B212,IF(Berekening_impact[Doelgroep]=C212,Berekening_impact[Digitale zorgtoepassing]),0))</f>
        <v>1839117.4197351064</v>
      </c>
      <c r="R212" s="398" cm="1">
        <f t="array" ref="R212">(uitkomst_doelgroep[[#This Row],[Implementatiegraad t = T + 1]]-uitkomst_doelgroep[[#This Row],[Implementatiegraad t = T]])*INDEX(Berekening_impact[Initiële investering (totaal) - incl. schatting],MATCH(B212,IF(Berekening_impact[Doelgroep]=C212,Berekening_impact[Digitale zorgtoepassing]),0))</f>
        <v>0</v>
      </c>
      <c r="S212" s="398">
        <f>uitkomst_doelgroep[[#This Row],[Arbeidsbesparing (€)]]*uitkomst_doelgroep[[#This Row],[Percentage van patiëntaantallen in Wlz (overige is Zvw)]]</f>
        <v>0</v>
      </c>
      <c r="T212" s="398">
        <f>uitkomst_doelgroep[[#This Row],[Overige besparingen (€)]]*uitkomst_doelgroep[[#This Row],[Percentage van patiëntaantallen in Wlz (overige is Zvw)]]</f>
        <v>0</v>
      </c>
      <c r="U212" s="398">
        <f>uitkomst_doelgroep[[#This Row],[Kosten (€)]]*uitkomst_doelgroep[[#This Row],[Percentage van patiëntaantallen in Wlz (overige is Zvw)]]</f>
        <v>0</v>
      </c>
      <c r="V212" s="398">
        <f>uitkomst_doelgroep[[#This Row],[Investering (cash flow) (€)]]*uitkomst_doelgroep[[#This Row],[Percentage van patiëntaantallen in Wlz (overige is Zvw)]]</f>
        <v>0</v>
      </c>
    </row>
    <row r="213" spans="1:22" x14ac:dyDescent="0.5">
      <c r="A213" s="33" t="str">
        <f>INDEX(Technologieën[Veld],MATCH(B213,Technologieën[Digitale zorgtoepassing],0))</f>
        <v>Software - Diagnose</v>
      </c>
      <c r="B213" s="33" t="s">
        <v>66</v>
      </c>
      <c r="C213" s="33" t="s">
        <v>67</v>
      </c>
      <c r="D213" s="427" cm="1">
        <f t="array" ref="D213">INDEX(Berekening_patiëntaantal[Percentage van patiëntaantallen in Wlz (overige is Zvw)],MATCH(B213,IF(Berekening_patiëntaantal[Doelgroep (zoeksleutel)]=C213,Berekening_patiëntaantal[Digitale zorgtoepassing]),0))</f>
        <v>0</v>
      </c>
      <c r="E213" s="33" t="str" cm="1">
        <f t="array" ref="E213">INDEX(Berekening_patiëntaantal[Direct toepasbaar/extrapolatie/incidentie voor QALY],MATCH(B213,IF(Berekening_patiëntaantal[Doelgroep (zoeksleutel)]=C213,Berekening_patiëntaantal[Digitale zorgtoepassing]),0))</f>
        <v>Huidige toepassing</v>
      </c>
      <c r="F213" s="43" t="s">
        <v>812</v>
      </c>
      <c r="G213" s="33" t="str">
        <f>CONCATENATE(uitkomst_doelgroep[[#This Row],[Digitale zorgtoepassing]],"_",uitkomst_doelgroep[[#This Row],[Doelgroep]],"_",uitkomst_doelgroep[[#This Row],[Uitgangssituatie/effect beleid]])</f>
        <v>Apps voor cognitieve testen_Multiple Sclerosis_Effect beleid</v>
      </c>
      <c r="H213" s="33">
        <v>2033</v>
      </c>
      <c r="I213" s="32">
        <v>11</v>
      </c>
      <c r="J213" s="406" cm="1">
        <f t="array" ref="J213">INDEX(implementatie[[2023]:[2034]],MATCH(G213, implementatie[Zoeksleutel],0),I213)</f>
        <v>0.47752884860285211</v>
      </c>
      <c r="K213" s="406" cm="1">
        <f t="array" ref="K213">INDEX(implementatie[[2023]:[2034]],MATCH(G213,implementatie[Zoeksleutel],0),I213 + 1)</f>
        <v>0.5877762905727496</v>
      </c>
      <c r="L21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11365.186596747881</v>
      </c>
      <c r="M213" s="398" cm="1">
        <f t="array" ref="M213">J213*INDEX(Berekening_impact[Totaal arbeidsbesparing (€/jaar)],MATCH(B213,IF(Berekening_impact[Doelgroep]=C213,Berekening_impact[Digitale zorgtoepassing]),0))</f>
        <v>114623.45878717206</v>
      </c>
      <c r="N213" s="397" cm="1">
        <f t="array" ref="N213">J213*INDEX(Berekening_impact[Totaal arbeidsbesparing (FTE/jaar)],MATCH(B213,IF(Berekening_impact[Doelgroep]=C213,Berekening_impact[Digitale zorgtoepassing]),0))</f>
        <v>1.3660080044168124</v>
      </c>
      <c r="O213" s="398" cm="1">
        <f t="array" ref="O213">J213*INDEX(Berekening_impact[Overige kostenbesparing (totaal/jaar totaal potentieel)],MATCH(B213,IF(Berekening_impact[Doelgroep]=C213,Berekening_impact[Digitale zorgtoepassing]),0))</f>
        <v>0</v>
      </c>
      <c r="P213" s="398" cm="1">
        <f t="array" ref="P213">J213*INDEX(Berekening_impact[Opbrengsten door QALY''s],MATCH(B213,IF(Berekening_impact[Doelgroep]=C213,Berekening_impact[Digitale zorgtoepassing]),0))</f>
        <v>0</v>
      </c>
      <c r="Q213" s="398" cm="1">
        <f t="array" ref="Q213">J213*INDEX(Berekening_impact[Jaarlijkse kosten (totaal) - incl. schatting],MATCH(B213,IF(Berekening_impact[Doelgroep]=C213,Berekening_impact[Digitale zorgtoepassing]),0))</f>
        <v>97410.649949437313</v>
      </c>
      <c r="R213" s="398" cm="1">
        <f t="array" ref="R213">(uitkomst_doelgroep[[#This Row],[Implementatiegraad t = T + 1]]-uitkomst_doelgroep[[#This Row],[Implementatiegraad t = T]])*INDEX(Berekening_impact[Initiële investering (totaal) - incl. schatting],MATCH(B213,IF(Berekening_impact[Doelgroep]=C213,Berekening_impact[Digitale zorgtoepassing]),0))</f>
        <v>0</v>
      </c>
      <c r="S213" s="398">
        <f>uitkomst_doelgroep[[#This Row],[Arbeidsbesparing (€)]]*uitkomst_doelgroep[[#This Row],[Percentage van patiëntaantallen in Wlz (overige is Zvw)]]</f>
        <v>0</v>
      </c>
      <c r="T213" s="398">
        <f>uitkomst_doelgroep[[#This Row],[Overige besparingen (€)]]*uitkomst_doelgroep[[#This Row],[Percentage van patiëntaantallen in Wlz (overige is Zvw)]]</f>
        <v>0</v>
      </c>
      <c r="U213" s="398">
        <f>uitkomst_doelgroep[[#This Row],[Kosten (€)]]*uitkomst_doelgroep[[#This Row],[Percentage van patiëntaantallen in Wlz (overige is Zvw)]]</f>
        <v>0</v>
      </c>
      <c r="V213" s="398">
        <f>uitkomst_doelgroep[[#This Row],[Investering (cash flow) (€)]]*uitkomst_doelgroep[[#This Row],[Percentage van patiëntaantallen in Wlz (overige is Zvw)]]</f>
        <v>0</v>
      </c>
    </row>
    <row r="214" spans="1:22" x14ac:dyDescent="0.5">
      <c r="A214" s="33" t="str">
        <f>INDEX(Technologieën[Veld],MATCH(B214,Technologieën[Digitale zorgtoepassing],0))</f>
        <v>Software - Diagnose</v>
      </c>
      <c r="B214" s="33" t="s">
        <v>76</v>
      </c>
      <c r="C214" s="33" t="s">
        <v>384</v>
      </c>
      <c r="D214" s="427" cm="1">
        <f t="array" ref="D214">INDEX(Berekening_patiëntaantal[Percentage van patiëntaantallen in Wlz (overige is Zvw)],MATCH(B214,IF(Berekening_patiëntaantal[Doelgroep (zoeksleutel)]=C214,Berekening_patiëntaantal[Digitale zorgtoepassing]),0))</f>
        <v>0</v>
      </c>
      <c r="E214" s="33" t="str" cm="1">
        <f t="array" ref="E214">INDEX(Berekening_patiëntaantal[Direct toepasbaar/extrapolatie/incidentie voor QALY],MATCH(B214,IF(Berekening_patiëntaantal[Doelgroep (zoeksleutel)]=C214,Berekening_patiëntaantal[Digitale zorgtoepassing]),0))</f>
        <v>Huidige toepassing</v>
      </c>
      <c r="F214" s="43" t="s">
        <v>812</v>
      </c>
      <c r="G214" s="33" t="str">
        <f>CONCATENATE(uitkomst_doelgroep[[#This Row],[Digitale zorgtoepassing]],"_",uitkomst_doelgroep[[#This Row],[Doelgroep]],"_",uitkomst_doelgroep[[#This Row],[Uitgangssituatie/effect beleid]])</f>
        <v>Deltascan voor delier opsporing_Ouderen ziekenhuis delier_Effect beleid</v>
      </c>
      <c r="H214" s="33">
        <v>2023</v>
      </c>
      <c r="I214" s="32">
        <v>1</v>
      </c>
      <c r="J214" s="406" cm="1">
        <f t="array" ref="J214">INDEX(implementatie[[2023]:[2034]],MATCH(G214, implementatie[Zoeksleutel],0),I214)</f>
        <v>0.4</v>
      </c>
      <c r="K214" s="406" cm="1">
        <f t="array" ref="K214">INDEX(implementatie[[2023]:[2034]],MATCH(G214,implementatie[Zoeksleutel],0),I214 + 1)</f>
        <v>0.52300000000000002</v>
      </c>
      <c r="L21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48000</v>
      </c>
      <c r="M214" s="398" cm="1">
        <f t="array" ref="M214">J214*INDEX(Berekening_impact[Totaal arbeidsbesparing (€/jaar)],MATCH(B214,IF(Berekening_impact[Doelgroep]=C214,Berekening_impact[Digitale zorgtoepassing]),0))</f>
        <v>2930716.9011494266</v>
      </c>
      <c r="N214" s="397" cm="1">
        <f t="array" ref="N214">J214*INDEX(Berekening_impact[Totaal arbeidsbesparing (FTE/jaar)],MATCH(B214,IF(Berekening_impact[Doelgroep]=C214,Berekening_impact[Digitale zorgtoepassing]),0))</f>
        <v>49.923076923076934</v>
      </c>
      <c r="O214" s="398" cm="1">
        <f t="array" ref="O214">J214*INDEX(Berekening_impact[Overige kostenbesparing (totaal/jaar totaal potentieel)],MATCH(B214,IF(Berekening_impact[Doelgroep]=C214,Berekening_impact[Digitale zorgtoepassing]),0))</f>
        <v>0</v>
      </c>
      <c r="P214" s="398" cm="1">
        <f t="array" ref="P214">J214*INDEX(Berekening_impact[Opbrengsten door QALY''s],MATCH(B214,IF(Berekening_impact[Doelgroep]=C214,Berekening_impact[Digitale zorgtoepassing]),0))</f>
        <v>0</v>
      </c>
      <c r="Q214" s="398" cm="1">
        <f t="array" ref="Q214">J214*INDEX(Berekening_impact[Jaarlijkse kosten (totaal) - incl. schatting],MATCH(B214,IF(Berekening_impact[Doelgroep]=C214,Berekening_impact[Digitale zorgtoepassing]),0))</f>
        <v>2490616.1546637602</v>
      </c>
      <c r="R214" s="398" cm="1">
        <f t="array" ref="R214">(uitkomst_doelgroep[[#This Row],[Implementatiegraad t = T + 1]]-uitkomst_doelgroep[[#This Row],[Implementatiegraad t = T]])*INDEX(Berekening_impact[Initiële investering (totaal) - incl. schatting],MATCH(B214,IF(Berekening_impact[Doelgroep]=C214,Berekening_impact[Digitale zorgtoepassing]),0))</f>
        <v>0</v>
      </c>
      <c r="S214" s="398">
        <f>uitkomst_doelgroep[[#This Row],[Arbeidsbesparing (€)]]*uitkomst_doelgroep[[#This Row],[Percentage van patiëntaantallen in Wlz (overige is Zvw)]]</f>
        <v>0</v>
      </c>
      <c r="T214" s="398">
        <f>uitkomst_doelgroep[[#This Row],[Overige besparingen (€)]]*uitkomst_doelgroep[[#This Row],[Percentage van patiëntaantallen in Wlz (overige is Zvw)]]</f>
        <v>0</v>
      </c>
      <c r="U214" s="398">
        <f>uitkomst_doelgroep[[#This Row],[Kosten (€)]]*uitkomst_doelgroep[[#This Row],[Percentage van patiëntaantallen in Wlz (overige is Zvw)]]</f>
        <v>0</v>
      </c>
      <c r="V214" s="398">
        <f>uitkomst_doelgroep[[#This Row],[Investering (cash flow) (€)]]*uitkomst_doelgroep[[#This Row],[Percentage van patiëntaantallen in Wlz (overige is Zvw)]]</f>
        <v>0</v>
      </c>
    </row>
    <row r="215" spans="1:22" x14ac:dyDescent="0.5">
      <c r="A215" s="33" t="str">
        <f>INDEX(Technologieën[Veld],MATCH(B215,Technologieën[Digitale zorgtoepassing],0))</f>
        <v>Software - Diagnose</v>
      </c>
      <c r="B215" s="33" t="s">
        <v>76</v>
      </c>
      <c r="C215" s="33" t="s">
        <v>384</v>
      </c>
      <c r="D215" s="427" cm="1">
        <f t="array" ref="D215">INDEX(Berekening_patiëntaantal[Percentage van patiëntaantallen in Wlz (overige is Zvw)],MATCH(B215,IF(Berekening_patiëntaantal[Doelgroep (zoeksleutel)]=C215,Berekening_patiëntaantal[Digitale zorgtoepassing]),0))</f>
        <v>0</v>
      </c>
      <c r="E215" s="33" t="str" cm="1">
        <f t="array" ref="E215">INDEX(Berekening_patiëntaantal[Direct toepasbaar/extrapolatie/incidentie voor QALY],MATCH(B215,IF(Berekening_patiëntaantal[Doelgroep (zoeksleutel)]=C215,Berekening_patiëntaantal[Digitale zorgtoepassing]),0))</f>
        <v>Huidige toepassing</v>
      </c>
      <c r="F215" s="43" t="s">
        <v>812</v>
      </c>
      <c r="G215" s="33" t="str">
        <f>CONCATENATE(uitkomst_doelgroep[[#This Row],[Digitale zorgtoepassing]],"_",uitkomst_doelgroep[[#This Row],[Doelgroep]],"_",uitkomst_doelgroep[[#This Row],[Uitgangssituatie/effect beleid]])</f>
        <v>Deltascan voor delier opsporing_Ouderen ziekenhuis delier_Effect beleid</v>
      </c>
      <c r="H215" s="33">
        <v>2024</v>
      </c>
      <c r="I215" s="32">
        <v>2</v>
      </c>
      <c r="J215" s="406" cm="1">
        <f t="array" ref="J215">INDEX(implementatie[[2023]:[2034]],MATCH(G215, implementatie[Zoeksleutel],0),I215)</f>
        <v>0.52300000000000002</v>
      </c>
      <c r="K215" s="406" cm="1">
        <f t="array" ref="K215">INDEX(implementatie[[2023]:[2034]],MATCH(G215,implementatie[Zoeksleutel],0),I215 + 1)</f>
        <v>0.64718695000000004</v>
      </c>
      <c r="L21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62760</v>
      </c>
      <c r="M215" s="398" cm="1">
        <f t="array" ref="M215">J215*INDEX(Berekening_impact[Totaal arbeidsbesparing (€/jaar)],MATCH(B215,IF(Berekening_impact[Doelgroep]=C215,Berekening_impact[Digitale zorgtoepassing]),0))</f>
        <v>3831912.3482528753</v>
      </c>
      <c r="N215" s="397" cm="1">
        <f t="array" ref="N215">J215*INDEX(Berekening_impact[Totaal arbeidsbesparing (FTE/jaar)],MATCH(B215,IF(Berekening_impact[Doelgroep]=C215,Berekening_impact[Digitale zorgtoepassing]),0))</f>
        <v>65.2744230769231</v>
      </c>
      <c r="O215" s="398" cm="1">
        <f t="array" ref="O215">J215*INDEX(Berekening_impact[Overige kostenbesparing (totaal/jaar totaal potentieel)],MATCH(B215,IF(Berekening_impact[Doelgroep]=C215,Berekening_impact[Digitale zorgtoepassing]),0))</f>
        <v>0</v>
      </c>
      <c r="P215" s="398" cm="1">
        <f t="array" ref="P215">J215*INDEX(Berekening_impact[Opbrengsten door QALY''s],MATCH(B215,IF(Berekening_impact[Doelgroep]=C215,Berekening_impact[Digitale zorgtoepassing]),0))</f>
        <v>0</v>
      </c>
      <c r="Q215" s="398" cm="1">
        <f t="array" ref="Q215">J215*INDEX(Berekening_impact[Jaarlijkse kosten (totaal) - incl. schatting],MATCH(B215,IF(Berekening_impact[Doelgroep]=C215,Berekening_impact[Digitale zorgtoepassing]),0))</f>
        <v>3256480.6222228664</v>
      </c>
      <c r="R215" s="398" cm="1">
        <f t="array" ref="R215">(uitkomst_doelgroep[[#This Row],[Implementatiegraad t = T + 1]]-uitkomst_doelgroep[[#This Row],[Implementatiegraad t = T]])*INDEX(Berekening_impact[Initiële investering (totaal) - incl. schatting],MATCH(B215,IF(Berekening_impact[Doelgroep]=C215,Berekening_impact[Digitale zorgtoepassing]),0))</f>
        <v>0</v>
      </c>
      <c r="S215" s="398">
        <f>uitkomst_doelgroep[[#This Row],[Arbeidsbesparing (€)]]*uitkomst_doelgroep[[#This Row],[Percentage van patiëntaantallen in Wlz (overige is Zvw)]]</f>
        <v>0</v>
      </c>
      <c r="T215" s="398">
        <f>uitkomst_doelgroep[[#This Row],[Overige besparingen (€)]]*uitkomst_doelgroep[[#This Row],[Percentage van patiëntaantallen in Wlz (overige is Zvw)]]</f>
        <v>0</v>
      </c>
      <c r="U215" s="398">
        <f>uitkomst_doelgroep[[#This Row],[Kosten (€)]]*uitkomst_doelgroep[[#This Row],[Percentage van patiëntaantallen in Wlz (overige is Zvw)]]</f>
        <v>0</v>
      </c>
      <c r="V215" s="398">
        <f>uitkomst_doelgroep[[#This Row],[Investering (cash flow) (€)]]*uitkomst_doelgroep[[#This Row],[Percentage van patiëntaantallen in Wlz (overige is Zvw)]]</f>
        <v>0</v>
      </c>
    </row>
    <row r="216" spans="1:22" x14ac:dyDescent="0.5">
      <c r="A216" s="33" t="str">
        <f>INDEX(Technologieën[Veld],MATCH(B216,Technologieën[Digitale zorgtoepassing],0))</f>
        <v>Software - Diagnose</v>
      </c>
      <c r="B216" s="33" t="s">
        <v>76</v>
      </c>
      <c r="C216" s="33" t="s">
        <v>384</v>
      </c>
      <c r="D216" s="427" cm="1">
        <f t="array" ref="D216">INDEX(Berekening_patiëntaantal[Percentage van patiëntaantallen in Wlz (overige is Zvw)],MATCH(B216,IF(Berekening_patiëntaantal[Doelgroep (zoeksleutel)]=C216,Berekening_patiëntaantal[Digitale zorgtoepassing]),0))</f>
        <v>0</v>
      </c>
      <c r="E216" s="33" t="str" cm="1">
        <f t="array" ref="E216">INDEX(Berekening_patiëntaantal[Direct toepasbaar/extrapolatie/incidentie voor QALY],MATCH(B216,IF(Berekening_patiëntaantal[Doelgroep (zoeksleutel)]=C216,Berekening_patiëntaantal[Digitale zorgtoepassing]),0))</f>
        <v>Huidige toepassing</v>
      </c>
      <c r="F216" s="43" t="s">
        <v>812</v>
      </c>
      <c r="G216" s="33" t="str">
        <f>CONCATENATE(uitkomst_doelgroep[[#This Row],[Digitale zorgtoepassing]],"_",uitkomst_doelgroep[[#This Row],[Doelgroep]],"_",uitkomst_doelgroep[[#This Row],[Uitgangssituatie/effect beleid]])</f>
        <v>Deltascan voor delier opsporing_Ouderen ziekenhuis delier_Effect beleid</v>
      </c>
      <c r="H216" s="33">
        <v>2025</v>
      </c>
      <c r="I216" s="32">
        <v>3</v>
      </c>
      <c r="J216" s="406" cm="1">
        <f t="array" ref="J216">INDEX(implementatie[[2023]:[2034]],MATCH(G216, implementatie[Zoeksleutel],0),I216)</f>
        <v>0.64718695000000004</v>
      </c>
      <c r="K216" s="406" cm="1">
        <f t="array" ref="K216">INDEX(implementatie[[2023]:[2034]],MATCH(G216,implementatie[Zoeksleutel],0),I216 + 1)</f>
        <v>0.75875847703736388</v>
      </c>
      <c r="L21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77662.434000000008</v>
      </c>
      <c r="M216" s="398" cm="1">
        <f t="array" ref="M216">J216*INDEX(Berekening_impact[Totaal arbeidsbesparing (€/jaar)],MATCH(B216,IF(Berekening_impact[Doelgroep]=C216,Berekening_impact[Digitale zorgtoepassing]),0))</f>
        <v>4741804.3314208724</v>
      </c>
      <c r="N216" s="397" cm="1">
        <f t="array" ref="N216">J216*INDEX(Berekening_impact[Totaal arbeidsbesparing (FTE/jaar)],MATCH(B216,IF(Berekening_impact[Doelgroep]=C216,Berekening_impact[Digitale zorgtoepassing]),0))</f>
        <v>80.773909721153871</v>
      </c>
      <c r="O216" s="398" cm="1">
        <f t="array" ref="O216">J216*INDEX(Berekening_impact[Overige kostenbesparing (totaal/jaar totaal potentieel)],MATCH(B216,IF(Berekening_impact[Doelgroep]=C216,Berekening_impact[Digitale zorgtoepassing]),0))</f>
        <v>0</v>
      </c>
      <c r="P216" s="398" cm="1">
        <f t="array" ref="P216">J216*INDEX(Berekening_impact[Opbrengsten door QALY''s],MATCH(B216,IF(Berekening_impact[Doelgroep]=C216,Berekening_impact[Digitale zorgtoepassing]),0))</f>
        <v>0</v>
      </c>
      <c r="Q216" s="398" cm="1">
        <f t="array" ref="Q216">J216*INDEX(Berekening_impact[Jaarlijkse kosten (totaal) - incl. schatting],MATCH(B216,IF(Berekening_impact[Doelgroep]=C216,Berekening_impact[Digitale zorgtoepassing]),0))</f>
        <v>4029735.6818939182</v>
      </c>
      <c r="R216" s="398" cm="1">
        <f t="array" ref="R216">(uitkomst_doelgroep[[#This Row],[Implementatiegraad t = T + 1]]-uitkomst_doelgroep[[#This Row],[Implementatiegraad t = T]])*INDEX(Berekening_impact[Initiële investering (totaal) - incl. schatting],MATCH(B216,IF(Berekening_impact[Doelgroep]=C216,Berekening_impact[Digitale zorgtoepassing]),0))</f>
        <v>0</v>
      </c>
      <c r="S216" s="398">
        <f>uitkomst_doelgroep[[#This Row],[Arbeidsbesparing (€)]]*uitkomst_doelgroep[[#This Row],[Percentage van patiëntaantallen in Wlz (overige is Zvw)]]</f>
        <v>0</v>
      </c>
      <c r="T216" s="398">
        <f>uitkomst_doelgroep[[#This Row],[Overige besparingen (€)]]*uitkomst_doelgroep[[#This Row],[Percentage van patiëntaantallen in Wlz (overige is Zvw)]]</f>
        <v>0</v>
      </c>
      <c r="U216" s="398">
        <f>uitkomst_doelgroep[[#This Row],[Kosten (€)]]*uitkomst_doelgroep[[#This Row],[Percentage van patiëntaantallen in Wlz (overige is Zvw)]]</f>
        <v>0</v>
      </c>
      <c r="V216" s="398">
        <f>uitkomst_doelgroep[[#This Row],[Investering (cash flow) (€)]]*uitkomst_doelgroep[[#This Row],[Percentage van patiëntaantallen in Wlz (overige is Zvw)]]</f>
        <v>0</v>
      </c>
    </row>
    <row r="217" spans="1:22" x14ac:dyDescent="0.5">
      <c r="A217" s="33" t="str">
        <f>INDEX(Technologieën[Veld],MATCH(B217,Technologieën[Digitale zorgtoepassing],0))</f>
        <v>Software - Diagnose</v>
      </c>
      <c r="B217" s="33" t="s">
        <v>76</v>
      </c>
      <c r="C217" s="33" t="s">
        <v>384</v>
      </c>
      <c r="D217" s="427" cm="1">
        <f t="array" ref="D217">INDEX(Berekening_patiëntaantal[Percentage van patiëntaantallen in Wlz (overige is Zvw)],MATCH(B217,IF(Berekening_patiëntaantal[Doelgroep (zoeksleutel)]=C217,Berekening_patiëntaantal[Digitale zorgtoepassing]),0))</f>
        <v>0</v>
      </c>
      <c r="E217" s="33" t="str" cm="1">
        <f t="array" ref="E217">INDEX(Berekening_patiëntaantal[Direct toepasbaar/extrapolatie/incidentie voor QALY],MATCH(B217,IF(Berekening_patiëntaantal[Doelgroep (zoeksleutel)]=C217,Berekening_patiëntaantal[Digitale zorgtoepassing]),0))</f>
        <v>Huidige toepassing</v>
      </c>
      <c r="F217" s="43" t="s">
        <v>812</v>
      </c>
      <c r="G217" s="33" t="str">
        <f>CONCATENATE(uitkomst_doelgroep[[#This Row],[Digitale zorgtoepassing]],"_",uitkomst_doelgroep[[#This Row],[Doelgroep]],"_",uitkomst_doelgroep[[#This Row],[Uitgangssituatie/effect beleid]])</f>
        <v>Deltascan voor delier opsporing_Ouderen ziekenhuis delier_Effect beleid</v>
      </c>
      <c r="H217" s="33">
        <v>2026</v>
      </c>
      <c r="I217" s="32">
        <v>4</v>
      </c>
      <c r="J217" s="406" cm="1">
        <f t="array" ref="J217">INDEX(implementatie[[2023]:[2034]],MATCH(G217, implementatie[Zoeksleutel],0),I217)</f>
        <v>0.75875847703736388</v>
      </c>
      <c r="K217" s="406" cm="1">
        <f t="array" ref="K217">INDEX(implementatie[[2023]:[2034]],MATCH(G217,implementatie[Zoeksleutel],0),I217 + 1)</f>
        <v>0.84715933786401665</v>
      </c>
      <c r="L21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91051.017244483664</v>
      </c>
      <c r="M217" s="398" cm="1">
        <f t="array" ref="M217">J217*INDEX(Berekening_impact[Totaal arbeidsbesparing (€/jaar)],MATCH(B217,IF(Berekening_impact[Doelgroep]=C217,Berekening_impact[Digitale zorgtoepassing]),0))</f>
        <v>5559265.7313595032</v>
      </c>
      <c r="N217" s="397" cm="1">
        <f t="array" ref="N217">J217*INDEX(Berekening_impact[Totaal arbeidsbesparing (FTE/jaar)],MATCH(B217,IF(Berekening_impact[Doelgroep]=C217,Berekening_impact[Digitale zorgtoepassing]),0))</f>
        <v>94.698894537932546</v>
      </c>
      <c r="O217" s="398" cm="1">
        <f t="array" ref="O217">J217*INDEX(Berekening_impact[Overige kostenbesparing (totaal/jaar totaal potentieel)],MATCH(B217,IF(Berekening_impact[Doelgroep]=C217,Berekening_impact[Digitale zorgtoepassing]),0))</f>
        <v>0</v>
      </c>
      <c r="P217" s="398" cm="1">
        <f t="array" ref="P217">J217*INDEX(Berekening_impact[Opbrengsten door QALY''s],MATCH(B217,IF(Berekening_impact[Doelgroep]=C217,Berekening_impact[Digitale zorgtoepassing]),0))</f>
        <v>0</v>
      </c>
      <c r="Q217" s="398" cm="1">
        <f t="array" ref="Q217">J217*INDEX(Berekening_impact[Jaarlijkse kosten (totaal) - incl. schatting],MATCH(B217,IF(Berekening_impact[Doelgroep]=C217,Berekening_impact[Digitale zorgtoepassing]),0))</f>
        <v>4724440.3009933252</v>
      </c>
      <c r="R217" s="398" cm="1">
        <f t="array" ref="R217">(uitkomst_doelgroep[[#This Row],[Implementatiegraad t = T + 1]]-uitkomst_doelgroep[[#This Row],[Implementatiegraad t = T]])*INDEX(Berekening_impact[Initiële investering (totaal) - incl. schatting],MATCH(B217,IF(Berekening_impact[Doelgroep]=C217,Berekening_impact[Digitale zorgtoepassing]),0))</f>
        <v>0</v>
      </c>
      <c r="S217" s="398">
        <f>uitkomst_doelgroep[[#This Row],[Arbeidsbesparing (€)]]*uitkomst_doelgroep[[#This Row],[Percentage van patiëntaantallen in Wlz (overige is Zvw)]]</f>
        <v>0</v>
      </c>
      <c r="T217" s="398">
        <f>uitkomst_doelgroep[[#This Row],[Overige besparingen (€)]]*uitkomst_doelgroep[[#This Row],[Percentage van patiëntaantallen in Wlz (overige is Zvw)]]</f>
        <v>0</v>
      </c>
      <c r="U217" s="398">
        <f>uitkomst_doelgroep[[#This Row],[Kosten (€)]]*uitkomst_doelgroep[[#This Row],[Percentage van patiëntaantallen in Wlz (overige is Zvw)]]</f>
        <v>0</v>
      </c>
      <c r="V217" s="398">
        <f>uitkomst_doelgroep[[#This Row],[Investering (cash flow) (€)]]*uitkomst_doelgroep[[#This Row],[Percentage van patiëntaantallen in Wlz (overige is Zvw)]]</f>
        <v>0</v>
      </c>
    </row>
    <row r="218" spans="1:22" x14ac:dyDescent="0.5">
      <c r="A218" s="33" t="str">
        <f>INDEX(Technologieën[Veld],MATCH(B218,Technologieën[Digitale zorgtoepassing],0))</f>
        <v>Software - Diagnose</v>
      </c>
      <c r="B218" s="33" t="s">
        <v>76</v>
      </c>
      <c r="C218" s="33" t="s">
        <v>384</v>
      </c>
      <c r="D218" s="427" cm="1">
        <f t="array" ref="D218">INDEX(Berekening_patiëntaantal[Percentage van patiëntaantallen in Wlz (overige is Zvw)],MATCH(B218,IF(Berekening_patiëntaantal[Doelgroep (zoeksleutel)]=C218,Berekening_patiëntaantal[Digitale zorgtoepassing]),0))</f>
        <v>0</v>
      </c>
      <c r="E218" s="33" t="str" cm="1">
        <f t="array" ref="E218">INDEX(Berekening_patiëntaantal[Direct toepasbaar/extrapolatie/incidentie voor QALY],MATCH(B218,IF(Berekening_patiëntaantal[Doelgroep (zoeksleutel)]=C218,Berekening_patiëntaantal[Digitale zorgtoepassing]),0))</f>
        <v>Huidige toepassing</v>
      </c>
      <c r="F218" s="43" t="s">
        <v>812</v>
      </c>
      <c r="G218" s="33" t="str">
        <f>CONCATENATE(uitkomst_doelgroep[[#This Row],[Digitale zorgtoepassing]],"_",uitkomst_doelgroep[[#This Row],[Doelgroep]],"_",uitkomst_doelgroep[[#This Row],[Uitgangssituatie/effect beleid]])</f>
        <v>Deltascan voor delier opsporing_Ouderen ziekenhuis delier_Effect beleid</v>
      </c>
      <c r="H218" s="33">
        <v>2027</v>
      </c>
      <c r="I218" s="32">
        <v>5</v>
      </c>
      <c r="J218" s="406" cm="1">
        <f t="array" ref="J218">INDEX(implementatie[[2023]:[2034]],MATCH(G218, implementatie[Zoeksleutel],0),I218)</f>
        <v>0.84715933786401665</v>
      </c>
      <c r="K218" s="406" cm="1">
        <f t="array" ref="K218">INDEX(implementatie[[2023]:[2034]],MATCH(G218,implementatie[Zoeksleutel],0),I218 + 1)</f>
        <v>0.90924653177763415</v>
      </c>
      <c r="L21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101659.120543682</v>
      </c>
      <c r="M218" s="398" cm="1">
        <f t="array" ref="M218">J218*INDEX(Berekening_impact[Totaal arbeidsbesparing (€/jaar)],MATCH(B218,IF(Berekening_impact[Doelgroep]=C218,Berekening_impact[Digitale zorgtoepassing]),0))</f>
        <v>6206960.4736115774</v>
      </c>
      <c r="N218" s="397" cm="1">
        <f t="array" ref="N218">J218*INDEX(Berekening_impact[Totaal arbeidsbesparing (FTE/jaar)],MATCH(B218,IF(Berekening_impact[Doelgroep]=C218,Berekening_impact[Digitale zorgtoepassing]),0))</f>
        <v>105.73200197572056</v>
      </c>
      <c r="O218" s="398" cm="1">
        <f t="array" ref="O218">J218*INDEX(Berekening_impact[Overige kostenbesparing (totaal/jaar totaal potentieel)],MATCH(B218,IF(Berekening_impact[Doelgroep]=C218,Berekening_impact[Digitale zorgtoepassing]),0))</f>
        <v>0</v>
      </c>
      <c r="P218" s="398" cm="1">
        <f t="array" ref="P218">J218*INDEX(Berekening_impact[Opbrengsten door QALY''s],MATCH(B218,IF(Berekening_impact[Doelgroep]=C218,Berekening_impact[Digitale zorgtoepassing]),0))</f>
        <v>0</v>
      </c>
      <c r="Q218" s="398" cm="1">
        <f t="array" ref="Q218">J218*INDEX(Berekening_impact[Jaarlijkse kosten (totaal) - incl. schatting],MATCH(B218,IF(Berekening_impact[Doelgroep]=C218,Berekening_impact[Digitale zorgtoepassing]),0))</f>
        <v>5274871.8311459357</v>
      </c>
      <c r="R218" s="398" cm="1">
        <f t="array" ref="R218">(uitkomst_doelgroep[[#This Row],[Implementatiegraad t = T + 1]]-uitkomst_doelgroep[[#This Row],[Implementatiegraad t = T]])*INDEX(Berekening_impact[Initiële investering (totaal) - incl. schatting],MATCH(B218,IF(Berekening_impact[Doelgroep]=C218,Berekening_impact[Digitale zorgtoepassing]),0))</f>
        <v>0</v>
      </c>
      <c r="S218" s="398">
        <f>uitkomst_doelgroep[[#This Row],[Arbeidsbesparing (€)]]*uitkomst_doelgroep[[#This Row],[Percentage van patiëntaantallen in Wlz (overige is Zvw)]]</f>
        <v>0</v>
      </c>
      <c r="T218" s="398">
        <f>uitkomst_doelgroep[[#This Row],[Overige besparingen (€)]]*uitkomst_doelgroep[[#This Row],[Percentage van patiëntaantallen in Wlz (overige is Zvw)]]</f>
        <v>0</v>
      </c>
      <c r="U218" s="398">
        <f>uitkomst_doelgroep[[#This Row],[Kosten (€)]]*uitkomst_doelgroep[[#This Row],[Percentage van patiëntaantallen in Wlz (overige is Zvw)]]</f>
        <v>0</v>
      </c>
      <c r="V218" s="398">
        <f>uitkomst_doelgroep[[#This Row],[Investering (cash flow) (€)]]*uitkomst_doelgroep[[#This Row],[Percentage van patiëntaantallen in Wlz (overige is Zvw)]]</f>
        <v>0</v>
      </c>
    </row>
    <row r="219" spans="1:22" x14ac:dyDescent="0.5">
      <c r="A219" s="33" t="str">
        <f>INDEX(Technologieën[Veld],MATCH(B219,Technologieën[Digitale zorgtoepassing],0))</f>
        <v>Software - Diagnose</v>
      </c>
      <c r="B219" s="33" t="s">
        <v>76</v>
      </c>
      <c r="C219" s="33" t="s">
        <v>384</v>
      </c>
      <c r="D219" s="427" cm="1">
        <f t="array" ref="D219">INDEX(Berekening_patiëntaantal[Percentage van patiëntaantallen in Wlz (overige is Zvw)],MATCH(B219,IF(Berekening_patiëntaantal[Doelgroep (zoeksleutel)]=C219,Berekening_patiëntaantal[Digitale zorgtoepassing]),0))</f>
        <v>0</v>
      </c>
      <c r="E219" s="33" t="str" cm="1">
        <f t="array" ref="E219">INDEX(Berekening_patiëntaantal[Direct toepasbaar/extrapolatie/incidentie voor QALY],MATCH(B219,IF(Berekening_patiëntaantal[Doelgroep (zoeksleutel)]=C219,Berekening_patiëntaantal[Digitale zorgtoepassing]),0))</f>
        <v>Huidige toepassing</v>
      </c>
      <c r="F219" s="43" t="s">
        <v>812</v>
      </c>
      <c r="G219" s="33" t="str">
        <f>CONCATENATE(uitkomst_doelgroep[[#This Row],[Digitale zorgtoepassing]],"_",uitkomst_doelgroep[[#This Row],[Doelgroep]],"_",uitkomst_doelgroep[[#This Row],[Uitgangssituatie/effect beleid]])</f>
        <v>Deltascan voor delier opsporing_Ouderen ziekenhuis delier_Effect beleid</v>
      </c>
      <c r="H219" s="33">
        <v>2028</v>
      </c>
      <c r="I219" s="32">
        <v>6</v>
      </c>
      <c r="J219" s="406" cm="1">
        <f t="array" ref="J219">INDEX(implementatie[[2023]:[2034]],MATCH(G219, implementatie[Zoeksleutel],0),I219)</f>
        <v>0.90924653177763415</v>
      </c>
      <c r="K219" s="406" cm="1">
        <f t="array" ref="K219">INDEX(implementatie[[2023]:[2034]],MATCH(G219,implementatie[Zoeksleutel],0),I219 + 1)</f>
        <v>0.94864814278578335</v>
      </c>
      <c r="L21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109109.5838133161</v>
      </c>
      <c r="M219" s="398" cm="1">
        <f t="array" ref="M219">J219*INDEX(Berekening_impact[Totaal arbeidsbesparing (€/jaar)],MATCH(B219,IF(Berekening_impact[Doelgroep]=C219,Berekening_impact[Digitale zorgtoepassing]),0))</f>
        <v>6661860.4449805282</v>
      </c>
      <c r="N219" s="397" cm="1">
        <f t="array" ref="N219">J219*INDEX(Berekening_impact[Totaal arbeidsbesparing (FTE/jaar)],MATCH(B219,IF(Berekening_impact[Doelgroep]=C219,Berekening_impact[Digitale zorgtoepassing]),0))</f>
        <v>113.48096136993937</v>
      </c>
      <c r="O219" s="398" cm="1">
        <f t="array" ref="O219">J219*INDEX(Berekening_impact[Overige kostenbesparing (totaal/jaar totaal potentieel)],MATCH(B219,IF(Berekening_impact[Doelgroep]=C219,Berekening_impact[Digitale zorgtoepassing]),0))</f>
        <v>0</v>
      </c>
      <c r="P219" s="398" cm="1">
        <f t="array" ref="P219">J219*INDEX(Berekening_impact[Opbrengsten door QALY''s],MATCH(B219,IF(Berekening_impact[Doelgroep]=C219,Berekening_impact[Digitale zorgtoepassing]),0))</f>
        <v>0</v>
      </c>
      <c r="Q219" s="398" cm="1">
        <f t="array" ref="Q219">J219*INDEX(Berekening_impact[Jaarlijkse kosten (totaal) - incl. schatting],MATCH(B219,IF(Berekening_impact[Doelgroep]=C219,Berekening_impact[Digitale zorgtoepassing]),0))</f>
        <v>5661460.2515434287</v>
      </c>
      <c r="R219" s="398" cm="1">
        <f t="array" ref="R219">(uitkomst_doelgroep[[#This Row],[Implementatiegraad t = T + 1]]-uitkomst_doelgroep[[#This Row],[Implementatiegraad t = T]])*INDEX(Berekening_impact[Initiële investering (totaal) - incl. schatting],MATCH(B219,IF(Berekening_impact[Doelgroep]=C219,Berekening_impact[Digitale zorgtoepassing]),0))</f>
        <v>0</v>
      </c>
      <c r="S219" s="398">
        <f>uitkomst_doelgroep[[#This Row],[Arbeidsbesparing (€)]]*uitkomst_doelgroep[[#This Row],[Percentage van patiëntaantallen in Wlz (overige is Zvw)]]</f>
        <v>0</v>
      </c>
      <c r="T219" s="398">
        <f>uitkomst_doelgroep[[#This Row],[Overige besparingen (€)]]*uitkomst_doelgroep[[#This Row],[Percentage van patiëntaantallen in Wlz (overige is Zvw)]]</f>
        <v>0</v>
      </c>
      <c r="U219" s="398">
        <f>uitkomst_doelgroep[[#This Row],[Kosten (€)]]*uitkomst_doelgroep[[#This Row],[Percentage van patiëntaantallen in Wlz (overige is Zvw)]]</f>
        <v>0</v>
      </c>
      <c r="V219" s="398">
        <f>uitkomst_doelgroep[[#This Row],[Investering (cash flow) (€)]]*uitkomst_doelgroep[[#This Row],[Percentage van patiëntaantallen in Wlz (overige is Zvw)]]</f>
        <v>0</v>
      </c>
    </row>
    <row r="220" spans="1:22" x14ac:dyDescent="0.5">
      <c r="A220" s="33" t="str">
        <f>INDEX(Technologieën[Veld],MATCH(B220,Technologieën[Digitale zorgtoepassing],0))</f>
        <v>Software - Diagnose</v>
      </c>
      <c r="B220" s="33" t="s">
        <v>76</v>
      </c>
      <c r="C220" s="33" t="s">
        <v>384</v>
      </c>
      <c r="D220" s="427" cm="1">
        <f t="array" ref="D220">INDEX(Berekening_patiëntaantal[Percentage van patiëntaantallen in Wlz (overige is Zvw)],MATCH(B220,IF(Berekening_patiëntaantal[Doelgroep (zoeksleutel)]=C220,Berekening_patiëntaantal[Digitale zorgtoepassing]),0))</f>
        <v>0</v>
      </c>
      <c r="E220" s="33" t="str" cm="1">
        <f t="array" ref="E220">INDEX(Berekening_patiëntaantal[Direct toepasbaar/extrapolatie/incidentie voor QALY],MATCH(B220,IF(Berekening_patiëntaantal[Doelgroep (zoeksleutel)]=C220,Berekening_patiëntaantal[Digitale zorgtoepassing]),0))</f>
        <v>Huidige toepassing</v>
      </c>
      <c r="F220" s="43" t="s">
        <v>812</v>
      </c>
      <c r="G220" s="33" t="str">
        <f>CONCATENATE(uitkomst_doelgroep[[#This Row],[Digitale zorgtoepassing]],"_",uitkomst_doelgroep[[#This Row],[Doelgroep]],"_",uitkomst_doelgroep[[#This Row],[Uitgangssituatie/effect beleid]])</f>
        <v>Deltascan voor delier opsporing_Ouderen ziekenhuis delier_Effect beleid</v>
      </c>
      <c r="H220" s="33">
        <v>2029</v>
      </c>
      <c r="I220" s="32">
        <v>7</v>
      </c>
      <c r="J220" s="406" cm="1">
        <f t="array" ref="J220">INDEX(implementatie[[2023]:[2034]],MATCH(G220, implementatie[Zoeksleutel],0),I220)</f>
        <v>0.94864814278578335</v>
      </c>
      <c r="K220" s="406" cm="1">
        <f t="array" ref="K220">INDEX(implementatie[[2023]:[2034]],MATCH(G220,implementatie[Zoeksleutel],0),I220 + 1)</f>
        <v>0.97185361900482903</v>
      </c>
      <c r="L22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113837.777134294</v>
      </c>
      <c r="M220" s="398" cm="1">
        <f t="array" ref="M220">J220*INDEX(Berekening_impact[Totaal arbeidsbesparing (€/jaar)],MATCH(B220,IF(Berekening_impact[Doelgroep]=C220,Berekening_impact[Digitale zorgtoepassing]),0))</f>
        <v>6950547.8632657742</v>
      </c>
      <c r="N220" s="397" cm="1">
        <f t="array" ref="N220">J220*INDEX(Berekening_impact[Totaal arbeidsbesparing (FTE/jaar)],MATCH(B220,IF(Berekening_impact[Doelgroep]=C220,Berekening_impact[Digitale zorgtoepassing]),0))</f>
        <v>118.39858551307184</v>
      </c>
      <c r="O220" s="398" cm="1">
        <f t="array" ref="O220">J220*INDEX(Berekening_impact[Overige kostenbesparing (totaal/jaar totaal potentieel)],MATCH(B220,IF(Berekening_impact[Doelgroep]=C220,Berekening_impact[Digitale zorgtoepassing]),0))</f>
        <v>0</v>
      </c>
      <c r="P220" s="398" cm="1">
        <f t="array" ref="P220">J220*INDEX(Berekening_impact[Opbrengsten door QALY''s],MATCH(B220,IF(Berekening_impact[Doelgroep]=C220,Berekening_impact[Digitale zorgtoepassing]),0))</f>
        <v>0</v>
      </c>
      <c r="Q220" s="398" cm="1">
        <f t="array" ref="Q220">J220*INDEX(Berekening_impact[Jaarlijkse kosten (totaal) - incl. schatting],MATCH(B220,IF(Berekening_impact[Doelgroep]=C220,Berekening_impact[Digitale zorgtoepassing]),0))</f>
        <v>5906795.9737851135</v>
      </c>
      <c r="R220" s="398" cm="1">
        <f t="array" ref="R220">(uitkomst_doelgroep[[#This Row],[Implementatiegraad t = T + 1]]-uitkomst_doelgroep[[#This Row],[Implementatiegraad t = T]])*INDEX(Berekening_impact[Initiële investering (totaal) - incl. schatting],MATCH(B220,IF(Berekening_impact[Doelgroep]=C220,Berekening_impact[Digitale zorgtoepassing]),0))</f>
        <v>0</v>
      </c>
      <c r="S220" s="398">
        <f>uitkomst_doelgroep[[#This Row],[Arbeidsbesparing (€)]]*uitkomst_doelgroep[[#This Row],[Percentage van patiëntaantallen in Wlz (overige is Zvw)]]</f>
        <v>0</v>
      </c>
      <c r="T220" s="398">
        <f>uitkomst_doelgroep[[#This Row],[Overige besparingen (€)]]*uitkomst_doelgroep[[#This Row],[Percentage van patiëntaantallen in Wlz (overige is Zvw)]]</f>
        <v>0</v>
      </c>
      <c r="U220" s="398">
        <f>uitkomst_doelgroep[[#This Row],[Kosten (€)]]*uitkomst_doelgroep[[#This Row],[Percentage van patiëntaantallen in Wlz (overige is Zvw)]]</f>
        <v>0</v>
      </c>
      <c r="V220" s="398">
        <f>uitkomst_doelgroep[[#This Row],[Investering (cash flow) (€)]]*uitkomst_doelgroep[[#This Row],[Percentage van patiëntaantallen in Wlz (overige is Zvw)]]</f>
        <v>0</v>
      </c>
    </row>
    <row r="221" spans="1:22" x14ac:dyDescent="0.5">
      <c r="A221" s="33" t="str">
        <f>INDEX(Technologieën[Veld],MATCH(B221,Technologieën[Digitale zorgtoepassing],0))</f>
        <v>Software - Diagnose</v>
      </c>
      <c r="B221" s="33" t="s">
        <v>76</v>
      </c>
      <c r="C221" s="33" t="s">
        <v>384</v>
      </c>
      <c r="D221" s="427" cm="1">
        <f t="array" ref="D221">INDEX(Berekening_patiëntaantal[Percentage van patiëntaantallen in Wlz (overige is Zvw)],MATCH(B221,IF(Berekening_patiëntaantal[Doelgroep (zoeksleutel)]=C221,Berekening_patiëntaantal[Digitale zorgtoepassing]),0))</f>
        <v>0</v>
      </c>
      <c r="E221" s="33" t="str" cm="1">
        <f t="array" ref="E221">INDEX(Berekening_patiëntaantal[Direct toepasbaar/extrapolatie/incidentie voor QALY],MATCH(B221,IF(Berekening_patiëntaantal[Doelgroep (zoeksleutel)]=C221,Berekening_patiëntaantal[Digitale zorgtoepassing]),0))</f>
        <v>Huidige toepassing</v>
      </c>
      <c r="F221" s="43" t="s">
        <v>812</v>
      </c>
      <c r="G221" s="33" t="str">
        <f>CONCATENATE(uitkomst_doelgroep[[#This Row],[Digitale zorgtoepassing]],"_",uitkomst_doelgroep[[#This Row],[Doelgroep]],"_",uitkomst_doelgroep[[#This Row],[Uitgangssituatie/effect beleid]])</f>
        <v>Deltascan voor delier opsporing_Ouderen ziekenhuis delier_Effect beleid</v>
      </c>
      <c r="H221" s="33">
        <v>2030</v>
      </c>
      <c r="I221" s="32">
        <v>8</v>
      </c>
      <c r="J221" s="406" cm="1">
        <f t="array" ref="J221">INDEX(implementatie[[2023]:[2034]],MATCH(G221, implementatie[Zoeksleutel],0),I221)</f>
        <v>0.97185361900482903</v>
      </c>
      <c r="K221" s="406" cm="1">
        <f t="array" ref="K221">INDEX(implementatie[[2023]:[2034]],MATCH(G221,implementatie[Zoeksleutel],0),I221 + 1)</f>
        <v>0.98486665153412889</v>
      </c>
      <c r="L22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116622.43428057949</v>
      </c>
      <c r="M221" s="398" cm="1">
        <f t="array" ref="M221">J221*INDEX(Berekening_impact[Totaal arbeidsbesparing (€/jaar)],MATCH(B221,IF(Berekening_impact[Doelgroep]=C221,Berekening_impact[Digitale zorgtoepassing]),0))</f>
        <v>7120569.5666517196</v>
      </c>
      <c r="N221" s="397" cm="1">
        <f t="array" ref="N221">J221*INDEX(Berekening_impact[Totaal arbeidsbesparing (FTE/jaar)],MATCH(B221,IF(Berekening_impact[Doelgroep]=C221,Berekening_impact[Digitale zorgtoepassing]),0))</f>
        <v>121.29480744887196</v>
      </c>
      <c r="O221" s="398" cm="1">
        <f t="array" ref="O221">J221*INDEX(Berekening_impact[Overige kostenbesparing (totaal/jaar totaal potentieel)],MATCH(B221,IF(Berekening_impact[Doelgroep]=C221,Berekening_impact[Digitale zorgtoepassing]),0))</f>
        <v>0</v>
      </c>
      <c r="P221" s="398" cm="1">
        <f t="array" ref="P221">J221*INDEX(Berekening_impact[Opbrengsten door QALY''s],MATCH(B221,IF(Berekening_impact[Doelgroep]=C221,Berekening_impact[Digitale zorgtoepassing]),0))</f>
        <v>0</v>
      </c>
      <c r="Q221" s="398" cm="1">
        <f t="array" ref="Q221">J221*INDEX(Berekening_impact[Jaarlijkse kosten (totaal) - incl. schatting],MATCH(B221,IF(Berekening_impact[Doelgroep]=C221,Berekening_impact[Digitale zorgtoepassing]),0))</f>
        <v>6051285.8086546659</v>
      </c>
      <c r="R221" s="398" cm="1">
        <f t="array" ref="R221">(uitkomst_doelgroep[[#This Row],[Implementatiegraad t = T + 1]]-uitkomst_doelgroep[[#This Row],[Implementatiegraad t = T]])*INDEX(Berekening_impact[Initiële investering (totaal) - incl. schatting],MATCH(B221,IF(Berekening_impact[Doelgroep]=C221,Berekening_impact[Digitale zorgtoepassing]),0))</f>
        <v>0</v>
      </c>
      <c r="S221" s="398">
        <f>uitkomst_doelgroep[[#This Row],[Arbeidsbesparing (€)]]*uitkomst_doelgroep[[#This Row],[Percentage van patiëntaantallen in Wlz (overige is Zvw)]]</f>
        <v>0</v>
      </c>
      <c r="T221" s="398">
        <f>uitkomst_doelgroep[[#This Row],[Overige besparingen (€)]]*uitkomst_doelgroep[[#This Row],[Percentage van patiëntaantallen in Wlz (overige is Zvw)]]</f>
        <v>0</v>
      </c>
      <c r="U221" s="398">
        <f>uitkomst_doelgroep[[#This Row],[Kosten (€)]]*uitkomst_doelgroep[[#This Row],[Percentage van patiëntaantallen in Wlz (overige is Zvw)]]</f>
        <v>0</v>
      </c>
      <c r="V221" s="398">
        <f>uitkomst_doelgroep[[#This Row],[Investering (cash flow) (€)]]*uitkomst_doelgroep[[#This Row],[Percentage van patiëntaantallen in Wlz (overige is Zvw)]]</f>
        <v>0</v>
      </c>
    </row>
    <row r="222" spans="1:22" x14ac:dyDescent="0.5">
      <c r="A222" s="33" t="str">
        <f>INDEX(Technologieën[Veld],MATCH(B222,Technologieën[Digitale zorgtoepassing],0))</f>
        <v>Software - Diagnose</v>
      </c>
      <c r="B222" s="33" t="s">
        <v>76</v>
      </c>
      <c r="C222" s="33" t="s">
        <v>384</v>
      </c>
      <c r="D222" s="427" cm="1">
        <f t="array" ref="D222">INDEX(Berekening_patiëntaantal[Percentage van patiëntaantallen in Wlz (overige is Zvw)],MATCH(B222,IF(Berekening_patiëntaantal[Doelgroep (zoeksleutel)]=C222,Berekening_patiëntaantal[Digitale zorgtoepassing]),0))</f>
        <v>0</v>
      </c>
      <c r="E222" s="33" t="str" cm="1">
        <f t="array" ref="E222">INDEX(Berekening_patiëntaantal[Direct toepasbaar/extrapolatie/incidentie voor QALY],MATCH(B222,IF(Berekening_patiëntaantal[Doelgroep (zoeksleutel)]=C222,Berekening_patiëntaantal[Digitale zorgtoepassing]),0))</f>
        <v>Huidige toepassing</v>
      </c>
      <c r="F222" s="43" t="s">
        <v>812</v>
      </c>
      <c r="G222" s="33" t="str">
        <f>CONCATENATE(uitkomst_doelgroep[[#This Row],[Digitale zorgtoepassing]],"_",uitkomst_doelgroep[[#This Row],[Doelgroep]],"_",uitkomst_doelgroep[[#This Row],[Uitgangssituatie/effect beleid]])</f>
        <v>Deltascan voor delier opsporing_Ouderen ziekenhuis delier_Effect beleid</v>
      </c>
      <c r="H222" s="33">
        <v>2031</v>
      </c>
      <c r="I222" s="32">
        <v>9</v>
      </c>
      <c r="J222" s="406" cm="1">
        <f t="array" ref="J222">INDEX(implementatie[[2023]:[2034]],MATCH(G222, implementatie[Zoeksleutel],0),I222)</f>
        <v>0.98486665153412889</v>
      </c>
      <c r="K222" s="406" cm="1">
        <f t="array" ref="K222">INDEX(implementatie[[2023]:[2034]],MATCH(G222,implementatie[Zoeksleutel],0),I222 + 1)</f>
        <v>0.99195193384931235</v>
      </c>
      <c r="L22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118183.99818409547</v>
      </c>
      <c r="M222" s="398" cm="1">
        <f t="array" ref="M222">J222*INDEX(Berekening_impact[Totaal arbeidsbesparing (€/jaar)],MATCH(B222,IF(Berekening_impact[Doelgroep]=C222,Berekening_impact[Digitale zorgtoepassing]),0))</f>
        <v>7215913.3525737859</v>
      </c>
      <c r="N222" s="397" cm="1">
        <f t="array" ref="N222">J222*INDEX(Berekening_impact[Totaal arbeidsbesparing (FTE/jaar)],MATCH(B222,IF(Berekening_impact[Doelgroep]=C222,Berekening_impact[Digitale zorgtoepassing]),0))</f>
        <v>122.91893400877881</v>
      </c>
      <c r="O222" s="398" cm="1">
        <f t="array" ref="O222">J222*INDEX(Berekening_impact[Overige kostenbesparing (totaal/jaar totaal potentieel)],MATCH(B222,IF(Berekening_impact[Doelgroep]=C222,Berekening_impact[Digitale zorgtoepassing]),0))</f>
        <v>0</v>
      </c>
      <c r="P222" s="398" cm="1">
        <f t="array" ref="P222">J222*INDEX(Berekening_impact[Opbrengsten door QALY''s],MATCH(B222,IF(Berekening_impact[Doelgroep]=C222,Berekening_impact[Digitale zorgtoepassing]),0))</f>
        <v>0</v>
      </c>
      <c r="Q222" s="398" cm="1">
        <f t="array" ref="Q222">J222*INDEX(Berekening_impact[Jaarlijkse kosten (totaal) - incl. schatting],MATCH(B222,IF(Berekening_impact[Doelgroep]=C222,Berekening_impact[Digitale zorgtoepassing]),0))</f>
        <v>6132311.981251264</v>
      </c>
      <c r="R222" s="398" cm="1">
        <f t="array" ref="R222">(uitkomst_doelgroep[[#This Row],[Implementatiegraad t = T + 1]]-uitkomst_doelgroep[[#This Row],[Implementatiegraad t = T]])*INDEX(Berekening_impact[Initiële investering (totaal) - incl. schatting],MATCH(B222,IF(Berekening_impact[Doelgroep]=C222,Berekening_impact[Digitale zorgtoepassing]),0))</f>
        <v>0</v>
      </c>
      <c r="S222" s="398">
        <f>uitkomst_doelgroep[[#This Row],[Arbeidsbesparing (€)]]*uitkomst_doelgroep[[#This Row],[Percentage van patiëntaantallen in Wlz (overige is Zvw)]]</f>
        <v>0</v>
      </c>
      <c r="T222" s="398">
        <f>uitkomst_doelgroep[[#This Row],[Overige besparingen (€)]]*uitkomst_doelgroep[[#This Row],[Percentage van patiëntaantallen in Wlz (overige is Zvw)]]</f>
        <v>0</v>
      </c>
      <c r="U222" s="398">
        <f>uitkomst_doelgroep[[#This Row],[Kosten (€)]]*uitkomst_doelgroep[[#This Row],[Percentage van patiëntaantallen in Wlz (overige is Zvw)]]</f>
        <v>0</v>
      </c>
      <c r="V222" s="398">
        <f>uitkomst_doelgroep[[#This Row],[Investering (cash flow) (€)]]*uitkomst_doelgroep[[#This Row],[Percentage van patiëntaantallen in Wlz (overige is Zvw)]]</f>
        <v>0</v>
      </c>
    </row>
    <row r="223" spans="1:22" x14ac:dyDescent="0.5">
      <c r="A223" s="33" t="str">
        <f>INDEX(Technologieën[Veld],MATCH(B223,Technologieën[Digitale zorgtoepassing],0))</f>
        <v>Software - Diagnose</v>
      </c>
      <c r="B223" s="33" t="s">
        <v>76</v>
      </c>
      <c r="C223" s="33" t="s">
        <v>384</v>
      </c>
      <c r="D223" s="427" cm="1">
        <f t="array" ref="D223">INDEX(Berekening_patiëntaantal[Percentage van patiëntaantallen in Wlz (overige is Zvw)],MATCH(B223,IF(Berekening_patiëntaantal[Doelgroep (zoeksleutel)]=C223,Berekening_patiëntaantal[Digitale zorgtoepassing]),0))</f>
        <v>0</v>
      </c>
      <c r="E223" s="33" t="str" cm="1">
        <f t="array" ref="E223">INDEX(Berekening_patiëntaantal[Direct toepasbaar/extrapolatie/incidentie voor QALY],MATCH(B223,IF(Berekening_patiëntaantal[Doelgroep (zoeksleutel)]=C223,Berekening_patiëntaantal[Digitale zorgtoepassing]),0))</f>
        <v>Huidige toepassing</v>
      </c>
      <c r="F223" s="43" t="s">
        <v>812</v>
      </c>
      <c r="G223" s="33" t="str">
        <f>CONCATENATE(uitkomst_doelgroep[[#This Row],[Digitale zorgtoepassing]],"_",uitkomst_doelgroep[[#This Row],[Doelgroep]],"_",uitkomst_doelgroep[[#This Row],[Uitgangssituatie/effect beleid]])</f>
        <v>Deltascan voor delier opsporing_Ouderen ziekenhuis delier_Effect beleid</v>
      </c>
      <c r="H223" s="33">
        <v>2032</v>
      </c>
      <c r="I223" s="32">
        <v>10</v>
      </c>
      <c r="J223" s="406" cm="1">
        <f t="array" ref="J223">INDEX(implementatie[[2023]:[2034]],MATCH(G223, implementatie[Zoeksleutel],0),I223)</f>
        <v>0.99195193384931235</v>
      </c>
      <c r="K223" s="406" cm="1">
        <f t="array" ref="K223">INDEX(implementatie[[2023]:[2034]],MATCH(G223,implementatie[Zoeksleutel],0),I223 + 1)</f>
        <v>0.99574561815494433</v>
      </c>
      <c r="L22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119034.23206191749</v>
      </c>
      <c r="M223" s="398" cm="1">
        <f t="array" ref="M223">J223*INDEX(Berekening_impact[Totaal arbeidsbesparing (€/jaar)],MATCH(B223,IF(Berekening_impact[Doelgroep]=C223,Berekening_impact[Digitale zorgtoepassing]),0))</f>
        <v>7267825.7441500938</v>
      </c>
      <c r="N223" s="397" cm="1">
        <f t="array" ref="N223">J223*INDEX(Berekening_impact[Totaal arbeidsbesparing (FTE/jaar)],MATCH(B223,IF(Berekening_impact[Doelgroep]=C223,Berekening_impact[Digitale zorgtoepassing]),0))</f>
        <v>123.80323174388536</v>
      </c>
      <c r="O223" s="398" cm="1">
        <f t="array" ref="O223">J223*INDEX(Berekening_impact[Overige kostenbesparing (totaal/jaar totaal potentieel)],MATCH(B223,IF(Berekening_impact[Doelgroep]=C223,Berekening_impact[Digitale zorgtoepassing]),0))</f>
        <v>0</v>
      </c>
      <c r="P223" s="398" cm="1">
        <f t="array" ref="P223">J223*INDEX(Berekening_impact[Opbrengsten door QALY''s],MATCH(B223,IF(Berekening_impact[Doelgroep]=C223,Berekening_impact[Digitale zorgtoepassing]),0))</f>
        <v>0</v>
      </c>
      <c r="Q223" s="398" cm="1">
        <f t="array" ref="Q223">J223*INDEX(Berekening_impact[Jaarlijkse kosten (totaal) - incl. schatting],MATCH(B223,IF(Berekening_impact[Doelgroep]=C223,Berekening_impact[Digitale zorgtoepassing]),0))</f>
        <v>6176428.7777376371</v>
      </c>
      <c r="R223" s="398" cm="1">
        <f t="array" ref="R223">(uitkomst_doelgroep[[#This Row],[Implementatiegraad t = T + 1]]-uitkomst_doelgroep[[#This Row],[Implementatiegraad t = T]])*INDEX(Berekening_impact[Initiële investering (totaal) - incl. schatting],MATCH(B223,IF(Berekening_impact[Doelgroep]=C223,Berekening_impact[Digitale zorgtoepassing]),0))</f>
        <v>0</v>
      </c>
      <c r="S223" s="398">
        <f>uitkomst_doelgroep[[#This Row],[Arbeidsbesparing (€)]]*uitkomst_doelgroep[[#This Row],[Percentage van patiëntaantallen in Wlz (overige is Zvw)]]</f>
        <v>0</v>
      </c>
      <c r="T223" s="398">
        <f>uitkomst_doelgroep[[#This Row],[Overige besparingen (€)]]*uitkomst_doelgroep[[#This Row],[Percentage van patiëntaantallen in Wlz (overige is Zvw)]]</f>
        <v>0</v>
      </c>
      <c r="U223" s="398">
        <f>uitkomst_doelgroep[[#This Row],[Kosten (€)]]*uitkomst_doelgroep[[#This Row],[Percentage van patiëntaantallen in Wlz (overige is Zvw)]]</f>
        <v>0</v>
      </c>
      <c r="V223" s="398">
        <f>uitkomst_doelgroep[[#This Row],[Investering (cash flow) (€)]]*uitkomst_doelgroep[[#This Row],[Percentage van patiëntaantallen in Wlz (overige is Zvw)]]</f>
        <v>0</v>
      </c>
    </row>
    <row r="224" spans="1:22" x14ac:dyDescent="0.5">
      <c r="A224" s="33" t="str">
        <f>INDEX(Technologieën[Veld],MATCH(B224,Technologieën[Digitale zorgtoepassing],0))</f>
        <v>Software - Diagnose</v>
      </c>
      <c r="B224" s="33" t="s">
        <v>76</v>
      </c>
      <c r="C224" s="33" t="s">
        <v>384</v>
      </c>
      <c r="D224" s="427" cm="1">
        <f t="array" ref="D224">INDEX(Berekening_patiëntaantal[Percentage van patiëntaantallen in Wlz (overige is Zvw)],MATCH(B224,IF(Berekening_patiëntaantal[Doelgroep (zoeksleutel)]=C224,Berekening_patiëntaantal[Digitale zorgtoepassing]),0))</f>
        <v>0</v>
      </c>
      <c r="E224" s="33" t="str" cm="1">
        <f t="array" ref="E224">INDEX(Berekening_patiëntaantal[Direct toepasbaar/extrapolatie/incidentie voor QALY],MATCH(B224,IF(Berekening_patiëntaantal[Doelgroep (zoeksleutel)]=C224,Berekening_patiëntaantal[Digitale zorgtoepassing]),0))</f>
        <v>Huidige toepassing</v>
      </c>
      <c r="F224" s="43" t="s">
        <v>812</v>
      </c>
      <c r="G224" s="33" t="str">
        <f>CONCATENATE(uitkomst_doelgroep[[#This Row],[Digitale zorgtoepassing]],"_",uitkomst_doelgroep[[#This Row],[Doelgroep]],"_",uitkomst_doelgroep[[#This Row],[Uitgangssituatie/effect beleid]])</f>
        <v>Deltascan voor delier opsporing_Ouderen ziekenhuis delier_Effect beleid</v>
      </c>
      <c r="H224" s="33">
        <v>2033</v>
      </c>
      <c r="I224" s="32">
        <v>11</v>
      </c>
      <c r="J224" s="406" cm="1">
        <f t="array" ref="J224">INDEX(implementatie[[2023]:[2034]],MATCH(G224, implementatie[Zoeksleutel],0),I224)</f>
        <v>0.99574561815494433</v>
      </c>
      <c r="K224" s="406" cm="1">
        <f t="array" ref="K224">INDEX(implementatie[[2023]:[2034]],MATCH(G224,implementatie[Zoeksleutel],0),I224 + 1)</f>
        <v>0.99775830463714821</v>
      </c>
      <c r="L22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119489.47417859331</v>
      </c>
      <c r="M224" s="398" cm="1">
        <f t="array" ref="M224">J224*INDEX(Berekening_impact[Totaal arbeidsbesparing (€/jaar)],MATCH(B224,IF(Berekening_impact[Doelgroep]=C224,Berekening_impact[Digitale zorgtoepassing]),0))</f>
        <v>7295621.2809304465</v>
      </c>
      <c r="N224" s="397" cm="1">
        <f t="array" ref="N224">J224*INDEX(Berekening_impact[Totaal arbeidsbesparing (FTE/jaar)],MATCH(B224,IF(Berekening_impact[Doelgroep]=C224,Berekening_impact[Digitale zorgtoepassing]),0))</f>
        <v>124.2767127274152</v>
      </c>
      <c r="O224" s="398" cm="1">
        <f t="array" ref="O224">J224*INDEX(Berekening_impact[Overige kostenbesparing (totaal/jaar totaal potentieel)],MATCH(B224,IF(Berekening_impact[Doelgroep]=C224,Berekening_impact[Digitale zorgtoepassing]),0))</f>
        <v>0</v>
      </c>
      <c r="P224" s="398" cm="1">
        <f t="array" ref="P224">J224*INDEX(Berekening_impact[Opbrengsten door QALY''s],MATCH(B224,IF(Berekening_impact[Doelgroep]=C224,Berekening_impact[Digitale zorgtoepassing]),0))</f>
        <v>0</v>
      </c>
      <c r="Q224" s="398" cm="1">
        <f t="array" ref="Q224">J224*INDEX(Berekening_impact[Jaarlijkse kosten (totaal) - incl. schatting],MATCH(B224,IF(Berekening_impact[Doelgroep]=C224,Berekening_impact[Digitale zorgtoepassing]),0))</f>
        <v>6200050.3062808905</v>
      </c>
      <c r="R224" s="398" cm="1">
        <f t="array" ref="R224">(uitkomst_doelgroep[[#This Row],[Implementatiegraad t = T + 1]]-uitkomst_doelgroep[[#This Row],[Implementatiegraad t = T]])*INDEX(Berekening_impact[Initiële investering (totaal) - incl. schatting],MATCH(B224,IF(Berekening_impact[Doelgroep]=C224,Berekening_impact[Digitale zorgtoepassing]),0))</f>
        <v>0</v>
      </c>
      <c r="S224" s="398">
        <f>uitkomst_doelgroep[[#This Row],[Arbeidsbesparing (€)]]*uitkomst_doelgroep[[#This Row],[Percentage van patiëntaantallen in Wlz (overige is Zvw)]]</f>
        <v>0</v>
      </c>
      <c r="T224" s="398">
        <f>uitkomst_doelgroep[[#This Row],[Overige besparingen (€)]]*uitkomst_doelgroep[[#This Row],[Percentage van patiëntaantallen in Wlz (overige is Zvw)]]</f>
        <v>0</v>
      </c>
      <c r="U224" s="398">
        <f>uitkomst_doelgroep[[#This Row],[Kosten (€)]]*uitkomst_doelgroep[[#This Row],[Percentage van patiëntaantallen in Wlz (overige is Zvw)]]</f>
        <v>0</v>
      </c>
      <c r="V224" s="398">
        <f>uitkomst_doelgroep[[#This Row],[Investering (cash flow) (€)]]*uitkomst_doelgroep[[#This Row],[Percentage van patiëntaantallen in Wlz (overige is Zvw)]]</f>
        <v>0</v>
      </c>
    </row>
    <row r="225" spans="1:22" x14ac:dyDescent="0.5">
      <c r="A225" s="33" t="str">
        <f>INDEX(Technologieën[Veld],MATCH(B225,Technologieën[Digitale zorgtoepassing],0))</f>
        <v>Software - Behandeling</v>
      </c>
      <c r="B225" s="33" t="s">
        <v>578</v>
      </c>
      <c r="C225" s="33" t="s">
        <v>577</v>
      </c>
      <c r="D225" s="427" cm="1">
        <f t="array" ref="D225">INDEX(Berekening_patiëntaantal[Percentage van patiëntaantallen in Wlz (overige is Zvw)],MATCH(B225,IF(Berekening_patiëntaantal[Doelgroep (zoeksleutel)]=C225,Berekening_patiëntaantal[Digitale zorgtoepassing]),0))</f>
        <v>0</v>
      </c>
      <c r="E225" s="33" t="str" cm="1">
        <f t="array" ref="E225">INDEX(Berekening_patiëntaantal[Direct toepasbaar/extrapolatie/incidentie voor QALY],MATCH(B225,IF(Berekening_patiëntaantal[Doelgroep (zoeksleutel)]=C225,Berekening_patiëntaantal[Digitale zorgtoepassing]),0))</f>
        <v>Huidige toepassing</v>
      </c>
      <c r="F225" s="43" t="s">
        <v>812</v>
      </c>
      <c r="G225" s="33" t="str">
        <f>CONCATENATE(uitkomst_doelgroep[[#This Row],[Digitale zorgtoepassing]],"_",uitkomst_doelgroep[[#This Row],[Doelgroep]],"_",uitkomst_doelgroep[[#This Row],[Uitgangssituatie/effect beleid]])</f>
        <v>Digitale exposure therapie_PTSS_Effect beleid</v>
      </c>
      <c r="H225" s="33">
        <v>2023</v>
      </c>
      <c r="I225" s="32">
        <v>1</v>
      </c>
      <c r="J225" s="406" cm="1">
        <f t="array" ref="J225">INDEX(implementatie[[2023]:[2034]],MATCH(G225, implementatie[Zoeksleutel],0),I225)</f>
        <v>0.2</v>
      </c>
      <c r="K225" s="406" cm="1">
        <f t="array" ref="K225">INDEX(implementatie[[2023]:[2034]],MATCH(G225,implementatie[Zoeksleutel],0),I225 + 1)</f>
        <v>0.26800000000000002</v>
      </c>
      <c r="L22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7200</v>
      </c>
      <c r="M225" s="398" cm="1">
        <f t="array" ref="M225">J225*INDEX(Berekening_impact[Totaal arbeidsbesparing (€/jaar)],MATCH(B225,IF(Berekening_impact[Doelgroep]=C225,Berekening_impact[Digitale zorgtoepassing]),0))</f>
        <v>2776236.455172414</v>
      </c>
      <c r="N225" s="397" cm="1">
        <f t="array" ref="N225">J225*INDEX(Berekening_impact[Totaal arbeidsbesparing (FTE/jaar)],MATCH(B225,IF(Berekening_impact[Doelgroep]=C225,Berekening_impact[Digitale zorgtoepassing]),0))</f>
        <v>33.085384615384612</v>
      </c>
      <c r="O225" s="398" cm="1">
        <f t="array" ref="O225">J225*INDEX(Berekening_impact[Overige kostenbesparing (totaal/jaar totaal potentieel)],MATCH(B225,IF(Berekening_impact[Doelgroep]=C225,Berekening_impact[Digitale zorgtoepassing]),0))</f>
        <v>0</v>
      </c>
      <c r="P225" s="398" cm="1">
        <f t="array" ref="P225">J225*INDEX(Berekening_impact[Opbrengsten door QALY''s],MATCH(B225,IF(Berekening_impact[Doelgroep]=C225,Berekening_impact[Digitale zorgtoepassing]),0))</f>
        <v>0</v>
      </c>
      <c r="Q225" s="398" cm="1">
        <f t="array" ref="Q225">J225*INDEX(Berekening_impact[Jaarlijkse kosten (totaal) - incl. schatting],MATCH(B225,IF(Berekening_impact[Doelgroep]=C225,Berekening_impact[Digitale zorgtoepassing]),0))</f>
        <v>1521573.4005066629</v>
      </c>
      <c r="R225" s="398" cm="1">
        <f t="array" ref="R225">(uitkomst_doelgroep[[#This Row],[Implementatiegraad t = T + 1]]-uitkomst_doelgroep[[#This Row],[Implementatiegraad t = T]])*INDEX(Berekening_impact[Initiële investering (totaal) - incl. schatting],MATCH(B225,IF(Berekening_impact[Doelgroep]=C225,Berekening_impact[Digitale zorgtoepassing]),0))</f>
        <v>0</v>
      </c>
      <c r="S225" s="398">
        <f>uitkomst_doelgroep[[#This Row],[Arbeidsbesparing (€)]]*uitkomst_doelgroep[[#This Row],[Percentage van patiëntaantallen in Wlz (overige is Zvw)]]</f>
        <v>0</v>
      </c>
      <c r="T225" s="398">
        <f>uitkomst_doelgroep[[#This Row],[Overige besparingen (€)]]*uitkomst_doelgroep[[#This Row],[Percentage van patiëntaantallen in Wlz (overige is Zvw)]]</f>
        <v>0</v>
      </c>
      <c r="U225" s="398">
        <f>uitkomst_doelgroep[[#This Row],[Kosten (€)]]*uitkomst_doelgroep[[#This Row],[Percentage van patiëntaantallen in Wlz (overige is Zvw)]]</f>
        <v>0</v>
      </c>
      <c r="V225" s="398">
        <f>uitkomst_doelgroep[[#This Row],[Investering (cash flow) (€)]]*uitkomst_doelgroep[[#This Row],[Percentage van patiëntaantallen in Wlz (overige is Zvw)]]</f>
        <v>0</v>
      </c>
    </row>
    <row r="226" spans="1:22" x14ac:dyDescent="0.5">
      <c r="A226" s="33" t="str">
        <f>INDEX(Technologieën[Veld],MATCH(B226,Technologieën[Digitale zorgtoepassing],0))</f>
        <v>Software - Behandeling</v>
      </c>
      <c r="B226" s="33" t="s">
        <v>578</v>
      </c>
      <c r="C226" s="33" t="s">
        <v>577</v>
      </c>
      <c r="D226" s="427" cm="1">
        <f t="array" ref="D226">INDEX(Berekening_patiëntaantal[Percentage van patiëntaantallen in Wlz (overige is Zvw)],MATCH(B226,IF(Berekening_patiëntaantal[Doelgroep (zoeksleutel)]=C226,Berekening_patiëntaantal[Digitale zorgtoepassing]),0))</f>
        <v>0</v>
      </c>
      <c r="E226" s="33" t="str" cm="1">
        <f t="array" ref="E226">INDEX(Berekening_patiëntaantal[Direct toepasbaar/extrapolatie/incidentie voor QALY],MATCH(B226,IF(Berekening_patiëntaantal[Doelgroep (zoeksleutel)]=C226,Berekening_patiëntaantal[Digitale zorgtoepassing]),0))</f>
        <v>Huidige toepassing</v>
      </c>
      <c r="F226" s="43" t="s">
        <v>812</v>
      </c>
      <c r="G226" s="33" t="str">
        <f>CONCATENATE(uitkomst_doelgroep[[#This Row],[Digitale zorgtoepassing]],"_",uitkomst_doelgroep[[#This Row],[Doelgroep]],"_",uitkomst_doelgroep[[#This Row],[Uitgangssituatie/effect beleid]])</f>
        <v>Digitale exposure therapie_PTSS_Effect beleid</v>
      </c>
      <c r="H226" s="33">
        <v>2024</v>
      </c>
      <c r="I226" s="32">
        <v>2</v>
      </c>
      <c r="J226" s="406" cm="1">
        <f t="array" ref="J226">INDEX(implementatie[[2023]:[2034]],MATCH(G226, implementatie[Zoeksleutel],0),I226)</f>
        <v>0.26800000000000002</v>
      </c>
      <c r="K226" s="406" cm="1">
        <f t="array" ref="K226">INDEX(implementatie[[2023]:[2034]],MATCH(G226,implementatie[Zoeksleutel],0),I226 + 1)</f>
        <v>0.3476416</v>
      </c>
      <c r="L22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9648</v>
      </c>
      <c r="M226" s="398" cm="1">
        <f t="array" ref="M226">J226*INDEX(Berekening_impact[Totaal arbeidsbesparing (€/jaar)],MATCH(B226,IF(Berekening_impact[Doelgroep]=C226,Berekening_impact[Digitale zorgtoepassing]),0))</f>
        <v>3720156.8499310347</v>
      </c>
      <c r="N226" s="397" cm="1">
        <f t="array" ref="N226">J226*INDEX(Berekening_impact[Totaal arbeidsbesparing (FTE/jaar)],MATCH(B226,IF(Berekening_impact[Doelgroep]=C226,Berekening_impact[Digitale zorgtoepassing]),0))</f>
        <v>44.334415384615383</v>
      </c>
      <c r="O226" s="398" cm="1">
        <f t="array" ref="O226">J226*INDEX(Berekening_impact[Overige kostenbesparing (totaal/jaar totaal potentieel)],MATCH(B226,IF(Berekening_impact[Doelgroep]=C226,Berekening_impact[Digitale zorgtoepassing]),0))</f>
        <v>0</v>
      </c>
      <c r="P226" s="398" cm="1">
        <f t="array" ref="P226">J226*INDEX(Berekening_impact[Opbrengsten door QALY''s],MATCH(B226,IF(Berekening_impact[Doelgroep]=C226,Berekening_impact[Digitale zorgtoepassing]),0))</f>
        <v>0</v>
      </c>
      <c r="Q226" s="398" cm="1">
        <f t="array" ref="Q226">J226*INDEX(Berekening_impact[Jaarlijkse kosten (totaal) - incl. schatting],MATCH(B226,IF(Berekening_impact[Doelgroep]=C226,Berekening_impact[Digitale zorgtoepassing]),0))</f>
        <v>2038908.3566789282</v>
      </c>
      <c r="R226" s="398" cm="1">
        <f t="array" ref="R226">(uitkomst_doelgroep[[#This Row],[Implementatiegraad t = T + 1]]-uitkomst_doelgroep[[#This Row],[Implementatiegraad t = T]])*INDEX(Berekening_impact[Initiële investering (totaal) - incl. schatting],MATCH(B226,IF(Berekening_impact[Doelgroep]=C226,Berekening_impact[Digitale zorgtoepassing]),0))</f>
        <v>0</v>
      </c>
      <c r="S226" s="398">
        <f>uitkomst_doelgroep[[#This Row],[Arbeidsbesparing (€)]]*uitkomst_doelgroep[[#This Row],[Percentage van patiëntaantallen in Wlz (overige is Zvw)]]</f>
        <v>0</v>
      </c>
      <c r="T226" s="398">
        <f>uitkomst_doelgroep[[#This Row],[Overige besparingen (€)]]*uitkomst_doelgroep[[#This Row],[Percentage van patiëntaantallen in Wlz (overige is Zvw)]]</f>
        <v>0</v>
      </c>
      <c r="U226" s="398">
        <f>uitkomst_doelgroep[[#This Row],[Kosten (€)]]*uitkomst_doelgroep[[#This Row],[Percentage van patiëntaantallen in Wlz (overige is Zvw)]]</f>
        <v>0</v>
      </c>
      <c r="V226" s="398">
        <f>uitkomst_doelgroep[[#This Row],[Investering (cash flow) (€)]]*uitkomst_doelgroep[[#This Row],[Percentage van patiëntaantallen in Wlz (overige is Zvw)]]</f>
        <v>0</v>
      </c>
    </row>
    <row r="227" spans="1:22" x14ac:dyDescent="0.5">
      <c r="A227" s="33" t="str">
        <f>INDEX(Technologieën[Veld],MATCH(B227,Technologieën[Digitale zorgtoepassing],0))</f>
        <v>Software - Behandeling</v>
      </c>
      <c r="B227" s="33" t="s">
        <v>578</v>
      </c>
      <c r="C227" s="33" t="s">
        <v>577</v>
      </c>
      <c r="D227" s="427" cm="1">
        <f t="array" ref="D227">INDEX(Berekening_patiëntaantal[Percentage van patiëntaantallen in Wlz (overige is Zvw)],MATCH(B227,IF(Berekening_patiëntaantal[Doelgroep (zoeksleutel)]=C227,Berekening_patiëntaantal[Digitale zorgtoepassing]),0))</f>
        <v>0</v>
      </c>
      <c r="E227" s="33" t="str" cm="1">
        <f t="array" ref="E227">INDEX(Berekening_patiëntaantal[Direct toepasbaar/extrapolatie/incidentie voor QALY],MATCH(B227,IF(Berekening_patiëntaantal[Doelgroep (zoeksleutel)]=C227,Berekening_patiëntaantal[Digitale zorgtoepassing]),0))</f>
        <v>Huidige toepassing</v>
      </c>
      <c r="F227" s="43" t="s">
        <v>812</v>
      </c>
      <c r="G227" s="33" t="str">
        <f>CONCATENATE(uitkomst_doelgroep[[#This Row],[Digitale zorgtoepassing]],"_",uitkomst_doelgroep[[#This Row],[Doelgroep]],"_",uitkomst_doelgroep[[#This Row],[Uitgangssituatie/effect beleid]])</f>
        <v>Digitale exposure therapie_PTSS_Effect beleid</v>
      </c>
      <c r="H227" s="33">
        <v>2025</v>
      </c>
      <c r="I227" s="32">
        <v>3</v>
      </c>
      <c r="J227" s="406" cm="1">
        <f t="array" ref="J227">INDEX(implementatie[[2023]:[2034]],MATCH(G227, implementatie[Zoeksleutel],0),I227)</f>
        <v>0.3476416</v>
      </c>
      <c r="K227" s="406" cm="1">
        <f t="array" ref="K227">INDEX(implementatie[[2023]:[2034]],MATCH(G227,implementatie[Zoeksleutel],0),I227 + 1)</f>
        <v>0.43680239728230397</v>
      </c>
      <c r="L22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12515.097599999999</v>
      </c>
      <c r="M227" s="398" cm="1">
        <f t="array" ref="M227">J227*INDEX(Berekening_impact[Totaal arbeidsbesparing (€/jaar)],MATCH(B227,IF(Berekening_impact[Doelgroep]=C227,Berekening_impact[Digitale zorgtoepassing]),0))</f>
        <v>4825676.416272331</v>
      </c>
      <c r="N227" s="397" cm="1">
        <f t="array" ref="N227">J227*INDEX(Berekening_impact[Totaal arbeidsbesparing (FTE/jaar)],MATCH(B227,IF(Berekening_impact[Doelgroep]=C227,Berekening_impact[Digitale zorgtoepassing]),0))</f>
        <v>57.509280221538454</v>
      </c>
      <c r="O227" s="398" cm="1">
        <f t="array" ref="O227">J227*INDEX(Berekening_impact[Overige kostenbesparing (totaal/jaar totaal potentieel)],MATCH(B227,IF(Berekening_impact[Doelgroep]=C227,Berekening_impact[Digitale zorgtoepassing]),0))</f>
        <v>0</v>
      </c>
      <c r="P227" s="398" cm="1">
        <f t="array" ref="P227">J227*INDEX(Berekening_impact[Opbrengsten door QALY''s],MATCH(B227,IF(Berekening_impact[Doelgroep]=C227,Berekening_impact[Digitale zorgtoepassing]),0))</f>
        <v>0</v>
      </c>
      <c r="Q227" s="398" cm="1">
        <f t="array" ref="Q227">J227*INDEX(Berekening_impact[Jaarlijkse kosten (totaal) - incl. schatting],MATCH(B227,IF(Berekening_impact[Doelgroep]=C227,Berekening_impact[Digitale zorgtoepassing]),0))</f>
        <v>2644811.0573478853</v>
      </c>
      <c r="R227" s="398" cm="1">
        <f t="array" ref="R227">(uitkomst_doelgroep[[#This Row],[Implementatiegraad t = T + 1]]-uitkomst_doelgroep[[#This Row],[Implementatiegraad t = T]])*INDEX(Berekening_impact[Initiële investering (totaal) - incl. schatting],MATCH(B227,IF(Berekening_impact[Doelgroep]=C227,Berekening_impact[Digitale zorgtoepassing]),0))</f>
        <v>0</v>
      </c>
      <c r="S227" s="398">
        <f>uitkomst_doelgroep[[#This Row],[Arbeidsbesparing (€)]]*uitkomst_doelgroep[[#This Row],[Percentage van patiëntaantallen in Wlz (overige is Zvw)]]</f>
        <v>0</v>
      </c>
      <c r="T227" s="398">
        <f>uitkomst_doelgroep[[#This Row],[Overige besparingen (€)]]*uitkomst_doelgroep[[#This Row],[Percentage van patiëntaantallen in Wlz (overige is Zvw)]]</f>
        <v>0</v>
      </c>
      <c r="U227" s="398">
        <f>uitkomst_doelgroep[[#This Row],[Kosten (€)]]*uitkomst_doelgroep[[#This Row],[Percentage van patiëntaantallen in Wlz (overige is Zvw)]]</f>
        <v>0</v>
      </c>
      <c r="V227" s="398">
        <f>uitkomst_doelgroep[[#This Row],[Investering (cash flow) (€)]]*uitkomst_doelgroep[[#This Row],[Percentage van patiëntaantallen in Wlz (overige is Zvw)]]</f>
        <v>0</v>
      </c>
    </row>
    <row r="228" spans="1:22" x14ac:dyDescent="0.5">
      <c r="A228" s="33" t="str">
        <f>INDEX(Technologieën[Veld],MATCH(B228,Technologieën[Digitale zorgtoepassing],0))</f>
        <v>Software - Behandeling</v>
      </c>
      <c r="B228" s="33" t="s">
        <v>578</v>
      </c>
      <c r="C228" s="33" t="s">
        <v>577</v>
      </c>
      <c r="D228" s="427" cm="1">
        <f t="array" ref="D228">INDEX(Berekening_patiëntaantal[Percentage van patiëntaantallen in Wlz (overige is Zvw)],MATCH(B228,IF(Berekening_patiëntaantal[Doelgroep (zoeksleutel)]=C228,Berekening_patiëntaantal[Digitale zorgtoepassing]),0))</f>
        <v>0</v>
      </c>
      <c r="E228" s="33" t="str" cm="1">
        <f t="array" ref="E228">INDEX(Berekening_patiëntaantal[Direct toepasbaar/extrapolatie/incidentie voor QALY],MATCH(B228,IF(Berekening_patiëntaantal[Doelgroep (zoeksleutel)]=C228,Berekening_patiëntaantal[Digitale zorgtoepassing]),0))</f>
        <v>Huidige toepassing</v>
      </c>
      <c r="F228" s="43" t="s">
        <v>812</v>
      </c>
      <c r="G228" s="33" t="str">
        <f>CONCATENATE(uitkomst_doelgroep[[#This Row],[Digitale zorgtoepassing]],"_",uitkomst_doelgroep[[#This Row],[Doelgroep]],"_",uitkomst_doelgroep[[#This Row],[Uitgangssituatie/effect beleid]])</f>
        <v>Digitale exposure therapie_PTSS_Effect beleid</v>
      </c>
      <c r="H228" s="33">
        <v>2026</v>
      </c>
      <c r="I228" s="32">
        <v>4</v>
      </c>
      <c r="J228" s="406" cm="1">
        <f t="array" ref="J228">INDEX(implementatie[[2023]:[2034]],MATCH(G228, implementatie[Zoeksleutel],0),I228)</f>
        <v>0.43680239728230397</v>
      </c>
      <c r="K228" s="406" cm="1">
        <f t="array" ref="K228">INDEX(implementatie[[2023]:[2034]],MATCH(G228,implementatie[Zoeksleutel],0),I228 + 1)</f>
        <v>0.53135248337682706</v>
      </c>
      <c r="L22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15724.886302162942</v>
      </c>
      <c r="M228" s="398" cm="1">
        <f t="array" ref="M228">J228*INDEX(Berekening_impact[Totaal arbeidsbesparing (€/jaar)],MATCH(B228,IF(Berekening_impact[Doelgroep]=C228,Berekening_impact[Digitale zorgtoepassing]),0))</f>
        <v>6063333.69520918</v>
      </c>
      <c r="N228" s="397" cm="1">
        <f t="array" ref="N228">J228*INDEX(Berekening_impact[Totaal arbeidsbesparing (FTE/jaar)],MATCH(B228,IF(Berekening_impact[Doelgroep]=C228,Berekening_impact[Digitale zorgtoepassing]),0))</f>
        <v>72.258876575035288</v>
      </c>
      <c r="O228" s="398" cm="1">
        <f t="array" ref="O228">J228*INDEX(Berekening_impact[Overige kostenbesparing (totaal/jaar totaal potentieel)],MATCH(B228,IF(Berekening_impact[Doelgroep]=C228,Berekening_impact[Digitale zorgtoepassing]),0))</f>
        <v>0</v>
      </c>
      <c r="P228" s="398" cm="1">
        <f t="array" ref="P228">J228*INDEX(Berekening_impact[Opbrengsten door QALY''s],MATCH(B228,IF(Berekening_impact[Doelgroep]=C228,Berekening_impact[Digitale zorgtoepassing]),0))</f>
        <v>0</v>
      </c>
      <c r="Q228" s="398" cm="1">
        <f t="array" ref="Q228">J228*INDEX(Berekening_impact[Jaarlijkse kosten (totaal) - incl. schatting],MATCH(B228,IF(Berekening_impact[Doelgroep]=C228,Berekening_impact[Digitale zorgtoepassing]),0))</f>
        <v>3323134.5449114875</v>
      </c>
      <c r="R228" s="398" cm="1">
        <f t="array" ref="R228">(uitkomst_doelgroep[[#This Row],[Implementatiegraad t = T + 1]]-uitkomst_doelgroep[[#This Row],[Implementatiegraad t = T]])*INDEX(Berekening_impact[Initiële investering (totaal) - incl. schatting],MATCH(B228,IF(Berekening_impact[Doelgroep]=C228,Berekening_impact[Digitale zorgtoepassing]),0))</f>
        <v>0</v>
      </c>
      <c r="S228" s="398">
        <f>uitkomst_doelgroep[[#This Row],[Arbeidsbesparing (€)]]*uitkomst_doelgroep[[#This Row],[Percentage van patiëntaantallen in Wlz (overige is Zvw)]]</f>
        <v>0</v>
      </c>
      <c r="T228" s="398">
        <f>uitkomst_doelgroep[[#This Row],[Overige besparingen (€)]]*uitkomst_doelgroep[[#This Row],[Percentage van patiëntaantallen in Wlz (overige is Zvw)]]</f>
        <v>0</v>
      </c>
      <c r="U228" s="398">
        <f>uitkomst_doelgroep[[#This Row],[Kosten (€)]]*uitkomst_doelgroep[[#This Row],[Percentage van patiëntaantallen in Wlz (overige is Zvw)]]</f>
        <v>0</v>
      </c>
      <c r="V228" s="398">
        <f>uitkomst_doelgroep[[#This Row],[Investering (cash flow) (€)]]*uitkomst_doelgroep[[#This Row],[Percentage van patiëntaantallen in Wlz (overige is Zvw)]]</f>
        <v>0</v>
      </c>
    </row>
    <row r="229" spans="1:22" x14ac:dyDescent="0.5">
      <c r="A229" s="33" t="str">
        <f>INDEX(Technologieën[Veld],MATCH(B229,Technologieën[Digitale zorgtoepassing],0))</f>
        <v>Software - Behandeling</v>
      </c>
      <c r="B229" s="33" t="s">
        <v>578</v>
      </c>
      <c r="C229" s="33" t="s">
        <v>577</v>
      </c>
      <c r="D229" s="427" cm="1">
        <f t="array" ref="D229">INDEX(Berekening_patiëntaantal[Percentage van patiëntaantallen in Wlz (overige is Zvw)],MATCH(B229,IF(Berekening_patiëntaantal[Doelgroep (zoeksleutel)]=C229,Berekening_patiëntaantal[Digitale zorgtoepassing]),0))</f>
        <v>0</v>
      </c>
      <c r="E229" s="33" t="str" cm="1">
        <f t="array" ref="E229">INDEX(Berekening_patiëntaantal[Direct toepasbaar/extrapolatie/incidentie voor QALY],MATCH(B229,IF(Berekening_patiëntaantal[Doelgroep (zoeksleutel)]=C229,Berekening_patiëntaantal[Digitale zorgtoepassing]),0))</f>
        <v>Huidige toepassing</v>
      </c>
      <c r="F229" s="43" t="s">
        <v>812</v>
      </c>
      <c r="G229" s="33" t="str">
        <f>CONCATENATE(uitkomst_doelgroep[[#This Row],[Digitale zorgtoepassing]],"_",uitkomst_doelgroep[[#This Row],[Doelgroep]],"_",uitkomst_doelgroep[[#This Row],[Uitgangssituatie/effect beleid]])</f>
        <v>Digitale exposure therapie_PTSS_Effect beleid</v>
      </c>
      <c r="H229" s="33">
        <v>2027</v>
      </c>
      <c r="I229" s="32">
        <v>5</v>
      </c>
      <c r="J229" s="406" cm="1">
        <f t="array" ref="J229">INDEX(implementatie[[2023]:[2034]],MATCH(G229, implementatie[Zoeksleutel],0),I229)</f>
        <v>0.53135248337682706</v>
      </c>
      <c r="K229" s="406" cm="1">
        <f t="array" ref="K229">INDEX(implementatie[[2023]:[2034]],MATCH(G229,implementatie[Zoeksleutel],0),I229 + 1)</f>
        <v>0.62553815375131172</v>
      </c>
      <c r="L22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19128.689401565774</v>
      </c>
      <c r="M229" s="398" cm="1">
        <f t="array" ref="M229">J229*INDEX(Berekening_impact[Totaal arbeidsbesparing (€/jaar)],MATCH(B229,IF(Berekening_impact[Doelgroep]=C229,Berekening_impact[Digitale zorgtoepassing]),0))</f>
        <v>7375800.6744857067</v>
      </c>
      <c r="N229" s="397" cm="1">
        <f t="array" ref="N229">J229*INDEX(Berekening_impact[Totaal arbeidsbesparing (FTE/jaar)],MATCH(B229,IF(Berekening_impact[Doelgroep]=C229,Berekening_impact[Digitale zorgtoepassing]),0))</f>
        <v>87.90000639431041</v>
      </c>
      <c r="O229" s="398" cm="1">
        <f t="array" ref="O229">J229*INDEX(Berekening_impact[Overige kostenbesparing (totaal/jaar totaal potentieel)],MATCH(B229,IF(Berekening_impact[Doelgroep]=C229,Berekening_impact[Digitale zorgtoepassing]),0))</f>
        <v>0</v>
      </c>
      <c r="P229" s="398" cm="1">
        <f t="array" ref="P229">J229*INDEX(Berekening_impact[Opbrengsten door QALY''s],MATCH(B229,IF(Berekening_impact[Doelgroep]=C229,Berekening_impact[Digitale zorgtoepassing]),0))</f>
        <v>0</v>
      </c>
      <c r="Q229" s="398" cm="1">
        <f t="array" ref="Q229">J229*INDEX(Berekening_impact[Jaarlijkse kosten (totaal) - incl. schatting],MATCH(B229,IF(Berekening_impact[Doelgroep]=C229,Berekening_impact[Digitale zorgtoepassing]),0))</f>
        <v>4042459.0249966937</v>
      </c>
      <c r="R229" s="398" cm="1">
        <f t="array" ref="R229">(uitkomst_doelgroep[[#This Row],[Implementatiegraad t = T + 1]]-uitkomst_doelgroep[[#This Row],[Implementatiegraad t = T]])*INDEX(Berekening_impact[Initiële investering (totaal) - incl. schatting],MATCH(B229,IF(Berekening_impact[Doelgroep]=C229,Berekening_impact[Digitale zorgtoepassing]),0))</f>
        <v>0</v>
      </c>
      <c r="S229" s="398">
        <f>uitkomst_doelgroep[[#This Row],[Arbeidsbesparing (€)]]*uitkomst_doelgroep[[#This Row],[Percentage van patiëntaantallen in Wlz (overige is Zvw)]]</f>
        <v>0</v>
      </c>
      <c r="T229" s="398">
        <f>uitkomst_doelgroep[[#This Row],[Overige besparingen (€)]]*uitkomst_doelgroep[[#This Row],[Percentage van patiëntaantallen in Wlz (overige is Zvw)]]</f>
        <v>0</v>
      </c>
      <c r="U229" s="398">
        <f>uitkomst_doelgroep[[#This Row],[Kosten (€)]]*uitkomst_doelgroep[[#This Row],[Percentage van patiëntaantallen in Wlz (overige is Zvw)]]</f>
        <v>0</v>
      </c>
      <c r="V229" s="398">
        <f>uitkomst_doelgroep[[#This Row],[Investering (cash flow) (€)]]*uitkomst_doelgroep[[#This Row],[Percentage van patiëntaantallen in Wlz (overige is Zvw)]]</f>
        <v>0</v>
      </c>
    </row>
    <row r="230" spans="1:22" x14ac:dyDescent="0.5">
      <c r="A230" s="33" t="str">
        <f>INDEX(Technologieën[Veld],MATCH(B230,Technologieën[Digitale zorgtoepassing],0))</f>
        <v>Software - Behandeling</v>
      </c>
      <c r="B230" s="33" t="s">
        <v>578</v>
      </c>
      <c r="C230" s="33" t="s">
        <v>577</v>
      </c>
      <c r="D230" s="427" cm="1">
        <f t="array" ref="D230">INDEX(Berekening_patiëntaantal[Percentage van patiëntaantallen in Wlz (overige is Zvw)],MATCH(B230,IF(Berekening_patiëntaantal[Doelgroep (zoeksleutel)]=C230,Berekening_patiëntaantal[Digitale zorgtoepassing]),0))</f>
        <v>0</v>
      </c>
      <c r="E230" s="33" t="str" cm="1">
        <f t="array" ref="E230">INDEX(Berekening_patiëntaantal[Direct toepasbaar/extrapolatie/incidentie voor QALY],MATCH(B230,IF(Berekening_patiëntaantal[Doelgroep (zoeksleutel)]=C230,Berekening_patiëntaantal[Digitale zorgtoepassing]),0))</f>
        <v>Huidige toepassing</v>
      </c>
      <c r="F230" s="43" t="s">
        <v>812</v>
      </c>
      <c r="G230" s="33" t="str">
        <f>CONCATENATE(uitkomst_doelgroep[[#This Row],[Digitale zorgtoepassing]],"_",uitkomst_doelgroep[[#This Row],[Doelgroep]],"_",uitkomst_doelgroep[[#This Row],[Uitgangssituatie/effect beleid]])</f>
        <v>Digitale exposure therapie_PTSS_Effect beleid</v>
      </c>
      <c r="H230" s="33">
        <v>2028</v>
      </c>
      <c r="I230" s="32">
        <v>6</v>
      </c>
      <c r="J230" s="406" cm="1">
        <f t="array" ref="J230">INDEX(implementatie[[2023]:[2034]],MATCH(G230, implementatie[Zoeksleutel],0),I230)</f>
        <v>0.62553815375131172</v>
      </c>
      <c r="K230" s="406" cm="1">
        <f t="array" ref="K230">INDEX(implementatie[[2023]:[2034]],MATCH(G230,implementatie[Zoeksleutel],0),I230 + 1)</f>
        <v>0.71313914162849124</v>
      </c>
      <c r="L23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22519.373535047223</v>
      </c>
      <c r="M230" s="398" cm="1">
        <f t="array" ref="M230">J230*INDEX(Berekening_impact[Totaal arbeidsbesparing (€/jaar)],MATCH(B230,IF(Berekening_impact[Doelgroep]=C230,Berekening_impact[Digitale zorgtoepassing]),0))</f>
        <v>8683209.1327281911</v>
      </c>
      <c r="N230" s="397" cm="1">
        <f t="array" ref="N230">J230*INDEX(Berekening_impact[Totaal arbeidsbesparing (FTE/jaar)],MATCH(B230,IF(Berekening_impact[Doelgroep]=C230,Berekening_impact[Digitale zorgtoepassing]),0))</f>
        <v>103.48085204229871</v>
      </c>
      <c r="O230" s="398" cm="1">
        <f t="array" ref="O230">J230*INDEX(Berekening_impact[Overige kostenbesparing (totaal/jaar totaal potentieel)],MATCH(B230,IF(Berekening_impact[Doelgroep]=C230,Berekening_impact[Digitale zorgtoepassing]),0))</f>
        <v>0</v>
      </c>
      <c r="P230" s="398" cm="1">
        <f t="array" ref="P230">J230*INDEX(Berekening_impact[Opbrengsten door QALY''s],MATCH(B230,IF(Berekening_impact[Doelgroep]=C230,Berekening_impact[Digitale zorgtoepassing]),0))</f>
        <v>0</v>
      </c>
      <c r="Q230" s="398" cm="1">
        <f t="array" ref="Q230">J230*INDEX(Berekening_impact[Jaarlijkse kosten (totaal) - incl. schatting],MATCH(B230,IF(Berekening_impact[Doelgroep]=C230,Berekening_impact[Digitale zorgtoepassing]),0))</f>
        <v>4759011.0787502155</v>
      </c>
      <c r="R230" s="398" cm="1">
        <f t="array" ref="R230">(uitkomst_doelgroep[[#This Row],[Implementatiegraad t = T + 1]]-uitkomst_doelgroep[[#This Row],[Implementatiegraad t = T]])*INDEX(Berekening_impact[Initiële investering (totaal) - incl. schatting],MATCH(B230,IF(Berekening_impact[Doelgroep]=C230,Berekening_impact[Digitale zorgtoepassing]),0))</f>
        <v>0</v>
      </c>
      <c r="S230" s="398">
        <f>uitkomst_doelgroep[[#This Row],[Arbeidsbesparing (€)]]*uitkomst_doelgroep[[#This Row],[Percentage van patiëntaantallen in Wlz (overige is Zvw)]]</f>
        <v>0</v>
      </c>
      <c r="T230" s="398">
        <f>uitkomst_doelgroep[[#This Row],[Overige besparingen (€)]]*uitkomst_doelgroep[[#This Row],[Percentage van patiëntaantallen in Wlz (overige is Zvw)]]</f>
        <v>0</v>
      </c>
      <c r="U230" s="398">
        <f>uitkomst_doelgroep[[#This Row],[Kosten (€)]]*uitkomst_doelgroep[[#This Row],[Percentage van patiëntaantallen in Wlz (overige is Zvw)]]</f>
        <v>0</v>
      </c>
      <c r="V230" s="398">
        <f>uitkomst_doelgroep[[#This Row],[Investering (cash flow) (€)]]*uitkomst_doelgroep[[#This Row],[Percentage van patiëntaantallen in Wlz (overige is Zvw)]]</f>
        <v>0</v>
      </c>
    </row>
    <row r="231" spans="1:22" x14ac:dyDescent="0.5">
      <c r="A231" s="33" t="str">
        <f>INDEX(Technologieën[Veld],MATCH(B231,Technologieën[Digitale zorgtoepassing],0))</f>
        <v>Software - Behandeling</v>
      </c>
      <c r="B231" s="33" t="s">
        <v>578</v>
      </c>
      <c r="C231" s="33" t="s">
        <v>577</v>
      </c>
      <c r="D231" s="427" cm="1">
        <f t="array" ref="D231">INDEX(Berekening_patiëntaantal[Percentage van patiëntaantallen in Wlz (overige is Zvw)],MATCH(B231,IF(Berekening_patiëntaantal[Doelgroep (zoeksleutel)]=C231,Berekening_patiëntaantal[Digitale zorgtoepassing]),0))</f>
        <v>0</v>
      </c>
      <c r="E231" s="33" t="str" cm="1">
        <f t="array" ref="E231">INDEX(Berekening_patiëntaantal[Direct toepasbaar/extrapolatie/incidentie voor QALY],MATCH(B231,IF(Berekening_patiëntaantal[Doelgroep (zoeksleutel)]=C231,Berekening_patiëntaantal[Digitale zorgtoepassing]),0))</f>
        <v>Huidige toepassing</v>
      </c>
      <c r="F231" s="43" t="s">
        <v>812</v>
      </c>
      <c r="G231" s="33" t="str">
        <f>CONCATENATE(uitkomst_doelgroep[[#This Row],[Digitale zorgtoepassing]],"_",uitkomst_doelgroep[[#This Row],[Doelgroep]],"_",uitkomst_doelgroep[[#This Row],[Uitgangssituatie/effect beleid]])</f>
        <v>Digitale exposure therapie_PTSS_Effect beleid</v>
      </c>
      <c r="H231" s="33">
        <v>2029</v>
      </c>
      <c r="I231" s="32">
        <v>7</v>
      </c>
      <c r="J231" s="406" cm="1">
        <f t="array" ref="J231">INDEX(implementatie[[2023]:[2034]],MATCH(G231, implementatie[Zoeksleutel],0),I231)</f>
        <v>0.71313914162849124</v>
      </c>
      <c r="K231" s="406" cm="1">
        <f t="array" ref="K231">INDEX(implementatie[[2023]:[2034]],MATCH(G231,implementatie[Zoeksleutel],0),I231 + 1)</f>
        <v>0.78904215171111836</v>
      </c>
      <c r="L23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25673.009098625684</v>
      </c>
      <c r="M231" s="398" cm="1">
        <f t="array" ref="M231">J231*INDEX(Berekening_impact[Totaal arbeidsbesparing (€/jaar)],MATCH(B231,IF(Berekening_impact[Doelgroep]=C231,Berekening_impact[Digitale zorgtoepassing]),0))</f>
        <v>9899214.4129969031</v>
      </c>
      <c r="N231" s="397" cm="1">
        <f t="array" ref="N231">J231*INDEX(Berekening_impact[Totaal arbeidsbesparing (FTE/jaar)],MATCH(B231,IF(Berekening_impact[Doelgroep]=C231,Berekening_impact[Digitale zorgtoepassing]),0))</f>
        <v>117.97241392531936</v>
      </c>
      <c r="O231" s="398" cm="1">
        <f t="array" ref="O231">J231*INDEX(Berekening_impact[Overige kostenbesparing (totaal/jaar totaal potentieel)],MATCH(B231,IF(Berekening_impact[Doelgroep]=C231,Berekening_impact[Digitale zorgtoepassing]),0))</f>
        <v>0</v>
      </c>
      <c r="P231" s="398" cm="1">
        <f t="array" ref="P231">J231*INDEX(Berekening_impact[Opbrengsten door QALY''s],MATCH(B231,IF(Berekening_impact[Doelgroep]=C231,Berekening_impact[Digitale zorgtoepassing]),0))</f>
        <v>0</v>
      </c>
      <c r="Q231" s="398" cm="1">
        <f t="array" ref="Q231">J231*INDEX(Berekening_impact[Jaarlijkse kosten (totaal) - incl. schatting],MATCH(B231,IF(Berekening_impact[Doelgroep]=C231,Berekening_impact[Digitale zorgtoepassing]),0))</f>
        <v>5425467.7438103296</v>
      </c>
      <c r="R231" s="398" cm="1">
        <f t="array" ref="R231">(uitkomst_doelgroep[[#This Row],[Implementatiegraad t = T + 1]]-uitkomst_doelgroep[[#This Row],[Implementatiegraad t = T]])*INDEX(Berekening_impact[Initiële investering (totaal) - incl. schatting],MATCH(B231,IF(Berekening_impact[Doelgroep]=C231,Berekening_impact[Digitale zorgtoepassing]),0))</f>
        <v>0</v>
      </c>
      <c r="S231" s="398">
        <f>uitkomst_doelgroep[[#This Row],[Arbeidsbesparing (€)]]*uitkomst_doelgroep[[#This Row],[Percentage van patiëntaantallen in Wlz (overige is Zvw)]]</f>
        <v>0</v>
      </c>
      <c r="T231" s="398">
        <f>uitkomst_doelgroep[[#This Row],[Overige besparingen (€)]]*uitkomst_doelgroep[[#This Row],[Percentage van patiëntaantallen in Wlz (overige is Zvw)]]</f>
        <v>0</v>
      </c>
      <c r="U231" s="398">
        <f>uitkomst_doelgroep[[#This Row],[Kosten (€)]]*uitkomst_doelgroep[[#This Row],[Percentage van patiëntaantallen in Wlz (overige is Zvw)]]</f>
        <v>0</v>
      </c>
      <c r="V231" s="398">
        <f>uitkomst_doelgroep[[#This Row],[Investering (cash flow) (€)]]*uitkomst_doelgroep[[#This Row],[Percentage van patiëntaantallen in Wlz (overige is Zvw)]]</f>
        <v>0</v>
      </c>
    </row>
    <row r="232" spans="1:22" x14ac:dyDescent="0.5">
      <c r="A232" s="33" t="str">
        <f>INDEX(Technologieën[Veld],MATCH(B232,Technologieën[Digitale zorgtoepassing],0))</f>
        <v>Software - Behandeling</v>
      </c>
      <c r="B232" s="33" t="s">
        <v>578</v>
      </c>
      <c r="C232" s="33" t="s">
        <v>577</v>
      </c>
      <c r="D232" s="427" cm="1">
        <f t="array" ref="D232">INDEX(Berekening_patiëntaantal[Percentage van patiëntaantallen in Wlz (overige is Zvw)],MATCH(B232,IF(Berekening_patiëntaantal[Doelgroep (zoeksleutel)]=C232,Berekening_patiëntaantal[Digitale zorgtoepassing]),0))</f>
        <v>0</v>
      </c>
      <c r="E232" s="33" t="str" cm="1">
        <f t="array" ref="E232">INDEX(Berekening_patiëntaantal[Direct toepasbaar/extrapolatie/incidentie voor QALY],MATCH(B232,IF(Berekening_patiëntaantal[Doelgroep (zoeksleutel)]=C232,Berekening_patiëntaantal[Digitale zorgtoepassing]),0))</f>
        <v>Huidige toepassing</v>
      </c>
      <c r="F232" s="43" t="s">
        <v>812</v>
      </c>
      <c r="G232" s="33" t="str">
        <f>CONCATENATE(uitkomst_doelgroep[[#This Row],[Digitale zorgtoepassing]],"_",uitkomst_doelgroep[[#This Row],[Doelgroep]],"_",uitkomst_doelgroep[[#This Row],[Uitgangssituatie/effect beleid]])</f>
        <v>Digitale exposure therapie_PTSS_Effect beleid</v>
      </c>
      <c r="H232" s="33">
        <v>2030</v>
      </c>
      <c r="I232" s="32">
        <v>8</v>
      </c>
      <c r="J232" s="406" cm="1">
        <f t="array" ref="J232">INDEX(implementatie[[2023]:[2034]],MATCH(G232, implementatie[Zoeksleutel],0),I232)</f>
        <v>0.78904215171111836</v>
      </c>
      <c r="K232" s="406" cm="1">
        <f t="array" ref="K232">INDEX(implementatie[[2023]:[2034]],MATCH(G232,implementatie[Zoeksleutel],0),I232 + 1)</f>
        <v>0.85046564152242399</v>
      </c>
      <c r="L23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28405.517461600262</v>
      </c>
      <c r="M232" s="398" cm="1">
        <f t="array" ref="M232">J232*INDEX(Berekening_impact[Totaal arbeidsbesparing (€/jaar)],MATCH(B232,IF(Berekening_impact[Doelgroep]=C232,Berekening_impact[Digitale zorgtoepassing]),0))</f>
        <v>10952837.931240447</v>
      </c>
      <c r="N232" s="397" cm="1">
        <f t="array" ref="N232">J232*INDEX(Berekening_impact[Totaal arbeidsbesparing (FTE/jaar)],MATCH(B232,IF(Berekening_impact[Doelgroep]=C232,Berekening_impact[Digitale zorgtoepassing]),0))</f>
        <v>130.52881533556504</v>
      </c>
      <c r="O232" s="398" cm="1">
        <f t="array" ref="O232">J232*INDEX(Berekening_impact[Overige kostenbesparing (totaal/jaar totaal potentieel)],MATCH(B232,IF(Berekening_impact[Doelgroep]=C232,Berekening_impact[Digitale zorgtoepassing]),0))</f>
        <v>0</v>
      </c>
      <c r="P232" s="398" cm="1">
        <f t="array" ref="P232">J232*INDEX(Berekening_impact[Opbrengsten door QALY''s],MATCH(B232,IF(Berekening_impact[Doelgroep]=C232,Berekening_impact[Digitale zorgtoepassing]),0))</f>
        <v>0</v>
      </c>
      <c r="Q232" s="398" cm="1">
        <f t="array" ref="Q232">J232*INDEX(Berekening_impact[Jaarlijkse kosten (totaal) - incl. schatting],MATCH(B232,IF(Berekening_impact[Doelgroep]=C232,Berekening_impact[Digitale zorgtoepassing]),0))</f>
        <v>6002927.7496109018</v>
      </c>
      <c r="R232" s="398" cm="1">
        <f t="array" ref="R232">(uitkomst_doelgroep[[#This Row],[Implementatiegraad t = T + 1]]-uitkomst_doelgroep[[#This Row],[Implementatiegraad t = T]])*INDEX(Berekening_impact[Initiële investering (totaal) - incl. schatting],MATCH(B232,IF(Berekening_impact[Doelgroep]=C232,Berekening_impact[Digitale zorgtoepassing]),0))</f>
        <v>0</v>
      </c>
      <c r="S232" s="398">
        <f>uitkomst_doelgroep[[#This Row],[Arbeidsbesparing (€)]]*uitkomst_doelgroep[[#This Row],[Percentage van patiëntaantallen in Wlz (overige is Zvw)]]</f>
        <v>0</v>
      </c>
      <c r="T232" s="398">
        <f>uitkomst_doelgroep[[#This Row],[Overige besparingen (€)]]*uitkomst_doelgroep[[#This Row],[Percentage van patiëntaantallen in Wlz (overige is Zvw)]]</f>
        <v>0</v>
      </c>
      <c r="U232" s="398">
        <f>uitkomst_doelgroep[[#This Row],[Kosten (€)]]*uitkomst_doelgroep[[#This Row],[Percentage van patiëntaantallen in Wlz (overige is Zvw)]]</f>
        <v>0</v>
      </c>
      <c r="V232" s="398">
        <f>uitkomst_doelgroep[[#This Row],[Investering (cash flow) (€)]]*uitkomst_doelgroep[[#This Row],[Percentage van patiëntaantallen in Wlz (overige is Zvw)]]</f>
        <v>0</v>
      </c>
    </row>
    <row r="233" spans="1:22" x14ac:dyDescent="0.5">
      <c r="A233" s="33" t="str">
        <f>INDEX(Technologieën[Veld],MATCH(B233,Technologieën[Digitale zorgtoepassing],0))</f>
        <v>Software - Behandeling</v>
      </c>
      <c r="B233" s="33" t="s">
        <v>578</v>
      </c>
      <c r="C233" s="33" t="s">
        <v>577</v>
      </c>
      <c r="D233" s="427" cm="1">
        <f t="array" ref="D233">INDEX(Berekening_patiëntaantal[Percentage van patiëntaantallen in Wlz (overige is Zvw)],MATCH(B233,IF(Berekening_patiëntaantal[Doelgroep (zoeksleutel)]=C233,Berekening_patiëntaantal[Digitale zorgtoepassing]),0))</f>
        <v>0</v>
      </c>
      <c r="E233" s="33" t="str" cm="1">
        <f t="array" ref="E233">INDEX(Berekening_patiëntaantal[Direct toepasbaar/extrapolatie/incidentie voor QALY],MATCH(B233,IF(Berekening_patiëntaantal[Doelgroep (zoeksleutel)]=C233,Berekening_patiëntaantal[Digitale zorgtoepassing]),0))</f>
        <v>Huidige toepassing</v>
      </c>
      <c r="F233" s="43" t="s">
        <v>812</v>
      </c>
      <c r="G233" s="33" t="str">
        <f>CONCATENATE(uitkomst_doelgroep[[#This Row],[Digitale zorgtoepassing]],"_",uitkomst_doelgroep[[#This Row],[Doelgroep]],"_",uitkomst_doelgroep[[#This Row],[Uitgangssituatie/effect beleid]])</f>
        <v>Digitale exposure therapie_PTSS_Effect beleid</v>
      </c>
      <c r="H233" s="33">
        <v>2031</v>
      </c>
      <c r="I233" s="32">
        <v>9</v>
      </c>
      <c r="J233" s="406" cm="1">
        <f t="array" ref="J233">INDEX(implementatie[[2023]:[2034]],MATCH(G233, implementatie[Zoeksleutel],0),I233)</f>
        <v>0.85046564152242399</v>
      </c>
      <c r="K233" s="406" cm="1">
        <f t="array" ref="K233">INDEX(implementatie[[2023]:[2034]],MATCH(G233,implementatie[Zoeksleutel],0),I233 + 1)</f>
        <v>0.89721949883888419</v>
      </c>
      <c r="L23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30616.763094807262</v>
      </c>
      <c r="M233" s="398" cm="1">
        <f t="array" ref="M233">J233*INDEX(Berekening_impact[Totaal arbeidsbesparing (€/jaar)],MATCH(B233,IF(Berekening_impact[Doelgroep]=C233,Berekening_impact[Digitale zorgtoepassing]),0))</f>
        <v>11805468.589330737</v>
      </c>
      <c r="N233" s="397" cm="1">
        <f t="array" ref="N233">J233*INDEX(Berekening_impact[Totaal arbeidsbesparing (FTE/jaar)],MATCH(B233,IF(Berekening_impact[Doelgroep]=C233,Berekening_impact[Digitale zorgtoepassing]),0))</f>
        <v>140.68991425969605</v>
      </c>
      <c r="O233" s="398" cm="1">
        <f t="array" ref="O233">J233*INDEX(Berekening_impact[Overige kostenbesparing (totaal/jaar totaal potentieel)],MATCH(B233,IF(Berekening_impact[Doelgroep]=C233,Berekening_impact[Digitale zorgtoepassing]),0))</f>
        <v>0</v>
      </c>
      <c r="P233" s="398" cm="1">
        <f t="array" ref="P233">J233*INDEX(Berekening_impact[Opbrengsten door QALY''s],MATCH(B233,IF(Berekening_impact[Doelgroep]=C233,Berekening_impact[Digitale zorgtoepassing]),0))</f>
        <v>0</v>
      </c>
      <c r="Q233" s="398" cm="1">
        <f t="array" ref="Q233">J233*INDEX(Berekening_impact[Jaarlijkse kosten (totaal) - incl. schatting],MATCH(B233,IF(Berekening_impact[Doelgroep]=C233,Berekening_impact[Digitale zorgtoepassing]),0))</f>
        <v>6470229.4909267752</v>
      </c>
      <c r="R233" s="398" cm="1">
        <f t="array" ref="R233">(uitkomst_doelgroep[[#This Row],[Implementatiegraad t = T + 1]]-uitkomst_doelgroep[[#This Row],[Implementatiegraad t = T]])*INDEX(Berekening_impact[Initiële investering (totaal) - incl. schatting],MATCH(B233,IF(Berekening_impact[Doelgroep]=C233,Berekening_impact[Digitale zorgtoepassing]),0))</f>
        <v>0</v>
      </c>
      <c r="S233" s="398">
        <f>uitkomst_doelgroep[[#This Row],[Arbeidsbesparing (€)]]*uitkomst_doelgroep[[#This Row],[Percentage van patiëntaantallen in Wlz (overige is Zvw)]]</f>
        <v>0</v>
      </c>
      <c r="T233" s="398">
        <f>uitkomst_doelgroep[[#This Row],[Overige besparingen (€)]]*uitkomst_doelgroep[[#This Row],[Percentage van patiëntaantallen in Wlz (overige is Zvw)]]</f>
        <v>0</v>
      </c>
      <c r="U233" s="398">
        <f>uitkomst_doelgroep[[#This Row],[Kosten (€)]]*uitkomst_doelgroep[[#This Row],[Percentage van patiëntaantallen in Wlz (overige is Zvw)]]</f>
        <v>0</v>
      </c>
      <c r="V233" s="398">
        <f>uitkomst_doelgroep[[#This Row],[Investering (cash flow) (€)]]*uitkomst_doelgroep[[#This Row],[Percentage van patiëntaantallen in Wlz (overige is Zvw)]]</f>
        <v>0</v>
      </c>
    </row>
    <row r="234" spans="1:22" x14ac:dyDescent="0.5">
      <c r="A234" s="33" t="str">
        <f>INDEX(Technologieën[Veld],MATCH(B234,Technologieën[Digitale zorgtoepassing],0))</f>
        <v>Software - Behandeling</v>
      </c>
      <c r="B234" s="33" t="s">
        <v>578</v>
      </c>
      <c r="C234" s="33" t="s">
        <v>577</v>
      </c>
      <c r="D234" s="427" cm="1">
        <f t="array" ref="D234">INDEX(Berekening_patiëntaantal[Percentage van patiëntaantallen in Wlz (overige is Zvw)],MATCH(B234,IF(Berekening_patiëntaantal[Doelgroep (zoeksleutel)]=C234,Berekening_patiëntaantal[Digitale zorgtoepassing]),0))</f>
        <v>0</v>
      </c>
      <c r="E234" s="33" t="str" cm="1">
        <f t="array" ref="E234">INDEX(Berekening_patiëntaantal[Direct toepasbaar/extrapolatie/incidentie voor QALY],MATCH(B234,IF(Berekening_patiëntaantal[Doelgroep (zoeksleutel)]=C234,Berekening_patiëntaantal[Digitale zorgtoepassing]),0))</f>
        <v>Huidige toepassing</v>
      </c>
      <c r="F234" s="43" t="s">
        <v>812</v>
      </c>
      <c r="G234" s="33" t="str">
        <f>CONCATENATE(uitkomst_doelgroep[[#This Row],[Digitale zorgtoepassing]],"_",uitkomst_doelgroep[[#This Row],[Doelgroep]],"_",uitkomst_doelgroep[[#This Row],[Uitgangssituatie/effect beleid]])</f>
        <v>Digitale exposure therapie_PTSS_Effect beleid</v>
      </c>
      <c r="H234" s="33">
        <v>2032</v>
      </c>
      <c r="I234" s="32">
        <v>10</v>
      </c>
      <c r="J234" s="406" cm="1">
        <f t="array" ref="J234">INDEX(implementatie[[2023]:[2034]],MATCH(G234, implementatie[Zoeksleutel],0),I234)</f>
        <v>0.89721949883888419</v>
      </c>
      <c r="K234" s="406" cm="1">
        <f t="array" ref="K234">INDEX(implementatie[[2023]:[2034]],MATCH(G234,implementatie[Zoeksleutel],0),I234 + 1)</f>
        <v>0.93103704076606597</v>
      </c>
      <c r="L23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32299.901958199829</v>
      </c>
      <c r="M234" s="398" cm="1">
        <f t="array" ref="M234">J234*INDEX(Berekening_impact[Totaal arbeidsbesparing (€/jaar)],MATCH(B234,IF(Berekening_impact[Doelgroep]=C234,Berekening_impact[Digitale zorgtoepassing]),0))</f>
        <v>12454467.404840168</v>
      </c>
      <c r="N234" s="397" cm="1">
        <f t="array" ref="N234">J234*INDEX(Berekening_impact[Totaal arbeidsbesparing (FTE/jaar)],MATCH(B234,IF(Berekening_impact[Doelgroep]=C234,Berekening_impact[Digitale zorgtoepassing]),0))</f>
        <v>148.42426101753554</v>
      </c>
      <c r="O234" s="398" cm="1">
        <f t="array" ref="O234">J234*INDEX(Berekening_impact[Overige kostenbesparing (totaal/jaar totaal potentieel)],MATCH(B234,IF(Berekening_impact[Doelgroep]=C234,Berekening_impact[Digitale zorgtoepassing]),0))</f>
        <v>0</v>
      </c>
      <c r="P234" s="398" cm="1">
        <f t="array" ref="P234">J234*INDEX(Berekening_impact[Opbrengsten door QALY''s],MATCH(B234,IF(Berekening_impact[Doelgroep]=C234,Berekening_impact[Digitale zorgtoepassing]),0))</f>
        <v>0</v>
      </c>
      <c r="Q234" s="398" cm="1">
        <f t="array" ref="Q234">J234*INDEX(Berekening_impact[Jaarlijkse kosten (totaal) - incl. schatting],MATCH(B234,IF(Berekening_impact[Doelgroep]=C234,Berekening_impact[Digitale zorgtoepassing]),0))</f>
        <v>6825926.6192458235</v>
      </c>
      <c r="R234" s="398" cm="1">
        <f t="array" ref="R234">(uitkomst_doelgroep[[#This Row],[Implementatiegraad t = T + 1]]-uitkomst_doelgroep[[#This Row],[Implementatiegraad t = T]])*INDEX(Berekening_impact[Initiële investering (totaal) - incl. schatting],MATCH(B234,IF(Berekening_impact[Doelgroep]=C234,Berekening_impact[Digitale zorgtoepassing]),0))</f>
        <v>0</v>
      </c>
      <c r="S234" s="398">
        <f>uitkomst_doelgroep[[#This Row],[Arbeidsbesparing (€)]]*uitkomst_doelgroep[[#This Row],[Percentage van patiëntaantallen in Wlz (overige is Zvw)]]</f>
        <v>0</v>
      </c>
      <c r="T234" s="398">
        <f>uitkomst_doelgroep[[#This Row],[Overige besparingen (€)]]*uitkomst_doelgroep[[#This Row],[Percentage van patiëntaantallen in Wlz (overige is Zvw)]]</f>
        <v>0</v>
      </c>
      <c r="U234" s="398">
        <f>uitkomst_doelgroep[[#This Row],[Kosten (€)]]*uitkomst_doelgroep[[#This Row],[Percentage van patiëntaantallen in Wlz (overige is Zvw)]]</f>
        <v>0</v>
      </c>
      <c r="V234" s="398">
        <f>uitkomst_doelgroep[[#This Row],[Investering (cash flow) (€)]]*uitkomst_doelgroep[[#This Row],[Percentage van patiëntaantallen in Wlz (overige is Zvw)]]</f>
        <v>0</v>
      </c>
    </row>
    <row r="235" spans="1:22" x14ac:dyDescent="0.5">
      <c r="A235" s="33" t="str">
        <f>INDEX(Technologieën[Veld],MATCH(B235,Technologieën[Digitale zorgtoepassing],0))</f>
        <v>Software - Behandeling</v>
      </c>
      <c r="B235" s="33" t="s">
        <v>578</v>
      </c>
      <c r="C235" s="33" t="s">
        <v>577</v>
      </c>
      <c r="D235" s="427" cm="1">
        <f t="array" ref="D235">INDEX(Berekening_patiëntaantal[Percentage van patiëntaantallen in Wlz (overige is Zvw)],MATCH(B235,IF(Berekening_patiëntaantal[Doelgroep (zoeksleutel)]=C235,Berekening_patiëntaantal[Digitale zorgtoepassing]),0))</f>
        <v>0</v>
      </c>
      <c r="E235" s="33" t="str" cm="1">
        <f t="array" ref="E235">INDEX(Berekening_patiëntaantal[Direct toepasbaar/extrapolatie/incidentie voor QALY],MATCH(B235,IF(Berekening_patiëntaantal[Doelgroep (zoeksleutel)]=C235,Berekening_patiëntaantal[Digitale zorgtoepassing]),0))</f>
        <v>Huidige toepassing</v>
      </c>
      <c r="F235" s="43" t="s">
        <v>812</v>
      </c>
      <c r="G235" s="33" t="str">
        <f>CONCATENATE(uitkomst_doelgroep[[#This Row],[Digitale zorgtoepassing]],"_",uitkomst_doelgroep[[#This Row],[Doelgroep]],"_",uitkomst_doelgroep[[#This Row],[Uitgangssituatie/effect beleid]])</f>
        <v>Digitale exposure therapie_PTSS_Effect beleid</v>
      </c>
      <c r="H235" s="33">
        <v>2033</v>
      </c>
      <c r="I235" s="32">
        <v>11</v>
      </c>
      <c r="J235" s="406" cm="1">
        <f t="array" ref="J235">INDEX(implementatie[[2023]:[2034]],MATCH(G235, implementatie[Zoeksleutel],0),I235)</f>
        <v>0.93103704076606597</v>
      </c>
      <c r="K235" s="406" cm="1">
        <f t="array" ref="K235">INDEX(implementatie[[2023]:[2034]],MATCH(G235,implementatie[Zoeksleutel],0),I235 + 1)</f>
        <v>0.9545439594752464</v>
      </c>
      <c r="L23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33517.333467578377</v>
      </c>
      <c r="M235" s="398" cm="1">
        <f t="array" ref="M235">J235*INDEX(Berekening_impact[Totaal arbeidsbesparing (€/jaar)],MATCH(B235,IF(Berekening_impact[Doelgroep]=C235,Berekening_impact[Digitale zorgtoepassing]),0))</f>
        <v>12923894.868452987</v>
      </c>
      <c r="N235" s="397" cm="1">
        <f t="array" ref="N235">J235*INDEX(Berekening_impact[Totaal arbeidsbesparing (FTE/jaar)],MATCH(B235,IF(Berekening_impact[Doelgroep]=C235,Berekening_impact[Digitale zorgtoepassing]),0))</f>
        <v>154.01859292457408</v>
      </c>
      <c r="O235" s="398" cm="1">
        <f t="array" ref="O235">J235*INDEX(Berekening_impact[Overige kostenbesparing (totaal/jaar totaal potentieel)],MATCH(B235,IF(Berekening_impact[Doelgroep]=C235,Berekening_impact[Digitale zorgtoepassing]),0))</f>
        <v>0</v>
      </c>
      <c r="P235" s="398" cm="1">
        <f t="array" ref="P235">J235*INDEX(Berekening_impact[Opbrengsten door QALY''s],MATCH(B235,IF(Berekening_impact[Doelgroep]=C235,Berekening_impact[Digitale zorgtoepassing]),0))</f>
        <v>0</v>
      </c>
      <c r="Q235" s="398" cm="1">
        <f t="array" ref="Q235">J235*INDEX(Berekening_impact[Jaarlijkse kosten (totaal) - incl. schatting],MATCH(B235,IF(Berekening_impact[Doelgroep]=C235,Berekening_impact[Digitale zorgtoepassing]),0))</f>
        <v>7083205.9805804174</v>
      </c>
      <c r="R235" s="398" cm="1">
        <f t="array" ref="R235">(uitkomst_doelgroep[[#This Row],[Implementatiegraad t = T + 1]]-uitkomst_doelgroep[[#This Row],[Implementatiegraad t = T]])*INDEX(Berekening_impact[Initiële investering (totaal) - incl. schatting],MATCH(B235,IF(Berekening_impact[Doelgroep]=C235,Berekening_impact[Digitale zorgtoepassing]),0))</f>
        <v>0</v>
      </c>
      <c r="S235" s="398">
        <f>uitkomst_doelgroep[[#This Row],[Arbeidsbesparing (€)]]*uitkomst_doelgroep[[#This Row],[Percentage van patiëntaantallen in Wlz (overige is Zvw)]]</f>
        <v>0</v>
      </c>
      <c r="T235" s="398">
        <f>uitkomst_doelgroep[[#This Row],[Overige besparingen (€)]]*uitkomst_doelgroep[[#This Row],[Percentage van patiëntaantallen in Wlz (overige is Zvw)]]</f>
        <v>0</v>
      </c>
      <c r="U235" s="398">
        <f>uitkomst_doelgroep[[#This Row],[Kosten (€)]]*uitkomst_doelgroep[[#This Row],[Percentage van patiëntaantallen in Wlz (overige is Zvw)]]</f>
        <v>0</v>
      </c>
      <c r="V235" s="398">
        <f>uitkomst_doelgroep[[#This Row],[Investering (cash flow) (€)]]*uitkomst_doelgroep[[#This Row],[Percentage van patiëntaantallen in Wlz (overige is Zvw)]]</f>
        <v>0</v>
      </c>
    </row>
    <row r="236" spans="1:22" x14ac:dyDescent="0.5">
      <c r="A236" s="33" t="str">
        <f>INDEX(Technologieën[Veld],MATCH(B236,Technologieën[Digitale zorgtoepassing],0))</f>
        <v>Software - Diagnose</v>
      </c>
      <c r="B236" s="33" t="s">
        <v>139</v>
      </c>
      <c r="C236" s="33" t="s">
        <v>106</v>
      </c>
      <c r="D236" s="427" cm="1">
        <f t="array" ref="D236">INDEX(Berekening_patiëntaantal[Percentage van patiëntaantallen in Wlz (overige is Zvw)],MATCH(B236,IF(Berekening_patiëntaantal[Doelgroep (zoeksleutel)]=C236,Berekening_patiëntaantal[Digitale zorgtoepassing]),0))</f>
        <v>0</v>
      </c>
      <c r="E236" s="33" t="str" cm="1">
        <f t="array" ref="E236">INDEX(Berekening_patiëntaantal[Direct toepasbaar/extrapolatie/incidentie voor QALY],MATCH(B236,IF(Berekening_patiëntaantal[Doelgroep (zoeksleutel)]=C236,Berekening_patiëntaantal[Digitale zorgtoepassing]),0))</f>
        <v>Huidige toepassing</v>
      </c>
      <c r="F236" s="43" t="s">
        <v>812</v>
      </c>
      <c r="G236" s="33" t="str">
        <f>CONCATENATE(uitkomst_doelgroep[[#This Row],[Digitale zorgtoepassing]],"_",uitkomst_doelgroep[[#This Row],[Doelgroep]],"_",uitkomst_doelgroep[[#This Row],[Uitgangssituatie/effect beleid]])</f>
        <v>Digitale pathologie_NVT_Effect beleid</v>
      </c>
      <c r="H236" s="33">
        <v>2023</v>
      </c>
      <c r="I236" s="32">
        <v>1</v>
      </c>
      <c r="J236" s="406" cm="1">
        <f t="array" ref="J236">INDEX(implementatie[[2023]:[2034]],MATCH(G236, implementatie[Zoeksleutel],0),I236)</f>
        <v>0.8</v>
      </c>
      <c r="K236" s="406" cm="1">
        <f t="array" ref="K236">INDEX(implementatie[[2023]:[2034]],MATCH(G236,implementatie[Zoeksleutel],0),I236 + 1)</f>
        <v>0.877</v>
      </c>
      <c r="L23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799999.20000000007</v>
      </c>
      <c r="M236" s="398" cm="1">
        <f t="array" ref="M236">J236*INDEX(Berekening_impact[Totaal arbeidsbesparing (€/jaar)],MATCH(B236,IF(Berekening_impact[Doelgroep]=C236,Berekening_impact[Digitale zorgtoepassing]),0))</f>
        <v>9409413.7232183926</v>
      </c>
      <c r="N236" s="397" cm="1">
        <f t="array" ref="N236">J236*INDEX(Berekening_impact[Totaal arbeidsbesparing (FTE/jaar)],MATCH(B236,IF(Berekening_impact[Doelgroep]=C236,Berekening_impact[Digitale zorgtoepassing]),0))</f>
        <v>49.6</v>
      </c>
      <c r="O236" s="398" cm="1">
        <f t="array" ref="O236">J236*INDEX(Berekening_impact[Overige kostenbesparing (totaal/jaar totaal potentieel)],MATCH(B236,IF(Berekening_impact[Doelgroep]=C236,Berekening_impact[Digitale zorgtoepassing]),0))</f>
        <v>0</v>
      </c>
      <c r="P236" s="398" cm="1">
        <f t="array" ref="P236">J236*INDEX(Berekening_impact[Opbrengsten door QALY''s],MATCH(B236,IF(Berekening_impact[Doelgroep]=C236,Berekening_impact[Digitale zorgtoepassing]),0))</f>
        <v>0</v>
      </c>
      <c r="Q236" s="398" cm="1">
        <f t="array" ref="Q236">J236*INDEX(Berekening_impact[Jaarlijkse kosten (totaal) - incl. schatting],MATCH(B236,IF(Berekening_impact[Doelgroep]=C236,Berekening_impact[Digitale zorgtoepassing]),0))</f>
        <v>7996418.1513988301</v>
      </c>
      <c r="R236" s="398" cm="1">
        <f t="array" ref="R236">(uitkomst_doelgroep[[#This Row],[Implementatiegraad t = T + 1]]-uitkomst_doelgroep[[#This Row],[Implementatiegraad t = T]])*INDEX(Berekening_impact[Initiële investering (totaal) - incl. schatting],MATCH(B236,IF(Berekening_impact[Doelgroep]=C236,Berekening_impact[Digitale zorgtoepassing]),0))</f>
        <v>0</v>
      </c>
      <c r="S236" s="398">
        <f>uitkomst_doelgroep[[#This Row],[Arbeidsbesparing (€)]]*uitkomst_doelgroep[[#This Row],[Percentage van patiëntaantallen in Wlz (overige is Zvw)]]</f>
        <v>0</v>
      </c>
      <c r="T236" s="398">
        <f>uitkomst_doelgroep[[#This Row],[Overige besparingen (€)]]*uitkomst_doelgroep[[#This Row],[Percentage van patiëntaantallen in Wlz (overige is Zvw)]]</f>
        <v>0</v>
      </c>
      <c r="U236" s="398">
        <f>uitkomst_doelgroep[[#This Row],[Kosten (€)]]*uitkomst_doelgroep[[#This Row],[Percentage van patiëntaantallen in Wlz (overige is Zvw)]]</f>
        <v>0</v>
      </c>
      <c r="V236" s="398">
        <f>uitkomst_doelgroep[[#This Row],[Investering (cash flow) (€)]]*uitkomst_doelgroep[[#This Row],[Percentage van patiëntaantallen in Wlz (overige is Zvw)]]</f>
        <v>0</v>
      </c>
    </row>
    <row r="237" spans="1:22" x14ac:dyDescent="0.5">
      <c r="A237" s="33" t="str">
        <f>INDEX(Technologieën[Veld],MATCH(B237,Technologieën[Digitale zorgtoepassing],0))</f>
        <v>Software - Diagnose</v>
      </c>
      <c r="B237" s="33" t="s">
        <v>139</v>
      </c>
      <c r="C237" s="33" t="s">
        <v>106</v>
      </c>
      <c r="D237" s="427" cm="1">
        <f t="array" ref="D237">INDEX(Berekening_patiëntaantal[Percentage van patiëntaantallen in Wlz (overige is Zvw)],MATCH(B237,IF(Berekening_patiëntaantal[Doelgroep (zoeksleutel)]=C237,Berekening_patiëntaantal[Digitale zorgtoepassing]),0))</f>
        <v>0</v>
      </c>
      <c r="E237" s="33" t="str" cm="1">
        <f t="array" ref="E237">INDEX(Berekening_patiëntaantal[Direct toepasbaar/extrapolatie/incidentie voor QALY],MATCH(B237,IF(Berekening_patiëntaantal[Doelgroep (zoeksleutel)]=C237,Berekening_patiëntaantal[Digitale zorgtoepassing]),0))</f>
        <v>Huidige toepassing</v>
      </c>
      <c r="F237" s="43" t="s">
        <v>812</v>
      </c>
      <c r="G237" s="33" t="str">
        <f>CONCATENATE(uitkomst_doelgroep[[#This Row],[Digitale zorgtoepassing]],"_",uitkomst_doelgroep[[#This Row],[Doelgroep]],"_",uitkomst_doelgroep[[#This Row],[Uitgangssituatie/effect beleid]])</f>
        <v>Digitale pathologie_NVT_Effect beleid</v>
      </c>
      <c r="H237" s="33">
        <v>2024</v>
      </c>
      <c r="I237" s="32">
        <v>2</v>
      </c>
      <c r="J237" s="406" cm="1">
        <f t="array" ref="J237">INDEX(implementatie[[2023]:[2034]],MATCH(G237, implementatie[Zoeksleutel],0),I237)</f>
        <v>0.877</v>
      </c>
      <c r="K237" s="406" cm="1">
        <f t="array" ref="K237">INDEX(implementatie[[2023]:[2034]],MATCH(G237,implementatie[Zoeksleutel],0),I237 + 1)</f>
        <v>0.92861695000000011</v>
      </c>
      <c r="L23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876999.12300000002</v>
      </c>
      <c r="M237" s="398" cm="1">
        <f t="array" ref="M237">J237*INDEX(Berekening_impact[Totaal arbeidsbesparing (€/jaar)],MATCH(B237,IF(Berekening_impact[Doelgroep]=C237,Berekening_impact[Digitale zorgtoepassing]),0))</f>
        <v>10315069.794078162</v>
      </c>
      <c r="N237" s="397" cm="1">
        <f t="array" ref="N237">J237*INDEX(Berekening_impact[Totaal arbeidsbesparing (FTE/jaar)],MATCH(B237,IF(Berekening_impact[Doelgroep]=C237,Berekening_impact[Digitale zorgtoepassing]),0))</f>
        <v>54.374000000000002</v>
      </c>
      <c r="O237" s="398" cm="1">
        <f t="array" ref="O237">J237*INDEX(Berekening_impact[Overige kostenbesparing (totaal/jaar totaal potentieel)],MATCH(B237,IF(Berekening_impact[Doelgroep]=C237,Berekening_impact[Digitale zorgtoepassing]),0))</f>
        <v>0</v>
      </c>
      <c r="P237" s="398" cm="1">
        <f t="array" ref="P237">J237*INDEX(Berekening_impact[Opbrengsten door QALY''s],MATCH(B237,IF(Berekening_impact[Doelgroep]=C237,Berekening_impact[Digitale zorgtoepassing]),0))</f>
        <v>0</v>
      </c>
      <c r="Q237" s="398" cm="1">
        <f t="array" ref="Q237">J237*INDEX(Berekening_impact[Jaarlijkse kosten (totaal) - incl. schatting],MATCH(B237,IF(Berekening_impact[Doelgroep]=C237,Berekening_impact[Digitale zorgtoepassing]),0))</f>
        <v>8766073.398470968</v>
      </c>
      <c r="R237" s="398" cm="1">
        <f t="array" ref="R237">(uitkomst_doelgroep[[#This Row],[Implementatiegraad t = T + 1]]-uitkomst_doelgroep[[#This Row],[Implementatiegraad t = T]])*INDEX(Berekening_impact[Initiële investering (totaal) - incl. schatting],MATCH(B237,IF(Berekening_impact[Doelgroep]=C237,Berekening_impact[Digitale zorgtoepassing]),0))</f>
        <v>0</v>
      </c>
      <c r="S237" s="398">
        <f>uitkomst_doelgroep[[#This Row],[Arbeidsbesparing (€)]]*uitkomst_doelgroep[[#This Row],[Percentage van patiëntaantallen in Wlz (overige is Zvw)]]</f>
        <v>0</v>
      </c>
      <c r="T237" s="398">
        <f>uitkomst_doelgroep[[#This Row],[Overige besparingen (€)]]*uitkomst_doelgroep[[#This Row],[Percentage van patiëntaantallen in Wlz (overige is Zvw)]]</f>
        <v>0</v>
      </c>
      <c r="U237" s="398">
        <f>uitkomst_doelgroep[[#This Row],[Kosten (€)]]*uitkomst_doelgroep[[#This Row],[Percentage van patiëntaantallen in Wlz (overige is Zvw)]]</f>
        <v>0</v>
      </c>
      <c r="V237" s="398">
        <f>uitkomst_doelgroep[[#This Row],[Investering (cash flow) (€)]]*uitkomst_doelgroep[[#This Row],[Percentage van patiëntaantallen in Wlz (overige is Zvw)]]</f>
        <v>0</v>
      </c>
    </row>
    <row r="238" spans="1:22" x14ac:dyDescent="0.5">
      <c r="A238" s="33" t="str">
        <f>INDEX(Technologieën[Veld],MATCH(B238,Technologieën[Digitale zorgtoepassing],0))</f>
        <v>Software - Diagnose</v>
      </c>
      <c r="B238" s="33" t="s">
        <v>139</v>
      </c>
      <c r="C238" s="33" t="s">
        <v>106</v>
      </c>
      <c r="D238" s="427" cm="1">
        <f t="array" ref="D238">INDEX(Berekening_patiëntaantal[Percentage van patiëntaantallen in Wlz (overige is Zvw)],MATCH(B238,IF(Berekening_patiëntaantal[Doelgroep (zoeksleutel)]=C238,Berekening_patiëntaantal[Digitale zorgtoepassing]),0))</f>
        <v>0</v>
      </c>
      <c r="E238" s="33" t="str" cm="1">
        <f t="array" ref="E238">INDEX(Berekening_patiëntaantal[Direct toepasbaar/extrapolatie/incidentie voor QALY],MATCH(B238,IF(Berekening_patiëntaantal[Doelgroep (zoeksleutel)]=C238,Berekening_patiëntaantal[Digitale zorgtoepassing]),0))</f>
        <v>Huidige toepassing</v>
      </c>
      <c r="F238" s="43" t="s">
        <v>812</v>
      </c>
      <c r="G238" s="33" t="str">
        <f>CONCATENATE(uitkomst_doelgroep[[#This Row],[Digitale zorgtoepassing]],"_",uitkomst_doelgroep[[#This Row],[Doelgroep]],"_",uitkomst_doelgroep[[#This Row],[Uitgangssituatie/effect beleid]])</f>
        <v>Digitale pathologie_NVT_Effect beleid</v>
      </c>
      <c r="H238" s="33">
        <v>2025</v>
      </c>
      <c r="I238" s="32">
        <v>3</v>
      </c>
      <c r="J238" s="406" cm="1">
        <f t="array" ref="J238">INDEX(implementatie[[2023]:[2034]],MATCH(G238, implementatie[Zoeksleutel],0),I238)</f>
        <v>0.92861695000000011</v>
      </c>
      <c r="K238" s="406" cm="1">
        <f t="array" ref="K238">INDEX(implementatie[[2023]:[2034]],MATCH(G238,implementatie[Zoeksleutel],0),I238 + 1)</f>
        <v>0.96023090582771387</v>
      </c>
      <c r="L23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928616.02138305013</v>
      </c>
      <c r="M238" s="398" cm="1">
        <f t="array" ref="M238">J238*INDEX(Berekening_impact[Totaal arbeidsbesparing (€/jaar)],MATCH(B238,IF(Berekening_impact[Doelgroep]=C238,Berekening_impact[Digitale zorgtoepassing]),0))</f>
        <v>10922176.34117901</v>
      </c>
      <c r="N238" s="397" cm="1">
        <f t="array" ref="N238">J238*INDEX(Berekening_impact[Totaal arbeidsbesparing (FTE/jaar)],MATCH(B238,IF(Berekening_impact[Doelgroep]=C238,Berekening_impact[Digitale zorgtoepassing]),0))</f>
        <v>57.57425090000001</v>
      </c>
      <c r="O238" s="398" cm="1">
        <f t="array" ref="O238">J238*INDEX(Berekening_impact[Overige kostenbesparing (totaal/jaar totaal potentieel)],MATCH(B238,IF(Berekening_impact[Doelgroep]=C238,Berekening_impact[Digitale zorgtoepassing]),0))</f>
        <v>0</v>
      </c>
      <c r="P238" s="398" cm="1">
        <f t="array" ref="P238">J238*INDEX(Berekening_impact[Opbrengsten door QALY''s],MATCH(B238,IF(Berekening_impact[Doelgroep]=C238,Berekening_impact[Digitale zorgtoepassing]),0))</f>
        <v>0</v>
      </c>
      <c r="Q238" s="398" cm="1">
        <f t="array" ref="Q238">J238*INDEX(Berekening_impact[Jaarlijkse kosten (totaal) - incl. schatting],MATCH(B238,IF(Berekening_impact[Doelgroep]=C238,Berekening_impact[Digitale zorgtoepassing]),0))</f>
        <v>9282011.7933457755</v>
      </c>
      <c r="R238" s="398" cm="1">
        <f t="array" ref="R238">(uitkomst_doelgroep[[#This Row],[Implementatiegraad t = T + 1]]-uitkomst_doelgroep[[#This Row],[Implementatiegraad t = T]])*INDEX(Berekening_impact[Initiële investering (totaal) - incl. schatting],MATCH(B238,IF(Berekening_impact[Doelgroep]=C238,Berekening_impact[Digitale zorgtoepassing]),0))</f>
        <v>0</v>
      </c>
      <c r="S238" s="398">
        <f>uitkomst_doelgroep[[#This Row],[Arbeidsbesparing (€)]]*uitkomst_doelgroep[[#This Row],[Percentage van patiëntaantallen in Wlz (overige is Zvw)]]</f>
        <v>0</v>
      </c>
      <c r="T238" s="398">
        <f>uitkomst_doelgroep[[#This Row],[Overige besparingen (€)]]*uitkomst_doelgroep[[#This Row],[Percentage van patiëntaantallen in Wlz (overige is Zvw)]]</f>
        <v>0</v>
      </c>
      <c r="U238" s="398">
        <f>uitkomst_doelgroep[[#This Row],[Kosten (€)]]*uitkomst_doelgroep[[#This Row],[Percentage van patiëntaantallen in Wlz (overige is Zvw)]]</f>
        <v>0</v>
      </c>
      <c r="V238" s="398">
        <f>uitkomst_doelgroep[[#This Row],[Investering (cash flow) (€)]]*uitkomst_doelgroep[[#This Row],[Percentage van patiëntaantallen in Wlz (overige is Zvw)]]</f>
        <v>0</v>
      </c>
    </row>
    <row r="239" spans="1:22" x14ac:dyDescent="0.5">
      <c r="A239" s="33" t="str">
        <f>INDEX(Technologieën[Veld],MATCH(B239,Technologieën[Digitale zorgtoepassing],0))</f>
        <v>Software - Diagnose</v>
      </c>
      <c r="B239" s="33" t="s">
        <v>139</v>
      </c>
      <c r="C239" s="33" t="s">
        <v>106</v>
      </c>
      <c r="D239" s="427" cm="1">
        <f t="array" ref="D239">INDEX(Berekening_patiëntaantal[Percentage van patiëntaantallen in Wlz (overige is Zvw)],MATCH(B239,IF(Berekening_patiëntaantal[Doelgroep (zoeksleutel)]=C239,Berekening_patiëntaantal[Digitale zorgtoepassing]),0))</f>
        <v>0</v>
      </c>
      <c r="E239" s="33" t="str" cm="1">
        <f t="array" ref="E239">INDEX(Berekening_patiëntaantal[Direct toepasbaar/extrapolatie/incidentie voor QALY],MATCH(B239,IF(Berekening_patiëntaantal[Doelgroep (zoeksleutel)]=C239,Berekening_patiëntaantal[Digitale zorgtoepassing]),0))</f>
        <v>Huidige toepassing</v>
      </c>
      <c r="F239" s="43" t="s">
        <v>812</v>
      </c>
      <c r="G239" s="33" t="str">
        <f>CONCATENATE(uitkomst_doelgroep[[#This Row],[Digitale zorgtoepassing]],"_",uitkomst_doelgroep[[#This Row],[Doelgroep]],"_",uitkomst_doelgroep[[#This Row],[Uitgangssituatie/effect beleid]])</f>
        <v>Digitale pathologie_NVT_Effect beleid</v>
      </c>
      <c r="H239" s="33">
        <v>2026</v>
      </c>
      <c r="I239" s="32">
        <v>4</v>
      </c>
      <c r="J239" s="406" cm="1">
        <f t="array" ref="J239">INDEX(implementatie[[2023]:[2034]],MATCH(G239, implementatie[Zoeksleutel],0),I239)</f>
        <v>0.96023090582771387</v>
      </c>
      <c r="K239" s="406" cm="1">
        <f t="array" ref="K239">INDEX(implementatie[[2023]:[2034]],MATCH(G239,implementatie[Zoeksleutel],0),I239 + 1)</f>
        <v>0.97840951417647182</v>
      </c>
      <c r="L23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960229.94559680799</v>
      </c>
      <c r="M239" s="398" cm="1">
        <f t="array" ref="M239">J239*INDEX(Berekening_impact[Totaal arbeidsbesparing (€/jaar)],MATCH(B239,IF(Berekening_impact[Doelgroep]=C239,Berekening_impact[Digitale zorgtoepassing]),0))</f>
        <v>11294012.328442147</v>
      </c>
      <c r="N239" s="397" cm="1">
        <f t="array" ref="N239">J239*INDEX(Berekening_impact[Totaal arbeidsbesparing (FTE/jaar)],MATCH(B239,IF(Berekening_impact[Doelgroep]=C239,Berekening_impact[Digitale zorgtoepassing]),0))</f>
        <v>59.534316161318259</v>
      </c>
      <c r="O239" s="398" cm="1">
        <f t="array" ref="O239">J239*INDEX(Berekening_impact[Overige kostenbesparing (totaal/jaar totaal potentieel)],MATCH(B239,IF(Berekening_impact[Doelgroep]=C239,Berekening_impact[Digitale zorgtoepassing]),0))</f>
        <v>0</v>
      </c>
      <c r="P239" s="398" cm="1">
        <f t="array" ref="P239">J239*INDEX(Berekening_impact[Opbrengsten door QALY''s],MATCH(B239,IF(Berekening_impact[Doelgroep]=C239,Berekening_impact[Digitale zorgtoepassing]),0))</f>
        <v>0</v>
      </c>
      <c r="Q239" s="398" cm="1">
        <f t="array" ref="Q239">J239*INDEX(Berekening_impact[Jaarlijkse kosten (totaal) - incl. schatting],MATCH(B239,IF(Berekening_impact[Doelgroep]=C239,Berekening_impact[Digitale zorgtoepassing]),0))</f>
        <v>9598009.8061185889</v>
      </c>
      <c r="R239" s="398" cm="1">
        <f t="array" ref="R239">(uitkomst_doelgroep[[#This Row],[Implementatiegraad t = T + 1]]-uitkomst_doelgroep[[#This Row],[Implementatiegraad t = T]])*INDEX(Berekening_impact[Initiële investering (totaal) - incl. schatting],MATCH(B239,IF(Berekening_impact[Doelgroep]=C239,Berekening_impact[Digitale zorgtoepassing]),0))</f>
        <v>0</v>
      </c>
      <c r="S239" s="398">
        <f>uitkomst_doelgroep[[#This Row],[Arbeidsbesparing (€)]]*uitkomst_doelgroep[[#This Row],[Percentage van patiëntaantallen in Wlz (overige is Zvw)]]</f>
        <v>0</v>
      </c>
      <c r="T239" s="398">
        <f>uitkomst_doelgroep[[#This Row],[Overige besparingen (€)]]*uitkomst_doelgroep[[#This Row],[Percentage van patiëntaantallen in Wlz (overige is Zvw)]]</f>
        <v>0</v>
      </c>
      <c r="U239" s="398">
        <f>uitkomst_doelgroep[[#This Row],[Kosten (€)]]*uitkomst_doelgroep[[#This Row],[Percentage van patiëntaantallen in Wlz (overige is Zvw)]]</f>
        <v>0</v>
      </c>
      <c r="V239" s="398">
        <f>uitkomst_doelgroep[[#This Row],[Investering (cash flow) (€)]]*uitkomst_doelgroep[[#This Row],[Percentage van patiëntaantallen in Wlz (overige is Zvw)]]</f>
        <v>0</v>
      </c>
    </row>
    <row r="240" spans="1:22" x14ac:dyDescent="0.5">
      <c r="A240" s="33" t="str">
        <f>INDEX(Technologieën[Veld],MATCH(B240,Technologieën[Digitale zorgtoepassing],0))</f>
        <v>Software - Diagnose</v>
      </c>
      <c r="B240" s="33" t="s">
        <v>139</v>
      </c>
      <c r="C240" s="33" t="s">
        <v>106</v>
      </c>
      <c r="D240" s="427" cm="1">
        <f t="array" ref="D240">INDEX(Berekening_patiëntaantal[Percentage van patiëntaantallen in Wlz (overige is Zvw)],MATCH(B240,IF(Berekening_patiëntaantal[Doelgroep (zoeksleutel)]=C240,Berekening_patiëntaantal[Digitale zorgtoepassing]),0))</f>
        <v>0</v>
      </c>
      <c r="E240" s="33" t="str" cm="1">
        <f t="array" ref="E240">INDEX(Berekening_patiëntaantal[Direct toepasbaar/extrapolatie/incidentie voor QALY],MATCH(B240,IF(Berekening_patiëntaantal[Doelgroep (zoeksleutel)]=C240,Berekening_patiëntaantal[Digitale zorgtoepassing]),0))</f>
        <v>Huidige toepassing</v>
      </c>
      <c r="F240" s="43" t="s">
        <v>812</v>
      </c>
      <c r="G240" s="33" t="str">
        <f>CONCATENATE(uitkomst_doelgroep[[#This Row],[Digitale zorgtoepassing]],"_",uitkomst_doelgroep[[#This Row],[Doelgroep]],"_",uitkomst_doelgroep[[#This Row],[Uitgangssituatie/effect beleid]])</f>
        <v>Digitale pathologie_NVT_Effect beleid</v>
      </c>
      <c r="H240" s="33">
        <v>2027</v>
      </c>
      <c r="I240" s="32">
        <v>5</v>
      </c>
      <c r="J240" s="406" cm="1">
        <f t="array" ref="J240">INDEX(implementatie[[2023]:[2034]],MATCH(G240, implementatie[Zoeksleutel],0),I240)</f>
        <v>0.97840951417647182</v>
      </c>
      <c r="K240" s="406" cm="1">
        <f t="array" ref="K240">INDEX(implementatie[[2023]:[2034]],MATCH(G240,implementatie[Zoeksleutel],0),I240 + 1)</f>
        <v>0.9884552278575045</v>
      </c>
      <c r="L24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978408.53576695768</v>
      </c>
      <c r="M240" s="398" cm="1">
        <f t="array" ref="M240">J240*INDEX(Berekening_impact[Totaal arbeidsbesparing (€/jaar)],MATCH(B240,IF(Berekening_impact[Doelgroep]=C240,Berekening_impact[Digitale zorgtoepassing]),0))</f>
        <v>11507824.887024418</v>
      </c>
      <c r="N240" s="397" cm="1">
        <f t="array" ref="N240">J240*INDEX(Berekening_impact[Totaal arbeidsbesparing (FTE/jaar)],MATCH(B240,IF(Berekening_impact[Doelgroep]=C240,Berekening_impact[Digitale zorgtoepassing]),0))</f>
        <v>60.66138987894125</v>
      </c>
      <c r="O240" s="398" cm="1">
        <f t="array" ref="O240">J240*INDEX(Berekening_impact[Overige kostenbesparing (totaal/jaar totaal potentieel)],MATCH(B240,IF(Berekening_impact[Doelgroep]=C240,Berekening_impact[Digitale zorgtoepassing]),0))</f>
        <v>0</v>
      </c>
      <c r="P240" s="398" cm="1">
        <f t="array" ref="P240">J240*INDEX(Berekening_impact[Opbrengsten door QALY''s],MATCH(B240,IF(Berekening_impact[Doelgroep]=C240,Berekening_impact[Digitale zorgtoepassing]),0))</f>
        <v>0</v>
      </c>
      <c r="Q240" s="398" cm="1">
        <f t="array" ref="Q240">J240*INDEX(Berekening_impact[Jaarlijkse kosten (totaal) - incl. schatting],MATCH(B240,IF(Berekening_impact[Doelgroep]=C240,Berekening_impact[Digitale zorgtoepassing]),0))</f>
        <v>9779714.4983275626</v>
      </c>
      <c r="R240" s="398" cm="1">
        <f t="array" ref="R240">(uitkomst_doelgroep[[#This Row],[Implementatiegraad t = T + 1]]-uitkomst_doelgroep[[#This Row],[Implementatiegraad t = T]])*INDEX(Berekening_impact[Initiële investering (totaal) - incl. schatting],MATCH(B240,IF(Berekening_impact[Doelgroep]=C240,Berekening_impact[Digitale zorgtoepassing]),0))</f>
        <v>0</v>
      </c>
      <c r="S240" s="398">
        <f>uitkomst_doelgroep[[#This Row],[Arbeidsbesparing (€)]]*uitkomst_doelgroep[[#This Row],[Percentage van patiëntaantallen in Wlz (overige is Zvw)]]</f>
        <v>0</v>
      </c>
      <c r="T240" s="398">
        <f>uitkomst_doelgroep[[#This Row],[Overige besparingen (€)]]*uitkomst_doelgroep[[#This Row],[Percentage van patiëntaantallen in Wlz (overige is Zvw)]]</f>
        <v>0</v>
      </c>
      <c r="U240" s="398">
        <f>uitkomst_doelgroep[[#This Row],[Kosten (€)]]*uitkomst_doelgroep[[#This Row],[Percentage van patiëntaantallen in Wlz (overige is Zvw)]]</f>
        <v>0</v>
      </c>
      <c r="V240" s="398">
        <f>uitkomst_doelgroep[[#This Row],[Investering (cash flow) (€)]]*uitkomst_doelgroep[[#This Row],[Percentage van patiëntaantallen in Wlz (overige is Zvw)]]</f>
        <v>0</v>
      </c>
    </row>
    <row r="241" spans="1:22" x14ac:dyDescent="0.5">
      <c r="A241" s="33" t="str">
        <f>INDEX(Technologieën[Veld],MATCH(B241,Technologieën[Digitale zorgtoepassing],0))</f>
        <v>Software - Diagnose</v>
      </c>
      <c r="B241" s="33" t="s">
        <v>139</v>
      </c>
      <c r="C241" s="33" t="s">
        <v>106</v>
      </c>
      <c r="D241" s="427" cm="1">
        <f t="array" ref="D241">INDEX(Berekening_patiëntaantal[Percentage van patiëntaantallen in Wlz (overige is Zvw)],MATCH(B241,IF(Berekening_patiëntaantal[Doelgroep (zoeksleutel)]=C241,Berekening_patiëntaantal[Digitale zorgtoepassing]),0))</f>
        <v>0</v>
      </c>
      <c r="E241" s="33" t="str" cm="1">
        <f t="array" ref="E241">INDEX(Berekening_patiëntaantal[Direct toepasbaar/extrapolatie/incidentie voor QALY],MATCH(B241,IF(Berekening_patiëntaantal[Doelgroep (zoeksleutel)]=C241,Berekening_patiëntaantal[Digitale zorgtoepassing]),0))</f>
        <v>Huidige toepassing</v>
      </c>
      <c r="F241" s="43" t="s">
        <v>812</v>
      </c>
      <c r="G241" s="33" t="str">
        <f>CONCATENATE(uitkomst_doelgroep[[#This Row],[Digitale zorgtoepassing]],"_",uitkomst_doelgroep[[#This Row],[Doelgroep]],"_",uitkomst_doelgroep[[#This Row],[Uitgangssituatie/effect beleid]])</f>
        <v>Digitale pathologie_NVT_Effect beleid</v>
      </c>
      <c r="H241" s="33">
        <v>2028</v>
      </c>
      <c r="I241" s="32">
        <v>6</v>
      </c>
      <c r="J241" s="406" cm="1">
        <f t="array" ref="J241">INDEX(implementatie[[2023]:[2034]],MATCH(G241, implementatie[Zoeksleutel],0),I241)</f>
        <v>0.9884552278575045</v>
      </c>
      <c r="K241" s="406" cm="1">
        <f t="array" ref="K241">INDEX(implementatie[[2023]:[2034]],MATCH(G241,implementatie[Zoeksleutel],0),I241 + 1)</f>
        <v>0.99387901783146992</v>
      </c>
      <c r="L24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988454.2394022767</v>
      </c>
      <c r="M241" s="398" cm="1">
        <f t="array" ref="M241">J241*INDEX(Berekening_impact[Totaal arbeidsbesparing (€/jaar)],MATCH(B241,IF(Berekening_impact[Doelgroep]=C241,Berekening_impact[Digitale zorgtoepassing]),0))</f>
        <v>11625980.232236706</v>
      </c>
      <c r="N241" s="397" cm="1">
        <f t="array" ref="N241">J241*INDEX(Berekening_impact[Totaal arbeidsbesparing (FTE/jaar)],MATCH(B241,IF(Berekening_impact[Doelgroep]=C241,Berekening_impact[Digitale zorgtoepassing]),0))</f>
        <v>61.284224127165281</v>
      </c>
      <c r="O241" s="398" cm="1">
        <f t="array" ref="O241">J241*INDEX(Berekening_impact[Overige kostenbesparing (totaal/jaar totaal potentieel)],MATCH(B241,IF(Berekening_impact[Doelgroep]=C241,Berekening_impact[Digitale zorgtoepassing]),0))</f>
        <v>0</v>
      </c>
      <c r="P241" s="398" cm="1">
        <f t="array" ref="P241">J241*INDEX(Berekening_impact[Opbrengsten door QALY''s],MATCH(B241,IF(Berekening_impact[Doelgroep]=C241,Berekening_impact[Digitale zorgtoepassing]),0))</f>
        <v>0</v>
      </c>
      <c r="Q241" s="398" cm="1">
        <f t="array" ref="Q241">J241*INDEX(Berekening_impact[Jaarlijkse kosten (totaal) - incl. schatting],MATCH(B241,IF(Berekening_impact[Doelgroep]=C241,Berekening_impact[Digitale zorgtoepassing]),0))</f>
        <v>9880126.6573560201</v>
      </c>
      <c r="R241" s="398" cm="1">
        <f t="array" ref="R241">(uitkomst_doelgroep[[#This Row],[Implementatiegraad t = T + 1]]-uitkomst_doelgroep[[#This Row],[Implementatiegraad t = T]])*INDEX(Berekening_impact[Initiële investering (totaal) - incl. schatting],MATCH(B241,IF(Berekening_impact[Doelgroep]=C241,Berekening_impact[Digitale zorgtoepassing]),0))</f>
        <v>0</v>
      </c>
      <c r="S241" s="398">
        <f>uitkomst_doelgroep[[#This Row],[Arbeidsbesparing (€)]]*uitkomst_doelgroep[[#This Row],[Percentage van patiëntaantallen in Wlz (overige is Zvw)]]</f>
        <v>0</v>
      </c>
      <c r="T241" s="398">
        <f>uitkomst_doelgroep[[#This Row],[Overige besparingen (€)]]*uitkomst_doelgroep[[#This Row],[Percentage van patiëntaantallen in Wlz (overige is Zvw)]]</f>
        <v>0</v>
      </c>
      <c r="U241" s="398">
        <f>uitkomst_doelgroep[[#This Row],[Kosten (€)]]*uitkomst_doelgroep[[#This Row],[Percentage van patiëntaantallen in Wlz (overige is Zvw)]]</f>
        <v>0</v>
      </c>
      <c r="V241" s="398">
        <f>uitkomst_doelgroep[[#This Row],[Investering (cash flow) (€)]]*uitkomst_doelgroep[[#This Row],[Percentage van patiëntaantallen in Wlz (overige is Zvw)]]</f>
        <v>0</v>
      </c>
    </row>
    <row r="242" spans="1:22" x14ac:dyDescent="0.5">
      <c r="A242" s="33" t="str">
        <f>INDEX(Technologieën[Veld],MATCH(B242,Technologieën[Digitale zorgtoepassing],0))</f>
        <v>Software - Diagnose</v>
      </c>
      <c r="B242" s="33" t="s">
        <v>139</v>
      </c>
      <c r="C242" s="33" t="s">
        <v>106</v>
      </c>
      <c r="D242" s="427" cm="1">
        <f t="array" ref="D242">INDEX(Berekening_patiëntaantal[Percentage van patiëntaantallen in Wlz (overige is Zvw)],MATCH(B242,IF(Berekening_patiëntaantal[Doelgroep (zoeksleutel)]=C242,Berekening_patiëntaantal[Digitale zorgtoepassing]),0))</f>
        <v>0</v>
      </c>
      <c r="E242" s="33" t="str" cm="1">
        <f t="array" ref="E242">INDEX(Berekening_patiëntaantal[Direct toepasbaar/extrapolatie/incidentie voor QALY],MATCH(B242,IF(Berekening_patiëntaantal[Doelgroep (zoeksleutel)]=C242,Berekening_patiëntaantal[Digitale zorgtoepassing]),0))</f>
        <v>Huidige toepassing</v>
      </c>
      <c r="F242" s="43" t="s">
        <v>812</v>
      </c>
      <c r="G242" s="33" t="str">
        <f>CONCATENATE(uitkomst_doelgroep[[#This Row],[Digitale zorgtoepassing]],"_",uitkomst_doelgroep[[#This Row],[Doelgroep]],"_",uitkomst_doelgroep[[#This Row],[Uitgangssituatie/effect beleid]])</f>
        <v>Digitale pathologie_NVT_Effect beleid</v>
      </c>
      <c r="H242" s="33">
        <v>2029</v>
      </c>
      <c r="I242" s="32">
        <v>7</v>
      </c>
      <c r="J242" s="406" cm="1">
        <f t="array" ref="J242">INDEX(implementatie[[2023]:[2034]],MATCH(G242, implementatie[Zoeksleutel],0),I242)</f>
        <v>0.99387901783146992</v>
      </c>
      <c r="K242" s="406" cm="1">
        <f t="array" ref="K242">INDEX(implementatie[[2023]:[2034]],MATCH(G242,implementatie[Zoeksleutel],0),I242 + 1)</f>
        <v>0.99676962447130335</v>
      </c>
      <c r="L24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993878.02395245212</v>
      </c>
      <c r="M242" s="398" cm="1">
        <f t="array" ref="M242">J242*INDEX(Berekening_impact[Totaal arbeidsbesparing (€/jaar)],MATCH(B242,IF(Berekening_impact[Doelgroep]=C242,Berekening_impact[Digitale zorgtoepassing]),0))</f>
        <v>11689773.587002812</v>
      </c>
      <c r="N242" s="397" cm="1">
        <f t="array" ref="N242">J242*INDEX(Berekening_impact[Totaal arbeidsbesparing (FTE/jaar)],MATCH(B242,IF(Berekening_impact[Doelgroep]=C242,Berekening_impact[Digitale zorgtoepassing]),0))</f>
        <v>61.620499105551133</v>
      </c>
      <c r="O242" s="398" cm="1">
        <f t="array" ref="O242">J242*INDEX(Berekening_impact[Overige kostenbesparing (totaal/jaar totaal potentieel)],MATCH(B242,IF(Berekening_impact[Doelgroep]=C242,Berekening_impact[Digitale zorgtoepassing]),0))</f>
        <v>0</v>
      </c>
      <c r="P242" s="398" cm="1">
        <f t="array" ref="P242">J242*INDEX(Berekening_impact[Opbrengsten door QALY''s],MATCH(B242,IF(Berekening_impact[Doelgroep]=C242,Berekening_impact[Digitale zorgtoepassing]),0))</f>
        <v>0</v>
      </c>
      <c r="Q242" s="398" cm="1">
        <f t="array" ref="Q242">J242*INDEX(Berekening_impact[Jaarlijkse kosten (totaal) - incl. schatting],MATCH(B242,IF(Berekening_impact[Doelgroep]=C242,Berekening_impact[Digitale zorgtoepassing]),0))</f>
        <v>9934340.2731025089</v>
      </c>
      <c r="R242" s="398" cm="1">
        <f t="array" ref="R242">(uitkomst_doelgroep[[#This Row],[Implementatiegraad t = T + 1]]-uitkomst_doelgroep[[#This Row],[Implementatiegraad t = T]])*INDEX(Berekening_impact[Initiële investering (totaal) - incl. schatting],MATCH(B242,IF(Berekening_impact[Doelgroep]=C242,Berekening_impact[Digitale zorgtoepassing]),0))</f>
        <v>0</v>
      </c>
      <c r="S242" s="398">
        <f>uitkomst_doelgroep[[#This Row],[Arbeidsbesparing (€)]]*uitkomst_doelgroep[[#This Row],[Percentage van patiëntaantallen in Wlz (overige is Zvw)]]</f>
        <v>0</v>
      </c>
      <c r="T242" s="398">
        <f>uitkomst_doelgroep[[#This Row],[Overige besparingen (€)]]*uitkomst_doelgroep[[#This Row],[Percentage van patiëntaantallen in Wlz (overige is Zvw)]]</f>
        <v>0</v>
      </c>
      <c r="U242" s="398">
        <f>uitkomst_doelgroep[[#This Row],[Kosten (€)]]*uitkomst_doelgroep[[#This Row],[Percentage van patiëntaantallen in Wlz (overige is Zvw)]]</f>
        <v>0</v>
      </c>
      <c r="V242" s="398">
        <f>uitkomst_doelgroep[[#This Row],[Investering (cash flow) (€)]]*uitkomst_doelgroep[[#This Row],[Percentage van patiëntaantallen in Wlz (overige is Zvw)]]</f>
        <v>0</v>
      </c>
    </row>
    <row r="243" spans="1:22" x14ac:dyDescent="0.5">
      <c r="A243" s="33" t="str">
        <f>INDEX(Technologieën[Veld],MATCH(B243,Technologieën[Digitale zorgtoepassing],0))</f>
        <v>Software - Diagnose</v>
      </c>
      <c r="B243" s="33" t="s">
        <v>139</v>
      </c>
      <c r="C243" s="33" t="s">
        <v>106</v>
      </c>
      <c r="D243" s="427" cm="1">
        <f t="array" ref="D243">INDEX(Berekening_patiëntaantal[Percentage van patiëntaantallen in Wlz (overige is Zvw)],MATCH(B243,IF(Berekening_patiëntaantal[Doelgroep (zoeksleutel)]=C243,Berekening_patiëntaantal[Digitale zorgtoepassing]),0))</f>
        <v>0</v>
      </c>
      <c r="E243" s="33" t="str" cm="1">
        <f t="array" ref="E243">INDEX(Berekening_patiëntaantal[Direct toepasbaar/extrapolatie/incidentie voor QALY],MATCH(B243,IF(Berekening_patiëntaantal[Doelgroep (zoeksleutel)]=C243,Berekening_patiëntaantal[Digitale zorgtoepassing]),0))</f>
        <v>Huidige toepassing</v>
      </c>
      <c r="F243" s="43" t="s">
        <v>812</v>
      </c>
      <c r="G243" s="33" t="str">
        <f>CONCATENATE(uitkomst_doelgroep[[#This Row],[Digitale zorgtoepassing]],"_",uitkomst_doelgroep[[#This Row],[Doelgroep]],"_",uitkomst_doelgroep[[#This Row],[Uitgangssituatie/effect beleid]])</f>
        <v>Digitale pathologie_NVT_Effect beleid</v>
      </c>
      <c r="H243" s="33">
        <v>2030</v>
      </c>
      <c r="I243" s="32">
        <v>8</v>
      </c>
      <c r="J243" s="406" cm="1">
        <f t="array" ref="J243">INDEX(implementatie[[2023]:[2034]],MATCH(G243, implementatie[Zoeksleutel],0),I243)</f>
        <v>0.99676962447130335</v>
      </c>
      <c r="K243" s="406" cm="1">
        <f t="array" ref="K243">INDEX(implementatie[[2023]:[2034]],MATCH(G243,implementatie[Zoeksleutel],0),I243 + 1)</f>
        <v>0.99829935695070882</v>
      </c>
      <c r="L24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996768.6277016789</v>
      </c>
      <c r="M243" s="398" cm="1">
        <f t="array" ref="M243">J243*INDEX(Berekening_impact[Totaal arbeidsbesparing (€/jaar)],MATCH(B243,IF(Berekening_impact[Doelgroep]=C243,Berekening_impact[Digitale zorgtoepassing]),0))</f>
        <v>11723772.229234407</v>
      </c>
      <c r="N243" s="397" cm="1">
        <f t="array" ref="N243">J243*INDEX(Berekening_impact[Totaal arbeidsbesparing (FTE/jaar)],MATCH(B243,IF(Berekening_impact[Doelgroep]=C243,Berekening_impact[Digitale zorgtoepassing]),0))</f>
        <v>61.799716717220811</v>
      </c>
      <c r="O243" s="398" cm="1">
        <f t="array" ref="O243">J243*INDEX(Berekening_impact[Overige kostenbesparing (totaal/jaar totaal potentieel)],MATCH(B243,IF(Berekening_impact[Doelgroep]=C243,Berekening_impact[Digitale zorgtoepassing]),0))</f>
        <v>0</v>
      </c>
      <c r="P243" s="398" cm="1">
        <f t="array" ref="P243">J243*INDEX(Berekening_impact[Opbrengsten door QALY''s],MATCH(B243,IF(Berekening_impact[Doelgroep]=C243,Berekening_impact[Digitale zorgtoepassing]),0))</f>
        <v>0</v>
      </c>
      <c r="Q243" s="398" cm="1">
        <f t="array" ref="Q243">J243*INDEX(Berekening_impact[Jaarlijkse kosten (totaal) - incl. schatting],MATCH(B243,IF(Berekening_impact[Doelgroep]=C243,Berekening_impact[Digitale zorgtoepassing]),0))</f>
        <v>9963233.3973566573</v>
      </c>
      <c r="R243" s="398" cm="1">
        <f t="array" ref="R243">(uitkomst_doelgroep[[#This Row],[Implementatiegraad t = T + 1]]-uitkomst_doelgroep[[#This Row],[Implementatiegraad t = T]])*INDEX(Berekening_impact[Initiële investering (totaal) - incl. schatting],MATCH(B243,IF(Berekening_impact[Doelgroep]=C243,Berekening_impact[Digitale zorgtoepassing]),0))</f>
        <v>0</v>
      </c>
      <c r="S243" s="398">
        <f>uitkomst_doelgroep[[#This Row],[Arbeidsbesparing (€)]]*uitkomst_doelgroep[[#This Row],[Percentage van patiëntaantallen in Wlz (overige is Zvw)]]</f>
        <v>0</v>
      </c>
      <c r="T243" s="398">
        <f>uitkomst_doelgroep[[#This Row],[Overige besparingen (€)]]*uitkomst_doelgroep[[#This Row],[Percentage van patiëntaantallen in Wlz (overige is Zvw)]]</f>
        <v>0</v>
      </c>
      <c r="U243" s="398">
        <f>uitkomst_doelgroep[[#This Row],[Kosten (€)]]*uitkomst_doelgroep[[#This Row],[Percentage van patiëntaantallen in Wlz (overige is Zvw)]]</f>
        <v>0</v>
      </c>
      <c r="V243" s="398">
        <f>uitkomst_doelgroep[[#This Row],[Investering (cash flow) (€)]]*uitkomst_doelgroep[[#This Row],[Percentage van patiëntaantallen in Wlz (overige is Zvw)]]</f>
        <v>0</v>
      </c>
    </row>
    <row r="244" spans="1:22" ht="17.5" thickBot="1" x14ac:dyDescent="0.55000000000000004">
      <c r="A244" s="33" t="str">
        <f>INDEX(Technologieën[Veld],MATCH(B244,Technologieën[Digitale zorgtoepassing],0))</f>
        <v>Software - Diagnose</v>
      </c>
      <c r="B244" s="40" t="s">
        <v>139</v>
      </c>
      <c r="C244" s="40" t="s">
        <v>106</v>
      </c>
      <c r="D244" s="427" cm="1">
        <f t="array" ref="D244">INDEX(Berekening_patiëntaantal[Percentage van patiëntaantallen in Wlz (overige is Zvw)],MATCH(B244,IF(Berekening_patiëntaantal[Doelgroep (zoeksleutel)]=C244,Berekening_patiëntaantal[Digitale zorgtoepassing]),0))</f>
        <v>0</v>
      </c>
      <c r="E244" s="33" t="str" cm="1">
        <f t="array" ref="E244">INDEX(Berekening_patiëntaantal[Direct toepasbaar/extrapolatie/incidentie voor QALY],MATCH(B244,IF(Berekening_patiëntaantal[Doelgroep (zoeksleutel)]=C244,Berekening_patiëntaantal[Digitale zorgtoepassing]),0))</f>
        <v>Huidige toepassing</v>
      </c>
      <c r="F244" s="43" t="s">
        <v>812</v>
      </c>
      <c r="G244" s="33" t="str">
        <f>CONCATENATE(uitkomst_doelgroep[[#This Row],[Digitale zorgtoepassing]],"_",uitkomst_doelgroep[[#This Row],[Doelgroep]],"_",uitkomst_doelgroep[[#This Row],[Uitgangssituatie/effect beleid]])</f>
        <v>Digitale pathologie_NVT_Effect beleid</v>
      </c>
      <c r="H244" s="33">
        <v>2031</v>
      </c>
      <c r="I244" s="32">
        <v>9</v>
      </c>
      <c r="J244" s="406" cm="1">
        <f t="array" ref="J244">INDEX(implementatie[[2023]:[2034]],MATCH(G244, implementatie[Zoeksleutel],0),I244)</f>
        <v>0.99829935695070882</v>
      </c>
      <c r="K244" s="406" cm="1">
        <f t="array" ref="K244">INDEX(implementatie[[2023]:[2034]],MATCH(G244,implementatie[Zoeksleutel],0),I244 + 1)</f>
        <v>0.9991058609150707</v>
      </c>
      <c r="L24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998298.35865135188</v>
      </c>
      <c r="M244" s="398" cm="1">
        <f t="array" ref="M244">J244*INDEX(Berekening_impact[Totaal arbeidsbesparing (€/jaar)],MATCH(B244,IF(Berekening_impact[Doelgroep]=C244,Berekening_impact[Digitale zorgtoepassing]),0))</f>
        <v>11741764.586465118</v>
      </c>
      <c r="N244" s="397" cm="1">
        <f t="array" ref="N244">J244*INDEX(Berekening_impact[Totaal arbeidsbesparing (FTE/jaar)],MATCH(B244,IF(Berekening_impact[Doelgroep]=C244,Berekening_impact[Digitale zorgtoepassing]),0))</f>
        <v>61.894560130943944</v>
      </c>
      <c r="O244" s="398" cm="1">
        <f t="array" ref="O244">J244*INDEX(Berekening_impact[Overige kostenbesparing (totaal/jaar totaal potentieel)],MATCH(B244,IF(Berekening_impact[Doelgroep]=C244,Berekening_impact[Digitale zorgtoepassing]),0))</f>
        <v>0</v>
      </c>
      <c r="P244" s="398" cm="1">
        <f t="array" ref="P244">J244*INDEX(Berekening_impact[Opbrengsten door QALY''s],MATCH(B244,IF(Berekening_impact[Doelgroep]=C244,Berekening_impact[Digitale zorgtoepassing]),0))</f>
        <v>0</v>
      </c>
      <c r="Q244" s="398" cm="1">
        <f t="array" ref="Q244">J244*INDEX(Berekening_impact[Jaarlijkse kosten (totaal) - incl. schatting],MATCH(B244,IF(Berekening_impact[Doelgroep]=C244,Berekening_impact[Digitale zorgtoepassing]),0))</f>
        <v>9978523.8730630353</v>
      </c>
      <c r="R244" s="398" cm="1">
        <f t="array" ref="R244">(uitkomst_doelgroep[[#This Row],[Implementatiegraad t = T + 1]]-uitkomst_doelgroep[[#This Row],[Implementatiegraad t = T]])*INDEX(Berekening_impact[Initiële investering (totaal) - incl. schatting],MATCH(B244,IF(Berekening_impact[Doelgroep]=C244,Berekening_impact[Digitale zorgtoepassing]),0))</f>
        <v>0</v>
      </c>
      <c r="S244" s="398">
        <f>uitkomst_doelgroep[[#This Row],[Arbeidsbesparing (€)]]*uitkomst_doelgroep[[#This Row],[Percentage van patiëntaantallen in Wlz (overige is Zvw)]]</f>
        <v>0</v>
      </c>
      <c r="T244" s="398">
        <f>uitkomst_doelgroep[[#This Row],[Overige besparingen (€)]]*uitkomst_doelgroep[[#This Row],[Percentage van patiëntaantallen in Wlz (overige is Zvw)]]</f>
        <v>0</v>
      </c>
      <c r="U244" s="398">
        <f>uitkomst_doelgroep[[#This Row],[Kosten (€)]]*uitkomst_doelgroep[[#This Row],[Percentage van patiëntaantallen in Wlz (overige is Zvw)]]</f>
        <v>0</v>
      </c>
      <c r="V244" s="398">
        <f>uitkomst_doelgroep[[#This Row],[Investering (cash flow) (€)]]*uitkomst_doelgroep[[#This Row],[Percentage van patiëntaantallen in Wlz (overige is Zvw)]]</f>
        <v>0</v>
      </c>
    </row>
    <row r="245" spans="1:22" x14ac:dyDescent="0.5">
      <c r="A245" s="33" t="str">
        <f>INDEX(Technologieën[Veld],MATCH(B245,Technologieën[Digitale zorgtoepassing],0))</f>
        <v>Software - Diagnose</v>
      </c>
      <c r="B245" s="33" t="s">
        <v>139</v>
      </c>
      <c r="C245" s="33" t="s">
        <v>106</v>
      </c>
      <c r="D245" s="427" cm="1">
        <f t="array" ref="D245">INDEX(Berekening_patiëntaantal[Percentage van patiëntaantallen in Wlz (overige is Zvw)],MATCH(B245,IF(Berekening_patiëntaantal[Doelgroep (zoeksleutel)]=C245,Berekening_patiëntaantal[Digitale zorgtoepassing]),0))</f>
        <v>0</v>
      </c>
      <c r="E245" s="33" t="str" cm="1">
        <f t="array" ref="E245">INDEX(Berekening_patiëntaantal[Direct toepasbaar/extrapolatie/incidentie voor QALY],MATCH(B245,IF(Berekening_patiëntaantal[Doelgroep (zoeksleutel)]=C245,Berekening_patiëntaantal[Digitale zorgtoepassing]),0))</f>
        <v>Huidige toepassing</v>
      </c>
      <c r="F245" s="43" t="s">
        <v>812</v>
      </c>
      <c r="G245" s="33" t="str">
        <f>CONCATENATE(uitkomst_doelgroep[[#This Row],[Digitale zorgtoepassing]],"_",uitkomst_doelgroep[[#This Row],[Doelgroep]],"_",uitkomst_doelgroep[[#This Row],[Uitgangssituatie/effect beleid]])</f>
        <v>Digitale pathologie_NVT_Effect beleid</v>
      </c>
      <c r="H245" s="33">
        <v>2032</v>
      </c>
      <c r="I245" s="32">
        <v>10</v>
      </c>
      <c r="J245" s="406" cm="1">
        <f t="array" ref="J245">INDEX(implementatie[[2023]:[2034]],MATCH(G245, implementatie[Zoeksleutel],0),I245)</f>
        <v>0.9991058609150707</v>
      </c>
      <c r="K245" s="406" cm="1">
        <f t="array" ref="K245">INDEX(implementatie[[2023]:[2034]],MATCH(G245,implementatie[Zoeksleutel],0),I245 + 1)</f>
        <v>0.99953021721229562</v>
      </c>
      <c r="L24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999104.8618092098</v>
      </c>
      <c r="M245" s="398" cm="1">
        <f t="array" ref="M245">J245*INDEX(Berekening_impact[Totaal arbeidsbesparing (€/jaar)],MATCH(B245,IF(Berekening_impact[Doelgroep]=C245,Berekening_impact[Digitale zorgtoepassing]),0))</f>
        <v>11751250.498302741</v>
      </c>
      <c r="N245" s="397" cm="1">
        <f t="array" ref="N245">J245*INDEX(Berekening_impact[Totaal arbeidsbesparing (FTE/jaar)],MATCH(B245,IF(Berekening_impact[Doelgroep]=C245,Berekening_impact[Digitale zorgtoepassing]),0))</f>
        <v>61.944563376734386</v>
      </c>
      <c r="O245" s="398" cm="1">
        <f t="array" ref="O245">J245*INDEX(Berekening_impact[Overige kostenbesparing (totaal/jaar totaal potentieel)],MATCH(B245,IF(Berekening_impact[Doelgroep]=C245,Berekening_impact[Digitale zorgtoepassing]),0))</f>
        <v>0</v>
      </c>
      <c r="P245" s="398" cm="1">
        <f t="array" ref="P245">J245*INDEX(Berekening_impact[Opbrengsten door QALY''s],MATCH(B245,IF(Berekening_impact[Doelgroep]=C245,Berekening_impact[Digitale zorgtoepassing]),0))</f>
        <v>0</v>
      </c>
      <c r="Q245" s="398" cm="1">
        <f t="array" ref="Q245">J245*INDEX(Berekening_impact[Jaarlijkse kosten (totaal) - incl. schatting],MATCH(B245,IF(Berekening_impact[Doelgroep]=C245,Berekening_impact[Digitale zorgtoepassing]),0))</f>
        <v>9986585.3017377835</v>
      </c>
      <c r="R245" s="398" cm="1">
        <f t="array" ref="R245">(uitkomst_doelgroep[[#This Row],[Implementatiegraad t = T + 1]]-uitkomst_doelgroep[[#This Row],[Implementatiegraad t = T]])*INDEX(Berekening_impact[Initiële investering (totaal) - incl. schatting],MATCH(B245,IF(Berekening_impact[Doelgroep]=C245,Berekening_impact[Digitale zorgtoepassing]),0))</f>
        <v>0</v>
      </c>
      <c r="S245" s="398">
        <f>uitkomst_doelgroep[[#This Row],[Arbeidsbesparing (€)]]*uitkomst_doelgroep[[#This Row],[Percentage van patiëntaantallen in Wlz (overige is Zvw)]]</f>
        <v>0</v>
      </c>
      <c r="T245" s="398">
        <f>uitkomst_doelgroep[[#This Row],[Overige besparingen (€)]]*uitkomst_doelgroep[[#This Row],[Percentage van patiëntaantallen in Wlz (overige is Zvw)]]</f>
        <v>0</v>
      </c>
      <c r="U245" s="398">
        <f>uitkomst_doelgroep[[#This Row],[Kosten (€)]]*uitkomst_doelgroep[[#This Row],[Percentage van patiëntaantallen in Wlz (overige is Zvw)]]</f>
        <v>0</v>
      </c>
      <c r="V245" s="398">
        <f>uitkomst_doelgroep[[#This Row],[Investering (cash flow) (€)]]*uitkomst_doelgroep[[#This Row],[Percentage van patiëntaantallen in Wlz (overige is Zvw)]]</f>
        <v>0</v>
      </c>
    </row>
    <row r="246" spans="1:22" x14ac:dyDescent="0.5">
      <c r="A246" s="33" t="str">
        <f>INDEX(Technologieën[Veld],MATCH(B246,Technologieën[Digitale zorgtoepassing],0))</f>
        <v>Software - Diagnose</v>
      </c>
      <c r="B246" s="33" t="s">
        <v>139</v>
      </c>
      <c r="C246" s="33" t="s">
        <v>106</v>
      </c>
      <c r="D246" s="427" cm="1">
        <f t="array" ref="D246">INDEX(Berekening_patiëntaantal[Percentage van patiëntaantallen in Wlz (overige is Zvw)],MATCH(B246,IF(Berekening_patiëntaantal[Doelgroep (zoeksleutel)]=C246,Berekening_patiëntaantal[Digitale zorgtoepassing]),0))</f>
        <v>0</v>
      </c>
      <c r="E246" s="33" t="str" cm="1">
        <f t="array" ref="E246">INDEX(Berekening_patiëntaantal[Direct toepasbaar/extrapolatie/incidentie voor QALY],MATCH(B246,IF(Berekening_patiëntaantal[Doelgroep (zoeksleutel)]=C246,Berekening_patiëntaantal[Digitale zorgtoepassing]),0))</f>
        <v>Huidige toepassing</v>
      </c>
      <c r="F246" s="43" t="s">
        <v>812</v>
      </c>
      <c r="G246" s="33" t="str">
        <f>CONCATENATE(uitkomst_doelgroep[[#This Row],[Digitale zorgtoepassing]],"_",uitkomst_doelgroep[[#This Row],[Doelgroep]],"_",uitkomst_doelgroep[[#This Row],[Uitgangssituatie/effect beleid]])</f>
        <v>Digitale pathologie_NVT_Effect beleid</v>
      </c>
      <c r="H246" s="33">
        <v>2033</v>
      </c>
      <c r="I246" s="32">
        <v>11</v>
      </c>
      <c r="J246" s="406" cm="1">
        <f t="array" ref="J246">INDEX(implementatie[[2023]:[2034]],MATCH(G246, implementatie[Zoeksleutel],0),I246)</f>
        <v>0.99953021721229562</v>
      </c>
      <c r="K246" s="406" cm="1">
        <f t="array" ref="K246">INDEX(implementatie[[2023]:[2034]],MATCH(G246,implementatie[Zoeksleutel],0),I246 + 1)</f>
        <v>0.99975326472331483</v>
      </c>
      <c r="L24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999529.21768207836</v>
      </c>
      <c r="M246" s="398" cm="1">
        <f t="array" ref="M246">J246*INDEX(Berekening_impact[Totaal arbeidsbesparing (€/jaar)],MATCH(B246,IF(Berekening_impact[Doelgroep]=C246,Berekening_impact[Digitale zorgtoepassing]),0))</f>
        <v>11756241.678261044</v>
      </c>
      <c r="N246" s="397" cm="1">
        <f t="array" ref="N246">J246*INDEX(Berekening_impact[Totaal arbeidsbesparing (FTE/jaar)],MATCH(B246,IF(Berekening_impact[Doelgroep]=C246,Berekening_impact[Digitale zorgtoepassing]),0))</f>
        <v>61.970873467162328</v>
      </c>
      <c r="O246" s="398" cm="1">
        <f t="array" ref="O246">J246*INDEX(Berekening_impact[Overige kostenbesparing (totaal/jaar totaal potentieel)],MATCH(B246,IF(Berekening_impact[Doelgroep]=C246,Berekening_impact[Digitale zorgtoepassing]),0))</f>
        <v>0</v>
      </c>
      <c r="P246" s="398" cm="1">
        <f t="array" ref="P246">J246*INDEX(Berekening_impact[Opbrengsten door QALY''s],MATCH(B246,IF(Berekening_impact[Doelgroep]=C246,Berekening_impact[Digitale zorgtoepassing]),0))</f>
        <v>0</v>
      </c>
      <c r="Q246" s="398" cm="1">
        <f t="array" ref="Q246">J246*INDEX(Berekening_impact[Jaarlijkse kosten (totaal) - incl. schatting],MATCH(B246,IF(Berekening_impact[Doelgroep]=C246,Berekening_impact[Digitale zorgtoepassing]),0))</f>
        <v>9990826.96473502</v>
      </c>
      <c r="R246" s="398" cm="1">
        <f t="array" ref="R246">(uitkomst_doelgroep[[#This Row],[Implementatiegraad t = T + 1]]-uitkomst_doelgroep[[#This Row],[Implementatiegraad t = T]])*INDEX(Berekening_impact[Initiële investering (totaal) - incl. schatting],MATCH(B246,IF(Berekening_impact[Doelgroep]=C246,Berekening_impact[Digitale zorgtoepassing]),0))</f>
        <v>0</v>
      </c>
      <c r="S246" s="398">
        <f>uitkomst_doelgroep[[#This Row],[Arbeidsbesparing (€)]]*uitkomst_doelgroep[[#This Row],[Percentage van patiëntaantallen in Wlz (overige is Zvw)]]</f>
        <v>0</v>
      </c>
      <c r="T246" s="398">
        <f>uitkomst_doelgroep[[#This Row],[Overige besparingen (€)]]*uitkomst_doelgroep[[#This Row],[Percentage van patiëntaantallen in Wlz (overige is Zvw)]]</f>
        <v>0</v>
      </c>
      <c r="U246" s="398">
        <f>uitkomst_doelgroep[[#This Row],[Kosten (€)]]*uitkomst_doelgroep[[#This Row],[Percentage van patiëntaantallen in Wlz (overige is Zvw)]]</f>
        <v>0</v>
      </c>
      <c r="V246" s="398">
        <f>uitkomst_doelgroep[[#This Row],[Investering (cash flow) (€)]]*uitkomst_doelgroep[[#This Row],[Percentage van patiëntaantallen in Wlz (overige is Zvw)]]</f>
        <v>0</v>
      </c>
    </row>
    <row r="247" spans="1:22" x14ac:dyDescent="0.5">
      <c r="A247" s="33" t="str">
        <f>INDEX(Technologieën[Veld],MATCH(B247,Technologieën[Digitale zorgtoepassing],0))</f>
        <v>Software - Diagnose</v>
      </c>
      <c r="B247" s="33" t="s">
        <v>725</v>
      </c>
      <c r="C247" s="33" t="s">
        <v>99</v>
      </c>
      <c r="D247" s="427" cm="1">
        <f t="array" ref="D247">INDEX(Berekening_patiëntaantal[Percentage van patiëntaantallen in Wlz (overige is Zvw)],MATCH(B247,IF(Berekening_patiëntaantal[Doelgroep (zoeksleutel)]=C247,Berekening_patiëntaantal[Digitale zorgtoepassing]),0))</f>
        <v>0</v>
      </c>
      <c r="E247" s="33" t="str" cm="1">
        <f t="array" ref="E247">INDEX(Berekening_patiëntaantal[Direct toepasbaar/extrapolatie/incidentie voor QALY],MATCH(B247,IF(Berekening_patiëntaantal[Doelgroep (zoeksleutel)]=C247,Berekening_patiëntaantal[Digitale zorgtoepassing]),0))</f>
        <v>Huidige toepassing</v>
      </c>
      <c r="F247" s="43" t="s">
        <v>812</v>
      </c>
      <c r="G247" s="33" t="str">
        <f>CONCATENATE(uitkomst_doelgroep[[#This Row],[Digitale zorgtoepassing]],"_",uitkomst_doelgroep[[#This Row],[Doelgroep]],"_",uitkomst_doelgroep[[#This Row],[Uitgangssituatie/effect beleid]])</f>
        <v>Inzicht assistent digitale zelftriage dagpraktijk_Huisartscontacten__Effect beleid</v>
      </c>
      <c r="H247" s="33">
        <v>2023</v>
      </c>
      <c r="I247" s="32">
        <v>1</v>
      </c>
      <c r="J247" s="406" cm="1">
        <f t="array" ref="J247">INDEX(implementatie[[2023]:[2034]],MATCH(G247, implementatie[Zoeksleutel],0),I247)</f>
        <v>0.2</v>
      </c>
      <c r="K247" s="406" cm="1">
        <f t="array" ref="K247">INDEX(implementatie[[2023]:[2034]],MATCH(G247,implementatie[Zoeksleutel],0),I247 + 1)</f>
        <v>0.26800000000000002</v>
      </c>
      <c r="L24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395421</v>
      </c>
      <c r="M247" s="398" cm="1">
        <f t="array" ref="M247">J247*INDEX(Berekening_impact[Totaal arbeidsbesparing (€/jaar)],MATCH(B247,IF(Berekening_impact[Doelgroep]=C247,Berekening_impact[Digitale zorgtoepassing]),0))</f>
        <v>183103.80354985641</v>
      </c>
      <c r="N247" s="397" cm="1">
        <f t="array" ref="N247">J247*INDEX(Berekening_impact[Totaal arbeidsbesparing (FTE/jaar)],MATCH(B247,IF(Berekening_impact[Doelgroep]=C247,Berekening_impact[Digitale zorgtoepassing]),0))</f>
        <v>4.2140218750000011</v>
      </c>
      <c r="O247" s="398" cm="1">
        <f t="array" ref="O247">J247*INDEX(Berekening_impact[Overige kostenbesparing (totaal/jaar totaal potentieel)],MATCH(B247,IF(Berekening_impact[Doelgroep]=C247,Berekening_impact[Digitale zorgtoepassing]),0))</f>
        <v>0</v>
      </c>
      <c r="P247" s="398" cm="1">
        <f t="array" ref="P247">J247*INDEX(Berekening_impact[Opbrengsten door QALY''s],MATCH(B247,IF(Berekening_impact[Doelgroep]=C247,Berekening_impact[Digitale zorgtoepassing]),0))</f>
        <v>0</v>
      </c>
      <c r="Q247" s="398" cm="1">
        <f t="array" ref="Q247">J247*INDEX(Berekening_impact[Jaarlijkse kosten (totaal) - incl. schatting],MATCH(B247,IF(Berekening_impact[Doelgroep]=C247,Berekening_impact[Digitale zorgtoepassing]),0))</f>
        <v>102868.79795500002</v>
      </c>
      <c r="R247" s="398" cm="1">
        <f t="array" ref="R247">(uitkomst_doelgroep[[#This Row],[Implementatiegraad t = T + 1]]-uitkomst_doelgroep[[#This Row],[Implementatiegraad t = T]])*INDEX(Berekening_impact[Initiële investering (totaal) - incl. schatting],MATCH(B247,IF(Berekening_impact[Doelgroep]=C247,Berekening_impact[Digitale zorgtoepassing]),0))</f>
        <v>13999.763125708576</v>
      </c>
      <c r="S247" s="398">
        <f>uitkomst_doelgroep[[#This Row],[Arbeidsbesparing (€)]]*uitkomst_doelgroep[[#This Row],[Percentage van patiëntaantallen in Wlz (overige is Zvw)]]</f>
        <v>0</v>
      </c>
      <c r="T247" s="398">
        <f>uitkomst_doelgroep[[#This Row],[Overige besparingen (€)]]*uitkomst_doelgroep[[#This Row],[Percentage van patiëntaantallen in Wlz (overige is Zvw)]]</f>
        <v>0</v>
      </c>
      <c r="U247" s="398">
        <f>uitkomst_doelgroep[[#This Row],[Kosten (€)]]*uitkomst_doelgroep[[#This Row],[Percentage van patiëntaantallen in Wlz (overige is Zvw)]]</f>
        <v>0</v>
      </c>
      <c r="V247" s="398">
        <f>uitkomst_doelgroep[[#This Row],[Investering (cash flow) (€)]]*uitkomst_doelgroep[[#This Row],[Percentage van patiëntaantallen in Wlz (overige is Zvw)]]</f>
        <v>0</v>
      </c>
    </row>
    <row r="248" spans="1:22" x14ac:dyDescent="0.5">
      <c r="A248" s="33" t="str">
        <f>INDEX(Technologieën[Veld],MATCH(B248,Technologieën[Digitale zorgtoepassing],0))</f>
        <v>Software - Diagnose</v>
      </c>
      <c r="B248" s="33" t="s">
        <v>725</v>
      </c>
      <c r="C248" s="33" t="s">
        <v>99</v>
      </c>
      <c r="D248" s="427" cm="1">
        <f t="array" ref="D248">INDEX(Berekening_patiëntaantal[Percentage van patiëntaantallen in Wlz (overige is Zvw)],MATCH(B248,IF(Berekening_patiëntaantal[Doelgroep (zoeksleutel)]=C248,Berekening_patiëntaantal[Digitale zorgtoepassing]),0))</f>
        <v>0</v>
      </c>
      <c r="E248" s="33" t="str" cm="1">
        <f t="array" ref="E248">INDEX(Berekening_patiëntaantal[Direct toepasbaar/extrapolatie/incidentie voor QALY],MATCH(B248,IF(Berekening_patiëntaantal[Doelgroep (zoeksleutel)]=C248,Berekening_patiëntaantal[Digitale zorgtoepassing]),0))</f>
        <v>Huidige toepassing</v>
      </c>
      <c r="F248" s="43" t="s">
        <v>812</v>
      </c>
      <c r="G248" s="33" t="str">
        <f>CONCATENATE(uitkomst_doelgroep[[#This Row],[Digitale zorgtoepassing]],"_",uitkomst_doelgroep[[#This Row],[Doelgroep]],"_",uitkomst_doelgroep[[#This Row],[Uitgangssituatie/effect beleid]])</f>
        <v>Inzicht assistent digitale zelftriage dagpraktijk_Huisartscontacten__Effect beleid</v>
      </c>
      <c r="H248" s="33">
        <v>2024</v>
      </c>
      <c r="I248" s="32">
        <v>2</v>
      </c>
      <c r="J248" s="406" cm="1">
        <f t="array" ref="J248">INDEX(implementatie[[2023]:[2034]],MATCH(G248, implementatie[Zoeksleutel],0),I248)</f>
        <v>0.26800000000000002</v>
      </c>
      <c r="K248" s="406" cm="1">
        <f t="array" ref="K248">INDEX(implementatie[[2023]:[2034]],MATCH(G248,implementatie[Zoeksleutel],0),I248 + 1)</f>
        <v>0.3476416</v>
      </c>
      <c r="L24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529864.14</v>
      </c>
      <c r="M248" s="398" cm="1">
        <f t="array" ref="M248">J248*INDEX(Berekening_impact[Totaal arbeidsbesparing (€/jaar)],MATCH(B248,IF(Berekening_impact[Doelgroep]=C248,Berekening_impact[Digitale zorgtoepassing]),0))</f>
        <v>245359.09675680759</v>
      </c>
      <c r="N248" s="397" cm="1">
        <f t="array" ref="N248">J248*INDEX(Berekening_impact[Totaal arbeidsbesparing (FTE/jaar)],MATCH(B248,IF(Berekening_impact[Doelgroep]=C248,Berekening_impact[Digitale zorgtoepassing]),0))</f>
        <v>5.6467893125000019</v>
      </c>
      <c r="O248" s="398" cm="1">
        <f t="array" ref="O248">J248*INDEX(Berekening_impact[Overige kostenbesparing (totaal/jaar totaal potentieel)],MATCH(B248,IF(Berekening_impact[Doelgroep]=C248,Berekening_impact[Digitale zorgtoepassing]),0))</f>
        <v>0</v>
      </c>
      <c r="P248" s="398" cm="1">
        <f t="array" ref="P248">J248*INDEX(Berekening_impact[Opbrengsten door QALY''s],MATCH(B248,IF(Berekening_impact[Doelgroep]=C248,Berekening_impact[Digitale zorgtoepassing]),0))</f>
        <v>0</v>
      </c>
      <c r="Q248" s="398" cm="1">
        <f t="array" ref="Q248">J248*INDEX(Berekening_impact[Jaarlijkse kosten (totaal) - incl. schatting],MATCH(B248,IF(Berekening_impact[Doelgroep]=C248,Berekening_impact[Digitale zorgtoepassing]),0))</f>
        <v>137844.18925970001</v>
      </c>
      <c r="R248" s="398" cm="1">
        <f t="array" ref="R248">(uitkomst_doelgroep[[#This Row],[Implementatiegraad t = T + 1]]-uitkomst_doelgroep[[#This Row],[Implementatiegraad t = T]])*INDEX(Berekening_impact[Initiële investering (totaal) - incl. schatting],MATCH(B248,IF(Berekening_impact[Doelgroep]=C248,Berekening_impact[Digitale zorgtoepassing]),0))</f>
        <v>16396.522572829879</v>
      </c>
      <c r="S248" s="398">
        <f>uitkomst_doelgroep[[#This Row],[Arbeidsbesparing (€)]]*uitkomst_doelgroep[[#This Row],[Percentage van patiëntaantallen in Wlz (overige is Zvw)]]</f>
        <v>0</v>
      </c>
      <c r="T248" s="398">
        <f>uitkomst_doelgroep[[#This Row],[Overige besparingen (€)]]*uitkomst_doelgroep[[#This Row],[Percentage van patiëntaantallen in Wlz (overige is Zvw)]]</f>
        <v>0</v>
      </c>
      <c r="U248" s="398">
        <f>uitkomst_doelgroep[[#This Row],[Kosten (€)]]*uitkomst_doelgroep[[#This Row],[Percentage van patiëntaantallen in Wlz (overige is Zvw)]]</f>
        <v>0</v>
      </c>
      <c r="V248" s="398">
        <f>uitkomst_doelgroep[[#This Row],[Investering (cash flow) (€)]]*uitkomst_doelgroep[[#This Row],[Percentage van patiëntaantallen in Wlz (overige is Zvw)]]</f>
        <v>0</v>
      </c>
    </row>
    <row r="249" spans="1:22" x14ac:dyDescent="0.5">
      <c r="A249" s="33" t="str">
        <f>INDEX(Technologieën[Veld],MATCH(B249,Technologieën[Digitale zorgtoepassing],0))</f>
        <v>Software - Diagnose</v>
      </c>
      <c r="B249" s="33" t="s">
        <v>725</v>
      </c>
      <c r="C249" s="33" t="s">
        <v>99</v>
      </c>
      <c r="D249" s="427" cm="1">
        <f t="array" ref="D249">INDEX(Berekening_patiëntaantal[Percentage van patiëntaantallen in Wlz (overige is Zvw)],MATCH(B249,IF(Berekening_patiëntaantal[Doelgroep (zoeksleutel)]=C249,Berekening_patiëntaantal[Digitale zorgtoepassing]),0))</f>
        <v>0</v>
      </c>
      <c r="E249" s="33" t="str" cm="1">
        <f t="array" ref="E249">INDEX(Berekening_patiëntaantal[Direct toepasbaar/extrapolatie/incidentie voor QALY],MATCH(B249,IF(Berekening_patiëntaantal[Doelgroep (zoeksleutel)]=C249,Berekening_patiëntaantal[Digitale zorgtoepassing]),0))</f>
        <v>Huidige toepassing</v>
      </c>
      <c r="F249" s="43" t="s">
        <v>812</v>
      </c>
      <c r="G249" s="33" t="str">
        <f>CONCATENATE(uitkomst_doelgroep[[#This Row],[Digitale zorgtoepassing]],"_",uitkomst_doelgroep[[#This Row],[Doelgroep]],"_",uitkomst_doelgroep[[#This Row],[Uitgangssituatie/effect beleid]])</f>
        <v>Inzicht assistent digitale zelftriage dagpraktijk_Huisartscontacten__Effect beleid</v>
      </c>
      <c r="H249" s="33">
        <v>2025</v>
      </c>
      <c r="I249" s="32">
        <v>3</v>
      </c>
      <c r="J249" s="406" cm="1">
        <f t="array" ref="J249">INDEX(implementatie[[2023]:[2034]],MATCH(G249, implementatie[Zoeksleutel],0),I249)</f>
        <v>0.3476416</v>
      </c>
      <c r="K249" s="406" cm="1">
        <f t="array" ref="K249">INDEX(implementatie[[2023]:[2034]],MATCH(G249,implementatie[Zoeksleutel],0),I249 + 1)</f>
        <v>0.43680239728230397</v>
      </c>
      <c r="L24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687323.94556799997</v>
      </c>
      <c r="M249" s="398" cm="1">
        <f t="array" ref="M249">J249*INDEX(Berekening_impact[Totaal arbeidsbesparing (€/jaar)],MATCH(B249,IF(Berekening_impact[Doelgroep]=C249,Berekening_impact[Digitale zorgtoepassing]),0))</f>
        <v>318272.49616078875</v>
      </c>
      <c r="N249" s="397" cm="1">
        <f t="array" ref="N249">J249*INDEX(Berekening_impact[Totaal arbeidsbesparing (FTE/jaar)],MATCH(B249,IF(Berekening_impact[Doelgroep]=C249,Berekening_impact[Digitale zorgtoepassing]),0))</f>
        <v>7.3248465353000016</v>
      </c>
      <c r="O249" s="398" cm="1">
        <f t="array" ref="O249">J249*INDEX(Berekening_impact[Overige kostenbesparing (totaal/jaar totaal potentieel)],MATCH(B249,IF(Berekening_impact[Doelgroep]=C249,Berekening_impact[Digitale zorgtoepassing]),0))</f>
        <v>0</v>
      </c>
      <c r="P249" s="398" cm="1">
        <f t="array" ref="P249">J249*INDEX(Berekening_impact[Opbrengsten door QALY''s],MATCH(B249,IF(Berekening_impact[Doelgroep]=C249,Berekening_impact[Digitale zorgtoepassing]),0))</f>
        <v>0</v>
      </c>
      <c r="Q249" s="398" cm="1">
        <f t="array" ref="Q249">J249*INDEX(Berekening_impact[Jaarlijkse kosten (totaal) - incl. schatting],MATCH(B249,IF(Berekening_impact[Doelgroep]=C249,Berekening_impact[Digitale zorgtoepassing]),0))</f>
        <v>178807.36755576465</v>
      </c>
      <c r="R249" s="398" cm="1">
        <f t="array" ref="R249">(uitkomst_doelgroep[[#This Row],[Implementatiegraad t = T + 1]]-uitkomst_doelgroep[[#This Row],[Implementatiegraad t = T]])*INDEX(Berekening_impact[Initiële investering (totaal) - incl. schatting],MATCH(B249,IF(Berekening_impact[Doelgroep]=C249,Berekening_impact[Digitale zorgtoepassing]),0))</f>
        <v>18356.3241478173</v>
      </c>
      <c r="S249" s="398">
        <f>uitkomst_doelgroep[[#This Row],[Arbeidsbesparing (€)]]*uitkomst_doelgroep[[#This Row],[Percentage van patiëntaantallen in Wlz (overige is Zvw)]]</f>
        <v>0</v>
      </c>
      <c r="T249" s="398">
        <f>uitkomst_doelgroep[[#This Row],[Overige besparingen (€)]]*uitkomst_doelgroep[[#This Row],[Percentage van patiëntaantallen in Wlz (overige is Zvw)]]</f>
        <v>0</v>
      </c>
      <c r="U249" s="398">
        <f>uitkomst_doelgroep[[#This Row],[Kosten (€)]]*uitkomst_doelgroep[[#This Row],[Percentage van patiëntaantallen in Wlz (overige is Zvw)]]</f>
        <v>0</v>
      </c>
      <c r="V249" s="398">
        <f>uitkomst_doelgroep[[#This Row],[Investering (cash flow) (€)]]*uitkomst_doelgroep[[#This Row],[Percentage van patiëntaantallen in Wlz (overige is Zvw)]]</f>
        <v>0</v>
      </c>
    </row>
    <row r="250" spans="1:22" x14ac:dyDescent="0.5">
      <c r="A250" s="33" t="str">
        <f>INDEX(Technologieën[Veld],MATCH(B250,Technologieën[Digitale zorgtoepassing],0))</f>
        <v>Software - Diagnose</v>
      </c>
      <c r="B250" s="33" t="s">
        <v>725</v>
      </c>
      <c r="C250" s="33" t="s">
        <v>99</v>
      </c>
      <c r="D250" s="427" cm="1">
        <f t="array" ref="D250">INDEX(Berekening_patiëntaantal[Percentage van patiëntaantallen in Wlz (overige is Zvw)],MATCH(B250,IF(Berekening_patiëntaantal[Doelgroep (zoeksleutel)]=C250,Berekening_patiëntaantal[Digitale zorgtoepassing]),0))</f>
        <v>0</v>
      </c>
      <c r="E250" s="33" t="str" cm="1">
        <f t="array" ref="E250">INDEX(Berekening_patiëntaantal[Direct toepasbaar/extrapolatie/incidentie voor QALY],MATCH(B250,IF(Berekening_patiëntaantal[Doelgroep (zoeksleutel)]=C250,Berekening_patiëntaantal[Digitale zorgtoepassing]),0))</f>
        <v>Huidige toepassing</v>
      </c>
      <c r="F250" s="43" t="s">
        <v>812</v>
      </c>
      <c r="G250" s="33" t="str">
        <f>CONCATENATE(uitkomst_doelgroep[[#This Row],[Digitale zorgtoepassing]],"_",uitkomst_doelgroep[[#This Row],[Doelgroep]],"_",uitkomst_doelgroep[[#This Row],[Uitgangssituatie/effect beleid]])</f>
        <v>Inzicht assistent digitale zelftriage dagpraktijk_Huisartscontacten__Effect beleid</v>
      </c>
      <c r="H250" s="33">
        <v>2026</v>
      </c>
      <c r="I250" s="32">
        <v>4</v>
      </c>
      <c r="J250" s="406" cm="1">
        <f t="array" ref="J250">INDEX(implementatie[[2023]:[2034]],MATCH(G250, implementatie[Zoeksleutel],0),I250)</f>
        <v>0.43680239728230397</v>
      </c>
      <c r="K250" s="406" cm="1">
        <f t="array" ref="K250">INDEX(implementatie[[2023]:[2034]],MATCH(G250,implementatie[Zoeksleutel],0),I250 + 1)</f>
        <v>0.53135248337682706</v>
      </c>
      <c r="L25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863604.2036788296</v>
      </c>
      <c r="M250" s="398" cm="1">
        <f t="array" ref="M250">J250*INDEX(Berekening_impact[Totaal arbeidsbesparing (€/jaar)],MATCH(B250,IF(Berekening_impact[Doelgroep]=C250,Berekening_impact[Digitale zorgtoepassing]),0))</f>
        <v>399900.90171042655</v>
      </c>
      <c r="N250" s="397" cm="1">
        <f t="array" ref="N250">J250*INDEX(Berekening_impact[Totaal arbeidsbesparing (FTE/jaar)],MATCH(B250,IF(Berekening_impact[Doelgroep]=C250,Berekening_impact[Digitale zorgtoepassing]),0))</f>
        <v>9.2034742860003487</v>
      </c>
      <c r="O250" s="398" cm="1">
        <f t="array" ref="O250">J250*INDEX(Berekening_impact[Overige kostenbesparing (totaal/jaar totaal potentieel)],MATCH(B250,IF(Berekening_impact[Doelgroep]=C250,Berekening_impact[Digitale zorgtoepassing]),0))</f>
        <v>0</v>
      </c>
      <c r="P250" s="398" cm="1">
        <f t="array" ref="P250">J250*INDEX(Berekening_impact[Opbrengsten door QALY''s],MATCH(B250,IF(Berekening_impact[Doelgroep]=C250,Berekening_impact[Digitale zorgtoepassing]),0))</f>
        <v>0</v>
      </c>
      <c r="Q250" s="398" cm="1">
        <f t="array" ref="Q250">J250*INDEX(Berekening_impact[Jaarlijkse kosten (totaal) - incl. schatting],MATCH(B250,IF(Berekening_impact[Doelgroep]=C250,Berekening_impact[Digitale zorgtoepassing]),0))</f>
        <v>224666.68776146485</v>
      </c>
      <c r="R250" s="398" cm="1">
        <f t="array" ref="R250">(uitkomst_doelgroep[[#This Row],[Implementatiegraad t = T + 1]]-uitkomst_doelgroep[[#This Row],[Implementatiegraad t = T]])*INDEX(Berekening_impact[Initiële investering (totaal) - incl. schatting],MATCH(B250,IF(Berekening_impact[Doelgroep]=C250,Berekening_impact[Digitale zorgtoepassing]),0))</f>
        <v>19465.864835862874</v>
      </c>
      <c r="S250" s="398">
        <f>uitkomst_doelgroep[[#This Row],[Arbeidsbesparing (€)]]*uitkomst_doelgroep[[#This Row],[Percentage van patiëntaantallen in Wlz (overige is Zvw)]]</f>
        <v>0</v>
      </c>
      <c r="T250" s="398">
        <f>uitkomst_doelgroep[[#This Row],[Overige besparingen (€)]]*uitkomst_doelgroep[[#This Row],[Percentage van patiëntaantallen in Wlz (overige is Zvw)]]</f>
        <v>0</v>
      </c>
      <c r="U250" s="398">
        <f>uitkomst_doelgroep[[#This Row],[Kosten (€)]]*uitkomst_doelgroep[[#This Row],[Percentage van patiëntaantallen in Wlz (overige is Zvw)]]</f>
        <v>0</v>
      </c>
      <c r="V250" s="398">
        <f>uitkomst_doelgroep[[#This Row],[Investering (cash flow) (€)]]*uitkomst_doelgroep[[#This Row],[Percentage van patiëntaantallen in Wlz (overige is Zvw)]]</f>
        <v>0</v>
      </c>
    </row>
    <row r="251" spans="1:22" x14ac:dyDescent="0.5">
      <c r="A251" s="33" t="str">
        <f>INDEX(Technologieën[Veld],MATCH(B251,Technologieën[Digitale zorgtoepassing],0))</f>
        <v>Software - Diagnose</v>
      </c>
      <c r="B251" s="33" t="s">
        <v>725</v>
      </c>
      <c r="C251" s="33" t="s">
        <v>99</v>
      </c>
      <c r="D251" s="427" cm="1">
        <f t="array" ref="D251">INDEX(Berekening_patiëntaantal[Percentage van patiëntaantallen in Wlz (overige is Zvw)],MATCH(B251,IF(Berekening_patiëntaantal[Doelgroep (zoeksleutel)]=C251,Berekening_patiëntaantal[Digitale zorgtoepassing]),0))</f>
        <v>0</v>
      </c>
      <c r="E251" s="33" t="str" cm="1">
        <f t="array" ref="E251">INDEX(Berekening_patiëntaantal[Direct toepasbaar/extrapolatie/incidentie voor QALY],MATCH(B251,IF(Berekening_patiëntaantal[Doelgroep (zoeksleutel)]=C251,Berekening_patiëntaantal[Digitale zorgtoepassing]),0))</f>
        <v>Huidige toepassing</v>
      </c>
      <c r="F251" s="43" t="s">
        <v>812</v>
      </c>
      <c r="G251" s="33" t="str">
        <f>CONCATENATE(uitkomst_doelgroep[[#This Row],[Digitale zorgtoepassing]],"_",uitkomst_doelgroep[[#This Row],[Doelgroep]],"_",uitkomst_doelgroep[[#This Row],[Uitgangssituatie/effect beleid]])</f>
        <v>Inzicht assistent digitale zelftriage dagpraktijk_Huisartscontacten__Effect beleid</v>
      </c>
      <c r="H251" s="33">
        <v>2027</v>
      </c>
      <c r="I251" s="32">
        <v>5</v>
      </c>
      <c r="J251" s="406" cm="1">
        <f t="array" ref="J251">INDEX(implementatie[[2023]:[2034]],MATCH(G251, implementatie[Zoeksleutel],0),I251)</f>
        <v>0.53135248337682706</v>
      </c>
      <c r="K251" s="406" cm="1">
        <f t="array" ref="K251">INDEX(implementatie[[2023]:[2034]],MATCH(G251,implementatie[Zoeksleutel],0),I251 + 1)</f>
        <v>0.62553815375131172</v>
      </c>
      <c r="L25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1050539.6516467417</v>
      </c>
      <c r="M251" s="398" cm="1">
        <f t="array" ref="M251">J251*INDEX(Berekening_impact[Totaal arbeidsbesparing (€/jaar)],MATCH(B251,IF(Berekening_impact[Doelgroep]=C251,Berekening_impact[Digitale zorgtoepassing]),0))</f>
        <v>486463.30365979439</v>
      </c>
      <c r="N251" s="397" cm="1">
        <f t="array" ref="N251">J251*INDEX(Berekening_impact[Totaal arbeidsbesparing (FTE/jaar)],MATCH(B251,IF(Berekening_impact[Doelgroep]=C251,Berekening_impact[Digitale zorgtoepassing]),0))</f>
        <v>11.195654941427618</v>
      </c>
      <c r="O251" s="398" cm="1">
        <f t="array" ref="O251">J251*INDEX(Berekening_impact[Overige kostenbesparing (totaal/jaar totaal potentieel)],MATCH(B251,IF(Berekening_impact[Doelgroep]=C251,Berekening_impact[Digitale zorgtoepassing]),0))</f>
        <v>0</v>
      </c>
      <c r="P251" s="398" cm="1">
        <f t="array" ref="P251">J251*INDEX(Berekening_impact[Opbrengsten door QALY''s],MATCH(B251,IF(Berekening_impact[Doelgroep]=C251,Berekening_impact[Digitale zorgtoepassing]),0))</f>
        <v>0</v>
      </c>
      <c r="Q251" s="398" cm="1">
        <f t="array" ref="Q251">J251*INDEX(Berekening_impact[Jaarlijkse kosten (totaal) - incl. schatting],MATCH(B251,IF(Berekening_impact[Doelgroep]=C251,Berekening_impact[Digitale zorgtoepassing]),0))</f>
        <v>273297.95627689158</v>
      </c>
      <c r="R251" s="398" cm="1">
        <f t="array" ref="R251">(uitkomst_doelgroep[[#This Row],[Implementatiegraad t = T + 1]]-uitkomst_doelgroep[[#This Row],[Implementatiegraad t = T]])*INDEX(Berekening_impact[Initiële investering (totaal) - incl. schatting],MATCH(B251,IF(Berekening_impact[Doelgroep]=C251,Berekening_impact[Digitale zorgtoepassing]),0))</f>
        <v>19390.839339394897</v>
      </c>
      <c r="S251" s="398">
        <f>uitkomst_doelgroep[[#This Row],[Arbeidsbesparing (€)]]*uitkomst_doelgroep[[#This Row],[Percentage van patiëntaantallen in Wlz (overige is Zvw)]]</f>
        <v>0</v>
      </c>
      <c r="T251" s="398">
        <f>uitkomst_doelgroep[[#This Row],[Overige besparingen (€)]]*uitkomst_doelgroep[[#This Row],[Percentage van patiëntaantallen in Wlz (overige is Zvw)]]</f>
        <v>0</v>
      </c>
      <c r="U251" s="398">
        <f>uitkomst_doelgroep[[#This Row],[Kosten (€)]]*uitkomst_doelgroep[[#This Row],[Percentage van patiëntaantallen in Wlz (overige is Zvw)]]</f>
        <v>0</v>
      </c>
      <c r="V251" s="398">
        <f>uitkomst_doelgroep[[#This Row],[Investering (cash flow) (€)]]*uitkomst_doelgroep[[#This Row],[Percentage van patiëntaantallen in Wlz (overige is Zvw)]]</f>
        <v>0</v>
      </c>
    </row>
    <row r="252" spans="1:22" x14ac:dyDescent="0.5">
      <c r="A252" s="33" t="str">
        <f>INDEX(Technologieën[Veld],MATCH(B252,Technologieën[Digitale zorgtoepassing],0))</f>
        <v>Software - Diagnose</v>
      </c>
      <c r="B252" s="33" t="s">
        <v>725</v>
      </c>
      <c r="C252" s="33" t="s">
        <v>99</v>
      </c>
      <c r="D252" s="427" cm="1">
        <f t="array" ref="D252">INDEX(Berekening_patiëntaantal[Percentage van patiëntaantallen in Wlz (overige is Zvw)],MATCH(B252,IF(Berekening_patiëntaantal[Doelgroep (zoeksleutel)]=C252,Berekening_patiëntaantal[Digitale zorgtoepassing]),0))</f>
        <v>0</v>
      </c>
      <c r="E252" s="33" t="str" cm="1">
        <f t="array" ref="E252">INDEX(Berekening_patiëntaantal[Direct toepasbaar/extrapolatie/incidentie voor QALY],MATCH(B252,IF(Berekening_patiëntaantal[Doelgroep (zoeksleutel)]=C252,Berekening_patiëntaantal[Digitale zorgtoepassing]),0))</f>
        <v>Huidige toepassing</v>
      </c>
      <c r="F252" s="43" t="s">
        <v>812</v>
      </c>
      <c r="G252" s="33" t="str">
        <f>CONCATENATE(uitkomst_doelgroep[[#This Row],[Digitale zorgtoepassing]],"_",uitkomst_doelgroep[[#This Row],[Doelgroep]],"_",uitkomst_doelgroep[[#This Row],[Uitgangssituatie/effect beleid]])</f>
        <v>Inzicht assistent digitale zelftriage dagpraktijk_Huisartscontacten__Effect beleid</v>
      </c>
      <c r="H252" s="33">
        <v>2028</v>
      </c>
      <c r="I252" s="32">
        <v>6</v>
      </c>
      <c r="J252" s="406" cm="1">
        <f t="array" ref="J252">INDEX(implementatie[[2023]:[2034]],MATCH(G252, implementatie[Zoeksleutel],0),I252)</f>
        <v>0.62553815375131172</v>
      </c>
      <c r="K252" s="406" cm="1">
        <f t="array" ref="K252">INDEX(implementatie[[2023]:[2034]],MATCH(G252,implementatie[Zoeksleutel],0),I252 + 1)</f>
        <v>0.71313914162849124</v>
      </c>
      <c r="L25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1236754.6114724872</v>
      </c>
      <c r="M252" s="398" cm="1">
        <f t="array" ref="M252">J252*INDEX(Berekening_impact[Totaal arbeidsbesparing (€/jaar)],MATCH(B252,IF(Berekening_impact[Doelgroep]=C252,Berekening_impact[Digitale zorgtoepassing]),0))</f>
        <v>572692.0760871002</v>
      </c>
      <c r="N252" s="397" cm="1">
        <f t="array" ref="N252">J252*INDEX(Berekening_impact[Totaal arbeidsbesparing (FTE/jaar)],MATCH(B252,IF(Berekening_impact[Doelgroep]=C252,Berekening_impact[Digitale zorgtoepassing]),0))</f>
        <v>13.180157317775707</v>
      </c>
      <c r="O252" s="398" cm="1">
        <f t="array" ref="O252">J252*INDEX(Berekening_impact[Overige kostenbesparing (totaal/jaar totaal potentieel)],MATCH(B252,IF(Berekening_impact[Doelgroep]=C252,Berekening_impact[Digitale zorgtoepassing]),0))</f>
        <v>0</v>
      </c>
      <c r="P252" s="398" cm="1">
        <f t="array" ref="P252">J252*INDEX(Berekening_impact[Opbrengsten door QALY''s],MATCH(B252,IF(Berekening_impact[Doelgroep]=C252,Berekening_impact[Digitale zorgtoepassing]),0))</f>
        <v>0</v>
      </c>
      <c r="Q252" s="398" cm="1">
        <f t="array" ref="Q252">J252*INDEX(Berekening_impact[Jaarlijkse kosten (totaal) - incl. schatting],MATCH(B252,IF(Berekening_impact[Doelgroep]=C252,Berekening_impact[Digitale zorgtoepassing]),0))</f>
        <v>321741.78975693707</v>
      </c>
      <c r="R252" s="398" cm="1">
        <f t="array" ref="R252">(uitkomst_doelgroep[[#This Row],[Implementatiegraad t = T + 1]]-uitkomst_doelgroep[[#This Row],[Implementatiegraad t = T]])*INDEX(Berekening_impact[Initiële investering (totaal) - incl. schatting],MATCH(B252,IF(Berekening_impact[Doelgroep]=C252,Berekening_impact[Digitale zorgtoepassing]),0))</f>
        <v>18035.192350861496</v>
      </c>
      <c r="S252" s="398">
        <f>uitkomst_doelgroep[[#This Row],[Arbeidsbesparing (€)]]*uitkomst_doelgroep[[#This Row],[Percentage van patiëntaantallen in Wlz (overige is Zvw)]]</f>
        <v>0</v>
      </c>
      <c r="T252" s="398">
        <f>uitkomst_doelgroep[[#This Row],[Overige besparingen (€)]]*uitkomst_doelgroep[[#This Row],[Percentage van patiëntaantallen in Wlz (overige is Zvw)]]</f>
        <v>0</v>
      </c>
      <c r="U252" s="398">
        <f>uitkomst_doelgroep[[#This Row],[Kosten (€)]]*uitkomst_doelgroep[[#This Row],[Percentage van patiëntaantallen in Wlz (overige is Zvw)]]</f>
        <v>0</v>
      </c>
      <c r="V252" s="398">
        <f>uitkomst_doelgroep[[#This Row],[Investering (cash flow) (€)]]*uitkomst_doelgroep[[#This Row],[Percentage van patiëntaantallen in Wlz (overige is Zvw)]]</f>
        <v>0</v>
      </c>
    </row>
    <row r="253" spans="1:22" x14ac:dyDescent="0.5">
      <c r="A253" s="33" t="str">
        <f>INDEX(Technologieën[Veld],MATCH(B253,Technologieën[Digitale zorgtoepassing],0))</f>
        <v>Software - Diagnose</v>
      </c>
      <c r="B253" s="33" t="s">
        <v>725</v>
      </c>
      <c r="C253" s="33" t="s">
        <v>99</v>
      </c>
      <c r="D253" s="427" cm="1">
        <f t="array" ref="D253">INDEX(Berekening_patiëntaantal[Percentage van patiëntaantallen in Wlz (overige is Zvw)],MATCH(B253,IF(Berekening_patiëntaantal[Doelgroep (zoeksleutel)]=C253,Berekening_patiëntaantal[Digitale zorgtoepassing]),0))</f>
        <v>0</v>
      </c>
      <c r="E253" s="33" t="str" cm="1">
        <f t="array" ref="E253">INDEX(Berekening_patiëntaantal[Direct toepasbaar/extrapolatie/incidentie voor QALY],MATCH(B253,IF(Berekening_patiëntaantal[Doelgroep (zoeksleutel)]=C253,Berekening_patiëntaantal[Digitale zorgtoepassing]),0))</f>
        <v>Huidige toepassing</v>
      </c>
      <c r="F253" s="43" t="s">
        <v>812</v>
      </c>
      <c r="G253" s="33" t="str">
        <f>CONCATENATE(uitkomst_doelgroep[[#This Row],[Digitale zorgtoepassing]],"_",uitkomst_doelgroep[[#This Row],[Doelgroep]],"_",uitkomst_doelgroep[[#This Row],[Uitgangssituatie/effect beleid]])</f>
        <v>Inzicht assistent digitale zelftriage dagpraktijk_Huisartscontacten__Effect beleid</v>
      </c>
      <c r="H253" s="33">
        <v>2029</v>
      </c>
      <c r="I253" s="32">
        <v>7</v>
      </c>
      <c r="J253" s="406" cm="1">
        <f t="array" ref="J253">INDEX(implementatie[[2023]:[2034]],MATCH(G253, implementatie[Zoeksleutel],0),I253)</f>
        <v>0.71313914162849124</v>
      </c>
      <c r="K253" s="406" cm="1">
        <f t="array" ref="K253">INDEX(implementatie[[2023]:[2034]],MATCH(G253,implementatie[Zoeksleutel],0),I253 + 1)</f>
        <v>0.78904215171111836</v>
      </c>
      <c r="L25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1409950.9626093982</v>
      </c>
      <c r="M253" s="398" cm="1">
        <f t="array" ref="M253">J253*INDEX(Berekening_impact[Totaal arbeidsbesparing (€/jaar)],MATCH(B253,IF(Berekening_impact[Doelgroep]=C253,Berekening_impact[Digitale zorgtoepassing]),0))</f>
        <v>652892.44646228233</v>
      </c>
      <c r="N253" s="397" cm="1">
        <f t="array" ref="N253">J253*INDEX(Berekening_impact[Totaal arbeidsbesparing (FTE/jaar)],MATCH(B253,IF(Berekening_impact[Doelgroep]=C253,Berekening_impact[Digitale zorgtoepassing]),0))</f>
        <v>15.02591971370593</v>
      </c>
      <c r="O253" s="398" cm="1">
        <f t="array" ref="O253">J253*INDEX(Berekening_impact[Overige kostenbesparing (totaal/jaar totaal potentieel)],MATCH(B253,IF(Berekening_impact[Doelgroep]=C253,Berekening_impact[Digitale zorgtoepassing]),0))</f>
        <v>0</v>
      </c>
      <c r="P253" s="398" cm="1">
        <f t="array" ref="P253">J253*INDEX(Berekening_impact[Opbrengsten door QALY''s],MATCH(B253,IF(Berekening_impact[Doelgroep]=C253,Berekening_impact[Digitale zorgtoepassing]),0))</f>
        <v>0</v>
      </c>
      <c r="Q253" s="398" cm="1">
        <f t="array" ref="Q253">J253*INDEX(Berekening_impact[Jaarlijkse kosten (totaal) - incl. schatting],MATCH(B253,IF(Berekening_impact[Doelgroep]=C253,Berekening_impact[Digitale zorgtoepassing]),0))</f>
        <v>366798.83136991697</v>
      </c>
      <c r="R253" s="398" cm="1">
        <f t="array" ref="R253">(uitkomst_doelgroep[[#This Row],[Implementatiegraad t = T + 1]]-uitkomst_doelgroep[[#This Row],[Implementatiegraad t = T]])*INDEX(Berekening_impact[Initiële investering (totaal) - incl. schatting],MATCH(B253,IF(Berekening_impact[Doelgroep]=C253,Berekening_impact[Digitale zorgtoepassing]),0))</f>
        <v>15626.825907133079</v>
      </c>
      <c r="S253" s="398">
        <f>uitkomst_doelgroep[[#This Row],[Arbeidsbesparing (€)]]*uitkomst_doelgroep[[#This Row],[Percentage van patiëntaantallen in Wlz (overige is Zvw)]]</f>
        <v>0</v>
      </c>
      <c r="T253" s="398">
        <f>uitkomst_doelgroep[[#This Row],[Overige besparingen (€)]]*uitkomst_doelgroep[[#This Row],[Percentage van patiëntaantallen in Wlz (overige is Zvw)]]</f>
        <v>0</v>
      </c>
      <c r="U253" s="398">
        <f>uitkomst_doelgroep[[#This Row],[Kosten (€)]]*uitkomst_doelgroep[[#This Row],[Percentage van patiëntaantallen in Wlz (overige is Zvw)]]</f>
        <v>0</v>
      </c>
      <c r="V253" s="398">
        <f>uitkomst_doelgroep[[#This Row],[Investering (cash flow) (€)]]*uitkomst_doelgroep[[#This Row],[Percentage van patiëntaantallen in Wlz (overige is Zvw)]]</f>
        <v>0</v>
      </c>
    </row>
    <row r="254" spans="1:22" x14ac:dyDescent="0.5">
      <c r="A254" s="33" t="str">
        <f>INDEX(Technologieën[Veld],MATCH(B254,Technologieën[Digitale zorgtoepassing],0))</f>
        <v>Software - Diagnose</v>
      </c>
      <c r="B254" s="33" t="s">
        <v>725</v>
      </c>
      <c r="C254" s="33" t="s">
        <v>99</v>
      </c>
      <c r="D254" s="427" cm="1">
        <f t="array" ref="D254">INDEX(Berekening_patiëntaantal[Percentage van patiëntaantallen in Wlz (overige is Zvw)],MATCH(B254,IF(Berekening_patiëntaantal[Doelgroep (zoeksleutel)]=C254,Berekening_patiëntaantal[Digitale zorgtoepassing]),0))</f>
        <v>0</v>
      </c>
      <c r="E254" s="33" t="str" cm="1">
        <f t="array" ref="E254">INDEX(Berekening_patiëntaantal[Direct toepasbaar/extrapolatie/incidentie voor QALY],MATCH(B254,IF(Berekening_patiëntaantal[Doelgroep (zoeksleutel)]=C254,Berekening_patiëntaantal[Digitale zorgtoepassing]),0))</f>
        <v>Huidige toepassing</v>
      </c>
      <c r="F254" s="43" t="s">
        <v>812</v>
      </c>
      <c r="G254" s="33" t="str">
        <f>CONCATENATE(uitkomst_doelgroep[[#This Row],[Digitale zorgtoepassing]],"_",uitkomst_doelgroep[[#This Row],[Doelgroep]],"_",uitkomst_doelgroep[[#This Row],[Uitgangssituatie/effect beleid]])</f>
        <v>Inzicht assistent digitale zelftriage dagpraktijk_Huisartscontacten__Effect beleid</v>
      </c>
      <c r="H254" s="33">
        <v>2030</v>
      </c>
      <c r="I254" s="32">
        <v>8</v>
      </c>
      <c r="J254" s="406" cm="1">
        <f t="array" ref="J254">INDEX(implementatie[[2023]:[2034]],MATCH(G254, implementatie[Zoeksleutel],0),I254)</f>
        <v>0.78904215171111836</v>
      </c>
      <c r="K254" s="406" cm="1">
        <f t="array" ref="K254">INDEX(implementatie[[2023]:[2034]],MATCH(G254,implementatie[Zoeksleutel],0),I254 + 1)</f>
        <v>0.85046564152242399</v>
      </c>
      <c r="L25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1560019.1833588106</v>
      </c>
      <c r="M254" s="398" cm="1">
        <f t="array" ref="M254">J254*INDEX(Berekening_impact[Totaal arbeidsbesparing (€/jaar)],MATCH(B254,IF(Berekening_impact[Doelgroep]=C254,Berekening_impact[Digitale zorgtoepassing]),0))</f>
        <v>722383.095697343</v>
      </c>
      <c r="N254" s="397" cm="1">
        <f t="array" ref="N254">J254*INDEX(Berekening_impact[Totaal arbeidsbesparing (FTE/jaar)],MATCH(B254,IF(Berekening_impact[Doelgroep]=C254,Berekening_impact[Digitale zorgtoepassing]),0))</f>
        <v>16.625204438038612</v>
      </c>
      <c r="O254" s="398" cm="1">
        <f t="array" ref="O254">J254*INDEX(Berekening_impact[Overige kostenbesparing (totaal/jaar totaal potentieel)],MATCH(B254,IF(Berekening_impact[Doelgroep]=C254,Berekening_impact[Digitale zorgtoepassing]),0))</f>
        <v>0</v>
      </c>
      <c r="P254" s="398" cm="1">
        <f t="array" ref="P254">J254*INDEX(Berekening_impact[Opbrengsten door QALY''s],MATCH(B254,IF(Berekening_impact[Doelgroep]=C254,Berekening_impact[Digitale zorgtoepassing]),0))</f>
        <v>0</v>
      </c>
      <c r="Q254" s="398" cm="1">
        <f t="array" ref="Q254">J254*INDEX(Berekening_impact[Jaarlijkse kosten (totaal) - incl. schatting],MATCH(B254,IF(Berekening_impact[Doelgroep]=C254,Berekening_impact[Digitale zorgtoepassing]),0))</f>
        <v>405839.08841174748</v>
      </c>
      <c r="R254" s="398" cm="1">
        <f t="array" ref="R254">(uitkomst_doelgroep[[#This Row],[Implementatiegraad t = T + 1]]-uitkomst_doelgroep[[#This Row],[Implementatiegraad t = T]])*INDEX(Berekening_impact[Initiële investering (totaal) - incl. schatting],MATCH(B254,IF(Berekening_impact[Doelgroep]=C254,Berekening_impact[Digitale zorgtoepassing]),0))</f>
        <v>12645.798642833131</v>
      </c>
      <c r="S254" s="398">
        <f>uitkomst_doelgroep[[#This Row],[Arbeidsbesparing (€)]]*uitkomst_doelgroep[[#This Row],[Percentage van patiëntaantallen in Wlz (overige is Zvw)]]</f>
        <v>0</v>
      </c>
      <c r="T254" s="398">
        <f>uitkomst_doelgroep[[#This Row],[Overige besparingen (€)]]*uitkomst_doelgroep[[#This Row],[Percentage van patiëntaantallen in Wlz (overige is Zvw)]]</f>
        <v>0</v>
      </c>
      <c r="U254" s="398">
        <f>uitkomst_doelgroep[[#This Row],[Kosten (€)]]*uitkomst_doelgroep[[#This Row],[Percentage van patiëntaantallen in Wlz (overige is Zvw)]]</f>
        <v>0</v>
      </c>
      <c r="V254" s="398">
        <f>uitkomst_doelgroep[[#This Row],[Investering (cash flow) (€)]]*uitkomst_doelgroep[[#This Row],[Percentage van patiëntaantallen in Wlz (overige is Zvw)]]</f>
        <v>0</v>
      </c>
    </row>
    <row r="255" spans="1:22" x14ac:dyDescent="0.5">
      <c r="A255" s="33" t="str">
        <f>INDEX(Technologieën[Veld],MATCH(B255,Technologieën[Digitale zorgtoepassing],0))</f>
        <v>Software - Diagnose</v>
      </c>
      <c r="B255" s="33" t="s">
        <v>725</v>
      </c>
      <c r="C255" s="33" t="s">
        <v>99</v>
      </c>
      <c r="D255" s="427" cm="1">
        <f t="array" ref="D255">INDEX(Berekening_patiëntaantal[Percentage van patiëntaantallen in Wlz (overige is Zvw)],MATCH(B255,IF(Berekening_patiëntaantal[Doelgroep (zoeksleutel)]=C255,Berekening_patiëntaantal[Digitale zorgtoepassing]),0))</f>
        <v>0</v>
      </c>
      <c r="E255" s="33" t="str" cm="1">
        <f t="array" ref="E255">INDEX(Berekening_patiëntaantal[Direct toepasbaar/extrapolatie/incidentie voor QALY],MATCH(B255,IF(Berekening_patiëntaantal[Doelgroep (zoeksleutel)]=C255,Berekening_patiëntaantal[Digitale zorgtoepassing]),0))</f>
        <v>Huidige toepassing</v>
      </c>
      <c r="F255" s="43" t="s">
        <v>812</v>
      </c>
      <c r="G255" s="33" t="str">
        <f>CONCATENATE(uitkomst_doelgroep[[#This Row],[Digitale zorgtoepassing]],"_",uitkomst_doelgroep[[#This Row],[Doelgroep]],"_",uitkomst_doelgroep[[#This Row],[Uitgangssituatie/effect beleid]])</f>
        <v>Inzicht assistent digitale zelftriage dagpraktijk_Huisartscontacten__Effect beleid</v>
      </c>
      <c r="H255" s="33">
        <v>2031</v>
      </c>
      <c r="I255" s="32">
        <v>9</v>
      </c>
      <c r="J255" s="406" cm="1">
        <f t="array" ref="J255">INDEX(implementatie[[2023]:[2034]],MATCH(G255, implementatie[Zoeksleutel],0),I255)</f>
        <v>0.85046564152242399</v>
      </c>
      <c r="K255" s="406" cm="1">
        <f t="array" ref="K255">INDEX(implementatie[[2023]:[2034]],MATCH(G255,implementatie[Zoeksleutel],0),I255 + 1)</f>
        <v>0.89721949883888419</v>
      </c>
      <c r="L25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1681459.872182192</v>
      </c>
      <c r="M255" s="398" cm="1">
        <f t="array" ref="M255">J255*INDEX(Berekening_impact[Totaal arbeidsbesparing (€/jaar)],MATCH(B255,IF(Berekening_impact[Doelgroep]=C255,Berekening_impact[Digitale zorgtoepassing]),0))</f>
        <v>778617.46875612251</v>
      </c>
      <c r="N255" s="397" cm="1">
        <f t="array" ref="N255">J255*INDEX(Berekening_impact[Totaal arbeidsbesparing (FTE/jaar)],MATCH(B255,IF(Berekening_impact[Doelgroep]=C255,Berekening_impact[Digitale zorgtoepassing]),0))</f>
        <v>17.919404086557019</v>
      </c>
      <c r="O255" s="398" cm="1">
        <f t="array" ref="O255">J255*INDEX(Berekening_impact[Overige kostenbesparing (totaal/jaar totaal potentieel)],MATCH(B255,IF(Berekening_impact[Doelgroep]=C255,Berekening_impact[Digitale zorgtoepassing]),0))</f>
        <v>0</v>
      </c>
      <c r="P255" s="398" cm="1">
        <f t="array" ref="P255">J255*INDEX(Berekening_impact[Opbrengsten door QALY''s],MATCH(B255,IF(Berekening_impact[Doelgroep]=C255,Berekening_impact[Digitale zorgtoepassing]),0))</f>
        <v>0</v>
      </c>
      <c r="Q255" s="398" cm="1">
        <f t="array" ref="Q255">J255*INDEX(Berekening_impact[Jaarlijkse kosten (totaal) - incl. schatting],MATCH(B255,IF(Berekening_impact[Doelgroep]=C255,Berekening_impact[Digitale zorgtoepassing]),0))</f>
        <v>437431.89122719847</v>
      </c>
      <c r="R255" s="398" cm="1">
        <f t="array" ref="R255">(uitkomst_doelgroep[[#This Row],[Implementatiegraad t = T + 1]]-uitkomst_doelgroep[[#This Row],[Implementatiegraad t = T]])*INDEX(Berekening_impact[Initiële investering (totaal) - incl. schatting],MATCH(B255,IF(Berekening_impact[Doelgroep]=C255,Berekening_impact[Digitale zorgtoepassing]),0))</f>
        <v>9625.6312888767588</v>
      </c>
      <c r="S255" s="398">
        <f>uitkomst_doelgroep[[#This Row],[Arbeidsbesparing (€)]]*uitkomst_doelgroep[[#This Row],[Percentage van patiëntaantallen in Wlz (overige is Zvw)]]</f>
        <v>0</v>
      </c>
      <c r="T255" s="398">
        <f>uitkomst_doelgroep[[#This Row],[Overige besparingen (€)]]*uitkomst_doelgroep[[#This Row],[Percentage van patiëntaantallen in Wlz (overige is Zvw)]]</f>
        <v>0</v>
      </c>
      <c r="U255" s="398">
        <f>uitkomst_doelgroep[[#This Row],[Kosten (€)]]*uitkomst_doelgroep[[#This Row],[Percentage van patiëntaantallen in Wlz (overige is Zvw)]]</f>
        <v>0</v>
      </c>
      <c r="V255" s="398">
        <f>uitkomst_doelgroep[[#This Row],[Investering (cash flow) (€)]]*uitkomst_doelgroep[[#This Row],[Percentage van patiëntaantallen in Wlz (overige is Zvw)]]</f>
        <v>0</v>
      </c>
    </row>
    <row r="256" spans="1:22" x14ac:dyDescent="0.5">
      <c r="A256" s="33" t="str">
        <f>INDEX(Technologieën[Veld],MATCH(B256,Technologieën[Digitale zorgtoepassing],0))</f>
        <v>Software - Diagnose</v>
      </c>
      <c r="B256" s="33" t="s">
        <v>725</v>
      </c>
      <c r="C256" s="33" t="s">
        <v>99</v>
      </c>
      <c r="D256" s="427" cm="1">
        <f t="array" ref="D256">INDEX(Berekening_patiëntaantal[Percentage van patiëntaantallen in Wlz (overige is Zvw)],MATCH(B256,IF(Berekening_patiëntaantal[Doelgroep (zoeksleutel)]=C256,Berekening_patiëntaantal[Digitale zorgtoepassing]),0))</f>
        <v>0</v>
      </c>
      <c r="E256" s="33" t="str" cm="1">
        <f t="array" ref="E256">INDEX(Berekening_patiëntaantal[Direct toepasbaar/extrapolatie/incidentie voor QALY],MATCH(B256,IF(Berekening_patiëntaantal[Doelgroep (zoeksleutel)]=C256,Berekening_patiëntaantal[Digitale zorgtoepassing]),0))</f>
        <v>Huidige toepassing</v>
      </c>
      <c r="F256" s="43" t="s">
        <v>812</v>
      </c>
      <c r="G256" s="33" t="str">
        <f>CONCATENATE(uitkomst_doelgroep[[#This Row],[Digitale zorgtoepassing]],"_",uitkomst_doelgroep[[#This Row],[Doelgroep]],"_",uitkomst_doelgroep[[#This Row],[Uitgangssituatie/effect beleid]])</f>
        <v>Inzicht assistent digitale zelftriage dagpraktijk_Huisartscontacten__Effect beleid</v>
      </c>
      <c r="H256" s="33">
        <v>2032</v>
      </c>
      <c r="I256" s="32">
        <v>10</v>
      </c>
      <c r="J256" s="406" cm="1">
        <f t="array" ref="J256">INDEX(implementatie[[2023]:[2034]],MATCH(G256, implementatie[Zoeksleutel],0),I256)</f>
        <v>0.89721949883888419</v>
      </c>
      <c r="K256" s="406" cm="1">
        <f t="array" ref="K256">INDEX(implementatie[[2023]:[2034]],MATCH(G256,implementatie[Zoeksleutel],0),I256 + 1)</f>
        <v>0.93103704076606597</v>
      </c>
      <c r="L25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1773897.1572518521</v>
      </c>
      <c r="M256" s="398" cm="1">
        <f t="array" ref="M256">J256*INDEX(Berekening_impact[Totaal arbeidsbesparing (€/jaar)],MATCH(B256,IF(Berekening_impact[Doelgroep]=C256,Berekening_impact[Digitale zorgtoepassing]),0))</f>
        <v>821421.51428247825</v>
      </c>
      <c r="N256" s="397" cm="1">
        <f t="array" ref="N256">J256*INDEX(Berekening_impact[Totaal arbeidsbesparing (FTE/jaar)],MATCH(B256,IF(Berekening_impact[Doelgroep]=C256,Berekening_impact[Digitale zorgtoepassing]),0))</f>
        <v>18.904512973917981</v>
      </c>
      <c r="O256" s="398" cm="1">
        <f t="array" ref="O256">J256*INDEX(Berekening_impact[Overige kostenbesparing (totaal/jaar totaal potentieel)],MATCH(B256,IF(Berekening_impact[Doelgroep]=C256,Berekening_impact[Digitale zorgtoepassing]),0))</f>
        <v>0</v>
      </c>
      <c r="P256" s="398" cm="1">
        <f t="array" ref="P256">J256*INDEX(Berekening_impact[Opbrengsten door QALY''s],MATCH(B256,IF(Berekening_impact[Doelgroep]=C256,Berekening_impact[Digitale zorgtoepassing]),0))</f>
        <v>0</v>
      </c>
      <c r="Q256" s="398" cm="1">
        <f t="array" ref="Q256">J256*INDEX(Berekening_impact[Jaarlijkse kosten (totaal) - incl. schatting],MATCH(B256,IF(Berekening_impact[Doelgroep]=C256,Berekening_impact[Digitale zorgtoepassing]),0))</f>
        <v>461479.45673671772</v>
      </c>
      <c r="R256" s="398" cm="1">
        <f t="array" ref="R256">(uitkomst_doelgroep[[#This Row],[Implementatiegraad t = T + 1]]-uitkomst_doelgroep[[#This Row],[Implementatiegraad t = T]])*INDEX(Berekening_impact[Initiële investering (totaal) - incl. schatting],MATCH(B256,IF(Berekening_impact[Doelgroep]=C256,Berekening_impact[Digitale zorgtoepassing]),0))</f>
        <v>6962.3173010921064</v>
      </c>
      <c r="S256" s="398">
        <f>uitkomst_doelgroep[[#This Row],[Arbeidsbesparing (€)]]*uitkomst_doelgroep[[#This Row],[Percentage van patiëntaantallen in Wlz (overige is Zvw)]]</f>
        <v>0</v>
      </c>
      <c r="T256" s="398">
        <f>uitkomst_doelgroep[[#This Row],[Overige besparingen (€)]]*uitkomst_doelgroep[[#This Row],[Percentage van patiëntaantallen in Wlz (overige is Zvw)]]</f>
        <v>0</v>
      </c>
      <c r="U256" s="398">
        <f>uitkomst_doelgroep[[#This Row],[Kosten (€)]]*uitkomst_doelgroep[[#This Row],[Percentage van patiëntaantallen in Wlz (overige is Zvw)]]</f>
        <v>0</v>
      </c>
      <c r="V256" s="398">
        <f>uitkomst_doelgroep[[#This Row],[Investering (cash flow) (€)]]*uitkomst_doelgroep[[#This Row],[Percentage van patiëntaantallen in Wlz (overige is Zvw)]]</f>
        <v>0</v>
      </c>
    </row>
    <row r="257" spans="1:22" x14ac:dyDescent="0.5">
      <c r="A257" s="33" t="str">
        <f>INDEX(Technologieën[Veld],MATCH(B257,Technologieën[Digitale zorgtoepassing],0))</f>
        <v>Software - Diagnose</v>
      </c>
      <c r="B257" s="33" t="s">
        <v>725</v>
      </c>
      <c r="C257" s="33" t="s">
        <v>99</v>
      </c>
      <c r="D257" s="427" cm="1">
        <f t="array" ref="D257">INDEX(Berekening_patiëntaantal[Percentage van patiëntaantallen in Wlz (overige is Zvw)],MATCH(B257,IF(Berekening_patiëntaantal[Doelgroep (zoeksleutel)]=C257,Berekening_patiëntaantal[Digitale zorgtoepassing]),0))</f>
        <v>0</v>
      </c>
      <c r="E257" s="33" t="str" cm="1">
        <f t="array" ref="E257">INDEX(Berekening_patiëntaantal[Direct toepasbaar/extrapolatie/incidentie voor QALY],MATCH(B257,IF(Berekening_patiëntaantal[Doelgroep (zoeksleutel)]=C257,Berekening_patiëntaantal[Digitale zorgtoepassing]),0))</f>
        <v>Huidige toepassing</v>
      </c>
      <c r="F257" s="43" t="s">
        <v>812</v>
      </c>
      <c r="G257" s="33" t="str">
        <f>CONCATENATE(uitkomst_doelgroep[[#This Row],[Digitale zorgtoepassing]],"_",uitkomst_doelgroep[[#This Row],[Doelgroep]],"_",uitkomst_doelgroep[[#This Row],[Uitgangssituatie/effect beleid]])</f>
        <v>Inzicht assistent digitale zelftriage dagpraktijk_Huisartscontacten__Effect beleid</v>
      </c>
      <c r="H257" s="33">
        <v>2033</v>
      </c>
      <c r="I257" s="32">
        <v>11</v>
      </c>
      <c r="J257" s="406" cm="1">
        <f t="array" ref="J257">INDEX(implementatie[[2023]:[2034]],MATCH(G257, implementatie[Zoeksleutel],0),I257)</f>
        <v>0.93103704076606597</v>
      </c>
      <c r="K257" s="406" cm="1">
        <f t="array" ref="K257">INDEX(implementatie[[2023]:[2034]],MATCH(G257,implementatie[Zoeksleutel],0),I257 + 1)</f>
        <v>0.9545439594752464</v>
      </c>
      <c r="L25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1840757.9884837929</v>
      </c>
      <c r="M257" s="398" cm="1">
        <f t="array" ref="M257">J257*INDEX(Berekening_impact[Totaal arbeidsbesparing (€/jaar)],MATCH(B257,IF(Berekening_impact[Doelgroep]=C257,Berekening_impact[Digitale zorgtoepassing]),0))</f>
        <v>852382.11705034692</v>
      </c>
      <c r="N257" s="397" cm="1">
        <f t="array" ref="N257">J257*INDEX(Berekening_impact[Totaal arbeidsbesparing (FTE/jaar)],MATCH(B257,IF(Berekening_impact[Doelgroep]=C257,Berekening_impact[Digitale zorgtoepassing]),0))</f>
        <v>19.617052281117349</v>
      </c>
      <c r="O257" s="398" cm="1">
        <f t="array" ref="O257">J257*INDEX(Berekening_impact[Overige kostenbesparing (totaal/jaar totaal potentieel)],MATCH(B257,IF(Berekening_impact[Doelgroep]=C257,Berekening_impact[Digitale zorgtoepassing]),0))</f>
        <v>0</v>
      </c>
      <c r="P257" s="398" cm="1">
        <f t="array" ref="P257">J257*INDEX(Berekening_impact[Opbrengsten door QALY''s],MATCH(B257,IF(Berekening_impact[Doelgroep]=C257,Berekening_impact[Digitale zorgtoepassing]),0))</f>
        <v>0</v>
      </c>
      <c r="Q257" s="398" cm="1">
        <f t="array" ref="Q257">J257*INDEX(Berekening_impact[Jaarlijkse kosten (totaal) - incl. schatting],MATCH(B257,IF(Berekening_impact[Doelgroep]=C257,Berekening_impact[Digitale zorgtoepassing]),0))</f>
        <v>478873.30617592769</v>
      </c>
      <c r="R257" s="398" cm="1">
        <f t="array" ref="R257">(uitkomst_doelgroep[[#This Row],[Implementatiegraad t = T + 1]]-uitkomst_doelgroep[[#This Row],[Implementatiegraad t = T]])*INDEX(Berekening_impact[Initiële investering (totaal) - incl. schatting],MATCH(B257,IF(Berekening_impact[Doelgroep]=C257,Berekening_impact[Digitale zorgtoepassing]),0))</f>
        <v>4839.5778491737228</v>
      </c>
      <c r="S257" s="398">
        <f>uitkomst_doelgroep[[#This Row],[Arbeidsbesparing (€)]]*uitkomst_doelgroep[[#This Row],[Percentage van patiëntaantallen in Wlz (overige is Zvw)]]</f>
        <v>0</v>
      </c>
      <c r="T257" s="398">
        <f>uitkomst_doelgroep[[#This Row],[Overige besparingen (€)]]*uitkomst_doelgroep[[#This Row],[Percentage van patiëntaantallen in Wlz (overige is Zvw)]]</f>
        <v>0</v>
      </c>
      <c r="U257" s="398">
        <f>uitkomst_doelgroep[[#This Row],[Kosten (€)]]*uitkomst_doelgroep[[#This Row],[Percentage van patiëntaantallen in Wlz (overige is Zvw)]]</f>
        <v>0</v>
      </c>
      <c r="V257" s="398">
        <f>uitkomst_doelgroep[[#This Row],[Investering (cash flow) (€)]]*uitkomst_doelgroep[[#This Row],[Percentage van patiëntaantallen in Wlz (overige is Zvw)]]</f>
        <v>0</v>
      </c>
    </row>
    <row r="258" spans="1:22" x14ac:dyDescent="0.5">
      <c r="A258" s="33" t="str">
        <f>INDEX(Technologieën[Veld],MATCH(B258,Technologieën[Digitale zorgtoepassing],0))</f>
        <v>Software - Diagnose</v>
      </c>
      <c r="B258" s="33" t="s">
        <v>720</v>
      </c>
      <c r="C258" s="33" t="s">
        <v>73</v>
      </c>
      <c r="D258" s="427" cm="1">
        <f t="array" ref="D258">INDEX(Berekening_patiëntaantal[Percentage van patiëntaantallen in Wlz (overige is Zvw)],MATCH(B258,IF(Berekening_patiëntaantal[Doelgroep (zoeksleutel)]=C258,Berekening_patiëntaantal[Digitale zorgtoepassing]),0))</f>
        <v>0</v>
      </c>
      <c r="E258" s="33" t="str" cm="1">
        <f t="array" ref="E258">INDEX(Berekening_patiëntaantal[Direct toepasbaar/extrapolatie/incidentie voor QALY],MATCH(B258,IF(Berekening_patiëntaantal[Doelgroep (zoeksleutel)]=C258,Berekening_patiëntaantal[Digitale zorgtoepassing]),0))</f>
        <v>Huidige toepassing</v>
      </c>
      <c r="F258" s="43" t="s">
        <v>812</v>
      </c>
      <c r="G258" s="33" t="str">
        <f>CONCATENATE(uitkomst_doelgroep[[#This Row],[Digitale zorgtoepassing]],"_",uitkomst_doelgroep[[#This Row],[Doelgroep]],"_",uitkomst_doelgroep[[#This Row],[Uitgangssituatie/effect beleid]])</f>
        <v>Inzicht triagist digitale zelftriage HAP_HAP triageconsulten_U4/U5_Effect beleid</v>
      </c>
      <c r="H258" s="33">
        <v>2023</v>
      </c>
      <c r="I258" s="32">
        <v>1</v>
      </c>
      <c r="J258" s="406" cm="1">
        <f t="array" ref="J258">INDEX(implementatie[[2023]:[2034]],MATCH(G258, implementatie[Zoeksleutel],0),I258)</f>
        <v>0.2</v>
      </c>
      <c r="K258" s="406" cm="1">
        <f t="array" ref="K258">INDEX(implementatie[[2023]:[2034]],MATCH(G258,implementatie[Zoeksleutel],0),I258 + 1)</f>
        <v>0.26800000000000002</v>
      </c>
      <c r="L25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286580</v>
      </c>
      <c r="M258" s="398" cm="1">
        <f t="array" ref="M258">J258*INDEX(Berekening_impact[Totaal arbeidsbesparing (€/jaar)],MATCH(B258,IF(Berekening_impact[Doelgroep]=C258,Berekening_impact[Digitale zorgtoepassing]),0))</f>
        <v>124721.66103927205</v>
      </c>
      <c r="N258" s="397" cm="1">
        <f t="array" ref="N258">J258*INDEX(Berekening_impact[Totaal arbeidsbesparing (FTE/jaar)],MATCH(B258,IF(Berekening_impact[Doelgroep]=C258,Berekening_impact[Digitale zorgtoepassing]),0))</f>
        <v>2.8703926282051282</v>
      </c>
      <c r="O258" s="398" cm="1">
        <f t="array" ref="O258">J258*INDEX(Berekening_impact[Overige kostenbesparing (totaal/jaar totaal potentieel)],MATCH(B258,IF(Berekening_impact[Doelgroep]=C258,Berekening_impact[Digitale zorgtoepassing]),0))</f>
        <v>0</v>
      </c>
      <c r="P258" s="398" cm="1">
        <f t="array" ref="P258">J258*INDEX(Berekening_impact[Opbrengsten door QALY''s],MATCH(B258,IF(Berekening_impact[Doelgroep]=C258,Berekening_impact[Digitale zorgtoepassing]),0))</f>
        <v>0</v>
      </c>
      <c r="Q258" s="398" cm="1">
        <f t="array" ref="Q258">J258*INDEX(Berekening_impact[Jaarlijkse kosten (totaal) - incl. schatting],MATCH(B258,IF(Berekening_impact[Doelgroep]=C258,Berekening_impact[Digitale zorgtoepassing]),0))</f>
        <v>136000</v>
      </c>
      <c r="R258" s="398" cm="1">
        <f t="array" ref="R258">(uitkomst_doelgroep[[#This Row],[Implementatiegraad t = T + 1]]-uitkomst_doelgroep[[#This Row],[Implementatiegraad t = T]])*INDEX(Berekening_impact[Initiële investering (totaal) - incl. schatting],MATCH(B258,IF(Berekening_impact[Doelgroep]=C258,Berekening_impact[Digitale zorgtoepassing]),0))</f>
        <v>54570.000000000007</v>
      </c>
      <c r="S258" s="398">
        <f>uitkomst_doelgroep[[#This Row],[Arbeidsbesparing (€)]]*uitkomst_doelgroep[[#This Row],[Percentage van patiëntaantallen in Wlz (overige is Zvw)]]</f>
        <v>0</v>
      </c>
      <c r="T258" s="398">
        <f>uitkomst_doelgroep[[#This Row],[Overige besparingen (€)]]*uitkomst_doelgroep[[#This Row],[Percentage van patiëntaantallen in Wlz (overige is Zvw)]]</f>
        <v>0</v>
      </c>
      <c r="U258" s="398">
        <f>uitkomst_doelgroep[[#This Row],[Kosten (€)]]*uitkomst_doelgroep[[#This Row],[Percentage van patiëntaantallen in Wlz (overige is Zvw)]]</f>
        <v>0</v>
      </c>
      <c r="V258" s="398">
        <f>uitkomst_doelgroep[[#This Row],[Investering (cash flow) (€)]]*uitkomst_doelgroep[[#This Row],[Percentage van patiëntaantallen in Wlz (overige is Zvw)]]</f>
        <v>0</v>
      </c>
    </row>
    <row r="259" spans="1:22" x14ac:dyDescent="0.5">
      <c r="A259" s="33" t="str">
        <f>INDEX(Technologieën[Veld],MATCH(B259,Technologieën[Digitale zorgtoepassing],0))</f>
        <v>Software - Diagnose</v>
      </c>
      <c r="B259" s="33" t="s">
        <v>720</v>
      </c>
      <c r="C259" s="33" t="s">
        <v>73</v>
      </c>
      <c r="D259" s="427" cm="1">
        <f t="array" ref="D259">INDEX(Berekening_patiëntaantal[Percentage van patiëntaantallen in Wlz (overige is Zvw)],MATCH(B259,IF(Berekening_patiëntaantal[Doelgroep (zoeksleutel)]=C259,Berekening_patiëntaantal[Digitale zorgtoepassing]),0))</f>
        <v>0</v>
      </c>
      <c r="E259" s="33" t="str" cm="1">
        <f t="array" ref="E259">INDEX(Berekening_patiëntaantal[Direct toepasbaar/extrapolatie/incidentie voor QALY],MATCH(B259,IF(Berekening_patiëntaantal[Doelgroep (zoeksleutel)]=C259,Berekening_patiëntaantal[Digitale zorgtoepassing]),0))</f>
        <v>Huidige toepassing</v>
      </c>
      <c r="F259" s="43" t="s">
        <v>812</v>
      </c>
      <c r="G259" s="33" t="str">
        <f>CONCATENATE(uitkomst_doelgroep[[#This Row],[Digitale zorgtoepassing]],"_",uitkomst_doelgroep[[#This Row],[Doelgroep]],"_",uitkomst_doelgroep[[#This Row],[Uitgangssituatie/effect beleid]])</f>
        <v>Inzicht triagist digitale zelftriage HAP_HAP triageconsulten_U4/U5_Effect beleid</v>
      </c>
      <c r="H259" s="33">
        <v>2024</v>
      </c>
      <c r="I259" s="32">
        <v>2</v>
      </c>
      <c r="J259" s="406" cm="1">
        <f t="array" ref="J259">INDEX(implementatie[[2023]:[2034]],MATCH(G259, implementatie[Zoeksleutel],0),I259)</f>
        <v>0.26800000000000002</v>
      </c>
      <c r="K259" s="406" cm="1">
        <f t="array" ref="K259">INDEX(implementatie[[2023]:[2034]],MATCH(G259,implementatie[Zoeksleutel],0),I259 + 1)</f>
        <v>0.3476416</v>
      </c>
      <c r="L25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384017.2</v>
      </c>
      <c r="M259" s="398" cm="1">
        <f t="array" ref="M259">J259*INDEX(Berekening_impact[Totaal arbeidsbesparing (€/jaar)],MATCH(B259,IF(Berekening_impact[Doelgroep]=C259,Berekening_impact[Digitale zorgtoepassing]),0))</f>
        <v>167127.02579262454</v>
      </c>
      <c r="N259" s="397" cm="1">
        <f t="array" ref="N259">J259*INDEX(Berekening_impact[Totaal arbeidsbesparing (FTE/jaar)],MATCH(B259,IF(Berekening_impact[Doelgroep]=C259,Berekening_impact[Digitale zorgtoepassing]),0))</f>
        <v>3.8463261217948719</v>
      </c>
      <c r="O259" s="398" cm="1">
        <f t="array" ref="O259">J259*INDEX(Berekening_impact[Overige kostenbesparing (totaal/jaar totaal potentieel)],MATCH(B259,IF(Berekening_impact[Doelgroep]=C259,Berekening_impact[Digitale zorgtoepassing]),0))</f>
        <v>0</v>
      </c>
      <c r="P259" s="398" cm="1">
        <f t="array" ref="P259">J259*INDEX(Berekening_impact[Opbrengsten door QALY''s],MATCH(B259,IF(Berekening_impact[Doelgroep]=C259,Berekening_impact[Digitale zorgtoepassing]),0))</f>
        <v>0</v>
      </c>
      <c r="Q259" s="398" cm="1">
        <f t="array" ref="Q259">J259*INDEX(Berekening_impact[Jaarlijkse kosten (totaal) - incl. schatting],MATCH(B259,IF(Berekening_impact[Doelgroep]=C259,Berekening_impact[Digitale zorgtoepassing]),0))</f>
        <v>182240</v>
      </c>
      <c r="R259" s="398" cm="1">
        <f t="array" ref="R259">(uitkomst_doelgroep[[#This Row],[Implementatiegraad t = T + 1]]-uitkomst_doelgroep[[#This Row],[Implementatiegraad t = T]])*INDEX(Berekening_impact[Initiële investering (totaal) - incl. schatting],MATCH(B259,IF(Berekening_impact[Doelgroep]=C259,Berekening_impact[Digitale zorgtoepassing]),0))</f>
        <v>63912.383999999984</v>
      </c>
      <c r="S259" s="398">
        <f>uitkomst_doelgroep[[#This Row],[Arbeidsbesparing (€)]]*uitkomst_doelgroep[[#This Row],[Percentage van patiëntaantallen in Wlz (overige is Zvw)]]</f>
        <v>0</v>
      </c>
      <c r="T259" s="398">
        <f>uitkomst_doelgroep[[#This Row],[Overige besparingen (€)]]*uitkomst_doelgroep[[#This Row],[Percentage van patiëntaantallen in Wlz (overige is Zvw)]]</f>
        <v>0</v>
      </c>
      <c r="U259" s="398">
        <f>uitkomst_doelgroep[[#This Row],[Kosten (€)]]*uitkomst_doelgroep[[#This Row],[Percentage van patiëntaantallen in Wlz (overige is Zvw)]]</f>
        <v>0</v>
      </c>
      <c r="V259" s="398">
        <f>uitkomst_doelgroep[[#This Row],[Investering (cash flow) (€)]]*uitkomst_doelgroep[[#This Row],[Percentage van patiëntaantallen in Wlz (overige is Zvw)]]</f>
        <v>0</v>
      </c>
    </row>
    <row r="260" spans="1:22" x14ac:dyDescent="0.5">
      <c r="A260" s="33" t="str">
        <f>INDEX(Technologieën[Veld],MATCH(B260,Technologieën[Digitale zorgtoepassing],0))</f>
        <v>Software - Diagnose</v>
      </c>
      <c r="B260" s="33" t="s">
        <v>720</v>
      </c>
      <c r="C260" s="33" t="s">
        <v>73</v>
      </c>
      <c r="D260" s="427" cm="1">
        <f t="array" ref="D260">INDEX(Berekening_patiëntaantal[Percentage van patiëntaantallen in Wlz (overige is Zvw)],MATCH(B260,IF(Berekening_patiëntaantal[Doelgroep (zoeksleutel)]=C260,Berekening_patiëntaantal[Digitale zorgtoepassing]),0))</f>
        <v>0</v>
      </c>
      <c r="E260" s="33" t="str" cm="1">
        <f t="array" ref="E260">INDEX(Berekening_patiëntaantal[Direct toepasbaar/extrapolatie/incidentie voor QALY],MATCH(B260,IF(Berekening_patiëntaantal[Doelgroep (zoeksleutel)]=C260,Berekening_patiëntaantal[Digitale zorgtoepassing]),0))</f>
        <v>Huidige toepassing</v>
      </c>
      <c r="F260" s="43" t="s">
        <v>812</v>
      </c>
      <c r="G260" s="33" t="str">
        <f>CONCATENATE(uitkomst_doelgroep[[#This Row],[Digitale zorgtoepassing]],"_",uitkomst_doelgroep[[#This Row],[Doelgroep]],"_",uitkomst_doelgroep[[#This Row],[Uitgangssituatie/effect beleid]])</f>
        <v>Inzicht triagist digitale zelftriage HAP_HAP triageconsulten_U4/U5_Effect beleid</v>
      </c>
      <c r="H260" s="33">
        <v>2025</v>
      </c>
      <c r="I260" s="32">
        <v>3</v>
      </c>
      <c r="J260" s="406" cm="1">
        <f t="array" ref="J260">INDEX(implementatie[[2023]:[2034]],MATCH(G260, implementatie[Zoeksleutel],0),I260)</f>
        <v>0.3476416</v>
      </c>
      <c r="K260" s="406" cm="1">
        <f t="array" ref="K260">INDEX(implementatie[[2023]:[2034]],MATCH(G260,implementatie[Zoeksleutel],0),I260 + 1)</f>
        <v>0.43680239728230397</v>
      </c>
      <c r="L26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498135.64863999997</v>
      </c>
      <c r="M260" s="398" cm="1">
        <f t="array" ref="M260">J260*INDEX(Berekening_impact[Totaal arbeidsbesparing (€/jaar)],MATCH(B260,IF(Berekening_impact[Doelgroep]=C260,Berekening_impact[Digitale zorgtoepassing]),0))</f>
        <v>216792.18899175097</v>
      </c>
      <c r="N260" s="397" cm="1">
        <f t="array" ref="N260">J260*INDEX(Berekening_impact[Totaal arbeidsbesparing (FTE/jaar)],MATCH(B260,IF(Berekening_impact[Doelgroep]=C260,Berekening_impact[Digitale zorgtoepassing]),0))</f>
        <v>4.9893394294871793</v>
      </c>
      <c r="O260" s="398" cm="1">
        <f t="array" ref="O260">J260*INDEX(Berekening_impact[Overige kostenbesparing (totaal/jaar totaal potentieel)],MATCH(B260,IF(Berekening_impact[Doelgroep]=C260,Berekening_impact[Digitale zorgtoepassing]),0))</f>
        <v>0</v>
      </c>
      <c r="P260" s="398" cm="1">
        <f t="array" ref="P260">J260*INDEX(Berekening_impact[Opbrengsten door QALY''s],MATCH(B260,IF(Berekening_impact[Doelgroep]=C260,Berekening_impact[Digitale zorgtoepassing]),0))</f>
        <v>0</v>
      </c>
      <c r="Q260" s="398" cm="1">
        <f t="array" ref="Q260">J260*INDEX(Berekening_impact[Jaarlijkse kosten (totaal) - incl. schatting],MATCH(B260,IF(Berekening_impact[Doelgroep]=C260,Berekening_impact[Digitale zorgtoepassing]),0))</f>
        <v>236396.288</v>
      </c>
      <c r="R260" s="398" cm="1">
        <f t="array" ref="R260">(uitkomst_doelgroep[[#This Row],[Implementatiegraad t = T + 1]]-uitkomst_doelgroep[[#This Row],[Implementatiegraad t = T]])*INDEX(Berekening_impact[Initiële investering (totaal) - incl. schatting],MATCH(B260,IF(Berekening_impact[Doelgroep]=C260,Berekening_impact[Digitale zorgtoepassing]),0))</f>
        <v>71551.539819048936</v>
      </c>
      <c r="S260" s="398">
        <f>uitkomst_doelgroep[[#This Row],[Arbeidsbesparing (€)]]*uitkomst_doelgroep[[#This Row],[Percentage van patiëntaantallen in Wlz (overige is Zvw)]]</f>
        <v>0</v>
      </c>
      <c r="T260" s="398">
        <f>uitkomst_doelgroep[[#This Row],[Overige besparingen (€)]]*uitkomst_doelgroep[[#This Row],[Percentage van patiëntaantallen in Wlz (overige is Zvw)]]</f>
        <v>0</v>
      </c>
      <c r="U260" s="398">
        <f>uitkomst_doelgroep[[#This Row],[Kosten (€)]]*uitkomst_doelgroep[[#This Row],[Percentage van patiëntaantallen in Wlz (overige is Zvw)]]</f>
        <v>0</v>
      </c>
      <c r="V260" s="398">
        <f>uitkomst_doelgroep[[#This Row],[Investering (cash flow) (€)]]*uitkomst_doelgroep[[#This Row],[Percentage van patiëntaantallen in Wlz (overige is Zvw)]]</f>
        <v>0</v>
      </c>
    </row>
    <row r="261" spans="1:22" x14ac:dyDescent="0.5">
      <c r="A261" s="33" t="str">
        <f>INDEX(Technologieën[Veld],MATCH(B261,Technologieën[Digitale zorgtoepassing],0))</f>
        <v>Software - Diagnose</v>
      </c>
      <c r="B261" s="33" t="s">
        <v>720</v>
      </c>
      <c r="C261" s="33" t="s">
        <v>73</v>
      </c>
      <c r="D261" s="427" cm="1">
        <f t="array" ref="D261">INDEX(Berekening_patiëntaantal[Percentage van patiëntaantallen in Wlz (overige is Zvw)],MATCH(B261,IF(Berekening_patiëntaantal[Doelgroep (zoeksleutel)]=C261,Berekening_patiëntaantal[Digitale zorgtoepassing]),0))</f>
        <v>0</v>
      </c>
      <c r="E261" s="33" t="str" cm="1">
        <f t="array" ref="E261">INDEX(Berekening_patiëntaantal[Direct toepasbaar/extrapolatie/incidentie voor QALY],MATCH(B261,IF(Berekening_patiëntaantal[Doelgroep (zoeksleutel)]=C261,Berekening_patiëntaantal[Digitale zorgtoepassing]),0))</f>
        <v>Huidige toepassing</v>
      </c>
      <c r="F261" s="43" t="s">
        <v>812</v>
      </c>
      <c r="G261" s="33" t="str">
        <f>CONCATENATE(uitkomst_doelgroep[[#This Row],[Digitale zorgtoepassing]],"_",uitkomst_doelgroep[[#This Row],[Doelgroep]],"_",uitkomst_doelgroep[[#This Row],[Uitgangssituatie/effect beleid]])</f>
        <v>Inzicht triagist digitale zelftriage HAP_HAP triageconsulten_U4/U5_Effect beleid</v>
      </c>
      <c r="H261" s="33">
        <v>2026</v>
      </c>
      <c r="I261" s="32">
        <v>4</v>
      </c>
      <c r="J261" s="406" cm="1">
        <f t="array" ref="J261">INDEX(implementatie[[2023]:[2034]],MATCH(G261, implementatie[Zoeksleutel],0),I261)</f>
        <v>0.43680239728230397</v>
      </c>
      <c r="K261" s="406" cm="1">
        <f t="array" ref="K261">INDEX(implementatie[[2023]:[2034]],MATCH(G261,implementatie[Zoeksleutel],0),I261 + 1)</f>
        <v>0.53135248337682706</v>
      </c>
      <c r="L26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625894.15506581333</v>
      </c>
      <c r="M261" s="398" cm="1">
        <f t="array" ref="M261">J261*INDEX(Berekening_impact[Totaal arbeidsbesparing (€/jaar)],MATCH(B261,IF(Berekening_impact[Doelgroep]=C261,Berekening_impact[Digitale zorgtoepassing]),0))</f>
        <v>272393.60267492483</v>
      </c>
      <c r="N261" s="397" cm="1">
        <f t="array" ref="N261">J261*INDEX(Berekening_impact[Totaal arbeidsbesparing (FTE/jaar)],MATCH(B261,IF(Berekening_impact[Doelgroep]=C261,Berekening_impact[Digitale zorgtoepassing]),0))</f>
        <v>6.2689719057072653</v>
      </c>
      <c r="O261" s="398" cm="1">
        <f t="array" ref="O261">J261*INDEX(Berekening_impact[Overige kostenbesparing (totaal/jaar totaal potentieel)],MATCH(B261,IF(Berekening_impact[Doelgroep]=C261,Berekening_impact[Digitale zorgtoepassing]),0))</f>
        <v>0</v>
      </c>
      <c r="P261" s="398" cm="1">
        <f t="array" ref="P261">J261*INDEX(Berekening_impact[Opbrengsten door QALY''s],MATCH(B261,IF(Berekening_impact[Doelgroep]=C261,Berekening_impact[Digitale zorgtoepassing]),0))</f>
        <v>0</v>
      </c>
      <c r="Q261" s="398" cm="1">
        <f t="array" ref="Q261">J261*INDEX(Berekening_impact[Jaarlijkse kosten (totaal) - incl. schatting],MATCH(B261,IF(Berekening_impact[Doelgroep]=C261,Berekening_impact[Digitale zorgtoepassing]),0))</f>
        <v>297025.6301519667</v>
      </c>
      <c r="R261" s="398" cm="1">
        <f t="array" ref="R261">(uitkomst_doelgroep[[#This Row],[Implementatiegraad t = T + 1]]-uitkomst_doelgroep[[#This Row],[Implementatiegraad t = T]])*INDEX(Berekening_impact[Initiële investering (totaal) - incl. schatting],MATCH(B261,IF(Berekening_impact[Doelgroep]=C261,Berekening_impact[Digitale zorgtoepassing]),0))</f>
        <v>75876.444090854784</v>
      </c>
      <c r="S261" s="398">
        <f>uitkomst_doelgroep[[#This Row],[Arbeidsbesparing (€)]]*uitkomst_doelgroep[[#This Row],[Percentage van patiëntaantallen in Wlz (overige is Zvw)]]</f>
        <v>0</v>
      </c>
      <c r="T261" s="398">
        <f>uitkomst_doelgroep[[#This Row],[Overige besparingen (€)]]*uitkomst_doelgroep[[#This Row],[Percentage van patiëntaantallen in Wlz (overige is Zvw)]]</f>
        <v>0</v>
      </c>
      <c r="U261" s="398">
        <f>uitkomst_doelgroep[[#This Row],[Kosten (€)]]*uitkomst_doelgroep[[#This Row],[Percentage van patiëntaantallen in Wlz (overige is Zvw)]]</f>
        <v>0</v>
      </c>
      <c r="V261" s="398">
        <f>uitkomst_doelgroep[[#This Row],[Investering (cash flow) (€)]]*uitkomst_doelgroep[[#This Row],[Percentage van patiëntaantallen in Wlz (overige is Zvw)]]</f>
        <v>0</v>
      </c>
    </row>
    <row r="262" spans="1:22" x14ac:dyDescent="0.5">
      <c r="A262" s="33" t="str">
        <f>INDEX(Technologieën[Veld],MATCH(B262,Technologieën[Digitale zorgtoepassing],0))</f>
        <v>Software - Diagnose</v>
      </c>
      <c r="B262" s="33" t="s">
        <v>720</v>
      </c>
      <c r="C262" s="33" t="s">
        <v>73</v>
      </c>
      <c r="D262" s="427" cm="1">
        <f t="array" ref="D262">INDEX(Berekening_patiëntaantal[Percentage van patiëntaantallen in Wlz (overige is Zvw)],MATCH(B262,IF(Berekening_patiëntaantal[Doelgroep (zoeksleutel)]=C262,Berekening_patiëntaantal[Digitale zorgtoepassing]),0))</f>
        <v>0</v>
      </c>
      <c r="E262" s="33" t="str" cm="1">
        <f t="array" ref="E262">INDEX(Berekening_patiëntaantal[Direct toepasbaar/extrapolatie/incidentie voor QALY],MATCH(B262,IF(Berekening_patiëntaantal[Doelgroep (zoeksleutel)]=C262,Berekening_patiëntaantal[Digitale zorgtoepassing]),0))</f>
        <v>Huidige toepassing</v>
      </c>
      <c r="F262" s="43" t="s">
        <v>812</v>
      </c>
      <c r="G262" s="33" t="str">
        <f>CONCATENATE(uitkomst_doelgroep[[#This Row],[Digitale zorgtoepassing]],"_",uitkomst_doelgroep[[#This Row],[Doelgroep]],"_",uitkomst_doelgroep[[#This Row],[Uitgangssituatie/effect beleid]])</f>
        <v>Inzicht triagist digitale zelftriage HAP_HAP triageconsulten_U4/U5_Effect beleid</v>
      </c>
      <c r="H262" s="33">
        <v>2027</v>
      </c>
      <c r="I262" s="32">
        <v>5</v>
      </c>
      <c r="J262" s="406" cm="1">
        <f t="array" ref="J262">INDEX(implementatie[[2023]:[2034]],MATCH(G262, implementatie[Zoeksleutel],0),I262)</f>
        <v>0.53135248337682706</v>
      </c>
      <c r="K262" s="406" cm="1">
        <f t="array" ref="K262">INDEX(implementatie[[2023]:[2034]],MATCH(G262,implementatie[Zoeksleutel],0),I262 + 1)</f>
        <v>0.62553815375131172</v>
      </c>
      <c r="L26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761374.97343065543</v>
      </c>
      <c r="M262" s="398" cm="1">
        <f t="array" ref="M262">J262*INDEX(Berekening_impact[Totaal arbeidsbesparing (€/jaar)],MATCH(B262,IF(Berekening_impact[Doelgroep]=C262,Berekening_impact[Digitale zorgtoepassing]),0))</f>
        <v>331355.8216205003</v>
      </c>
      <c r="N262" s="397" cm="1">
        <f t="array" ref="N262">J262*INDEX(Berekening_impact[Totaal arbeidsbesparing (FTE/jaar)],MATCH(B262,IF(Berekening_impact[Doelgroep]=C262,Berekening_impact[Digitale zorgtoepassing]),0))</f>
        <v>7.6259512563166609</v>
      </c>
      <c r="O262" s="398" cm="1">
        <f t="array" ref="O262">J262*INDEX(Berekening_impact[Overige kostenbesparing (totaal/jaar totaal potentieel)],MATCH(B262,IF(Berekening_impact[Doelgroep]=C262,Berekening_impact[Digitale zorgtoepassing]),0))</f>
        <v>0</v>
      </c>
      <c r="P262" s="398" cm="1">
        <f t="array" ref="P262">J262*INDEX(Berekening_impact[Opbrengsten door QALY''s],MATCH(B262,IF(Berekening_impact[Doelgroep]=C262,Berekening_impact[Digitale zorgtoepassing]),0))</f>
        <v>0</v>
      </c>
      <c r="Q262" s="398" cm="1">
        <f t="array" ref="Q262">J262*INDEX(Berekening_impact[Jaarlijkse kosten (totaal) - incl. schatting],MATCH(B262,IF(Berekening_impact[Doelgroep]=C262,Berekening_impact[Digitale zorgtoepassing]),0))</f>
        <v>361319.6886962424</v>
      </c>
      <c r="R262" s="398" cm="1">
        <f t="array" ref="R262">(uitkomst_doelgroep[[#This Row],[Implementatiegraad t = T + 1]]-uitkomst_doelgroep[[#This Row],[Implementatiegraad t = T]])*INDEX(Berekening_impact[Initiële investering (totaal) - incl. schatting],MATCH(B262,IF(Berekening_impact[Doelgroep]=C262,Berekening_impact[Digitale zorgtoepassing]),0))</f>
        <v>75584.00047552395</v>
      </c>
      <c r="S262" s="398">
        <f>uitkomst_doelgroep[[#This Row],[Arbeidsbesparing (€)]]*uitkomst_doelgroep[[#This Row],[Percentage van patiëntaantallen in Wlz (overige is Zvw)]]</f>
        <v>0</v>
      </c>
      <c r="T262" s="398">
        <f>uitkomst_doelgroep[[#This Row],[Overige besparingen (€)]]*uitkomst_doelgroep[[#This Row],[Percentage van patiëntaantallen in Wlz (overige is Zvw)]]</f>
        <v>0</v>
      </c>
      <c r="U262" s="398">
        <f>uitkomst_doelgroep[[#This Row],[Kosten (€)]]*uitkomst_doelgroep[[#This Row],[Percentage van patiëntaantallen in Wlz (overige is Zvw)]]</f>
        <v>0</v>
      </c>
      <c r="V262" s="398">
        <f>uitkomst_doelgroep[[#This Row],[Investering (cash flow) (€)]]*uitkomst_doelgroep[[#This Row],[Percentage van patiëntaantallen in Wlz (overige is Zvw)]]</f>
        <v>0</v>
      </c>
    </row>
    <row r="263" spans="1:22" x14ac:dyDescent="0.5">
      <c r="A263" s="33" t="str">
        <f>INDEX(Technologieën[Veld],MATCH(B263,Technologieën[Digitale zorgtoepassing],0))</f>
        <v>Software - Diagnose</v>
      </c>
      <c r="B263" s="33" t="s">
        <v>720</v>
      </c>
      <c r="C263" s="33" t="s">
        <v>73</v>
      </c>
      <c r="D263" s="427" cm="1">
        <f t="array" ref="D263">INDEX(Berekening_patiëntaantal[Percentage van patiëntaantallen in Wlz (overige is Zvw)],MATCH(B263,IF(Berekening_patiëntaantal[Doelgroep (zoeksleutel)]=C263,Berekening_patiëntaantal[Digitale zorgtoepassing]),0))</f>
        <v>0</v>
      </c>
      <c r="E263" s="33" t="str" cm="1">
        <f t="array" ref="E263">INDEX(Berekening_patiëntaantal[Direct toepasbaar/extrapolatie/incidentie voor QALY],MATCH(B263,IF(Berekening_patiëntaantal[Doelgroep (zoeksleutel)]=C263,Berekening_patiëntaantal[Digitale zorgtoepassing]),0))</f>
        <v>Huidige toepassing</v>
      </c>
      <c r="F263" s="43" t="s">
        <v>812</v>
      </c>
      <c r="G263" s="33" t="str">
        <f>CONCATENATE(uitkomst_doelgroep[[#This Row],[Digitale zorgtoepassing]],"_",uitkomst_doelgroep[[#This Row],[Doelgroep]],"_",uitkomst_doelgroep[[#This Row],[Uitgangssituatie/effect beleid]])</f>
        <v>Inzicht triagist digitale zelftriage HAP_HAP triageconsulten_U4/U5_Effect beleid</v>
      </c>
      <c r="H263" s="33">
        <v>2028</v>
      </c>
      <c r="I263" s="32">
        <v>6</v>
      </c>
      <c r="J263" s="406" cm="1">
        <f t="array" ref="J263">INDEX(implementatie[[2023]:[2034]],MATCH(G263, implementatie[Zoeksleutel],0),I263)</f>
        <v>0.62553815375131172</v>
      </c>
      <c r="K263" s="406" cm="1">
        <f t="array" ref="K263">INDEX(implementatie[[2023]:[2034]],MATCH(G263,implementatie[Zoeksleutel],0),I263 + 1)</f>
        <v>0.71313914162849124</v>
      </c>
      <c r="L26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896333.62051025452</v>
      </c>
      <c r="M263" s="398" cm="1">
        <f t="array" ref="M263">J263*INDEX(Berekening_impact[Totaal arbeidsbesparing (€/jaar)],MATCH(B263,IF(Berekening_impact[Doelgroep]=C263,Berekening_impact[Digitale zorgtoepassing]),0))</f>
        <v>390090.78789651569</v>
      </c>
      <c r="N263" s="397" cm="1">
        <f t="array" ref="N263">J263*INDEX(Berekening_impact[Totaal arbeidsbesparing (FTE/jaar)],MATCH(B263,IF(Berekening_impact[Doelgroep]=C263,Berekening_impact[Digitale zorgtoepassing]),0))</f>
        <v>8.977700525944055</v>
      </c>
      <c r="O263" s="398" cm="1">
        <f t="array" ref="O263">J263*INDEX(Berekening_impact[Overige kostenbesparing (totaal/jaar totaal potentieel)],MATCH(B263,IF(Berekening_impact[Doelgroep]=C263,Berekening_impact[Digitale zorgtoepassing]),0))</f>
        <v>0</v>
      </c>
      <c r="P263" s="398" cm="1">
        <f t="array" ref="P263">J263*INDEX(Berekening_impact[Opbrengsten door QALY''s],MATCH(B263,IF(Berekening_impact[Doelgroep]=C263,Berekening_impact[Digitale zorgtoepassing]),0))</f>
        <v>0</v>
      </c>
      <c r="Q263" s="398" cm="1">
        <f t="array" ref="Q263">J263*INDEX(Berekening_impact[Jaarlijkse kosten (totaal) - incl. schatting],MATCH(B263,IF(Berekening_impact[Doelgroep]=C263,Berekening_impact[Digitale zorgtoepassing]),0))</f>
        <v>425365.94455089199</v>
      </c>
      <c r="R263" s="398" cm="1">
        <f t="array" ref="R263">(uitkomst_doelgroep[[#This Row],[Implementatiegraad t = T + 1]]-uitkomst_doelgroep[[#This Row],[Implementatiegraad t = T]])*INDEX(Berekening_impact[Initiële investering (totaal) - incl. schatting],MATCH(B263,IF(Berekening_impact[Doelgroep]=C263,Berekening_impact[Digitale zorgtoepassing]),0))</f>
        <v>70299.792771436565</v>
      </c>
      <c r="S263" s="398">
        <f>uitkomst_doelgroep[[#This Row],[Arbeidsbesparing (€)]]*uitkomst_doelgroep[[#This Row],[Percentage van patiëntaantallen in Wlz (overige is Zvw)]]</f>
        <v>0</v>
      </c>
      <c r="T263" s="398">
        <f>uitkomst_doelgroep[[#This Row],[Overige besparingen (€)]]*uitkomst_doelgroep[[#This Row],[Percentage van patiëntaantallen in Wlz (overige is Zvw)]]</f>
        <v>0</v>
      </c>
      <c r="U263" s="398">
        <f>uitkomst_doelgroep[[#This Row],[Kosten (€)]]*uitkomst_doelgroep[[#This Row],[Percentage van patiëntaantallen in Wlz (overige is Zvw)]]</f>
        <v>0</v>
      </c>
      <c r="V263" s="398">
        <f>uitkomst_doelgroep[[#This Row],[Investering (cash flow) (€)]]*uitkomst_doelgroep[[#This Row],[Percentage van patiëntaantallen in Wlz (overige is Zvw)]]</f>
        <v>0</v>
      </c>
    </row>
    <row r="264" spans="1:22" x14ac:dyDescent="0.5">
      <c r="A264" s="33" t="str">
        <f>INDEX(Technologieën[Veld],MATCH(B264,Technologieën[Digitale zorgtoepassing],0))</f>
        <v>Software - Diagnose</v>
      </c>
      <c r="B264" s="33" t="s">
        <v>720</v>
      </c>
      <c r="C264" s="33" t="s">
        <v>73</v>
      </c>
      <c r="D264" s="427" cm="1">
        <f t="array" ref="D264">INDEX(Berekening_patiëntaantal[Percentage van patiëntaantallen in Wlz (overige is Zvw)],MATCH(B264,IF(Berekening_patiëntaantal[Doelgroep (zoeksleutel)]=C264,Berekening_patiëntaantal[Digitale zorgtoepassing]),0))</f>
        <v>0</v>
      </c>
      <c r="E264" s="33" t="str" cm="1">
        <f t="array" ref="E264">INDEX(Berekening_patiëntaantal[Direct toepasbaar/extrapolatie/incidentie voor QALY],MATCH(B264,IF(Berekening_patiëntaantal[Doelgroep (zoeksleutel)]=C264,Berekening_patiëntaantal[Digitale zorgtoepassing]),0))</f>
        <v>Huidige toepassing</v>
      </c>
      <c r="F264" s="43" t="s">
        <v>812</v>
      </c>
      <c r="G264" s="33" t="str">
        <f>CONCATENATE(uitkomst_doelgroep[[#This Row],[Digitale zorgtoepassing]],"_",uitkomst_doelgroep[[#This Row],[Doelgroep]],"_",uitkomst_doelgroep[[#This Row],[Uitgangssituatie/effect beleid]])</f>
        <v>Inzicht triagist digitale zelftriage HAP_HAP triageconsulten_U4/U5_Effect beleid</v>
      </c>
      <c r="H264" s="33">
        <v>2029</v>
      </c>
      <c r="I264" s="32">
        <v>7</v>
      </c>
      <c r="J264" s="406" cm="1">
        <f t="array" ref="J264">INDEX(implementatie[[2023]:[2034]],MATCH(G264, implementatie[Zoeksleutel],0),I264)</f>
        <v>0.71313914162849124</v>
      </c>
      <c r="K264" s="406" cm="1">
        <f t="array" ref="K264">INDEX(implementatie[[2023]:[2034]],MATCH(G264,implementatie[Zoeksleutel],0),I264 + 1)</f>
        <v>0.78904215171111836</v>
      </c>
      <c r="L26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1021857.0760394651</v>
      </c>
      <c r="M264" s="398" cm="1">
        <f t="array" ref="M264">J264*INDEX(Berekening_impact[Totaal arbeidsbesparing (€/jaar)],MATCH(B264,IF(Berekening_impact[Doelgroep]=C264,Berekening_impact[Digitale zorgtoepassing]),0))</f>
        <v>444719.49148013053</v>
      </c>
      <c r="N264" s="397" cm="1">
        <f t="array" ref="N264">J264*INDEX(Berekening_impact[Totaal arbeidsbesparing (FTE/jaar)],MATCH(B264,IF(Berekening_impact[Doelgroep]=C264,Berekening_impact[Digitale zorgtoepassing]),0))</f>
        <v>10.23494667507477</v>
      </c>
      <c r="O264" s="398" cm="1">
        <f t="array" ref="O264">J264*INDEX(Berekening_impact[Overige kostenbesparing (totaal/jaar totaal potentieel)],MATCH(B264,IF(Berekening_impact[Doelgroep]=C264,Berekening_impact[Digitale zorgtoepassing]),0))</f>
        <v>0</v>
      </c>
      <c r="P264" s="398" cm="1">
        <f t="array" ref="P264">J264*INDEX(Berekening_impact[Opbrengsten door QALY''s],MATCH(B264,IF(Berekening_impact[Doelgroep]=C264,Berekening_impact[Digitale zorgtoepassing]),0))</f>
        <v>0</v>
      </c>
      <c r="Q264" s="398" cm="1">
        <f t="array" ref="Q264">J264*INDEX(Berekening_impact[Jaarlijkse kosten (totaal) - incl. schatting],MATCH(B264,IF(Berekening_impact[Doelgroep]=C264,Berekening_impact[Digitale zorgtoepassing]),0))</f>
        <v>484934.61630737403</v>
      </c>
      <c r="R264" s="398" cm="1">
        <f t="array" ref="R264">(uitkomst_doelgroep[[#This Row],[Implementatiegraad t = T + 1]]-uitkomst_doelgroep[[#This Row],[Implementatiegraad t = T]])*INDEX(Berekening_impact[Initiële investering (totaal) - incl. schatting],MATCH(B264,IF(Berekening_impact[Doelgroep]=C264,Berekening_impact[Digitale zorgtoepassing]),0))</f>
        <v>60912.165591308265</v>
      </c>
      <c r="S264" s="398">
        <f>uitkomst_doelgroep[[#This Row],[Arbeidsbesparing (€)]]*uitkomst_doelgroep[[#This Row],[Percentage van patiëntaantallen in Wlz (overige is Zvw)]]</f>
        <v>0</v>
      </c>
      <c r="T264" s="398">
        <f>uitkomst_doelgroep[[#This Row],[Overige besparingen (€)]]*uitkomst_doelgroep[[#This Row],[Percentage van patiëntaantallen in Wlz (overige is Zvw)]]</f>
        <v>0</v>
      </c>
      <c r="U264" s="398">
        <f>uitkomst_doelgroep[[#This Row],[Kosten (€)]]*uitkomst_doelgroep[[#This Row],[Percentage van patiëntaantallen in Wlz (overige is Zvw)]]</f>
        <v>0</v>
      </c>
      <c r="V264" s="398">
        <f>uitkomst_doelgroep[[#This Row],[Investering (cash flow) (€)]]*uitkomst_doelgroep[[#This Row],[Percentage van patiëntaantallen in Wlz (overige is Zvw)]]</f>
        <v>0</v>
      </c>
    </row>
    <row r="265" spans="1:22" x14ac:dyDescent="0.5">
      <c r="A265" s="33" t="str">
        <f>INDEX(Technologieën[Veld],MATCH(B265,Technologieën[Digitale zorgtoepassing],0))</f>
        <v>Software - Diagnose</v>
      </c>
      <c r="B265" s="33" t="s">
        <v>720</v>
      </c>
      <c r="C265" s="33" t="s">
        <v>73</v>
      </c>
      <c r="D265" s="427" cm="1">
        <f t="array" ref="D265">INDEX(Berekening_patiëntaantal[Percentage van patiëntaantallen in Wlz (overige is Zvw)],MATCH(B265,IF(Berekening_patiëntaantal[Doelgroep (zoeksleutel)]=C265,Berekening_patiëntaantal[Digitale zorgtoepassing]),0))</f>
        <v>0</v>
      </c>
      <c r="E265" s="33" t="str" cm="1">
        <f t="array" ref="E265">INDEX(Berekening_patiëntaantal[Direct toepasbaar/extrapolatie/incidentie voor QALY],MATCH(B265,IF(Berekening_patiëntaantal[Doelgroep (zoeksleutel)]=C265,Berekening_patiëntaantal[Digitale zorgtoepassing]),0))</f>
        <v>Huidige toepassing</v>
      </c>
      <c r="F265" s="43" t="s">
        <v>812</v>
      </c>
      <c r="G265" s="33" t="str">
        <f>CONCATENATE(uitkomst_doelgroep[[#This Row],[Digitale zorgtoepassing]],"_",uitkomst_doelgroep[[#This Row],[Doelgroep]],"_",uitkomst_doelgroep[[#This Row],[Uitgangssituatie/effect beleid]])</f>
        <v>Inzicht triagist digitale zelftriage HAP_HAP triageconsulten_U4/U5_Effect beleid</v>
      </c>
      <c r="H265" s="33">
        <v>2030</v>
      </c>
      <c r="I265" s="32">
        <v>8</v>
      </c>
      <c r="J265" s="406" cm="1">
        <f t="array" ref="J265">INDEX(implementatie[[2023]:[2034]],MATCH(G265, implementatie[Zoeksleutel],0),I265)</f>
        <v>0.78904215171111836</v>
      </c>
      <c r="K265" s="406" cm="1">
        <f t="array" ref="K265">INDEX(implementatie[[2023]:[2034]],MATCH(G265,implementatie[Zoeksleutel],0),I265 + 1)</f>
        <v>0.85046564152242399</v>
      </c>
      <c r="L26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1130618.4991868616</v>
      </c>
      <c r="M265" s="398" cm="1">
        <f t="array" ref="M265">J265*INDEX(Berekening_impact[Totaal arbeidsbesparing (€/jaar)],MATCH(B265,IF(Berekening_impact[Doelgroep]=C265,Berekening_impact[Digitale zorgtoepassing]),0))</f>
        <v>492053.23895705986</v>
      </c>
      <c r="N265" s="397" cm="1">
        <f t="array" ref="N265">J265*INDEX(Berekening_impact[Totaal arbeidsbesparing (FTE/jaar)],MATCH(B265,IF(Berekening_impact[Doelgroep]=C265,Berekening_impact[Digitale zorgtoepassing]),0))</f>
        <v>11.324303878073533</v>
      </c>
      <c r="O265" s="398" cm="1">
        <f t="array" ref="O265">J265*INDEX(Berekening_impact[Overige kostenbesparing (totaal/jaar totaal potentieel)],MATCH(B265,IF(Berekening_impact[Doelgroep]=C265,Berekening_impact[Digitale zorgtoepassing]),0))</f>
        <v>0</v>
      </c>
      <c r="P265" s="398" cm="1">
        <f t="array" ref="P265">J265*INDEX(Berekening_impact[Opbrengsten door QALY''s],MATCH(B265,IF(Berekening_impact[Doelgroep]=C265,Berekening_impact[Digitale zorgtoepassing]),0))</f>
        <v>0</v>
      </c>
      <c r="Q265" s="398" cm="1">
        <f t="array" ref="Q265">J265*INDEX(Berekening_impact[Jaarlijkse kosten (totaal) - incl. schatting],MATCH(B265,IF(Berekening_impact[Doelgroep]=C265,Berekening_impact[Digitale zorgtoepassing]),0))</f>
        <v>536548.66316356044</v>
      </c>
      <c r="R265" s="398" cm="1">
        <f t="array" ref="R265">(uitkomst_doelgroep[[#This Row],[Implementatiegraad t = T + 1]]-uitkomst_doelgroep[[#This Row],[Implementatiegraad t = T]])*INDEX(Berekening_impact[Initiële investering (totaal) - incl. schatting],MATCH(B265,IF(Berekening_impact[Doelgroep]=C265,Berekening_impact[Digitale zorgtoepassing]),0))</f>
        <v>49292.350573572767</v>
      </c>
      <c r="S265" s="398">
        <f>uitkomst_doelgroep[[#This Row],[Arbeidsbesparing (€)]]*uitkomst_doelgroep[[#This Row],[Percentage van patiëntaantallen in Wlz (overige is Zvw)]]</f>
        <v>0</v>
      </c>
      <c r="T265" s="398">
        <f>uitkomst_doelgroep[[#This Row],[Overige besparingen (€)]]*uitkomst_doelgroep[[#This Row],[Percentage van patiëntaantallen in Wlz (overige is Zvw)]]</f>
        <v>0</v>
      </c>
      <c r="U265" s="398">
        <f>uitkomst_doelgroep[[#This Row],[Kosten (€)]]*uitkomst_doelgroep[[#This Row],[Percentage van patiëntaantallen in Wlz (overige is Zvw)]]</f>
        <v>0</v>
      </c>
      <c r="V265" s="398">
        <f>uitkomst_doelgroep[[#This Row],[Investering (cash flow) (€)]]*uitkomst_doelgroep[[#This Row],[Percentage van patiëntaantallen in Wlz (overige is Zvw)]]</f>
        <v>0</v>
      </c>
    </row>
    <row r="266" spans="1:22" x14ac:dyDescent="0.5">
      <c r="A266" s="33" t="str">
        <f>INDEX(Technologieën[Veld],MATCH(B266,Technologieën[Digitale zorgtoepassing],0))</f>
        <v>Software - Diagnose</v>
      </c>
      <c r="B266" s="33" t="s">
        <v>720</v>
      </c>
      <c r="C266" s="33" t="s">
        <v>73</v>
      </c>
      <c r="D266" s="427" cm="1">
        <f t="array" ref="D266">INDEX(Berekening_patiëntaantal[Percentage van patiëntaantallen in Wlz (overige is Zvw)],MATCH(B266,IF(Berekening_patiëntaantal[Doelgroep (zoeksleutel)]=C266,Berekening_patiëntaantal[Digitale zorgtoepassing]),0))</f>
        <v>0</v>
      </c>
      <c r="E266" s="33" t="str" cm="1">
        <f t="array" ref="E266">INDEX(Berekening_patiëntaantal[Direct toepasbaar/extrapolatie/incidentie voor QALY],MATCH(B266,IF(Berekening_patiëntaantal[Doelgroep (zoeksleutel)]=C266,Berekening_patiëntaantal[Digitale zorgtoepassing]),0))</f>
        <v>Huidige toepassing</v>
      </c>
      <c r="F266" s="43" t="s">
        <v>812</v>
      </c>
      <c r="G266" s="33" t="str">
        <f>CONCATENATE(uitkomst_doelgroep[[#This Row],[Digitale zorgtoepassing]],"_",uitkomst_doelgroep[[#This Row],[Doelgroep]],"_",uitkomst_doelgroep[[#This Row],[Uitgangssituatie/effect beleid]])</f>
        <v>Inzicht triagist digitale zelftriage HAP_HAP triageconsulten_U4/U5_Effect beleid</v>
      </c>
      <c r="H266" s="33">
        <v>2031</v>
      </c>
      <c r="I266" s="32">
        <v>9</v>
      </c>
      <c r="J266" s="406" cm="1">
        <f t="array" ref="J266">INDEX(implementatie[[2023]:[2034]],MATCH(G266, implementatie[Zoeksleutel],0),I266)</f>
        <v>0.85046564152242399</v>
      </c>
      <c r="K266" s="406" cm="1">
        <f t="array" ref="K266">INDEX(implementatie[[2023]:[2034]],MATCH(G266,implementatie[Zoeksleutel],0),I266 + 1)</f>
        <v>0.89721949883888419</v>
      </c>
      <c r="L26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1218632.2177374812</v>
      </c>
      <c r="M266" s="398" cm="1">
        <f t="array" ref="M266">J266*INDEX(Berekening_impact[Totaal arbeidsbesparing (€/jaar)],MATCH(B266,IF(Berekening_impact[Doelgroep]=C266,Berekening_impact[Digitale zorgtoepassing]),0))</f>
        <v>530357.43733753404</v>
      </c>
      <c r="N266" s="397" cm="1">
        <f t="array" ref="N266">J266*INDEX(Berekening_impact[Totaal arbeidsbesparing (FTE/jaar)],MATCH(B266,IF(Berekening_impact[Doelgroep]=C266,Berekening_impact[Digitale zorgtoepassing]),0))</f>
        <v>12.205851539838555</v>
      </c>
      <c r="O266" s="398" cm="1">
        <f t="array" ref="O266">J266*INDEX(Berekening_impact[Overige kostenbesparing (totaal/jaar totaal potentieel)],MATCH(B266,IF(Berekening_impact[Doelgroep]=C266,Berekening_impact[Digitale zorgtoepassing]),0))</f>
        <v>0</v>
      </c>
      <c r="P266" s="398" cm="1">
        <f t="array" ref="P266">J266*INDEX(Berekening_impact[Opbrengsten door QALY''s],MATCH(B266,IF(Berekening_impact[Doelgroep]=C266,Berekening_impact[Digitale zorgtoepassing]),0))</f>
        <v>0</v>
      </c>
      <c r="Q266" s="398" cm="1">
        <f t="array" ref="Q266">J266*INDEX(Berekening_impact[Jaarlijkse kosten (totaal) - incl. schatting],MATCH(B266,IF(Berekening_impact[Doelgroep]=C266,Berekening_impact[Digitale zorgtoepassing]),0))</f>
        <v>578316.6362352483</v>
      </c>
      <c r="R266" s="398" cm="1">
        <f t="array" ref="R266">(uitkomst_doelgroep[[#This Row],[Implementatiegraad t = T + 1]]-uitkomst_doelgroep[[#This Row],[Implementatiegraad t = T]])*INDEX(Berekening_impact[Initiële investering (totaal) - incl. schatting],MATCH(B266,IF(Berekening_impact[Doelgroep]=C266,Berekening_impact[Digitale zorgtoepassing]),0))</f>
        <v>37519.970496459311</v>
      </c>
      <c r="S266" s="398">
        <f>uitkomst_doelgroep[[#This Row],[Arbeidsbesparing (€)]]*uitkomst_doelgroep[[#This Row],[Percentage van patiëntaantallen in Wlz (overige is Zvw)]]</f>
        <v>0</v>
      </c>
      <c r="T266" s="398">
        <f>uitkomst_doelgroep[[#This Row],[Overige besparingen (€)]]*uitkomst_doelgroep[[#This Row],[Percentage van patiëntaantallen in Wlz (overige is Zvw)]]</f>
        <v>0</v>
      </c>
      <c r="U266" s="398">
        <f>uitkomst_doelgroep[[#This Row],[Kosten (€)]]*uitkomst_doelgroep[[#This Row],[Percentage van patiëntaantallen in Wlz (overige is Zvw)]]</f>
        <v>0</v>
      </c>
      <c r="V266" s="398">
        <f>uitkomst_doelgroep[[#This Row],[Investering (cash flow) (€)]]*uitkomst_doelgroep[[#This Row],[Percentage van patiëntaantallen in Wlz (overige is Zvw)]]</f>
        <v>0</v>
      </c>
    </row>
    <row r="267" spans="1:22" x14ac:dyDescent="0.5">
      <c r="A267" s="33" t="str">
        <f>INDEX(Technologieën[Veld],MATCH(B267,Technologieën[Digitale zorgtoepassing],0))</f>
        <v>Software - Diagnose</v>
      </c>
      <c r="B267" s="33" t="s">
        <v>720</v>
      </c>
      <c r="C267" s="33" t="s">
        <v>73</v>
      </c>
      <c r="D267" s="427" cm="1">
        <f t="array" ref="D267">INDEX(Berekening_patiëntaantal[Percentage van patiëntaantallen in Wlz (overige is Zvw)],MATCH(B267,IF(Berekening_patiëntaantal[Doelgroep (zoeksleutel)]=C267,Berekening_patiëntaantal[Digitale zorgtoepassing]),0))</f>
        <v>0</v>
      </c>
      <c r="E267" s="33" t="str" cm="1">
        <f t="array" ref="E267">INDEX(Berekening_patiëntaantal[Direct toepasbaar/extrapolatie/incidentie voor QALY],MATCH(B267,IF(Berekening_patiëntaantal[Doelgroep (zoeksleutel)]=C267,Berekening_patiëntaantal[Digitale zorgtoepassing]),0))</f>
        <v>Huidige toepassing</v>
      </c>
      <c r="F267" s="43" t="s">
        <v>812</v>
      </c>
      <c r="G267" s="33" t="str">
        <f>CONCATENATE(uitkomst_doelgroep[[#This Row],[Digitale zorgtoepassing]],"_",uitkomst_doelgroep[[#This Row],[Doelgroep]],"_",uitkomst_doelgroep[[#This Row],[Uitgangssituatie/effect beleid]])</f>
        <v>Inzicht triagist digitale zelftriage HAP_HAP triageconsulten_U4/U5_Effect beleid</v>
      </c>
      <c r="H267" s="33">
        <v>2032</v>
      </c>
      <c r="I267" s="32">
        <v>10</v>
      </c>
      <c r="J267" s="406" cm="1">
        <f t="array" ref="J267">INDEX(implementatie[[2023]:[2034]],MATCH(G267, implementatie[Zoeksleutel],0),I267)</f>
        <v>0.89721949883888419</v>
      </c>
      <c r="K267" s="406" cm="1">
        <f t="array" ref="K267">INDEX(implementatie[[2023]:[2034]],MATCH(G267,implementatie[Zoeksleutel],0),I267 + 1)</f>
        <v>0.93103704076606597</v>
      </c>
      <c r="L26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1285625.8198862372</v>
      </c>
      <c r="M267" s="398" cm="1">
        <f t="array" ref="M267">J267*INDEX(Berekening_impact[Totaal arbeidsbesparing (€/jaar)],MATCH(B267,IF(Berekening_impact[Doelgroep]=C267,Berekening_impact[Digitale zorgtoepassing]),0))</f>
        <v>559513.5310600443</v>
      </c>
      <c r="N267" s="397" cm="1">
        <f t="array" ref="N267">J267*INDEX(Berekening_impact[Totaal arbeidsbesparing (FTE/jaar)],MATCH(B267,IF(Berekening_impact[Doelgroep]=C267,Berekening_impact[Digitale zorgtoepassing]),0))</f>
        <v>12.876861176745164</v>
      </c>
      <c r="O267" s="398" cm="1">
        <f t="array" ref="O267">J267*INDEX(Berekening_impact[Overige kostenbesparing (totaal/jaar totaal potentieel)],MATCH(B267,IF(Berekening_impact[Doelgroep]=C267,Berekening_impact[Digitale zorgtoepassing]),0))</f>
        <v>0</v>
      </c>
      <c r="P267" s="398" cm="1">
        <f t="array" ref="P267">J267*INDEX(Berekening_impact[Opbrengsten door QALY''s],MATCH(B267,IF(Berekening_impact[Doelgroep]=C267,Berekening_impact[Digitale zorgtoepassing]),0))</f>
        <v>0</v>
      </c>
      <c r="Q267" s="398" cm="1">
        <f t="array" ref="Q267">J267*INDEX(Berekening_impact[Jaarlijkse kosten (totaal) - incl. schatting],MATCH(B267,IF(Berekening_impact[Doelgroep]=C267,Berekening_impact[Digitale zorgtoepassing]),0))</f>
        <v>610109.25921044126</v>
      </c>
      <c r="R267" s="398" cm="1">
        <f t="array" ref="R267">(uitkomst_doelgroep[[#This Row],[Implementatiegraad t = T + 1]]-uitkomst_doelgroep[[#This Row],[Implementatiegraad t = T]])*INDEX(Berekening_impact[Initiële investering (totaal) - incl. schatting],MATCH(B267,IF(Berekening_impact[Doelgroep]=C267,Berekening_impact[Digitale zorgtoepassing]),0))</f>
        <v>27138.577396563382</v>
      </c>
      <c r="S267" s="398">
        <f>uitkomst_doelgroep[[#This Row],[Arbeidsbesparing (€)]]*uitkomst_doelgroep[[#This Row],[Percentage van patiëntaantallen in Wlz (overige is Zvw)]]</f>
        <v>0</v>
      </c>
      <c r="T267" s="398">
        <f>uitkomst_doelgroep[[#This Row],[Overige besparingen (€)]]*uitkomst_doelgroep[[#This Row],[Percentage van patiëntaantallen in Wlz (overige is Zvw)]]</f>
        <v>0</v>
      </c>
      <c r="U267" s="398">
        <f>uitkomst_doelgroep[[#This Row],[Kosten (€)]]*uitkomst_doelgroep[[#This Row],[Percentage van patiëntaantallen in Wlz (overige is Zvw)]]</f>
        <v>0</v>
      </c>
      <c r="V267" s="398">
        <f>uitkomst_doelgroep[[#This Row],[Investering (cash flow) (€)]]*uitkomst_doelgroep[[#This Row],[Percentage van patiëntaantallen in Wlz (overige is Zvw)]]</f>
        <v>0</v>
      </c>
    </row>
    <row r="268" spans="1:22" x14ac:dyDescent="0.5">
      <c r="A268" s="33" t="str">
        <f>INDEX(Technologieën[Veld],MATCH(B268,Technologieën[Digitale zorgtoepassing],0))</f>
        <v>Software - Diagnose</v>
      </c>
      <c r="B268" s="33" t="s">
        <v>720</v>
      </c>
      <c r="C268" s="33" t="s">
        <v>73</v>
      </c>
      <c r="D268" s="427" cm="1">
        <f t="array" ref="D268">INDEX(Berekening_patiëntaantal[Percentage van patiëntaantallen in Wlz (overige is Zvw)],MATCH(B268,IF(Berekening_patiëntaantal[Doelgroep (zoeksleutel)]=C268,Berekening_patiëntaantal[Digitale zorgtoepassing]),0))</f>
        <v>0</v>
      </c>
      <c r="E268" s="33" t="str" cm="1">
        <f t="array" ref="E268">INDEX(Berekening_patiëntaantal[Direct toepasbaar/extrapolatie/incidentie voor QALY],MATCH(B268,IF(Berekening_patiëntaantal[Doelgroep (zoeksleutel)]=C268,Berekening_patiëntaantal[Digitale zorgtoepassing]),0))</f>
        <v>Huidige toepassing</v>
      </c>
      <c r="F268" s="43" t="s">
        <v>812</v>
      </c>
      <c r="G268" s="33" t="str">
        <f>CONCATENATE(uitkomst_doelgroep[[#This Row],[Digitale zorgtoepassing]],"_",uitkomst_doelgroep[[#This Row],[Doelgroep]],"_",uitkomst_doelgroep[[#This Row],[Uitgangssituatie/effect beleid]])</f>
        <v>Inzicht triagist digitale zelftriage HAP_HAP triageconsulten_U4/U5_Effect beleid</v>
      </c>
      <c r="H268" s="33">
        <v>2033</v>
      </c>
      <c r="I268" s="32">
        <v>11</v>
      </c>
      <c r="J268" s="406" cm="1">
        <f t="array" ref="J268">INDEX(implementatie[[2023]:[2034]],MATCH(G268, implementatie[Zoeksleutel],0),I268)</f>
        <v>0.93103704076606597</v>
      </c>
      <c r="K268" s="406" cm="1">
        <f t="array" ref="K268">INDEX(implementatie[[2023]:[2034]],MATCH(G268,implementatie[Zoeksleutel],0),I268 + 1)</f>
        <v>0.9545439594752464</v>
      </c>
      <c r="L26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1334082.9757136959</v>
      </c>
      <c r="M268" s="398" cm="1">
        <f t="array" ref="M268">J268*INDEX(Berekening_impact[Totaal arbeidsbesparing (€/jaar)],MATCH(B268,IF(Berekening_impact[Doelgroep]=C268,Berekening_impact[Digitale zorgtoepassing]),0))</f>
        <v>580602.43106716091</v>
      </c>
      <c r="N268" s="397" cm="1">
        <f t="array" ref="N268">J268*INDEX(Berekening_impact[Totaal arbeidsbesparing (FTE/jaar)],MATCH(B268,IF(Berekening_impact[Doelgroep]=C268,Berekening_impact[Digitale zorgtoepassing]),0))</f>
        <v>13.362209292004165</v>
      </c>
      <c r="O268" s="398" cm="1">
        <f t="array" ref="O268">J268*INDEX(Berekening_impact[Overige kostenbesparing (totaal/jaar totaal potentieel)],MATCH(B268,IF(Berekening_impact[Doelgroep]=C268,Berekening_impact[Digitale zorgtoepassing]),0))</f>
        <v>0</v>
      </c>
      <c r="P268" s="398" cm="1">
        <f t="array" ref="P268">J268*INDEX(Berekening_impact[Opbrengsten door QALY''s],MATCH(B268,IF(Berekening_impact[Doelgroep]=C268,Berekening_impact[Digitale zorgtoepassing]),0))</f>
        <v>0</v>
      </c>
      <c r="Q268" s="398" cm="1">
        <f t="array" ref="Q268">J268*INDEX(Berekening_impact[Jaarlijkse kosten (totaal) - incl. schatting],MATCH(B268,IF(Berekening_impact[Doelgroep]=C268,Berekening_impact[Digitale zorgtoepassing]),0))</f>
        <v>633105.18772092485</v>
      </c>
      <c r="R268" s="398" cm="1">
        <f t="array" ref="R268">(uitkomst_doelgroep[[#This Row],[Implementatiegraad t = T + 1]]-uitkomst_doelgroep[[#This Row],[Implementatiegraad t = T]])*INDEX(Berekening_impact[Initiële investering (totaal) - incl. schatting],MATCH(B268,IF(Berekening_impact[Doelgroep]=C268,Berekening_impact[Digitale zorgtoepassing]),0))</f>
        <v>18864.30226411729</v>
      </c>
      <c r="S268" s="398">
        <f>uitkomst_doelgroep[[#This Row],[Arbeidsbesparing (€)]]*uitkomst_doelgroep[[#This Row],[Percentage van patiëntaantallen in Wlz (overige is Zvw)]]</f>
        <v>0</v>
      </c>
      <c r="T268" s="398">
        <f>uitkomst_doelgroep[[#This Row],[Overige besparingen (€)]]*uitkomst_doelgroep[[#This Row],[Percentage van patiëntaantallen in Wlz (overige is Zvw)]]</f>
        <v>0</v>
      </c>
      <c r="U268" s="398">
        <f>uitkomst_doelgroep[[#This Row],[Kosten (€)]]*uitkomst_doelgroep[[#This Row],[Percentage van patiëntaantallen in Wlz (overige is Zvw)]]</f>
        <v>0</v>
      </c>
      <c r="V268" s="398">
        <f>uitkomst_doelgroep[[#This Row],[Investering (cash flow) (€)]]*uitkomst_doelgroep[[#This Row],[Percentage van patiëntaantallen in Wlz (overige is Zvw)]]</f>
        <v>0</v>
      </c>
    </row>
    <row r="269" spans="1:22" x14ac:dyDescent="0.5">
      <c r="A269" s="33" t="str">
        <f>INDEX(Technologieën[Veld],MATCH(B269,Technologieën[Digitale zorgtoepassing],0))</f>
        <v>Software - Behandeling</v>
      </c>
      <c r="B269" s="33" t="s">
        <v>585</v>
      </c>
      <c r="C269" s="33" t="s">
        <v>107</v>
      </c>
      <c r="D269" s="427" cm="1">
        <f t="array" ref="D269">INDEX(Berekening_patiëntaantal[Percentage van patiëntaantallen in Wlz (overige is Zvw)],MATCH(B269,IF(Berekening_patiëntaantal[Doelgroep (zoeksleutel)]=C269,Berekening_patiëntaantal[Digitale zorgtoepassing]),0))</f>
        <v>0</v>
      </c>
      <c r="E269" s="33" t="str" cm="1">
        <f t="array" ref="E269">INDEX(Berekening_patiëntaantal[Direct toepasbaar/extrapolatie/incidentie voor QALY],MATCH(B269,IF(Berekening_patiëntaantal[Doelgroep (zoeksleutel)]=C269,Berekening_patiëntaantal[Digitale zorgtoepassing]),0))</f>
        <v>Huidige toepassing</v>
      </c>
      <c r="F269" s="43" t="s">
        <v>812</v>
      </c>
      <c r="G269" s="33" t="str">
        <f>CONCATENATE(uitkomst_doelgroep[[#This Row],[Digitale zorgtoepassing]],"_",uitkomst_doelgroep[[#This Row],[Doelgroep]],"_",uitkomst_doelgroep[[#This Row],[Uitgangssituatie/effect beleid]])</f>
        <v>Digitale/slimme vervolgzorg_Simpele botbreuken_Effect beleid</v>
      </c>
      <c r="H269" s="33">
        <v>2023</v>
      </c>
      <c r="I269" s="32">
        <v>1</v>
      </c>
      <c r="J269" s="406" cm="1">
        <f t="array" ref="J269">INDEX(implementatie[[2023]:[2034]],MATCH(G269, implementatie[Zoeksleutel],0),I269)</f>
        <v>0.4</v>
      </c>
      <c r="K269" s="406" cm="1">
        <f t="array" ref="K269">INDEX(implementatie[[2023]:[2034]],MATCH(G269,implementatie[Zoeksleutel],0),I269 + 1)</f>
        <v>0.52300000000000002</v>
      </c>
      <c r="L26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23100</v>
      </c>
      <c r="M269" s="398" cm="1">
        <f t="array" ref="M269">J269*INDEX(Berekening_impact[Totaal arbeidsbesparing (€/jaar)],MATCH(B269,IF(Berekening_impact[Doelgroep]=C269,Berekening_impact[Digitale zorgtoepassing]),0))</f>
        <v>2328480.0000000005</v>
      </c>
      <c r="N269" s="397" cm="1">
        <f t="array" ref="N269">J269*INDEX(Berekening_impact[Totaal arbeidsbesparing (FTE/jaar)],MATCH(B269,IF(Berekening_impact[Doelgroep]=C269,Berekening_impact[Digitale zorgtoepassing]),0))</f>
        <v>12.274155584743168</v>
      </c>
      <c r="O269" s="398" cm="1">
        <f t="array" ref="O269">J269*INDEX(Berekening_impact[Overige kostenbesparing (totaal/jaar totaal potentieel)],MATCH(B269,IF(Berekening_impact[Doelgroep]=C269,Berekening_impact[Digitale zorgtoepassing]),0))</f>
        <v>1552320</v>
      </c>
      <c r="P269" s="398" cm="1">
        <f t="array" ref="P269">J269*INDEX(Berekening_impact[Opbrengsten door QALY''s],MATCH(B269,IF(Berekening_impact[Doelgroep]=C269,Berekening_impact[Digitale zorgtoepassing]),0))</f>
        <v>0</v>
      </c>
      <c r="Q269" s="398" cm="1">
        <f t="array" ref="Q269">J269*INDEX(Berekening_impact[Jaarlijkse kosten (totaal) - incl. schatting],MATCH(B269,IF(Berekening_impact[Doelgroep]=C269,Berekening_impact[Digitale zorgtoepassing]),0))</f>
        <v>0</v>
      </c>
      <c r="R269" s="398" cm="1">
        <f t="array" ref="R269">(uitkomst_doelgroep[[#This Row],[Implementatiegraad t = T + 1]]-uitkomst_doelgroep[[#This Row],[Implementatiegraad t = T]])*INDEX(Berekening_impact[Initiële investering (totaal) - incl. schatting],MATCH(B269,IF(Berekening_impact[Doelgroep]=C269,Berekening_impact[Digitale zorgtoepassing]),0))</f>
        <v>0</v>
      </c>
      <c r="S269" s="398">
        <f>uitkomst_doelgroep[[#This Row],[Arbeidsbesparing (€)]]*uitkomst_doelgroep[[#This Row],[Percentage van patiëntaantallen in Wlz (overige is Zvw)]]</f>
        <v>0</v>
      </c>
      <c r="T269" s="398">
        <f>uitkomst_doelgroep[[#This Row],[Overige besparingen (€)]]*uitkomst_doelgroep[[#This Row],[Percentage van patiëntaantallen in Wlz (overige is Zvw)]]</f>
        <v>0</v>
      </c>
      <c r="U269" s="398">
        <f>uitkomst_doelgroep[[#This Row],[Kosten (€)]]*uitkomst_doelgroep[[#This Row],[Percentage van patiëntaantallen in Wlz (overige is Zvw)]]</f>
        <v>0</v>
      </c>
      <c r="V269" s="398">
        <f>uitkomst_doelgroep[[#This Row],[Investering (cash flow) (€)]]*uitkomst_doelgroep[[#This Row],[Percentage van patiëntaantallen in Wlz (overige is Zvw)]]</f>
        <v>0</v>
      </c>
    </row>
    <row r="270" spans="1:22" x14ac:dyDescent="0.5">
      <c r="A270" s="33" t="str">
        <f>INDEX(Technologieën[Veld],MATCH(B270,Technologieën[Digitale zorgtoepassing],0))</f>
        <v>Software - Behandeling</v>
      </c>
      <c r="B270" s="33" t="s">
        <v>585</v>
      </c>
      <c r="C270" s="33" t="s">
        <v>107</v>
      </c>
      <c r="D270" s="427" cm="1">
        <f t="array" ref="D270">INDEX(Berekening_patiëntaantal[Percentage van patiëntaantallen in Wlz (overige is Zvw)],MATCH(B270,IF(Berekening_patiëntaantal[Doelgroep (zoeksleutel)]=C270,Berekening_patiëntaantal[Digitale zorgtoepassing]),0))</f>
        <v>0</v>
      </c>
      <c r="E270" s="33" t="str" cm="1">
        <f t="array" ref="E270">INDEX(Berekening_patiëntaantal[Direct toepasbaar/extrapolatie/incidentie voor QALY],MATCH(B270,IF(Berekening_patiëntaantal[Doelgroep (zoeksleutel)]=C270,Berekening_patiëntaantal[Digitale zorgtoepassing]),0))</f>
        <v>Huidige toepassing</v>
      </c>
      <c r="F270" s="43" t="s">
        <v>812</v>
      </c>
      <c r="G270" s="33" t="str">
        <f>CONCATENATE(uitkomst_doelgroep[[#This Row],[Digitale zorgtoepassing]],"_",uitkomst_doelgroep[[#This Row],[Doelgroep]],"_",uitkomst_doelgroep[[#This Row],[Uitgangssituatie/effect beleid]])</f>
        <v>Digitale/slimme vervolgzorg_Simpele botbreuken_Effect beleid</v>
      </c>
      <c r="H270" s="33">
        <v>2024</v>
      </c>
      <c r="I270" s="32">
        <v>2</v>
      </c>
      <c r="J270" s="406" cm="1">
        <f t="array" ref="J270">INDEX(implementatie[[2023]:[2034]],MATCH(G270, implementatie[Zoeksleutel],0),I270)</f>
        <v>0.52300000000000002</v>
      </c>
      <c r="K270" s="406" cm="1">
        <f t="array" ref="K270">INDEX(implementatie[[2023]:[2034]],MATCH(G270,implementatie[Zoeksleutel],0),I270 + 1)</f>
        <v>0.64718695000000004</v>
      </c>
      <c r="L27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30203.25</v>
      </c>
      <c r="M270" s="398" cm="1">
        <f t="array" ref="M270">J270*INDEX(Berekening_impact[Totaal arbeidsbesparing (€/jaar)],MATCH(B270,IF(Berekening_impact[Doelgroep]=C270,Berekening_impact[Digitale zorgtoepassing]),0))</f>
        <v>3044487.6000000006</v>
      </c>
      <c r="N270" s="397" cm="1">
        <f t="array" ref="N270">J270*INDEX(Berekening_impact[Totaal arbeidsbesparing (FTE/jaar)],MATCH(B270,IF(Berekening_impact[Doelgroep]=C270,Berekening_impact[Digitale zorgtoepassing]),0))</f>
        <v>16.048458427051692</v>
      </c>
      <c r="O270" s="398" cm="1">
        <f t="array" ref="O270">J270*INDEX(Berekening_impact[Overige kostenbesparing (totaal/jaar totaal potentieel)],MATCH(B270,IF(Berekening_impact[Doelgroep]=C270,Berekening_impact[Digitale zorgtoepassing]),0))</f>
        <v>2029658.4000000001</v>
      </c>
      <c r="P270" s="398" cm="1">
        <f t="array" ref="P270">J270*INDEX(Berekening_impact[Opbrengsten door QALY''s],MATCH(B270,IF(Berekening_impact[Doelgroep]=C270,Berekening_impact[Digitale zorgtoepassing]),0))</f>
        <v>0</v>
      </c>
      <c r="Q270" s="398" cm="1">
        <f t="array" ref="Q270">J270*INDEX(Berekening_impact[Jaarlijkse kosten (totaal) - incl. schatting],MATCH(B270,IF(Berekening_impact[Doelgroep]=C270,Berekening_impact[Digitale zorgtoepassing]),0))</f>
        <v>0</v>
      </c>
      <c r="R270" s="398" cm="1">
        <f t="array" ref="R270">(uitkomst_doelgroep[[#This Row],[Implementatiegraad t = T + 1]]-uitkomst_doelgroep[[#This Row],[Implementatiegraad t = T]])*INDEX(Berekening_impact[Initiële investering (totaal) - incl. schatting],MATCH(B270,IF(Berekening_impact[Doelgroep]=C270,Berekening_impact[Digitale zorgtoepassing]),0))</f>
        <v>0</v>
      </c>
      <c r="S270" s="398">
        <f>uitkomst_doelgroep[[#This Row],[Arbeidsbesparing (€)]]*uitkomst_doelgroep[[#This Row],[Percentage van patiëntaantallen in Wlz (overige is Zvw)]]</f>
        <v>0</v>
      </c>
      <c r="T270" s="398">
        <f>uitkomst_doelgroep[[#This Row],[Overige besparingen (€)]]*uitkomst_doelgroep[[#This Row],[Percentage van patiëntaantallen in Wlz (overige is Zvw)]]</f>
        <v>0</v>
      </c>
      <c r="U270" s="398">
        <f>uitkomst_doelgroep[[#This Row],[Kosten (€)]]*uitkomst_doelgroep[[#This Row],[Percentage van patiëntaantallen in Wlz (overige is Zvw)]]</f>
        <v>0</v>
      </c>
      <c r="V270" s="398">
        <f>uitkomst_doelgroep[[#This Row],[Investering (cash flow) (€)]]*uitkomst_doelgroep[[#This Row],[Percentage van patiëntaantallen in Wlz (overige is Zvw)]]</f>
        <v>0</v>
      </c>
    </row>
    <row r="271" spans="1:22" x14ac:dyDescent="0.5">
      <c r="A271" s="33" t="str">
        <f>INDEX(Technologieën[Veld],MATCH(B271,Technologieën[Digitale zorgtoepassing],0))</f>
        <v>Software - Behandeling</v>
      </c>
      <c r="B271" s="33" t="s">
        <v>585</v>
      </c>
      <c r="C271" s="33" t="s">
        <v>107</v>
      </c>
      <c r="D271" s="427" cm="1">
        <f t="array" ref="D271">INDEX(Berekening_patiëntaantal[Percentage van patiëntaantallen in Wlz (overige is Zvw)],MATCH(B271,IF(Berekening_patiëntaantal[Doelgroep (zoeksleutel)]=C271,Berekening_patiëntaantal[Digitale zorgtoepassing]),0))</f>
        <v>0</v>
      </c>
      <c r="E271" s="33" t="str" cm="1">
        <f t="array" ref="E271">INDEX(Berekening_patiëntaantal[Direct toepasbaar/extrapolatie/incidentie voor QALY],MATCH(B271,IF(Berekening_patiëntaantal[Doelgroep (zoeksleutel)]=C271,Berekening_patiëntaantal[Digitale zorgtoepassing]),0))</f>
        <v>Huidige toepassing</v>
      </c>
      <c r="F271" s="43" t="s">
        <v>812</v>
      </c>
      <c r="G271" s="33" t="str">
        <f>CONCATENATE(uitkomst_doelgroep[[#This Row],[Digitale zorgtoepassing]],"_",uitkomst_doelgroep[[#This Row],[Doelgroep]],"_",uitkomst_doelgroep[[#This Row],[Uitgangssituatie/effect beleid]])</f>
        <v>Digitale/slimme vervolgzorg_Simpele botbreuken_Effect beleid</v>
      </c>
      <c r="H271" s="33">
        <v>2025</v>
      </c>
      <c r="I271" s="32">
        <v>3</v>
      </c>
      <c r="J271" s="406" cm="1">
        <f t="array" ref="J271">INDEX(implementatie[[2023]:[2034]],MATCH(G271, implementatie[Zoeksleutel],0),I271)</f>
        <v>0.64718695000000004</v>
      </c>
      <c r="K271" s="406" cm="1">
        <f t="array" ref="K271">INDEX(implementatie[[2023]:[2034]],MATCH(G271,implementatie[Zoeksleutel],0),I271 + 1)</f>
        <v>0.75875847703736388</v>
      </c>
      <c r="L27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37375.046362500005</v>
      </c>
      <c r="M271" s="398" cm="1">
        <f t="array" ref="M271">J271*INDEX(Berekening_impact[Totaal arbeidsbesparing (€/jaar)],MATCH(B271,IF(Berekening_impact[Doelgroep]=C271,Berekening_impact[Digitale zorgtoepassing]),0))</f>
        <v>3767404.6733400007</v>
      </c>
      <c r="N271" s="397" cm="1">
        <f t="array" ref="N271">J271*INDEX(Berekening_impact[Totaal arbeidsbesparing (FTE/jaar)],MATCH(B271,IF(Berekening_impact[Doelgroep]=C271,Berekening_impact[Digitale zorgtoepassing]),0))</f>
        <v>19.859183291788494</v>
      </c>
      <c r="O271" s="398" cm="1">
        <f t="array" ref="O271">J271*INDEX(Berekening_impact[Overige kostenbesparing (totaal/jaar totaal potentieel)],MATCH(B271,IF(Berekening_impact[Doelgroep]=C271,Berekening_impact[Digitale zorgtoepassing]),0))</f>
        <v>2511603.1155600003</v>
      </c>
      <c r="P271" s="398" cm="1">
        <f t="array" ref="P271">J271*INDEX(Berekening_impact[Opbrengsten door QALY''s],MATCH(B271,IF(Berekening_impact[Doelgroep]=C271,Berekening_impact[Digitale zorgtoepassing]),0))</f>
        <v>0</v>
      </c>
      <c r="Q271" s="398" cm="1">
        <f t="array" ref="Q271">J271*INDEX(Berekening_impact[Jaarlijkse kosten (totaal) - incl. schatting],MATCH(B271,IF(Berekening_impact[Doelgroep]=C271,Berekening_impact[Digitale zorgtoepassing]),0))</f>
        <v>0</v>
      </c>
      <c r="R271" s="398" cm="1">
        <f t="array" ref="R271">(uitkomst_doelgroep[[#This Row],[Implementatiegraad t = T + 1]]-uitkomst_doelgroep[[#This Row],[Implementatiegraad t = T]])*INDEX(Berekening_impact[Initiële investering (totaal) - incl. schatting],MATCH(B271,IF(Berekening_impact[Doelgroep]=C271,Berekening_impact[Digitale zorgtoepassing]),0))</f>
        <v>0</v>
      </c>
      <c r="S271" s="398">
        <f>uitkomst_doelgroep[[#This Row],[Arbeidsbesparing (€)]]*uitkomst_doelgroep[[#This Row],[Percentage van patiëntaantallen in Wlz (overige is Zvw)]]</f>
        <v>0</v>
      </c>
      <c r="T271" s="398">
        <f>uitkomst_doelgroep[[#This Row],[Overige besparingen (€)]]*uitkomst_doelgroep[[#This Row],[Percentage van patiëntaantallen in Wlz (overige is Zvw)]]</f>
        <v>0</v>
      </c>
      <c r="U271" s="398">
        <f>uitkomst_doelgroep[[#This Row],[Kosten (€)]]*uitkomst_doelgroep[[#This Row],[Percentage van patiëntaantallen in Wlz (overige is Zvw)]]</f>
        <v>0</v>
      </c>
      <c r="V271" s="398">
        <f>uitkomst_doelgroep[[#This Row],[Investering (cash flow) (€)]]*uitkomst_doelgroep[[#This Row],[Percentage van patiëntaantallen in Wlz (overige is Zvw)]]</f>
        <v>0</v>
      </c>
    </row>
    <row r="272" spans="1:22" x14ac:dyDescent="0.5">
      <c r="A272" s="33" t="str">
        <f>INDEX(Technologieën[Veld],MATCH(B272,Technologieën[Digitale zorgtoepassing],0))</f>
        <v>Software - Behandeling</v>
      </c>
      <c r="B272" s="33" t="s">
        <v>585</v>
      </c>
      <c r="C272" s="33" t="s">
        <v>107</v>
      </c>
      <c r="D272" s="427" cm="1">
        <f t="array" ref="D272">INDEX(Berekening_patiëntaantal[Percentage van patiëntaantallen in Wlz (overige is Zvw)],MATCH(B272,IF(Berekening_patiëntaantal[Doelgroep (zoeksleutel)]=C272,Berekening_patiëntaantal[Digitale zorgtoepassing]),0))</f>
        <v>0</v>
      </c>
      <c r="E272" s="33" t="str" cm="1">
        <f t="array" ref="E272">INDEX(Berekening_patiëntaantal[Direct toepasbaar/extrapolatie/incidentie voor QALY],MATCH(B272,IF(Berekening_patiëntaantal[Doelgroep (zoeksleutel)]=C272,Berekening_patiëntaantal[Digitale zorgtoepassing]),0))</f>
        <v>Huidige toepassing</v>
      </c>
      <c r="F272" s="43" t="s">
        <v>812</v>
      </c>
      <c r="G272" s="33" t="str">
        <f>CONCATENATE(uitkomst_doelgroep[[#This Row],[Digitale zorgtoepassing]],"_",uitkomst_doelgroep[[#This Row],[Doelgroep]],"_",uitkomst_doelgroep[[#This Row],[Uitgangssituatie/effect beleid]])</f>
        <v>Digitale/slimme vervolgzorg_Simpele botbreuken_Effect beleid</v>
      </c>
      <c r="H272" s="33">
        <v>2026</v>
      </c>
      <c r="I272" s="32">
        <v>4</v>
      </c>
      <c r="J272" s="406" cm="1">
        <f t="array" ref="J272">INDEX(implementatie[[2023]:[2034]],MATCH(G272, implementatie[Zoeksleutel],0),I272)</f>
        <v>0.75875847703736388</v>
      </c>
      <c r="K272" s="406" cm="1">
        <f t="array" ref="K272">INDEX(implementatie[[2023]:[2034]],MATCH(G272,implementatie[Zoeksleutel],0),I272 + 1)</f>
        <v>0.84715933786401665</v>
      </c>
      <c r="L27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43818.302048907761</v>
      </c>
      <c r="M272" s="398" cm="1">
        <f t="array" ref="M272">J272*INDEX(Berekening_impact[Totaal arbeidsbesparing (€/jaar)],MATCH(B272,IF(Berekening_impact[Doelgroep]=C272,Berekening_impact[Digitale zorgtoepassing]),0))</f>
        <v>4416884.8465299029</v>
      </c>
      <c r="N272" s="397" cm="1">
        <f t="array" ref="N272">J272*INDEX(Berekening_impact[Totaal arbeidsbesparing (FTE/jaar)],MATCH(B272,IF(Berekening_impact[Doelgroep]=C272,Berekening_impact[Digitale zorgtoepassing]),0))</f>
        <v>23.282798995998448</v>
      </c>
      <c r="O272" s="398" cm="1">
        <f t="array" ref="O272">J272*INDEX(Berekening_impact[Overige kostenbesparing (totaal/jaar totaal potentieel)],MATCH(B272,IF(Berekening_impact[Doelgroep]=C272,Berekening_impact[Digitale zorgtoepassing]),0))</f>
        <v>2944589.8976866016</v>
      </c>
      <c r="P272" s="398" cm="1">
        <f t="array" ref="P272">J272*INDEX(Berekening_impact[Opbrengsten door QALY''s],MATCH(B272,IF(Berekening_impact[Doelgroep]=C272,Berekening_impact[Digitale zorgtoepassing]),0))</f>
        <v>0</v>
      </c>
      <c r="Q272" s="398" cm="1">
        <f t="array" ref="Q272">J272*INDEX(Berekening_impact[Jaarlijkse kosten (totaal) - incl. schatting],MATCH(B272,IF(Berekening_impact[Doelgroep]=C272,Berekening_impact[Digitale zorgtoepassing]),0))</f>
        <v>0</v>
      </c>
      <c r="R272" s="398" cm="1">
        <f t="array" ref="R272">(uitkomst_doelgroep[[#This Row],[Implementatiegraad t = T + 1]]-uitkomst_doelgroep[[#This Row],[Implementatiegraad t = T]])*INDEX(Berekening_impact[Initiële investering (totaal) - incl. schatting],MATCH(B272,IF(Berekening_impact[Doelgroep]=C272,Berekening_impact[Digitale zorgtoepassing]),0))</f>
        <v>0</v>
      </c>
      <c r="S272" s="398">
        <f>uitkomst_doelgroep[[#This Row],[Arbeidsbesparing (€)]]*uitkomst_doelgroep[[#This Row],[Percentage van patiëntaantallen in Wlz (overige is Zvw)]]</f>
        <v>0</v>
      </c>
      <c r="T272" s="398">
        <f>uitkomst_doelgroep[[#This Row],[Overige besparingen (€)]]*uitkomst_doelgroep[[#This Row],[Percentage van patiëntaantallen in Wlz (overige is Zvw)]]</f>
        <v>0</v>
      </c>
      <c r="U272" s="398">
        <f>uitkomst_doelgroep[[#This Row],[Kosten (€)]]*uitkomst_doelgroep[[#This Row],[Percentage van patiëntaantallen in Wlz (overige is Zvw)]]</f>
        <v>0</v>
      </c>
      <c r="V272" s="398">
        <f>uitkomst_doelgroep[[#This Row],[Investering (cash flow) (€)]]*uitkomst_doelgroep[[#This Row],[Percentage van patiëntaantallen in Wlz (overige is Zvw)]]</f>
        <v>0</v>
      </c>
    </row>
    <row r="273" spans="1:22" x14ac:dyDescent="0.5">
      <c r="A273" s="33" t="str">
        <f>INDEX(Technologieën[Veld],MATCH(B273,Technologieën[Digitale zorgtoepassing],0))</f>
        <v>Software - Behandeling</v>
      </c>
      <c r="B273" s="33" t="s">
        <v>585</v>
      </c>
      <c r="C273" s="33" t="s">
        <v>107</v>
      </c>
      <c r="D273" s="427" cm="1">
        <f t="array" ref="D273">INDEX(Berekening_patiëntaantal[Percentage van patiëntaantallen in Wlz (overige is Zvw)],MATCH(B273,IF(Berekening_patiëntaantal[Doelgroep (zoeksleutel)]=C273,Berekening_patiëntaantal[Digitale zorgtoepassing]),0))</f>
        <v>0</v>
      </c>
      <c r="E273" s="33" t="str" cm="1">
        <f t="array" ref="E273">INDEX(Berekening_patiëntaantal[Direct toepasbaar/extrapolatie/incidentie voor QALY],MATCH(B273,IF(Berekening_patiëntaantal[Doelgroep (zoeksleutel)]=C273,Berekening_patiëntaantal[Digitale zorgtoepassing]),0))</f>
        <v>Huidige toepassing</v>
      </c>
      <c r="F273" s="43" t="s">
        <v>812</v>
      </c>
      <c r="G273" s="33" t="str">
        <f>CONCATENATE(uitkomst_doelgroep[[#This Row],[Digitale zorgtoepassing]],"_",uitkomst_doelgroep[[#This Row],[Doelgroep]],"_",uitkomst_doelgroep[[#This Row],[Uitgangssituatie/effect beleid]])</f>
        <v>Digitale/slimme vervolgzorg_Simpele botbreuken_Effect beleid</v>
      </c>
      <c r="H273" s="33">
        <v>2027</v>
      </c>
      <c r="I273" s="32">
        <v>5</v>
      </c>
      <c r="J273" s="406" cm="1">
        <f t="array" ref="J273">INDEX(implementatie[[2023]:[2034]],MATCH(G273, implementatie[Zoeksleutel],0),I273)</f>
        <v>0.84715933786401665</v>
      </c>
      <c r="K273" s="406" cm="1">
        <f t="array" ref="K273">INDEX(implementatie[[2023]:[2034]],MATCH(G273,implementatie[Zoeksleutel],0),I273 + 1)</f>
        <v>0.90924653177763415</v>
      </c>
      <c r="L27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48923.45176164696</v>
      </c>
      <c r="M273" s="398" cm="1">
        <f t="array" ref="M273">J273*INDEX(Berekening_impact[Totaal arbeidsbesparing (€/jaar)],MATCH(B273,IF(Berekening_impact[Doelgroep]=C273,Berekening_impact[Digitale zorgtoepassing]),0))</f>
        <v>4931483.9375740141</v>
      </c>
      <c r="N273" s="397" cm="1">
        <f t="array" ref="N273">J273*INDEX(Berekening_impact[Totaal arbeidsbesparing (FTE/jaar)],MATCH(B273,IF(Berekening_impact[Doelgroep]=C273,Berekening_impact[Digitale zorgtoepassing]),0))</f>
        <v>25.995413795027357</v>
      </c>
      <c r="O273" s="398" cm="1">
        <f t="array" ref="O273">J273*INDEX(Berekening_impact[Overige kostenbesparing (totaal/jaar totaal potentieel)],MATCH(B273,IF(Berekening_impact[Doelgroep]=C273,Berekening_impact[Digitale zorgtoepassing]),0))</f>
        <v>3287655.9583826759</v>
      </c>
      <c r="P273" s="398" cm="1">
        <f t="array" ref="P273">J273*INDEX(Berekening_impact[Opbrengsten door QALY''s],MATCH(B273,IF(Berekening_impact[Doelgroep]=C273,Berekening_impact[Digitale zorgtoepassing]),0))</f>
        <v>0</v>
      </c>
      <c r="Q273" s="398" cm="1">
        <f t="array" ref="Q273">J273*INDEX(Berekening_impact[Jaarlijkse kosten (totaal) - incl. schatting],MATCH(B273,IF(Berekening_impact[Doelgroep]=C273,Berekening_impact[Digitale zorgtoepassing]),0))</f>
        <v>0</v>
      </c>
      <c r="R273" s="398" cm="1">
        <f t="array" ref="R273">(uitkomst_doelgroep[[#This Row],[Implementatiegraad t = T + 1]]-uitkomst_doelgroep[[#This Row],[Implementatiegraad t = T]])*INDEX(Berekening_impact[Initiële investering (totaal) - incl. schatting],MATCH(B273,IF(Berekening_impact[Doelgroep]=C273,Berekening_impact[Digitale zorgtoepassing]),0))</f>
        <v>0</v>
      </c>
      <c r="S273" s="398">
        <f>uitkomst_doelgroep[[#This Row],[Arbeidsbesparing (€)]]*uitkomst_doelgroep[[#This Row],[Percentage van patiëntaantallen in Wlz (overige is Zvw)]]</f>
        <v>0</v>
      </c>
      <c r="T273" s="398">
        <f>uitkomst_doelgroep[[#This Row],[Overige besparingen (€)]]*uitkomst_doelgroep[[#This Row],[Percentage van patiëntaantallen in Wlz (overige is Zvw)]]</f>
        <v>0</v>
      </c>
      <c r="U273" s="398">
        <f>uitkomst_doelgroep[[#This Row],[Kosten (€)]]*uitkomst_doelgroep[[#This Row],[Percentage van patiëntaantallen in Wlz (overige is Zvw)]]</f>
        <v>0</v>
      </c>
      <c r="V273" s="398">
        <f>uitkomst_doelgroep[[#This Row],[Investering (cash flow) (€)]]*uitkomst_doelgroep[[#This Row],[Percentage van patiëntaantallen in Wlz (overige is Zvw)]]</f>
        <v>0</v>
      </c>
    </row>
    <row r="274" spans="1:22" x14ac:dyDescent="0.5">
      <c r="A274" s="33" t="str">
        <f>INDEX(Technologieën[Veld],MATCH(B274,Technologieën[Digitale zorgtoepassing],0))</f>
        <v>Software - Behandeling</v>
      </c>
      <c r="B274" s="33" t="s">
        <v>585</v>
      </c>
      <c r="C274" s="33" t="s">
        <v>107</v>
      </c>
      <c r="D274" s="427" cm="1">
        <f t="array" ref="D274">INDEX(Berekening_patiëntaantal[Percentage van patiëntaantallen in Wlz (overige is Zvw)],MATCH(B274,IF(Berekening_patiëntaantal[Doelgroep (zoeksleutel)]=C274,Berekening_patiëntaantal[Digitale zorgtoepassing]),0))</f>
        <v>0</v>
      </c>
      <c r="E274" s="33" t="str" cm="1">
        <f t="array" ref="E274">INDEX(Berekening_patiëntaantal[Direct toepasbaar/extrapolatie/incidentie voor QALY],MATCH(B274,IF(Berekening_patiëntaantal[Doelgroep (zoeksleutel)]=C274,Berekening_patiëntaantal[Digitale zorgtoepassing]),0))</f>
        <v>Huidige toepassing</v>
      </c>
      <c r="F274" s="43" t="s">
        <v>812</v>
      </c>
      <c r="G274" s="33" t="str">
        <f>CONCATENATE(uitkomst_doelgroep[[#This Row],[Digitale zorgtoepassing]],"_",uitkomst_doelgroep[[#This Row],[Doelgroep]],"_",uitkomst_doelgroep[[#This Row],[Uitgangssituatie/effect beleid]])</f>
        <v>Digitale/slimme vervolgzorg_Simpele botbreuken_Effect beleid</v>
      </c>
      <c r="H274" s="33">
        <v>2028</v>
      </c>
      <c r="I274" s="32">
        <v>6</v>
      </c>
      <c r="J274" s="406" cm="1">
        <f t="array" ref="J274">INDEX(implementatie[[2023]:[2034]],MATCH(G274, implementatie[Zoeksleutel],0),I274)</f>
        <v>0.90924653177763415</v>
      </c>
      <c r="K274" s="406" cm="1">
        <f t="array" ref="K274">INDEX(implementatie[[2023]:[2034]],MATCH(G274,implementatie[Zoeksleutel],0),I274 + 1)</f>
        <v>0.94864814278578335</v>
      </c>
      <c r="L27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52508.987210158375</v>
      </c>
      <c r="M274" s="398" cm="1">
        <f t="array" ref="M274">J274*INDEX(Berekening_impact[Totaal arbeidsbesparing (€/jaar)],MATCH(B274,IF(Berekening_impact[Doelgroep]=C274,Berekening_impact[Digitale zorgtoepassing]),0))</f>
        <v>5292905.9107839651</v>
      </c>
      <c r="N274" s="397" cm="1">
        <f t="array" ref="N274">J274*INDEX(Berekening_impact[Totaal arbeidsbesparing (FTE/jaar)],MATCH(B274,IF(Berekening_impact[Doelgroep]=C274,Berekening_impact[Digitale zorgtoepassing]),0))</f>
        <v>27.900583489817009</v>
      </c>
      <c r="O274" s="398" cm="1">
        <f t="array" ref="O274">J274*INDEX(Berekening_impact[Overige kostenbesparing (totaal/jaar totaal potentieel)],MATCH(B274,IF(Berekening_impact[Doelgroep]=C274,Berekening_impact[Digitale zorgtoepassing]),0))</f>
        <v>3528603.9405226428</v>
      </c>
      <c r="P274" s="398" cm="1">
        <f t="array" ref="P274">J274*INDEX(Berekening_impact[Opbrengsten door QALY''s],MATCH(B274,IF(Berekening_impact[Doelgroep]=C274,Berekening_impact[Digitale zorgtoepassing]),0))</f>
        <v>0</v>
      </c>
      <c r="Q274" s="398" cm="1">
        <f t="array" ref="Q274">J274*INDEX(Berekening_impact[Jaarlijkse kosten (totaal) - incl. schatting],MATCH(B274,IF(Berekening_impact[Doelgroep]=C274,Berekening_impact[Digitale zorgtoepassing]),0))</f>
        <v>0</v>
      </c>
      <c r="R274" s="398" cm="1">
        <f t="array" ref="R274">(uitkomst_doelgroep[[#This Row],[Implementatiegraad t = T + 1]]-uitkomst_doelgroep[[#This Row],[Implementatiegraad t = T]])*INDEX(Berekening_impact[Initiële investering (totaal) - incl. schatting],MATCH(B274,IF(Berekening_impact[Doelgroep]=C274,Berekening_impact[Digitale zorgtoepassing]),0))</f>
        <v>0</v>
      </c>
      <c r="S274" s="398">
        <f>uitkomst_doelgroep[[#This Row],[Arbeidsbesparing (€)]]*uitkomst_doelgroep[[#This Row],[Percentage van patiëntaantallen in Wlz (overige is Zvw)]]</f>
        <v>0</v>
      </c>
      <c r="T274" s="398">
        <f>uitkomst_doelgroep[[#This Row],[Overige besparingen (€)]]*uitkomst_doelgroep[[#This Row],[Percentage van patiëntaantallen in Wlz (overige is Zvw)]]</f>
        <v>0</v>
      </c>
      <c r="U274" s="398">
        <f>uitkomst_doelgroep[[#This Row],[Kosten (€)]]*uitkomst_doelgroep[[#This Row],[Percentage van patiëntaantallen in Wlz (overige is Zvw)]]</f>
        <v>0</v>
      </c>
      <c r="V274" s="398">
        <f>uitkomst_doelgroep[[#This Row],[Investering (cash flow) (€)]]*uitkomst_doelgroep[[#This Row],[Percentage van patiëntaantallen in Wlz (overige is Zvw)]]</f>
        <v>0</v>
      </c>
    </row>
    <row r="275" spans="1:22" x14ac:dyDescent="0.5">
      <c r="A275" s="33" t="str">
        <f>INDEX(Technologieën[Veld],MATCH(B275,Technologieën[Digitale zorgtoepassing],0))</f>
        <v>Software - Behandeling</v>
      </c>
      <c r="B275" s="33" t="s">
        <v>585</v>
      </c>
      <c r="C275" s="33" t="s">
        <v>107</v>
      </c>
      <c r="D275" s="427" cm="1">
        <f t="array" ref="D275">INDEX(Berekening_patiëntaantal[Percentage van patiëntaantallen in Wlz (overige is Zvw)],MATCH(B275,IF(Berekening_patiëntaantal[Doelgroep (zoeksleutel)]=C275,Berekening_patiëntaantal[Digitale zorgtoepassing]),0))</f>
        <v>0</v>
      </c>
      <c r="E275" s="33" t="str" cm="1">
        <f t="array" ref="E275">INDEX(Berekening_patiëntaantal[Direct toepasbaar/extrapolatie/incidentie voor QALY],MATCH(B275,IF(Berekening_patiëntaantal[Doelgroep (zoeksleutel)]=C275,Berekening_patiëntaantal[Digitale zorgtoepassing]),0))</f>
        <v>Huidige toepassing</v>
      </c>
      <c r="F275" s="43" t="s">
        <v>812</v>
      </c>
      <c r="G275" s="33" t="str">
        <f>CONCATENATE(uitkomst_doelgroep[[#This Row],[Digitale zorgtoepassing]],"_",uitkomst_doelgroep[[#This Row],[Doelgroep]],"_",uitkomst_doelgroep[[#This Row],[Uitgangssituatie/effect beleid]])</f>
        <v>Digitale/slimme vervolgzorg_Simpele botbreuken_Effect beleid</v>
      </c>
      <c r="H275" s="33">
        <v>2029</v>
      </c>
      <c r="I275" s="32">
        <v>7</v>
      </c>
      <c r="J275" s="406" cm="1">
        <f t="array" ref="J275">INDEX(implementatie[[2023]:[2034]],MATCH(G275, implementatie[Zoeksleutel],0),I275)</f>
        <v>0.94864814278578335</v>
      </c>
      <c r="K275" s="406" cm="1">
        <f t="array" ref="K275">INDEX(implementatie[[2023]:[2034]],MATCH(G275,implementatie[Zoeksleutel],0),I275 + 1)</f>
        <v>0.97185361900482903</v>
      </c>
      <c r="L27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54784.43024587899</v>
      </c>
      <c r="M275" s="398" cm="1">
        <f t="array" ref="M275">J275*INDEX(Berekening_impact[Totaal arbeidsbesparing (€/jaar)],MATCH(B275,IF(Berekening_impact[Doelgroep]=C275,Berekening_impact[Digitale zorgtoepassing]),0))</f>
        <v>5522270.5687846029</v>
      </c>
      <c r="N275" s="397" cm="1">
        <f t="array" ref="N275">J275*INDEX(Berekening_impact[Totaal arbeidsbesparing (FTE/jaar)],MATCH(B275,IF(Berekening_impact[Doelgroep]=C275,Berekening_impact[Digitale zorgtoepassing]),0))</f>
        <v>29.109637249325889</v>
      </c>
      <c r="O275" s="398" cm="1">
        <f t="array" ref="O275">J275*INDEX(Berekening_impact[Overige kostenbesparing (totaal/jaar totaal potentieel)],MATCH(B275,IF(Berekening_impact[Doelgroep]=C275,Berekening_impact[Digitale zorgtoepassing]),0))</f>
        <v>3681513.7125230678</v>
      </c>
      <c r="P275" s="398" cm="1">
        <f t="array" ref="P275">J275*INDEX(Berekening_impact[Opbrengsten door QALY''s],MATCH(B275,IF(Berekening_impact[Doelgroep]=C275,Berekening_impact[Digitale zorgtoepassing]),0))</f>
        <v>0</v>
      </c>
      <c r="Q275" s="398" cm="1">
        <f t="array" ref="Q275">J275*INDEX(Berekening_impact[Jaarlijkse kosten (totaal) - incl. schatting],MATCH(B275,IF(Berekening_impact[Doelgroep]=C275,Berekening_impact[Digitale zorgtoepassing]),0))</f>
        <v>0</v>
      </c>
      <c r="R275" s="398" cm="1">
        <f t="array" ref="R275">(uitkomst_doelgroep[[#This Row],[Implementatiegraad t = T + 1]]-uitkomst_doelgroep[[#This Row],[Implementatiegraad t = T]])*INDEX(Berekening_impact[Initiële investering (totaal) - incl. schatting],MATCH(B275,IF(Berekening_impact[Doelgroep]=C275,Berekening_impact[Digitale zorgtoepassing]),0))</f>
        <v>0</v>
      </c>
      <c r="S275" s="398">
        <f>uitkomst_doelgroep[[#This Row],[Arbeidsbesparing (€)]]*uitkomst_doelgroep[[#This Row],[Percentage van patiëntaantallen in Wlz (overige is Zvw)]]</f>
        <v>0</v>
      </c>
      <c r="T275" s="398">
        <f>uitkomst_doelgroep[[#This Row],[Overige besparingen (€)]]*uitkomst_doelgroep[[#This Row],[Percentage van patiëntaantallen in Wlz (overige is Zvw)]]</f>
        <v>0</v>
      </c>
      <c r="U275" s="398">
        <f>uitkomst_doelgroep[[#This Row],[Kosten (€)]]*uitkomst_doelgroep[[#This Row],[Percentage van patiëntaantallen in Wlz (overige is Zvw)]]</f>
        <v>0</v>
      </c>
      <c r="V275" s="398">
        <f>uitkomst_doelgroep[[#This Row],[Investering (cash flow) (€)]]*uitkomst_doelgroep[[#This Row],[Percentage van patiëntaantallen in Wlz (overige is Zvw)]]</f>
        <v>0</v>
      </c>
    </row>
    <row r="276" spans="1:22" x14ac:dyDescent="0.5">
      <c r="A276" s="33" t="str">
        <f>INDEX(Technologieën[Veld],MATCH(B276,Technologieën[Digitale zorgtoepassing],0))</f>
        <v>Software - Behandeling</v>
      </c>
      <c r="B276" s="33" t="s">
        <v>585</v>
      </c>
      <c r="C276" s="33" t="s">
        <v>107</v>
      </c>
      <c r="D276" s="427" cm="1">
        <f t="array" ref="D276">INDEX(Berekening_patiëntaantal[Percentage van patiëntaantallen in Wlz (overige is Zvw)],MATCH(B276,IF(Berekening_patiëntaantal[Doelgroep (zoeksleutel)]=C276,Berekening_patiëntaantal[Digitale zorgtoepassing]),0))</f>
        <v>0</v>
      </c>
      <c r="E276" s="33" t="str" cm="1">
        <f t="array" ref="E276">INDEX(Berekening_patiëntaantal[Direct toepasbaar/extrapolatie/incidentie voor QALY],MATCH(B276,IF(Berekening_patiëntaantal[Doelgroep (zoeksleutel)]=C276,Berekening_patiëntaantal[Digitale zorgtoepassing]),0))</f>
        <v>Huidige toepassing</v>
      </c>
      <c r="F276" s="43" t="s">
        <v>812</v>
      </c>
      <c r="G276" s="33" t="str">
        <f>CONCATENATE(uitkomst_doelgroep[[#This Row],[Digitale zorgtoepassing]],"_",uitkomst_doelgroep[[#This Row],[Doelgroep]],"_",uitkomst_doelgroep[[#This Row],[Uitgangssituatie/effect beleid]])</f>
        <v>Digitale/slimme vervolgzorg_Simpele botbreuken_Effect beleid</v>
      </c>
      <c r="H276" s="33">
        <v>2030</v>
      </c>
      <c r="I276" s="32">
        <v>8</v>
      </c>
      <c r="J276" s="406" cm="1">
        <f t="array" ref="J276">INDEX(implementatie[[2023]:[2034]],MATCH(G276, implementatie[Zoeksleutel],0),I276)</f>
        <v>0.97185361900482903</v>
      </c>
      <c r="K276" s="406" cm="1">
        <f t="array" ref="K276">INDEX(implementatie[[2023]:[2034]],MATCH(G276,implementatie[Zoeksleutel],0),I276 + 1)</f>
        <v>0.98486665153412889</v>
      </c>
      <c r="L27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56124.546497528878</v>
      </c>
      <c r="M276" s="398" cm="1">
        <f t="array" ref="M276">J276*INDEX(Berekening_impact[Totaal arbeidsbesparing (€/jaar)],MATCH(B276,IF(Berekening_impact[Doelgroep]=C276,Berekening_impact[Digitale zorgtoepassing]),0))</f>
        <v>5657354.2869509114</v>
      </c>
      <c r="N276" s="397" cm="1">
        <f t="array" ref="N276">J276*INDEX(Berekening_impact[Totaal arbeidsbesparing (FTE/jaar)],MATCH(B276,IF(Berekening_impact[Doelgroep]=C276,Berekening_impact[Digitale zorgtoepassing]),0))</f>
        <v>29.82170631315245</v>
      </c>
      <c r="O276" s="398" cm="1">
        <f t="array" ref="O276">J276*INDEX(Berekening_impact[Overige kostenbesparing (totaal/jaar totaal potentieel)],MATCH(B276,IF(Berekening_impact[Doelgroep]=C276,Berekening_impact[Digitale zorgtoepassing]),0))</f>
        <v>3771569.5246339403</v>
      </c>
      <c r="P276" s="398" cm="1">
        <f t="array" ref="P276">J276*INDEX(Berekening_impact[Opbrengsten door QALY''s],MATCH(B276,IF(Berekening_impact[Doelgroep]=C276,Berekening_impact[Digitale zorgtoepassing]),0))</f>
        <v>0</v>
      </c>
      <c r="Q276" s="398" cm="1">
        <f t="array" ref="Q276">J276*INDEX(Berekening_impact[Jaarlijkse kosten (totaal) - incl. schatting],MATCH(B276,IF(Berekening_impact[Doelgroep]=C276,Berekening_impact[Digitale zorgtoepassing]),0))</f>
        <v>0</v>
      </c>
      <c r="R276" s="398" cm="1">
        <f t="array" ref="R276">(uitkomst_doelgroep[[#This Row],[Implementatiegraad t = T + 1]]-uitkomst_doelgroep[[#This Row],[Implementatiegraad t = T]])*INDEX(Berekening_impact[Initiële investering (totaal) - incl. schatting],MATCH(B276,IF(Berekening_impact[Doelgroep]=C276,Berekening_impact[Digitale zorgtoepassing]),0))</f>
        <v>0</v>
      </c>
      <c r="S276" s="398">
        <f>uitkomst_doelgroep[[#This Row],[Arbeidsbesparing (€)]]*uitkomst_doelgroep[[#This Row],[Percentage van patiëntaantallen in Wlz (overige is Zvw)]]</f>
        <v>0</v>
      </c>
      <c r="T276" s="398">
        <f>uitkomst_doelgroep[[#This Row],[Overige besparingen (€)]]*uitkomst_doelgroep[[#This Row],[Percentage van patiëntaantallen in Wlz (overige is Zvw)]]</f>
        <v>0</v>
      </c>
      <c r="U276" s="398">
        <f>uitkomst_doelgroep[[#This Row],[Kosten (€)]]*uitkomst_doelgroep[[#This Row],[Percentage van patiëntaantallen in Wlz (overige is Zvw)]]</f>
        <v>0</v>
      </c>
      <c r="V276" s="398">
        <f>uitkomst_doelgroep[[#This Row],[Investering (cash flow) (€)]]*uitkomst_doelgroep[[#This Row],[Percentage van patiëntaantallen in Wlz (overige is Zvw)]]</f>
        <v>0</v>
      </c>
    </row>
    <row r="277" spans="1:22" x14ac:dyDescent="0.5">
      <c r="A277" s="33" t="str">
        <f>INDEX(Technologieën[Veld],MATCH(B277,Technologieën[Digitale zorgtoepassing],0))</f>
        <v>Software - Behandeling</v>
      </c>
      <c r="B277" s="33" t="s">
        <v>585</v>
      </c>
      <c r="C277" s="33" t="s">
        <v>107</v>
      </c>
      <c r="D277" s="427" cm="1">
        <f t="array" ref="D277">INDEX(Berekening_patiëntaantal[Percentage van patiëntaantallen in Wlz (overige is Zvw)],MATCH(B277,IF(Berekening_patiëntaantal[Doelgroep (zoeksleutel)]=C277,Berekening_patiëntaantal[Digitale zorgtoepassing]),0))</f>
        <v>0</v>
      </c>
      <c r="E277" s="33" t="str" cm="1">
        <f t="array" ref="E277">INDEX(Berekening_patiëntaantal[Direct toepasbaar/extrapolatie/incidentie voor QALY],MATCH(B277,IF(Berekening_patiëntaantal[Doelgroep (zoeksleutel)]=C277,Berekening_patiëntaantal[Digitale zorgtoepassing]),0))</f>
        <v>Huidige toepassing</v>
      </c>
      <c r="F277" s="43" t="s">
        <v>812</v>
      </c>
      <c r="G277" s="33" t="str">
        <f>CONCATENATE(uitkomst_doelgroep[[#This Row],[Digitale zorgtoepassing]],"_",uitkomst_doelgroep[[#This Row],[Doelgroep]],"_",uitkomst_doelgroep[[#This Row],[Uitgangssituatie/effect beleid]])</f>
        <v>Digitale/slimme vervolgzorg_Simpele botbreuken_Effect beleid</v>
      </c>
      <c r="H277" s="33">
        <v>2031</v>
      </c>
      <c r="I277" s="32">
        <v>9</v>
      </c>
      <c r="J277" s="406" cm="1">
        <f t="array" ref="J277">INDEX(implementatie[[2023]:[2034]],MATCH(G277, implementatie[Zoeksleutel],0),I277)</f>
        <v>0.98486665153412889</v>
      </c>
      <c r="K277" s="406" cm="1">
        <f t="array" ref="K277">INDEX(implementatie[[2023]:[2034]],MATCH(G277,implementatie[Zoeksleutel],0),I277 + 1)</f>
        <v>0.99195193384931235</v>
      </c>
      <c r="L27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56876.049126095946</v>
      </c>
      <c r="M277" s="398" cm="1">
        <f t="array" ref="M277">J277*INDEX(Berekening_impact[Totaal arbeidsbesparing (€/jaar)],MATCH(B277,IF(Berekening_impact[Doelgroep]=C277,Berekening_impact[Digitale zorgtoepassing]),0))</f>
        <v>5733105.7519104723</v>
      </c>
      <c r="N277" s="397" cm="1">
        <f t="array" ref="N277">J277*INDEX(Berekening_impact[Totaal arbeidsbesparing (FTE/jaar)],MATCH(B277,IF(Berekening_impact[Doelgroep]=C277,Berekening_impact[Digitale zorgtoepassing]),0))</f>
        <v>30.221016277887326</v>
      </c>
      <c r="O277" s="398" cm="1">
        <f t="array" ref="O277">J277*INDEX(Berekening_impact[Overige kostenbesparing (totaal/jaar totaal potentieel)],MATCH(B277,IF(Berekening_impact[Doelgroep]=C277,Berekening_impact[Digitale zorgtoepassing]),0))</f>
        <v>3822070.5012736474</v>
      </c>
      <c r="P277" s="398" cm="1">
        <f t="array" ref="P277">J277*INDEX(Berekening_impact[Opbrengsten door QALY''s],MATCH(B277,IF(Berekening_impact[Doelgroep]=C277,Berekening_impact[Digitale zorgtoepassing]),0))</f>
        <v>0</v>
      </c>
      <c r="Q277" s="398" cm="1">
        <f t="array" ref="Q277">J277*INDEX(Berekening_impact[Jaarlijkse kosten (totaal) - incl. schatting],MATCH(B277,IF(Berekening_impact[Doelgroep]=C277,Berekening_impact[Digitale zorgtoepassing]),0))</f>
        <v>0</v>
      </c>
      <c r="R277" s="398" cm="1">
        <f t="array" ref="R277">(uitkomst_doelgroep[[#This Row],[Implementatiegraad t = T + 1]]-uitkomst_doelgroep[[#This Row],[Implementatiegraad t = T]])*INDEX(Berekening_impact[Initiële investering (totaal) - incl. schatting],MATCH(B277,IF(Berekening_impact[Doelgroep]=C277,Berekening_impact[Digitale zorgtoepassing]),0))</f>
        <v>0</v>
      </c>
      <c r="S277" s="398">
        <f>uitkomst_doelgroep[[#This Row],[Arbeidsbesparing (€)]]*uitkomst_doelgroep[[#This Row],[Percentage van patiëntaantallen in Wlz (overige is Zvw)]]</f>
        <v>0</v>
      </c>
      <c r="T277" s="398">
        <f>uitkomst_doelgroep[[#This Row],[Overige besparingen (€)]]*uitkomst_doelgroep[[#This Row],[Percentage van patiëntaantallen in Wlz (overige is Zvw)]]</f>
        <v>0</v>
      </c>
      <c r="U277" s="398">
        <f>uitkomst_doelgroep[[#This Row],[Kosten (€)]]*uitkomst_doelgroep[[#This Row],[Percentage van patiëntaantallen in Wlz (overige is Zvw)]]</f>
        <v>0</v>
      </c>
      <c r="V277" s="398">
        <f>uitkomst_doelgroep[[#This Row],[Investering (cash flow) (€)]]*uitkomst_doelgroep[[#This Row],[Percentage van patiëntaantallen in Wlz (overige is Zvw)]]</f>
        <v>0</v>
      </c>
    </row>
    <row r="278" spans="1:22" x14ac:dyDescent="0.5">
      <c r="A278" s="33" t="str">
        <f>INDEX(Technologieën[Veld],MATCH(B278,Technologieën[Digitale zorgtoepassing],0))</f>
        <v>Software - Behandeling</v>
      </c>
      <c r="B278" s="33" t="s">
        <v>585</v>
      </c>
      <c r="C278" s="33" t="s">
        <v>107</v>
      </c>
      <c r="D278" s="427" cm="1">
        <f t="array" ref="D278">INDEX(Berekening_patiëntaantal[Percentage van patiëntaantallen in Wlz (overige is Zvw)],MATCH(B278,IF(Berekening_patiëntaantal[Doelgroep (zoeksleutel)]=C278,Berekening_patiëntaantal[Digitale zorgtoepassing]),0))</f>
        <v>0</v>
      </c>
      <c r="E278" s="33" t="str" cm="1">
        <f t="array" ref="E278">INDEX(Berekening_patiëntaantal[Direct toepasbaar/extrapolatie/incidentie voor QALY],MATCH(B278,IF(Berekening_patiëntaantal[Doelgroep (zoeksleutel)]=C278,Berekening_patiëntaantal[Digitale zorgtoepassing]),0))</f>
        <v>Huidige toepassing</v>
      </c>
      <c r="F278" s="43" t="s">
        <v>812</v>
      </c>
      <c r="G278" s="33" t="str">
        <f>CONCATENATE(uitkomst_doelgroep[[#This Row],[Digitale zorgtoepassing]],"_",uitkomst_doelgroep[[#This Row],[Doelgroep]],"_",uitkomst_doelgroep[[#This Row],[Uitgangssituatie/effect beleid]])</f>
        <v>Digitale/slimme vervolgzorg_Simpele botbreuken_Effect beleid</v>
      </c>
      <c r="H278" s="33">
        <v>2032</v>
      </c>
      <c r="I278" s="32">
        <v>10</v>
      </c>
      <c r="J278" s="406" cm="1">
        <f t="array" ref="J278">INDEX(implementatie[[2023]:[2034]],MATCH(G278, implementatie[Zoeksleutel],0),I278)</f>
        <v>0.99195193384931235</v>
      </c>
      <c r="K278" s="406" cm="1">
        <f t="array" ref="K278">INDEX(implementatie[[2023]:[2034]],MATCH(G278,implementatie[Zoeksleutel],0),I278 + 1)</f>
        <v>0.99574561815494433</v>
      </c>
      <c r="L27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57285.224179797791</v>
      </c>
      <c r="M278" s="398" cm="1">
        <f t="array" ref="M278">J278*INDEX(Berekening_impact[Totaal arbeidsbesparing (€/jaar)],MATCH(B278,IF(Berekening_impact[Doelgroep]=C278,Berekening_impact[Digitale zorgtoepassing]),0))</f>
        <v>5774350.5973236179</v>
      </c>
      <c r="N278" s="397" cm="1">
        <f t="array" ref="N278">J278*INDEX(Berekening_impact[Totaal arbeidsbesparing (FTE/jaar)],MATCH(B278,IF(Berekening_impact[Doelgroep]=C278,Berekening_impact[Digitale zorgtoepassing]),0))</f>
        <v>30.438430921633305</v>
      </c>
      <c r="O278" s="398" cm="1">
        <f t="array" ref="O278">J278*INDEX(Berekening_impact[Overige kostenbesparing (totaal/jaar totaal potentieel)],MATCH(B278,IF(Berekening_impact[Doelgroep]=C278,Berekening_impact[Digitale zorgtoepassing]),0))</f>
        <v>3849567.0648824112</v>
      </c>
      <c r="P278" s="398" cm="1">
        <f t="array" ref="P278">J278*INDEX(Berekening_impact[Opbrengsten door QALY''s],MATCH(B278,IF(Berekening_impact[Doelgroep]=C278,Berekening_impact[Digitale zorgtoepassing]),0))</f>
        <v>0</v>
      </c>
      <c r="Q278" s="398" cm="1">
        <f t="array" ref="Q278">J278*INDEX(Berekening_impact[Jaarlijkse kosten (totaal) - incl. schatting],MATCH(B278,IF(Berekening_impact[Doelgroep]=C278,Berekening_impact[Digitale zorgtoepassing]),0))</f>
        <v>0</v>
      </c>
      <c r="R278" s="398" cm="1">
        <f t="array" ref="R278">(uitkomst_doelgroep[[#This Row],[Implementatiegraad t = T + 1]]-uitkomst_doelgroep[[#This Row],[Implementatiegraad t = T]])*INDEX(Berekening_impact[Initiële investering (totaal) - incl. schatting],MATCH(B278,IF(Berekening_impact[Doelgroep]=C278,Berekening_impact[Digitale zorgtoepassing]),0))</f>
        <v>0</v>
      </c>
      <c r="S278" s="398">
        <f>uitkomst_doelgroep[[#This Row],[Arbeidsbesparing (€)]]*uitkomst_doelgroep[[#This Row],[Percentage van patiëntaantallen in Wlz (overige is Zvw)]]</f>
        <v>0</v>
      </c>
      <c r="T278" s="398">
        <f>uitkomst_doelgroep[[#This Row],[Overige besparingen (€)]]*uitkomst_doelgroep[[#This Row],[Percentage van patiëntaantallen in Wlz (overige is Zvw)]]</f>
        <v>0</v>
      </c>
      <c r="U278" s="398">
        <f>uitkomst_doelgroep[[#This Row],[Kosten (€)]]*uitkomst_doelgroep[[#This Row],[Percentage van patiëntaantallen in Wlz (overige is Zvw)]]</f>
        <v>0</v>
      </c>
      <c r="V278" s="398">
        <f>uitkomst_doelgroep[[#This Row],[Investering (cash flow) (€)]]*uitkomst_doelgroep[[#This Row],[Percentage van patiëntaantallen in Wlz (overige is Zvw)]]</f>
        <v>0</v>
      </c>
    </row>
    <row r="279" spans="1:22" x14ac:dyDescent="0.5">
      <c r="A279" s="33" t="str">
        <f>INDEX(Technologieën[Veld],MATCH(B279,Technologieën[Digitale zorgtoepassing],0))</f>
        <v>Software - Behandeling</v>
      </c>
      <c r="B279" s="33" t="s">
        <v>585</v>
      </c>
      <c r="C279" s="33" t="s">
        <v>107</v>
      </c>
      <c r="D279" s="427" cm="1">
        <f t="array" ref="D279">INDEX(Berekening_patiëntaantal[Percentage van patiëntaantallen in Wlz (overige is Zvw)],MATCH(B279,IF(Berekening_patiëntaantal[Doelgroep (zoeksleutel)]=C279,Berekening_patiëntaantal[Digitale zorgtoepassing]),0))</f>
        <v>0</v>
      </c>
      <c r="E279" s="33" t="str" cm="1">
        <f t="array" ref="E279">INDEX(Berekening_patiëntaantal[Direct toepasbaar/extrapolatie/incidentie voor QALY],MATCH(B279,IF(Berekening_patiëntaantal[Doelgroep (zoeksleutel)]=C279,Berekening_patiëntaantal[Digitale zorgtoepassing]),0))</f>
        <v>Huidige toepassing</v>
      </c>
      <c r="F279" s="43" t="s">
        <v>812</v>
      </c>
      <c r="G279" s="33" t="str">
        <f>CONCATENATE(uitkomst_doelgroep[[#This Row],[Digitale zorgtoepassing]],"_",uitkomst_doelgroep[[#This Row],[Doelgroep]],"_",uitkomst_doelgroep[[#This Row],[Uitgangssituatie/effect beleid]])</f>
        <v>Digitale/slimme vervolgzorg_Simpele botbreuken_Effect beleid</v>
      </c>
      <c r="H279" s="33">
        <v>2033</v>
      </c>
      <c r="I279" s="32">
        <v>11</v>
      </c>
      <c r="J279" s="406" cm="1">
        <f t="array" ref="J279">INDEX(implementatie[[2023]:[2034]],MATCH(G279, implementatie[Zoeksleutel],0),I279)</f>
        <v>0.99574561815494433</v>
      </c>
      <c r="K279" s="406" cm="1">
        <f t="array" ref="K279">INDEX(implementatie[[2023]:[2034]],MATCH(G279,implementatie[Zoeksleutel],0),I279 + 1)</f>
        <v>0.99775830463714821</v>
      </c>
      <c r="L27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57504.309448448039</v>
      </c>
      <c r="M279" s="398" cm="1">
        <f t="array" ref="M279">J279*INDEX(Berekening_impact[Totaal arbeidsbesparing (€/jaar)],MATCH(B279,IF(Berekening_impact[Doelgroep]=C279,Berekening_impact[Digitale zorgtoepassing]),0))</f>
        <v>5796434.3924035626</v>
      </c>
      <c r="N279" s="397" cm="1">
        <f t="array" ref="N279">J279*INDEX(Berekening_impact[Totaal arbeidsbesparing (FTE/jaar)],MATCH(B279,IF(Berekening_impact[Doelgroep]=C279,Berekening_impact[Digitale zorgtoepassing]),0))</f>
        <v>30.554841600150116</v>
      </c>
      <c r="O279" s="398" cm="1">
        <f t="array" ref="O279">J279*INDEX(Berekening_impact[Overige kostenbesparing (totaal/jaar totaal potentieel)],MATCH(B279,IF(Berekening_impact[Doelgroep]=C279,Berekening_impact[Digitale zorgtoepassing]),0))</f>
        <v>3864289.5949357077</v>
      </c>
      <c r="P279" s="398" cm="1">
        <f t="array" ref="P279">J279*INDEX(Berekening_impact[Opbrengsten door QALY''s],MATCH(B279,IF(Berekening_impact[Doelgroep]=C279,Berekening_impact[Digitale zorgtoepassing]),0))</f>
        <v>0</v>
      </c>
      <c r="Q279" s="398" cm="1">
        <f t="array" ref="Q279">J279*INDEX(Berekening_impact[Jaarlijkse kosten (totaal) - incl. schatting],MATCH(B279,IF(Berekening_impact[Doelgroep]=C279,Berekening_impact[Digitale zorgtoepassing]),0))</f>
        <v>0</v>
      </c>
      <c r="R279" s="398" cm="1">
        <f t="array" ref="R279">(uitkomst_doelgroep[[#This Row],[Implementatiegraad t = T + 1]]-uitkomst_doelgroep[[#This Row],[Implementatiegraad t = T]])*INDEX(Berekening_impact[Initiële investering (totaal) - incl. schatting],MATCH(B279,IF(Berekening_impact[Doelgroep]=C279,Berekening_impact[Digitale zorgtoepassing]),0))</f>
        <v>0</v>
      </c>
      <c r="S279" s="398">
        <f>uitkomst_doelgroep[[#This Row],[Arbeidsbesparing (€)]]*uitkomst_doelgroep[[#This Row],[Percentage van patiëntaantallen in Wlz (overige is Zvw)]]</f>
        <v>0</v>
      </c>
      <c r="T279" s="398">
        <f>uitkomst_doelgroep[[#This Row],[Overige besparingen (€)]]*uitkomst_doelgroep[[#This Row],[Percentage van patiëntaantallen in Wlz (overige is Zvw)]]</f>
        <v>0</v>
      </c>
      <c r="U279" s="398">
        <f>uitkomst_doelgroep[[#This Row],[Kosten (€)]]*uitkomst_doelgroep[[#This Row],[Percentage van patiëntaantallen in Wlz (overige is Zvw)]]</f>
        <v>0</v>
      </c>
      <c r="V279" s="398">
        <f>uitkomst_doelgroep[[#This Row],[Investering (cash flow) (€)]]*uitkomst_doelgroep[[#This Row],[Percentage van patiëntaantallen in Wlz (overige is Zvw)]]</f>
        <v>0</v>
      </c>
    </row>
    <row r="280" spans="1:22" x14ac:dyDescent="0.5">
      <c r="A280" s="33" t="str">
        <f>INDEX(Technologieën[Veld],MATCH(B280,Technologieën[Digitale zorgtoepassing],0))</f>
        <v>Software - Behandeling</v>
      </c>
      <c r="B280" s="33" t="s">
        <v>585</v>
      </c>
      <c r="C280" s="33" t="s">
        <v>583</v>
      </c>
      <c r="D280" s="427" cm="1">
        <f t="array" ref="D280">INDEX(Berekening_patiëntaantal[Percentage van patiëntaantallen in Wlz (overige is Zvw)],MATCH(B280,IF(Berekening_patiëntaantal[Doelgroep (zoeksleutel)]=C280,Berekening_patiëntaantal[Digitale zorgtoepassing]),0))</f>
        <v>0</v>
      </c>
      <c r="E280" s="33" t="str" cm="1">
        <f t="array" ref="E280">INDEX(Berekening_patiëntaantal[Direct toepasbaar/extrapolatie/incidentie voor QALY],MATCH(B280,IF(Berekening_patiëntaantal[Doelgroep (zoeksleutel)]=C280,Berekening_patiëntaantal[Digitale zorgtoepassing]),0))</f>
        <v>Huidige toepassing</v>
      </c>
      <c r="F280" s="43" t="s">
        <v>812</v>
      </c>
      <c r="G280" s="33" t="str">
        <f>CONCATENATE(uitkomst_doelgroep[[#This Row],[Digitale zorgtoepassing]],"_",uitkomst_doelgroep[[#This Row],[Doelgroep]],"_",uitkomst_doelgroep[[#This Row],[Uitgangssituatie/effect beleid]])</f>
        <v>Digitale/slimme vervolgzorg_Herhaalpoli's_Effect beleid</v>
      </c>
      <c r="H280" s="33">
        <v>2023</v>
      </c>
      <c r="I280" s="32">
        <v>1</v>
      </c>
      <c r="J280" s="406" cm="1">
        <f t="array" ref="J280">INDEX(implementatie[[2023]:[2034]],MATCH(G280, implementatie[Zoeksleutel],0),I280)</f>
        <v>0</v>
      </c>
      <c r="K280" s="406" cm="1">
        <f t="array" ref="K280">INDEX(implementatie[[2023]:[2034]],MATCH(G280,implementatie[Zoeksleutel],0),I280 + 1)</f>
        <v>0.02</v>
      </c>
      <c r="L28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280" s="398" cm="1">
        <f t="array" ref="M280">J280*INDEX(Berekening_impact[Totaal arbeidsbesparing (€/jaar)],MATCH(B280,IF(Berekening_impact[Doelgroep]=C280,Berekening_impact[Digitale zorgtoepassing]),0))</f>
        <v>0</v>
      </c>
      <c r="N280" s="397" cm="1">
        <f t="array" ref="N280">J280*INDEX(Berekening_impact[Totaal arbeidsbesparing (FTE/jaar)],MATCH(B280,IF(Berekening_impact[Doelgroep]=C280,Berekening_impact[Digitale zorgtoepassing]),0))</f>
        <v>0</v>
      </c>
      <c r="O280" s="398" cm="1">
        <f t="array" ref="O280">J280*INDEX(Berekening_impact[Overige kostenbesparing (totaal/jaar totaal potentieel)],MATCH(B280,IF(Berekening_impact[Doelgroep]=C280,Berekening_impact[Digitale zorgtoepassing]),0))</f>
        <v>0</v>
      </c>
      <c r="P280" s="398" cm="1">
        <f t="array" ref="P280">J280*INDEX(Berekening_impact[Opbrengsten door QALY''s],MATCH(B280,IF(Berekening_impact[Doelgroep]=C280,Berekening_impact[Digitale zorgtoepassing]),0))</f>
        <v>0</v>
      </c>
      <c r="Q280" s="398" cm="1">
        <f t="array" ref="Q280">J280*INDEX(Berekening_impact[Jaarlijkse kosten (totaal) - incl. schatting],MATCH(B280,IF(Berekening_impact[Doelgroep]=C280,Berekening_impact[Digitale zorgtoepassing]),0))</f>
        <v>0</v>
      </c>
      <c r="R280" s="398" cm="1">
        <f t="array" ref="R280">(uitkomst_doelgroep[[#This Row],[Implementatiegraad t = T + 1]]-uitkomst_doelgroep[[#This Row],[Implementatiegraad t = T]])*INDEX(Berekening_impact[Initiële investering (totaal) - incl. schatting],MATCH(B280,IF(Berekening_impact[Doelgroep]=C280,Berekening_impact[Digitale zorgtoepassing]),0))</f>
        <v>0</v>
      </c>
      <c r="S280" s="398">
        <f>uitkomst_doelgroep[[#This Row],[Arbeidsbesparing (€)]]*uitkomst_doelgroep[[#This Row],[Percentage van patiëntaantallen in Wlz (overige is Zvw)]]</f>
        <v>0</v>
      </c>
      <c r="T280" s="398">
        <f>uitkomst_doelgroep[[#This Row],[Overige besparingen (€)]]*uitkomst_doelgroep[[#This Row],[Percentage van patiëntaantallen in Wlz (overige is Zvw)]]</f>
        <v>0</v>
      </c>
      <c r="U280" s="398">
        <f>uitkomst_doelgroep[[#This Row],[Kosten (€)]]*uitkomst_doelgroep[[#This Row],[Percentage van patiëntaantallen in Wlz (overige is Zvw)]]</f>
        <v>0</v>
      </c>
      <c r="V280" s="398">
        <f>uitkomst_doelgroep[[#This Row],[Investering (cash flow) (€)]]*uitkomst_doelgroep[[#This Row],[Percentage van patiëntaantallen in Wlz (overige is Zvw)]]</f>
        <v>0</v>
      </c>
    </row>
    <row r="281" spans="1:22" x14ac:dyDescent="0.5">
      <c r="A281" s="33" t="str">
        <f>INDEX(Technologieën[Veld],MATCH(B281,Technologieën[Digitale zorgtoepassing],0))</f>
        <v>Software - Behandeling</v>
      </c>
      <c r="B281" s="33" t="s">
        <v>585</v>
      </c>
      <c r="C281" s="33" t="s">
        <v>583</v>
      </c>
      <c r="D281" s="427" cm="1">
        <f t="array" ref="D281">INDEX(Berekening_patiëntaantal[Percentage van patiëntaantallen in Wlz (overige is Zvw)],MATCH(B281,IF(Berekening_patiëntaantal[Doelgroep (zoeksleutel)]=C281,Berekening_patiëntaantal[Digitale zorgtoepassing]),0))</f>
        <v>0</v>
      </c>
      <c r="E281" s="33" t="str" cm="1">
        <f t="array" ref="E281">INDEX(Berekening_patiëntaantal[Direct toepasbaar/extrapolatie/incidentie voor QALY],MATCH(B281,IF(Berekening_patiëntaantal[Doelgroep (zoeksleutel)]=C281,Berekening_patiëntaantal[Digitale zorgtoepassing]),0))</f>
        <v>Huidige toepassing</v>
      </c>
      <c r="F281" s="43" t="s">
        <v>812</v>
      </c>
      <c r="G281" s="33" t="str">
        <f>CONCATENATE(uitkomst_doelgroep[[#This Row],[Digitale zorgtoepassing]],"_",uitkomst_doelgroep[[#This Row],[Doelgroep]],"_",uitkomst_doelgroep[[#This Row],[Uitgangssituatie/effect beleid]])</f>
        <v>Digitale/slimme vervolgzorg_Herhaalpoli's_Effect beleid</v>
      </c>
      <c r="H281" s="33">
        <v>2024</v>
      </c>
      <c r="I281" s="32">
        <v>2</v>
      </c>
      <c r="J281" s="406" cm="1">
        <f t="array" ref="J281">INDEX(implementatie[[2023]:[2034]],MATCH(G281, implementatie[Zoeksleutel],0),I281)</f>
        <v>0.02</v>
      </c>
      <c r="K281" s="406" cm="1">
        <f t="array" ref="K281">INDEX(implementatie[[2023]:[2034]],MATCH(G281,implementatie[Zoeksleutel],0),I281 + 1)</f>
        <v>4.7439999999999996E-2</v>
      </c>
      <c r="L28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110000</v>
      </c>
      <c r="M281" s="398" cm="1">
        <f t="array" ref="M281">J281*INDEX(Berekening_impact[Totaal arbeidsbesparing (€/jaar)],MATCH(B281,IF(Berekening_impact[Doelgroep]=C281,Berekening_impact[Digitale zorgtoepassing]),0))</f>
        <v>501626.23563218396</v>
      </c>
      <c r="N281" s="397" cm="1">
        <f t="array" ref="N281">J281*INDEX(Berekening_impact[Totaal arbeidsbesparing (FTE/jaar)],MATCH(B281,IF(Berekening_impact[Doelgroep]=C281,Berekening_impact[Digitale zorgtoepassing]),0))</f>
        <v>2.6442307692307692</v>
      </c>
      <c r="O281" s="398" cm="1">
        <f t="array" ref="O281">J281*INDEX(Berekening_impact[Overige kostenbesparing (totaal/jaar totaal potentieel)],MATCH(B281,IF(Berekening_impact[Doelgroep]=C281,Berekening_impact[Digitale zorgtoepassing]),0))</f>
        <v>0</v>
      </c>
      <c r="P281" s="398" cm="1">
        <f t="array" ref="P281">J281*INDEX(Berekening_impact[Opbrengsten door QALY''s],MATCH(B281,IF(Berekening_impact[Doelgroep]=C281,Berekening_impact[Digitale zorgtoepassing]),0))</f>
        <v>0</v>
      </c>
      <c r="Q281" s="398" cm="1">
        <f t="array" ref="Q281">J281*INDEX(Berekening_impact[Jaarlijkse kosten (totaal) - incl. schatting],MATCH(B281,IF(Berekening_impact[Doelgroep]=C281,Berekening_impact[Digitale zorgtoepassing]),0))</f>
        <v>274926.5595558997</v>
      </c>
      <c r="R281" s="398" cm="1">
        <f t="array" ref="R281">(uitkomst_doelgroep[[#This Row],[Implementatiegraad t = T + 1]]-uitkomst_doelgroep[[#This Row],[Implementatiegraad t = T]])*INDEX(Berekening_impact[Initiële investering (totaal) - incl. schatting],MATCH(B281,IF(Berekening_impact[Doelgroep]=C281,Berekening_impact[Digitale zorgtoepassing]),0))</f>
        <v>0</v>
      </c>
      <c r="S281" s="398">
        <f>uitkomst_doelgroep[[#This Row],[Arbeidsbesparing (€)]]*uitkomst_doelgroep[[#This Row],[Percentage van patiëntaantallen in Wlz (overige is Zvw)]]</f>
        <v>0</v>
      </c>
      <c r="T281" s="398">
        <f>uitkomst_doelgroep[[#This Row],[Overige besparingen (€)]]*uitkomst_doelgroep[[#This Row],[Percentage van patiëntaantallen in Wlz (overige is Zvw)]]</f>
        <v>0</v>
      </c>
      <c r="U281" s="398">
        <f>uitkomst_doelgroep[[#This Row],[Kosten (€)]]*uitkomst_doelgroep[[#This Row],[Percentage van patiëntaantallen in Wlz (overige is Zvw)]]</f>
        <v>0</v>
      </c>
      <c r="V281" s="398">
        <f>uitkomst_doelgroep[[#This Row],[Investering (cash flow) (€)]]*uitkomst_doelgroep[[#This Row],[Percentage van patiëntaantallen in Wlz (overige is Zvw)]]</f>
        <v>0</v>
      </c>
    </row>
    <row r="282" spans="1:22" x14ac:dyDescent="0.5">
      <c r="A282" s="33" t="str">
        <f>INDEX(Technologieën[Veld],MATCH(B282,Technologieën[Digitale zorgtoepassing],0))</f>
        <v>Software - Behandeling</v>
      </c>
      <c r="B282" s="33" t="s">
        <v>585</v>
      </c>
      <c r="C282" s="33" t="s">
        <v>583</v>
      </c>
      <c r="D282" s="427" cm="1">
        <f t="array" ref="D282">INDEX(Berekening_patiëntaantal[Percentage van patiëntaantallen in Wlz (overige is Zvw)],MATCH(B282,IF(Berekening_patiëntaantal[Doelgroep (zoeksleutel)]=C282,Berekening_patiëntaantal[Digitale zorgtoepassing]),0))</f>
        <v>0</v>
      </c>
      <c r="E282" s="33" t="str" cm="1">
        <f t="array" ref="E282">INDEX(Berekening_patiëntaantal[Direct toepasbaar/extrapolatie/incidentie voor QALY],MATCH(B282,IF(Berekening_patiëntaantal[Doelgroep (zoeksleutel)]=C282,Berekening_patiëntaantal[Digitale zorgtoepassing]),0))</f>
        <v>Huidige toepassing</v>
      </c>
      <c r="F282" s="43" t="s">
        <v>812</v>
      </c>
      <c r="G282" s="33" t="str">
        <f>CONCATENATE(uitkomst_doelgroep[[#This Row],[Digitale zorgtoepassing]],"_",uitkomst_doelgroep[[#This Row],[Doelgroep]],"_",uitkomst_doelgroep[[#This Row],[Uitgangssituatie/effect beleid]])</f>
        <v>Digitale/slimme vervolgzorg_Herhaalpoli's_Effect beleid</v>
      </c>
      <c r="H282" s="33">
        <v>2025</v>
      </c>
      <c r="I282" s="32">
        <v>3</v>
      </c>
      <c r="J282" s="406" cm="1">
        <f t="array" ref="J282">INDEX(implementatie[[2023]:[2034]],MATCH(G282, implementatie[Zoeksleutel],0),I282)</f>
        <v>4.7439999999999996E-2</v>
      </c>
      <c r="K282" s="406" cm="1">
        <f t="array" ref="K282">INDEX(implementatie[[2023]:[2034]],MATCH(G282,implementatie[Zoeksleutel],0),I282 + 1)</f>
        <v>8.4566978560000006E-2</v>
      </c>
      <c r="L28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260919.99999999997</v>
      </c>
      <c r="M282" s="398" cm="1">
        <f t="array" ref="M282">J282*INDEX(Berekening_impact[Totaal arbeidsbesparing (€/jaar)],MATCH(B282,IF(Berekening_impact[Doelgroep]=C282,Berekening_impact[Digitale zorgtoepassing]),0))</f>
        <v>1189857.4309195401</v>
      </c>
      <c r="N282" s="397" cm="1">
        <f t="array" ref="N282">J282*INDEX(Berekening_impact[Totaal arbeidsbesparing (FTE/jaar)],MATCH(B282,IF(Berekening_impact[Doelgroep]=C282,Berekening_impact[Digitale zorgtoepassing]),0))</f>
        <v>6.2721153846153834</v>
      </c>
      <c r="O282" s="398" cm="1">
        <f t="array" ref="O282">J282*INDEX(Berekening_impact[Overige kostenbesparing (totaal/jaar totaal potentieel)],MATCH(B282,IF(Berekening_impact[Doelgroep]=C282,Berekening_impact[Digitale zorgtoepassing]),0))</f>
        <v>0</v>
      </c>
      <c r="P282" s="398" cm="1">
        <f t="array" ref="P282">J282*INDEX(Berekening_impact[Opbrengsten door QALY''s],MATCH(B282,IF(Berekening_impact[Doelgroep]=C282,Berekening_impact[Digitale zorgtoepassing]),0))</f>
        <v>0</v>
      </c>
      <c r="Q282" s="398" cm="1">
        <f t="array" ref="Q282">J282*INDEX(Berekening_impact[Jaarlijkse kosten (totaal) - incl. schatting],MATCH(B282,IF(Berekening_impact[Doelgroep]=C282,Berekening_impact[Digitale zorgtoepassing]),0))</f>
        <v>652125.79926659411</v>
      </c>
      <c r="R282" s="398" cm="1">
        <f t="array" ref="R282">(uitkomst_doelgroep[[#This Row],[Implementatiegraad t = T + 1]]-uitkomst_doelgroep[[#This Row],[Implementatiegraad t = T]])*INDEX(Berekening_impact[Initiële investering (totaal) - incl. schatting],MATCH(B282,IF(Berekening_impact[Doelgroep]=C282,Berekening_impact[Digitale zorgtoepassing]),0))</f>
        <v>0</v>
      </c>
      <c r="S282" s="398">
        <f>uitkomst_doelgroep[[#This Row],[Arbeidsbesparing (€)]]*uitkomst_doelgroep[[#This Row],[Percentage van patiëntaantallen in Wlz (overige is Zvw)]]</f>
        <v>0</v>
      </c>
      <c r="T282" s="398">
        <f>uitkomst_doelgroep[[#This Row],[Overige besparingen (€)]]*uitkomst_doelgroep[[#This Row],[Percentage van patiëntaantallen in Wlz (overige is Zvw)]]</f>
        <v>0</v>
      </c>
      <c r="U282" s="398">
        <f>uitkomst_doelgroep[[#This Row],[Kosten (€)]]*uitkomst_doelgroep[[#This Row],[Percentage van patiëntaantallen in Wlz (overige is Zvw)]]</f>
        <v>0</v>
      </c>
      <c r="V282" s="398">
        <f>uitkomst_doelgroep[[#This Row],[Investering (cash flow) (€)]]*uitkomst_doelgroep[[#This Row],[Percentage van patiëntaantallen in Wlz (overige is Zvw)]]</f>
        <v>0</v>
      </c>
    </row>
    <row r="283" spans="1:22" x14ac:dyDescent="0.5">
      <c r="A283" s="33" t="str">
        <f>INDEX(Technologieën[Veld],MATCH(B283,Technologieën[Digitale zorgtoepassing],0))</f>
        <v>Software - Behandeling</v>
      </c>
      <c r="B283" s="33" t="s">
        <v>585</v>
      </c>
      <c r="C283" s="33" t="s">
        <v>583</v>
      </c>
      <c r="D283" s="427" cm="1">
        <f t="array" ref="D283">INDEX(Berekening_patiëntaantal[Percentage van patiëntaantallen in Wlz (overige is Zvw)],MATCH(B283,IF(Berekening_patiëntaantal[Doelgroep (zoeksleutel)]=C283,Berekening_patiëntaantal[Digitale zorgtoepassing]),0))</f>
        <v>0</v>
      </c>
      <c r="E283" s="33" t="str" cm="1">
        <f t="array" ref="E283">INDEX(Berekening_patiëntaantal[Direct toepasbaar/extrapolatie/incidentie voor QALY],MATCH(B283,IF(Berekening_patiëntaantal[Doelgroep (zoeksleutel)]=C283,Berekening_patiëntaantal[Digitale zorgtoepassing]),0))</f>
        <v>Huidige toepassing</v>
      </c>
      <c r="F283" s="43" t="s">
        <v>812</v>
      </c>
      <c r="G283" s="33" t="str">
        <f>CONCATENATE(uitkomst_doelgroep[[#This Row],[Digitale zorgtoepassing]],"_",uitkomst_doelgroep[[#This Row],[Doelgroep]],"_",uitkomst_doelgroep[[#This Row],[Uitgangssituatie/effect beleid]])</f>
        <v>Digitale/slimme vervolgzorg_Herhaalpoli's_Effect beleid</v>
      </c>
      <c r="H283" s="33">
        <v>2026</v>
      </c>
      <c r="I283" s="32">
        <v>4</v>
      </c>
      <c r="J283" s="406" cm="1">
        <f t="array" ref="J283">INDEX(implementatie[[2023]:[2034]],MATCH(G283, implementatie[Zoeksleutel],0),I283)</f>
        <v>8.4566978560000006E-2</v>
      </c>
      <c r="K283" s="406" cm="1">
        <f t="array" ref="K283">INDEX(implementatie[[2023]:[2034]],MATCH(G283,implementatie[Zoeksleutel],0),I283 + 1)</f>
        <v>0.13384180086769301</v>
      </c>
      <c r="L28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465118.38208000001</v>
      </c>
      <c r="M283" s="398" cm="1">
        <f t="array" ref="M283">J283*INDEX(Berekening_impact[Totaal arbeidsbesparing (€/jaar)],MATCH(B283,IF(Berekening_impact[Doelgroep]=C283,Berekening_impact[Digitale zorgtoepassing]),0))</f>
        <v>2121050.7556920205</v>
      </c>
      <c r="N283" s="397" cm="1">
        <f t="array" ref="N283">J283*INDEX(Berekening_impact[Totaal arbeidsbesparing (FTE/jaar)],MATCH(B283,IF(Berekening_impact[Doelgroep]=C283,Berekening_impact[Digitale zorgtoepassing]),0))</f>
        <v>11.180730338461538</v>
      </c>
      <c r="O283" s="398" cm="1">
        <f t="array" ref="O283">J283*INDEX(Berekening_impact[Overige kostenbesparing (totaal/jaar totaal potentieel)],MATCH(B283,IF(Berekening_impact[Doelgroep]=C283,Berekening_impact[Digitale zorgtoepassing]),0))</f>
        <v>0</v>
      </c>
      <c r="P283" s="398" cm="1">
        <f t="array" ref="P283">J283*INDEX(Berekening_impact[Opbrengsten door QALY''s],MATCH(B283,IF(Berekening_impact[Doelgroep]=C283,Berekening_impact[Digitale zorgtoepassing]),0))</f>
        <v>0</v>
      </c>
      <c r="Q283" s="398" cm="1">
        <f t="array" ref="Q283">J283*INDEX(Berekening_impact[Jaarlijkse kosten (totaal) - incl. schatting],MATCH(B283,IF(Berekening_impact[Doelgroep]=C283,Berekening_impact[Digitale zorgtoepassing]),0))</f>
        <v>1162485.4233769169</v>
      </c>
      <c r="R283" s="398" cm="1">
        <f t="array" ref="R283">(uitkomst_doelgroep[[#This Row],[Implementatiegraad t = T + 1]]-uitkomst_doelgroep[[#This Row],[Implementatiegraad t = T]])*INDEX(Berekening_impact[Initiële investering (totaal) - incl. schatting],MATCH(B283,IF(Berekening_impact[Doelgroep]=C283,Berekening_impact[Digitale zorgtoepassing]),0))</f>
        <v>0</v>
      </c>
      <c r="S283" s="398">
        <f>uitkomst_doelgroep[[#This Row],[Arbeidsbesparing (€)]]*uitkomst_doelgroep[[#This Row],[Percentage van patiëntaantallen in Wlz (overige is Zvw)]]</f>
        <v>0</v>
      </c>
      <c r="T283" s="398">
        <f>uitkomst_doelgroep[[#This Row],[Overige besparingen (€)]]*uitkomst_doelgroep[[#This Row],[Percentage van patiëntaantallen in Wlz (overige is Zvw)]]</f>
        <v>0</v>
      </c>
      <c r="U283" s="398">
        <f>uitkomst_doelgroep[[#This Row],[Kosten (€)]]*uitkomst_doelgroep[[#This Row],[Percentage van patiëntaantallen in Wlz (overige is Zvw)]]</f>
        <v>0</v>
      </c>
      <c r="V283" s="398">
        <f>uitkomst_doelgroep[[#This Row],[Investering (cash flow) (€)]]*uitkomst_doelgroep[[#This Row],[Percentage van patiëntaantallen in Wlz (overige is Zvw)]]</f>
        <v>0</v>
      </c>
    </row>
    <row r="284" spans="1:22" x14ac:dyDescent="0.5">
      <c r="A284" s="33" t="str">
        <f>INDEX(Technologieën[Veld],MATCH(B284,Technologieën[Digitale zorgtoepassing],0))</f>
        <v>Software - Behandeling</v>
      </c>
      <c r="B284" s="33" t="s">
        <v>585</v>
      </c>
      <c r="C284" s="33" t="s">
        <v>583</v>
      </c>
      <c r="D284" s="427" cm="1">
        <f t="array" ref="D284">INDEX(Berekening_patiëntaantal[Percentage van patiëntaantallen in Wlz (overige is Zvw)],MATCH(B284,IF(Berekening_patiëntaantal[Doelgroep (zoeksleutel)]=C284,Berekening_patiëntaantal[Digitale zorgtoepassing]),0))</f>
        <v>0</v>
      </c>
      <c r="E284" s="33" t="str" cm="1">
        <f t="array" ref="E284">INDEX(Berekening_patiëntaantal[Direct toepasbaar/extrapolatie/incidentie voor QALY],MATCH(B284,IF(Berekening_patiëntaantal[Doelgroep (zoeksleutel)]=C284,Berekening_patiëntaantal[Digitale zorgtoepassing]),0))</f>
        <v>Huidige toepassing</v>
      </c>
      <c r="F284" s="43" t="s">
        <v>812</v>
      </c>
      <c r="G284" s="33" t="str">
        <f>CONCATENATE(uitkomst_doelgroep[[#This Row],[Digitale zorgtoepassing]],"_",uitkomst_doelgroep[[#This Row],[Doelgroep]],"_",uitkomst_doelgroep[[#This Row],[Uitgangssituatie/effect beleid]])</f>
        <v>Digitale/slimme vervolgzorg_Herhaalpoli's_Effect beleid</v>
      </c>
      <c r="H284" s="33">
        <v>2027</v>
      </c>
      <c r="I284" s="32">
        <v>5</v>
      </c>
      <c r="J284" s="406" cm="1">
        <f t="array" ref="J284">INDEX(implementatie[[2023]:[2034]],MATCH(G284, implementatie[Zoeksleutel],0),I284)</f>
        <v>0.13384180086769301</v>
      </c>
      <c r="K284" s="406" cm="1">
        <f t="array" ref="K284">INDEX(implementatie[[2023]:[2034]],MATCH(G284,implementatie[Zoeksleutel],0),I284 + 1)</f>
        <v>0.19753623413361349</v>
      </c>
      <c r="L28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736129.90477231157</v>
      </c>
      <c r="M284" s="398" cm="1">
        <f t="array" ref="M284">J284*INDEX(Berekening_impact[Totaal arbeidsbesparing (€/jaar)],MATCH(B284,IF(Berekening_impact[Doelgroep]=C284,Berekening_impact[Digitale zorgtoepassing]),0))</f>
        <v>3356927.9369746605</v>
      </c>
      <c r="N284" s="397" cm="1">
        <f t="array" ref="N284">J284*INDEX(Berekening_impact[Totaal arbeidsbesparing (FTE/jaar)],MATCH(B284,IF(Berekening_impact[Doelgroep]=C284,Berekening_impact[Digitale zorgtoepassing]),0))</f>
        <v>17.695430403180566</v>
      </c>
      <c r="O284" s="398" cm="1">
        <f t="array" ref="O284">J284*INDEX(Berekening_impact[Overige kostenbesparing (totaal/jaar totaal potentieel)],MATCH(B284,IF(Berekening_impact[Doelgroep]=C284,Berekening_impact[Digitale zorgtoepassing]),0))</f>
        <v>0</v>
      </c>
      <c r="P284" s="398" cm="1">
        <f t="array" ref="P284">J284*INDEX(Berekening_impact[Opbrengsten door QALY''s],MATCH(B284,IF(Berekening_impact[Doelgroep]=C284,Berekening_impact[Digitale zorgtoepassing]),0))</f>
        <v>0</v>
      </c>
      <c r="Q284" s="398" cm="1">
        <f t="array" ref="Q284">J284*INDEX(Berekening_impact[Jaarlijkse kosten (totaal) - incl. schatting],MATCH(B284,IF(Berekening_impact[Doelgroep]=C284,Berekening_impact[Digitale zorgtoepassing]),0))</f>
        <v>1839833.2918660338</v>
      </c>
      <c r="R284" s="398" cm="1">
        <f t="array" ref="R284">(uitkomst_doelgroep[[#This Row],[Implementatiegraad t = T + 1]]-uitkomst_doelgroep[[#This Row],[Implementatiegraad t = T]])*INDEX(Berekening_impact[Initiële investering (totaal) - incl. schatting],MATCH(B284,IF(Berekening_impact[Doelgroep]=C284,Berekening_impact[Digitale zorgtoepassing]),0))</f>
        <v>0</v>
      </c>
      <c r="S284" s="398">
        <f>uitkomst_doelgroep[[#This Row],[Arbeidsbesparing (€)]]*uitkomst_doelgroep[[#This Row],[Percentage van patiëntaantallen in Wlz (overige is Zvw)]]</f>
        <v>0</v>
      </c>
      <c r="T284" s="398">
        <f>uitkomst_doelgroep[[#This Row],[Overige besparingen (€)]]*uitkomst_doelgroep[[#This Row],[Percentage van patiëntaantallen in Wlz (overige is Zvw)]]</f>
        <v>0</v>
      </c>
      <c r="U284" s="398">
        <f>uitkomst_doelgroep[[#This Row],[Kosten (€)]]*uitkomst_doelgroep[[#This Row],[Percentage van patiëntaantallen in Wlz (overige is Zvw)]]</f>
        <v>0</v>
      </c>
      <c r="V284" s="398">
        <f>uitkomst_doelgroep[[#This Row],[Investering (cash flow) (€)]]*uitkomst_doelgroep[[#This Row],[Percentage van patiëntaantallen in Wlz (overige is Zvw)]]</f>
        <v>0</v>
      </c>
    </row>
    <row r="285" spans="1:22" x14ac:dyDescent="0.5">
      <c r="A285" s="33" t="str">
        <f>INDEX(Technologieën[Veld],MATCH(B285,Technologieën[Digitale zorgtoepassing],0))</f>
        <v>Software - Behandeling</v>
      </c>
      <c r="B285" s="33" t="s">
        <v>585</v>
      </c>
      <c r="C285" s="33" t="s">
        <v>583</v>
      </c>
      <c r="D285" s="427" cm="1">
        <f t="array" ref="D285">INDEX(Berekening_patiëntaantal[Percentage van patiëntaantallen in Wlz (overige is Zvw)],MATCH(B285,IF(Berekening_patiëntaantal[Doelgroep (zoeksleutel)]=C285,Berekening_patiëntaantal[Digitale zorgtoepassing]),0))</f>
        <v>0</v>
      </c>
      <c r="E285" s="33" t="str" cm="1">
        <f t="array" ref="E285">INDEX(Berekening_patiëntaantal[Direct toepasbaar/extrapolatie/incidentie voor QALY],MATCH(B285,IF(Berekening_patiëntaantal[Doelgroep (zoeksleutel)]=C285,Berekening_patiëntaantal[Digitale zorgtoepassing]),0))</f>
        <v>Huidige toepassing</v>
      </c>
      <c r="F285" s="43" t="s">
        <v>812</v>
      </c>
      <c r="G285" s="33" t="str">
        <f>CONCATENATE(uitkomst_doelgroep[[#This Row],[Digitale zorgtoepassing]],"_",uitkomst_doelgroep[[#This Row],[Doelgroep]],"_",uitkomst_doelgroep[[#This Row],[Uitgangssituatie/effect beleid]])</f>
        <v>Digitale/slimme vervolgzorg_Herhaalpoli's_Effect beleid</v>
      </c>
      <c r="H285" s="33">
        <v>2028</v>
      </c>
      <c r="I285" s="32">
        <v>6</v>
      </c>
      <c r="J285" s="406" cm="1">
        <f t="array" ref="J285">INDEX(implementatie[[2023]:[2034]],MATCH(G285, implementatie[Zoeksleutel],0),I285)</f>
        <v>0.19753623413361349</v>
      </c>
      <c r="K285" s="406" cm="1">
        <f t="array" ref="K285">INDEX(implementatie[[2023]:[2034]],MATCH(G285,implementatie[Zoeksleutel],0),I285 + 1)</f>
        <v>0.27699177758611071</v>
      </c>
      <c r="L28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1086449.2877348743</v>
      </c>
      <c r="M285" s="398" cm="1">
        <f t="array" ref="M285">J285*INDEX(Berekening_impact[Totaal arbeidsbesparing (€/jaar)],MATCH(B285,IF(Berekening_impact[Doelgroep]=C285,Berekening_impact[Digitale zorgtoepassing]),0))</f>
        <v>4954467.8764701122</v>
      </c>
      <c r="N285" s="397" cm="1">
        <f t="array" ref="N285">J285*INDEX(Berekening_impact[Totaal arbeidsbesparing (FTE/jaar)],MATCH(B285,IF(Berekening_impact[Doelgroep]=C285,Berekening_impact[Digitale zorgtoepassing]),0))</f>
        <v>26.116569416703705</v>
      </c>
      <c r="O285" s="398" cm="1">
        <f t="array" ref="O285">J285*INDEX(Berekening_impact[Overige kostenbesparing (totaal/jaar totaal potentieel)],MATCH(B285,IF(Berekening_impact[Doelgroep]=C285,Berekening_impact[Digitale zorgtoepassing]),0))</f>
        <v>0</v>
      </c>
      <c r="P285" s="398" cm="1">
        <f t="array" ref="P285">J285*INDEX(Berekening_impact[Opbrengsten door QALY''s],MATCH(B285,IF(Berekening_impact[Doelgroep]=C285,Berekening_impact[Digitale zorgtoepassing]),0))</f>
        <v>0</v>
      </c>
      <c r="Q285" s="398" cm="1">
        <f t="array" ref="Q285">J285*INDEX(Berekening_impact[Jaarlijkse kosten (totaal) - incl. schatting],MATCH(B285,IF(Berekening_impact[Doelgroep]=C285,Berekening_impact[Digitale zorgtoepassing]),0))</f>
        <v>2715397.8618991519</v>
      </c>
      <c r="R285" s="398" cm="1">
        <f t="array" ref="R285">(uitkomst_doelgroep[[#This Row],[Implementatiegraad t = T + 1]]-uitkomst_doelgroep[[#This Row],[Implementatiegraad t = T]])*INDEX(Berekening_impact[Initiële investering (totaal) - incl. schatting],MATCH(B285,IF(Berekening_impact[Doelgroep]=C285,Berekening_impact[Digitale zorgtoepassing]),0))</f>
        <v>0</v>
      </c>
      <c r="S285" s="398">
        <f>uitkomst_doelgroep[[#This Row],[Arbeidsbesparing (€)]]*uitkomst_doelgroep[[#This Row],[Percentage van patiëntaantallen in Wlz (overige is Zvw)]]</f>
        <v>0</v>
      </c>
      <c r="T285" s="398">
        <f>uitkomst_doelgroep[[#This Row],[Overige besparingen (€)]]*uitkomst_doelgroep[[#This Row],[Percentage van patiëntaantallen in Wlz (overige is Zvw)]]</f>
        <v>0</v>
      </c>
      <c r="U285" s="398">
        <f>uitkomst_doelgroep[[#This Row],[Kosten (€)]]*uitkomst_doelgroep[[#This Row],[Percentage van patiëntaantallen in Wlz (overige is Zvw)]]</f>
        <v>0</v>
      </c>
      <c r="V285" s="398">
        <f>uitkomst_doelgroep[[#This Row],[Investering (cash flow) (€)]]*uitkomst_doelgroep[[#This Row],[Percentage van patiëntaantallen in Wlz (overige is Zvw)]]</f>
        <v>0</v>
      </c>
    </row>
    <row r="286" spans="1:22" x14ac:dyDescent="0.5">
      <c r="A286" s="33" t="str">
        <f>INDEX(Technologieën[Veld],MATCH(B286,Technologieën[Digitale zorgtoepassing],0))</f>
        <v>Software - Behandeling</v>
      </c>
      <c r="B286" s="33" t="s">
        <v>585</v>
      </c>
      <c r="C286" s="33" t="s">
        <v>583</v>
      </c>
      <c r="D286" s="427" cm="1">
        <f t="array" ref="D286">INDEX(Berekening_patiëntaantal[Percentage van patiëntaantallen in Wlz (overige is Zvw)],MATCH(B286,IF(Berekening_patiëntaantal[Doelgroep (zoeksleutel)]=C286,Berekening_patiëntaantal[Digitale zorgtoepassing]),0))</f>
        <v>0</v>
      </c>
      <c r="E286" s="33" t="str" cm="1">
        <f t="array" ref="E286">INDEX(Berekening_patiëntaantal[Direct toepasbaar/extrapolatie/incidentie voor QALY],MATCH(B286,IF(Berekening_patiëntaantal[Doelgroep (zoeksleutel)]=C286,Berekening_patiëntaantal[Digitale zorgtoepassing]),0))</f>
        <v>Huidige toepassing</v>
      </c>
      <c r="F286" s="43" t="s">
        <v>812</v>
      </c>
      <c r="G286" s="33" t="str">
        <f>CONCATENATE(uitkomst_doelgroep[[#This Row],[Digitale zorgtoepassing]],"_",uitkomst_doelgroep[[#This Row],[Doelgroep]],"_",uitkomst_doelgroep[[#This Row],[Uitgangssituatie/effect beleid]])</f>
        <v>Digitale/slimme vervolgzorg_Herhaalpoli's_Effect beleid</v>
      </c>
      <c r="H286" s="33">
        <v>2029</v>
      </c>
      <c r="I286" s="32">
        <v>7</v>
      </c>
      <c r="J286" s="406" cm="1">
        <f t="array" ref="J286">INDEX(implementatie[[2023]:[2034]],MATCH(G286, implementatie[Zoeksleutel],0),I286)</f>
        <v>0.27699177758611071</v>
      </c>
      <c r="K286" s="406" cm="1">
        <f t="array" ref="K286">INDEX(implementatie[[2023]:[2034]],MATCH(G286,implementatie[Zoeksleutel],0),I286 + 1)</f>
        <v>0.37155887512870744</v>
      </c>
      <c r="L28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1523454.7767236088</v>
      </c>
      <c r="M286" s="398" cm="1">
        <f t="array" ref="M286">J286*INDEX(Berekening_impact[Totaal arbeidsbesparing (€/jaar)],MATCH(B286,IF(Berekening_impact[Doelgroep]=C286,Berekening_impact[Digitale zorgtoepassing]),0))</f>
        <v>6947317.1345793931</v>
      </c>
      <c r="N286" s="397" cm="1">
        <f t="array" ref="N286">J286*INDEX(Berekening_impact[Totaal arbeidsbesparing (FTE/jaar)],MATCH(B286,IF(Berekening_impact[Doelgroep]=C286,Berekening_impact[Digitale zorgtoepassing]),0))</f>
        <v>36.621509055855981</v>
      </c>
      <c r="O286" s="398" cm="1">
        <f t="array" ref="O286">J286*INDEX(Berekening_impact[Overige kostenbesparing (totaal/jaar totaal potentieel)],MATCH(B286,IF(Berekening_impact[Doelgroep]=C286,Berekening_impact[Digitale zorgtoepassing]),0))</f>
        <v>0</v>
      </c>
      <c r="P286" s="398" cm="1">
        <f t="array" ref="P286">J286*INDEX(Berekening_impact[Opbrengsten door QALY''s],MATCH(B286,IF(Berekening_impact[Doelgroep]=C286,Berekening_impact[Digitale zorgtoepassing]),0))</f>
        <v>0</v>
      </c>
      <c r="Q286" s="398" cm="1">
        <f t="array" ref="Q286">J286*INDEX(Berekening_impact[Jaarlijkse kosten (totaal) - incl. schatting],MATCH(B286,IF(Berekening_impact[Doelgroep]=C286,Berekening_impact[Digitale zorgtoepassing]),0))</f>
        <v>3807619.8218511199</v>
      </c>
      <c r="R286" s="398" cm="1">
        <f t="array" ref="R286">(uitkomst_doelgroep[[#This Row],[Implementatiegraad t = T + 1]]-uitkomst_doelgroep[[#This Row],[Implementatiegraad t = T]])*INDEX(Berekening_impact[Initiële investering (totaal) - incl. schatting],MATCH(B286,IF(Berekening_impact[Doelgroep]=C286,Berekening_impact[Digitale zorgtoepassing]),0))</f>
        <v>0</v>
      </c>
      <c r="S286" s="398">
        <f>uitkomst_doelgroep[[#This Row],[Arbeidsbesparing (€)]]*uitkomst_doelgroep[[#This Row],[Percentage van patiëntaantallen in Wlz (overige is Zvw)]]</f>
        <v>0</v>
      </c>
      <c r="T286" s="398">
        <f>uitkomst_doelgroep[[#This Row],[Overige besparingen (€)]]*uitkomst_doelgroep[[#This Row],[Percentage van patiëntaantallen in Wlz (overige is Zvw)]]</f>
        <v>0</v>
      </c>
      <c r="U286" s="398">
        <f>uitkomst_doelgroep[[#This Row],[Kosten (€)]]*uitkomst_doelgroep[[#This Row],[Percentage van patiëntaantallen in Wlz (overige is Zvw)]]</f>
        <v>0</v>
      </c>
      <c r="V286" s="398">
        <f>uitkomst_doelgroep[[#This Row],[Investering (cash flow) (€)]]*uitkomst_doelgroep[[#This Row],[Percentage van patiëntaantallen in Wlz (overige is Zvw)]]</f>
        <v>0</v>
      </c>
    </row>
    <row r="287" spans="1:22" x14ac:dyDescent="0.5">
      <c r="A287" s="33" t="str">
        <f>INDEX(Technologieën[Veld],MATCH(B287,Technologieën[Digitale zorgtoepassing],0))</f>
        <v>Software - Behandeling</v>
      </c>
      <c r="B287" s="33" t="s">
        <v>585</v>
      </c>
      <c r="C287" s="33" t="s">
        <v>583</v>
      </c>
      <c r="D287" s="427" cm="1">
        <f t="array" ref="D287">INDEX(Berekening_patiëntaantal[Percentage van patiëntaantallen in Wlz (overige is Zvw)],MATCH(B287,IF(Berekening_patiëntaantal[Doelgroep (zoeksleutel)]=C287,Berekening_patiëntaantal[Digitale zorgtoepassing]),0))</f>
        <v>0</v>
      </c>
      <c r="E287" s="33" t="str" cm="1">
        <f t="array" ref="E287">INDEX(Berekening_patiëntaantal[Direct toepasbaar/extrapolatie/incidentie voor QALY],MATCH(B287,IF(Berekening_patiëntaantal[Doelgroep (zoeksleutel)]=C287,Berekening_patiëntaantal[Digitale zorgtoepassing]),0))</f>
        <v>Huidige toepassing</v>
      </c>
      <c r="F287" s="43" t="s">
        <v>812</v>
      </c>
      <c r="G287" s="33" t="str">
        <f>CONCATENATE(uitkomst_doelgroep[[#This Row],[Digitale zorgtoepassing]],"_",uitkomst_doelgroep[[#This Row],[Doelgroep]],"_",uitkomst_doelgroep[[#This Row],[Uitgangssituatie/effect beleid]])</f>
        <v>Digitale/slimme vervolgzorg_Herhaalpoli's_Effect beleid</v>
      </c>
      <c r="H287" s="33">
        <v>2030</v>
      </c>
      <c r="I287" s="32">
        <v>8</v>
      </c>
      <c r="J287" s="406" cm="1">
        <f t="array" ref="J287">INDEX(implementatie[[2023]:[2034]],MATCH(G287, implementatie[Zoeksleutel],0),I287)</f>
        <v>0.37155887512870744</v>
      </c>
      <c r="K287" s="406" cm="1">
        <f t="array" ref="K287">INDEX(implementatie[[2023]:[2034]],MATCH(G287,implementatie[Zoeksleutel],0),I287 + 1)</f>
        <v>0.47752884860285211</v>
      </c>
      <c r="L28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2043573.8132078908</v>
      </c>
      <c r="M287" s="398" cm="1">
        <f t="array" ref="M287">J287*INDEX(Berekening_impact[Totaal arbeidsbesparing (€/jaar)],MATCH(B287,IF(Berekening_impact[Doelgroep]=C287,Berekening_impact[Digitale zorgtoepassing]),0))</f>
        <v>9319183.9923271108</v>
      </c>
      <c r="N287" s="397" cm="1">
        <f t="array" ref="N287">J287*INDEX(Berekening_impact[Totaal arbeidsbesparing (FTE/jaar)],MATCH(B287,IF(Berekening_impact[Doelgroep]=C287,Berekening_impact[Digitale zorgtoepassing]),0))</f>
        <v>49.124370509805068</v>
      </c>
      <c r="O287" s="398" cm="1">
        <f t="array" ref="O287">J287*INDEX(Berekening_impact[Overige kostenbesparing (totaal/jaar totaal potentieel)],MATCH(B287,IF(Berekening_impact[Doelgroep]=C287,Berekening_impact[Digitale zorgtoepassing]),0))</f>
        <v>0</v>
      </c>
      <c r="P287" s="398" cm="1">
        <f t="array" ref="P287">J287*INDEX(Berekening_impact[Opbrengsten door QALY''s],MATCH(B287,IF(Berekening_impact[Doelgroep]=C287,Berekening_impact[Digitale zorgtoepassing]),0))</f>
        <v>0</v>
      </c>
      <c r="Q287" s="398" cm="1">
        <f t="array" ref="Q287">J287*INDEX(Berekening_impact[Jaarlijkse kosten (totaal) - incl. schatting],MATCH(B287,IF(Berekening_impact[Doelgroep]=C287,Berekening_impact[Digitale zorgtoepassing]),0))</f>
        <v>5107570.1605797848</v>
      </c>
      <c r="R287" s="398" cm="1">
        <f t="array" ref="R287">(uitkomst_doelgroep[[#This Row],[Implementatiegraad t = T + 1]]-uitkomst_doelgroep[[#This Row],[Implementatiegraad t = T]])*INDEX(Berekening_impact[Initiële investering (totaal) - incl. schatting],MATCH(B287,IF(Berekening_impact[Doelgroep]=C287,Berekening_impact[Digitale zorgtoepassing]),0))</f>
        <v>0</v>
      </c>
      <c r="S287" s="398">
        <f>uitkomst_doelgroep[[#This Row],[Arbeidsbesparing (€)]]*uitkomst_doelgroep[[#This Row],[Percentage van patiëntaantallen in Wlz (overige is Zvw)]]</f>
        <v>0</v>
      </c>
      <c r="T287" s="398">
        <f>uitkomst_doelgroep[[#This Row],[Overige besparingen (€)]]*uitkomst_doelgroep[[#This Row],[Percentage van patiëntaantallen in Wlz (overige is Zvw)]]</f>
        <v>0</v>
      </c>
      <c r="U287" s="398">
        <f>uitkomst_doelgroep[[#This Row],[Kosten (€)]]*uitkomst_doelgroep[[#This Row],[Percentage van patiëntaantallen in Wlz (overige is Zvw)]]</f>
        <v>0</v>
      </c>
      <c r="V287" s="398">
        <f>uitkomst_doelgroep[[#This Row],[Investering (cash flow) (€)]]*uitkomst_doelgroep[[#This Row],[Percentage van patiëntaantallen in Wlz (overige is Zvw)]]</f>
        <v>0</v>
      </c>
    </row>
    <row r="288" spans="1:22" x14ac:dyDescent="0.5">
      <c r="A288" s="33" t="str">
        <f>INDEX(Technologieën[Veld],MATCH(B288,Technologieën[Digitale zorgtoepassing],0))</f>
        <v>Software - Behandeling</v>
      </c>
      <c r="B288" s="33" t="s">
        <v>585</v>
      </c>
      <c r="C288" s="33" t="s">
        <v>583</v>
      </c>
      <c r="D288" s="427" cm="1">
        <f t="array" ref="D288">INDEX(Berekening_patiëntaantal[Percentage van patiëntaantallen in Wlz (overige is Zvw)],MATCH(B288,IF(Berekening_patiëntaantal[Doelgroep (zoeksleutel)]=C288,Berekening_patiëntaantal[Digitale zorgtoepassing]),0))</f>
        <v>0</v>
      </c>
      <c r="E288" s="33" t="str" cm="1">
        <f t="array" ref="E288">INDEX(Berekening_patiëntaantal[Direct toepasbaar/extrapolatie/incidentie voor QALY],MATCH(B288,IF(Berekening_patiëntaantal[Doelgroep (zoeksleutel)]=C288,Berekening_patiëntaantal[Digitale zorgtoepassing]),0))</f>
        <v>Huidige toepassing</v>
      </c>
      <c r="F288" s="43" t="s">
        <v>812</v>
      </c>
      <c r="G288" s="33" t="str">
        <f>CONCATENATE(uitkomst_doelgroep[[#This Row],[Digitale zorgtoepassing]],"_",uitkomst_doelgroep[[#This Row],[Doelgroep]],"_",uitkomst_doelgroep[[#This Row],[Uitgangssituatie/effect beleid]])</f>
        <v>Digitale/slimme vervolgzorg_Herhaalpoli's_Effect beleid</v>
      </c>
      <c r="H288" s="33">
        <v>2031</v>
      </c>
      <c r="I288" s="32">
        <v>9</v>
      </c>
      <c r="J288" s="406" cm="1">
        <f t="array" ref="J288">INDEX(implementatie[[2023]:[2034]],MATCH(G288, implementatie[Zoeksleutel],0),I288)</f>
        <v>0.47752884860285211</v>
      </c>
      <c r="K288" s="406" cm="1">
        <f t="array" ref="K288">INDEX(implementatie[[2023]:[2034]],MATCH(G288,implementatie[Zoeksleutel],0),I288 + 1)</f>
        <v>0.5877762905727496</v>
      </c>
      <c r="L28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2626408.6673156866</v>
      </c>
      <c r="M288" s="398" cm="1">
        <f t="array" ref="M288">J288*INDEX(Berekening_impact[Totaal arbeidsbesparing (€/jaar)],MATCH(B288,IF(Berekening_impact[Doelgroep]=C288,Berekening_impact[Digitale zorgtoepassing]),0))</f>
        <v>11977049.936520988</v>
      </c>
      <c r="N288" s="397" cm="1">
        <f t="array" ref="N288">J288*INDEX(Berekening_impact[Totaal arbeidsbesparing (FTE/jaar)],MATCH(B288,IF(Berekening_impact[Doelgroep]=C288,Berekening_impact[Digitale zorgtoepassing]),0))</f>
        <v>63.134823733550157</v>
      </c>
      <c r="O288" s="398" cm="1">
        <f t="array" ref="O288">J288*INDEX(Berekening_impact[Overige kostenbesparing (totaal/jaar totaal potentieel)],MATCH(B288,IF(Berekening_impact[Doelgroep]=C288,Berekening_impact[Digitale zorgtoepassing]),0))</f>
        <v>0</v>
      </c>
      <c r="P288" s="398" cm="1">
        <f t="array" ref="P288">J288*INDEX(Berekening_impact[Opbrengsten door QALY''s],MATCH(B288,IF(Berekening_impact[Doelgroep]=C288,Berekening_impact[Digitale zorgtoepassing]),0))</f>
        <v>0</v>
      </c>
      <c r="Q288" s="398" cm="1">
        <f t="array" ref="Q288">J288*INDEX(Berekening_impact[Jaarlijkse kosten (totaal) - incl. schatting],MATCH(B288,IF(Berekening_impact[Doelgroep]=C288,Berekening_impact[Digitale zorgtoepassing]),0))</f>
        <v>6564268.1717536123</v>
      </c>
      <c r="R288" s="398" cm="1">
        <f t="array" ref="R288">(uitkomst_doelgroep[[#This Row],[Implementatiegraad t = T + 1]]-uitkomst_doelgroep[[#This Row],[Implementatiegraad t = T]])*INDEX(Berekening_impact[Initiële investering (totaal) - incl. schatting],MATCH(B288,IF(Berekening_impact[Doelgroep]=C288,Berekening_impact[Digitale zorgtoepassing]),0))</f>
        <v>0</v>
      </c>
      <c r="S288" s="398">
        <f>uitkomst_doelgroep[[#This Row],[Arbeidsbesparing (€)]]*uitkomst_doelgroep[[#This Row],[Percentage van patiëntaantallen in Wlz (overige is Zvw)]]</f>
        <v>0</v>
      </c>
      <c r="T288" s="398">
        <f>uitkomst_doelgroep[[#This Row],[Overige besparingen (€)]]*uitkomst_doelgroep[[#This Row],[Percentage van patiëntaantallen in Wlz (overige is Zvw)]]</f>
        <v>0</v>
      </c>
      <c r="U288" s="398">
        <f>uitkomst_doelgroep[[#This Row],[Kosten (€)]]*uitkomst_doelgroep[[#This Row],[Percentage van patiëntaantallen in Wlz (overige is Zvw)]]</f>
        <v>0</v>
      </c>
      <c r="V288" s="398">
        <f>uitkomst_doelgroep[[#This Row],[Investering (cash flow) (€)]]*uitkomst_doelgroep[[#This Row],[Percentage van patiëntaantallen in Wlz (overige is Zvw)]]</f>
        <v>0</v>
      </c>
    </row>
    <row r="289" spans="1:22" x14ac:dyDescent="0.5">
      <c r="A289" s="33" t="str">
        <f>INDEX(Technologieën[Veld],MATCH(B289,Technologieën[Digitale zorgtoepassing],0))</f>
        <v>Software - Behandeling</v>
      </c>
      <c r="B289" s="33" t="s">
        <v>585</v>
      </c>
      <c r="C289" s="33" t="s">
        <v>583</v>
      </c>
      <c r="D289" s="427" cm="1">
        <f t="array" ref="D289">INDEX(Berekening_patiëntaantal[Percentage van patiëntaantallen in Wlz (overige is Zvw)],MATCH(B289,IF(Berekening_patiëntaantal[Doelgroep (zoeksleutel)]=C289,Berekening_patiëntaantal[Digitale zorgtoepassing]),0))</f>
        <v>0</v>
      </c>
      <c r="E289" s="33" t="str" cm="1">
        <f t="array" ref="E289">INDEX(Berekening_patiëntaantal[Direct toepasbaar/extrapolatie/incidentie voor QALY],MATCH(B289,IF(Berekening_patiëntaantal[Doelgroep (zoeksleutel)]=C289,Berekening_patiëntaantal[Digitale zorgtoepassing]),0))</f>
        <v>Huidige toepassing</v>
      </c>
      <c r="F289" s="43" t="s">
        <v>812</v>
      </c>
      <c r="G289" s="33" t="str">
        <f>CONCATENATE(uitkomst_doelgroep[[#This Row],[Digitale zorgtoepassing]],"_",uitkomst_doelgroep[[#This Row],[Doelgroep]],"_",uitkomst_doelgroep[[#This Row],[Uitgangssituatie/effect beleid]])</f>
        <v>Digitale/slimme vervolgzorg_Herhaalpoli's_Effect beleid</v>
      </c>
      <c r="H289" s="33">
        <v>2032</v>
      </c>
      <c r="I289" s="32">
        <v>10</v>
      </c>
      <c r="J289" s="406" cm="1">
        <f t="array" ref="J289">INDEX(implementatie[[2023]:[2034]],MATCH(G289, implementatie[Zoeksleutel],0),I289)</f>
        <v>0.5877762905727496</v>
      </c>
      <c r="K289" s="406" cm="1">
        <f t="array" ref="K289">INDEX(implementatie[[2023]:[2034]],MATCH(G289,implementatie[Zoeksleutel],0),I289 + 1)</f>
        <v>0.6929388938866099</v>
      </c>
      <c r="L28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3232769.5981501229</v>
      </c>
      <c r="M289" s="398" cm="1">
        <f t="array" ref="M289">J289*INDEX(Berekening_impact[Totaal arbeidsbesparing (€/jaar)],MATCH(B289,IF(Berekening_impact[Doelgroep]=C289,Berekening_impact[Digitale zorgtoepassing]),0))</f>
        <v>14742200.401692854</v>
      </c>
      <c r="N289" s="397" cm="1">
        <f t="array" ref="N289">J289*INDEX(Berekening_impact[Totaal arbeidsbesparing (FTE/jaar)],MATCH(B289,IF(Berekening_impact[Doelgroep]=C289,Berekening_impact[Digitale zorgtoepassing]),0))</f>
        <v>77.710807647839488</v>
      </c>
      <c r="O289" s="398" cm="1">
        <f t="array" ref="O289">J289*INDEX(Berekening_impact[Overige kostenbesparing (totaal/jaar totaal potentieel)],MATCH(B289,IF(Berekening_impact[Doelgroep]=C289,Berekening_impact[Digitale zorgtoepassing]),0))</f>
        <v>0</v>
      </c>
      <c r="P289" s="398" cm="1">
        <f t="array" ref="P289">J289*INDEX(Berekening_impact[Opbrengsten door QALY''s],MATCH(B289,IF(Berekening_impact[Doelgroep]=C289,Berekening_impact[Digitale zorgtoepassing]),0))</f>
        <v>0</v>
      </c>
      <c r="Q289" s="398" cm="1">
        <f t="array" ref="Q289">J289*INDEX(Berekening_impact[Jaarlijkse kosten (totaal) - incl. schatting],MATCH(B289,IF(Berekening_impact[Doelgroep]=C289,Berekening_impact[Digitale zorgtoepassing]),0))</f>
        <v>8079765.667784743</v>
      </c>
      <c r="R289" s="398" cm="1">
        <f t="array" ref="R289">(uitkomst_doelgroep[[#This Row],[Implementatiegraad t = T + 1]]-uitkomst_doelgroep[[#This Row],[Implementatiegraad t = T]])*INDEX(Berekening_impact[Initiële investering (totaal) - incl. schatting],MATCH(B289,IF(Berekening_impact[Doelgroep]=C289,Berekening_impact[Digitale zorgtoepassing]),0))</f>
        <v>0</v>
      </c>
      <c r="S289" s="398">
        <f>uitkomst_doelgroep[[#This Row],[Arbeidsbesparing (€)]]*uitkomst_doelgroep[[#This Row],[Percentage van patiëntaantallen in Wlz (overige is Zvw)]]</f>
        <v>0</v>
      </c>
      <c r="T289" s="398">
        <f>uitkomst_doelgroep[[#This Row],[Overige besparingen (€)]]*uitkomst_doelgroep[[#This Row],[Percentage van patiëntaantallen in Wlz (overige is Zvw)]]</f>
        <v>0</v>
      </c>
      <c r="U289" s="398">
        <f>uitkomst_doelgroep[[#This Row],[Kosten (€)]]*uitkomst_doelgroep[[#This Row],[Percentage van patiëntaantallen in Wlz (overige is Zvw)]]</f>
        <v>0</v>
      </c>
      <c r="V289" s="398">
        <f>uitkomst_doelgroep[[#This Row],[Investering (cash flow) (€)]]*uitkomst_doelgroep[[#This Row],[Percentage van patiëntaantallen in Wlz (overige is Zvw)]]</f>
        <v>0</v>
      </c>
    </row>
    <row r="290" spans="1:22" x14ac:dyDescent="0.5">
      <c r="A290" s="33" t="str">
        <f>INDEX(Technologieën[Veld],MATCH(B290,Technologieën[Digitale zorgtoepassing],0))</f>
        <v>Software - Behandeling</v>
      </c>
      <c r="B290" s="33" t="s">
        <v>585</v>
      </c>
      <c r="C290" s="33" t="s">
        <v>583</v>
      </c>
      <c r="D290" s="427" cm="1">
        <f t="array" ref="D290">INDEX(Berekening_patiëntaantal[Percentage van patiëntaantallen in Wlz (overige is Zvw)],MATCH(B290,IF(Berekening_patiëntaantal[Doelgroep (zoeksleutel)]=C290,Berekening_patiëntaantal[Digitale zorgtoepassing]),0))</f>
        <v>0</v>
      </c>
      <c r="E290" s="33" t="str" cm="1">
        <f t="array" ref="E290">INDEX(Berekening_patiëntaantal[Direct toepasbaar/extrapolatie/incidentie voor QALY],MATCH(B290,IF(Berekening_patiëntaantal[Doelgroep (zoeksleutel)]=C290,Berekening_patiëntaantal[Digitale zorgtoepassing]),0))</f>
        <v>Huidige toepassing</v>
      </c>
      <c r="F290" s="43" t="s">
        <v>812</v>
      </c>
      <c r="G290" s="33" t="str">
        <f>CONCATENATE(uitkomst_doelgroep[[#This Row],[Digitale zorgtoepassing]],"_",uitkomst_doelgroep[[#This Row],[Doelgroep]],"_",uitkomst_doelgroep[[#This Row],[Uitgangssituatie/effect beleid]])</f>
        <v>Digitale/slimme vervolgzorg_Herhaalpoli's_Effect beleid</v>
      </c>
      <c r="H290" s="33">
        <v>2033</v>
      </c>
      <c r="I290" s="32">
        <v>11</v>
      </c>
      <c r="J290" s="406" cm="1">
        <f t="array" ref="J290">INDEX(implementatie[[2023]:[2034]],MATCH(G290, implementatie[Zoeksleutel],0),I290)</f>
        <v>0.6929388938866099</v>
      </c>
      <c r="K290" s="406" cm="1">
        <f t="array" ref="K290">INDEX(implementatie[[2023]:[2034]],MATCH(G290,implementatie[Zoeksleutel],0),I290 + 1)</f>
        <v>0.78418994929920227</v>
      </c>
      <c r="L29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3811163.9163763546</v>
      </c>
      <c r="M290" s="398" cm="1">
        <f t="array" ref="M290">J290*INDEX(Berekening_impact[Totaal arbeidsbesparing (€/jaar)],MATCH(B290,IF(Berekening_impact[Doelgroep]=C290,Berekening_impact[Digitale zorgtoepassing]),0))</f>
        <v>17379816.443173472</v>
      </c>
      <c r="N290" s="397" cm="1">
        <f t="array" ref="N290">J290*INDEX(Berekening_impact[Totaal arbeidsbesparing (FTE/jaar)],MATCH(B290,IF(Berekening_impact[Doelgroep]=C290,Berekening_impact[Digitale zorgtoepassing]),0))</f>
        <v>91.614517220585441</v>
      </c>
      <c r="O290" s="398" cm="1">
        <f t="array" ref="O290">J290*INDEX(Berekening_impact[Overige kostenbesparing (totaal/jaar totaal potentieel)],MATCH(B290,IF(Berekening_impact[Doelgroep]=C290,Berekening_impact[Digitale zorgtoepassing]),0))</f>
        <v>0</v>
      </c>
      <c r="P290" s="398" cm="1">
        <f t="array" ref="P290">J290*INDEX(Berekening_impact[Opbrengsten door QALY''s],MATCH(B290,IF(Berekening_impact[Doelgroep]=C290,Berekening_impact[Digitale zorgtoepassing]),0))</f>
        <v>0</v>
      </c>
      <c r="Q290" s="398" cm="1">
        <f t="array" ref="Q290">J290*INDEX(Berekening_impact[Jaarlijkse kosten (totaal) - incl. schatting],MATCH(B290,IF(Berekening_impact[Doelgroep]=C290,Berekening_impact[Digitale zorgtoepassing]),0))</f>
        <v>9525365.3039358165</v>
      </c>
      <c r="R290" s="398" cm="1">
        <f t="array" ref="R290">(uitkomst_doelgroep[[#This Row],[Implementatiegraad t = T + 1]]-uitkomst_doelgroep[[#This Row],[Implementatiegraad t = T]])*INDEX(Berekening_impact[Initiële investering (totaal) - incl. schatting],MATCH(B290,IF(Berekening_impact[Doelgroep]=C290,Berekening_impact[Digitale zorgtoepassing]),0))</f>
        <v>0</v>
      </c>
      <c r="S290" s="398">
        <f>uitkomst_doelgroep[[#This Row],[Arbeidsbesparing (€)]]*uitkomst_doelgroep[[#This Row],[Percentage van patiëntaantallen in Wlz (overige is Zvw)]]</f>
        <v>0</v>
      </c>
      <c r="T290" s="398">
        <f>uitkomst_doelgroep[[#This Row],[Overige besparingen (€)]]*uitkomst_doelgroep[[#This Row],[Percentage van patiëntaantallen in Wlz (overige is Zvw)]]</f>
        <v>0</v>
      </c>
      <c r="U290" s="398">
        <f>uitkomst_doelgroep[[#This Row],[Kosten (€)]]*uitkomst_doelgroep[[#This Row],[Percentage van patiëntaantallen in Wlz (overige is Zvw)]]</f>
        <v>0</v>
      </c>
      <c r="V290" s="398">
        <f>uitkomst_doelgroep[[#This Row],[Investering (cash flow) (€)]]*uitkomst_doelgroep[[#This Row],[Percentage van patiëntaantallen in Wlz (overige is Zvw)]]</f>
        <v>0</v>
      </c>
    </row>
    <row r="291" spans="1:22" x14ac:dyDescent="0.5">
      <c r="A291" s="33" t="str">
        <f>INDEX(Technologieën[Veld],MATCH(B291,Technologieën[Digitale zorgtoepassing],0))</f>
        <v>Digitale hulpmiddelen - Verpleging</v>
      </c>
      <c r="B291" s="33" t="s">
        <v>58</v>
      </c>
      <c r="C291" s="33" t="s">
        <v>59</v>
      </c>
      <c r="D291" s="427" cm="1">
        <f t="array" ref="D291">INDEX(Berekening_patiëntaantal[Percentage van patiëntaantallen in Wlz (overige is Zvw)],MATCH(B291,IF(Berekening_patiëntaantal[Doelgroep (zoeksleutel)]=C291,Berekening_patiëntaantal[Digitale zorgtoepassing]),0))</f>
        <v>0.45</v>
      </c>
      <c r="E291" s="33" t="str" cm="1">
        <f t="array" ref="E291">INDEX(Berekening_patiëntaantal[Direct toepasbaar/extrapolatie/incidentie voor QALY],MATCH(B291,IF(Berekening_patiëntaantal[Doelgroep (zoeksleutel)]=C291,Berekening_patiëntaantal[Digitale zorgtoepassing]),0))</f>
        <v>Huidige toepassing</v>
      </c>
      <c r="F291" s="43" t="s">
        <v>812</v>
      </c>
      <c r="G291" s="33" t="str">
        <f>CONCATENATE(uitkomst_doelgroep[[#This Row],[Digitale zorgtoepassing]],"_",uitkomst_doelgroep[[#This Row],[Doelgroep]],"_",uitkomst_doelgroep[[#This Row],[Uitgangssituatie/effect beleid]])</f>
        <v>Elektromechanisch toegangsbeheer_Alleenstaande thuiszorg cliënten_Effect beleid</v>
      </c>
      <c r="H291" s="33">
        <v>2023</v>
      </c>
      <c r="I291" s="32">
        <v>1</v>
      </c>
      <c r="J291" s="406" cm="1">
        <f t="array" ref="J291">INDEX(implementatie[[2023]:[2034]],MATCH(G291, implementatie[Zoeksleutel],0),I291)</f>
        <v>0.4</v>
      </c>
      <c r="K291" s="406" cm="1">
        <f t="array" ref="K291">INDEX(implementatie[[2023]:[2034]],MATCH(G291,implementatie[Zoeksleutel],0),I291 + 1)</f>
        <v>0.52300000000000002</v>
      </c>
      <c r="L29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60000</v>
      </c>
      <c r="M291" s="398" cm="1">
        <f t="array" ref="M291">J291*INDEX(Berekening_impact[Totaal arbeidsbesparing (€/jaar)],MATCH(B291,IF(Berekening_impact[Doelgroep]=C291,Berekening_impact[Digitale zorgtoepassing]),0))</f>
        <v>7429470.1149425283</v>
      </c>
      <c r="N291" s="397" cm="1">
        <f t="array" ref="N291">J291*INDEX(Berekening_impact[Totaal arbeidsbesparing (FTE/jaar)],MATCH(B291,IF(Berekening_impact[Doelgroep]=C291,Berekening_impact[Digitale zorgtoepassing]),0))</f>
        <v>175</v>
      </c>
      <c r="O291" s="398" cm="1">
        <f t="array" ref="O291">J291*INDEX(Berekening_impact[Overige kostenbesparing (totaal/jaar totaal potentieel)],MATCH(B291,IF(Berekening_impact[Doelgroep]=C291,Berekening_impact[Digitale zorgtoepassing]),0))</f>
        <v>4542963.5409161095</v>
      </c>
      <c r="P291" s="398" cm="1">
        <f t="array" ref="P291">J291*INDEX(Berekening_impact[Opbrengsten door QALY''s],MATCH(B291,IF(Berekening_impact[Doelgroep]=C291,Berekening_impact[Digitale zorgtoepassing]),0))</f>
        <v>0</v>
      </c>
      <c r="Q291" s="398" cm="1">
        <f t="array" ref="Q291">J291*INDEX(Berekening_impact[Jaarlijkse kosten (totaal) - incl. schatting],MATCH(B291,IF(Berekening_impact[Doelgroep]=C291,Berekening_impact[Digitale zorgtoepassing]),0))</f>
        <v>11484000</v>
      </c>
      <c r="R291" s="398" cm="1">
        <f t="array" ref="R291">(uitkomst_doelgroep[[#This Row],[Implementatiegraad t = T + 1]]-uitkomst_doelgroep[[#This Row],[Implementatiegraad t = T]])*INDEX(Berekening_impact[Initiële investering (totaal) - incl. schatting],MATCH(B291,IF(Berekening_impact[Doelgroep]=C291,Berekening_impact[Digitale zorgtoepassing]),0))</f>
        <v>1475077.5</v>
      </c>
      <c r="S291" s="398">
        <f>uitkomst_doelgroep[[#This Row],[Arbeidsbesparing (€)]]*uitkomst_doelgroep[[#This Row],[Percentage van patiëntaantallen in Wlz (overige is Zvw)]]</f>
        <v>3343261.5517241377</v>
      </c>
      <c r="T291" s="398">
        <f>uitkomst_doelgroep[[#This Row],[Overige besparingen (€)]]*uitkomst_doelgroep[[#This Row],[Percentage van patiëntaantallen in Wlz (overige is Zvw)]]</f>
        <v>2044333.5934122493</v>
      </c>
      <c r="U291" s="398">
        <f>uitkomst_doelgroep[[#This Row],[Kosten (€)]]*uitkomst_doelgroep[[#This Row],[Percentage van patiëntaantallen in Wlz (overige is Zvw)]]</f>
        <v>5167800</v>
      </c>
      <c r="V291" s="398">
        <f>uitkomst_doelgroep[[#This Row],[Investering (cash flow) (€)]]*uitkomst_doelgroep[[#This Row],[Percentage van patiëntaantallen in Wlz (overige is Zvw)]]</f>
        <v>663784.875</v>
      </c>
    </row>
    <row r="292" spans="1:22" x14ac:dyDescent="0.5">
      <c r="A292" s="33" t="str">
        <f>INDEX(Technologieën[Veld],MATCH(B292,Technologieën[Digitale zorgtoepassing],0))</f>
        <v>Digitale hulpmiddelen - Verpleging</v>
      </c>
      <c r="B292" s="33" t="s">
        <v>58</v>
      </c>
      <c r="C292" s="33" t="s">
        <v>59</v>
      </c>
      <c r="D292" s="427" cm="1">
        <f t="array" ref="D292">INDEX(Berekening_patiëntaantal[Percentage van patiëntaantallen in Wlz (overige is Zvw)],MATCH(B292,IF(Berekening_patiëntaantal[Doelgroep (zoeksleutel)]=C292,Berekening_patiëntaantal[Digitale zorgtoepassing]),0))</f>
        <v>0.45</v>
      </c>
      <c r="E292" s="33" t="str" cm="1">
        <f t="array" ref="E292">INDEX(Berekening_patiëntaantal[Direct toepasbaar/extrapolatie/incidentie voor QALY],MATCH(B292,IF(Berekening_patiëntaantal[Doelgroep (zoeksleutel)]=C292,Berekening_patiëntaantal[Digitale zorgtoepassing]),0))</f>
        <v>Huidige toepassing</v>
      </c>
      <c r="F292" s="43" t="s">
        <v>812</v>
      </c>
      <c r="G292" s="33" t="str">
        <f>CONCATENATE(uitkomst_doelgroep[[#This Row],[Digitale zorgtoepassing]],"_",uitkomst_doelgroep[[#This Row],[Doelgroep]],"_",uitkomst_doelgroep[[#This Row],[Uitgangssituatie/effect beleid]])</f>
        <v>Elektromechanisch toegangsbeheer_Alleenstaande thuiszorg cliënten_Effect beleid</v>
      </c>
      <c r="H292" s="33">
        <v>2024</v>
      </c>
      <c r="I292" s="32">
        <v>2</v>
      </c>
      <c r="J292" s="406" cm="1">
        <f t="array" ref="J292">INDEX(implementatie[[2023]:[2034]],MATCH(G292, implementatie[Zoeksleutel],0),I292)</f>
        <v>0.52300000000000002</v>
      </c>
      <c r="K292" s="406" cm="1">
        <f t="array" ref="K292">INDEX(implementatie[[2023]:[2034]],MATCH(G292,implementatie[Zoeksleutel],0),I292 + 1)</f>
        <v>0.64718695000000004</v>
      </c>
      <c r="L29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78450</v>
      </c>
      <c r="M292" s="398" cm="1">
        <f t="array" ref="M292">J292*INDEX(Berekening_impact[Totaal arbeidsbesparing (€/jaar)],MATCH(B292,IF(Berekening_impact[Doelgroep]=C292,Berekening_impact[Digitale zorgtoepassing]),0))</f>
        <v>9714032.1752873566</v>
      </c>
      <c r="N292" s="397" cm="1">
        <f t="array" ref="N292">J292*INDEX(Berekening_impact[Totaal arbeidsbesparing (FTE/jaar)],MATCH(B292,IF(Berekening_impact[Doelgroep]=C292,Berekening_impact[Digitale zorgtoepassing]),0))</f>
        <v>228.8125</v>
      </c>
      <c r="O292" s="398" cm="1">
        <f t="array" ref="O292">J292*INDEX(Berekening_impact[Overige kostenbesparing (totaal/jaar totaal potentieel)],MATCH(B292,IF(Berekening_impact[Doelgroep]=C292,Berekening_impact[Digitale zorgtoepassing]),0))</f>
        <v>5939924.8297478128</v>
      </c>
      <c r="P292" s="398" cm="1">
        <f t="array" ref="P292">J292*INDEX(Berekening_impact[Opbrengsten door QALY''s],MATCH(B292,IF(Berekening_impact[Doelgroep]=C292,Berekening_impact[Digitale zorgtoepassing]),0))</f>
        <v>0</v>
      </c>
      <c r="Q292" s="398" cm="1">
        <f t="array" ref="Q292">J292*INDEX(Berekening_impact[Jaarlijkse kosten (totaal) - incl. schatting],MATCH(B292,IF(Berekening_impact[Doelgroep]=C292,Berekening_impact[Digitale zorgtoepassing]),0))</f>
        <v>15015329.999999998</v>
      </c>
      <c r="R292" s="398" cm="1">
        <f t="array" ref="R292">(uitkomst_doelgroep[[#This Row],[Implementatiegraad t = T + 1]]-uitkomst_doelgroep[[#This Row],[Implementatiegraad t = T]])*INDEX(Berekening_impact[Initiële investering (totaal) - incl. schatting],MATCH(B292,IF(Berekening_impact[Doelgroep]=C292,Berekening_impact[Digitale zorgtoepassing]),0))</f>
        <v>1489311.9978750001</v>
      </c>
      <c r="S292" s="398">
        <f>uitkomst_doelgroep[[#This Row],[Arbeidsbesparing (€)]]*uitkomst_doelgroep[[#This Row],[Percentage van patiëntaantallen in Wlz (overige is Zvw)]]</f>
        <v>4371314.4788793102</v>
      </c>
      <c r="T292" s="398">
        <f>uitkomst_doelgroep[[#This Row],[Overige besparingen (€)]]*uitkomst_doelgroep[[#This Row],[Percentage van patiëntaantallen in Wlz (overige is Zvw)]]</f>
        <v>2672966.173386516</v>
      </c>
      <c r="U292" s="398">
        <f>uitkomst_doelgroep[[#This Row],[Kosten (€)]]*uitkomst_doelgroep[[#This Row],[Percentage van patiëntaantallen in Wlz (overige is Zvw)]]</f>
        <v>6756898.4999999991</v>
      </c>
      <c r="V292" s="398">
        <f>uitkomst_doelgroep[[#This Row],[Investering (cash flow) (€)]]*uitkomst_doelgroep[[#This Row],[Percentage van patiëntaantallen in Wlz (overige is Zvw)]]</f>
        <v>670190.39904375002</v>
      </c>
    </row>
    <row r="293" spans="1:22" x14ac:dyDescent="0.5">
      <c r="A293" s="33" t="str">
        <f>INDEX(Technologieën[Veld],MATCH(B293,Technologieën[Digitale zorgtoepassing],0))</f>
        <v>Digitale hulpmiddelen - Verpleging</v>
      </c>
      <c r="B293" s="33" t="s">
        <v>58</v>
      </c>
      <c r="C293" s="33" t="s">
        <v>59</v>
      </c>
      <c r="D293" s="427" cm="1">
        <f t="array" ref="D293">INDEX(Berekening_patiëntaantal[Percentage van patiëntaantallen in Wlz (overige is Zvw)],MATCH(B293,IF(Berekening_patiëntaantal[Doelgroep (zoeksleutel)]=C293,Berekening_patiëntaantal[Digitale zorgtoepassing]),0))</f>
        <v>0.45</v>
      </c>
      <c r="E293" s="33" t="str" cm="1">
        <f t="array" ref="E293">INDEX(Berekening_patiëntaantal[Direct toepasbaar/extrapolatie/incidentie voor QALY],MATCH(B293,IF(Berekening_patiëntaantal[Doelgroep (zoeksleutel)]=C293,Berekening_patiëntaantal[Digitale zorgtoepassing]),0))</f>
        <v>Huidige toepassing</v>
      </c>
      <c r="F293" s="43" t="s">
        <v>812</v>
      </c>
      <c r="G293" s="33" t="str">
        <f>CONCATENATE(uitkomst_doelgroep[[#This Row],[Digitale zorgtoepassing]],"_",uitkomst_doelgroep[[#This Row],[Doelgroep]],"_",uitkomst_doelgroep[[#This Row],[Uitgangssituatie/effect beleid]])</f>
        <v>Elektromechanisch toegangsbeheer_Alleenstaande thuiszorg cliënten_Effect beleid</v>
      </c>
      <c r="H293" s="33">
        <v>2025</v>
      </c>
      <c r="I293" s="32">
        <v>3</v>
      </c>
      <c r="J293" s="406" cm="1">
        <f t="array" ref="J293">INDEX(implementatie[[2023]:[2034]],MATCH(G293, implementatie[Zoeksleutel],0),I293)</f>
        <v>0.64718695000000004</v>
      </c>
      <c r="K293" s="406" cm="1">
        <f t="array" ref="K293">INDEX(implementatie[[2023]:[2034]],MATCH(G293,implementatie[Zoeksleutel],0),I293 + 1)</f>
        <v>0.75875847703736388</v>
      </c>
      <c r="L29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97078.04250000001</v>
      </c>
      <c r="M293" s="398" cm="1">
        <f t="array" ref="M293">J293*INDEX(Berekening_impact[Totaal arbeidsbesparing (€/jaar)],MATCH(B293,IF(Berekening_impact[Doelgroep]=C293,Berekening_impact[Digitale zorgtoepassing]),0))</f>
        <v>12020640.259514511</v>
      </c>
      <c r="N293" s="397" cm="1">
        <f t="array" ref="N293">J293*INDEX(Berekening_impact[Totaal arbeidsbesparing (FTE/jaar)],MATCH(B293,IF(Berekening_impact[Doelgroep]=C293,Berekening_impact[Digitale zorgtoepassing]),0))</f>
        <v>283.144290625</v>
      </c>
      <c r="O293" s="398" cm="1">
        <f t="array" ref="O293">J293*INDEX(Berekening_impact[Overige kostenbesparing (totaal/jaar totaal potentieel)],MATCH(B293,IF(Berekening_impact[Doelgroep]=C293,Berekening_impact[Digitale zorgtoepassing]),0))</f>
        <v>7350366.7950167423</v>
      </c>
      <c r="P293" s="398" cm="1">
        <f t="array" ref="P293">J293*INDEX(Berekening_impact[Opbrengsten door QALY''s],MATCH(B293,IF(Berekening_impact[Doelgroep]=C293,Berekening_impact[Digitale zorgtoepassing]),0))</f>
        <v>0</v>
      </c>
      <c r="Q293" s="398" cm="1">
        <f t="array" ref="Q293">J293*INDEX(Berekening_impact[Jaarlijkse kosten (totaal) - incl. schatting],MATCH(B293,IF(Berekening_impact[Doelgroep]=C293,Berekening_impact[Digitale zorgtoepassing]),0))</f>
        <v>18580737.3345</v>
      </c>
      <c r="R293" s="398" cm="1">
        <f t="array" ref="R293">(uitkomst_doelgroep[[#This Row],[Implementatiegraad t = T + 1]]-uitkomst_doelgroep[[#This Row],[Implementatiegraad t = T]])*INDEX(Berekening_impact[Initiële investering (totaal) - incl. schatting],MATCH(B293,IF(Berekening_impact[Doelgroep]=C293,Berekening_impact[Digitale zorgtoepassing]),0))</f>
        <v>1338021.5379955859</v>
      </c>
      <c r="S293" s="398">
        <f>uitkomst_doelgroep[[#This Row],[Arbeidsbesparing (€)]]*uitkomst_doelgroep[[#This Row],[Percentage van patiëntaantallen in Wlz (overige is Zvw)]]</f>
        <v>5409288.11678153</v>
      </c>
      <c r="T293" s="398">
        <f>uitkomst_doelgroep[[#This Row],[Overige besparingen (€)]]*uitkomst_doelgroep[[#This Row],[Percentage van patiëntaantallen in Wlz (overige is Zvw)]]</f>
        <v>3307665.0577575341</v>
      </c>
      <c r="U293" s="398">
        <f>uitkomst_doelgroep[[#This Row],[Kosten (€)]]*uitkomst_doelgroep[[#This Row],[Percentage van patiëntaantallen in Wlz (overige is Zvw)]]</f>
        <v>8361331.8005250003</v>
      </c>
      <c r="V293" s="398">
        <f>uitkomst_doelgroep[[#This Row],[Investering (cash flow) (€)]]*uitkomst_doelgroep[[#This Row],[Percentage van patiëntaantallen in Wlz (overige is Zvw)]]</f>
        <v>602109.69209801371</v>
      </c>
    </row>
    <row r="294" spans="1:22" x14ac:dyDescent="0.5">
      <c r="A294" s="33" t="str">
        <f>INDEX(Technologieën[Veld],MATCH(B294,Technologieën[Digitale zorgtoepassing],0))</f>
        <v>Digitale hulpmiddelen - Verpleging</v>
      </c>
      <c r="B294" s="33" t="s">
        <v>58</v>
      </c>
      <c r="C294" s="33" t="s">
        <v>59</v>
      </c>
      <c r="D294" s="427" cm="1">
        <f t="array" ref="D294">INDEX(Berekening_patiëntaantal[Percentage van patiëntaantallen in Wlz (overige is Zvw)],MATCH(B294,IF(Berekening_patiëntaantal[Doelgroep (zoeksleutel)]=C294,Berekening_patiëntaantal[Digitale zorgtoepassing]),0))</f>
        <v>0.45</v>
      </c>
      <c r="E294" s="33" t="str" cm="1">
        <f t="array" ref="E294">INDEX(Berekening_patiëntaantal[Direct toepasbaar/extrapolatie/incidentie voor QALY],MATCH(B294,IF(Berekening_patiëntaantal[Doelgroep (zoeksleutel)]=C294,Berekening_patiëntaantal[Digitale zorgtoepassing]),0))</f>
        <v>Huidige toepassing</v>
      </c>
      <c r="F294" s="43" t="s">
        <v>812</v>
      </c>
      <c r="G294" s="33" t="str">
        <f>CONCATENATE(uitkomst_doelgroep[[#This Row],[Digitale zorgtoepassing]],"_",uitkomst_doelgroep[[#This Row],[Doelgroep]],"_",uitkomst_doelgroep[[#This Row],[Uitgangssituatie/effect beleid]])</f>
        <v>Elektromechanisch toegangsbeheer_Alleenstaande thuiszorg cliënten_Effect beleid</v>
      </c>
      <c r="H294" s="33">
        <v>2026</v>
      </c>
      <c r="I294" s="32">
        <v>4</v>
      </c>
      <c r="J294" s="406" cm="1">
        <f t="array" ref="J294">INDEX(implementatie[[2023]:[2034]],MATCH(G294, implementatie[Zoeksleutel],0),I294)</f>
        <v>0.75875847703736388</v>
      </c>
      <c r="K294" s="406" cm="1">
        <f t="array" ref="K294">INDEX(implementatie[[2023]:[2034]],MATCH(G294,implementatie[Zoeksleutel],0),I294 + 1)</f>
        <v>0.84715933786401665</v>
      </c>
      <c r="L29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113813.77155560459</v>
      </c>
      <c r="M294" s="398" cm="1">
        <f t="array" ref="M294">J294*INDEX(Berekening_impact[Totaal arbeidsbesparing (€/jaar)],MATCH(B294,IF(Berekening_impact[Doelgroep]=C294,Berekening_impact[Digitale zorgtoepassing]),0))</f>
        <v>14092933.574021004</v>
      </c>
      <c r="N294" s="397" cm="1">
        <f t="array" ref="N294">J294*INDEX(Berekening_impact[Totaal arbeidsbesparing (FTE/jaar)],MATCH(B294,IF(Berekening_impact[Doelgroep]=C294,Berekening_impact[Digitale zorgtoepassing]),0))</f>
        <v>331.95683370384671</v>
      </c>
      <c r="O294" s="398" cm="1">
        <f t="array" ref="O294">J294*INDEX(Berekening_impact[Overige kostenbesparing (totaal/jaar totaal potentieel)],MATCH(B294,IF(Berekening_impact[Doelgroep]=C294,Berekening_impact[Digitale zorgtoepassing]),0))</f>
        <v>8617530.2438544426</v>
      </c>
      <c r="P294" s="398" cm="1">
        <f t="array" ref="P294">J294*INDEX(Berekening_impact[Opbrengsten door QALY''s],MATCH(B294,IF(Berekening_impact[Doelgroep]=C294,Berekening_impact[Digitale zorgtoepassing]),0))</f>
        <v>0</v>
      </c>
      <c r="Q294" s="398" cm="1">
        <f t="array" ref="Q294">J294*INDEX(Berekening_impact[Jaarlijkse kosten (totaal) - incl. schatting],MATCH(B294,IF(Berekening_impact[Doelgroep]=C294,Berekening_impact[Digitale zorgtoepassing]),0))</f>
        <v>21783955.875742715</v>
      </c>
      <c r="R294" s="398" cm="1">
        <f t="array" ref="R294">(uitkomst_doelgroep[[#This Row],[Implementatiegraad t = T + 1]]-uitkomst_doelgroep[[#This Row],[Implementatiegraad t = T]])*INDEX(Berekening_impact[Initiële investering (totaal) - incl. schatting],MATCH(B294,IF(Berekening_impact[Doelgroep]=C294,Berekening_impact[Digitale zorgtoepassing]),0))</f>
        <v>1060147.3234636334</v>
      </c>
      <c r="S294" s="398">
        <f>uitkomst_doelgroep[[#This Row],[Arbeidsbesparing (€)]]*uitkomst_doelgroep[[#This Row],[Percentage van patiëntaantallen in Wlz (overige is Zvw)]]</f>
        <v>6341820.1083094524</v>
      </c>
      <c r="T294" s="398">
        <f>uitkomst_doelgroep[[#This Row],[Overige besparingen (€)]]*uitkomst_doelgroep[[#This Row],[Percentage van patiëntaantallen in Wlz (overige is Zvw)]]</f>
        <v>3877888.6097344994</v>
      </c>
      <c r="U294" s="398">
        <f>uitkomst_doelgroep[[#This Row],[Kosten (€)]]*uitkomst_doelgroep[[#This Row],[Percentage van patiëntaantallen in Wlz (overige is Zvw)]]</f>
        <v>9802780.1440842226</v>
      </c>
      <c r="V294" s="398">
        <f>uitkomst_doelgroep[[#This Row],[Investering (cash flow) (€)]]*uitkomst_doelgroep[[#This Row],[Percentage van patiëntaantallen in Wlz (overige is Zvw)]]</f>
        <v>477066.29555863503</v>
      </c>
    </row>
    <row r="295" spans="1:22" x14ac:dyDescent="0.5">
      <c r="A295" s="33" t="str">
        <f>INDEX(Technologieën[Veld],MATCH(B295,Technologieën[Digitale zorgtoepassing],0))</f>
        <v>Digitale hulpmiddelen - Verpleging</v>
      </c>
      <c r="B295" s="33" t="s">
        <v>58</v>
      </c>
      <c r="C295" s="33" t="s">
        <v>59</v>
      </c>
      <c r="D295" s="427" cm="1">
        <f t="array" ref="D295">INDEX(Berekening_patiëntaantal[Percentage van patiëntaantallen in Wlz (overige is Zvw)],MATCH(B295,IF(Berekening_patiëntaantal[Doelgroep (zoeksleutel)]=C295,Berekening_patiëntaantal[Digitale zorgtoepassing]),0))</f>
        <v>0.45</v>
      </c>
      <c r="E295" s="33" t="str" cm="1">
        <f t="array" ref="E295">INDEX(Berekening_patiëntaantal[Direct toepasbaar/extrapolatie/incidentie voor QALY],MATCH(B295,IF(Berekening_patiëntaantal[Doelgroep (zoeksleutel)]=C295,Berekening_patiëntaantal[Digitale zorgtoepassing]),0))</f>
        <v>Huidige toepassing</v>
      </c>
      <c r="F295" s="43" t="s">
        <v>812</v>
      </c>
      <c r="G295" s="33" t="str">
        <f>CONCATENATE(uitkomst_doelgroep[[#This Row],[Digitale zorgtoepassing]],"_",uitkomst_doelgroep[[#This Row],[Doelgroep]],"_",uitkomst_doelgroep[[#This Row],[Uitgangssituatie/effect beleid]])</f>
        <v>Elektromechanisch toegangsbeheer_Alleenstaande thuiszorg cliënten_Effect beleid</v>
      </c>
      <c r="H295" s="33">
        <v>2027</v>
      </c>
      <c r="I295" s="32">
        <v>5</v>
      </c>
      <c r="J295" s="406" cm="1">
        <f t="array" ref="J295">INDEX(implementatie[[2023]:[2034]],MATCH(G295, implementatie[Zoeksleutel],0),I295)</f>
        <v>0.84715933786401665</v>
      </c>
      <c r="K295" s="406" cm="1">
        <f t="array" ref="K295">INDEX(implementatie[[2023]:[2034]],MATCH(G295,implementatie[Zoeksleutel],0),I295 + 1)</f>
        <v>0.90924653177763415</v>
      </c>
      <c r="L29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127073.90067960249</v>
      </c>
      <c r="M295" s="398" cm="1">
        <f t="array" ref="M295">J295*INDEX(Berekening_impact[Totaal arbeidsbesparing (€/jaar)],MATCH(B295,IF(Berekening_impact[Doelgroep]=C295,Berekening_impact[Digitale zorgtoepassing]),0))</f>
        <v>15734862.45813803</v>
      </c>
      <c r="N295" s="397" cm="1">
        <f t="array" ref="N295">J295*INDEX(Berekening_impact[Totaal arbeidsbesparing (FTE/jaar)],MATCH(B295,IF(Berekening_impact[Doelgroep]=C295,Berekening_impact[Digitale zorgtoepassing]),0))</f>
        <v>370.63221031550728</v>
      </c>
      <c r="O295" s="398" cm="1">
        <f t="array" ref="O295">J295*INDEX(Berekening_impact[Overige kostenbesparing (totaal/jaar totaal potentieel)],MATCH(B295,IF(Berekening_impact[Doelgroep]=C295,Berekening_impact[Digitale zorgtoepassing]),0))</f>
        <v>9621534.963157149</v>
      </c>
      <c r="P295" s="398" cm="1">
        <f t="array" ref="P295">J295*INDEX(Berekening_impact[Opbrengsten door QALY''s],MATCH(B295,IF(Berekening_impact[Doelgroep]=C295,Berekening_impact[Digitale zorgtoepassing]),0))</f>
        <v>0</v>
      </c>
      <c r="Q295" s="398" cm="1">
        <f t="array" ref="Q295">J295*INDEX(Berekening_impact[Jaarlijkse kosten (totaal) - incl. schatting],MATCH(B295,IF(Berekening_impact[Doelgroep]=C295,Berekening_impact[Digitale zorgtoepassing]),0))</f>
        <v>24321944.590075914</v>
      </c>
      <c r="R295" s="398" cm="1">
        <f t="array" ref="R295">(uitkomst_doelgroep[[#This Row],[Implementatiegraad t = T + 1]]-uitkomst_doelgroep[[#This Row],[Implementatiegraad t = T]])*INDEX(Berekening_impact[Initiële investering (totaal) - incl. schatting],MATCH(B295,IF(Berekening_impact[Doelgroep]=C295,Berekening_impact[Digitale zorgtoepassing]),0))</f>
        <v>744580.67300905788</v>
      </c>
      <c r="S295" s="398">
        <f>uitkomst_doelgroep[[#This Row],[Arbeidsbesparing (€)]]*uitkomst_doelgroep[[#This Row],[Percentage van patiëntaantallen in Wlz (overige is Zvw)]]</f>
        <v>7080688.1061621141</v>
      </c>
      <c r="T295" s="398">
        <f>uitkomst_doelgroep[[#This Row],[Overige besparingen (€)]]*uitkomst_doelgroep[[#This Row],[Percentage van patiëntaantallen in Wlz (overige is Zvw)]]</f>
        <v>4329690.7334207175</v>
      </c>
      <c r="U295" s="398">
        <f>uitkomst_doelgroep[[#This Row],[Kosten (€)]]*uitkomst_doelgroep[[#This Row],[Percentage van patiëntaantallen in Wlz (overige is Zvw)]]</f>
        <v>10944875.065534161</v>
      </c>
      <c r="V295" s="398">
        <f>uitkomst_doelgroep[[#This Row],[Investering (cash flow) (€)]]*uitkomst_doelgroep[[#This Row],[Percentage van patiëntaantallen in Wlz (overige is Zvw)]]</f>
        <v>335061.30285407603</v>
      </c>
    </row>
    <row r="296" spans="1:22" x14ac:dyDescent="0.5">
      <c r="A296" s="33" t="str">
        <f>INDEX(Technologieën[Veld],MATCH(B296,Technologieën[Digitale zorgtoepassing],0))</f>
        <v>Digitale hulpmiddelen - Verpleging</v>
      </c>
      <c r="B296" s="33" t="s">
        <v>58</v>
      </c>
      <c r="C296" s="33" t="s">
        <v>59</v>
      </c>
      <c r="D296" s="427" cm="1">
        <f t="array" ref="D296">INDEX(Berekening_patiëntaantal[Percentage van patiëntaantallen in Wlz (overige is Zvw)],MATCH(B296,IF(Berekening_patiëntaantal[Doelgroep (zoeksleutel)]=C296,Berekening_patiëntaantal[Digitale zorgtoepassing]),0))</f>
        <v>0.45</v>
      </c>
      <c r="E296" s="33" t="str" cm="1">
        <f t="array" ref="E296">INDEX(Berekening_patiëntaantal[Direct toepasbaar/extrapolatie/incidentie voor QALY],MATCH(B296,IF(Berekening_patiëntaantal[Doelgroep (zoeksleutel)]=C296,Berekening_patiëntaantal[Digitale zorgtoepassing]),0))</f>
        <v>Huidige toepassing</v>
      </c>
      <c r="F296" s="43" t="s">
        <v>812</v>
      </c>
      <c r="G296" s="33" t="str">
        <f>CONCATENATE(uitkomst_doelgroep[[#This Row],[Digitale zorgtoepassing]],"_",uitkomst_doelgroep[[#This Row],[Doelgroep]],"_",uitkomst_doelgroep[[#This Row],[Uitgangssituatie/effect beleid]])</f>
        <v>Elektromechanisch toegangsbeheer_Alleenstaande thuiszorg cliënten_Effect beleid</v>
      </c>
      <c r="H296" s="33">
        <v>2028</v>
      </c>
      <c r="I296" s="32">
        <v>6</v>
      </c>
      <c r="J296" s="406" cm="1">
        <f t="array" ref="J296">INDEX(implementatie[[2023]:[2034]],MATCH(G296, implementatie[Zoeksleutel],0),I296)</f>
        <v>0.90924653177763415</v>
      </c>
      <c r="K296" s="406" cm="1">
        <f t="array" ref="K296">INDEX(implementatie[[2023]:[2034]],MATCH(G296,implementatie[Zoeksleutel],0),I296 + 1)</f>
        <v>0.94864814278578335</v>
      </c>
      <c r="L29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136386.97976664512</v>
      </c>
      <c r="M296" s="398" cm="1">
        <f t="array" ref="M296">J296*INDEX(Berekening_impact[Totaal arbeidsbesparing (€/jaar)],MATCH(B296,IF(Berekening_impact[Doelgroep]=C296,Berekening_impact[Digitale zorgtoepassing]),0))</f>
        <v>16888049.837392688</v>
      </c>
      <c r="N296" s="397" cm="1">
        <f t="array" ref="N296">J296*INDEX(Berekening_impact[Totaal arbeidsbesparing (FTE/jaar)],MATCH(B296,IF(Berekening_impact[Doelgroep]=C296,Berekening_impact[Digitale zorgtoepassing]),0))</f>
        <v>397.79535765271493</v>
      </c>
      <c r="O296" s="398" cm="1">
        <f t="array" ref="O296">J296*INDEX(Berekening_impact[Overige kostenbesparing (totaal/jaar totaal potentieel)],MATCH(B296,IF(Berekening_impact[Doelgroep]=C296,Berekening_impact[Digitale zorgtoepassing]),0))</f>
        <v>10326684.608925531</v>
      </c>
      <c r="P296" s="398" cm="1">
        <f t="array" ref="P296">J296*INDEX(Berekening_impact[Opbrengsten door QALY''s],MATCH(B296,IF(Berekening_impact[Doelgroep]=C296,Berekening_impact[Digitale zorgtoepassing]),0))</f>
        <v>0</v>
      </c>
      <c r="Q296" s="398" cm="1">
        <f t="array" ref="Q296">J296*INDEX(Berekening_impact[Jaarlijkse kosten (totaal) - incl. schatting],MATCH(B296,IF(Berekening_impact[Doelgroep]=C296,Berekening_impact[Digitale zorgtoepassing]),0))</f>
        <v>26104467.927335873</v>
      </c>
      <c r="R296" s="398" cm="1">
        <f t="array" ref="R296">(uitkomst_doelgroep[[#This Row],[Implementatiegraad t = T + 1]]-uitkomst_doelgroep[[#This Row],[Implementatiegraad t = T]])*INDEX(Berekening_impact[Initiële investering (totaal) - incl. schatting],MATCH(B296,IF(Berekening_impact[Doelgroep]=C296,Berekening_impact[Digitale zorgtoepassing]),0))</f>
        <v>472523.82001522934</v>
      </c>
      <c r="S296" s="398">
        <f>uitkomst_doelgroep[[#This Row],[Arbeidsbesparing (€)]]*uitkomst_doelgroep[[#This Row],[Percentage van patiëntaantallen in Wlz (overige is Zvw)]]</f>
        <v>7599622.4268267099</v>
      </c>
      <c r="T296" s="398">
        <f>uitkomst_doelgroep[[#This Row],[Overige besparingen (€)]]*uitkomst_doelgroep[[#This Row],[Percentage van patiëntaantallen in Wlz (overige is Zvw)]]</f>
        <v>4647008.0740164891</v>
      </c>
      <c r="U296" s="398">
        <f>uitkomst_doelgroep[[#This Row],[Kosten (€)]]*uitkomst_doelgroep[[#This Row],[Percentage van patiëntaantallen in Wlz (overige is Zvw)]]</f>
        <v>11747010.567301143</v>
      </c>
      <c r="V296" s="398">
        <f>uitkomst_doelgroep[[#This Row],[Investering (cash flow) (€)]]*uitkomst_doelgroep[[#This Row],[Percentage van patiëntaantallen in Wlz (overige is Zvw)]]</f>
        <v>212635.71900685321</v>
      </c>
    </row>
    <row r="297" spans="1:22" x14ac:dyDescent="0.5">
      <c r="A297" s="33" t="str">
        <f>INDEX(Technologieën[Veld],MATCH(B297,Technologieën[Digitale zorgtoepassing],0))</f>
        <v>Digitale hulpmiddelen - Verpleging</v>
      </c>
      <c r="B297" s="33" t="s">
        <v>58</v>
      </c>
      <c r="C297" s="33" t="s">
        <v>59</v>
      </c>
      <c r="D297" s="427" cm="1">
        <f t="array" ref="D297">INDEX(Berekening_patiëntaantal[Percentage van patiëntaantallen in Wlz (overige is Zvw)],MATCH(B297,IF(Berekening_patiëntaantal[Doelgroep (zoeksleutel)]=C297,Berekening_patiëntaantal[Digitale zorgtoepassing]),0))</f>
        <v>0.45</v>
      </c>
      <c r="E297" s="33" t="str" cm="1">
        <f t="array" ref="E297">INDEX(Berekening_patiëntaantal[Direct toepasbaar/extrapolatie/incidentie voor QALY],MATCH(B297,IF(Berekening_patiëntaantal[Doelgroep (zoeksleutel)]=C297,Berekening_patiëntaantal[Digitale zorgtoepassing]),0))</f>
        <v>Huidige toepassing</v>
      </c>
      <c r="F297" s="43" t="s">
        <v>812</v>
      </c>
      <c r="G297" s="33" t="str">
        <f>CONCATENATE(uitkomst_doelgroep[[#This Row],[Digitale zorgtoepassing]],"_",uitkomst_doelgroep[[#This Row],[Doelgroep]],"_",uitkomst_doelgroep[[#This Row],[Uitgangssituatie/effect beleid]])</f>
        <v>Elektromechanisch toegangsbeheer_Alleenstaande thuiszorg cliënten_Effect beleid</v>
      </c>
      <c r="H297" s="33">
        <v>2029</v>
      </c>
      <c r="I297" s="32">
        <v>7</v>
      </c>
      <c r="J297" s="406" cm="1">
        <f t="array" ref="J297">INDEX(implementatie[[2023]:[2034]],MATCH(G297, implementatie[Zoeksleutel],0),I297)</f>
        <v>0.94864814278578335</v>
      </c>
      <c r="K297" s="406" cm="1">
        <f t="array" ref="K297">INDEX(implementatie[[2023]:[2034]],MATCH(G297,implementatie[Zoeksleutel],0),I297 + 1)</f>
        <v>0.97185361900482903</v>
      </c>
      <c r="L29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142297.22141786749</v>
      </c>
      <c r="M297" s="398" cm="1">
        <f t="array" ref="M297">J297*INDEX(Berekening_impact[Totaal arbeidsbesparing (€/jaar)],MATCH(B297,IF(Berekening_impact[Doelgroep]=C297,Berekening_impact[Digitale zorgtoepassing]),0))</f>
        <v>17619882.566056773</v>
      </c>
      <c r="N297" s="397" cm="1">
        <f t="array" ref="N297">J297*INDEX(Berekening_impact[Totaal arbeidsbesparing (FTE/jaar)],MATCH(B297,IF(Berekening_impact[Doelgroep]=C297,Berekening_impact[Digitale zorgtoepassing]),0))</f>
        <v>415.03356246878019</v>
      </c>
      <c r="O297" s="398" cm="1">
        <f t="array" ref="O297">J297*INDEX(Berekening_impact[Overige kostenbesparing (totaal/jaar totaal potentieel)],MATCH(B297,IF(Berekening_impact[Doelgroep]=C297,Berekening_impact[Digitale zorgtoepassing]),0))</f>
        <v>10774184.814583983</v>
      </c>
      <c r="P297" s="398" cm="1">
        <f t="array" ref="P297">J297*INDEX(Berekening_impact[Opbrengsten door QALY''s],MATCH(B297,IF(Berekening_impact[Doelgroep]=C297,Berekening_impact[Digitale zorgtoepassing]),0))</f>
        <v>0</v>
      </c>
      <c r="Q297" s="398" cm="1">
        <f t="array" ref="Q297">J297*INDEX(Berekening_impact[Jaarlijkse kosten (totaal) - incl. schatting],MATCH(B297,IF(Berekening_impact[Doelgroep]=C297,Berekening_impact[Digitale zorgtoepassing]),0))</f>
        <v>27235688.179379836</v>
      </c>
      <c r="R297" s="398" cm="1">
        <f t="array" ref="R297">(uitkomst_doelgroep[[#This Row],[Implementatiegraad t = T + 1]]-uitkomst_doelgroep[[#This Row],[Implementatiegraad t = T]])*INDEX(Berekening_impact[Initiële investering (totaal) - incl. schatting],MATCH(B297,IF(Berekening_impact[Doelgroep]=C297,Berekening_impact[Digitale zorgtoepassing]),0))</f>
        <v>278291.67355690524</v>
      </c>
      <c r="S297" s="398">
        <f>uitkomst_doelgroep[[#This Row],[Arbeidsbesparing (€)]]*uitkomst_doelgroep[[#This Row],[Percentage van patiëntaantallen in Wlz (overige is Zvw)]]</f>
        <v>7928947.1547255479</v>
      </c>
      <c r="T297" s="398">
        <f>uitkomst_doelgroep[[#This Row],[Overige besparingen (€)]]*uitkomst_doelgroep[[#This Row],[Percentage van patiëntaantallen in Wlz (overige is Zvw)]]</f>
        <v>4848383.1665627928</v>
      </c>
      <c r="U297" s="398">
        <f>uitkomst_doelgroep[[#This Row],[Kosten (€)]]*uitkomst_doelgroep[[#This Row],[Percentage van patiëntaantallen in Wlz (overige is Zvw)]]</f>
        <v>12256059.680720927</v>
      </c>
      <c r="V297" s="398">
        <f>uitkomst_doelgroep[[#This Row],[Investering (cash flow) (€)]]*uitkomst_doelgroep[[#This Row],[Percentage van patiëntaantallen in Wlz (overige is Zvw)]]</f>
        <v>125231.25310060736</v>
      </c>
    </row>
    <row r="298" spans="1:22" x14ac:dyDescent="0.5">
      <c r="A298" s="33" t="str">
        <f>INDEX(Technologieën[Veld],MATCH(B298,Technologieën[Digitale zorgtoepassing],0))</f>
        <v>Digitale hulpmiddelen - Verpleging</v>
      </c>
      <c r="B298" s="33" t="s">
        <v>58</v>
      </c>
      <c r="C298" s="33" t="s">
        <v>59</v>
      </c>
      <c r="D298" s="427" cm="1">
        <f t="array" ref="D298">INDEX(Berekening_patiëntaantal[Percentage van patiëntaantallen in Wlz (overige is Zvw)],MATCH(B298,IF(Berekening_patiëntaantal[Doelgroep (zoeksleutel)]=C298,Berekening_patiëntaantal[Digitale zorgtoepassing]),0))</f>
        <v>0.45</v>
      </c>
      <c r="E298" s="33" t="str" cm="1">
        <f t="array" ref="E298">INDEX(Berekening_patiëntaantal[Direct toepasbaar/extrapolatie/incidentie voor QALY],MATCH(B298,IF(Berekening_patiëntaantal[Doelgroep (zoeksleutel)]=C298,Berekening_patiëntaantal[Digitale zorgtoepassing]),0))</f>
        <v>Huidige toepassing</v>
      </c>
      <c r="F298" s="43" t="s">
        <v>812</v>
      </c>
      <c r="G298" s="33" t="str">
        <f>CONCATENATE(uitkomst_doelgroep[[#This Row],[Digitale zorgtoepassing]],"_",uitkomst_doelgroep[[#This Row],[Doelgroep]],"_",uitkomst_doelgroep[[#This Row],[Uitgangssituatie/effect beleid]])</f>
        <v>Elektromechanisch toegangsbeheer_Alleenstaande thuiszorg cliënten_Effect beleid</v>
      </c>
      <c r="H298" s="33">
        <v>2030</v>
      </c>
      <c r="I298" s="32">
        <v>8</v>
      </c>
      <c r="J298" s="406" cm="1">
        <f t="array" ref="J298">INDEX(implementatie[[2023]:[2034]],MATCH(G298, implementatie[Zoeksleutel],0),I298)</f>
        <v>0.97185361900482903</v>
      </c>
      <c r="K298" s="406" cm="1">
        <f t="array" ref="K298">INDEX(implementatie[[2023]:[2034]],MATCH(G298,implementatie[Zoeksleutel],0),I298 + 1)</f>
        <v>0.98486665153412889</v>
      </c>
      <c r="L29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145778.04285072436</v>
      </c>
      <c r="M298" s="398" cm="1">
        <f t="array" ref="M298">J298*INDEX(Berekening_impact[Totaal arbeidsbesparing (€/jaar)],MATCH(B298,IF(Berekening_impact[Doelgroep]=C298,Berekening_impact[Digitale zorgtoepassing]),0))</f>
        <v>18050893.546237797</v>
      </c>
      <c r="N298" s="397" cm="1">
        <f t="array" ref="N298">J298*INDEX(Berekening_impact[Totaal arbeidsbesparing (FTE/jaar)],MATCH(B298,IF(Berekening_impact[Doelgroep]=C298,Berekening_impact[Digitale zorgtoepassing]),0))</f>
        <v>425.18595831461272</v>
      </c>
      <c r="O298" s="398" cm="1">
        <f t="array" ref="O298">J298*INDEX(Berekening_impact[Overige kostenbesparing (totaal/jaar totaal potentieel)],MATCH(B298,IF(Berekening_impact[Doelgroep]=C298,Berekening_impact[Digitale zorgtoepassing]),0))</f>
        <v>11037738.895615783</v>
      </c>
      <c r="P298" s="398" cm="1">
        <f t="array" ref="P298">J298*INDEX(Berekening_impact[Opbrengsten door QALY''s],MATCH(B298,IF(Berekening_impact[Doelgroep]=C298,Berekening_impact[Digitale zorgtoepassing]),0))</f>
        <v>0</v>
      </c>
      <c r="Q298" s="398" cm="1">
        <f t="array" ref="Q298">J298*INDEX(Berekening_impact[Jaarlijkse kosten (totaal) - incl. schatting],MATCH(B298,IF(Berekening_impact[Doelgroep]=C298,Berekening_impact[Digitale zorgtoepassing]),0))</f>
        <v>27901917.40162864</v>
      </c>
      <c r="R298" s="398" cm="1">
        <f t="array" ref="R298">(uitkomst_doelgroep[[#This Row],[Implementatiegraad t = T + 1]]-uitkomst_doelgroep[[#This Row],[Implementatiegraad t = T]])*INDEX(Berekening_impact[Initiële investering (totaal) - incl. schatting],MATCH(B298,IF(Berekening_impact[Doelgroep]=C298,Berekening_impact[Digitale zorgtoepassing]),0))</f>
        <v>156058.79260762859</v>
      </c>
      <c r="S298" s="398">
        <f>uitkomst_doelgroep[[#This Row],[Arbeidsbesparing (€)]]*uitkomst_doelgroep[[#This Row],[Percentage van patiëntaantallen in Wlz (overige is Zvw)]]</f>
        <v>8122902.0958070084</v>
      </c>
      <c r="T298" s="398">
        <f>uitkomst_doelgroep[[#This Row],[Overige besparingen (€)]]*uitkomst_doelgroep[[#This Row],[Percentage van patiëntaantallen in Wlz (overige is Zvw)]]</f>
        <v>4966982.503027102</v>
      </c>
      <c r="U298" s="398">
        <f>uitkomst_doelgroep[[#This Row],[Kosten (€)]]*uitkomst_doelgroep[[#This Row],[Percentage van patiëntaantallen in Wlz (overige is Zvw)]]</f>
        <v>12555862.830732888</v>
      </c>
      <c r="V298" s="398">
        <f>uitkomst_doelgroep[[#This Row],[Investering (cash flow) (€)]]*uitkomst_doelgroep[[#This Row],[Percentage van patiëntaantallen in Wlz (overige is Zvw)]]</f>
        <v>70226.456673432869</v>
      </c>
    </row>
    <row r="299" spans="1:22" x14ac:dyDescent="0.5">
      <c r="A299" s="33" t="str">
        <f>INDEX(Technologieën[Veld],MATCH(B299,Technologieën[Digitale zorgtoepassing],0))</f>
        <v>Digitale hulpmiddelen - Verpleging</v>
      </c>
      <c r="B299" s="33" t="s">
        <v>58</v>
      </c>
      <c r="C299" s="33" t="s">
        <v>59</v>
      </c>
      <c r="D299" s="427" cm="1">
        <f t="array" ref="D299">INDEX(Berekening_patiëntaantal[Percentage van patiëntaantallen in Wlz (overige is Zvw)],MATCH(B299,IF(Berekening_patiëntaantal[Doelgroep (zoeksleutel)]=C299,Berekening_patiëntaantal[Digitale zorgtoepassing]),0))</f>
        <v>0.45</v>
      </c>
      <c r="E299" s="33" t="str" cm="1">
        <f t="array" ref="E299">INDEX(Berekening_patiëntaantal[Direct toepasbaar/extrapolatie/incidentie voor QALY],MATCH(B299,IF(Berekening_patiëntaantal[Doelgroep (zoeksleutel)]=C299,Berekening_patiëntaantal[Digitale zorgtoepassing]),0))</f>
        <v>Huidige toepassing</v>
      </c>
      <c r="F299" s="43" t="s">
        <v>812</v>
      </c>
      <c r="G299" s="33" t="str">
        <f>CONCATENATE(uitkomst_doelgroep[[#This Row],[Digitale zorgtoepassing]],"_",uitkomst_doelgroep[[#This Row],[Doelgroep]],"_",uitkomst_doelgroep[[#This Row],[Uitgangssituatie/effect beleid]])</f>
        <v>Elektromechanisch toegangsbeheer_Alleenstaande thuiszorg cliënten_Effect beleid</v>
      </c>
      <c r="H299" s="33">
        <v>2031</v>
      </c>
      <c r="I299" s="32">
        <v>9</v>
      </c>
      <c r="J299" s="406" cm="1">
        <f t="array" ref="J299">INDEX(implementatie[[2023]:[2034]],MATCH(G299, implementatie[Zoeksleutel],0),I299)</f>
        <v>0.98486665153412889</v>
      </c>
      <c r="K299" s="406" cm="1">
        <f t="array" ref="K299">INDEX(implementatie[[2023]:[2034]],MATCH(G299,implementatie[Zoeksleutel],0),I299 + 1)</f>
        <v>0.99195193384931235</v>
      </c>
      <c r="L29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147729.99773011933</v>
      </c>
      <c r="M299" s="398" cm="1">
        <f t="array" ref="M299">J299*INDEX(Berekening_impact[Totaal arbeidsbesparing (€/jaar)],MATCH(B299,IF(Berekening_impact[Doelgroep]=C299,Berekening_impact[Digitale zorgtoepassing]),0))</f>
        <v>18292593.386940818</v>
      </c>
      <c r="N299" s="397" cm="1">
        <f t="array" ref="N299">J299*INDEX(Berekening_impact[Totaal arbeidsbesparing (FTE/jaar)],MATCH(B299,IF(Berekening_impact[Doelgroep]=C299,Berekening_impact[Digitale zorgtoepassing]),0))</f>
        <v>430.87916004618137</v>
      </c>
      <c r="O299" s="398" cm="1">
        <f t="array" ref="O299">J299*INDEX(Berekening_impact[Overige kostenbesparing (totaal/jaar totaal potentieel)],MATCH(B299,IF(Berekening_impact[Doelgroep]=C299,Berekening_impact[Digitale zorgtoepassing]),0))</f>
        <v>11185533.226459194</v>
      </c>
      <c r="P299" s="398" cm="1">
        <f t="array" ref="P299">J299*INDEX(Berekening_impact[Opbrengsten door QALY''s],MATCH(B299,IF(Berekening_impact[Doelgroep]=C299,Berekening_impact[Digitale zorgtoepassing]),0))</f>
        <v>0</v>
      </c>
      <c r="Q299" s="398" cm="1">
        <f t="array" ref="Q299">J299*INDEX(Berekening_impact[Jaarlijkse kosten (totaal) - incl. schatting],MATCH(B299,IF(Berekening_impact[Doelgroep]=C299,Berekening_impact[Digitale zorgtoepassing]),0))</f>
        <v>28275521.565544836</v>
      </c>
      <c r="R299" s="398" cm="1">
        <f t="array" ref="R299">(uitkomst_doelgroep[[#This Row],[Implementatiegraad t = T + 1]]-uitkomst_doelgroep[[#This Row],[Implementatiegraad t = T]])*INDEX(Berekening_impact[Initiële investering (totaal) - incl. schatting],MATCH(B299,IF(Berekening_impact[Doelgroep]=C299,Berekening_impact[Digitale zorgtoepassing]),0))</f>
        <v>84970.248164837656</v>
      </c>
      <c r="S299" s="398">
        <f>uitkomst_doelgroep[[#This Row],[Arbeidsbesparing (€)]]*uitkomst_doelgroep[[#This Row],[Percentage van patiëntaantallen in Wlz (overige is Zvw)]]</f>
        <v>8231667.0241233688</v>
      </c>
      <c r="T299" s="398">
        <f>uitkomst_doelgroep[[#This Row],[Overige besparingen (€)]]*uitkomst_doelgroep[[#This Row],[Percentage van patiëntaantallen in Wlz (overige is Zvw)]]</f>
        <v>5033489.9519066373</v>
      </c>
      <c r="U299" s="398">
        <f>uitkomst_doelgroep[[#This Row],[Kosten (€)]]*uitkomst_doelgroep[[#This Row],[Percentage van patiëntaantallen in Wlz (overige is Zvw)]]</f>
        <v>12723984.704495177</v>
      </c>
      <c r="V299" s="398">
        <f>uitkomst_doelgroep[[#This Row],[Investering (cash flow) (€)]]*uitkomst_doelgroep[[#This Row],[Percentage van patiëntaantallen in Wlz (overige is Zvw)]]</f>
        <v>38236.611674176944</v>
      </c>
    </row>
    <row r="300" spans="1:22" x14ac:dyDescent="0.5">
      <c r="A300" s="33" t="str">
        <f>INDEX(Technologieën[Veld],MATCH(B300,Technologieën[Digitale zorgtoepassing],0))</f>
        <v>Digitale hulpmiddelen - Verpleging</v>
      </c>
      <c r="B300" s="33" t="s">
        <v>58</v>
      </c>
      <c r="C300" s="33" t="s">
        <v>59</v>
      </c>
      <c r="D300" s="427" cm="1">
        <f t="array" ref="D300">INDEX(Berekening_patiëntaantal[Percentage van patiëntaantallen in Wlz (overige is Zvw)],MATCH(B300,IF(Berekening_patiëntaantal[Doelgroep (zoeksleutel)]=C300,Berekening_patiëntaantal[Digitale zorgtoepassing]),0))</f>
        <v>0.45</v>
      </c>
      <c r="E300" s="33" t="str" cm="1">
        <f t="array" ref="E300">INDEX(Berekening_patiëntaantal[Direct toepasbaar/extrapolatie/incidentie voor QALY],MATCH(B300,IF(Berekening_patiëntaantal[Doelgroep (zoeksleutel)]=C300,Berekening_patiëntaantal[Digitale zorgtoepassing]),0))</f>
        <v>Huidige toepassing</v>
      </c>
      <c r="F300" s="43" t="s">
        <v>812</v>
      </c>
      <c r="G300" s="33" t="str">
        <f>CONCATENATE(uitkomst_doelgroep[[#This Row],[Digitale zorgtoepassing]],"_",uitkomst_doelgroep[[#This Row],[Doelgroep]],"_",uitkomst_doelgroep[[#This Row],[Uitgangssituatie/effect beleid]])</f>
        <v>Elektromechanisch toegangsbeheer_Alleenstaande thuiszorg cliënten_Effect beleid</v>
      </c>
      <c r="H300" s="33">
        <v>2032</v>
      </c>
      <c r="I300" s="32">
        <v>10</v>
      </c>
      <c r="J300" s="406" cm="1">
        <f t="array" ref="J300">INDEX(implementatie[[2023]:[2034]],MATCH(G300, implementatie[Zoeksleutel],0),I300)</f>
        <v>0.99195193384931235</v>
      </c>
      <c r="K300" s="406" cm="1">
        <f t="array" ref="K300">INDEX(implementatie[[2023]:[2034]],MATCH(G300,implementatie[Zoeksleutel],0),I300 + 1)</f>
        <v>0.99574561815494433</v>
      </c>
      <c r="L30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148792.79007739684</v>
      </c>
      <c r="M300" s="398" cm="1">
        <f t="array" ref="M300">J300*INDEX(Berekening_impact[Totaal arbeidsbesparing (€/jaar)],MATCH(B300,IF(Berekening_impact[Doelgroep]=C300,Berekening_impact[Digitale zorgtoepassing]),0))</f>
        <v>18424193.119982284</v>
      </c>
      <c r="N300" s="397" cm="1">
        <f t="array" ref="N300">J300*INDEX(Berekening_impact[Totaal arbeidsbesparing (FTE/jaar)],MATCH(B300,IF(Berekening_impact[Doelgroep]=C300,Berekening_impact[Digitale zorgtoepassing]),0))</f>
        <v>433.97897105907413</v>
      </c>
      <c r="O300" s="398" cm="1">
        <f t="array" ref="O300">J300*INDEX(Berekening_impact[Overige kostenbesparing (totaal/jaar totaal potentieel)],MATCH(B300,IF(Berekening_impact[Doelgroep]=C300,Berekening_impact[Digitale zorgtoepassing]),0))</f>
        <v>11266003.674546635</v>
      </c>
      <c r="P300" s="398" cm="1">
        <f t="array" ref="P300">J300*INDEX(Berekening_impact[Opbrengsten door QALY''s],MATCH(B300,IF(Berekening_impact[Doelgroep]=C300,Berekening_impact[Digitale zorgtoepassing]),0))</f>
        <v>0</v>
      </c>
      <c r="Q300" s="398" cm="1">
        <f t="array" ref="Q300">J300*INDEX(Berekening_impact[Jaarlijkse kosten (totaal) - incl. schatting],MATCH(B300,IF(Berekening_impact[Doelgroep]=C300,Berekening_impact[Digitale zorgtoepassing]),0))</f>
        <v>28478940.020813756</v>
      </c>
      <c r="R300" s="398" cm="1">
        <f t="array" ref="R300">(uitkomst_doelgroep[[#This Row],[Implementatiegraad t = T + 1]]-uitkomst_doelgroep[[#This Row],[Implementatiegraad t = T]])*INDEX(Berekening_impact[Initiële investering (totaal) - incl. schatting],MATCH(B300,IF(Berekening_impact[Doelgroep]=C300,Berekening_impact[Digitale zorgtoepassing]),0))</f>
        <v>45495.759035291565</v>
      </c>
      <c r="S300" s="398">
        <f>uitkomst_doelgroep[[#This Row],[Arbeidsbesparing (€)]]*uitkomst_doelgroep[[#This Row],[Percentage van patiëntaantallen in Wlz (overige is Zvw)]]</f>
        <v>8290886.903992028</v>
      </c>
      <c r="T300" s="398">
        <f>uitkomst_doelgroep[[#This Row],[Overige besparingen (€)]]*uitkomst_doelgroep[[#This Row],[Percentage van patiëntaantallen in Wlz (overige is Zvw)]]</f>
        <v>5069701.6535459859</v>
      </c>
      <c r="U300" s="398">
        <f>uitkomst_doelgroep[[#This Row],[Kosten (€)]]*uitkomst_doelgroep[[#This Row],[Percentage van patiëntaantallen in Wlz (overige is Zvw)]]</f>
        <v>12815523.00936619</v>
      </c>
      <c r="V300" s="398">
        <f>uitkomst_doelgroep[[#This Row],[Investering (cash flow) (€)]]*uitkomst_doelgroep[[#This Row],[Percentage van patiëntaantallen in Wlz (overige is Zvw)]]</f>
        <v>20473.091565881205</v>
      </c>
    </row>
    <row r="301" spans="1:22" x14ac:dyDescent="0.5">
      <c r="A301" s="33" t="str">
        <f>INDEX(Technologieën[Veld],MATCH(B301,Technologieën[Digitale zorgtoepassing],0))</f>
        <v>Digitale hulpmiddelen - Verpleging</v>
      </c>
      <c r="B301" s="33" t="s">
        <v>58</v>
      </c>
      <c r="C301" s="33" t="s">
        <v>59</v>
      </c>
      <c r="D301" s="427" cm="1">
        <f t="array" ref="D301">INDEX(Berekening_patiëntaantal[Percentage van patiëntaantallen in Wlz (overige is Zvw)],MATCH(B301,IF(Berekening_patiëntaantal[Doelgroep (zoeksleutel)]=C301,Berekening_patiëntaantal[Digitale zorgtoepassing]),0))</f>
        <v>0.45</v>
      </c>
      <c r="E301" s="33" t="str" cm="1">
        <f t="array" ref="E301">INDEX(Berekening_patiëntaantal[Direct toepasbaar/extrapolatie/incidentie voor QALY],MATCH(B301,IF(Berekening_patiëntaantal[Doelgroep (zoeksleutel)]=C301,Berekening_patiëntaantal[Digitale zorgtoepassing]),0))</f>
        <v>Huidige toepassing</v>
      </c>
      <c r="F301" s="43" t="s">
        <v>812</v>
      </c>
      <c r="G301" s="33" t="str">
        <f>CONCATENATE(uitkomst_doelgroep[[#This Row],[Digitale zorgtoepassing]],"_",uitkomst_doelgroep[[#This Row],[Doelgroep]],"_",uitkomst_doelgroep[[#This Row],[Uitgangssituatie/effect beleid]])</f>
        <v>Elektromechanisch toegangsbeheer_Alleenstaande thuiszorg cliënten_Effect beleid</v>
      </c>
      <c r="H301" s="33">
        <v>2033</v>
      </c>
      <c r="I301" s="32">
        <v>11</v>
      </c>
      <c r="J301" s="406" cm="1">
        <f t="array" ref="J301">INDEX(implementatie[[2023]:[2034]],MATCH(G301, implementatie[Zoeksleutel],0),I301)</f>
        <v>0.99574561815494433</v>
      </c>
      <c r="K301" s="406" cm="1">
        <f t="array" ref="K301">INDEX(implementatie[[2023]:[2034]],MATCH(G301,implementatie[Zoeksleutel],0),I301 + 1)</f>
        <v>0.99775830463714821</v>
      </c>
      <c r="L30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149361.84272324166</v>
      </c>
      <c r="M301" s="398" cm="1">
        <f t="array" ref="M301">J301*INDEX(Berekening_impact[Totaal arbeidsbesparing (€/jaar)],MATCH(B301,IF(Berekening_impact[Doelgroep]=C301,Berekening_impact[Digitale zorgtoepassing]),0))</f>
        <v>18494655.780417833</v>
      </c>
      <c r="N301" s="397" cm="1">
        <f t="array" ref="N301">J301*INDEX(Berekening_impact[Totaal arbeidsbesparing (FTE/jaar)],MATCH(B301,IF(Berekening_impact[Doelgroep]=C301,Berekening_impact[Digitale zorgtoepassing]),0))</f>
        <v>435.63870794278813</v>
      </c>
      <c r="O301" s="398" cm="1">
        <f t="array" ref="O301">J301*INDEX(Berekening_impact[Overige kostenbesparing (totaal/jaar totaal potentieel)],MATCH(B301,IF(Berekening_impact[Doelgroep]=C301,Berekening_impact[Digitale zorgtoepassing]),0))</f>
        <v>11309090.098262215</v>
      </c>
      <c r="P301" s="398" cm="1">
        <f t="array" ref="P301">J301*INDEX(Berekening_impact[Opbrengsten door QALY''s],MATCH(B301,IF(Berekening_impact[Doelgroep]=C301,Berekening_impact[Digitale zorgtoepassing]),0))</f>
        <v>0</v>
      </c>
      <c r="Q301" s="398" cm="1">
        <f t="array" ref="Q301">J301*INDEX(Berekening_impact[Jaarlijkse kosten (totaal) - incl. schatting],MATCH(B301,IF(Berekening_impact[Doelgroep]=C301,Berekening_impact[Digitale zorgtoepassing]),0))</f>
        <v>28587856.697228447</v>
      </c>
      <c r="R301" s="398" cm="1">
        <f t="array" ref="R301">(uitkomst_doelgroep[[#This Row],[Implementatiegraad t = T + 1]]-uitkomst_doelgroep[[#This Row],[Implementatiegraad t = T]])*INDEX(Berekening_impact[Initiële investering (totaal) - incl. schatting],MATCH(B301,IF(Berekening_impact[Doelgroep]=C301,Berekening_impact[Digitale zorgtoepassing]),0))</f>
        <v>24137.142637829955</v>
      </c>
      <c r="S301" s="398">
        <f>uitkomst_doelgroep[[#This Row],[Arbeidsbesparing (€)]]*uitkomst_doelgroep[[#This Row],[Percentage van patiëntaantallen in Wlz (overige is Zvw)]]</f>
        <v>8322595.1011880254</v>
      </c>
      <c r="T301" s="398">
        <f>uitkomst_doelgroep[[#This Row],[Overige besparingen (€)]]*uitkomst_doelgroep[[#This Row],[Percentage van patiëntaantallen in Wlz (overige is Zvw)]]</f>
        <v>5089090.5442179972</v>
      </c>
      <c r="U301" s="398">
        <f>uitkomst_doelgroep[[#This Row],[Kosten (€)]]*uitkomst_doelgroep[[#This Row],[Percentage van patiëntaantallen in Wlz (overige is Zvw)]]</f>
        <v>12864535.513752801</v>
      </c>
      <c r="V301" s="398">
        <f>uitkomst_doelgroep[[#This Row],[Investering (cash flow) (€)]]*uitkomst_doelgroep[[#This Row],[Percentage van patiëntaantallen in Wlz (overige is Zvw)]]</f>
        <v>10861.714187023479</v>
      </c>
    </row>
    <row r="302" spans="1:22" x14ac:dyDescent="0.5">
      <c r="A302" s="33" t="str">
        <f>INDEX(Technologieën[Veld],MATCH(B302,Technologieën[Digitale zorgtoepassing],0))</f>
        <v>Digitale hulpmiddelen - Verpleging</v>
      </c>
      <c r="B302" s="33" t="s">
        <v>105</v>
      </c>
      <c r="C302" s="33" t="s">
        <v>106</v>
      </c>
      <c r="D302" s="427" cm="1">
        <f t="array" ref="D302">INDEX(Berekening_patiëntaantal[Percentage van patiëntaantallen in Wlz (overige is Zvw)],MATCH(B302,IF(Berekening_patiëntaantal[Doelgroep (zoeksleutel)]=C302,Berekening_patiëntaantal[Digitale zorgtoepassing]),0))</f>
        <v>1</v>
      </c>
      <c r="E302" s="33" t="str" cm="1">
        <f t="array" ref="E302">INDEX(Berekening_patiëntaantal[Direct toepasbaar/extrapolatie/incidentie voor QALY],MATCH(B302,IF(Berekening_patiëntaantal[Doelgroep (zoeksleutel)]=C302,Berekening_patiëntaantal[Digitale zorgtoepassing]),0))</f>
        <v>Huidige toepassing</v>
      </c>
      <c r="F302" s="43" t="s">
        <v>812</v>
      </c>
      <c r="G302" s="33" t="str">
        <f>CONCATENATE(uitkomst_doelgroep[[#This Row],[Digitale zorgtoepassing]],"_",uitkomst_doelgroep[[#This Row],[Doelgroep]],"_",uitkomst_doelgroep[[#This Row],[Uitgangssituatie/effect beleid]])</f>
        <v>Exoskelet_NVT_Effect beleid</v>
      </c>
      <c r="H302" s="33">
        <v>2023</v>
      </c>
      <c r="I302" s="32">
        <v>1</v>
      </c>
      <c r="J302" s="406" cm="1">
        <f t="array" ref="J302">INDEX(implementatie[[2023]:[2034]],MATCH(G302, implementatie[Zoeksleutel],0),I302)</f>
        <v>0</v>
      </c>
      <c r="K302" s="406" cm="1">
        <f t="array" ref="K302">INDEX(implementatie[[2023]:[2034]],MATCH(G302,implementatie[Zoeksleutel],0),I302 + 1)</f>
        <v>0</v>
      </c>
      <c r="L30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302" s="398" cm="1">
        <f t="array" ref="M302">J302*INDEX(Berekening_impact[Totaal arbeidsbesparing (€/jaar)],MATCH(B302,IF(Berekening_impact[Doelgroep]=C302,Berekening_impact[Digitale zorgtoepassing]),0))</f>
        <v>0</v>
      </c>
      <c r="N302" s="397" cm="1">
        <f t="array" ref="N302">J302*INDEX(Berekening_impact[Totaal arbeidsbesparing (FTE/jaar)],MATCH(B302,IF(Berekening_impact[Doelgroep]=C302,Berekening_impact[Digitale zorgtoepassing]),0))</f>
        <v>0</v>
      </c>
      <c r="O302" s="398" cm="1">
        <f t="array" ref="O302">J302*INDEX(Berekening_impact[Overige kostenbesparing (totaal/jaar totaal potentieel)],MATCH(B302,IF(Berekening_impact[Doelgroep]=C302,Berekening_impact[Digitale zorgtoepassing]),0))</f>
        <v>0</v>
      </c>
      <c r="P302" s="398" cm="1">
        <f t="array" ref="P302">J302*INDEX(Berekening_impact[Opbrengsten door QALY''s],MATCH(B302,IF(Berekening_impact[Doelgroep]=C302,Berekening_impact[Digitale zorgtoepassing]),0))</f>
        <v>0</v>
      </c>
      <c r="Q302" s="398" cm="1">
        <f t="array" ref="Q302">J302*INDEX(Berekening_impact[Jaarlijkse kosten (totaal) - incl. schatting],MATCH(B302,IF(Berekening_impact[Doelgroep]=C302,Berekening_impact[Digitale zorgtoepassing]),0))</f>
        <v>0</v>
      </c>
      <c r="R302" s="398" cm="1">
        <f t="array" ref="R302">(uitkomst_doelgroep[[#This Row],[Implementatiegraad t = T + 1]]-uitkomst_doelgroep[[#This Row],[Implementatiegraad t = T]])*INDEX(Berekening_impact[Initiële investering (totaal) - incl. schatting],MATCH(B302,IF(Berekening_impact[Doelgroep]=C302,Berekening_impact[Digitale zorgtoepassing]),0))</f>
        <v>0</v>
      </c>
      <c r="S302" s="398">
        <f>uitkomst_doelgroep[[#This Row],[Arbeidsbesparing (€)]]*uitkomst_doelgroep[[#This Row],[Percentage van patiëntaantallen in Wlz (overige is Zvw)]]</f>
        <v>0</v>
      </c>
      <c r="T302" s="398">
        <f>uitkomst_doelgroep[[#This Row],[Overige besparingen (€)]]*uitkomst_doelgroep[[#This Row],[Percentage van patiëntaantallen in Wlz (overige is Zvw)]]</f>
        <v>0</v>
      </c>
      <c r="U302" s="398">
        <f>uitkomst_doelgroep[[#This Row],[Kosten (€)]]*uitkomst_doelgroep[[#This Row],[Percentage van patiëntaantallen in Wlz (overige is Zvw)]]</f>
        <v>0</v>
      </c>
      <c r="V302" s="398">
        <f>uitkomst_doelgroep[[#This Row],[Investering (cash flow) (€)]]*uitkomst_doelgroep[[#This Row],[Percentage van patiëntaantallen in Wlz (overige is Zvw)]]</f>
        <v>0</v>
      </c>
    </row>
    <row r="303" spans="1:22" x14ac:dyDescent="0.5">
      <c r="A303" s="33" t="str">
        <f>INDEX(Technologieën[Veld],MATCH(B303,Technologieën[Digitale zorgtoepassing],0))</f>
        <v>Digitale hulpmiddelen - Verpleging</v>
      </c>
      <c r="B303" s="33" t="s">
        <v>105</v>
      </c>
      <c r="C303" s="33" t="s">
        <v>106</v>
      </c>
      <c r="D303" s="427" cm="1">
        <f t="array" ref="D303">INDEX(Berekening_patiëntaantal[Percentage van patiëntaantallen in Wlz (overige is Zvw)],MATCH(B303,IF(Berekening_patiëntaantal[Doelgroep (zoeksleutel)]=C303,Berekening_patiëntaantal[Digitale zorgtoepassing]),0))</f>
        <v>1</v>
      </c>
      <c r="E303" s="33" t="str" cm="1">
        <f t="array" ref="E303">INDEX(Berekening_patiëntaantal[Direct toepasbaar/extrapolatie/incidentie voor QALY],MATCH(B303,IF(Berekening_patiëntaantal[Doelgroep (zoeksleutel)]=C303,Berekening_patiëntaantal[Digitale zorgtoepassing]),0))</f>
        <v>Huidige toepassing</v>
      </c>
      <c r="F303" s="43" t="s">
        <v>812</v>
      </c>
      <c r="G303" s="33" t="str">
        <f>CONCATENATE(uitkomst_doelgroep[[#This Row],[Digitale zorgtoepassing]],"_",uitkomst_doelgroep[[#This Row],[Doelgroep]],"_",uitkomst_doelgroep[[#This Row],[Uitgangssituatie/effect beleid]])</f>
        <v>Exoskelet_NVT_Effect beleid</v>
      </c>
      <c r="H303" s="33">
        <v>2024</v>
      </c>
      <c r="I303" s="32">
        <v>2</v>
      </c>
      <c r="J303" s="406" cm="1">
        <f t="array" ref="J303">INDEX(implementatie[[2023]:[2034]],MATCH(G303, implementatie[Zoeksleutel],0),I303)</f>
        <v>0</v>
      </c>
      <c r="K303" s="406" cm="1">
        <f t="array" ref="K303">INDEX(implementatie[[2023]:[2034]],MATCH(G303,implementatie[Zoeksleutel],0),I303 + 1)</f>
        <v>0</v>
      </c>
      <c r="L30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303" s="398" cm="1">
        <f t="array" ref="M303">J303*INDEX(Berekening_impact[Totaal arbeidsbesparing (€/jaar)],MATCH(B303,IF(Berekening_impact[Doelgroep]=C303,Berekening_impact[Digitale zorgtoepassing]),0))</f>
        <v>0</v>
      </c>
      <c r="N303" s="397" cm="1">
        <f t="array" ref="N303">J303*INDEX(Berekening_impact[Totaal arbeidsbesparing (FTE/jaar)],MATCH(B303,IF(Berekening_impact[Doelgroep]=C303,Berekening_impact[Digitale zorgtoepassing]),0))</f>
        <v>0</v>
      </c>
      <c r="O303" s="398" cm="1">
        <f t="array" ref="O303">J303*INDEX(Berekening_impact[Overige kostenbesparing (totaal/jaar totaal potentieel)],MATCH(B303,IF(Berekening_impact[Doelgroep]=C303,Berekening_impact[Digitale zorgtoepassing]),0))</f>
        <v>0</v>
      </c>
      <c r="P303" s="398" cm="1">
        <f t="array" ref="P303">J303*INDEX(Berekening_impact[Opbrengsten door QALY''s],MATCH(B303,IF(Berekening_impact[Doelgroep]=C303,Berekening_impact[Digitale zorgtoepassing]),0))</f>
        <v>0</v>
      </c>
      <c r="Q303" s="398" cm="1">
        <f t="array" ref="Q303">J303*INDEX(Berekening_impact[Jaarlijkse kosten (totaal) - incl. schatting],MATCH(B303,IF(Berekening_impact[Doelgroep]=C303,Berekening_impact[Digitale zorgtoepassing]),0))</f>
        <v>0</v>
      </c>
      <c r="R303" s="398" cm="1">
        <f t="array" ref="R303">(uitkomst_doelgroep[[#This Row],[Implementatiegraad t = T + 1]]-uitkomst_doelgroep[[#This Row],[Implementatiegraad t = T]])*INDEX(Berekening_impact[Initiële investering (totaal) - incl. schatting],MATCH(B303,IF(Berekening_impact[Doelgroep]=C303,Berekening_impact[Digitale zorgtoepassing]),0))</f>
        <v>0</v>
      </c>
      <c r="S303" s="398">
        <f>uitkomst_doelgroep[[#This Row],[Arbeidsbesparing (€)]]*uitkomst_doelgroep[[#This Row],[Percentage van patiëntaantallen in Wlz (overige is Zvw)]]</f>
        <v>0</v>
      </c>
      <c r="T303" s="398">
        <f>uitkomst_doelgroep[[#This Row],[Overige besparingen (€)]]*uitkomst_doelgroep[[#This Row],[Percentage van patiëntaantallen in Wlz (overige is Zvw)]]</f>
        <v>0</v>
      </c>
      <c r="U303" s="398">
        <f>uitkomst_doelgroep[[#This Row],[Kosten (€)]]*uitkomst_doelgroep[[#This Row],[Percentage van patiëntaantallen in Wlz (overige is Zvw)]]</f>
        <v>0</v>
      </c>
      <c r="V303" s="398">
        <f>uitkomst_doelgroep[[#This Row],[Investering (cash flow) (€)]]*uitkomst_doelgroep[[#This Row],[Percentage van patiëntaantallen in Wlz (overige is Zvw)]]</f>
        <v>0</v>
      </c>
    </row>
    <row r="304" spans="1:22" ht="17.5" thickBot="1" x14ac:dyDescent="0.55000000000000004">
      <c r="A304" s="33" t="str">
        <f>INDEX(Technologieën[Veld],MATCH(B304,Technologieën[Digitale zorgtoepassing],0))</f>
        <v>Digitale hulpmiddelen - Verpleging</v>
      </c>
      <c r="B304" s="40" t="s">
        <v>105</v>
      </c>
      <c r="C304" s="40" t="s">
        <v>106</v>
      </c>
      <c r="D304" s="427" cm="1">
        <f t="array" ref="D304">INDEX(Berekening_patiëntaantal[Percentage van patiëntaantallen in Wlz (overige is Zvw)],MATCH(B304,IF(Berekening_patiëntaantal[Doelgroep (zoeksleutel)]=C304,Berekening_patiëntaantal[Digitale zorgtoepassing]),0))</f>
        <v>1</v>
      </c>
      <c r="E304" s="33" t="str" cm="1">
        <f t="array" ref="E304">INDEX(Berekening_patiëntaantal[Direct toepasbaar/extrapolatie/incidentie voor QALY],MATCH(B304,IF(Berekening_patiëntaantal[Doelgroep (zoeksleutel)]=C304,Berekening_patiëntaantal[Digitale zorgtoepassing]),0))</f>
        <v>Huidige toepassing</v>
      </c>
      <c r="F304" s="43" t="s">
        <v>812</v>
      </c>
      <c r="G304" s="33" t="str">
        <f>CONCATENATE(uitkomst_doelgroep[[#This Row],[Digitale zorgtoepassing]],"_",uitkomst_doelgroep[[#This Row],[Doelgroep]],"_",uitkomst_doelgroep[[#This Row],[Uitgangssituatie/effect beleid]])</f>
        <v>Exoskelet_NVT_Effect beleid</v>
      </c>
      <c r="H304" s="33">
        <v>2025</v>
      </c>
      <c r="I304" s="32">
        <v>3</v>
      </c>
      <c r="J304" s="406" cm="1">
        <f t="array" ref="J304">INDEX(implementatie[[2023]:[2034]],MATCH(G304, implementatie[Zoeksleutel],0),I304)</f>
        <v>0</v>
      </c>
      <c r="K304" s="406" cm="1">
        <f t="array" ref="K304">INDEX(implementatie[[2023]:[2034]],MATCH(G304,implementatie[Zoeksleutel],0),I304 + 1)</f>
        <v>1.4999999999999999E-2</v>
      </c>
      <c r="L30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304" s="398" cm="1">
        <f t="array" ref="M304">J304*INDEX(Berekening_impact[Totaal arbeidsbesparing (€/jaar)],MATCH(B304,IF(Berekening_impact[Doelgroep]=C304,Berekening_impact[Digitale zorgtoepassing]),0))</f>
        <v>0</v>
      </c>
      <c r="N304" s="397" cm="1">
        <f t="array" ref="N304">J304*INDEX(Berekening_impact[Totaal arbeidsbesparing (FTE/jaar)],MATCH(B304,IF(Berekening_impact[Doelgroep]=C304,Berekening_impact[Digitale zorgtoepassing]),0))</f>
        <v>0</v>
      </c>
      <c r="O304" s="398" cm="1">
        <f t="array" ref="O304">J304*INDEX(Berekening_impact[Overige kostenbesparing (totaal/jaar totaal potentieel)],MATCH(B304,IF(Berekening_impact[Doelgroep]=C304,Berekening_impact[Digitale zorgtoepassing]),0))</f>
        <v>0</v>
      </c>
      <c r="P304" s="398" cm="1">
        <f t="array" ref="P304">J304*INDEX(Berekening_impact[Opbrengsten door QALY''s],MATCH(B304,IF(Berekening_impact[Doelgroep]=C304,Berekening_impact[Digitale zorgtoepassing]),0))</f>
        <v>0</v>
      </c>
      <c r="Q304" s="398" cm="1">
        <f t="array" ref="Q304">J304*INDEX(Berekening_impact[Jaarlijkse kosten (totaal) - incl. schatting],MATCH(B304,IF(Berekening_impact[Doelgroep]=C304,Berekening_impact[Digitale zorgtoepassing]),0))</f>
        <v>0</v>
      </c>
      <c r="R304" s="398" cm="1">
        <f t="array" ref="R304">(uitkomst_doelgroep[[#This Row],[Implementatiegraad t = T + 1]]-uitkomst_doelgroep[[#This Row],[Implementatiegraad t = T]])*INDEX(Berekening_impact[Initiële investering (totaal) - incl. schatting],MATCH(B304,IF(Berekening_impact[Doelgroep]=C304,Berekening_impact[Digitale zorgtoepassing]),0))</f>
        <v>20853.450000000004</v>
      </c>
      <c r="S304" s="398">
        <f>uitkomst_doelgroep[[#This Row],[Arbeidsbesparing (€)]]*uitkomst_doelgroep[[#This Row],[Percentage van patiëntaantallen in Wlz (overige is Zvw)]]</f>
        <v>0</v>
      </c>
      <c r="T304" s="398">
        <f>uitkomst_doelgroep[[#This Row],[Overige besparingen (€)]]*uitkomst_doelgroep[[#This Row],[Percentage van patiëntaantallen in Wlz (overige is Zvw)]]</f>
        <v>0</v>
      </c>
      <c r="U304" s="398">
        <f>uitkomst_doelgroep[[#This Row],[Kosten (€)]]*uitkomst_doelgroep[[#This Row],[Percentage van patiëntaantallen in Wlz (overige is Zvw)]]</f>
        <v>0</v>
      </c>
      <c r="V304" s="398">
        <f>uitkomst_doelgroep[[#This Row],[Investering (cash flow) (€)]]*uitkomst_doelgroep[[#This Row],[Percentage van patiëntaantallen in Wlz (overige is Zvw)]]</f>
        <v>20853.450000000004</v>
      </c>
    </row>
    <row r="305" spans="1:22" x14ac:dyDescent="0.5">
      <c r="A305" s="33" t="str">
        <f>INDEX(Technologieën[Veld],MATCH(B305,Technologieën[Digitale zorgtoepassing],0))</f>
        <v>Digitale hulpmiddelen - Verpleging</v>
      </c>
      <c r="B305" s="33" t="s">
        <v>105</v>
      </c>
      <c r="C305" s="33" t="s">
        <v>106</v>
      </c>
      <c r="D305" s="427" cm="1">
        <f t="array" ref="D305">INDEX(Berekening_patiëntaantal[Percentage van patiëntaantallen in Wlz (overige is Zvw)],MATCH(B305,IF(Berekening_patiëntaantal[Doelgroep (zoeksleutel)]=C305,Berekening_patiëntaantal[Digitale zorgtoepassing]),0))</f>
        <v>1</v>
      </c>
      <c r="E305" s="33" t="str" cm="1">
        <f t="array" ref="E305">INDEX(Berekening_patiëntaantal[Direct toepasbaar/extrapolatie/incidentie voor QALY],MATCH(B305,IF(Berekening_patiëntaantal[Doelgroep (zoeksleutel)]=C305,Berekening_patiëntaantal[Digitale zorgtoepassing]),0))</f>
        <v>Huidige toepassing</v>
      </c>
      <c r="F305" s="43" t="s">
        <v>812</v>
      </c>
      <c r="G305" s="33" t="str">
        <f>CONCATENATE(uitkomst_doelgroep[[#This Row],[Digitale zorgtoepassing]],"_",uitkomst_doelgroep[[#This Row],[Doelgroep]],"_",uitkomst_doelgroep[[#This Row],[Uitgangssituatie/effect beleid]])</f>
        <v>Exoskelet_NVT_Effect beleid</v>
      </c>
      <c r="H305" s="33">
        <v>2026</v>
      </c>
      <c r="I305" s="32">
        <v>4</v>
      </c>
      <c r="J305" s="406" cm="1">
        <f t="array" ref="J305">INDEX(implementatie[[2023]:[2034]],MATCH(G305, implementatie[Zoeksleutel],0),I305)</f>
        <v>1.4999999999999999E-2</v>
      </c>
      <c r="K305" s="406" cm="1">
        <f t="array" ref="K305">INDEX(implementatie[[2023]:[2034]],MATCH(G305,implementatie[Zoeksleutel],0),I305 + 1)</f>
        <v>3.4946249999999998E-2</v>
      </c>
      <c r="L30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4.634100000000001</v>
      </c>
      <c r="M305" s="398" cm="1">
        <f t="array" ref="M305">J305*INDEX(Berekening_impact[Totaal arbeidsbesparing (€/jaar)],MATCH(B305,IF(Berekening_impact[Doelgroep]=C305,Berekening_impact[Digitale zorgtoepassing]),0))</f>
        <v>79680.63871129656</v>
      </c>
      <c r="N305" s="397" cm="1">
        <f t="array" ref="N305">J305*INDEX(Berekening_impact[Totaal arbeidsbesparing (FTE/jaar)],MATCH(B305,IF(Berekening_impact[Doelgroep]=C305,Berekening_impact[Digitale zorgtoepassing]),0))</f>
        <v>1.3809617999999999</v>
      </c>
      <c r="O305" s="398" cm="1">
        <f t="array" ref="O305">J305*INDEX(Berekening_impact[Overige kostenbesparing (totaal/jaar totaal potentieel)],MATCH(B305,IF(Berekening_impact[Doelgroep]=C305,Berekening_impact[Digitale zorgtoepassing]),0))</f>
        <v>0</v>
      </c>
      <c r="P305" s="398" cm="1">
        <f t="array" ref="P305">J305*INDEX(Berekening_impact[Opbrengsten door QALY''s],MATCH(B305,IF(Berekening_impact[Doelgroep]=C305,Berekening_impact[Digitale zorgtoepassing]),0))</f>
        <v>0</v>
      </c>
      <c r="Q305" s="398" cm="1">
        <f t="array" ref="Q305">J305*INDEX(Berekening_impact[Jaarlijkse kosten (totaal) - incl. schatting],MATCH(B305,IF(Berekening_impact[Doelgroep]=C305,Berekening_impact[Digitale zorgtoepassing]),0))</f>
        <v>0</v>
      </c>
      <c r="R305" s="398" cm="1">
        <f t="array" ref="R305">(uitkomst_doelgroep[[#This Row],[Implementatiegraad t = T + 1]]-uitkomst_doelgroep[[#This Row],[Implementatiegraad t = T]])*INDEX(Berekening_impact[Initiële investering (totaal) - incl. schatting],MATCH(B305,IF(Berekening_impact[Doelgroep]=C305,Berekening_impact[Digitale zorgtoepassing]),0))</f>
        <v>27729.875137500003</v>
      </c>
      <c r="S305" s="398">
        <f>uitkomst_doelgroep[[#This Row],[Arbeidsbesparing (€)]]*uitkomst_doelgroep[[#This Row],[Percentage van patiëntaantallen in Wlz (overige is Zvw)]]</f>
        <v>79680.63871129656</v>
      </c>
      <c r="T305" s="398">
        <f>uitkomst_doelgroep[[#This Row],[Overige besparingen (€)]]*uitkomst_doelgroep[[#This Row],[Percentage van patiëntaantallen in Wlz (overige is Zvw)]]</f>
        <v>0</v>
      </c>
      <c r="U305" s="398">
        <f>uitkomst_doelgroep[[#This Row],[Kosten (€)]]*uitkomst_doelgroep[[#This Row],[Percentage van patiëntaantallen in Wlz (overige is Zvw)]]</f>
        <v>0</v>
      </c>
      <c r="V305" s="398">
        <f>uitkomst_doelgroep[[#This Row],[Investering (cash flow) (€)]]*uitkomst_doelgroep[[#This Row],[Percentage van patiëntaantallen in Wlz (overige is Zvw)]]</f>
        <v>27729.875137500003</v>
      </c>
    </row>
    <row r="306" spans="1:22" x14ac:dyDescent="0.5">
      <c r="A306" s="33" t="str">
        <f>INDEX(Technologieën[Veld],MATCH(B306,Technologieën[Digitale zorgtoepassing],0))</f>
        <v>Digitale hulpmiddelen - Verpleging</v>
      </c>
      <c r="B306" s="33" t="s">
        <v>105</v>
      </c>
      <c r="C306" s="33" t="s">
        <v>106</v>
      </c>
      <c r="D306" s="427" cm="1">
        <f t="array" ref="D306">INDEX(Berekening_patiëntaantal[Percentage van patiëntaantallen in Wlz (overige is Zvw)],MATCH(B306,IF(Berekening_patiëntaantal[Doelgroep (zoeksleutel)]=C306,Berekening_patiëntaantal[Digitale zorgtoepassing]),0))</f>
        <v>1</v>
      </c>
      <c r="E306" s="33" t="str" cm="1">
        <f t="array" ref="E306">INDEX(Berekening_patiëntaantal[Direct toepasbaar/extrapolatie/incidentie voor QALY],MATCH(B306,IF(Berekening_patiëntaantal[Doelgroep (zoeksleutel)]=C306,Berekening_patiëntaantal[Digitale zorgtoepassing]),0))</f>
        <v>Huidige toepassing</v>
      </c>
      <c r="F306" s="43" t="s">
        <v>812</v>
      </c>
      <c r="G306" s="33" t="str">
        <f>CONCATENATE(uitkomst_doelgroep[[#This Row],[Digitale zorgtoepassing]],"_",uitkomst_doelgroep[[#This Row],[Doelgroep]],"_",uitkomst_doelgroep[[#This Row],[Uitgangssituatie/effect beleid]])</f>
        <v>Exoskelet_NVT_Effect beleid</v>
      </c>
      <c r="H306" s="33">
        <v>2027</v>
      </c>
      <c r="I306" s="32">
        <v>5</v>
      </c>
      <c r="J306" s="406" cm="1">
        <f t="array" ref="J306">INDEX(implementatie[[2023]:[2034]],MATCH(G306, implementatie[Zoeksleutel],0),I306)</f>
        <v>3.4946249999999998E-2</v>
      </c>
      <c r="K306" s="406" cm="1">
        <f t="array" ref="K306">INDEX(implementatie[[2023]:[2034]],MATCH(G306,implementatie[Zoeksleutel],0),I306 + 1)</f>
        <v>6.1225809613828119E-2</v>
      </c>
      <c r="L30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10.796294475000002</v>
      </c>
      <c r="M306" s="398" cm="1">
        <f t="array" ref="M306">J306*INDEX(Berekening_impact[Totaal arbeidsbesparing (€/jaar)],MATCH(B306,IF(Berekening_impact[Doelgroep]=C306,Berekening_impact[Digitale zorgtoepassing]),0))</f>
        <v>185635.96803764315</v>
      </c>
      <c r="N306" s="397" cm="1">
        <f t="array" ref="N306">J306*INDEX(Berekening_impact[Totaal arbeidsbesparing (FTE/jaar)],MATCH(B306,IF(Berekening_impact[Doelgroep]=C306,Berekening_impact[Digitale zorgtoepassing]),0))</f>
        <v>3.2172957535499997</v>
      </c>
      <c r="O306" s="398" cm="1">
        <f t="array" ref="O306">J306*INDEX(Berekening_impact[Overige kostenbesparing (totaal/jaar totaal potentieel)],MATCH(B306,IF(Berekening_impact[Doelgroep]=C306,Berekening_impact[Digitale zorgtoepassing]),0))</f>
        <v>0</v>
      </c>
      <c r="P306" s="398" cm="1">
        <f t="array" ref="P306">J306*INDEX(Berekening_impact[Opbrengsten door QALY''s],MATCH(B306,IF(Berekening_impact[Doelgroep]=C306,Berekening_impact[Digitale zorgtoepassing]),0))</f>
        <v>0</v>
      </c>
      <c r="Q306" s="398" cm="1">
        <f t="array" ref="Q306">J306*INDEX(Berekening_impact[Jaarlijkse kosten (totaal) - incl. schatting],MATCH(B306,IF(Berekening_impact[Doelgroep]=C306,Berekening_impact[Digitale zorgtoepassing]),0))</f>
        <v>0</v>
      </c>
      <c r="R306" s="398" cm="1">
        <f t="array" ref="R306">(uitkomst_doelgroep[[#This Row],[Implementatiegraad t = T + 1]]-uitkomst_doelgroep[[#This Row],[Implementatiegraad t = T]])*INDEX(Berekening_impact[Initiële investering (totaal) - incl. schatting],MATCH(B306,IF(Berekening_impact[Doelgroep]=C306,Berekening_impact[Digitale zorgtoepassing]),0))</f>
        <v>36534.632161932277</v>
      </c>
      <c r="S306" s="398">
        <f>uitkomst_doelgroep[[#This Row],[Arbeidsbesparing (€)]]*uitkomst_doelgroep[[#This Row],[Percentage van patiëntaantallen in Wlz (overige is Zvw)]]</f>
        <v>185635.96803764315</v>
      </c>
      <c r="T306" s="398">
        <f>uitkomst_doelgroep[[#This Row],[Overige besparingen (€)]]*uitkomst_doelgroep[[#This Row],[Percentage van patiëntaantallen in Wlz (overige is Zvw)]]</f>
        <v>0</v>
      </c>
      <c r="U306" s="398">
        <f>uitkomst_doelgroep[[#This Row],[Kosten (€)]]*uitkomst_doelgroep[[#This Row],[Percentage van patiëntaantallen in Wlz (overige is Zvw)]]</f>
        <v>0</v>
      </c>
      <c r="V306" s="398">
        <f>uitkomst_doelgroep[[#This Row],[Investering (cash flow) (€)]]*uitkomst_doelgroep[[#This Row],[Percentage van patiëntaantallen in Wlz (overige is Zvw)]]</f>
        <v>36534.632161932277</v>
      </c>
    </row>
    <row r="307" spans="1:22" x14ac:dyDescent="0.5">
      <c r="A307" s="33" t="str">
        <f>INDEX(Technologieën[Veld],MATCH(B307,Technologieën[Digitale zorgtoepassing],0))</f>
        <v>Digitale hulpmiddelen - Verpleging</v>
      </c>
      <c r="B307" s="33" t="s">
        <v>105</v>
      </c>
      <c r="C307" s="33" t="s">
        <v>106</v>
      </c>
      <c r="D307" s="427" cm="1">
        <f t="array" ref="D307">INDEX(Berekening_patiëntaantal[Percentage van patiëntaantallen in Wlz (overige is Zvw)],MATCH(B307,IF(Berekening_patiëntaantal[Doelgroep (zoeksleutel)]=C307,Berekening_patiëntaantal[Digitale zorgtoepassing]),0))</f>
        <v>1</v>
      </c>
      <c r="E307" s="33" t="str" cm="1">
        <f t="array" ref="E307">INDEX(Berekening_patiëntaantal[Direct toepasbaar/extrapolatie/incidentie voor QALY],MATCH(B307,IF(Berekening_patiëntaantal[Doelgroep (zoeksleutel)]=C307,Berekening_patiëntaantal[Digitale zorgtoepassing]),0))</f>
        <v>Huidige toepassing</v>
      </c>
      <c r="F307" s="43" t="s">
        <v>812</v>
      </c>
      <c r="G307" s="33" t="str">
        <f>CONCATENATE(uitkomst_doelgroep[[#This Row],[Digitale zorgtoepassing]],"_",uitkomst_doelgroep[[#This Row],[Doelgroep]],"_",uitkomst_doelgroep[[#This Row],[Uitgangssituatie/effect beleid]])</f>
        <v>Exoskelet_NVT_Effect beleid</v>
      </c>
      <c r="H307" s="33">
        <v>2028</v>
      </c>
      <c r="I307" s="32">
        <v>6</v>
      </c>
      <c r="J307" s="406" cm="1">
        <f t="array" ref="J307">INDEX(implementatie[[2023]:[2034]],MATCH(G307, implementatie[Zoeksleutel],0),I307)</f>
        <v>6.1225809613828119E-2</v>
      </c>
      <c r="K307" s="406" cm="1">
        <f t="array" ref="K307">INDEX(implementatie[[2023]:[2034]],MATCH(G307,implementatie[Zoeksleutel],0),I307 + 1)</f>
        <v>9.5424445917456496E-2</v>
      </c>
      <c r="L30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18.915101622096063</v>
      </c>
      <c r="M307" s="398" cm="1">
        <f t="array" ref="M307">J307*INDEX(Berekening_impact[Totaal arbeidsbesparing (€/jaar)],MATCH(B307,IF(Berekening_impact[Doelgroep]=C307,Berekening_impact[Digitale zorgtoepassing]),0))</f>
        <v>325234.10770973773</v>
      </c>
      <c r="N307" s="397" cm="1">
        <f t="array" ref="N307">J307*INDEX(Berekening_impact[Totaal arbeidsbesparing (FTE/jaar)],MATCH(B307,IF(Berekening_impact[Doelgroep]=C307,Berekening_impact[Digitale zorgtoepassing]),0))</f>
        <v>5.6367002833846254</v>
      </c>
      <c r="O307" s="398" cm="1">
        <f t="array" ref="O307">J307*INDEX(Berekening_impact[Overige kostenbesparing (totaal/jaar totaal potentieel)],MATCH(B307,IF(Berekening_impact[Doelgroep]=C307,Berekening_impact[Digitale zorgtoepassing]),0))</f>
        <v>0</v>
      </c>
      <c r="P307" s="398" cm="1">
        <f t="array" ref="P307">J307*INDEX(Berekening_impact[Opbrengsten door QALY''s],MATCH(B307,IF(Berekening_impact[Doelgroep]=C307,Berekening_impact[Digitale zorgtoepassing]),0))</f>
        <v>0</v>
      </c>
      <c r="Q307" s="398" cm="1">
        <f t="array" ref="Q307">J307*INDEX(Berekening_impact[Jaarlijkse kosten (totaal) - incl. schatting],MATCH(B307,IF(Berekening_impact[Doelgroep]=C307,Berekening_impact[Digitale zorgtoepassing]),0))</f>
        <v>0</v>
      </c>
      <c r="R307" s="398" cm="1">
        <f t="array" ref="R307">(uitkomst_doelgroep[[#This Row],[Implementatiegraad t = T + 1]]-uitkomst_doelgroep[[#This Row],[Implementatiegraad t = T]])*INDEX(Berekening_impact[Initiële investering (totaal) - incl. schatting],MATCH(B307,IF(Berekening_impact[Doelgroep]=C307,Berekening_impact[Digitale zorgtoepassing]),0))</f>
        <v>47543.970148393288</v>
      </c>
      <c r="S307" s="398">
        <f>uitkomst_doelgroep[[#This Row],[Arbeidsbesparing (€)]]*uitkomst_doelgroep[[#This Row],[Percentage van patiëntaantallen in Wlz (overige is Zvw)]]</f>
        <v>325234.10770973773</v>
      </c>
      <c r="T307" s="398">
        <f>uitkomst_doelgroep[[#This Row],[Overige besparingen (€)]]*uitkomst_doelgroep[[#This Row],[Percentage van patiëntaantallen in Wlz (overige is Zvw)]]</f>
        <v>0</v>
      </c>
      <c r="U307" s="398">
        <f>uitkomst_doelgroep[[#This Row],[Kosten (€)]]*uitkomst_doelgroep[[#This Row],[Percentage van patiëntaantallen in Wlz (overige is Zvw)]]</f>
        <v>0</v>
      </c>
      <c r="V307" s="398">
        <f>uitkomst_doelgroep[[#This Row],[Investering (cash flow) (€)]]*uitkomst_doelgroep[[#This Row],[Percentage van patiëntaantallen in Wlz (overige is Zvw)]]</f>
        <v>47543.970148393288</v>
      </c>
    </row>
    <row r="308" spans="1:22" x14ac:dyDescent="0.5">
      <c r="A308" s="33" t="str">
        <f>INDEX(Technologieën[Veld],MATCH(B308,Technologieën[Digitale zorgtoepassing],0))</f>
        <v>Digitale hulpmiddelen - Verpleging</v>
      </c>
      <c r="B308" s="33" t="s">
        <v>105</v>
      </c>
      <c r="C308" s="33" t="s">
        <v>106</v>
      </c>
      <c r="D308" s="427" cm="1">
        <f t="array" ref="D308">INDEX(Berekening_patiëntaantal[Percentage van patiëntaantallen in Wlz (overige is Zvw)],MATCH(B308,IF(Berekening_patiëntaantal[Doelgroep (zoeksleutel)]=C308,Berekening_patiëntaantal[Digitale zorgtoepassing]),0))</f>
        <v>1</v>
      </c>
      <c r="E308" s="33" t="str" cm="1">
        <f t="array" ref="E308">INDEX(Berekening_patiëntaantal[Direct toepasbaar/extrapolatie/incidentie voor QALY],MATCH(B308,IF(Berekening_patiëntaantal[Doelgroep (zoeksleutel)]=C308,Berekening_patiëntaantal[Digitale zorgtoepassing]),0))</f>
        <v>Huidige toepassing</v>
      </c>
      <c r="F308" s="43" t="s">
        <v>812</v>
      </c>
      <c r="G308" s="33" t="str">
        <f>CONCATENATE(uitkomst_doelgroep[[#This Row],[Digitale zorgtoepassing]],"_",uitkomst_doelgroep[[#This Row],[Doelgroep]],"_",uitkomst_doelgroep[[#This Row],[Uitgangssituatie/effect beleid]])</f>
        <v>Exoskelet_NVT_Effect beleid</v>
      </c>
      <c r="H308" s="33">
        <v>2029</v>
      </c>
      <c r="I308" s="32">
        <v>7</v>
      </c>
      <c r="J308" s="406" cm="1">
        <f t="array" ref="J308">INDEX(implementatie[[2023]:[2034]],MATCH(G308, implementatie[Zoeksleutel],0),I308)</f>
        <v>9.5424445917456496E-2</v>
      </c>
      <c r="K308" s="406" cm="1">
        <f t="array" ref="K308">INDEX(implementatie[[2023]:[2034]],MATCH(G308,implementatie[Zoeksleutel],0),I308 + 1)</f>
        <v>0.13920459659227569</v>
      </c>
      <c r="L30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29.480428321739016</v>
      </c>
      <c r="M308" s="398" cm="1">
        <f t="array" ref="M308">J308*INDEX(Berekening_impact[Totaal arbeidsbesparing (€/jaar)],MATCH(B308,IF(Berekening_impact[Doelgroep]=C308,Berekening_impact[Digitale zorgtoepassing]),0))</f>
        <v>506898.71995830059</v>
      </c>
      <c r="N308" s="397" cm="1">
        <f t="array" ref="N308">J308*INDEX(Berekening_impact[Totaal arbeidsbesparing (FTE/jaar)],MATCH(B308,IF(Berekening_impact[Doelgroep]=C308,Berekening_impact[Digitale zorgtoepassing]),0))</f>
        <v>8.7851676398782246</v>
      </c>
      <c r="O308" s="398" cm="1">
        <f t="array" ref="O308">J308*INDEX(Berekening_impact[Overige kostenbesparing (totaal/jaar totaal potentieel)],MATCH(B308,IF(Berekening_impact[Doelgroep]=C308,Berekening_impact[Digitale zorgtoepassing]),0))</f>
        <v>0</v>
      </c>
      <c r="P308" s="398" cm="1">
        <f t="array" ref="P308">J308*INDEX(Berekening_impact[Opbrengsten door QALY''s],MATCH(B308,IF(Berekening_impact[Doelgroep]=C308,Berekening_impact[Digitale zorgtoepassing]),0))</f>
        <v>0</v>
      </c>
      <c r="Q308" s="398" cm="1">
        <f t="array" ref="Q308">J308*INDEX(Berekening_impact[Jaarlijkse kosten (totaal) - incl. schatting],MATCH(B308,IF(Berekening_impact[Doelgroep]=C308,Berekening_impact[Digitale zorgtoepassing]),0))</f>
        <v>0</v>
      </c>
      <c r="R308" s="398" cm="1">
        <f t="array" ref="R308">(uitkomst_doelgroep[[#This Row],[Implementatiegraad t = T + 1]]-uitkomst_doelgroep[[#This Row],[Implementatiegraad t = T]])*INDEX(Berekening_impact[Initiële investering (totaal) - incl. schatting],MATCH(B308,IF(Berekening_impact[Doelgroep]=C308,Berekening_impact[Digitale zorgtoepassing]),0))</f>
        <v>60864.47887265389</v>
      </c>
      <c r="S308" s="398">
        <f>uitkomst_doelgroep[[#This Row],[Arbeidsbesparing (€)]]*uitkomst_doelgroep[[#This Row],[Percentage van patiëntaantallen in Wlz (overige is Zvw)]]</f>
        <v>506898.71995830059</v>
      </c>
      <c r="T308" s="398">
        <f>uitkomst_doelgroep[[#This Row],[Overige besparingen (€)]]*uitkomst_doelgroep[[#This Row],[Percentage van patiëntaantallen in Wlz (overige is Zvw)]]</f>
        <v>0</v>
      </c>
      <c r="U308" s="398">
        <f>uitkomst_doelgroep[[#This Row],[Kosten (€)]]*uitkomst_doelgroep[[#This Row],[Percentage van patiëntaantallen in Wlz (overige is Zvw)]]</f>
        <v>0</v>
      </c>
      <c r="V308" s="398">
        <f>uitkomst_doelgroep[[#This Row],[Investering (cash flow) (€)]]*uitkomst_doelgroep[[#This Row],[Percentage van patiëntaantallen in Wlz (overige is Zvw)]]</f>
        <v>60864.47887265389</v>
      </c>
    </row>
    <row r="309" spans="1:22" x14ac:dyDescent="0.5">
      <c r="A309" s="33" t="str">
        <f>INDEX(Technologieën[Veld],MATCH(B309,Technologieën[Digitale zorgtoepassing],0))</f>
        <v>Digitale hulpmiddelen - Verpleging</v>
      </c>
      <c r="B309" s="33" t="s">
        <v>105</v>
      </c>
      <c r="C309" s="33" t="s">
        <v>106</v>
      </c>
      <c r="D309" s="427" cm="1">
        <f t="array" ref="D309">INDEX(Berekening_patiëntaantal[Percentage van patiëntaantallen in Wlz (overige is Zvw)],MATCH(B309,IF(Berekening_patiëntaantal[Doelgroep (zoeksleutel)]=C309,Berekening_patiëntaantal[Digitale zorgtoepassing]),0))</f>
        <v>1</v>
      </c>
      <c r="E309" s="33" t="str" cm="1">
        <f t="array" ref="E309">INDEX(Berekening_patiëntaantal[Direct toepasbaar/extrapolatie/incidentie voor QALY],MATCH(B309,IF(Berekening_patiëntaantal[Doelgroep (zoeksleutel)]=C309,Berekening_patiëntaantal[Digitale zorgtoepassing]),0))</f>
        <v>Huidige toepassing</v>
      </c>
      <c r="F309" s="43" t="s">
        <v>812</v>
      </c>
      <c r="G309" s="33" t="str">
        <f>CONCATENATE(uitkomst_doelgroep[[#This Row],[Digitale zorgtoepassing]],"_",uitkomst_doelgroep[[#This Row],[Doelgroep]],"_",uitkomst_doelgroep[[#This Row],[Uitgangssituatie/effect beleid]])</f>
        <v>Exoskelet_NVT_Effect beleid</v>
      </c>
      <c r="H309" s="33">
        <v>2030</v>
      </c>
      <c r="I309" s="32">
        <v>8</v>
      </c>
      <c r="J309" s="406" cm="1">
        <f t="array" ref="J309">INDEX(implementatie[[2023]:[2034]],MATCH(G309, implementatie[Zoeksleutel],0),I309)</f>
        <v>0.13920459659227569</v>
      </c>
      <c r="K309" s="406" cm="1">
        <f t="array" ref="K309">INDEX(implementatie[[2023]:[2034]],MATCH(G309,implementatie[Zoeksleutel],0),I309 + 1)</f>
        <v>0.19405586455134166</v>
      </c>
      <c r="L30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43.005868071217655</v>
      </c>
      <c r="M309" s="398" cm="1">
        <f t="array" ref="M309">J309*INDEX(Berekening_impact[Totaal arbeidsbesparing (€/jaar)],MATCH(B309,IF(Berekening_impact[Doelgroep]=C309,Berekening_impact[Digitale zorgtoepassing]),0))</f>
        <v>739460.74453472684</v>
      </c>
      <c r="N309" s="397" cm="1">
        <f t="array" ref="N309">J309*INDEX(Berekening_impact[Totaal arbeidsbesparing (FTE/jaar)],MATCH(B309,IF(Berekening_impact[Doelgroep]=C309,Berekening_impact[Digitale zorgtoepassing]),0))</f>
        <v>12.815748685222861</v>
      </c>
      <c r="O309" s="398" cm="1">
        <f t="array" ref="O309">J309*INDEX(Berekening_impact[Overige kostenbesparing (totaal/jaar totaal potentieel)],MATCH(B309,IF(Berekening_impact[Doelgroep]=C309,Berekening_impact[Digitale zorgtoepassing]),0))</f>
        <v>0</v>
      </c>
      <c r="P309" s="398" cm="1">
        <f t="array" ref="P309">J309*INDEX(Berekening_impact[Opbrengsten door QALY''s],MATCH(B309,IF(Berekening_impact[Doelgroep]=C309,Berekening_impact[Digitale zorgtoepassing]),0))</f>
        <v>0</v>
      </c>
      <c r="Q309" s="398" cm="1">
        <f t="array" ref="Q309">J309*INDEX(Berekening_impact[Jaarlijkse kosten (totaal) - incl. schatting],MATCH(B309,IF(Berekening_impact[Doelgroep]=C309,Berekening_impact[Digitale zorgtoepassing]),0))</f>
        <v>0</v>
      </c>
      <c r="R309" s="398" cm="1">
        <f t="array" ref="R309">(uitkomst_doelgroep[[#This Row],[Implementatiegraad t = T + 1]]-uitkomst_doelgroep[[#This Row],[Implementatiegraad t = T]])*INDEX(Berekening_impact[Initiële investering (totaal) - incl. schatting],MATCH(B309,IF(Berekening_impact[Doelgroep]=C309,Berekening_impact[Digitale zorgtoepassing]),0))</f>
        <v>76255.878254732306</v>
      </c>
      <c r="S309" s="398">
        <f>uitkomst_doelgroep[[#This Row],[Arbeidsbesparing (€)]]*uitkomst_doelgroep[[#This Row],[Percentage van patiëntaantallen in Wlz (overige is Zvw)]]</f>
        <v>739460.74453472684</v>
      </c>
      <c r="T309" s="398">
        <f>uitkomst_doelgroep[[#This Row],[Overige besparingen (€)]]*uitkomst_doelgroep[[#This Row],[Percentage van patiëntaantallen in Wlz (overige is Zvw)]]</f>
        <v>0</v>
      </c>
      <c r="U309" s="398">
        <f>uitkomst_doelgroep[[#This Row],[Kosten (€)]]*uitkomst_doelgroep[[#This Row],[Percentage van patiëntaantallen in Wlz (overige is Zvw)]]</f>
        <v>0</v>
      </c>
      <c r="V309" s="398">
        <f>uitkomst_doelgroep[[#This Row],[Investering (cash flow) (€)]]*uitkomst_doelgroep[[#This Row],[Percentage van patiëntaantallen in Wlz (overige is Zvw)]]</f>
        <v>76255.878254732306</v>
      </c>
    </row>
    <row r="310" spans="1:22" x14ac:dyDescent="0.5">
      <c r="A310" s="33" t="str">
        <f>INDEX(Technologieën[Veld],MATCH(B310,Technologieën[Digitale zorgtoepassing],0))</f>
        <v>Digitale hulpmiddelen - Verpleging</v>
      </c>
      <c r="B310" s="33" t="s">
        <v>105</v>
      </c>
      <c r="C310" s="33" t="s">
        <v>106</v>
      </c>
      <c r="D310" s="427" cm="1">
        <f t="array" ref="D310">INDEX(Berekening_patiëntaantal[Percentage van patiëntaantallen in Wlz (overige is Zvw)],MATCH(B310,IF(Berekening_patiëntaantal[Doelgroep (zoeksleutel)]=C310,Berekening_patiëntaantal[Digitale zorgtoepassing]),0))</f>
        <v>1</v>
      </c>
      <c r="E310" s="33" t="str" cm="1">
        <f t="array" ref="E310">INDEX(Berekening_patiëntaantal[Direct toepasbaar/extrapolatie/incidentie voor QALY],MATCH(B310,IF(Berekening_patiëntaantal[Doelgroep (zoeksleutel)]=C310,Berekening_patiëntaantal[Digitale zorgtoepassing]),0))</f>
        <v>Huidige toepassing</v>
      </c>
      <c r="F310" s="43" t="s">
        <v>812</v>
      </c>
      <c r="G310" s="33" t="str">
        <f>CONCATENATE(uitkomst_doelgroep[[#This Row],[Digitale zorgtoepassing]],"_",uitkomst_doelgroep[[#This Row],[Doelgroep]],"_",uitkomst_doelgroep[[#This Row],[Uitgangssituatie/effect beleid]])</f>
        <v>Exoskelet_NVT_Effect beleid</v>
      </c>
      <c r="H310" s="33">
        <v>2031</v>
      </c>
      <c r="I310" s="32">
        <v>9</v>
      </c>
      <c r="J310" s="406" cm="1">
        <f t="array" ref="J310">INDEX(implementatie[[2023]:[2034]],MATCH(G310, implementatie[Zoeksleutel],0),I310)</f>
        <v>0.19405586455134166</v>
      </c>
      <c r="K310" s="406" cm="1">
        <f t="array" ref="K310">INDEX(implementatie[[2023]:[2034]],MATCH(G310,implementatie[Zoeksleutel],0),I310 + 1)</f>
        <v>0.26088439167767208</v>
      </c>
      <c r="L31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59.951618794491502</v>
      </c>
      <c r="M310" s="398" cm="1">
        <f t="array" ref="M310">J310*INDEX(Berekening_impact[Totaal arbeidsbesparing (€/jaar)],MATCH(B310,IF(Berekening_impact[Doelgroep]=C310,Berekening_impact[Digitale zorgtoepassing]),0))</f>
        <v>1030833.0155415838</v>
      </c>
      <c r="N310" s="397" cm="1">
        <f t="array" ref="N310">J310*INDEX(Berekening_impact[Totaal arbeidsbesparing (FTE/jaar)],MATCH(B310,IF(Berekening_impact[Doelgroep]=C310,Berekening_impact[Digitale zorgtoepassing]),0))</f>
        <v>17.865582400758466</v>
      </c>
      <c r="O310" s="398" cm="1">
        <f t="array" ref="O310">J310*INDEX(Berekening_impact[Overige kostenbesparing (totaal/jaar totaal potentieel)],MATCH(B310,IF(Berekening_impact[Doelgroep]=C310,Berekening_impact[Digitale zorgtoepassing]),0))</f>
        <v>0</v>
      </c>
      <c r="P310" s="398" cm="1">
        <f t="array" ref="P310">J310*INDEX(Berekening_impact[Opbrengsten door QALY''s],MATCH(B310,IF(Berekening_impact[Doelgroep]=C310,Berekening_impact[Digitale zorgtoepassing]),0))</f>
        <v>0</v>
      </c>
      <c r="Q310" s="398" cm="1">
        <f t="array" ref="Q310">J310*INDEX(Berekening_impact[Jaarlijkse kosten (totaal) - incl. schatting],MATCH(B310,IF(Berekening_impact[Doelgroep]=C310,Berekening_impact[Digitale zorgtoepassing]),0))</f>
        <v>0</v>
      </c>
      <c r="R310" s="398" cm="1">
        <f t="array" ref="R310">(uitkomst_doelgroep[[#This Row],[Implementatiegraad t = T + 1]]-uitkomst_doelgroep[[#This Row],[Implementatiegraad t = T]])*INDEX(Berekening_impact[Initiële investering (totaal) - incl. schatting],MATCH(B310,IF(Berekening_impact[Doelgroep]=C310,Berekening_impact[Digitale zorgtoepassing]),0))</f>
        <v>92907.023266838354</v>
      </c>
      <c r="S310" s="398">
        <f>uitkomst_doelgroep[[#This Row],[Arbeidsbesparing (€)]]*uitkomst_doelgroep[[#This Row],[Percentage van patiëntaantallen in Wlz (overige is Zvw)]]</f>
        <v>1030833.0155415838</v>
      </c>
      <c r="T310" s="398">
        <f>uitkomst_doelgroep[[#This Row],[Overige besparingen (€)]]*uitkomst_doelgroep[[#This Row],[Percentage van patiëntaantallen in Wlz (overige is Zvw)]]</f>
        <v>0</v>
      </c>
      <c r="U310" s="398">
        <f>uitkomst_doelgroep[[#This Row],[Kosten (€)]]*uitkomst_doelgroep[[#This Row],[Percentage van patiëntaantallen in Wlz (overige is Zvw)]]</f>
        <v>0</v>
      </c>
      <c r="V310" s="398">
        <f>uitkomst_doelgroep[[#This Row],[Investering (cash flow) (€)]]*uitkomst_doelgroep[[#This Row],[Percentage van patiëntaantallen in Wlz (overige is Zvw)]]</f>
        <v>92907.023266838354</v>
      </c>
    </row>
    <row r="311" spans="1:22" x14ac:dyDescent="0.5">
      <c r="A311" s="33" t="str">
        <f>INDEX(Technologieën[Veld],MATCH(B311,Technologieën[Digitale zorgtoepassing],0))</f>
        <v>Digitale hulpmiddelen - Verpleging</v>
      </c>
      <c r="B311" s="33" t="s">
        <v>105</v>
      </c>
      <c r="C311" s="33" t="s">
        <v>106</v>
      </c>
      <c r="D311" s="427" cm="1">
        <f t="array" ref="D311">INDEX(Berekening_patiëntaantal[Percentage van patiëntaantallen in Wlz (overige is Zvw)],MATCH(B311,IF(Berekening_patiëntaantal[Doelgroep (zoeksleutel)]=C311,Berekening_patiëntaantal[Digitale zorgtoepassing]),0))</f>
        <v>1</v>
      </c>
      <c r="E311" s="33" t="str" cm="1">
        <f t="array" ref="E311">INDEX(Berekening_patiëntaantal[Direct toepasbaar/extrapolatie/incidentie voor QALY],MATCH(B311,IF(Berekening_patiëntaantal[Doelgroep (zoeksleutel)]=C311,Berekening_patiëntaantal[Digitale zorgtoepassing]),0))</f>
        <v>Huidige toepassing</v>
      </c>
      <c r="F311" s="43" t="s">
        <v>812</v>
      </c>
      <c r="G311" s="33" t="str">
        <f>CONCATENATE(uitkomst_doelgroep[[#This Row],[Digitale zorgtoepassing]],"_",uitkomst_doelgroep[[#This Row],[Doelgroep]],"_",uitkomst_doelgroep[[#This Row],[Uitgangssituatie/effect beleid]])</f>
        <v>Exoskelet_NVT_Effect beleid</v>
      </c>
      <c r="H311" s="33">
        <v>2032</v>
      </c>
      <c r="I311" s="32">
        <v>10</v>
      </c>
      <c r="J311" s="406" cm="1">
        <f t="array" ref="J311">INDEX(implementatie[[2023]:[2034]],MATCH(G311, implementatie[Zoeksleutel],0),I311)</f>
        <v>0.26088439167767208</v>
      </c>
      <c r="K311" s="406" cm="1">
        <f t="array" ref="K311">INDEX(implementatie[[2023]:[2034]],MATCH(G311,implementatie[Zoeksleutel],0),I311 + 1)</f>
        <v>0.33945942985233207</v>
      </c>
      <c r="L31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80.597623964900023</v>
      </c>
      <c r="M311" s="398" cm="1">
        <f t="array" ref="M311">J311*INDEX(Berekening_impact[Totaal arbeidsbesparing (€/jaar)],MATCH(B311,IF(Berekening_impact[Doelgroep]=C311,Berekening_impact[Digitale zorgtoepassing]),0))</f>
        <v>1385828.9972456647</v>
      </c>
      <c r="N311" s="397" cm="1">
        <f t="array" ref="N311">J311*INDEX(Berekening_impact[Totaal arbeidsbesparing (FTE/jaar)],MATCH(B311,IF(Berekening_impact[Doelgroep]=C311,Berekening_impact[Digitale zorgtoepassing]),0))</f>
        <v>24.018091941540206</v>
      </c>
      <c r="O311" s="398" cm="1">
        <f t="array" ref="O311">J311*INDEX(Berekening_impact[Overige kostenbesparing (totaal/jaar totaal potentieel)],MATCH(B311,IF(Berekening_impact[Doelgroep]=C311,Berekening_impact[Digitale zorgtoepassing]),0))</f>
        <v>0</v>
      </c>
      <c r="P311" s="398" cm="1">
        <f t="array" ref="P311">J311*INDEX(Berekening_impact[Opbrengsten door QALY''s],MATCH(B311,IF(Berekening_impact[Doelgroep]=C311,Berekening_impact[Digitale zorgtoepassing]),0))</f>
        <v>0</v>
      </c>
      <c r="Q311" s="398" cm="1">
        <f t="array" ref="Q311">J311*INDEX(Berekening_impact[Jaarlijkse kosten (totaal) - incl. schatting],MATCH(B311,IF(Berekening_impact[Doelgroep]=C311,Berekening_impact[Digitale zorgtoepassing]),0))</f>
        <v>0</v>
      </c>
      <c r="R311" s="398" cm="1">
        <f t="array" ref="R311">(uitkomst_doelgroep[[#This Row],[Implementatiegraad t = T + 1]]-uitkomst_doelgroep[[#This Row],[Implementatiegraad t = T]])*INDEX(Berekening_impact[Initiële investering (totaal) - incl. schatting],MATCH(B311,IF(Berekening_impact[Doelgroep]=C311,Berekening_impact[Digitale zorgtoepassing]),0))</f>
        <v>109237.37532155759</v>
      </c>
      <c r="S311" s="398">
        <f>uitkomst_doelgroep[[#This Row],[Arbeidsbesparing (€)]]*uitkomst_doelgroep[[#This Row],[Percentage van patiëntaantallen in Wlz (overige is Zvw)]]</f>
        <v>1385828.9972456647</v>
      </c>
      <c r="T311" s="398">
        <f>uitkomst_doelgroep[[#This Row],[Overige besparingen (€)]]*uitkomst_doelgroep[[#This Row],[Percentage van patiëntaantallen in Wlz (overige is Zvw)]]</f>
        <v>0</v>
      </c>
      <c r="U311" s="398">
        <f>uitkomst_doelgroep[[#This Row],[Kosten (€)]]*uitkomst_doelgroep[[#This Row],[Percentage van patiëntaantallen in Wlz (overige is Zvw)]]</f>
        <v>0</v>
      </c>
      <c r="V311" s="398">
        <f>uitkomst_doelgroep[[#This Row],[Investering (cash flow) (€)]]*uitkomst_doelgroep[[#This Row],[Percentage van patiëntaantallen in Wlz (overige is Zvw)]]</f>
        <v>109237.37532155759</v>
      </c>
    </row>
    <row r="312" spans="1:22" x14ac:dyDescent="0.5">
      <c r="A312" s="33" t="str">
        <f>INDEX(Technologieën[Veld],MATCH(B312,Technologieën[Digitale zorgtoepassing],0))</f>
        <v>Digitale hulpmiddelen - Verpleging</v>
      </c>
      <c r="B312" s="33" t="s">
        <v>105</v>
      </c>
      <c r="C312" s="33" t="s">
        <v>106</v>
      </c>
      <c r="D312" s="427" cm="1">
        <f t="array" ref="D312">INDEX(Berekening_patiëntaantal[Percentage van patiëntaantallen in Wlz (overige is Zvw)],MATCH(B312,IF(Berekening_patiëntaantal[Doelgroep (zoeksleutel)]=C312,Berekening_patiëntaantal[Digitale zorgtoepassing]),0))</f>
        <v>1</v>
      </c>
      <c r="E312" s="33" t="str" cm="1">
        <f t="array" ref="E312">INDEX(Berekening_patiëntaantal[Direct toepasbaar/extrapolatie/incidentie voor QALY],MATCH(B312,IF(Berekening_patiëntaantal[Doelgroep (zoeksleutel)]=C312,Berekening_patiëntaantal[Digitale zorgtoepassing]),0))</f>
        <v>Huidige toepassing</v>
      </c>
      <c r="F312" s="43" t="s">
        <v>812</v>
      </c>
      <c r="G312" s="33" t="str">
        <f>CONCATENATE(uitkomst_doelgroep[[#This Row],[Digitale zorgtoepassing]],"_",uitkomst_doelgroep[[#This Row],[Doelgroep]],"_",uitkomst_doelgroep[[#This Row],[Uitgangssituatie/effect beleid]])</f>
        <v>Exoskelet_NVT_Effect beleid</v>
      </c>
      <c r="H312" s="33">
        <v>2033</v>
      </c>
      <c r="I312" s="32">
        <v>11</v>
      </c>
      <c r="J312" s="406" cm="1">
        <f t="array" ref="J312">INDEX(implementatie[[2023]:[2034]],MATCH(G312, implementatie[Zoeksleutel],0),I312)</f>
        <v>0.33945942985233207</v>
      </c>
      <c r="K312" s="406" cm="1">
        <f t="array" ref="K312">INDEX(implementatie[[2023]:[2034]],MATCH(G312,implementatie[Zoeksleutel],0),I312 + 1)</f>
        <v>0.42784689227237871</v>
      </c>
      <c r="L31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104.87259625857949</v>
      </c>
      <c r="M312" s="398" cm="1">
        <f t="array" ref="M312">J312*INDEX(Berekening_impact[Totaal arbeidsbesparing (€/jaar)],MATCH(B312,IF(Berekening_impact[Doelgroep]=C312,Berekening_impact[Digitale zorgtoepassing]),0))</f>
        <v>1803222.9458137592</v>
      </c>
      <c r="N312" s="397" cm="1">
        <f t="array" ref="N312">J312*INDEX(Berekening_impact[Totaal arbeidsbesparing (FTE/jaar)],MATCH(B312,IF(Berekening_impact[Doelgroep]=C312,Berekening_impact[Digitale zorgtoepassing]),0))</f>
        <v>31.252033685056684</v>
      </c>
      <c r="O312" s="398" cm="1">
        <f t="array" ref="O312">J312*INDEX(Berekening_impact[Overige kostenbesparing (totaal/jaar totaal potentieel)],MATCH(B312,IF(Berekening_impact[Doelgroep]=C312,Berekening_impact[Digitale zorgtoepassing]),0))</f>
        <v>0</v>
      </c>
      <c r="P312" s="398" cm="1">
        <f t="array" ref="P312">J312*INDEX(Berekening_impact[Opbrengsten door QALY''s],MATCH(B312,IF(Berekening_impact[Doelgroep]=C312,Berekening_impact[Digitale zorgtoepassing]),0))</f>
        <v>0</v>
      </c>
      <c r="Q312" s="398" cm="1">
        <f t="array" ref="Q312">J312*INDEX(Berekening_impact[Jaarlijkse kosten (totaal) - incl. schatting],MATCH(B312,IF(Berekening_impact[Doelgroep]=C312,Berekening_impact[Digitale zorgtoepassing]),0))</f>
        <v>0</v>
      </c>
      <c r="R312" s="398" cm="1">
        <f t="array" ref="R312">(uitkomst_doelgroep[[#This Row],[Implementatiegraad t = T + 1]]-uitkomst_doelgroep[[#This Row],[Implementatiegraad t = T]])*INDEX(Berekening_impact[Initiële investering (totaal) - incl. schatting],MATCH(B312,IF(Berekening_impact[Doelgroep]=C312,Berekening_impact[Digitale zorgtoepassing]),0))</f>
        <v>122878.90188022146</v>
      </c>
      <c r="S312" s="398">
        <f>uitkomst_doelgroep[[#This Row],[Arbeidsbesparing (€)]]*uitkomst_doelgroep[[#This Row],[Percentage van patiëntaantallen in Wlz (overige is Zvw)]]</f>
        <v>1803222.9458137592</v>
      </c>
      <c r="T312" s="398">
        <f>uitkomst_doelgroep[[#This Row],[Overige besparingen (€)]]*uitkomst_doelgroep[[#This Row],[Percentage van patiëntaantallen in Wlz (overige is Zvw)]]</f>
        <v>0</v>
      </c>
      <c r="U312" s="398">
        <f>uitkomst_doelgroep[[#This Row],[Kosten (€)]]*uitkomst_doelgroep[[#This Row],[Percentage van patiëntaantallen in Wlz (overige is Zvw)]]</f>
        <v>0</v>
      </c>
      <c r="V312" s="398">
        <f>uitkomst_doelgroep[[#This Row],[Investering (cash flow) (€)]]*uitkomst_doelgroep[[#This Row],[Percentage van patiëntaantallen in Wlz (overige is Zvw)]]</f>
        <v>122878.90188022146</v>
      </c>
    </row>
    <row r="313" spans="1:22" x14ac:dyDescent="0.5">
      <c r="A313" s="33" t="str">
        <f>INDEX(Technologieën[Veld],MATCH(B313,Technologieën[Digitale zorgtoepassing],0))</f>
        <v>Digitale hulpmiddelen - Verpleging</v>
      </c>
      <c r="B313" s="33" t="s">
        <v>32</v>
      </c>
      <c r="C313" s="33" t="s">
        <v>33</v>
      </c>
      <c r="D313" s="427" cm="1">
        <f t="array" ref="D313">INDEX(Berekening_patiëntaantal[Percentage van patiëntaantallen in Wlz (overige is Zvw)],MATCH(B313,IF(Berekening_patiëntaantal[Doelgroep (zoeksleutel)]=C313,Berekening_patiëntaantal[Digitale zorgtoepassing]),0))</f>
        <v>1</v>
      </c>
      <c r="E313" s="33" t="str" cm="1">
        <f t="array" ref="E313">INDEX(Berekening_patiëntaantal[Direct toepasbaar/extrapolatie/incidentie voor QALY],MATCH(B313,IF(Berekening_patiëntaantal[Doelgroep (zoeksleutel)]=C313,Berekening_patiëntaantal[Digitale zorgtoepassing]),0))</f>
        <v>Huidige toepassing</v>
      </c>
      <c r="F313" s="43" t="s">
        <v>812</v>
      </c>
      <c r="G313" s="33" t="str">
        <f>CONCATENATE(uitkomst_doelgroep[[#This Row],[Digitale zorgtoepassing]],"_",uitkomst_doelgroep[[#This Row],[Doelgroep]],"_",uitkomst_doelgroep[[#This Row],[Uitgangssituatie/effect beleid]])</f>
        <v>Heupairbag_Ouderen in verpleeghuis_Effect beleid</v>
      </c>
      <c r="H313" s="33">
        <v>2023</v>
      </c>
      <c r="I313" s="32">
        <v>1</v>
      </c>
      <c r="J313" s="406" cm="1">
        <f t="array" ref="J313">INDEX(implementatie[[2023]:[2034]],MATCH(G313, implementatie[Zoeksleutel],0),I313)</f>
        <v>0.4</v>
      </c>
      <c r="K313" s="406" cm="1">
        <f t="array" ref="K313">INDEX(implementatie[[2023]:[2034]],MATCH(G313,implementatie[Zoeksleutel],0),I313 + 1)</f>
        <v>0.50800000000000001</v>
      </c>
      <c r="L31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3680</v>
      </c>
      <c r="M313" s="398" cm="1">
        <f t="array" ref="M313">J313*INDEX(Berekening_impact[Totaal arbeidsbesparing (€/jaar)],MATCH(B313,IF(Berekening_impact[Doelgroep]=C313,Berekening_impact[Digitale zorgtoepassing]),0))</f>
        <v>9364390.1219485495</v>
      </c>
      <c r="N313" s="397" cm="1">
        <f t="array" ref="N313">J313*INDEX(Berekening_impact[Totaal arbeidsbesparing (FTE/jaar)],MATCH(B313,IF(Berekening_impact[Doelgroep]=C313,Berekening_impact[Digitale zorgtoepassing]),0))</f>
        <v>220.57673642767901</v>
      </c>
      <c r="O313" s="398" cm="1">
        <f t="array" ref="O313">J313*INDEX(Berekening_impact[Overige kostenbesparing (totaal/jaar totaal potentieel)],MATCH(B313,IF(Berekening_impact[Doelgroep]=C313,Berekening_impact[Digitale zorgtoepassing]),0))</f>
        <v>3268752.2535267882</v>
      </c>
      <c r="P313" s="398" cm="1">
        <f t="array" ref="P313">J313*INDEX(Berekening_impact[Opbrengsten door QALY''s],MATCH(B313,IF(Berekening_impact[Doelgroep]=C313,Berekening_impact[Digitale zorgtoepassing]),0))</f>
        <v>0</v>
      </c>
      <c r="Q313" s="398" cm="1">
        <f t="array" ref="Q313">J313*INDEX(Berekening_impact[Jaarlijkse kosten (totaal) - incl. schatting],MATCH(B313,IF(Berekening_impact[Doelgroep]=C313,Berekening_impact[Digitale zorgtoepassing]),0))</f>
        <v>5256056.3809523806</v>
      </c>
      <c r="R313" s="398" cm="1">
        <f t="array" ref="R313">(uitkomst_doelgroep[[#This Row],[Implementatiegraad t = T + 1]]-uitkomst_doelgroep[[#This Row],[Implementatiegraad t = T]])*INDEX(Berekening_impact[Initiële investering (totaal) - incl. schatting],MATCH(B313,IF(Berekening_impact[Doelgroep]=C313,Berekening_impact[Digitale zorgtoepassing]),0))</f>
        <v>239150.84571428565</v>
      </c>
      <c r="S313" s="398">
        <f>uitkomst_doelgroep[[#This Row],[Arbeidsbesparing (€)]]*uitkomst_doelgroep[[#This Row],[Percentage van patiëntaantallen in Wlz (overige is Zvw)]]</f>
        <v>9364390.1219485495</v>
      </c>
      <c r="T313" s="398">
        <f>uitkomst_doelgroep[[#This Row],[Overige besparingen (€)]]*uitkomst_doelgroep[[#This Row],[Percentage van patiëntaantallen in Wlz (overige is Zvw)]]</f>
        <v>3268752.2535267882</v>
      </c>
      <c r="U313" s="398">
        <f>uitkomst_doelgroep[[#This Row],[Kosten (€)]]*uitkomst_doelgroep[[#This Row],[Percentage van patiëntaantallen in Wlz (overige is Zvw)]]</f>
        <v>5256056.3809523806</v>
      </c>
      <c r="V313" s="398">
        <f>uitkomst_doelgroep[[#This Row],[Investering (cash flow) (€)]]*uitkomst_doelgroep[[#This Row],[Percentage van patiëntaantallen in Wlz (overige is Zvw)]]</f>
        <v>239150.84571428565</v>
      </c>
    </row>
    <row r="314" spans="1:22" x14ac:dyDescent="0.5">
      <c r="A314" s="33" t="str">
        <f>INDEX(Technologieën[Veld],MATCH(B314,Technologieën[Digitale zorgtoepassing],0))</f>
        <v>Digitale hulpmiddelen - Verpleging</v>
      </c>
      <c r="B314" s="33" t="s">
        <v>32</v>
      </c>
      <c r="C314" s="33" t="s">
        <v>33</v>
      </c>
      <c r="D314" s="427" cm="1">
        <f t="array" ref="D314">INDEX(Berekening_patiëntaantal[Percentage van patiëntaantallen in Wlz (overige is Zvw)],MATCH(B314,IF(Berekening_patiëntaantal[Doelgroep (zoeksleutel)]=C314,Berekening_patiëntaantal[Digitale zorgtoepassing]),0))</f>
        <v>1</v>
      </c>
      <c r="E314" s="33" t="str" cm="1">
        <f t="array" ref="E314">INDEX(Berekening_patiëntaantal[Direct toepasbaar/extrapolatie/incidentie voor QALY],MATCH(B314,IF(Berekening_patiëntaantal[Doelgroep (zoeksleutel)]=C314,Berekening_patiëntaantal[Digitale zorgtoepassing]),0))</f>
        <v>Huidige toepassing</v>
      </c>
      <c r="F314" s="43" t="s">
        <v>812</v>
      </c>
      <c r="G314" s="33" t="str">
        <f>CONCATENATE(uitkomst_doelgroep[[#This Row],[Digitale zorgtoepassing]],"_",uitkomst_doelgroep[[#This Row],[Doelgroep]],"_",uitkomst_doelgroep[[#This Row],[Uitgangssituatie/effect beleid]])</f>
        <v>Heupairbag_Ouderen in verpleeghuis_Effect beleid</v>
      </c>
      <c r="H314" s="33">
        <v>2024</v>
      </c>
      <c r="I314" s="32">
        <v>2</v>
      </c>
      <c r="J314" s="406" cm="1">
        <f t="array" ref="J314">INDEX(implementatie[[2023]:[2034]],MATCH(G314, implementatie[Zoeksleutel],0),I314)</f>
        <v>0.50800000000000001</v>
      </c>
      <c r="K314" s="406" cm="1">
        <f t="array" ref="K314">INDEX(implementatie[[2023]:[2034]],MATCH(G314,implementatie[Zoeksleutel],0),I314 + 1)</f>
        <v>0.61781439999999999</v>
      </c>
      <c r="L31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4673.6000000000004</v>
      </c>
      <c r="M314" s="398" cm="1">
        <f t="array" ref="M314">J314*INDEX(Berekening_impact[Totaal arbeidsbesparing (€/jaar)],MATCH(B314,IF(Berekening_impact[Doelgroep]=C314,Berekening_impact[Digitale zorgtoepassing]),0))</f>
        <v>11892775.454874657</v>
      </c>
      <c r="N314" s="397" cm="1">
        <f t="array" ref="N314">J314*INDEX(Berekening_impact[Totaal arbeidsbesparing (FTE/jaar)],MATCH(B314,IF(Berekening_impact[Doelgroep]=C314,Berekening_impact[Digitale zorgtoepassing]),0))</f>
        <v>280.13245526315234</v>
      </c>
      <c r="O314" s="398" cm="1">
        <f t="array" ref="O314">J314*INDEX(Berekening_impact[Overige kostenbesparing (totaal/jaar totaal potentieel)],MATCH(B314,IF(Berekening_impact[Doelgroep]=C314,Berekening_impact[Digitale zorgtoepassing]),0))</f>
        <v>4151315.3619790212</v>
      </c>
      <c r="P314" s="398" cm="1">
        <f t="array" ref="P314">J314*INDEX(Berekening_impact[Opbrengsten door QALY''s],MATCH(B314,IF(Berekening_impact[Doelgroep]=C314,Berekening_impact[Digitale zorgtoepassing]),0))</f>
        <v>0</v>
      </c>
      <c r="Q314" s="398" cm="1">
        <f t="array" ref="Q314">J314*INDEX(Berekening_impact[Jaarlijkse kosten (totaal) - incl. schatting],MATCH(B314,IF(Berekening_impact[Doelgroep]=C314,Berekening_impact[Digitale zorgtoepassing]),0))</f>
        <v>6675191.6038095234</v>
      </c>
      <c r="R314" s="398" cm="1">
        <f t="array" ref="R314">(uitkomst_doelgroep[[#This Row],[Implementatiegraad t = T + 1]]-uitkomst_doelgroep[[#This Row],[Implementatiegraad t = T]])*INDEX(Berekening_impact[Initiële investering (totaal) - incl. schatting],MATCH(B314,IF(Berekening_impact[Doelgroep]=C314,Berekening_impact[Digitale zorgtoepassing]),0))</f>
        <v>243168.57992228566</v>
      </c>
      <c r="S314" s="398">
        <f>uitkomst_doelgroep[[#This Row],[Arbeidsbesparing (€)]]*uitkomst_doelgroep[[#This Row],[Percentage van patiëntaantallen in Wlz (overige is Zvw)]]</f>
        <v>11892775.454874657</v>
      </c>
      <c r="T314" s="398">
        <f>uitkomst_doelgroep[[#This Row],[Overige besparingen (€)]]*uitkomst_doelgroep[[#This Row],[Percentage van patiëntaantallen in Wlz (overige is Zvw)]]</f>
        <v>4151315.3619790212</v>
      </c>
      <c r="U314" s="398">
        <f>uitkomst_doelgroep[[#This Row],[Kosten (€)]]*uitkomst_doelgroep[[#This Row],[Percentage van patiëntaantallen in Wlz (overige is Zvw)]]</f>
        <v>6675191.6038095234</v>
      </c>
      <c r="V314" s="398">
        <f>uitkomst_doelgroep[[#This Row],[Investering (cash flow) (€)]]*uitkomst_doelgroep[[#This Row],[Percentage van patiëntaantallen in Wlz (overige is Zvw)]]</f>
        <v>243168.57992228566</v>
      </c>
    </row>
    <row r="315" spans="1:22" x14ac:dyDescent="0.5">
      <c r="A315" s="33" t="str">
        <f>INDEX(Technologieën[Veld],MATCH(B315,Technologieën[Digitale zorgtoepassing],0))</f>
        <v>Digitale hulpmiddelen - Verpleging</v>
      </c>
      <c r="B315" s="33" t="s">
        <v>32</v>
      </c>
      <c r="C315" s="33" t="s">
        <v>33</v>
      </c>
      <c r="D315" s="427" cm="1">
        <f t="array" ref="D315">INDEX(Berekening_patiëntaantal[Percentage van patiëntaantallen in Wlz (overige is Zvw)],MATCH(B315,IF(Berekening_patiëntaantal[Doelgroep (zoeksleutel)]=C315,Berekening_patiëntaantal[Digitale zorgtoepassing]),0))</f>
        <v>1</v>
      </c>
      <c r="E315" s="33" t="str" cm="1">
        <f t="array" ref="E315">INDEX(Berekening_patiëntaantal[Direct toepasbaar/extrapolatie/incidentie voor QALY],MATCH(B315,IF(Berekening_patiëntaantal[Doelgroep (zoeksleutel)]=C315,Berekening_patiëntaantal[Digitale zorgtoepassing]),0))</f>
        <v>Huidige toepassing</v>
      </c>
      <c r="F315" s="43" t="s">
        <v>812</v>
      </c>
      <c r="G315" s="33" t="str">
        <f>CONCATENATE(uitkomst_doelgroep[[#This Row],[Digitale zorgtoepassing]],"_",uitkomst_doelgroep[[#This Row],[Doelgroep]],"_",uitkomst_doelgroep[[#This Row],[Uitgangssituatie/effect beleid]])</f>
        <v>Heupairbag_Ouderen in verpleeghuis_Effect beleid</v>
      </c>
      <c r="H315" s="33">
        <v>2025</v>
      </c>
      <c r="I315" s="32">
        <v>3</v>
      </c>
      <c r="J315" s="406" cm="1">
        <f t="array" ref="J315">INDEX(implementatie[[2023]:[2034]],MATCH(G315, implementatie[Zoeksleutel],0),I315)</f>
        <v>0.61781439999999999</v>
      </c>
      <c r="K315" s="406" cm="1">
        <f t="array" ref="K315">INDEX(implementatie[[2023]:[2034]],MATCH(G315,implementatie[Zoeksleutel],0),I315 + 1)</f>
        <v>0.71990601886105599</v>
      </c>
      <c r="L31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5683.8924799999995</v>
      </c>
      <c r="M315" s="398" cm="1">
        <f t="array" ref="M315">J315*INDEX(Berekening_impact[Totaal arbeidsbesparing (€/jaar)],MATCH(B315,IF(Berekening_impact[Doelgroep]=C315,Berekening_impact[Digitale zorgtoepassing]),0))</f>
        <v>14463637.661393924</v>
      </c>
      <c r="N315" s="397" cm="1">
        <f t="array" ref="N315">J315*INDEX(Berekening_impact[Totaal arbeidsbesparing (FTE/jaar)],MATCH(B315,IF(Berekening_impact[Doelgroep]=C315,Berekening_impact[Digitale zorgtoepassing]),0))</f>
        <v>340.6887101750616</v>
      </c>
      <c r="O315" s="398" cm="1">
        <f t="array" ref="O315">J315*INDEX(Berekening_impact[Overige kostenbesparing (totaal/jaar totaal potentieel)],MATCH(B315,IF(Berekening_impact[Doelgroep]=C315,Berekening_impact[Digitale zorgtoepassing]),0))</f>
        <v>5048705.5306532513</v>
      </c>
      <c r="P315" s="398" cm="1">
        <f t="array" ref="P315">J315*INDEX(Berekening_impact[Opbrengsten door QALY''s],MATCH(B315,IF(Berekening_impact[Doelgroep]=C315,Berekening_impact[Digitale zorgtoepassing]),0))</f>
        <v>0</v>
      </c>
      <c r="Q315" s="398" cm="1">
        <f t="array" ref="Q315">J315*INDEX(Berekening_impact[Jaarlijkse kosten (totaal) - incl. schatting],MATCH(B315,IF(Berekening_impact[Doelgroep]=C315,Berekening_impact[Digitale zorgtoepassing]),0))</f>
        <v>8118168.2984106662</v>
      </c>
      <c r="R315" s="398" cm="1">
        <f t="array" ref="R315">(uitkomst_doelgroep[[#This Row],[Implementatiegraad t = T + 1]]-uitkomst_doelgroep[[#This Row],[Implementatiegraad t = T]])*INDEX(Berekening_impact[Initiële investering (totaal) - incl. schatting],MATCH(B315,IF(Berekening_impact[Doelgroep]=C315,Berekening_impact[Digitale zorgtoepassing]),0))</f>
        <v>226067.5647311302</v>
      </c>
      <c r="S315" s="398">
        <f>uitkomst_doelgroep[[#This Row],[Arbeidsbesparing (€)]]*uitkomst_doelgroep[[#This Row],[Percentage van patiëntaantallen in Wlz (overige is Zvw)]]</f>
        <v>14463637.661393924</v>
      </c>
      <c r="T315" s="398">
        <f>uitkomst_doelgroep[[#This Row],[Overige besparingen (€)]]*uitkomst_doelgroep[[#This Row],[Percentage van patiëntaantallen in Wlz (overige is Zvw)]]</f>
        <v>5048705.5306532513</v>
      </c>
      <c r="U315" s="398">
        <f>uitkomst_doelgroep[[#This Row],[Kosten (€)]]*uitkomst_doelgroep[[#This Row],[Percentage van patiëntaantallen in Wlz (overige is Zvw)]]</f>
        <v>8118168.2984106662</v>
      </c>
      <c r="V315" s="398">
        <f>uitkomst_doelgroep[[#This Row],[Investering (cash flow) (€)]]*uitkomst_doelgroep[[#This Row],[Percentage van patiëntaantallen in Wlz (overige is Zvw)]]</f>
        <v>226067.5647311302</v>
      </c>
    </row>
    <row r="316" spans="1:22" x14ac:dyDescent="0.5">
      <c r="A316" s="33" t="str">
        <f>INDEX(Technologieën[Veld],MATCH(B316,Technologieën[Digitale zorgtoepassing],0))</f>
        <v>Digitale hulpmiddelen - Verpleging</v>
      </c>
      <c r="B316" s="33" t="s">
        <v>32</v>
      </c>
      <c r="C316" s="33" t="s">
        <v>33</v>
      </c>
      <c r="D316" s="427" cm="1">
        <f t="array" ref="D316">INDEX(Berekening_patiëntaantal[Percentage van patiëntaantallen in Wlz (overige is Zvw)],MATCH(B316,IF(Berekening_patiëntaantal[Doelgroep (zoeksleutel)]=C316,Berekening_patiëntaantal[Digitale zorgtoepassing]),0))</f>
        <v>1</v>
      </c>
      <c r="E316" s="33" t="str" cm="1">
        <f t="array" ref="E316">INDEX(Berekening_patiëntaantal[Direct toepasbaar/extrapolatie/incidentie voor QALY],MATCH(B316,IF(Berekening_patiëntaantal[Doelgroep (zoeksleutel)]=C316,Berekening_patiëntaantal[Digitale zorgtoepassing]),0))</f>
        <v>Huidige toepassing</v>
      </c>
      <c r="F316" s="43" t="s">
        <v>812</v>
      </c>
      <c r="G316" s="33" t="str">
        <f>CONCATENATE(uitkomst_doelgroep[[#This Row],[Digitale zorgtoepassing]],"_",uitkomst_doelgroep[[#This Row],[Doelgroep]],"_",uitkomst_doelgroep[[#This Row],[Uitgangssituatie/effect beleid]])</f>
        <v>Heupairbag_Ouderen in verpleeghuis_Effect beleid</v>
      </c>
      <c r="H316" s="33">
        <v>2026</v>
      </c>
      <c r="I316" s="32">
        <v>4</v>
      </c>
      <c r="J316" s="406" cm="1">
        <f t="array" ref="J316">INDEX(implementatie[[2023]:[2034]],MATCH(G316, implementatie[Zoeksleutel],0),I316)</f>
        <v>0.71990601886105599</v>
      </c>
      <c r="K316" s="406" cm="1">
        <f t="array" ref="K316">INDEX(implementatie[[2023]:[2034]],MATCH(G316,implementatie[Zoeksleutel],0),I316 + 1)</f>
        <v>0.80616443563130724</v>
      </c>
      <c r="L31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6623.1353735217153</v>
      </c>
      <c r="M316" s="398" cm="1">
        <f t="array" ref="M316">J316*INDEX(Berekening_impact[Totaal arbeidsbesparing (€/jaar)],MATCH(B316,IF(Berekening_impact[Doelgroep]=C316,Berekening_impact[Digitale zorgtoepassing]),0))</f>
        <v>16853702.029384445</v>
      </c>
      <c r="N316" s="397" cm="1">
        <f t="array" ref="N316">J316*INDEX(Berekening_impact[Totaal arbeidsbesparing (FTE/jaar)],MATCH(B316,IF(Berekening_impact[Doelgroep]=C316,Berekening_impact[Digitale zorgtoepassing]),0))</f>
        <v>396.98630043753712</v>
      </c>
      <c r="O316" s="398" cm="1">
        <f t="array" ref="O316">J316*INDEX(Berekening_impact[Overige kostenbesparing (totaal/jaar totaal potentieel)],MATCH(B316,IF(Berekening_impact[Doelgroep]=C316,Berekening_impact[Digitale zorgtoepassing]),0))</f>
        <v>5882986.0536989383</v>
      </c>
      <c r="P316" s="398" cm="1">
        <f t="array" ref="P316">J316*INDEX(Berekening_impact[Opbrengsten door QALY''s],MATCH(B316,IF(Berekening_impact[Doelgroep]=C316,Berekening_impact[Digitale zorgtoepassing]),0))</f>
        <v>0</v>
      </c>
      <c r="Q316" s="398" cm="1">
        <f t="array" ref="Q316">J316*INDEX(Berekening_impact[Jaarlijkse kosten (totaal) - incl. schatting],MATCH(B316,IF(Berekening_impact[Doelgroep]=C316,Berekening_impact[Digitale zorgtoepassing]),0))</f>
        <v>9459666.560301695</v>
      </c>
      <c r="R316" s="398" cm="1">
        <f t="array" ref="R316">(uitkomst_doelgroep[[#This Row],[Implementatiegraad t = T + 1]]-uitkomst_doelgroep[[#This Row],[Implementatiegraad t = T]])*INDEX(Berekening_impact[Initiële investering (totaal) - incl. schatting],MATCH(B316,IF(Berekening_impact[Doelgroep]=C316,Berekening_impact[Digitale zorgtoepassing]),0))</f>
        <v>191007.1603757492</v>
      </c>
      <c r="S316" s="398">
        <f>uitkomst_doelgroep[[#This Row],[Arbeidsbesparing (€)]]*uitkomst_doelgroep[[#This Row],[Percentage van patiëntaantallen in Wlz (overige is Zvw)]]</f>
        <v>16853702.029384445</v>
      </c>
      <c r="T316" s="398">
        <f>uitkomst_doelgroep[[#This Row],[Overige besparingen (€)]]*uitkomst_doelgroep[[#This Row],[Percentage van patiëntaantallen in Wlz (overige is Zvw)]]</f>
        <v>5882986.0536989383</v>
      </c>
      <c r="U316" s="398">
        <f>uitkomst_doelgroep[[#This Row],[Kosten (€)]]*uitkomst_doelgroep[[#This Row],[Percentage van patiëntaantallen in Wlz (overige is Zvw)]]</f>
        <v>9459666.560301695</v>
      </c>
      <c r="V316" s="398">
        <f>uitkomst_doelgroep[[#This Row],[Investering (cash flow) (€)]]*uitkomst_doelgroep[[#This Row],[Percentage van patiëntaantallen in Wlz (overige is Zvw)]]</f>
        <v>191007.1603757492</v>
      </c>
    </row>
    <row r="317" spans="1:22" x14ac:dyDescent="0.5">
      <c r="A317" s="33" t="str">
        <f>INDEX(Technologieën[Veld],MATCH(B317,Technologieën[Digitale zorgtoepassing],0))</f>
        <v>Digitale hulpmiddelen - Verpleging</v>
      </c>
      <c r="B317" s="33" t="s">
        <v>32</v>
      </c>
      <c r="C317" s="33" t="s">
        <v>33</v>
      </c>
      <c r="D317" s="427" cm="1">
        <f t="array" ref="D317">INDEX(Berekening_patiëntaantal[Percentage van patiëntaantallen in Wlz (overige is Zvw)],MATCH(B317,IF(Berekening_patiëntaantal[Doelgroep (zoeksleutel)]=C317,Berekening_patiëntaantal[Digitale zorgtoepassing]),0))</f>
        <v>1</v>
      </c>
      <c r="E317" s="33" t="str" cm="1">
        <f t="array" ref="E317">INDEX(Berekening_patiëntaantal[Direct toepasbaar/extrapolatie/incidentie voor QALY],MATCH(B317,IF(Berekening_patiëntaantal[Doelgroep (zoeksleutel)]=C317,Berekening_patiëntaantal[Digitale zorgtoepassing]),0))</f>
        <v>Huidige toepassing</v>
      </c>
      <c r="F317" s="43" t="s">
        <v>812</v>
      </c>
      <c r="G317" s="33" t="str">
        <f>CONCATENATE(uitkomst_doelgroep[[#This Row],[Digitale zorgtoepassing]],"_",uitkomst_doelgroep[[#This Row],[Doelgroep]],"_",uitkomst_doelgroep[[#This Row],[Uitgangssituatie/effect beleid]])</f>
        <v>Heupairbag_Ouderen in verpleeghuis_Effect beleid</v>
      </c>
      <c r="H317" s="33">
        <v>2027</v>
      </c>
      <c r="I317" s="32">
        <v>5</v>
      </c>
      <c r="J317" s="406" cm="1">
        <f t="array" ref="J317">INDEX(implementatie[[2023]:[2034]],MATCH(G317, implementatie[Zoeksleutel],0),I317)</f>
        <v>0.80616443563130724</v>
      </c>
      <c r="K317" s="406" cm="1">
        <f t="array" ref="K317">INDEX(implementatie[[2023]:[2034]],MATCH(G317,implementatie[Zoeksleutel],0),I317 + 1)</f>
        <v>0.87254648226050635</v>
      </c>
      <c r="L31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7416.7128078080268</v>
      </c>
      <c r="M317" s="398" cm="1">
        <f t="array" ref="M317">J317*INDEX(Berekening_impact[Totaal arbeidsbesparing (€/jaar)],MATCH(B317,IF(Berekening_impact[Doelgroep]=C317,Berekening_impact[Digitale zorgtoepassing]),0))</f>
        <v>18873095.694230102</v>
      </c>
      <c r="N317" s="397" cm="1">
        <f t="array" ref="N317">J317*INDEX(Berekening_impact[Totaal arbeidsbesparing (FTE/jaar)],MATCH(B317,IF(Berekening_impact[Doelgroep]=C317,Berekening_impact[Digitale zorgtoepassing]),0))</f>
        <v>444.55280058903861</v>
      </c>
      <c r="O317" s="398" cm="1">
        <f t="array" ref="O317">J317*INDEX(Berekening_impact[Overige kostenbesparing (totaal/jaar totaal potentieel)],MATCH(B317,IF(Berekening_impact[Doelgroep]=C317,Berekening_impact[Digitale zorgtoepassing]),0))</f>
        <v>6587879.5392074678</v>
      </c>
      <c r="P317" s="398" cm="1">
        <f t="array" ref="P317">J317*INDEX(Berekening_impact[Opbrengsten door QALY''s],MATCH(B317,IF(Berekening_impact[Doelgroep]=C317,Berekening_impact[Digitale zorgtoepassing]),0))</f>
        <v>0</v>
      </c>
      <c r="Q317" s="398" cm="1">
        <f t="array" ref="Q317">J317*INDEX(Berekening_impact[Jaarlijkse kosten (totaal) - incl. schatting],MATCH(B317,IF(Berekening_impact[Doelgroep]=C317,Berekening_impact[Digitale zorgtoepassing]),0))</f>
        <v>10593114.314992018</v>
      </c>
      <c r="R317" s="398" cm="1">
        <f t="array" ref="R317">(uitkomst_doelgroep[[#This Row],[Implementatiegraad t = T + 1]]-uitkomst_doelgroep[[#This Row],[Implementatiegraad t = T]])*INDEX(Berekening_impact[Initiële investering (totaal) - incl. schatting],MATCH(B317,IF(Berekening_impact[Doelgroep]=C317,Berekening_impact[Digitale zorgtoepassing]),0))</f>
        <v>146993.72770016774</v>
      </c>
      <c r="S317" s="398">
        <f>uitkomst_doelgroep[[#This Row],[Arbeidsbesparing (€)]]*uitkomst_doelgroep[[#This Row],[Percentage van patiëntaantallen in Wlz (overige is Zvw)]]</f>
        <v>18873095.694230102</v>
      </c>
      <c r="T317" s="398">
        <f>uitkomst_doelgroep[[#This Row],[Overige besparingen (€)]]*uitkomst_doelgroep[[#This Row],[Percentage van patiëntaantallen in Wlz (overige is Zvw)]]</f>
        <v>6587879.5392074678</v>
      </c>
      <c r="U317" s="398">
        <f>uitkomst_doelgroep[[#This Row],[Kosten (€)]]*uitkomst_doelgroep[[#This Row],[Percentage van patiëntaantallen in Wlz (overige is Zvw)]]</f>
        <v>10593114.314992018</v>
      </c>
      <c r="V317" s="398">
        <f>uitkomst_doelgroep[[#This Row],[Investering (cash flow) (€)]]*uitkomst_doelgroep[[#This Row],[Percentage van patiëntaantallen in Wlz (overige is Zvw)]]</f>
        <v>146993.72770016774</v>
      </c>
    </row>
    <row r="318" spans="1:22" x14ac:dyDescent="0.5">
      <c r="A318" s="33" t="str">
        <f>INDEX(Technologieën[Veld],MATCH(B318,Technologieën[Digitale zorgtoepassing],0))</f>
        <v>Digitale hulpmiddelen - Verpleging</v>
      </c>
      <c r="B318" s="33" t="s">
        <v>32</v>
      </c>
      <c r="C318" s="33" t="s">
        <v>33</v>
      </c>
      <c r="D318" s="427" cm="1">
        <f t="array" ref="D318">INDEX(Berekening_patiëntaantal[Percentage van patiëntaantallen in Wlz (overige is Zvw)],MATCH(B318,IF(Berekening_patiëntaantal[Doelgroep (zoeksleutel)]=C318,Berekening_patiëntaantal[Digitale zorgtoepassing]),0))</f>
        <v>1</v>
      </c>
      <c r="E318" s="33" t="str" cm="1">
        <f t="array" ref="E318">INDEX(Berekening_patiëntaantal[Direct toepasbaar/extrapolatie/incidentie voor QALY],MATCH(B318,IF(Berekening_patiëntaantal[Doelgroep (zoeksleutel)]=C318,Berekening_patiëntaantal[Digitale zorgtoepassing]),0))</f>
        <v>Huidige toepassing</v>
      </c>
      <c r="F318" s="43" t="s">
        <v>812</v>
      </c>
      <c r="G318" s="33" t="str">
        <f>CONCATENATE(uitkomst_doelgroep[[#This Row],[Digitale zorgtoepassing]],"_",uitkomst_doelgroep[[#This Row],[Doelgroep]],"_",uitkomst_doelgroep[[#This Row],[Uitgangssituatie/effect beleid]])</f>
        <v>Heupairbag_Ouderen in verpleeghuis_Effect beleid</v>
      </c>
      <c r="H318" s="33">
        <v>2028</v>
      </c>
      <c r="I318" s="32">
        <v>6</v>
      </c>
      <c r="J318" s="406" cm="1">
        <f t="array" ref="J318">INDEX(implementatie[[2023]:[2034]],MATCH(G318, implementatie[Zoeksleutel],0),I318)</f>
        <v>0.87254648226050635</v>
      </c>
      <c r="K318" s="406" cm="1">
        <f t="array" ref="K318">INDEX(implementatie[[2023]:[2034]],MATCH(G318,implementatie[Zoeksleutel],0),I318 + 1)</f>
        <v>0.9195792000374251</v>
      </c>
      <c r="L31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8027.4276367966586</v>
      </c>
      <c r="M318" s="398" cm="1">
        <f t="array" ref="M318">J318*INDEX(Berekening_impact[Totaal arbeidsbesparing (€/jaar)],MATCH(B318,IF(Berekening_impact[Doelgroep]=C318,Berekening_impact[Digitale zorgtoepassing]),0))</f>
        <v>20427164.148553103</v>
      </c>
      <c r="N318" s="397" cm="1">
        <f t="array" ref="N318">J318*INDEX(Berekening_impact[Totaal arbeidsbesparing (FTE/jaar)],MATCH(B318,IF(Berekening_impact[Doelgroep]=C318,Berekening_impact[Digitale zorgtoepassing]),0))</f>
        <v>481.15863859618548</v>
      </c>
      <c r="O318" s="398" cm="1">
        <f t="array" ref="O318">J318*INDEX(Berekening_impact[Overige kostenbesparing (totaal/jaar totaal potentieel)],MATCH(B318,IF(Berekening_impact[Doelgroep]=C318,Berekening_impact[Digitale zorgtoepassing]),0))</f>
        <v>7130345.7004897548</v>
      </c>
      <c r="P318" s="398" cm="1">
        <f t="array" ref="P318">J318*INDEX(Berekening_impact[Opbrengsten door QALY''s],MATCH(B318,IF(Berekening_impact[Doelgroep]=C318,Berekening_impact[Digitale zorgtoepassing]),0))</f>
        <v>0</v>
      </c>
      <c r="Q318" s="398" cm="1">
        <f t="array" ref="Q318">J318*INDEX(Berekening_impact[Jaarlijkse kosten (totaal) - incl. schatting],MATCH(B318,IF(Berekening_impact[Doelgroep]=C318,Berekening_impact[Digitale zorgtoepassing]),0))</f>
        <v>11465383.764407219</v>
      </c>
      <c r="R318" s="398" cm="1">
        <f t="array" ref="R318">(uitkomst_doelgroep[[#This Row],[Implementatiegraad t = T + 1]]-uitkomst_doelgroep[[#This Row],[Implementatiegraad t = T]])*INDEX(Berekening_impact[Initiële investering (totaal) - incl. schatting],MATCH(B318,IF(Berekening_impact[Doelgroep]=C318,Berekening_impact[Digitale zorgtoepassing]),0))</f>
        <v>104147.35400547629</v>
      </c>
      <c r="S318" s="398">
        <f>uitkomst_doelgroep[[#This Row],[Arbeidsbesparing (€)]]*uitkomst_doelgroep[[#This Row],[Percentage van patiëntaantallen in Wlz (overige is Zvw)]]</f>
        <v>20427164.148553103</v>
      </c>
      <c r="T318" s="398">
        <f>uitkomst_doelgroep[[#This Row],[Overige besparingen (€)]]*uitkomst_doelgroep[[#This Row],[Percentage van patiëntaantallen in Wlz (overige is Zvw)]]</f>
        <v>7130345.7004897548</v>
      </c>
      <c r="U318" s="398">
        <f>uitkomst_doelgroep[[#This Row],[Kosten (€)]]*uitkomst_doelgroep[[#This Row],[Percentage van patiëntaantallen in Wlz (overige is Zvw)]]</f>
        <v>11465383.764407219</v>
      </c>
      <c r="V318" s="398">
        <f>uitkomst_doelgroep[[#This Row],[Investering (cash flow) (€)]]*uitkomst_doelgroep[[#This Row],[Percentage van patiëntaantallen in Wlz (overige is Zvw)]]</f>
        <v>104147.35400547629</v>
      </c>
    </row>
    <row r="319" spans="1:22" x14ac:dyDescent="0.5">
      <c r="A319" s="33" t="str">
        <f>INDEX(Technologieën[Veld],MATCH(B319,Technologieën[Digitale zorgtoepassing],0))</f>
        <v>Digitale hulpmiddelen - Verpleging</v>
      </c>
      <c r="B319" s="33" t="s">
        <v>32</v>
      </c>
      <c r="C319" s="33" t="s">
        <v>33</v>
      </c>
      <c r="D319" s="427" cm="1">
        <f t="array" ref="D319">INDEX(Berekening_patiëntaantal[Percentage van patiëntaantallen in Wlz (overige is Zvw)],MATCH(B319,IF(Berekening_patiëntaantal[Doelgroep (zoeksleutel)]=C319,Berekening_patiëntaantal[Digitale zorgtoepassing]),0))</f>
        <v>1</v>
      </c>
      <c r="E319" s="33" t="str" cm="1">
        <f t="array" ref="E319">INDEX(Berekening_patiëntaantal[Direct toepasbaar/extrapolatie/incidentie voor QALY],MATCH(B319,IF(Berekening_patiëntaantal[Doelgroep (zoeksleutel)]=C319,Berekening_patiëntaantal[Digitale zorgtoepassing]),0))</f>
        <v>Huidige toepassing</v>
      </c>
      <c r="F319" s="43" t="s">
        <v>812</v>
      </c>
      <c r="G319" s="33" t="str">
        <f>CONCATENATE(uitkomst_doelgroep[[#This Row],[Digitale zorgtoepassing]],"_",uitkomst_doelgroep[[#This Row],[Doelgroep]],"_",uitkomst_doelgroep[[#This Row],[Uitgangssituatie/effect beleid]])</f>
        <v>Heupairbag_Ouderen in verpleeghuis_Effect beleid</v>
      </c>
      <c r="H319" s="33">
        <v>2029</v>
      </c>
      <c r="I319" s="32">
        <v>7</v>
      </c>
      <c r="J319" s="406" cm="1">
        <f t="array" ref="J319">INDEX(implementatie[[2023]:[2034]],MATCH(G319, implementatie[Zoeksleutel],0),I319)</f>
        <v>0.9195792000374251</v>
      </c>
      <c r="K319" s="406" cm="1">
        <f t="array" ref="K319">INDEX(implementatie[[2023]:[2034]],MATCH(G319,implementatie[Zoeksleutel],0),I319 + 1)</f>
        <v>0.95076893399505846</v>
      </c>
      <c r="L31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8460.1286403443119</v>
      </c>
      <c r="M319" s="398" cm="1">
        <f t="array" ref="M319">J319*INDEX(Berekening_impact[Totaal arbeidsbesparing (€/jaar)],MATCH(B319,IF(Berekening_impact[Doelgroep]=C319,Berekening_impact[Digitale zorgtoepassing]),0))</f>
        <v>21528245.94294953</v>
      </c>
      <c r="N319" s="397" cm="1">
        <f t="array" ref="N319">J319*INDEX(Berekening_impact[Totaal arbeidsbesparing (FTE/jaar)],MATCH(B319,IF(Berekening_impact[Doelgroep]=C319,Berekening_impact[Digitale zorgtoepassing]),0))</f>
        <v>507.09444707757757</v>
      </c>
      <c r="O319" s="398" cm="1">
        <f t="array" ref="O319">J319*INDEX(Berekening_impact[Overige kostenbesparing (totaal/jaar totaal potentieel)],MATCH(B319,IF(Berekening_impact[Doelgroep]=C319,Berekening_impact[Digitale zorgtoepassing]),0))</f>
        <v>7514691.4560467359</v>
      </c>
      <c r="P319" s="398" cm="1">
        <f t="array" ref="P319">J319*INDEX(Berekening_impact[Opbrengsten door QALY''s],MATCH(B319,IF(Berekening_impact[Doelgroep]=C319,Berekening_impact[Digitale zorgtoepassing]),0))</f>
        <v>0</v>
      </c>
      <c r="Q319" s="398" cm="1">
        <f t="array" ref="Q319">J319*INDEX(Berekening_impact[Jaarlijkse kosten (totaal) - incl. schatting],MATCH(B319,IF(Berekening_impact[Doelgroep]=C319,Berekening_impact[Digitale zorgtoepassing]),0))</f>
        <v>12083400.305369485</v>
      </c>
      <c r="R319" s="398" cm="1">
        <f t="array" ref="R319">(uitkomst_doelgroep[[#This Row],[Implementatiegraad t = T + 1]]-uitkomst_doelgroep[[#This Row],[Implementatiegraad t = T]])*INDEX(Berekening_impact[Initiële investering (totaal) - incl. schatting],MATCH(B319,IF(Berekening_impact[Doelgroep]=C319,Berekening_impact[Digitale zorgtoepassing]),0))</f>
        <v>69065.289384922158</v>
      </c>
      <c r="S319" s="398">
        <f>uitkomst_doelgroep[[#This Row],[Arbeidsbesparing (€)]]*uitkomst_doelgroep[[#This Row],[Percentage van patiëntaantallen in Wlz (overige is Zvw)]]</f>
        <v>21528245.94294953</v>
      </c>
      <c r="T319" s="398">
        <f>uitkomst_doelgroep[[#This Row],[Overige besparingen (€)]]*uitkomst_doelgroep[[#This Row],[Percentage van patiëntaantallen in Wlz (overige is Zvw)]]</f>
        <v>7514691.4560467359</v>
      </c>
      <c r="U319" s="398">
        <f>uitkomst_doelgroep[[#This Row],[Kosten (€)]]*uitkomst_doelgroep[[#This Row],[Percentage van patiëntaantallen in Wlz (overige is Zvw)]]</f>
        <v>12083400.305369485</v>
      </c>
      <c r="V319" s="398">
        <f>uitkomst_doelgroep[[#This Row],[Investering (cash flow) (€)]]*uitkomst_doelgroep[[#This Row],[Percentage van patiëntaantallen in Wlz (overige is Zvw)]]</f>
        <v>69065.289384922158</v>
      </c>
    </row>
    <row r="320" spans="1:22" x14ac:dyDescent="0.5">
      <c r="A320" s="33" t="str">
        <f>INDEX(Technologieën[Veld],MATCH(B320,Technologieën[Digitale zorgtoepassing],0))</f>
        <v>Digitale hulpmiddelen - Verpleging</v>
      </c>
      <c r="B320" s="33" t="s">
        <v>32</v>
      </c>
      <c r="C320" s="33" t="s">
        <v>33</v>
      </c>
      <c r="D320" s="427" cm="1">
        <f t="array" ref="D320">INDEX(Berekening_patiëntaantal[Percentage van patiëntaantallen in Wlz (overige is Zvw)],MATCH(B320,IF(Berekening_patiëntaantal[Doelgroep (zoeksleutel)]=C320,Berekening_patiëntaantal[Digitale zorgtoepassing]),0))</f>
        <v>1</v>
      </c>
      <c r="E320" s="33" t="str" cm="1">
        <f t="array" ref="E320">INDEX(Berekening_patiëntaantal[Direct toepasbaar/extrapolatie/incidentie voor QALY],MATCH(B320,IF(Berekening_patiëntaantal[Doelgroep (zoeksleutel)]=C320,Berekening_patiëntaantal[Digitale zorgtoepassing]),0))</f>
        <v>Huidige toepassing</v>
      </c>
      <c r="F320" s="43" t="s">
        <v>812</v>
      </c>
      <c r="G320" s="33" t="str">
        <f>CONCATENATE(uitkomst_doelgroep[[#This Row],[Digitale zorgtoepassing]],"_",uitkomst_doelgroep[[#This Row],[Doelgroep]],"_",uitkomst_doelgroep[[#This Row],[Uitgangssituatie/effect beleid]])</f>
        <v>Heupairbag_Ouderen in verpleeghuis_Effect beleid</v>
      </c>
      <c r="H320" s="33">
        <v>2030</v>
      </c>
      <c r="I320" s="32">
        <v>8</v>
      </c>
      <c r="J320" s="406" cm="1">
        <f t="array" ref="J320">INDEX(implementatie[[2023]:[2034]],MATCH(G320, implementatie[Zoeksleutel],0),I320)</f>
        <v>0.95076893399505846</v>
      </c>
      <c r="K320" s="406" cm="1">
        <f t="array" ref="K320">INDEX(implementatie[[2023]:[2034]],MATCH(G320,implementatie[Zoeksleutel],0),I320 + 1)</f>
        <v>0.97047650257314066</v>
      </c>
      <c r="L32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8747.0741927545387</v>
      </c>
      <c r="M320" s="398" cm="1">
        <f t="array" ref="M320">J320*INDEX(Berekening_impact[Totaal arbeidsbesparing (€/jaar)],MATCH(B320,IF(Berekening_impact[Doelgroep]=C320,Berekening_impact[Digitale zorgtoepassing]),0))</f>
        <v>22258428.034397192</v>
      </c>
      <c r="N320" s="397" cm="1">
        <f t="array" ref="N320">J320*INDEX(Berekening_impact[Totaal arbeidsbesparing (FTE/jaar)],MATCH(B320,IF(Berekening_impact[Doelgroep]=C320,Berekening_impact[Digitale zorgtoepassing]),0))</f>
        <v>524.29377139363339</v>
      </c>
      <c r="O320" s="398" cm="1">
        <f t="array" ref="O320">J320*INDEX(Berekening_impact[Overige kostenbesparing (totaal/jaar totaal potentieel)],MATCH(B320,IF(Berekening_impact[Doelgroep]=C320,Berekening_impact[Digitale zorgtoepassing]),0))</f>
        <v>7769570.2389490241</v>
      </c>
      <c r="P320" s="398" cm="1">
        <f t="array" ref="P320">J320*INDEX(Berekening_impact[Opbrengsten door QALY''s],MATCH(B320,IF(Berekening_impact[Doelgroep]=C320,Berekening_impact[Digitale zorgtoepassing]),0))</f>
        <v>0</v>
      </c>
      <c r="Q320" s="398" cm="1">
        <f t="array" ref="Q320">J320*INDEX(Berekening_impact[Jaarlijkse kosten (totaal) - incl. schatting],MATCH(B320,IF(Berekening_impact[Doelgroep]=C320,Berekening_impact[Digitale zorgtoepassing]),0))</f>
        <v>12493237.805840049</v>
      </c>
      <c r="R320" s="398" cm="1">
        <f t="array" ref="R320">(uitkomst_doelgroep[[#This Row],[Implementatiegraad t = T + 1]]-uitkomst_doelgroep[[#This Row],[Implementatiegraad t = T]])*INDEX(Berekening_impact[Initiële investering (totaal) - incl. schatting],MATCH(B320,IF(Berekening_impact[Doelgroep]=C320,Berekening_impact[Digitale zorgtoepassing]),0))</f>
        <v>43639.645300191121</v>
      </c>
      <c r="S320" s="398">
        <f>uitkomst_doelgroep[[#This Row],[Arbeidsbesparing (€)]]*uitkomst_doelgroep[[#This Row],[Percentage van patiëntaantallen in Wlz (overige is Zvw)]]</f>
        <v>22258428.034397192</v>
      </c>
      <c r="T320" s="398">
        <f>uitkomst_doelgroep[[#This Row],[Overige besparingen (€)]]*uitkomst_doelgroep[[#This Row],[Percentage van patiëntaantallen in Wlz (overige is Zvw)]]</f>
        <v>7769570.2389490241</v>
      </c>
      <c r="U320" s="398">
        <f>uitkomst_doelgroep[[#This Row],[Kosten (€)]]*uitkomst_doelgroep[[#This Row],[Percentage van patiëntaantallen in Wlz (overige is Zvw)]]</f>
        <v>12493237.805840049</v>
      </c>
      <c r="V320" s="398">
        <f>uitkomst_doelgroep[[#This Row],[Investering (cash flow) (€)]]*uitkomst_doelgroep[[#This Row],[Percentage van patiëntaantallen in Wlz (overige is Zvw)]]</f>
        <v>43639.645300191121</v>
      </c>
    </row>
    <row r="321" spans="1:22" x14ac:dyDescent="0.5">
      <c r="A321" s="33" t="str">
        <f>INDEX(Technologieën[Veld],MATCH(B321,Technologieën[Digitale zorgtoepassing],0))</f>
        <v>Digitale hulpmiddelen - Verpleging</v>
      </c>
      <c r="B321" s="33" t="s">
        <v>32</v>
      </c>
      <c r="C321" s="33" t="s">
        <v>33</v>
      </c>
      <c r="D321" s="427" cm="1">
        <f t="array" ref="D321">INDEX(Berekening_patiëntaantal[Percentage van patiëntaantallen in Wlz (overige is Zvw)],MATCH(B321,IF(Berekening_patiëntaantal[Doelgroep (zoeksleutel)]=C321,Berekening_patiëntaantal[Digitale zorgtoepassing]),0))</f>
        <v>1</v>
      </c>
      <c r="E321" s="33" t="str" cm="1">
        <f t="array" ref="E321">INDEX(Berekening_patiëntaantal[Direct toepasbaar/extrapolatie/incidentie voor QALY],MATCH(B321,IF(Berekening_patiëntaantal[Doelgroep (zoeksleutel)]=C321,Berekening_patiëntaantal[Digitale zorgtoepassing]),0))</f>
        <v>Huidige toepassing</v>
      </c>
      <c r="F321" s="43" t="s">
        <v>812</v>
      </c>
      <c r="G321" s="33" t="str">
        <f>CONCATENATE(uitkomst_doelgroep[[#This Row],[Digitale zorgtoepassing]],"_",uitkomst_doelgroep[[#This Row],[Doelgroep]],"_",uitkomst_doelgroep[[#This Row],[Uitgangssituatie/effect beleid]])</f>
        <v>Heupairbag_Ouderen in verpleeghuis_Effect beleid</v>
      </c>
      <c r="H321" s="33">
        <v>2031</v>
      </c>
      <c r="I321" s="32">
        <v>9</v>
      </c>
      <c r="J321" s="406" cm="1">
        <f t="array" ref="J321">INDEX(implementatie[[2023]:[2034]],MATCH(G321, implementatie[Zoeksleutel],0),I321)</f>
        <v>0.97047650257314066</v>
      </c>
      <c r="K321" s="406" cm="1">
        <f t="array" ref="K321">INDEX(implementatie[[2023]:[2034]],MATCH(G321,implementatie[Zoeksleutel],0),I321 + 1)</f>
        <v>0.98252771673229611</v>
      </c>
      <c r="L32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8928.3838236728934</v>
      </c>
      <c r="M321" s="398" cm="1">
        <f t="array" ref="M321">J321*INDEX(Berekening_impact[Totaal arbeidsbesparing (€/jaar)],MATCH(B321,IF(Berekening_impact[Doelgroep]=C321,Berekening_impact[Digitale zorgtoepassing]),0))</f>
        <v>22719801.435697734</v>
      </c>
      <c r="N321" s="397" cm="1">
        <f t="array" ref="N321">J321*INDEX(Berekening_impact[Totaal arbeidsbesparing (FTE/jaar)],MATCH(B321,IF(Berekening_impact[Doelgroep]=C321,Berekening_impact[Digitale zorgtoepassing]),0))</f>
        <v>535.1613492933285</v>
      </c>
      <c r="O321" s="398" cm="1">
        <f t="array" ref="O321">J321*INDEX(Berekening_impact[Overige kostenbesparing (totaal/jaar totaal potentieel)],MATCH(B321,IF(Berekening_impact[Doelgroep]=C321,Berekening_impact[Digitale zorgtoepassing]),0))</f>
        <v>7930618.136951874</v>
      </c>
      <c r="P321" s="398" cm="1">
        <f t="array" ref="P321">J321*INDEX(Berekening_impact[Opbrengsten door QALY''s],MATCH(B321,IF(Berekening_impact[Doelgroep]=C321,Berekening_impact[Digitale zorgtoepassing]),0))</f>
        <v>0</v>
      </c>
      <c r="Q321" s="398" cm="1">
        <f t="array" ref="Q321">J321*INDEX(Berekening_impact[Jaarlijkse kosten (totaal) - incl. schatting],MATCH(B321,IF(Berekening_impact[Doelgroep]=C321,Berekening_impact[Digitale zorgtoepassing]),0))</f>
        <v>12752198.034784764</v>
      </c>
      <c r="R321" s="398" cm="1">
        <f t="array" ref="R321">(uitkomst_doelgroep[[#This Row],[Implementatiegraad t = T + 1]]-uitkomst_doelgroep[[#This Row],[Implementatiegraad t = T]])*INDEX(Berekening_impact[Initiële investering (totaal) - incl. schatting],MATCH(B321,IF(Berekening_impact[Doelgroep]=C321,Berekening_impact[Digitale zorgtoepassing]),0))</f>
        <v>26685.722759685174</v>
      </c>
      <c r="S321" s="398">
        <f>uitkomst_doelgroep[[#This Row],[Arbeidsbesparing (€)]]*uitkomst_doelgroep[[#This Row],[Percentage van patiëntaantallen in Wlz (overige is Zvw)]]</f>
        <v>22719801.435697734</v>
      </c>
      <c r="T321" s="398">
        <f>uitkomst_doelgroep[[#This Row],[Overige besparingen (€)]]*uitkomst_doelgroep[[#This Row],[Percentage van patiëntaantallen in Wlz (overige is Zvw)]]</f>
        <v>7930618.136951874</v>
      </c>
      <c r="U321" s="398">
        <f>uitkomst_doelgroep[[#This Row],[Kosten (€)]]*uitkomst_doelgroep[[#This Row],[Percentage van patiëntaantallen in Wlz (overige is Zvw)]]</f>
        <v>12752198.034784764</v>
      </c>
      <c r="V321" s="398">
        <f>uitkomst_doelgroep[[#This Row],[Investering (cash flow) (€)]]*uitkomst_doelgroep[[#This Row],[Percentage van patiëntaantallen in Wlz (overige is Zvw)]]</f>
        <v>26685.722759685174</v>
      </c>
    </row>
    <row r="322" spans="1:22" x14ac:dyDescent="0.5">
      <c r="A322" s="33" t="str">
        <f>INDEX(Technologieën[Veld],MATCH(B322,Technologieën[Digitale zorgtoepassing],0))</f>
        <v>Digitale hulpmiddelen - Verpleging</v>
      </c>
      <c r="B322" s="33" t="s">
        <v>32</v>
      </c>
      <c r="C322" s="33" t="s">
        <v>33</v>
      </c>
      <c r="D322" s="427" cm="1">
        <f t="array" ref="D322">INDEX(Berekening_patiëntaantal[Percentage van patiëntaantallen in Wlz (overige is Zvw)],MATCH(B322,IF(Berekening_patiëntaantal[Doelgroep (zoeksleutel)]=C322,Berekening_patiëntaantal[Digitale zorgtoepassing]),0))</f>
        <v>1</v>
      </c>
      <c r="E322" s="33" t="str" cm="1">
        <f t="array" ref="E322">INDEX(Berekening_patiëntaantal[Direct toepasbaar/extrapolatie/incidentie voor QALY],MATCH(B322,IF(Berekening_patiëntaantal[Doelgroep (zoeksleutel)]=C322,Berekening_patiëntaantal[Digitale zorgtoepassing]),0))</f>
        <v>Huidige toepassing</v>
      </c>
      <c r="F322" s="43" t="s">
        <v>812</v>
      </c>
      <c r="G322" s="33" t="str">
        <f>CONCATENATE(uitkomst_doelgroep[[#This Row],[Digitale zorgtoepassing]],"_",uitkomst_doelgroep[[#This Row],[Doelgroep]],"_",uitkomst_doelgroep[[#This Row],[Uitgangssituatie/effect beleid]])</f>
        <v>Heupairbag_Ouderen in verpleeghuis_Effect beleid</v>
      </c>
      <c r="H322" s="33">
        <v>2032</v>
      </c>
      <c r="I322" s="32">
        <v>10</v>
      </c>
      <c r="J322" s="406" cm="1">
        <f t="array" ref="J322">INDEX(implementatie[[2023]:[2034]],MATCH(G322, implementatie[Zoeksleutel],0),I322)</f>
        <v>0.98252771673229611</v>
      </c>
      <c r="K322" s="406" cm="1">
        <f t="array" ref="K322">INDEX(implementatie[[2023]:[2034]],MATCH(G322,implementatie[Zoeksleutel],0),I322 + 1)</f>
        <v>0.98974396343169702</v>
      </c>
      <c r="L32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9039.2549939371238</v>
      </c>
      <c r="M322" s="398" cm="1">
        <f t="array" ref="M322">J322*INDEX(Berekening_impact[Totaal arbeidsbesparing (€/jaar)],MATCH(B322,IF(Berekening_impact[Doelgroep]=C322,Berekening_impact[Digitale zorgtoepassing]),0))</f>
        <v>23001932.11277144</v>
      </c>
      <c r="N322" s="397" cm="1">
        <f t="array" ref="N322">J322*INDEX(Berekening_impact[Totaal arbeidsbesparing (FTE/jaar)],MATCH(B322,IF(Berekening_impact[Doelgroep]=C322,Berekening_impact[Digitale zorgtoepassing]),0))</f>
        <v>541.80689301637233</v>
      </c>
      <c r="O322" s="398" cm="1">
        <f t="array" ref="O322">J322*INDEX(Berekening_impact[Overige kostenbesparing (totaal/jaar totaal potentieel)],MATCH(B322,IF(Berekening_impact[Doelgroep]=C322,Berekening_impact[Digitale zorgtoepassing]),0))</f>
        <v>8029099.2205530563</v>
      </c>
      <c r="P322" s="398" cm="1">
        <f t="array" ref="P322">J322*INDEX(Berekening_impact[Opbrengsten door QALY''s],MATCH(B322,IF(Berekening_impact[Doelgroep]=C322,Berekening_impact[Digitale zorgtoepassing]),0))</f>
        <v>0</v>
      </c>
      <c r="Q322" s="398" cm="1">
        <f t="array" ref="Q322">J322*INDEX(Berekening_impact[Jaarlijkse kosten (totaal) - incl. schatting],MATCH(B322,IF(Berekening_impact[Doelgroep]=C322,Berekening_impact[Digitale zorgtoepassing]),0))</f>
        <v>12910552.687483395</v>
      </c>
      <c r="R322" s="398" cm="1">
        <f t="array" ref="R322">(uitkomst_doelgroep[[#This Row],[Implementatiegraad t = T + 1]]-uitkomst_doelgroep[[#This Row],[Implementatiegraad t = T]])*INDEX(Berekening_impact[Initiële investering (totaal) - incl. schatting],MATCH(B322,IF(Berekening_impact[Doelgroep]=C322,Berekening_impact[Digitale zorgtoepassing]),0))</f>
        <v>15979.365750413424</v>
      </c>
      <c r="S322" s="398">
        <f>uitkomst_doelgroep[[#This Row],[Arbeidsbesparing (€)]]*uitkomst_doelgroep[[#This Row],[Percentage van patiëntaantallen in Wlz (overige is Zvw)]]</f>
        <v>23001932.11277144</v>
      </c>
      <c r="T322" s="398">
        <f>uitkomst_doelgroep[[#This Row],[Overige besparingen (€)]]*uitkomst_doelgroep[[#This Row],[Percentage van patiëntaantallen in Wlz (overige is Zvw)]]</f>
        <v>8029099.2205530563</v>
      </c>
      <c r="U322" s="398">
        <f>uitkomst_doelgroep[[#This Row],[Kosten (€)]]*uitkomst_doelgroep[[#This Row],[Percentage van patiëntaantallen in Wlz (overige is Zvw)]]</f>
        <v>12910552.687483395</v>
      </c>
      <c r="V322" s="398">
        <f>uitkomst_doelgroep[[#This Row],[Investering (cash flow) (€)]]*uitkomst_doelgroep[[#This Row],[Percentage van patiëntaantallen in Wlz (overige is Zvw)]]</f>
        <v>15979.365750413424</v>
      </c>
    </row>
    <row r="323" spans="1:22" x14ac:dyDescent="0.5">
      <c r="A323" s="33" t="str">
        <f>INDEX(Technologieën[Veld],MATCH(B323,Technologieën[Digitale zorgtoepassing],0))</f>
        <v>Digitale hulpmiddelen - Verpleging</v>
      </c>
      <c r="B323" s="33" t="s">
        <v>32</v>
      </c>
      <c r="C323" s="33" t="s">
        <v>33</v>
      </c>
      <c r="D323" s="427" cm="1">
        <f t="array" ref="D323">INDEX(Berekening_patiëntaantal[Percentage van patiëntaantallen in Wlz (overige is Zvw)],MATCH(B323,IF(Berekening_patiëntaantal[Doelgroep (zoeksleutel)]=C323,Berekening_patiëntaantal[Digitale zorgtoepassing]),0))</f>
        <v>1</v>
      </c>
      <c r="E323" s="33" t="str" cm="1">
        <f t="array" ref="E323">INDEX(Berekening_patiëntaantal[Direct toepasbaar/extrapolatie/incidentie voor QALY],MATCH(B323,IF(Berekening_patiëntaantal[Doelgroep (zoeksleutel)]=C323,Berekening_patiëntaantal[Digitale zorgtoepassing]),0))</f>
        <v>Huidige toepassing</v>
      </c>
      <c r="F323" s="43" t="s">
        <v>812</v>
      </c>
      <c r="G323" s="33" t="str">
        <f>CONCATENATE(uitkomst_doelgroep[[#This Row],[Digitale zorgtoepassing]],"_",uitkomst_doelgroep[[#This Row],[Doelgroep]],"_",uitkomst_doelgroep[[#This Row],[Uitgangssituatie/effect beleid]])</f>
        <v>Heupairbag_Ouderen in verpleeghuis_Effect beleid</v>
      </c>
      <c r="H323" s="33">
        <v>2033</v>
      </c>
      <c r="I323" s="32">
        <v>11</v>
      </c>
      <c r="J323" s="406" cm="1">
        <f t="array" ref="J323">INDEX(implementatie[[2023]:[2034]],MATCH(G323, implementatie[Zoeksleutel],0),I323)</f>
        <v>0.98974396343169702</v>
      </c>
      <c r="K323" s="406" cm="1">
        <f t="array" ref="K323">INDEX(implementatie[[2023]:[2034]],MATCH(G323,implementatie[Zoeksleutel],0),I323 + 1)</f>
        <v>0.99400942427594807</v>
      </c>
      <c r="L32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9105.6444635716125</v>
      </c>
      <c r="M323" s="398" cm="1">
        <f t="array" ref="M323">J323*INDEX(Berekening_impact[Totaal arbeidsbesparing (€/jaar)],MATCH(B323,IF(Berekening_impact[Doelgroep]=C323,Berekening_impact[Digitale zorgtoepassing]),0))</f>
        <v>23170871.486044973</v>
      </c>
      <c r="N323" s="397" cm="1">
        <f t="array" ref="N323">J323*INDEX(Berekening_impact[Totaal arbeidsbesparing (FTE/jaar)],MATCH(B323,IF(Berekening_impact[Doelgroep]=C323,Berekening_impact[Digitale zorgtoepassing]),0))</f>
        <v>545.78623338189948</v>
      </c>
      <c r="O323" s="398" cm="1">
        <f t="array" ref="O323">J323*INDEX(Berekening_impact[Overige kostenbesparing (totaal/jaar totaal potentieel)],MATCH(B323,IF(Berekening_impact[Doelgroep]=C323,Berekening_impact[Digitale zorgtoepassing]),0))</f>
        <v>8088069.5272047371</v>
      </c>
      <c r="P323" s="398" cm="1">
        <f t="array" ref="P323">J323*INDEX(Berekening_impact[Opbrengsten door QALY''s],MATCH(B323,IF(Berekening_impact[Doelgroep]=C323,Berekening_impact[Digitale zorgtoepassing]),0))</f>
        <v>0</v>
      </c>
      <c r="Q323" s="398" cm="1">
        <f t="array" ref="Q323">J323*INDEX(Berekening_impact[Jaarlijkse kosten (totaal) - incl. schatting],MATCH(B323,IF(Berekening_impact[Doelgroep]=C323,Berekening_impact[Digitale zorgtoepassing]),0))</f>
        <v>13005375.186260676</v>
      </c>
      <c r="R323" s="398" cm="1">
        <f t="array" ref="R323">(uitkomst_doelgroep[[#This Row],[Implementatiegraad t = T + 1]]-uitkomst_doelgroep[[#This Row],[Implementatiegraad t = T]])*INDEX(Berekening_impact[Initiële investering (totaal) - incl. schatting],MATCH(B323,IF(Berekening_impact[Doelgroep]=C323,Berekening_impact[Digitale zorgtoepassing]),0))</f>
        <v>9445.2645209612147</v>
      </c>
      <c r="S323" s="398">
        <f>uitkomst_doelgroep[[#This Row],[Arbeidsbesparing (€)]]*uitkomst_doelgroep[[#This Row],[Percentage van patiëntaantallen in Wlz (overige is Zvw)]]</f>
        <v>23170871.486044973</v>
      </c>
      <c r="T323" s="398">
        <f>uitkomst_doelgroep[[#This Row],[Overige besparingen (€)]]*uitkomst_doelgroep[[#This Row],[Percentage van patiëntaantallen in Wlz (overige is Zvw)]]</f>
        <v>8088069.5272047371</v>
      </c>
      <c r="U323" s="398">
        <f>uitkomst_doelgroep[[#This Row],[Kosten (€)]]*uitkomst_doelgroep[[#This Row],[Percentage van patiëntaantallen in Wlz (overige is Zvw)]]</f>
        <v>13005375.186260676</v>
      </c>
      <c r="V323" s="398">
        <f>uitkomst_doelgroep[[#This Row],[Investering (cash flow) (€)]]*uitkomst_doelgroep[[#This Row],[Percentage van patiëntaantallen in Wlz (overige is Zvw)]]</f>
        <v>9445.2645209612147</v>
      </c>
    </row>
    <row r="324" spans="1:22" x14ac:dyDescent="0.5">
      <c r="A324" s="33" t="str">
        <f>INDEX(Technologieën[Veld],MATCH(B324,Technologieën[Digitale zorgtoepassing],0))</f>
        <v>Sensoren - Verpleging</v>
      </c>
      <c r="B324" s="33" t="s">
        <v>46</v>
      </c>
      <c r="C324" s="33" t="s">
        <v>20</v>
      </c>
      <c r="D324" s="427" cm="1">
        <f t="array" ref="D324">INDEX(Berekening_patiëntaantal[Percentage van patiëntaantallen in Wlz (overige is Zvw)],MATCH(B324,IF(Berekening_patiëntaantal[Doelgroep (zoeksleutel)]=C324,Berekening_patiëntaantal[Digitale zorgtoepassing]),0))</f>
        <v>1</v>
      </c>
      <c r="E324" s="33" t="str" cm="1">
        <f t="array" ref="E324">INDEX(Berekening_patiëntaantal[Direct toepasbaar/extrapolatie/incidentie voor QALY],MATCH(B324,IF(Berekening_patiëntaantal[Doelgroep (zoeksleutel)]=C324,Berekening_patiëntaantal[Digitale zorgtoepassing]),0))</f>
        <v>Huidige toepassing</v>
      </c>
      <c r="F324" s="43" t="s">
        <v>812</v>
      </c>
      <c r="G324" s="33" t="str">
        <f>CONCATENATE(uitkomst_doelgroep[[#This Row],[Digitale zorgtoepassing]],"_",uitkomst_doelgroep[[#This Row],[Doelgroep]],"_",uitkomst_doelgroep[[#This Row],[Uitgangssituatie/effect beleid]])</f>
        <v>Leefcirkels_Dementie_Effect beleid</v>
      </c>
      <c r="H324" s="33">
        <v>2023</v>
      </c>
      <c r="I324" s="32">
        <v>1</v>
      </c>
      <c r="J324" s="406" cm="1">
        <f t="array" ref="J324">INDEX(implementatie[[2023]:[2034]],MATCH(G324, implementatie[Zoeksleutel],0),I324)</f>
        <v>0.2</v>
      </c>
      <c r="K324" s="406" cm="1">
        <f t="array" ref="K324">INDEX(implementatie[[2023]:[2034]],MATCH(G324,implementatie[Zoeksleutel],0),I324 + 1)</f>
        <v>0.26800000000000002</v>
      </c>
      <c r="L32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15660</v>
      </c>
      <c r="M324" s="398" cm="1">
        <f t="array" ref="M324">J324*INDEX(Berekening_impact[Totaal arbeidsbesparing (€/jaar)],MATCH(B324,IF(Berekening_impact[Doelgroep]=C324,Berekening_impact[Digitale zorgtoepassing]),0))</f>
        <v>8317241.2772727283</v>
      </c>
      <c r="N324" s="397" cm="1">
        <f t="array" ref="N324">J324*INDEX(Berekening_impact[Totaal arbeidsbesparing (FTE/jaar)],MATCH(B324,IF(Berekening_impact[Doelgroep]=C324,Berekening_impact[Digitale zorgtoepassing]),0))</f>
        <v>195.91131009401556</v>
      </c>
      <c r="O324" s="398" cm="1">
        <f t="array" ref="O324">J324*INDEX(Berekening_impact[Overige kostenbesparing (totaal/jaar totaal potentieel)],MATCH(B324,IF(Berekening_impact[Doelgroep]=C324,Berekening_impact[Digitale zorgtoepassing]),0))</f>
        <v>791423.81434426247</v>
      </c>
      <c r="P324" s="398" cm="1">
        <f t="array" ref="P324">J324*INDEX(Berekening_impact[Opbrengsten door QALY''s],MATCH(B324,IF(Berekening_impact[Doelgroep]=C324,Berekening_impact[Digitale zorgtoepassing]),0))</f>
        <v>0</v>
      </c>
      <c r="Q324" s="398" cm="1">
        <f t="array" ref="Q324">J324*INDEX(Berekening_impact[Jaarlijkse kosten (totaal) - incl. schatting],MATCH(B324,IF(Berekening_impact[Doelgroep]=C324,Berekening_impact[Digitale zorgtoepassing]),0))</f>
        <v>2231550</v>
      </c>
      <c r="R324" s="398" cm="1">
        <f t="array" ref="R324">(uitkomst_doelgroep[[#This Row],[Implementatiegraad t = T + 1]]-uitkomst_doelgroep[[#This Row],[Implementatiegraad t = T]])*INDEX(Berekening_impact[Initiële investering (totaal) - incl. schatting],MATCH(B324,IF(Berekening_impact[Doelgroep]=C324,Berekening_impact[Digitale zorgtoepassing]),0))</f>
        <v>2417646.9590000003</v>
      </c>
      <c r="S324" s="398">
        <f>uitkomst_doelgroep[[#This Row],[Arbeidsbesparing (€)]]*uitkomst_doelgroep[[#This Row],[Percentage van patiëntaantallen in Wlz (overige is Zvw)]]</f>
        <v>8317241.2772727283</v>
      </c>
      <c r="T324" s="398">
        <f>uitkomst_doelgroep[[#This Row],[Overige besparingen (€)]]*uitkomst_doelgroep[[#This Row],[Percentage van patiëntaantallen in Wlz (overige is Zvw)]]</f>
        <v>791423.81434426247</v>
      </c>
      <c r="U324" s="398">
        <f>uitkomst_doelgroep[[#This Row],[Kosten (€)]]*uitkomst_doelgroep[[#This Row],[Percentage van patiëntaantallen in Wlz (overige is Zvw)]]</f>
        <v>2231550</v>
      </c>
      <c r="V324" s="398">
        <f>uitkomst_doelgroep[[#This Row],[Investering (cash flow) (€)]]*uitkomst_doelgroep[[#This Row],[Percentage van patiëntaantallen in Wlz (overige is Zvw)]]</f>
        <v>2417646.9590000003</v>
      </c>
    </row>
    <row r="325" spans="1:22" x14ac:dyDescent="0.5">
      <c r="A325" s="33" t="str">
        <f>INDEX(Technologieën[Veld],MATCH(B325,Technologieën[Digitale zorgtoepassing],0))</f>
        <v>Sensoren - Verpleging</v>
      </c>
      <c r="B325" s="33" t="s">
        <v>46</v>
      </c>
      <c r="C325" s="33" t="s">
        <v>20</v>
      </c>
      <c r="D325" s="427" cm="1">
        <f t="array" ref="D325">INDEX(Berekening_patiëntaantal[Percentage van patiëntaantallen in Wlz (overige is Zvw)],MATCH(B325,IF(Berekening_patiëntaantal[Doelgroep (zoeksleutel)]=C325,Berekening_patiëntaantal[Digitale zorgtoepassing]),0))</f>
        <v>1</v>
      </c>
      <c r="E325" s="33" t="str" cm="1">
        <f t="array" ref="E325">INDEX(Berekening_patiëntaantal[Direct toepasbaar/extrapolatie/incidentie voor QALY],MATCH(B325,IF(Berekening_patiëntaantal[Doelgroep (zoeksleutel)]=C325,Berekening_patiëntaantal[Digitale zorgtoepassing]),0))</f>
        <v>Huidige toepassing</v>
      </c>
      <c r="F325" s="43" t="s">
        <v>812</v>
      </c>
      <c r="G325" s="33" t="str">
        <f>CONCATENATE(uitkomst_doelgroep[[#This Row],[Digitale zorgtoepassing]],"_",uitkomst_doelgroep[[#This Row],[Doelgroep]],"_",uitkomst_doelgroep[[#This Row],[Uitgangssituatie/effect beleid]])</f>
        <v>Leefcirkels_Dementie_Effect beleid</v>
      </c>
      <c r="H325" s="33">
        <v>2024</v>
      </c>
      <c r="I325" s="32">
        <v>2</v>
      </c>
      <c r="J325" s="406" cm="1">
        <f t="array" ref="J325">INDEX(implementatie[[2023]:[2034]],MATCH(G325, implementatie[Zoeksleutel],0),I325)</f>
        <v>0.26800000000000002</v>
      </c>
      <c r="K325" s="406" cm="1">
        <f t="array" ref="K325">INDEX(implementatie[[2023]:[2034]],MATCH(G325,implementatie[Zoeksleutel],0),I325 + 1)</f>
        <v>0.3476416</v>
      </c>
      <c r="L32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20984.400000000001</v>
      </c>
      <c r="M325" s="398" cm="1">
        <f t="array" ref="M325">J325*INDEX(Berekening_impact[Totaal arbeidsbesparing (€/jaar)],MATCH(B325,IF(Berekening_impact[Doelgroep]=C325,Berekening_impact[Digitale zorgtoepassing]),0))</f>
        <v>11145103.311545456</v>
      </c>
      <c r="N325" s="397" cm="1">
        <f t="array" ref="N325">J325*INDEX(Berekening_impact[Totaal arbeidsbesparing (FTE/jaar)],MATCH(B325,IF(Berekening_impact[Doelgroep]=C325,Berekening_impact[Digitale zorgtoepassing]),0))</f>
        <v>262.52115552598087</v>
      </c>
      <c r="O325" s="398" cm="1">
        <f t="array" ref="O325">J325*INDEX(Berekening_impact[Overige kostenbesparing (totaal/jaar totaal potentieel)],MATCH(B325,IF(Berekening_impact[Doelgroep]=C325,Berekening_impact[Digitale zorgtoepassing]),0))</f>
        <v>1060507.9112213117</v>
      </c>
      <c r="P325" s="398" cm="1">
        <f t="array" ref="P325">J325*INDEX(Berekening_impact[Opbrengsten door QALY''s],MATCH(B325,IF(Berekening_impact[Doelgroep]=C325,Berekening_impact[Digitale zorgtoepassing]),0))</f>
        <v>0</v>
      </c>
      <c r="Q325" s="398" cm="1">
        <f t="array" ref="Q325">J325*INDEX(Berekening_impact[Jaarlijkse kosten (totaal) - incl. schatting],MATCH(B325,IF(Berekening_impact[Doelgroep]=C325,Berekening_impact[Digitale zorgtoepassing]),0))</f>
        <v>2990277</v>
      </c>
      <c r="R325" s="398" cm="1">
        <f t="array" ref="R325">(uitkomst_doelgroep[[#This Row],[Implementatiegraad t = T + 1]]-uitkomst_doelgroep[[#This Row],[Implementatiegraad t = T]])*INDEX(Berekening_impact[Initiële investering (totaal) - incl. schatting],MATCH(B325,IF(Berekening_impact[Doelgroep]=C325,Berekening_impact[Digitale zorgtoepassing]),0))</f>
        <v>2831548.1183807994</v>
      </c>
      <c r="S325" s="398">
        <f>uitkomst_doelgroep[[#This Row],[Arbeidsbesparing (€)]]*uitkomst_doelgroep[[#This Row],[Percentage van patiëntaantallen in Wlz (overige is Zvw)]]</f>
        <v>11145103.311545456</v>
      </c>
      <c r="T325" s="398">
        <f>uitkomst_doelgroep[[#This Row],[Overige besparingen (€)]]*uitkomst_doelgroep[[#This Row],[Percentage van patiëntaantallen in Wlz (overige is Zvw)]]</f>
        <v>1060507.9112213117</v>
      </c>
      <c r="U325" s="398">
        <f>uitkomst_doelgroep[[#This Row],[Kosten (€)]]*uitkomst_doelgroep[[#This Row],[Percentage van patiëntaantallen in Wlz (overige is Zvw)]]</f>
        <v>2990277</v>
      </c>
      <c r="V325" s="398">
        <f>uitkomst_doelgroep[[#This Row],[Investering (cash flow) (€)]]*uitkomst_doelgroep[[#This Row],[Percentage van patiëntaantallen in Wlz (overige is Zvw)]]</f>
        <v>2831548.1183807994</v>
      </c>
    </row>
    <row r="326" spans="1:22" x14ac:dyDescent="0.5">
      <c r="A326" s="33" t="str">
        <f>INDEX(Technologieën[Veld],MATCH(B326,Technologieën[Digitale zorgtoepassing],0))</f>
        <v>Sensoren - Verpleging</v>
      </c>
      <c r="B326" s="33" t="s">
        <v>46</v>
      </c>
      <c r="C326" s="33" t="s">
        <v>20</v>
      </c>
      <c r="D326" s="427" cm="1">
        <f t="array" ref="D326">INDEX(Berekening_patiëntaantal[Percentage van patiëntaantallen in Wlz (overige is Zvw)],MATCH(B326,IF(Berekening_patiëntaantal[Doelgroep (zoeksleutel)]=C326,Berekening_patiëntaantal[Digitale zorgtoepassing]),0))</f>
        <v>1</v>
      </c>
      <c r="E326" s="33" t="str" cm="1">
        <f t="array" ref="E326">INDEX(Berekening_patiëntaantal[Direct toepasbaar/extrapolatie/incidentie voor QALY],MATCH(B326,IF(Berekening_patiëntaantal[Doelgroep (zoeksleutel)]=C326,Berekening_patiëntaantal[Digitale zorgtoepassing]),0))</f>
        <v>Huidige toepassing</v>
      </c>
      <c r="F326" s="43" t="s">
        <v>812</v>
      </c>
      <c r="G326" s="33" t="str">
        <f>CONCATENATE(uitkomst_doelgroep[[#This Row],[Digitale zorgtoepassing]],"_",uitkomst_doelgroep[[#This Row],[Doelgroep]],"_",uitkomst_doelgroep[[#This Row],[Uitgangssituatie/effect beleid]])</f>
        <v>Leefcirkels_Dementie_Effect beleid</v>
      </c>
      <c r="H326" s="33">
        <v>2025</v>
      </c>
      <c r="I326" s="32">
        <v>3</v>
      </c>
      <c r="J326" s="406" cm="1">
        <f t="array" ref="J326">INDEX(implementatie[[2023]:[2034]],MATCH(G326, implementatie[Zoeksleutel],0),I326)</f>
        <v>0.3476416</v>
      </c>
      <c r="K326" s="406" cm="1">
        <f t="array" ref="K326">INDEX(implementatie[[2023]:[2034]],MATCH(G326,implementatie[Zoeksleutel],0),I326 + 1)</f>
        <v>0.43680239728230397</v>
      </c>
      <c r="L32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27220.33728</v>
      </c>
      <c r="M326" s="398" cm="1">
        <f t="array" ref="M326">J326*INDEX(Berekening_impact[Totaal arbeidsbesparing (€/jaar)],MATCH(B326,IF(Berekening_impact[Doelgroep]=C326,Berekening_impact[Digitale zorgtoepassing]),0))</f>
        <v>14457095.326085674</v>
      </c>
      <c r="N326" s="397" cm="1">
        <f t="array" ref="N326">J326*INDEX(Berekening_impact[Totaal arbeidsbesparing (FTE/jaar)],MATCH(B326,IF(Berekening_impact[Doelgroep]=C326,Berekening_impact[Digitale zorgtoepassing]),0))</f>
        <v>340.53460649589857</v>
      </c>
      <c r="O326" s="398" cm="1">
        <f t="array" ref="O326">J326*INDEX(Berekening_impact[Overige kostenbesparing (totaal/jaar totaal potentieel)],MATCH(B326,IF(Berekening_impact[Doelgroep]=C326,Berekening_impact[Digitale zorgtoepassing]),0))</f>
        <v>1375659.2054837118</v>
      </c>
      <c r="P326" s="398" cm="1">
        <f t="array" ref="P326">J326*INDEX(Berekening_impact[Opbrengsten door QALY''s],MATCH(B326,IF(Berekening_impact[Doelgroep]=C326,Berekening_impact[Digitale zorgtoepassing]),0))</f>
        <v>0</v>
      </c>
      <c r="Q326" s="398" cm="1">
        <f t="array" ref="Q326">J326*INDEX(Berekening_impact[Jaarlijkse kosten (totaal) - incl. schatting],MATCH(B326,IF(Berekening_impact[Doelgroep]=C326,Berekening_impact[Digitale zorgtoepassing]),0))</f>
        <v>3878898.0624000002</v>
      </c>
      <c r="R326" s="398" cm="1">
        <f t="array" ref="R326">(uitkomst_doelgroep[[#This Row],[Implementatiegraad t = T + 1]]-uitkomst_doelgroep[[#This Row],[Implementatiegraad t = T]])*INDEX(Berekening_impact[Initiële investering (totaal) - incl. schatting],MATCH(B326,IF(Berekening_impact[Doelgroep]=C326,Berekening_impact[Digitale zorgtoepassing]),0))</f>
        <v>3169990.1531114364</v>
      </c>
      <c r="S326" s="398">
        <f>uitkomst_doelgroep[[#This Row],[Arbeidsbesparing (€)]]*uitkomst_doelgroep[[#This Row],[Percentage van patiëntaantallen in Wlz (overige is Zvw)]]</f>
        <v>14457095.326085674</v>
      </c>
      <c r="T326" s="398">
        <f>uitkomst_doelgroep[[#This Row],[Overige besparingen (€)]]*uitkomst_doelgroep[[#This Row],[Percentage van patiëntaantallen in Wlz (overige is Zvw)]]</f>
        <v>1375659.2054837118</v>
      </c>
      <c r="U326" s="398">
        <f>uitkomst_doelgroep[[#This Row],[Kosten (€)]]*uitkomst_doelgroep[[#This Row],[Percentage van patiëntaantallen in Wlz (overige is Zvw)]]</f>
        <v>3878898.0624000002</v>
      </c>
      <c r="V326" s="398">
        <f>uitkomst_doelgroep[[#This Row],[Investering (cash flow) (€)]]*uitkomst_doelgroep[[#This Row],[Percentage van patiëntaantallen in Wlz (overige is Zvw)]]</f>
        <v>3169990.1531114364</v>
      </c>
    </row>
    <row r="327" spans="1:22" x14ac:dyDescent="0.5">
      <c r="A327" s="33" t="str">
        <f>INDEX(Technologieën[Veld],MATCH(B327,Technologieën[Digitale zorgtoepassing],0))</f>
        <v>Sensoren - Verpleging</v>
      </c>
      <c r="B327" s="33" t="s">
        <v>46</v>
      </c>
      <c r="C327" s="33" t="s">
        <v>20</v>
      </c>
      <c r="D327" s="427" cm="1">
        <f t="array" ref="D327">INDEX(Berekening_patiëntaantal[Percentage van patiëntaantallen in Wlz (overige is Zvw)],MATCH(B327,IF(Berekening_patiëntaantal[Doelgroep (zoeksleutel)]=C327,Berekening_patiëntaantal[Digitale zorgtoepassing]),0))</f>
        <v>1</v>
      </c>
      <c r="E327" s="33" t="str" cm="1">
        <f t="array" ref="E327">INDEX(Berekening_patiëntaantal[Direct toepasbaar/extrapolatie/incidentie voor QALY],MATCH(B327,IF(Berekening_patiëntaantal[Doelgroep (zoeksleutel)]=C327,Berekening_patiëntaantal[Digitale zorgtoepassing]),0))</f>
        <v>Huidige toepassing</v>
      </c>
      <c r="F327" s="43" t="s">
        <v>812</v>
      </c>
      <c r="G327" s="33" t="str">
        <f>CONCATENATE(uitkomst_doelgroep[[#This Row],[Digitale zorgtoepassing]],"_",uitkomst_doelgroep[[#This Row],[Doelgroep]],"_",uitkomst_doelgroep[[#This Row],[Uitgangssituatie/effect beleid]])</f>
        <v>Leefcirkels_Dementie_Effect beleid</v>
      </c>
      <c r="H327" s="33">
        <v>2026</v>
      </c>
      <c r="I327" s="32">
        <v>4</v>
      </c>
      <c r="J327" s="406" cm="1">
        <f t="array" ref="J327">INDEX(implementatie[[2023]:[2034]],MATCH(G327, implementatie[Zoeksleutel],0),I327)</f>
        <v>0.43680239728230397</v>
      </c>
      <c r="K327" s="406" cm="1">
        <f t="array" ref="K327">INDEX(implementatie[[2023]:[2034]],MATCH(G327,implementatie[Zoeksleutel],0),I327 + 1)</f>
        <v>0.53135248337682706</v>
      </c>
      <c r="L32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34201.627707204403</v>
      </c>
      <c r="M327" s="398" cm="1">
        <f t="array" ref="M327">J327*INDEX(Berekening_impact[Totaal arbeidsbesparing (€/jaar)],MATCH(B327,IF(Berekening_impact[Doelgroep]=C327,Berekening_impact[Digitale zorgtoepassing]),0))</f>
        <v>18164954.643440299</v>
      </c>
      <c r="N327" s="397" cm="1">
        <f t="array" ref="N327">J327*INDEX(Berekening_impact[Totaal arbeidsbesparing (FTE/jaar)],MATCH(B327,IF(Berekening_impact[Doelgroep]=C327,Berekening_impact[Digitale zorgtoepassing]),0))</f>
        <v>427.87264951891416</v>
      </c>
      <c r="O327" s="398" cm="1">
        <f t="array" ref="O327">J327*INDEX(Berekening_impact[Overige kostenbesparing (totaal/jaar totaal potentieel)],MATCH(B327,IF(Berekening_impact[Doelgroep]=C327,Berekening_impact[Digitale zorgtoepassing]),0))</f>
        <v>1728479.0968593946</v>
      </c>
      <c r="P327" s="398" cm="1">
        <f t="array" ref="P327">J327*INDEX(Berekening_impact[Opbrengsten door QALY''s],MATCH(B327,IF(Berekening_impact[Doelgroep]=C327,Berekening_impact[Digitale zorgtoepassing]),0))</f>
        <v>0</v>
      </c>
      <c r="Q327" s="398" cm="1">
        <f t="array" ref="Q327">J327*INDEX(Berekening_impact[Jaarlijkse kosten (totaal) - incl. schatting],MATCH(B327,IF(Berekening_impact[Doelgroep]=C327,Berekening_impact[Digitale zorgtoepassing]),0))</f>
        <v>4873731.9482766269</v>
      </c>
      <c r="R327" s="398" cm="1">
        <f t="array" ref="R327">(uitkomst_doelgroep[[#This Row],[Implementatiegraad t = T + 1]]-uitkomst_doelgroep[[#This Row],[Implementatiegraad t = T]])*INDEX(Berekening_impact[Initiële investering (totaal) - incl. schatting],MATCH(B327,IF(Berekening_impact[Doelgroep]=C327,Berekening_impact[Digitale zorgtoepassing]),0))</f>
        <v>3361598.9429354696</v>
      </c>
      <c r="S327" s="398">
        <f>uitkomst_doelgroep[[#This Row],[Arbeidsbesparing (€)]]*uitkomst_doelgroep[[#This Row],[Percentage van patiëntaantallen in Wlz (overige is Zvw)]]</f>
        <v>18164954.643440299</v>
      </c>
      <c r="T327" s="398">
        <f>uitkomst_doelgroep[[#This Row],[Overige besparingen (€)]]*uitkomst_doelgroep[[#This Row],[Percentage van patiëntaantallen in Wlz (overige is Zvw)]]</f>
        <v>1728479.0968593946</v>
      </c>
      <c r="U327" s="398">
        <f>uitkomst_doelgroep[[#This Row],[Kosten (€)]]*uitkomst_doelgroep[[#This Row],[Percentage van patiëntaantallen in Wlz (overige is Zvw)]]</f>
        <v>4873731.9482766269</v>
      </c>
      <c r="V327" s="398">
        <f>uitkomst_doelgroep[[#This Row],[Investering (cash flow) (€)]]*uitkomst_doelgroep[[#This Row],[Percentage van patiëntaantallen in Wlz (overige is Zvw)]]</f>
        <v>3361598.9429354696</v>
      </c>
    </row>
    <row r="328" spans="1:22" x14ac:dyDescent="0.5">
      <c r="A328" s="33" t="str">
        <f>INDEX(Technologieën[Veld],MATCH(B328,Technologieën[Digitale zorgtoepassing],0))</f>
        <v>Sensoren - Verpleging</v>
      </c>
      <c r="B328" s="33" t="s">
        <v>46</v>
      </c>
      <c r="C328" s="33" t="s">
        <v>20</v>
      </c>
      <c r="D328" s="427" cm="1">
        <f t="array" ref="D328">INDEX(Berekening_patiëntaantal[Percentage van patiëntaantallen in Wlz (overige is Zvw)],MATCH(B328,IF(Berekening_patiëntaantal[Doelgroep (zoeksleutel)]=C328,Berekening_patiëntaantal[Digitale zorgtoepassing]),0))</f>
        <v>1</v>
      </c>
      <c r="E328" s="33" t="str" cm="1">
        <f t="array" ref="E328">INDEX(Berekening_patiëntaantal[Direct toepasbaar/extrapolatie/incidentie voor QALY],MATCH(B328,IF(Berekening_patiëntaantal[Doelgroep (zoeksleutel)]=C328,Berekening_patiëntaantal[Digitale zorgtoepassing]),0))</f>
        <v>Huidige toepassing</v>
      </c>
      <c r="F328" s="43" t="s">
        <v>812</v>
      </c>
      <c r="G328" s="33" t="str">
        <f>CONCATENATE(uitkomst_doelgroep[[#This Row],[Digitale zorgtoepassing]],"_",uitkomst_doelgroep[[#This Row],[Doelgroep]],"_",uitkomst_doelgroep[[#This Row],[Uitgangssituatie/effect beleid]])</f>
        <v>Leefcirkels_Dementie_Effect beleid</v>
      </c>
      <c r="H328" s="33">
        <v>2027</v>
      </c>
      <c r="I328" s="32">
        <v>5</v>
      </c>
      <c r="J328" s="406" cm="1">
        <f t="array" ref="J328">INDEX(implementatie[[2023]:[2034]],MATCH(G328, implementatie[Zoeksleutel],0),I328)</f>
        <v>0.53135248337682706</v>
      </c>
      <c r="K328" s="406" cm="1">
        <f t="array" ref="K328">INDEX(implementatie[[2023]:[2034]],MATCH(G328,implementatie[Zoeksleutel],0),I328 + 1)</f>
        <v>0.62553815375131172</v>
      </c>
      <c r="L32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41604.899448405558</v>
      </c>
      <c r="M328" s="398" cm="1">
        <f t="array" ref="M328">J328*INDEX(Berekening_impact[Totaal arbeidsbesparing (€/jaar)],MATCH(B328,IF(Berekening_impact[Doelgroep]=C328,Berekening_impact[Digitale zorgtoepassing]),0))</f>
        <v>22096934.037615586</v>
      </c>
      <c r="N328" s="397" cm="1">
        <f t="array" ref="N328">J328*INDEX(Berekening_impact[Totaal arbeidsbesparing (FTE/jaar)],MATCH(B328,IF(Berekening_impact[Doelgroep]=C328,Berekening_impact[Digitale zorgtoepassing]),0))</f>
        <v>520.48980570031404</v>
      </c>
      <c r="O328" s="398" cm="1">
        <f t="array" ref="O328">J328*INDEX(Berekening_impact[Overige kostenbesparing (totaal/jaar totaal potentieel)],MATCH(B328,IF(Berekening_impact[Doelgroep]=C328,Berekening_impact[Digitale zorgtoepassing]),0))</f>
        <v>2102625.0457769237</v>
      </c>
      <c r="P328" s="398" cm="1">
        <f t="array" ref="P328">J328*INDEX(Berekening_impact[Opbrengsten door QALY''s],MATCH(B328,IF(Berekening_impact[Doelgroep]=C328,Berekening_impact[Digitale zorgtoepassing]),0))</f>
        <v>0</v>
      </c>
      <c r="Q328" s="398" cm="1">
        <f t="array" ref="Q328">J328*INDEX(Berekening_impact[Jaarlijkse kosten (totaal) - incl. schatting],MATCH(B328,IF(Berekening_impact[Doelgroep]=C328,Berekening_impact[Digitale zorgtoepassing]),0))</f>
        <v>5928698.1713977922</v>
      </c>
      <c r="R328" s="398" cm="1">
        <f t="array" ref="R328">(uitkomst_doelgroep[[#This Row],[Implementatiegraad t = T + 1]]-uitkomst_doelgroep[[#This Row],[Implementatiegraad t = T]])*INDEX(Berekening_impact[Initiële investering (totaal) - incl. schatting],MATCH(B328,IF(Berekening_impact[Doelgroep]=C328,Berekening_impact[Digitale zorgtoepassing]),0))</f>
        <v>3348642.6406213124</v>
      </c>
      <c r="S328" s="398">
        <f>uitkomst_doelgroep[[#This Row],[Arbeidsbesparing (€)]]*uitkomst_doelgroep[[#This Row],[Percentage van patiëntaantallen in Wlz (overige is Zvw)]]</f>
        <v>22096934.037615586</v>
      </c>
      <c r="T328" s="398">
        <f>uitkomst_doelgroep[[#This Row],[Overige besparingen (€)]]*uitkomst_doelgroep[[#This Row],[Percentage van patiëntaantallen in Wlz (overige is Zvw)]]</f>
        <v>2102625.0457769237</v>
      </c>
      <c r="U328" s="398">
        <f>uitkomst_doelgroep[[#This Row],[Kosten (€)]]*uitkomst_doelgroep[[#This Row],[Percentage van patiëntaantallen in Wlz (overige is Zvw)]]</f>
        <v>5928698.1713977922</v>
      </c>
      <c r="V328" s="398">
        <f>uitkomst_doelgroep[[#This Row],[Investering (cash flow) (€)]]*uitkomst_doelgroep[[#This Row],[Percentage van patiëntaantallen in Wlz (overige is Zvw)]]</f>
        <v>3348642.6406213124</v>
      </c>
    </row>
    <row r="329" spans="1:22" x14ac:dyDescent="0.5">
      <c r="A329" s="33" t="str">
        <f>INDEX(Technologieën[Veld],MATCH(B329,Technologieën[Digitale zorgtoepassing],0))</f>
        <v>Sensoren - Verpleging</v>
      </c>
      <c r="B329" s="33" t="s">
        <v>46</v>
      </c>
      <c r="C329" s="33" t="s">
        <v>20</v>
      </c>
      <c r="D329" s="427" cm="1">
        <f t="array" ref="D329">INDEX(Berekening_patiëntaantal[Percentage van patiëntaantallen in Wlz (overige is Zvw)],MATCH(B329,IF(Berekening_patiëntaantal[Doelgroep (zoeksleutel)]=C329,Berekening_patiëntaantal[Digitale zorgtoepassing]),0))</f>
        <v>1</v>
      </c>
      <c r="E329" s="33" t="str" cm="1">
        <f t="array" ref="E329">INDEX(Berekening_patiëntaantal[Direct toepasbaar/extrapolatie/incidentie voor QALY],MATCH(B329,IF(Berekening_patiëntaantal[Doelgroep (zoeksleutel)]=C329,Berekening_patiëntaantal[Digitale zorgtoepassing]),0))</f>
        <v>Huidige toepassing</v>
      </c>
      <c r="F329" s="43" t="s">
        <v>812</v>
      </c>
      <c r="G329" s="33" t="str">
        <f>CONCATENATE(uitkomst_doelgroep[[#This Row],[Digitale zorgtoepassing]],"_",uitkomst_doelgroep[[#This Row],[Doelgroep]],"_",uitkomst_doelgroep[[#This Row],[Uitgangssituatie/effect beleid]])</f>
        <v>Leefcirkels_Dementie_Effect beleid</v>
      </c>
      <c r="H329" s="33">
        <v>2028</v>
      </c>
      <c r="I329" s="32">
        <v>6</v>
      </c>
      <c r="J329" s="406" cm="1">
        <f t="array" ref="J329">INDEX(implementatie[[2023]:[2034]],MATCH(G329, implementatie[Zoeksleutel],0),I329)</f>
        <v>0.62553815375131172</v>
      </c>
      <c r="K329" s="406" cm="1">
        <f t="array" ref="K329">INDEX(implementatie[[2023]:[2034]],MATCH(G329,implementatie[Zoeksleutel],0),I329 + 1)</f>
        <v>0.71313914162849124</v>
      </c>
      <c r="L32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48979.63743872771</v>
      </c>
      <c r="M329" s="398" cm="1">
        <f t="array" ref="M329">J329*INDEX(Berekening_impact[Totaal arbeidsbesparing (€/jaar)],MATCH(B329,IF(Berekening_impact[Doelgroep]=C329,Berekening_impact[Digitale zorgtoepassing]),0))</f>
        <v>26013758.764446922</v>
      </c>
      <c r="N329" s="397" cm="1">
        <f t="array" ref="N329">J329*INDEX(Berekening_impact[Totaal arbeidsbesparing (FTE/jaar)],MATCH(B329,IF(Berekening_impact[Doelgroep]=C329,Berekening_impact[Digitale zorgtoepassing]),0))</f>
        <v>612.74999607605605</v>
      </c>
      <c r="O329" s="398" cm="1">
        <f t="array" ref="O329">J329*INDEX(Berekening_impact[Overige kostenbesparing (totaal/jaar totaal potentieel)],MATCH(B329,IF(Berekening_impact[Doelgroep]=C329,Berekening_impact[Digitale zorgtoepassing]),0))</f>
        <v>2475328.9582986538</v>
      </c>
      <c r="P329" s="398" cm="1">
        <f t="array" ref="P329">J329*INDEX(Berekening_impact[Opbrengsten door QALY''s],MATCH(B329,IF(Berekening_impact[Doelgroep]=C329,Berekening_impact[Digitale zorgtoepassing]),0))</f>
        <v>0</v>
      </c>
      <c r="Q329" s="398" cm="1">
        <f t="array" ref="Q329">J329*INDEX(Berekening_impact[Jaarlijkse kosten (totaal) - incl. schatting],MATCH(B329,IF(Berekening_impact[Doelgroep]=C329,Berekening_impact[Digitale zorgtoepassing]),0))</f>
        <v>6979598.3350186981</v>
      </c>
      <c r="R329" s="398" cm="1">
        <f t="array" ref="R329">(uitkomst_doelgroep[[#This Row],[Implementatiegraad t = T + 1]]-uitkomst_doelgroep[[#This Row],[Implementatiegraad t = T]])*INDEX(Berekening_impact[Initiële investering (totaal) - incl. schatting],MATCH(B329,IF(Berekening_impact[Doelgroep]=C329,Berekening_impact[Digitale zorgtoepassing]),0))</f>
        <v>3114533.2639214545</v>
      </c>
      <c r="S329" s="398">
        <f>uitkomst_doelgroep[[#This Row],[Arbeidsbesparing (€)]]*uitkomst_doelgroep[[#This Row],[Percentage van patiëntaantallen in Wlz (overige is Zvw)]]</f>
        <v>26013758.764446922</v>
      </c>
      <c r="T329" s="398">
        <f>uitkomst_doelgroep[[#This Row],[Overige besparingen (€)]]*uitkomst_doelgroep[[#This Row],[Percentage van patiëntaantallen in Wlz (overige is Zvw)]]</f>
        <v>2475328.9582986538</v>
      </c>
      <c r="U329" s="398">
        <f>uitkomst_doelgroep[[#This Row],[Kosten (€)]]*uitkomst_doelgroep[[#This Row],[Percentage van patiëntaantallen in Wlz (overige is Zvw)]]</f>
        <v>6979598.3350186981</v>
      </c>
      <c r="V329" s="398">
        <f>uitkomst_doelgroep[[#This Row],[Investering (cash flow) (€)]]*uitkomst_doelgroep[[#This Row],[Percentage van patiëntaantallen in Wlz (overige is Zvw)]]</f>
        <v>3114533.2639214545</v>
      </c>
    </row>
    <row r="330" spans="1:22" x14ac:dyDescent="0.5">
      <c r="A330" s="33" t="str">
        <f>INDEX(Technologieën[Veld],MATCH(B330,Technologieën[Digitale zorgtoepassing],0))</f>
        <v>Sensoren - Verpleging</v>
      </c>
      <c r="B330" s="33" t="s">
        <v>46</v>
      </c>
      <c r="C330" s="33" t="s">
        <v>20</v>
      </c>
      <c r="D330" s="427" cm="1">
        <f t="array" ref="D330">INDEX(Berekening_patiëntaantal[Percentage van patiëntaantallen in Wlz (overige is Zvw)],MATCH(B330,IF(Berekening_patiëntaantal[Doelgroep (zoeksleutel)]=C330,Berekening_patiëntaantal[Digitale zorgtoepassing]),0))</f>
        <v>1</v>
      </c>
      <c r="E330" s="33" t="str" cm="1">
        <f t="array" ref="E330">INDEX(Berekening_patiëntaantal[Direct toepasbaar/extrapolatie/incidentie voor QALY],MATCH(B330,IF(Berekening_patiëntaantal[Doelgroep (zoeksleutel)]=C330,Berekening_patiëntaantal[Digitale zorgtoepassing]),0))</f>
        <v>Huidige toepassing</v>
      </c>
      <c r="F330" s="43" t="s">
        <v>812</v>
      </c>
      <c r="G330" s="33" t="str">
        <f>CONCATENATE(uitkomst_doelgroep[[#This Row],[Digitale zorgtoepassing]],"_",uitkomst_doelgroep[[#This Row],[Doelgroep]],"_",uitkomst_doelgroep[[#This Row],[Uitgangssituatie/effect beleid]])</f>
        <v>Leefcirkels_Dementie_Effect beleid</v>
      </c>
      <c r="H330" s="33">
        <v>2029</v>
      </c>
      <c r="I330" s="32">
        <v>7</v>
      </c>
      <c r="J330" s="406" cm="1">
        <f t="array" ref="J330">INDEX(implementatie[[2023]:[2034]],MATCH(G330, implementatie[Zoeksleutel],0),I330)</f>
        <v>0.71313914162849124</v>
      </c>
      <c r="K330" s="406" cm="1">
        <f t="array" ref="K330">INDEX(implementatie[[2023]:[2034]],MATCH(G330,implementatie[Zoeksleutel],0),I330 + 1)</f>
        <v>0.78904215171111836</v>
      </c>
      <c r="L33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55838.794789510866</v>
      </c>
      <c r="M330" s="398" cm="1">
        <f t="array" ref="M330">J330*INDEX(Berekening_impact[Totaal arbeidsbesparing (€/jaar)],MATCH(B330,IF(Berekening_impact[Doelgroep]=C330,Berekening_impact[Digitale zorgtoepassing]),0))</f>
        <v>29656751.525956646</v>
      </c>
      <c r="N330" s="397" cm="1">
        <f t="array" ref="N330">J330*INDEX(Berekening_impact[Totaal arbeidsbesparing (FTE/jaar)],MATCH(B330,IF(Berekening_impact[Doelgroep]=C330,Berekening_impact[Digitale zorgtoepassing]),0))</f>
        <v>698.56011757879719</v>
      </c>
      <c r="O330" s="398" cm="1">
        <f t="array" ref="O330">J330*INDEX(Berekening_impact[Overige kostenbesparing (totaal/jaar totaal potentieel)],MATCH(B330,IF(Berekening_impact[Doelgroep]=C330,Berekening_impact[Digitale zorgtoepassing]),0))</f>
        <v>2821976.4981290684</v>
      </c>
      <c r="P330" s="398" cm="1">
        <f t="array" ref="P330">J330*INDEX(Berekening_impact[Opbrengsten door QALY''s],MATCH(B330,IF(Berekening_impact[Doelgroep]=C330,Berekening_impact[Digitale zorgtoepassing]),0))</f>
        <v>0</v>
      </c>
      <c r="Q330" s="398" cm="1">
        <f t="array" ref="Q330">J330*INDEX(Berekening_impact[Jaarlijkse kosten (totaal) - incl. schatting],MATCH(B330,IF(Berekening_impact[Doelgroep]=C330,Berekening_impact[Digitale zorgtoepassing]),0))</f>
        <v>7957028.2575052977</v>
      </c>
      <c r="R330" s="398" cm="1">
        <f t="array" ref="R330">(uitkomst_doelgroep[[#This Row],[Implementatiegraad t = T + 1]]-uitkomst_doelgroep[[#This Row],[Implementatiegraad t = T]])*INDEX(Berekening_impact[Initiële investering (totaal) - incl. schatting],MATCH(B330,IF(Berekening_impact[Doelgroep]=C330,Berekening_impact[Digitale zorgtoepassing]),0))</f>
        <v>2698627.6691942615</v>
      </c>
      <c r="S330" s="398">
        <f>uitkomst_doelgroep[[#This Row],[Arbeidsbesparing (€)]]*uitkomst_doelgroep[[#This Row],[Percentage van patiëntaantallen in Wlz (overige is Zvw)]]</f>
        <v>29656751.525956646</v>
      </c>
      <c r="T330" s="398">
        <f>uitkomst_doelgroep[[#This Row],[Overige besparingen (€)]]*uitkomst_doelgroep[[#This Row],[Percentage van patiëntaantallen in Wlz (overige is Zvw)]]</f>
        <v>2821976.4981290684</v>
      </c>
      <c r="U330" s="398">
        <f>uitkomst_doelgroep[[#This Row],[Kosten (€)]]*uitkomst_doelgroep[[#This Row],[Percentage van patiëntaantallen in Wlz (overige is Zvw)]]</f>
        <v>7957028.2575052977</v>
      </c>
      <c r="V330" s="398">
        <f>uitkomst_doelgroep[[#This Row],[Investering (cash flow) (€)]]*uitkomst_doelgroep[[#This Row],[Percentage van patiëntaantallen in Wlz (overige is Zvw)]]</f>
        <v>2698627.6691942615</v>
      </c>
    </row>
    <row r="331" spans="1:22" x14ac:dyDescent="0.5">
      <c r="A331" s="33" t="str">
        <f>INDEX(Technologieën[Veld],MATCH(B331,Technologieën[Digitale zorgtoepassing],0))</f>
        <v>Sensoren - Verpleging</v>
      </c>
      <c r="B331" s="33" t="s">
        <v>46</v>
      </c>
      <c r="C331" s="33" t="s">
        <v>20</v>
      </c>
      <c r="D331" s="427" cm="1">
        <f t="array" ref="D331">INDEX(Berekening_patiëntaantal[Percentage van patiëntaantallen in Wlz (overige is Zvw)],MATCH(B331,IF(Berekening_patiëntaantal[Doelgroep (zoeksleutel)]=C331,Berekening_patiëntaantal[Digitale zorgtoepassing]),0))</f>
        <v>1</v>
      </c>
      <c r="E331" s="33" t="str" cm="1">
        <f t="array" ref="E331">INDEX(Berekening_patiëntaantal[Direct toepasbaar/extrapolatie/incidentie voor QALY],MATCH(B331,IF(Berekening_patiëntaantal[Doelgroep (zoeksleutel)]=C331,Berekening_patiëntaantal[Digitale zorgtoepassing]),0))</f>
        <v>Huidige toepassing</v>
      </c>
      <c r="F331" s="43" t="s">
        <v>812</v>
      </c>
      <c r="G331" s="33" t="str">
        <f>CONCATENATE(uitkomst_doelgroep[[#This Row],[Digitale zorgtoepassing]],"_",uitkomst_doelgroep[[#This Row],[Doelgroep]],"_",uitkomst_doelgroep[[#This Row],[Uitgangssituatie/effect beleid]])</f>
        <v>Leefcirkels_Dementie_Effect beleid</v>
      </c>
      <c r="H331" s="33">
        <v>2030</v>
      </c>
      <c r="I331" s="32">
        <v>8</v>
      </c>
      <c r="J331" s="406" cm="1">
        <f t="array" ref="J331">INDEX(implementatie[[2023]:[2034]],MATCH(G331, implementatie[Zoeksleutel],0),I331)</f>
        <v>0.78904215171111836</v>
      </c>
      <c r="K331" s="406" cm="1">
        <f t="array" ref="K331">INDEX(implementatie[[2023]:[2034]],MATCH(G331,implementatie[Zoeksleutel],0),I331 + 1)</f>
        <v>0.85046564152242399</v>
      </c>
      <c r="L33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61782.000478980568</v>
      </c>
      <c r="M331" s="398" cm="1">
        <f t="array" ref="M331">J331*INDEX(Berekening_impact[Totaal arbeidsbesparing (€/jaar)],MATCH(B331,IF(Berekening_impact[Doelgroep]=C331,Berekening_impact[Digitale zorgtoepassing]),0))</f>
        <v>32813269.768599018</v>
      </c>
      <c r="N331" s="397" cm="1">
        <f t="array" ref="N331">J331*INDEX(Berekening_impact[Totaal arbeidsbesparing (FTE/jaar)],MATCH(B331,IF(Berekening_impact[Doelgroep]=C331,Berekening_impact[Digitale zorgtoepassing]),0))</f>
        <v>772.91140830563086</v>
      </c>
      <c r="O331" s="398" cm="1">
        <f t="array" ref="O331">J331*INDEX(Berekening_impact[Overige kostenbesparing (totaal/jaar totaal potentieel)],MATCH(B331,IF(Berekening_impact[Doelgroep]=C331,Berekening_impact[Digitale zorgtoepassing]),0))</f>
        <v>3122333.7469280874</v>
      </c>
      <c r="P331" s="398" cm="1">
        <f t="array" ref="P331">J331*INDEX(Berekening_impact[Opbrengsten door QALY''s],MATCH(B331,IF(Berekening_impact[Doelgroep]=C331,Berekening_impact[Digitale zorgtoepassing]),0))</f>
        <v>0</v>
      </c>
      <c r="Q331" s="398" cm="1">
        <f t="array" ref="Q331">J331*INDEX(Berekening_impact[Jaarlijkse kosten (totaal) - incl. schatting],MATCH(B331,IF(Berekening_impact[Doelgroep]=C331,Berekening_impact[Digitale zorgtoepassing]),0))</f>
        <v>8803935.0682547316</v>
      </c>
      <c r="R331" s="398" cm="1">
        <f t="array" ref="R331">(uitkomst_doelgroep[[#This Row],[Implementatiegraad t = T + 1]]-uitkomst_doelgroep[[#This Row],[Implementatiegraad t = T]])*INDEX(Berekening_impact[Initiële investering (totaal) - incl. schatting],MATCH(B331,IF(Berekening_impact[Doelgroep]=C331,Berekening_impact[Digitale zorgtoepassing]),0))</f>
        <v>2183828.1375510376</v>
      </c>
      <c r="S331" s="398">
        <f>uitkomst_doelgroep[[#This Row],[Arbeidsbesparing (€)]]*uitkomst_doelgroep[[#This Row],[Percentage van patiëntaantallen in Wlz (overige is Zvw)]]</f>
        <v>32813269.768599018</v>
      </c>
      <c r="T331" s="398">
        <f>uitkomst_doelgroep[[#This Row],[Overige besparingen (€)]]*uitkomst_doelgroep[[#This Row],[Percentage van patiëntaantallen in Wlz (overige is Zvw)]]</f>
        <v>3122333.7469280874</v>
      </c>
      <c r="U331" s="398">
        <f>uitkomst_doelgroep[[#This Row],[Kosten (€)]]*uitkomst_doelgroep[[#This Row],[Percentage van patiëntaantallen in Wlz (overige is Zvw)]]</f>
        <v>8803935.0682547316</v>
      </c>
      <c r="V331" s="398">
        <f>uitkomst_doelgroep[[#This Row],[Investering (cash flow) (€)]]*uitkomst_doelgroep[[#This Row],[Percentage van patiëntaantallen in Wlz (overige is Zvw)]]</f>
        <v>2183828.1375510376</v>
      </c>
    </row>
    <row r="332" spans="1:22" x14ac:dyDescent="0.5">
      <c r="A332" s="33" t="str">
        <f>INDEX(Technologieën[Veld],MATCH(B332,Technologieën[Digitale zorgtoepassing],0))</f>
        <v>Sensoren - Verpleging</v>
      </c>
      <c r="B332" s="33" t="s">
        <v>46</v>
      </c>
      <c r="C332" s="33" t="s">
        <v>20</v>
      </c>
      <c r="D332" s="427" cm="1">
        <f t="array" ref="D332">INDEX(Berekening_patiëntaantal[Percentage van patiëntaantallen in Wlz (overige is Zvw)],MATCH(B332,IF(Berekening_patiëntaantal[Doelgroep (zoeksleutel)]=C332,Berekening_patiëntaantal[Digitale zorgtoepassing]),0))</f>
        <v>1</v>
      </c>
      <c r="E332" s="33" t="str" cm="1">
        <f t="array" ref="E332">INDEX(Berekening_patiëntaantal[Direct toepasbaar/extrapolatie/incidentie voor QALY],MATCH(B332,IF(Berekening_patiëntaantal[Doelgroep (zoeksleutel)]=C332,Berekening_patiëntaantal[Digitale zorgtoepassing]),0))</f>
        <v>Huidige toepassing</v>
      </c>
      <c r="F332" s="43" t="s">
        <v>812</v>
      </c>
      <c r="G332" s="33" t="str">
        <f>CONCATENATE(uitkomst_doelgroep[[#This Row],[Digitale zorgtoepassing]],"_",uitkomst_doelgroep[[#This Row],[Doelgroep]],"_",uitkomst_doelgroep[[#This Row],[Uitgangssituatie/effect beleid]])</f>
        <v>Leefcirkels_Dementie_Effect beleid</v>
      </c>
      <c r="H332" s="33">
        <v>2031</v>
      </c>
      <c r="I332" s="32">
        <v>9</v>
      </c>
      <c r="J332" s="406" cm="1">
        <f t="array" ref="J332">INDEX(implementatie[[2023]:[2034]],MATCH(G332, implementatie[Zoeksleutel],0),I332)</f>
        <v>0.85046564152242399</v>
      </c>
      <c r="K332" s="406" cm="1">
        <f t="array" ref="K332">INDEX(implementatie[[2023]:[2034]],MATCH(G332,implementatie[Zoeksleutel],0),I332 + 1)</f>
        <v>0.89721949883888419</v>
      </c>
      <c r="L33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66591.459731205803</v>
      </c>
      <c r="M332" s="398" cm="1">
        <f t="array" ref="M332">J332*INDEX(Berekening_impact[Totaal arbeidsbesparing (€/jaar)],MATCH(B332,IF(Berekening_impact[Doelgroep]=C332,Berekening_impact[Digitale zorgtoepassing]),0))</f>
        <v>35367639.692862682</v>
      </c>
      <c r="N332" s="397" cm="1">
        <f t="array" ref="N332">J332*INDEX(Berekening_impact[Totaal arbeidsbesparing (FTE/jaar)],MATCH(B332,IF(Berekening_impact[Doelgroep]=C332,Berekening_impact[Digitale zorgtoepassing]),0))</f>
        <v>833.07919010302737</v>
      </c>
      <c r="O332" s="398" cm="1">
        <f t="array" ref="O332">J332*INDEX(Berekening_impact[Overige kostenbesparing (totaal/jaar totaal potentieel)],MATCH(B332,IF(Berekening_impact[Doelgroep]=C332,Berekening_impact[Digitale zorgtoepassing]),0))</f>
        <v>3365393.8099120846</v>
      </c>
      <c r="P332" s="398" cm="1">
        <f t="array" ref="P332">J332*INDEX(Berekening_impact[Opbrengsten door QALY''s],MATCH(B332,IF(Berekening_impact[Doelgroep]=C332,Berekening_impact[Digitale zorgtoepassing]),0))</f>
        <v>0</v>
      </c>
      <c r="Q332" s="398" cm="1">
        <f t="array" ref="Q332">J332*INDEX(Berekening_impact[Jaarlijkse kosten (totaal) - incl. schatting],MATCH(B332,IF(Berekening_impact[Doelgroep]=C332,Berekening_impact[Digitale zorgtoepassing]),0))</f>
        <v>9489283.0116968267</v>
      </c>
      <c r="R332" s="398" cm="1">
        <f t="array" ref="R332">(uitkomst_doelgroep[[#This Row],[Implementatiegraad t = T + 1]]-uitkomst_doelgroep[[#This Row],[Implementatiegraad t = T]])*INDEX(Berekening_impact[Initiële investering (totaal) - incl. schatting],MATCH(B332,IF(Berekening_impact[Doelgroep]=C332,Berekening_impact[Digitale zorgtoepassing]),0))</f>
        <v>1662269.4259214692</v>
      </c>
      <c r="S332" s="398">
        <f>uitkomst_doelgroep[[#This Row],[Arbeidsbesparing (€)]]*uitkomst_doelgroep[[#This Row],[Percentage van patiëntaantallen in Wlz (overige is Zvw)]]</f>
        <v>35367639.692862682</v>
      </c>
      <c r="T332" s="398">
        <f>uitkomst_doelgroep[[#This Row],[Overige besparingen (€)]]*uitkomst_doelgroep[[#This Row],[Percentage van patiëntaantallen in Wlz (overige is Zvw)]]</f>
        <v>3365393.8099120846</v>
      </c>
      <c r="U332" s="398">
        <f>uitkomst_doelgroep[[#This Row],[Kosten (€)]]*uitkomst_doelgroep[[#This Row],[Percentage van patiëntaantallen in Wlz (overige is Zvw)]]</f>
        <v>9489283.0116968267</v>
      </c>
      <c r="V332" s="398">
        <f>uitkomst_doelgroep[[#This Row],[Investering (cash flow) (€)]]*uitkomst_doelgroep[[#This Row],[Percentage van patiëntaantallen in Wlz (overige is Zvw)]]</f>
        <v>1662269.4259214692</v>
      </c>
    </row>
    <row r="333" spans="1:22" x14ac:dyDescent="0.5">
      <c r="A333" s="33" t="str">
        <f>INDEX(Technologieën[Veld],MATCH(B333,Technologieën[Digitale zorgtoepassing],0))</f>
        <v>Sensoren - Verpleging</v>
      </c>
      <c r="B333" s="33" t="s">
        <v>46</v>
      </c>
      <c r="C333" s="33" t="s">
        <v>20</v>
      </c>
      <c r="D333" s="427" cm="1">
        <f t="array" ref="D333">INDEX(Berekening_patiëntaantal[Percentage van patiëntaantallen in Wlz (overige is Zvw)],MATCH(B333,IF(Berekening_patiëntaantal[Doelgroep (zoeksleutel)]=C333,Berekening_patiëntaantal[Digitale zorgtoepassing]),0))</f>
        <v>1</v>
      </c>
      <c r="E333" s="33" t="str" cm="1">
        <f t="array" ref="E333">INDEX(Berekening_patiëntaantal[Direct toepasbaar/extrapolatie/incidentie voor QALY],MATCH(B333,IF(Berekening_patiëntaantal[Doelgroep (zoeksleutel)]=C333,Berekening_patiëntaantal[Digitale zorgtoepassing]),0))</f>
        <v>Huidige toepassing</v>
      </c>
      <c r="F333" s="43" t="s">
        <v>812</v>
      </c>
      <c r="G333" s="33" t="str">
        <f>CONCATENATE(uitkomst_doelgroep[[#This Row],[Digitale zorgtoepassing]],"_",uitkomst_doelgroep[[#This Row],[Doelgroep]],"_",uitkomst_doelgroep[[#This Row],[Uitgangssituatie/effect beleid]])</f>
        <v>Leefcirkels_Dementie_Effect beleid</v>
      </c>
      <c r="H333" s="33">
        <v>2032</v>
      </c>
      <c r="I333" s="32">
        <v>10</v>
      </c>
      <c r="J333" s="406" cm="1">
        <f t="array" ref="J333">INDEX(implementatie[[2023]:[2034]],MATCH(G333, implementatie[Zoeksleutel],0),I333)</f>
        <v>0.89721949883888419</v>
      </c>
      <c r="K333" s="406" cm="1">
        <f t="array" ref="K333">INDEX(implementatie[[2023]:[2034]],MATCH(G333,implementatie[Zoeksleutel],0),I333 + 1)</f>
        <v>0.93103704076606597</v>
      </c>
      <c r="L33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70252.286759084629</v>
      </c>
      <c r="M333" s="398" cm="1">
        <f t="array" ref="M333">J333*INDEX(Berekening_impact[Totaal arbeidsbesparing (€/jaar)],MATCH(B333,IF(Berekening_impact[Doelgroep]=C333,Berekening_impact[Digitale zorgtoepassing]),0))</f>
        <v>37311955.252583593</v>
      </c>
      <c r="N333" s="397" cm="1">
        <f t="array" ref="N333">J333*INDEX(Berekening_impact[Totaal arbeidsbesparing (FTE/jaar)],MATCH(B333,IF(Berekening_impact[Doelgroep]=C333,Berekening_impact[Digitale zorgtoepassing]),0))</f>
        <v>878.87723729710933</v>
      </c>
      <c r="O333" s="398" cm="1">
        <f t="array" ref="O333">J333*INDEX(Berekening_impact[Overige kostenbesparing (totaal/jaar totaal potentieel)],MATCH(B333,IF(Berekening_impact[Doelgroep]=C333,Berekening_impact[Digitale zorgtoepassing]),0))</f>
        <v>3550404.3903755862</v>
      </c>
      <c r="P333" s="398" cm="1">
        <f t="array" ref="P333">J333*INDEX(Berekening_impact[Opbrengsten door QALY''s],MATCH(B333,IF(Berekening_impact[Doelgroep]=C333,Berekening_impact[Digitale zorgtoepassing]),0))</f>
        <v>0</v>
      </c>
      <c r="Q333" s="398" cm="1">
        <f t="array" ref="Q333">J333*INDEX(Berekening_impact[Jaarlijkse kosten (totaal) - incl. schatting],MATCH(B333,IF(Berekening_impact[Doelgroep]=C333,Berekening_impact[Digitale zorgtoepassing]),0))</f>
        <v>10010950.86316956</v>
      </c>
      <c r="R333" s="398" cm="1">
        <f t="array" ref="R333">(uitkomst_doelgroep[[#This Row],[Implementatiegraad t = T + 1]]-uitkomst_doelgroep[[#This Row],[Implementatiegraad t = T]])*INDEX(Berekening_impact[Initiële investering (totaal) - incl. schatting],MATCH(B333,IF(Berekening_impact[Doelgroep]=C333,Berekening_impact[Digitale zorgtoepassing]),0))</f>
        <v>1202336.4323692063</v>
      </c>
      <c r="S333" s="398">
        <f>uitkomst_doelgroep[[#This Row],[Arbeidsbesparing (€)]]*uitkomst_doelgroep[[#This Row],[Percentage van patiëntaantallen in Wlz (overige is Zvw)]]</f>
        <v>37311955.252583593</v>
      </c>
      <c r="T333" s="398">
        <f>uitkomst_doelgroep[[#This Row],[Overige besparingen (€)]]*uitkomst_doelgroep[[#This Row],[Percentage van patiëntaantallen in Wlz (overige is Zvw)]]</f>
        <v>3550404.3903755862</v>
      </c>
      <c r="U333" s="398">
        <f>uitkomst_doelgroep[[#This Row],[Kosten (€)]]*uitkomst_doelgroep[[#This Row],[Percentage van patiëntaantallen in Wlz (overige is Zvw)]]</f>
        <v>10010950.86316956</v>
      </c>
      <c r="V333" s="398">
        <f>uitkomst_doelgroep[[#This Row],[Investering (cash flow) (€)]]*uitkomst_doelgroep[[#This Row],[Percentage van patiëntaantallen in Wlz (overige is Zvw)]]</f>
        <v>1202336.4323692063</v>
      </c>
    </row>
    <row r="334" spans="1:22" x14ac:dyDescent="0.5">
      <c r="A334" s="33" t="str">
        <f>INDEX(Technologieën[Veld],MATCH(B334,Technologieën[Digitale zorgtoepassing],0))</f>
        <v>Sensoren - Verpleging</v>
      </c>
      <c r="B334" s="33" t="s">
        <v>46</v>
      </c>
      <c r="C334" s="33" t="s">
        <v>20</v>
      </c>
      <c r="D334" s="427" cm="1">
        <f t="array" ref="D334">INDEX(Berekening_patiëntaantal[Percentage van patiëntaantallen in Wlz (overige is Zvw)],MATCH(B334,IF(Berekening_patiëntaantal[Doelgroep (zoeksleutel)]=C334,Berekening_patiëntaantal[Digitale zorgtoepassing]),0))</f>
        <v>1</v>
      </c>
      <c r="E334" s="33" t="str" cm="1">
        <f t="array" ref="E334">INDEX(Berekening_patiëntaantal[Direct toepasbaar/extrapolatie/incidentie voor QALY],MATCH(B334,IF(Berekening_patiëntaantal[Doelgroep (zoeksleutel)]=C334,Berekening_patiëntaantal[Digitale zorgtoepassing]),0))</f>
        <v>Huidige toepassing</v>
      </c>
      <c r="F334" s="43" t="s">
        <v>812</v>
      </c>
      <c r="G334" s="33" t="str">
        <f>CONCATENATE(uitkomst_doelgroep[[#This Row],[Digitale zorgtoepassing]],"_",uitkomst_doelgroep[[#This Row],[Doelgroep]],"_",uitkomst_doelgroep[[#This Row],[Uitgangssituatie/effect beleid]])</f>
        <v>Leefcirkels_Dementie_Effect beleid</v>
      </c>
      <c r="H334" s="33">
        <v>2033</v>
      </c>
      <c r="I334" s="32">
        <v>11</v>
      </c>
      <c r="J334" s="406" cm="1">
        <f t="array" ref="J334">INDEX(implementatie[[2023]:[2034]],MATCH(G334, implementatie[Zoeksleutel],0),I334)</f>
        <v>0.93103704076606597</v>
      </c>
      <c r="K334" s="406" cm="1">
        <f t="array" ref="K334">INDEX(implementatie[[2023]:[2034]],MATCH(G334,implementatie[Zoeksleutel],0),I334 + 1)</f>
        <v>0.9545439594752464</v>
      </c>
      <c r="L33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72900.200291982968</v>
      </c>
      <c r="M334" s="398" cm="1">
        <f t="array" ref="M334">J334*INDEX(Berekening_impact[Totaal arbeidsbesparing (€/jaar)],MATCH(B334,IF(Berekening_impact[Doelgroep]=C334,Berekening_impact[Digitale zorgtoepassing]),0))</f>
        <v>38718298.530646876</v>
      </c>
      <c r="N334" s="397" cm="1">
        <f t="array" ref="N334">J334*INDEX(Berekening_impact[Totaal arbeidsbesparing (FTE/jaar)],MATCH(B334,IF(Berekening_impact[Doelgroep]=C334,Berekening_impact[Digitale zorgtoepassing]),0))</f>
        <v>912.00343201267674</v>
      </c>
      <c r="O334" s="398" cm="1">
        <f t="array" ref="O334">J334*INDEX(Berekening_impact[Overige kostenbesparing (totaal/jaar totaal potentieel)],MATCH(B334,IF(Berekening_impact[Doelgroep]=C334,Berekening_impact[Digitale zorgtoepassing]),0))</f>
        <v>3684224.4304943723</v>
      </c>
      <c r="P334" s="398" cm="1">
        <f t="array" ref="P334">J334*INDEX(Berekening_impact[Opbrengsten door QALY''s],MATCH(B334,IF(Berekening_impact[Doelgroep]=C334,Berekening_impact[Digitale zorgtoepassing]),0))</f>
        <v>0</v>
      </c>
      <c r="Q334" s="398" cm="1">
        <f t="array" ref="Q334">J334*INDEX(Berekening_impact[Jaarlijkse kosten (totaal) - incl. schatting],MATCH(B334,IF(Berekening_impact[Doelgroep]=C334,Berekening_impact[Digitale zorgtoepassing]),0))</f>
        <v>10388278.541607572</v>
      </c>
      <c r="R334" s="398" cm="1">
        <f t="array" ref="R334">(uitkomst_doelgroep[[#This Row],[Implementatiegraad t = T + 1]]-uitkomst_doelgroep[[#This Row],[Implementatiegraad t = T]])*INDEX(Berekening_impact[Initiële investering (totaal) - incl. schatting],MATCH(B334,IF(Berekening_impact[Doelgroep]=C334,Berekening_impact[Digitale zorgtoepassing]),0))</f>
        <v>835756.33136338613</v>
      </c>
      <c r="S334" s="398">
        <f>uitkomst_doelgroep[[#This Row],[Arbeidsbesparing (€)]]*uitkomst_doelgroep[[#This Row],[Percentage van patiëntaantallen in Wlz (overige is Zvw)]]</f>
        <v>38718298.530646876</v>
      </c>
      <c r="T334" s="398">
        <f>uitkomst_doelgroep[[#This Row],[Overige besparingen (€)]]*uitkomst_doelgroep[[#This Row],[Percentage van patiëntaantallen in Wlz (overige is Zvw)]]</f>
        <v>3684224.4304943723</v>
      </c>
      <c r="U334" s="398">
        <f>uitkomst_doelgroep[[#This Row],[Kosten (€)]]*uitkomst_doelgroep[[#This Row],[Percentage van patiëntaantallen in Wlz (overige is Zvw)]]</f>
        <v>10388278.541607572</v>
      </c>
      <c r="V334" s="398">
        <f>uitkomst_doelgroep[[#This Row],[Investering (cash flow) (€)]]*uitkomst_doelgroep[[#This Row],[Percentage van patiëntaantallen in Wlz (overige is Zvw)]]</f>
        <v>835756.33136338613</v>
      </c>
    </row>
    <row r="335" spans="1:22" x14ac:dyDescent="0.5">
      <c r="A335" s="33" t="str">
        <f>INDEX(Technologieën[Veld],MATCH(B335,Technologieën[Digitale zorgtoepassing],0))</f>
        <v>Sensoren - Verpleging</v>
      </c>
      <c r="B335" s="33" t="s">
        <v>36</v>
      </c>
      <c r="C335" s="33" t="s">
        <v>24</v>
      </c>
      <c r="D335" s="427" cm="1">
        <f t="array" ref="D335">INDEX(Berekening_patiëntaantal[Percentage van patiëntaantallen in Wlz (overige is Zvw)],MATCH(B335,IF(Berekening_patiëntaantal[Doelgroep (zoeksleutel)]=C335,Berekening_patiëntaantal[Digitale zorgtoepassing]),0))</f>
        <v>0.45</v>
      </c>
      <c r="E335" s="33" t="str" cm="1">
        <f t="array" ref="E335">INDEX(Berekening_patiëntaantal[Direct toepasbaar/extrapolatie/incidentie voor QALY],MATCH(B335,IF(Berekening_patiëntaantal[Doelgroep (zoeksleutel)]=C335,Berekening_patiëntaantal[Digitale zorgtoepassing]),0))</f>
        <v>Extrapolatie</v>
      </c>
      <c r="F335" s="43" t="s">
        <v>812</v>
      </c>
      <c r="G335" s="33" t="str">
        <f>CONCATENATE(uitkomst_doelgroep[[#This Row],[Digitale zorgtoepassing]],"_",uitkomst_doelgroep[[#This Row],[Doelgroep]],"_",uitkomst_doelgroep[[#This Row],[Uitgangssituatie/effect beleid]])</f>
        <v>Leefstijlmonitoring_Cognitieve beperking_Effect beleid</v>
      </c>
      <c r="H335" s="33">
        <v>2023</v>
      </c>
      <c r="I335" s="32">
        <v>1</v>
      </c>
      <c r="J335" s="406" cm="1">
        <f t="array" ref="J335">INDEX(implementatie[[2023]:[2034]],MATCH(G335, implementatie[Zoeksleutel],0),I335)</f>
        <v>0</v>
      </c>
      <c r="K335" s="406" cm="1">
        <f t="array" ref="K335">INDEX(implementatie[[2023]:[2034]],MATCH(G335,implementatie[Zoeksleutel],0),I335 + 1)</f>
        <v>0</v>
      </c>
      <c r="L33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335" s="398" cm="1">
        <f t="array" ref="M335">J335*INDEX(Berekening_impact[Totaal arbeidsbesparing (€/jaar)],MATCH(B335,IF(Berekening_impact[Doelgroep]=C335,Berekening_impact[Digitale zorgtoepassing]),0))</f>
        <v>0</v>
      </c>
      <c r="N335" s="397" cm="1">
        <f t="array" ref="N335">J335*INDEX(Berekening_impact[Totaal arbeidsbesparing (FTE/jaar)],MATCH(B335,IF(Berekening_impact[Doelgroep]=C335,Berekening_impact[Digitale zorgtoepassing]),0))</f>
        <v>0</v>
      </c>
      <c r="O335" s="398" cm="1">
        <f t="array" ref="O335">J335*INDEX(Berekening_impact[Overige kostenbesparing (totaal/jaar totaal potentieel)],MATCH(B335,IF(Berekening_impact[Doelgroep]=C335,Berekening_impact[Digitale zorgtoepassing]),0))</f>
        <v>0</v>
      </c>
      <c r="P335" s="398" cm="1">
        <f t="array" ref="P335">J335*INDEX(Berekening_impact[Opbrengsten door QALY''s],MATCH(B335,IF(Berekening_impact[Doelgroep]=C335,Berekening_impact[Digitale zorgtoepassing]),0))</f>
        <v>0</v>
      </c>
      <c r="Q335" s="398" cm="1">
        <f t="array" ref="Q335">J335*INDEX(Berekening_impact[Jaarlijkse kosten (totaal) - incl. schatting],MATCH(B335,IF(Berekening_impact[Doelgroep]=C335,Berekening_impact[Digitale zorgtoepassing]),0))</f>
        <v>0</v>
      </c>
      <c r="R335" s="398" cm="1">
        <f t="array" ref="R335">(uitkomst_doelgroep[[#This Row],[Implementatiegraad t = T + 1]]-uitkomst_doelgroep[[#This Row],[Implementatiegraad t = T]])*INDEX(Berekening_impact[Initiële investering (totaal) - incl. schatting],MATCH(B335,IF(Berekening_impact[Doelgroep]=C335,Berekening_impact[Digitale zorgtoepassing]),0))</f>
        <v>0</v>
      </c>
      <c r="S335" s="398">
        <f>uitkomst_doelgroep[[#This Row],[Arbeidsbesparing (€)]]*uitkomst_doelgroep[[#This Row],[Percentage van patiëntaantallen in Wlz (overige is Zvw)]]</f>
        <v>0</v>
      </c>
      <c r="T335" s="398">
        <f>uitkomst_doelgroep[[#This Row],[Overige besparingen (€)]]*uitkomst_doelgroep[[#This Row],[Percentage van patiëntaantallen in Wlz (overige is Zvw)]]</f>
        <v>0</v>
      </c>
      <c r="U335" s="398">
        <f>uitkomst_doelgroep[[#This Row],[Kosten (€)]]*uitkomst_doelgroep[[#This Row],[Percentage van patiëntaantallen in Wlz (overige is Zvw)]]</f>
        <v>0</v>
      </c>
      <c r="V335" s="398">
        <f>uitkomst_doelgroep[[#This Row],[Investering (cash flow) (€)]]*uitkomst_doelgroep[[#This Row],[Percentage van patiëntaantallen in Wlz (overige is Zvw)]]</f>
        <v>0</v>
      </c>
    </row>
    <row r="336" spans="1:22" x14ac:dyDescent="0.5">
      <c r="A336" s="33" t="str">
        <f>INDEX(Technologieën[Veld],MATCH(B336,Technologieën[Digitale zorgtoepassing],0))</f>
        <v>Sensoren - Verpleging</v>
      </c>
      <c r="B336" s="33" t="s">
        <v>36</v>
      </c>
      <c r="C336" s="33" t="s">
        <v>40</v>
      </c>
      <c r="D336" s="427" cm="1">
        <f t="array" ref="D336">INDEX(Berekening_patiëntaantal[Percentage van patiëntaantallen in Wlz (overige is Zvw)],MATCH(B336,IF(Berekening_patiëntaantal[Doelgroep (zoeksleutel)]=C336,Berekening_patiëntaantal[Digitale zorgtoepassing]),0))</f>
        <v>0.45</v>
      </c>
      <c r="E336" s="33" t="str" cm="1">
        <f t="array" ref="E336">INDEX(Berekening_patiëntaantal[Direct toepasbaar/extrapolatie/incidentie voor QALY],MATCH(B336,IF(Berekening_patiëntaantal[Doelgroep (zoeksleutel)]=C336,Berekening_patiëntaantal[Digitale zorgtoepassing]),0))</f>
        <v>Extrapolatie</v>
      </c>
      <c r="F336" s="43" t="s">
        <v>812</v>
      </c>
      <c r="G336" s="33" t="str">
        <f>CONCATENATE(uitkomst_doelgroep[[#This Row],[Digitale zorgtoepassing]],"_",uitkomst_doelgroep[[#This Row],[Doelgroep]],"_",uitkomst_doelgroep[[#This Row],[Uitgangssituatie/effect beleid]])</f>
        <v>Leefstijlmonitoring_Kwetsbare ouderen_Effect beleid</v>
      </c>
      <c r="H336" s="33">
        <v>2023</v>
      </c>
      <c r="I336" s="32">
        <v>1</v>
      </c>
      <c r="J336" s="406" cm="1">
        <f t="array" ref="J336">INDEX(implementatie[[2023]:[2034]],MATCH(G336, implementatie[Zoeksleutel],0),I336)</f>
        <v>0</v>
      </c>
      <c r="K336" s="406" cm="1">
        <f t="array" ref="K336">INDEX(implementatie[[2023]:[2034]],MATCH(G336,implementatie[Zoeksleutel],0),I336 + 1)</f>
        <v>0</v>
      </c>
      <c r="L33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336" s="398" cm="1">
        <f t="array" ref="M336">J336*INDEX(Berekening_impact[Totaal arbeidsbesparing (€/jaar)],MATCH(B336,IF(Berekening_impact[Doelgroep]=C336,Berekening_impact[Digitale zorgtoepassing]),0))</f>
        <v>0</v>
      </c>
      <c r="N336" s="397" cm="1">
        <f t="array" ref="N336">J336*INDEX(Berekening_impact[Totaal arbeidsbesparing (FTE/jaar)],MATCH(B336,IF(Berekening_impact[Doelgroep]=C336,Berekening_impact[Digitale zorgtoepassing]),0))</f>
        <v>0</v>
      </c>
      <c r="O336" s="398" cm="1">
        <f t="array" ref="O336">J336*INDEX(Berekening_impact[Overige kostenbesparing (totaal/jaar totaal potentieel)],MATCH(B336,IF(Berekening_impact[Doelgroep]=C336,Berekening_impact[Digitale zorgtoepassing]),0))</f>
        <v>0</v>
      </c>
      <c r="P336" s="398" cm="1">
        <f t="array" ref="P336">J336*INDEX(Berekening_impact[Opbrengsten door QALY''s],MATCH(B336,IF(Berekening_impact[Doelgroep]=C336,Berekening_impact[Digitale zorgtoepassing]),0))</f>
        <v>0</v>
      </c>
      <c r="Q336" s="398" cm="1">
        <f t="array" ref="Q336">J336*INDEX(Berekening_impact[Jaarlijkse kosten (totaal) - incl. schatting],MATCH(B336,IF(Berekening_impact[Doelgroep]=C336,Berekening_impact[Digitale zorgtoepassing]),0))</f>
        <v>0</v>
      </c>
      <c r="R336" s="398" cm="1">
        <f t="array" ref="R336">(uitkomst_doelgroep[[#This Row],[Implementatiegraad t = T + 1]]-uitkomst_doelgroep[[#This Row],[Implementatiegraad t = T]])*INDEX(Berekening_impact[Initiële investering (totaal) - incl. schatting],MATCH(B336,IF(Berekening_impact[Doelgroep]=C336,Berekening_impact[Digitale zorgtoepassing]),0))</f>
        <v>0</v>
      </c>
      <c r="S336" s="398">
        <f>uitkomst_doelgroep[[#This Row],[Arbeidsbesparing (€)]]*uitkomst_doelgroep[[#This Row],[Percentage van patiëntaantallen in Wlz (overige is Zvw)]]</f>
        <v>0</v>
      </c>
      <c r="T336" s="398">
        <f>uitkomst_doelgroep[[#This Row],[Overige besparingen (€)]]*uitkomst_doelgroep[[#This Row],[Percentage van patiëntaantallen in Wlz (overige is Zvw)]]</f>
        <v>0</v>
      </c>
      <c r="U336" s="398">
        <f>uitkomst_doelgroep[[#This Row],[Kosten (€)]]*uitkomst_doelgroep[[#This Row],[Percentage van patiëntaantallen in Wlz (overige is Zvw)]]</f>
        <v>0</v>
      </c>
      <c r="V336" s="398">
        <f>uitkomst_doelgroep[[#This Row],[Investering (cash flow) (€)]]*uitkomst_doelgroep[[#This Row],[Percentage van patiëntaantallen in Wlz (overige is Zvw)]]</f>
        <v>0</v>
      </c>
    </row>
    <row r="337" spans="1:22" x14ac:dyDescent="0.5">
      <c r="A337" s="33" t="str">
        <f>INDEX(Technologieën[Veld],MATCH(B337,Technologieën[Digitale zorgtoepassing],0))</f>
        <v>Sensoren - Verpleging</v>
      </c>
      <c r="B337" s="33" t="s">
        <v>36</v>
      </c>
      <c r="C337" s="33" t="s">
        <v>27</v>
      </c>
      <c r="D337" s="427" cm="1">
        <f t="array" ref="D337">INDEX(Berekening_patiëntaantal[Percentage van patiëntaantallen in Wlz (overige is Zvw)],MATCH(B337,IF(Berekening_patiëntaantal[Doelgroep (zoeksleutel)]=C337,Berekening_patiëntaantal[Digitale zorgtoepassing]),0))</f>
        <v>0.45</v>
      </c>
      <c r="E337" s="33" t="str" cm="1">
        <f t="array" ref="E337">INDEX(Berekening_patiëntaantal[Direct toepasbaar/extrapolatie/incidentie voor QALY],MATCH(B337,IF(Berekening_patiëntaantal[Doelgroep (zoeksleutel)]=C337,Berekening_patiëntaantal[Digitale zorgtoepassing]),0))</f>
        <v>Extrapolatie</v>
      </c>
      <c r="F337" s="43" t="s">
        <v>812</v>
      </c>
      <c r="G337" s="33" t="str">
        <f>CONCATENATE(uitkomst_doelgroep[[#This Row],[Digitale zorgtoepassing]],"_",uitkomst_doelgroep[[#This Row],[Doelgroep]],"_",uitkomst_doelgroep[[#This Row],[Uitgangssituatie/effect beleid]])</f>
        <v>Leefstijlmonitoring_Parkinson_Effect beleid</v>
      </c>
      <c r="H337" s="33">
        <v>2023</v>
      </c>
      <c r="I337" s="32">
        <v>1</v>
      </c>
      <c r="J337" s="406" cm="1">
        <f t="array" ref="J337">INDEX(implementatie[[2023]:[2034]],MATCH(G337, implementatie[Zoeksleutel],0),I337)</f>
        <v>0</v>
      </c>
      <c r="K337" s="406" cm="1">
        <f t="array" ref="K337">INDEX(implementatie[[2023]:[2034]],MATCH(G337,implementatie[Zoeksleutel],0),I337 + 1)</f>
        <v>0</v>
      </c>
      <c r="L33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337" s="398" cm="1">
        <f t="array" ref="M337">J337*INDEX(Berekening_impact[Totaal arbeidsbesparing (€/jaar)],MATCH(B337,IF(Berekening_impact[Doelgroep]=C337,Berekening_impact[Digitale zorgtoepassing]),0))</f>
        <v>0</v>
      </c>
      <c r="N337" s="397" cm="1">
        <f t="array" ref="N337">J337*INDEX(Berekening_impact[Totaal arbeidsbesparing (FTE/jaar)],MATCH(B337,IF(Berekening_impact[Doelgroep]=C337,Berekening_impact[Digitale zorgtoepassing]),0))</f>
        <v>0</v>
      </c>
      <c r="O337" s="398" cm="1">
        <f t="array" ref="O337">J337*INDEX(Berekening_impact[Overige kostenbesparing (totaal/jaar totaal potentieel)],MATCH(B337,IF(Berekening_impact[Doelgroep]=C337,Berekening_impact[Digitale zorgtoepassing]),0))</f>
        <v>0</v>
      </c>
      <c r="P337" s="398" cm="1">
        <f t="array" ref="P337">J337*INDEX(Berekening_impact[Opbrengsten door QALY''s],MATCH(B337,IF(Berekening_impact[Doelgroep]=C337,Berekening_impact[Digitale zorgtoepassing]),0))</f>
        <v>0</v>
      </c>
      <c r="Q337" s="398" cm="1">
        <f t="array" ref="Q337">J337*INDEX(Berekening_impact[Jaarlijkse kosten (totaal) - incl. schatting],MATCH(B337,IF(Berekening_impact[Doelgroep]=C337,Berekening_impact[Digitale zorgtoepassing]),0))</f>
        <v>0</v>
      </c>
      <c r="R337" s="398" cm="1">
        <f t="array" ref="R337">(uitkomst_doelgroep[[#This Row],[Implementatiegraad t = T + 1]]-uitkomst_doelgroep[[#This Row],[Implementatiegraad t = T]])*INDEX(Berekening_impact[Initiële investering (totaal) - incl. schatting],MATCH(B337,IF(Berekening_impact[Doelgroep]=C337,Berekening_impact[Digitale zorgtoepassing]),0))</f>
        <v>0</v>
      </c>
      <c r="S337" s="398">
        <f>uitkomst_doelgroep[[#This Row],[Arbeidsbesparing (€)]]*uitkomst_doelgroep[[#This Row],[Percentage van patiëntaantallen in Wlz (overige is Zvw)]]</f>
        <v>0</v>
      </c>
      <c r="T337" s="398">
        <f>uitkomst_doelgroep[[#This Row],[Overige besparingen (€)]]*uitkomst_doelgroep[[#This Row],[Percentage van patiëntaantallen in Wlz (overige is Zvw)]]</f>
        <v>0</v>
      </c>
      <c r="U337" s="398">
        <f>uitkomst_doelgroep[[#This Row],[Kosten (€)]]*uitkomst_doelgroep[[#This Row],[Percentage van patiëntaantallen in Wlz (overige is Zvw)]]</f>
        <v>0</v>
      </c>
      <c r="V337" s="398">
        <f>uitkomst_doelgroep[[#This Row],[Investering (cash flow) (€)]]*uitkomst_doelgroep[[#This Row],[Percentage van patiëntaantallen in Wlz (overige is Zvw)]]</f>
        <v>0</v>
      </c>
    </row>
    <row r="338" spans="1:22" x14ac:dyDescent="0.5">
      <c r="A338" s="33" t="str">
        <f>INDEX(Technologieën[Veld],MATCH(B338,Technologieën[Digitale zorgtoepassing],0))</f>
        <v>Sensoren - Verpleging</v>
      </c>
      <c r="B338" s="33" t="s">
        <v>36</v>
      </c>
      <c r="C338" s="33" t="s">
        <v>20</v>
      </c>
      <c r="D338" s="427" cm="1">
        <f t="array" ref="D338">INDEX(Berekening_patiëntaantal[Percentage van patiëntaantallen in Wlz (overige is Zvw)],MATCH(B338,IF(Berekening_patiëntaantal[Doelgroep (zoeksleutel)]=C338,Berekening_patiëntaantal[Digitale zorgtoepassing]),0))</f>
        <v>0</v>
      </c>
      <c r="E338" s="33" t="str" cm="1">
        <f t="array" ref="E338">INDEX(Berekening_patiëntaantal[Direct toepasbaar/extrapolatie/incidentie voor QALY],MATCH(B338,IF(Berekening_patiëntaantal[Doelgroep (zoeksleutel)]=C338,Berekening_patiëntaantal[Digitale zorgtoepassing]),0))</f>
        <v>Huidige toepassing</v>
      </c>
      <c r="F338" s="43" t="s">
        <v>812</v>
      </c>
      <c r="G338" s="33" t="str">
        <f>CONCATENATE(uitkomst_doelgroep[[#This Row],[Digitale zorgtoepassing]],"_",uitkomst_doelgroep[[#This Row],[Doelgroep]],"_",uitkomst_doelgroep[[#This Row],[Uitgangssituatie/effect beleid]])</f>
        <v>Leefstijlmonitoring_Dementie_Effect beleid</v>
      </c>
      <c r="H338" s="33">
        <v>2023</v>
      </c>
      <c r="I338" s="32">
        <v>1</v>
      </c>
      <c r="J338" s="406" cm="1">
        <f t="array" ref="J338">INDEX(implementatie[[2023]:[2034]],MATCH(G338, implementatie[Zoeksleutel],0),I338)</f>
        <v>0.2</v>
      </c>
      <c r="K338" s="406" cm="1">
        <f t="array" ref="K338">INDEX(implementatie[[2023]:[2034]],MATCH(G338,implementatie[Zoeksleutel],0),I338 + 1)</f>
        <v>0.28000000000000003</v>
      </c>
      <c r="L33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6612.87</v>
      </c>
      <c r="M338" s="398" cm="1">
        <f t="array" ref="M338">J338*INDEX(Berekening_impact[Totaal arbeidsbesparing (€/jaar)],MATCH(B338,IF(Berekening_impact[Doelgroep]=C338,Berekening_impact[Digitale zorgtoepassing]),0))</f>
        <v>22810548.326879766</v>
      </c>
      <c r="N338" s="397" cm="1">
        <f t="array" ref="N338">J338*INDEX(Berekening_impact[Totaal arbeidsbesparing (FTE/jaar)],MATCH(B338,IF(Berekening_impact[Doelgroep]=C338,Berekening_impact[Digitale zorgtoepassing]),0))</f>
        <v>537.29887804183431</v>
      </c>
      <c r="O338" s="398" cm="1">
        <f t="array" ref="O338">J338*INDEX(Berekening_impact[Overige kostenbesparing (totaal/jaar totaal potentieel)],MATCH(B338,IF(Berekening_impact[Doelgroep]=C338,Berekening_impact[Digitale zorgtoepassing]),0))</f>
        <v>3137769.0271714278</v>
      </c>
      <c r="P338" s="398" cm="1">
        <f t="array" ref="P338">J338*INDEX(Berekening_impact[Opbrengsten door QALY''s],MATCH(B338,IF(Berekening_impact[Doelgroep]=C338,Berekening_impact[Digitale zorgtoepassing]),0))</f>
        <v>0</v>
      </c>
      <c r="Q338" s="398" cm="1">
        <f t="array" ref="Q338">J338*INDEX(Berekening_impact[Jaarlijkse kosten (totaal) - incl. schatting],MATCH(B338,IF(Berekening_impact[Doelgroep]=C338,Berekening_impact[Digitale zorgtoepassing]),0))</f>
        <v>12418969.859999999</v>
      </c>
      <c r="R338" s="398" cm="1">
        <f t="array" ref="R338">(uitkomst_doelgroep[[#This Row],[Implementatiegraad t = T + 1]]-uitkomst_doelgroep[[#This Row],[Implementatiegraad t = T]])*INDEX(Berekening_impact[Initiële investering (totaal) - incl. schatting],MATCH(B338,IF(Berekening_impact[Doelgroep]=C338,Berekening_impact[Digitale zorgtoepassing]),0))</f>
        <v>0</v>
      </c>
      <c r="S338" s="398">
        <f>uitkomst_doelgroep[[#This Row],[Arbeidsbesparing (€)]]*uitkomst_doelgroep[[#This Row],[Percentage van patiëntaantallen in Wlz (overige is Zvw)]]</f>
        <v>0</v>
      </c>
      <c r="T338" s="398">
        <f>uitkomst_doelgroep[[#This Row],[Overige besparingen (€)]]*uitkomst_doelgroep[[#This Row],[Percentage van patiëntaantallen in Wlz (overige is Zvw)]]</f>
        <v>0</v>
      </c>
      <c r="U338" s="398">
        <f>uitkomst_doelgroep[[#This Row],[Kosten (€)]]*uitkomst_doelgroep[[#This Row],[Percentage van patiëntaantallen in Wlz (overige is Zvw)]]</f>
        <v>0</v>
      </c>
      <c r="V338" s="398">
        <f>uitkomst_doelgroep[[#This Row],[Investering (cash flow) (€)]]*uitkomst_doelgroep[[#This Row],[Percentage van patiëntaantallen in Wlz (overige is Zvw)]]</f>
        <v>0</v>
      </c>
    </row>
    <row r="339" spans="1:22" x14ac:dyDescent="0.5">
      <c r="A339" s="33" t="str">
        <f>INDEX(Technologieën[Veld],MATCH(B339,Technologieën[Digitale zorgtoepassing],0))</f>
        <v>Sensoren - Verpleging</v>
      </c>
      <c r="B339" s="33" t="s">
        <v>36</v>
      </c>
      <c r="C339" s="33" t="s">
        <v>24</v>
      </c>
      <c r="D339" s="427" cm="1">
        <f t="array" ref="D339">INDEX(Berekening_patiëntaantal[Percentage van patiëntaantallen in Wlz (overige is Zvw)],MATCH(B339,IF(Berekening_patiëntaantal[Doelgroep (zoeksleutel)]=C339,Berekening_patiëntaantal[Digitale zorgtoepassing]),0))</f>
        <v>0.45</v>
      </c>
      <c r="E339" s="33" t="str" cm="1">
        <f t="array" ref="E339">INDEX(Berekening_patiëntaantal[Direct toepasbaar/extrapolatie/incidentie voor QALY],MATCH(B339,IF(Berekening_patiëntaantal[Doelgroep (zoeksleutel)]=C339,Berekening_patiëntaantal[Digitale zorgtoepassing]),0))</f>
        <v>Extrapolatie</v>
      </c>
      <c r="F339" s="43" t="s">
        <v>812</v>
      </c>
      <c r="G339" s="33" t="str">
        <f>CONCATENATE(uitkomst_doelgroep[[#This Row],[Digitale zorgtoepassing]],"_",uitkomst_doelgroep[[#This Row],[Doelgroep]],"_",uitkomst_doelgroep[[#This Row],[Uitgangssituatie/effect beleid]])</f>
        <v>Leefstijlmonitoring_Cognitieve beperking_Effect beleid</v>
      </c>
      <c r="H339" s="33">
        <v>2024</v>
      </c>
      <c r="I339" s="32">
        <v>2</v>
      </c>
      <c r="J339" s="406" cm="1">
        <f t="array" ref="J339">INDEX(implementatie[[2023]:[2034]],MATCH(G339, implementatie[Zoeksleutel],0),I339)</f>
        <v>0</v>
      </c>
      <c r="K339" s="406" cm="1">
        <f t="array" ref="K339">INDEX(implementatie[[2023]:[2034]],MATCH(G339,implementatie[Zoeksleutel],0),I339 + 1)</f>
        <v>0</v>
      </c>
      <c r="L33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339" s="398" cm="1">
        <f t="array" ref="M339">J339*INDEX(Berekening_impact[Totaal arbeidsbesparing (€/jaar)],MATCH(B339,IF(Berekening_impact[Doelgroep]=C339,Berekening_impact[Digitale zorgtoepassing]),0))</f>
        <v>0</v>
      </c>
      <c r="N339" s="397" cm="1">
        <f t="array" ref="N339">J339*INDEX(Berekening_impact[Totaal arbeidsbesparing (FTE/jaar)],MATCH(B339,IF(Berekening_impact[Doelgroep]=C339,Berekening_impact[Digitale zorgtoepassing]),0))</f>
        <v>0</v>
      </c>
      <c r="O339" s="398" cm="1">
        <f t="array" ref="O339">J339*INDEX(Berekening_impact[Overige kostenbesparing (totaal/jaar totaal potentieel)],MATCH(B339,IF(Berekening_impact[Doelgroep]=C339,Berekening_impact[Digitale zorgtoepassing]),0))</f>
        <v>0</v>
      </c>
      <c r="P339" s="398" cm="1">
        <f t="array" ref="P339">J339*INDEX(Berekening_impact[Opbrengsten door QALY''s],MATCH(B339,IF(Berekening_impact[Doelgroep]=C339,Berekening_impact[Digitale zorgtoepassing]),0))</f>
        <v>0</v>
      </c>
      <c r="Q339" s="398" cm="1">
        <f t="array" ref="Q339">J339*INDEX(Berekening_impact[Jaarlijkse kosten (totaal) - incl. schatting],MATCH(B339,IF(Berekening_impact[Doelgroep]=C339,Berekening_impact[Digitale zorgtoepassing]),0))</f>
        <v>0</v>
      </c>
      <c r="R339" s="398" cm="1">
        <f t="array" ref="R339">(uitkomst_doelgroep[[#This Row],[Implementatiegraad t = T + 1]]-uitkomst_doelgroep[[#This Row],[Implementatiegraad t = T]])*INDEX(Berekening_impact[Initiële investering (totaal) - incl. schatting],MATCH(B339,IF(Berekening_impact[Doelgroep]=C339,Berekening_impact[Digitale zorgtoepassing]),0))</f>
        <v>0</v>
      </c>
      <c r="S339" s="398">
        <f>uitkomst_doelgroep[[#This Row],[Arbeidsbesparing (€)]]*uitkomst_doelgroep[[#This Row],[Percentage van patiëntaantallen in Wlz (overige is Zvw)]]</f>
        <v>0</v>
      </c>
      <c r="T339" s="398">
        <f>uitkomst_doelgroep[[#This Row],[Overige besparingen (€)]]*uitkomst_doelgroep[[#This Row],[Percentage van patiëntaantallen in Wlz (overige is Zvw)]]</f>
        <v>0</v>
      </c>
      <c r="U339" s="398">
        <f>uitkomst_doelgroep[[#This Row],[Kosten (€)]]*uitkomst_doelgroep[[#This Row],[Percentage van patiëntaantallen in Wlz (overige is Zvw)]]</f>
        <v>0</v>
      </c>
      <c r="V339" s="398">
        <f>uitkomst_doelgroep[[#This Row],[Investering (cash flow) (€)]]*uitkomst_doelgroep[[#This Row],[Percentage van patiëntaantallen in Wlz (overige is Zvw)]]</f>
        <v>0</v>
      </c>
    </row>
    <row r="340" spans="1:22" x14ac:dyDescent="0.5">
      <c r="A340" s="33" t="str">
        <f>INDEX(Technologieën[Veld],MATCH(B340,Technologieën[Digitale zorgtoepassing],0))</f>
        <v>Sensoren - Verpleging</v>
      </c>
      <c r="B340" s="33" t="s">
        <v>36</v>
      </c>
      <c r="C340" s="33" t="s">
        <v>40</v>
      </c>
      <c r="D340" s="427" cm="1">
        <f t="array" ref="D340">INDEX(Berekening_patiëntaantal[Percentage van patiëntaantallen in Wlz (overige is Zvw)],MATCH(B340,IF(Berekening_patiëntaantal[Doelgroep (zoeksleutel)]=C340,Berekening_patiëntaantal[Digitale zorgtoepassing]),0))</f>
        <v>0.45</v>
      </c>
      <c r="E340" s="33" t="str" cm="1">
        <f t="array" ref="E340">INDEX(Berekening_patiëntaantal[Direct toepasbaar/extrapolatie/incidentie voor QALY],MATCH(B340,IF(Berekening_patiëntaantal[Doelgroep (zoeksleutel)]=C340,Berekening_patiëntaantal[Digitale zorgtoepassing]),0))</f>
        <v>Extrapolatie</v>
      </c>
      <c r="F340" s="43" t="s">
        <v>812</v>
      </c>
      <c r="G340" s="33" t="str">
        <f>CONCATENATE(uitkomst_doelgroep[[#This Row],[Digitale zorgtoepassing]],"_",uitkomst_doelgroep[[#This Row],[Doelgroep]],"_",uitkomst_doelgroep[[#This Row],[Uitgangssituatie/effect beleid]])</f>
        <v>Leefstijlmonitoring_Kwetsbare ouderen_Effect beleid</v>
      </c>
      <c r="H340" s="33">
        <v>2024</v>
      </c>
      <c r="I340" s="32">
        <v>2</v>
      </c>
      <c r="J340" s="406" cm="1">
        <f t="array" ref="J340">INDEX(implementatie[[2023]:[2034]],MATCH(G340, implementatie[Zoeksleutel],0),I340)</f>
        <v>0</v>
      </c>
      <c r="K340" s="406" cm="1">
        <f t="array" ref="K340">INDEX(implementatie[[2023]:[2034]],MATCH(G340,implementatie[Zoeksleutel],0),I340 + 1)</f>
        <v>0</v>
      </c>
      <c r="L34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340" s="398" cm="1">
        <f t="array" ref="M340">J340*INDEX(Berekening_impact[Totaal arbeidsbesparing (€/jaar)],MATCH(B340,IF(Berekening_impact[Doelgroep]=C340,Berekening_impact[Digitale zorgtoepassing]),0))</f>
        <v>0</v>
      </c>
      <c r="N340" s="397" cm="1">
        <f t="array" ref="N340">J340*INDEX(Berekening_impact[Totaal arbeidsbesparing (FTE/jaar)],MATCH(B340,IF(Berekening_impact[Doelgroep]=C340,Berekening_impact[Digitale zorgtoepassing]),0))</f>
        <v>0</v>
      </c>
      <c r="O340" s="398" cm="1">
        <f t="array" ref="O340">J340*INDEX(Berekening_impact[Overige kostenbesparing (totaal/jaar totaal potentieel)],MATCH(B340,IF(Berekening_impact[Doelgroep]=C340,Berekening_impact[Digitale zorgtoepassing]),0))</f>
        <v>0</v>
      </c>
      <c r="P340" s="398" cm="1">
        <f t="array" ref="P340">J340*INDEX(Berekening_impact[Opbrengsten door QALY''s],MATCH(B340,IF(Berekening_impact[Doelgroep]=C340,Berekening_impact[Digitale zorgtoepassing]),0))</f>
        <v>0</v>
      </c>
      <c r="Q340" s="398" cm="1">
        <f t="array" ref="Q340">J340*INDEX(Berekening_impact[Jaarlijkse kosten (totaal) - incl. schatting],MATCH(B340,IF(Berekening_impact[Doelgroep]=C340,Berekening_impact[Digitale zorgtoepassing]),0))</f>
        <v>0</v>
      </c>
      <c r="R340" s="398" cm="1">
        <f t="array" ref="R340">(uitkomst_doelgroep[[#This Row],[Implementatiegraad t = T + 1]]-uitkomst_doelgroep[[#This Row],[Implementatiegraad t = T]])*INDEX(Berekening_impact[Initiële investering (totaal) - incl. schatting],MATCH(B340,IF(Berekening_impact[Doelgroep]=C340,Berekening_impact[Digitale zorgtoepassing]),0))</f>
        <v>0</v>
      </c>
      <c r="S340" s="398">
        <f>uitkomst_doelgroep[[#This Row],[Arbeidsbesparing (€)]]*uitkomst_doelgroep[[#This Row],[Percentage van patiëntaantallen in Wlz (overige is Zvw)]]</f>
        <v>0</v>
      </c>
      <c r="T340" s="398">
        <f>uitkomst_doelgroep[[#This Row],[Overige besparingen (€)]]*uitkomst_doelgroep[[#This Row],[Percentage van patiëntaantallen in Wlz (overige is Zvw)]]</f>
        <v>0</v>
      </c>
      <c r="U340" s="398">
        <f>uitkomst_doelgroep[[#This Row],[Kosten (€)]]*uitkomst_doelgroep[[#This Row],[Percentage van patiëntaantallen in Wlz (overige is Zvw)]]</f>
        <v>0</v>
      </c>
      <c r="V340" s="398">
        <f>uitkomst_doelgroep[[#This Row],[Investering (cash flow) (€)]]*uitkomst_doelgroep[[#This Row],[Percentage van patiëntaantallen in Wlz (overige is Zvw)]]</f>
        <v>0</v>
      </c>
    </row>
    <row r="341" spans="1:22" x14ac:dyDescent="0.5">
      <c r="A341" s="33" t="str">
        <f>INDEX(Technologieën[Veld],MATCH(B341,Technologieën[Digitale zorgtoepassing],0))</f>
        <v>Sensoren - Verpleging</v>
      </c>
      <c r="B341" s="33" t="s">
        <v>36</v>
      </c>
      <c r="C341" s="33" t="s">
        <v>27</v>
      </c>
      <c r="D341" s="427" cm="1">
        <f t="array" ref="D341">INDEX(Berekening_patiëntaantal[Percentage van patiëntaantallen in Wlz (overige is Zvw)],MATCH(B341,IF(Berekening_patiëntaantal[Doelgroep (zoeksleutel)]=C341,Berekening_patiëntaantal[Digitale zorgtoepassing]),0))</f>
        <v>0.45</v>
      </c>
      <c r="E341" s="33" t="str" cm="1">
        <f t="array" ref="E341">INDEX(Berekening_patiëntaantal[Direct toepasbaar/extrapolatie/incidentie voor QALY],MATCH(B341,IF(Berekening_patiëntaantal[Doelgroep (zoeksleutel)]=C341,Berekening_patiëntaantal[Digitale zorgtoepassing]),0))</f>
        <v>Extrapolatie</v>
      </c>
      <c r="F341" s="43" t="s">
        <v>812</v>
      </c>
      <c r="G341" s="33" t="str">
        <f>CONCATENATE(uitkomst_doelgroep[[#This Row],[Digitale zorgtoepassing]],"_",uitkomst_doelgroep[[#This Row],[Doelgroep]],"_",uitkomst_doelgroep[[#This Row],[Uitgangssituatie/effect beleid]])</f>
        <v>Leefstijlmonitoring_Parkinson_Effect beleid</v>
      </c>
      <c r="H341" s="33">
        <v>2024</v>
      </c>
      <c r="I341" s="32">
        <v>2</v>
      </c>
      <c r="J341" s="406" cm="1">
        <f t="array" ref="J341">INDEX(implementatie[[2023]:[2034]],MATCH(G341, implementatie[Zoeksleutel],0),I341)</f>
        <v>0</v>
      </c>
      <c r="K341" s="406" cm="1">
        <f t="array" ref="K341">INDEX(implementatie[[2023]:[2034]],MATCH(G341,implementatie[Zoeksleutel],0),I341 + 1)</f>
        <v>0</v>
      </c>
      <c r="L34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341" s="398" cm="1">
        <f t="array" ref="M341">J341*INDEX(Berekening_impact[Totaal arbeidsbesparing (€/jaar)],MATCH(B341,IF(Berekening_impact[Doelgroep]=C341,Berekening_impact[Digitale zorgtoepassing]),0))</f>
        <v>0</v>
      </c>
      <c r="N341" s="397" cm="1">
        <f t="array" ref="N341">J341*INDEX(Berekening_impact[Totaal arbeidsbesparing (FTE/jaar)],MATCH(B341,IF(Berekening_impact[Doelgroep]=C341,Berekening_impact[Digitale zorgtoepassing]),0))</f>
        <v>0</v>
      </c>
      <c r="O341" s="398" cm="1">
        <f t="array" ref="O341">J341*INDEX(Berekening_impact[Overige kostenbesparing (totaal/jaar totaal potentieel)],MATCH(B341,IF(Berekening_impact[Doelgroep]=C341,Berekening_impact[Digitale zorgtoepassing]),0))</f>
        <v>0</v>
      </c>
      <c r="P341" s="398" cm="1">
        <f t="array" ref="P341">J341*INDEX(Berekening_impact[Opbrengsten door QALY''s],MATCH(B341,IF(Berekening_impact[Doelgroep]=C341,Berekening_impact[Digitale zorgtoepassing]),0))</f>
        <v>0</v>
      </c>
      <c r="Q341" s="398" cm="1">
        <f t="array" ref="Q341">J341*INDEX(Berekening_impact[Jaarlijkse kosten (totaal) - incl. schatting],MATCH(B341,IF(Berekening_impact[Doelgroep]=C341,Berekening_impact[Digitale zorgtoepassing]),0))</f>
        <v>0</v>
      </c>
      <c r="R341" s="398" cm="1">
        <f t="array" ref="R341">(uitkomst_doelgroep[[#This Row],[Implementatiegraad t = T + 1]]-uitkomst_doelgroep[[#This Row],[Implementatiegraad t = T]])*INDEX(Berekening_impact[Initiële investering (totaal) - incl. schatting],MATCH(B341,IF(Berekening_impact[Doelgroep]=C341,Berekening_impact[Digitale zorgtoepassing]),0))</f>
        <v>0</v>
      </c>
      <c r="S341" s="398">
        <f>uitkomst_doelgroep[[#This Row],[Arbeidsbesparing (€)]]*uitkomst_doelgroep[[#This Row],[Percentage van patiëntaantallen in Wlz (overige is Zvw)]]</f>
        <v>0</v>
      </c>
      <c r="T341" s="398">
        <f>uitkomst_doelgroep[[#This Row],[Overige besparingen (€)]]*uitkomst_doelgroep[[#This Row],[Percentage van patiëntaantallen in Wlz (overige is Zvw)]]</f>
        <v>0</v>
      </c>
      <c r="U341" s="398">
        <f>uitkomst_doelgroep[[#This Row],[Kosten (€)]]*uitkomst_doelgroep[[#This Row],[Percentage van patiëntaantallen in Wlz (overige is Zvw)]]</f>
        <v>0</v>
      </c>
      <c r="V341" s="398">
        <f>uitkomst_doelgroep[[#This Row],[Investering (cash flow) (€)]]*uitkomst_doelgroep[[#This Row],[Percentage van patiëntaantallen in Wlz (overige is Zvw)]]</f>
        <v>0</v>
      </c>
    </row>
    <row r="342" spans="1:22" x14ac:dyDescent="0.5">
      <c r="A342" s="33" t="str">
        <f>INDEX(Technologieën[Veld],MATCH(B342,Technologieën[Digitale zorgtoepassing],0))</f>
        <v>Sensoren - Verpleging</v>
      </c>
      <c r="B342" s="33" t="s">
        <v>36</v>
      </c>
      <c r="C342" s="33" t="s">
        <v>20</v>
      </c>
      <c r="D342" s="427" cm="1">
        <f t="array" ref="D342">INDEX(Berekening_patiëntaantal[Percentage van patiëntaantallen in Wlz (overige is Zvw)],MATCH(B342,IF(Berekening_patiëntaantal[Doelgroep (zoeksleutel)]=C342,Berekening_patiëntaantal[Digitale zorgtoepassing]),0))</f>
        <v>0</v>
      </c>
      <c r="E342" s="33" t="str" cm="1">
        <f t="array" ref="E342">INDEX(Berekening_patiëntaantal[Direct toepasbaar/extrapolatie/incidentie voor QALY],MATCH(B342,IF(Berekening_patiëntaantal[Doelgroep (zoeksleutel)]=C342,Berekening_patiëntaantal[Digitale zorgtoepassing]),0))</f>
        <v>Huidige toepassing</v>
      </c>
      <c r="F342" s="43" t="s">
        <v>812</v>
      </c>
      <c r="G342" s="33" t="str">
        <f>CONCATENATE(uitkomst_doelgroep[[#This Row],[Digitale zorgtoepassing]],"_",uitkomst_doelgroep[[#This Row],[Doelgroep]],"_",uitkomst_doelgroep[[#This Row],[Uitgangssituatie/effect beleid]])</f>
        <v>Leefstijlmonitoring_Dementie_Effect beleid</v>
      </c>
      <c r="H342" s="33">
        <v>2024</v>
      </c>
      <c r="I342" s="32">
        <v>2</v>
      </c>
      <c r="J342" s="406" cm="1">
        <f t="array" ref="J342">INDEX(implementatie[[2023]:[2034]],MATCH(G342, implementatie[Zoeksleutel],0),I342)</f>
        <v>0.28000000000000003</v>
      </c>
      <c r="K342" s="406" cm="1">
        <f t="array" ref="K342">INDEX(implementatie[[2023]:[2034]],MATCH(G342,implementatie[Zoeksleutel],0),I342 + 1)</f>
        <v>0.37504000000000004</v>
      </c>
      <c r="L34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9258.018</v>
      </c>
      <c r="M342" s="398" cm="1">
        <f t="array" ref="M342">J342*INDEX(Berekening_impact[Totaal arbeidsbesparing (€/jaar)],MATCH(B342,IF(Berekening_impact[Doelgroep]=C342,Berekening_impact[Digitale zorgtoepassing]),0))</f>
        <v>31934767.657631673</v>
      </c>
      <c r="N342" s="397" cm="1">
        <f t="array" ref="N342">J342*INDEX(Berekening_impact[Totaal arbeidsbesparing (FTE/jaar)],MATCH(B342,IF(Berekening_impact[Doelgroep]=C342,Berekening_impact[Digitale zorgtoepassing]),0))</f>
        <v>752.21842925856799</v>
      </c>
      <c r="O342" s="398" cm="1">
        <f t="array" ref="O342">J342*INDEX(Berekening_impact[Overige kostenbesparing (totaal/jaar totaal potentieel)],MATCH(B342,IF(Berekening_impact[Doelgroep]=C342,Berekening_impact[Digitale zorgtoepassing]),0))</f>
        <v>4392876.6380399996</v>
      </c>
      <c r="P342" s="398" cm="1">
        <f t="array" ref="P342">J342*INDEX(Berekening_impact[Opbrengsten door QALY''s],MATCH(B342,IF(Berekening_impact[Doelgroep]=C342,Berekening_impact[Digitale zorgtoepassing]),0))</f>
        <v>0</v>
      </c>
      <c r="Q342" s="398" cm="1">
        <f t="array" ref="Q342">J342*INDEX(Berekening_impact[Jaarlijkse kosten (totaal) - incl. schatting],MATCH(B342,IF(Berekening_impact[Doelgroep]=C342,Berekening_impact[Digitale zorgtoepassing]),0))</f>
        <v>17386557.804000001</v>
      </c>
      <c r="R342" s="398" cm="1">
        <f t="array" ref="R342">(uitkomst_doelgroep[[#This Row],[Implementatiegraad t = T + 1]]-uitkomst_doelgroep[[#This Row],[Implementatiegraad t = T]])*INDEX(Berekening_impact[Initiële investering (totaal) - incl. schatting],MATCH(B342,IF(Berekening_impact[Doelgroep]=C342,Berekening_impact[Digitale zorgtoepassing]),0))</f>
        <v>0</v>
      </c>
      <c r="S342" s="398">
        <f>uitkomst_doelgroep[[#This Row],[Arbeidsbesparing (€)]]*uitkomst_doelgroep[[#This Row],[Percentage van patiëntaantallen in Wlz (overige is Zvw)]]</f>
        <v>0</v>
      </c>
      <c r="T342" s="398">
        <f>uitkomst_doelgroep[[#This Row],[Overige besparingen (€)]]*uitkomst_doelgroep[[#This Row],[Percentage van patiëntaantallen in Wlz (overige is Zvw)]]</f>
        <v>0</v>
      </c>
      <c r="U342" s="398">
        <f>uitkomst_doelgroep[[#This Row],[Kosten (€)]]*uitkomst_doelgroep[[#This Row],[Percentage van patiëntaantallen in Wlz (overige is Zvw)]]</f>
        <v>0</v>
      </c>
      <c r="V342" s="398">
        <f>uitkomst_doelgroep[[#This Row],[Investering (cash flow) (€)]]*uitkomst_doelgroep[[#This Row],[Percentage van patiëntaantallen in Wlz (overige is Zvw)]]</f>
        <v>0</v>
      </c>
    </row>
    <row r="343" spans="1:22" x14ac:dyDescent="0.5">
      <c r="A343" s="33" t="str">
        <f>INDEX(Technologieën[Veld],MATCH(B343,Technologieën[Digitale zorgtoepassing],0))</f>
        <v>Sensoren - Verpleging</v>
      </c>
      <c r="B343" s="33" t="s">
        <v>36</v>
      </c>
      <c r="C343" s="33" t="s">
        <v>24</v>
      </c>
      <c r="D343" s="427" cm="1">
        <f t="array" ref="D343">INDEX(Berekening_patiëntaantal[Percentage van patiëntaantallen in Wlz (overige is Zvw)],MATCH(B343,IF(Berekening_patiëntaantal[Doelgroep (zoeksleutel)]=C343,Berekening_patiëntaantal[Digitale zorgtoepassing]),0))</f>
        <v>0.45</v>
      </c>
      <c r="E343" s="33" t="str" cm="1">
        <f t="array" ref="E343">INDEX(Berekening_patiëntaantal[Direct toepasbaar/extrapolatie/incidentie voor QALY],MATCH(B343,IF(Berekening_patiëntaantal[Doelgroep (zoeksleutel)]=C343,Berekening_patiëntaantal[Digitale zorgtoepassing]),0))</f>
        <v>Extrapolatie</v>
      </c>
      <c r="F343" s="43" t="s">
        <v>812</v>
      </c>
      <c r="G343" s="33" t="str">
        <f>CONCATENATE(uitkomst_doelgroep[[#This Row],[Digitale zorgtoepassing]],"_",uitkomst_doelgroep[[#This Row],[Doelgroep]],"_",uitkomst_doelgroep[[#This Row],[Uitgangssituatie/effect beleid]])</f>
        <v>Leefstijlmonitoring_Cognitieve beperking_Effect beleid</v>
      </c>
      <c r="H343" s="33">
        <v>2025</v>
      </c>
      <c r="I343" s="32">
        <v>3</v>
      </c>
      <c r="J343" s="406" cm="1">
        <f t="array" ref="J343">INDEX(implementatie[[2023]:[2034]],MATCH(G343, implementatie[Zoeksleutel],0),I343)</f>
        <v>0</v>
      </c>
      <c r="K343" s="406" cm="1">
        <f t="array" ref="K343">INDEX(implementatie[[2023]:[2034]],MATCH(G343,implementatie[Zoeksleutel],0),I343 + 1)</f>
        <v>0.02</v>
      </c>
      <c r="L34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343" s="398" cm="1">
        <f t="array" ref="M343">J343*INDEX(Berekening_impact[Totaal arbeidsbesparing (€/jaar)],MATCH(B343,IF(Berekening_impact[Doelgroep]=C343,Berekening_impact[Digitale zorgtoepassing]),0))</f>
        <v>0</v>
      </c>
      <c r="N343" s="397" cm="1">
        <f t="array" ref="N343">J343*INDEX(Berekening_impact[Totaal arbeidsbesparing (FTE/jaar)],MATCH(B343,IF(Berekening_impact[Doelgroep]=C343,Berekening_impact[Digitale zorgtoepassing]),0))</f>
        <v>0</v>
      </c>
      <c r="O343" s="398" cm="1">
        <f t="array" ref="O343">J343*INDEX(Berekening_impact[Overige kostenbesparing (totaal/jaar totaal potentieel)],MATCH(B343,IF(Berekening_impact[Doelgroep]=C343,Berekening_impact[Digitale zorgtoepassing]),0))</f>
        <v>0</v>
      </c>
      <c r="P343" s="398" cm="1">
        <f t="array" ref="P343">J343*INDEX(Berekening_impact[Opbrengsten door QALY''s],MATCH(B343,IF(Berekening_impact[Doelgroep]=C343,Berekening_impact[Digitale zorgtoepassing]),0))</f>
        <v>0</v>
      </c>
      <c r="Q343" s="398" cm="1">
        <f t="array" ref="Q343">J343*INDEX(Berekening_impact[Jaarlijkse kosten (totaal) - incl. schatting],MATCH(B343,IF(Berekening_impact[Doelgroep]=C343,Berekening_impact[Digitale zorgtoepassing]),0))</f>
        <v>0</v>
      </c>
      <c r="R343" s="398" cm="1">
        <f t="array" ref="R343">(uitkomst_doelgroep[[#This Row],[Implementatiegraad t = T + 1]]-uitkomst_doelgroep[[#This Row],[Implementatiegraad t = T]])*INDEX(Berekening_impact[Initiële investering (totaal) - incl. schatting],MATCH(B343,IF(Berekening_impact[Doelgroep]=C343,Berekening_impact[Digitale zorgtoepassing]),0))</f>
        <v>0</v>
      </c>
      <c r="S343" s="398">
        <f>uitkomst_doelgroep[[#This Row],[Arbeidsbesparing (€)]]*uitkomst_doelgroep[[#This Row],[Percentage van patiëntaantallen in Wlz (overige is Zvw)]]</f>
        <v>0</v>
      </c>
      <c r="T343" s="398">
        <f>uitkomst_doelgroep[[#This Row],[Overige besparingen (€)]]*uitkomst_doelgroep[[#This Row],[Percentage van patiëntaantallen in Wlz (overige is Zvw)]]</f>
        <v>0</v>
      </c>
      <c r="U343" s="398">
        <f>uitkomst_doelgroep[[#This Row],[Kosten (€)]]*uitkomst_doelgroep[[#This Row],[Percentage van patiëntaantallen in Wlz (overige is Zvw)]]</f>
        <v>0</v>
      </c>
      <c r="V343" s="398">
        <f>uitkomst_doelgroep[[#This Row],[Investering (cash flow) (€)]]*uitkomst_doelgroep[[#This Row],[Percentage van patiëntaantallen in Wlz (overige is Zvw)]]</f>
        <v>0</v>
      </c>
    </row>
    <row r="344" spans="1:22" x14ac:dyDescent="0.5">
      <c r="A344" s="33" t="str">
        <f>INDEX(Technologieën[Veld],MATCH(B344,Technologieën[Digitale zorgtoepassing],0))</f>
        <v>Sensoren - Verpleging</v>
      </c>
      <c r="B344" s="33" t="s">
        <v>36</v>
      </c>
      <c r="C344" s="33" t="s">
        <v>40</v>
      </c>
      <c r="D344" s="427" cm="1">
        <f t="array" ref="D344">INDEX(Berekening_patiëntaantal[Percentage van patiëntaantallen in Wlz (overige is Zvw)],MATCH(B344,IF(Berekening_patiëntaantal[Doelgroep (zoeksleutel)]=C344,Berekening_patiëntaantal[Digitale zorgtoepassing]),0))</f>
        <v>0.45</v>
      </c>
      <c r="E344" s="33" t="str" cm="1">
        <f t="array" ref="E344">INDEX(Berekening_patiëntaantal[Direct toepasbaar/extrapolatie/incidentie voor QALY],MATCH(B344,IF(Berekening_patiëntaantal[Doelgroep (zoeksleutel)]=C344,Berekening_patiëntaantal[Digitale zorgtoepassing]),0))</f>
        <v>Extrapolatie</v>
      </c>
      <c r="F344" s="43" t="s">
        <v>812</v>
      </c>
      <c r="G344" s="33" t="str">
        <f>CONCATENATE(uitkomst_doelgroep[[#This Row],[Digitale zorgtoepassing]],"_",uitkomst_doelgroep[[#This Row],[Doelgroep]],"_",uitkomst_doelgroep[[#This Row],[Uitgangssituatie/effect beleid]])</f>
        <v>Leefstijlmonitoring_Kwetsbare ouderen_Effect beleid</v>
      </c>
      <c r="H344" s="33">
        <v>2025</v>
      </c>
      <c r="I344" s="32">
        <v>3</v>
      </c>
      <c r="J344" s="406" cm="1">
        <f t="array" ref="J344">INDEX(implementatie[[2023]:[2034]],MATCH(G344, implementatie[Zoeksleutel],0),I344)</f>
        <v>0</v>
      </c>
      <c r="K344" s="406" cm="1">
        <f t="array" ref="K344">INDEX(implementatie[[2023]:[2034]],MATCH(G344,implementatie[Zoeksleutel],0),I344 + 1)</f>
        <v>0.02</v>
      </c>
      <c r="L34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344" s="398" cm="1">
        <f t="array" ref="M344">J344*INDEX(Berekening_impact[Totaal arbeidsbesparing (€/jaar)],MATCH(B344,IF(Berekening_impact[Doelgroep]=C344,Berekening_impact[Digitale zorgtoepassing]),0))</f>
        <v>0</v>
      </c>
      <c r="N344" s="397" cm="1">
        <f t="array" ref="N344">J344*INDEX(Berekening_impact[Totaal arbeidsbesparing (FTE/jaar)],MATCH(B344,IF(Berekening_impact[Doelgroep]=C344,Berekening_impact[Digitale zorgtoepassing]),0))</f>
        <v>0</v>
      </c>
      <c r="O344" s="398" cm="1">
        <f t="array" ref="O344">J344*INDEX(Berekening_impact[Overige kostenbesparing (totaal/jaar totaal potentieel)],MATCH(B344,IF(Berekening_impact[Doelgroep]=C344,Berekening_impact[Digitale zorgtoepassing]),0))</f>
        <v>0</v>
      </c>
      <c r="P344" s="398" cm="1">
        <f t="array" ref="P344">J344*INDEX(Berekening_impact[Opbrengsten door QALY''s],MATCH(B344,IF(Berekening_impact[Doelgroep]=C344,Berekening_impact[Digitale zorgtoepassing]),0))</f>
        <v>0</v>
      </c>
      <c r="Q344" s="398" cm="1">
        <f t="array" ref="Q344">J344*INDEX(Berekening_impact[Jaarlijkse kosten (totaal) - incl. schatting],MATCH(B344,IF(Berekening_impact[Doelgroep]=C344,Berekening_impact[Digitale zorgtoepassing]),0))</f>
        <v>0</v>
      </c>
      <c r="R344" s="398" cm="1">
        <f t="array" ref="R344">(uitkomst_doelgroep[[#This Row],[Implementatiegraad t = T + 1]]-uitkomst_doelgroep[[#This Row],[Implementatiegraad t = T]])*INDEX(Berekening_impact[Initiële investering (totaal) - incl. schatting],MATCH(B344,IF(Berekening_impact[Doelgroep]=C344,Berekening_impact[Digitale zorgtoepassing]),0))</f>
        <v>0</v>
      </c>
      <c r="S344" s="398">
        <f>uitkomst_doelgroep[[#This Row],[Arbeidsbesparing (€)]]*uitkomst_doelgroep[[#This Row],[Percentage van patiëntaantallen in Wlz (overige is Zvw)]]</f>
        <v>0</v>
      </c>
      <c r="T344" s="398">
        <f>uitkomst_doelgroep[[#This Row],[Overige besparingen (€)]]*uitkomst_doelgroep[[#This Row],[Percentage van patiëntaantallen in Wlz (overige is Zvw)]]</f>
        <v>0</v>
      </c>
      <c r="U344" s="398">
        <f>uitkomst_doelgroep[[#This Row],[Kosten (€)]]*uitkomst_doelgroep[[#This Row],[Percentage van patiëntaantallen in Wlz (overige is Zvw)]]</f>
        <v>0</v>
      </c>
      <c r="V344" s="398">
        <f>uitkomst_doelgroep[[#This Row],[Investering (cash flow) (€)]]*uitkomst_doelgroep[[#This Row],[Percentage van patiëntaantallen in Wlz (overige is Zvw)]]</f>
        <v>0</v>
      </c>
    </row>
    <row r="345" spans="1:22" x14ac:dyDescent="0.5">
      <c r="A345" s="33" t="str">
        <f>INDEX(Technologieën[Veld],MATCH(B345,Technologieën[Digitale zorgtoepassing],0))</f>
        <v>Sensoren - Verpleging</v>
      </c>
      <c r="B345" s="33" t="s">
        <v>36</v>
      </c>
      <c r="C345" s="33" t="s">
        <v>27</v>
      </c>
      <c r="D345" s="427" cm="1">
        <f t="array" ref="D345">INDEX(Berekening_patiëntaantal[Percentage van patiëntaantallen in Wlz (overige is Zvw)],MATCH(B345,IF(Berekening_patiëntaantal[Doelgroep (zoeksleutel)]=C345,Berekening_patiëntaantal[Digitale zorgtoepassing]),0))</f>
        <v>0.45</v>
      </c>
      <c r="E345" s="33" t="str" cm="1">
        <f t="array" ref="E345">INDEX(Berekening_patiëntaantal[Direct toepasbaar/extrapolatie/incidentie voor QALY],MATCH(B345,IF(Berekening_patiëntaantal[Doelgroep (zoeksleutel)]=C345,Berekening_patiëntaantal[Digitale zorgtoepassing]),0))</f>
        <v>Extrapolatie</v>
      </c>
      <c r="F345" s="43" t="s">
        <v>812</v>
      </c>
      <c r="G345" s="33" t="str">
        <f>CONCATENATE(uitkomst_doelgroep[[#This Row],[Digitale zorgtoepassing]],"_",uitkomst_doelgroep[[#This Row],[Doelgroep]],"_",uitkomst_doelgroep[[#This Row],[Uitgangssituatie/effect beleid]])</f>
        <v>Leefstijlmonitoring_Parkinson_Effect beleid</v>
      </c>
      <c r="H345" s="33">
        <v>2025</v>
      </c>
      <c r="I345" s="32">
        <v>3</v>
      </c>
      <c r="J345" s="406" cm="1">
        <f t="array" ref="J345">INDEX(implementatie[[2023]:[2034]],MATCH(G345, implementatie[Zoeksleutel],0),I345)</f>
        <v>0</v>
      </c>
      <c r="K345" s="406" cm="1">
        <f t="array" ref="K345">INDEX(implementatie[[2023]:[2034]],MATCH(G345,implementatie[Zoeksleutel],0),I345 + 1)</f>
        <v>0.02</v>
      </c>
      <c r="L34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345" s="398" cm="1">
        <f t="array" ref="M345">J345*INDEX(Berekening_impact[Totaal arbeidsbesparing (€/jaar)],MATCH(B345,IF(Berekening_impact[Doelgroep]=C345,Berekening_impact[Digitale zorgtoepassing]),0))</f>
        <v>0</v>
      </c>
      <c r="N345" s="397" cm="1">
        <f t="array" ref="N345">J345*INDEX(Berekening_impact[Totaal arbeidsbesparing (FTE/jaar)],MATCH(B345,IF(Berekening_impact[Doelgroep]=C345,Berekening_impact[Digitale zorgtoepassing]),0))</f>
        <v>0</v>
      </c>
      <c r="O345" s="398" cm="1">
        <f t="array" ref="O345">J345*INDEX(Berekening_impact[Overige kostenbesparing (totaal/jaar totaal potentieel)],MATCH(B345,IF(Berekening_impact[Doelgroep]=C345,Berekening_impact[Digitale zorgtoepassing]),0))</f>
        <v>0</v>
      </c>
      <c r="P345" s="398" cm="1">
        <f t="array" ref="P345">J345*INDEX(Berekening_impact[Opbrengsten door QALY''s],MATCH(B345,IF(Berekening_impact[Doelgroep]=C345,Berekening_impact[Digitale zorgtoepassing]),0))</f>
        <v>0</v>
      </c>
      <c r="Q345" s="398" cm="1">
        <f t="array" ref="Q345">J345*INDEX(Berekening_impact[Jaarlijkse kosten (totaal) - incl. schatting],MATCH(B345,IF(Berekening_impact[Doelgroep]=C345,Berekening_impact[Digitale zorgtoepassing]),0))</f>
        <v>0</v>
      </c>
      <c r="R345" s="398" cm="1">
        <f t="array" ref="R345">(uitkomst_doelgroep[[#This Row],[Implementatiegraad t = T + 1]]-uitkomst_doelgroep[[#This Row],[Implementatiegraad t = T]])*INDEX(Berekening_impact[Initiële investering (totaal) - incl. schatting],MATCH(B345,IF(Berekening_impact[Doelgroep]=C345,Berekening_impact[Digitale zorgtoepassing]),0))</f>
        <v>0</v>
      </c>
      <c r="S345" s="398">
        <f>uitkomst_doelgroep[[#This Row],[Arbeidsbesparing (€)]]*uitkomst_doelgroep[[#This Row],[Percentage van patiëntaantallen in Wlz (overige is Zvw)]]</f>
        <v>0</v>
      </c>
      <c r="T345" s="398">
        <f>uitkomst_doelgroep[[#This Row],[Overige besparingen (€)]]*uitkomst_doelgroep[[#This Row],[Percentage van patiëntaantallen in Wlz (overige is Zvw)]]</f>
        <v>0</v>
      </c>
      <c r="U345" s="398">
        <f>uitkomst_doelgroep[[#This Row],[Kosten (€)]]*uitkomst_doelgroep[[#This Row],[Percentage van patiëntaantallen in Wlz (overige is Zvw)]]</f>
        <v>0</v>
      </c>
      <c r="V345" s="398">
        <f>uitkomst_doelgroep[[#This Row],[Investering (cash flow) (€)]]*uitkomst_doelgroep[[#This Row],[Percentage van patiëntaantallen in Wlz (overige is Zvw)]]</f>
        <v>0</v>
      </c>
    </row>
    <row r="346" spans="1:22" x14ac:dyDescent="0.5">
      <c r="A346" s="33" t="str">
        <f>INDEX(Technologieën[Veld],MATCH(B346,Technologieën[Digitale zorgtoepassing],0))</f>
        <v>Sensoren - Verpleging</v>
      </c>
      <c r="B346" s="33" t="s">
        <v>36</v>
      </c>
      <c r="C346" s="33" t="s">
        <v>20</v>
      </c>
      <c r="D346" s="427" cm="1">
        <f t="array" ref="D346">INDEX(Berekening_patiëntaantal[Percentage van patiëntaantallen in Wlz (overige is Zvw)],MATCH(B346,IF(Berekening_patiëntaantal[Doelgroep (zoeksleutel)]=C346,Berekening_patiëntaantal[Digitale zorgtoepassing]),0))</f>
        <v>0</v>
      </c>
      <c r="E346" s="33" t="str" cm="1">
        <f t="array" ref="E346">INDEX(Berekening_patiëntaantal[Direct toepasbaar/extrapolatie/incidentie voor QALY],MATCH(B346,IF(Berekening_patiëntaantal[Doelgroep (zoeksleutel)]=C346,Berekening_patiëntaantal[Digitale zorgtoepassing]),0))</f>
        <v>Huidige toepassing</v>
      </c>
      <c r="F346" s="43" t="s">
        <v>812</v>
      </c>
      <c r="G346" s="33" t="str">
        <f>CONCATENATE(uitkomst_doelgroep[[#This Row],[Digitale zorgtoepassing]],"_",uitkomst_doelgroep[[#This Row],[Doelgroep]],"_",uitkomst_doelgroep[[#This Row],[Uitgangssituatie/effect beleid]])</f>
        <v>Leefstijlmonitoring_Dementie_Effect beleid</v>
      </c>
      <c r="H346" s="33">
        <v>2025</v>
      </c>
      <c r="I346" s="32">
        <v>3</v>
      </c>
      <c r="J346" s="406" cm="1">
        <f t="array" ref="J346">INDEX(implementatie[[2023]:[2034]],MATCH(G346, implementatie[Zoeksleutel],0),I346)</f>
        <v>0.37504000000000004</v>
      </c>
      <c r="K346" s="406" cm="1">
        <f t="array" ref="K346">INDEX(implementatie[[2023]:[2034]],MATCH(G346,implementatie[Zoeksleutel],0),I346 + 1)</f>
        <v>0.48129319936000003</v>
      </c>
      <c r="L34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12400.453824</v>
      </c>
      <c r="M346" s="398" cm="1">
        <f t="array" ref="M346">J346*INDEX(Berekening_impact[Totaal arbeidsbesparing (€/jaar)],MATCH(B346,IF(Berekening_impact[Doelgroep]=C346,Berekening_impact[Digitale zorgtoepassing]),0))</f>
        <v>42774340.222564936</v>
      </c>
      <c r="N346" s="397" cm="1">
        <f t="array" ref="N346">J346*INDEX(Berekening_impact[Totaal arbeidsbesparing (FTE/jaar)],MATCH(B346,IF(Berekening_impact[Doelgroep]=C346,Berekening_impact[Digitale zorgtoepassing]),0))</f>
        <v>1007.5428561040477</v>
      </c>
      <c r="O346" s="398" cm="1">
        <f t="array" ref="O346">J346*INDEX(Berekening_impact[Overige kostenbesparing (totaal/jaar totaal potentieel)],MATCH(B346,IF(Berekening_impact[Doelgroep]=C346,Berekening_impact[Digitale zorgtoepassing]),0))</f>
        <v>5883944.4797518617</v>
      </c>
      <c r="P346" s="398" cm="1">
        <f t="array" ref="P346">J346*INDEX(Berekening_impact[Opbrengsten door QALY''s],MATCH(B346,IF(Berekening_impact[Doelgroep]=C346,Berekening_impact[Digitale zorgtoepassing]),0))</f>
        <v>0</v>
      </c>
      <c r="Q346" s="398" cm="1">
        <f t="array" ref="Q346">J346*INDEX(Berekening_impact[Jaarlijkse kosten (totaal) - incl. schatting],MATCH(B346,IF(Berekening_impact[Doelgroep]=C346,Berekening_impact[Digitale zorgtoepassing]),0))</f>
        <v>23288052.281472001</v>
      </c>
      <c r="R346" s="398" cm="1">
        <f t="array" ref="R346">(uitkomst_doelgroep[[#This Row],[Implementatiegraad t = T + 1]]-uitkomst_doelgroep[[#This Row],[Implementatiegraad t = T]])*INDEX(Berekening_impact[Initiële investering (totaal) - incl. schatting],MATCH(B346,IF(Berekening_impact[Doelgroep]=C346,Berekening_impact[Digitale zorgtoepassing]),0))</f>
        <v>0</v>
      </c>
      <c r="S346" s="398">
        <f>uitkomst_doelgroep[[#This Row],[Arbeidsbesparing (€)]]*uitkomst_doelgroep[[#This Row],[Percentage van patiëntaantallen in Wlz (overige is Zvw)]]</f>
        <v>0</v>
      </c>
      <c r="T346" s="398">
        <f>uitkomst_doelgroep[[#This Row],[Overige besparingen (€)]]*uitkomst_doelgroep[[#This Row],[Percentage van patiëntaantallen in Wlz (overige is Zvw)]]</f>
        <v>0</v>
      </c>
      <c r="U346" s="398">
        <f>uitkomst_doelgroep[[#This Row],[Kosten (€)]]*uitkomst_doelgroep[[#This Row],[Percentage van patiëntaantallen in Wlz (overige is Zvw)]]</f>
        <v>0</v>
      </c>
      <c r="V346" s="398">
        <f>uitkomst_doelgroep[[#This Row],[Investering (cash flow) (€)]]*uitkomst_doelgroep[[#This Row],[Percentage van patiëntaantallen in Wlz (overige is Zvw)]]</f>
        <v>0</v>
      </c>
    </row>
    <row r="347" spans="1:22" x14ac:dyDescent="0.5">
      <c r="A347" s="33" t="str">
        <f>INDEX(Technologieën[Veld],MATCH(B347,Technologieën[Digitale zorgtoepassing],0))</f>
        <v>Sensoren - Verpleging</v>
      </c>
      <c r="B347" s="33" t="s">
        <v>36</v>
      </c>
      <c r="C347" s="33" t="s">
        <v>24</v>
      </c>
      <c r="D347" s="427" cm="1">
        <f t="array" ref="D347">INDEX(Berekening_patiëntaantal[Percentage van patiëntaantallen in Wlz (overige is Zvw)],MATCH(B347,IF(Berekening_patiëntaantal[Doelgroep (zoeksleutel)]=C347,Berekening_patiëntaantal[Digitale zorgtoepassing]),0))</f>
        <v>0.45</v>
      </c>
      <c r="E347" s="33" t="str" cm="1">
        <f t="array" ref="E347">INDEX(Berekening_patiëntaantal[Direct toepasbaar/extrapolatie/incidentie voor QALY],MATCH(B347,IF(Berekening_patiëntaantal[Doelgroep (zoeksleutel)]=C347,Berekening_patiëntaantal[Digitale zorgtoepassing]),0))</f>
        <v>Extrapolatie</v>
      </c>
      <c r="F347" s="43" t="s">
        <v>812</v>
      </c>
      <c r="G347" s="33" t="str">
        <f>CONCATENATE(uitkomst_doelgroep[[#This Row],[Digitale zorgtoepassing]],"_",uitkomst_doelgroep[[#This Row],[Doelgroep]],"_",uitkomst_doelgroep[[#This Row],[Uitgangssituatie/effect beleid]])</f>
        <v>Leefstijlmonitoring_Cognitieve beperking_Effect beleid</v>
      </c>
      <c r="H347" s="33">
        <v>2026</v>
      </c>
      <c r="I347" s="32">
        <v>4</v>
      </c>
      <c r="J347" s="406" cm="1">
        <f t="array" ref="J347">INDEX(implementatie[[2023]:[2034]],MATCH(G347, implementatie[Zoeksleutel],0),I347)</f>
        <v>0.02</v>
      </c>
      <c r="K347" s="406" cm="1">
        <f t="array" ref="K347">INDEX(implementatie[[2023]:[2034]],MATCH(G347,implementatie[Zoeksleutel],0),I347 + 1)</f>
        <v>4.7439999999999996E-2</v>
      </c>
      <c r="L34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64.078559999999996</v>
      </c>
      <c r="M347" s="398" cm="1">
        <f t="array" ref="M347">J347*INDEX(Berekening_impact[Totaal arbeidsbesparing (€/jaar)],MATCH(B347,IF(Berekening_impact[Doelgroep]=C347,Berekening_impact[Digitale zorgtoepassing]),0))</f>
        <v>221033.6948400414</v>
      </c>
      <c r="N347" s="397" cm="1">
        <f t="array" ref="N347">J347*INDEX(Berekening_impact[Totaal arbeidsbesparing (FTE/jaar)],MATCH(B347,IF(Berekening_impact[Doelgroep]=C347,Berekening_impact[Digitale zorgtoepassing]),0))</f>
        <v>5.2064139162778593</v>
      </c>
      <c r="O347" s="398" cm="1">
        <f t="array" ref="O347">J347*INDEX(Berekening_impact[Overige kostenbesparing (totaal/jaar totaal potentieel)],MATCH(B347,IF(Berekening_impact[Doelgroep]=C347,Berekening_impact[Digitale zorgtoepassing]),0))</f>
        <v>30404.910556799994</v>
      </c>
      <c r="P347" s="398" cm="1">
        <f t="array" ref="P347">J347*INDEX(Berekening_impact[Opbrengsten door QALY''s],MATCH(B347,IF(Berekening_impact[Doelgroep]=C347,Berekening_impact[Digitale zorgtoepassing]),0))</f>
        <v>0</v>
      </c>
      <c r="Q347" s="398" cm="1">
        <f t="array" ref="Q347">J347*INDEX(Berekening_impact[Jaarlijkse kosten (totaal) - incl. schatting],MATCH(B347,IF(Berekening_impact[Doelgroep]=C347,Berekening_impact[Digitale zorgtoepassing]),0))</f>
        <v>120339.53568</v>
      </c>
      <c r="R347" s="398" cm="1">
        <f t="array" ref="R347">(uitkomst_doelgroep[[#This Row],[Implementatiegraad t = T + 1]]-uitkomst_doelgroep[[#This Row],[Implementatiegraad t = T]])*INDEX(Berekening_impact[Initiële investering (totaal) - incl. schatting],MATCH(B347,IF(Berekening_impact[Doelgroep]=C347,Berekening_impact[Digitale zorgtoepassing]),0))</f>
        <v>0</v>
      </c>
      <c r="S347" s="398">
        <f>uitkomst_doelgroep[[#This Row],[Arbeidsbesparing (€)]]*uitkomst_doelgroep[[#This Row],[Percentage van patiëntaantallen in Wlz (overige is Zvw)]]</f>
        <v>99465.162678018634</v>
      </c>
      <c r="T347" s="398">
        <f>uitkomst_doelgroep[[#This Row],[Overige besparingen (€)]]*uitkomst_doelgroep[[#This Row],[Percentage van patiëntaantallen in Wlz (overige is Zvw)]]</f>
        <v>13682.209750559998</v>
      </c>
      <c r="U347" s="398">
        <f>uitkomst_doelgroep[[#This Row],[Kosten (€)]]*uitkomst_doelgroep[[#This Row],[Percentage van patiëntaantallen in Wlz (overige is Zvw)]]</f>
        <v>54152.791056000002</v>
      </c>
      <c r="V347" s="398">
        <f>uitkomst_doelgroep[[#This Row],[Investering (cash flow) (€)]]*uitkomst_doelgroep[[#This Row],[Percentage van patiëntaantallen in Wlz (overige is Zvw)]]</f>
        <v>0</v>
      </c>
    </row>
    <row r="348" spans="1:22" x14ac:dyDescent="0.5">
      <c r="A348" s="33" t="str">
        <f>INDEX(Technologieën[Veld],MATCH(B348,Technologieën[Digitale zorgtoepassing],0))</f>
        <v>Sensoren - Verpleging</v>
      </c>
      <c r="B348" s="33" t="s">
        <v>36</v>
      </c>
      <c r="C348" s="33" t="s">
        <v>40</v>
      </c>
      <c r="D348" s="427" cm="1">
        <f t="array" ref="D348">INDEX(Berekening_patiëntaantal[Percentage van patiëntaantallen in Wlz (overige is Zvw)],MATCH(B348,IF(Berekening_patiëntaantal[Doelgroep (zoeksleutel)]=C348,Berekening_patiëntaantal[Digitale zorgtoepassing]),0))</f>
        <v>0.45</v>
      </c>
      <c r="E348" s="33" t="str" cm="1">
        <f t="array" ref="E348">INDEX(Berekening_patiëntaantal[Direct toepasbaar/extrapolatie/incidentie voor QALY],MATCH(B348,IF(Berekening_patiëntaantal[Doelgroep (zoeksleutel)]=C348,Berekening_patiëntaantal[Digitale zorgtoepassing]),0))</f>
        <v>Extrapolatie</v>
      </c>
      <c r="F348" s="43" t="s">
        <v>812</v>
      </c>
      <c r="G348" s="33" t="str">
        <f>CONCATENATE(uitkomst_doelgroep[[#This Row],[Digitale zorgtoepassing]],"_",uitkomst_doelgroep[[#This Row],[Doelgroep]],"_",uitkomst_doelgroep[[#This Row],[Uitgangssituatie/effect beleid]])</f>
        <v>Leefstijlmonitoring_Kwetsbare ouderen_Effect beleid</v>
      </c>
      <c r="H348" s="33">
        <v>2026</v>
      </c>
      <c r="I348" s="32">
        <v>4</v>
      </c>
      <c r="J348" s="406" cm="1">
        <f t="array" ref="J348">INDEX(implementatie[[2023]:[2034]],MATCH(G348, implementatie[Zoeksleutel],0),I348)</f>
        <v>0.02</v>
      </c>
      <c r="K348" s="406" cm="1">
        <f t="array" ref="K348">INDEX(implementatie[[2023]:[2034]],MATCH(G348,implementatie[Zoeksleutel],0),I348 + 1)</f>
        <v>4.7439999999999996E-2</v>
      </c>
      <c r="L34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410.62500000000006</v>
      </c>
      <c r="M348" s="398" cm="1">
        <f t="array" ref="M348">J348*INDEX(Berekening_impact[Totaal arbeidsbesparing (€/jaar)],MATCH(B348,IF(Berekening_impact[Doelgroep]=C348,Berekening_impact[Digitale zorgtoepassing]),0))</f>
        <v>1416416.9878925497</v>
      </c>
      <c r="N348" s="397" cm="1">
        <f t="array" ref="N348">J348*INDEX(Berekening_impact[Totaal arbeidsbesparing (FTE/jaar)],MATCH(B348,IF(Berekening_impact[Doelgroep]=C348,Berekening_impact[Digitale zorgtoepassing]),0))</f>
        <v>33.363479366134257</v>
      </c>
      <c r="O348" s="398" cm="1">
        <f t="array" ref="O348">J348*INDEX(Berekening_impact[Overige kostenbesparing (totaal/jaar totaal potentieel)],MATCH(B348,IF(Berekening_impact[Doelgroep]=C348,Berekening_impact[Digitale zorgtoepassing]),0))</f>
        <v>194839.21607142859</v>
      </c>
      <c r="P348" s="398" cm="1">
        <f t="array" ref="P348">J348*INDEX(Berekening_impact[Opbrengsten door QALY''s],MATCH(B348,IF(Berekening_impact[Doelgroep]=C348,Berekening_impact[Digitale zorgtoepassing]),0))</f>
        <v>0</v>
      </c>
      <c r="Q348" s="398" cm="1">
        <f t="array" ref="Q348">J348*INDEX(Berekening_impact[Jaarlijkse kosten (totaal) - incl. schatting],MATCH(B348,IF(Berekening_impact[Doelgroep]=C348,Berekening_impact[Digitale zorgtoepassing]),0))</f>
        <v>771153.75000000012</v>
      </c>
      <c r="R348" s="398" cm="1">
        <f t="array" ref="R348">(uitkomst_doelgroep[[#This Row],[Implementatiegraad t = T + 1]]-uitkomst_doelgroep[[#This Row],[Implementatiegraad t = T]])*INDEX(Berekening_impact[Initiële investering (totaal) - incl. schatting],MATCH(B348,IF(Berekening_impact[Doelgroep]=C348,Berekening_impact[Digitale zorgtoepassing]),0))</f>
        <v>0</v>
      </c>
      <c r="S348" s="398">
        <f>uitkomst_doelgroep[[#This Row],[Arbeidsbesparing (€)]]*uitkomst_doelgroep[[#This Row],[Percentage van patiëntaantallen in Wlz (overige is Zvw)]]</f>
        <v>637387.64455164736</v>
      </c>
      <c r="T348" s="398">
        <f>uitkomst_doelgroep[[#This Row],[Overige besparingen (€)]]*uitkomst_doelgroep[[#This Row],[Percentage van patiëntaantallen in Wlz (overige is Zvw)]]</f>
        <v>87677.647232142859</v>
      </c>
      <c r="U348" s="398">
        <f>uitkomst_doelgroep[[#This Row],[Kosten (€)]]*uitkomst_doelgroep[[#This Row],[Percentage van patiëntaantallen in Wlz (overige is Zvw)]]</f>
        <v>347019.18750000006</v>
      </c>
      <c r="V348" s="398">
        <f>uitkomst_doelgroep[[#This Row],[Investering (cash flow) (€)]]*uitkomst_doelgroep[[#This Row],[Percentage van patiëntaantallen in Wlz (overige is Zvw)]]</f>
        <v>0</v>
      </c>
    </row>
    <row r="349" spans="1:22" x14ac:dyDescent="0.5">
      <c r="A349" s="33" t="str">
        <f>INDEX(Technologieën[Veld],MATCH(B349,Technologieën[Digitale zorgtoepassing],0))</f>
        <v>Sensoren - Verpleging</v>
      </c>
      <c r="B349" s="33" t="s">
        <v>36</v>
      </c>
      <c r="C349" s="33" t="s">
        <v>27</v>
      </c>
      <c r="D349" s="427" cm="1">
        <f t="array" ref="D349">INDEX(Berekening_patiëntaantal[Percentage van patiëntaantallen in Wlz (overige is Zvw)],MATCH(B349,IF(Berekening_patiëntaantal[Doelgroep (zoeksleutel)]=C349,Berekening_patiëntaantal[Digitale zorgtoepassing]),0))</f>
        <v>0.45</v>
      </c>
      <c r="E349" s="33" t="str" cm="1">
        <f t="array" ref="E349">INDEX(Berekening_patiëntaantal[Direct toepasbaar/extrapolatie/incidentie voor QALY],MATCH(B349,IF(Berekening_patiëntaantal[Doelgroep (zoeksleutel)]=C349,Berekening_patiëntaantal[Digitale zorgtoepassing]),0))</f>
        <v>Extrapolatie</v>
      </c>
      <c r="F349" s="43" t="s">
        <v>812</v>
      </c>
      <c r="G349" s="33" t="str">
        <f>CONCATENATE(uitkomst_doelgroep[[#This Row],[Digitale zorgtoepassing]],"_",uitkomst_doelgroep[[#This Row],[Doelgroep]],"_",uitkomst_doelgroep[[#This Row],[Uitgangssituatie/effect beleid]])</f>
        <v>Leefstijlmonitoring_Parkinson_Effect beleid</v>
      </c>
      <c r="H349" s="33">
        <v>2026</v>
      </c>
      <c r="I349" s="32">
        <v>4</v>
      </c>
      <c r="J349" s="406" cm="1">
        <f t="array" ref="J349">INDEX(implementatie[[2023]:[2034]],MATCH(G349, implementatie[Zoeksleutel],0),I349)</f>
        <v>0.02</v>
      </c>
      <c r="K349" s="406" cm="1">
        <f t="array" ref="K349">INDEX(implementatie[[2023]:[2034]],MATCH(G349,implementatie[Zoeksleutel],0),I349 + 1)</f>
        <v>4.7439999999999996E-2</v>
      </c>
      <c r="L34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190.43999999999997</v>
      </c>
      <c r="M349" s="398" cm="1">
        <f t="array" ref="M349">J349*INDEX(Berekening_impact[Totaal arbeidsbesparing (€/jaar)],MATCH(B349,IF(Berekening_impact[Doelgroep]=C349,Berekening_impact[Digitale zorgtoepassing]),0))</f>
        <v>656907.03482315259</v>
      </c>
      <c r="N349" s="397" cm="1">
        <f t="array" ref="N349">J349*INDEX(Berekening_impact[Totaal arbeidsbesparing (FTE/jaar)],MATCH(B349,IF(Berekening_impact[Doelgroep]=C349,Berekening_impact[Digitale zorgtoepassing]),0))</f>
        <v>15.473341882463576</v>
      </c>
      <c r="O349" s="398" cm="1">
        <f t="array" ref="O349">J349*INDEX(Berekening_impact[Overige kostenbesparing (totaal/jaar totaal potentieel)],MATCH(B349,IF(Berekening_impact[Doelgroep]=C349,Berekening_impact[Digitale zorgtoepassing]),0))</f>
        <v>90362.691771428552</v>
      </c>
      <c r="P349" s="398" cm="1">
        <f t="array" ref="P349">J349*INDEX(Berekening_impact[Opbrengsten door QALY''s],MATCH(B349,IF(Berekening_impact[Doelgroep]=C349,Berekening_impact[Digitale zorgtoepassing]),0))</f>
        <v>0</v>
      </c>
      <c r="Q349" s="398" cm="1">
        <f t="array" ref="Q349">J349*INDEX(Berekening_impact[Jaarlijkse kosten (totaal) - incl. schatting],MATCH(B349,IF(Berekening_impact[Doelgroep]=C349,Berekening_impact[Digitale zorgtoepassing]),0))</f>
        <v>357646.31999999995</v>
      </c>
      <c r="R349" s="398" cm="1">
        <f t="array" ref="R349">(uitkomst_doelgroep[[#This Row],[Implementatiegraad t = T + 1]]-uitkomst_doelgroep[[#This Row],[Implementatiegraad t = T]])*INDEX(Berekening_impact[Initiële investering (totaal) - incl. schatting],MATCH(B349,IF(Berekening_impact[Doelgroep]=C349,Berekening_impact[Digitale zorgtoepassing]),0))</f>
        <v>0</v>
      </c>
      <c r="S349" s="398">
        <f>uitkomst_doelgroep[[#This Row],[Arbeidsbesparing (€)]]*uitkomst_doelgroep[[#This Row],[Percentage van patiëntaantallen in Wlz (overige is Zvw)]]</f>
        <v>295608.16567041865</v>
      </c>
      <c r="T349" s="398">
        <f>uitkomst_doelgroep[[#This Row],[Overige besparingen (€)]]*uitkomst_doelgroep[[#This Row],[Percentage van patiëntaantallen in Wlz (overige is Zvw)]]</f>
        <v>40663.211297142851</v>
      </c>
      <c r="U349" s="398">
        <f>uitkomst_doelgroep[[#This Row],[Kosten (€)]]*uitkomst_doelgroep[[#This Row],[Percentage van patiëntaantallen in Wlz (overige is Zvw)]]</f>
        <v>160940.84399999998</v>
      </c>
      <c r="V349" s="398">
        <f>uitkomst_doelgroep[[#This Row],[Investering (cash flow) (€)]]*uitkomst_doelgroep[[#This Row],[Percentage van patiëntaantallen in Wlz (overige is Zvw)]]</f>
        <v>0</v>
      </c>
    </row>
    <row r="350" spans="1:22" x14ac:dyDescent="0.5">
      <c r="A350" s="33" t="str">
        <f>INDEX(Technologieën[Veld],MATCH(B350,Technologieën[Digitale zorgtoepassing],0))</f>
        <v>Sensoren - Verpleging</v>
      </c>
      <c r="B350" s="33" t="s">
        <v>36</v>
      </c>
      <c r="C350" s="33" t="s">
        <v>20</v>
      </c>
      <c r="D350" s="427" cm="1">
        <f t="array" ref="D350">INDEX(Berekening_patiëntaantal[Percentage van patiëntaantallen in Wlz (overige is Zvw)],MATCH(B350,IF(Berekening_patiëntaantal[Doelgroep (zoeksleutel)]=C350,Berekening_patiëntaantal[Digitale zorgtoepassing]),0))</f>
        <v>0</v>
      </c>
      <c r="E350" s="33" t="str" cm="1">
        <f t="array" ref="E350">INDEX(Berekening_patiëntaantal[Direct toepasbaar/extrapolatie/incidentie voor QALY],MATCH(B350,IF(Berekening_patiëntaantal[Doelgroep (zoeksleutel)]=C350,Berekening_patiëntaantal[Digitale zorgtoepassing]),0))</f>
        <v>Huidige toepassing</v>
      </c>
      <c r="F350" s="43" t="s">
        <v>812</v>
      </c>
      <c r="G350" s="33" t="str">
        <f>CONCATENATE(uitkomst_doelgroep[[#This Row],[Digitale zorgtoepassing]],"_",uitkomst_doelgroep[[#This Row],[Doelgroep]],"_",uitkomst_doelgroep[[#This Row],[Uitgangssituatie/effect beleid]])</f>
        <v>Leefstijlmonitoring_Dementie_Effect beleid</v>
      </c>
      <c r="H350" s="33">
        <v>2026</v>
      </c>
      <c r="I350" s="32">
        <v>4</v>
      </c>
      <c r="J350" s="406" cm="1">
        <f t="array" ref="J350">INDEX(implementatie[[2023]:[2034]],MATCH(G350, implementatie[Zoeksleutel],0),I350)</f>
        <v>0.48129319936000003</v>
      </c>
      <c r="K350" s="406" cm="1">
        <f t="array" ref="K350">INDEX(implementatie[[2023]:[2034]],MATCH(G350,implementatie[Zoeksleutel],0),I350 + 1)</f>
        <v>0.59152735761672615</v>
      </c>
      <c r="L35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15913.646796258816</v>
      </c>
      <c r="M350" s="398" cm="1">
        <f t="array" ref="M350">J350*INDEX(Berekening_impact[Totaal arbeidsbesparing (€/jaar)],MATCH(B350,IF(Berekening_impact[Doelgroep]=C350,Berekening_impact[Digitale zorgtoepassing]),0))</f>
        <v>54892808.916999288</v>
      </c>
      <c r="N350" s="397" cm="1">
        <f t="array" ref="N350">J350*INDEX(Berekening_impact[Totaal arbeidsbesparing (FTE/jaar)],MATCH(B350,IF(Berekening_impact[Doelgroep]=C350,Berekening_impact[Digitale zorgtoepassing]),0))</f>
        <v>1292.9914801264645</v>
      </c>
      <c r="O350" s="398" cm="1">
        <f t="array" ref="O350">J350*INDEX(Berekening_impact[Overige kostenbesparing (totaal/jaar totaal potentieel)],MATCH(B350,IF(Berekening_impact[Doelgroep]=C350,Berekening_impact[Digitale zorgtoepassing]),0))</f>
        <v>7550934.4697002564</v>
      </c>
      <c r="P350" s="398" cm="1">
        <f t="array" ref="P350">J350*INDEX(Berekening_impact[Opbrengsten door QALY''s],MATCH(B350,IF(Berekening_impact[Doelgroep]=C350,Berekening_impact[Digitale zorgtoepassing]),0))</f>
        <v>0</v>
      </c>
      <c r="Q350" s="398" cm="1">
        <f t="array" ref="Q350">J350*INDEX(Berekening_impact[Jaarlijkse kosten (totaal) - incl. schatting],MATCH(B350,IF(Berekening_impact[Doelgroep]=C350,Berekening_impact[Digitale zorgtoepassing]),0))</f>
        <v>29885828.683374058</v>
      </c>
      <c r="R350" s="398" cm="1">
        <f t="array" ref="R350">(uitkomst_doelgroep[[#This Row],[Implementatiegraad t = T + 1]]-uitkomst_doelgroep[[#This Row],[Implementatiegraad t = T]])*INDEX(Berekening_impact[Initiële investering (totaal) - incl. schatting],MATCH(B350,IF(Berekening_impact[Doelgroep]=C350,Berekening_impact[Digitale zorgtoepassing]),0))</f>
        <v>0</v>
      </c>
      <c r="S350" s="398">
        <f>uitkomst_doelgroep[[#This Row],[Arbeidsbesparing (€)]]*uitkomst_doelgroep[[#This Row],[Percentage van patiëntaantallen in Wlz (overige is Zvw)]]</f>
        <v>0</v>
      </c>
      <c r="T350" s="398">
        <f>uitkomst_doelgroep[[#This Row],[Overige besparingen (€)]]*uitkomst_doelgroep[[#This Row],[Percentage van patiëntaantallen in Wlz (overige is Zvw)]]</f>
        <v>0</v>
      </c>
      <c r="U350" s="398">
        <f>uitkomst_doelgroep[[#This Row],[Kosten (€)]]*uitkomst_doelgroep[[#This Row],[Percentage van patiëntaantallen in Wlz (overige is Zvw)]]</f>
        <v>0</v>
      </c>
      <c r="V350" s="398">
        <f>uitkomst_doelgroep[[#This Row],[Investering (cash flow) (€)]]*uitkomst_doelgroep[[#This Row],[Percentage van patiëntaantallen in Wlz (overige is Zvw)]]</f>
        <v>0</v>
      </c>
    </row>
    <row r="351" spans="1:22" x14ac:dyDescent="0.5">
      <c r="A351" s="33" t="str">
        <f>INDEX(Technologieën[Veld],MATCH(B351,Technologieën[Digitale zorgtoepassing],0))</f>
        <v>Sensoren - Verpleging</v>
      </c>
      <c r="B351" s="33" t="s">
        <v>36</v>
      </c>
      <c r="C351" s="33" t="s">
        <v>24</v>
      </c>
      <c r="D351" s="427" cm="1">
        <f t="array" ref="D351">INDEX(Berekening_patiëntaantal[Percentage van patiëntaantallen in Wlz (overige is Zvw)],MATCH(B351,IF(Berekening_patiëntaantal[Doelgroep (zoeksleutel)]=C351,Berekening_patiëntaantal[Digitale zorgtoepassing]),0))</f>
        <v>0.45</v>
      </c>
      <c r="E351" s="33" t="str" cm="1">
        <f t="array" ref="E351">INDEX(Berekening_patiëntaantal[Direct toepasbaar/extrapolatie/incidentie voor QALY],MATCH(B351,IF(Berekening_patiëntaantal[Doelgroep (zoeksleutel)]=C351,Berekening_patiëntaantal[Digitale zorgtoepassing]),0))</f>
        <v>Extrapolatie</v>
      </c>
      <c r="F351" s="43" t="s">
        <v>812</v>
      </c>
      <c r="G351" s="33" t="str">
        <f>CONCATENATE(uitkomst_doelgroep[[#This Row],[Digitale zorgtoepassing]],"_",uitkomst_doelgroep[[#This Row],[Doelgroep]],"_",uitkomst_doelgroep[[#This Row],[Uitgangssituatie/effect beleid]])</f>
        <v>Leefstijlmonitoring_Cognitieve beperking_Effect beleid</v>
      </c>
      <c r="H351" s="33">
        <v>2027</v>
      </c>
      <c r="I351" s="32">
        <v>5</v>
      </c>
      <c r="J351" s="406" cm="1">
        <f t="array" ref="J351">INDEX(implementatie[[2023]:[2034]],MATCH(G351, implementatie[Zoeksleutel],0),I351)</f>
        <v>4.7439999999999996E-2</v>
      </c>
      <c r="K351" s="406" cm="1">
        <f t="array" ref="K351">INDEX(implementatie[[2023]:[2034]],MATCH(G351,implementatie[Zoeksleutel],0),I351 + 1)</f>
        <v>8.4566978560000006E-2</v>
      </c>
      <c r="L35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151.99434431999998</v>
      </c>
      <c r="M351" s="398" cm="1">
        <f t="array" ref="M351">J351*INDEX(Berekening_impact[Totaal arbeidsbesparing (€/jaar)],MATCH(B351,IF(Berekening_impact[Doelgroep]=C351,Berekening_impact[Digitale zorgtoepassing]),0))</f>
        <v>524291.92416057817</v>
      </c>
      <c r="N351" s="397" cm="1">
        <f t="array" ref="N351">J351*INDEX(Berekening_impact[Totaal arbeidsbesparing (FTE/jaar)],MATCH(B351,IF(Berekening_impact[Doelgroep]=C351,Berekening_impact[Digitale zorgtoepassing]),0))</f>
        <v>12.34961380941108</v>
      </c>
      <c r="O351" s="398" cm="1">
        <f t="array" ref="O351">J351*INDEX(Berekening_impact[Overige kostenbesparing (totaal/jaar totaal potentieel)],MATCH(B351,IF(Berekening_impact[Doelgroep]=C351,Berekening_impact[Digitale zorgtoepassing]),0))</f>
        <v>72120.447840729583</v>
      </c>
      <c r="P351" s="398" cm="1">
        <f t="array" ref="P351">J351*INDEX(Berekening_impact[Opbrengsten door QALY''s],MATCH(B351,IF(Berekening_impact[Doelgroep]=C351,Berekening_impact[Digitale zorgtoepassing]),0))</f>
        <v>0</v>
      </c>
      <c r="Q351" s="398" cm="1">
        <f t="array" ref="Q351">J351*INDEX(Berekening_impact[Jaarlijkse kosten (totaal) - incl. schatting],MATCH(B351,IF(Berekening_impact[Doelgroep]=C351,Berekening_impact[Digitale zorgtoepassing]),0))</f>
        <v>285445.37863295997</v>
      </c>
      <c r="R351" s="398" cm="1">
        <f t="array" ref="R351">(uitkomst_doelgroep[[#This Row],[Implementatiegraad t = T + 1]]-uitkomst_doelgroep[[#This Row],[Implementatiegraad t = T]])*INDEX(Berekening_impact[Initiële investering (totaal) - incl. schatting],MATCH(B351,IF(Berekening_impact[Doelgroep]=C351,Berekening_impact[Digitale zorgtoepassing]),0))</f>
        <v>0</v>
      </c>
      <c r="S351" s="398">
        <f>uitkomst_doelgroep[[#This Row],[Arbeidsbesparing (€)]]*uitkomst_doelgroep[[#This Row],[Percentage van patiëntaantallen in Wlz (overige is Zvw)]]</f>
        <v>235931.36587226018</v>
      </c>
      <c r="T351" s="398">
        <f>uitkomst_doelgroep[[#This Row],[Overige besparingen (€)]]*uitkomst_doelgroep[[#This Row],[Percentage van patiëntaantallen in Wlz (overige is Zvw)]]</f>
        <v>32454.201528328314</v>
      </c>
      <c r="U351" s="398">
        <f>uitkomst_doelgroep[[#This Row],[Kosten (€)]]*uitkomst_doelgroep[[#This Row],[Percentage van patiëntaantallen in Wlz (overige is Zvw)]]</f>
        <v>128450.42038483199</v>
      </c>
      <c r="V351" s="398">
        <f>uitkomst_doelgroep[[#This Row],[Investering (cash flow) (€)]]*uitkomst_doelgroep[[#This Row],[Percentage van patiëntaantallen in Wlz (overige is Zvw)]]</f>
        <v>0</v>
      </c>
    </row>
    <row r="352" spans="1:22" x14ac:dyDescent="0.5">
      <c r="A352" s="33" t="str">
        <f>INDEX(Technologieën[Veld],MATCH(B352,Technologieën[Digitale zorgtoepassing],0))</f>
        <v>Sensoren - Verpleging</v>
      </c>
      <c r="B352" s="33" t="s">
        <v>36</v>
      </c>
      <c r="C352" s="33" t="s">
        <v>40</v>
      </c>
      <c r="D352" s="427" cm="1">
        <f t="array" ref="D352">INDEX(Berekening_patiëntaantal[Percentage van patiëntaantallen in Wlz (overige is Zvw)],MATCH(B352,IF(Berekening_patiëntaantal[Doelgroep (zoeksleutel)]=C352,Berekening_patiëntaantal[Digitale zorgtoepassing]),0))</f>
        <v>0.45</v>
      </c>
      <c r="E352" s="33" t="str" cm="1">
        <f t="array" ref="E352">INDEX(Berekening_patiëntaantal[Direct toepasbaar/extrapolatie/incidentie voor QALY],MATCH(B352,IF(Berekening_patiëntaantal[Doelgroep (zoeksleutel)]=C352,Berekening_patiëntaantal[Digitale zorgtoepassing]),0))</f>
        <v>Extrapolatie</v>
      </c>
      <c r="F352" s="43" t="s">
        <v>812</v>
      </c>
      <c r="G352" s="33" t="str">
        <f>CONCATENATE(uitkomst_doelgroep[[#This Row],[Digitale zorgtoepassing]],"_",uitkomst_doelgroep[[#This Row],[Doelgroep]],"_",uitkomst_doelgroep[[#This Row],[Uitgangssituatie/effect beleid]])</f>
        <v>Leefstijlmonitoring_Kwetsbare ouderen_Effect beleid</v>
      </c>
      <c r="H352" s="33">
        <v>2027</v>
      </c>
      <c r="I352" s="32">
        <v>5</v>
      </c>
      <c r="J352" s="406" cm="1">
        <f t="array" ref="J352">INDEX(implementatie[[2023]:[2034]],MATCH(G352, implementatie[Zoeksleutel],0),I352)</f>
        <v>4.7439999999999996E-2</v>
      </c>
      <c r="K352" s="406" cm="1">
        <f t="array" ref="K352">INDEX(implementatie[[2023]:[2034]],MATCH(G352,implementatie[Zoeksleutel],0),I352 + 1)</f>
        <v>8.4566978560000006E-2</v>
      </c>
      <c r="L35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974.00250000000005</v>
      </c>
      <c r="M352" s="398" cm="1">
        <f t="array" ref="M352">J352*INDEX(Berekening_impact[Totaal arbeidsbesparing (€/jaar)],MATCH(B352,IF(Berekening_impact[Doelgroep]=C352,Berekening_impact[Digitale zorgtoepassing]),0))</f>
        <v>3359741.0952811274</v>
      </c>
      <c r="N352" s="397" cm="1">
        <f t="array" ref="N352">J352*INDEX(Berekening_impact[Totaal arbeidsbesparing (FTE/jaar)],MATCH(B352,IF(Berekening_impact[Doelgroep]=C352,Berekening_impact[Digitale zorgtoepassing]),0))</f>
        <v>79.13817305647045</v>
      </c>
      <c r="O352" s="398" cm="1">
        <f t="array" ref="O352">J352*INDEX(Berekening_impact[Overige kostenbesparing (totaal/jaar totaal potentieel)],MATCH(B352,IF(Berekening_impact[Doelgroep]=C352,Berekening_impact[Digitale zorgtoepassing]),0))</f>
        <v>462158.62052142859</v>
      </c>
      <c r="P352" s="398" cm="1">
        <f t="array" ref="P352">J352*INDEX(Berekening_impact[Opbrengsten door QALY''s],MATCH(B352,IF(Berekening_impact[Doelgroep]=C352,Berekening_impact[Digitale zorgtoepassing]),0))</f>
        <v>0</v>
      </c>
      <c r="Q352" s="398" cm="1">
        <f t="array" ref="Q352">J352*INDEX(Berekening_impact[Jaarlijkse kosten (totaal) - incl. schatting],MATCH(B352,IF(Berekening_impact[Doelgroep]=C352,Berekening_impact[Digitale zorgtoepassing]),0))</f>
        <v>1829176.6950000003</v>
      </c>
      <c r="R352" s="398" cm="1">
        <f t="array" ref="R352">(uitkomst_doelgroep[[#This Row],[Implementatiegraad t = T + 1]]-uitkomst_doelgroep[[#This Row],[Implementatiegraad t = T]])*INDEX(Berekening_impact[Initiële investering (totaal) - incl. schatting],MATCH(B352,IF(Berekening_impact[Doelgroep]=C352,Berekening_impact[Digitale zorgtoepassing]),0))</f>
        <v>0</v>
      </c>
      <c r="S352" s="398">
        <f>uitkomst_doelgroep[[#This Row],[Arbeidsbesparing (€)]]*uitkomst_doelgroep[[#This Row],[Percentage van patiëntaantallen in Wlz (overige is Zvw)]]</f>
        <v>1511883.4928765073</v>
      </c>
      <c r="T352" s="398">
        <f>uitkomst_doelgroep[[#This Row],[Overige besparingen (€)]]*uitkomst_doelgroep[[#This Row],[Percentage van patiëntaantallen in Wlz (overige is Zvw)]]</f>
        <v>207971.37923464287</v>
      </c>
      <c r="U352" s="398">
        <f>uitkomst_doelgroep[[#This Row],[Kosten (€)]]*uitkomst_doelgroep[[#This Row],[Percentage van patiëntaantallen in Wlz (overige is Zvw)]]</f>
        <v>823129.51275000011</v>
      </c>
      <c r="V352" s="398">
        <f>uitkomst_doelgroep[[#This Row],[Investering (cash flow) (€)]]*uitkomst_doelgroep[[#This Row],[Percentage van patiëntaantallen in Wlz (overige is Zvw)]]</f>
        <v>0</v>
      </c>
    </row>
    <row r="353" spans="1:22" x14ac:dyDescent="0.5">
      <c r="A353" s="33" t="str">
        <f>INDEX(Technologieën[Veld],MATCH(B353,Technologieën[Digitale zorgtoepassing],0))</f>
        <v>Sensoren - Verpleging</v>
      </c>
      <c r="B353" s="33" t="s">
        <v>36</v>
      </c>
      <c r="C353" s="33" t="s">
        <v>27</v>
      </c>
      <c r="D353" s="427" cm="1">
        <f t="array" ref="D353">INDEX(Berekening_patiëntaantal[Percentage van patiëntaantallen in Wlz (overige is Zvw)],MATCH(B353,IF(Berekening_patiëntaantal[Doelgroep (zoeksleutel)]=C353,Berekening_patiëntaantal[Digitale zorgtoepassing]),0))</f>
        <v>0.45</v>
      </c>
      <c r="E353" s="33" t="str" cm="1">
        <f t="array" ref="E353">INDEX(Berekening_patiëntaantal[Direct toepasbaar/extrapolatie/incidentie voor QALY],MATCH(B353,IF(Berekening_patiëntaantal[Doelgroep (zoeksleutel)]=C353,Berekening_patiëntaantal[Digitale zorgtoepassing]),0))</f>
        <v>Extrapolatie</v>
      </c>
      <c r="F353" s="43" t="s">
        <v>812</v>
      </c>
      <c r="G353" s="33" t="str">
        <f>CONCATENATE(uitkomst_doelgroep[[#This Row],[Digitale zorgtoepassing]],"_",uitkomst_doelgroep[[#This Row],[Doelgroep]],"_",uitkomst_doelgroep[[#This Row],[Uitgangssituatie/effect beleid]])</f>
        <v>Leefstijlmonitoring_Parkinson_Effect beleid</v>
      </c>
      <c r="H353" s="33">
        <v>2027</v>
      </c>
      <c r="I353" s="32">
        <v>5</v>
      </c>
      <c r="J353" s="406" cm="1">
        <f t="array" ref="J353">INDEX(implementatie[[2023]:[2034]],MATCH(G353, implementatie[Zoeksleutel],0),I353)</f>
        <v>4.7439999999999996E-2</v>
      </c>
      <c r="K353" s="406" cm="1">
        <f t="array" ref="K353">INDEX(implementatie[[2023]:[2034]],MATCH(G353,implementatie[Zoeksleutel],0),I353 + 1)</f>
        <v>8.4566978560000006E-2</v>
      </c>
      <c r="L35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451.72367999999989</v>
      </c>
      <c r="M353" s="398" cm="1">
        <f t="array" ref="M353">J353*INDEX(Berekening_impact[Totaal arbeidsbesparing (€/jaar)],MATCH(B353,IF(Berekening_impact[Doelgroep]=C353,Berekening_impact[Digitale zorgtoepassing]),0))</f>
        <v>1558183.4866005178</v>
      </c>
      <c r="N353" s="397" cm="1">
        <f t="array" ref="N353">J353*INDEX(Berekening_impact[Totaal arbeidsbesparing (FTE/jaar)],MATCH(B353,IF(Berekening_impact[Doelgroep]=C353,Berekening_impact[Digitale zorgtoepassing]),0))</f>
        <v>36.702766945203599</v>
      </c>
      <c r="O353" s="398" cm="1">
        <f t="array" ref="O353">J353*INDEX(Berekening_impact[Overige kostenbesparing (totaal/jaar totaal potentieel)],MATCH(B353,IF(Berekening_impact[Doelgroep]=C353,Berekening_impact[Digitale zorgtoepassing]),0))</f>
        <v>214340.30488182849</v>
      </c>
      <c r="P353" s="398" cm="1">
        <f t="array" ref="P353">J353*INDEX(Berekening_impact[Opbrengsten door QALY''s],MATCH(B353,IF(Berekening_impact[Doelgroep]=C353,Berekening_impact[Digitale zorgtoepassing]),0))</f>
        <v>0</v>
      </c>
      <c r="Q353" s="398" cm="1">
        <f t="array" ref="Q353">J353*INDEX(Berekening_impact[Jaarlijkse kosten (totaal) - incl. schatting],MATCH(B353,IF(Berekening_impact[Doelgroep]=C353,Berekening_impact[Digitale zorgtoepassing]),0))</f>
        <v>848337.07103999972</v>
      </c>
      <c r="R353" s="398" cm="1">
        <f t="array" ref="R353">(uitkomst_doelgroep[[#This Row],[Implementatiegraad t = T + 1]]-uitkomst_doelgroep[[#This Row],[Implementatiegraad t = T]])*INDEX(Berekening_impact[Initiële investering (totaal) - incl. schatting],MATCH(B353,IF(Berekening_impact[Doelgroep]=C353,Berekening_impact[Digitale zorgtoepassing]),0))</f>
        <v>0</v>
      </c>
      <c r="S353" s="398">
        <f>uitkomst_doelgroep[[#This Row],[Arbeidsbesparing (€)]]*uitkomst_doelgroep[[#This Row],[Percentage van patiëntaantallen in Wlz (overige is Zvw)]]</f>
        <v>701182.56897023297</v>
      </c>
      <c r="T353" s="398">
        <f>uitkomst_doelgroep[[#This Row],[Overige besparingen (€)]]*uitkomst_doelgroep[[#This Row],[Percentage van patiëntaantallen in Wlz (overige is Zvw)]]</f>
        <v>96453.13719682282</v>
      </c>
      <c r="U353" s="398">
        <f>uitkomst_doelgroep[[#This Row],[Kosten (€)]]*uitkomst_doelgroep[[#This Row],[Percentage van patiëntaantallen in Wlz (overige is Zvw)]]</f>
        <v>381751.6819679999</v>
      </c>
      <c r="V353" s="398">
        <f>uitkomst_doelgroep[[#This Row],[Investering (cash flow) (€)]]*uitkomst_doelgroep[[#This Row],[Percentage van patiëntaantallen in Wlz (overige is Zvw)]]</f>
        <v>0</v>
      </c>
    </row>
    <row r="354" spans="1:22" x14ac:dyDescent="0.5">
      <c r="A354" s="33" t="str">
        <f>INDEX(Technologieën[Veld],MATCH(B354,Technologieën[Digitale zorgtoepassing],0))</f>
        <v>Sensoren - Verpleging</v>
      </c>
      <c r="B354" s="33" t="s">
        <v>36</v>
      </c>
      <c r="C354" s="33" t="s">
        <v>20</v>
      </c>
      <c r="D354" s="427" cm="1">
        <f t="array" ref="D354">INDEX(Berekening_patiëntaantal[Percentage van patiëntaantallen in Wlz (overige is Zvw)],MATCH(B354,IF(Berekening_patiëntaantal[Doelgroep (zoeksleutel)]=C354,Berekening_patiëntaantal[Digitale zorgtoepassing]),0))</f>
        <v>0</v>
      </c>
      <c r="E354" s="33" t="str" cm="1">
        <f t="array" ref="E354">INDEX(Berekening_patiëntaantal[Direct toepasbaar/extrapolatie/incidentie voor QALY],MATCH(B354,IF(Berekening_patiëntaantal[Doelgroep (zoeksleutel)]=C354,Berekening_patiëntaantal[Digitale zorgtoepassing]),0))</f>
        <v>Huidige toepassing</v>
      </c>
      <c r="F354" s="43" t="s">
        <v>812</v>
      </c>
      <c r="G354" s="33" t="str">
        <f>CONCATENATE(uitkomst_doelgroep[[#This Row],[Digitale zorgtoepassing]],"_",uitkomst_doelgroep[[#This Row],[Doelgroep]],"_",uitkomst_doelgroep[[#This Row],[Uitgangssituatie/effect beleid]])</f>
        <v>Leefstijlmonitoring_Dementie_Effect beleid</v>
      </c>
      <c r="H354" s="33">
        <v>2027</v>
      </c>
      <c r="I354" s="32">
        <v>5</v>
      </c>
      <c r="J354" s="406" cm="1">
        <f t="array" ref="J354">INDEX(implementatie[[2023]:[2034]],MATCH(G354, implementatie[Zoeksleutel],0),I354)</f>
        <v>0.59152735761672615</v>
      </c>
      <c r="K354" s="406" cm="1">
        <f t="array" ref="K354">INDEX(implementatie[[2023]:[2034]],MATCH(G354,implementatie[Zoeksleutel],0),I354 + 1)</f>
        <v>0.69634590758747161</v>
      </c>
      <c r="L35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19558.467586814597</v>
      </c>
      <c r="M354" s="398" cm="1">
        <f t="array" ref="M354">J354*INDEX(Berekening_impact[Totaal arbeidsbesparing (€/jaar)],MATCH(B354,IF(Berekening_impact[Doelgroep]=C354,Berekening_impact[Digitale zorgtoepassing]),0))</f>
        <v>67465316.887939095</v>
      </c>
      <c r="N354" s="397" cm="1">
        <f t="array" ref="N354">J354*INDEX(Berekening_impact[Totaal arbeidsbesparing (FTE/jaar)],MATCH(B354,IF(Berekening_impact[Doelgroep]=C354,Berekening_impact[Digitale zorgtoepassing]),0))</f>
        <v>1589.1349278925891</v>
      </c>
      <c r="O354" s="398" cm="1">
        <f t="array" ref="O354">J354*INDEX(Berekening_impact[Overige kostenbesparing (totaal/jaar totaal potentieel)],MATCH(B354,IF(Berekening_impact[Doelgroep]=C354,Berekening_impact[Digitale zorgtoepassing]),0))</f>
        <v>9280381.1072716005</v>
      </c>
      <c r="P354" s="398" cm="1">
        <f t="array" ref="P354">J354*INDEX(Berekening_impact[Opbrengsten door QALY''s],MATCH(B354,IF(Berekening_impact[Doelgroep]=C354,Berekening_impact[Digitale zorgtoepassing]),0))</f>
        <v>0</v>
      </c>
      <c r="Q354" s="398" cm="1">
        <f t="array" ref="Q354">J354*INDEX(Berekening_impact[Jaarlijkse kosten (totaal) - incl. schatting],MATCH(B354,IF(Berekening_impact[Doelgroep]=C354,Berekening_impact[Digitale zorgtoepassing]),0))</f>
        <v>36730802.128037818</v>
      </c>
      <c r="R354" s="398" cm="1">
        <f t="array" ref="R354">(uitkomst_doelgroep[[#This Row],[Implementatiegraad t = T + 1]]-uitkomst_doelgroep[[#This Row],[Implementatiegraad t = T]])*INDEX(Berekening_impact[Initiële investering (totaal) - incl. schatting],MATCH(B354,IF(Berekening_impact[Doelgroep]=C354,Berekening_impact[Digitale zorgtoepassing]),0))</f>
        <v>0</v>
      </c>
      <c r="S354" s="398">
        <f>uitkomst_doelgroep[[#This Row],[Arbeidsbesparing (€)]]*uitkomst_doelgroep[[#This Row],[Percentage van patiëntaantallen in Wlz (overige is Zvw)]]</f>
        <v>0</v>
      </c>
      <c r="T354" s="398">
        <f>uitkomst_doelgroep[[#This Row],[Overige besparingen (€)]]*uitkomst_doelgroep[[#This Row],[Percentage van patiëntaantallen in Wlz (overige is Zvw)]]</f>
        <v>0</v>
      </c>
      <c r="U354" s="398">
        <f>uitkomst_doelgroep[[#This Row],[Kosten (€)]]*uitkomst_doelgroep[[#This Row],[Percentage van patiëntaantallen in Wlz (overige is Zvw)]]</f>
        <v>0</v>
      </c>
      <c r="V354" s="398">
        <f>uitkomst_doelgroep[[#This Row],[Investering (cash flow) (€)]]*uitkomst_doelgroep[[#This Row],[Percentage van patiëntaantallen in Wlz (overige is Zvw)]]</f>
        <v>0</v>
      </c>
    </row>
    <row r="355" spans="1:22" x14ac:dyDescent="0.5">
      <c r="A355" s="33" t="str">
        <f>INDEX(Technologieën[Veld],MATCH(B355,Technologieën[Digitale zorgtoepassing],0))</f>
        <v>Sensoren - Verpleging</v>
      </c>
      <c r="B355" s="33" t="s">
        <v>36</v>
      </c>
      <c r="C355" s="33" t="s">
        <v>24</v>
      </c>
      <c r="D355" s="427" cm="1">
        <f t="array" ref="D355">INDEX(Berekening_patiëntaantal[Percentage van patiëntaantallen in Wlz (overige is Zvw)],MATCH(B355,IF(Berekening_patiëntaantal[Doelgroep (zoeksleutel)]=C355,Berekening_patiëntaantal[Digitale zorgtoepassing]),0))</f>
        <v>0.45</v>
      </c>
      <c r="E355" s="33" t="str" cm="1">
        <f t="array" ref="E355">INDEX(Berekening_patiëntaantal[Direct toepasbaar/extrapolatie/incidentie voor QALY],MATCH(B355,IF(Berekening_patiëntaantal[Doelgroep (zoeksleutel)]=C355,Berekening_patiëntaantal[Digitale zorgtoepassing]),0))</f>
        <v>Extrapolatie</v>
      </c>
      <c r="F355" s="43" t="s">
        <v>812</v>
      </c>
      <c r="G355" s="33" t="str">
        <f>CONCATENATE(uitkomst_doelgroep[[#This Row],[Digitale zorgtoepassing]],"_",uitkomst_doelgroep[[#This Row],[Doelgroep]],"_",uitkomst_doelgroep[[#This Row],[Uitgangssituatie/effect beleid]])</f>
        <v>Leefstijlmonitoring_Cognitieve beperking_Effect beleid</v>
      </c>
      <c r="H355" s="33">
        <v>2028</v>
      </c>
      <c r="I355" s="32">
        <v>6</v>
      </c>
      <c r="J355" s="406" cm="1">
        <f t="array" ref="J355">INDEX(implementatie[[2023]:[2034]],MATCH(G355, implementatie[Zoeksleutel],0),I355)</f>
        <v>8.4566978560000006E-2</v>
      </c>
      <c r="K355" s="406" cm="1">
        <f t="array" ref="K355">INDEX(implementatie[[2023]:[2034]],MATCH(G355,implementatie[Zoeksleutel],0),I355 + 1)</f>
        <v>0.13384180086769301</v>
      </c>
      <c r="L35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270.9465104837837</v>
      </c>
      <c r="M355" s="398" cm="1">
        <f t="array" ref="M355">J355*INDEX(Berekening_impact[Totaal arbeidsbesparing (€/jaar)],MATCH(B355,IF(Berekening_impact[Doelgroep]=C355,Berekening_impact[Digitale zorgtoepassing]),0))</f>
        <v>934607.58662876824</v>
      </c>
      <c r="N355" s="397" cm="1">
        <f t="array" ref="N355">J355*INDEX(Berekening_impact[Totaal arbeidsbesparing (FTE/jaar)],MATCH(B355,IF(Berekening_impact[Doelgroep]=C355,Berekening_impact[Digitale zorgtoepassing]),0))</f>
        <v>22.014534701617766</v>
      </c>
      <c r="O355" s="398" cm="1">
        <f t="array" ref="O355">J355*INDEX(Berekening_impact[Overige kostenbesparing (totaal/jaar totaal potentieel)],MATCH(B355,IF(Berekening_impact[Doelgroep]=C355,Berekening_impact[Digitale zorgtoepassing]),0))</f>
        <v>128562.57095878114</v>
      </c>
      <c r="P355" s="398" cm="1">
        <f t="array" ref="P355">J355*INDEX(Berekening_impact[Opbrengsten door QALY''s],MATCH(B355,IF(Berekening_impact[Doelgroep]=C355,Berekening_impact[Digitale zorgtoepassing]),0))</f>
        <v>0</v>
      </c>
      <c r="Q355" s="398" cm="1">
        <f t="array" ref="Q355">J355*INDEX(Berekening_impact[Jaarlijkse kosten (totaal) - incl. schatting],MATCH(B355,IF(Berekening_impact[Doelgroep]=C355,Berekening_impact[Digitale zorgtoepassing]),0))</f>
        <v>508837.54668854579</v>
      </c>
      <c r="R355" s="398" cm="1">
        <f t="array" ref="R355">(uitkomst_doelgroep[[#This Row],[Implementatiegraad t = T + 1]]-uitkomst_doelgroep[[#This Row],[Implementatiegraad t = T]])*INDEX(Berekening_impact[Initiële investering (totaal) - incl. schatting],MATCH(B355,IF(Berekening_impact[Doelgroep]=C355,Berekening_impact[Digitale zorgtoepassing]),0))</f>
        <v>0</v>
      </c>
      <c r="S355" s="398">
        <f>uitkomst_doelgroep[[#This Row],[Arbeidsbesparing (€)]]*uitkomst_doelgroep[[#This Row],[Percentage van patiëntaantallen in Wlz (overige is Zvw)]]</f>
        <v>420573.41398294573</v>
      </c>
      <c r="T355" s="398">
        <f>uitkomst_doelgroep[[#This Row],[Overige besparingen (€)]]*uitkomst_doelgroep[[#This Row],[Percentage van patiëntaantallen in Wlz (overige is Zvw)]]</f>
        <v>57853.156931451515</v>
      </c>
      <c r="U355" s="398">
        <f>uitkomst_doelgroep[[#This Row],[Kosten (€)]]*uitkomst_doelgroep[[#This Row],[Percentage van patiëntaantallen in Wlz (overige is Zvw)]]</f>
        <v>228976.8960098456</v>
      </c>
      <c r="V355" s="398">
        <f>uitkomst_doelgroep[[#This Row],[Investering (cash flow) (€)]]*uitkomst_doelgroep[[#This Row],[Percentage van patiëntaantallen in Wlz (overige is Zvw)]]</f>
        <v>0</v>
      </c>
    </row>
    <row r="356" spans="1:22" x14ac:dyDescent="0.5">
      <c r="A356" s="33" t="str">
        <f>INDEX(Technologieën[Veld],MATCH(B356,Technologieën[Digitale zorgtoepassing],0))</f>
        <v>Sensoren - Verpleging</v>
      </c>
      <c r="B356" s="33" t="s">
        <v>36</v>
      </c>
      <c r="C356" s="33" t="s">
        <v>40</v>
      </c>
      <c r="D356" s="427" cm="1">
        <f t="array" ref="D356">INDEX(Berekening_patiëntaantal[Percentage van patiëntaantallen in Wlz (overige is Zvw)],MATCH(B356,IF(Berekening_patiëntaantal[Doelgroep (zoeksleutel)]=C356,Berekening_patiëntaantal[Digitale zorgtoepassing]),0))</f>
        <v>0.45</v>
      </c>
      <c r="E356" s="33" t="str" cm="1">
        <f t="array" ref="E356">INDEX(Berekening_patiëntaantal[Direct toepasbaar/extrapolatie/incidentie voor QALY],MATCH(B356,IF(Berekening_patiëntaantal[Doelgroep (zoeksleutel)]=C356,Berekening_patiëntaantal[Digitale zorgtoepassing]),0))</f>
        <v>Extrapolatie</v>
      </c>
      <c r="F356" s="43" t="s">
        <v>812</v>
      </c>
      <c r="G356" s="33" t="str">
        <f>CONCATENATE(uitkomst_doelgroep[[#This Row],[Digitale zorgtoepassing]],"_",uitkomst_doelgroep[[#This Row],[Doelgroep]],"_",uitkomst_doelgroep[[#This Row],[Uitgangssituatie/effect beleid]])</f>
        <v>Leefstijlmonitoring_Kwetsbare ouderen_Effect beleid</v>
      </c>
      <c r="H356" s="33">
        <v>2028</v>
      </c>
      <c r="I356" s="32">
        <v>6</v>
      </c>
      <c r="J356" s="406" cm="1">
        <f t="array" ref="J356">INDEX(implementatie[[2023]:[2034]],MATCH(G356, implementatie[Zoeksleutel],0),I356)</f>
        <v>8.4566978560000006E-2</v>
      </c>
      <c r="K356" s="406" cm="1">
        <f t="array" ref="K356">INDEX(implementatie[[2023]:[2034]],MATCH(G356,implementatie[Zoeksleutel],0),I356 + 1)</f>
        <v>0.13384180086769301</v>
      </c>
      <c r="L35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1736.2657785600004</v>
      </c>
      <c r="M356" s="398" cm="1">
        <f t="array" ref="M356">J356*INDEX(Berekening_impact[Totaal arbeidsbesparing (€/jaar)],MATCH(B356,IF(Berekening_impact[Doelgroep]=C356,Berekening_impact[Digitale zorgtoepassing]),0))</f>
        <v>5989105.2523564519</v>
      </c>
      <c r="N356" s="397" cm="1">
        <f t="array" ref="N356">J356*INDEX(Berekening_impact[Totaal arbeidsbesparing (FTE/jaar)],MATCH(B356,IF(Berekening_impact[Doelgroep]=C356,Berekening_impact[Digitale zorgtoepassing]),0))</f>
        <v>141.07243221214392</v>
      </c>
      <c r="O356" s="398" cm="1">
        <f t="array" ref="O356">J356*INDEX(Berekening_impact[Overige kostenbesparing (totaal/jaar totaal potentieel)],MATCH(B356,IF(Berekening_impact[Doelgroep]=C356,Berekening_impact[Digitale zorgtoepassing]),0))</f>
        <v>823848.19040798547</v>
      </c>
      <c r="P356" s="398" cm="1">
        <f t="array" ref="P356">J356*INDEX(Berekening_impact[Opbrengsten door QALY''s],MATCH(B356,IF(Berekening_impact[Doelgroep]=C356,Berekening_impact[Digitale zorgtoepassing]),0))</f>
        <v>0</v>
      </c>
      <c r="Q356" s="398" cm="1">
        <f t="array" ref="Q356">J356*INDEX(Berekening_impact[Jaarlijkse kosten (totaal) - incl. schatting],MATCH(B356,IF(Berekening_impact[Doelgroep]=C356,Berekening_impact[Digitale zorgtoepassing]),0))</f>
        <v>3260707.1321356809</v>
      </c>
      <c r="R356" s="398" cm="1">
        <f t="array" ref="R356">(uitkomst_doelgroep[[#This Row],[Implementatiegraad t = T + 1]]-uitkomst_doelgroep[[#This Row],[Implementatiegraad t = T]])*INDEX(Berekening_impact[Initiële investering (totaal) - incl. schatting],MATCH(B356,IF(Berekening_impact[Doelgroep]=C356,Berekening_impact[Digitale zorgtoepassing]),0))</f>
        <v>0</v>
      </c>
      <c r="S356" s="398">
        <f>uitkomst_doelgroep[[#This Row],[Arbeidsbesparing (€)]]*uitkomst_doelgroep[[#This Row],[Percentage van patiëntaantallen in Wlz (overige is Zvw)]]</f>
        <v>2695097.3635604032</v>
      </c>
      <c r="T356" s="398">
        <f>uitkomst_doelgroep[[#This Row],[Overige besparingen (€)]]*uitkomst_doelgroep[[#This Row],[Percentage van patiëntaantallen in Wlz (overige is Zvw)]]</f>
        <v>370731.68568359344</v>
      </c>
      <c r="U356" s="398">
        <f>uitkomst_doelgroep[[#This Row],[Kosten (€)]]*uitkomst_doelgroep[[#This Row],[Percentage van patiëntaantallen in Wlz (overige is Zvw)]]</f>
        <v>1467318.2094610564</v>
      </c>
      <c r="V356" s="398">
        <f>uitkomst_doelgroep[[#This Row],[Investering (cash flow) (€)]]*uitkomst_doelgroep[[#This Row],[Percentage van patiëntaantallen in Wlz (overige is Zvw)]]</f>
        <v>0</v>
      </c>
    </row>
    <row r="357" spans="1:22" x14ac:dyDescent="0.5">
      <c r="A357" s="33" t="str">
        <f>INDEX(Technologieën[Veld],MATCH(B357,Technologieën[Digitale zorgtoepassing],0))</f>
        <v>Sensoren - Verpleging</v>
      </c>
      <c r="B357" s="33" t="s">
        <v>36</v>
      </c>
      <c r="C357" s="33" t="s">
        <v>27</v>
      </c>
      <c r="D357" s="427" cm="1">
        <f t="array" ref="D357">INDEX(Berekening_patiëntaantal[Percentage van patiëntaantallen in Wlz (overige is Zvw)],MATCH(B357,IF(Berekening_patiëntaantal[Doelgroep (zoeksleutel)]=C357,Berekening_patiëntaantal[Digitale zorgtoepassing]),0))</f>
        <v>0.45</v>
      </c>
      <c r="E357" s="33" t="str" cm="1">
        <f t="array" ref="E357">INDEX(Berekening_patiëntaantal[Direct toepasbaar/extrapolatie/incidentie voor QALY],MATCH(B357,IF(Berekening_patiëntaantal[Doelgroep (zoeksleutel)]=C357,Berekening_patiëntaantal[Digitale zorgtoepassing]),0))</f>
        <v>Extrapolatie</v>
      </c>
      <c r="F357" s="43" t="s">
        <v>812</v>
      </c>
      <c r="G357" s="33" t="str">
        <f>CONCATENATE(uitkomst_doelgroep[[#This Row],[Digitale zorgtoepassing]],"_",uitkomst_doelgroep[[#This Row],[Doelgroep]],"_",uitkomst_doelgroep[[#This Row],[Uitgangssituatie/effect beleid]])</f>
        <v>Leefstijlmonitoring_Parkinson_Effect beleid</v>
      </c>
      <c r="H357" s="33">
        <v>2028</v>
      </c>
      <c r="I357" s="32">
        <v>6</v>
      </c>
      <c r="J357" s="406" cm="1">
        <f t="array" ref="J357">INDEX(implementatie[[2023]:[2034]],MATCH(G357, implementatie[Zoeksleutel],0),I357)</f>
        <v>8.4566978560000006E-2</v>
      </c>
      <c r="K357" s="406" cm="1">
        <f t="array" ref="K357">INDEX(implementatie[[2023]:[2034]],MATCH(G357,implementatie[Zoeksleutel],0),I357 + 1)</f>
        <v>0.13384180086769301</v>
      </c>
      <c r="L35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805.2467698483199</v>
      </c>
      <c r="M357" s="398" cm="1">
        <f t="array" ref="M357">J357*INDEX(Berekening_impact[Totaal arbeidsbesparing (€/jaar)],MATCH(B357,IF(Berekening_impact[Doelgroep]=C357,Berekening_impact[Digitale zorgtoepassing]),0))</f>
        <v>2777632.1564901359</v>
      </c>
      <c r="N357" s="397" cm="1">
        <f t="array" ref="N357">J357*INDEX(Berekening_impact[Totaal arbeidsbesparing (FTE/jaar)],MATCH(B357,IF(Berekening_impact[Doelgroep]=C357,Berekening_impact[Digitale zorgtoepassing]),0))</f>
        <v>65.426688561292366</v>
      </c>
      <c r="O357" s="398" cm="1">
        <f t="array" ref="O357">J357*INDEX(Berekening_impact[Overige kostenbesparing (totaal/jaar totaal potentieel)],MATCH(B357,IF(Berekening_impact[Doelgroep]=C357,Berekening_impact[Digitale zorgtoepassing]),0))</f>
        <v>382084.99088291434</v>
      </c>
      <c r="P357" s="398" cm="1">
        <f t="array" ref="P357">J357*INDEX(Berekening_impact[Opbrengsten door QALY''s],MATCH(B357,IF(Berekening_impact[Doelgroep]=C357,Berekening_impact[Digitale zorgtoepassing]),0))</f>
        <v>0</v>
      </c>
      <c r="Q357" s="398" cm="1">
        <f t="array" ref="Q357">J357*INDEX(Berekening_impact[Jaarlijkse kosten (totaal) - incl. schatting],MATCH(B357,IF(Berekening_impact[Doelgroep]=C357,Berekening_impact[Digitale zorgtoepassing]),0))</f>
        <v>1512253.4337751449</v>
      </c>
      <c r="R357" s="398" cm="1">
        <f t="array" ref="R357">(uitkomst_doelgroep[[#This Row],[Implementatiegraad t = T + 1]]-uitkomst_doelgroep[[#This Row],[Implementatiegraad t = T]])*INDEX(Berekening_impact[Initiële investering (totaal) - incl. schatting],MATCH(B357,IF(Berekening_impact[Doelgroep]=C357,Berekening_impact[Digitale zorgtoepassing]),0))</f>
        <v>0</v>
      </c>
      <c r="S357" s="398">
        <f>uitkomst_doelgroep[[#This Row],[Arbeidsbesparing (€)]]*uitkomst_doelgroep[[#This Row],[Percentage van patiëntaantallen in Wlz (overige is Zvw)]]</f>
        <v>1249934.4704205613</v>
      </c>
      <c r="T357" s="398">
        <f>uitkomst_doelgroep[[#This Row],[Overige besparingen (€)]]*uitkomst_doelgroep[[#This Row],[Percentage van patiëntaantallen in Wlz (overige is Zvw)]]</f>
        <v>171938.24589731146</v>
      </c>
      <c r="U357" s="398">
        <f>uitkomst_doelgroep[[#This Row],[Kosten (€)]]*uitkomst_doelgroep[[#This Row],[Percentage van patiëntaantallen in Wlz (overige is Zvw)]]</f>
        <v>680514.04519881518</v>
      </c>
      <c r="V357" s="398">
        <f>uitkomst_doelgroep[[#This Row],[Investering (cash flow) (€)]]*uitkomst_doelgroep[[#This Row],[Percentage van patiëntaantallen in Wlz (overige is Zvw)]]</f>
        <v>0</v>
      </c>
    </row>
    <row r="358" spans="1:22" x14ac:dyDescent="0.5">
      <c r="A358" s="33" t="str">
        <f>INDEX(Technologieën[Veld],MATCH(B358,Technologieën[Digitale zorgtoepassing],0))</f>
        <v>Sensoren - Verpleging</v>
      </c>
      <c r="B358" s="33" t="s">
        <v>36</v>
      </c>
      <c r="C358" s="33" t="s">
        <v>20</v>
      </c>
      <c r="D358" s="427" cm="1">
        <f t="array" ref="D358">INDEX(Berekening_patiëntaantal[Percentage van patiëntaantallen in Wlz (overige is Zvw)],MATCH(B358,IF(Berekening_patiëntaantal[Doelgroep (zoeksleutel)]=C358,Berekening_patiëntaantal[Digitale zorgtoepassing]),0))</f>
        <v>0</v>
      </c>
      <c r="E358" s="33" t="str" cm="1">
        <f t="array" ref="E358">INDEX(Berekening_patiëntaantal[Direct toepasbaar/extrapolatie/incidentie voor QALY],MATCH(B358,IF(Berekening_patiëntaantal[Doelgroep (zoeksleutel)]=C358,Berekening_patiëntaantal[Digitale zorgtoepassing]),0))</f>
        <v>Huidige toepassing</v>
      </c>
      <c r="F358" s="43" t="s">
        <v>812</v>
      </c>
      <c r="G358" s="33" t="str">
        <f>CONCATENATE(uitkomst_doelgroep[[#This Row],[Digitale zorgtoepassing]],"_",uitkomst_doelgroep[[#This Row],[Doelgroep]],"_",uitkomst_doelgroep[[#This Row],[Uitgangssituatie/effect beleid]])</f>
        <v>Leefstijlmonitoring_Dementie_Effect beleid</v>
      </c>
      <c r="H358" s="33">
        <v>2028</v>
      </c>
      <c r="I358" s="32">
        <v>6</v>
      </c>
      <c r="J358" s="406" cm="1">
        <f t="array" ref="J358">INDEX(implementatie[[2023]:[2034]],MATCH(G358, implementatie[Zoeksleutel],0),I358)</f>
        <v>0.69634590758747161</v>
      </c>
      <c r="K358" s="406" cm="1">
        <f t="array" ref="K358">INDEX(implementatie[[2023]:[2034]],MATCH(G358,implementatie[Zoeksleutel],0),I358 + 1)</f>
        <v>0.78699830326518305</v>
      </c>
      <c r="L35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23024.224809539817</v>
      </c>
      <c r="M358" s="398" cm="1">
        <f t="array" ref="M358">J358*INDEX(Berekening_impact[Totaal arbeidsbesparing (€/jaar)],MATCH(B358,IF(Berekening_impact[Doelgroep]=C358,Berekening_impact[Digitale zorgtoepassing]),0))</f>
        <v>79420159.886244848</v>
      </c>
      <c r="N358" s="397" cm="1">
        <f t="array" ref="N358">J358*INDEX(Berekening_impact[Totaal arbeidsbesparing (FTE/jaar)],MATCH(B358,IF(Berekening_impact[Doelgroep]=C358,Berekening_impact[Digitale zorgtoepassing]),0))</f>
        <v>1870.7293743788566</v>
      </c>
      <c r="O358" s="398" cm="1">
        <f t="array" ref="O358">J358*INDEX(Berekening_impact[Overige kostenbesparing (totaal/jaar totaal potentieel)],MATCH(B358,IF(Berekening_impact[Doelgroep]=C358,Berekening_impact[Digitale zorgtoepassing]),0))</f>
        <v>10924863.105127729</v>
      </c>
      <c r="P358" s="398" cm="1">
        <f t="array" ref="P358">J358*INDEX(Berekening_impact[Opbrengsten door QALY''s],MATCH(B358,IF(Berekening_impact[Doelgroep]=C358,Berekening_impact[Digitale zorgtoepassing]),0))</f>
        <v>0</v>
      </c>
      <c r="Q358" s="398" cm="1">
        <f t="array" ref="Q358">J358*INDEX(Berekening_impact[Jaarlijkse kosten (totaal) - incl. schatting],MATCH(B358,IF(Berekening_impact[Doelgroep]=C358,Berekening_impact[Digitale zorgtoepassing]),0))</f>
        <v>43239494.192315772</v>
      </c>
      <c r="R358" s="398" cm="1">
        <f t="array" ref="R358">(uitkomst_doelgroep[[#This Row],[Implementatiegraad t = T + 1]]-uitkomst_doelgroep[[#This Row],[Implementatiegraad t = T]])*INDEX(Berekening_impact[Initiële investering (totaal) - incl. schatting],MATCH(B358,IF(Berekening_impact[Doelgroep]=C358,Berekening_impact[Digitale zorgtoepassing]),0))</f>
        <v>0</v>
      </c>
      <c r="S358" s="398">
        <f>uitkomst_doelgroep[[#This Row],[Arbeidsbesparing (€)]]*uitkomst_doelgroep[[#This Row],[Percentage van patiëntaantallen in Wlz (overige is Zvw)]]</f>
        <v>0</v>
      </c>
      <c r="T358" s="398">
        <f>uitkomst_doelgroep[[#This Row],[Overige besparingen (€)]]*uitkomst_doelgroep[[#This Row],[Percentage van patiëntaantallen in Wlz (overige is Zvw)]]</f>
        <v>0</v>
      </c>
      <c r="U358" s="398">
        <f>uitkomst_doelgroep[[#This Row],[Kosten (€)]]*uitkomst_doelgroep[[#This Row],[Percentage van patiëntaantallen in Wlz (overige is Zvw)]]</f>
        <v>0</v>
      </c>
      <c r="V358" s="398">
        <f>uitkomst_doelgroep[[#This Row],[Investering (cash flow) (€)]]*uitkomst_doelgroep[[#This Row],[Percentage van patiëntaantallen in Wlz (overige is Zvw)]]</f>
        <v>0</v>
      </c>
    </row>
    <row r="359" spans="1:22" x14ac:dyDescent="0.5">
      <c r="A359" s="33" t="str">
        <f>INDEX(Technologieën[Veld],MATCH(B359,Technologieën[Digitale zorgtoepassing],0))</f>
        <v>Sensoren - Verpleging</v>
      </c>
      <c r="B359" s="33" t="s">
        <v>36</v>
      </c>
      <c r="C359" s="33" t="s">
        <v>24</v>
      </c>
      <c r="D359" s="427" cm="1">
        <f t="array" ref="D359">INDEX(Berekening_patiëntaantal[Percentage van patiëntaantallen in Wlz (overige is Zvw)],MATCH(B359,IF(Berekening_patiëntaantal[Doelgroep (zoeksleutel)]=C359,Berekening_patiëntaantal[Digitale zorgtoepassing]),0))</f>
        <v>0.45</v>
      </c>
      <c r="E359" s="33" t="str" cm="1">
        <f t="array" ref="E359">INDEX(Berekening_patiëntaantal[Direct toepasbaar/extrapolatie/incidentie voor QALY],MATCH(B359,IF(Berekening_patiëntaantal[Doelgroep (zoeksleutel)]=C359,Berekening_patiëntaantal[Digitale zorgtoepassing]),0))</f>
        <v>Extrapolatie</v>
      </c>
      <c r="F359" s="43" t="s">
        <v>812</v>
      </c>
      <c r="G359" s="33" t="str">
        <f>CONCATENATE(uitkomst_doelgroep[[#This Row],[Digitale zorgtoepassing]],"_",uitkomst_doelgroep[[#This Row],[Doelgroep]],"_",uitkomst_doelgroep[[#This Row],[Uitgangssituatie/effect beleid]])</f>
        <v>Leefstijlmonitoring_Cognitieve beperking_Effect beleid</v>
      </c>
      <c r="H359" s="33">
        <v>2029</v>
      </c>
      <c r="I359" s="32">
        <v>7</v>
      </c>
      <c r="J359" s="406" cm="1">
        <f t="array" ref="J359">INDEX(implementatie[[2023]:[2034]],MATCH(G359, implementatie[Zoeksleutel],0),I359)</f>
        <v>0.13384180086769301</v>
      </c>
      <c r="K359" s="406" cm="1">
        <f t="array" ref="K359">INDEX(implementatie[[2023]:[2034]],MATCH(G359,implementatie[Zoeksleutel],0),I359 + 1)</f>
        <v>0.19753623413361349</v>
      </c>
      <c r="L35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428.8194933704259</v>
      </c>
      <c r="M359" s="398" cm="1">
        <f t="array" ref="M359">J359*INDEX(Berekening_impact[Totaal arbeidsbesparing (€/jaar)],MATCH(B359,IF(Berekening_impact[Doelgroep]=C359,Berekening_impact[Digitale zorgtoepassing]),0))</f>
        <v>1479177.3884915623</v>
      </c>
      <c r="N359" s="397" cm="1">
        <f t="array" ref="N359">J359*INDEX(Berekening_impact[Totaal arbeidsbesparing (FTE/jaar)],MATCH(B359,IF(Berekening_impact[Doelgroep]=C359,Berekening_impact[Digitale zorgtoepassing]),0))</f>
        <v>34.841790730862343</v>
      </c>
      <c r="O359" s="398" cm="1">
        <f t="array" ref="O359">J359*INDEX(Berekening_impact[Overige kostenbesparing (totaal/jaar totaal potentieel)],MATCH(B359,IF(Berekening_impact[Doelgroep]=C359,Berekening_impact[Digitale zorgtoepassing]),0))</f>
        <v>203472.39920716209</v>
      </c>
      <c r="P359" s="398" cm="1">
        <f t="array" ref="P359">J359*INDEX(Berekening_impact[Opbrengsten door QALY''s],MATCH(B359,IF(Berekening_impact[Doelgroep]=C359,Berekening_impact[Digitale zorgtoepassing]),0))</f>
        <v>0</v>
      </c>
      <c r="Q359" s="398" cm="1">
        <f t="array" ref="Q359">J359*INDEX(Berekening_impact[Jaarlijkse kosten (totaal) - incl. schatting],MATCH(B359,IF(Berekening_impact[Doelgroep]=C359,Berekening_impact[Digitale zorgtoepassing]),0))</f>
        <v>805323.00854965986</v>
      </c>
      <c r="R359" s="398" cm="1">
        <f t="array" ref="R359">(uitkomst_doelgroep[[#This Row],[Implementatiegraad t = T + 1]]-uitkomst_doelgroep[[#This Row],[Implementatiegraad t = T]])*INDEX(Berekening_impact[Initiële investering (totaal) - incl. schatting],MATCH(B359,IF(Berekening_impact[Doelgroep]=C359,Berekening_impact[Digitale zorgtoepassing]),0))</f>
        <v>0</v>
      </c>
      <c r="S359" s="398">
        <f>uitkomst_doelgroep[[#This Row],[Arbeidsbesparing (€)]]*uitkomst_doelgroep[[#This Row],[Percentage van patiëntaantallen in Wlz (overige is Zvw)]]</f>
        <v>665629.82482120302</v>
      </c>
      <c r="T359" s="398">
        <f>uitkomst_doelgroep[[#This Row],[Overige besparingen (€)]]*uitkomst_doelgroep[[#This Row],[Percentage van patiëntaantallen in Wlz (overige is Zvw)]]</f>
        <v>91562.57964322294</v>
      </c>
      <c r="U359" s="398">
        <f>uitkomst_doelgroep[[#This Row],[Kosten (€)]]*uitkomst_doelgroep[[#This Row],[Percentage van patiëntaantallen in Wlz (overige is Zvw)]]</f>
        <v>362395.35384734697</v>
      </c>
      <c r="V359" s="398">
        <f>uitkomst_doelgroep[[#This Row],[Investering (cash flow) (€)]]*uitkomst_doelgroep[[#This Row],[Percentage van patiëntaantallen in Wlz (overige is Zvw)]]</f>
        <v>0</v>
      </c>
    </row>
    <row r="360" spans="1:22" x14ac:dyDescent="0.5">
      <c r="A360" s="33" t="str">
        <f>INDEX(Technologieën[Veld],MATCH(B360,Technologieën[Digitale zorgtoepassing],0))</f>
        <v>Sensoren - Verpleging</v>
      </c>
      <c r="B360" s="33" t="s">
        <v>36</v>
      </c>
      <c r="C360" s="33" t="s">
        <v>40</v>
      </c>
      <c r="D360" s="427" cm="1">
        <f t="array" ref="D360">INDEX(Berekening_patiëntaantal[Percentage van patiëntaantallen in Wlz (overige is Zvw)],MATCH(B360,IF(Berekening_patiëntaantal[Doelgroep (zoeksleutel)]=C360,Berekening_patiëntaantal[Digitale zorgtoepassing]),0))</f>
        <v>0.45</v>
      </c>
      <c r="E360" s="33" t="str" cm="1">
        <f t="array" ref="E360">INDEX(Berekening_patiëntaantal[Direct toepasbaar/extrapolatie/incidentie voor QALY],MATCH(B360,IF(Berekening_patiëntaantal[Doelgroep (zoeksleutel)]=C360,Berekening_patiëntaantal[Digitale zorgtoepassing]),0))</f>
        <v>Extrapolatie</v>
      </c>
      <c r="F360" s="43" t="s">
        <v>812</v>
      </c>
      <c r="G360" s="33" t="str">
        <f>CONCATENATE(uitkomst_doelgroep[[#This Row],[Digitale zorgtoepassing]],"_",uitkomst_doelgroep[[#This Row],[Doelgroep]],"_",uitkomst_doelgroep[[#This Row],[Uitgangssituatie/effect beleid]])</f>
        <v>Leefstijlmonitoring_Kwetsbare ouderen_Effect beleid</v>
      </c>
      <c r="H360" s="33">
        <v>2029</v>
      </c>
      <c r="I360" s="32">
        <v>7</v>
      </c>
      <c r="J360" s="406" cm="1">
        <f t="array" ref="J360">INDEX(implementatie[[2023]:[2034]],MATCH(G360, implementatie[Zoeksleutel],0),I360)</f>
        <v>0.13384180086769301</v>
      </c>
      <c r="K360" s="406" cm="1">
        <f t="array" ref="K360">INDEX(implementatie[[2023]:[2034]],MATCH(G360,implementatie[Zoeksleutel],0),I360 + 1)</f>
        <v>0.19753623413361349</v>
      </c>
      <c r="L36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2747.9394740648227</v>
      </c>
      <c r="M360" s="398" cm="1">
        <f t="array" ref="M360">J360*INDEX(Berekening_impact[Totaal arbeidsbesparing (€/jaar)],MATCH(B360,IF(Berekening_impact[Doelgroep]=C360,Berekening_impact[Digitale zorgtoepassing]),0))</f>
        <v>9478790.0219566077</v>
      </c>
      <c r="N360" s="397" cm="1">
        <f t="array" ref="N360">J360*INDEX(Berekening_impact[Totaal arbeidsbesparing (FTE/jaar)],MATCH(B360,IF(Berekening_impact[Doelgroep]=C360,Berekening_impact[Digitale zorgtoepassing]),0))</f>
        <v>223.27140807877629</v>
      </c>
      <c r="O360" s="398" cm="1">
        <f t="array" ref="O360">J360*INDEX(Berekening_impact[Overige kostenbesparing (totaal/jaar totaal potentieel)],MATCH(B360,IF(Berekening_impact[Doelgroep]=C360,Berekening_impact[Digitale zorgtoepassing]),0))</f>
        <v>1303881.5779324777</v>
      </c>
      <c r="P360" s="398" cm="1">
        <f t="array" ref="P360">J360*INDEX(Berekening_impact[Opbrengsten door QALY''s],MATCH(B360,IF(Berekening_impact[Doelgroep]=C360,Berekening_impact[Digitale zorgtoepassing]),0))</f>
        <v>0</v>
      </c>
      <c r="Q360" s="398" cm="1">
        <f t="array" ref="Q360">J360*INDEX(Berekening_impact[Jaarlijkse kosten (totaal) - incl. schatting],MATCH(B360,IF(Berekening_impact[Doelgroep]=C360,Berekening_impact[Digitale zorgtoepassing]),0))</f>
        <v>5160630.3322937367</v>
      </c>
      <c r="R360" s="398" cm="1">
        <f t="array" ref="R360">(uitkomst_doelgroep[[#This Row],[Implementatiegraad t = T + 1]]-uitkomst_doelgroep[[#This Row],[Implementatiegraad t = T]])*INDEX(Berekening_impact[Initiële investering (totaal) - incl. schatting],MATCH(B360,IF(Berekening_impact[Doelgroep]=C360,Berekening_impact[Digitale zorgtoepassing]),0))</f>
        <v>0</v>
      </c>
      <c r="S360" s="398">
        <f>uitkomst_doelgroep[[#This Row],[Arbeidsbesparing (€)]]*uitkomst_doelgroep[[#This Row],[Percentage van patiëntaantallen in Wlz (overige is Zvw)]]</f>
        <v>4265455.5098804738</v>
      </c>
      <c r="T360" s="398">
        <f>uitkomst_doelgroep[[#This Row],[Overige besparingen (€)]]*uitkomst_doelgroep[[#This Row],[Percentage van patiëntaantallen in Wlz (overige is Zvw)]]</f>
        <v>586746.71006961493</v>
      </c>
      <c r="U360" s="398">
        <f>uitkomst_doelgroep[[#This Row],[Kosten (€)]]*uitkomst_doelgroep[[#This Row],[Percentage van patiëntaantallen in Wlz (overige is Zvw)]]</f>
        <v>2322283.6495321817</v>
      </c>
      <c r="V360" s="398">
        <f>uitkomst_doelgroep[[#This Row],[Investering (cash flow) (€)]]*uitkomst_doelgroep[[#This Row],[Percentage van patiëntaantallen in Wlz (overige is Zvw)]]</f>
        <v>0</v>
      </c>
    </row>
    <row r="361" spans="1:22" x14ac:dyDescent="0.5">
      <c r="A361" s="33" t="str">
        <f>INDEX(Technologieën[Veld],MATCH(B361,Technologieën[Digitale zorgtoepassing],0))</f>
        <v>Sensoren - Verpleging</v>
      </c>
      <c r="B361" s="33" t="s">
        <v>36</v>
      </c>
      <c r="C361" s="33" t="s">
        <v>27</v>
      </c>
      <c r="D361" s="427" cm="1">
        <f t="array" ref="D361">INDEX(Berekening_patiëntaantal[Percentage van patiëntaantallen in Wlz (overige is Zvw)],MATCH(B361,IF(Berekening_patiëntaantal[Doelgroep (zoeksleutel)]=C361,Berekening_patiëntaantal[Digitale zorgtoepassing]),0))</f>
        <v>0.45</v>
      </c>
      <c r="E361" s="33" t="str" cm="1">
        <f t="array" ref="E361">INDEX(Berekening_patiëntaantal[Direct toepasbaar/extrapolatie/incidentie voor QALY],MATCH(B361,IF(Berekening_patiëntaantal[Doelgroep (zoeksleutel)]=C361,Berekening_patiëntaantal[Digitale zorgtoepassing]),0))</f>
        <v>Extrapolatie</v>
      </c>
      <c r="F361" s="43" t="s">
        <v>812</v>
      </c>
      <c r="G361" s="33" t="str">
        <f>CONCATENATE(uitkomst_doelgroep[[#This Row],[Digitale zorgtoepassing]],"_",uitkomst_doelgroep[[#This Row],[Doelgroep]],"_",uitkomst_doelgroep[[#This Row],[Uitgangssituatie/effect beleid]])</f>
        <v>Leefstijlmonitoring_Parkinson_Effect beleid</v>
      </c>
      <c r="H361" s="33">
        <v>2029</v>
      </c>
      <c r="I361" s="32">
        <v>7</v>
      </c>
      <c r="J361" s="406" cm="1">
        <f t="array" ref="J361">INDEX(implementatie[[2023]:[2034]],MATCH(G361, implementatie[Zoeksleutel],0),I361)</f>
        <v>0.13384180086769301</v>
      </c>
      <c r="K361" s="406" cm="1">
        <f t="array" ref="K361">INDEX(implementatie[[2023]:[2034]],MATCH(G361,implementatie[Zoeksleutel],0),I361 + 1)</f>
        <v>0.19753623413361349</v>
      </c>
      <c r="L36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1274.4416278621727</v>
      </c>
      <c r="M361" s="398" cm="1">
        <f t="array" ref="M361">J361*INDEX(Berekening_impact[Totaal arbeidsbesparing (€/jaar)],MATCH(B361,IF(Berekening_impact[Doelgroep]=C361,Berekening_impact[Digitale zorgtoepassing]),0))</f>
        <v>4396081.0271693533</v>
      </c>
      <c r="N361" s="397" cm="1">
        <f t="array" ref="N361">J361*INDEX(Berekening_impact[Totaal arbeidsbesparing (FTE/jaar)],MATCH(B361,IF(Berekening_impact[Doelgroep]=C361,Berekening_impact[Digitale zorgtoepassing]),0))</f>
        <v>103.5489971495212</v>
      </c>
      <c r="O361" s="398" cm="1">
        <f t="array" ref="O361">J361*INDEX(Berekening_impact[Overige kostenbesparing (totaal/jaar totaal potentieel)],MATCH(B361,IF(Berekening_impact[Doelgroep]=C361,Berekening_impact[Digitale zorgtoepassing]),0))</f>
        <v>604715.26989701309</v>
      </c>
      <c r="P361" s="398" cm="1">
        <f t="array" ref="P361">J361*INDEX(Berekening_impact[Opbrengsten door QALY''s],MATCH(B361,IF(Berekening_impact[Doelgroep]=C361,Berekening_impact[Digitale zorgtoepassing]),0))</f>
        <v>0</v>
      </c>
      <c r="Q361" s="398" cm="1">
        <f t="array" ref="Q361">J361*INDEX(Berekening_impact[Jaarlijkse kosten (totaal) - incl. schatting],MATCH(B361,IF(Berekening_impact[Doelgroep]=C361,Berekening_impact[Digitale zorgtoepassing]),0))</f>
        <v>2393401.3771251603</v>
      </c>
      <c r="R361" s="398" cm="1">
        <f t="array" ref="R361">(uitkomst_doelgroep[[#This Row],[Implementatiegraad t = T + 1]]-uitkomst_doelgroep[[#This Row],[Implementatiegraad t = T]])*INDEX(Berekening_impact[Initiële investering (totaal) - incl. schatting],MATCH(B361,IF(Berekening_impact[Doelgroep]=C361,Berekening_impact[Digitale zorgtoepassing]),0))</f>
        <v>0</v>
      </c>
      <c r="S361" s="398">
        <f>uitkomst_doelgroep[[#This Row],[Arbeidsbesparing (€)]]*uitkomst_doelgroep[[#This Row],[Percentage van patiëntaantallen in Wlz (overige is Zvw)]]</f>
        <v>1978236.462226209</v>
      </c>
      <c r="T361" s="398">
        <f>uitkomst_doelgroep[[#This Row],[Overige besparingen (€)]]*uitkomst_doelgroep[[#This Row],[Percentage van patiëntaantallen in Wlz (overige is Zvw)]]</f>
        <v>272121.87145365588</v>
      </c>
      <c r="U361" s="398">
        <f>uitkomst_doelgroep[[#This Row],[Kosten (€)]]*uitkomst_doelgroep[[#This Row],[Percentage van patiëntaantallen in Wlz (overige is Zvw)]]</f>
        <v>1077030.6197063222</v>
      </c>
      <c r="V361" s="398">
        <f>uitkomst_doelgroep[[#This Row],[Investering (cash flow) (€)]]*uitkomst_doelgroep[[#This Row],[Percentage van patiëntaantallen in Wlz (overige is Zvw)]]</f>
        <v>0</v>
      </c>
    </row>
    <row r="362" spans="1:22" x14ac:dyDescent="0.5">
      <c r="A362" s="33" t="str">
        <f>INDEX(Technologieën[Veld],MATCH(B362,Technologieën[Digitale zorgtoepassing],0))</f>
        <v>Sensoren - Verpleging</v>
      </c>
      <c r="B362" s="33" t="s">
        <v>36</v>
      </c>
      <c r="C362" s="33" t="s">
        <v>20</v>
      </c>
      <c r="D362" s="427" cm="1">
        <f t="array" ref="D362">INDEX(Berekening_patiëntaantal[Percentage van patiëntaantallen in Wlz (overige is Zvw)],MATCH(B362,IF(Berekening_patiëntaantal[Doelgroep (zoeksleutel)]=C362,Berekening_patiëntaantal[Digitale zorgtoepassing]),0))</f>
        <v>0</v>
      </c>
      <c r="E362" s="33" t="str" cm="1">
        <f t="array" ref="E362">INDEX(Berekening_patiëntaantal[Direct toepasbaar/extrapolatie/incidentie voor QALY],MATCH(B362,IF(Berekening_patiëntaantal[Doelgroep (zoeksleutel)]=C362,Berekening_patiëntaantal[Digitale zorgtoepassing]),0))</f>
        <v>Huidige toepassing</v>
      </c>
      <c r="F362" s="43" t="s">
        <v>812</v>
      </c>
      <c r="G362" s="33" t="str">
        <f>CONCATENATE(uitkomst_doelgroep[[#This Row],[Digitale zorgtoepassing]],"_",uitkomst_doelgroep[[#This Row],[Doelgroep]],"_",uitkomst_doelgroep[[#This Row],[Uitgangssituatie/effect beleid]])</f>
        <v>Leefstijlmonitoring_Dementie_Effect beleid</v>
      </c>
      <c r="H362" s="33">
        <v>2029</v>
      </c>
      <c r="I362" s="32">
        <v>7</v>
      </c>
      <c r="J362" s="406" cm="1">
        <f t="array" ref="J362">INDEX(implementatie[[2023]:[2034]],MATCH(G362, implementatie[Zoeksleutel],0),I362)</f>
        <v>0.78699830326518305</v>
      </c>
      <c r="K362" s="406" cm="1">
        <f t="array" ref="K362">INDEX(implementatie[[2023]:[2034]],MATCH(G362,implementatie[Zoeksleutel],0),I362 + 1)</f>
        <v>0.85831112676904175</v>
      </c>
      <c r="L36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26021.587348566154</v>
      </c>
      <c r="M362" s="398" cm="1">
        <f t="array" ref="M362">J362*INDEX(Berekening_impact[Totaal arbeidsbesparing (€/jaar)],MATCH(B362,IF(Berekening_impact[Doelgroep]=C362,Berekening_impact[Digitale zorgtoepassing]),0))</f>
        <v>89759314.149014175</v>
      </c>
      <c r="N362" s="397" cm="1">
        <f t="array" ref="N362">J362*INDEX(Berekening_impact[Totaal arbeidsbesparing (FTE/jaar)],MATCH(B362,IF(Berekening_impact[Doelgroep]=C362,Berekening_impact[Digitale zorgtoepassing]),0))</f>
        <v>2114.2665268260503</v>
      </c>
      <c r="O362" s="398" cm="1">
        <f t="array" ref="O362">J362*INDEX(Berekening_impact[Overige kostenbesparing (totaal/jaar totaal potentieel)],MATCH(B362,IF(Berekening_impact[Doelgroep]=C362,Berekening_impact[Digitale zorgtoepassing]),0))</f>
        <v>12347094.502109788</v>
      </c>
      <c r="P362" s="398" cm="1">
        <f t="array" ref="P362">J362*INDEX(Berekening_impact[Opbrengsten door QALY''s],MATCH(B362,IF(Berekening_impact[Doelgroep]=C362,Berekening_impact[Digitale zorgtoepassing]),0))</f>
        <v>0</v>
      </c>
      <c r="Q362" s="398" cm="1">
        <f t="array" ref="Q362">J362*INDEX(Berekening_impact[Jaarlijkse kosten (totaal) - incl. schatting],MATCH(B362,IF(Berekening_impact[Doelgroep]=C362,Berekening_impact[Digitale zorgtoepassing]),0))</f>
        <v>48868541.040607236</v>
      </c>
      <c r="R362" s="398" cm="1">
        <f t="array" ref="R362">(uitkomst_doelgroep[[#This Row],[Implementatiegraad t = T + 1]]-uitkomst_doelgroep[[#This Row],[Implementatiegraad t = T]])*INDEX(Berekening_impact[Initiële investering (totaal) - incl. schatting],MATCH(B362,IF(Berekening_impact[Doelgroep]=C362,Berekening_impact[Digitale zorgtoepassing]),0))</f>
        <v>0</v>
      </c>
      <c r="S362" s="398">
        <f>uitkomst_doelgroep[[#This Row],[Arbeidsbesparing (€)]]*uitkomst_doelgroep[[#This Row],[Percentage van patiëntaantallen in Wlz (overige is Zvw)]]</f>
        <v>0</v>
      </c>
      <c r="T362" s="398">
        <f>uitkomst_doelgroep[[#This Row],[Overige besparingen (€)]]*uitkomst_doelgroep[[#This Row],[Percentage van patiëntaantallen in Wlz (overige is Zvw)]]</f>
        <v>0</v>
      </c>
      <c r="U362" s="398">
        <f>uitkomst_doelgroep[[#This Row],[Kosten (€)]]*uitkomst_doelgroep[[#This Row],[Percentage van patiëntaantallen in Wlz (overige is Zvw)]]</f>
        <v>0</v>
      </c>
      <c r="V362" s="398">
        <f>uitkomst_doelgroep[[#This Row],[Investering (cash flow) (€)]]*uitkomst_doelgroep[[#This Row],[Percentage van patiëntaantallen in Wlz (overige is Zvw)]]</f>
        <v>0</v>
      </c>
    </row>
    <row r="363" spans="1:22" x14ac:dyDescent="0.5">
      <c r="A363" s="33" t="str">
        <f>INDEX(Technologieën[Veld],MATCH(B363,Technologieën[Digitale zorgtoepassing],0))</f>
        <v>Sensoren - Verpleging</v>
      </c>
      <c r="B363" s="33" t="s">
        <v>36</v>
      </c>
      <c r="C363" s="33" t="s">
        <v>24</v>
      </c>
      <c r="D363" s="427" cm="1">
        <f t="array" ref="D363">INDEX(Berekening_patiëntaantal[Percentage van patiëntaantallen in Wlz (overige is Zvw)],MATCH(B363,IF(Berekening_patiëntaantal[Doelgroep (zoeksleutel)]=C363,Berekening_patiëntaantal[Digitale zorgtoepassing]),0))</f>
        <v>0.45</v>
      </c>
      <c r="E363" s="33" t="str" cm="1">
        <f t="array" ref="E363">INDEX(Berekening_patiëntaantal[Direct toepasbaar/extrapolatie/incidentie voor QALY],MATCH(B363,IF(Berekening_patiëntaantal[Doelgroep (zoeksleutel)]=C363,Berekening_patiëntaantal[Digitale zorgtoepassing]),0))</f>
        <v>Extrapolatie</v>
      </c>
      <c r="F363" s="43" t="s">
        <v>812</v>
      </c>
      <c r="G363" s="33" t="str">
        <f>CONCATENATE(uitkomst_doelgroep[[#This Row],[Digitale zorgtoepassing]],"_",uitkomst_doelgroep[[#This Row],[Doelgroep]],"_",uitkomst_doelgroep[[#This Row],[Uitgangssituatie/effect beleid]])</f>
        <v>Leefstijlmonitoring_Cognitieve beperking_Effect beleid</v>
      </c>
      <c r="H363" s="33">
        <v>2030</v>
      </c>
      <c r="I363" s="32">
        <v>8</v>
      </c>
      <c r="J363" s="406" cm="1">
        <f t="array" ref="J363">INDEX(implementatie[[2023]:[2034]],MATCH(G363, implementatie[Zoeksleutel],0),I363)</f>
        <v>0.19753623413361349</v>
      </c>
      <c r="K363" s="406" cm="1">
        <f t="array" ref="K363">INDEX(implementatie[[2023]:[2034]],MATCH(G363,implementatie[Zoeksleutel],0),I363 + 1)</f>
        <v>0.27699177758611071</v>
      </c>
      <c r="L36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632.89187155523996</v>
      </c>
      <c r="M363" s="398" cm="1">
        <f t="array" ref="M363">J363*INDEX(Berekening_impact[Totaal arbeidsbesparing (€/jaar)],MATCH(B363,IF(Berekening_impact[Doelgroep]=C363,Berekening_impact[Digitale zorgtoepassing]),0))</f>
        <v>2183108.1847670046</v>
      </c>
      <c r="N363" s="397" cm="1">
        <f t="array" ref="N363">J363*INDEX(Berekening_impact[Totaal arbeidsbesparing (FTE/jaar)],MATCH(B363,IF(Berekening_impact[Doelgroep]=C363,Berekening_impact[Digitale zorgtoepassing]),0))</f>
        <v>51.422769918118334</v>
      </c>
      <c r="O363" s="398" cm="1">
        <f t="array" ref="O363">J363*INDEX(Berekening_impact[Overige kostenbesparing (totaal/jaar totaal potentieel)],MATCH(B363,IF(Berekening_impact[Doelgroep]=C363,Berekening_impact[Digitale zorgtoepassing]),0))</f>
        <v>300303.57652798097</v>
      </c>
      <c r="P363" s="398" cm="1">
        <f t="array" ref="P363">J363*INDEX(Berekening_impact[Opbrengsten door QALY''s],MATCH(B363,IF(Berekening_impact[Doelgroep]=C363,Berekening_impact[Digitale zorgtoepassing]),0))</f>
        <v>0</v>
      </c>
      <c r="Q363" s="398" cm="1">
        <f t="array" ref="Q363">J363*INDEX(Berekening_impact[Jaarlijkse kosten (totaal) - incl. schatting],MATCH(B363,IF(Berekening_impact[Doelgroep]=C363,Berekening_impact[Digitale zorgtoepassing]),0))</f>
        <v>1188570.9347807406</v>
      </c>
      <c r="R363" s="398" cm="1">
        <f t="array" ref="R363">(uitkomst_doelgroep[[#This Row],[Implementatiegraad t = T + 1]]-uitkomst_doelgroep[[#This Row],[Implementatiegraad t = T]])*INDEX(Berekening_impact[Initiële investering (totaal) - incl. schatting],MATCH(B363,IF(Berekening_impact[Doelgroep]=C363,Berekening_impact[Digitale zorgtoepassing]),0))</f>
        <v>0</v>
      </c>
      <c r="S363" s="398">
        <f>uitkomst_doelgroep[[#This Row],[Arbeidsbesparing (€)]]*uitkomst_doelgroep[[#This Row],[Percentage van patiëntaantallen in Wlz (overige is Zvw)]]</f>
        <v>982398.68314515206</v>
      </c>
      <c r="T363" s="398">
        <f>uitkomst_doelgroep[[#This Row],[Overige besparingen (€)]]*uitkomst_doelgroep[[#This Row],[Percentage van patiëntaantallen in Wlz (overige is Zvw)]]</f>
        <v>135136.60943759145</v>
      </c>
      <c r="U363" s="398">
        <f>uitkomst_doelgroep[[#This Row],[Kosten (€)]]*uitkomst_doelgroep[[#This Row],[Percentage van patiëntaantallen in Wlz (overige is Zvw)]]</f>
        <v>534856.92065133329</v>
      </c>
      <c r="V363" s="398">
        <f>uitkomst_doelgroep[[#This Row],[Investering (cash flow) (€)]]*uitkomst_doelgroep[[#This Row],[Percentage van patiëntaantallen in Wlz (overige is Zvw)]]</f>
        <v>0</v>
      </c>
    </row>
    <row r="364" spans="1:22" ht="17.5" thickBot="1" x14ac:dyDescent="0.55000000000000004">
      <c r="A364" s="33" t="str">
        <f>INDEX(Technologieën[Veld],MATCH(B364,Technologieën[Digitale zorgtoepassing],0))</f>
        <v>Sensoren - Verpleging</v>
      </c>
      <c r="B364" s="40" t="s">
        <v>36</v>
      </c>
      <c r="C364" s="40" t="s">
        <v>40</v>
      </c>
      <c r="D364" s="427" cm="1">
        <f t="array" ref="D364">INDEX(Berekening_patiëntaantal[Percentage van patiëntaantallen in Wlz (overige is Zvw)],MATCH(B364,IF(Berekening_patiëntaantal[Doelgroep (zoeksleutel)]=C364,Berekening_patiëntaantal[Digitale zorgtoepassing]),0))</f>
        <v>0.45</v>
      </c>
      <c r="E364" s="33" t="str" cm="1">
        <f t="array" ref="E364">INDEX(Berekening_patiëntaantal[Direct toepasbaar/extrapolatie/incidentie voor QALY],MATCH(B364,IF(Berekening_patiëntaantal[Doelgroep (zoeksleutel)]=C364,Berekening_patiëntaantal[Digitale zorgtoepassing]),0))</f>
        <v>Extrapolatie</v>
      </c>
      <c r="F364" s="43" t="s">
        <v>812</v>
      </c>
      <c r="G364" s="33" t="str">
        <f>CONCATENATE(uitkomst_doelgroep[[#This Row],[Digitale zorgtoepassing]],"_",uitkomst_doelgroep[[#This Row],[Doelgroep]],"_",uitkomst_doelgroep[[#This Row],[Uitgangssituatie/effect beleid]])</f>
        <v>Leefstijlmonitoring_Kwetsbare ouderen_Effect beleid</v>
      </c>
      <c r="H364" s="33">
        <v>2030</v>
      </c>
      <c r="I364" s="32">
        <v>8</v>
      </c>
      <c r="J364" s="406" cm="1">
        <f t="array" ref="J364">INDEX(implementatie[[2023]:[2034]],MATCH(G364, implementatie[Zoeksleutel],0),I364)</f>
        <v>0.19753623413361349</v>
      </c>
      <c r="K364" s="406" cm="1">
        <f t="array" ref="K364">INDEX(implementatie[[2023]:[2034]],MATCH(G364,implementatie[Zoeksleutel],0),I364 + 1)</f>
        <v>0.27699177758611071</v>
      </c>
      <c r="L36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4055.6658070557528</v>
      </c>
      <c r="M364" s="398" cm="1">
        <f t="array" ref="M364">J364*INDEX(Berekening_impact[Totaal arbeidsbesparing (€/jaar)],MATCH(B364,IF(Berekening_impact[Doelgroep]=C364,Berekening_impact[Digitale zorgtoepassing]),0))</f>
        <v>13989683.887558512</v>
      </c>
      <c r="N364" s="397" cm="1">
        <f t="array" ref="N364">J364*INDEX(Berekening_impact[Totaal arbeidsbesparing (FTE/jaar)],MATCH(B364,IF(Berekening_impact[Doelgroep]=C364,Berekening_impact[Digitale zorgtoepassing]),0))</f>
        <v>329.52480357903397</v>
      </c>
      <c r="O364" s="398" cm="1">
        <f t="array" ref="O364">J364*INDEX(Berekening_impact[Overige kostenbesparing (totaal/jaar totaal potentieel)],MATCH(B364,IF(Berekening_impact[Doelgroep]=C364,Berekening_impact[Digitale zorgtoepassing]),0))</f>
        <v>1924390.2502147711</v>
      </c>
      <c r="P364" s="398" cm="1">
        <f t="array" ref="P364">J364*INDEX(Berekening_impact[Opbrengsten door QALY''s],MATCH(B364,IF(Berekening_impact[Doelgroep]=C364,Berekening_impact[Digitale zorgtoepassing]),0))</f>
        <v>0</v>
      </c>
      <c r="Q364" s="398" cm="1">
        <f t="array" ref="Q364">J364*INDEX(Berekening_impact[Jaarlijkse kosten (totaal) - incl. schatting],MATCH(B364,IF(Berekening_impact[Doelgroep]=C364,Berekening_impact[Digitale zorgtoepassing]),0))</f>
        <v>7616540.3856507037</v>
      </c>
      <c r="R364" s="398" cm="1">
        <f t="array" ref="R364">(uitkomst_doelgroep[[#This Row],[Implementatiegraad t = T + 1]]-uitkomst_doelgroep[[#This Row],[Implementatiegraad t = T]])*INDEX(Berekening_impact[Initiële investering (totaal) - incl. schatting],MATCH(B364,IF(Berekening_impact[Doelgroep]=C364,Berekening_impact[Digitale zorgtoepassing]),0))</f>
        <v>0</v>
      </c>
      <c r="S364" s="398">
        <f>uitkomst_doelgroep[[#This Row],[Arbeidsbesparing (€)]]*uitkomst_doelgroep[[#This Row],[Percentage van patiëntaantallen in Wlz (overige is Zvw)]]</f>
        <v>6295357.7494013309</v>
      </c>
      <c r="T364" s="398">
        <f>uitkomst_doelgroep[[#This Row],[Overige besparingen (€)]]*uitkomst_doelgroep[[#This Row],[Percentage van patiëntaantallen in Wlz (overige is Zvw)]]</f>
        <v>865975.612596647</v>
      </c>
      <c r="U364" s="398">
        <f>uitkomst_doelgroep[[#This Row],[Kosten (€)]]*uitkomst_doelgroep[[#This Row],[Percentage van patiëntaantallen in Wlz (overige is Zvw)]]</f>
        <v>3427443.1735428167</v>
      </c>
      <c r="V364" s="398">
        <f>uitkomst_doelgroep[[#This Row],[Investering (cash flow) (€)]]*uitkomst_doelgroep[[#This Row],[Percentage van patiëntaantallen in Wlz (overige is Zvw)]]</f>
        <v>0</v>
      </c>
    </row>
    <row r="365" spans="1:22" x14ac:dyDescent="0.5">
      <c r="A365" s="33" t="str">
        <f>INDEX(Technologieën[Veld],MATCH(B365,Technologieën[Digitale zorgtoepassing],0))</f>
        <v>Sensoren - Verpleging</v>
      </c>
      <c r="B365" s="33" t="s">
        <v>36</v>
      </c>
      <c r="C365" s="33" t="s">
        <v>27</v>
      </c>
      <c r="D365" s="427" cm="1">
        <f t="array" ref="D365">INDEX(Berekening_patiëntaantal[Percentage van patiëntaantallen in Wlz (overige is Zvw)],MATCH(B365,IF(Berekening_patiëntaantal[Doelgroep (zoeksleutel)]=C365,Berekening_patiëntaantal[Digitale zorgtoepassing]),0))</f>
        <v>0.45</v>
      </c>
      <c r="E365" s="33" t="str" cm="1">
        <f t="array" ref="E365">INDEX(Berekening_patiëntaantal[Direct toepasbaar/extrapolatie/incidentie voor QALY],MATCH(B365,IF(Berekening_patiëntaantal[Doelgroep (zoeksleutel)]=C365,Berekening_patiëntaantal[Digitale zorgtoepassing]),0))</f>
        <v>Extrapolatie</v>
      </c>
      <c r="F365" s="43" t="s">
        <v>812</v>
      </c>
      <c r="G365" s="33" t="str">
        <f>CONCATENATE(uitkomst_doelgroep[[#This Row],[Digitale zorgtoepassing]],"_",uitkomst_doelgroep[[#This Row],[Doelgroep]],"_",uitkomst_doelgroep[[#This Row],[Uitgangssituatie/effect beleid]])</f>
        <v>Leefstijlmonitoring_Parkinson_Effect beleid</v>
      </c>
      <c r="H365" s="33">
        <v>2030</v>
      </c>
      <c r="I365" s="32">
        <v>8</v>
      </c>
      <c r="J365" s="406" cm="1">
        <f t="array" ref="J365">INDEX(implementatie[[2023]:[2034]],MATCH(G365, implementatie[Zoeksleutel],0),I365)</f>
        <v>0.19753623413361349</v>
      </c>
      <c r="K365" s="406" cm="1">
        <f t="array" ref="K365">INDEX(implementatie[[2023]:[2034]],MATCH(G365,implementatie[Zoeksleutel],0),I365 + 1)</f>
        <v>0.27699177758611071</v>
      </c>
      <c r="L36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1880.9400214202672</v>
      </c>
      <c r="M365" s="398" cm="1">
        <f t="array" ref="M365">J365*INDEX(Berekening_impact[Totaal arbeidsbesparing (€/jaar)],MATCH(B365,IF(Berekening_impact[Doelgroep]=C365,Berekening_impact[Digitale zorgtoepassing]),0))</f>
        <v>6488147.0917422026</v>
      </c>
      <c r="N365" s="397" cm="1">
        <f t="array" ref="N365">J365*INDEX(Berekening_impact[Totaal arbeidsbesparing (FTE/jaar)],MATCH(B365,IF(Berekening_impact[Doelgroep]=C365,Berekening_impact[Digitale zorgtoepassing]),0))</f>
        <v>152.82728424618864</v>
      </c>
      <c r="O365" s="398" cm="1">
        <f t="array" ref="O365">J365*INDEX(Berekening_impact[Overige kostenbesparing (totaal/jaar totaal potentieel)],MATCH(B365,IF(Berekening_impact[Doelgroep]=C365,Berekening_impact[Digitale zorgtoepassing]),0))</f>
        <v>892495.29193522292</v>
      </c>
      <c r="P365" s="398" cm="1">
        <f t="array" ref="P365">J365*INDEX(Berekening_impact[Opbrengsten door QALY''s],MATCH(B365,IF(Berekening_impact[Doelgroep]=C365,Berekening_impact[Digitale zorgtoepassing]),0))</f>
        <v>0</v>
      </c>
      <c r="Q365" s="398" cm="1">
        <f t="array" ref="Q365">J365*INDEX(Berekening_impact[Jaarlijkse kosten (totaal) - incl. schatting],MATCH(B365,IF(Berekening_impact[Doelgroep]=C365,Berekening_impact[Digitale zorgtoepassing]),0))</f>
        <v>3532405.3602272617</v>
      </c>
      <c r="R365" s="398" cm="1">
        <f t="array" ref="R365">(uitkomst_doelgroep[[#This Row],[Implementatiegraad t = T + 1]]-uitkomst_doelgroep[[#This Row],[Implementatiegraad t = T]])*INDEX(Berekening_impact[Initiële investering (totaal) - incl. schatting],MATCH(B365,IF(Berekening_impact[Doelgroep]=C365,Berekening_impact[Digitale zorgtoepassing]),0))</f>
        <v>0</v>
      </c>
      <c r="S365" s="398">
        <f>uitkomst_doelgroep[[#This Row],[Arbeidsbesparing (€)]]*uitkomst_doelgroep[[#This Row],[Percentage van patiëntaantallen in Wlz (overige is Zvw)]]</f>
        <v>2919666.1912839911</v>
      </c>
      <c r="T365" s="398">
        <f>uitkomst_doelgroep[[#This Row],[Overige besparingen (€)]]*uitkomst_doelgroep[[#This Row],[Percentage van patiëntaantallen in Wlz (overige is Zvw)]]</f>
        <v>401622.88137085031</v>
      </c>
      <c r="U365" s="398">
        <f>uitkomst_doelgroep[[#This Row],[Kosten (€)]]*uitkomst_doelgroep[[#This Row],[Percentage van patiëntaantallen in Wlz (overige is Zvw)]]</f>
        <v>1589582.4121022678</v>
      </c>
      <c r="V365" s="398">
        <f>uitkomst_doelgroep[[#This Row],[Investering (cash flow) (€)]]*uitkomst_doelgroep[[#This Row],[Percentage van patiëntaantallen in Wlz (overige is Zvw)]]</f>
        <v>0</v>
      </c>
    </row>
    <row r="366" spans="1:22" x14ac:dyDescent="0.5">
      <c r="A366" s="33" t="str">
        <f>INDEX(Technologieën[Veld],MATCH(B366,Technologieën[Digitale zorgtoepassing],0))</f>
        <v>Sensoren - Verpleging</v>
      </c>
      <c r="B366" s="33" t="s">
        <v>36</v>
      </c>
      <c r="C366" s="33" t="s">
        <v>20</v>
      </c>
      <c r="D366" s="427" cm="1">
        <f t="array" ref="D366">INDEX(Berekening_patiëntaantal[Percentage van patiëntaantallen in Wlz (overige is Zvw)],MATCH(B366,IF(Berekening_patiëntaantal[Doelgroep (zoeksleutel)]=C366,Berekening_patiëntaantal[Digitale zorgtoepassing]),0))</f>
        <v>0</v>
      </c>
      <c r="E366" s="33" t="str" cm="1">
        <f t="array" ref="E366">INDEX(Berekening_patiëntaantal[Direct toepasbaar/extrapolatie/incidentie voor QALY],MATCH(B366,IF(Berekening_patiëntaantal[Doelgroep (zoeksleutel)]=C366,Berekening_patiëntaantal[Digitale zorgtoepassing]),0))</f>
        <v>Huidige toepassing</v>
      </c>
      <c r="F366" s="43" t="s">
        <v>812</v>
      </c>
      <c r="G366" s="33" t="str">
        <f>CONCATENATE(uitkomst_doelgroep[[#This Row],[Digitale zorgtoepassing]],"_",uitkomst_doelgroep[[#This Row],[Doelgroep]],"_",uitkomst_doelgroep[[#This Row],[Uitgangssituatie/effect beleid]])</f>
        <v>Leefstijlmonitoring_Dementie_Effect beleid</v>
      </c>
      <c r="H366" s="33">
        <v>2030</v>
      </c>
      <c r="I366" s="32">
        <v>8</v>
      </c>
      <c r="J366" s="406" cm="1">
        <f t="array" ref="J366">INDEX(implementatie[[2023]:[2034]],MATCH(G366, implementatie[Zoeksleutel],0),I366)</f>
        <v>0.85831112676904175</v>
      </c>
      <c r="K366" s="406" cm="1">
        <f t="array" ref="K366">INDEX(implementatie[[2023]:[2034]],MATCH(G366,implementatie[Zoeksleutel],0),I366 + 1)</f>
        <v>0.90979015880706082</v>
      </c>
      <c r="L36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28379.499504385964</v>
      </c>
      <c r="M366" s="398" cm="1">
        <f t="array" ref="M366">J366*INDEX(Berekening_impact[Totaal arbeidsbesparing (€/jaar)],MATCH(B366,IF(Berekening_impact[Doelgroep]=C366,Berekening_impact[Digitale zorgtoepassing]),0))</f>
        <v>97892737.183319256</v>
      </c>
      <c r="N366" s="397" cm="1">
        <f t="array" ref="N366">J366*INDEX(Berekening_impact[Totaal arbeidsbesparing (FTE/jaar)],MATCH(B366,IF(Berekening_impact[Doelgroep]=C366,Berekening_impact[Digitale zorgtoepassing]),0))</f>
        <v>2305.8480271191438</v>
      </c>
      <c r="O366" s="398" cm="1">
        <f t="array" ref="O366">J366*INDEX(Berekening_impact[Overige kostenbesparing (totaal/jaar totaal potentieel)],MATCH(B366,IF(Berekening_impact[Doelgroep]=C366,Berekening_impact[Digitale zorgtoepassing]),0))</f>
        <v>13465910.346262541</v>
      </c>
      <c r="P366" s="398" cm="1">
        <f t="array" ref="P366">J366*INDEX(Berekening_impact[Opbrengsten door QALY''s],MATCH(B366,IF(Berekening_impact[Doelgroep]=C366,Berekening_impact[Digitale zorgtoepassing]),0))</f>
        <v>0</v>
      </c>
      <c r="Q366" s="398" cm="1">
        <f t="array" ref="Q366">J366*INDEX(Berekening_impact[Jaarlijkse kosten (totaal) - incl. schatting],MATCH(B366,IF(Berekening_impact[Doelgroep]=C366,Berekening_impact[Digitale zorgtoepassing]),0))</f>
        <v>53296700.069236845</v>
      </c>
      <c r="R366" s="398" cm="1">
        <f t="array" ref="R366">(uitkomst_doelgroep[[#This Row],[Implementatiegraad t = T + 1]]-uitkomst_doelgroep[[#This Row],[Implementatiegraad t = T]])*INDEX(Berekening_impact[Initiële investering (totaal) - incl. schatting],MATCH(B366,IF(Berekening_impact[Doelgroep]=C366,Berekening_impact[Digitale zorgtoepassing]),0))</f>
        <v>0</v>
      </c>
      <c r="S366" s="398">
        <f>uitkomst_doelgroep[[#This Row],[Arbeidsbesparing (€)]]*uitkomst_doelgroep[[#This Row],[Percentage van patiëntaantallen in Wlz (overige is Zvw)]]</f>
        <v>0</v>
      </c>
      <c r="T366" s="398">
        <f>uitkomst_doelgroep[[#This Row],[Overige besparingen (€)]]*uitkomst_doelgroep[[#This Row],[Percentage van patiëntaantallen in Wlz (overige is Zvw)]]</f>
        <v>0</v>
      </c>
      <c r="U366" s="398">
        <f>uitkomst_doelgroep[[#This Row],[Kosten (€)]]*uitkomst_doelgroep[[#This Row],[Percentage van patiëntaantallen in Wlz (overige is Zvw)]]</f>
        <v>0</v>
      </c>
      <c r="V366" s="398">
        <f>uitkomst_doelgroep[[#This Row],[Investering (cash flow) (€)]]*uitkomst_doelgroep[[#This Row],[Percentage van patiëntaantallen in Wlz (overige is Zvw)]]</f>
        <v>0</v>
      </c>
    </row>
    <row r="367" spans="1:22" x14ac:dyDescent="0.5">
      <c r="A367" s="33" t="str">
        <f>INDEX(Technologieën[Veld],MATCH(B367,Technologieën[Digitale zorgtoepassing],0))</f>
        <v>Sensoren - Verpleging</v>
      </c>
      <c r="B367" s="33" t="s">
        <v>36</v>
      </c>
      <c r="C367" s="33" t="s">
        <v>24</v>
      </c>
      <c r="D367" s="427" cm="1">
        <f t="array" ref="D367">INDEX(Berekening_patiëntaantal[Percentage van patiëntaantallen in Wlz (overige is Zvw)],MATCH(B367,IF(Berekening_patiëntaantal[Doelgroep (zoeksleutel)]=C367,Berekening_patiëntaantal[Digitale zorgtoepassing]),0))</f>
        <v>0.45</v>
      </c>
      <c r="E367" s="33" t="str" cm="1">
        <f t="array" ref="E367">INDEX(Berekening_patiëntaantal[Direct toepasbaar/extrapolatie/incidentie voor QALY],MATCH(B367,IF(Berekening_patiëntaantal[Doelgroep (zoeksleutel)]=C367,Berekening_patiëntaantal[Digitale zorgtoepassing]),0))</f>
        <v>Extrapolatie</v>
      </c>
      <c r="F367" s="43" t="s">
        <v>812</v>
      </c>
      <c r="G367" s="33" t="str">
        <f>CONCATENATE(uitkomst_doelgroep[[#This Row],[Digitale zorgtoepassing]],"_",uitkomst_doelgroep[[#This Row],[Doelgroep]],"_",uitkomst_doelgroep[[#This Row],[Uitgangssituatie/effect beleid]])</f>
        <v>Leefstijlmonitoring_Cognitieve beperking_Effect beleid</v>
      </c>
      <c r="H367" s="33">
        <v>2031</v>
      </c>
      <c r="I367" s="32">
        <v>9</v>
      </c>
      <c r="J367" s="406" cm="1">
        <f t="array" ref="J367">INDEX(implementatie[[2023]:[2034]],MATCH(G367, implementatie[Zoeksleutel],0),I367)</f>
        <v>0.27699177758611071</v>
      </c>
      <c r="K367" s="406" cm="1">
        <f t="array" ref="K367">INDEX(implementatie[[2023]:[2034]],MATCH(G367,implementatie[Zoeksleutel],0),I367 + 1)</f>
        <v>0.37155887512870744</v>
      </c>
      <c r="L36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887.4617119779125</v>
      </c>
      <c r="M367" s="398" cm="1">
        <f t="array" ref="M367">J367*INDEX(Berekening_impact[Totaal arbeidsbesparing (€/jaar)],MATCH(B367,IF(Berekening_impact[Doelgroep]=C367,Berekening_impact[Digitale zorgtoepassing]),0))</f>
        <v>3061225.8020084505</v>
      </c>
      <c r="N367" s="397" cm="1">
        <f t="array" ref="N367">J367*INDEX(Berekening_impact[Totaal arbeidsbesparing (FTE/jaar)],MATCH(B367,IF(Berekening_impact[Doelgroep]=C367,Berekening_impact[Digitale zorgtoepassing]),0))</f>
        <v>72.106692275943416</v>
      </c>
      <c r="O367" s="398" cm="1">
        <f t="array" ref="O367">J367*INDEX(Berekening_impact[Overige kostenbesparing (totaal/jaar totaal potentieel)],MATCH(B367,IF(Berekening_impact[Doelgroep]=C367,Berekening_impact[Digitale zorgtoepassing]),0))</f>
        <v>421095.51112373668</v>
      </c>
      <c r="P367" s="398" cm="1">
        <f t="array" ref="P367">J367*INDEX(Berekening_impact[Opbrengsten door QALY''s],MATCH(B367,IF(Berekening_impact[Doelgroep]=C367,Berekening_impact[Digitale zorgtoepassing]),0))</f>
        <v>0</v>
      </c>
      <c r="Q367" s="398" cm="1">
        <f t="array" ref="Q367">J367*INDEX(Berekening_impact[Jaarlijkse kosten (totaal) - incl. schatting],MATCH(B367,IF(Berekening_impact[Doelgroep]=C367,Berekening_impact[Digitale zorgtoepassing]),0))</f>
        <v>1666653.0950945197</v>
      </c>
      <c r="R367" s="398" cm="1">
        <f t="array" ref="R367">(uitkomst_doelgroep[[#This Row],[Implementatiegraad t = T + 1]]-uitkomst_doelgroep[[#This Row],[Implementatiegraad t = T]])*INDEX(Berekening_impact[Initiële investering (totaal) - incl. schatting],MATCH(B367,IF(Berekening_impact[Doelgroep]=C367,Berekening_impact[Digitale zorgtoepassing]),0))</f>
        <v>0</v>
      </c>
      <c r="S367" s="398">
        <f>uitkomst_doelgroep[[#This Row],[Arbeidsbesparing (€)]]*uitkomst_doelgroep[[#This Row],[Percentage van patiëntaantallen in Wlz (overige is Zvw)]]</f>
        <v>1377551.6109038028</v>
      </c>
      <c r="T367" s="398">
        <f>uitkomst_doelgroep[[#This Row],[Overige besparingen (€)]]*uitkomst_doelgroep[[#This Row],[Percentage van patiëntaantallen in Wlz (overige is Zvw)]]</f>
        <v>189492.98000568151</v>
      </c>
      <c r="U367" s="398">
        <f>uitkomst_doelgroep[[#This Row],[Kosten (€)]]*uitkomst_doelgroep[[#This Row],[Percentage van patiëntaantallen in Wlz (overige is Zvw)]]</f>
        <v>749993.89279253385</v>
      </c>
      <c r="V367" s="398">
        <f>uitkomst_doelgroep[[#This Row],[Investering (cash flow) (€)]]*uitkomst_doelgroep[[#This Row],[Percentage van patiëntaantallen in Wlz (overige is Zvw)]]</f>
        <v>0</v>
      </c>
    </row>
    <row r="368" spans="1:22" x14ac:dyDescent="0.5">
      <c r="A368" s="33" t="str">
        <f>INDEX(Technologieën[Veld],MATCH(B368,Technologieën[Digitale zorgtoepassing],0))</f>
        <v>Sensoren - Verpleging</v>
      </c>
      <c r="B368" s="33" t="s">
        <v>36</v>
      </c>
      <c r="C368" s="33" t="s">
        <v>40</v>
      </c>
      <c r="D368" s="427" cm="1">
        <f t="array" ref="D368">INDEX(Berekening_patiëntaantal[Percentage van patiëntaantallen in Wlz (overige is Zvw)],MATCH(B368,IF(Berekening_patiëntaantal[Doelgroep (zoeksleutel)]=C368,Berekening_patiëntaantal[Digitale zorgtoepassing]),0))</f>
        <v>0.45</v>
      </c>
      <c r="E368" s="33" t="str" cm="1">
        <f t="array" ref="E368">INDEX(Berekening_patiëntaantal[Direct toepasbaar/extrapolatie/incidentie voor QALY],MATCH(B368,IF(Berekening_patiëntaantal[Doelgroep (zoeksleutel)]=C368,Berekening_patiëntaantal[Digitale zorgtoepassing]),0))</f>
        <v>Extrapolatie</v>
      </c>
      <c r="F368" s="43" t="s">
        <v>812</v>
      </c>
      <c r="G368" s="33" t="str">
        <f>CONCATENATE(uitkomst_doelgroep[[#This Row],[Digitale zorgtoepassing]],"_",uitkomst_doelgroep[[#This Row],[Doelgroep]],"_",uitkomst_doelgroep[[#This Row],[Uitgangssituatie/effect beleid]])</f>
        <v>Leefstijlmonitoring_Kwetsbare ouderen_Effect beleid</v>
      </c>
      <c r="H368" s="33">
        <v>2031</v>
      </c>
      <c r="I368" s="32">
        <v>9</v>
      </c>
      <c r="J368" s="406" cm="1">
        <f t="array" ref="J368">INDEX(implementatie[[2023]:[2034]],MATCH(G368, implementatie[Zoeksleutel],0),I368)</f>
        <v>0.27699177758611071</v>
      </c>
      <c r="K368" s="406" cm="1">
        <f t="array" ref="K368">INDEX(implementatie[[2023]:[2034]],MATCH(G368,implementatie[Zoeksleutel],0),I368 + 1)</f>
        <v>0.37155887512870744</v>
      </c>
      <c r="L36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5686.9874335648365</v>
      </c>
      <c r="M368" s="398" cm="1">
        <f t="array" ref="M368">J368*INDEX(Berekening_impact[Totaal arbeidsbesparing (€/jaar)],MATCH(B368,IF(Berekening_impact[Doelgroep]=C368,Berekening_impact[Digitale zorgtoepassing]),0))</f>
        <v>19616792.9639761</v>
      </c>
      <c r="N368" s="397" cm="1">
        <f t="array" ref="N368">J368*INDEX(Berekening_impact[Totaal arbeidsbesparing (FTE/jaar)],MATCH(B368,IF(Berekening_impact[Doelgroep]=C368,Berekening_impact[Digitale zorgtoepassing]),0))</f>
        <v>462.0704728041527</v>
      </c>
      <c r="O368" s="398" cm="1">
        <f t="array" ref="O368">J368*INDEX(Berekening_impact[Overige kostenbesparing (totaal/jaar totaal potentieel)],MATCH(B368,IF(Berekening_impact[Doelgroep]=C368,Berekening_impact[Digitale zorgtoepassing]),0))</f>
        <v>2698443.0401554657</v>
      </c>
      <c r="P368" s="398" cm="1">
        <f t="array" ref="P368">J368*INDEX(Berekening_impact[Opbrengsten door QALY''s],MATCH(B368,IF(Berekening_impact[Doelgroep]=C368,Berekening_impact[Digitale zorgtoepassing]),0))</f>
        <v>0</v>
      </c>
      <c r="Q368" s="398" cm="1">
        <f t="array" ref="Q368">J368*INDEX(Berekening_impact[Jaarlijkse kosten (totaal) - incl. schatting],MATCH(B368,IF(Berekening_impact[Doelgroep]=C368,Berekening_impact[Digitale zorgtoepassing]),0))</f>
        <v>10680162.400234763</v>
      </c>
      <c r="R368" s="398" cm="1">
        <f t="array" ref="R368">(uitkomst_doelgroep[[#This Row],[Implementatiegraad t = T + 1]]-uitkomst_doelgroep[[#This Row],[Implementatiegraad t = T]])*INDEX(Berekening_impact[Initiële investering (totaal) - incl. schatting],MATCH(B368,IF(Berekening_impact[Doelgroep]=C368,Berekening_impact[Digitale zorgtoepassing]),0))</f>
        <v>0</v>
      </c>
      <c r="S368" s="398">
        <f>uitkomst_doelgroep[[#This Row],[Arbeidsbesparing (€)]]*uitkomst_doelgroep[[#This Row],[Percentage van patiëntaantallen in Wlz (overige is Zvw)]]</f>
        <v>8827556.8337892462</v>
      </c>
      <c r="T368" s="398">
        <f>uitkomst_doelgroep[[#This Row],[Overige besparingen (€)]]*uitkomst_doelgroep[[#This Row],[Percentage van patiëntaantallen in Wlz (overige is Zvw)]]</f>
        <v>1214299.3680699596</v>
      </c>
      <c r="U368" s="398">
        <f>uitkomst_doelgroep[[#This Row],[Kosten (€)]]*uitkomst_doelgroep[[#This Row],[Percentage van patiëntaantallen in Wlz (overige is Zvw)]]</f>
        <v>4806073.0801056437</v>
      </c>
      <c r="V368" s="398">
        <f>uitkomst_doelgroep[[#This Row],[Investering (cash flow) (€)]]*uitkomst_doelgroep[[#This Row],[Percentage van patiëntaantallen in Wlz (overige is Zvw)]]</f>
        <v>0</v>
      </c>
    </row>
    <row r="369" spans="1:22" x14ac:dyDescent="0.5">
      <c r="A369" s="33" t="str">
        <f>INDEX(Technologieën[Veld],MATCH(B369,Technologieën[Digitale zorgtoepassing],0))</f>
        <v>Sensoren - Verpleging</v>
      </c>
      <c r="B369" s="33" t="s">
        <v>36</v>
      </c>
      <c r="C369" s="33" t="s">
        <v>27</v>
      </c>
      <c r="D369" s="427" cm="1">
        <f t="array" ref="D369">INDEX(Berekening_patiëntaantal[Percentage van patiëntaantallen in Wlz (overige is Zvw)],MATCH(B369,IF(Berekening_patiëntaantal[Doelgroep (zoeksleutel)]=C369,Berekening_patiëntaantal[Digitale zorgtoepassing]),0))</f>
        <v>0.45</v>
      </c>
      <c r="E369" s="33" t="str" cm="1">
        <f t="array" ref="E369">INDEX(Berekening_patiëntaantal[Direct toepasbaar/extrapolatie/incidentie voor QALY],MATCH(B369,IF(Berekening_patiëntaantal[Doelgroep (zoeksleutel)]=C369,Berekening_patiëntaantal[Digitale zorgtoepassing]),0))</f>
        <v>Extrapolatie</v>
      </c>
      <c r="F369" s="43" t="s">
        <v>812</v>
      </c>
      <c r="G369" s="33" t="str">
        <f>CONCATENATE(uitkomst_doelgroep[[#This Row],[Digitale zorgtoepassing]],"_",uitkomst_doelgroep[[#This Row],[Doelgroep]],"_",uitkomst_doelgroep[[#This Row],[Uitgangssituatie/effect beleid]])</f>
        <v>Leefstijlmonitoring_Parkinson_Effect beleid</v>
      </c>
      <c r="H369" s="33">
        <v>2031</v>
      </c>
      <c r="I369" s="32">
        <v>9</v>
      </c>
      <c r="J369" s="406" cm="1">
        <f t="array" ref="J369">INDEX(implementatie[[2023]:[2034]],MATCH(G369, implementatie[Zoeksleutel],0),I369)</f>
        <v>0.27699177758611071</v>
      </c>
      <c r="K369" s="406" cm="1">
        <f t="array" ref="K369">INDEX(implementatie[[2023]:[2034]],MATCH(G369,implementatie[Zoeksleutel],0),I369 + 1)</f>
        <v>0.37155887512870744</v>
      </c>
      <c r="L36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2637.5157061749455</v>
      </c>
      <c r="M369" s="398" cm="1">
        <f t="array" ref="M369">J369*INDEX(Berekening_impact[Totaal arbeidsbesparing (€/jaar)],MATCH(B369,IF(Berekening_impact[Doelgroep]=C369,Berekening_impact[Digitale zorgtoepassing]),0))</f>
        <v>9097892.3642243072</v>
      </c>
      <c r="N369" s="397" cm="1">
        <f t="array" ref="N369">J369*INDEX(Berekening_impact[Totaal arbeidsbesparing (FTE/jaar)],MATCH(B369,IF(Berekening_impact[Doelgroep]=C369,Berekening_impact[Digitale zorgtoepassing]),0))</f>
        <v>214.29942366106013</v>
      </c>
      <c r="O369" s="398" cm="1">
        <f t="array" ref="O369">J369*INDEX(Berekening_impact[Overige kostenbesparing (totaal/jaar totaal potentieel)],MATCH(B369,IF(Berekening_impact[Doelgroep]=C369,Berekening_impact[Digitale zorgtoepassing]),0))</f>
        <v>1251486.1310616906</v>
      </c>
      <c r="P369" s="398" cm="1">
        <f t="array" ref="P369">J369*INDEX(Berekening_impact[Opbrengsten door QALY''s],MATCH(B369,IF(Berekening_impact[Doelgroep]=C369,Berekening_impact[Digitale zorgtoepassing]),0))</f>
        <v>0</v>
      </c>
      <c r="Q369" s="398" cm="1">
        <f t="array" ref="Q369">J369*INDEX(Berekening_impact[Jaarlijkse kosten (totaal) - incl. schatting],MATCH(B369,IF(Berekening_impact[Doelgroep]=C369,Berekening_impact[Digitale zorgtoepassing]),0))</f>
        <v>4953254.4961965475</v>
      </c>
      <c r="R369" s="398" cm="1">
        <f t="array" ref="R369">(uitkomst_doelgroep[[#This Row],[Implementatiegraad t = T + 1]]-uitkomst_doelgroep[[#This Row],[Implementatiegraad t = T]])*INDEX(Berekening_impact[Initiële investering (totaal) - incl. schatting],MATCH(B369,IF(Berekening_impact[Doelgroep]=C369,Berekening_impact[Digitale zorgtoepassing]),0))</f>
        <v>0</v>
      </c>
      <c r="S369" s="398">
        <f>uitkomst_doelgroep[[#This Row],[Arbeidsbesparing (€)]]*uitkomst_doelgroep[[#This Row],[Percentage van patiëntaantallen in Wlz (overige is Zvw)]]</f>
        <v>4094051.5639009383</v>
      </c>
      <c r="T369" s="398">
        <f>uitkomst_doelgroep[[#This Row],[Overige besparingen (€)]]*uitkomst_doelgroep[[#This Row],[Percentage van patiëntaantallen in Wlz (overige is Zvw)]]</f>
        <v>563168.75897776079</v>
      </c>
      <c r="U369" s="398">
        <f>uitkomst_doelgroep[[#This Row],[Kosten (€)]]*uitkomst_doelgroep[[#This Row],[Percentage van patiëntaantallen in Wlz (overige is Zvw)]]</f>
        <v>2228964.5232884465</v>
      </c>
      <c r="V369" s="398">
        <f>uitkomst_doelgroep[[#This Row],[Investering (cash flow) (€)]]*uitkomst_doelgroep[[#This Row],[Percentage van patiëntaantallen in Wlz (overige is Zvw)]]</f>
        <v>0</v>
      </c>
    </row>
    <row r="370" spans="1:22" x14ac:dyDescent="0.5">
      <c r="A370" s="33" t="str">
        <f>INDEX(Technologieën[Veld],MATCH(B370,Technologieën[Digitale zorgtoepassing],0))</f>
        <v>Sensoren - Verpleging</v>
      </c>
      <c r="B370" s="33" t="s">
        <v>36</v>
      </c>
      <c r="C370" s="33" t="s">
        <v>20</v>
      </c>
      <c r="D370" s="427" cm="1">
        <f t="array" ref="D370">INDEX(Berekening_patiëntaantal[Percentage van patiëntaantallen in Wlz (overige is Zvw)],MATCH(B370,IF(Berekening_patiëntaantal[Doelgroep (zoeksleutel)]=C370,Berekening_patiëntaantal[Digitale zorgtoepassing]),0))</f>
        <v>0</v>
      </c>
      <c r="E370" s="33" t="str" cm="1">
        <f t="array" ref="E370">INDEX(Berekening_patiëntaantal[Direct toepasbaar/extrapolatie/incidentie voor QALY],MATCH(B370,IF(Berekening_patiëntaantal[Doelgroep (zoeksleutel)]=C370,Berekening_patiëntaantal[Digitale zorgtoepassing]),0))</f>
        <v>Huidige toepassing</v>
      </c>
      <c r="F370" s="43" t="s">
        <v>812</v>
      </c>
      <c r="G370" s="33" t="str">
        <f>CONCATENATE(uitkomst_doelgroep[[#This Row],[Digitale zorgtoepassing]],"_",uitkomst_doelgroep[[#This Row],[Doelgroep]],"_",uitkomst_doelgroep[[#This Row],[Uitgangssituatie/effect beleid]])</f>
        <v>Leefstijlmonitoring_Dementie_Effect beleid</v>
      </c>
      <c r="H370" s="33">
        <v>2031</v>
      </c>
      <c r="I370" s="32">
        <v>9</v>
      </c>
      <c r="J370" s="406" cm="1">
        <f t="array" ref="J370">INDEX(implementatie[[2023]:[2034]],MATCH(G370, implementatie[Zoeksleutel],0),I370)</f>
        <v>0.90979015880706082</v>
      </c>
      <c r="K370" s="406" cm="1">
        <f t="array" ref="K370">INDEX(implementatie[[2023]:[2034]],MATCH(G370,implementatie[Zoeksleutel],0),I370 + 1)</f>
        <v>0.94442316592887321</v>
      </c>
      <c r="L37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30081.620237352239</v>
      </c>
      <c r="M370" s="398" cm="1">
        <f t="array" ref="M370">J370*INDEX(Berekening_impact[Totaal arbeidsbesparing (€/jaar)],MATCH(B370,IF(Berekening_impact[Doelgroep]=C370,Berekening_impact[Digitale zorgtoepassing]),0))</f>
        <v>103764061.92394038</v>
      </c>
      <c r="N370" s="397" cm="1">
        <f t="array" ref="N370">J370*INDEX(Berekening_impact[Totaal arbeidsbesparing (FTE/jaar)],MATCH(B370,IF(Berekening_impact[Doelgroep]=C370,Berekening_impact[Digitale zorgtoepassing]),0))</f>
        <v>2444.14615790268</v>
      </c>
      <c r="O370" s="398" cm="1">
        <f t="array" ref="O370">J370*INDEX(Berekening_impact[Overige kostenbesparing (totaal/jaar totaal potentieel)],MATCH(B370,IF(Berekening_impact[Doelgroep]=C370,Berekening_impact[Digitale zorgtoepassing]),0))</f>
        <v>14273556.907650851</v>
      </c>
      <c r="P370" s="398" cm="1">
        <f t="array" ref="P370">J370*INDEX(Berekening_impact[Opbrengsten door QALY''s],MATCH(B370,IF(Berekening_impact[Doelgroep]=C370,Berekening_impact[Digitale zorgtoepassing]),0))</f>
        <v>0</v>
      </c>
      <c r="Q370" s="398" cm="1">
        <f t="array" ref="Q370">J370*INDEX(Berekening_impact[Jaarlijkse kosten (totaal) - incl. schatting],MATCH(B370,IF(Berekening_impact[Doelgroep]=C370,Berekening_impact[Digitale zorgtoepassing]),0))</f>
        <v>56493282.805747509</v>
      </c>
      <c r="R370" s="398" cm="1">
        <f t="array" ref="R370">(uitkomst_doelgroep[[#This Row],[Implementatiegraad t = T + 1]]-uitkomst_doelgroep[[#This Row],[Implementatiegraad t = T]])*INDEX(Berekening_impact[Initiële investering (totaal) - incl. schatting],MATCH(B370,IF(Berekening_impact[Doelgroep]=C370,Berekening_impact[Digitale zorgtoepassing]),0))</f>
        <v>0</v>
      </c>
      <c r="S370" s="398">
        <f>uitkomst_doelgroep[[#This Row],[Arbeidsbesparing (€)]]*uitkomst_doelgroep[[#This Row],[Percentage van patiëntaantallen in Wlz (overige is Zvw)]]</f>
        <v>0</v>
      </c>
      <c r="T370" s="398">
        <f>uitkomst_doelgroep[[#This Row],[Overige besparingen (€)]]*uitkomst_doelgroep[[#This Row],[Percentage van patiëntaantallen in Wlz (overige is Zvw)]]</f>
        <v>0</v>
      </c>
      <c r="U370" s="398">
        <f>uitkomst_doelgroep[[#This Row],[Kosten (€)]]*uitkomst_doelgroep[[#This Row],[Percentage van patiëntaantallen in Wlz (overige is Zvw)]]</f>
        <v>0</v>
      </c>
      <c r="V370" s="398">
        <f>uitkomst_doelgroep[[#This Row],[Investering (cash flow) (€)]]*uitkomst_doelgroep[[#This Row],[Percentage van patiëntaantallen in Wlz (overige is Zvw)]]</f>
        <v>0</v>
      </c>
    </row>
    <row r="371" spans="1:22" x14ac:dyDescent="0.5">
      <c r="A371" s="33" t="str">
        <f>INDEX(Technologieën[Veld],MATCH(B371,Technologieën[Digitale zorgtoepassing],0))</f>
        <v>Sensoren - Verpleging</v>
      </c>
      <c r="B371" s="33" t="s">
        <v>36</v>
      </c>
      <c r="C371" s="33" t="s">
        <v>24</v>
      </c>
      <c r="D371" s="427" cm="1">
        <f t="array" ref="D371">INDEX(Berekening_patiëntaantal[Percentage van patiëntaantallen in Wlz (overige is Zvw)],MATCH(B371,IF(Berekening_patiëntaantal[Doelgroep (zoeksleutel)]=C371,Berekening_patiëntaantal[Digitale zorgtoepassing]),0))</f>
        <v>0.45</v>
      </c>
      <c r="E371" s="33" t="str" cm="1">
        <f t="array" ref="E371">INDEX(Berekening_patiëntaantal[Direct toepasbaar/extrapolatie/incidentie voor QALY],MATCH(B371,IF(Berekening_patiëntaantal[Doelgroep (zoeksleutel)]=C371,Berekening_patiëntaantal[Digitale zorgtoepassing]),0))</f>
        <v>Extrapolatie</v>
      </c>
      <c r="F371" s="43" t="s">
        <v>812</v>
      </c>
      <c r="G371" s="33" t="str">
        <f>CONCATENATE(uitkomst_doelgroep[[#This Row],[Digitale zorgtoepassing]],"_",uitkomst_doelgroep[[#This Row],[Doelgroep]],"_",uitkomst_doelgroep[[#This Row],[Uitgangssituatie/effect beleid]])</f>
        <v>Leefstijlmonitoring_Cognitieve beperking_Effect beleid</v>
      </c>
      <c r="H371" s="33">
        <v>2032</v>
      </c>
      <c r="I371" s="32">
        <v>10</v>
      </c>
      <c r="J371" s="406" cm="1">
        <f t="array" ref="J371">INDEX(implementatie[[2023]:[2034]],MATCH(G371, implementatie[Zoeksleutel],0),I371)</f>
        <v>0.37155887512870744</v>
      </c>
      <c r="K371" s="406" cm="1">
        <f t="array" ref="K371">INDEX(implementatie[[2023]:[2034]],MATCH(G371,implementatie[Zoeksleutel],0),I371 + 1)</f>
        <v>0.47752884860285211</v>
      </c>
      <c r="L37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1190.4478836733692</v>
      </c>
      <c r="M371" s="398" cm="1">
        <f t="array" ref="M371">J371*INDEX(Berekening_impact[Totaal arbeidsbesparing (€/jaar)],MATCH(B371,IF(Berekening_impact[Doelgroep]=C371,Berekening_impact[Digitale zorgtoepassing]),0))</f>
        <v>4106351.5510153887</v>
      </c>
      <c r="N371" s="397" cm="1">
        <f t="array" ref="N371">J371*INDEX(Berekening_impact[Totaal arbeidsbesparing (FTE/jaar)],MATCH(B371,IF(Berekening_impact[Doelgroep]=C371,Berekening_impact[Digitale zorgtoepassing]),0))</f>
        <v>96.724464909332482</v>
      </c>
      <c r="O371" s="398" cm="1">
        <f t="array" ref="O371">J371*INDEX(Berekening_impact[Overige kostenbesparing (totaal/jaar totaal potentieel)],MATCH(B371,IF(Berekening_impact[Doelgroep]=C371,Berekening_impact[Digitale zorgtoepassing]),0))</f>
        <v>564860.71824367833</v>
      </c>
      <c r="P371" s="398" cm="1">
        <f t="array" ref="P371">J371*INDEX(Berekening_impact[Opbrengsten door QALY''s],MATCH(B371,IF(Berekening_impact[Doelgroep]=C371,Berekening_impact[Digitale zorgtoepassing]),0))</f>
        <v>0</v>
      </c>
      <c r="Q371" s="398" cm="1">
        <f t="array" ref="Q371">J371*INDEX(Berekening_impact[Jaarlijkse kosten (totaal) - incl. schatting],MATCH(B371,IF(Berekening_impact[Doelgroep]=C371,Berekening_impact[Digitale zorgtoepassing]),0))</f>
        <v>2235661.1255385876</v>
      </c>
      <c r="R371" s="398" cm="1">
        <f t="array" ref="R371">(uitkomst_doelgroep[[#This Row],[Implementatiegraad t = T + 1]]-uitkomst_doelgroep[[#This Row],[Implementatiegraad t = T]])*INDEX(Berekening_impact[Initiële investering (totaal) - incl. schatting],MATCH(B371,IF(Berekening_impact[Doelgroep]=C371,Berekening_impact[Digitale zorgtoepassing]),0))</f>
        <v>0</v>
      </c>
      <c r="S371" s="398">
        <f>uitkomst_doelgroep[[#This Row],[Arbeidsbesparing (€)]]*uitkomst_doelgroep[[#This Row],[Percentage van patiëntaantallen in Wlz (overige is Zvw)]]</f>
        <v>1847858.197956925</v>
      </c>
      <c r="T371" s="398">
        <f>uitkomst_doelgroep[[#This Row],[Overige besparingen (€)]]*uitkomst_doelgroep[[#This Row],[Percentage van patiëntaantallen in Wlz (overige is Zvw)]]</f>
        <v>254187.32320965527</v>
      </c>
      <c r="U371" s="398">
        <f>uitkomst_doelgroep[[#This Row],[Kosten (€)]]*uitkomst_doelgroep[[#This Row],[Percentage van patiëntaantallen in Wlz (overige is Zvw)]]</f>
        <v>1006047.5064923645</v>
      </c>
      <c r="V371" s="398">
        <f>uitkomst_doelgroep[[#This Row],[Investering (cash flow) (€)]]*uitkomst_doelgroep[[#This Row],[Percentage van patiëntaantallen in Wlz (overige is Zvw)]]</f>
        <v>0</v>
      </c>
    </row>
    <row r="372" spans="1:22" x14ac:dyDescent="0.5">
      <c r="A372" s="33" t="str">
        <f>INDEX(Technologieën[Veld],MATCH(B372,Technologieën[Digitale zorgtoepassing],0))</f>
        <v>Sensoren - Verpleging</v>
      </c>
      <c r="B372" s="33" t="s">
        <v>36</v>
      </c>
      <c r="C372" s="33" t="s">
        <v>40</v>
      </c>
      <c r="D372" s="427" cm="1">
        <f t="array" ref="D372">INDEX(Berekening_patiëntaantal[Percentage van patiëntaantallen in Wlz (overige is Zvw)],MATCH(B372,IF(Berekening_patiëntaantal[Doelgroep (zoeksleutel)]=C372,Berekening_patiëntaantal[Digitale zorgtoepassing]),0))</f>
        <v>0.45</v>
      </c>
      <c r="E372" s="33" t="str" cm="1">
        <f t="array" ref="E372">INDEX(Berekening_patiëntaantal[Direct toepasbaar/extrapolatie/incidentie voor QALY],MATCH(B372,IF(Berekening_patiëntaantal[Doelgroep (zoeksleutel)]=C372,Berekening_patiëntaantal[Digitale zorgtoepassing]),0))</f>
        <v>Extrapolatie</v>
      </c>
      <c r="F372" s="43" t="s">
        <v>812</v>
      </c>
      <c r="G372" s="33" t="str">
        <f>CONCATENATE(uitkomst_doelgroep[[#This Row],[Digitale zorgtoepassing]],"_",uitkomst_doelgroep[[#This Row],[Doelgroep]],"_",uitkomst_doelgroep[[#This Row],[Uitgangssituatie/effect beleid]])</f>
        <v>Leefstijlmonitoring_Kwetsbare ouderen_Effect beleid</v>
      </c>
      <c r="H372" s="33">
        <v>2032</v>
      </c>
      <c r="I372" s="32">
        <v>10</v>
      </c>
      <c r="J372" s="406" cm="1">
        <f t="array" ref="J372">INDEX(implementatie[[2023]:[2034]],MATCH(G372, implementatie[Zoeksleutel],0),I372)</f>
        <v>0.37155887512870744</v>
      </c>
      <c r="K372" s="406" cm="1">
        <f t="array" ref="K372">INDEX(implementatie[[2023]:[2034]],MATCH(G372,implementatie[Zoeksleutel],0),I372 + 1)</f>
        <v>0.47752884860285211</v>
      </c>
      <c r="L37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7628.5681549862757</v>
      </c>
      <c r="M372" s="398" cm="1">
        <f t="array" ref="M372">J372*INDEX(Berekening_impact[Totaal arbeidsbesparing (€/jaar)],MATCH(B372,IF(Berekening_impact[Doelgroep]=C372,Berekening_impact[Digitale zorgtoepassing]),0))</f>
        <v>26314115.136727389</v>
      </c>
      <c r="N372" s="397" cm="1">
        <f t="array" ref="N372">J372*INDEX(Berekening_impact[Totaal arbeidsbesparing (FTE/jaar)],MATCH(B372,IF(Berekening_impact[Doelgroep]=C372,Berekening_impact[Digitale zorgtoepassing]),0))</f>
        <v>619.82484318303432</v>
      </c>
      <c r="O372" s="398" cm="1">
        <f t="array" ref="O372">J372*INDEX(Berekening_impact[Overige kostenbesparing (totaal/jaar totaal potentieel)],MATCH(B372,IF(Berekening_impact[Doelgroep]=C372,Berekening_impact[Digitale zorgtoepassing]),0))</f>
        <v>3619711.9977229591</v>
      </c>
      <c r="P372" s="398" cm="1">
        <f t="array" ref="P372">J372*INDEX(Berekening_impact[Opbrengsten door QALY''s],MATCH(B372,IF(Berekening_impact[Doelgroep]=C372,Berekening_impact[Digitale zorgtoepassing]),0))</f>
        <v>0</v>
      </c>
      <c r="Q372" s="398" cm="1">
        <f t="array" ref="Q372">J372*INDEX(Berekening_impact[Jaarlijkse kosten (totaal) - incl. schatting],MATCH(B372,IF(Berekening_impact[Doelgroep]=C372,Berekening_impact[Digitale zorgtoepassing]),0))</f>
        <v>14326450.995064227</v>
      </c>
      <c r="R372" s="398" cm="1">
        <f t="array" ref="R372">(uitkomst_doelgroep[[#This Row],[Implementatiegraad t = T + 1]]-uitkomst_doelgroep[[#This Row],[Implementatiegraad t = T]])*INDEX(Berekening_impact[Initiële investering (totaal) - incl. schatting],MATCH(B372,IF(Berekening_impact[Doelgroep]=C372,Berekening_impact[Digitale zorgtoepassing]),0))</f>
        <v>0</v>
      </c>
      <c r="S372" s="398">
        <f>uitkomst_doelgroep[[#This Row],[Arbeidsbesparing (€)]]*uitkomst_doelgroep[[#This Row],[Percentage van patiëntaantallen in Wlz (overige is Zvw)]]</f>
        <v>11841351.811527325</v>
      </c>
      <c r="T372" s="398">
        <f>uitkomst_doelgroep[[#This Row],[Overige besparingen (€)]]*uitkomst_doelgroep[[#This Row],[Percentage van patiëntaantallen in Wlz (overige is Zvw)]]</f>
        <v>1628870.3989753316</v>
      </c>
      <c r="U372" s="398">
        <f>uitkomst_doelgroep[[#This Row],[Kosten (€)]]*uitkomst_doelgroep[[#This Row],[Percentage van patiëntaantallen in Wlz (overige is Zvw)]]</f>
        <v>6446902.947778902</v>
      </c>
      <c r="V372" s="398">
        <f>uitkomst_doelgroep[[#This Row],[Investering (cash flow) (€)]]*uitkomst_doelgroep[[#This Row],[Percentage van patiëntaantallen in Wlz (overige is Zvw)]]</f>
        <v>0</v>
      </c>
    </row>
    <row r="373" spans="1:22" x14ac:dyDescent="0.5">
      <c r="A373" s="33" t="str">
        <f>INDEX(Technologieën[Veld],MATCH(B373,Technologieën[Digitale zorgtoepassing],0))</f>
        <v>Sensoren - Verpleging</v>
      </c>
      <c r="B373" s="33" t="s">
        <v>36</v>
      </c>
      <c r="C373" s="33" t="s">
        <v>27</v>
      </c>
      <c r="D373" s="427" cm="1">
        <f t="array" ref="D373">INDEX(Berekening_patiëntaantal[Percentage van patiëntaantallen in Wlz (overige is Zvw)],MATCH(B373,IF(Berekening_patiëntaantal[Doelgroep (zoeksleutel)]=C373,Berekening_patiëntaantal[Digitale zorgtoepassing]),0))</f>
        <v>0.45</v>
      </c>
      <c r="E373" s="33" t="str" cm="1">
        <f t="array" ref="E373">INDEX(Berekening_patiëntaantal[Direct toepasbaar/extrapolatie/incidentie voor QALY],MATCH(B373,IF(Berekening_patiëntaantal[Doelgroep (zoeksleutel)]=C373,Berekening_patiëntaantal[Digitale zorgtoepassing]),0))</f>
        <v>Extrapolatie</v>
      </c>
      <c r="F373" s="43" t="s">
        <v>812</v>
      </c>
      <c r="G373" s="33" t="str">
        <f>CONCATENATE(uitkomst_doelgroep[[#This Row],[Digitale zorgtoepassing]],"_",uitkomst_doelgroep[[#This Row],[Doelgroep]],"_",uitkomst_doelgroep[[#This Row],[Uitgangssituatie/effect beleid]])</f>
        <v>Leefstijlmonitoring_Parkinson_Effect beleid</v>
      </c>
      <c r="H373" s="33">
        <v>2032</v>
      </c>
      <c r="I373" s="32">
        <v>10</v>
      </c>
      <c r="J373" s="406" cm="1">
        <f t="array" ref="J373">INDEX(implementatie[[2023]:[2034]],MATCH(G373, implementatie[Zoeksleutel],0),I373)</f>
        <v>0.37155887512870744</v>
      </c>
      <c r="K373" s="406" cm="1">
        <f t="array" ref="K373">INDEX(implementatie[[2023]:[2034]],MATCH(G373,implementatie[Zoeksleutel],0),I373 + 1)</f>
        <v>0.47752884860285211</v>
      </c>
      <c r="L37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3537.9836089755518</v>
      </c>
      <c r="M373" s="398" cm="1">
        <f t="array" ref="M373">J373*INDEX(Berekening_impact[Totaal arbeidsbesparing (€/jaar)],MATCH(B373,IF(Berekening_impact[Doelgroep]=C373,Berekening_impact[Digitale zorgtoepassing]),0))</f>
        <v>12203981.94615126</v>
      </c>
      <c r="N373" s="397" cm="1">
        <f t="array" ref="N373">J373*INDEX(Berekening_impact[Totaal arbeidsbesparing (FTE/jaar)],MATCH(B373,IF(Berekening_impact[Doelgroep]=C373,Berekening_impact[Digitale zorgtoepassing]),0))</f>
        <v>287.46287521650413</v>
      </c>
      <c r="O373" s="398" cm="1">
        <f t="array" ref="O373">J373*INDEX(Berekening_impact[Overige kostenbesparing (totaal/jaar totaal potentieel)],MATCH(B373,IF(Berekening_impact[Doelgroep]=C373,Berekening_impact[Digitale zorgtoepassing]),0))</f>
        <v>1678753.005409705</v>
      </c>
      <c r="P373" s="398" cm="1">
        <f t="array" ref="P373">J373*INDEX(Berekening_impact[Opbrengsten door QALY''s],MATCH(B373,IF(Berekening_impact[Doelgroep]=C373,Berekening_impact[Digitale zorgtoepassing]),0))</f>
        <v>0</v>
      </c>
      <c r="Q373" s="398" cm="1">
        <f t="array" ref="Q373">J373*INDEX(Berekening_impact[Jaarlijkse kosten (totaal) - incl. schatting],MATCH(B373,IF(Berekening_impact[Doelgroep]=C373,Berekening_impact[Digitale zorgtoepassing]),0))</f>
        <v>6644333.2176560862</v>
      </c>
      <c r="R373" s="398" cm="1">
        <f t="array" ref="R373">(uitkomst_doelgroep[[#This Row],[Implementatiegraad t = T + 1]]-uitkomst_doelgroep[[#This Row],[Implementatiegraad t = T]])*INDEX(Berekening_impact[Initiële investering (totaal) - incl. schatting],MATCH(B373,IF(Berekening_impact[Doelgroep]=C373,Berekening_impact[Digitale zorgtoepassing]),0))</f>
        <v>0</v>
      </c>
      <c r="S373" s="398">
        <f>uitkomst_doelgroep[[#This Row],[Arbeidsbesparing (€)]]*uitkomst_doelgroep[[#This Row],[Percentage van patiëntaantallen in Wlz (overige is Zvw)]]</f>
        <v>5491791.8757680673</v>
      </c>
      <c r="T373" s="398">
        <f>uitkomst_doelgroep[[#This Row],[Overige besparingen (€)]]*uitkomst_doelgroep[[#This Row],[Percentage van patiëntaantallen in Wlz (overige is Zvw)]]</f>
        <v>755438.85243436729</v>
      </c>
      <c r="U373" s="398">
        <f>uitkomst_doelgroep[[#This Row],[Kosten (€)]]*uitkomst_doelgroep[[#This Row],[Percentage van patiëntaantallen in Wlz (overige is Zvw)]]</f>
        <v>2989949.947945239</v>
      </c>
      <c r="V373" s="398">
        <f>uitkomst_doelgroep[[#This Row],[Investering (cash flow) (€)]]*uitkomst_doelgroep[[#This Row],[Percentage van patiëntaantallen in Wlz (overige is Zvw)]]</f>
        <v>0</v>
      </c>
    </row>
    <row r="374" spans="1:22" x14ac:dyDescent="0.5">
      <c r="A374" s="33" t="str">
        <f>INDEX(Technologieën[Veld],MATCH(B374,Technologieën[Digitale zorgtoepassing],0))</f>
        <v>Sensoren - Verpleging</v>
      </c>
      <c r="B374" s="33" t="s">
        <v>36</v>
      </c>
      <c r="C374" s="33" t="s">
        <v>20</v>
      </c>
      <c r="D374" s="427" cm="1">
        <f t="array" ref="D374">INDEX(Berekening_patiëntaantal[Percentage van patiëntaantallen in Wlz (overige is Zvw)],MATCH(B374,IF(Berekening_patiëntaantal[Doelgroep (zoeksleutel)]=C374,Berekening_patiëntaantal[Digitale zorgtoepassing]),0))</f>
        <v>0</v>
      </c>
      <c r="E374" s="33" t="str" cm="1">
        <f t="array" ref="E374">INDEX(Berekening_patiëntaantal[Direct toepasbaar/extrapolatie/incidentie voor QALY],MATCH(B374,IF(Berekening_patiëntaantal[Doelgroep (zoeksleutel)]=C374,Berekening_patiëntaantal[Digitale zorgtoepassing]),0))</f>
        <v>Huidige toepassing</v>
      </c>
      <c r="F374" s="43" t="s">
        <v>812</v>
      </c>
      <c r="G374" s="33" t="str">
        <f>CONCATENATE(uitkomst_doelgroep[[#This Row],[Digitale zorgtoepassing]],"_",uitkomst_doelgroep[[#This Row],[Doelgroep]],"_",uitkomst_doelgroep[[#This Row],[Uitgangssituatie/effect beleid]])</f>
        <v>Leefstijlmonitoring_Dementie_Effect beleid</v>
      </c>
      <c r="H374" s="33">
        <v>2032</v>
      </c>
      <c r="I374" s="32">
        <v>10</v>
      </c>
      <c r="J374" s="406" cm="1">
        <f t="array" ref="J374">INDEX(implementatie[[2023]:[2034]],MATCH(G374, implementatie[Zoeksleutel],0),I374)</f>
        <v>0.94442316592887321</v>
      </c>
      <c r="K374" s="406" cm="1">
        <f t="array" ref="K374">INDEX(implementatie[[2023]:[2034]],MATCH(G374,implementatie[Zoeksleutel],0),I374 + 1)</f>
        <v>0.96652992244459857</v>
      </c>
      <c r="L37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31226.738106380337</v>
      </c>
      <c r="M374" s="398" cm="1">
        <f t="array" ref="M374">J374*INDEX(Berekening_impact[Totaal arbeidsbesparing (€/jaar)],MATCH(B374,IF(Berekening_impact[Doelgroep]=C374,Berekening_impact[Digitale zorgtoepassing]),0))</f>
        <v>107714051.33722673</v>
      </c>
      <c r="N374" s="397" cm="1">
        <f t="array" ref="N374">J374*INDEX(Berekening_impact[Totaal arbeidsbesparing (FTE/jaar)],MATCH(B374,IF(Berekening_impact[Doelgroep]=C374,Berekening_impact[Digitale zorgtoepassing]),0))</f>
        <v>2537.1875372515033</v>
      </c>
      <c r="O374" s="398" cm="1">
        <f t="array" ref="O374">J374*INDEX(Berekening_impact[Overige kostenbesparing (totaal/jaar totaal potentieel)],MATCH(B374,IF(Berekening_impact[Doelgroep]=C374,Berekening_impact[Digitale zorgtoepassing]),0))</f>
        <v>14816908.792974003</v>
      </c>
      <c r="P374" s="398" cm="1">
        <f t="array" ref="P374">J374*INDEX(Berekening_impact[Opbrengsten door QALY''s],MATCH(B374,IF(Berekening_impact[Doelgroep]=C374,Berekening_impact[Digitale zorgtoepassing]),0))</f>
        <v>0</v>
      </c>
      <c r="Q374" s="398" cm="1">
        <f t="array" ref="Q374">J374*INDEX(Berekening_impact[Jaarlijkse kosten (totaal) - incl. schatting],MATCH(B374,IF(Berekening_impact[Doelgroep]=C374,Berekening_impact[Digitale zorgtoepassing]),0))</f>
        <v>58643814.163782276</v>
      </c>
      <c r="R374" s="398" cm="1">
        <f t="array" ref="R374">(uitkomst_doelgroep[[#This Row],[Implementatiegraad t = T + 1]]-uitkomst_doelgroep[[#This Row],[Implementatiegraad t = T]])*INDEX(Berekening_impact[Initiële investering (totaal) - incl. schatting],MATCH(B374,IF(Berekening_impact[Doelgroep]=C374,Berekening_impact[Digitale zorgtoepassing]),0))</f>
        <v>0</v>
      </c>
      <c r="S374" s="398">
        <f>uitkomst_doelgroep[[#This Row],[Arbeidsbesparing (€)]]*uitkomst_doelgroep[[#This Row],[Percentage van patiëntaantallen in Wlz (overige is Zvw)]]</f>
        <v>0</v>
      </c>
      <c r="T374" s="398">
        <f>uitkomst_doelgroep[[#This Row],[Overige besparingen (€)]]*uitkomst_doelgroep[[#This Row],[Percentage van patiëntaantallen in Wlz (overige is Zvw)]]</f>
        <v>0</v>
      </c>
      <c r="U374" s="398">
        <f>uitkomst_doelgroep[[#This Row],[Kosten (€)]]*uitkomst_doelgroep[[#This Row],[Percentage van patiëntaantallen in Wlz (overige is Zvw)]]</f>
        <v>0</v>
      </c>
      <c r="V374" s="398">
        <f>uitkomst_doelgroep[[#This Row],[Investering (cash flow) (€)]]*uitkomst_doelgroep[[#This Row],[Percentage van patiëntaantallen in Wlz (overige is Zvw)]]</f>
        <v>0</v>
      </c>
    </row>
    <row r="375" spans="1:22" x14ac:dyDescent="0.5">
      <c r="A375" s="33" t="str">
        <f>INDEX(Technologieën[Veld],MATCH(B375,Technologieën[Digitale zorgtoepassing],0))</f>
        <v>Sensoren - Verpleging</v>
      </c>
      <c r="B375" s="33" t="s">
        <v>36</v>
      </c>
      <c r="C375" s="33" t="s">
        <v>24</v>
      </c>
      <c r="D375" s="427" cm="1">
        <f t="array" ref="D375">INDEX(Berekening_patiëntaantal[Percentage van patiëntaantallen in Wlz (overige is Zvw)],MATCH(B375,IF(Berekening_patiëntaantal[Doelgroep (zoeksleutel)]=C375,Berekening_patiëntaantal[Digitale zorgtoepassing]),0))</f>
        <v>0.45</v>
      </c>
      <c r="E375" s="33" t="str" cm="1">
        <f t="array" ref="E375">INDEX(Berekening_patiëntaantal[Direct toepasbaar/extrapolatie/incidentie voor QALY],MATCH(B375,IF(Berekening_patiëntaantal[Doelgroep (zoeksleutel)]=C375,Berekening_patiëntaantal[Digitale zorgtoepassing]),0))</f>
        <v>Extrapolatie</v>
      </c>
      <c r="F375" s="43" t="s">
        <v>812</v>
      </c>
      <c r="G375" s="33" t="str">
        <f>CONCATENATE(uitkomst_doelgroep[[#This Row],[Digitale zorgtoepassing]],"_",uitkomst_doelgroep[[#This Row],[Doelgroep]],"_",uitkomst_doelgroep[[#This Row],[Uitgangssituatie/effect beleid]])</f>
        <v>Leefstijlmonitoring_Cognitieve beperking_Effect beleid</v>
      </c>
      <c r="H375" s="33">
        <v>2033</v>
      </c>
      <c r="I375" s="32">
        <v>11</v>
      </c>
      <c r="J375" s="406" cm="1">
        <f t="array" ref="J375">INDEX(implementatie[[2023]:[2034]],MATCH(G375, implementatie[Zoeksleutel],0),I375)</f>
        <v>0.47752884860285211</v>
      </c>
      <c r="K375" s="406" cm="1">
        <f t="array" ref="K375">INDEX(implementatie[[2023]:[2034]],MATCH(G375,implementatie[Zoeksleutel],0),I375 + 1)</f>
        <v>0.5877762905727496</v>
      </c>
      <c r="L37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1529.9680488464387</v>
      </c>
      <c r="M375" s="398" cm="1">
        <f t="array" ref="M375">J375*INDEX(Berekening_impact[Totaal arbeidsbesparing (€/jaar)],MATCH(B375,IF(Berekening_impact[Doelgroep]=C375,Berekening_impact[Digitale zorgtoepassing]),0))</f>
        <v>5277498.2899699574</v>
      </c>
      <c r="N375" s="397" cm="1">
        <f t="array" ref="N375">J375*INDEX(Berekening_impact[Totaal arbeidsbesparing (FTE/jaar)],MATCH(B375,IF(Berekening_impact[Doelgroep]=C375,Berekening_impact[Digitale zorgtoepassing]),0))</f>
        <v>124.3106421395016</v>
      </c>
      <c r="O375" s="398" cm="1">
        <f t="array" ref="O375">J375*INDEX(Berekening_impact[Overige kostenbesparing (totaal/jaar totaal potentieel)],MATCH(B375,IF(Berekening_impact[Doelgroep]=C375,Berekening_impact[Digitale zorgtoepassing]),0))</f>
        <v>725961.09650307021</v>
      </c>
      <c r="P375" s="398" cm="1">
        <f t="array" ref="P375">J375*INDEX(Berekening_impact[Opbrengsten door QALY''s],MATCH(B375,IF(Berekening_impact[Doelgroep]=C375,Berekening_impact[Digitale zorgtoepassing]),0))</f>
        <v>0</v>
      </c>
      <c r="Q375" s="398" cm="1">
        <f t="array" ref="Q375">J375*INDEX(Berekening_impact[Jaarlijkse kosten (totaal) - incl. schatting],MATCH(B375,IF(Berekening_impact[Doelgroep]=C375,Berekening_impact[Digitale zorgtoepassing]),0))</f>
        <v>2873279.9957336118</v>
      </c>
      <c r="R375" s="398" cm="1">
        <f t="array" ref="R375">(uitkomst_doelgroep[[#This Row],[Implementatiegraad t = T + 1]]-uitkomst_doelgroep[[#This Row],[Implementatiegraad t = T]])*INDEX(Berekening_impact[Initiële investering (totaal) - incl. schatting],MATCH(B375,IF(Berekening_impact[Doelgroep]=C375,Berekening_impact[Digitale zorgtoepassing]),0))</f>
        <v>0</v>
      </c>
      <c r="S375" s="398">
        <f>uitkomst_doelgroep[[#This Row],[Arbeidsbesparing (€)]]*uitkomst_doelgroep[[#This Row],[Percentage van patiëntaantallen in Wlz (overige is Zvw)]]</f>
        <v>2374874.230486481</v>
      </c>
      <c r="T375" s="398">
        <f>uitkomst_doelgroep[[#This Row],[Overige besparingen (€)]]*uitkomst_doelgroep[[#This Row],[Percentage van patiëntaantallen in Wlz (overige is Zvw)]]</f>
        <v>326682.49342638161</v>
      </c>
      <c r="U375" s="398">
        <f>uitkomst_doelgroep[[#This Row],[Kosten (€)]]*uitkomst_doelgroep[[#This Row],[Percentage van patiëntaantallen in Wlz (overige is Zvw)]]</f>
        <v>1292975.9980801253</v>
      </c>
      <c r="V375" s="398">
        <f>uitkomst_doelgroep[[#This Row],[Investering (cash flow) (€)]]*uitkomst_doelgroep[[#This Row],[Percentage van patiëntaantallen in Wlz (overige is Zvw)]]</f>
        <v>0</v>
      </c>
    </row>
    <row r="376" spans="1:22" x14ac:dyDescent="0.5">
      <c r="A376" s="33" t="str">
        <f>INDEX(Technologieën[Veld],MATCH(B376,Technologieën[Digitale zorgtoepassing],0))</f>
        <v>Sensoren - Verpleging</v>
      </c>
      <c r="B376" s="33" t="s">
        <v>36</v>
      </c>
      <c r="C376" s="33" t="s">
        <v>40</v>
      </c>
      <c r="D376" s="427" cm="1">
        <f t="array" ref="D376">INDEX(Berekening_patiëntaantal[Percentage van patiëntaantallen in Wlz (overige is Zvw)],MATCH(B376,IF(Berekening_patiëntaantal[Doelgroep (zoeksleutel)]=C376,Berekening_patiëntaantal[Digitale zorgtoepassing]),0))</f>
        <v>0.45</v>
      </c>
      <c r="E376" s="33" t="str" cm="1">
        <f t="array" ref="E376">INDEX(Berekening_patiëntaantal[Direct toepasbaar/extrapolatie/incidentie voor QALY],MATCH(B376,IF(Berekening_patiëntaantal[Doelgroep (zoeksleutel)]=C376,Berekening_patiëntaantal[Digitale zorgtoepassing]),0))</f>
        <v>Extrapolatie</v>
      </c>
      <c r="F376" s="43" t="s">
        <v>812</v>
      </c>
      <c r="G376" s="33" t="str">
        <f>CONCATENATE(uitkomst_doelgroep[[#This Row],[Digitale zorgtoepassing]],"_",uitkomst_doelgroep[[#This Row],[Doelgroep]],"_",uitkomst_doelgroep[[#This Row],[Uitgangssituatie/effect beleid]])</f>
        <v>Leefstijlmonitoring_Kwetsbare ouderen_Effect beleid</v>
      </c>
      <c r="H376" s="33">
        <v>2033</v>
      </c>
      <c r="I376" s="32">
        <v>11</v>
      </c>
      <c r="J376" s="406" cm="1">
        <f t="array" ref="J376">INDEX(implementatie[[2023]:[2034]],MATCH(G376, implementatie[Zoeksleutel],0),I376)</f>
        <v>0.47752884860285211</v>
      </c>
      <c r="K376" s="406" cm="1">
        <f t="array" ref="K376">INDEX(implementatie[[2023]:[2034]],MATCH(G376,implementatie[Zoeksleutel],0),I376 + 1)</f>
        <v>0.5877762905727496</v>
      </c>
      <c r="L37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9804.2641728773087</v>
      </c>
      <c r="M376" s="398" cm="1">
        <f t="array" ref="M376">J376*INDEX(Berekening_impact[Totaal arbeidsbesparing (€/jaar)],MATCH(B376,IF(Berekening_impact[Doelgroep]=C376,Berekening_impact[Digitale zorgtoepassing]),0))</f>
        <v>33818998.668492459</v>
      </c>
      <c r="N376" s="397" cm="1">
        <f t="array" ref="N376">J376*INDEX(Berekening_impact[Totaal arbeidsbesparing (FTE/jaar)],MATCH(B376,IF(Berekening_impact[Doelgroep]=C376,Berekening_impact[Digitale zorgtoepassing]),0))</f>
        <v>796.60119435475531</v>
      </c>
      <c r="O376" s="398" cm="1">
        <f t="array" ref="O376">J376*INDEX(Berekening_impact[Overige kostenbesparing (totaal/jaar totaal potentieel)],MATCH(B376,IF(Berekening_impact[Doelgroep]=C376,Berekening_impact[Digitale zorgtoepassing]),0))</f>
        <v>4652067.3256635806</v>
      </c>
      <c r="P376" s="398" cm="1">
        <f t="array" ref="P376">J376*INDEX(Berekening_impact[Opbrengsten door QALY''s],MATCH(B376,IF(Berekening_impact[Doelgroep]=C376,Berekening_impact[Digitale zorgtoepassing]),0))</f>
        <v>0</v>
      </c>
      <c r="Q376" s="398" cm="1">
        <f t="array" ref="Q376">J376*INDEX(Berekening_impact[Jaarlijkse kosten (totaal) - incl. schatting],MATCH(B376,IF(Berekening_impact[Doelgroep]=C376,Berekening_impact[Digitale zorgtoepassing]),0))</f>
        <v>18412408.116663586</v>
      </c>
      <c r="R376" s="398" cm="1">
        <f t="array" ref="R376">(uitkomst_doelgroep[[#This Row],[Implementatiegraad t = T + 1]]-uitkomst_doelgroep[[#This Row],[Implementatiegraad t = T]])*INDEX(Berekening_impact[Initiële investering (totaal) - incl. schatting],MATCH(B376,IF(Berekening_impact[Doelgroep]=C376,Berekening_impact[Digitale zorgtoepassing]),0))</f>
        <v>0</v>
      </c>
      <c r="S376" s="398">
        <f>uitkomst_doelgroep[[#This Row],[Arbeidsbesparing (€)]]*uitkomst_doelgroep[[#This Row],[Percentage van patiëntaantallen in Wlz (overige is Zvw)]]</f>
        <v>15218549.400821608</v>
      </c>
      <c r="T376" s="398">
        <f>uitkomst_doelgroep[[#This Row],[Overige besparingen (€)]]*uitkomst_doelgroep[[#This Row],[Percentage van patiëntaantallen in Wlz (overige is Zvw)]]</f>
        <v>2093430.2965486113</v>
      </c>
      <c r="U376" s="398">
        <f>uitkomst_doelgroep[[#This Row],[Kosten (€)]]*uitkomst_doelgroep[[#This Row],[Percentage van patiëntaantallen in Wlz (overige is Zvw)]]</f>
        <v>8285583.652498614</v>
      </c>
      <c r="V376" s="398">
        <f>uitkomst_doelgroep[[#This Row],[Investering (cash flow) (€)]]*uitkomst_doelgroep[[#This Row],[Percentage van patiëntaantallen in Wlz (overige is Zvw)]]</f>
        <v>0</v>
      </c>
    </row>
    <row r="377" spans="1:22" x14ac:dyDescent="0.5">
      <c r="A377" s="33" t="str">
        <f>INDEX(Technologieën[Veld],MATCH(B377,Technologieën[Digitale zorgtoepassing],0))</f>
        <v>Sensoren - Verpleging</v>
      </c>
      <c r="B377" s="33" t="s">
        <v>36</v>
      </c>
      <c r="C377" s="33" t="s">
        <v>27</v>
      </c>
      <c r="D377" s="427" cm="1">
        <f t="array" ref="D377">INDEX(Berekening_patiëntaantal[Percentage van patiëntaantallen in Wlz (overige is Zvw)],MATCH(B377,IF(Berekening_patiëntaantal[Doelgroep (zoeksleutel)]=C377,Berekening_patiëntaantal[Digitale zorgtoepassing]),0))</f>
        <v>0.45</v>
      </c>
      <c r="E377" s="33" t="str" cm="1">
        <f t="array" ref="E377">INDEX(Berekening_patiëntaantal[Direct toepasbaar/extrapolatie/incidentie voor QALY],MATCH(B377,IF(Berekening_patiëntaantal[Doelgroep (zoeksleutel)]=C377,Berekening_patiëntaantal[Digitale zorgtoepassing]),0))</f>
        <v>Extrapolatie</v>
      </c>
      <c r="F377" s="43" t="s">
        <v>812</v>
      </c>
      <c r="G377" s="33" t="str">
        <f>CONCATENATE(uitkomst_doelgroep[[#This Row],[Digitale zorgtoepassing]],"_",uitkomst_doelgroep[[#This Row],[Doelgroep]],"_",uitkomst_doelgroep[[#This Row],[Uitgangssituatie/effect beleid]])</f>
        <v>Leefstijlmonitoring_Parkinson_Effect beleid</v>
      </c>
      <c r="H377" s="33">
        <v>2033</v>
      </c>
      <c r="I377" s="32">
        <v>11</v>
      </c>
      <c r="J377" s="406" cm="1">
        <f t="array" ref="J377">INDEX(implementatie[[2023]:[2034]],MATCH(G377, implementatie[Zoeksleutel],0),I377)</f>
        <v>0.47752884860285211</v>
      </c>
      <c r="K377" s="406" cm="1">
        <f t="array" ref="K377">INDEX(implementatie[[2023]:[2034]],MATCH(G377,implementatie[Zoeksleutel],0),I377 + 1)</f>
        <v>0.5877762905727496</v>
      </c>
      <c r="L37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4547.0296963963565</v>
      </c>
      <c r="M377" s="398" cm="1">
        <f t="array" ref="M377">J377*INDEX(Berekening_impact[Totaal arbeidsbesparing (€/jaar)],MATCH(B377,IF(Berekening_impact[Doelgroep]=C377,Berekening_impact[Digitale zorgtoepassing]),0))</f>
        <v>15684602.998910686</v>
      </c>
      <c r="N377" s="397" cm="1">
        <f t="array" ref="N377">J377*INDEX(Berekening_impact[Totaal arbeidsbesparing (FTE/jaar)],MATCH(B377,IF(Berekening_impact[Doelgroep]=C377,Berekening_impact[Digitale zorgtoepassing]),0))</f>
        <v>369.44835665855601</v>
      </c>
      <c r="O377" s="398" cm="1">
        <f t="array" ref="O377">J377*INDEX(Berekening_impact[Overige kostenbesparing (totaal/jaar totaal potentieel)],MATCH(B377,IF(Berekening_impact[Doelgroep]=C377,Berekening_impact[Digitale zorgtoepassing]),0))</f>
        <v>2157539.6079132347</v>
      </c>
      <c r="P377" s="398" cm="1">
        <f t="array" ref="P377">J377*INDEX(Berekening_impact[Opbrengsten door QALY''s],MATCH(B377,IF(Berekening_impact[Doelgroep]=C377,Berekening_impact[Digitale zorgtoepassing]),0))</f>
        <v>0</v>
      </c>
      <c r="Q377" s="398" cm="1">
        <f t="array" ref="Q377">J377*INDEX(Berekening_impact[Jaarlijkse kosten (totaal) - incl. schatting],MATCH(B377,IF(Berekening_impact[Doelgroep]=C377,Berekening_impact[Digitale zorgtoepassing]),0))</f>
        <v>8539321.7698323578</v>
      </c>
      <c r="R377" s="398" cm="1">
        <f t="array" ref="R377">(uitkomst_doelgroep[[#This Row],[Implementatiegraad t = T + 1]]-uitkomst_doelgroep[[#This Row],[Implementatiegraad t = T]])*INDEX(Berekening_impact[Initiële investering (totaal) - incl. schatting],MATCH(B377,IF(Berekening_impact[Doelgroep]=C377,Berekening_impact[Digitale zorgtoepassing]),0))</f>
        <v>0</v>
      </c>
      <c r="S377" s="398">
        <f>uitkomst_doelgroep[[#This Row],[Arbeidsbesparing (€)]]*uitkomst_doelgroep[[#This Row],[Percentage van patiëntaantallen in Wlz (overige is Zvw)]]</f>
        <v>7058071.3495098092</v>
      </c>
      <c r="T377" s="398">
        <f>uitkomst_doelgroep[[#This Row],[Overige besparingen (€)]]*uitkomst_doelgroep[[#This Row],[Percentage van patiëntaantallen in Wlz (overige is Zvw)]]</f>
        <v>970892.8235609557</v>
      </c>
      <c r="U377" s="398">
        <f>uitkomst_doelgroep[[#This Row],[Kosten (€)]]*uitkomst_doelgroep[[#This Row],[Percentage van patiëntaantallen in Wlz (overige is Zvw)]]</f>
        <v>3842694.7964245612</v>
      </c>
      <c r="V377" s="398">
        <f>uitkomst_doelgroep[[#This Row],[Investering (cash flow) (€)]]*uitkomst_doelgroep[[#This Row],[Percentage van patiëntaantallen in Wlz (overige is Zvw)]]</f>
        <v>0</v>
      </c>
    </row>
    <row r="378" spans="1:22" x14ac:dyDescent="0.5">
      <c r="A378" s="33" t="str">
        <f>INDEX(Technologieën[Veld],MATCH(B378,Technologieën[Digitale zorgtoepassing],0))</f>
        <v>Sensoren - Verpleging</v>
      </c>
      <c r="B378" s="33" t="s">
        <v>36</v>
      </c>
      <c r="C378" s="33" t="s">
        <v>20</v>
      </c>
      <c r="D378" s="427" cm="1">
        <f t="array" ref="D378">INDEX(Berekening_patiëntaantal[Percentage van patiëntaantallen in Wlz (overige is Zvw)],MATCH(B378,IF(Berekening_patiëntaantal[Doelgroep (zoeksleutel)]=C378,Berekening_patiëntaantal[Digitale zorgtoepassing]),0))</f>
        <v>0</v>
      </c>
      <c r="E378" s="33" t="str" cm="1">
        <f t="array" ref="E378">INDEX(Berekening_patiëntaantal[Direct toepasbaar/extrapolatie/incidentie voor QALY],MATCH(B378,IF(Berekening_patiëntaantal[Doelgroep (zoeksleutel)]=C378,Berekening_patiëntaantal[Digitale zorgtoepassing]),0))</f>
        <v>Huidige toepassing</v>
      </c>
      <c r="F378" s="43" t="s">
        <v>812</v>
      </c>
      <c r="G378" s="33" t="str">
        <f>CONCATENATE(uitkomst_doelgroep[[#This Row],[Digitale zorgtoepassing]],"_",uitkomst_doelgroep[[#This Row],[Doelgroep]],"_",uitkomst_doelgroep[[#This Row],[Uitgangssituatie/effect beleid]])</f>
        <v>Leefstijlmonitoring_Dementie_Effect beleid</v>
      </c>
      <c r="H378" s="33">
        <v>2033</v>
      </c>
      <c r="I378" s="32">
        <v>11</v>
      </c>
      <c r="J378" s="406" cm="1">
        <f t="array" ref="J378">INDEX(implementatie[[2023]:[2034]],MATCH(G378, implementatie[Zoeksleutel],0),I378)</f>
        <v>0.96652992244459857</v>
      </c>
      <c r="K378" s="406" cm="1">
        <f t="array" ref="K378">INDEX(implementatie[[2023]:[2034]],MATCH(G378,implementatie[Zoeksleutel],0),I378 + 1)</f>
        <v>0.98013925658124135</v>
      </c>
      <c r="L37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31957.683641181062</v>
      </c>
      <c r="M378" s="398" cm="1">
        <f t="array" ref="M378">J378*INDEX(Berekening_impact[Totaal arbeidsbesparing (€/jaar)],MATCH(B378,IF(Berekening_impact[Doelgroep]=C378,Berekening_impact[Digitale zorgtoepassing]),0))</f>
        <v>110235387.52648933</v>
      </c>
      <c r="N378" s="397" cm="1">
        <f t="array" ref="N378">J378*INDEX(Berekening_impact[Totaal arbeidsbesparing (FTE/jaar)],MATCH(B378,IF(Berekening_impact[Doelgroep]=C378,Berekening_impact[Digitale zorgtoepassing]),0))</f>
        <v>2596.5772146167196</v>
      </c>
      <c r="O378" s="398" cm="1">
        <f t="array" ref="O378">J378*INDEX(Berekening_impact[Overige kostenbesparing (totaal/jaar totaal potentieel)],MATCH(B378,IF(Berekening_impact[Doelgroep]=C378,Berekening_impact[Digitale zorgtoepassing]),0))</f>
        <v>15163738.272405317</v>
      </c>
      <c r="P378" s="398" cm="1">
        <f t="array" ref="P378">J378*INDEX(Berekening_impact[Opbrengsten door QALY''s],MATCH(B378,IF(Berekening_impact[Doelgroep]=C378,Berekening_impact[Digitale zorgtoepassing]),0))</f>
        <v>0</v>
      </c>
      <c r="Q378" s="398" cm="1">
        <f t="array" ref="Q378">J378*INDEX(Berekening_impact[Jaarlijkse kosten (totaal) - incl. schatting],MATCH(B378,IF(Berekening_impact[Doelgroep]=C378,Berekening_impact[Digitale zorgtoepassing]),0))</f>
        <v>60016529.878138036</v>
      </c>
      <c r="R378" s="398" cm="1">
        <f t="array" ref="R378">(uitkomst_doelgroep[[#This Row],[Implementatiegraad t = T + 1]]-uitkomst_doelgroep[[#This Row],[Implementatiegraad t = T]])*INDEX(Berekening_impact[Initiële investering (totaal) - incl. schatting],MATCH(B378,IF(Berekening_impact[Doelgroep]=C378,Berekening_impact[Digitale zorgtoepassing]),0))</f>
        <v>0</v>
      </c>
      <c r="S378" s="398">
        <f>uitkomst_doelgroep[[#This Row],[Arbeidsbesparing (€)]]*uitkomst_doelgroep[[#This Row],[Percentage van patiëntaantallen in Wlz (overige is Zvw)]]</f>
        <v>0</v>
      </c>
      <c r="T378" s="398">
        <f>uitkomst_doelgroep[[#This Row],[Overige besparingen (€)]]*uitkomst_doelgroep[[#This Row],[Percentage van patiëntaantallen in Wlz (overige is Zvw)]]</f>
        <v>0</v>
      </c>
      <c r="U378" s="398">
        <f>uitkomst_doelgroep[[#This Row],[Kosten (€)]]*uitkomst_doelgroep[[#This Row],[Percentage van patiëntaantallen in Wlz (overige is Zvw)]]</f>
        <v>0</v>
      </c>
      <c r="V378" s="398">
        <f>uitkomst_doelgroep[[#This Row],[Investering (cash flow) (€)]]*uitkomst_doelgroep[[#This Row],[Percentage van patiëntaantallen in Wlz (overige is Zvw)]]</f>
        <v>0</v>
      </c>
    </row>
    <row r="379" spans="1:22" x14ac:dyDescent="0.5">
      <c r="A379" s="33" t="str">
        <f>INDEX(Technologieën[Veld],MATCH(B379,Technologieën[Digitale zorgtoepassing],0))</f>
        <v>Digitale hulpmiddelen - Verpleging</v>
      </c>
      <c r="B379" s="33" t="s">
        <v>26</v>
      </c>
      <c r="C379" s="33" t="s">
        <v>24</v>
      </c>
      <c r="D379" s="427" cm="1">
        <f t="array" ref="D379">INDEX(Berekening_patiëntaantal[Percentage van patiëntaantallen in Wlz (overige is Zvw)],MATCH(B379,IF(Berekening_patiëntaantal[Doelgroep (zoeksleutel)]=C379,Berekening_patiëntaantal[Digitale zorgtoepassing]),0))</f>
        <v>0.45</v>
      </c>
      <c r="E379" s="33" t="str" cm="1">
        <f t="array" ref="E379">INDEX(Berekening_patiëntaantal[Direct toepasbaar/extrapolatie/incidentie voor QALY],MATCH(B379,IF(Berekening_patiëntaantal[Doelgroep (zoeksleutel)]=C379,Berekening_patiëntaantal[Digitale zorgtoepassing]),0))</f>
        <v>Extrapolatie</v>
      </c>
      <c r="F379" s="43" t="s">
        <v>812</v>
      </c>
      <c r="G379" s="33" t="str">
        <f>CONCATENATE(uitkomst_doelgroep[[#This Row],[Digitale zorgtoepassing]],"_",uitkomst_doelgroep[[#This Row],[Doelgroep]],"_",uitkomst_doelgroep[[#This Row],[Uitgangssituatie/effect beleid]])</f>
        <v>Medicijndispenser_Cognitieve beperking_Effect beleid</v>
      </c>
      <c r="H379" s="33">
        <v>2023</v>
      </c>
      <c r="I379" s="32">
        <v>1</v>
      </c>
      <c r="J379" s="406" cm="1">
        <f t="array" ref="J379">INDEX(implementatie[[2023]:[2034]],MATCH(G379, implementatie[Zoeksleutel],0),I379)</f>
        <v>0</v>
      </c>
      <c r="K379" s="406" cm="1">
        <f t="array" ref="K379">INDEX(implementatie[[2023]:[2034]],MATCH(G379,implementatie[Zoeksleutel],0),I379 + 1)</f>
        <v>0</v>
      </c>
      <c r="L37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379" s="398" cm="1">
        <f t="array" ref="M379">J379*INDEX(Berekening_impact[Totaal arbeidsbesparing (€/jaar)],MATCH(B379,IF(Berekening_impact[Doelgroep]=C379,Berekening_impact[Digitale zorgtoepassing]),0))</f>
        <v>0</v>
      </c>
      <c r="N379" s="397" cm="1">
        <f t="array" ref="N379">J379*INDEX(Berekening_impact[Totaal arbeidsbesparing (FTE/jaar)],MATCH(B379,IF(Berekening_impact[Doelgroep]=C379,Berekening_impact[Digitale zorgtoepassing]),0))</f>
        <v>0</v>
      </c>
      <c r="O379" s="398" cm="1">
        <f t="array" ref="O379">J379*INDEX(Berekening_impact[Overige kostenbesparing (totaal/jaar totaal potentieel)],MATCH(B379,IF(Berekening_impact[Doelgroep]=C379,Berekening_impact[Digitale zorgtoepassing]),0))</f>
        <v>0</v>
      </c>
      <c r="P379" s="398" cm="1">
        <f t="array" ref="P379">J379*INDEX(Berekening_impact[Opbrengsten door QALY''s],MATCH(B379,IF(Berekening_impact[Doelgroep]=C379,Berekening_impact[Digitale zorgtoepassing]),0))</f>
        <v>0</v>
      </c>
      <c r="Q379" s="398" cm="1">
        <f t="array" ref="Q379">J379*INDEX(Berekening_impact[Jaarlijkse kosten (totaal) - incl. schatting],MATCH(B379,IF(Berekening_impact[Doelgroep]=C379,Berekening_impact[Digitale zorgtoepassing]),0))</f>
        <v>0</v>
      </c>
      <c r="R379" s="398" cm="1">
        <f t="array" ref="R379">(uitkomst_doelgroep[[#This Row],[Implementatiegraad t = T + 1]]-uitkomst_doelgroep[[#This Row],[Implementatiegraad t = T]])*INDEX(Berekening_impact[Initiële investering (totaal) - incl. schatting],MATCH(B379,IF(Berekening_impact[Doelgroep]=C379,Berekening_impact[Digitale zorgtoepassing]),0))</f>
        <v>0</v>
      </c>
      <c r="S379" s="398">
        <f>uitkomst_doelgroep[[#This Row],[Arbeidsbesparing (€)]]*uitkomst_doelgroep[[#This Row],[Percentage van patiëntaantallen in Wlz (overige is Zvw)]]</f>
        <v>0</v>
      </c>
      <c r="T379" s="398">
        <f>uitkomst_doelgroep[[#This Row],[Overige besparingen (€)]]*uitkomst_doelgroep[[#This Row],[Percentage van patiëntaantallen in Wlz (overige is Zvw)]]</f>
        <v>0</v>
      </c>
      <c r="U379" s="398">
        <f>uitkomst_doelgroep[[#This Row],[Kosten (€)]]*uitkomst_doelgroep[[#This Row],[Percentage van patiëntaantallen in Wlz (overige is Zvw)]]</f>
        <v>0</v>
      </c>
      <c r="V379" s="398">
        <f>uitkomst_doelgroep[[#This Row],[Investering (cash flow) (€)]]*uitkomst_doelgroep[[#This Row],[Percentage van patiëntaantallen in Wlz (overige is Zvw)]]</f>
        <v>0</v>
      </c>
    </row>
    <row r="380" spans="1:22" x14ac:dyDescent="0.5">
      <c r="A380" s="33" t="str">
        <f>INDEX(Technologieën[Veld],MATCH(B380,Technologieën[Digitale zorgtoepassing],0))</f>
        <v>Digitale hulpmiddelen - Verpleging</v>
      </c>
      <c r="B380" s="33" t="s">
        <v>26</v>
      </c>
      <c r="C380" s="33" t="s">
        <v>20</v>
      </c>
      <c r="D380" s="427" cm="1">
        <f t="array" ref="D380">INDEX(Berekening_patiëntaantal[Percentage van patiëntaantallen in Wlz (overige is Zvw)],MATCH(B380,IF(Berekening_patiëntaantal[Doelgroep (zoeksleutel)]=C380,Berekening_patiëntaantal[Digitale zorgtoepassing]),0))</f>
        <v>0.45</v>
      </c>
      <c r="E380" s="33" t="str" cm="1">
        <f t="array" ref="E380">INDEX(Berekening_patiëntaantal[Direct toepasbaar/extrapolatie/incidentie voor QALY],MATCH(B380,IF(Berekening_patiëntaantal[Doelgroep (zoeksleutel)]=C380,Berekening_patiëntaantal[Digitale zorgtoepassing]),0))</f>
        <v>Huidige toepassing</v>
      </c>
      <c r="F380" s="43" t="s">
        <v>812</v>
      </c>
      <c r="G380" s="33" t="str">
        <f>CONCATENATE(uitkomst_doelgroep[[#This Row],[Digitale zorgtoepassing]],"_",uitkomst_doelgroep[[#This Row],[Doelgroep]],"_",uitkomst_doelgroep[[#This Row],[Uitgangssituatie/effect beleid]])</f>
        <v>Medicijndispenser_Dementie_Effect beleid</v>
      </c>
      <c r="H380" s="33">
        <v>2023</v>
      </c>
      <c r="I380" s="32">
        <v>1</v>
      </c>
      <c r="J380" s="406" cm="1">
        <f t="array" ref="J380">INDEX(implementatie[[2023]:[2034]],MATCH(G380, implementatie[Zoeksleutel],0),I380)</f>
        <v>0.4</v>
      </c>
      <c r="K380" s="406" cm="1">
        <f t="array" ref="K380">INDEX(implementatie[[2023]:[2034]],MATCH(G380,implementatie[Zoeksleutel],0),I380 + 1)</f>
        <v>0.50800000000000001</v>
      </c>
      <c r="L38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16874.52</v>
      </c>
      <c r="M380" s="398" cm="1">
        <f t="array" ref="M380">J380*INDEX(Berekening_impact[Totaal arbeidsbesparing (€/jaar)],MATCH(B380,IF(Berekening_impact[Doelgroep]=C380,Berekening_impact[Digitale zorgtoepassing]),0))</f>
        <v>74479773.961160451</v>
      </c>
      <c r="N380" s="397" cm="1">
        <f t="array" ref="N380">J380*INDEX(Berekening_impact[Totaal arbeidsbesparing (FTE/jaar)],MATCH(B380,IF(Berekening_impact[Doelgroep]=C380,Berekening_impact[Digitale zorgtoepassing]),0))</f>
        <v>1413.1110237328767</v>
      </c>
      <c r="O380" s="398" cm="1">
        <f t="array" ref="O380">J380*INDEX(Berekening_impact[Overige kostenbesparing (totaal/jaar totaal potentieel)],MATCH(B380,IF(Berekening_impact[Doelgroep]=C380,Berekening_impact[Digitale zorgtoepassing]),0))</f>
        <v>36684067.771914847</v>
      </c>
      <c r="P380" s="398" cm="1">
        <f t="array" ref="P380">J380*INDEX(Berekening_impact[Opbrengsten door QALY''s],MATCH(B380,IF(Berekening_impact[Doelgroep]=C380,Berekening_impact[Digitale zorgtoepassing]),0))</f>
        <v>0</v>
      </c>
      <c r="Q380" s="398" cm="1">
        <f t="array" ref="Q380">J380*INDEX(Berekening_impact[Jaarlijkse kosten (totaal) - incl. schatting],MATCH(B380,IF(Berekening_impact[Doelgroep]=C380,Berekening_impact[Digitale zorgtoepassing]),0))</f>
        <v>17878272.220892441</v>
      </c>
      <c r="R380" s="398" cm="1">
        <f t="array" ref="R380">(uitkomst_doelgroep[[#This Row],[Implementatiegraad t = T + 1]]-uitkomst_doelgroep[[#This Row],[Implementatiegraad t = T]])*INDEX(Berekening_impact[Initiële investering (totaal) - incl. schatting],MATCH(B380,IF(Berekening_impact[Doelgroep]=C380,Berekening_impact[Digitale zorgtoepassing]),0))</f>
        <v>400152.69289252174</v>
      </c>
      <c r="S380" s="398">
        <f>uitkomst_doelgroep[[#This Row],[Arbeidsbesparing (€)]]*uitkomst_doelgroep[[#This Row],[Percentage van patiëntaantallen in Wlz (overige is Zvw)]]</f>
        <v>33515898.282522205</v>
      </c>
      <c r="T380" s="398">
        <f>uitkomst_doelgroep[[#This Row],[Overige besparingen (€)]]*uitkomst_doelgroep[[#This Row],[Percentage van patiëntaantallen in Wlz (overige is Zvw)]]</f>
        <v>16507830.497361682</v>
      </c>
      <c r="U380" s="398">
        <f>uitkomst_doelgroep[[#This Row],[Kosten (€)]]*uitkomst_doelgroep[[#This Row],[Percentage van patiëntaantallen in Wlz (overige is Zvw)]]</f>
        <v>8045222.4994015982</v>
      </c>
      <c r="V380" s="398">
        <f>uitkomst_doelgroep[[#This Row],[Investering (cash flow) (€)]]*uitkomst_doelgroep[[#This Row],[Percentage van patiëntaantallen in Wlz (overige is Zvw)]]</f>
        <v>180068.71180163478</v>
      </c>
    </row>
    <row r="381" spans="1:22" x14ac:dyDescent="0.5">
      <c r="A381" s="33" t="str">
        <f>INDEX(Technologieën[Veld],MATCH(B381,Technologieën[Digitale zorgtoepassing],0))</f>
        <v>Digitale hulpmiddelen - Verpleging</v>
      </c>
      <c r="B381" s="33" t="s">
        <v>26</v>
      </c>
      <c r="C381" s="33" t="s">
        <v>27</v>
      </c>
      <c r="D381" s="427" cm="1">
        <f t="array" ref="D381">INDEX(Berekening_patiëntaantal[Percentage van patiëntaantallen in Wlz (overige is Zvw)],MATCH(B381,IF(Berekening_patiëntaantal[Doelgroep (zoeksleutel)]=C381,Berekening_patiëntaantal[Digitale zorgtoepassing]),0))</f>
        <v>1</v>
      </c>
      <c r="E381" s="33" t="str" cm="1">
        <f t="array" ref="E381">INDEX(Berekening_patiëntaantal[Direct toepasbaar/extrapolatie/incidentie voor QALY],MATCH(B381,IF(Berekening_patiëntaantal[Doelgroep (zoeksleutel)]=C381,Berekening_patiëntaantal[Digitale zorgtoepassing]),0))</f>
        <v>Huidige toepassing</v>
      </c>
      <c r="F381" s="43" t="s">
        <v>812</v>
      </c>
      <c r="G381" s="33" t="str">
        <f>CONCATENATE(uitkomst_doelgroep[[#This Row],[Digitale zorgtoepassing]],"_",uitkomst_doelgroep[[#This Row],[Doelgroep]],"_",uitkomst_doelgroep[[#This Row],[Uitgangssituatie/effect beleid]])</f>
        <v>Medicijndispenser_Parkinson_Effect beleid</v>
      </c>
      <c r="H381" s="33">
        <v>2023</v>
      </c>
      <c r="I381" s="32">
        <v>1</v>
      </c>
      <c r="J381" s="406" cm="1">
        <f t="array" ref="J381">INDEX(implementatie[[2023]:[2034]],MATCH(G381, implementatie[Zoeksleutel],0),I381)</f>
        <v>0.4</v>
      </c>
      <c r="K381" s="406" cm="1">
        <f t="array" ref="K381">INDEX(implementatie[[2023]:[2034]],MATCH(G381,implementatie[Zoeksleutel],0),I381 + 1)</f>
        <v>0.50800000000000001</v>
      </c>
      <c r="L38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3935.76</v>
      </c>
      <c r="M381" s="398" cm="1">
        <f t="array" ref="M381">J381*INDEX(Berekening_impact[Totaal arbeidsbesparing (€/jaar)],MATCH(B381,IF(Berekening_impact[Doelgroep]=C381,Berekening_impact[Digitale zorgtoepassing]),0))</f>
        <v>17371428.35265103</v>
      </c>
      <c r="N381" s="397" cm="1">
        <f t="array" ref="N381">J381*INDEX(Berekening_impact[Totaal arbeidsbesparing (FTE/jaar)],MATCH(B381,IF(Berekening_impact[Doelgroep]=C381,Berekening_impact[Digitale zorgtoepassing]),0))</f>
        <v>329.58957308219181</v>
      </c>
      <c r="O381" s="398" cm="1">
        <f t="array" ref="O381">J381*INDEX(Berekening_impact[Overige kostenbesparing (totaal/jaar totaal potentieel)],MATCH(B381,IF(Berekening_impact[Doelgroep]=C381,Berekening_impact[Digitale zorgtoepassing]),0))</f>
        <v>8556076.6513057314</v>
      </c>
      <c r="P381" s="398" cm="1">
        <f t="array" ref="P381">J381*INDEX(Berekening_impact[Opbrengsten door QALY''s],MATCH(B381,IF(Berekening_impact[Doelgroep]=C381,Berekening_impact[Digitale zorgtoepassing]),0))</f>
        <v>0</v>
      </c>
      <c r="Q381" s="398" cm="1">
        <f t="array" ref="Q381">J381*INDEX(Berekening_impact[Jaarlijkse kosten (totaal) - incl. schatting],MATCH(B381,IF(Berekening_impact[Doelgroep]=C381,Berekening_impact[Digitale zorgtoepassing]),0))</f>
        <v>4173923.6586666675</v>
      </c>
      <c r="R381" s="398" cm="1">
        <f t="array" ref="R381">(uitkomst_doelgroep[[#This Row],[Implementatiegraad t = T + 1]]-uitkomst_doelgroep[[#This Row],[Implementatiegraad t = T]])*INDEX(Berekening_impact[Initiële investering (totaal) - incl. schatting],MATCH(B381,IF(Berekening_impact[Doelgroep]=C381,Berekening_impact[Digitale zorgtoepassing]),0))</f>
        <v>172239.25276799998</v>
      </c>
      <c r="S381" s="398">
        <f>uitkomst_doelgroep[[#This Row],[Arbeidsbesparing (€)]]*uitkomst_doelgroep[[#This Row],[Percentage van patiëntaantallen in Wlz (overige is Zvw)]]</f>
        <v>17371428.35265103</v>
      </c>
      <c r="T381" s="398">
        <f>uitkomst_doelgroep[[#This Row],[Overige besparingen (€)]]*uitkomst_doelgroep[[#This Row],[Percentage van patiëntaantallen in Wlz (overige is Zvw)]]</f>
        <v>8556076.6513057314</v>
      </c>
      <c r="U381" s="398">
        <f>uitkomst_doelgroep[[#This Row],[Kosten (€)]]*uitkomst_doelgroep[[#This Row],[Percentage van patiëntaantallen in Wlz (overige is Zvw)]]</f>
        <v>4173923.6586666675</v>
      </c>
      <c r="V381" s="398">
        <f>uitkomst_doelgroep[[#This Row],[Investering (cash flow) (€)]]*uitkomst_doelgroep[[#This Row],[Percentage van patiëntaantallen in Wlz (overige is Zvw)]]</f>
        <v>172239.25276799998</v>
      </c>
    </row>
    <row r="382" spans="1:22" x14ac:dyDescent="0.5">
      <c r="A382" s="33" t="str">
        <f>INDEX(Technologieën[Veld],MATCH(B382,Technologieën[Digitale zorgtoepassing],0))</f>
        <v>Digitale hulpmiddelen - Verpleging</v>
      </c>
      <c r="B382" s="33" t="s">
        <v>26</v>
      </c>
      <c r="C382" s="33" t="s">
        <v>29</v>
      </c>
      <c r="D382" s="427" cm="1">
        <f t="array" ref="D382">INDEX(Berekening_patiëntaantal[Percentage van patiëntaantallen in Wlz (overige is Zvw)],MATCH(B382,IF(Berekening_patiëntaantal[Doelgroep (zoeksleutel)]=C382,Berekening_patiëntaantal[Digitale zorgtoepassing]),0))</f>
        <v>0.70000000000000007</v>
      </c>
      <c r="E382" s="33" t="str" cm="1">
        <f t="array" ref="E382">INDEX(Berekening_patiëntaantal[Direct toepasbaar/extrapolatie/incidentie voor QALY],MATCH(B382,IF(Berekening_patiëntaantal[Doelgroep (zoeksleutel)]=C382,Berekening_patiëntaantal[Digitale zorgtoepassing]),0))</f>
        <v>Huidige toepassing</v>
      </c>
      <c r="F382" s="43" t="s">
        <v>812</v>
      </c>
      <c r="G382" s="33" t="str">
        <f>CONCATENATE(uitkomst_doelgroep[[#This Row],[Digitale zorgtoepassing]],"_",uitkomst_doelgroep[[#This Row],[Doelgroep]],"_",uitkomst_doelgroep[[#This Row],[Uitgangssituatie/effect beleid]])</f>
        <v>Medicijndispenser_Reumatische aandoening _Effect beleid</v>
      </c>
      <c r="H382" s="33">
        <v>2023</v>
      </c>
      <c r="I382" s="32">
        <v>1</v>
      </c>
      <c r="J382" s="406" cm="1">
        <f t="array" ref="J382">INDEX(implementatie[[2023]:[2034]],MATCH(G382, implementatie[Zoeksleutel],0),I382)</f>
        <v>0.4</v>
      </c>
      <c r="K382" s="406" cm="1">
        <f t="array" ref="K382">INDEX(implementatie[[2023]:[2034]],MATCH(G382,implementatie[Zoeksleutel],0),I382 + 1)</f>
        <v>0.50800000000000001</v>
      </c>
      <c r="L38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31075.200000000001</v>
      </c>
      <c r="M382" s="398" cm="1">
        <f t="array" ref="M382">J382*INDEX(Berekening_impact[Totaal arbeidsbesparing (€/jaar)],MATCH(B382,IF(Berekening_impact[Doelgroep]=C382,Berekening_impact[Digitale zorgtoepassing]),0))</f>
        <v>137157908.59816179</v>
      </c>
      <c r="N382" s="397" cm="1">
        <f t="array" ref="N382">J382*INDEX(Berekening_impact[Totaal arbeidsbesparing (FTE/jaar)],MATCH(B382,IF(Berekening_impact[Doelgroep]=C382,Berekening_impact[Digitale zorgtoepassing]),0))</f>
        <v>2602.3085506849316</v>
      </c>
      <c r="O382" s="398" cm="1">
        <f t="array" ref="O382">J382*INDEX(Berekening_impact[Overige kostenbesparing (totaal/jaar totaal potentieel)],MATCH(B382,IF(Berekening_impact[Doelgroep]=C382,Berekening_impact[Digitale zorgtoepassing]),0))</f>
        <v>67555387.817005068</v>
      </c>
      <c r="P382" s="398" cm="1">
        <f t="array" ref="P382">J382*INDEX(Berekening_impact[Opbrengsten door QALY''s],MATCH(B382,IF(Berekening_impact[Doelgroep]=C382,Berekening_impact[Digitale zorgtoepassing]),0))</f>
        <v>0</v>
      </c>
      <c r="Q382" s="398" cm="1">
        <f t="array" ref="Q382">J382*INDEX(Berekening_impact[Jaarlijkse kosten (totaal) - incl. schatting],MATCH(B382,IF(Berekening_impact[Doelgroep]=C382,Berekening_impact[Digitale zorgtoepassing]),0))</f>
        <v>32921439.141587302</v>
      </c>
      <c r="R382" s="398" cm="1">
        <f t="array" ref="R382">(uitkomst_doelgroep[[#This Row],[Implementatiegraad t = T + 1]]-uitkomst_doelgroep[[#This Row],[Implementatiegraad t = T]])*INDEX(Berekening_impact[Initiële investering (totaal) - incl. schatting],MATCH(B382,IF(Berekening_impact[Doelgroep]=C382,Berekening_impact[Digitale zorgtoepassing]),0))</f>
        <v>572066.70335999993</v>
      </c>
      <c r="S382" s="398">
        <f>uitkomst_doelgroep[[#This Row],[Arbeidsbesparing (€)]]*uitkomst_doelgroep[[#This Row],[Percentage van patiëntaantallen in Wlz (overige is Zvw)]]</f>
        <v>96010536.018713266</v>
      </c>
      <c r="T382" s="398">
        <f>uitkomst_doelgroep[[#This Row],[Overige besparingen (€)]]*uitkomst_doelgroep[[#This Row],[Percentage van patiëntaantallen in Wlz (overige is Zvw)]]</f>
        <v>47288771.471903555</v>
      </c>
      <c r="U382" s="398">
        <f>uitkomst_doelgroep[[#This Row],[Kosten (€)]]*uitkomst_doelgroep[[#This Row],[Percentage van patiëntaantallen in Wlz (overige is Zvw)]]</f>
        <v>23045007.399111114</v>
      </c>
      <c r="V382" s="398">
        <f>uitkomst_doelgroep[[#This Row],[Investering (cash flow) (€)]]*uitkomst_doelgroep[[#This Row],[Percentage van patiëntaantallen in Wlz (overige is Zvw)]]</f>
        <v>400446.69235199998</v>
      </c>
    </row>
    <row r="383" spans="1:22" x14ac:dyDescent="0.5">
      <c r="A383" s="33" t="str">
        <f>INDEX(Technologieën[Veld],MATCH(B383,Technologieën[Digitale zorgtoepassing],0))</f>
        <v>Digitale hulpmiddelen - Verpleging</v>
      </c>
      <c r="B383" s="33" t="s">
        <v>26</v>
      </c>
      <c r="C383" s="33" t="s">
        <v>24</v>
      </c>
      <c r="D383" s="427" cm="1">
        <f t="array" ref="D383">INDEX(Berekening_patiëntaantal[Percentage van patiëntaantallen in Wlz (overige is Zvw)],MATCH(B383,IF(Berekening_patiëntaantal[Doelgroep (zoeksleutel)]=C383,Berekening_patiëntaantal[Digitale zorgtoepassing]),0))</f>
        <v>0.45</v>
      </c>
      <c r="E383" s="33" t="str" cm="1">
        <f t="array" ref="E383">INDEX(Berekening_patiëntaantal[Direct toepasbaar/extrapolatie/incidentie voor QALY],MATCH(B383,IF(Berekening_patiëntaantal[Doelgroep (zoeksleutel)]=C383,Berekening_patiëntaantal[Digitale zorgtoepassing]),0))</f>
        <v>Extrapolatie</v>
      </c>
      <c r="F383" s="43" t="s">
        <v>812</v>
      </c>
      <c r="G383" s="33" t="str">
        <f>CONCATENATE(uitkomst_doelgroep[[#This Row],[Digitale zorgtoepassing]],"_",uitkomst_doelgroep[[#This Row],[Doelgroep]],"_",uitkomst_doelgroep[[#This Row],[Uitgangssituatie/effect beleid]])</f>
        <v>Medicijndispenser_Cognitieve beperking_Effect beleid</v>
      </c>
      <c r="H383" s="33">
        <v>2024</v>
      </c>
      <c r="I383" s="32">
        <v>2</v>
      </c>
      <c r="J383" s="406" cm="1">
        <f t="array" ref="J383">INDEX(implementatie[[2023]:[2034]],MATCH(G383, implementatie[Zoeksleutel],0),I383)</f>
        <v>0</v>
      </c>
      <c r="K383" s="406" cm="1">
        <f t="array" ref="K383">INDEX(implementatie[[2023]:[2034]],MATCH(G383,implementatie[Zoeksleutel],0),I383 + 1)</f>
        <v>0</v>
      </c>
      <c r="L38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383" s="398" cm="1">
        <f t="array" ref="M383">J383*INDEX(Berekening_impact[Totaal arbeidsbesparing (€/jaar)],MATCH(B383,IF(Berekening_impact[Doelgroep]=C383,Berekening_impact[Digitale zorgtoepassing]),0))</f>
        <v>0</v>
      </c>
      <c r="N383" s="397" cm="1">
        <f t="array" ref="N383">J383*INDEX(Berekening_impact[Totaal arbeidsbesparing (FTE/jaar)],MATCH(B383,IF(Berekening_impact[Doelgroep]=C383,Berekening_impact[Digitale zorgtoepassing]),0))</f>
        <v>0</v>
      </c>
      <c r="O383" s="398" cm="1">
        <f t="array" ref="O383">J383*INDEX(Berekening_impact[Overige kostenbesparing (totaal/jaar totaal potentieel)],MATCH(B383,IF(Berekening_impact[Doelgroep]=C383,Berekening_impact[Digitale zorgtoepassing]),0))</f>
        <v>0</v>
      </c>
      <c r="P383" s="398" cm="1">
        <f t="array" ref="P383">J383*INDEX(Berekening_impact[Opbrengsten door QALY''s],MATCH(B383,IF(Berekening_impact[Doelgroep]=C383,Berekening_impact[Digitale zorgtoepassing]),0))</f>
        <v>0</v>
      </c>
      <c r="Q383" s="398" cm="1">
        <f t="array" ref="Q383">J383*INDEX(Berekening_impact[Jaarlijkse kosten (totaal) - incl. schatting],MATCH(B383,IF(Berekening_impact[Doelgroep]=C383,Berekening_impact[Digitale zorgtoepassing]),0))</f>
        <v>0</v>
      </c>
      <c r="R383" s="398" cm="1">
        <f t="array" ref="R383">(uitkomst_doelgroep[[#This Row],[Implementatiegraad t = T + 1]]-uitkomst_doelgroep[[#This Row],[Implementatiegraad t = T]])*INDEX(Berekening_impact[Initiële investering (totaal) - incl. schatting],MATCH(B383,IF(Berekening_impact[Doelgroep]=C383,Berekening_impact[Digitale zorgtoepassing]),0))</f>
        <v>0</v>
      </c>
      <c r="S383" s="398">
        <f>uitkomst_doelgroep[[#This Row],[Arbeidsbesparing (€)]]*uitkomst_doelgroep[[#This Row],[Percentage van patiëntaantallen in Wlz (overige is Zvw)]]</f>
        <v>0</v>
      </c>
      <c r="T383" s="398">
        <f>uitkomst_doelgroep[[#This Row],[Overige besparingen (€)]]*uitkomst_doelgroep[[#This Row],[Percentage van patiëntaantallen in Wlz (overige is Zvw)]]</f>
        <v>0</v>
      </c>
      <c r="U383" s="398">
        <f>uitkomst_doelgroep[[#This Row],[Kosten (€)]]*uitkomst_doelgroep[[#This Row],[Percentage van patiëntaantallen in Wlz (overige is Zvw)]]</f>
        <v>0</v>
      </c>
      <c r="V383" s="398">
        <f>uitkomst_doelgroep[[#This Row],[Investering (cash flow) (€)]]*uitkomst_doelgroep[[#This Row],[Percentage van patiëntaantallen in Wlz (overige is Zvw)]]</f>
        <v>0</v>
      </c>
    </row>
    <row r="384" spans="1:22" x14ac:dyDescent="0.5">
      <c r="A384" s="33" t="str">
        <f>INDEX(Technologieën[Veld],MATCH(B384,Technologieën[Digitale zorgtoepassing],0))</f>
        <v>Digitale hulpmiddelen - Verpleging</v>
      </c>
      <c r="B384" s="33" t="s">
        <v>26</v>
      </c>
      <c r="C384" s="33" t="s">
        <v>20</v>
      </c>
      <c r="D384" s="427" cm="1">
        <f t="array" ref="D384">INDEX(Berekening_patiëntaantal[Percentage van patiëntaantallen in Wlz (overige is Zvw)],MATCH(B384,IF(Berekening_patiëntaantal[Doelgroep (zoeksleutel)]=C384,Berekening_patiëntaantal[Digitale zorgtoepassing]),0))</f>
        <v>0.45</v>
      </c>
      <c r="E384" s="33" t="str" cm="1">
        <f t="array" ref="E384">INDEX(Berekening_patiëntaantal[Direct toepasbaar/extrapolatie/incidentie voor QALY],MATCH(B384,IF(Berekening_patiëntaantal[Doelgroep (zoeksleutel)]=C384,Berekening_patiëntaantal[Digitale zorgtoepassing]),0))</f>
        <v>Huidige toepassing</v>
      </c>
      <c r="F384" s="43" t="s">
        <v>812</v>
      </c>
      <c r="G384" s="33" t="str">
        <f>CONCATENATE(uitkomst_doelgroep[[#This Row],[Digitale zorgtoepassing]],"_",uitkomst_doelgroep[[#This Row],[Doelgroep]],"_",uitkomst_doelgroep[[#This Row],[Uitgangssituatie/effect beleid]])</f>
        <v>Medicijndispenser_Dementie_Effect beleid</v>
      </c>
      <c r="H384" s="33">
        <v>2024</v>
      </c>
      <c r="I384" s="32">
        <v>2</v>
      </c>
      <c r="J384" s="406" cm="1">
        <f t="array" ref="J384">INDEX(implementatie[[2023]:[2034]],MATCH(G384, implementatie[Zoeksleutel],0),I384)</f>
        <v>0.50800000000000001</v>
      </c>
      <c r="K384" s="406" cm="1">
        <f t="array" ref="K384">INDEX(implementatie[[2023]:[2034]],MATCH(G384,implementatie[Zoeksleutel],0),I384 + 1)</f>
        <v>0.61781439999999999</v>
      </c>
      <c r="L38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21430.6404</v>
      </c>
      <c r="M384" s="398" cm="1">
        <f t="array" ref="M384">J384*INDEX(Berekening_impact[Totaal arbeidsbesparing (€/jaar)],MATCH(B384,IF(Berekening_impact[Doelgroep]=C384,Berekening_impact[Digitale zorgtoepassing]),0))</f>
        <v>94589312.930673763</v>
      </c>
      <c r="N384" s="397" cm="1">
        <f t="array" ref="N384">J384*INDEX(Berekening_impact[Totaal arbeidsbesparing (FTE/jaar)],MATCH(B384,IF(Berekening_impact[Doelgroep]=C384,Berekening_impact[Digitale zorgtoepassing]),0))</f>
        <v>1794.6510001407535</v>
      </c>
      <c r="O384" s="398" cm="1">
        <f t="array" ref="O384">J384*INDEX(Berekening_impact[Overige kostenbesparing (totaal/jaar totaal potentieel)],MATCH(B384,IF(Berekening_impact[Doelgroep]=C384,Berekening_impact[Digitale zorgtoepassing]),0))</f>
        <v>46588766.070331857</v>
      </c>
      <c r="P384" s="398" cm="1">
        <f t="array" ref="P384">J384*INDEX(Berekening_impact[Opbrengsten door QALY''s],MATCH(B384,IF(Berekening_impact[Doelgroep]=C384,Berekening_impact[Digitale zorgtoepassing]),0))</f>
        <v>0</v>
      </c>
      <c r="Q384" s="398" cm="1">
        <f t="array" ref="Q384">J384*INDEX(Berekening_impact[Jaarlijkse kosten (totaal) - incl. schatting],MATCH(B384,IF(Berekening_impact[Doelgroep]=C384,Berekening_impact[Digitale zorgtoepassing]),0))</f>
        <v>22705405.720533401</v>
      </c>
      <c r="R384" s="398" cm="1">
        <f t="array" ref="R384">(uitkomst_doelgroep[[#This Row],[Implementatiegraad t = T + 1]]-uitkomst_doelgroep[[#This Row],[Implementatiegraad t = T]])*INDEX(Berekening_impact[Initiële investering (totaal) - incl. schatting],MATCH(B384,IF(Berekening_impact[Doelgroep]=C384,Berekening_impact[Digitale zorgtoepassing]),0))</f>
        <v>406875.25813311606</v>
      </c>
      <c r="S384" s="398">
        <f>uitkomst_doelgroep[[#This Row],[Arbeidsbesparing (€)]]*uitkomst_doelgroep[[#This Row],[Percentage van patiëntaantallen in Wlz (overige is Zvw)]]</f>
        <v>42565190.818803191</v>
      </c>
      <c r="T384" s="398">
        <f>uitkomst_doelgroep[[#This Row],[Overige besparingen (€)]]*uitkomst_doelgroep[[#This Row],[Percentage van patiëntaantallen in Wlz (overige is Zvw)]]</f>
        <v>20964944.731649335</v>
      </c>
      <c r="U384" s="398">
        <f>uitkomst_doelgroep[[#This Row],[Kosten (€)]]*uitkomst_doelgroep[[#This Row],[Percentage van patiëntaantallen in Wlz (overige is Zvw)]]</f>
        <v>10217432.574240031</v>
      </c>
      <c r="V384" s="398">
        <f>uitkomst_doelgroep[[#This Row],[Investering (cash flow) (€)]]*uitkomst_doelgroep[[#This Row],[Percentage van patiëntaantallen in Wlz (overige is Zvw)]]</f>
        <v>183093.86615990225</v>
      </c>
    </row>
    <row r="385" spans="1:22" x14ac:dyDescent="0.5">
      <c r="A385" s="33" t="str">
        <f>INDEX(Technologieën[Veld],MATCH(B385,Technologieën[Digitale zorgtoepassing],0))</f>
        <v>Digitale hulpmiddelen - Verpleging</v>
      </c>
      <c r="B385" s="33" t="s">
        <v>26</v>
      </c>
      <c r="C385" s="33" t="s">
        <v>27</v>
      </c>
      <c r="D385" s="427" cm="1">
        <f t="array" ref="D385">INDEX(Berekening_patiëntaantal[Percentage van patiëntaantallen in Wlz (overige is Zvw)],MATCH(B385,IF(Berekening_patiëntaantal[Doelgroep (zoeksleutel)]=C385,Berekening_patiëntaantal[Digitale zorgtoepassing]),0))</f>
        <v>1</v>
      </c>
      <c r="E385" s="33" t="str" cm="1">
        <f t="array" ref="E385">INDEX(Berekening_patiëntaantal[Direct toepasbaar/extrapolatie/incidentie voor QALY],MATCH(B385,IF(Berekening_patiëntaantal[Doelgroep (zoeksleutel)]=C385,Berekening_patiëntaantal[Digitale zorgtoepassing]),0))</f>
        <v>Huidige toepassing</v>
      </c>
      <c r="F385" s="43" t="s">
        <v>812</v>
      </c>
      <c r="G385" s="33" t="str">
        <f>CONCATENATE(uitkomst_doelgroep[[#This Row],[Digitale zorgtoepassing]],"_",uitkomst_doelgroep[[#This Row],[Doelgroep]],"_",uitkomst_doelgroep[[#This Row],[Uitgangssituatie/effect beleid]])</f>
        <v>Medicijndispenser_Parkinson_Effect beleid</v>
      </c>
      <c r="H385" s="33">
        <v>2024</v>
      </c>
      <c r="I385" s="32">
        <v>2</v>
      </c>
      <c r="J385" s="406" cm="1">
        <f t="array" ref="J385">INDEX(implementatie[[2023]:[2034]],MATCH(G385, implementatie[Zoeksleutel],0),I385)</f>
        <v>0.50800000000000001</v>
      </c>
      <c r="K385" s="406" cm="1">
        <f t="array" ref="K385">INDEX(implementatie[[2023]:[2034]],MATCH(G385,implementatie[Zoeksleutel],0),I385 + 1)</f>
        <v>0.61781439999999999</v>
      </c>
      <c r="L38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4998.4151999999995</v>
      </c>
      <c r="M385" s="398" cm="1">
        <f t="array" ref="M385">J385*INDEX(Berekening_impact[Totaal arbeidsbesparing (€/jaar)],MATCH(B385,IF(Berekening_impact[Doelgroep]=C385,Berekening_impact[Digitale zorgtoepassing]),0))</f>
        <v>22061714.007866807</v>
      </c>
      <c r="N385" s="397" cm="1">
        <f t="array" ref="N385">J385*INDEX(Berekening_impact[Totaal arbeidsbesparing (FTE/jaar)],MATCH(B385,IF(Berekening_impact[Doelgroep]=C385,Berekening_impact[Digitale zorgtoepassing]),0))</f>
        <v>418.57875781438355</v>
      </c>
      <c r="O385" s="398" cm="1">
        <f t="array" ref="O385">J385*INDEX(Berekening_impact[Overige kostenbesparing (totaal/jaar totaal potentieel)],MATCH(B385,IF(Berekening_impact[Doelgroep]=C385,Berekening_impact[Digitale zorgtoepassing]),0))</f>
        <v>10866217.347158277</v>
      </c>
      <c r="P385" s="398" cm="1">
        <f t="array" ref="P385">J385*INDEX(Berekening_impact[Opbrengsten door QALY''s],MATCH(B385,IF(Berekening_impact[Doelgroep]=C385,Berekening_impact[Digitale zorgtoepassing]),0))</f>
        <v>0</v>
      </c>
      <c r="Q385" s="398" cm="1">
        <f t="array" ref="Q385">J385*INDEX(Berekening_impact[Jaarlijkse kosten (totaal) - incl. schatting],MATCH(B385,IF(Berekening_impact[Doelgroep]=C385,Berekening_impact[Digitale zorgtoepassing]),0))</f>
        <v>5300883.0465066675</v>
      </c>
      <c r="R385" s="398" cm="1">
        <f t="array" ref="R385">(uitkomst_doelgroep[[#This Row],[Implementatiegraad t = T + 1]]-uitkomst_doelgroep[[#This Row],[Implementatiegraad t = T]])*INDEX(Berekening_impact[Initiële investering (totaal) - incl. schatting],MATCH(B385,IF(Berekening_impact[Doelgroep]=C385,Berekening_impact[Digitale zorgtoepassing]),0))</f>
        <v>175132.87221450236</v>
      </c>
      <c r="S385" s="398">
        <f>uitkomst_doelgroep[[#This Row],[Arbeidsbesparing (€)]]*uitkomst_doelgroep[[#This Row],[Percentage van patiëntaantallen in Wlz (overige is Zvw)]]</f>
        <v>22061714.007866807</v>
      </c>
      <c r="T385" s="398">
        <f>uitkomst_doelgroep[[#This Row],[Overige besparingen (€)]]*uitkomst_doelgroep[[#This Row],[Percentage van patiëntaantallen in Wlz (overige is Zvw)]]</f>
        <v>10866217.347158277</v>
      </c>
      <c r="U385" s="398">
        <f>uitkomst_doelgroep[[#This Row],[Kosten (€)]]*uitkomst_doelgroep[[#This Row],[Percentage van patiëntaantallen in Wlz (overige is Zvw)]]</f>
        <v>5300883.0465066675</v>
      </c>
      <c r="V385" s="398">
        <f>uitkomst_doelgroep[[#This Row],[Investering (cash flow) (€)]]*uitkomst_doelgroep[[#This Row],[Percentage van patiëntaantallen in Wlz (overige is Zvw)]]</f>
        <v>175132.87221450236</v>
      </c>
    </row>
    <row r="386" spans="1:22" x14ac:dyDescent="0.5">
      <c r="A386" s="33" t="str">
        <f>INDEX(Technologieën[Veld],MATCH(B386,Technologieën[Digitale zorgtoepassing],0))</f>
        <v>Digitale hulpmiddelen - Verpleging</v>
      </c>
      <c r="B386" s="33" t="s">
        <v>26</v>
      </c>
      <c r="C386" s="33" t="s">
        <v>29</v>
      </c>
      <c r="D386" s="427" cm="1">
        <f t="array" ref="D386">INDEX(Berekening_patiëntaantal[Percentage van patiëntaantallen in Wlz (overige is Zvw)],MATCH(B386,IF(Berekening_patiëntaantal[Doelgroep (zoeksleutel)]=C386,Berekening_patiëntaantal[Digitale zorgtoepassing]),0))</f>
        <v>0.70000000000000007</v>
      </c>
      <c r="E386" s="33" t="str" cm="1">
        <f t="array" ref="E386">INDEX(Berekening_patiëntaantal[Direct toepasbaar/extrapolatie/incidentie voor QALY],MATCH(B386,IF(Berekening_patiëntaantal[Doelgroep (zoeksleutel)]=C386,Berekening_patiëntaantal[Digitale zorgtoepassing]),0))</f>
        <v>Huidige toepassing</v>
      </c>
      <c r="F386" s="43" t="s">
        <v>812</v>
      </c>
      <c r="G386" s="33" t="str">
        <f>CONCATENATE(uitkomst_doelgroep[[#This Row],[Digitale zorgtoepassing]],"_",uitkomst_doelgroep[[#This Row],[Doelgroep]],"_",uitkomst_doelgroep[[#This Row],[Uitgangssituatie/effect beleid]])</f>
        <v>Medicijndispenser_Reumatische aandoening _Effect beleid</v>
      </c>
      <c r="H386" s="33">
        <v>2024</v>
      </c>
      <c r="I386" s="32">
        <v>2</v>
      </c>
      <c r="J386" s="406" cm="1">
        <f t="array" ref="J386">INDEX(implementatie[[2023]:[2034]],MATCH(G386, implementatie[Zoeksleutel],0),I386)</f>
        <v>0.50800000000000001</v>
      </c>
      <c r="K386" s="406" cm="1">
        <f t="array" ref="K386">INDEX(implementatie[[2023]:[2034]],MATCH(G386,implementatie[Zoeksleutel],0),I386 + 1)</f>
        <v>0.61781439999999999</v>
      </c>
      <c r="L38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39465.504000000001</v>
      </c>
      <c r="M386" s="398" cm="1">
        <f t="array" ref="M386">J386*INDEX(Berekening_impact[Totaal arbeidsbesparing (€/jaar)],MATCH(B386,IF(Berekening_impact[Doelgroep]=C386,Berekening_impact[Digitale zorgtoepassing]),0))</f>
        <v>174190543.91966546</v>
      </c>
      <c r="N386" s="397" cm="1">
        <f t="array" ref="N386">J386*INDEX(Berekening_impact[Totaal arbeidsbesparing (FTE/jaar)],MATCH(B386,IF(Berekening_impact[Doelgroep]=C386,Berekening_impact[Digitale zorgtoepassing]),0))</f>
        <v>3304.9318593698631</v>
      </c>
      <c r="O386" s="398" cm="1">
        <f t="array" ref="O386">J386*INDEX(Berekening_impact[Overige kostenbesparing (totaal/jaar totaal potentieel)],MATCH(B386,IF(Berekening_impact[Doelgroep]=C386,Berekening_impact[Digitale zorgtoepassing]),0))</f>
        <v>85795342.527596429</v>
      </c>
      <c r="P386" s="398" cm="1">
        <f t="array" ref="P386">J386*INDEX(Berekening_impact[Opbrengsten door QALY''s],MATCH(B386,IF(Berekening_impact[Doelgroep]=C386,Berekening_impact[Digitale zorgtoepassing]),0))</f>
        <v>0</v>
      </c>
      <c r="Q386" s="398" cm="1">
        <f t="array" ref="Q386">J386*INDEX(Berekening_impact[Jaarlijkse kosten (totaal) - incl. schatting],MATCH(B386,IF(Berekening_impact[Doelgroep]=C386,Berekening_impact[Digitale zorgtoepassing]),0))</f>
        <v>41810227.709815867</v>
      </c>
      <c r="R386" s="398" cm="1">
        <f t="array" ref="R386">(uitkomst_doelgroep[[#This Row],[Implementatiegraad t = T + 1]]-uitkomst_doelgroep[[#This Row],[Implementatiegraad t = T]])*INDEX(Berekening_impact[Initiële investering (totaal) - incl. schatting],MATCH(B386,IF(Berekening_impact[Doelgroep]=C386,Berekening_impact[Digitale zorgtoepassing]),0))</f>
        <v>581677.4239764479</v>
      </c>
      <c r="S386" s="398">
        <f>uitkomst_doelgroep[[#This Row],[Arbeidsbesparing (€)]]*uitkomst_doelgroep[[#This Row],[Percentage van patiëntaantallen in Wlz (overige is Zvw)]]</f>
        <v>121933380.74376583</v>
      </c>
      <c r="T386" s="398">
        <f>uitkomst_doelgroep[[#This Row],[Overige besparingen (€)]]*uitkomst_doelgroep[[#This Row],[Percentage van patiëntaantallen in Wlz (overige is Zvw)]]</f>
        <v>60056739.769317508</v>
      </c>
      <c r="U386" s="398">
        <f>uitkomst_doelgroep[[#This Row],[Kosten (€)]]*uitkomst_doelgroep[[#This Row],[Percentage van patiëntaantallen in Wlz (overige is Zvw)]]</f>
        <v>29267159.396871109</v>
      </c>
      <c r="V386" s="398">
        <f>uitkomst_doelgroep[[#This Row],[Investering (cash flow) (€)]]*uitkomst_doelgroep[[#This Row],[Percentage van patiëntaantallen in Wlz (overige is Zvw)]]</f>
        <v>407174.19678351359</v>
      </c>
    </row>
    <row r="387" spans="1:22" x14ac:dyDescent="0.5">
      <c r="A387" s="33" t="str">
        <f>INDEX(Technologieën[Veld],MATCH(B387,Technologieën[Digitale zorgtoepassing],0))</f>
        <v>Digitale hulpmiddelen - Verpleging</v>
      </c>
      <c r="B387" s="33" t="s">
        <v>26</v>
      </c>
      <c r="C387" s="33" t="s">
        <v>24</v>
      </c>
      <c r="D387" s="427" cm="1">
        <f t="array" ref="D387">INDEX(Berekening_patiëntaantal[Percentage van patiëntaantallen in Wlz (overige is Zvw)],MATCH(B387,IF(Berekening_patiëntaantal[Doelgroep (zoeksleutel)]=C387,Berekening_patiëntaantal[Digitale zorgtoepassing]),0))</f>
        <v>0.45</v>
      </c>
      <c r="E387" s="33" t="str" cm="1">
        <f t="array" ref="E387">INDEX(Berekening_patiëntaantal[Direct toepasbaar/extrapolatie/incidentie voor QALY],MATCH(B387,IF(Berekening_patiëntaantal[Doelgroep (zoeksleutel)]=C387,Berekening_patiëntaantal[Digitale zorgtoepassing]),0))</f>
        <v>Extrapolatie</v>
      </c>
      <c r="F387" s="43" t="s">
        <v>812</v>
      </c>
      <c r="G387" s="33" t="str">
        <f>CONCATENATE(uitkomst_doelgroep[[#This Row],[Digitale zorgtoepassing]],"_",uitkomst_doelgroep[[#This Row],[Doelgroep]],"_",uitkomst_doelgroep[[#This Row],[Uitgangssituatie/effect beleid]])</f>
        <v>Medicijndispenser_Cognitieve beperking_Effect beleid</v>
      </c>
      <c r="H387" s="33">
        <v>2025</v>
      </c>
      <c r="I387" s="32">
        <v>3</v>
      </c>
      <c r="J387" s="406" cm="1">
        <f t="array" ref="J387">INDEX(implementatie[[2023]:[2034]],MATCH(G387, implementatie[Zoeksleutel],0),I387)</f>
        <v>0</v>
      </c>
      <c r="K387" s="406" cm="1">
        <f t="array" ref="K387">INDEX(implementatie[[2023]:[2034]],MATCH(G387,implementatie[Zoeksleutel],0),I387 + 1)</f>
        <v>0.02</v>
      </c>
      <c r="L38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387" s="398" cm="1">
        <f t="array" ref="M387">J387*INDEX(Berekening_impact[Totaal arbeidsbesparing (€/jaar)],MATCH(B387,IF(Berekening_impact[Doelgroep]=C387,Berekening_impact[Digitale zorgtoepassing]),0))</f>
        <v>0</v>
      </c>
      <c r="N387" s="397" cm="1">
        <f t="array" ref="N387">J387*INDEX(Berekening_impact[Totaal arbeidsbesparing (FTE/jaar)],MATCH(B387,IF(Berekening_impact[Doelgroep]=C387,Berekening_impact[Digitale zorgtoepassing]),0))</f>
        <v>0</v>
      </c>
      <c r="O387" s="398" cm="1">
        <f t="array" ref="O387">J387*INDEX(Berekening_impact[Overige kostenbesparing (totaal/jaar totaal potentieel)],MATCH(B387,IF(Berekening_impact[Doelgroep]=C387,Berekening_impact[Digitale zorgtoepassing]),0))</f>
        <v>0</v>
      </c>
      <c r="P387" s="398" cm="1">
        <f t="array" ref="P387">J387*INDEX(Berekening_impact[Opbrengsten door QALY''s],MATCH(B387,IF(Berekening_impact[Doelgroep]=C387,Berekening_impact[Digitale zorgtoepassing]),0))</f>
        <v>0</v>
      </c>
      <c r="Q387" s="398" cm="1">
        <f t="array" ref="Q387">J387*INDEX(Berekening_impact[Jaarlijkse kosten (totaal) - incl. schatting],MATCH(B387,IF(Berekening_impact[Doelgroep]=C387,Berekening_impact[Digitale zorgtoepassing]),0))</f>
        <v>0</v>
      </c>
      <c r="R387" s="398" cm="1">
        <f t="array" ref="R387">(uitkomst_doelgroep[[#This Row],[Implementatiegraad t = T + 1]]-uitkomst_doelgroep[[#This Row],[Implementatiegraad t = T]])*INDEX(Berekening_impact[Initiële investering (totaal) - incl. schatting],MATCH(B387,IF(Berekening_impact[Doelgroep]=C387,Berekening_impact[Digitale zorgtoepassing]),0))</f>
        <v>0</v>
      </c>
      <c r="S387" s="398">
        <f>uitkomst_doelgroep[[#This Row],[Arbeidsbesparing (€)]]*uitkomst_doelgroep[[#This Row],[Percentage van patiëntaantallen in Wlz (overige is Zvw)]]</f>
        <v>0</v>
      </c>
      <c r="T387" s="398">
        <f>uitkomst_doelgroep[[#This Row],[Overige besparingen (€)]]*uitkomst_doelgroep[[#This Row],[Percentage van patiëntaantallen in Wlz (overige is Zvw)]]</f>
        <v>0</v>
      </c>
      <c r="U387" s="398">
        <f>uitkomst_doelgroep[[#This Row],[Kosten (€)]]*uitkomst_doelgroep[[#This Row],[Percentage van patiëntaantallen in Wlz (overige is Zvw)]]</f>
        <v>0</v>
      </c>
      <c r="V387" s="398">
        <f>uitkomst_doelgroep[[#This Row],[Investering (cash flow) (€)]]*uitkomst_doelgroep[[#This Row],[Percentage van patiëntaantallen in Wlz (overige is Zvw)]]</f>
        <v>0</v>
      </c>
    </row>
    <row r="388" spans="1:22" x14ac:dyDescent="0.5">
      <c r="A388" s="33" t="str">
        <f>INDEX(Technologieën[Veld],MATCH(B388,Technologieën[Digitale zorgtoepassing],0))</f>
        <v>Digitale hulpmiddelen - Verpleging</v>
      </c>
      <c r="B388" s="33" t="s">
        <v>26</v>
      </c>
      <c r="C388" s="33" t="s">
        <v>20</v>
      </c>
      <c r="D388" s="427" cm="1">
        <f t="array" ref="D388">INDEX(Berekening_patiëntaantal[Percentage van patiëntaantallen in Wlz (overige is Zvw)],MATCH(B388,IF(Berekening_patiëntaantal[Doelgroep (zoeksleutel)]=C388,Berekening_patiëntaantal[Digitale zorgtoepassing]),0))</f>
        <v>0.45</v>
      </c>
      <c r="E388" s="33" t="str" cm="1">
        <f t="array" ref="E388">INDEX(Berekening_patiëntaantal[Direct toepasbaar/extrapolatie/incidentie voor QALY],MATCH(B388,IF(Berekening_patiëntaantal[Doelgroep (zoeksleutel)]=C388,Berekening_patiëntaantal[Digitale zorgtoepassing]),0))</f>
        <v>Huidige toepassing</v>
      </c>
      <c r="F388" s="43" t="s">
        <v>812</v>
      </c>
      <c r="G388" s="33" t="str">
        <f>CONCATENATE(uitkomst_doelgroep[[#This Row],[Digitale zorgtoepassing]],"_",uitkomst_doelgroep[[#This Row],[Doelgroep]],"_",uitkomst_doelgroep[[#This Row],[Uitgangssituatie/effect beleid]])</f>
        <v>Medicijndispenser_Dementie_Effect beleid</v>
      </c>
      <c r="H388" s="33">
        <v>2025</v>
      </c>
      <c r="I388" s="32">
        <v>3</v>
      </c>
      <c r="J388" s="406" cm="1">
        <f t="array" ref="J388">INDEX(implementatie[[2023]:[2034]],MATCH(G388, implementatie[Zoeksleutel],0),I388)</f>
        <v>0.61781439999999999</v>
      </c>
      <c r="K388" s="406" cm="1">
        <f t="array" ref="K388">INDEX(implementatie[[2023]:[2034]],MATCH(G388,implementatie[Zoeksleutel],0),I388 + 1)</f>
        <v>0.71990601886105599</v>
      </c>
      <c r="L38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26063.303622720003</v>
      </c>
      <c r="M388" s="398" cm="1">
        <f t="array" ref="M388">J388*INDEX(Berekening_impact[Totaal arbeidsbesparing (€/jaar)],MATCH(B388,IF(Berekening_impact[Doelgroep]=C388,Berekening_impact[Digitale zorgtoepassing]),0))</f>
        <v>115036692.15487491</v>
      </c>
      <c r="N388" s="397" cm="1">
        <f t="array" ref="N388">J388*INDEX(Berekening_impact[Totaal arbeidsbesparing (FTE/jaar)],MATCH(B388,IF(Berekening_impact[Doelgroep]=C388,Berekening_impact[Digitale zorgtoepassing]),0))</f>
        <v>2182.6008481522822</v>
      </c>
      <c r="O388" s="398" cm="1">
        <f t="array" ref="O388">J388*INDEX(Berekening_impact[Overige kostenbesparing (totaal/jaar totaal potentieel)],MATCH(B388,IF(Berekening_impact[Doelgroep]=C388,Berekening_impact[Digitale zorgtoepassing]),0))</f>
        <v>56659863.300162263</v>
      </c>
      <c r="P388" s="398" cm="1">
        <f t="array" ref="P388">J388*INDEX(Berekening_impact[Opbrengsten door QALY''s],MATCH(B388,IF(Berekening_impact[Doelgroep]=C388,Berekening_impact[Digitale zorgtoepassing]),0))</f>
        <v>0</v>
      </c>
      <c r="Q388" s="398" cm="1">
        <f t="array" ref="Q388">J388*INDEX(Berekening_impact[Jaarlijkse kosten (totaal) - incl. schatting],MATCH(B388,IF(Berekening_impact[Doelgroep]=C388,Berekening_impact[Digitale zorgtoepassing]),0))</f>
        <v>27613635.062968329</v>
      </c>
      <c r="R388" s="398" cm="1">
        <f t="array" ref="R388">(uitkomst_doelgroep[[#This Row],[Implementatiegraad t = T + 1]]-uitkomst_doelgroep[[#This Row],[Implementatiegraad t = T]])*INDEX(Berekening_impact[Initiële investering (totaal) - incl. schatting],MATCH(B388,IF(Berekening_impact[Doelgroep]=C388,Berekening_impact[Digitale zorgtoepassing]),0))</f>
        <v>378261.44637970859</v>
      </c>
      <c r="S388" s="398">
        <f>uitkomst_doelgroep[[#This Row],[Arbeidsbesparing (€)]]*uitkomst_doelgroep[[#This Row],[Percentage van patiëntaantallen in Wlz (overige is Zvw)]]</f>
        <v>51766511.469693705</v>
      </c>
      <c r="T388" s="398">
        <f>uitkomst_doelgroep[[#This Row],[Overige besparingen (€)]]*uitkomst_doelgroep[[#This Row],[Percentage van patiëntaantallen in Wlz (overige is Zvw)]]</f>
        <v>25496938.485073019</v>
      </c>
      <c r="U388" s="398">
        <f>uitkomst_doelgroep[[#This Row],[Kosten (€)]]*uitkomst_doelgroep[[#This Row],[Percentage van patiëntaantallen in Wlz (overige is Zvw)]]</f>
        <v>12426135.778335748</v>
      </c>
      <c r="V388" s="398">
        <f>uitkomst_doelgroep[[#This Row],[Investering (cash flow) (€)]]*uitkomst_doelgroep[[#This Row],[Percentage van patiëntaantallen in Wlz (overige is Zvw)]]</f>
        <v>170217.65087086888</v>
      </c>
    </row>
    <row r="389" spans="1:22" x14ac:dyDescent="0.5">
      <c r="A389" s="33" t="str">
        <f>INDEX(Technologieën[Veld],MATCH(B389,Technologieën[Digitale zorgtoepassing],0))</f>
        <v>Digitale hulpmiddelen - Verpleging</v>
      </c>
      <c r="B389" s="33" t="s">
        <v>26</v>
      </c>
      <c r="C389" s="33" t="s">
        <v>27</v>
      </c>
      <c r="D389" s="427" cm="1">
        <f t="array" ref="D389">INDEX(Berekening_patiëntaantal[Percentage van patiëntaantallen in Wlz (overige is Zvw)],MATCH(B389,IF(Berekening_patiëntaantal[Doelgroep (zoeksleutel)]=C389,Berekening_patiëntaantal[Digitale zorgtoepassing]),0))</f>
        <v>1</v>
      </c>
      <c r="E389" s="33" t="str" cm="1">
        <f t="array" ref="E389">INDEX(Berekening_patiëntaantal[Direct toepasbaar/extrapolatie/incidentie voor QALY],MATCH(B389,IF(Berekening_patiëntaantal[Doelgroep (zoeksleutel)]=C389,Berekening_patiëntaantal[Digitale zorgtoepassing]),0))</f>
        <v>Huidige toepassing</v>
      </c>
      <c r="F389" s="43" t="s">
        <v>812</v>
      </c>
      <c r="G389" s="33" t="str">
        <f>CONCATENATE(uitkomst_doelgroep[[#This Row],[Digitale zorgtoepassing]],"_",uitkomst_doelgroep[[#This Row],[Doelgroep]],"_",uitkomst_doelgroep[[#This Row],[Uitgangssituatie/effect beleid]])</f>
        <v>Medicijndispenser_Parkinson_Effect beleid</v>
      </c>
      <c r="H389" s="33">
        <v>2025</v>
      </c>
      <c r="I389" s="32">
        <v>3</v>
      </c>
      <c r="J389" s="406" cm="1">
        <f t="array" ref="J389">INDEX(implementatie[[2023]:[2034]],MATCH(G389, implementatie[Zoeksleutel],0),I389)</f>
        <v>0.61781439999999999</v>
      </c>
      <c r="K389" s="406" cm="1">
        <f t="array" ref="K389">INDEX(implementatie[[2023]:[2034]],MATCH(G389,implementatie[Zoeksleutel],0),I389 + 1)</f>
        <v>0.71990601886105599</v>
      </c>
      <c r="L38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6078.9230073599992</v>
      </c>
      <c r="M389" s="398" cm="1">
        <f t="array" ref="M389">J389*INDEX(Berekening_impact[Totaal arbeidsbesparing (€/jaar)],MATCH(B389,IF(Berekening_impact[Doelgroep]=C389,Berekening_impact[Digitale zorgtoepassing]),0))</f>
        <v>26830796.462090209</v>
      </c>
      <c r="N389" s="397" cm="1">
        <f t="array" ref="N389">J389*INDEX(Berekening_impact[Totaal arbeidsbesparing (FTE/jaar)],MATCH(B389,IF(Berekening_impact[Doelgroep]=C389,Berekening_impact[Digitale zorgtoepassing]),0))</f>
        <v>509.06296085007614</v>
      </c>
      <c r="O389" s="398" cm="1">
        <f t="array" ref="O389">J389*INDEX(Berekening_impact[Overige kostenbesparing (totaal/jaar totaal potentieel)],MATCH(B389,IF(Berekening_impact[Doelgroep]=C389,Berekening_impact[Digitale zorgtoepassing]),0))</f>
        <v>13215168.406701148</v>
      </c>
      <c r="P389" s="398" cm="1">
        <f t="array" ref="P389">J389*INDEX(Berekening_impact[Opbrengsten door QALY''s],MATCH(B389,IF(Berekening_impact[Doelgroep]=C389,Berekening_impact[Digitale zorgtoepassing]),0))</f>
        <v>0</v>
      </c>
      <c r="Q389" s="398" cm="1">
        <f t="array" ref="Q389">J389*INDEX(Berekening_impact[Jaarlijkse kosten (totaal) - incl. schatting],MATCH(B389,IF(Berekening_impact[Doelgroep]=C389,Berekening_impact[Digitale zorgtoepassing]),0))</f>
        <v>6446775.3520623799</v>
      </c>
      <c r="R389" s="398" cm="1">
        <f t="array" ref="R389">(uitkomst_doelgroep[[#This Row],[Implementatiegraad t = T + 1]]-uitkomst_doelgroep[[#This Row],[Implementatiegraad t = T]])*INDEX(Berekening_impact[Initiële investering (totaal) - incl. schatting],MATCH(B389,IF(Berekening_impact[Doelgroep]=C389,Berekening_impact[Digitale zorgtoepassing]),0))</f>
        <v>162816.51987503463</v>
      </c>
      <c r="S389" s="398">
        <f>uitkomst_doelgroep[[#This Row],[Arbeidsbesparing (€)]]*uitkomst_doelgroep[[#This Row],[Percentage van patiëntaantallen in Wlz (overige is Zvw)]]</f>
        <v>26830796.462090209</v>
      </c>
      <c r="T389" s="398">
        <f>uitkomst_doelgroep[[#This Row],[Overige besparingen (€)]]*uitkomst_doelgroep[[#This Row],[Percentage van patiëntaantallen in Wlz (overige is Zvw)]]</f>
        <v>13215168.406701148</v>
      </c>
      <c r="U389" s="398">
        <f>uitkomst_doelgroep[[#This Row],[Kosten (€)]]*uitkomst_doelgroep[[#This Row],[Percentage van patiëntaantallen in Wlz (overige is Zvw)]]</f>
        <v>6446775.3520623799</v>
      </c>
      <c r="V389" s="398">
        <f>uitkomst_doelgroep[[#This Row],[Investering (cash flow) (€)]]*uitkomst_doelgroep[[#This Row],[Percentage van patiëntaantallen in Wlz (overige is Zvw)]]</f>
        <v>162816.51987503463</v>
      </c>
    </row>
    <row r="390" spans="1:22" x14ac:dyDescent="0.5">
      <c r="A390" s="33" t="str">
        <f>INDEX(Technologieën[Veld],MATCH(B390,Technologieën[Digitale zorgtoepassing],0))</f>
        <v>Digitale hulpmiddelen - Verpleging</v>
      </c>
      <c r="B390" s="33" t="s">
        <v>26</v>
      </c>
      <c r="C390" s="33" t="s">
        <v>29</v>
      </c>
      <c r="D390" s="427" cm="1">
        <f t="array" ref="D390">INDEX(Berekening_patiëntaantal[Percentage van patiëntaantallen in Wlz (overige is Zvw)],MATCH(B390,IF(Berekening_patiëntaantal[Doelgroep (zoeksleutel)]=C390,Berekening_patiëntaantal[Digitale zorgtoepassing]),0))</f>
        <v>0.70000000000000007</v>
      </c>
      <c r="E390" s="33" t="str" cm="1">
        <f t="array" ref="E390">INDEX(Berekening_patiëntaantal[Direct toepasbaar/extrapolatie/incidentie voor QALY],MATCH(B390,IF(Berekening_patiëntaantal[Doelgroep (zoeksleutel)]=C390,Berekening_patiëntaantal[Digitale zorgtoepassing]),0))</f>
        <v>Huidige toepassing</v>
      </c>
      <c r="F390" s="43" t="s">
        <v>812</v>
      </c>
      <c r="G390" s="33" t="str">
        <f>CONCATENATE(uitkomst_doelgroep[[#This Row],[Digitale zorgtoepassing]],"_",uitkomst_doelgroep[[#This Row],[Doelgroep]],"_",uitkomst_doelgroep[[#This Row],[Uitgangssituatie/effect beleid]])</f>
        <v>Medicijndispenser_Reumatische aandoening _Effect beleid</v>
      </c>
      <c r="H390" s="33">
        <v>2025</v>
      </c>
      <c r="I390" s="32">
        <v>3</v>
      </c>
      <c r="J390" s="406" cm="1">
        <f t="array" ref="J390">INDEX(implementatie[[2023]:[2034]],MATCH(G390, implementatie[Zoeksleutel],0),I390)</f>
        <v>0.61781439999999999</v>
      </c>
      <c r="K390" s="406" cm="1">
        <f t="array" ref="K390">INDEX(implementatie[[2023]:[2034]],MATCH(G390,implementatie[Zoeksleutel],0),I390 + 1)</f>
        <v>0.71990601886105599</v>
      </c>
      <c r="L39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47996.765107200001</v>
      </c>
      <c r="M390" s="398" cm="1">
        <f t="array" ref="M390">J390*INDEX(Berekening_impact[Totaal arbeidsbesparing (€/jaar)],MATCH(B390,IF(Berekening_impact[Doelgroep]=C390,Berekening_impact[Digitale zorgtoepassing]),0))</f>
        <v>211845327.51457039</v>
      </c>
      <c r="N390" s="397" cm="1">
        <f t="array" ref="N390">J390*INDEX(Berekening_impact[Totaal arbeidsbesparing (FTE/jaar)],MATCH(B390,IF(Berekening_impact[Doelgroep]=C390,Berekening_impact[Digitale zorgtoepassing]),0))</f>
        <v>4019.3592396407012</v>
      </c>
      <c r="O390" s="398" cm="1">
        <f t="array" ref="O390">J390*INDEX(Berekening_impact[Overige kostenbesparing (totaal/jaar totaal potentieel)],MATCH(B390,IF(Berekening_impact[Doelgroep]=C390,Berekening_impact[Digitale zorgtoepassing]),0))</f>
        <v>104341728.47732572</v>
      </c>
      <c r="P390" s="398" cm="1">
        <f t="array" ref="P390">J390*INDEX(Berekening_impact[Opbrengsten door QALY''s],MATCH(B390,IF(Berekening_impact[Doelgroep]=C390,Berekening_impact[Digitale zorgtoepassing]),0))</f>
        <v>0</v>
      </c>
      <c r="Q390" s="398" cm="1">
        <f t="array" ref="Q390">J390*INDEX(Berekening_impact[Jaarlijkse kosten (totaal) - incl. schatting],MATCH(B390,IF(Berekening_impact[Doelgroep]=C390,Berekening_impact[Digitale zorgtoepassing]),0))</f>
        <v>50848347.925990678</v>
      </c>
      <c r="R390" s="398" cm="1">
        <f t="array" ref="R390">(uitkomst_doelgroep[[#This Row],[Implementatiegraad t = T + 1]]-uitkomst_doelgroep[[#This Row],[Implementatiegraad t = T]])*INDEX(Berekening_impact[Initiële investering (totaal) - incl. schatting],MATCH(B390,IF(Berekening_impact[Doelgroep]=C390,Berekening_impact[Digitale zorgtoepassing]),0))</f>
        <v>540770.51706046204</v>
      </c>
      <c r="S390" s="398">
        <f>uitkomst_doelgroep[[#This Row],[Arbeidsbesparing (€)]]*uitkomst_doelgroep[[#This Row],[Percentage van patiëntaantallen in Wlz (overige is Zvw)]]</f>
        <v>148291729.26019928</v>
      </c>
      <c r="T390" s="398">
        <f>uitkomst_doelgroep[[#This Row],[Overige besparingen (€)]]*uitkomst_doelgroep[[#This Row],[Percentage van patiëntaantallen in Wlz (overige is Zvw)]]</f>
        <v>73039209.934128016</v>
      </c>
      <c r="U390" s="398">
        <f>uitkomst_doelgroep[[#This Row],[Kosten (€)]]*uitkomst_doelgroep[[#This Row],[Percentage van patiëntaantallen in Wlz (overige is Zvw)]]</f>
        <v>35593843.548193477</v>
      </c>
      <c r="V390" s="398">
        <f>uitkomst_doelgroep[[#This Row],[Investering (cash flow) (€)]]*uitkomst_doelgroep[[#This Row],[Percentage van patiëntaantallen in Wlz (overige is Zvw)]]</f>
        <v>378539.36194232345</v>
      </c>
    </row>
    <row r="391" spans="1:22" x14ac:dyDescent="0.5">
      <c r="A391" s="33" t="str">
        <f>INDEX(Technologieën[Veld],MATCH(B391,Technologieën[Digitale zorgtoepassing],0))</f>
        <v>Digitale hulpmiddelen - Verpleging</v>
      </c>
      <c r="B391" s="33" t="s">
        <v>26</v>
      </c>
      <c r="C391" s="33" t="s">
        <v>24</v>
      </c>
      <c r="D391" s="427" cm="1">
        <f t="array" ref="D391">INDEX(Berekening_patiëntaantal[Percentage van patiëntaantallen in Wlz (overige is Zvw)],MATCH(B391,IF(Berekening_patiëntaantal[Doelgroep (zoeksleutel)]=C391,Berekening_patiëntaantal[Digitale zorgtoepassing]),0))</f>
        <v>0.45</v>
      </c>
      <c r="E391" s="33" t="str" cm="1">
        <f t="array" ref="E391">INDEX(Berekening_patiëntaantal[Direct toepasbaar/extrapolatie/incidentie voor QALY],MATCH(B391,IF(Berekening_patiëntaantal[Doelgroep (zoeksleutel)]=C391,Berekening_patiëntaantal[Digitale zorgtoepassing]),0))</f>
        <v>Extrapolatie</v>
      </c>
      <c r="F391" s="43" t="s">
        <v>812</v>
      </c>
      <c r="G391" s="33" t="str">
        <f>CONCATENATE(uitkomst_doelgroep[[#This Row],[Digitale zorgtoepassing]],"_",uitkomst_doelgroep[[#This Row],[Doelgroep]],"_",uitkomst_doelgroep[[#This Row],[Uitgangssituatie/effect beleid]])</f>
        <v>Medicijndispenser_Cognitieve beperking_Effect beleid</v>
      </c>
      <c r="H391" s="33">
        <v>2026</v>
      </c>
      <c r="I391" s="32">
        <v>4</v>
      </c>
      <c r="J391" s="406" cm="1">
        <f t="array" ref="J391">INDEX(implementatie[[2023]:[2034]],MATCH(G391, implementatie[Zoeksleutel],0),I391)</f>
        <v>0.02</v>
      </c>
      <c r="K391" s="406" cm="1">
        <f t="array" ref="K391">INDEX(implementatie[[2023]:[2034]],MATCH(G391,implementatie[Zoeksleutel],0),I391 + 1)</f>
        <v>4.7439999999999996E-2</v>
      </c>
      <c r="L39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160.19640000000001</v>
      </c>
      <c r="M391" s="398" cm="1">
        <f t="array" ref="M391">J391*INDEX(Berekening_impact[Totaal arbeidsbesparing (€/jaar)],MATCH(B391,IF(Berekening_impact[Doelgroep]=C391,Berekening_impact[Digitale zorgtoepassing]),0))</f>
        <v>707065.54387275281</v>
      </c>
      <c r="N391" s="397" cm="1">
        <f t="array" ref="N391">J391*INDEX(Berekening_impact[Totaal arbeidsbesparing (FTE/jaar)],MATCH(B391,IF(Berekening_impact[Doelgroep]=C391,Berekening_impact[Digitale zorgtoepassing]),0))</f>
        <v>13.415214109931508</v>
      </c>
      <c r="O391" s="398" cm="1">
        <f t="array" ref="O391">J391*INDEX(Berekening_impact[Overige kostenbesparing (totaal/jaar totaal potentieel)],MATCH(B391,IF(Berekening_impact[Doelgroep]=C391,Berekening_impact[Digitale zorgtoepassing]),0))</f>
        <v>348256.16340001253</v>
      </c>
      <c r="P391" s="398" cm="1">
        <f t="array" ref="P391">J391*INDEX(Berekening_impact[Opbrengsten door QALY''s],MATCH(B391,IF(Berekening_impact[Doelgroep]=C391,Berekening_impact[Digitale zorgtoepassing]),0))</f>
        <v>0</v>
      </c>
      <c r="Q391" s="398" cm="1">
        <f t="array" ref="Q391">J391*INDEX(Berekening_impact[Jaarlijkse kosten (totaal) - incl. schatting],MATCH(B391,IF(Berekening_impact[Doelgroep]=C391,Berekening_impact[Digitale zorgtoepassing]),0))</f>
        <v>169763.36021333336</v>
      </c>
      <c r="R391" s="398" cm="1">
        <f t="array" ref="R391">(uitkomst_doelgroep[[#This Row],[Implementatiegraad t = T + 1]]-uitkomst_doelgroep[[#This Row],[Implementatiegraad t = T]])*INDEX(Berekening_impact[Initiële investering (totaal) - incl. schatting],MATCH(B391,IF(Berekening_impact[Doelgroep]=C391,Berekening_impact[Digitale zorgtoepassing]),0))</f>
        <v>0</v>
      </c>
      <c r="S391" s="398">
        <f>uitkomst_doelgroep[[#This Row],[Arbeidsbesparing (€)]]*uitkomst_doelgroep[[#This Row],[Percentage van patiëntaantallen in Wlz (overige is Zvw)]]</f>
        <v>318179.49474273878</v>
      </c>
      <c r="T391" s="398">
        <f>uitkomst_doelgroep[[#This Row],[Overige besparingen (€)]]*uitkomst_doelgroep[[#This Row],[Percentage van patiëntaantallen in Wlz (overige is Zvw)]]</f>
        <v>156715.27353000565</v>
      </c>
      <c r="U391" s="398">
        <f>uitkomst_doelgroep[[#This Row],[Kosten (€)]]*uitkomst_doelgroep[[#This Row],[Percentage van patiëntaantallen in Wlz (overige is Zvw)]]</f>
        <v>76393.51209600002</v>
      </c>
      <c r="V391" s="398">
        <f>uitkomst_doelgroep[[#This Row],[Investering (cash flow) (€)]]*uitkomst_doelgroep[[#This Row],[Percentage van patiëntaantallen in Wlz (overige is Zvw)]]</f>
        <v>0</v>
      </c>
    </row>
    <row r="392" spans="1:22" x14ac:dyDescent="0.5">
      <c r="A392" s="33" t="str">
        <f>INDEX(Technologieën[Veld],MATCH(B392,Technologieën[Digitale zorgtoepassing],0))</f>
        <v>Digitale hulpmiddelen - Verpleging</v>
      </c>
      <c r="B392" s="33" t="s">
        <v>26</v>
      </c>
      <c r="C392" s="33" t="s">
        <v>20</v>
      </c>
      <c r="D392" s="427" cm="1">
        <f t="array" ref="D392">INDEX(Berekening_patiëntaantal[Percentage van patiëntaantallen in Wlz (overige is Zvw)],MATCH(B392,IF(Berekening_patiëntaantal[Doelgroep (zoeksleutel)]=C392,Berekening_patiëntaantal[Digitale zorgtoepassing]),0))</f>
        <v>0.45</v>
      </c>
      <c r="E392" s="33" t="str" cm="1">
        <f t="array" ref="E392">INDEX(Berekening_patiëntaantal[Direct toepasbaar/extrapolatie/incidentie voor QALY],MATCH(B392,IF(Berekening_patiëntaantal[Doelgroep (zoeksleutel)]=C392,Berekening_patiëntaantal[Digitale zorgtoepassing]),0))</f>
        <v>Huidige toepassing</v>
      </c>
      <c r="F392" s="43" t="s">
        <v>812</v>
      </c>
      <c r="G392" s="33" t="str">
        <f>CONCATENATE(uitkomst_doelgroep[[#This Row],[Digitale zorgtoepassing]],"_",uitkomst_doelgroep[[#This Row],[Doelgroep]],"_",uitkomst_doelgroep[[#This Row],[Uitgangssituatie/effect beleid]])</f>
        <v>Medicijndispenser_Dementie_Effect beleid</v>
      </c>
      <c r="H392" s="33">
        <v>2026</v>
      </c>
      <c r="I392" s="32">
        <v>4</v>
      </c>
      <c r="J392" s="406" cm="1">
        <f t="array" ref="J392">INDEX(implementatie[[2023]:[2034]],MATCH(G392, implementatie[Zoeksleutel],0),I392)</f>
        <v>0.71990601886105599</v>
      </c>
      <c r="K392" s="406" cm="1">
        <f t="array" ref="K392">INDEX(implementatie[[2023]:[2034]],MATCH(G392,implementatie[Zoeksleutel],0),I392 + 1)</f>
        <v>0.80616443563130724</v>
      </c>
      <c r="L39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30370.171283478168</v>
      </c>
      <c r="M392" s="398" cm="1">
        <f t="array" ref="M392">J392*INDEX(Berekening_impact[Totaal arbeidsbesparing (€/jaar)],MATCH(B392,IF(Berekening_impact[Doelgroep]=C392,Berekening_impact[Digitale zorgtoepassing]),0))</f>
        <v>134046093.8951259</v>
      </c>
      <c r="N392" s="397" cm="1">
        <f t="array" ref="N392">J392*INDEX(Berekening_impact[Totaal arbeidsbesparing (FTE/jaar)],MATCH(B392,IF(Berekening_impact[Doelgroep]=C392,Berekening_impact[Digitale zorgtoepassing]),0))</f>
        <v>2543.2678282605161</v>
      </c>
      <c r="O392" s="398" cm="1">
        <f t="array" ref="O392">J392*INDEX(Berekening_impact[Overige kostenbesparing (totaal/jaar totaal potentieel)],MATCH(B392,IF(Berekening_impact[Doelgroep]=C392,Berekening_impact[Digitale zorgtoepassing]),0))</f>
        <v>66022702.963270962</v>
      </c>
      <c r="P392" s="398" cm="1">
        <f t="array" ref="P392">J392*INDEX(Berekening_impact[Opbrengsten door QALY''s],MATCH(B392,IF(Berekening_impact[Doelgroep]=C392,Berekening_impact[Digitale zorgtoepassing]),0))</f>
        <v>0</v>
      </c>
      <c r="Q392" s="398" cm="1">
        <f t="array" ref="Q392">J392*INDEX(Berekening_impact[Jaarlijkse kosten (totaal) - incl. schatting],MATCH(B392,IF(Berekening_impact[Doelgroep]=C392,Berekening_impact[Digitale zorgtoepassing]),0))</f>
        <v>32176689.446642216</v>
      </c>
      <c r="R392" s="398" cm="1">
        <f t="array" ref="R392">(uitkomst_doelgroep[[#This Row],[Implementatiegraad t = T + 1]]-uitkomst_doelgroep[[#This Row],[Implementatiegraad t = T]])*INDEX(Berekening_impact[Initiële investering (totaal) - incl. schatting],MATCH(B392,IF(Berekening_impact[Doelgroep]=C392,Berekening_impact[Digitale zorgtoepassing]),0))</f>
        <v>319597.57180797687</v>
      </c>
      <c r="S392" s="398">
        <f>uitkomst_doelgroep[[#This Row],[Arbeidsbesparing (€)]]*uitkomst_doelgroep[[#This Row],[Percentage van patiëntaantallen in Wlz (overige is Zvw)]]</f>
        <v>60320742.252806656</v>
      </c>
      <c r="T392" s="398">
        <f>uitkomst_doelgroep[[#This Row],[Overige besparingen (€)]]*uitkomst_doelgroep[[#This Row],[Percentage van patiëntaantallen in Wlz (overige is Zvw)]]</f>
        <v>29710216.333471935</v>
      </c>
      <c r="U392" s="398">
        <f>uitkomst_doelgroep[[#This Row],[Kosten (€)]]*uitkomst_doelgroep[[#This Row],[Percentage van patiëntaantallen in Wlz (overige is Zvw)]]</f>
        <v>14479510.250988998</v>
      </c>
      <c r="V392" s="398">
        <f>uitkomst_doelgroep[[#This Row],[Investering (cash flow) (€)]]*uitkomst_doelgroep[[#This Row],[Percentage van patiëntaantallen in Wlz (overige is Zvw)]]</f>
        <v>143818.90731358959</v>
      </c>
    </row>
    <row r="393" spans="1:22" x14ac:dyDescent="0.5">
      <c r="A393" s="33" t="str">
        <f>INDEX(Technologieën[Veld],MATCH(B393,Technologieën[Digitale zorgtoepassing],0))</f>
        <v>Digitale hulpmiddelen - Verpleging</v>
      </c>
      <c r="B393" s="33" t="s">
        <v>26</v>
      </c>
      <c r="C393" s="33" t="s">
        <v>27</v>
      </c>
      <c r="D393" s="427" cm="1">
        <f t="array" ref="D393">INDEX(Berekening_patiëntaantal[Percentage van patiëntaantallen in Wlz (overige is Zvw)],MATCH(B393,IF(Berekening_patiëntaantal[Doelgroep (zoeksleutel)]=C393,Berekening_patiëntaantal[Digitale zorgtoepassing]),0))</f>
        <v>1</v>
      </c>
      <c r="E393" s="33" t="str" cm="1">
        <f t="array" ref="E393">INDEX(Berekening_patiëntaantal[Direct toepasbaar/extrapolatie/incidentie voor QALY],MATCH(B393,IF(Berekening_patiëntaantal[Doelgroep (zoeksleutel)]=C393,Berekening_patiëntaantal[Digitale zorgtoepassing]),0))</f>
        <v>Huidige toepassing</v>
      </c>
      <c r="F393" s="43" t="s">
        <v>812</v>
      </c>
      <c r="G393" s="33" t="str">
        <f>CONCATENATE(uitkomst_doelgroep[[#This Row],[Digitale zorgtoepassing]],"_",uitkomst_doelgroep[[#This Row],[Doelgroep]],"_",uitkomst_doelgroep[[#This Row],[Uitgangssituatie/effect beleid]])</f>
        <v>Medicijndispenser_Parkinson_Effect beleid</v>
      </c>
      <c r="H393" s="33">
        <v>2026</v>
      </c>
      <c r="I393" s="32">
        <v>4</v>
      </c>
      <c r="J393" s="406" cm="1">
        <f t="array" ref="J393">INDEX(implementatie[[2023]:[2034]],MATCH(G393, implementatie[Zoeksleutel],0),I393)</f>
        <v>0.71990601886105599</v>
      </c>
      <c r="K393" s="406" cm="1">
        <f t="array" ref="K393">INDEX(implementatie[[2023]:[2034]],MATCH(G393,implementatie[Zoeksleutel],0),I393 + 1)</f>
        <v>0.80616443563130724</v>
      </c>
      <c r="L39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7083.4432819814738</v>
      </c>
      <c r="M393" s="398" cm="1">
        <f t="array" ref="M393">J393*INDEX(Berekening_impact[Totaal arbeidsbesparing (€/jaar)],MATCH(B393,IF(Berekening_impact[Doelgroep]=C393,Berekening_impact[Digitale zorgtoepassing]),0))</f>
        <v>31264489.568217687</v>
      </c>
      <c r="N393" s="397" cm="1">
        <f t="array" ref="N393">J393*INDEX(Berekening_impact[Totaal arbeidsbesparing (FTE/jaar)],MATCH(B393,IF(Berekening_impact[Doelgroep]=C393,Berekening_impact[Digitale zorgtoepassing]),0))</f>
        <v>593.18379353928935</v>
      </c>
      <c r="O393" s="398" cm="1">
        <f t="array" ref="O393">J393*INDEX(Berekening_impact[Overige kostenbesparing (totaal/jaar totaal potentieel)],MATCH(B393,IF(Berekening_impact[Doelgroep]=C393,Berekening_impact[Digitale zorgtoepassing]),0))</f>
        <v>15398927.69777886</v>
      </c>
      <c r="P393" s="398" cm="1">
        <f t="array" ref="P393">J393*INDEX(Berekening_impact[Opbrengsten door QALY''s],MATCH(B393,IF(Berekening_impact[Doelgroep]=C393,Berekening_impact[Digitale zorgtoepassing]),0))</f>
        <v>0</v>
      </c>
      <c r="Q393" s="398" cm="1">
        <f t="array" ref="Q393">J393*INDEX(Berekening_impact[Jaarlijkse kosten (totaal) - incl. schatting],MATCH(B393,IF(Berekening_impact[Doelgroep]=C393,Berekening_impact[Digitale zorgtoepassing]),0))</f>
        <v>7512081.9103517337</v>
      </c>
      <c r="R393" s="398" cm="1">
        <f t="array" ref="R393">(uitkomst_doelgroep[[#This Row],[Implementatiegraad t = T + 1]]-uitkomst_doelgroep[[#This Row],[Implementatiegraad t = T]])*INDEX(Berekening_impact[Initiële investering (totaal) - incl. schatting],MATCH(B393,IF(Berekening_impact[Doelgroep]=C393,Berekening_impact[Digitale zorgtoepassing]),0))</f>
        <v>137565.60416165553</v>
      </c>
      <c r="S393" s="398">
        <f>uitkomst_doelgroep[[#This Row],[Arbeidsbesparing (€)]]*uitkomst_doelgroep[[#This Row],[Percentage van patiëntaantallen in Wlz (overige is Zvw)]]</f>
        <v>31264489.568217687</v>
      </c>
      <c r="T393" s="398">
        <f>uitkomst_doelgroep[[#This Row],[Overige besparingen (€)]]*uitkomst_doelgroep[[#This Row],[Percentage van patiëntaantallen in Wlz (overige is Zvw)]]</f>
        <v>15398927.69777886</v>
      </c>
      <c r="U393" s="398">
        <f>uitkomst_doelgroep[[#This Row],[Kosten (€)]]*uitkomst_doelgroep[[#This Row],[Percentage van patiëntaantallen in Wlz (overige is Zvw)]]</f>
        <v>7512081.9103517337</v>
      </c>
      <c r="V393" s="398">
        <f>uitkomst_doelgroep[[#This Row],[Investering (cash flow) (€)]]*uitkomst_doelgroep[[#This Row],[Percentage van patiëntaantallen in Wlz (overige is Zvw)]]</f>
        <v>137565.60416165553</v>
      </c>
    </row>
    <row r="394" spans="1:22" x14ac:dyDescent="0.5">
      <c r="A394" s="33" t="str">
        <f>INDEX(Technologieën[Veld],MATCH(B394,Technologieën[Digitale zorgtoepassing],0))</f>
        <v>Digitale hulpmiddelen - Verpleging</v>
      </c>
      <c r="B394" s="33" t="s">
        <v>26</v>
      </c>
      <c r="C394" s="33" t="s">
        <v>29</v>
      </c>
      <c r="D394" s="427" cm="1">
        <f t="array" ref="D394">INDEX(Berekening_patiëntaantal[Percentage van patiëntaantallen in Wlz (overige is Zvw)],MATCH(B394,IF(Berekening_patiëntaantal[Doelgroep (zoeksleutel)]=C394,Berekening_patiëntaantal[Digitale zorgtoepassing]),0))</f>
        <v>0.70000000000000007</v>
      </c>
      <c r="E394" s="33" t="str" cm="1">
        <f t="array" ref="E394">INDEX(Berekening_patiëntaantal[Direct toepasbaar/extrapolatie/incidentie voor QALY],MATCH(B394,IF(Berekening_patiëntaantal[Doelgroep (zoeksleutel)]=C394,Berekening_patiëntaantal[Digitale zorgtoepassing]),0))</f>
        <v>Huidige toepassing</v>
      </c>
      <c r="F394" s="43" t="s">
        <v>812</v>
      </c>
      <c r="G394" s="33" t="str">
        <f>CONCATENATE(uitkomst_doelgroep[[#This Row],[Digitale zorgtoepassing]],"_",uitkomst_doelgroep[[#This Row],[Doelgroep]],"_",uitkomst_doelgroep[[#This Row],[Uitgangssituatie/effect beleid]])</f>
        <v>Medicijndispenser_Reumatische aandoening _Effect beleid</v>
      </c>
      <c r="H394" s="33">
        <v>2026</v>
      </c>
      <c r="I394" s="32">
        <v>4</v>
      </c>
      <c r="J394" s="406" cm="1">
        <f t="array" ref="J394">INDEX(implementatie[[2023]:[2034]],MATCH(G394, implementatie[Zoeksleutel],0),I394)</f>
        <v>0.71990601886105599</v>
      </c>
      <c r="K394" s="406" cm="1">
        <f t="array" ref="K394">INDEX(implementatie[[2023]:[2034]],MATCH(G394,implementatie[Zoeksleutel],0),I394 + 1)</f>
        <v>0.80616443563130724</v>
      </c>
      <c r="L39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55928.05879327772</v>
      </c>
      <c r="M394" s="398" cm="1">
        <f t="array" ref="M394">J394*INDEX(Berekening_impact[Totaal arbeidsbesparing (€/jaar)],MATCH(B394,IF(Berekening_impact[Doelgroep]=C394,Berekening_impact[Digitale zorgtoepassing]),0))</f>
        <v>246852009.83552811</v>
      </c>
      <c r="N394" s="397" cm="1">
        <f t="array" ref="N394">J394*INDEX(Berekening_impact[Totaal arbeidsbesparing (FTE/jaar)],MATCH(B394,IF(Berekening_impact[Doelgroep]=C394,Berekening_impact[Digitale zorgtoepassing]),0))</f>
        <v>4683.5439714291842</v>
      </c>
      <c r="O394" s="398" cm="1">
        <f t="array" ref="O394">J394*INDEX(Berekening_impact[Overige kostenbesparing (totaal/jaar totaal potentieel)],MATCH(B394,IF(Berekening_impact[Doelgroep]=C394,Berekening_impact[Digitale zorgtoepassing]),0))</f>
        <v>121583825.739887</v>
      </c>
      <c r="P394" s="398" cm="1">
        <f t="array" ref="P394">J394*INDEX(Berekening_impact[Opbrengsten door QALY''s],MATCH(B394,IF(Berekening_impact[Doelgroep]=C394,Berekening_impact[Digitale zorgtoepassing]),0))</f>
        <v>0</v>
      </c>
      <c r="Q394" s="398" cm="1">
        <f t="array" ref="Q394">J394*INDEX(Berekening_impact[Jaarlijkse kosten (totaal) - incl. schatting],MATCH(B394,IF(Berekening_impact[Doelgroep]=C394,Berekening_impact[Digitale zorgtoepassing]),0))</f>
        <v>59250855.46899163</v>
      </c>
      <c r="R394" s="398" cm="1">
        <f t="array" ref="R394">(uitkomst_doelgroep[[#This Row],[Implementatiegraad t = T + 1]]-uitkomst_doelgroep[[#This Row],[Implementatiegraad t = T]])*INDEX(Berekening_impact[Initiële investering (totaal) - incl. schatting],MATCH(B394,IF(Berekening_impact[Doelgroep]=C394,Berekening_impact[Digitale zorgtoepassing]),0))</f>
        <v>456903.40850750532</v>
      </c>
      <c r="S394" s="398">
        <f>uitkomst_doelgroep[[#This Row],[Arbeidsbesparing (€)]]*uitkomst_doelgroep[[#This Row],[Percentage van patiëntaantallen in Wlz (overige is Zvw)]]</f>
        <v>172796406.88486969</v>
      </c>
      <c r="T394" s="398">
        <f>uitkomst_doelgroep[[#This Row],[Overige besparingen (€)]]*uitkomst_doelgroep[[#This Row],[Percentage van patiëntaantallen in Wlz (overige is Zvw)]]</f>
        <v>85108678.017920911</v>
      </c>
      <c r="U394" s="398">
        <f>uitkomst_doelgroep[[#This Row],[Kosten (€)]]*uitkomst_doelgroep[[#This Row],[Percentage van patiëntaantallen in Wlz (overige is Zvw)]]</f>
        <v>41475598.828294143</v>
      </c>
      <c r="V394" s="398">
        <f>uitkomst_doelgroep[[#This Row],[Investering (cash flow) (€)]]*uitkomst_doelgroep[[#This Row],[Percentage van patiëntaantallen in Wlz (overige is Zvw)]]</f>
        <v>319832.38595525373</v>
      </c>
    </row>
    <row r="395" spans="1:22" x14ac:dyDescent="0.5">
      <c r="A395" s="33" t="str">
        <f>INDEX(Technologieën[Veld],MATCH(B395,Technologieën[Digitale zorgtoepassing],0))</f>
        <v>Digitale hulpmiddelen - Verpleging</v>
      </c>
      <c r="B395" s="33" t="s">
        <v>26</v>
      </c>
      <c r="C395" s="33" t="s">
        <v>24</v>
      </c>
      <c r="D395" s="427" cm="1">
        <f t="array" ref="D395">INDEX(Berekening_patiëntaantal[Percentage van patiëntaantallen in Wlz (overige is Zvw)],MATCH(B395,IF(Berekening_patiëntaantal[Doelgroep (zoeksleutel)]=C395,Berekening_patiëntaantal[Digitale zorgtoepassing]),0))</f>
        <v>0.45</v>
      </c>
      <c r="E395" s="33" t="str" cm="1">
        <f t="array" ref="E395">INDEX(Berekening_patiëntaantal[Direct toepasbaar/extrapolatie/incidentie voor QALY],MATCH(B395,IF(Berekening_patiëntaantal[Doelgroep (zoeksleutel)]=C395,Berekening_patiëntaantal[Digitale zorgtoepassing]),0))</f>
        <v>Extrapolatie</v>
      </c>
      <c r="F395" s="43" t="s">
        <v>812</v>
      </c>
      <c r="G395" s="33" t="str">
        <f>CONCATENATE(uitkomst_doelgroep[[#This Row],[Digitale zorgtoepassing]],"_",uitkomst_doelgroep[[#This Row],[Doelgroep]],"_",uitkomst_doelgroep[[#This Row],[Uitgangssituatie/effect beleid]])</f>
        <v>Medicijndispenser_Cognitieve beperking_Effect beleid</v>
      </c>
      <c r="H395" s="33">
        <v>2027</v>
      </c>
      <c r="I395" s="32">
        <v>5</v>
      </c>
      <c r="J395" s="406" cm="1">
        <f t="array" ref="J395">INDEX(implementatie[[2023]:[2034]],MATCH(G395, implementatie[Zoeksleutel],0),I395)</f>
        <v>4.7439999999999996E-2</v>
      </c>
      <c r="K395" s="406" cm="1">
        <f t="array" ref="K395">INDEX(implementatie[[2023]:[2034]],MATCH(G395,implementatie[Zoeksleutel],0),I395 + 1)</f>
        <v>8.4566978560000006E-2</v>
      </c>
      <c r="L39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379.98586080000001</v>
      </c>
      <c r="M395" s="398" cm="1">
        <f t="array" ref="M395">J395*INDEX(Berekening_impact[Totaal arbeidsbesparing (€/jaar)],MATCH(B395,IF(Berekening_impact[Doelgroep]=C395,Berekening_impact[Digitale zorgtoepassing]),0))</f>
        <v>1677159.4700661695</v>
      </c>
      <c r="N395" s="397" cm="1">
        <f t="array" ref="N395">J395*INDEX(Berekening_impact[Totaal arbeidsbesparing (FTE/jaar)],MATCH(B395,IF(Berekening_impact[Doelgroep]=C395,Berekening_impact[Digitale zorgtoepassing]),0))</f>
        <v>31.820887868757534</v>
      </c>
      <c r="O395" s="398" cm="1">
        <f t="array" ref="O395">J395*INDEX(Berekening_impact[Overige kostenbesparing (totaal/jaar totaal potentieel)],MATCH(B395,IF(Berekening_impact[Doelgroep]=C395,Berekening_impact[Digitale zorgtoepassing]),0))</f>
        <v>826063.61958482966</v>
      </c>
      <c r="P395" s="398" cm="1">
        <f t="array" ref="P395">J395*INDEX(Berekening_impact[Opbrengsten door QALY''s],MATCH(B395,IF(Berekening_impact[Doelgroep]=C395,Berekening_impact[Digitale zorgtoepassing]),0))</f>
        <v>0</v>
      </c>
      <c r="Q395" s="398" cm="1">
        <f t="array" ref="Q395">J395*INDEX(Berekening_impact[Jaarlijkse kosten (totaal) - incl. schatting],MATCH(B395,IF(Berekening_impact[Doelgroep]=C395,Berekening_impact[Digitale zorgtoepassing]),0))</f>
        <v>402678.6904260267</v>
      </c>
      <c r="R395" s="398" cm="1">
        <f t="array" ref="R395">(uitkomst_doelgroep[[#This Row],[Implementatiegraad t = T + 1]]-uitkomst_doelgroep[[#This Row],[Implementatiegraad t = T]])*INDEX(Berekening_impact[Initiële investering (totaal) - incl. schatting],MATCH(B395,IF(Berekening_impact[Doelgroep]=C395,Berekening_impact[Digitale zorgtoepassing]),0))</f>
        <v>0</v>
      </c>
      <c r="S395" s="398">
        <f>uitkomst_doelgroep[[#This Row],[Arbeidsbesparing (€)]]*uitkomst_doelgroep[[#This Row],[Percentage van patiëntaantallen in Wlz (overige is Zvw)]]</f>
        <v>754721.76152977627</v>
      </c>
      <c r="T395" s="398">
        <f>uitkomst_doelgroep[[#This Row],[Overige besparingen (€)]]*uitkomst_doelgroep[[#This Row],[Percentage van patiëntaantallen in Wlz (overige is Zvw)]]</f>
        <v>371728.62881317333</v>
      </c>
      <c r="U395" s="398">
        <f>uitkomst_doelgroep[[#This Row],[Kosten (€)]]*uitkomst_doelgroep[[#This Row],[Percentage van patiëntaantallen in Wlz (overige is Zvw)]]</f>
        <v>181205.41069171202</v>
      </c>
      <c r="V395" s="398">
        <f>uitkomst_doelgroep[[#This Row],[Investering (cash flow) (€)]]*uitkomst_doelgroep[[#This Row],[Percentage van patiëntaantallen in Wlz (overige is Zvw)]]</f>
        <v>0</v>
      </c>
    </row>
    <row r="396" spans="1:22" x14ac:dyDescent="0.5">
      <c r="A396" s="33" t="str">
        <f>INDEX(Technologieën[Veld],MATCH(B396,Technologieën[Digitale zorgtoepassing],0))</f>
        <v>Digitale hulpmiddelen - Verpleging</v>
      </c>
      <c r="B396" s="33" t="s">
        <v>26</v>
      </c>
      <c r="C396" s="33" t="s">
        <v>20</v>
      </c>
      <c r="D396" s="427" cm="1">
        <f t="array" ref="D396">INDEX(Berekening_patiëntaantal[Percentage van patiëntaantallen in Wlz (overige is Zvw)],MATCH(B396,IF(Berekening_patiëntaantal[Doelgroep (zoeksleutel)]=C396,Berekening_patiëntaantal[Digitale zorgtoepassing]),0))</f>
        <v>0.45</v>
      </c>
      <c r="E396" s="33" t="str" cm="1">
        <f t="array" ref="E396">INDEX(Berekening_patiëntaantal[Direct toepasbaar/extrapolatie/incidentie voor QALY],MATCH(B396,IF(Berekening_patiëntaantal[Doelgroep (zoeksleutel)]=C396,Berekening_patiëntaantal[Digitale zorgtoepassing]),0))</f>
        <v>Huidige toepassing</v>
      </c>
      <c r="F396" s="43" t="s">
        <v>812</v>
      </c>
      <c r="G396" s="33" t="str">
        <f>CONCATENATE(uitkomst_doelgroep[[#This Row],[Digitale zorgtoepassing]],"_",uitkomst_doelgroep[[#This Row],[Doelgroep]],"_",uitkomst_doelgroep[[#This Row],[Uitgangssituatie/effect beleid]])</f>
        <v>Medicijndispenser_Dementie_Effect beleid</v>
      </c>
      <c r="H396" s="33">
        <v>2027</v>
      </c>
      <c r="I396" s="32">
        <v>5</v>
      </c>
      <c r="J396" s="406" cm="1">
        <f t="array" ref="J396">INDEX(implementatie[[2023]:[2034]],MATCH(G396, implementatie[Zoeksleutel],0),I396)</f>
        <v>0.80616443563130724</v>
      </c>
      <c r="K396" s="406" cm="1">
        <f t="array" ref="K396">INDEX(implementatie[[2023]:[2034]],MATCH(G396,implementatie[Zoeksleutel],0),I396 + 1)</f>
        <v>0.87254648226050635</v>
      </c>
      <c r="L39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34009.094730873017</v>
      </c>
      <c r="M396" s="398" cm="1">
        <f t="array" ref="M396">J396*INDEX(Berekening_impact[Totaal arbeidsbesparing (€/jaar)],MATCH(B396,IF(Berekening_impact[Doelgroep]=C396,Berekening_impact[Digitale zorgtoepassing]),0))</f>
        <v>150107362.3533656</v>
      </c>
      <c r="N396" s="397" cm="1">
        <f t="array" ref="N396">J396*INDEX(Berekening_impact[Totaal arbeidsbesparing (FTE/jaar)],MATCH(B396,IF(Berekening_impact[Doelgroep]=C396,Berekening_impact[Digitale zorgtoepassing]),0))</f>
        <v>2847.9996273299835</v>
      </c>
      <c r="O396" s="398" cm="1">
        <f t="array" ref="O396">J396*INDEX(Berekening_impact[Overige kostenbesparing (totaal/jaar totaal potentieel)],MATCH(B396,IF(Berekening_impact[Doelgroep]=C396,Berekening_impact[Digitale zorgtoepassing]),0))</f>
        <v>73933476.980015889</v>
      </c>
      <c r="P396" s="398" cm="1">
        <f t="array" ref="P396">J396*INDEX(Berekening_impact[Opbrengsten door QALY''s],MATCH(B396,IF(Berekening_impact[Doelgroep]=C396,Berekening_impact[Digitale zorgtoepassing]),0))</f>
        <v>0</v>
      </c>
      <c r="Q396" s="398" cm="1">
        <f t="array" ref="Q396">J396*INDEX(Berekening_impact[Jaarlijkse kosten (totaal) - incl. schatting],MATCH(B396,IF(Berekening_impact[Doelgroep]=C396,Berekening_impact[Digitale zorgtoepassing]),0))</f>
        <v>36032068.08754658</v>
      </c>
      <c r="R396" s="398" cm="1">
        <f t="array" ref="R396">(uitkomst_doelgroep[[#This Row],[Implementatiegraad t = T + 1]]-uitkomst_doelgroep[[#This Row],[Implementatiegraad t = T]])*INDEX(Berekening_impact[Initiële investering (totaal) - incl. schatting],MATCH(B396,IF(Berekening_impact[Doelgroep]=C396,Berekening_impact[Digitale zorgtoepassing]),0))</f>
        <v>245953.28442954604</v>
      </c>
      <c r="S396" s="398">
        <f>uitkomst_doelgroep[[#This Row],[Arbeidsbesparing (€)]]*uitkomst_doelgroep[[#This Row],[Percentage van patiëntaantallen in Wlz (overige is Zvw)]]</f>
        <v>67548313.059014529</v>
      </c>
      <c r="T396" s="398">
        <f>uitkomst_doelgroep[[#This Row],[Overige besparingen (€)]]*uitkomst_doelgroep[[#This Row],[Percentage van patiëntaantallen in Wlz (overige is Zvw)]]</f>
        <v>33270064.641007151</v>
      </c>
      <c r="U396" s="398">
        <f>uitkomst_doelgroep[[#This Row],[Kosten (€)]]*uitkomst_doelgroep[[#This Row],[Percentage van patiëntaantallen in Wlz (overige is Zvw)]]</f>
        <v>16214430.639395962</v>
      </c>
      <c r="V396" s="398">
        <f>uitkomst_doelgroep[[#This Row],[Investering (cash flow) (€)]]*uitkomst_doelgroep[[#This Row],[Percentage van patiëntaantallen in Wlz (overige is Zvw)]]</f>
        <v>110678.97799329572</v>
      </c>
    </row>
    <row r="397" spans="1:22" x14ac:dyDescent="0.5">
      <c r="A397" s="33" t="str">
        <f>INDEX(Technologieën[Veld],MATCH(B397,Technologieën[Digitale zorgtoepassing],0))</f>
        <v>Digitale hulpmiddelen - Verpleging</v>
      </c>
      <c r="B397" s="33" t="s">
        <v>26</v>
      </c>
      <c r="C397" s="33" t="s">
        <v>27</v>
      </c>
      <c r="D397" s="427" cm="1">
        <f t="array" ref="D397">INDEX(Berekening_patiëntaantal[Percentage van patiëntaantallen in Wlz (overige is Zvw)],MATCH(B397,IF(Berekening_patiëntaantal[Doelgroep (zoeksleutel)]=C397,Berekening_patiëntaantal[Digitale zorgtoepassing]),0))</f>
        <v>1</v>
      </c>
      <c r="E397" s="33" t="str" cm="1">
        <f t="array" ref="E397">INDEX(Berekening_patiëntaantal[Direct toepasbaar/extrapolatie/incidentie voor QALY],MATCH(B397,IF(Berekening_patiëntaantal[Doelgroep (zoeksleutel)]=C397,Berekening_patiëntaantal[Digitale zorgtoepassing]),0))</f>
        <v>Huidige toepassing</v>
      </c>
      <c r="F397" s="43" t="s">
        <v>812</v>
      </c>
      <c r="G397" s="33" t="str">
        <f>CONCATENATE(uitkomst_doelgroep[[#This Row],[Digitale zorgtoepassing]],"_",uitkomst_doelgroep[[#This Row],[Doelgroep]],"_",uitkomst_doelgroep[[#This Row],[Uitgangssituatie/effect beleid]])</f>
        <v>Medicijndispenser_Parkinson_Effect beleid</v>
      </c>
      <c r="H397" s="33">
        <v>2027</v>
      </c>
      <c r="I397" s="32">
        <v>5</v>
      </c>
      <c r="J397" s="406" cm="1">
        <f t="array" ref="J397">INDEX(implementatie[[2023]:[2034]],MATCH(G397, implementatie[Zoeksleutel],0),I397)</f>
        <v>0.80616443563130724</v>
      </c>
      <c r="K397" s="406" cm="1">
        <f t="array" ref="K397">INDEX(implementatie[[2023]:[2034]],MATCH(G397,implementatie[Zoeksleutel],0),I397 + 1)</f>
        <v>0.87254648226050635</v>
      </c>
      <c r="L39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7932.174347950684</v>
      </c>
      <c r="M397" s="398" cm="1">
        <f t="array" ref="M397">J397*INDEX(Berekening_impact[Totaal arbeidsbesparing (€/jaar)],MATCH(B397,IF(Berekening_impact[Doelgroep]=C397,Berekening_impact[Digitale zorgtoepassing]),0))</f>
        <v>35010569.33506152</v>
      </c>
      <c r="N397" s="397" cm="1">
        <f t="array" ref="N397">J397*INDEX(Berekening_impact[Totaal arbeidsbesparing (FTE/jaar)],MATCH(B397,IF(Berekening_impact[Doelgroep]=C397,Berekening_impact[Digitale zorgtoepassing]),0))</f>
        <v>664.25848043442159</v>
      </c>
      <c r="O397" s="398" cm="1">
        <f t="array" ref="O397">J397*INDEX(Berekening_impact[Overige kostenbesparing (totaal/jaar totaal potentieel)],MATCH(B397,IF(Berekening_impact[Doelgroep]=C397,Berekening_impact[Digitale zorgtoepassing]),0))</f>
        <v>17244011.762045223</v>
      </c>
      <c r="P397" s="398" cm="1">
        <f t="array" ref="P397">J397*INDEX(Berekening_impact[Opbrengsten door QALY''s],MATCH(B397,IF(Berekening_impact[Doelgroep]=C397,Berekening_impact[Digitale zorgtoepassing]),0))</f>
        <v>0</v>
      </c>
      <c r="Q397" s="398" cm="1">
        <f t="array" ref="Q397">J397*INDEX(Berekening_impact[Jaarlijkse kosten (totaal) - incl. schatting],MATCH(B397,IF(Berekening_impact[Doelgroep]=C397,Berekening_impact[Digitale zorgtoepassing]),0))</f>
        <v>8412172.0266429372</v>
      </c>
      <c r="R397" s="398" cm="1">
        <f t="array" ref="R397">(uitkomst_doelgroep[[#This Row],[Implementatiegraad t = T + 1]]-uitkomst_doelgroep[[#This Row],[Implementatiegraad t = T]])*INDEX(Berekening_impact[Initiële investering (totaal) - incl. schatting],MATCH(B397,IF(Berekening_impact[Doelgroep]=C397,Berekening_impact[Digitale zorgtoepassing]),0))</f>
        <v>105866.61211688691</v>
      </c>
      <c r="S397" s="398">
        <f>uitkomst_doelgroep[[#This Row],[Arbeidsbesparing (€)]]*uitkomst_doelgroep[[#This Row],[Percentage van patiëntaantallen in Wlz (overige is Zvw)]]</f>
        <v>35010569.33506152</v>
      </c>
      <c r="T397" s="398">
        <f>uitkomst_doelgroep[[#This Row],[Overige besparingen (€)]]*uitkomst_doelgroep[[#This Row],[Percentage van patiëntaantallen in Wlz (overige is Zvw)]]</f>
        <v>17244011.762045223</v>
      </c>
      <c r="U397" s="398">
        <f>uitkomst_doelgroep[[#This Row],[Kosten (€)]]*uitkomst_doelgroep[[#This Row],[Percentage van patiëntaantallen in Wlz (overige is Zvw)]]</f>
        <v>8412172.0266429372</v>
      </c>
      <c r="V397" s="398">
        <f>uitkomst_doelgroep[[#This Row],[Investering (cash flow) (€)]]*uitkomst_doelgroep[[#This Row],[Percentage van patiëntaantallen in Wlz (overige is Zvw)]]</f>
        <v>105866.61211688691</v>
      </c>
    </row>
    <row r="398" spans="1:22" x14ac:dyDescent="0.5">
      <c r="A398" s="33" t="str">
        <f>INDEX(Technologieën[Veld],MATCH(B398,Technologieën[Digitale zorgtoepassing],0))</f>
        <v>Digitale hulpmiddelen - Verpleging</v>
      </c>
      <c r="B398" s="33" t="s">
        <v>26</v>
      </c>
      <c r="C398" s="33" t="s">
        <v>29</v>
      </c>
      <c r="D398" s="427" cm="1">
        <f t="array" ref="D398">INDEX(Berekening_patiëntaantal[Percentage van patiëntaantallen in Wlz (overige is Zvw)],MATCH(B398,IF(Berekening_patiëntaantal[Doelgroep (zoeksleutel)]=C398,Berekening_patiëntaantal[Digitale zorgtoepassing]),0))</f>
        <v>0.70000000000000007</v>
      </c>
      <c r="E398" s="33" t="str" cm="1">
        <f t="array" ref="E398">INDEX(Berekening_patiëntaantal[Direct toepasbaar/extrapolatie/incidentie voor QALY],MATCH(B398,IF(Berekening_patiëntaantal[Doelgroep (zoeksleutel)]=C398,Berekening_patiëntaantal[Digitale zorgtoepassing]),0))</f>
        <v>Huidige toepassing</v>
      </c>
      <c r="F398" s="43" t="s">
        <v>812</v>
      </c>
      <c r="G398" s="33" t="str">
        <f>CONCATENATE(uitkomst_doelgroep[[#This Row],[Digitale zorgtoepassing]],"_",uitkomst_doelgroep[[#This Row],[Doelgroep]],"_",uitkomst_doelgroep[[#This Row],[Uitgangssituatie/effect beleid]])</f>
        <v>Medicijndispenser_Reumatische aandoening _Effect beleid</v>
      </c>
      <c r="H398" s="33">
        <v>2027</v>
      </c>
      <c r="I398" s="32">
        <v>5</v>
      </c>
      <c r="J398" s="406" cm="1">
        <f t="array" ref="J398">INDEX(implementatie[[2023]:[2034]],MATCH(G398, implementatie[Zoeksleutel],0),I398)</f>
        <v>0.80616443563130724</v>
      </c>
      <c r="K398" s="406" cm="1">
        <f t="array" ref="K398">INDEX(implementatie[[2023]:[2034]],MATCH(G398,implementatie[Zoeksleutel],0),I398 + 1)</f>
        <v>0.87254648226050635</v>
      </c>
      <c r="L39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62629.302675324994</v>
      </c>
      <c r="M398" s="398" cm="1">
        <f t="array" ref="M398">J398*INDEX(Berekening_impact[Totaal arbeidsbesparing (€/jaar)],MATCH(B398,IF(Berekening_impact[Doelgroep]=C398,Berekening_impact[Digitale zorgtoepassing]),0))</f>
        <v>276429569.94351876</v>
      </c>
      <c r="N398" s="397" cm="1">
        <f t="array" ref="N398">J398*INDEX(Berekening_impact[Totaal arbeidsbesparing (FTE/jaar)],MATCH(B398,IF(Berekening_impact[Doelgroep]=C398,Berekening_impact[Digitale zorgtoepassing]),0))</f>
        <v>5244.7215102536074</v>
      </c>
      <c r="O398" s="398" cm="1">
        <f t="array" ref="O398">J398*INDEX(Berekening_impact[Overige kostenbesparing (totaal/jaar totaal potentieel)],MATCH(B398,IF(Berekening_impact[Doelgroep]=C398,Berekening_impact[Digitale zorgtoepassing]),0))</f>
        <v>136151877.73337492</v>
      </c>
      <c r="P398" s="398" cm="1">
        <f t="array" ref="P398">J398*INDEX(Berekening_impact[Opbrengsten door QALY''s],MATCH(B398,IF(Berekening_impact[Doelgroep]=C398,Berekening_impact[Digitale zorgtoepassing]),0))</f>
        <v>0</v>
      </c>
      <c r="Q398" s="398" cm="1">
        <f t="array" ref="Q398">J398*INDEX(Berekening_impact[Jaarlijkse kosten (totaal) - incl. schatting],MATCH(B398,IF(Berekening_impact[Doelgroep]=C398,Berekening_impact[Digitale zorgtoepassing]),0))</f>
        <v>66350233.514370382</v>
      </c>
      <c r="R398" s="398" cm="1">
        <f t="array" ref="R398">(uitkomst_doelgroep[[#This Row],[Implementatiegraad t = T + 1]]-uitkomst_doelgroep[[#This Row],[Implementatiegraad t = T]])*INDEX(Berekening_impact[Initiële investering (totaal) - incl. schatting],MATCH(B398,IF(Berekening_impact[Doelgroep]=C398,Berekening_impact[Digitale zorgtoepassing]),0))</f>
        <v>351619.98682829383</v>
      </c>
      <c r="S398" s="398">
        <f>uitkomst_doelgroep[[#This Row],[Arbeidsbesparing (€)]]*uitkomst_doelgroep[[#This Row],[Percentage van patiëntaantallen in Wlz (overige is Zvw)]]</f>
        <v>193500698.96046314</v>
      </c>
      <c r="T398" s="398">
        <f>uitkomst_doelgroep[[#This Row],[Overige besparingen (€)]]*uitkomst_doelgroep[[#This Row],[Percentage van patiëntaantallen in Wlz (overige is Zvw)]]</f>
        <v>95306314.413362458</v>
      </c>
      <c r="U398" s="398">
        <f>uitkomst_doelgroep[[#This Row],[Kosten (€)]]*uitkomst_doelgroep[[#This Row],[Percentage van patiëntaantallen in Wlz (overige is Zvw)]]</f>
        <v>46445163.46005927</v>
      </c>
      <c r="V398" s="398">
        <f>uitkomst_doelgroep[[#This Row],[Investering (cash flow) (€)]]*uitkomst_doelgroep[[#This Row],[Percentage van patiëntaantallen in Wlz (overige is Zvw)]]</f>
        <v>246133.9907798057</v>
      </c>
    </row>
    <row r="399" spans="1:22" x14ac:dyDescent="0.5">
      <c r="A399" s="33" t="str">
        <f>INDEX(Technologieën[Veld],MATCH(B399,Technologieën[Digitale zorgtoepassing],0))</f>
        <v>Digitale hulpmiddelen - Verpleging</v>
      </c>
      <c r="B399" s="33" t="s">
        <v>26</v>
      </c>
      <c r="C399" s="33" t="s">
        <v>24</v>
      </c>
      <c r="D399" s="427" cm="1">
        <f t="array" ref="D399">INDEX(Berekening_patiëntaantal[Percentage van patiëntaantallen in Wlz (overige is Zvw)],MATCH(B399,IF(Berekening_patiëntaantal[Doelgroep (zoeksleutel)]=C399,Berekening_patiëntaantal[Digitale zorgtoepassing]),0))</f>
        <v>0.45</v>
      </c>
      <c r="E399" s="33" t="str" cm="1">
        <f t="array" ref="E399">INDEX(Berekening_patiëntaantal[Direct toepasbaar/extrapolatie/incidentie voor QALY],MATCH(B399,IF(Berekening_patiëntaantal[Doelgroep (zoeksleutel)]=C399,Berekening_patiëntaantal[Digitale zorgtoepassing]),0))</f>
        <v>Extrapolatie</v>
      </c>
      <c r="F399" s="43" t="s">
        <v>812</v>
      </c>
      <c r="G399" s="33" t="str">
        <f>CONCATENATE(uitkomst_doelgroep[[#This Row],[Digitale zorgtoepassing]],"_",uitkomst_doelgroep[[#This Row],[Doelgroep]],"_",uitkomst_doelgroep[[#This Row],[Uitgangssituatie/effect beleid]])</f>
        <v>Medicijndispenser_Cognitieve beperking_Effect beleid</v>
      </c>
      <c r="H399" s="33">
        <v>2028</v>
      </c>
      <c r="I399" s="32">
        <v>6</v>
      </c>
      <c r="J399" s="406" cm="1">
        <f t="array" ref="J399">INDEX(implementatie[[2023]:[2034]],MATCH(G399, implementatie[Zoeksleutel],0),I399)</f>
        <v>8.4566978560000006E-2</v>
      </c>
      <c r="K399" s="406" cm="1">
        <f t="array" ref="K399">INDEX(implementatie[[2023]:[2034]],MATCH(G399,implementatie[Zoeksleutel],0),I399 + 1)</f>
        <v>0.13384180086769301</v>
      </c>
      <c r="L39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677.36627620945933</v>
      </c>
      <c r="M399" s="398" cm="1">
        <f t="array" ref="M399">J399*INDEX(Berekening_impact[Totaal arbeidsbesparing (€/jaar)],MATCH(B399,IF(Berekening_impact[Doelgroep]=C399,Berekening_impact[Digitale zorgtoepassing]),0))</f>
        <v>2989719.8344600913</v>
      </c>
      <c r="N399" s="397" cm="1">
        <f t="array" ref="N399">J399*INDEX(Berekening_impact[Totaal arbeidsbesparing (FTE/jaar)],MATCH(B399,IF(Berekening_impact[Doelgroep]=C399,Berekening_impact[Digitale zorgtoepassing]),0))</f>
        <v>56.724206200619371</v>
      </c>
      <c r="O399" s="398" cm="1">
        <f t="array" ref="O399">J399*INDEX(Berekening_impact[Overige kostenbesparing (totaal/jaar totaal potentieel)],MATCH(B399,IF(Berekening_impact[Doelgroep]=C399,Berekening_impact[Digitale zorgtoepassing]),0))</f>
        <v>1472548.575181836</v>
      </c>
      <c r="P399" s="398" cm="1">
        <f t="array" ref="P399">J399*INDEX(Berekening_impact[Opbrengsten door QALY''s],MATCH(B399,IF(Berekening_impact[Doelgroep]=C399,Berekening_impact[Digitale zorgtoepassing]),0))</f>
        <v>0</v>
      </c>
      <c r="Q399" s="398" cm="1">
        <f t="array" ref="Q399">J399*INDEX(Berekening_impact[Jaarlijkse kosten (totaal) - incl. schatting],MATCH(B399,IF(Berekening_impact[Doelgroep]=C399,Berekening_impact[Digitale zorgtoepassing]),0))</f>
        <v>717818.72217172605</v>
      </c>
      <c r="R399" s="398" cm="1">
        <f t="array" ref="R399">(uitkomst_doelgroep[[#This Row],[Implementatiegraad t = T + 1]]-uitkomst_doelgroep[[#This Row],[Implementatiegraad t = T]])*INDEX(Berekening_impact[Initiële investering (totaal) - incl. schatting],MATCH(B399,IF(Berekening_impact[Doelgroep]=C399,Berekening_impact[Digitale zorgtoepassing]),0))</f>
        <v>0</v>
      </c>
      <c r="S399" s="398">
        <f>uitkomst_doelgroep[[#This Row],[Arbeidsbesparing (€)]]*uitkomst_doelgroep[[#This Row],[Percentage van patiëntaantallen in Wlz (overige is Zvw)]]</f>
        <v>1345373.9255070412</v>
      </c>
      <c r="T399" s="398">
        <f>uitkomst_doelgroep[[#This Row],[Overige besparingen (€)]]*uitkomst_doelgroep[[#This Row],[Percentage van patiëntaantallen in Wlz (overige is Zvw)]]</f>
        <v>662646.85883182625</v>
      </c>
      <c r="U399" s="398">
        <f>uitkomst_doelgroep[[#This Row],[Kosten (€)]]*uitkomst_doelgroep[[#This Row],[Percentage van patiëntaantallen in Wlz (overige is Zvw)]]</f>
        <v>323018.42497727671</v>
      </c>
      <c r="V399" s="398">
        <f>uitkomst_doelgroep[[#This Row],[Investering (cash flow) (€)]]*uitkomst_doelgroep[[#This Row],[Percentage van patiëntaantallen in Wlz (overige is Zvw)]]</f>
        <v>0</v>
      </c>
    </row>
    <row r="400" spans="1:22" x14ac:dyDescent="0.5">
      <c r="A400" s="33" t="str">
        <f>INDEX(Technologieën[Veld],MATCH(B400,Technologieën[Digitale zorgtoepassing],0))</f>
        <v>Digitale hulpmiddelen - Verpleging</v>
      </c>
      <c r="B400" s="33" t="s">
        <v>26</v>
      </c>
      <c r="C400" s="33" t="s">
        <v>20</v>
      </c>
      <c r="D400" s="427" cm="1">
        <f t="array" ref="D400">INDEX(Berekening_patiëntaantal[Percentage van patiëntaantallen in Wlz (overige is Zvw)],MATCH(B400,IF(Berekening_patiëntaantal[Doelgroep (zoeksleutel)]=C400,Berekening_patiëntaantal[Digitale zorgtoepassing]),0))</f>
        <v>0.45</v>
      </c>
      <c r="E400" s="33" t="str" cm="1">
        <f t="array" ref="E400">INDEX(Berekening_patiëntaantal[Direct toepasbaar/extrapolatie/incidentie voor QALY],MATCH(B400,IF(Berekening_patiëntaantal[Doelgroep (zoeksleutel)]=C400,Berekening_patiëntaantal[Digitale zorgtoepassing]),0))</f>
        <v>Huidige toepassing</v>
      </c>
      <c r="F400" s="43" t="s">
        <v>812</v>
      </c>
      <c r="G400" s="33" t="str">
        <f>CONCATENATE(uitkomst_doelgroep[[#This Row],[Digitale zorgtoepassing]],"_",uitkomst_doelgroep[[#This Row],[Doelgroep]],"_",uitkomst_doelgroep[[#This Row],[Uitgangssituatie/effect beleid]])</f>
        <v>Medicijndispenser_Dementie_Effect beleid</v>
      </c>
      <c r="H400" s="33">
        <v>2028</v>
      </c>
      <c r="I400" s="32">
        <v>6</v>
      </c>
      <c r="J400" s="406" cm="1">
        <f t="array" ref="J400">INDEX(implementatie[[2023]:[2034]],MATCH(G400, implementatie[Zoeksleutel],0),I400)</f>
        <v>0.87254648226050635</v>
      </c>
      <c r="K400" s="406" cm="1">
        <f t="array" ref="K400">INDEX(implementatie[[2023]:[2034]],MATCH(G400,implementatie[Zoeksleutel],0),I400 + 1)</f>
        <v>0.9195792000374251</v>
      </c>
      <c r="L40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36809.507664586403</v>
      </c>
      <c r="M400" s="398" cm="1">
        <f t="array" ref="M400">J400*INDEX(Berekening_impact[Totaal arbeidsbesparing (€/jaar)],MATCH(B400,IF(Berekening_impact[Doelgroep]=C400,Berekening_impact[Digitale zorgtoepassing]),0))</f>
        <v>162467661.92342052</v>
      </c>
      <c r="N400" s="397" cm="1">
        <f t="array" ref="N400">J400*INDEX(Berekening_impact[Totaal arbeidsbesparing (FTE/jaar)],MATCH(B400,IF(Berekening_impact[Doelgroep]=C400,Berekening_impact[Digitale zorgtoepassing]),0))</f>
        <v>3082.5126320041613</v>
      </c>
      <c r="O400" s="398" cm="1">
        <f t="array" ref="O400">J400*INDEX(Berekening_impact[Overige kostenbesparing (totaal/jaar totaal potentieel)],MATCH(B400,IF(Berekening_impact[Doelgroep]=C400,Berekening_impact[Digitale zorgtoepassing]),0))</f>
        <v>80021385.723475769</v>
      </c>
      <c r="P400" s="398" cm="1">
        <f t="array" ref="P400">J400*INDEX(Berekening_impact[Opbrengsten door QALY''s],MATCH(B400,IF(Berekening_impact[Doelgroep]=C400,Berekening_impact[Digitale zorgtoepassing]),0))</f>
        <v>0</v>
      </c>
      <c r="Q400" s="398" cm="1">
        <f t="array" ref="Q400">J400*INDEX(Berekening_impact[Jaarlijkse kosten (totaal) - incl. schatting],MATCH(B400,IF(Berekening_impact[Doelgroep]=C400,Berekening_impact[Digitale zorgtoepassing]),0))</f>
        <v>38999058.838088572</v>
      </c>
      <c r="R400" s="398" cm="1">
        <f t="array" ref="R400">(uitkomst_doelgroep[[#This Row],[Implementatiegraad t = T + 1]]-uitkomst_doelgroep[[#This Row],[Implementatiegraad t = T]])*INDEX(Berekening_impact[Initiële investering (totaal) - incl. schatting],MATCH(B400,IF(Berekening_impact[Doelgroep]=C400,Berekening_impact[Digitale zorgtoepassing]),0))</f>
        <v>174261.74696748165</v>
      </c>
      <c r="S400" s="398">
        <f>uitkomst_doelgroep[[#This Row],[Arbeidsbesparing (€)]]*uitkomst_doelgroep[[#This Row],[Percentage van patiëntaantallen in Wlz (overige is Zvw)]]</f>
        <v>73110447.865539238</v>
      </c>
      <c r="T400" s="398">
        <f>uitkomst_doelgroep[[#This Row],[Overige besparingen (€)]]*uitkomst_doelgroep[[#This Row],[Percentage van patiëntaantallen in Wlz (overige is Zvw)]]</f>
        <v>36009623.575564094</v>
      </c>
      <c r="U400" s="398">
        <f>uitkomst_doelgroep[[#This Row],[Kosten (€)]]*uitkomst_doelgroep[[#This Row],[Percentage van patiëntaantallen in Wlz (overige is Zvw)]]</f>
        <v>17549576.477139857</v>
      </c>
      <c r="V400" s="398">
        <f>uitkomst_doelgroep[[#This Row],[Investering (cash flow) (€)]]*uitkomst_doelgroep[[#This Row],[Percentage van patiëntaantallen in Wlz (overige is Zvw)]]</f>
        <v>78417.786135366739</v>
      </c>
    </row>
    <row r="401" spans="1:22" x14ac:dyDescent="0.5">
      <c r="A401" s="33" t="str">
        <f>INDEX(Technologieën[Veld],MATCH(B401,Technologieën[Digitale zorgtoepassing],0))</f>
        <v>Digitale hulpmiddelen - Verpleging</v>
      </c>
      <c r="B401" s="33" t="s">
        <v>26</v>
      </c>
      <c r="C401" s="33" t="s">
        <v>27</v>
      </c>
      <c r="D401" s="427" cm="1">
        <f t="array" ref="D401">INDEX(Berekening_patiëntaantal[Percentage van patiëntaantallen in Wlz (overige is Zvw)],MATCH(B401,IF(Berekening_patiëntaantal[Doelgroep (zoeksleutel)]=C401,Berekening_patiëntaantal[Digitale zorgtoepassing]),0))</f>
        <v>1</v>
      </c>
      <c r="E401" s="33" t="str" cm="1">
        <f t="array" ref="E401">INDEX(Berekening_patiëntaantal[Direct toepasbaar/extrapolatie/incidentie voor QALY],MATCH(B401,IF(Berekening_patiëntaantal[Doelgroep (zoeksleutel)]=C401,Berekening_patiëntaantal[Digitale zorgtoepassing]),0))</f>
        <v>Huidige toepassing</v>
      </c>
      <c r="F401" s="43" t="s">
        <v>812</v>
      </c>
      <c r="G401" s="33" t="str">
        <f>CONCATENATE(uitkomst_doelgroep[[#This Row],[Digitale zorgtoepassing]],"_",uitkomst_doelgroep[[#This Row],[Doelgroep]],"_",uitkomst_doelgroep[[#This Row],[Uitgangssituatie/effect beleid]])</f>
        <v>Medicijndispenser_Parkinson_Effect beleid</v>
      </c>
      <c r="H401" s="33">
        <v>2028</v>
      </c>
      <c r="I401" s="32">
        <v>6</v>
      </c>
      <c r="J401" s="406" cm="1">
        <f t="array" ref="J401">INDEX(implementatie[[2023]:[2034]],MATCH(G401, implementatie[Zoeksleutel],0),I401)</f>
        <v>0.87254648226050635</v>
      </c>
      <c r="K401" s="406" cm="1">
        <f t="array" ref="K401">INDEX(implementatie[[2023]:[2034]],MATCH(G401,implementatie[Zoeksleutel],0),I401 + 1)</f>
        <v>0.9195792000374251</v>
      </c>
      <c r="L40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8585.3338575540256</v>
      </c>
      <c r="M401" s="398" cm="1">
        <f t="array" ref="M401">J401*INDEX(Berekening_impact[Totaal arbeidsbesparing (€/jaar)],MATCH(B401,IF(Berekening_impact[Doelgroep]=C401,Berekening_impact[Digitale zorgtoepassing]),0))</f>
        <v>37893446.752365194</v>
      </c>
      <c r="N401" s="397" cm="1">
        <f t="array" ref="N401">J401*INDEX(Berekening_impact[Totaal arbeidsbesparing (FTE/jaar)],MATCH(B401,IF(Berekening_impact[Doelgroep]=C401,Berekening_impact[Digitale zorgtoepassing]),0))</f>
        <v>718.95555645652132</v>
      </c>
      <c r="O401" s="398" cm="1">
        <f t="array" ref="O401">J401*INDEX(Berekening_impact[Overige kostenbesparing (totaal/jaar totaal potentieel)],MATCH(B401,IF(Berekening_impact[Doelgroep]=C401,Berekening_impact[Digitale zorgtoepassing]),0))</f>
        <v>18663936.460120171</v>
      </c>
      <c r="P401" s="398" cm="1">
        <f t="array" ref="P401">J401*INDEX(Berekening_impact[Opbrengsten door QALY''s],MATCH(B401,IF(Berekening_impact[Doelgroep]=C401,Berekening_impact[Digitale zorgtoepassing]),0))</f>
        <v>0</v>
      </c>
      <c r="Q401" s="398" cm="1">
        <f t="array" ref="Q401">J401*INDEX(Berekening_impact[Jaarlijkse kosten (totaal) - incl. schatting],MATCH(B401,IF(Berekening_impact[Doelgroep]=C401,Berekening_impact[Digitale zorgtoepassing]),0))</f>
        <v>9104856.0139837582</v>
      </c>
      <c r="R401" s="398" cm="1">
        <f t="array" ref="R401">(uitkomst_doelgroep[[#This Row],[Implementatiegraad t = T + 1]]-uitkomst_doelgroep[[#This Row],[Implementatiegraad t = T]])*INDEX(Berekening_impact[Initiële investering (totaal) - incl. schatting],MATCH(B401,IF(Berekening_impact[Doelgroep]=C401,Berekening_impact[Digitale zorgtoepassing]),0))</f>
        <v>75008.149680969596</v>
      </c>
      <c r="S401" s="398">
        <f>uitkomst_doelgroep[[#This Row],[Arbeidsbesparing (€)]]*uitkomst_doelgroep[[#This Row],[Percentage van patiëntaantallen in Wlz (overige is Zvw)]]</f>
        <v>37893446.752365194</v>
      </c>
      <c r="T401" s="398">
        <f>uitkomst_doelgroep[[#This Row],[Overige besparingen (€)]]*uitkomst_doelgroep[[#This Row],[Percentage van patiëntaantallen in Wlz (overige is Zvw)]]</f>
        <v>18663936.460120171</v>
      </c>
      <c r="U401" s="398">
        <f>uitkomst_doelgroep[[#This Row],[Kosten (€)]]*uitkomst_doelgroep[[#This Row],[Percentage van patiëntaantallen in Wlz (overige is Zvw)]]</f>
        <v>9104856.0139837582</v>
      </c>
      <c r="V401" s="398">
        <f>uitkomst_doelgroep[[#This Row],[Investering (cash flow) (€)]]*uitkomst_doelgroep[[#This Row],[Percentage van patiëntaantallen in Wlz (overige is Zvw)]]</f>
        <v>75008.149680969596</v>
      </c>
    </row>
    <row r="402" spans="1:22" x14ac:dyDescent="0.5">
      <c r="A402" s="33" t="str">
        <f>INDEX(Technologieën[Veld],MATCH(B402,Technologieën[Digitale zorgtoepassing],0))</f>
        <v>Digitale hulpmiddelen - Verpleging</v>
      </c>
      <c r="B402" s="33" t="s">
        <v>26</v>
      </c>
      <c r="C402" s="33" t="s">
        <v>29</v>
      </c>
      <c r="D402" s="427" cm="1">
        <f t="array" ref="D402">INDEX(Berekening_patiëntaantal[Percentage van patiëntaantallen in Wlz (overige is Zvw)],MATCH(B402,IF(Berekening_patiëntaantal[Doelgroep (zoeksleutel)]=C402,Berekening_patiëntaantal[Digitale zorgtoepassing]),0))</f>
        <v>0.70000000000000007</v>
      </c>
      <c r="E402" s="33" t="str" cm="1">
        <f t="array" ref="E402">INDEX(Berekening_patiëntaantal[Direct toepasbaar/extrapolatie/incidentie voor QALY],MATCH(B402,IF(Berekening_patiëntaantal[Doelgroep (zoeksleutel)]=C402,Berekening_patiëntaantal[Digitale zorgtoepassing]),0))</f>
        <v>Huidige toepassing</v>
      </c>
      <c r="F402" s="43" t="s">
        <v>812</v>
      </c>
      <c r="G402" s="33" t="str">
        <f>CONCATENATE(uitkomst_doelgroep[[#This Row],[Digitale zorgtoepassing]],"_",uitkomst_doelgroep[[#This Row],[Doelgroep]],"_",uitkomst_doelgroep[[#This Row],[Uitgangssituatie/effect beleid]])</f>
        <v>Medicijndispenser_Reumatische aandoening _Effect beleid</v>
      </c>
      <c r="H402" s="33">
        <v>2028</v>
      </c>
      <c r="I402" s="32">
        <v>6</v>
      </c>
      <c r="J402" s="406" cm="1">
        <f t="array" ref="J402">INDEX(implementatie[[2023]:[2034]],MATCH(G402, implementatie[Zoeksleutel],0),I402)</f>
        <v>0.87254648226050635</v>
      </c>
      <c r="K402" s="406" cm="1">
        <f t="array" ref="K402">INDEX(implementatie[[2023]:[2034]],MATCH(G402,implementatie[Zoeksleutel],0),I402 + 1)</f>
        <v>0.9195792000374251</v>
      </c>
      <c r="L40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67786.391113854217</v>
      </c>
      <c r="M402" s="398" cm="1">
        <f t="array" ref="M402">J402*INDEX(Berekening_impact[Totaal arbeidsbesparing (€/jaar)],MATCH(B402,IF(Berekening_impact[Doelgroep]=C402,Berekening_impact[Digitale zorgtoepassing]),0))</f>
        <v>299191626.6538353</v>
      </c>
      <c r="N402" s="397" cm="1">
        <f t="array" ref="N402">J402*INDEX(Berekening_impact[Totaal arbeidsbesparing (FTE/jaar)],MATCH(B402,IF(Berekening_impact[Doelgroep]=C402,Berekening_impact[Digitale zorgtoepassing]),0))</f>
        <v>5676.587929141434</v>
      </c>
      <c r="O402" s="398" cm="1">
        <f t="array" ref="O402">J402*INDEX(Berekening_impact[Overige kostenbesparing (totaal/jaar totaal potentieel)],MATCH(B402,IF(Berekening_impact[Doelgroep]=C402,Berekening_impact[Digitale zorgtoepassing]),0))</f>
        <v>147363039.99368009</v>
      </c>
      <c r="P402" s="398" cm="1">
        <f t="array" ref="P402">J402*INDEX(Berekening_impact[Opbrengsten door QALY''s],MATCH(B402,IF(Berekening_impact[Doelgroep]=C402,Berekening_impact[Digitale zorgtoepassing]),0))</f>
        <v>0</v>
      </c>
      <c r="Q402" s="398" cm="1">
        <f t="array" ref="Q402">J402*INDEX(Berekening_impact[Jaarlijkse kosten (totaal) - incl. schatting],MATCH(B402,IF(Berekening_impact[Doelgroep]=C402,Berekening_impact[Digitale zorgtoepassing]),0))</f>
        <v>71813714.784863353</v>
      </c>
      <c r="R402" s="398" cm="1">
        <f t="array" ref="R402">(uitkomst_doelgroep[[#This Row],[Implementatiegraad t = T + 1]]-uitkomst_doelgroep[[#This Row],[Implementatiegraad t = T]])*INDEX(Berekening_impact[Initiële investering (totaal) - incl. schatting],MATCH(B402,IF(Berekening_impact[Doelgroep]=C402,Berekening_impact[Digitale zorgtoepassing]),0))</f>
        <v>249128.25748799241</v>
      </c>
      <c r="S402" s="398">
        <f>uitkomst_doelgroep[[#This Row],[Arbeidsbesparing (€)]]*uitkomst_doelgroep[[#This Row],[Percentage van patiëntaantallen in Wlz (overige is Zvw)]]</f>
        <v>209434138.65768471</v>
      </c>
      <c r="T402" s="398">
        <f>uitkomst_doelgroep[[#This Row],[Overige besparingen (€)]]*uitkomst_doelgroep[[#This Row],[Percentage van patiëntaantallen in Wlz (overige is Zvw)]]</f>
        <v>103154127.99557607</v>
      </c>
      <c r="U402" s="398">
        <f>uitkomst_doelgroep[[#This Row],[Kosten (€)]]*uitkomst_doelgroep[[#This Row],[Percentage van patiëntaantallen in Wlz (overige is Zvw)]]</f>
        <v>50269600.34940435</v>
      </c>
      <c r="V402" s="398">
        <f>uitkomst_doelgroep[[#This Row],[Investering (cash flow) (€)]]*uitkomst_doelgroep[[#This Row],[Percentage van patiëntaantallen in Wlz (overige is Zvw)]]</f>
        <v>174389.78024159471</v>
      </c>
    </row>
    <row r="403" spans="1:22" x14ac:dyDescent="0.5">
      <c r="A403" s="33" t="str">
        <f>INDEX(Technologieën[Veld],MATCH(B403,Technologieën[Digitale zorgtoepassing],0))</f>
        <v>Digitale hulpmiddelen - Verpleging</v>
      </c>
      <c r="B403" s="33" t="s">
        <v>26</v>
      </c>
      <c r="C403" s="33" t="s">
        <v>24</v>
      </c>
      <c r="D403" s="427" cm="1">
        <f t="array" ref="D403">INDEX(Berekening_patiëntaantal[Percentage van patiëntaantallen in Wlz (overige is Zvw)],MATCH(B403,IF(Berekening_patiëntaantal[Doelgroep (zoeksleutel)]=C403,Berekening_patiëntaantal[Digitale zorgtoepassing]),0))</f>
        <v>0.45</v>
      </c>
      <c r="E403" s="33" t="str" cm="1">
        <f t="array" ref="E403">INDEX(Berekening_patiëntaantal[Direct toepasbaar/extrapolatie/incidentie voor QALY],MATCH(B403,IF(Berekening_patiëntaantal[Doelgroep (zoeksleutel)]=C403,Berekening_patiëntaantal[Digitale zorgtoepassing]),0))</f>
        <v>Extrapolatie</v>
      </c>
      <c r="F403" s="43" t="s">
        <v>812</v>
      </c>
      <c r="G403" s="33" t="str">
        <f>CONCATENATE(uitkomst_doelgroep[[#This Row],[Digitale zorgtoepassing]],"_",uitkomst_doelgroep[[#This Row],[Doelgroep]],"_",uitkomst_doelgroep[[#This Row],[Uitgangssituatie/effect beleid]])</f>
        <v>Medicijndispenser_Cognitieve beperking_Effect beleid</v>
      </c>
      <c r="H403" s="33">
        <v>2029</v>
      </c>
      <c r="I403" s="32">
        <v>7</v>
      </c>
      <c r="J403" s="406" cm="1">
        <f t="array" ref="J403">INDEX(implementatie[[2023]:[2034]],MATCH(G403, implementatie[Zoeksleutel],0),I403)</f>
        <v>0.13384180086769301</v>
      </c>
      <c r="K403" s="406" cm="1">
        <f t="array" ref="K403">INDEX(implementatie[[2023]:[2034]],MATCH(G403,implementatie[Zoeksleutel],0),I403 + 1)</f>
        <v>0.19753623413361349</v>
      </c>
      <c r="L40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1072.0487334260649</v>
      </c>
      <c r="M403" s="398" cm="1">
        <f t="array" ref="M403">J403*INDEX(Berekening_impact[Totaal arbeidsbesparing (€/jaar)],MATCH(B403,IF(Berekening_impact[Doelgroep]=C403,Berekening_impact[Digitale zorgtoepassing]),0))</f>
        <v>4731746.2861712016</v>
      </c>
      <c r="N403" s="397" cm="1">
        <f t="array" ref="N403">J403*INDEX(Berekening_impact[Totaal arbeidsbesparing (FTE/jaar)],MATCH(B403,IF(Berekening_impact[Doelgroep]=C403,Berekening_impact[Digitale zorgtoepassing]),0))</f>
        <v>89.775820774945913</v>
      </c>
      <c r="O403" s="398" cm="1">
        <f t="array" ref="O403">J403*INDEX(Berekening_impact[Overige kostenbesparing (totaal/jaar totaal potentieel)],MATCH(B403,IF(Berekening_impact[Doelgroep]=C403,Berekening_impact[Digitale zorgtoepassing]),0))</f>
        <v>2330561.6036365619</v>
      </c>
      <c r="P403" s="398" cm="1">
        <f t="array" ref="P403">J403*INDEX(Berekening_impact[Opbrengsten door QALY''s],MATCH(B403,IF(Berekening_impact[Doelgroep]=C403,Berekening_impact[Digitale zorgtoepassing]),0))</f>
        <v>0</v>
      </c>
      <c r="Q403" s="398" cm="1">
        <f t="array" ref="Q403">J403*INDEX(Berekening_impact[Jaarlijkse kosten (totaal) - incl. schatting],MATCH(B403,IF(Berekening_impact[Doelgroep]=C403,Berekening_impact[Digitale zorgtoepassing]),0))</f>
        <v>1136071.6926151703</v>
      </c>
      <c r="R403" s="398" cm="1">
        <f t="array" ref="R403">(uitkomst_doelgroep[[#This Row],[Implementatiegraad t = T + 1]]-uitkomst_doelgroep[[#This Row],[Implementatiegraad t = T]])*INDEX(Berekening_impact[Initiële investering (totaal) - incl. schatting],MATCH(B403,IF(Berekening_impact[Doelgroep]=C403,Berekening_impact[Digitale zorgtoepassing]),0))</f>
        <v>0</v>
      </c>
      <c r="S403" s="398">
        <f>uitkomst_doelgroep[[#This Row],[Arbeidsbesparing (€)]]*uitkomst_doelgroep[[#This Row],[Percentage van patiëntaantallen in Wlz (overige is Zvw)]]</f>
        <v>2129285.8287770408</v>
      </c>
      <c r="T403" s="398">
        <f>uitkomst_doelgroep[[#This Row],[Overige besparingen (€)]]*uitkomst_doelgroep[[#This Row],[Percentage van patiëntaantallen in Wlz (overige is Zvw)]]</f>
        <v>1048752.7216364529</v>
      </c>
      <c r="U403" s="398">
        <f>uitkomst_doelgroep[[#This Row],[Kosten (€)]]*uitkomst_doelgroep[[#This Row],[Percentage van patiëntaantallen in Wlz (overige is Zvw)]]</f>
        <v>511232.26167682663</v>
      </c>
      <c r="V403" s="398">
        <f>uitkomst_doelgroep[[#This Row],[Investering (cash flow) (€)]]*uitkomst_doelgroep[[#This Row],[Percentage van patiëntaantallen in Wlz (overige is Zvw)]]</f>
        <v>0</v>
      </c>
    </row>
    <row r="404" spans="1:22" x14ac:dyDescent="0.5">
      <c r="A404" s="33" t="str">
        <f>INDEX(Technologieën[Veld],MATCH(B404,Technologieën[Digitale zorgtoepassing],0))</f>
        <v>Digitale hulpmiddelen - Verpleging</v>
      </c>
      <c r="B404" s="33" t="s">
        <v>26</v>
      </c>
      <c r="C404" s="33" t="s">
        <v>20</v>
      </c>
      <c r="D404" s="427" cm="1">
        <f t="array" ref="D404">INDEX(Berekening_patiëntaantal[Percentage van patiëntaantallen in Wlz (overige is Zvw)],MATCH(B404,IF(Berekening_patiëntaantal[Doelgroep (zoeksleutel)]=C404,Berekening_patiëntaantal[Digitale zorgtoepassing]),0))</f>
        <v>0.45</v>
      </c>
      <c r="E404" s="33" t="str" cm="1">
        <f t="array" ref="E404">INDEX(Berekening_patiëntaantal[Direct toepasbaar/extrapolatie/incidentie voor QALY],MATCH(B404,IF(Berekening_patiëntaantal[Doelgroep (zoeksleutel)]=C404,Berekening_patiëntaantal[Digitale zorgtoepassing]),0))</f>
        <v>Huidige toepassing</v>
      </c>
      <c r="F404" s="43" t="s">
        <v>812</v>
      </c>
      <c r="G404" s="33" t="str">
        <f>CONCATENATE(uitkomst_doelgroep[[#This Row],[Digitale zorgtoepassing]],"_",uitkomst_doelgroep[[#This Row],[Doelgroep]],"_",uitkomst_doelgroep[[#This Row],[Uitgangssituatie/effect beleid]])</f>
        <v>Medicijndispenser_Dementie_Effect beleid</v>
      </c>
      <c r="H404" s="33">
        <v>2029</v>
      </c>
      <c r="I404" s="32">
        <v>7</v>
      </c>
      <c r="J404" s="406" cm="1">
        <f t="array" ref="J404">INDEX(implementatie[[2023]:[2034]],MATCH(G404, implementatie[Zoeksleutel],0),I404)</f>
        <v>0.9195792000374251</v>
      </c>
      <c r="K404" s="406" cm="1">
        <f t="array" ref="K404">INDEX(implementatie[[2023]:[2034]],MATCH(G404,implementatie[Zoeksleutel],0),I404 + 1)</f>
        <v>0.95076893399505846</v>
      </c>
      <c r="L40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38793.644006538831</v>
      </c>
      <c r="M404" s="398" cm="1">
        <f t="array" ref="M404">J404*INDEX(Berekening_impact[Totaal arbeidsbesparing (€/jaar)],MATCH(B404,IF(Berekening_impact[Doelgroep]=C404,Berekening_impact[Digitale zorgtoepassing]),0))</f>
        <v>171225127.39543042</v>
      </c>
      <c r="N404" s="397" cm="1">
        <f t="array" ref="N404">J404*INDEX(Berekening_impact[Totaal arbeidsbesparing (FTE/jaar)],MATCH(B404,IF(Berekening_impact[Doelgroep]=C404,Berekening_impact[Digitale zorgtoepassing]),0))</f>
        <v>3248.6687619208637</v>
      </c>
      <c r="O404" s="398" cm="1">
        <f t="array" ref="O404">J404*INDEX(Berekening_impact[Overige kostenbesparing (totaal/jaar totaal potentieel)],MATCH(B404,IF(Berekening_impact[Doelgroep]=C404,Berekening_impact[Digitale zorgtoepassing]),0))</f>
        <v>84334764.239540353</v>
      </c>
      <c r="P404" s="398" cm="1">
        <f t="array" ref="P404">J404*INDEX(Berekening_impact[Opbrengsten door QALY''s],MATCH(B404,IF(Berekening_impact[Doelgroep]=C404,Berekening_impact[Digitale zorgtoepassing]),0))</f>
        <v>0</v>
      </c>
      <c r="Q404" s="398" cm="1">
        <f t="array" ref="Q404">J404*INDEX(Berekening_impact[Jaarlijkse kosten (totaal) - incl. schatting],MATCH(B404,IF(Berekening_impact[Doelgroep]=C404,Berekening_impact[Digitale zorgtoepassing]),0))</f>
        <v>41101218.167348973</v>
      </c>
      <c r="R404" s="398" cm="1">
        <f t="array" ref="R404">(uitkomst_doelgroep[[#This Row],[Implementatiegraad t = T + 1]]-uitkomst_doelgroep[[#This Row],[Implementatiegraad t = T]])*INDEX(Berekening_impact[Initiële investering (totaal) - incl. schatting],MATCH(B404,IF(Berekening_impact[Doelgroep]=C404,Berekening_impact[Digitale zorgtoepassing]),0))</f>
        <v>115561.62994211407</v>
      </c>
      <c r="S404" s="398">
        <f>uitkomst_doelgroep[[#This Row],[Arbeidsbesparing (€)]]*uitkomst_doelgroep[[#This Row],[Percentage van patiëntaantallen in Wlz (overige is Zvw)]]</f>
        <v>77051307.327943683</v>
      </c>
      <c r="T404" s="398">
        <f>uitkomst_doelgroep[[#This Row],[Overige besparingen (€)]]*uitkomst_doelgroep[[#This Row],[Percentage van patiëntaantallen in Wlz (overige is Zvw)]]</f>
        <v>37950643.907793157</v>
      </c>
      <c r="U404" s="398">
        <f>uitkomst_doelgroep[[#This Row],[Kosten (€)]]*uitkomst_doelgroep[[#This Row],[Percentage van patiëntaantallen in Wlz (overige is Zvw)]]</f>
        <v>18495548.175307039</v>
      </c>
      <c r="V404" s="398">
        <f>uitkomst_doelgroep[[#This Row],[Investering (cash flow) (€)]]*uitkomst_doelgroep[[#This Row],[Percentage van patiëntaantallen in Wlz (overige is Zvw)]]</f>
        <v>52002.733473951332</v>
      </c>
    </row>
    <row r="405" spans="1:22" x14ac:dyDescent="0.5">
      <c r="A405" s="33" t="str">
        <f>INDEX(Technologieën[Veld],MATCH(B405,Technologieën[Digitale zorgtoepassing],0))</f>
        <v>Digitale hulpmiddelen - Verpleging</v>
      </c>
      <c r="B405" s="33" t="s">
        <v>26</v>
      </c>
      <c r="C405" s="33" t="s">
        <v>27</v>
      </c>
      <c r="D405" s="427" cm="1">
        <f t="array" ref="D405">INDEX(Berekening_patiëntaantal[Percentage van patiëntaantallen in Wlz (overige is Zvw)],MATCH(B405,IF(Berekening_patiëntaantal[Doelgroep (zoeksleutel)]=C405,Berekening_patiëntaantal[Digitale zorgtoepassing]),0))</f>
        <v>1</v>
      </c>
      <c r="E405" s="33" t="str" cm="1">
        <f t="array" ref="E405">INDEX(Berekening_patiëntaantal[Direct toepasbaar/extrapolatie/incidentie voor QALY],MATCH(B405,IF(Berekening_patiëntaantal[Doelgroep (zoeksleutel)]=C405,Berekening_patiëntaantal[Digitale zorgtoepassing]),0))</f>
        <v>Huidige toepassing</v>
      </c>
      <c r="F405" s="43" t="s">
        <v>812</v>
      </c>
      <c r="G405" s="33" t="str">
        <f>CONCATENATE(uitkomst_doelgroep[[#This Row],[Digitale zorgtoepassing]],"_",uitkomst_doelgroep[[#This Row],[Doelgroep]],"_",uitkomst_doelgroep[[#This Row],[Uitgangssituatie/effect beleid]])</f>
        <v>Medicijndispenser_Parkinson_Effect beleid</v>
      </c>
      <c r="H405" s="33">
        <v>2029</v>
      </c>
      <c r="I405" s="32">
        <v>7</v>
      </c>
      <c r="J405" s="406" cm="1">
        <f t="array" ref="J405">INDEX(implementatie[[2023]:[2034]],MATCH(G405, implementatie[Zoeksleutel],0),I405)</f>
        <v>0.9195792000374251</v>
      </c>
      <c r="K405" s="406" cm="1">
        <f t="array" ref="K405">INDEX(implementatie[[2023]:[2034]],MATCH(G405,implementatie[Zoeksleutel],0),I405 + 1)</f>
        <v>0.95076893399505846</v>
      </c>
      <c r="L40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9048.1075808482401</v>
      </c>
      <c r="M405" s="398" cm="1">
        <f t="array" ref="M405">J405*INDEX(Berekening_impact[Totaal arbeidsbesparing (€/jaar)],MATCH(B405,IF(Berekening_impact[Doelgroep]=C405,Berekening_impact[Digitale zorgtoepassing]),0))</f>
        <v>39936010.470095702</v>
      </c>
      <c r="N405" s="397" cm="1">
        <f t="array" ref="N405">J405*INDEX(Berekening_impact[Totaal arbeidsbesparing (FTE/jaar)],MATCH(B405,IF(Berekening_impact[Doelgroep]=C405,Berekening_impact[Digitale zorgtoepassing]),0))</f>
        <v>757.70928988899595</v>
      </c>
      <c r="O405" s="398" cm="1">
        <f t="array" ref="O405">J405*INDEX(Berekening_impact[Overige kostenbesparing (totaal/jaar totaal potentieel)],MATCH(B405,IF(Berekening_impact[Doelgroep]=C405,Berekening_impact[Digitale zorgtoepassing]),0))</f>
        <v>19669975.306166537</v>
      </c>
      <c r="P405" s="398" cm="1">
        <f t="array" ref="P405">J405*INDEX(Berekening_impact[Opbrengsten door QALY''s],MATCH(B405,IF(Berekening_impact[Doelgroep]=C405,Berekening_impact[Digitale zorgtoepassing]),0))</f>
        <v>0</v>
      </c>
      <c r="Q405" s="398" cm="1">
        <f t="array" ref="Q405">J405*INDEX(Berekening_impact[Jaarlijkse kosten (totaal) - incl. schatting],MATCH(B405,IF(Berekening_impact[Doelgroep]=C405,Berekening_impact[Digitale zorgtoepassing]),0))</f>
        <v>9595633.447634941</v>
      </c>
      <c r="R405" s="398" cm="1">
        <f t="array" ref="R405">(uitkomst_doelgroep[[#This Row],[Implementatiegraad t = T + 1]]-uitkomst_doelgroep[[#This Row],[Implementatiegraad t = T]])*INDEX(Berekening_impact[Initiële investering (totaal) - incl. schatting],MATCH(B405,IF(Berekening_impact[Doelgroep]=C405,Berekening_impact[Digitale zorgtoepassing]),0))</f>
        <v>49741.633989773007</v>
      </c>
      <c r="S405" s="398">
        <f>uitkomst_doelgroep[[#This Row],[Arbeidsbesparing (€)]]*uitkomst_doelgroep[[#This Row],[Percentage van patiëntaantallen in Wlz (overige is Zvw)]]</f>
        <v>39936010.470095702</v>
      </c>
      <c r="T405" s="398">
        <f>uitkomst_doelgroep[[#This Row],[Overige besparingen (€)]]*uitkomst_doelgroep[[#This Row],[Percentage van patiëntaantallen in Wlz (overige is Zvw)]]</f>
        <v>19669975.306166537</v>
      </c>
      <c r="U405" s="398">
        <f>uitkomst_doelgroep[[#This Row],[Kosten (€)]]*uitkomst_doelgroep[[#This Row],[Percentage van patiëntaantallen in Wlz (overige is Zvw)]]</f>
        <v>9595633.447634941</v>
      </c>
      <c r="V405" s="398">
        <f>uitkomst_doelgroep[[#This Row],[Investering (cash flow) (€)]]*uitkomst_doelgroep[[#This Row],[Percentage van patiëntaantallen in Wlz (overige is Zvw)]]</f>
        <v>49741.633989773007</v>
      </c>
    </row>
    <row r="406" spans="1:22" x14ac:dyDescent="0.5">
      <c r="A406" s="33" t="str">
        <f>INDEX(Technologieën[Veld],MATCH(B406,Technologieën[Digitale zorgtoepassing],0))</f>
        <v>Digitale hulpmiddelen - Verpleging</v>
      </c>
      <c r="B406" s="33" t="s">
        <v>26</v>
      </c>
      <c r="C406" s="33" t="s">
        <v>29</v>
      </c>
      <c r="D406" s="427" cm="1">
        <f t="array" ref="D406">INDEX(Berekening_patiëntaantal[Percentage van patiëntaantallen in Wlz (overige is Zvw)],MATCH(B406,IF(Berekening_patiëntaantal[Doelgroep (zoeksleutel)]=C406,Berekening_patiëntaantal[Digitale zorgtoepassing]),0))</f>
        <v>0.70000000000000007</v>
      </c>
      <c r="E406" s="33" t="str" cm="1">
        <f t="array" ref="E406">INDEX(Berekening_patiëntaantal[Direct toepasbaar/extrapolatie/incidentie voor QALY],MATCH(B406,IF(Berekening_patiëntaantal[Doelgroep (zoeksleutel)]=C406,Berekening_patiëntaantal[Digitale zorgtoepassing]),0))</f>
        <v>Huidige toepassing</v>
      </c>
      <c r="F406" s="43" t="s">
        <v>812</v>
      </c>
      <c r="G406" s="33" t="str">
        <f>CONCATENATE(uitkomst_doelgroep[[#This Row],[Digitale zorgtoepassing]],"_",uitkomst_doelgroep[[#This Row],[Doelgroep]],"_",uitkomst_doelgroep[[#This Row],[Uitgangssituatie/effect beleid]])</f>
        <v>Medicijndispenser_Reumatische aandoening _Effect beleid</v>
      </c>
      <c r="H406" s="33">
        <v>2029</v>
      </c>
      <c r="I406" s="32">
        <v>7</v>
      </c>
      <c r="J406" s="406" cm="1">
        <f t="array" ref="J406">INDEX(implementatie[[2023]:[2034]],MATCH(G406, implementatie[Zoeksleutel],0),I406)</f>
        <v>0.9195792000374251</v>
      </c>
      <c r="K406" s="406" cm="1">
        <f t="array" ref="K406">INDEX(implementatie[[2023]:[2034]],MATCH(G406,implementatie[Zoeksleutel],0),I406 + 1)</f>
        <v>0.95076893399505846</v>
      </c>
      <c r="L40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71440.268892507476</v>
      </c>
      <c r="M406" s="398" cm="1">
        <f t="array" ref="M406">J406*INDEX(Berekening_impact[Totaal arbeidsbesparing (€/jaar)],MATCH(B406,IF(Berekening_impact[Doelgroep]=C406,Berekening_impact[Digitale zorgtoepassing]),0))</f>
        <v>315318899.6687597</v>
      </c>
      <c r="N406" s="397" cm="1">
        <f t="array" ref="N406">J406*INDEX(Berekening_impact[Totaal arbeidsbesparing (FTE/jaar)],MATCH(B406,IF(Berekening_impact[Doelgroep]=C406,Berekening_impact[Digitale zorgtoepassing]),0))</f>
        <v>5982.5720382235013</v>
      </c>
      <c r="O406" s="398" cm="1">
        <f t="array" ref="O406">J406*INDEX(Berekening_impact[Overige kostenbesparing (totaal/jaar totaal potentieel)],MATCH(B406,IF(Berekening_impact[Doelgroep]=C406,Berekening_impact[Digitale zorgtoepassing]),0))</f>
        <v>155306323.71744883</v>
      </c>
      <c r="P406" s="398" cm="1">
        <f t="array" ref="P406">J406*INDEX(Berekening_impact[Opbrengsten door QALY''s],MATCH(B406,IF(Berekening_impact[Doelgroep]=C406,Berekening_impact[Digitale zorgtoepassing]),0))</f>
        <v>0</v>
      </c>
      <c r="Q406" s="398" cm="1">
        <f t="array" ref="Q406">J406*INDEX(Berekening_impact[Jaarlijkse kosten (totaal) - incl. schatting],MATCH(B406,IF(Berekening_impact[Doelgroep]=C406,Berekening_impact[Digitale zorgtoepassing]),0))</f>
        <v>75684676.674754053</v>
      </c>
      <c r="R406" s="398" cm="1">
        <f t="array" ref="R406">(uitkomst_doelgroep[[#This Row],[Implementatiegraad t = T + 1]]-uitkomst_doelgroep[[#This Row],[Implementatiegraad t = T]])*INDEX(Berekening_impact[Initiële investering (totaal) - incl. schatting],MATCH(B406,IF(Berekening_impact[Doelgroep]=C406,Berekening_impact[Digitale zorgtoepassing]),0))</f>
        <v>165209.33596128481</v>
      </c>
      <c r="S406" s="398">
        <f>uitkomst_doelgroep[[#This Row],[Arbeidsbesparing (€)]]*uitkomst_doelgroep[[#This Row],[Percentage van patiëntaantallen in Wlz (overige is Zvw)]]</f>
        <v>220723229.76813182</v>
      </c>
      <c r="T406" s="398">
        <f>uitkomst_doelgroep[[#This Row],[Overige besparingen (€)]]*uitkomst_doelgroep[[#This Row],[Percentage van patiëntaantallen in Wlz (overige is Zvw)]]</f>
        <v>108714426.60221419</v>
      </c>
      <c r="U406" s="398">
        <f>uitkomst_doelgroep[[#This Row],[Kosten (€)]]*uitkomst_doelgroep[[#This Row],[Percentage van patiëntaantallen in Wlz (overige is Zvw)]]</f>
        <v>52979273.672327839</v>
      </c>
      <c r="V406" s="398">
        <f>uitkomst_doelgroep[[#This Row],[Investering (cash flow) (€)]]*uitkomst_doelgroep[[#This Row],[Percentage van patiëntaantallen in Wlz (overige is Zvw)]]</f>
        <v>115646.53517289938</v>
      </c>
    </row>
    <row r="407" spans="1:22" x14ac:dyDescent="0.5">
      <c r="A407" s="33" t="str">
        <f>INDEX(Technologieën[Veld],MATCH(B407,Technologieën[Digitale zorgtoepassing],0))</f>
        <v>Digitale hulpmiddelen - Verpleging</v>
      </c>
      <c r="B407" s="33" t="s">
        <v>26</v>
      </c>
      <c r="C407" s="33" t="s">
        <v>24</v>
      </c>
      <c r="D407" s="427" cm="1">
        <f t="array" ref="D407">INDEX(Berekening_patiëntaantal[Percentage van patiëntaantallen in Wlz (overige is Zvw)],MATCH(B407,IF(Berekening_patiëntaantal[Doelgroep (zoeksleutel)]=C407,Berekening_patiëntaantal[Digitale zorgtoepassing]),0))</f>
        <v>0.45</v>
      </c>
      <c r="E407" s="33" t="str" cm="1">
        <f t="array" ref="E407">INDEX(Berekening_patiëntaantal[Direct toepasbaar/extrapolatie/incidentie voor QALY],MATCH(B407,IF(Berekening_patiëntaantal[Doelgroep (zoeksleutel)]=C407,Berekening_patiëntaantal[Digitale zorgtoepassing]),0))</f>
        <v>Extrapolatie</v>
      </c>
      <c r="F407" s="43" t="s">
        <v>812</v>
      </c>
      <c r="G407" s="33" t="str">
        <f>CONCATENATE(uitkomst_doelgroep[[#This Row],[Digitale zorgtoepassing]],"_",uitkomst_doelgroep[[#This Row],[Doelgroep]],"_",uitkomst_doelgroep[[#This Row],[Uitgangssituatie/effect beleid]])</f>
        <v>Medicijndispenser_Cognitieve beperking_Effect beleid</v>
      </c>
      <c r="H407" s="33">
        <v>2030</v>
      </c>
      <c r="I407" s="32">
        <v>8</v>
      </c>
      <c r="J407" s="406" cm="1">
        <f t="array" ref="J407">INDEX(implementatie[[2023]:[2034]],MATCH(G407, implementatie[Zoeksleutel],0),I407)</f>
        <v>0.19753623413361349</v>
      </c>
      <c r="K407" s="406" cm="1">
        <f t="array" ref="K407">INDEX(implementatie[[2023]:[2034]],MATCH(G407,implementatie[Zoeksleutel],0),I407 + 1)</f>
        <v>0.27699177758611071</v>
      </c>
      <c r="L40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1582.2296788881001</v>
      </c>
      <c r="M407" s="398" cm="1">
        <f t="array" ref="M407">J407*INDEX(Berekening_impact[Totaal arbeidsbesparing (€/jaar)],MATCH(B407,IF(Berekening_impact[Doelgroep]=C407,Berekening_impact[Digitale zorgtoepassing]),0))</f>
        <v>6983553.2411129428</v>
      </c>
      <c r="N407" s="397" cm="1">
        <f t="array" ref="N407">J407*INDEX(Berekening_impact[Totaal arbeidsbesparing (FTE/jaar)],MATCH(B407,IF(Berekening_impact[Doelgroep]=C407,Berekening_impact[Digitale zorgtoepassing]),0))</f>
        <v>132.49954376859927</v>
      </c>
      <c r="O407" s="398" cm="1">
        <f t="array" ref="O407">J407*INDEX(Berekening_impact[Overige kostenbesparing (totaal/jaar totaal potentieel)],MATCH(B407,IF(Berekening_impact[Doelgroep]=C407,Berekening_impact[Digitale zorgtoepassing]),0))</f>
        <v>3439660.5515929419</v>
      </c>
      <c r="P407" s="398" cm="1">
        <f t="array" ref="P407">J407*INDEX(Berekening_impact[Opbrengsten door QALY''s],MATCH(B407,IF(Berekening_impact[Doelgroep]=C407,Berekening_impact[Digitale zorgtoepassing]),0))</f>
        <v>0</v>
      </c>
      <c r="Q407" s="398" cm="1">
        <f t="array" ref="Q407">J407*INDEX(Berekening_impact[Jaarlijkse kosten (totaal) - incl. schatting],MATCH(B407,IF(Berekening_impact[Doelgroep]=C407,Berekening_impact[Digitale zorgtoepassing]),0))</f>
        <v>1676720.7435204992</v>
      </c>
      <c r="R407" s="398" cm="1">
        <f t="array" ref="R407">(uitkomst_doelgroep[[#This Row],[Implementatiegraad t = T + 1]]-uitkomst_doelgroep[[#This Row],[Implementatiegraad t = T]])*INDEX(Berekening_impact[Initiële investering (totaal) - incl. schatting],MATCH(B407,IF(Berekening_impact[Doelgroep]=C407,Berekening_impact[Digitale zorgtoepassing]),0))</f>
        <v>0</v>
      </c>
      <c r="S407" s="398">
        <f>uitkomst_doelgroep[[#This Row],[Arbeidsbesparing (€)]]*uitkomst_doelgroep[[#This Row],[Percentage van patiëntaantallen in Wlz (overige is Zvw)]]</f>
        <v>3142598.9585008244</v>
      </c>
      <c r="T407" s="398">
        <f>uitkomst_doelgroep[[#This Row],[Overige besparingen (€)]]*uitkomst_doelgroep[[#This Row],[Percentage van patiëntaantallen in Wlz (overige is Zvw)]]</f>
        <v>1547847.2482168239</v>
      </c>
      <c r="U407" s="398">
        <f>uitkomst_doelgroep[[#This Row],[Kosten (€)]]*uitkomst_doelgroep[[#This Row],[Percentage van patiëntaantallen in Wlz (overige is Zvw)]]</f>
        <v>754524.33458422462</v>
      </c>
      <c r="V407" s="398">
        <f>uitkomst_doelgroep[[#This Row],[Investering (cash flow) (€)]]*uitkomst_doelgroep[[#This Row],[Percentage van patiëntaantallen in Wlz (overige is Zvw)]]</f>
        <v>0</v>
      </c>
    </row>
    <row r="408" spans="1:22" x14ac:dyDescent="0.5">
      <c r="A408" s="33" t="str">
        <f>INDEX(Technologieën[Veld],MATCH(B408,Technologieën[Digitale zorgtoepassing],0))</f>
        <v>Digitale hulpmiddelen - Verpleging</v>
      </c>
      <c r="B408" s="33" t="s">
        <v>26</v>
      </c>
      <c r="C408" s="33" t="s">
        <v>20</v>
      </c>
      <c r="D408" s="427" cm="1">
        <f t="array" ref="D408">INDEX(Berekening_patiëntaantal[Percentage van patiëntaantallen in Wlz (overige is Zvw)],MATCH(B408,IF(Berekening_patiëntaantal[Doelgroep (zoeksleutel)]=C408,Berekening_patiëntaantal[Digitale zorgtoepassing]),0))</f>
        <v>0.45</v>
      </c>
      <c r="E408" s="33" t="str" cm="1">
        <f t="array" ref="E408">INDEX(Berekening_patiëntaantal[Direct toepasbaar/extrapolatie/incidentie voor QALY],MATCH(B408,IF(Berekening_patiëntaantal[Doelgroep (zoeksleutel)]=C408,Berekening_patiëntaantal[Digitale zorgtoepassing]),0))</f>
        <v>Huidige toepassing</v>
      </c>
      <c r="F408" s="43" t="s">
        <v>812</v>
      </c>
      <c r="G408" s="33" t="str">
        <f>CONCATENATE(uitkomst_doelgroep[[#This Row],[Digitale zorgtoepassing]],"_",uitkomst_doelgroep[[#This Row],[Doelgroep]],"_",uitkomst_doelgroep[[#This Row],[Uitgangssituatie/effect beleid]])</f>
        <v>Medicijndispenser_Dementie_Effect beleid</v>
      </c>
      <c r="H408" s="33">
        <v>2030</v>
      </c>
      <c r="I408" s="32">
        <v>8</v>
      </c>
      <c r="J408" s="406" cm="1">
        <f t="array" ref="J408">INDEX(implementatie[[2023]:[2034]],MATCH(G408, implementatie[Zoeksleutel],0),I408)</f>
        <v>0.95076893399505846</v>
      </c>
      <c r="K408" s="406" cm="1">
        <f t="array" ref="K408">INDEX(implementatie[[2023]:[2034]],MATCH(G408,implementatie[Zoeksleutel],0),I408 + 1)</f>
        <v>0.97047650257314066</v>
      </c>
      <c r="L40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40109.423480195735</v>
      </c>
      <c r="M408" s="398" cm="1">
        <f t="array" ref="M408">J408*INDEX(Berekening_impact[Totaal arbeidsbesparing (€/jaar)],MATCH(B408,IF(Berekening_impact[Doelgroep]=C408,Berekening_impact[Digitale zorgtoepassing]),0))</f>
        <v>177032638.23311359</v>
      </c>
      <c r="N408" s="397" cm="1">
        <f t="array" ref="N408">J408*INDEX(Berekening_impact[Totaal arbeidsbesparing (FTE/jaar)],MATCH(B408,IF(Berekening_impact[Doelgroep]=C408,Berekening_impact[Digitale zorgtoepassing]),0))</f>
        <v>3358.8551541279321</v>
      </c>
      <c r="O408" s="398" cm="1">
        <f t="array" ref="O408">J408*INDEX(Berekening_impact[Overige kostenbesparing (totaal/jaar totaal potentieel)],MATCH(B408,IF(Berekening_impact[Doelgroep]=C408,Berekening_impact[Digitale zorgtoepassing]),0))</f>
        <v>87195180.025264889</v>
      </c>
      <c r="P408" s="398" cm="1">
        <f t="array" ref="P408">J408*INDEX(Berekening_impact[Opbrengsten door QALY''s],MATCH(B408,IF(Berekening_impact[Doelgroep]=C408,Berekening_impact[Digitale zorgtoepassing]),0))</f>
        <v>0</v>
      </c>
      <c r="Q408" s="398" cm="1">
        <f t="array" ref="Q408">J408*INDEX(Berekening_impact[Jaarlijkse kosten (totaal) - incl. schatting],MATCH(B408,IF(Berekening_impact[Doelgroep]=C408,Berekening_impact[Digitale zorgtoepassing]),0))</f>
        <v>42495264.552828431</v>
      </c>
      <c r="R408" s="398" cm="1">
        <f t="array" ref="R408">(uitkomst_doelgroep[[#This Row],[Implementatiegraad t = T + 1]]-uitkomst_doelgroep[[#This Row],[Implementatiegraad t = T]])*INDEX(Berekening_impact[Initiële investering (totaal) - incl. schatting],MATCH(B408,IF(Berekening_impact[Doelgroep]=C408,Berekening_impact[Digitale zorgtoepassing]),0))</f>
        <v>73018.857748922586</v>
      </c>
      <c r="S408" s="398">
        <f>uitkomst_doelgroep[[#This Row],[Arbeidsbesparing (€)]]*uitkomst_doelgroep[[#This Row],[Percentage van patiëntaantallen in Wlz (overige is Zvw)]]</f>
        <v>79664687.204901114</v>
      </c>
      <c r="T408" s="398">
        <f>uitkomst_doelgroep[[#This Row],[Overige besparingen (€)]]*uitkomst_doelgroep[[#This Row],[Percentage van patiëntaantallen in Wlz (overige is Zvw)]]</f>
        <v>39237831.011369199</v>
      </c>
      <c r="U408" s="398">
        <f>uitkomst_doelgroep[[#This Row],[Kosten (€)]]*uitkomst_doelgroep[[#This Row],[Percentage van patiëntaantallen in Wlz (overige is Zvw)]]</f>
        <v>19122869.048772793</v>
      </c>
      <c r="V408" s="398">
        <f>uitkomst_doelgroep[[#This Row],[Investering (cash flow) (€)]]*uitkomst_doelgroep[[#This Row],[Percentage van patiëntaantallen in Wlz (overige is Zvw)]]</f>
        <v>32858.485987015163</v>
      </c>
    </row>
    <row r="409" spans="1:22" x14ac:dyDescent="0.5">
      <c r="A409" s="33" t="str">
        <f>INDEX(Technologieën[Veld],MATCH(B409,Technologieën[Digitale zorgtoepassing],0))</f>
        <v>Digitale hulpmiddelen - Verpleging</v>
      </c>
      <c r="B409" s="33" t="s">
        <v>26</v>
      </c>
      <c r="C409" s="33" t="s">
        <v>27</v>
      </c>
      <c r="D409" s="427" cm="1">
        <f t="array" ref="D409">INDEX(Berekening_patiëntaantal[Percentage van patiëntaantallen in Wlz (overige is Zvw)],MATCH(B409,IF(Berekening_patiëntaantal[Doelgroep (zoeksleutel)]=C409,Berekening_patiëntaantal[Digitale zorgtoepassing]),0))</f>
        <v>1</v>
      </c>
      <c r="E409" s="33" t="str" cm="1">
        <f t="array" ref="E409">INDEX(Berekening_patiëntaantal[Direct toepasbaar/extrapolatie/incidentie voor QALY],MATCH(B409,IF(Berekening_patiëntaantal[Doelgroep (zoeksleutel)]=C409,Berekening_patiëntaantal[Digitale zorgtoepassing]),0))</f>
        <v>Huidige toepassing</v>
      </c>
      <c r="F409" s="43" t="s">
        <v>812</v>
      </c>
      <c r="G409" s="33" t="str">
        <f>CONCATENATE(uitkomst_doelgroep[[#This Row],[Digitale zorgtoepassing]],"_",uitkomst_doelgroep[[#This Row],[Doelgroep]],"_",uitkomst_doelgroep[[#This Row],[Uitgangssituatie/effect beleid]])</f>
        <v>Medicijndispenser_Parkinson_Effect beleid</v>
      </c>
      <c r="H409" s="33">
        <v>2030</v>
      </c>
      <c r="I409" s="32">
        <v>8</v>
      </c>
      <c r="J409" s="406" cm="1">
        <f t="array" ref="J409">INDEX(implementatie[[2023]:[2034]],MATCH(G409, implementatie[Zoeksleutel],0),I409)</f>
        <v>0.95076893399505846</v>
      </c>
      <c r="K409" s="406" cm="1">
        <f t="array" ref="K409">INDEX(implementatie[[2023]:[2034]],MATCH(G409,implementatie[Zoeksleutel],0),I409 + 1)</f>
        <v>0.97047650257314066</v>
      </c>
      <c r="L40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9354.9958491509788</v>
      </c>
      <c r="M409" s="398" cm="1">
        <f t="array" ref="M409">J409*INDEX(Berekening_impact[Totaal arbeidsbesparing (€/jaar)],MATCH(B409,IF(Berekening_impact[Doelgroep]=C409,Berekening_impact[Digitale zorgtoepassing]),0))</f>
        <v>41290536.042053886</v>
      </c>
      <c r="N409" s="397" cm="1">
        <f t="array" ref="N409">J409*INDEX(Berekening_impact[Totaal arbeidsbesparing (FTE/jaar)],MATCH(B409,IF(Berekening_impact[Doelgroep]=C409,Berekening_impact[Digitale zorgtoepassing]),0))</f>
        <v>783.40881763810478</v>
      </c>
      <c r="O409" s="398" cm="1">
        <f t="array" ref="O409">J409*INDEX(Berekening_impact[Overige kostenbesparing (totaal/jaar totaal potentieel)],MATCH(B409,IF(Berekening_impact[Doelgroep]=C409,Berekening_impact[Digitale zorgtoepassing]),0))</f>
        <v>20337129.692354899</v>
      </c>
      <c r="P409" s="398" cm="1">
        <f t="array" ref="P409">J409*INDEX(Berekening_impact[Opbrengsten door QALY''s],MATCH(B409,IF(Berekening_impact[Doelgroep]=C409,Berekening_impact[Digitale zorgtoepassing]),0))</f>
        <v>0</v>
      </c>
      <c r="Q409" s="398" cm="1">
        <f t="array" ref="Q409">J409*INDEX(Berekening_impact[Jaarlijkse kosten (totaal) - incl. schatting],MATCH(B409,IF(Berekening_impact[Doelgroep]=C409,Berekening_impact[Digitale zorgtoepassing]),0))</f>
        <v>9921092.3688181546</v>
      </c>
      <c r="R409" s="398" cm="1">
        <f t="array" ref="R409">(uitkomst_doelgroep[[#This Row],[Implementatiegraad t = T + 1]]-uitkomst_doelgroep[[#This Row],[Implementatiegraad t = T]])*INDEX(Berekening_impact[Initiële investering (totaal) - incl. schatting],MATCH(B409,IF(Berekening_impact[Doelgroep]=C409,Berekening_impact[Digitale zorgtoepassing]),0))</f>
        <v>31429.785979286986</v>
      </c>
      <c r="S409" s="398">
        <f>uitkomst_doelgroep[[#This Row],[Arbeidsbesparing (€)]]*uitkomst_doelgroep[[#This Row],[Percentage van patiëntaantallen in Wlz (overige is Zvw)]]</f>
        <v>41290536.042053886</v>
      </c>
      <c r="T409" s="398">
        <f>uitkomst_doelgroep[[#This Row],[Overige besparingen (€)]]*uitkomst_doelgroep[[#This Row],[Percentage van patiëntaantallen in Wlz (overige is Zvw)]]</f>
        <v>20337129.692354899</v>
      </c>
      <c r="U409" s="398">
        <f>uitkomst_doelgroep[[#This Row],[Kosten (€)]]*uitkomst_doelgroep[[#This Row],[Percentage van patiëntaantallen in Wlz (overige is Zvw)]]</f>
        <v>9921092.3688181546</v>
      </c>
      <c r="V409" s="398">
        <f>uitkomst_doelgroep[[#This Row],[Investering (cash flow) (€)]]*uitkomst_doelgroep[[#This Row],[Percentage van patiëntaantallen in Wlz (overige is Zvw)]]</f>
        <v>31429.785979286986</v>
      </c>
    </row>
    <row r="410" spans="1:22" x14ac:dyDescent="0.5">
      <c r="A410" s="33" t="str">
        <f>INDEX(Technologieën[Veld],MATCH(B410,Technologieën[Digitale zorgtoepassing],0))</f>
        <v>Digitale hulpmiddelen - Verpleging</v>
      </c>
      <c r="B410" s="33" t="s">
        <v>26</v>
      </c>
      <c r="C410" s="33" t="s">
        <v>29</v>
      </c>
      <c r="D410" s="427" cm="1">
        <f t="array" ref="D410">INDEX(Berekening_patiëntaantal[Percentage van patiëntaantallen in Wlz (overige is Zvw)],MATCH(B410,IF(Berekening_patiëntaantal[Doelgroep (zoeksleutel)]=C410,Berekening_patiëntaantal[Digitale zorgtoepassing]),0))</f>
        <v>0.70000000000000007</v>
      </c>
      <c r="E410" s="33" t="str" cm="1">
        <f t="array" ref="E410">INDEX(Berekening_patiëntaantal[Direct toepasbaar/extrapolatie/incidentie voor QALY],MATCH(B410,IF(Berekening_patiëntaantal[Doelgroep (zoeksleutel)]=C410,Berekening_patiëntaantal[Digitale zorgtoepassing]),0))</f>
        <v>Huidige toepassing</v>
      </c>
      <c r="F410" s="43" t="s">
        <v>812</v>
      </c>
      <c r="G410" s="33" t="str">
        <f>CONCATENATE(uitkomst_doelgroep[[#This Row],[Digitale zorgtoepassing]],"_",uitkomst_doelgroep[[#This Row],[Doelgroep]],"_",uitkomst_doelgroep[[#This Row],[Uitgangssituatie/effect beleid]])</f>
        <v>Medicijndispenser_Reumatische aandoening _Effect beleid</v>
      </c>
      <c r="H410" s="33">
        <v>2030</v>
      </c>
      <c r="I410" s="32">
        <v>8</v>
      </c>
      <c r="J410" s="406" cm="1">
        <f t="array" ref="J410">INDEX(implementatie[[2023]:[2034]],MATCH(G410, implementatie[Zoeksleutel],0),I410)</f>
        <v>0.95076893399505846</v>
      </c>
      <c r="K410" s="406" cm="1">
        <f t="array" ref="K410">INDEX(implementatie[[2023]:[2034]],MATCH(G410,implementatie[Zoeksleutel],0),I410 + 1)</f>
        <v>0.97047650257314066</v>
      </c>
      <c r="L41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73863.336944208102</v>
      </c>
      <c r="M410" s="398" cm="1">
        <f t="array" ref="M410">J410*INDEX(Berekening_impact[Totaal arbeidsbesparing (€/jaar)],MATCH(B410,IF(Berekening_impact[Doelgroep]=C410,Berekening_impact[Digitale zorgtoepassing]),0))</f>
        <v>326013696.36716485</v>
      </c>
      <c r="N410" s="397" cm="1">
        <f t="array" ref="N410">J410*INDEX(Berekening_impact[Totaal arbeidsbesparing (FTE/jaar)],MATCH(B410,IF(Berekening_impact[Doelgroep]=C410,Berekening_impact[Digitale zorgtoepassing]),0))</f>
        <v>6185.4853166523444</v>
      </c>
      <c r="O410" s="398" cm="1">
        <f t="array" ref="O410">J410*INDEX(Berekening_impact[Overige kostenbesparing (totaal/jaar totaal potentieel)],MATCH(B410,IF(Berekening_impact[Doelgroep]=C410,Berekening_impact[Digitale zorgtoepassing]),0))</f>
        <v>160573910.15099165</v>
      </c>
      <c r="P410" s="398" cm="1">
        <f t="array" ref="P410">J410*INDEX(Berekening_impact[Opbrengsten door QALY''s],MATCH(B410,IF(Berekening_impact[Doelgroep]=C410,Berekening_impact[Digitale zorgtoepassing]),0))</f>
        <v>0</v>
      </c>
      <c r="Q410" s="398" cm="1">
        <f t="array" ref="Q410">J410*INDEX(Berekening_impact[Jaarlijkse kosten (totaal) - incl. schatting],MATCH(B410,IF(Berekening_impact[Doelgroep]=C410,Berekening_impact[Digitale zorgtoepassing]),0))</f>
        <v>78251703.995575368</v>
      </c>
      <c r="R410" s="398" cm="1">
        <f t="array" ref="R410">(uitkomst_doelgroep[[#This Row],[Implementatiegraad t = T + 1]]-uitkomst_doelgroep[[#This Row],[Implementatiegraad t = T]])*INDEX(Berekening_impact[Initiële investering (totaal) - incl. schatting],MATCH(B410,IF(Berekening_impact[Doelgroep]=C410,Berekening_impact[Digitale zorgtoepassing]),0))</f>
        <v>104389.29433059822</v>
      </c>
      <c r="S410" s="398">
        <f>uitkomst_doelgroep[[#This Row],[Arbeidsbesparing (€)]]*uitkomst_doelgroep[[#This Row],[Percentage van patiëntaantallen in Wlz (overige is Zvw)]]</f>
        <v>228209587.45701542</v>
      </c>
      <c r="T410" s="398">
        <f>uitkomst_doelgroep[[#This Row],[Overige besparingen (€)]]*uitkomst_doelgroep[[#This Row],[Percentage van patiëntaantallen in Wlz (overige is Zvw)]]</f>
        <v>112401737.10569416</v>
      </c>
      <c r="U410" s="398">
        <f>uitkomst_doelgroep[[#This Row],[Kosten (€)]]*uitkomst_doelgroep[[#This Row],[Percentage van patiëntaantallen in Wlz (overige is Zvw)]]</f>
        <v>54776192.796902761</v>
      </c>
      <c r="V410" s="398">
        <f>uitkomst_doelgroep[[#This Row],[Investering (cash flow) (€)]]*uitkomst_doelgroep[[#This Row],[Percentage van patiëntaantallen in Wlz (overige is Zvw)]]</f>
        <v>73072.506031418758</v>
      </c>
    </row>
    <row r="411" spans="1:22" x14ac:dyDescent="0.5">
      <c r="A411" s="33" t="str">
        <f>INDEX(Technologieën[Veld],MATCH(B411,Technologieën[Digitale zorgtoepassing],0))</f>
        <v>Digitale hulpmiddelen - Verpleging</v>
      </c>
      <c r="B411" s="33" t="s">
        <v>26</v>
      </c>
      <c r="C411" s="33" t="s">
        <v>24</v>
      </c>
      <c r="D411" s="427" cm="1">
        <f t="array" ref="D411">INDEX(Berekening_patiëntaantal[Percentage van patiëntaantallen in Wlz (overige is Zvw)],MATCH(B411,IF(Berekening_patiëntaantal[Doelgroep (zoeksleutel)]=C411,Berekening_patiëntaantal[Digitale zorgtoepassing]),0))</f>
        <v>0.45</v>
      </c>
      <c r="E411" s="33" t="str" cm="1">
        <f t="array" ref="E411">INDEX(Berekening_patiëntaantal[Direct toepasbaar/extrapolatie/incidentie voor QALY],MATCH(B411,IF(Berekening_patiëntaantal[Doelgroep (zoeksleutel)]=C411,Berekening_patiëntaantal[Digitale zorgtoepassing]),0))</f>
        <v>Extrapolatie</v>
      </c>
      <c r="F411" s="43" t="s">
        <v>812</v>
      </c>
      <c r="G411" s="33" t="str">
        <f>CONCATENATE(uitkomst_doelgroep[[#This Row],[Digitale zorgtoepassing]],"_",uitkomst_doelgroep[[#This Row],[Doelgroep]],"_",uitkomst_doelgroep[[#This Row],[Uitgangssituatie/effect beleid]])</f>
        <v>Medicijndispenser_Cognitieve beperking_Effect beleid</v>
      </c>
      <c r="H411" s="33">
        <v>2031</v>
      </c>
      <c r="I411" s="32">
        <v>9</v>
      </c>
      <c r="J411" s="406" cm="1">
        <f t="array" ref="J411">INDEX(implementatie[[2023]:[2034]],MATCH(G411, implementatie[Zoeksleutel],0),I411)</f>
        <v>0.27699177758611071</v>
      </c>
      <c r="K411" s="406" cm="1">
        <f t="array" ref="K411">INDEX(implementatie[[2023]:[2034]],MATCH(G411,implementatie[Zoeksleutel],0),I411 + 1)</f>
        <v>0.37155887512870744</v>
      </c>
      <c r="L41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2218.6542799447816</v>
      </c>
      <c r="M411" s="398" cm="1">
        <f t="array" ref="M411">J411*INDEX(Berekening_impact[Totaal arbeidsbesparing (€/jaar)],MATCH(B411,IF(Berekening_impact[Doelgroep]=C411,Berekening_impact[Digitale zorgtoepassing]),0))</f>
        <v>9792567.0933601968</v>
      </c>
      <c r="N411" s="397" cm="1">
        <f t="array" ref="N411">J411*INDEX(Berekening_impact[Totaal arbeidsbesparing (FTE/jaar)],MATCH(B411,IF(Berekening_impact[Doelgroep]=C411,Berekening_impact[Digitale zorgtoepassing]),0))</f>
        <v>185.79520015041012</v>
      </c>
      <c r="O411" s="398" cm="1">
        <f t="array" ref="O411">J411*INDEX(Berekening_impact[Overige kostenbesparing (totaal/jaar totaal potentieel)],MATCH(B411,IF(Berekening_impact[Doelgroep]=C411,Berekening_impact[Digitale zorgtoepassing]),0))</f>
        <v>4823204.6877744254</v>
      </c>
      <c r="P411" s="398" cm="1">
        <f t="array" ref="P411">J411*INDEX(Berekening_impact[Opbrengsten door QALY''s],MATCH(B411,IF(Berekening_impact[Doelgroep]=C411,Berekening_impact[Digitale zorgtoepassing]),0))</f>
        <v>0</v>
      </c>
      <c r="Q411" s="398" cm="1">
        <f t="array" ref="Q411">J411*INDEX(Berekening_impact[Jaarlijkse kosten (totaal) - incl. schatting],MATCH(B411,IF(Berekening_impact[Doelgroep]=C411,Berekening_impact[Digitale zorgtoepassing]),0))</f>
        <v>2351152.7457241216</v>
      </c>
      <c r="R411" s="398" cm="1">
        <f t="array" ref="R411">(uitkomst_doelgroep[[#This Row],[Implementatiegraad t = T + 1]]-uitkomst_doelgroep[[#This Row],[Implementatiegraad t = T]])*INDEX(Berekening_impact[Initiële investering (totaal) - incl. schatting],MATCH(B411,IF(Berekening_impact[Doelgroep]=C411,Berekening_impact[Digitale zorgtoepassing]),0))</f>
        <v>0</v>
      </c>
      <c r="S411" s="398">
        <f>uitkomst_doelgroep[[#This Row],[Arbeidsbesparing (€)]]*uitkomst_doelgroep[[#This Row],[Percentage van patiëntaantallen in Wlz (overige is Zvw)]]</f>
        <v>4406655.1920120884</v>
      </c>
      <c r="T411" s="398">
        <f>uitkomst_doelgroep[[#This Row],[Overige besparingen (€)]]*uitkomst_doelgroep[[#This Row],[Percentage van patiëntaantallen in Wlz (overige is Zvw)]]</f>
        <v>2170442.1094984915</v>
      </c>
      <c r="U411" s="398">
        <f>uitkomst_doelgroep[[#This Row],[Kosten (€)]]*uitkomst_doelgroep[[#This Row],[Percentage van patiëntaantallen in Wlz (overige is Zvw)]]</f>
        <v>1058018.7355758548</v>
      </c>
      <c r="V411" s="398">
        <f>uitkomst_doelgroep[[#This Row],[Investering (cash flow) (€)]]*uitkomst_doelgroep[[#This Row],[Percentage van patiëntaantallen in Wlz (overige is Zvw)]]</f>
        <v>0</v>
      </c>
    </row>
    <row r="412" spans="1:22" x14ac:dyDescent="0.5">
      <c r="A412" s="33" t="str">
        <f>INDEX(Technologieën[Veld],MATCH(B412,Technologieën[Digitale zorgtoepassing],0))</f>
        <v>Digitale hulpmiddelen - Verpleging</v>
      </c>
      <c r="B412" s="33" t="s">
        <v>26</v>
      </c>
      <c r="C412" s="33" t="s">
        <v>20</v>
      </c>
      <c r="D412" s="427" cm="1">
        <f t="array" ref="D412">INDEX(Berekening_patiëntaantal[Percentage van patiëntaantallen in Wlz (overige is Zvw)],MATCH(B412,IF(Berekening_patiëntaantal[Doelgroep (zoeksleutel)]=C412,Berekening_patiëntaantal[Digitale zorgtoepassing]),0))</f>
        <v>0.45</v>
      </c>
      <c r="E412" s="33" t="str" cm="1">
        <f t="array" ref="E412">INDEX(Berekening_patiëntaantal[Direct toepasbaar/extrapolatie/incidentie voor QALY],MATCH(B412,IF(Berekening_patiëntaantal[Doelgroep (zoeksleutel)]=C412,Berekening_patiëntaantal[Digitale zorgtoepassing]),0))</f>
        <v>Huidige toepassing</v>
      </c>
      <c r="F412" s="43" t="s">
        <v>812</v>
      </c>
      <c r="G412" s="33" t="str">
        <f>CONCATENATE(uitkomst_doelgroep[[#This Row],[Digitale zorgtoepassing]],"_",uitkomst_doelgroep[[#This Row],[Doelgroep]],"_",uitkomst_doelgroep[[#This Row],[Uitgangssituatie/effect beleid]])</f>
        <v>Medicijndispenser_Dementie_Effect beleid</v>
      </c>
      <c r="H412" s="33">
        <v>2031</v>
      </c>
      <c r="I412" s="32">
        <v>9</v>
      </c>
      <c r="J412" s="406" cm="1">
        <f t="array" ref="J412">INDEX(implementatie[[2023]:[2034]],MATCH(G412, implementatie[Zoeksleutel],0),I412)</f>
        <v>0.97047650257314066</v>
      </c>
      <c r="K412" s="406" cm="1">
        <f t="array" ref="K412">INDEX(implementatie[[2023]:[2034]],MATCH(G412,implementatie[Zoeksleutel],0),I412 + 1)</f>
        <v>0.98252771673229611</v>
      </c>
      <c r="L41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40940.812880501289</v>
      </c>
      <c r="M412" s="398" cm="1">
        <f t="array" ref="M412">J412*INDEX(Berekening_impact[Totaal arbeidsbesparing (€/jaar)],MATCH(B412,IF(Berekening_impact[Doelgroep]=C412,Berekening_impact[Digitale zorgtoepassing]),0))</f>
        <v>180702176.36566266</v>
      </c>
      <c r="N412" s="397" cm="1">
        <f t="array" ref="N412">J412*INDEX(Berekening_impact[Totaal arbeidsbesparing (FTE/jaar)],MATCH(B412,IF(Berekening_impact[Doelgroep]=C412,Berekening_impact[Digitale zorgtoepassing]),0))</f>
        <v>3428.4776101495813</v>
      </c>
      <c r="O412" s="398" cm="1">
        <f t="array" ref="O412">J412*INDEX(Berekening_impact[Overige kostenbesparing (totaal/jaar totaal potentieel)],MATCH(B412,IF(Berekening_impact[Doelgroep]=C412,Berekening_impact[Digitale zorgtoepassing]),0))</f>
        <v>89002564.478609964</v>
      </c>
      <c r="P412" s="398" cm="1">
        <f t="array" ref="P412">J412*INDEX(Berekening_impact[Opbrengsten door QALY''s],MATCH(B412,IF(Berekening_impact[Doelgroep]=C412,Berekening_impact[Digitale zorgtoepassing]),0))</f>
        <v>0</v>
      </c>
      <c r="Q412" s="398" cm="1">
        <f t="array" ref="Q412">J412*INDEX(Berekening_impact[Jaarlijkse kosten (totaal) - incl. schatting],MATCH(B412,IF(Berekening_impact[Doelgroep]=C412,Berekening_impact[Digitale zorgtoepassing]),0))</f>
        <v>43376107.742455579</v>
      </c>
      <c r="R412" s="398" cm="1">
        <f t="array" ref="R412">(uitkomst_doelgroep[[#This Row],[Implementatiegraad t = T + 1]]-uitkomst_doelgroep[[#This Row],[Implementatiegraad t = T]])*INDEX(Berekening_impact[Initiële investering (totaal) - incl. schatting],MATCH(B412,IF(Berekening_impact[Doelgroep]=C412,Berekening_impact[Digitale zorgtoepassing]),0))</f>
        <v>44651.164800097577</v>
      </c>
      <c r="S412" s="398">
        <f>uitkomst_doelgroep[[#This Row],[Arbeidsbesparing (€)]]*uitkomst_doelgroep[[#This Row],[Percentage van patiëntaantallen in Wlz (overige is Zvw)]]</f>
        <v>81315979.364548206</v>
      </c>
      <c r="T412" s="398">
        <f>uitkomst_doelgroep[[#This Row],[Overige besparingen (€)]]*uitkomst_doelgroep[[#This Row],[Percentage van patiëntaantallen in Wlz (overige is Zvw)]]</f>
        <v>40051154.015374482</v>
      </c>
      <c r="U412" s="398">
        <f>uitkomst_doelgroep[[#This Row],[Kosten (€)]]*uitkomst_doelgroep[[#This Row],[Percentage van patiëntaantallen in Wlz (overige is Zvw)]]</f>
        <v>19519248.48410501</v>
      </c>
      <c r="V412" s="398">
        <f>uitkomst_doelgroep[[#This Row],[Investering (cash flow) (€)]]*uitkomst_doelgroep[[#This Row],[Percentage van patiëntaantallen in Wlz (overige is Zvw)]]</f>
        <v>20093.024160043911</v>
      </c>
    </row>
    <row r="413" spans="1:22" x14ac:dyDescent="0.5">
      <c r="A413" s="33" t="str">
        <f>INDEX(Technologieën[Veld],MATCH(B413,Technologieën[Digitale zorgtoepassing],0))</f>
        <v>Digitale hulpmiddelen - Verpleging</v>
      </c>
      <c r="B413" s="33" t="s">
        <v>26</v>
      </c>
      <c r="C413" s="33" t="s">
        <v>27</v>
      </c>
      <c r="D413" s="427" cm="1">
        <f t="array" ref="D413">INDEX(Berekening_patiëntaantal[Percentage van patiëntaantallen in Wlz (overige is Zvw)],MATCH(B413,IF(Berekening_patiëntaantal[Doelgroep (zoeksleutel)]=C413,Berekening_patiëntaantal[Digitale zorgtoepassing]),0))</f>
        <v>1</v>
      </c>
      <c r="E413" s="33" t="str" cm="1">
        <f t="array" ref="E413">INDEX(Berekening_patiëntaantal[Direct toepasbaar/extrapolatie/incidentie voor QALY],MATCH(B413,IF(Berekening_patiëntaantal[Doelgroep (zoeksleutel)]=C413,Berekening_patiëntaantal[Digitale zorgtoepassing]),0))</f>
        <v>Huidige toepassing</v>
      </c>
      <c r="F413" s="43" t="s">
        <v>812</v>
      </c>
      <c r="G413" s="33" t="str">
        <f>CONCATENATE(uitkomst_doelgroep[[#This Row],[Digitale zorgtoepassing]],"_",uitkomst_doelgroep[[#This Row],[Doelgroep]],"_",uitkomst_doelgroep[[#This Row],[Uitgangssituatie/effect beleid]])</f>
        <v>Medicijndispenser_Parkinson_Effect beleid</v>
      </c>
      <c r="H413" s="33">
        <v>2031</v>
      </c>
      <c r="I413" s="32">
        <v>9</v>
      </c>
      <c r="J413" s="406" cm="1">
        <f t="array" ref="J413">INDEX(implementatie[[2023]:[2034]],MATCH(G413, implementatie[Zoeksleutel],0),I413)</f>
        <v>0.97047650257314066</v>
      </c>
      <c r="K413" s="406" cm="1">
        <f t="array" ref="K413">INDEX(implementatie[[2023]:[2034]],MATCH(G413,implementatie[Zoeksleutel],0),I413 + 1)</f>
        <v>0.98252771673229611</v>
      </c>
      <c r="L41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9548.906499418159</v>
      </c>
      <c r="M413" s="398" cm="1">
        <f t="array" ref="M413">J413*INDEX(Berekening_impact[Totaal arbeidsbesparing (€/jaar)],MATCH(B413,IF(Berekening_impact[Doelgroep]=C413,Berekening_impact[Digitale zorgtoepassing]),0))</f>
        <v>42146407.580951668</v>
      </c>
      <c r="N413" s="397" cm="1">
        <f t="array" ref="N413">J413*INDEX(Berekening_impact[Totaal arbeidsbesparing (FTE/jaar)],MATCH(B413,IF(Berekening_impact[Doelgroep]=C413,Berekening_impact[Digitale zorgtoepassing]),0))</f>
        <v>799.64734042345003</v>
      </c>
      <c r="O413" s="398" cm="1">
        <f t="array" ref="O413">J413*INDEX(Berekening_impact[Overige kostenbesparing (totaal/jaar totaal potentieel)],MATCH(B413,IF(Berekening_impact[Doelgroep]=C413,Berekening_impact[Digitale zorgtoepassing]),0))</f>
        <v>20758678.360767238</v>
      </c>
      <c r="P413" s="398" cm="1">
        <f t="array" ref="P413">J413*INDEX(Berekening_impact[Opbrengsten door QALY''s],MATCH(B413,IF(Berekening_impact[Doelgroep]=C413,Berekening_impact[Digitale zorgtoepassing]),0))</f>
        <v>0</v>
      </c>
      <c r="Q413" s="398" cm="1">
        <f t="array" ref="Q413">J413*INDEX(Berekening_impact[Jaarlijkse kosten (totaal) - incl. schatting],MATCH(B413,IF(Berekening_impact[Doelgroep]=C413,Berekening_impact[Digitale zorgtoepassing]),0))</f>
        <v>10126737.085675286</v>
      </c>
      <c r="R413" s="398" cm="1">
        <f t="array" ref="R413">(uitkomst_doelgroep[[#This Row],[Implementatiegraad t = T + 1]]-uitkomst_doelgroep[[#This Row],[Implementatiegraad t = T]])*INDEX(Berekening_impact[Initiële investering (totaal) - incl. schatting],MATCH(B413,IF(Berekening_impact[Doelgroep]=C413,Berekening_impact[Digitale zorgtoepassing]),0))</f>
        <v>19219.371497408101</v>
      </c>
      <c r="S413" s="398">
        <f>uitkomst_doelgroep[[#This Row],[Arbeidsbesparing (€)]]*uitkomst_doelgroep[[#This Row],[Percentage van patiëntaantallen in Wlz (overige is Zvw)]]</f>
        <v>42146407.580951668</v>
      </c>
      <c r="T413" s="398">
        <f>uitkomst_doelgroep[[#This Row],[Overige besparingen (€)]]*uitkomst_doelgroep[[#This Row],[Percentage van patiëntaantallen in Wlz (overige is Zvw)]]</f>
        <v>20758678.360767238</v>
      </c>
      <c r="U413" s="398">
        <f>uitkomst_doelgroep[[#This Row],[Kosten (€)]]*uitkomst_doelgroep[[#This Row],[Percentage van patiëntaantallen in Wlz (overige is Zvw)]]</f>
        <v>10126737.085675286</v>
      </c>
      <c r="V413" s="398">
        <f>uitkomst_doelgroep[[#This Row],[Investering (cash flow) (€)]]*uitkomst_doelgroep[[#This Row],[Percentage van patiëntaantallen in Wlz (overige is Zvw)]]</f>
        <v>19219.371497408101</v>
      </c>
    </row>
    <row r="414" spans="1:22" x14ac:dyDescent="0.5">
      <c r="A414" s="33" t="str">
        <f>INDEX(Technologieën[Veld],MATCH(B414,Technologieën[Digitale zorgtoepassing],0))</f>
        <v>Digitale hulpmiddelen - Verpleging</v>
      </c>
      <c r="B414" s="33" t="s">
        <v>26</v>
      </c>
      <c r="C414" s="33" t="s">
        <v>29</v>
      </c>
      <c r="D414" s="427" cm="1">
        <f t="array" ref="D414">INDEX(Berekening_patiëntaantal[Percentage van patiëntaantallen in Wlz (overige is Zvw)],MATCH(B414,IF(Berekening_patiëntaantal[Doelgroep (zoeksleutel)]=C414,Berekening_patiëntaantal[Digitale zorgtoepassing]),0))</f>
        <v>0.70000000000000007</v>
      </c>
      <c r="E414" s="33" t="str" cm="1">
        <f t="array" ref="E414">INDEX(Berekening_patiëntaantal[Direct toepasbaar/extrapolatie/incidentie voor QALY],MATCH(B414,IF(Berekening_patiëntaantal[Doelgroep (zoeksleutel)]=C414,Berekening_patiëntaantal[Digitale zorgtoepassing]),0))</f>
        <v>Huidige toepassing</v>
      </c>
      <c r="F414" s="43" t="s">
        <v>812</v>
      </c>
      <c r="G414" s="33" t="str">
        <f>CONCATENATE(uitkomst_doelgroep[[#This Row],[Digitale zorgtoepassing]],"_",uitkomst_doelgroep[[#This Row],[Doelgroep]],"_",uitkomst_doelgroep[[#This Row],[Uitgangssituatie/effect beleid]])</f>
        <v>Medicijndispenser_Reumatische aandoening _Effect beleid</v>
      </c>
      <c r="H414" s="33">
        <v>2031</v>
      </c>
      <c r="I414" s="32">
        <v>9</v>
      </c>
      <c r="J414" s="406" cm="1">
        <f t="array" ref="J414">INDEX(implementatie[[2023]:[2034]],MATCH(G414, implementatie[Zoeksleutel],0),I414)</f>
        <v>0.97047650257314066</v>
      </c>
      <c r="K414" s="406" cm="1">
        <f t="array" ref="K414">INDEX(implementatie[[2023]:[2034]],MATCH(G414,implementatie[Zoeksleutel],0),I414 + 1)</f>
        <v>0.98252771673229611</v>
      </c>
      <c r="L41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75394.378531902155</v>
      </c>
      <c r="M414" s="398" cm="1">
        <f t="array" ref="M414">J414*INDEX(Berekening_impact[Totaal arbeidsbesparing (€/jaar)],MATCH(B414,IF(Berekening_impact[Doelgroep]=C414,Berekening_impact[Digitale zorgtoepassing]),0))</f>
        <v>332771318.59147632</v>
      </c>
      <c r="N414" s="397" cm="1">
        <f t="array" ref="N414">J414*INDEX(Berekening_impact[Totaal arbeidsbesparing (FTE/jaar)],MATCH(B414,IF(Berekening_impact[Doelgroep]=C414,Berekening_impact[Digitale zorgtoepassing]),0))</f>
        <v>6313.6982522122271</v>
      </c>
      <c r="O414" s="398" cm="1">
        <f t="array" ref="O414">J414*INDEX(Berekening_impact[Overige kostenbesparing (totaal/jaar totaal potentieel)],MATCH(B414,IF(Berekening_impact[Doelgroep]=C414,Berekening_impact[Digitale zorgtoepassing]),0))</f>
        <v>163902291.24654809</v>
      </c>
      <c r="P414" s="398" cm="1">
        <f t="array" ref="P414">J414*INDEX(Berekening_impact[Opbrengsten door QALY''s],MATCH(B414,IF(Berekening_impact[Doelgroep]=C414,Berekening_impact[Digitale zorgtoepassing]),0))</f>
        <v>0</v>
      </c>
      <c r="Q414" s="398" cm="1">
        <f t="array" ref="Q414">J414*INDEX(Berekening_impact[Jaarlijkse kosten (totaal) - incl. schatting],MATCH(B414,IF(Berekening_impact[Doelgroep]=C414,Berekening_impact[Digitale zorgtoepassing]),0))</f>
        <v>79873707.794505358</v>
      </c>
      <c r="R414" s="398" cm="1">
        <f t="array" ref="R414">(uitkomst_doelgroep[[#This Row],[Implementatiegraad t = T + 1]]-uitkomst_doelgroep[[#This Row],[Implementatiegraad t = T]])*INDEX(Berekening_impact[Initiële investering (totaal) - incl. schatting],MATCH(B414,IF(Berekening_impact[Doelgroep]=C414,Berekening_impact[Digitale zorgtoepassing]),0))</f>
        <v>63834.244032531562</v>
      </c>
      <c r="S414" s="398">
        <f>uitkomst_doelgroep[[#This Row],[Arbeidsbesparing (€)]]*uitkomst_doelgroep[[#This Row],[Percentage van patiëntaantallen in Wlz (overige is Zvw)]]</f>
        <v>232939923.01403344</v>
      </c>
      <c r="T414" s="398">
        <f>uitkomst_doelgroep[[#This Row],[Overige besparingen (€)]]*uitkomst_doelgroep[[#This Row],[Percentage van patiëntaantallen in Wlz (overige is Zvw)]]</f>
        <v>114731603.87258367</v>
      </c>
      <c r="U414" s="398">
        <f>uitkomst_doelgroep[[#This Row],[Kosten (€)]]*uitkomst_doelgroep[[#This Row],[Percentage van patiëntaantallen in Wlz (overige is Zvw)]]</f>
        <v>55911595.456153758</v>
      </c>
      <c r="V414" s="398">
        <f>uitkomst_doelgroep[[#This Row],[Investering (cash flow) (€)]]*uitkomst_doelgroep[[#This Row],[Percentage van patiëntaantallen in Wlz (overige is Zvw)]]</f>
        <v>44683.970822772098</v>
      </c>
    </row>
    <row r="415" spans="1:22" x14ac:dyDescent="0.5">
      <c r="A415" s="33" t="str">
        <f>INDEX(Technologieën[Veld],MATCH(B415,Technologieën[Digitale zorgtoepassing],0))</f>
        <v>Digitale hulpmiddelen - Verpleging</v>
      </c>
      <c r="B415" s="33" t="s">
        <v>26</v>
      </c>
      <c r="C415" s="33" t="s">
        <v>24</v>
      </c>
      <c r="D415" s="427" cm="1">
        <f t="array" ref="D415">INDEX(Berekening_patiëntaantal[Percentage van patiëntaantallen in Wlz (overige is Zvw)],MATCH(B415,IF(Berekening_patiëntaantal[Doelgroep (zoeksleutel)]=C415,Berekening_patiëntaantal[Digitale zorgtoepassing]),0))</f>
        <v>0.45</v>
      </c>
      <c r="E415" s="33" t="str" cm="1">
        <f t="array" ref="E415">INDEX(Berekening_patiëntaantal[Direct toepasbaar/extrapolatie/incidentie voor QALY],MATCH(B415,IF(Berekening_patiëntaantal[Doelgroep (zoeksleutel)]=C415,Berekening_patiëntaantal[Digitale zorgtoepassing]),0))</f>
        <v>Extrapolatie</v>
      </c>
      <c r="F415" s="43" t="s">
        <v>812</v>
      </c>
      <c r="G415" s="33" t="str">
        <f>CONCATENATE(uitkomst_doelgroep[[#This Row],[Digitale zorgtoepassing]],"_",uitkomst_doelgroep[[#This Row],[Doelgroep]],"_",uitkomst_doelgroep[[#This Row],[Uitgangssituatie/effect beleid]])</f>
        <v>Medicijndispenser_Cognitieve beperking_Effect beleid</v>
      </c>
      <c r="H415" s="33">
        <v>2032</v>
      </c>
      <c r="I415" s="32">
        <v>10</v>
      </c>
      <c r="J415" s="406" cm="1">
        <f t="array" ref="J415">INDEX(implementatie[[2023]:[2034]],MATCH(G415, implementatie[Zoeksleutel],0),I415)</f>
        <v>0.37155887512870744</v>
      </c>
      <c r="K415" s="406" cm="1">
        <f t="array" ref="K415">INDEX(implementatie[[2023]:[2034]],MATCH(G415,implementatie[Zoeksleutel],0),I415 + 1)</f>
        <v>0.47752884860285211</v>
      </c>
      <c r="L41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2976.1197091834238</v>
      </c>
      <c r="M415" s="398" cm="1">
        <f t="array" ref="M415">J415*INDEX(Berekening_impact[Totaal arbeidsbesparing (€/jaar)],MATCH(B415,IF(Berekening_impact[Doelgroep]=C415,Berekening_impact[Digitale zorgtoepassing]),0))</f>
        <v>13135823.906181388</v>
      </c>
      <c r="N415" s="397" cm="1">
        <f t="array" ref="N415">J415*INDEX(Berekening_impact[Totaal arbeidsbesparing (FTE/jaar)],MATCH(B415,IF(Berekening_impact[Doelgroep]=C415,Berekening_impact[Digitale zorgtoepassing]),0))</f>
        <v>249.22709321484575</v>
      </c>
      <c r="O415" s="398" cm="1">
        <f t="array" ref="O415">J415*INDEX(Berekening_impact[Overige kostenbesparing (totaal/jaar totaal potentieel)],MATCH(B415,IF(Berekening_impact[Doelgroep]=C415,Berekening_impact[Digitale zorgtoepassing]),0))</f>
        <v>6469883.4164773999</v>
      </c>
      <c r="P415" s="398" cm="1">
        <f t="array" ref="P415">J415*INDEX(Berekening_impact[Opbrengsten door QALY''s],MATCH(B415,IF(Berekening_impact[Doelgroep]=C415,Berekening_impact[Digitale zorgtoepassing]),0))</f>
        <v>0</v>
      </c>
      <c r="Q415" s="398" cm="1">
        <f t="array" ref="Q415">J415*INDEX(Berekening_impact[Jaarlijkse kosten (totaal) - incl. schatting],MATCH(B415,IF(Berekening_impact[Doelgroep]=C415,Berekening_impact[Digitale zorgtoepassing]),0))</f>
        <v>3153854.1579467859</v>
      </c>
      <c r="R415" s="398" cm="1">
        <f t="array" ref="R415">(uitkomst_doelgroep[[#This Row],[Implementatiegraad t = T + 1]]-uitkomst_doelgroep[[#This Row],[Implementatiegraad t = T]])*INDEX(Berekening_impact[Initiële investering (totaal) - incl. schatting],MATCH(B415,IF(Berekening_impact[Doelgroep]=C415,Berekening_impact[Digitale zorgtoepassing]),0))</f>
        <v>0</v>
      </c>
      <c r="S415" s="398">
        <f>uitkomst_doelgroep[[#This Row],[Arbeidsbesparing (€)]]*uitkomst_doelgroep[[#This Row],[Percentage van patiëntaantallen in Wlz (overige is Zvw)]]</f>
        <v>5911120.7577816248</v>
      </c>
      <c r="T415" s="398">
        <f>uitkomst_doelgroep[[#This Row],[Overige besparingen (€)]]*uitkomst_doelgroep[[#This Row],[Percentage van patiëntaantallen in Wlz (overige is Zvw)]]</f>
        <v>2911447.5374148302</v>
      </c>
      <c r="U415" s="398">
        <f>uitkomst_doelgroep[[#This Row],[Kosten (€)]]*uitkomst_doelgroep[[#This Row],[Percentage van patiëntaantallen in Wlz (overige is Zvw)]]</f>
        <v>1419234.3710760537</v>
      </c>
      <c r="V415" s="398">
        <f>uitkomst_doelgroep[[#This Row],[Investering (cash flow) (€)]]*uitkomst_doelgroep[[#This Row],[Percentage van patiëntaantallen in Wlz (overige is Zvw)]]</f>
        <v>0</v>
      </c>
    </row>
    <row r="416" spans="1:22" x14ac:dyDescent="0.5">
      <c r="A416" s="33" t="str">
        <f>INDEX(Technologieën[Veld],MATCH(B416,Technologieën[Digitale zorgtoepassing],0))</f>
        <v>Digitale hulpmiddelen - Verpleging</v>
      </c>
      <c r="B416" s="33" t="s">
        <v>26</v>
      </c>
      <c r="C416" s="33" t="s">
        <v>20</v>
      </c>
      <c r="D416" s="427" cm="1">
        <f t="array" ref="D416">INDEX(Berekening_patiëntaantal[Percentage van patiëntaantallen in Wlz (overige is Zvw)],MATCH(B416,IF(Berekening_patiëntaantal[Doelgroep (zoeksleutel)]=C416,Berekening_patiëntaantal[Digitale zorgtoepassing]),0))</f>
        <v>0.45</v>
      </c>
      <c r="E416" s="33" t="str" cm="1">
        <f t="array" ref="E416">INDEX(Berekening_patiëntaantal[Direct toepasbaar/extrapolatie/incidentie voor QALY],MATCH(B416,IF(Berekening_patiëntaantal[Doelgroep (zoeksleutel)]=C416,Berekening_patiëntaantal[Digitale zorgtoepassing]),0))</f>
        <v>Huidige toepassing</v>
      </c>
      <c r="F416" s="43" t="s">
        <v>812</v>
      </c>
      <c r="G416" s="33" t="str">
        <f>CONCATENATE(uitkomst_doelgroep[[#This Row],[Digitale zorgtoepassing]],"_",uitkomst_doelgroep[[#This Row],[Doelgroep]],"_",uitkomst_doelgroep[[#This Row],[Uitgangssituatie/effect beleid]])</f>
        <v>Medicijndispenser_Dementie_Effect beleid</v>
      </c>
      <c r="H416" s="33">
        <v>2032</v>
      </c>
      <c r="I416" s="32">
        <v>10</v>
      </c>
      <c r="J416" s="406" cm="1">
        <f t="array" ref="J416">INDEX(implementatie[[2023]:[2034]],MATCH(G416, implementatie[Zoeksleutel],0),I416)</f>
        <v>0.98252771673229611</v>
      </c>
      <c r="K416" s="406" cm="1">
        <f t="array" ref="K416">INDEX(implementatie[[2023]:[2034]],MATCH(G416,implementatie[Zoeksleutel],0),I416 + 1)</f>
        <v>0.98974396343169702</v>
      </c>
      <c r="L41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41449.209016383669</v>
      </c>
      <c r="M416" s="398" cm="1">
        <f t="array" ref="M416">J416*INDEX(Berekening_impact[Totaal arbeidsbesparing (€/jaar)],MATCH(B416,IF(Berekening_impact[Doelgroep]=C416,Berekening_impact[Digitale zorgtoepassing]),0))</f>
        <v>182946105.63199124</v>
      </c>
      <c r="N416" s="397" cm="1">
        <f t="array" ref="N416">J416*INDEX(Berekening_impact[Totaal arbeidsbesparing (FTE/jaar)],MATCH(B416,IF(Berekening_impact[Doelgroep]=C416,Berekening_impact[Digitale zorgtoepassing]),0))</f>
        <v>3471.051869093752</v>
      </c>
      <c r="O416" s="398" cm="1">
        <f t="array" ref="O416">J416*INDEX(Berekening_impact[Overige kostenbesparing (totaal/jaar totaal potentieel)],MATCH(B416,IF(Berekening_impact[Doelgroep]=C416,Berekening_impact[Digitale zorgtoepassing]),0))</f>
        <v>90107783.370980754</v>
      </c>
      <c r="P416" s="398" cm="1">
        <f t="array" ref="P416">J416*INDEX(Berekening_impact[Opbrengsten door QALY''s],MATCH(B416,IF(Berekening_impact[Doelgroep]=C416,Berekening_impact[Digitale zorgtoepassing]),0))</f>
        <v>0</v>
      </c>
      <c r="Q416" s="398" cm="1">
        <f t="array" ref="Q416">J416*INDEX(Berekening_impact[Jaarlijkse kosten (totaal) - incl. schatting],MATCH(B416,IF(Berekening_impact[Doelgroep]=C416,Berekening_impact[Digitale zorgtoepassing]),0))</f>
        <v>43914744.960779719</v>
      </c>
      <c r="R416" s="398" cm="1">
        <f t="array" ref="R416">(uitkomst_doelgroep[[#This Row],[Implementatiegraad t = T + 1]]-uitkomst_doelgroep[[#This Row],[Implementatiegraad t = T]])*INDEX(Berekening_impact[Initiële investering (totaal) - incl. schatting],MATCH(B416,IF(Berekening_impact[Doelgroep]=C416,Berekening_impact[Digitale zorgtoepassing]),0))</f>
        <v>26737.042123537456</v>
      </c>
      <c r="S416" s="398">
        <f>uitkomst_doelgroep[[#This Row],[Arbeidsbesparing (€)]]*uitkomst_doelgroep[[#This Row],[Percentage van patiëntaantallen in Wlz (overige is Zvw)]]</f>
        <v>82325747.534396052</v>
      </c>
      <c r="T416" s="398">
        <f>uitkomst_doelgroep[[#This Row],[Overige besparingen (€)]]*uitkomst_doelgroep[[#This Row],[Percentage van patiëntaantallen in Wlz (overige is Zvw)]]</f>
        <v>40548502.516941339</v>
      </c>
      <c r="U416" s="398">
        <f>uitkomst_doelgroep[[#This Row],[Kosten (€)]]*uitkomst_doelgroep[[#This Row],[Percentage van patiëntaantallen in Wlz (overige is Zvw)]]</f>
        <v>19761635.232350875</v>
      </c>
      <c r="V416" s="398">
        <f>uitkomst_doelgroep[[#This Row],[Investering (cash flow) (€)]]*uitkomst_doelgroep[[#This Row],[Percentage van patiëntaantallen in Wlz (overige is Zvw)]]</f>
        <v>12031.668955591855</v>
      </c>
    </row>
    <row r="417" spans="1:22" x14ac:dyDescent="0.5">
      <c r="A417" s="33" t="str">
        <f>INDEX(Technologieën[Veld],MATCH(B417,Technologieën[Digitale zorgtoepassing],0))</f>
        <v>Digitale hulpmiddelen - Verpleging</v>
      </c>
      <c r="B417" s="33" t="s">
        <v>26</v>
      </c>
      <c r="C417" s="33" t="s">
        <v>27</v>
      </c>
      <c r="D417" s="427" cm="1">
        <f t="array" ref="D417">INDEX(Berekening_patiëntaantal[Percentage van patiëntaantallen in Wlz (overige is Zvw)],MATCH(B417,IF(Berekening_patiëntaantal[Doelgroep (zoeksleutel)]=C417,Berekening_patiëntaantal[Digitale zorgtoepassing]),0))</f>
        <v>1</v>
      </c>
      <c r="E417" s="33" t="str" cm="1">
        <f t="array" ref="E417">INDEX(Berekening_patiëntaantal[Direct toepasbaar/extrapolatie/incidentie voor QALY],MATCH(B417,IF(Berekening_patiëntaantal[Doelgroep (zoeksleutel)]=C417,Berekening_patiëntaantal[Digitale zorgtoepassing]),0))</f>
        <v>Huidige toepassing</v>
      </c>
      <c r="F417" s="43" t="s">
        <v>812</v>
      </c>
      <c r="G417" s="33" t="str">
        <f>CONCATENATE(uitkomst_doelgroep[[#This Row],[Digitale zorgtoepassing]],"_",uitkomst_doelgroep[[#This Row],[Doelgroep]],"_",uitkomst_doelgroep[[#This Row],[Uitgangssituatie/effect beleid]])</f>
        <v>Medicijndispenser_Parkinson_Effect beleid</v>
      </c>
      <c r="H417" s="33">
        <v>2032</v>
      </c>
      <c r="I417" s="32">
        <v>10</v>
      </c>
      <c r="J417" s="406" cm="1">
        <f t="array" ref="J417">INDEX(implementatie[[2023]:[2034]],MATCH(G417, implementatie[Zoeksleutel],0),I417)</f>
        <v>0.98252771673229611</v>
      </c>
      <c r="K417" s="406" cm="1">
        <f t="array" ref="K417">INDEX(implementatie[[2023]:[2034]],MATCH(G417,implementatie[Zoeksleutel],0),I417 + 1)</f>
        <v>0.98974396343169702</v>
      </c>
      <c r="L41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9667.4832160157548</v>
      </c>
      <c r="M417" s="398" cm="1">
        <f t="array" ref="M417">J417*INDEX(Berekening_impact[Totaal arbeidsbesparing (€/jaar)],MATCH(B417,IF(Berekening_impact[Doelgroep]=C417,Berekening_impact[Digitale zorgtoepassing]),0))</f>
        <v>42669774.589272223</v>
      </c>
      <c r="N417" s="397" cm="1">
        <f t="array" ref="N417">J417*INDEX(Berekening_impact[Totaal arbeidsbesparing (FTE/jaar)],MATCH(B417,IF(Berekening_impact[Doelgroep]=C417,Berekening_impact[Digitale zorgtoepassing]),0))</f>
        <v>809.57722674804529</v>
      </c>
      <c r="O417" s="398" cm="1">
        <f t="array" ref="O417">J417*INDEX(Berekening_impact[Overige kostenbesparing (totaal/jaar totaal potentieel)],MATCH(B417,IF(Berekening_impact[Doelgroep]=C417,Berekening_impact[Digitale zorgtoepassing]),0))</f>
        <v>21016456.140984826</v>
      </c>
      <c r="P417" s="398" cm="1">
        <f t="array" ref="P417">J417*INDEX(Berekening_impact[Opbrengsten door QALY''s],MATCH(B417,IF(Berekening_impact[Doelgroep]=C417,Berekening_impact[Digitale zorgtoepassing]),0))</f>
        <v>0</v>
      </c>
      <c r="Q417" s="398" cm="1">
        <f t="array" ref="Q417">J417*INDEX(Berekening_impact[Jaarlijkse kosten (totaal) - incl. schatting],MATCH(B417,IF(Berekening_impact[Doelgroep]=C417,Berekening_impact[Digitale zorgtoepassing]),0))</f>
        <v>10252489.20541168</v>
      </c>
      <c r="R417" s="398" cm="1">
        <f t="array" ref="R417">(uitkomst_doelgroep[[#This Row],[Implementatiegraad t = T + 1]]-uitkomst_doelgroep[[#This Row],[Implementatiegraad t = T]])*INDEX(Berekening_impact[Initiële investering (totaal) - incl. schatting],MATCH(B417,IF(Berekening_impact[Doelgroep]=C417,Berekening_impact[Digitale zorgtoepassing]),0))</f>
        <v>11508.527215688506</v>
      </c>
      <c r="S417" s="398">
        <f>uitkomst_doelgroep[[#This Row],[Arbeidsbesparing (€)]]*uitkomst_doelgroep[[#This Row],[Percentage van patiëntaantallen in Wlz (overige is Zvw)]]</f>
        <v>42669774.589272223</v>
      </c>
      <c r="T417" s="398">
        <f>uitkomst_doelgroep[[#This Row],[Overige besparingen (€)]]*uitkomst_doelgroep[[#This Row],[Percentage van patiëntaantallen in Wlz (overige is Zvw)]]</f>
        <v>21016456.140984826</v>
      </c>
      <c r="U417" s="398">
        <f>uitkomst_doelgroep[[#This Row],[Kosten (€)]]*uitkomst_doelgroep[[#This Row],[Percentage van patiëntaantallen in Wlz (overige is Zvw)]]</f>
        <v>10252489.20541168</v>
      </c>
      <c r="V417" s="398">
        <f>uitkomst_doelgroep[[#This Row],[Investering (cash flow) (€)]]*uitkomst_doelgroep[[#This Row],[Percentage van patiëntaantallen in Wlz (overige is Zvw)]]</f>
        <v>11508.527215688506</v>
      </c>
    </row>
    <row r="418" spans="1:22" x14ac:dyDescent="0.5">
      <c r="A418" s="33" t="str">
        <f>INDEX(Technologieën[Veld],MATCH(B418,Technologieën[Digitale zorgtoepassing],0))</f>
        <v>Digitale hulpmiddelen - Verpleging</v>
      </c>
      <c r="B418" s="33" t="s">
        <v>26</v>
      </c>
      <c r="C418" s="33" t="s">
        <v>29</v>
      </c>
      <c r="D418" s="427" cm="1">
        <f t="array" ref="D418">INDEX(Berekening_patiëntaantal[Percentage van patiëntaantallen in Wlz (overige is Zvw)],MATCH(B418,IF(Berekening_patiëntaantal[Doelgroep (zoeksleutel)]=C418,Berekening_patiëntaantal[Digitale zorgtoepassing]),0))</f>
        <v>0.70000000000000007</v>
      </c>
      <c r="E418" s="33" t="str" cm="1">
        <f t="array" ref="E418">INDEX(Berekening_patiëntaantal[Direct toepasbaar/extrapolatie/incidentie voor QALY],MATCH(B418,IF(Berekening_patiëntaantal[Doelgroep (zoeksleutel)]=C418,Berekening_patiëntaantal[Digitale zorgtoepassing]),0))</f>
        <v>Huidige toepassing</v>
      </c>
      <c r="F418" s="43" t="s">
        <v>812</v>
      </c>
      <c r="G418" s="33" t="str">
        <f>CONCATENATE(uitkomst_doelgroep[[#This Row],[Digitale zorgtoepassing]],"_",uitkomst_doelgroep[[#This Row],[Doelgroep]],"_",uitkomst_doelgroep[[#This Row],[Uitgangssituatie/effect beleid]])</f>
        <v>Medicijndispenser_Reumatische aandoening _Effect beleid</v>
      </c>
      <c r="H418" s="33">
        <v>2032</v>
      </c>
      <c r="I418" s="32">
        <v>10</v>
      </c>
      <c r="J418" s="406" cm="1">
        <f t="array" ref="J418">INDEX(implementatie[[2023]:[2034]],MATCH(G418, implementatie[Zoeksleutel],0),I418)</f>
        <v>0.98252771673229611</v>
      </c>
      <c r="K418" s="406" cm="1">
        <f t="array" ref="K418">INDEX(implementatie[[2023]:[2034]],MATCH(G418,implementatie[Zoeksleutel],0),I418 + 1)</f>
        <v>0.98974396343169702</v>
      </c>
      <c r="L41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76330.613257498626</v>
      </c>
      <c r="M418" s="398" cm="1">
        <f t="array" ref="M418">J418*INDEX(Berekening_impact[Totaal arbeidsbesparing (€/jaar)],MATCH(B418,IF(Berekening_impact[Doelgroep]=C418,Berekening_impact[Digitale zorgtoepassing]),0))</f>
        <v>336903616.91682214</v>
      </c>
      <c r="N418" s="397" cm="1">
        <f t="array" ref="N418">J418*INDEX(Berekening_impact[Totaal arbeidsbesparing (FTE/jaar)],MATCH(B418,IF(Berekening_impact[Doelgroep]=C418,Berekening_impact[Digitale zorgtoepassing]),0))</f>
        <v>6392.1006963434911</v>
      </c>
      <c r="O418" s="398" cm="1">
        <f t="array" ref="O418">J418*INDEX(Berekening_impact[Overige kostenbesparing (totaal/jaar totaal potentieel)],MATCH(B418,IF(Berekening_impact[Doelgroep]=C418,Berekening_impact[Digitale zorgtoepassing]),0))</f>
        <v>165937602.36201689</v>
      </c>
      <c r="P418" s="398" cm="1">
        <f t="array" ref="P418">J418*INDEX(Berekening_impact[Opbrengsten door QALY''s],MATCH(B418,IF(Berekening_impact[Doelgroep]=C418,Berekening_impact[Digitale zorgtoepassing]),0))</f>
        <v>0</v>
      </c>
      <c r="Q418" s="398" cm="1">
        <f t="array" ref="Q418">J418*INDEX(Berekening_impact[Jaarlijkse kosten (totaal) - incl. schatting],MATCH(B418,IF(Berekening_impact[Doelgroep]=C418,Berekening_impact[Digitale zorgtoepassing]),0))</f>
        <v>80865566.078312531</v>
      </c>
      <c r="R418" s="398" cm="1">
        <f t="array" ref="R418">(uitkomst_doelgroep[[#This Row],[Implementatiegraad t = T + 1]]-uitkomst_doelgroep[[#This Row],[Implementatiegraad t = T]])*INDEX(Berekening_impact[Initiële investering (totaal) - incl. schatting],MATCH(B418,IF(Berekening_impact[Doelgroep]=C418,Berekening_impact[Digitale zorgtoepassing]),0))</f>
        <v>38223.837592210723</v>
      </c>
      <c r="S418" s="398">
        <f>uitkomst_doelgroep[[#This Row],[Arbeidsbesparing (€)]]*uitkomst_doelgroep[[#This Row],[Percentage van patiëntaantallen in Wlz (overige is Zvw)]]</f>
        <v>235832531.84177551</v>
      </c>
      <c r="T418" s="398">
        <f>uitkomst_doelgroep[[#This Row],[Overige besparingen (€)]]*uitkomst_doelgroep[[#This Row],[Percentage van patiëntaantallen in Wlz (overige is Zvw)]]</f>
        <v>116156321.65341184</v>
      </c>
      <c r="U418" s="398">
        <f>uitkomst_doelgroep[[#This Row],[Kosten (€)]]*uitkomst_doelgroep[[#This Row],[Percentage van patiëntaantallen in Wlz (overige is Zvw)]]</f>
        <v>56605896.254818775</v>
      </c>
      <c r="V418" s="398">
        <f>uitkomst_doelgroep[[#This Row],[Investering (cash flow) (€)]]*uitkomst_doelgroep[[#This Row],[Percentage van patiëntaantallen in Wlz (overige is Zvw)]]</f>
        <v>26756.686314547507</v>
      </c>
    </row>
    <row r="419" spans="1:22" x14ac:dyDescent="0.5">
      <c r="A419" s="33" t="str">
        <f>INDEX(Technologieën[Veld],MATCH(B419,Technologieën[Digitale zorgtoepassing],0))</f>
        <v>Digitale hulpmiddelen - Verpleging</v>
      </c>
      <c r="B419" s="33" t="s">
        <v>26</v>
      </c>
      <c r="C419" s="33" t="s">
        <v>24</v>
      </c>
      <c r="D419" s="427" cm="1">
        <f t="array" ref="D419">INDEX(Berekening_patiëntaantal[Percentage van patiëntaantallen in Wlz (overige is Zvw)],MATCH(B419,IF(Berekening_patiëntaantal[Doelgroep (zoeksleutel)]=C419,Berekening_patiëntaantal[Digitale zorgtoepassing]),0))</f>
        <v>0.45</v>
      </c>
      <c r="E419" s="33" t="str" cm="1">
        <f t="array" ref="E419">INDEX(Berekening_patiëntaantal[Direct toepasbaar/extrapolatie/incidentie voor QALY],MATCH(B419,IF(Berekening_patiëntaantal[Doelgroep (zoeksleutel)]=C419,Berekening_patiëntaantal[Digitale zorgtoepassing]),0))</f>
        <v>Extrapolatie</v>
      </c>
      <c r="F419" s="43" t="s">
        <v>812</v>
      </c>
      <c r="G419" s="33" t="str">
        <f>CONCATENATE(uitkomst_doelgroep[[#This Row],[Digitale zorgtoepassing]],"_",uitkomst_doelgroep[[#This Row],[Doelgroep]],"_",uitkomst_doelgroep[[#This Row],[Uitgangssituatie/effect beleid]])</f>
        <v>Medicijndispenser_Cognitieve beperking_Effect beleid</v>
      </c>
      <c r="H419" s="33">
        <v>2033</v>
      </c>
      <c r="I419" s="32">
        <v>11</v>
      </c>
      <c r="J419" s="406" cm="1">
        <f t="array" ref="J419">INDEX(implementatie[[2023]:[2034]],MATCH(G419, implementatie[Zoeksleutel],0),I419)</f>
        <v>0.47752884860285211</v>
      </c>
      <c r="K419" s="406" cm="1">
        <f t="array" ref="K419">INDEX(implementatie[[2023]:[2034]],MATCH(G419,implementatie[Zoeksleutel],0),I419 + 1)</f>
        <v>0.5877762905727496</v>
      </c>
      <c r="L41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3824.920122116097</v>
      </c>
      <c r="M419" s="398" cm="1">
        <f t="array" ref="M419">J419*INDEX(Berekening_impact[Totaal arbeidsbesparing (€/jaar)],MATCH(B419,IF(Berekening_impact[Doelgroep]=C419,Berekening_impact[Digitale zorgtoepassing]),0))</f>
        <v>16882209.752615251</v>
      </c>
      <c r="N419" s="397" cm="1">
        <f t="array" ref="N419">J419*INDEX(Berekening_impact[Totaal arbeidsbesparing (FTE/jaar)],MATCH(B419,IF(Berekening_impact[Doelgroep]=C419,Berekening_impact[Digitale zorgtoepassing]),0))</f>
        <v>320.30758738381644</v>
      </c>
      <c r="O419" s="398" cm="1">
        <f t="array" ref="O419">J419*INDEX(Berekening_impact[Overige kostenbesparing (totaal/jaar totaal potentieel)],MATCH(B419,IF(Berekening_impact[Doelgroep]=C419,Berekening_impact[Digitale zorgtoepassing]),0))</f>
        <v>8315118.2363627357</v>
      </c>
      <c r="P419" s="398" cm="1">
        <f t="array" ref="P419">J419*INDEX(Berekening_impact[Opbrengsten door QALY''s],MATCH(B419,IF(Berekening_impact[Doelgroep]=C419,Berekening_impact[Digitale zorgtoepassing]),0))</f>
        <v>0</v>
      </c>
      <c r="Q419" s="398" cm="1">
        <f t="array" ref="Q419">J419*INDEX(Berekening_impact[Jaarlijkse kosten (totaal) - incl. schatting],MATCH(B419,IF(Berekening_impact[Doelgroep]=C419,Berekening_impact[Digitale zorgtoepassing]),0))</f>
        <v>4053345.0968812159</v>
      </c>
      <c r="R419" s="398" cm="1">
        <f t="array" ref="R419">(uitkomst_doelgroep[[#This Row],[Implementatiegraad t = T + 1]]-uitkomst_doelgroep[[#This Row],[Implementatiegraad t = T]])*INDEX(Berekening_impact[Initiële investering (totaal) - incl. schatting],MATCH(B419,IF(Berekening_impact[Doelgroep]=C419,Berekening_impact[Digitale zorgtoepassing]),0))</f>
        <v>0</v>
      </c>
      <c r="S419" s="398">
        <f>uitkomst_doelgroep[[#This Row],[Arbeidsbesparing (€)]]*uitkomst_doelgroep[[#This Row],[Percentage van patiëntaantallen in Wlz (overige is Zvw)]]</f>
        <v>7596994.3886768632</v>
      </c>
      <c r="T419" s="398">
        <f>uitkomst_doelgroep[[#This Row],[Overige besparingen (€)]]*uitkomst_doelgroep[[#This Row],[Percentage van patiëntaantallen in Wlz (overige is Zvw)]]</f>
        <v>3741803.2063632309</v>
      </c>
      <c r="U419" s="398">
        <f>uitkomst_doelgroep[[#This Row],[Kosten (€)]]*uitkomst_doelgroep[[#This Row],[Percentage van patiëntaantallen in Wlz (overige is Zvw)]]</f>
        <v>1824005.2935965471</v>
      </c>
      <c r="V419" s="398">
        <f>uitkomst_doelgroep[[#This Row],[Investering (cash flow) (€)]]*uitkomst_doelgroep[[#This Row],[Percentage van patiëntaantallen in Wlz (overige is Zvw)]]</f>
        <v>0</v>
      </c>
    </row>
    <row r="420" spans="1:22" x14ac:dyDescent="0.5">
      <c r="A420" s="33" t="str">
        <f>INDEX(Technologieën[Veld],MATCH(B420,Technologieën[Digitale zorgtoepassing],0))</f>
        <v>Digitale hulpmiddelen - Verpleging</v>
      </c>
      <c r="B420" s="33" t="s">
        <v>26</v>
      </c>
      <c r="C420" s="33" t="s">
        <v>20</v>
      </c>
      <c r="D420" s="427" cm="1">
        <f t="array" ref="D420">INDEX(Berekening_patiëntaantal[Percentage van patiëntaantallen in Wlz (overige is Zvw)],MATCH(B420,IF(Berekening_patiëntaantal[Doelgroep (zoeksleutel)]=C420,Berekening_patiëntaantal[Digitale zorgtoepassing]),0))</f>
        <v>0.45</v>
      </c>
      <c r="E420" s="33" t="str" cm="1">
        <f t="array" ref="E420">INDEX(Berekening_patiëntaantal[Direct toepasbaar/extrapolatie/incidentie voor QALY],MATCH(B420,IF(Berekening_patiëntaantal[Doelgroep (zoeksleutel)]=C420,Berekening_patiëntaantal[Digitale zorgtoepassing]),0))</f>
        <v>Huidige toepassing</v>
      </c>
      <c r="F420" s="43" t="s">
        <v>812</v>
      </c>
      <c r="G420" s="33" t="str">
        <f>CONCATENATE(uitkomst_doelgroep[[#This Row],[Digitale zorgtoepassing]],"_",uitkomst_doelgroep[[#This Row],[Doelgroep]],"_",uitkomst_doelgroep[[#This Row],[Uitgangssituatie/effect beleid]])</f>
        <v>Medicijndispenser_Dementie_Effect beleid</v>
      </c>
      <c r="H420" s="33">
        <v>2033</v>
      </c>
      <c r="I420" s="32">
        <v>11</v>
      </c>
      <c r="J420" s="406" cm="1">
        <f t="array" ref="J420">INDEX(implementatie[[2023]:[2034]],MATCH(G420, implementatie[Zoeksleutel],0),I420)</f>
        <v>0.98974396343169702</v>
      </c>
      <c r="K420" s="406" cm="1">
        <f t="array" ref="K420">INDEX(implementatie[[2023]:[2034]],MATCH(G420,implementatie[Zoeksleutel],0),I420 + 1)</f>
        <v>0.99400942427594807</v>
      </c>
      <c r="L42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41753.6357645186</v>
      </c>
      <c r="M420" s="398" cm="1">
        <f t="array" ref="M420">J420*INDEX(Berekening_impact[Totaal arbeidsbesparing (€/jaar)],MATCH(B420,IF(Berekening_impact[Doelgroep]=C420,Berekening_impact[Digitale zorgtoepassing]),0))</f>
        <v>184289766.68953961</v>
      </c>
      <c r="N420" s="397" cm="1">
        <f t="array" ref="N420">J420*INDEX(Berekening_impact[Totaal arbeidsbesparing (FTE/jaar)],MATCH(B420,IF(Berekening_impact[Doelgroep]=C420,Berekening_impact[Digitale zorgtoepassing]),0))</f>
        <v>3496.5452634960006</v>
      </c>
      <c r="O420" s="398" cm="1">
        <f t="array" ref="O420">J420*INDEX(Berekening_impact[Overige kostenbesparing (totaal/jaar totaal potentieel)],MATCH(B420,IF(Berekening_impact[Doelgroep]=C420,Berekening_impact[Digitale zorgtoepassing]),0))</f>
        <v>90769586.578429952</v>
      </c>
      <c r="P420" s="398" cm="1">
        <f t="array" ref="P420">J420*INDEX(Berekening_impact[Opbrengsten door QALY''s],MATCH(B420,IF(Berekening_impact[Doelgroep]=C420,Berekening_impact[Digitale zorgtoepassing]),0))</f>
        <v>0</v>
      </c>
      <c r="Q420" s="398" cm="1">
        <f t="array" ref="Q420">J420*INDEX(Berekening_impact[Jaarlijkse kosten (totaal) - incl. schatting],MATCH(B420,IF(Berekening_impact[Doelgroep]=C420,Berekening_impact[Digitale zorgtoepassing]),0))</f>
        <v>44237280.018042229</v>
      </c>
      <c r="R420" s="398" cm="1">
        <f t="array" ref="R420">(uitkomst_doelgroep[[#This Row],[Implementatiegraad t = T + 1]]-uitkomst_doelgroep[[#This Row],[Implementatiegraad t = T]])*INDEX(Berekening_impact[Initiële investering (totaal) - incl. schatting],MATCH(B420,IF(Berekening_impact[Doelgroep]=C420,Berekening_impact[Digitale zorgtoepassing]),0))</f>
        <v>15804.033733839535</v>
      </c>
      <c r="S420" s="398">
        <f>uitkomst_doelgroep[[#This Row],[Arbeidsbesparing (€)]]*uitkomst_doelgroep[[#This Row],[Percentage van patiëntaantallen in Wlz (overige is Zvw)]]</f>
        <v>82930395.010292828</v>
      </c>
      <c r="T420" s="398">
        <f>uitkomst_doelgroep[[#This Row],[Overige besparingen (€)]]*uitkomst_doelgroep[[#This Row],[Percentage van patiëntaantallen in Wlz (overige is Zvw)]]</f>
        <v>40846313.960293479</v>
      </c>
      <c r="U420" s="398">
        <f>uitkomst_doelgroep[[#This Row],[Kosten (€)]]*uitkomst_doelgroep[[#This Row],[Percentage van patiëntaantallen in Wlz (overige is Zvw)]]</f>
        <v>19906776.008119002</v>
      </c>
      <c r="V420" s="398">
        <f>uitkomst_doelgroep[[#This Row],[Investering (cash flow) (€)]]*uitkomst_doelgroep[[#This Row],[Percentage van patiëntaantallen in Wlz (overige is Zvw)]]</f>
        <v>7111.8151802277907</v>
      </c>
    </row>
    <row r="421" spans="1:22" x14ac:dyDescent="0.5">
      <c r="A421" s="33" t="str">
        <f>INDEX(Technologieën[Veld],MATCH(B421,Technologieën[Digitale zorgtoepassing],0))</f>
        <v>Digitale hulpmiddelen - Verpleging</v>
      </c>
      <c r="B421" s="33" t="s">
        <v>26</v>
      </c>
      <c r="C421" s="33" t="s">
        <v>27</v>
      </c>
      <c r="D421" s="427" cm="1">
        <f t="array" ref="D421">INDEX(Berekening_patiëntaantal[Percentage van patiëntaantallen in Wlz (overige is Zvw)],MATCH(B421,IF(Berekening_patiëntaantal[Doelgroep (zoeksleutel)]=C421,Berekening_patiëntaantal[Digitale zorgtoepassing]),0))</f>
        <v>1</v>
      </c>
      <c r="E421" s="33" t="str" cm="1">
        <f t="array" ref="E421">INDEX(Berekening_patiëntaantal[Direct toepasbaar/extrapolatie/incidentie voor QALY],MATCH(B421,IF(Berekening_patiëntaantal[Doelgroep (zoeksleutel)]=C421,Berekening_patiëntaantal[Digitale zorgtoepassing]),0))</f>
        <v>Huidige toepassing</v>
      </c>
      <c r="F421" s="43" t="s">
        <v>812</v>
      </c>
      <c r="G421" s="33" t="str">
        <f>CONCATENATE(uitkomst_doelgroep[[#This Row],[Digitale zorgtoepassing]],"_",uitkomst_doelgroep[[#This Row],[Doelgroep]],"_",uitkomst_doelgroep[[#This Row],[Uitgangssituatie/effect beleid]])</f>
        <v>Medicijndispenser_Parkinson_Effect beleid</v>
      </c>
      <c r="H421" s="33">
        <v>2033</v>
      </c>
      <c r="I421" s="32">
        <v>11</v>
      </c>
      <c r="J421" s="406" cm="1">
        <f t="array" ref="J421">INDEX(implementatie[[2023]:[2034]],MATCH(G421, implementatie[Zoeksleutel],0),I421)</f>
        <v>0.98974396343169702</v>
      </c>
      <c r="K421" s="406" cm="1">
        <f t="array" ref="K421">INDEX(implementatie[[2023]:[2034]],MATCH(G421,implementatie[Zoeksleutel],0),I421 + 1)</f>
        <v>0.99400942427594807</v>
      </c>
      <c r="L42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9738.486753789839</v>
      </c>
      <c r="M421" s="398" cm="1">
        <f t="array" ref="M421">J421*INDEX(Berekening_impact[Totaal arbeidsbesparing (€/jaar)],MATCH(B421,IF(Berekening_impact[Doelgroep]=C421,Berekening_impact[Digitale zorgtoepassing]),0))</f>
        <v>42983165.870556466</v>
      </c>
      <c r="N421" s="397" cm="1">
        <f t="array" ref="N421">J421*INDEX(Berekening_impact[Totaal arbeidsbesparing (FTE/jaar)],MATCH(B421,IF(Berekening_impact[Doelgroep]=C421,Berekening_impact[Digitale zorgtoepassing]),0))</f>
        <v>815.52322592032363</v>
      </c>
      <c r="O421" s="398" cm="1">
        <f t="array" ref="O421">J421*INDEX(Berekening_impact[Overige kostenbesparing (totaal/jaar totaal potentieel)],MATCH(B421,IF(Berekening_impact[Doelgroep]=C421,Berekening_impact[Digitale zorgtoepassing]),0))</f>
        <v>21170813.040721841</v>
      </c>
      <c r="P421" s="398" cm="1">
        <f t="array" ref="P421">J421*INDEX(Berekening_impact[Opbrengsten door QALY''s],MATCH(B421,IF(Berekening_impact[Doelgroep]=C421,Berekening_impact[Digitale zorgtoepassing]),0))</f>
        <v>0</v>
      </c>
      <c r="Q421" s="398" cm="1">
        <f t="array" ref="Q421">J421*INDEX(Berekening_impact[Jaarlijkse kosten (totaal) - incl. schatting],MATCH(B421,IF(Berekening_impact[Doelgroep]=C421,Berekening_impact[Digitale zorgtoepassing]),0))</f>
        <v>10327789.362475192</v>
      </c>
      <c r="R421" s="398" cm="1">
        <f t="array" ref="R421">(uitkomst_doelgroep[[#This Row],[Implementatiegraad t = T + 1]]-uitkomst_doelgroep[[#This Row],[Implementatiegraad t = T]])*INDEX(Berekening_impact[Initiële investering (totaal) - incl. schatting],MATCH(B421,IF(Berekening_impact[Doelgroep]=C421,Berekening_impact[Digitale zorgtoepassing]),0))</f>
        <v>6802.5906344904115</v>
      </c>
      <c r="S421" s="398">
        <f>uitkomst_doelgroep[[#This Row],[Arbeidsbesparing (€)]]*uitkomst_doelgroep[[#This Row],[Percentage van patiëntaantallen in Wlz (overige is Zvw)]]</f>
        <v>42983165.870556466</v>
      </c>
      <c r="T421" s="398">
        <f>uitkomst_doelgroep[[#This Row],[Overige besparingen (€)]]*uitkomst_doelgroep[[#This Row],[Percentage van patiëntaantallen in Wlz (overige is Zvw)]]</f>
        <v>21170813.040721841</v>
      </c>
      <c r="U421" s="398">
        <f>uitkomst_doelgroep[[#This Row],[Kosten (€)]]*uitkomst_doelgroep[[#This Row],[Percentage van patiëntaantallen in Wlz (overige is Zvw)]]</f>
        <v>10327789.362475192</v>
      </c>
      <c r="V421" s="398">
        <f>uitkomst_doelgroep[[#This Row],[Investering (cash flow) (€)]]*uitkomst_doelgroep[[#This Row],[Percentage van patiëntaantallen in Wlz (overige is Zvw)]]</f>
        <v>6802.5906344904115</v>
      </c>
    </row>
    <row r="422" spans="1:22" x14ac:dyDescent="0.5">
      <c r="A422" s="33" t="str">
        <f>INDEX(Technologieën[Veld],MATCH(B422,Technologieën[Digitale zorgtoepassing],0))</f>
        <v>Digitale hulpmiddelen - Verpleging</v>
      </c>
      <c r="B422" s="33" t="s">
        <v>26</v>
      </c>
      <c r="C422" s="33" t="s">
        <v>29</v>
      </c>
      <c r="D422" s="427" cm="1">
        <f t="array" ref="D422">INDEX(Berekening_patiëntaantal[Percentage van patiëntaantallen in Wlz (overige is Zvw)],MATCH(B422,IF(Berekening_patiëntaantal[Doelgroep (zoeksleutel)]=C422,Berekening_patiëntaantal[Digitale zorgtoepassing]),0))</f>
        <v>0.70000000000000007</v>
      </c>
      <c r="E422" s="33" t="str" cm="1">
        <f t="array" ref="E422">INDEX(Berekening_patiëntaantal[Direct toepasbaar/extrapolatie/incidentie voor QALY],MATCH(B422,IF(Berekening_patiëntaantal[Doelgroep (zoeksleutel)]=C422,Berekening_patiëntaantal[Digitale zorgtoepassing]),0))</f>
        <v>Huidige toepassing</v>
      </c>
      <c r="F422" s="43" t="s">
        <v>812</v>
      </c>
      <c r="G422" s="33" t="str">
        <f>CONCATENATE(uitkomst_doelgroep[[#This Row],[Digitale zorgtoepassing]],"_",uitkomst_doelgroep[[#This Row],[Doelgroep]],"_",uitkomst_doelgroep[[#This Row],[Uitgangssituatie/effect beleid]])</f>
        <v>Medicijndispenser_Reumatische aandoening _Effect beleid</v>
      </c>
      <c r="H422" s="33">
        <v>2033</v>
      </c>
      <c r="I422" s="32">
        <v>11</v>
      </c>
      <c r="J422" s="406" cm="1">
        <f t="array" ref="J422">INDEX(implementatie[[2023]:[2034]],MATCH(G422, implementatie[Zoeksleutel],0),I422)</f>
        <v>0.98974396343169702</v>
      </c>
      <c r="K422" s="406" cm="1">
        <f t="array" ref="K422">INDEX(implementatie[[2023]:[2034]],MATCH(G422,implementatie[Zoeksleutel],0),I422 + 1)</f>
        <v>0.99400942427594807</v>
      </c>
      <c r="L42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76891.229031081675</v>
      </c>
      <c r="M422" s="398" cm="1">
        <f t="array" ref="M422">J422*INDEX(Berekening_impact[Totaal arbeidsbesparing (€/jaar)],MATCH(B422,IF(Berekening_impact[Doelgroep]=C422,Berekening_impact[Digitale zorgtoepassing]),0))</f>
        <v>339378030.17986768</v>
      </c>
      <c r="N422" s="397" cm="1">
        <f t="array" ref="N422">J422*INDEX(Berekening_impact[Totaal arbeidsbesparing (FTE/jaar)],MATCH(B422,IF(Berekening_impact[Doelgroep]=C422,Berekening_impact[Digitale zorgtoepassing]),0))</f>
        <v>6439.0479475677485</v>
      </c>
      <c r="O422" s="398" cm="1">
        <f t="array" ref="O422">J422*INDEX(Berekening_impact[Overige kostenbesparing (totaal/jaar totaal potentieel)],MATCH(B422,IF(Berekening_impact[Doelgroep]=C422,Berekening_impact[Digitale zorgtoepassing]),0))</f>
        <v>167156343.22291991</v>
      </c>
      <c r="P422" s="398" cm="1">
        <f t="array" ref="P422">J422*INDEX(Berekening_impact[Opbrengsten door QALY''s],MATCH(B422,IF(Berekening_impact[Doelgroep]=C422,Berekening_impact[Digitale zorgtoepassing]),0))</f>
        <v>0</v>
      </c>
      <c r="Q422" s="398" cm="1">
        <f t="array" ref="Q422">J422*INDEX(Berekening_impact[Jaarlijkse kosten (totaal) - incl. schatting],MATCH(B422,IF(Berekening_impact[Doelgroep]=C422,Berekening_impact[Digitale zorgtoepassing]),0))</f>
        <v>81459489.144675046</v>
      </c>
      <c r="R422" s="398" cm="1">
        <f t="array" ref="R422">(uitkomst_doelgroep[[#This Row],[Implementatiegraad t = T + 1]]-uitkomst_doelgroep[[#This Row],[Implementatiegraad t = T]])*INDEX(Berekening_impact[Initiële investering (totaal) - incl. schatting],MATCH(B422,IF(Berekening_impact[Doelgroep]=C422,Berekening_impact[Digitale zorgtoepassing]),0))</f>
        <v>22593.778921128374</v>
      </c>
      <c r="S422" s="398">
        <f>uitkomst_doelgroep[[#This Row],[Arbeidsbesparing (€)]]*uitkomst_doelgroep[[#This Row],[Percentage van patiëntaantallen in Wlz (overige is Zvw)]]</f>
        <v>237564621.12590739</v>
      </c>
      <c r="T422" s="398">
        <f>uitkomst_doelgroep[[#This Row],[Overige besparingen (€)]]*uitkomst_doelgroep[[#This Row],[Percentage van patiëntaantallen in Wlz (overige is Zvw)]]</f>
        <v>117009440.25604396</v>
      </c>
      <c r="U422" s="398">
        <f>uitkomst_doelgroep[[#This Row],[Kosten (€)]]*uitkomst_doelgroep[[#This Row],[Percentage van patiëntaantallen in Wlz (overige is Zvw)]]</f>
        <v>57021642.401272535</v>
      </c>
      <c r="V422" s="398">
        <f>uitkomst_doelgroep[[#This Row],[Investering (cash flow) (€)]]*uitkomst_doelgroep[[#This Row],[Percentage van patiëntaantallen in Wlz (overige is Zvw)]]</f>
        <v>15815.645244789863</v>
      </c>
    </row>
    <row r="423" spans="1:22" x14ac:dyDescent="0.5">
      <c r="A423" s="33" t="str">
        <f>INDEX(Technologieën[Veld],MATCH(B423,Technologieën[Digitale zorgtoepassing],0))</f>
        <v>Digitale hulpmiddelen - Diagnose</v>
      </c>
      <c r="B423" s="33" t="s">
        <v>78</v>
      </c>
      <c r="C423" s="33" t="s">
        <v>79</v>
      </c>
      <c r="D423" s="427" cm="1">
        <f t="array" ref="D423">INDEX(Berekening_patiëntaantal[Percentage van patiëntaantallen in Wlz (overige is Zvw)],MATCH(B423,IF(Berekening_patiëntaantal[Doelgroep (zoeksleutel)]=C423,Berekening_patiëntaantal[Digitale zorgtoepassing]),0))</f>
        <v>0</v>
      </c>
      <c r="E423" s="33" t="str" cm="1">
        <f t="array" ref="E423">INDEX(Berekening_patiëntaantal[Direct toepasbaar/extrapolatie/incidentie voor QALY],MATCH(B423,IF(Berekening_patiëntaantal[Doelgroep (zoeksleutel)]=C423,Berekening_patiëntaantal[Digitale zorgtoepassing]),0))</f>
        <v>Huidige toepassing</v>
      </c>
      <c r="F423" s="43" t="s">
        <v>812</v>
      </c>
      <c r="G423" s="33" t="str">
        <f>CONCATENATE(uitkomst_doelgroep[[#This Row],[Digitale zorgtoepassing]],"_",uitkomst_doelgroep[[#This Row],[Doelgroep]],"_",uitkomst_doelgroep[[#This Row],[Uitgangssituatie/effect beleid]])</f>
        <v>Mobiele echo's_Echo's bij zwangere vrouwen_Effect beleid</v>
      </c>
      <c r="H423" s="33">
        <v>2023</v>
      </c>
      <c r="I423" s="32">
        <v>1</v>
      </c>
      <c r="J423" s="406" cm="1">
        <f t="array" ref="J423">INDEX(implementatie[[2023]:[2034]],MATCH(G423, implementatie[Zoeksleutel],0),I423)</f>
        <v>0.2</v>
      </c>
      <c r="K423" s="406" cm="1">
        <f t="array" ref="K423">INDEX(implementatie[[2023]:[2034]],MATCH(G423,implementatie[Zoeksleutel],0),I423 + 1)</f>
        <v>0.29200000000000004</v>
      </c>
      <c r="L42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89208</v>
      </c>
      <c r="M423" s="398" cm="1">
        <f t="array" ref="M423">J423*INDEX(Berekening_impact[Totaal arbeidsbesparing (€/jaar)],MATCH(B423,IF(Berekening_impact[Doelgroep]=C423,Berekening_impact[Digitale zorgtoepassing]),0))</f>
        <v>206190.10758620693</v>
      </c>
      <c r="N423" s="397" cm="1">
        <f t="array" ref="N423">J423*INDEX(Berekening_impact[Totaal arbeidsbesparing (FTE/jaar)],MATCH(B423,IF(Berekening_impact[Doelgroep]=C423,Berekening_impact[Digitale zorgtoepassing]),0))</f>
        <v>3.5740384615384615</v>
      </c>
      <c r="O423" s="398" cm="1">
        <f t="array" ref="O423">J423*INDEX(Berekening_impact[Overige kostenbesparing (totaal/jaar totaal potentieel)],MATCH(B423,IF(Berekening_impact[Doelgroep]=C423,Berekening_impact[Digitale zorgtoepassing]),0))</f>
        <v>137460.07172413796</v>
      </c>
      <c r="P423" s="398" cm="1">
        <f t="array" ref="P423">J423*INDEX(Berekening_impact[Opbrengsten door QALY''s],MATCH(B423,IF(Berekening_impact[Doelgroep]=C423,Berekening_impact[Digitale zorgtoepassing]),0))</f>
        <v>0</v>
      </c>
      <c r="Q423" s="398" cm="1">
        <f t="array" ref="Q423">J423*INDEX(Berekening_impact[Jaarlijkse kosten (totaal) - incl. schatting],MATCH(B423,IF(Berekening_impact[Doelgroep]=C423,Berekening_impact[Digitale zorgtoepassing]),0))</f>
        <v>178450.80000000002</v>
      </c>
      <c r="R423" s="398" cm="1">
        <f t="array" ref="R423">(uitkomst_doelgroep[[#This Row],[Implementatiegraad t = T + 1]]-uitkomst_doelgroep[[#This Row],[Implementatiegraad t = T]])*INDEX(Berekening_impact[Initiële investering (totaal) - incl. schatting],MATCH(B423,IF(Berekening_impact[Doelgroep]=C423,Berekening_impact[Digitale zorgtoepassing]),0))</f>
        <v>0</v>
      </c>
      <c r="S423" s="398">
        <f>uitkomst_doelgroep[[#This Row],[Arbeidsbesparing (€)]]*uitkomst_doelgroep[[#This Row],[Percentage van patiëntaantallen in Wlz (overige is Zvw)]]</f>
        <v>0</v>
      </c>
      <c r="T423" s="398">
        <f>uitkomst_doelgroep[[#This Row],[Overige besparingen (€)]]*uitkomst_doelgroep[[#This Row],[Percentage van patiëntaantallen in Wlz (overige is Zvw)]]</f>
        <v>0</v>
      </c>
      <c r="U423" s="398">
        <f>uitkomst_doelgroep[[#This Row],[Kosten (€)]]*uitkomst_doelgroep[[#This Row],[Percentage van patiëntaantallen in Wlz (overige is Zvw)]]</f>
        <v>0</v>
      </c>
      <c r="V423" s="398">
        <f>uitkomst_doelgroep[[#This Row],[Investering (cash flow) (€)]]*uitkomst_doelgroep[[#This Row],[Percentage van patiëntaantallen in Wlz (overige is Zvw)]]</f>
        <v>0</v>
      </c>
    </row>
    <row r="424" spans="1:22" ht="17.5" thickBot="1" x14ac:dyDescent="0.55000000000000004">
      <c r="A424" s="33" t="str">
        <f>INDEX(Technologieën[Veld],MATCH(B424,Technologieën[Digitale zorgtoepassing],0))</f>
        <v>Digitale hulpmiddelen - Diagnose</v>
      </c>
      <c r="B424" s="33" t="s">
        <v>78</v>
      </c>
      <c r="C424" s="40" t="s">
        <v>79</v>
      </c>
      <c r="D424" s="427" cm="1">
        <f t="array" ref="D424">INDEX(Berekening_patiëntaantal[Percentage van patiëntaantallen in Wlz (overige is Zvw)],MATCH(B424,IF(Berekening_patiëntaantal[Doelgroep (zoeksleutel)]=C424,Berekening_patiëntaantal[Digitale zorgtoepassing]),0))</f>
        <v>0</v>
      </c>
      <c r="E424" s="33" t="str" cm="1">
        <f t="array" ref="E424">INDEX(Berekening_patiëntaantal[Direct toepasbaar/extrapolatie/incidentie voor QALY],MATCH(B424,IF(Berekening_patiëntaantal[Doelgroep (zoeksleutel)]=C424,Berekening_patiëntaantal[Digitale zorgtoepassing]),0))</f>
        <v>Huidige toepassing</v>
      </c>
      <c r="F424" s="43" t="s">
        <v>812</v>
      </c>
      <c r="G424" s="33" t="str">
        <f>CONCATENATE(uitkomst_doelgroep[[#This Row],[Digitale zorgtoepassing]],"_",uitkomst_doelgroep[[#This Row],[Doelgroep]],"_",uitkomst_doelgroep[[#This Row],[Uitgangssituatie/effect beleid]])</f>
        <v>Mobiele echo's_Echo's bij zwangere vrouwen_Effect beleid</v>
      </c>
      <c r="H424" s="33">
        <v>2024</v>
      </c>
      <c r="I424" s="32">
        <v>2</v>
      </c>
      <c r="J424" s="406" cm="1">
        <f t="array" ref="J424">INDEX(implementatie[[2023]:[2034]],MATCH(G424, implementatie[Zoeksleutel],0),I424)</f>
        <v>0.29200000000000004</v>
      </c>
      <c r="K424" s="406" cm="1">
        <f t="array" ref="K424">INDEX(implementatie[[2023]:[2034]],MATCH(G424,implementatie[Zoeksleutel],0),I424 + 1)</f>
        <v>0.40273120000000007</v>
      </c>
      <c r="L42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130243.68000000002</v>
      </c>
      <c r="M424" s="398" cm="1">
        <f t="array" ref="M424">J424*INDEX(Berekening_impact[Totaal arbeidsbesparing (€/jaar)],MATCH(B424,IF(Berekening_impact[Doelgroep]=C424,Berekening_impact[Digitale zorgtoepassing]),0))</f>
        <v>301037.55707586213</v>
      </c>
      <c r="N424" s="397" cm="1">
        <f t="array" ref="N424">J424*INDEX(Berekening_impact[Totaal arbeidsbesparing (FTE/jaar)],MATCH(B424,IF(Berekening_impact[Doelgroep]=C424,Berekening_impact[Digitale zorgtoepassing]),0))</f>
        <v>5.2180961538461546</v>
      </c>
      <c r="O424" s="398" cm="1">
        <f t="array" ref="O424">J424*INDEX(Berekening_impact[Overige kostenbesparing (totaal/jaar totaal potentieel)],MATCH(B424,IF(Berekening_impact[Doelgroep]=C424,Berekening_impact[Digitale zorgtoepassing]),0))</f>
        <v>200691.70471724146</v>
      </c>
      <c r="P424" s="398" cm="1">
        <f t="array" ref="P424">J424*INDEX(Berekening_impact[Opbrengsten door QALY''s],MATCH(B424,IF(Berekening_impact[Doelgroep]=C424,Berekening_impact[Digitale zorgtoepassing]),0))</f>
        <v>0</v>
      </c>
      <c r="Q424" s="398" cm="1">
        <f t="array" ref="Q424">J424*INDEX(Berekening_impact[Jaarlijkse kosten (totaal) - incl. schatting],MATCH(B424,IF(Berekening_impact[Doelgroep]=C424,Berekening_impact[Digitale zorgtoepassing]),0))</f>
        <v>260538.16800000003</v>
      </c>
      <c r="R424" s="398" cm="1">
        <f t="array" ref="R424">(uitkomst_doelgroep[[#This Row],[Implementatiegraad t = T + 1]]-uitkomst_doelgroep[[#This Row],[Implementatiegraad t = T]])*INDEX(Berekening_impact[Initiële investering (totaal) - incl. schatting],MATCH(B424,IF(Berekening_impact[Doelgroep]=C424,Berekening_impact[Digitale zorgtoepassing]),0))</f>
        <v>0</v>
      </c>
      <c r="S424" s="398">
        <f>uitkomst_doelgroep[[#This Row],[Arbeidsbesparing (€)]]*uitkomst_doelgroep[[#This Row],[Percentage van patiëntaantallen in Wlz (overige is Zvw)]]</f>
        <v>0</v>
      </c>
      <c r="T424" s="398">
        <f>uitkomst_doelgroep[[#This Row],[Overige besparingen (€)]]*uitkomst_doelgroep[[#This Row],[Percentage van patiëntaantallen in Wlz (overige is Zvw)]]</f>
        <v>0</v>
      </c>
      <c r="U424" s="398">
        <f>uitkomst_doelgroep[[#This Row],[Kosten (€)]]*uitkomst_doelgroep[[#This Row],[Percentage van patiëntaantallen in Wlz (overige is Zvw)]]</f>
        <v>0</v>
      </c>
      <c r="V424" s="398">
        <f>uitkomst_doelgroep[[#This Row],[Investering (cash flow) (€)]]*uitkomst_doelgroep[[#This Row],[Percentage van patiëntaantallen in Wlz (overige is Zvw)]]</f>
        <v>0</v>
      </c>
    </row>
    <row r="425" spans="1:22" x14ac:dyDescent="0.5">
      <c r="A425" s="33" t="str">
        <f>INDEX(Technologieën[Veld],MATCH(B425,Technologieën[Digitale zorgtoepassing],0))</f>
        <v>Digitale hulpmiddelen - Diagnose</v>
      </c>
      <c r="B425" s="33" t="s">
        <v>78</v>
      </c>
      <c r="C425" s="33" t="s">
        <v>79</v>
      </c>
      <c r="D425" s="427" cm="1">
        <f t="array" ref="D425">INDEX(Berekening_patiëntaantal[Percentage van patiëntaantallen in Wlz (overige is Zvw)],MATCH(B425,IF(Berekening_patiëntaantal[Doelgroep (zoeksleutel)]=C425,Berekening_patiëntaantal[Digitale zorgtoepassing]),0))</f>
        <v>0</v>
      </c>
      <c r="E425" s="33" t="str" cm="1">
        <f t="array" ref="E425">INDEX(Berekening_patiëntaantal[Direct toepasbaar/extrapolatie/incidentie voor QALY],MATCH(B425,IF(Berekening_patiëntaantal[Doelgroep (zoeksleutel)]=C425,Berekening_patiëntaantal[Digitale zorgtoepassing]),0))</f>
        <v>Huidige toepassing</v>
      </c>
      <c r="F425" s="43" t="s">
        <v>812</v>
      </c>
      <c r="G425" s="33" t="str">
        <f>CONCATENATE(uitkomst_doelgroep[[#This Row],[Digitale zorgtoepassing]],"_",uitkomst_doelgroep[[#This Row],[Doelgroep]],"_",uitkomst_doelgroep[[#This Row],[Uitgangssituatie/effect beleid]])</f>
        <v>Mobiele echo's_Echo's bij zwangere vrouwen_Effect beleid</v>
      </c>
      <c r="H425" s="33">
        <v>2025</v>
      </c>
      <c r="I425" s="32">
        <v>3</v>
      </c>
      <c r="J425" s="406" cm="1">
        <f t="array" ref="J425">INDEX(implementatie[[2023]:[2034]],MATCH(G425, implementatie[Zoeksleutel],0),I425)</f>
        <v>0.40273120000000007</v>
      </c>
      <c r="K425" s="406" cm="1">
        <f t="array" ref="K425">INDEX(implementatie[[2023]:[2034]],MATCH(G425,implementatie[Zoeksleutel],0),I425 + 1)</f>
        <v>0.52590537124595205</v>
      </c>
      <c r="L42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179634.22444800002</v>
      </c>
      <c r="M425" s="398" cm="1">
        <f t="array" ref="M425">J425*INDEX(Berekening_impact[Totaal arbeidsbesparing (€/jaar)],MATCH(B425,IF(Berekening_impact[Doelgroep]=C425,Berekening_impact[Digitale zorgtoepassing]),0))</f>
        <v>415195.94728161115</v>
      </c>
      <c r="N425" s="397" cm="1">
        <f t="array" ref="N425">J425*INDEX(Berekening_impact[Totaal arbeidsbesparing (FTE/jaar)],MATCH(B425,IF(Berekening_impact[Doelgroep]=C425,Berekening_impact[Digitale zorgtoepassing]),0))</f>
        <v>7.1968839923076935</v>
      </c>
      <c r="O425" s="398" cm="1">
        <f t="array" ref="O425">J425*INDEX(Berekening_impact[Overige kostenbesparing (totaal/jaar totaal potentieel)],MATCH(B425,IF(Berekening_impact[Doelgroep]=C425,Berekening_impact[Digitale zorgtoepassing]),0))</f>
        <v>276797.29818774079</v>
      </c>
      <c r="P425" s="398" cm="1">
        <f t="array" ref="P425">J425*INDEX(Berekening_impact[Opbrengsten door QALY''s],MATCH(B425,IF(Berekening_impact[Doelgroep]=C425,Berekening_impact[Digitale zorgtoepassing]),0))</f>
        <v>0</v>
      </c>
      <c r="Q425" s="398" cm="1">
        <f t="array" ref="Q425">J425*INDEX(Berekening_impact[Jaarlijkse kosten (totaal) - incl. schatting],MATCH(B425,IF(Berekening_impact[Doelgroep]=C425,Berekening_impact[Digitale zorgtoepassing]),0))</f>
        <v>359338.52412480005</v>
      </c>
      <c r="R425" s="398" cm="1">
        <f t="array" ref="R425">(uitkomst_doelgroep[[#This Row],[Implementatiegraad t = T + 1]]-uitkomst_doelgroep[[#This Row],[Implementatiegraad t = T]])*INDEX(Berekening_impact[Initiële investering (totaal) - incl. schatting],MATCH(B425,IF(Berekening_impact[Doelgroep]=C425,Berekening_impact[Digitale zorgtoepassing]),0))</f>
        <v>0</v>
      </c>
      <c r="S425" s="398">
        <f>uitkomst_doelgroep[[#This Row],[Arbeidsbesparing (€)]]*uitkomst_doelgroep[[#This Row],[Percentage van patiëntaantallen in Wlz (overige is Zvw)]]</f>
        <v>0</v>
      </c>
      <c r="T425" s="398">
        <f>uitkomst_doelgroep[[#This Row],[Overige besparingen (€)]]*uitkomst_doelgroep[[#This Row],[Percentage van patiëntaantallen in Wlz (overige is Zvw)]]</f>
        <v>0</v>
      </c>
      <c r="U425" s="398">
        <f>uitkomst_doelgroep[[#This Row],[Kosten (€)]]*uitkomst_doelgroep[[#This Row],[Percentage van patiëntaantallen in Wlz (overige is Zvw)]]</f>
        <v>0</v>
      </c>
      <c r="V425" s="398">
        <f>uitkomst_doelgroep[[#This Row],[Investering (cash flow) (€)]]*uitkomst_doelgroep[[#This Row],[Percentage van patiëntaantallen in Wlz (overige is Zvw)]]</f>
        <v>0</v>
      </c>
    </row>
    <row r="426" spans="1:22" x14ac:dyDescent="0.5">
      <c r="A426" s="33" t="str">
        <f>INDEX(Technologieën[Veld],MATCH(B426,Technologieën[Digitale zorgtoepassing],0))</f>
        <v>Digitale hulpmiddelen - Diagnose</v>
      </c>
      <c r="B426" s="33" t="s">
        <v>78</v>
      </c>
      <c r="C426" s="33" t="s">
        <v>79</v>
      </c>
      <c r="D426" s="427" cm="1">
        <f t="array" ref="D426">INDEX(Berekening_patiëntaantal[Percentage van patiëntaantallen in Wlz (overige is Zvw)],MATCH(B426,IF(Berekening_patiëntaantal[Doelgroep (zoeksleutel)]=C426,Berekening_patiëntaantal[Digitale zorgtoepassing]),0))</f>
        <v>0</v>
      </c>
      <c r="E426" s="33" t="str" cm="1">
        <f t="array" ref="E426">INDEX(Berekening_patiëntaantal[Direct toepasbaar/extrapolatie/incidentie voor QALY],MATCH(B426,IF(Berekening_patiëntaantal[Doelgroep (zoeksleutel)]=C426,Berekening_patiëntaantal[Digitale zorgtoepassing]),0))</f>
        <v>Huidige toepassing</v>
      </c>
      <c r="F426" s="43" t="s">
        <v>812</v>
      </c>
      <c r="G426" s="33" t="str">
        <f>CONCATENATE(uitkomst_doelgroep[[#This Row],[Digitale zorgtoepassing]],"_",uitkomst_doelgroep[[#This Row],[Doelgroep]],"_",uitkomst_doelgroep[[#This Row],[Uitgangssituatie/effect beleid]])</f>
        <v>Mobiele echo's_Echo's bij zwangere vrouwen_Effect beleid</v>
      </c>
      <c r="H426" s="33">
        <v>2026</v>
      </c>
      <c r="I426" s="32">
        <v>4</v>
      </c>
      <c r="J426" s="406" cm="1">
        <f t="array" ref="J426">INDEX(implementatie[[2023]:[2034]],MATCH(G426, implementatie[Zoeksleutel],0),I426)</f>
        <v>0.52590537124595205</v>
      </c>
      <c r="K426" s="406" cm="1">
        <f t="array" ref="K426">INDEX(implementatie[[2023]:[2034]],MATCH(G426,implementatie[Zoeksleutel],0),I426 + 1)</f>
        <v>0.64995574724807748</v>
      </c>
      <c r="L42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234574.83179054444</v>
      </c>
      <c r="M426" s="398" cm="1">
        <f t="array" ref="M426">J426*INDEX(Berekening_impact[Totaal arbeidsbesparing (€/jaar)],MATCH(B426,IF(Berekening_impact[Doelgroep]=C426,Berekening_impact[Digitale zorgtoepassing]),0))</f>
        <v>542182.42538683466</v>
      </c>
      <c r="N426" s="397" cm="1">
        <f t="array" ref="N426">J426*INDEX(Berekening_impact[Totaal arbeidsbesparing (FTE/jaar)],MATCH(B426,IF(Berekening_impact[Doelgroep]=C426,Berekening_impact[Digitale zorgtoepassing]),0))</f>
        <v>9.3980301198134786</v>
      </c>
      <c r="O426" s="398" cm="1">
        <f t="array" ref="O426">J426*INDEX(Berekening_impact[Overige kostenbesparing (totaal/jaar totaal potentieel)],MATCH(B426,IF(Berekening_impact[Doelgroep]=C426,Berekening_impact[Digitale zorgtoepassing]),0))</f>
        <v>361454.95025788987</v>
      </c>
      <c r="P426" s="398" cm="1">
        <f t="array" ref="P426">J426*INDEX(Berekening_impact[Opbrengsten door QALY''s],MATCH(B426,IF(Berekening_impact[Doelgroep]=C426,Berekening_impact[Digitale zorgtoepassing]),0))</f>
        <v>0</v>
      </c>
      <c r="Q426" s="398" cm="1">
        <f t="array" ref="Q426">J426*INDEX(Berekening_impact[Jaarlijkse kosten (totaal) - incl. schatting],MATCH(B426,IF(Berekening_impact[Doelgroep]=C426,Berekening_impact[Digitale zorgtoepassing]),0))</f>
        <v>469241.17111568572</v>
      </c>
      <c r="R426" s="398" cm="1">
        <f t="array" ref="R426">(uitkomst_doelgroep[[#This Row],[Implementatiegraad t = T + 1]]-uitkomst_doelgroep[[#This Row],[Implementatiegraad t = T]])*INDEX(Berekening_impact[Initiële investering (totaal) - incl. schatting],MATCH(B426,IF(Berekening_impact[Doelgroep]=C426,Berekening_impact[Digitale zorgtoepassing]),0))</f>
        <v>0</v>
      </c>
      <c r="S426" s="398">
        <f>uitkomst_doelgroep[[#This Row],[Arbeidsbesparing (€)]]*uitkomst_doelgroep[[#This Row],[Percentage van patiëntaantallen in Wlz (overige is Zvw)]]</f>
        <v>0</v>
      </c>
      <c r="T426" s="398">
        <f>uitkomst_doelgroep[[#This Row],[Overige besparingen (€)]]*uitkomst_doelgroep[[#This Row],[Percentage van patiëntaantallen in Wlz (overige is Zvw)]]</f>
        <v>0</v>
      </c>
      <c r="U426" s="398">
        <f>uitkomst_doelgroep[[#This Row],[Kosten (€)]]*uitkomst_doelgroep[[#This Row],[Percentage van patiëntaantallen in Wlz (overige is Zvw)]]</f>
        <v>0</v>
      </c>
      <c r="V426" s="398">
        <f>uitkomst_doelgroep[[#This Row],[Investering (cash flow) (€)]]*uitkomst_doelgroep[[#This Row],[Percentage van patiëntaantallen in Wlz (overige is Zvw)]]</f>
        <v>0</v>
      </c>
    </row>
    <row r="427" spans="1:22" x14ac:dyDescent="0.5">
      <c r="A427" s="33" t="str">
        <f>INDEX(Technologieën[Veld],MATCH(B427,Technologieën[Digitale zorgtoepassing],0))</f>
        <v>Digitale hulpmiddelen - Diagnose</v>
      </c>
      <c r="B427" s="33" t="s">
        <v>78</v>
      </c>
      <c r="C427" s="33" t="s">
        <v>79</v>
      </c>
      <c r="D427" s="427" cm="1">
        <f t="array" ref="D427">INDEX(Berekening_patiëntaantal[Percentage van patiëntaantallen in Wlz (overige is Zvw)],MATCH(B427,IF(Berekening_patiëntaantal[Doelgroep (zoeksleutel)]=C427,Berekening_patiëntaantal[Digitale zorgtoepassing]),0))</f>
        <v>0</v>
      </c>
      <c r="E427" s="33" t="str" cm="1">
        <f t="array" ref="E427">INDEX(Berekening_patiëntaantal[Direct toepasbaar/extrapolatie/incidentie voor QALY],MATCH(B427,IF(Berekening_patiëntaantal[Doelgroep (zoeksleutel)]=C427,Berekening_patiëntaantal[Digitale zorgtoepassing]),0))</f>
        <v>Huidige toepassing</v>
      </c>
      <c r="F427" s="43" t="s">
        <v>812</v>
      </c>
      <c r="G427" s="33" t="str">
        <f>CONCATENATE(uitkomst_doelgroep[[#This Row],[Digitale zorgtoepassing]],"_",uitkomst_doelgroep[[#This Row],[Doelgroep]],"_",uitkomst_doelgroep[[#This Row],[Uitgangssituatie/effect beleid]])</f>
        <v>Mobiele echo's_Echo's bij zwangere vrouwen_Effect beleid</v>
      </c>
      <c r="H427" s="33">
        <v>2027</v>
      </c>
      <c r="I427" s="32">
        <v>5</v>
      </c>
      <c r="J427" s="406" cm="1">
        <f t="array" ref="J427">INDEX(implementatie[[2023]:[2034]],MATCH(G427, implementatie[Zoeksleutel],0),I427)</f>
        <v>0.64995574724807748</v>
      </c>
      <c r="K427" s="406" cm="1">
        <f t="array" ref="K427">INDEX(implementatie[[2023]:[2034]],MATCH(G427,implementatie[Zoeksleutel],0),I427 + 1)</f>
        <v>0.76108782680714737</v>
      </c>
      <c r="L42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289906.26150253246</v>
      </c>
      <c r="M427" s="398" cm="1">
        <f t="array" ref="M427">J427*INDEX(Berekening_impact[Totaal arbeidsbesparing (€/jaar)],MATCH(B427,IF(Berekening_impact[Doelgroep]=C427,Berekening_impact[Digitale zorgtoepassing]),0))</f>
        <v>670072.22725677304</v>
      </c>
      <c r="N427" s="397" cm="1">
        <f t="array" ref="N427">J427*INDEX(Berekening_impact[Totaal arbeidsbesparing (FTE/jaar)],MATCH(B427,IF(Berekening_impact[Doelgroep]=C427,Berekening_impact[Digitale zorgtoepassing]),0))</f>
        <v>11.614834194813</v>
      </c>
      <c r="O427" s="398" cm="1">
        <f t="array" ref="O427">J427*INDEX(Berekening_impact[Overige kostenbesparing (totaal/jaar totaal potentieel)],MATCH(B427,IF(Berekening_impact[Doelgroep]=C427,Berekening_impact[Digitale zorgtoepassing]),0))</f>
        <v>446714.81817118207</v>
      </c>
      <c r="P427" s="398" cm="1">
        <f t="array" ref="P427">J427*INDEX(Berekening_impact[Opbrengsten door QALY''s],MATCH(B427,IF(Berekening_impact[Doelgroep]=C427,Berekening_impact[Digitale zorgtoepassing]),0))</f>
        <v>0</v>
      </c>
      <c r="Q427" s="398" cm="1">
        <f t="array" ref="Q427">J427*INDEX(Berekening_impact[Jaarlijkse kosten (totaal) - incl. schatting],MATCH(B427,IF(Berekening_impact[Doelgroep]=C427,Berekening_impact[Digitale zorgtoepassing]),0))</f>
        <v>579925.61530508613</v>
      </c>
      <c r="R427" s="398" cm="1">
        <f t="array" ref="R427">(uitkomst_doelgroep[[#This Row],[Implementatiegraad t = T + 1]]-uitkomst_doelgroep[[#This Row],[Implementatiegraad t = T]])*INDEX(Berekening_impact[Initiële investering (totaal) - incl. schatting],MATCH(B427,IF(Berekening_impact[Doelgroep]=C427,Berekening_impact[Digitale zorgtoepassing]),0))</f>
        <v>0</v>
      </c>
      <c r="S427" s="398">
        <f>uitkomst_doelgroep[[#This Row],[Arbeidsbesparing (€)]]*uitkomst_doelgroep[[#This Row],[Percentage van patiëntaantallen in Wlz (overige is Zvw)]]</f>
        <v>0</v>
      </c>
      <c r="T427" s="398">
        <f>uitkomst_doelgroep[[#This Row],[Overige besparingen (€)]]*uitkomst_doelgroep[[#This Row],[Percentage van patiëntaantallen in Wlz (overige is Zvw)]]</f>
        <v>0</v>
      </c>
      <c r="U427" s="398">
        <f>uitkomst_doelgroep[[#This Row],[Kosten (€)]]*uitkomst_doelgroep[[#This Row],[Percentage van patiëntaantallen in Wlz (overige is Zvw)]]</f>
        <v>0</v>
      </c>
      <c r="V427" s="398">
        <f>uitkomst_doelgroep[[#This Row],[Investering (cash flow) (€)]]*uitkomst_doelgroep[[#This Row],[Percentage van patiëntaantallen in Wlz (overige is Zvw)]]</f>
        <v>0</v>
      </c>
    </row>
    <row r="428" spans="1:22" x14ac:dyDescent="0.5">
      <c r="A428" s="33" t="str">
        <f>INDEX(Technologieën[Veld],MATCH(B428,Technologieën[Digitale zorgtoepassing],0))</f>
        <v>Digitale hulpmiddelen - Diagnose</v>
      </c>
      <c r="B428" s="33" t="s">
        <v>78</v>
      </c>
      <c r="C428" s="33" t="s">
        <v>79</v>
      </c>
      <c r="D428" s="427" cm="1">
        <f t="array" ref="D428">INDEX(Berekening_patiëntaantal[Percentage van patiëntaantallen in Wlz (overige is Zvw)],MATCH(B428,IF(Berekening_patiëntaantal[Doelgroep (zoeksleutel)]=C428,Berekening_patiëntaantal[Digitale zorgtoepassing]),0))</f>
        <v>0</v>
      </c>
      <c r="E428" s="33" t="str" cm="1">
        <f t="array" ref="E428">INDEX(Berekening_patiëntaantal[Direct toepasbaar/extrapolatie/incidentie voor QALY],MATCH(B428,IF(Berekening_patiëntaantal[Doelgroep (zoeksleutel)]=C428,Berekening_patiëntaantal[Digitale zorgtoepassing]),0))</f>
        <v>Huidige toepassing</v>
      </c>
      <c r="F428" s="43" t="s">
        <v>812</v>
      </c>
      <c r="G428" s="33" t="str">
        <f>CONCATENATE(uitkomst_doelgroep[[#This Row],[Digitale zorgtoepassing]],"_",uitkomst_doelgroep[[#This Row],[Doelgroep]],"_",uitkomst_doelgroep[[#This Row],[Uitgangssituatie/effect beleid]])</f>
        <v>Mobiele echo's_Echo's bij zwangere vrouwen_Effect beleid</v>
      </c>
      <c r="H428" s="33">
        <v>2028</v>
      </c>
      <c r="I428" s="32">
        <v>6</v>
      </c>
      <c r="J428" s="406" cm="1">
        <f t="array" ref="J428">INDEX(implementatie[[2023]:[2034]],MATCH(G428, implementatie[Zoeksleutel],0),I428)</f>
        <v>0.76108782680714737</v>
      </c>
      <c r="K428" s="406" cm="1">
        <f t="array" ref="K428">INDEX(implementatie[[2023]:[2034]],MATCH(G428,implementatie[Zoeksleutel],0),I428 + 1)</f>
        <v>0.8488855471488731</v>
      </c>
      <c r="L42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339475.61426906002</v>
      </c>
      <c r="M428" s="398" cm="1">
        <f t="array" ref="M428">J428*INDEX(Berekening_impact[Totaal arbeidsbesparing (€/jaar)],MATCH(B428,IF(Berekening_impact[Doelgroep]=C428,Berekening_impact[Digitale zorgtoepassing]),0))</f>
        <v>784643.90445959067</v>
      </c>
      <c r="N428" s="397" cm="1">
        <f t="array" ref="N428">J428*INDEX(Berekening_impact[Totaal arbeidsbesparing (FTE/jaar)],MATCH(B428,IF(Berekening_impact[Doelgroep]=C428,Berekening_impact[Digitale zorgtoepassing]),0))</f>
        <v>13.600785828087339</v>
      </c>
      <c r="O428" s="398" cm="1">
        <f t="array" ref="O428">J428*INDEX(Berekening_impact[Overige kostenbesparing (totaal/jaar totaal potentieel)],MATCH(B428,IF(Berekening_impact[Doelgroep]=C428,Berekening_impact[Digitale zorgtoepassing]),0))</f>
        <v>523095.93630639388</v>
      </c>
      <c r="P428" s="398" cm="1">
        <f t="array" ref="P428">J428*INDEX(Berekening_impact[Opbrengsten door QALY''s],MATCH(B428,IF(Berekening_impact[Doelgroep]=C428,Berekening_impact[Digitale zorgtoepassing]),0))</f>
        <v>0</v>
      </c>
      <c r="Q428" s="398" cm="1">
        <f t="array" ref="Q428">J428*INDEX(Berekening_impact[Jaarlijkse kosten (totaal) - incl. schatting],MATCH(B428,IF(Berekening_impact[Doelgroep]=C428,Berekening_impact[Digitale zorgtoepassing]),0))</f>
        <v>679083.65781998448</v>
      </c>
      <c r="R428" s="398" cm="1">
        <f t="array" ref="R428">(uitkomst_doelgroep[[#This Row],[Implementatiegraad t = T + 1]]-uitkomst_doelgroep[[#This Row],[Implementatiegraad t = T]])*INDEX(Berekening_impact[Initiële investering (totaal) - incl. schatting],MATCH(B428,IF(Berekening_impact[Doelgroep]=C428,Berekening_impact[Digitale zorgtoepassing]),0))</f>
        <v>0</v>
      </c>
      <c r="S428" s="398">
        <f>uitkomst_doelgroep[[#This Row],[Arbeidsbesparing (€)]]*uitkomst_doelgroep[[#This Row],[Percentage van patiëntaantallen in Wlz (overige is Zvw)]]</f>
        <v>0</v>
      </c>
      <c r="T428" s="398">
        <f>uitkomst_doelgroep[[#This Row],[Overige besparingen (€)]]*uitkomst_doelgroep[[#This Row],[Percentage van patiëntaantallen in Wlz (overige is Zvw)]]</f>
        <v>0</v>
      </c>
      <c r="U428" s="398">
        <f>uitkomst_doelgroep[[#This Row],[Kosten (€)]]*uitkomst_doelgroep[[#This Row],[Percentage van patiëntaantallen in Wlz (overige is Zvw)]]</f>
        <v>0</v>
      </c>
      <c r="V428" s="398">
        <f>uitkomst_doelgroep[[#This Row],[Investering (cash flow) (€)]]*uitkomst_doelgroep[[#This Row],[Percentage van patiëntaantallen in Wlz (overige is Zvw)]]</f>
        <v>0</v>
      </c>
    </row>
    <row r="429" spans="1:22" x14ac:dyDescent="0.5">
      <c r="A429" s="33" t="str">
        <f>INDEX(Technologieën[Veld],MATCH(B429,Technologieën[Digitale zorgtoepassing],0))</f>
        <v>Digitale hulpmiddelen - Diagnose</v>
      </c>
      <c r="B429" s="33" t="s">
        <v>78</v>
      </c>
      <c r="C429" s="33" t="s">
        <v>79</v>
      </c>
      <c r="D429" s="427" cm="1">
        <f t="array" ref="D429">INDEX(Berekening_patiëntaantal[Percentage van patiëntaantallen in Wlz (overige is Zvw)],MATCH(B429,IF(Berekening_patiëntaantal[Doelgroep (zoeksleutel)]=C429,Berekening_patiëntaantal[Digitale zorgtoepassing]),0))</f>
        <v>0</v>
      </c>
      <c r="E429" s="33" t="str" cm="1">
        <f t="array" ref="E429">INDEX(Berekening_patiëntaantal[Direct toepasbaar/extrapolatie/incidentie voor QALY],MATCH(B429,IF(Berekening_patiëntaantal[Doelgroep (zoeksleutel)]=C429,Berekening_patiëntaantal[Digitale zorgtoepassing]),0))</f>
        <v>Huidige toepassing</v>
      </c>
      <c r="F429" s="43" t="s">
        <v>812</v>
      </c>
      <c r="G429" s="33" t="str">
        <f>CONCATENATE(uitkomst_doelgroep[[#This Row],[Digitale zorgtoepassing]],"_",uitkomst_doelgroep[[#This Row],[Doelgroep]],"_",uitkomst_doelgroep[[#This Row],[Uitgangssituatie/effect beleid]])</f>
        <v>Mobiele echo's_Echo's bij zwangere vrouwen_Effect beleid</v>
      </c>
      <c r="H429" s="33">
        <v>2029</v>
      </c>
      <c r="I429" s="32">
        <v>7</v>
      </c>
      <c r="J429" s="406" cm="1">
        <f t="array" ref="J429">INDEX(implementatie[[2023]:[2034]],MATCH(G429, implementatie[Zoeksleutel],0),I429)</f>
        <v>0.8488855471488731</v>
      </c>
      <c r="K429" s="406" cm="1">
        <f t="array" ref="K429">INDEX(implementatie[[2023]:[2034]],MATCH(G429,implementatie[Zoeksleutel],0),I429 + 1)</f>
        <v>0.91038890221593549</v>
      </c>
      <c r="L42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378636.90945028333</v>
      </c>
      <c r="M429" s="398" cm="1">
        <f t="array" ref="M429">J429*INDEX(Berekening_impact[Totaal arbeidsbesparing (€/jaar)],MATCH(B429,IF(Berekening_impact[Doelgroep]=C429,Berekening_impact[Digitale zorgtoepassing]),0))</f>
        <v>875159.01147501136</v>
      </c>
      <c r="N429" s="397" cm="1">
        <f t="array" ref="N429">J429*INDEX(Berekening_impact[Totaal arbeidsbesparing (FTE/jaar)],MATCH(B429,IF(Berekening_impact[Doelgroep]=C429,Berekening_impact[Digitale zorgtoepassing]),0))</f>
        <v>15.169747974770967</v>
      </c>
      <c r="O429" s="398" cm="1">
        <f t="array" ref="O429">J429*INDEX(Berekening_impact[Overige kostenbesparing (totaal/jaar totaal potentieel)],MATCH(B429,IF(Berekening_impact[Doelgroep]=C429,Berekening_impact[Digitale zorgtoepassing]),0))</f>
        <v>583439.34098334098</v>
      </c>
      <c r="P429" s="398" cm="1">
        <f t="array" ref="P429">J429*INDEX(Berekening_impact[Opbrengsten door QALY''s],MATCH(B429,IF(Berekening_impact[Doelgroep]=C429,Berekening_impact[Digitale zorgtoepassing]),0))</f>
        <v>0</v>
      </c>
      <c r="Q429" s="398" cm="1">
        <f t="array" ref="Q429">J429*INDEX(Berekening_impact[Jaarlijkse kosten (totaal) - incl. schatting],MATCH(B429,IF(Berekening_impact[Doelgroep]=C429,Berekening_impact[Digitale zorgtoepassing]),0))</f>
        <v>757421.52498577058</v>
      </c>
      <c r="R429" s="398" cm="1">
        <f t="array" ref="R429">(uitkomst_doelgroep[[#This Row],[Implementatiegraad t = T + 1]]-uitkomst_doelgroep[[#This Row],[Implementatiegraad t = T]])*INDEX(Berekening_impact[Initiële investering (totaal) - incl. schatting],MATCH(B429,IF(Berekening_impact[Doelgroep]=C429,Berekening_impact[Digitale zorgtoepassing]),0))</f>
        <v>0</v>
      </c>
      <c r="S429" s="398">
        <f>uitkomst_doelgroep[[#This Row],[Arbeidsbesparing (€)]]*uitkomst_doelgroep[[#This Row],[Percentage van patiëntaantallen in Wlz (overige is Zvw)]]</f>
        <v>0</v>
      </c>
      <c r="T429" s="398">
        <f>uitkomst_doelgroep[[#This Row],[Overige besparingen (€)]]*uitkomst_doelgroep[[#This Row],[Percentage van patiëntaantallen in Wlz (overige is Zvw)]]</f>
        <v>0</v>
      </c>
      <c r="U429" s="398">
        <f>uitkomst_doelgroep[[#This Row],[Kosten (€)]]*uitkomst_doelgroep[[#This Row],[Percentage van patiëntaantallen in Wlz (overige is Zvw)]]</f>
        <v>0</v>
      </c>
      <c r="V429" s="398">
        <f>uitkomst_doelgroep[[#This Row],[Investering (cash flow) (€)]]*uitkomst_doelgroep[[#This Row],[Percentage van patiëntaantallen in Wlz (overige is Zvw)]]</f>
        <v>0</v>
      </c>
    </row>
    <row r="430" spans="1:22" x14ac:dyDescent="0.5">
      <c r="A430" s="33" t="str">
        <f>INDEX(Technologieën[Veld],MATCH(B430,Technologieën[Digitale zorgtoepassing],0))</f>
        <v>Digitale hulpmiddelen - Diagnose</v>
      </c>
      <c r="B430" s="33" t="s">
        <v>78</v>
      </c>
      <c r="C430" s="33" t="s">
        <v>79</v>
      </c>
      <c r="D430" s="427" cm="1">
        <f t="array" ref="D430">INDEX(Berekening_patiëntaantal[Percentage van patiëntaantallen in Wlz (overige is Zvw)],MATCH(B430,IF(Berekening_patiëntaantal[Doelgroep (zoeksleutel)]=C430,Berekening_patiëntaantal[Digitale zorgtoepassing]),0))</f>
        <v>0</v>
      </c>
      <c r="E430" s="33" t="str" cm="1">
        <f t="array" ref="E430">INDEX(Berekening_patiëntaantal[Direct toepasbaar/extrapolatie/incidentie voor QALY],MATCH(B430,IF(Berekening_patiëntaantal[Doelgroep (zoeksleutel)]=C430,Berekening_patiëntaantal[Digitale zorgtoepassing]),0))</f>
        <v>Huidige toepassing</v>
      </c>
      <c r="F430" s="43" t="s">
        <v>812</v>
      </c>
      <c r="G430" s="33" t="str">
        <f>CONCATENATE(uitkomst_doelgroep[[#This Row],[Digitale zorgtoepassing]],"_",uitkomst_doelgroep[[#This Row],[Doelgroep]],"_",uitkomst_doelgroep[[#This Row],[Uitgangssituatie/effect beleid]])</f>
        <v>Mobiele echo's_Echo's bij zwangere vrouwen_Effect beleid</v>
      </c>
      <c r="H430" s="33">
        <v>2030</v>
      </c>
      <c r="I430" s="32">
        <v>8</v>
      </c>
      <c r="J430" s="406" cm="1">
        <f t="array" ref="J430">INDEX(implementatie[[2023]:[2034]],MATCH(G430, implementatie[Zoeksleutel],0),I430)</f>
        <v>0.91038890221593549</v>
      </c>
      <c r="K430" s="406" cm="1">
        <f t="array" ref="K430">INDEX(implementatie[[2023]:[2034]],MATCH(G430,implementatie[Zoeksleutel],0),I430 + 1)</f>
        <v>0.94934060668263687</v>
      </c>
      <c r="L43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406069.86594439589</v>
      </c>
      <c r="M430" s="398" cm="1">
        <f t="array" ref="M430">J430*INDEX(Berekening_impact[Totaal arbeidsbesparing (€/jaar)],MATCH(B430,IF(Berekening_impact[Doelgroep]=C430,Berekening_impact[Digitale zorgtoepassing]),0))</f>
        <v>938565.92846596276</v>
      </c>
      <c r="N430" s="397" cm="1">
        <f t="array" ref="N430">J430*INDEX(Berekening_impact[Totaal arbeidsbesparing (FTE/jaar)],MATCH(B430,IF(Berekening_impact[Doelgroep]=C430,Berekening_impact[Digitale zorgtoepassing]),0))</f>
        <v>16.268824757387655</v>
      </c>
      <c r="O430" s="398" cm="1">
        <f t="array" ref="O430">J430*INDEX(Berekening_impact[Overige kostenbesparing (totaal/jaar totaal potentieel)],MATCH(B430,IF(Berekening_impact[Doelgroep]=C430,Berekening_impact[Digitale zorgtoepassing]),0))</f>
        <v>625710.61897730862</v>
      </c>
      <c r="P430" s="398" cm="1">
        <f t="array" ref="P430">J430*INDEX(Berekening_impact[Opbrengsten door QALY''s],MATCH(B430,IF(Berekening_impact[Doelgroep]=C430,Berekening_impact[Digitale zorgtoepassing]),0))</f>
        <v>0</v>
      </c>
      <c r="Q430" s="398" cm="1">
        <f t="array" ref="Q430">J430*INDEX(Berekening_impact[Jaarlijkse kosten (totaal) - incl. schatting],MATCH(B430,IF(Berekening_impact[Doelgroep]=C430,Berekening_impact[Digitale zorgtoepassing]),0))</f>
        <v>812298.13955777732</v>
      </c>
      <c r="R430" s="398" cm="1">
        <f t="array" ref="R430">(uitkomst_doelgroep[[#This Row],[Implementatiegraad t = T + 1]]-uitkomst_doelgroep[[#This Row],[Implementatiegraad t = T]])*INDEX(Berekening_impact[Initiële investering (totaal) - incl. schatting],MATCH(B430,IF(Berekening_impact[Doelgroep]=C430,Berekening_impact[Digitale zorgtoepassing]),0))</f>
        <v>0</v>
      </c>
      <c r="S430" s="398">
        <f>uitkomst_doelgroep[[#This Row],[Arbeidsbesparing (€)]]*uitkomst_doelgroep[[#This Row],[Percentage van patiëntaantallen in Wlz (overige is Zvw)]]</f>
        <v>0</v>
      </c>
      <c r="T430" s="398">
        <f>uitkomst_doelgroep[[#This Row],[Overige besparingen (€)]]*uitkomst_doelgroep[[#This Row],[Percentage van patiëntaantallen in Wlz (overige is Zvw)]]</f>
        <v>0</v>
      </c>
      <c r="U430" s="398">
        <f>uitkomst_doelgroep[[#This Row],[Kosten (€)]]*uitkomst_doelgroep[[#This Row],[Percentage van patiëntaantallen in Wlz (overige is Zvw)]]</f>
        <v>0</v>
      </c>
      <c r="V430" s="398">
        <f>uitkomst_doelgroep[[#This Row],[Investering (cash flow) (€)]]*uitkomst_doelgroep[[#This Row],[Percentage van patiëntaantallen in Wlz (overige is Zvw)]]</f>
        <v>0</v>
      </c>
    </row>
    <row r="431" spans="1:22" x14ac:dyDescent="0.5">
      <c r="A431" s="33" t="str">
        <f>INDEX(Technologieën[Veld],MATCH(B431,Technologieën[Digitale zorgtoepassing],0))</f>
        <v>Digitale hulpmiddelen - Diagnose</v>
      </c>
      <c r="B431" s="33" t="s">
        <v>78</v>
      </c>
      <c r="C431" s="33" t="s">
        <v>79</v>
      </c>
      <c r="D431" s="427" cm="1">
        <f t="array" ref="D431">INDEX(Berekening_patiëntaantal[Percentage van patiëntaantallen in Wlz (overige is Zvw)],MATCH(B431,IF(Berekening_patiëntaantal[Doelgroep (zoeksleutel)]=C431,Berekening_patiëntaantal[Digitale zorgtoepassing]),0))</f>
        <v>0</v>
      </c>
      <c r="E431" s="33" t="str" cm="1">
        <f t="array" ref="E431">INDEX(Berekening_patiëntaantal[Direct toepasbaar/extrapolatie/incidentie voor QALY],MATCH(B431,IF(Berekening_patiëntaantal[Doelgroep (zoeksleutel)]=C431,Berekening_patiëntaantal[Digitale zorgtoepassing]),0))</f>
        <v>Huidige toepassing</v>
      </c>
      <c r="F431" s="43" t="s">
        <v>812</v>
      </c>
      <c r="G431" s="33" t="str">
        <f>CONCATENATE(uitkomst_doelgroep[[#This Row],[Digitale zorgtoepassing]],"_",uitkomst_doelgroep[[#This Row],[Doelgroep]],"_",uitkomst_doelgroep[[#This Row],[Uitgangssituatie/effect beleid]])</f>
        <v>Mobiele echo's_Echo's bij zwangere vrouwen_Effect beleid</v>
      </c>
      <c r="H431" s="33">
        <v>2031</v>
      </c>
      <c r="I431" s="32">
        <v>9</v>
      </c>
      <c r="J431" s="406" cm="1">
        <f t="array" ref="J431">INDEX(implementatie[[2023]:[2034]],MATCH(G431, implementatie[Zoeksleutel],0),I431)</f>
        <v>0.94934060668263687</v>
      </c>
      <c r="K431" s="406" cm="1">
        <f t="array" ref="K431">INDEX(implementatie[[2023]:[2034]],MATCH(G431,implementatie[Zoeksleutel],0),I431 + 1)</f>
        <v>0.9722489501493069</v>
      </c>
      <c r="L43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423443.88420472335</v>
      </c>
      <c r="M431" s="398" cm="1">
        <f t="array" ref="M431">J431*INDEX(Berekening_impact[Totaal arbeidsbesparing (€/jaar)],MATCH(B431,IF(Berekening_impact[Doelgroep]=C431,Berekening_impact[Digitale zorgtoepassing]),0))</f>
        <v>978723.20913923916</v>
      </c>
      <c r="N431" s="397" cm="1">
        <f t="array" ref="N431">J431*INDEX(Berekening_impact[Totaal arbeidsbesparing (FTE/jaar)],MATCH(B431,IF(Berekening_impact[Doelgroep]=C431,Berekening_impact[Digitale zorgtoepassing]),0))</f>
        <v>16.964899206920006</v>
      </c>
      <c r="O431" s="398" cm="1">
        <f t="array" ref="O431">J431*INDEX(Berekening_impact[Overige kostenbesparing (totaal/jaar totaal potentieel)],MATCH(B431,IF(Berekening_impact[Doelgroep]=C431,Berekening_impact[Digitale zorgtoepassing]),0))</f>
        <v>652482.13942615956</v>
      </c>
      <c r="P431" s="398" cm="1">
        <f t="array" ref="P431">J431*INDEX(Berekening_impact[Opbrengsten door QALY''s],MATCH(B431,IF(Berekening_impact[Doelgroep]=C431,Berekening_impact[Digitale zorgtoepassing]),0))</f>
        <v>0</v>
      </c>
      <c r="Q431" s="398" cm="1">
        <f t="array" ref="Q431">J431*INDEX(Berekening_impact[Jaarlijkse kosten (totaal) - incl. schatting],MATCH(B431,IF(Berekening_impact[Doelgroep]=C431,Berekening_impact[Digitale zorgtoepassing]),0))</f>
        <v>847052.95367500943</v>
      </c>
      <c r="R431" s="398" cm="1">
        <f t="array" ref="R431">(uitkomst_doelgroep[[#This Row],[Implementatiegraad t = T + 1]]-uitkomst_doelgroep[[#This Row],[Implementatiegraad t = T]])*INDEX(Berekening_impact[Initiële investering (totaal) - incl. schatting],MATCH(B431,IF(Berekening_impact[Doelgroep]=C431,Berekening_impact[Digitale zorgtoepassing]),0))</f>
        <v>0</v>
      </c>
      <c r="S431" s="398">
        <f>uitkomst_doelgroep[[#This Row],[Arbeidsbesparing (€)]]*uitkomst_doelgroep[[#This Row],[Percentage van patiëntaantallen in Wlz (overige is Zvw)]]</f>
        <v>0</v>
      </c>
      <c r="T431" s="398">
        <f>uitkomst_doelgroep[[#This Row],[Overige besparingen (€)]]*uitkomst_doelgroep[[#This Row],[Percentage van patiëntaantallen in Wlz (overige is Zvw)]]</f>
        <v>0</v>
      </c>
      <c r="U431" s="398">
        <f>uitkomst_doelgroep[[#This Row],[Kosten (€)]]*uitkomst_doelgroep[[#This Row],[Percentage van patiëntaantallen in Wlz (overige is Zvw)]]</f>
        <v>0</v>
      </c>
      <c r="V431" s="398">
        <f>uitkomst_doelgroep[[#This Row],[Investering (cash flow) (€)]]*uitkomst_doelgroep[[#This Row],[Percentage van patiëntaantallen in Wlz (overige is Zvw)]]</f>
        <v>0</v>
      </c>
    </row>
    <row r="432" spans="1:22" x14ac:dyDescent="0.5">
      <c r="A432" s="33" t="str">
        <f>INDEX(Technologieën[Veld],MATCH(B432,Technologieën[Digitale zorgtoepassing],0))</f>
        <v>Digitale hulpmiddelen - Diagnose</v>
      </c>
      <c r="B432" s="33" t="s">
        <v>78</v>
      </c>
      <c r="C432" s="33" t="s">
        <v>79</v>
      </c>
      <c r="D432" s="427" cm="1">
        <f t="array" ref="D432">INDEX(Berekening_patiëntaantal[Percentage van patiëntaantallen in Wlz (overige is Zvw)],MATCH(B432,IF(Berekening_patiëntaantal[Doelgroep (zoeksleutel)]=C432,Berekening_patiëntaantal[Digitale zorgtoepassing]),0))</f>
        <v>0</v>
      </c>
      <c r="E432" s="33" t="str" cm="1">
        <f t="array" ref="E432">INDEX(Berekening_patiëntaantal[Direct toepasbaar/extrapolatie/incidentie voor QALY],MATCH(B432,IF(Berekening_patiëntaantal[Doelgroep (zoeksleutel)]=C432,Berekening_patiëntaantal[Digitale zorgtoepassing]),0))</f>
        <v>Huidige toepassing</v>
      </c>
      <c r="F432" s="43" t="s">
        <v>812</v>
      </c>
      <c r="G432" s="33" t="str">
        <f>CONCATENATE(uitkomst_doelgroep[[#This Row],[Digitale zorgtoepassing]],"_",uitkomst_doelgroep[[#This Row],[Doelgroep]],"_",uitkomst_doelgroep[[#This Row],[Uitgangssituatie/effect beleid]])</f>
        <v>Mobiele echo's_Echo's bij zwangere vrouwen_Effect beleid</v>
      </c>
      <c r="H432" s="33">
        <v>2032</v>
      </c>
      <c r="I432" s="32">
        <v>10</v>
      </c>
      <c r="J432" s="406" cm="1">
        <f t="array" ref="J432">INDEX(implementatie[[2023]:[2034]],MATCH(G432, implementatie[Zoeksleutel],0),I432)</f>
        <v>0.9722489501493069</v>
      </c>
      <c r="K432" s="406" cm="1">
        <f t="array" ref="K432">INDEX(implementatie[[2023]:[2034]],MATCH(G432,implementatie[Zoeksleutel],0),I432 + 1)</f>
        <v>0.98508414448286907</v>
      </c>
      <c r="L43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433661.92172459688</v>
      </c>
      <c r="M432" s="398" cm="1">
        <f t="array" ref="M432">J432*INDEX(Berekening_impact[Totaal arbeidsbesparing (€/jaar)],MATCH(B432,IF(Berekening_impact[Doelgroep]=C432,Berekening_impact[Digitale zorgtoepassing]),0))</f>
        <v>1002340.5781593116</v>
      </c>
      <c r="N432" s="397" cm="1">
        <f t="array" ref="N432">J432*INDEX(Berekening_impact[Totaal arbeidsbesparing (FTE/jaar)],MATCH(B432,IF(Berekening_impact[Doelgroep]=C432,Berekening_impact[Digitale zorgtoepassing]),0))</f>
        <v>17.374275710120067</v>
      </c>
      <c r="O432" s="398" cm="1">
        <f t="array" ref="O432">J432*INDEX(Berekening_impact[Overige kostenbesparing (totaal/jaar totaal potentieel)],MATCH(B432,IF(Berekening_impact[Doelgroep]=C432,Berekening_impact[Digitale zorgtoepassing]),0))</f>
        <v>668227.05210620782</v>
      </c>
      <c r="P432" s="398" cm="1">
        <f t="array" ref="P432">J432*INDEX(Berekening_impact[Opbrengsten door QALY''s],MATCH(B432,IF(Berekening_impact[Doelgroep]=C432,Berekening_impact[Digitale zorgtoepassing]),0))</f>
        <v>0</v>
      </c>
      <c r="Q432" s="398" cm="1">
        <f t="array" ref="Q432">J432*INDEX(Berekening_impact[Jaarlijkse kosten (totaal) - incl. schatting],MATCH(B432,IF(Berekening_impact[Doelgroep]=C432,Berekening_impact[Digitale zorgtoepassing]),0))</f>
        <v>867493.01476651966</v>
      </c>
      <c r="R432" s="398" cm="1">
        <f t="array" ref="R432">(uitkomst_doelgroep[[#This Row],[Implementatiegraad t = T + 1]]-uitkomst_doelgroep[[#This Row],[Implementatiegraad t = T]])*INDEX(Berekening_impact[Initiële investering (totaal) - incl. schatting],MATCH(B432,IF(Berekening_impact[Doelgroep]=C432,Berekening_impact[Digitale zorgtoepassing]),0))</f>
        <v>0</v>
      </c>
      <c r="S432" s="398">
        <f>uitkomst_doelgroep[[#This Row],[Arbeidsbesparing (€)]]*uitkomst_doelgroep[[#This Row],[Percentage van patiëntaantallen in Wlz (overige is Zvw)]]</f>
        <v>0</v>
      </c>
      <c r="T432" s="398">
        <f>uitkomst_doelgroep[[#This Row],[Overige besparingen (€)]]*uitkomst_doelgroep[[#This Row],[Percentage van patiëntaantallen in Wlz (overige is Zvw)]]</f>
        <v>0</v>
      </c>
      <c r="U432" s="398">
        <f>uitkomst_doelgroep[[#This Row],[Kosten (€)]]*uitkomst_doelgroep[[#This Row],[Percentage van patiëntaantallen in Wlz (overige is Zvw)]]</f>
        <v>0</v>
      </c>
      <c r="V432" s="398">
        <f>uitkomst_doelgroep[[#This Row],[Investering (cash flow) (€)]]*uitkomst_doelgroep[[#This Row],[Percentage van patiëntaantallen in Wlz (overige is Zvw)]]</f>
        <v>0</v>
      </c>
    </row>
    <row r="433" spans="1:22" x14ac:dyDescent="0.5">
      <c r="A433" s="33" t="str">
        <f>INDEX(Technologieën[Veld],MATCH(B433,Technologieën[Digitale zorgtoepassing],0))</f>
        <v>Digitale hulpmiddelen - Diagnose</v>
      </c>
      <c r="B433" s="33" t="s">
        <v>78</v>
      </c>
      <c r="C433" s="33" t="s">
        <v>79</v>
      </c>
      <c r="D433" s="427" cm="1">
        <f t="array" ref="D433">INDEX(Berekening_patiëntaantal[Percentage van patiëntaantallen in Wlz (overige is Zvw)],MATCH(B433,IF(Berekening_patiëntaantal[Doelgroep (zoeksleutel)]=C433,Berekening_patiëntaantal[Digitale zorgtoepassing]),0))</f>
        <v>0</v>
      </c>
      <c r="E433" s="33" t="str" cm="1">
        <f t="array" ref="E433">INDEX(Berekening_patiëntaantal[Direct toepasbaar/extrapolatie/incidentie voor QALY],MATCH(B433,IF(Berekening_patiëntaantal[Doelgroep (zoeksleutel)]=C433,Berekening_patiëntaantal[Digitale zorgtoepassing]),0))</f>
        <v>Huidige toepassing</v>
      </c>
      <c r="F433" s="43" t="s">
        <v>812</v>
      </c>
      <c r="G433" s="33" t="str">
        <f>CONCATENATE(uitkomst_doelgroep[[#This Row],[Digitale zorgtoepassing]],"_",uitkomst_doelgroep[[#This Row],[Doelgroep]],"_",uitkomst_doelgroep[[#This Row],[Uitgangssituatie/effect beleid]])</f>
        <v>Mobiele echo's_Echo's bij zwangere vrouwen_Effect beleid</v>
      </c>
      <c r="H433" s="33">
        <v>2033</v>
      </c>
      <c r="I433" s="32">
        <v>11</v>
      </c>
      <c r="J433" s="406" cm="1">
        <f t="array" ref="J433">INDEX(implementatie[[2023]:[2034]],MATCH(G433, implementatie[Zoeksleutel],0),I433)</f>
        <v>0.98508414448286907</v>
      </c>
      <c r="K433" s="406" cm="1">
        <f t="array" ref="K433">INDEX(implementatie[[2023]:[2034]],MATCH(G433,implementatie[Zoeksleutel],0),I433 + 1)</f>
        <v>0.99206905861789263</v>
      </c>
      <c r="L43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439386.93180513894</v>
      </c>
      <c r="M433" s="398" cm="1">
        <f t="array" ref="M433">J433*INDEX(Berekening_impact[Totaal arbeidsbesparing (€/jaar)],MATCH(B433,IF(Berekening_impact[Doelgroep]=C433,Berekening_impact[Digitale zorgtoepassing]),0))</f>
        <v>1015573.0286619469</v>
      </c>
      <c r="N433" s="397" cm="1">
        <f t="array" ref="N433">J433*INDEX(Berekening_impact[Totaal arbeidsbesparing (FTE/jaar)],MATCH(B433,IF(Berekening_impact[Doelgroep]=C433,Berekening_impact[Digitale zorgtoepassing]),0))</f>
        <v>17.603643101167425</v>
      </c>
      <c r="O433" s="398" cm="1">
        <f t="array" ref="O433">J433*INDEX(Berekening_impact[Overige kostenbesparing (totaal/jaar totaal potentieel)],MATCH(B433,IF(Berekening_impact[Doelgroep]=C433,Berekening_impact[Digitale zorgtoepassing]),0))</f>
        <v>677048.68577463133</v>
      </c>
      <c r="P433" s="398" cm="1">
        <f t="array" ref="P433">J433*INDEX(Berekening_impact[Opbrengsten door QALY''s],MATCH(B433,IF(Berekening_impact[Doelgroep]=C433,Berekening_impact[Digitale zorgtoepassing]),0))</f>
        <v>0</v>
      </c>
      <c r="Q433" s="398" cm="1">
        <f t="array" ref="Q433">J433*INDEX(Berekening_impact[Jaarlijkse kosten (totaal) - incl. schatting],MATCH(B433,IF(Berekening_impact[Doelgroep]=C433,Berekening_impact[Digitale zorgtoepassing]),0))</f>
        <v>878945.2682514179</v>
      </c>
      <c r="R433" s="398" cm="1">
        <f t="array" ref="R433">(uitkomst_doelgroep[[#This Row],[Implementatiegraad t = T + 1]]-uitkomst_doelgroep[[#This Row],[Implementatiegraad t = T]])*INDEX(Berekening_impact[Initiële investering (totaal) - incl. schatting],MATCH(B433,IF(Berekening_impact[Doelgroep]=C433,Berekening_impact[Digitale zorgtoepassing]),0))</f>
        <v>0</v>
      </c>
      <c r="S433" s="398">
        <f>uitkomst_doelgroep[[#This Row],[Arbeidsbesparing (€)]]*uitkomst_doelgroep[[#This Row],[Percentage van patiëntaantallen in Wlz (overige is Zvw)]]</f>
        <v>0</v>
      </c>
      <c r="T433" s="398">
        <f>uitkomst_doelgroep[[#This Row],[Overige besparingen (€)]]*uitkomst_doelgroep[[#This Row],[Percentage van patiëntaantallen in Wlz (overige is Zvw)]]</f>
        <v>0</v>
      </c>
      <c r="U433" s="398">
        <f>uitkomst_doelgroep[[#This Row],[Kosten (€)]]*uitkomst_doelgroep[[#This Row],[Percentage van patiëntaantallen in Wlz (overige is Zvw)]]</f>
        <v>0</v>
      </c>
      <c r="V433" s="398">
        <f>uitkomst_doelgroep[[#This Row],[Investering (cash flow) (€)]]*uitkomst_doelgroep[[#This Row],[Percentage van patiëntaantallen in Wlz (overige is Zvw)]]</f>
        <v>0</v>
      </c>
    </row>
    <row r="434" spans="1:22" x14ac:dyDescent="0.5">
      <c r="A434" s="33" t="str">
        <f>INDEX(Technologieën[Veld],MATCH(B434,Technologieën[Digitale zorgtoepassing],0))</f>
        <v>Digitale hulpmiddelen - Diagnose</v>
      </c>
      <c r="B434" s="33" t="s">
        <v>82</v>
      </c>
      <c r="C434" s="33" t="s">
        <v>702</v>
      </c>
      <c r="D434" s="427" cm="1">
        <f t="array" ref="D434">INDEX(Berekening_patiëntaantal[Percentage van patiëntaantallen in Wlz (overige is Zvw)],MATCH(B434,IF(Berekening_patiëntaantal[Doelgroep (zoeksleutel)]=C434,Berekening_patiëntaantal[Digitale zorgtoepassing]),0))</f>
        <v>0</v>
      </c>
      <c r="E434" s="33" t="str" cm="1">
        <f t="array" ref="E434">INDEX(Berekening_patiëntaantal[Direct toepasbaar/extrapolatie/incidentie voor QALY],MATCH(B434,IF(Berekening_patiëntaantal[Doelgroep (zoeksleutel)]=C434,Berekening_patiëntaantal[Digitale zorgtoepassing]),0))</f>
        <v>Huidige toepassing</v>
      </c>
      <c r="F434" s="43" t="s">
        <v>812</v>
      </c>
      <c r="G434" s="33" t="str">
        <f>CONCATENATE(uitkomst_doelgroep[[#This Row],[Digitale zorgtoepassing]],"_",uitkomst_doelgroep[[#This Row],[Doelgroep]],"_",uitkomst_doelgroep[[#This Row],[Uitgangssituatie/effect beleid]])</f>
        <v>Point-of-care (POC) testing_Huisartscontacten met labaratoriumonderzoek_Effect beleid</v>
      </c>
      <c r="H434" s="33">
        <v>2023</v>
      </c>
      <c r="I434" s="32">
        <v>1</v>
      </c>
      <c r="J434" s="406" cm="1">
        <f t="array" ref="J434">INDEX(implementatie[[2023]:[2034]],MATCH(G434, implementatie[Zoeksleutel],0),I434)</f>
        <v>0.4</v>
      </c>
      <c r="K434" s="406" cm="1">
        <f t="array" ref="K434">INDEX(implementatie[[2023]:[2034]],MATCH(G434,implementatie[Zoeksleutel],0),I434 + 1)</f>
        <v>0.50800000000000001</v>
      </c>
      <c r="L43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31633.68</v>
      </c>
      <c r="M434" s="398" cm="1">
        <f t="array" ref="M434">J434*INDEX(Berekening_impact[Totaal arbeidsbesparing (€/jaar)],MATCH(B434,IF(Berekening_impact[Doelgroep]=C434,Berekening_impact[Digitale zorgtoepassing]),0))</f>
        <v>1942160.8186046511</v>
      </c>
      <c r="N434" s="397" cm="1">
        <f t="array" ref="N434">J434*INDEX(Berekening_impact[Totaal arbeidsbesparing (FTE/jaar)],MATCH(B434,IF(Berekening_impact[Doelgroep]=C434,Berekening_impact[Digitale zorgtoepassing]),0))</f>
        <v>35.473242066261591</v>
      </c>
      <c r="O434" s="398" cm="1">
        <f t="array" ref="O434">J434*INDEX(Berekening_impact[Overige kostenbesparing (totaal/jaar totaal potentieel)],MATCH(B434,IF(Berekening_impact[Doelgroep]=C434,Berekening_impact[Digitale zorgtoepassing]),0))</f>
        <v>2486554.3813953488</v>
      </c>
      <c r="P434" s="398" cm="1">
        <f t="array" ref="P434">J434*INDEX(Berekening_impact[Opbrengsten door QALY''s],MATCH(B434,IF(Berekening_impact[Doelgroep]=C434,Berekening_impact[Digitale zorgtoepassing]),0))</f>
        <v>0</v>
      </c>
      <c r="Q434" s="398" cm="1">
        <f t="array" ref="Q434">J434*INDEX(Berekening_impact[Jaarlijkse kosten (totaal) - incl. schatting],MATCH(B434,IF(Berekening_impact[Doelgroep]=C434,Berekening_impact[Digitale zorgtoepassing]),0))</f>
        <v>972208.43200000003</v>
      </c>
      <c r="R434" s="398" cm="1">
        <f t="array" ref="R434">(uitkomst_doelgroep[[#This Row],[Implementatiegraad t = T + 1]]-uitkomst_doelgroep[[#This Row],[Implementatiegraad t = T]])*INDEX(Berekening_impact[Initiële investering (totaal) - incl. schatting],MATCH(B434,IF(Berekening_impact[Doelgroep]=C434,Berekening_impact[Digitale zorgtoepassing]),0))</f>
        <v>0</v>
      </c>
      <c r="S434" s="398">
        <f>uitkomst_doelgroep[[#This Row],[Arbeidsbesparing (€)]]*uitkomst_doelgroep[[#This Row],[Percentage van patiëntaantallen in Wlz (overige is Zvw)]]</f>
        <v>0</v>
      </c>
      <c r="T434" s="398">
        <f>uitkomst_doelgroep[[#This Row],[Overige besparingen (€)]]*uitkomst_doelgroep[[#This Row],[Percentage van patiëntaantallen in Wlz (overige is Zvw)]]</f>
        <v>0</v>
      </c>
      <c r="U434" s="398">
        <f>uitkomst_doelgroep[[#This Row],[Kosten (€)]]*uitkomst_doelgroep[[#This Row],[Percentage van patiëntaantallen in Wlz (overige is Zvw)]]</f>
        <v>0</v>
      </c>
      <c r="V434" s="398">
        <f>uitkomst_doelgroep[[#This Row],[Investering (cash flow) (€)]]*uitkomst_doelgroep[[#This Row],[Percentage van patiëntaantallen in Wlz (overige is Zvw)]]</f>
        <v>0</v>
      </c>
    </row>
    <row r="435" spans="1:22" x14ac:dyDescent="0.5">
      <c r="A435" s="33" t="str">
        <f>INDEX(Technologieën[Veld],MATCH(B435,Technologieën[Digitale zorgtoepassing],0))</f>
        <v>Digitale hulpmiddelen - Diagnose</v>
      </c>
      <c r="B435" s="33" t="s">
        <v>82</v>
      </c>
      <c r="C435" s="33" t="s">
        <v>702</v>
      </c>
      <c r="D435" s="427" cm="1">
        <f t="array" ref="D435">INDEX(Berekening_patiëntaantal[Percentage van patiëntaantallen in Wlz (overige is Zvw)],MATCH(B435,IF(Berekening_patiëntaantal[Doelgroep (zoeksleutel)]=C435,Berekening_patiëntaantal[Digitale zorgtoepassing]),0))</f>
        <v>0</v>
      </c>
      <c r="E435" s="33" t="str" cm="1">
        <f t="array" ref="E435">INDEX(Berekening_patiëntaantal[Direct toepasbaar/extrapolatie/incidentie voor QALY],MATCH(B435,IF(Berekening_patiëntaantal[Doelgroep (zoeksleutel)]=C435,Berekening_patiëntaantal[Digitale zorgtoepassing]),0))</f>
        <v>Huidige toepassing</v>
      </c>
      <c r="F435" s="43" t="s">
        <v>812</v>
      </c>
      <c r="G435" s="33" t="str">
        <f>CONCATENATE(uitkomst_doelgroep[[#This Row],[Digitale zorgtoepassing]],"_",uitkomst_doelgroep[[#This Row],[Doelgroep]],"_",uitkomst_doelgroep[[#This Row],[Uitgangssituatie/effect beleid]])</f>
        <v>Point-of-care (POC) testing_Huisartscontacten met labaratoriumonderzoek_Effect beleid</v>
      </c>
      <c r="H435" s="33">
        <v>2024</v>
      </c>
      <c r="I435" s="32">
        <v>2</v>
      </c>
      <c r="J435" s="406" cm="1">
        <f t="array" ref="J435">INDEX(implementatie[[2023]:[2034]],MATCH(G435, implementatie[Zoeksleutel],0),I435)</f>
        <v>0.50800000000000001</v>
      </c>
      <c r="K435" s="406" cm="1">
        <f t="array" ref="K435">INDEX(implementatie[[2023]:[2034]],MATCH(G435,implementatie[Zoeksleutel],0),I435 + 1)</f>
        <v>0.61781439999999999</v>
      </c>
      <c r="L43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40174.7736</v>
      </c>
      <c r="M435" s="398" cm="1">
        <f t="array" ref="M435">J435*INDEX(Berekening_impact[Totaal arbeidsbesparing (€/jaar)],MATCH(B435,IF(Berekening_impact[Doelgroep]=C435,Berekening_impact[Digitale zorgtoepassing]),0))</f>
        <v>2466544.2396279071</v>
      </c>
      <c r="N435" s="397" cm="1">
        <f t="array" ref="N435">J435*INDEX(Berekening_impact[Totaal arbeidsbesparing (FTE/jaar)],MATCH(B435,IF(Berekening_impact[Doelgroep]=C435,Berekening_impact[Digitale zorgtoepassing]),0))</f>
        <v>45.051017424152221</v>
      </c>
      <c r="O435" s="398" cm="1">
        <f t="array" ref="O435">J435*INDEX(Berekening_impact[Overige kostenbesparing (totaal/jaar totaal potentieel)],MATCH(B435,IF(Berekening_impact[Doelgroep]=C435,Berekening_impact[Digitale zorgtoepassing]),0))</f>
        <v>3157924.064372093</v>
      </c>
      <c r="P435" s="398" cm="1">
        <f t="array" ref="P435">J435*INDEX(Berekening_impact[Opbrengsten door QALY''s],MATCH(B435,IF(Berekening_impact[Doelgroep]=C435,Berekening_impact[Digitale zorgtoepassing]),0))</f>
        <v>0</v>
      </c>
      <c r="Q435" s="398" cm="1">
        <f t="array" ref="Q435">J435*INDEX(Berekening_impact[Jaarlijkse kosten (totaal) - incl. schatting],MATCH(B435,IF(Berekening_impact[Doelgroep]=C435,Berekening_impact[Digitale zorgtoepassing]),0))</f>
        <v>1234704.7086400001</v>
      </c>
      <c r="R435" s="398" cm="1">
        <f t="array" ref="R435">(uitkomst_doelgroep[[#This Row],[Implementatiegraad t = T + 1]]-uitkomst_doelgroep[[#This Row],[Implementatiegraad t = T]])*INDEX(Berekening_impact[Initiële investering (totaal) - incl. schatting],MATCH(B435,IF(Berekening_impact[Doelgroep]=C435,Berekening_impact[Digitale zorgtoepassing]),0))</f>
        <v>0</v>
      </c>
      <c r="S435" s="398">
        <f>uitkomst_doelgroep[[#This Row],[Arbeidsbesparing (€)]]*uitkomst_doelgroep[[#This Row],[Percentage van patiëntaantallen in Wlz (overige is Zvw)]]</f>
        <v>0</v>
      </c>
      <c r="T435" s="398">
        <f>uitkomst_doelgroep[[#This Row],[Overige besparingen (€)]]*uitkomst_doelgroep[[#This Row],[Percentage van patiëntaantallen in Wlz (overige is Zvw)]]</f>
        <v>0</v>
      </c>
      <c r="U435" s="398">
        <f>uitkomst_doelgroep[[#This Row],[Kosten (€)]]*uitkomst_doelgroep[[#This Row],[Percentage van patiëntaantallen in Wlz (overige is Zvw)]]</f>
        <v>0</v>
      </c>
      <c r="V435" s="398">
        <f>uitkomst_doelgroep[[#This Row],[Investering (cash flow) (€)]]*uitkomst_doelgroep[[#This Row],[Percentage van patiëntaantallen in Wlz (overige is Zvw)]]</f>
        <v>0</v>
      </c>
    </row>
    <row r="436" spans="1:22" x14ac:dyDescent="0.5">
      <c r="A436" s="33" t="str">
        <f>INDEX(Technologieën[Veld],MATCH(B436,Technologieën[Digitale zorgtoepassing],0))</f>
        <v>Digitale hulpmiddelen - Diagnose</v>
      </c>
      <c r="B436" s="33" t="s">
        <v>82</v>
      </c>
      <c r="C436" s="33" t="s">
        <v>702</v>
      </c>
      <c r="D436" s="427" cm="1">
        <f t="array" ref="D436">INDEX(Berekening_patiëntaantal[Percentage van patiëntaantallen in Wlz (overige is Zvw)],MATCH(B436,IF(Berekening_patiëntaantal[Doelgroep (zoeksleutel)]=C436,Berekening_patiëntaantal[Digitale zorgtoepassing]),0))</f>
        <v>0</v>
      </c>
      <c r="E436" s="33" t="str" cm="1">
        <f t="array" ref="E436">INDEX(Berekening_patiëntaantal[Direct toepasbaar/extrapolatie/incidentie voor QALY],MATCH(B436,IF(Berekening_patiëntaantal[Doelgroep (zoeksleutel)]=C436,Berekening_patiëntaantal[Digitale zorgtoepassing]),0))</f>
        <v>Huidige toepassing</v>
      </c>
      <c r="F436" s="43" t="s">
        <v>812</v>
      </c>
      <c r="G436" s="33" t="str">
        <f>CONCATENATE(uitkomst_doelgroep[[#This Row],[Digitale zorgtoepassing]],"_",uitkomst_doelgroep[[#This Row],[Doelgroep]],"_",uitkomst_doelgroep[[#This Row],[Uitgangssituatie/effect beleid]])</f>
        <v>Point-of-care (POC) testing_Huisartscontacten met labaratoriumonderzoek_Effect beleid</v>
      </c>
      <c r="H436" s="33">
        <v>2025</v>
      </c>
      <c r="I436" s="32">
        <v>3</v>
      </c>
      <c r="J436" s="406" cm="1">
        <f t="array" ref="J436">INDEX(implementatie[[2023]:[2034]],MATCH(G436, implementatie[Zoeksleutel],0),I436)</f>
        <v>0.61781439999999999</v>
      </c>
      <c r="K436" s="406" cm="1">
        <f t="array" ref="K436">INDEX(implementatie[[2023]:[2034]],MATCH(G436,implementatie[Zoeksleutel],0),I436 + 1)</f>
        <v>0.71990601886105599</v>
      </c>
      <c r="L43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48859.357572479996</v>
      </c>
      <c r="M436" s="398" cm="1">
        <f t="array" ref="M436">J436*INDEX(Berekening_impact[Totaal arbeidsbesparing (€/jaar)],MATCH(B436,IF(Berekening_impact[Doelgroep]=C436,Berekening_impact[Digitale zorgtoepassing]),0))</f>
        <v>2999737.3021243531</v>
      </c>
      <c r="N436" s="397" cm="1">
        <f t="array" ref="N436">J436*INDEX(Berekening_impact[Totaal arbeidsbesparing (FTE/jaar)],MATCH(B436,IF(Berekening_impact[Doelgroep]=C436,Berekening_impact[Digitale zorgtoepassing]),0))</f>
        <v>54.789699408055405</v>
      </c>
      <c r="O436" s="398" cm="1">
        <f t="array" ref="O436">J436*INDEX(Berekening_impact[Overige kostenbesparing (totaal/jaar totaal potentieel)],MATCH(B436,IF(Berekening_impact[Doelgroep]=C436,Berekening_impact[Digitale zorgtoepassing]),0))</f>
        <v>3840572.7580228467</v>
      </c>
      <c r="P436" s="398" cm="1">
        <f t="array" ref="P436">J436*INDEX(Berekening_impact[Opbrengsten door QALY''s],MATCH(B436,IF(Berekening_impact[Doelgroep]=C436,Berekening_impact[Digitale zorgtoepassing]),0))</f>
        <v>0</v>
      </c>
      <c r="Q436" s="398" cm="1">
        <f t="array" ref="Q436">J436*INDEX(Berekening_impact[Jaarlijkse kosten (totaal) - incl. schatting],MATCH(B436,IF(Berekening_impact[Doelgroep]=C436,Berekening_impact[Digitale zorgtoepassing]),0))</f>
        <v>1501610.922727552</v>
      </c>
      <c r="R436" s="398" cm="1">
        <f t="array" ref="R436">(uitkomst_doelgroep[[#This Row],[Implementatiegraad t = T + 1]]-uitkomst_doelgroep[[#This Row],[Implementatiegraad t = T]])*INDEX(Berekening_impact[Initiële investering (totaal) - incl. schatting],MATCH(B436,IF(Berekening_impact[Doelgroep]=C436,Berekening_impact[Digitale zorgtoepassing]),0))</f>
        <v>0</v>
      </c>
      <c r="S436" s="398">
        <f>uitkomst_doelgroep[[#This Row],[Arbeidsbesparing (€)]]*uitkomst_doelgroep[[#This Row],[Percentage van patiëntaantallen in Wlz (overige is Zvw)]]</f>
        <v>0</v>
      </c>
      <c r="T436" s="398">
        <f>uitkomst_doelgroep[[#This Row],[Overige besparingen (€)]]*uitkomst_doelgroep[[#This Row],[Percentage van patiëntaantallen in Wlz (overige is Zvw)]]</f>
        <v>0</v>
      </c>
      <c r="U436" s="398">
        <f>uitkomst_doelgroep[[#This Row],[Kosten (€)]]*uitkomst_doelgroep[[#This Row],[Percentage van patiëntaantallen in Wlz (overige is Zvw)]]</f>
        <v>0</v>
      </c>
      <c r="V436" s="398">
        <f>uitkomst_doelgroep[[#This Row],[Investering (cash flow) (€)]]*uitkomst_doelgroep[[#This Row],[Percentage van patiëntaantallen in Wlz (overige is Zvw)]]</f>
        <v>0</v>
      </c>
    </row>
    <row r="437" spans="1:22" x14ac:dyDescent="0.5">
      <c r="A437" s="33" t="str">
        <f>INDEX(Technologieën[Veld],MATCH(B437,Technologieën[Digitale zorgtoepassing],0))</f>
        <v>Digitale hulpmiddelen - Diagnose</v>
      </c>
      <c r="B437" s="33" t="s">
        <v>82</v>
      </c>
      <c r="C437" s="33" t="s">
        <v>702</v>
      </c>
      <c r="D437" s="427" cm="1">
        <f t="array" ref="D437">INDEX(Berekening_patiëntaantal[Percentage van patiëntaantallen in Wlz (overige is Zvw)],MATCH(B437,IF(Berekening_patiëntaantal[Doelgroep (zoeksleutel)]=C437,Berekening_patiëntaantal[Digitale zorgtoepassing]),0))</f>
        <v>0</v>
      </c>
      <c r="E437" s="33" t="str" cm="1">
        <f t="array" ref="E437">INDEX(Berekening_patiëntaantal[Direct toepasbaar/extrapolatie/incidentie voor QALY],MATCH(B437,IF(Berekening_patiëntaantal[Doelgroep (zoeksleutel)]=C437,Berekening_patiëntaantal[Digitale zorgtoepassing]),0))</f>
        <v>Huidige toepassing</v>
      </c>
      <c r="F437" s="43" t="s">
        <v>812</v>
      </c>
      <c r="G437" s="33" t="str">
        <f>CONCATENATE(uitkomst_doelgroep[[#This Row],[Digitale zorgtoepassing]],"_",uitkomst_doelgroep[[#This Row],[Doelgroep]],"_",uitkomst_doelgroep[[#This Row],[Uitgangssituatie/effect beleid]])</f>
        <v>Point-of-care (POC) testing_Huisartscontacten met labaratoriumonderzoek_Effect beleid</v>
      </c>
      <c r="H437" s="33">
        <v>2026</v>
      </c>
      <c r="I437" s="32">
        <v>4</v>
      </c>
      <c r="J437" s="406" cm="1">
        <f t="array" ref="J437">INDEX(implementatie[[2023]:[2034]],MATCH(G437, implementatie[Zoeksleutel],0),I437)</f>
        <v>0.71990601886105599</v>
      </c>
      <c r="K437" s="406" cm="1">
        <f t="array" ref="K437">INDEX(implementatie[[2023]:[2034]],MATCH(G437,implementatie[Zoeksleutel],0),I437 + 1)</f>
        <v>0.80616443563130724</v>
      </c>
      <c r="L43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56933.191576811521</v>
      </c>
      <c r="M437" s="398" cm="1">
        <f t="array" ref="M437">J437*INDEX(Berekening_impact[Totaal arbeidsbesparing (€/jaar)],MATCH(B437,IF(Berekening_impact[Doelgroep]=C437,Berekening_impact[Digitale zorgtoepassing]),0))</f>
        <v>3495433.1572740097</v>
      </c>
      <c r="N437" s="397" cm="1">
        <f t="array" ref="N437">J437*INDEX(Berekening_impact[Totaal arbeidsbesparing (FTE/jaar)],MATCH(B437,IF(Berekening_impact[Doelgroep]=C437,Berekening_impact[Digitale zorgtoepassing]),0))</f>
        <v>63.843501180042296</v>
      </c>
      <c r="O437" s="398" cm="1">
        <f t="array" ref="O437">J437*INDEX(Berekening_impact[Overige kostenbesparing (totaal/jaar totaal potentieel)],MATCH(B437,IF(Berekening_impact[Doelgroep]=C437,Berekening_impact[Digitale zorgtoepassing]),0))</f>
        <v>4475213.6634796038</v>
      </c>
      <c r="P437" s="398" cm="1">
        <f t="array" ref="P437">J437*INDEX(Berekening_impact[Opbrengsten door QALY''s],MATCH(B437,IF(Berekening_impact[Doelgroep]=C437,Berekening_impact[Digitale zorgtoepassing]),0))</f>
        <v>0</v>
      </c>
      <c r="Q437" s="398" cm="1">
        <f t="array" ref="Q437">J437*INDEX(Berekening_impact[Jaarlijkse kosten (totaal) - incl. schatting],MATCH(B437,IF(Berekening_impact[Doelgroep]=C437,Berekening_impact[Digitale zorgtoepassing]),0))</f>
        <v>1749746.7544606742</v>
      </c>
      <c r="R437" s="398" cm="1">
        <f t="array" ref="R437">(uitkomst_doelgroep[[#This Row],[Implementatiegraad t = T + 1]]-uitkomst_doelgroep[[#This Row],[Implementatiegraad t = T]])*INDEX(Berekening_impact[Initiële investering (totaal) - incl. schatting],MATCH(B437,IF(Berekening_impact[Doelgroep]=C437,Berekening_impact[Digitale zorgtoepassing]),0))</f>
        <v>0</v>
      </c>
      <c r="S437" s="398">
        <f>uitkomst_doelgroep[[#This Row],[Arbeidsbesparing (€)]]*uitkomst_doelgroep[[#This Row],[Percentage van patiëntaantallen in Wlz (overige is Zvw)]]</f>
        <v>0</v>
      </c>
      <c r="T437" s="398">
        <f>uitkomst_doelgroep[[#This Row],[Overige besparingen (€)]]*uitkomst_doelgroep[[#This Row],[Percentage van patiëntaantallen in Wlz (overige is Zvw)]]</f>
        <v>0</v>
      </c>
      <c r="U437" s="398">
        <f>uitkomst_doelgroep[[#This Row],[Kosten (€)]]*uitkomst_doelgroep[[#This Row],[Percentage van patiëntaantallen in Wlz (overige is Zvw)]]</f>
        <v>0</v>
      </c>
      <c r="V437" s="398">
        <f>uitkomst_doelgroep[[#This Row],[Investering (cash flow) (€)]]*uitkomst_doelgroep[[#This Row],[Percentage van patiëntaantallen in Wlz (overige is Zvw)]]</f>
        <v>0</v>
      </c>
    </row>
    <row r="438" spans="1:22" x14ac:dyDescent="0.5">
      <c r="A438" s="33" t="str">
        <f>INDEX(Technologieën[Veld],MATCH(B438,Technologieën[Digitale zorgtoepassing],0))</f>
        <v>Digitale hulpmiddelen - Diagnose</v>
      </c>
      <c r="B438" s="33" t="s">
        <v>82</v>
      </c>
      <c r="C438" s="33" t="s">
        <v>702</v>
      </c>
      <c r="D438" s="427" cm="1">
        <f t="array" ref="D438">INDEX(Berekening_patiëntaantal[Percentage van patiëntaantallen in Wlz (overige is Zvw)],MATCH(B438,IF(Berekening_patiëntaantal[Doelgroep (zoeksleutel)]=C438,Berekening_patiëntaantal[Digitale zorgtoepassing]),0))</f>
        <v>0</v>
      </c>
      <c r="E438" s="33" t="str" cm="1">
        <f t="array" ref="E438">INDEX(Berekening_patiëntaantal[Direct toepasbaar/extrapolatie/incidentie voor QALY],MATCH(B438,IF(Berekening_patiëntaantal[Doelgroep (zoeksleutel)]=C438,Berekening_patiëntaantal[Digitale zorgtoepassing]),0))</f>
        <v>Huidige toepassing</v>
      </c>
      <c r="F438" s="43" t="s">
        <v>812</v>
      </c>
      <c r="G438" s="33" t="str">
        <f>CONCATENATE(uitkomst_doelgroep[[#This Row],[Digitale zorgtoepassing]],"_",uitkomst_doelgroep[[#This Row],[Doelgroep]],"_",uitkomst_doelgroep[[#This Row],[Uitgangssituatie/effect beleid]])</f>
        <v>Point-of-care (POC) testing_Huisartscontacten met labaratoriumonderzoek_Effect beleid</v>
      </c>
      <c r="H438" s="33">
        <v>2027</v>
      </c>
      <c r="I438" s="32">
        <v>5</v>
      </c>
      <c r="J438" s="406" cm="1">
        <f t="array" ref="J438">INDEX(implementatie[[2023]:[2034]],MATCH(G438, implementatie[Zoeksleutel],0),I438)</f>
        <v>0.80616443563130724</v>
      </c>
      <c r="K438" s="406" cm="1">
        <f t="array" ref="K438">INDEX(implementatie[[2023]:[2034]],MATCH(G438,implementatie[Zoeksleutel],0),I438 + 1)</f>
        <v>0.87254648226050635</v>
      </c>
      <c r="L43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63754.869460353424</v>
      </c>
      <c r="M438" s="398" cm="1">
        <f t="array" ref="M438">J438*INDEX(Berekening_impact[Totaal arbeidsbesparing (€/jaar)],MATCH(B438,IF(Berekening_impact[Doelgroep]=C438,Berekening_impact[Digitale zorgtoepassing]),0))</f>
        <v>3914252.4505891404</v>
      </c>
      <c r="N438" s="397" cm="1">
        <f t="array" ref="N438">J438*INDEX(Berekening_impact[Totaal arbeidsbesparing (FTE/jaar)],MATCH(B438,IF(Berekening_impact[Doelgroep]=C438,Berekening_impact[Digitale zorgtoepassing]),0))</f>
        <v>71.493165425901296</v>
      </c>
      <c r="O438" s="398" cm="1">
        <f t="array" ref="O438">J438*INDEX(Berekening_impact[Overige kostenbesparing (totaal/jaar totaal potentieel)],MATCH(B438,IF(Berekening_impact[Doelgroep]=C438,Berekening_impact[Digitale zorgtoepassing]),0))</f>
        <v>5011429.2738603391</v>
      </c>
      <c r="P438" s="398" cm="1">
        <f t="array" ref="P438">J438*INDEX(Berekening_impact[Opbrengsten door QALY''s],MATCH(B438,IF(Berekening_impact[Doelgroep]=C438,Berekening_impact[Digitale zorgtoepassing]),0))</f>
        <v>0</v>
      </c>
      <c r="Q438" s="398" cm="1">
        <f t="array" ref="Q438">J438*INDEX(Berekening_impact[Jaarlijkse kosten (totaal) - incl. schatting],MATCH(B438,IF(Berekening_impact[Doelgroep]=C438,Berekening_impact[Digitale zorgtoepassing]),0))</f>
        <v>1959399.6547481953</v>
      </c>
      <c r="R438" s="398" cm="1">
        <f t="array" ref="R438">(uitkomst_doelgroep[[#This Row],[Implementatiegraad t = T + 1]]-uitkomst_doelgroep[[#This Row],[Implementatiegraad t = T]])*INDEX(Berekening_impact[Initiële investering (totaal) - incl. schatting],MATCH(B438,IF(Berekening_impact[Doelgroep]=C438,Berekening_impact[Digitale zorgtoepassing]),0))</f>
        <v>0</v>
      </c>
      <c r="S438" s="398">
        <f>uitkomst_doelgroep[[#This Row],[Arbeidsbesparing (€)]]*uitkomst_doelgroep[[#This Row],[Percentage van patiëntaantallen in Wlz (overige is Zvw)]]</f>
        <v>0</v>
      </c>
      <c r="T438" s="398">
        <f>uitkomst_doelgroep[[#This Row],[Overige besparingen (€)]]*uitkomst_doelgroep[[#This Row],[Percentage van patiëntaantallen in Wlz (overige is Zvw)]]</f>
        <v>0</v>
      </c>
      <c r="U438" s="398">
        <f>uitkomst_doelgroep[[#This Row],[Kosten (€)]]*uitkomst_doelgroep[[#This Row],[Percentage van patiëntaantallen in Wlz (overige is Zvw)]]</f>
        <v>0</v>
      </c>
      <c r="V438" s="398">
        <f>uitkomst_doelgroep[[#This Row],[Investering (cash flow) (€)]]*uitkomst_doelgroep[[#This Row],[Percentage van patiëntaantallen in Wlz (overige is Zvw)]]</f>
        <v>0</v>
      </c>
    </row>
    <row r="439" spans="1:22" x14ac:dyDescent="0.5">
      <c r="A439" s="33" t="str">
        <f>INDEX(Technologieën[Veld],MATCH(B439,Technologieën[Digitale zorgtoepassing],0))</f>
        <v>Digitale hulpmiddelen - Diagnose</v>
      </c>
      <c r="B439" s="33" t="s">
        <v>82</v>
      </c>
      <c r="C439" s="33" t="s">
        <v>702</v>
      </c>
      <c r="D439" s="427" cm="1">
        <f t="array" ref="D439">INDEX(Berekening_patiëntaantal[Percentage van patiëntaantallen in Wlz (overige is Zvw)],MATCH(B439,IF(Berekening_patiëntaantal[Doelgroep (zoeksleutel)]=C439,Berekening_patiëntaantal[Digitale zorgtoepassing]),0))</f>
        <v>0</v>
      </c>
      <c r="E439" s="33" t="str" cm="1">
        <f t="array" ref="E439">INDEX(Berekening_patiëntaantal[Direct toepasbaar/extrapolatie/incidentie voor QALY],MATCH(B439,IF(Berekening_patiëntaantal[Doelgroep (zoeksleutel)]=C439,Berekening_patiëntaantal[Digitale zorgtoepassing]),0))</f>
        <v>Huidige toepassing</v>
      </c>
      <c r="F439" s="43" t="s">
        <v>812</v>
      </c>
      <c r="G439" s="33" t="str">
        <f>CONCATENATE(uitkomst_doelgroep[[#This Row],[Digitale zorgtoepassing]],"_",uitkomst_doelgroep[[#This Row],[Doelgroep]],"_",uitkomst_doelgroep[[#This Row],[Uitgangssituatie/effect beleid]])</f>
        <v>Point-of-care (POC) testing_Huisartscontacten met labaratoriumonderzoek_Effect beleid</v>
      </c>
      <c r="H439" s="33">
        <v>2028</v>
      </c>
      <c r="I439" s="32">
        <v>6</v>
      </c>
      <c r="J439" s="406" cm="1">
        <f t="array" ref="J439">INDEX(implementatie[[2023]:[2034]],MATCH(G439, implementatie[Zoeksleutel],0),I439)</f>
        <v>0.87254648226050635</v>
      </c>
      <c r="K439" s="406" cm="1">
        <f t="array" ref="K439">INDEX(implementatie[[2023]:[2034]],MATCH(G439,implementatie[Zoeksleutel],0),I439 + 1)</f>
        <v>0.9195792000374251</v>
      </c>
      <c r="L43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69004.640512386337</v>
      </c>
      <c r="M439" s="398" cm="1">
        <f t="array" ref="M439">J439*INDEX(Berekening_impact[Totaal arbeidsbesparing (€/jaar)],MATCH(B439,IF(Berekening_impact[Doelgroep]=C439,Berekening_impact[Digitale zorgtoepassing]),0))</f>
        <v>4236563.9756441843</v>
      </c>
      <c r="N439" s="397" cm="1">
        <f t="array" ref="N439">J439*INDEX(Berekening_impact[Totaal arbeidsbesparing (FTE/jaar)],MATCH(B439,IF(Berekening_impact[Doelgroep]=C439,Berekening_impact[Digitale zorgtoepassing]),0))</f>
        <v>77.380131448229918</v>
      </c>
      <c r="O439" s="398" cm="1">
        <f t="array" ref="O439">J439*INDEX(Berekening_impact[Overige kostenbesparing (totaal/jaar totaal potentieel)],MATCH(B439,IF(Berekening_impact[Doelgroep]=C439,Berekening_impact[Digitale zorgtoepassing]),0))</f>
        <v>5424085.6960899029</v>
      </c>
      <c r="P439" s="398" cm="1">
        <f t="array" ref="P439">J439*INDEX(Berekening_impact[Opbrengsten door QALY''s],MATCH(B439,IF(Berekening_impact[Doelgroep]=C439,Berekening_impact[Digitale zorgtoepassing]),0))</f>
        <v>0</v>
      </c>
      <c r="Q439" s="398" cm="1">
        <f t="array" ref="Q439">J439*INDEX(Berekening_impact[Jaarlijkse kosten (totaal) - incl. schatting],MATCH(B439,IF(Berekening_impact[Doelgroep]=C439,Berekening_impact[Digitale zorgtoepassing]),0))</f>
        <v>2120742.6184140067</v>
      </c>
      <c r="R439" s="398" cm="1">
        <f t="array" ref="R439">(uitkomst_doelgroep[[#This Row],[Implementatiegraad t = T + 1]]-uitkomst_doelgroep[[#This Row],[Implementatiegraad t = T]])*INDEX(Berekening_impact[Initiële investering (totaal) - incl. schatting],MATCH(B439,IF(Berekening_impact[Doelgroep]=C439,Berekening_impact[Digitale zorgtoepassing]),0))</f>
        <v>0</v>
      </c>
      <c r="S439" s="398">
        <f>uitkomst_doelgroep[[#This Row],[Arbeidsbesparing (€)]]*uitkomst_doelgroep[[#This Row],[Percentage van patiëntaantallen in Wlz (overige is Zvw)]]</f>
        <v>0</v>
      </c>
      <c r="T439" s="398">
        <f>uitkomst_doelgroep[[#This Row],[Overige besparingen (€)]]*uitkomst_doelgroep[[#This Row],[Percentage van patiëntaantallen in Wlz (overige is Zvw)]]</f>
        <v>0</v>
      </c>
      <c r="U439" s="398">
        <f>uitkomst_doelgroep[[#This Row],[Kosten (€)]]*uitkomst_doelgroep[[#This Row],[Percentage van patiëntaantallen in Wlz (overige is Zvw)]]</f>
        <v>0</v>
      </c>
      <c r="V439" s="398">
        <f>uitkomst_doelgroep[[#This Row],[Investering (cash flow) (€)]]*uitkomst_doelgroep[[#This Row],[Percentage van patiëntaantallen in Wlz (overige is Zvw)]]</f>
        <v>0</v>
      </c>
    </row>
    <row r="440" spans="1:22" x14ac:dyDescent="0.5">
      <c r="A440" s="33" t="str">
        <f>INDEX(Technologieën[Veld],MATCH(B440,Technologieën[Digitale zorgtoepassing],0))</f>
        <v>Digitale hulpmiddelen - Diagnose</v>
      </c>
      <c r="B440" s="33" t="s">
        <v>82</v>
      </c>
      <c r="C440" s="33" t="s">
        <v>702</v>
      </c>
      <c r="D440" s="427" cm="1">
        <f t="array" ref="D440">INDEX(Berekening_patiëntaantal[Percentage van patiëntaantallen in Wlz (overige is Zvw)],MATCH(B440,IF(Berekening_patiëntaantal[Doelgroep (zoeksleutel)]=C440,Berekening_patiëntaantal[Digitale zorgtoepassing]),0))</f>
        <v>0</v>
      </c>
      <c r="E440" s="33" t="str" cm="1">
        <f t="array" ref="E440">INDEX(Berekening_patiëntaantal[Direct toepasbaar/extrapolatie/incidentie voor QALY],MATCH(B440,IF(Berekening_patiëntaantal[Doelgroep (zoeksleutel)]=C440,Berekening_patiëntaantal[Digitale zorgtoepassing]),0))</f>
        <v>Huidige toepassing</v>
      </c>
      <c r="F440" s="43" t="s">
        <v>812</v>
      </c>
      <c r="G440" s="33" t="str">
        <f>CONCATENATE(uitkomst_doelgroep[[#This Row],[Digitale zorgtoepassing]],"_",uitkomst_doelgroep[[#This Row],[Doelgroep]],"_",uitkomst_doelgroep[[#This Row],[Uitgangssituatie/effect beleid]])</f>
        <v>Point-of-care (POC) testing_Huisartscontacten met labaratoriumonderzoek_Effect beleid</v>
      </c>
      <c r="H440" s="33">
        <v>2029</v>
      </c>
      <c r="I440" s="32">
        <v>7</v>
      </c>
      <c r="J440" s="406" cm="1">
        <f t="array" ref="J440">INDEX(implementatie[[2023]:[2034]],MATCH(G440, implementatie[Zoeksleutel],0),I440)</f>
        <v>0.9195792000374251</v>
      </c>
      <c r="K440" s="406" cm="1">
        <f t="array" ref="K440">INDEX(implementatie[[2023]:[2034]],MATCH(G440,implementatie[Zoeksleutel],0),I440 + 1)</f>
        <v>0.95076893399505846</v>
      </c>
      <c r="L44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72724.185371599728</v>
      </c>
      <c r="M440" s="398" cm="1">
        <f t="array" ref="M440">J440*INDEX(Berekening_impact[Totaal arbeidsbesparing (€/jaar)],MATCH(B440,IF(Berekening_impact[Doelgroep]=C440,Berekening_impact[Digitale zorgtoepassing]),0))</f>
        <v>4464926.7297912389</v>
      </c>
      <c r="N440" s="397" cm="1">
        <f t="array" ref="N440">J440*INDEX(Berekening_impact[Totaal arbeidsbesparing (FTE/jaar)],MATCH(B440,IF(Berekening_impact[Doelgroep]=C440,Berekening_impact[Digitale zorgtoepassing]),0))</f>
        <v>81.551138905066921</v>
      </c>
      <c r="O440" s="398" cm="1">
        <f t="array" ref="O440">J440*INDEX(Berekening_impact[Overige kostenbesparing (totaal/jaar totaal potentieel)],MATCH(B440,IF(Berekening_impact[Doelgroep]=C440,Berekening_impact[Digitale zorgtoepassing]),0))</f>
        <v>5716459.2222327236</v>
      </c>
      <c r="P440" s="398" cm="1">
        <f t="array" ref="P440">J440*INDEX(Berekening_impact[Opbrengsten door QALY''s],MATCH(B440,IF(Berekening_impact[Doelgroep]=C440,Berekening_impact[Digitale zorgtoepassing]),0))</f>
        <v>0</v>
      </c>
      <c r="Q440" s="398" cm="1">
        <f t="array" ref="Q440">J440*INDEX(Berekening_impact[Jaarlijkse kosten (totaal) - incl. schatting],MATCH(B440,IF(Berekening_impact[Doelgroep]=C440,Berekening_impact[Digitale zorgtoepassing]),0))</f>
        <v>2235056.6304204985</v>
      </c>
      <c r="R440" s="398" cm="1">
        <f t="array" ref="R440">(uitkomst_doelgroep[[#This Row],[Implementatiegraad t = T + 1]]-uitkomst_doelgroep[[#This Row],[Implementatiegraad t = T]])*INDEX(Berekening_impact[Initiële investering (totaal) - incl. schatting],MATCH(B440,IF(Berekening_impact[Doelgroep]=C440,Berekening_impact[Digitale zorgtoepassing]),0))</f>
        <v>0</v>
      </c>
      <c r="S440" s="398">
        <f>uitkomst_doelgroep[[#This Row],[Arbeidsbesparing (€)]]*uitkomst_doelgroep[[#This Row],[Percentage van patiëntaantallen in Wlz (overige is Zvw)]]</f>
        <v>0</v>
      </c>
      <c r="T440" s="398">
        <f>uitkomst_doelgroep[[#This Row],[Overige besparingen (€)]]*uitkomst_doelgroep[[#This Row],[Percentage van patiëntaantallen in Wlz (overige is Zvw)]]</f>
        <v>0</v>
      </c>
      <c r="U440" s="398">
        <f>uitkomst_doelgroep[[#This Row],[Kosten (€)]]*uitkomst_doelgroep[[#This Row],[Percentage van patiëntaantallen in Wlz (overige is Zvw)]]</f>
        <v>0</v>
      </c>
      <c r="V440" s="398">
        <f>uitkomst_doelgroep[[#This Row],[Investering (cash flow) (€)]]*uitkomst_doelgroep[[#This Row],[Percentage van patiëntaantallen in Wlz (overige is Zvw)]]</f>
        <v>0</v>
      </c>
    </row>
    <row r="441" spans="1:22" x14ac:dyDescent="0.5">
      <c r="A441" s="33" t="str">
        <f>INDEX(Technologieën[Veld],MATCH(B441,Technologieën[Digitale zorgtoepassing],0))</f>
        <v>Digitale hulpmiddelen - Diagnose</v>
      </c>
      <c r="B441" s="33" t="s">
        <v>82</v>
      </c>
      <c r="C441" s="33" t="s">
        <v>702</v>
      </c>
      <c r="D441" s="427" cm="1">
        <f t="array" ref="D441">INDEX(Berekening_patiëntaantal[Percentage van patiëntaantallen in Wlz (overige is Zvw)],MATCH(B441,IF(Berekening_patiëntaantal[Doelgroep (zoeksleutel)]=C441,Berekening_patiëntaantal[Digitale zorgtoepassing]),0))</f>
        <v>0</v>
      </c>
      <c r="E441" s="33" t="str" cm="1">
        <f t="array" ref="E441">INDEX(Berekening_patiëntaantal[Direct toepasbaar/extrapolatie/incidentie voor QALY],MATCH(B441,IF(Berekening_patiëntaantal[Doelgroep (zoeksleutel)]=C441,Berekening_patiëntaantal[Digitale zorgtoepassing]),0))</f>
        <v>Huidige toepassing</v>
      </c>
      <c r="F441" s="43" t="s">
        <v>812</v>
      </c>
      <c r="G441" s="33" t="str">
        <f>CONCATENATE(uitkomst_doelgroep[[#This Row],[Digitale zorgtoepassing]],"_",uitkomst_doelgroep[[#This Row],[Doelgroep]],"_",uitkomst_doelgroep[[#This Row],[Uitgangssituatie/effect beleid]])</f>
        <v>Point-of-care (POC) testing_Huisartscontacten met labaratoriumonderzoek_Effect beleid</v>
      </c>
      <c r="H441" s="33">
        <v>2030</v>
      </c>
      <c r="I441" s="32">
        <v>8</v>
      </c>
      <c r="J441" s="406" cm="1">
        <f t="array" ref="J441">INDEX(implementatie[[2023]:[2034]],MATCH(G441, implementatie[Zoeksleutel],0),I441)</f>
        <v>0.95076893399505846</v>
      </c>
      <c r="K441" s="406" cm="1">
        <f t="array" ref="K441">INDEX(implementatie[[2023]:[2034]],MATCH(G441,implementatie[Zoeksleutel],0),I441 + 1)</f>
        <v>0.97047650257314066</v>
      </c>
      <c r="L44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75190.800529852</v>
      </c>
      <c r="M441" s="398" cm="1">
        <f t="array" ref="M441">J441*INDEX(Berekening_impact[Totaal arbeidsbesparing (€/jaar)],MATCH(B441,IF(Berekening_impact[Doelgroep]=C441,Berekening_impact[Digitale zorgtoepassing]),0))</f>
        <v>4616365.427879286</v>
      </c>
      <c r="N441" s="397" cm="1">
        <f t="array" ref="N441">J441*INDEX(Berekening_impact[Totaal arbeidsbesparing (FTE/jaar)],MATCH(B441,IF(Berekening_impact[Doelgroep]=C441,Berekening_impact[Digitale zorgtoepassing]),0))</f>
        <v>84.317141361720488</v>
      </c>
      <c r="O441" s="398" cm="1">
        <f t="array" ref="O441">J441*INDEX(Berekening_impact[Overige kostenbesparing (totaal/jaar totaal potentieel)],MATCH(B441,IF(Berekening_impact[Doelgroep]=C441,Berekening_impact[Digitale zorgtoepassing]),0))</f>
        <v>5910346.6462999946</v>
      </c>
      <c r="P441" s="398" cm="1">
        <f t="array" ref="P441">J441*INDEX(Berekening_impact[Opbrengsten door QALY''s],MATCH(B441,IF(Berekening_impact[Doelgroep]=C441,Berekening_impact[Digitale zorgtoepassing]),0))</f>
        <v>0</v>
      </c>
      <c r="Q441" s="398" cm="1">
        <f t="array" ref="Q441">J441*INDEX(Berekening_impact[Jaarlijkse kosten (totaal) - incl. schatting],MATCH(B441,IF(Berekening_impact[Doelgroep]=C441,Berekening_impact[Digitale zorgtoepassing]),0))</f>
        <v>2310863.9362841183</v>
      </c>
      <c r="R441" s="398" cm="1">
        <f t="array" ref="R441">(uitkomst_doelgroep[[#This Row],[Implementatiegraad t = T + 1]]-uitkomst_doelgroep[[#This Row],[Implementatiegraad t = T]])*INDEX(Berekening_impact[Initiële investering (totaal) - incl. schatting],MATCH(B441,IF(Berekening_impact[Doelgroep]=C441,Berekening_impact[Digitale zorgtoepassing]),0))</f>
        <v>0</v>
      </c>
      <c r="S441" s="398">
        <f>uitkomst_doelgroep[[#This Row],[Arbeidsbesparing (€)]]*uitkomst_doelgroep[[#This Row],[Percentage van patiëntaantallen in Wlz (overige is Zvw)]]</f>
        <v>0</v>
      </c>
      <c r="T441" s="398">
        <f>uitkomst_doelgroep[[#This Row],[Overige besparingen (€)]]*uitkomst_doelgroep[[#This Row],[Percentage van patiëntaantallen in Wlz (overige is Zvw)]]</f>
        <v>0</v>
      </c>
      <c r="U441" s="398">
        <f>uitkomst_doelgroep[[#This Row],[Kosten (€)]]*uitkomst_doelgroep[[#This Row],[Percentage van patiëntaantallen in Wlz (overige is Zvw)]]</f>
        <v>0</v>
      </c>
      <c r="V441" s="398">
        <f>uitkomst_doelgroep[[#This Row],[Investering (cash flow) (€)]]*uitkomst_doelgroep[[#This Row],[Percentage van patiëntaantallen in Wlz (overige is Zvw)]]</f>
        <v>0</v>
      </c>
    </row>
    <row r="442" spans="1:22" x14ac:dyDescent="0.5">
      <c r="A442" s="33" t="str">
        <f>INDEX(Technologieën[Veld],MATCH(B442,Technologieën[Digitale zorgtoepassing],0))</f>
        <v>Digitale hulpmiddelen - Diagnose</v>
      </c>
      <c r="B442" s="33" t="s">
        <v>82</v>
      </c>
      <c r="C442" s="33" t="s">
        <v>702</v>
      </c>
      <c r="D442" s="427" cm="1">
        <f t="array" ref="D442">INDEX(Berekening_patiëntaantal[Percentage van patiëntaantallen in Wlz (overige is Zvw)],MATCH(B442,IF(Berekening_patiëntaantal[Doelgroep (zoeksleutel)]=C442,Berekening_patiëntaantal[Digitale zorgtoepassing]),0))</f>
        <v>0</v>
      </c>
      <c r="E442" s="33" t="str" cm="1">
        <f t="array" ref="E442">INDEX(Berekening_patiëntaantal[Direct toepasbaar/extrapolatie/incidentie voor QALY],MATCH(B442,IF(Berekening_patiëntaantal[Doelgroep (zoeksleutel)]=C442,Berekening_patiëntaantal[Digitale zorgtoepassing]),0))</f>
        <v>Huidige toepassing</v>
      </c>
      <c r="F442" s="43" t="s">
        <v>812</v>
      </c>
      <c r="G442" s="33" t="str">
        <f>CONCATENATE(uitkomst_doelgroep[[#This Row],[Digitale zorgtoepassing]],"_",uitkomst_doelgroep[[#This Row],[Doelgroep]],"_",uitkomst_doelgroep[[#This Row],[Uitgangssituatie/effect beleid]])</f>
        <v>Point-of-care (POC) testing_Huisartscontacten met labaratoriumonderzoek_Effect beleid</v>
      </c>
      <c r="H442" s="33">
        <v>2031</v>
      </c>
      <c r="I442" s="32">
        <v>9</v>
      </c>
      <c r="J442" s="406" cm="1">
        <f t="array" ref="J442">INDEX(implementatie[[2023]:[2034]],MATCH(G442, implementatie[Zoeksleutel],0),I442)</f>
        <v>0.97047650257314066</v>
      </c>
      <c r="K442" s="406" cm="1">
        <f t="array" ref="K442">INDEX(implementatie[[2023]:[2034]],MATCH(G442,implementatie[Zoeksleutel],0),I442 + 1)</f>
        <v>0.98252771673229611</v>
      </c>
      <c r="L44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76749.357824794773</v>
      </c>
      <c r="M442" s="398" cm="1">
        <f t="array" ref="M442">J442*INDEX(Berekening_impact[Totaal arbeidsbesparing (€/jaar)],MATCH(B442,IF(Berekening_impact[Doelgroep]=C442,Berekening_impact[Digitale zorgtoepassing]),0))</f>
        <v>4712053.5966850743</v>
      </c>
      <c r="N442" s="397" cm="1">
        <f t="array" ref="N442">J442*INDEX(Berekening_impact[Totaal arbeidsbesparing (FTE/jaar)],MATCH(B442,IF(Berekening_impact[Doelgroep]=C442,Berekening_impact[Digitale zorgtoepassing]),0))</f>
        <v>86.06486973848989</v>
      </c>
      <c r="O442" s="398" cm="1">
        <f t="array" ref="O442">J442*INDEX(Berekening_impact[Overige kostenbesparing (totaal/jaar totaal potentieel)],MATCH(B442,IF(Berekening_impact[Doelgroep]=C442,Berekening_impact[Digitale zorgtoepassing]),0))</f>
        <v>6032856.4987861942</v>
      </c>
      <c r="P442" s="398" cm="1">
        <f t="array" ref="P442">J442*INDEX(Berekening_impact[Opbrengsten door QALY''s],MATCH(B442,IF(Berekening_impact[Doelgroep]=C442,Berekening_impact[Digitale zorgtoepassing]),0))</f>
        <v>0</v>
      </c>
      <c r="Q442" s="398" cm="1">
        <f t="array" ref="Q442">J442*INDEX(Berekening_impact[Jaarlijkse kosten (totaal) - incl. schatting],MATCH(B442,IF(Berekening_impact[Doelgroep]=C442,Berekening_impact[Digitale zorgtoepassing]),0))</f>
        <v>2358763.5971486927</v>
      </c>
      <c r="R442" s="398" cm="1">
        <f t="array" ref="R442">(uitkomst_doelgroep[[#This Row],[Implementatiegraad t = T + 1]]-uitkomst_doelgroep[[#This Row],[Implementatiegraad t = T]])*INDEX(Berekening_impact[Initiële investering (totaal) - incl. schatting],MATCH(B442,IF(Berekening_impact[Doelgroep]=C442,Berekening_impact[Digitale zorgtoepassing]),0))</f>
        <v>0</v>
      </c>
      <c r="S442" s="398">
        <f>uitkomst_doelgroep[[#This Row],[Arbeidsbesparing (€)]]*uitkomst_doelgroep[[#This Row],[Percentage van patiëntaantallen in Wlz (overige is Zvw)]]</f>
        <v>0</v>
      </c>
      <c r="T442" s="398">
        <f>uitkomst_doelgroep[[#This Row],[Overige besparingen (€)]]*uitkomst_doelgroep[[#This Row],[Percentage van patiëntaantallen in Wlz (overige is Zvw)]]</f>
        <v>0</v>
      </c>
      <c r="U442" s="398">
        <f>uitkomst_doelgroep[[#This Row],[Kosten (€)]]*uitkomst_doelgroep[[#This Row],[Percentage van patiëntaantallen in Wlz (overige is Zvw)]]</f>
        <v>0</v>
      </c>
      <c r="V442" s="398">
        <f>uitkomst_doelgroep[[#This Row],[Investering (cash flow) (€)]]*uitkomst_doelgroep[[#This Row],[Percentage van patiëntaantallen in Wlz (overige is Zvw)]]</f>
        <v>0</v>
      </c>
    </row>
    <row r="443" spans="1:22" x14ac:dyDescent="0.5">
      <c r="A443" s="33" t="str">
        <f>INDEX(Technologieën[Veld],MATCH(B443,Technologieën[Digitale zorgtoepassing],0))</f>
        <v>Digitale hulpmiddelen - Diagnose</v>
      </c>
      <c r="B443" s="33" t="s">
        <v>82</v>
      </c>
      <c r="C443" s="33" t="s">
        <v>702</v>
      </c>
      <c r="D443" s="427" cm="1">
        <f t="array" ref="D443">INDEX(Berekening_patiëntaantal[Percentage van patiëntaantallen in Wlz (overige is Zvw)],MATCH(B443,IF(Berekening_patiëntaantal[Doelgroep (zoeksleutel)]=C443,Berekening_patiëntaantal[Digitale zorgtoepassing]),0))</f>
        <v>0</v>
      </c>
      <c r="E443" s="33" t="str" cm="1">
        <f t="array" ref="E443">INDEX(Berekening_patiëntaantal[Direct toepasbaar/extrapolatie/incidentie voor QALY],MATCH(B443,IF(Berekening_patiëntaantal[Doelgroep (zoeksleutel)]=C443,Berekening_patiëntaantal[Digitale zorgtoepassing]),0))</f>
        <v>Huidige toepassing</v>
      </c>
      <c r="F443" s="43" t="s">
        <v>812</v>
      </c>
      <c r="G443" s="33" t="str">
        <f>CONCATENATE(uitkomst_doelgroep[[#This Row],[Digitale zorgtoepassing]],"_",uitkomst_doelgroep[[#This Row],[Doelgroep]],"_",uitkomst_doelgroep[[#This Row],[Uitgangssituatie/effect beleid]])</f>
        <v>Point-of-care (POC) testing_Huisartscontacten met labaratoriumonderzoek_Effect beleid</v>
      </c>
      <c r="H443" s="33">
        <v>2032</v>
      </c>
      <c r="I443" s="32">
        <v>10</v>
      </c>
      <c r="J443" s="406" cm="1">
        <f t="array" ref="J443">INDEX(implementatie[[2023]:[2034]],MATCH(G443, implementatie[Zoeksleutel],0),I443)</f>
        <v>0.98252771673229611</v>
      </c>
      <c r="K443" s="406" cm="1">
        <f t="array" ref="K443">INDEX(implementatie[[2023]:[2034]],MATCH(G443,implementatie[Zoeksleutel],0),I443 + 1)</f>
        <v>0.98974396343169702</v>
      </c>
      <c r="L44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77702.418455600244</v>
      </c>
      <c r="M443" s="398" cm="1">
        <f t="array" ref="M443">J443*INDEX(Berekening_impact[Totaal arbeidsbesparing (€/jaar)],MATCH(B443,IF(Berekening_impact[Doelgroep]=C443,Berekening_impact[Digitale zorgtoepassing]),0))</f>
        <v>4770567.0865763873</v>
      </c>
      <c r="N443" s="397" cm="1">
        <f t="array" ref="N443">J443*INDEX(Berekening_impact[Totaal arbeidsbesparing (FTE/jaar)],MATCH(B443,IF(Berekening_impact[Doelgroep]=C443,Berekening_impact[Digitale zorgtoepassing]),0))</f>
        <v>87.133608831140094</v>
      </c>
      <c r="O443" s="398" cm="1">
        <f t="array" ref="O443">J443*INDEX(Berekening_impact[Overige kostenbesparing (totaal/jaar totaal potentieel)],MATCH(B443,IF(Berekening_impact[Doelgroep]=C443,Berekening_impact[Digitale zorgtoepassing]),0))</f>
        <v>6107771.4972076481</v>
      </c>
      <c r="P443" s="398" cm="1">
        <f t="array" ref="P443">J443*INDEX(Berekening_impact[Opbrengsten door QALY''s],MATCH(B443,IF(Berekening_impact[Doelgroep]=C443,Berekening_impact[Digitale zorgtoepassing]),0))</f>
        <v>0</v>
      </c>
      <c r="Q443" s="398" cm="1">
        <f t="array" ref="Q443">J443*INDEX(Berekening_impact[Jaarlijkse kosten (totaal) - incl. schatting],MATCH(B443,IF(Berekening_impact[Doelgroep]=C443,Berekening_impact[Digitale zorgtoepassing]),0))</f>
        <v>2388054.3272021143</v>
      </c>
      <c r="R443" s="398" cm="1">
        <f t="array" ref="R443">(uitkomst_doelgroep[[#This Row],[Implementatiegraad t = T + 1]]-uitkomst_doelgroep[[#This Row],[Implementatiegraad t = T]])*INDEX(Berekening_impact[Initiële investering (totaal) - incl. schatting],MATCH(B443,IF(Berekening_impact[Doelgroep]=C443,Berekening_impact[Digitale zorgtoepassing]),0))</f>
        <v>0</v>
      </c>
      <c r="S443" s="398">
        <f>uitkomst_doelgroep[[#This Row],[Arbeidsbesparing (€)]]*uitkomst_doelgroep[[#This Row],[Percentage van patiëntaantallen in Wlz (overige is Zvw)]]</f>
        <v>0</v>
      </c>
      <c r="T443" s="398">
        <f>uitkomst_doelgroep[[#This Row],[Overige besparingen (€)]]*uitkomst_doelgroep[[#This Row],[Percentage van patiëntaantallen in Wlz (overige is Zvw)]]</f>
        <v>0</v>
      </c>
      <c r="U443" s="398">
        <f>uitkomst_doelgroep[[#This Row],[Kosten (€)]]*uitkomst_doelgroep[[#This Row],[Percentage van patiëntaantallen in Wlz (overige is Zvw)]]</f>
        <v>0</v>
      </c>
      <c r="V443" s="398">
        <f>uitkomst_doelgroep[[#This Row],[Investering (cash flow) (€)]]*uitkomst_doelgroep[[#This Row],[Percentage van patiëntaantallen in Wlz (overige is Zvw)]]</f>
        <v>0</v>
      </c>
    </row>
    <row r="444" spans="1:22" x14ac:dyDescent="0.5">
      <c r="A444" s="33" t="str">
        <f>INDEX(Technologieën[Veld],MATCH(B444,Technologieën[Digitale zorgtoepassing],0))</f>
        <v>Digitale hulpmiddelen - Diagnose</v>
      </c>
      <c r="B444" s="33" t="s">
        <v>82</v>
      </c>
      <c r="C444" s="33" t="s">
        <v>702</v>
      </c>
      <c r="D444" s="427" cm="1">
        <f t="array" ref="D444">INDEX(Berekening_patiëntaantal[Percentage van patiëntaantallen in Wlz (overige is Zvw)],MATCH(B444,IF(Berekening_patiëntaantal[Doelgroep (zoeksleutel)]=C444,Berekening_patiëntaantal[Digitale zorgtoepassing]),0))</f>
        <v>0</v>
      </c>
      <c r="E444" s="33" t="str" cm="1">
        <f t="array" ref="E444">INDEX(Berekening_patiëntaantal[Direct toepasbaar/extrapolatie/incidentie voor QALY],MATCH(B444,IF(Berekening_patiëntaantal[Doelgroep (zoeksleutel)]=C444,Berekening_patiëntaantal[Digitale zorgtoepassing]),0))</f>
        <v>Huidige toepassing</v>
      </c>
      <c r="F444" s="43" t="s">
        <v>812</v>
      </c>
      <c r="G444" s="33" t="str">
        <f>CONCATENATE(uitkomst_doelgroep[[#This Row],[Digitale zorgtoepassing]],"_",uitkomst_doelgroep[[#This Row],[Doelgroep]],"_",uitkomst_doelgroep[[#This Row],[Uitgangssituatie/effect beleid]])</f>
        <v>Point-of-care (POC) testing_Huisartscontacten met labaratoriumonderzoek_Effect beleid</v>
      </c>
      <c r="H444" s="33">
        <v>2033</v>
      </c>
      <c r="I444" s="32">
        <v>11</v>
      </c>
      <c r="J444" s="406" cm="1">
        <f t="array" ref="J444">INDEX(implementatie[[2023]:[2034]],MATCH(G444, implementatie[Zoeksleutel],0),I444)</f>
        <v>0.98974396343169702</v>
      </c>
      <c r="K444" s="406" cm="1">
        <f t="array" ref="K444">INDEX(implementatie[[2023]:[2034]],MATCH(G444,implementatie[Zoeksleutel],0),I444 + 1)</f>
        <v>0.99400942427594807</v>
      </c>
      <c r="L44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78273.109552825015</v>
      </c>
      <c r="M444" s="398" cm="1">
        <f t="array" ref="M444">J444*INDEX(Berekening_impact[Totaal arbeidsbesparing (€/jaar)],MATCH(B444,IF(Berekening_impact[Doelgroep]=C444,Berekening_impact[Digitale zorgtoepassing]),0))</f>
        <v>4805604.8655687915</v>
      </c>
      <c r="N444" s="397" cm="1">
        <f t="array" ref="N444">J444*INDEX(Berekening_impact[Totaal arbeidsbesparing (FTE/jaar)],MATCH(B444,IF(Berekening_impact[Doelgroep]=C444,Berekening_impact[Digitale zorgtoepassing]),0))</f>
        <v>87.773567996084367</v>
      </c>
      <c r="O444" s="398" cm="1">
        <f t="array" ref="O444">J444*INDEX(Berekening_impact[Overige kostenbesparing (totaal/jaar totaal potentieel)],MATCH(B444,IF(Berekening_impact[Doelgroep]=C444,Berekening_impact[Digitale zorgtoepassing]),0))</f>
        <v>6152630.4718267107</v>
      </c>
      <c r="P444" s="398" cm="1">
        <f t="array" ref="P444">J444*INDEX(Berekening_impact[Opbrengsten door QALY''s],MATCH(B444,IF(Berekening_impact[Doelgroep]=C444,Berekening_impact[Digitale zorgtoepassing]),0))</f>
        <v>0</v>
      </c>
      <c r="Q444" s="398" cm="1">
        <f t="array" ref="Q444">J444*INDEX(Berekening_impact[Jaarlijkse kosten (totaal) - incl. schatting],MATCH(B444,IF(Berekening_impact[Doelgroep]=C444,Berekening_impact[Digitale zorgtoepassing]),0))</f>
        <v>2405593.5669234889</v>
      </c>
      <c r="R444" s="398" cm="1">
        <f t="array" ref="R444">(uitkomst_doelgroep[[#This Row],[Implementatiegraad t = T + 1]]-uitkomst_doelgroep[[#This Row],[Implementatiegraad t = T]])*INDEX(Berekening_impact[Initiële investering (totaal) - incl. schatting],MATCH(B444,IF(Berekening_impact[Doelgroep]=C444,Berekening_impact[Digitale zorgtoepassing]),0))</f>
        <v>0</v>
      </c>
      <c r="S444" s="398">
        <f>uitkomst_doelgroep[[#This Row],[Arbeidsbesparing (€)]]*uitkomst_doelgroep[[#This Row],[Percentage van patiëntaantallen in Wlz (overige is Zvw)]]</f>
        <v>0</v>
      </c>
      <c r="T444" s="398">
        <f>uitkomst_doelgroep[[#This Row],[Overige besparingen (€)]]*uitkomst_doelgroep[[#This Row],[Percentage van patiëntaantallen in Wlz (overige is Zvw)]]</f>
        <v>0</v>
      </c>
      <c r="U444" s="398">
        <f>uitkomst_doelgroep[[#This Row],[Kosten (€)]]*uitkomst_doelgroep[[#This Row],[Percentage van patiëntaantallen in Wlz (overige is Zvw)]]</f>
        <v>0</v>
      </c>
      <c r="V444" s="398">
        <f>uitkomst_doelgroep[[#This Row],[Investering (cash flow) (€)]]*uitkomst_doelgroep[[#This Row],[Percentage van patiëntaantallen in Wlz (overige is Zvw)]]</f>
        <v>0</v>
      </c>
    </row>
    <row r="445" spans="1:22" x14ac:dyDescent="0.5">
      <c r="A445" s="33" t="str">
        <f>INDEX(Technologieën[Veld],MATCH(B445,Technologieën[Digitale zorgtoepassing],0))</f>
        <v>Software - Behandeling</v>
      </c>
      <c r="B445" s="33" t="s">
        <v>609</v>
      </c>
      <c r="C445" s="33" t="s">
        <v>270</v>
      </c>
      <c r="D445" s="427" cm="1">
        <f t="array" ref="D445">INDEX(Berekening_patiëntaantal[Percentage van patiëntaantallen in Wlz (overige is Zvw)],MATCH(B445,IF(Berekening_patiëntaantal[Doelgroep (zoeksleutel)]=C445,Berekening_patiëntaantal[Digitale zorgtoepassing]),0))</f>
        <v>0</v>
      </c>
      <c r="E445" s="33" t="str" cm="1">
        <f t="array" ref="E445">INDEX(Berekening_patiëntaantal[Direct toepasbaar/extrapolatie/incidentie voor QALY],MATCH(B445,IF(Berekening_patiëntaantal[Doelgroep (zoeksleutel)]=C445,Berekening_patiëntaantal[Digitale zorgtoepassing]),0))</f>
        <v>Huidige toepassing</v>
      </c>
      <c r="F445" s="43" t="s">
        <v>812</v>
      </c>
      <c r="G445" s="33" t="str">
        <f>CONCATENATE(uitkomst_doelgroep[[#This Row],[Digitale zorgtoepassing]],"_",uitkomst_doelgroep[[#This Row],[Doelgroep]],"_",uitkomst_doelgroep[[#This Row],[Uitgangssituatie/effect beleid]])</f>
        <v>(Zelf)zorgplatform + telebegeleiding_Astma_kinderen_Effect beleid</v>
      </c>
      <c r="H445" s="33">
        <v>2023</v>
      </c>
      <c r="I445" s="32">
        <v>1</v>
      </c>
      <c r="J445" s="406" cm="1">
        <f t="array" ref="J445">INDEX(implementatie[[2023]:[2034]],MATCH(G445, implementatie[Zoeksleutel],0),I445)</f>
        <v>0.2</v>
      </c>
      <c r="K445" s="406" cm="1">
        <f t="array" ref="K445">INDEX(implementatie[[2023]:[2034]],MATCH(G445,implementatie[Zoeksleutel],0),I445 + 1)</f>
        <v>0.29200000000000004</v>
      </c>
      <c r="L44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6206.4000000000005</v>
      </c>
      <c r="M445" s="398" cm="1">
        <f t="array" ref="M445">J445*INDEX(Berekening_impact[Totaal arbeidsbesparing (€/jaar)],MATCH(B445,IF(Berekening_impact[Doelgroep]=C445,Berekening_impact[Digitale zorgtoepassing]),0))</f>
        <v>559842.10560000024</v>
      </c>
      <c r="N445" s="397" cm="1">
        <f t="array" ref="N445">J445*INDEX(Berekening_impact[Totaal arbeidsbesparing (FTE/jaar)],MATCH(B445,IF(Berekening_impact[Doelgroep]=C445,Berekening_impact[Digitale zorgtoepassing]),0))</f>
        <v>2.9511050586754517</v>
      </c>
      <c r="O445" s="398" cm="1">
        <f t="array" ref="O445">J445*INDEX(Berekening_impact[Overige kostenbesparing (totaal/jaar totaal potentieel)],MATCH(B445,IF(Berekening_impact[Doelgroep]=C445,Berekening_impact[Digitale zorgtoepassing]),0))</f>
        <v>373228.07040000008</v>
      </c>
      <c r="P445" s="398" cm="1">
        <f t="array" ref="P445">J445*INDEX(Berekening_impact[Opbrengsten door QALY''s],MATCH(B445,IF(Berekening_impact[Doelgroep]=C445,Berekening_impact[Digitale zorgtoepassing]),0))</f>
        <v>0</v>
      </c>
      <c r="Q445" s="398" cm="1">
        <f t="array" ref="Q445">J445*INDEX(Berekening_impact[Jaarlijkse kosten (totaal) - incl. schatting],MATCH(B445,IF(Berekening_impact[Doelgroep]=C445,Berekening_impact[Digitale zorgtoepassing]),0))</f>
        <v>0</v>
      </c>
      <c r="R445" s="398" cm="1">
        <f t="array" ref="R445">(uitkomst_doelgroep[[#This Row],[Implementatiegraad t = T + 1]]-uitkomst_doelgroep[[#This Row],[Implementatiegraad t = T]])*INDEX(Berekening_impact[Initiële investering (totaal) - incl. schatting],MATCH(B445,IF(Berekening_impact[Doelgroep]=C445,Berekening_impact[Digitale zorgtoepassing]),0))</f>
        <v>0</v>
      </c>
      <c r="S445" s="398">
        <f>uitkomst_doelgroep[[#This Row],[Arbeidsbesparing (€)]]*uitkomst_doelgroep[[#This Row],[Percentage van patiëntaantallen in Wlz (overige is Zvw)]]</f>
        <v>0</v>
      </c>
      <c r="T445" s="398">
        <f>uitkomst_doelgroep[[#This Row],[Overige besparingen (€)]]*uitkomst_doelgroep[[#This Row],[Percentage van patiëntaantallen in Wlz (overige is Zvw)]]</f>
        <v>0</v>
      </c>
      <c r="U445" s="398">
        <f>uitkomst_doelgroep[[#This Row],[Kosten (€)]]*uitkomst_doelgroep[[#This Row],[Percentage van patiëntaantallen in Wlz (overige is Zvw)]]</f>
        <v>0</v>
      </c>
      <c r="V445" s="398">
        <f>uitkomst_doelgroep[[#This Row],[Investering (cash flow) (€)]]*uitkomst_doelgroep[[#This Row],[Percentage van patiëntaantallen in Wlz (overige is Zvw)]]</f>
        <v>0</v>
      </c>
    </row>
    <row r="446" spans="1:22" x14ac:dyDescent="0.5">
      <c r="A446" s="33" t="str">
        <f>INDEX(Technologieën[Veld],MATCH(B446,Technologieën[Digitale zorgtoepassing],0))</f>
        <v>Software - Behandeling</v>
      </c>
      <c r="B446" s="33" t="s">
        <v>609</v>
      </c>
      <c r="C446" s="33" t="s">
        <v>270</v>
      </c>
      <c r="D446" s="427" cm="1">
        <f t="array" ref="D446">INDEX(Berekening_patiëntaantal[Percentage van patiëntaantallen in Wlz (overige is Zvw)],MATCH(B446,IF(Berekening_patiëntaantal[Doelgroep (zoeksleutel)]=C446,Berekening_patiëntaantal[Digitale zorgtoepassing]),0))</f>
        <v>0</v>
      </c>
      <c r="E446" s="33" t="str" cm="1">
        <f t="array" ref="E446">INDEX(Berekening_patiëntaantal[Direct toepasbaar/extrapolatie/incidentie voor QALY],MATCH(B446,IF(Berekening_patiëntaantal[Doelgroep (zoeksleutel)]=C446,Berekening_patiëntaantal[Digitale zorgtoepassing]),0))</f>
        <v>Huidige toepassing</v>
      </c>
      <c r="F446" s="43" t="s">
        <v>812</v>
      </c>
      <c r="G446" s="33" t="str">
        <f>CONCATENATE(uitkomst_doelgroep[[#This Row],[Digitale zorgtoepassing]],"_",uitkomst_doelgroep[[#This Row],[Doelgroep]],"_",uitkomst_doelgroep[[#This Row],[Uitgangssituatie/effect beleid]])</f>
        <v>(Zelf)zorgplatform + telebegeleiding_Astma_kinderen_Effect beleid</v>
      </c>
      <c r="H446" s="33">
        <v>2024</v>
      </c>
      <c r="I446" s="32">
        <v>2</v>
      </c>
      <c r="J446" s="406" cm="1">
        <f t="array" ref="J446">INDEX(implementatie[[2023]:[2034]],MATCH(G446, implementatie[Zoeksleutel],0),I446)</f>
        <v>0.29200000000000004</v>
      </c>
      <c r="K446" s="406" cm="1">
        <f t="array" ref="K446">INDEX(implementatie[[2023]:[2034]],MATCH(G446,implementatie[Zoeksleutel],0),I446 + 1)</f>
        <v>0.40273120000000007</v>
      </c>
      <c r="L44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9061.344000000001</v>
      </c>
      <c r="M446" s="398" cm="1">
        <f t="array" ref="M446">J446*INDEX(Berekening_impact[Totaal arbeidsbesparing (€/jaar)],MATCH(B446,IF(Berekening_impact[Doelgroep]=C446,Berekening_impact[Digitale zorgtoepassing]),0))</f>
        <v>817369.47417600045</v>
      </c>
      <c r="N446" s="397" cm="1">
        <f t="array" ref="N446">J446*INDEX(Berekening_impact[Totaal arbeidsbesparing (FTE/jaar)],MATCH(B446,IF(Berekening_impact[Doelgroep]=C446,Berekening_impact[Digitale zorgtoepassing]),0))</f>
        <v>4.3086133856661597</v>
      </c>
      <c r="O446" s="398" cm="1">
        <f t="array" ref="O446">J446*INDEX(Berekening_impact[Overige kostenbesparing (totaal/jaar totaal potentieel)],MATCH(B446,IF(Berekening_impact[Doelgroep]=C446,Berekening_impact[Digitale zorgtoepassing]),0))</f>
        <v>544912.98278400023</v>
      </c>
      <c r="P446" s="398" cm="1">
        <f t="array" ref="P446">J446*INDEX(Berekening_impact[Opbrengsten door QALY''s],MATCH(B446,IF(Berekening_impact[Doelgroep]=C446,Berekening_impact[Digitale zorgtoepassing]),0))</f>
        <v>0</v>
      </c>
      <c r="Q446" s="398" cm="1">
        <f t="array" ref="Q446">J446*INDEX(Berekening_impact[Jaarlijkse kosten (totaal) - incl. schatting],MATCH(B446,IF(Berekening_impact[Doelgroep]=C446,Berekening_impact[Digitale zorgtoepassing]),0))</f>
        <v>0</v>
      </c>
      <c r="R446" s="398" cm="1">
        <f t="array" ref="R446">(uitkomst_doelgroep[[#This Row],[Implementatiegraad t = T + 1]]-uitkomst_doelgroep[[#This Row],[Implementatiegraad t = T]])*INDEX(Berekening_impact[Initiële investering (totaal) - incl. schatting],MATCH(B446,IF(Berekening_impact[Doelgroep]=C446,Berekening_impact[Digitale zorgtoepassing]),0))</f>
        <v>0</v>
      </c>
      <c r="S446" s="398">
        <f>uitkomst_doelgroep[[#This Row],[Arbeidsbesparing (€)]]*uitkomst_doelgroep[[#This Row],[Percentage van patiëntaantallen in Wlz (overige is Zvw)]]</f>
        <v>0</v>
      </c>
      <c r="T446" s="398">
        <f>uitkomst_doelgroep[[#This Row],[Overige besparingen (€)]]*uitkomst_doelgroep[[#This Row],[Percentage van patiëntaantallen in Wlz (overige is Zvw)]]</f>
        <v>0</v>
      </c>
      <c r="U446" s="398">
        <f>uitkomst_doelgroep[[#This Row],[Kosten (€)]]*uitkomst_doelgroep[[#This Row],[Percentage van patiëntaantallen in Wlz (overige is Zvw)]]</f>
        <v>0</v>
      </c>
      <c r="V446" s="398">
        <f>uitkomst_doelgroep[[#This Row],[Investering (cash flow) (€)]]*uitkomst_doelgroep[[#This Row],[Percentage van patiëntaantallen in Wlz (overige is Zvw)]]</f>
        <v>0</v>
      </c>
    </row>
    <row r="447" spans="1:22" x14ac:dyDescent="0.5">
      <c r="A447" s="33" t="str">
        <f>INDEX(Technologieën[Veld],MATCH(B447,Technologieën[Digitale zorgtoepassing],0))</f>
        <v>Software - Behandeling</v>
      </c>
      <c r="B447" s="33" t="s">
        <v>609</v>
      </c>
      <c r="C447" s="33" t="s">
        <v>270</v>
      </c>
      <c r="D447" s="427" cm="1">
        <f t="array" ref="D447">INDEX(Berekening_patiëntaantal[Percentage van patiëntaantallen in Wlz (overige is Zvw)],MATCH(B447,IF(Berekening_patiëntaantal[Doelgroep (zoeksleutel)]=C447,Berekening_patiëntaantal[Digitale zorgtoepassing]),0))</f>
        <v>0</v>
      </c>
      <c r="E447" s="33" t="str" cm="1">
        <f t="array" ref="E447">INDEX(Berekening_patiëntaantal[Direct toepasbaar/extrapolatie/incidentie voor QALY],MATCH(B447,IF(Berekening_patiëntaantal[Doelgroep (zoeksleutel)]=C447,Berekening_patiëntaantal[Digitale zorgtoepassing]),0))</f>
        <v>Huidige toepassing</v>
      </c>
      <c r="F447" s="43" t="s">
        <v>812</v>
      </c>
      <c r="G447" s="33" t="str">
        <f>CONCATENATE(uitkomst_doelgroep[[#This Row],[Digitale zorgtoepassing]],"_",uitkomst_doelgroep[[#This Row],[Doelgroep]],"_",uitkomst_doelgroep[[#This Row],[Uitgangssituatie/effect beleid]])</f>
        <v>(Zelf)zorgplatform + telebegeleiding_Astma_kinderen_Effect beleid</v>
      </c>
      <c r="H447" s="33">
        <v>2025</v>
      </c>
      <c r="I447" s="32">
        <v>3</v>
      </c>
      <c r="J447" s="406" cm="1">
        <f t="array" ref="J447">INDEX(implementatie[[2023]:[2034]],MATCH(G447, implementatie[Zoeksleutel],0),I447)</f>
        <v>0.40273120000000007</v>
      </c>
      <c r="K447" s="406" cm="1">
        <f t="array" ref="K447">INDEX(implementatie[[2023]:[2034]],MATCH(G447,implementatie[Zoeksleutel],0),I447 + 1)</f>
        <v>0.52590537124595205</v>
      </c>
      <c r="L44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12497.554598400002</v>
      </c>
      <c r="M447" s="398" cm="1">
        <f t="array" ref="M447">J447*INDEX(Berekening_impact[Totaal arbeidsbesparing (€/jaar)],MATCH(B447,IF(Berekening_impact[Doelgroep]=C447,Berekening_impact[Digitale zorgtoepassing]),0))</f>
        <v>1127329.4149940743</v>
      </c>
      <c r="N447" s="397" cm="1">
        <f t="array" ref="N447">J447*INDEX(Berekening_impact[Totaal arbeidsbesparing (FTE/jaar)],MATCH(B447,IF(Berekening_impact[Doelgroep]=C447,Berekening_impact[Digitale zorgtoepassing]),0))</f>
        <v>5.9425104080321756</v>
      </c>
      <c r="O447" s="398" cm="1">
        <f t="array" ref="O447">J447*INDEX(Berekening_impact[Overige kostenbesparing (totaal/jaar totaal potentieel)],MATCH(B447,IF(Berekening_impact[Doelgroep]=C447,Berekening_impact[Digitale zorgtoepassing]),0))</f>
        <v>751552.94332938269</v>
      </c>
      <c r="P447" s="398" cm="1">
        <f t="array" ref="P447">J447*INDEX(Berekening_impact[Opbrengsten door QALY''s],MATCH(B447,IF(Berekening_impact[Doelgroep]=C447,Berekening_impact[Digitale zorgtoepassing]),0))</f>
        <v>0</v>
      </c>
      <c r="Q447" s="398" cm="1">
        <f t="array" ref="Q447">J447*INDEX(Berekening_impact[Jaarlijkse kosten (totaal) - incl. schatting],MATCH(B447,IF(Berekening_impact[Doelgroep]=C447,Berekening_impact[Digitale zorgtoepassing]),0))</f>
        <v>0</v>
      </c>
      <c r="R447" s="398" cm="1">
        <f t="array" ref="R447">(uitkomst_doelgroep[[#This Row],[Implementatiegraad t = T + 1]]-uitkomst_doelgroep[[#This Row],[Implementatiegraad t = T]])*INDEX(Berekening_impact[Initiële investering (totaal) - incl. schatting],MATCH(B447,IF(Berekening_impact[Doelgroep]=C447,Berekening_impact[Digitale zorgtoepassing]),0))</f>
        <v>0</v>
      </c>
      <c r="S447" s="398">
        <f>uitkomst_doelgroep[[#This Row],[Arbeidsbesparing (€)]]*uitkomst_doelgroep[[#This Row],[Percentage van patiëntaantallen in Wlz (overige is Zvw)]]</f>
        <v>0</v>
      </c>
      <c r="T447" s="398">
        <f>uitkomst_doelgroep[[#This Row],[Overige besparingen (€)]]*uitkomst_doelgroep[[#This Row],[Percentage van patiëntaantallen in Wlz (overige is Zvw)]]</f>
        <v>0</v>
      </c>
      <c r="U447" s="398">
        <f>uitkomst_doelgroep[[#This Row],[Kosten (€)]]*uitkomst_doelgroep[[#This Row],[Percentage van patiëntaantallen in Wlz (overige is Zvw)]]</f>
        <v>0</v>
      </c>
      <c r="V447" s="398">
        <f>uitkomst_doelgroep[[#This Row],[Investering (cash flow) (€)]]*uitkomst_doelgroep[[#This Row],[Percentage van patiëntaantallen in Wlz (overige is Zvw)]]</f>
        <v>0</v>
      </c>
    </row>
    <row r="448" spans="1:22" x14ac:dyDescent="0.5">
      <c r="A448" s="33" t="str">
        <f>INDEX(Technologieën[Veld],MATCH(B448,Technologieën[Digitale zorgtoepassing],0))</f>
        <v>Software - Behandeling</v>
      </c>
      <c r="B448" s="33" t="s">
        <v>609</v>
      </c>
      <c r="C448" s="33" t="s">
        <v>270</v>
      </c>
      <c r="D448" s="427" cm="1">
        <f t="array" ref="D448">INDEX(Berekening_patiëntaantal[Percentage van patiëntaantallen in Wlz (overige is Zvw)],MATCH(B448,IF(Berekening_patiëntaantal[Doelgroep (zoeksleutel)]=C448,Berekening_patiëntaantal[Digitale zorgtoepassing]),0))</f>
        <v>0</v>
      </c>
      <c r="E448" s="33" t="str" cm="1">
        <f t="array" ref="E448">INDEX(Berekening_patiëntaantal[Direct toepasbaar/extrapolatie/incidentie voor QALY],MATCH(B448,IF(Berekening_patiëntaantal[Doelgroep (zoeksleutel)]=C448,Berekening_patiëntaantal[Digitale zorgtoepassing]),0))</f>
        <v>Huidige toepassing</v>
      </c>
      <c r="F448" s="43" t="s">
        <v>812</v>
      </c>
      <c r="G448" s="33" t="str">
        <f>CONCATENATE(uitkomst_doelgroep[[#This Row],[Digitale zorgtoepassing]],"_",uitkomst_doelgroep[[#This Row],[Doelgroep]],"_",uitkomst_doelgroep[[#This Row],[Uitgangssituatie/effect beleid]])</f>
        <v>(Zelf)zorgplatform + telebegeleiding_Astma_kinderen_Effect beleid</v>
      </c>
      <c r="H448" s="33">
        <v>2026</v>
      </c>
      <c r="I448" s="32">
        <v>4</v>
      </c>
      <c r="J448" s="406" cm="1">
        <f t="array" ref="J448">INDEX(implementatie[[2023]:[2034]],MATCH(G448, implementatie[Zoeksleutel],0),I448)</f>
        <v>0.52590537124595205</v>
      </c>
      <c r="K448" s="406" cm="1">
        <f t="array" ref="K448">INDEX(implementatie[[2023]:[2034]],MATCH(G448,implementatie[Zoeksleutel],0),I448 + 1)</f>
        <v>0.64995574724807748</v>
      </c>
      <c r="L44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16319.895480504383</v>
      </c>
      <c r="M448" s="398" cm="1">
        <f t="array" ref="M448">J448*INDEX(Berekening_impact[Totaal arbeidsbesparing (€/jaar)],MATCH(B448,IF(Berekening_impact[Doelgroep]=C448,Berekening_impact[Digitale zorgtoepassing]),0))</f>
        <v>1472119.8519234182</v>
      </c>
      <c r="N448" s="397" cm="1">
        <f t="array" ref="N448">J448*INDEX(Berekening_impact[Totaal arbeidsbesparing (FTE/jaar)],MATCH(B448,IF(Berekening_impact[Doelgroep]=C448,Berekening_impact[Digitale zorgtoepassing]),0))</f>
        <v>7.7600100073426015</v>
      </c>
      <c r="O448" s="398" cm="1">
        <f t="array" ref="O448">J448*INDEX(Berekening_impact[Overige kostenbesparing (totaal/jaar totaal potentieel)],MATCH(B448,IF(Berekening_impact[Doelgroep]=C448,Berekening_impact[Digitale zorgtoepassing]),0))</f>
        <v>981413.23461561184</v>
      </c>
      <c r="P448" s="398" cm="1">
        <f t="array" ref="P448">J448*INDEX(Berekening_impact[Opbrengsten door QALY''s],MATCH(B448,IF(Berekening_impact[Doelgroep]=C448,Berekening_impact[Digitale zorgtoepassing]),0))</f>
        <v>0</v>
      </c>
      <c r="Q448" s="398" cm="1">
        <f t="array" ref="Q448">J448*INDEX(Berekening_impact[Jaarlijkse kosten (totaal) - incl. schatting],MATCH(B448,IF(Berekening_impact[Doelgroep]=C448,Berekening_impact[Digitale zorgtoepassing]),0))</f>
        <v>0</v>
      </c>
      <c r="R448" s="398" cm="1">
        <f t="array" ref="R448">(uitkomst_doelgroep[[#This Row],[Implementatiegraad t = T + 1]]-uitkomst_doelgroep[[#This Row],[Implementatiegraad t = T]])*INDEX(Berekening_impact[Initiële investering (totaal) - incl. schatting],MATCH(B448,IF(Berekening_impact[Doelgroep]=C448,Berekening_impact[Digitale zorgtoepassing]),0))</f>
        <v>0</v>
      </c>
      <c r="S448" s="398">
        <f>uitkomst_doelgroep[[#This Row],[Arbeidsbesparing (€)]]*uitkomst_doelgroep[[#This Row],[Percentage van patiëntaantallen in Wlz (overige is Zvw)]]</f>
        <v>0</v>
      </c>
      <c r="T448" s="398">
        <f>uitkomst_doelgroep[[#This Row],[Overige besparingen (€)]]*uitkomst_doelgroep[[#This Row],[Percentage van patiëntaantallen in Wlz (overige is Zvw)]]</f>
        <v>0</v>
      </c>
      <c r="U448" s="398">
        <f>uitkomst_doelgroep[[#This Row],[Kosten (€)]]*uitkomst_doelgroep[[#This Row],[Percentage van patiëntaantallen in Wlz (overige is Zvw)]]</f>
        <v>0</v>
      </c>
      <c r="V448" s="398">
        <f>uitkomst_doelgroep[[#This Row],[Investering (cash flow) (€)]]*uitkomst_doelgroep[[#This Row],[Percentage van patiëntaantallen in Wlz (overige is Zvw)]]</f>
        <v>0</v>
      </c>
    </row>
    <row r="449" spans="1:22" x14ac:dyDescent="0.5">
      <c r="A449" s="33" t="str">
        <f>INDEX(Technologieën[Veld],MATCH(B449,Technologieën[Digitale zorgtoepassing],0))</f>
        <v>Software - Behandeling</v>
      </c>
      <c r="B449" s="33" t="s">
        <v>609</v>
      </c>
      <c r="C449" s="33" t="s">
        <v>270</v>
      </c>
      <c r="D449" s="427" cm="1">
        <f t="array" ref="D449">INDEX(Berekening_patiëntaantal[Percentage van patiëntaantallen in Wlz (overige is Zvw)],MATCH(B449,IF(Berekening_patiëntaantal[Doelgroep (zoeksleutel)]=C449,Berekening_patiëntaantal[Digitale zorgtoepassing]),0))</f>
        <v>0</v>
      </c>
      <c r="E449" s="33" t="str" cm="1">
        <f t="array" ref="E449">INDEX(Berekening_patiëntaantal[Direct toepasbaar/extrapolatie/incidentie voor QALY],MATCH(B449,IF(Berekening_patiëntaantal[Doelgroep (zoeksleutel)]=C449,Berekening_patiëntaantal[Digitale zorgtoepassing]),0))</f>
        <v>Huidige toepassing</v>
      </c>
      <c r="F449" s="43" t="s">
        <v>812</v>
      </c>
      <c r="G449" s="33" t="str">
        <f>CONCATENATE(uitkomst_doelgroep[[#This Row],[Digitale zorgtoepassing]],"_",uitkomst_doelgroep[[#This Row],[Doelgroep]],"_",uitkomst_doelgroep[[#This Row],[Uitgangssituatie/effect beleid]])</f>
        <v>(Zelf)zorgplatform + telebegeleiding_Astma_kinderen_Effect beleid</v>
      </c>
      <c r="H449" s="33">
        <v>2027</v>
      </c>
      <c r="I449" s="32">
        <v>5</v>
      </c>
      <c r="J449" s="406" cm="1">
        <f t="array" ref="J449">INDEX(implementatie[[2023]:[2034]],MATCH(G449, implementatie[Zoeksleutel],0),I449)</f>
        <v>0.64995574724807748</v>
      </c>
      <c r="K449" s="406" cm="1">
        <f t="array" ref="K449">INDEX(implementatie[[2023]:[2034]],MATCH(G449,implementatie[Zoeksleutel],0),I449 + 1)</f>
        <v>0.76108782680714737</v>
      </c>
      <c r="L44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20169.426748602342</v>
      </c>
      <c r="M449" s="398" cm="1">
        <f t="array" ref="M449">J449*INDEX(Berekening_impact[Totaal arbeidsbesparing (€/jaar)],MATCH(B449,IF(Berekening_impact[Doelgroep]=C449,Berekening_impact[Digitale zorgtoepassing]),0))</f>
        <v>1819362.9704309264</v>
      </c>
      <c r="N449" s="397" cm="1">
        <f t="array" ref="N449">J449*INDEX(Berekening_impact[Totaal arbeidsbesparing (FTE/jaar)],MATCH(B449,IF(Berekening_impact[Doelgroep]=C449,Berekening_impact[Digitale zorgtoepassing]),0))</f>
        <v>9.5904384680949235</v>
      </c>
      <c r="O449" s="398" cm="1">
        <f t="array" ref="O449">J449*INDEX(Berekening_impact[Overige kostenbesparing (totaal/jaar totaal potentieel)],MATCH(B449,IF(Berekening_impact[Doelgroep]=C449,Berekening_impact[Digitale zorgtoepassing]),0))</f>
        <v>1212908.6469539506</v>
      </c>
      <c r="P449" s="398" cm="1">
        <f t="array" ref="P449">J449*INDEX(Berekening_impact[Opbrengsten door QALY''s],MATCH(B449,IF(Berekening_impact[Doelgroep]=C449,Berekening_impact[Digitale zorgtoepassing]),0))</f>
        <v>0</v>
      </c>
      <c r="Q449" s="398" cm="1">
        <f t="array" ref="Q449">J449*INDEX(Berekening_impact[Jaarlijkse kosten (totaal) - incl. schatting],MATCH(B449,IF(Berekening_impact[Doelgroep]=C449,Berekening_impact[Digitale zorgtoepassing]),0))</f>
        <v>0</v>
      </c>
      <c r="R449" s="398" cm="1">
        <f t="array" ref="R449">(uitkomst_doelgroep[[#This Row],[Implementatiegraad t = T + 1]]-uitkomst_doelgroep[[#This Row],[Implementatiegraad t = T]])*INDEX(Berekening_impact[Initiële investering (totaal) - incl. schatting],MATCH(B449,IF(Berekening_impact[Doelgroep]=C449,Berekening_impact[Digitale zorgtoepassing]),0))</f>
        <v>0</v>
      </c>
      <c r="S449" s="398">
        <f>uitkomst_doelgroep[[#This Row],[Arbeidsbesparing (€)]]*uitkomst_doelgroep[[#This Row],[Percentage van patiëntaantallen in Wlz (overige is Zvw)]]</f>
        <v>0</v>
      </c>
      <c r="T449" s="398">
        <f>uitkomst_doelgroep[[#This Row],[Overige besparingen (€)]]*uitkomst_doelgroep[[#This Row],[Percentage van patiëntaantallen in Wlz (overige is Zvw)]]</f>
        <v>0</v>
      </c>
      <c r="U449" s="398">
        <f>uitkomst_doelgroep[[#This Row],[Kosten (€)]]*uitkomst_doelgroep[[#This Row],[Percentage van patiëntaantallen in Wlz (overige is Zvw)]]</f>
        <v>0</v>
      </c>
      <c r="V449" s="398">
        <f>uitkomst_doelgroep[[#This Row],[Investering (cash flow) (€)]]*uitkomst_doelgroep[[#This Row],[Percentage van patiëntaantallen in Wlz (overige is Zvw)]]</f>
        <v>0</v>
      </c>
    </row>
    <row r="450" spans="1:22" x14ac:dyDescent="0.5">
      <c r="A450" s="33" t="str">
        <f>INDEX(Technologieën[Veld],MATCH(B450,Technologieën[Digitale zorgtoepassing],0))</f>
        <v>Software - Behandeling</v>
      </c>
      <c r="B450" s="33" t="s">
        <v>609</v>
      </c>
      <c r="C450" s="33" t="s">
        <v>270</v>
      </c>
      <c r="D450" s="427" cm="1">
        <f t="array" ref="D450">INDEX(Berekening_patiëntaantal[Percentage van patiëntaantallen in Wlz (overige is Zvw)],MATCH(B450,IF(Berekening_patiëntaantal[Doelgroep (zoeksleutel)]=C450,Berekening_patiëntaantal[Digitale zorgtoepassing]),0))</f>
        <v>0</v>
      </c>
      <c r="E450" s="33" t="str" cm="1">
        <f t="array" ref="E450">INDEX(Berekening_patiëntaantal[Direct toepasbaar/extrapolatie/incidentie voor QALY],MATCH(B450,IF(Berekening_patiëntaantal[Doelgroep (zoeksleutel)]=C450,Berekening_patiëntaantal[Digitale zorgtoepassing]),0))</f>
        <v>Huidige toepassing</v>
      </c>
      <c r="F450" s="43" t="s">
        <v>812</v>
      </c>
      <c r="G450" s="33" t="str">
        <f>CONCATENATE(uitkomst_doelgroep[[#This Row],[Digitale zorgtoepassing]],"_",uitkomst_doelgroep[[#This Row],[Doelgroep]],"_",uitkomst_doelgroep[[#This Row],[Uitgangssituatie/effect beleid]])</f>
        <v>(Zelf)zorgplatform + telebegeleiding_Astma_kinderen_Effect beleid</v>
      </c>
      <c r="H450" s="33">
        <v>2028</v>
      </c>
      <c r="I450" s="32">
        <v>6</v>
      </c>
      <c r="J450" s="406" cm="1">
        <f t="array" ref="J450">INDEX(implementatie[[2023]:[2034]],MATCH(G450, implementatie[Zoeksleutel],0),I450)</f>
        <v>0.76108782680714737</v>
      </c>
      <c r="K450" s="406" cm="1">
        <f t="array" ref="K450">INDEX(implementatie[[2023]:[2034]],MATCH(G450,implementatie[Zoeksleutel],0),I450 + 1)</f>
        <v>0.8488855471488731</v>
      </c>
      <c r="L45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23618.077441479396</v>
      </c>
      <c r="M450" s="398" cm="1">
        <f t="array" ref="M450">J450*INDEX(Berekening_impact[Totaal arbeidsbesparing (€/jaar)],MATCH(B450,IF(Berekening_impact[Doelgroep]=C450,Berekening_impact[Digitale zorgtoepassing]),0))</f>
        <v>2130445.0575312087</v>
      </c>
      <c r="N450" s="397" cm="1">
        <f t="array" ref="N450">J450*INDEX(Berekening_impact[Totaal arbeidsbesparing (FTE/jaar)],MATCH(B450,IF(Berekening_impact[Doelgroep]=C450,Berekening_impact[Digitale zorgtoepassing]),0))</f>
        <v>11.230250678934393</v>
      </c>
      <c r="O450" s="398" cm="1">
        <f t="array" ref="O450">J450*INDEX(Berekening_impact[Overige kostenbesparing (totaal/jaar totaal potentieel)],MATCH(B450,IF(Berekening_impact[Doelgroep]=C450,Berekening_impact[Digitale zorgtoepassing]),0))</f>
        <v>1420296.7050208054</v>
      </c>
      <c r="P450" s="398" cm="1">
        <f t="array" ref="P450">J450*INDEX(Berekening_impact[Opbrengsten door QALY''s],MATCH(B450,IF(Berekening_impact[Doelgroep]=C450,Berekening_impact[Digitale zorgtoepassing]),0))</f>
        <v>0</v>
      </c>
      <c r="Q450" s="398" cm="1">
        <f t="array" ref="Q450">J450*INDEX(Berekening_impact[Jaarlijkse kosten (totaal) - incl. schatting],MATCH(B450,IF(Berekening_impact[Doelgroep]=C450,Berekening_impact[Digitale zorgtoepassing]),0))</f>
        <v>0</v>
      </c>
      <c r="R450" s="398" cm="1">
        <f t="array" ref="R450">(uitkomst_doelgroep[[#This Row],[Implementatiegraad t = T + 1]]-uitkomst_doelgroep[[#This Row],[Implementatiegraad t = T]])*INDEX(Berekening_impact[Initiële investering (totaal) - incl. schatting],MATCH(B450,IF(Berekening_impact[Doelgroep]=C450,Berekening_impact[Digitale zorgtoepassing]),0))</f>
        <v>0</v>
      </c>
      <c r="S450" s="398">
        <f>uitkomst_doelgroep[[#This Row],[Arbeidsbesparing (€)]]*uitkomst_doelgroep[[#This Row],[Percentage van patiëntaantallen in Wlz (overige is Zvw)]]</f>
        <v>0</v>
      </c>
      <c r="T450" s="398">
        <f>uitkomst_doelgroep[[#This Row],[Overige besparingen (€)]]*uitkomst_doelgroep[[#This Row],[Percentage van patiëntaantallen in Wlz (overige is Zvw)]]</f>
        <v>0</v>
      </c>
      <c r="U450" s="398">
        <f>uitkomst_doelgroep[[#This Row],[Kosten (€)]]*uitkomst_doelgroep[[#This Row],[Percentage van patiëntaantallen in Wlz (overige is Zvw)]]</f>
        <v>0</v>
      </c>
      <c r="V450" s="398">
        <f>uitkomst_doelgroep[[#This Row],[Investering (cash flow) (€)]]*uitkomst_doelgroep[[#This Row],[Percentage van patiëntaantallen in Wlz (overige is Zvw)]]</f>
        <v>0</v>
      </c>
    </row>
    <row r="451" spans="1:22" x14ac:dyDescent="0.5">
      <c r="A451" s="33" t="str">
        <f>INDEX(Technologieën[Veld],MATCH(B451,Technologieën[Digitale zorgtoepassing],0))</f>
        <v>Software - Behandeling</v>
      </c>
      <c r="B451" s="33" t="s">
        <v>609</v>
      </c>
      <c r="C451" s="33" t="s">
        <v>270</v>
      </c>
      <c r="D451" s="427" cm="1">
        <f t="array" ref="D451">INDEX(Berekening_patiëntaantal[Percentage van patiëntaantallen in Wlz (overige is Zvw)],MATCH(B451,IF(Berekening_patiëntaantal[Doelgroep (zoeksleutel)]=C451,Berekening_patiëntaantal[Digitale zorgtoepassing]),0))</f>
        <v>0</v>
      </c>
      <c r="E451" s="33" t="str" cm="1">
        <f t="array" ref="E451">INDEX(Berekening_patiëntaantal[Direct toepasbaar/extrapolatie/incidentie voor QALY],MATCH(B451,IF(Berekening_patiëntaantal[Doelgroep (zoeksleutel)]=C451,Berekening_patiëntaantal[Digitale zorgtoepassing]),0))</f>
        <v>Huidige toepassing</v>
      </c>
      <c r="F451" s="43" t="s">
        <v>812</v>
      </c>
      <c r="G451" s="33" t="str">
        <f>CONCATENATE(uitkomst_doelgroep[[#This Row],[Digitale zorgtoepassing]],"_",uitkomst_doelgroep[[#This Row],[Doelgroep]],"_",uitkomst_doelgroep[[#This Row],[Uitgangssituatie/effect beleid]])</f>
        <v>(Zelf)zorgplatform + telebegeleiding_Astma_kinderen_Effect beleid</v>
      </c>
      <c r="H451" s="33">
        <v>2029</v>
      </c>
      <c r="I451" s="32">
        <v>7</v>
      </c>
      <c r="J451" s="406" cm="1">
        <f t="array" ref="J451">INDEX(implementatie[[2023]:[2034]],MATCH(G451, implementatie[Zoeksleutel],0),I451)</f>
        <v>0.8488855471488731</v>
      </c>
      <c r="K451" s="406" cm="1">
        <f t="array" ref="K451">INDEX(implementatie[[2023]:[2034]],MATCH(G451,implementatie[Zoeksleutel],0),I451 + 1)</f>
        <v>0.91038890221593549</v>
      </c>
      <c r="L45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26342.616299123831</v>
      </c>
      <c r="M451" s="398" cm="1">
        <f t="array" ref="M451">J451*INDEX(Berekening_impact[Totaal arbeidsbesparing (€/jaar)],MATCH(B451,IF(Berekening_impact[Doelgroep]=C451,Berekening_impact[Digitale zorgtoepassing]),0))</f>
        <v>2376209.3606461673</v>
      </c>
      <c r="N451" s="397" cm="1">
        <f t="array" ref="N451">J451*INDEX(Berekening_impact[Totaal arbeidsbesparing (FTE/jaar)],MATCH(B451,IF(Berekening_impact[Doelgroep]=C451,Berekening_impact[Digitale zorgtoepassing]),0))</f>
        <v>12.525752162137589</v>
      </c>
      <c r="O451" s="398" cm="1">
        <f t="array" ref="O451">J451*INDEX(Berekening_impact[Overige kostenbesparing (totaal/jaar totaal potentieel)],MATCH(B451,IF(Berekening_impact[Doelgroep]=C451,Berekening_impact[Digitale zorgtoepassing]),0))</f>
        <v>1584139.5737641109</v>
      </c>
      <c r="P451" s="398" cm="1">
        <f t="array" ref="P451">J451*INDEX(Berekening_impact[Opbrengsten door QALY''s],MATCH(B451,IF(Berekening_impact[Doelgroep]=C451,Berekening_impact[Digitale zorgtoepassing]),0))</f>
        <v>0</v>
      </c>
      <c r="Q451" s="398" cm="1">
        <f t="array" ref="Q451">J451*INDEX(Berekening_impact[Jaarlijkse kosten (totaal) - incl. schatting],MATCH(B451,IF(Berekening_impact[Doelgroep]=C451,Berekening_impact[Digitale zorgtoepassing]),0))</f>
        <v>0</v>
      </c>
      <c r="R451" s="398" cm="1">
        <f t="array" ref="R451">(uitkomst_doelgroep[[#This Row],[Implementatiegraad t = T + 1]]-uitkomst_doelgroep[[#This Row],[Implementatiegraad t = T]])*INDEX(Berekening_impact[Initiële investering (totaal) - incl. schatting],MATCH(B451,IF(Berekening_impact[Doelgroep]=C451,Berekening_impact[Digitale zorgtoepassing]),0))</f>
        <v>0</v>
      </c>
      <c r="S451" s="398">
        <f>uitkomst_doelgroep[[#This Row],[Arbeidsbesparing (€)]]*uitkomst_doelgroep[[#This Row],[Percentage van patiëntaantallen in Wlz (overige is Zvw)]]</f>
        <v>0</v>
      </c>
      <c r="T451" s="398">
        <f>uitkomst_doelgroep[[#This Row],[Overige besparingen (€)]]*uitkomst_doelgroep[[#This Row],[Percentage van patiëntaantallen in Wlz (overige is Zvw)]]</f>
        <v>0</v>
      </c>
      <c r="U451" s="398">
        <f>uitkomst_doelgroep[[#This Row],[Kosten (€)]]*uitkomst_doelgroep[[#This Row],[Percentage van patiëntaantallen in Wlz (overige is Zvw)]]</f>
        <v>0</v>
      </c>
      <c r="V451" s="398">
        <f>uitkomst_doelgroep[[#This Row],[Investering (cash flow) (€)]]*uitkomst_doelgroep[[#This Row],[Percentage van patiëntaantallen in Wlz (overige is Zvw)]]</f>
        <v>0</v>
      </c>
    </row>
    <row r="452" spans="1:22" x14ac:dyDescent="0.5">
      <c r="A452" s="33" t="str">
        <f>INDEX(Technologieën[Veld],MATCH(B452,Technologieën[Digitale zorgtoepassing],0))</f>
        <v>Software - Behandeling</v>
      </c>
      <c r="B452" s="33" t="s">
        <v>609</v>
      </c>
      <c r="C452" s="33" t="s">
        <v>270</v>
      </c>
      <c r="D452" s="427" cm="1">
        <f t="array" ref="D452">INDEX(Berekening_patiëntaantal[Percentage van patiëntaantallen in Wlz (overige is Zvw)],MATCH(B452,IF(Berekening_patiëntaantal[Doelgroep (zoeksleutel)]=C452,Berekening_patiëntaantal[Digitale zorgtoepassing]),0))</f>
        <v>0</v>
      </c>
      <c r="E452" s="33" t="str" cm="1">
        <f t="array" ref="E452">INDEX(Berekening_patiëntaantal[Direct toepasbaar/extrapolatie/incidentie voor QALY],MATCH(B452,IF(Berekening_patiëntaantal[Doelgroep (zoeksleutel)]=C452,Berekening_patiëntaantal[Digitale zorgtoepassing]),0))</f>
        <v>Huidige toepassing</v>
      </c>
      <c r="F452" s="43" t="s">
        <v>812</v>
      </c>
      <c r="G452" s="33" t="str">
        <f>CONCATENATE(uitkomst_doelgroep[[#This Row],[Digitale zorgtoepassing]],"_",uitkomst_doelgroep[[#This Row],[Doelgroep]],"_",uitkomst_doelgroep[[#This Row],[Uitgangssituatie/effect beleid]])</f>
        <v>(Zelf)zorgplatform + telebegeleiding_Astma_kinderen_Effect beleid</v>
      </c>
      <c r="H452" s="33">
        <v>2030</v>
      </c>
      <c r="I452" s="32">
        <v>8</v>
      </c>
      <c r="J452" s="406" cm="1">
        <f t="array" ref="J452">INDEX(implementatie[[2023]:[2034]],MATCH(G452, implementatie[Zoeksleutel],0),I452)</f>
        <v>0.91038890221593549</v>
      </c>
      <c r="K452" s="406" cm="1">
        <f t="array" ref="K452">INDEX(implementatie[[2023]:[2034]],MATCH(G452,implementatie[Zoeksleutel],0),I452 + 1)</f>
        <v>0.94934060668263687</v>
      </c>
      <c r="L45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28251.188413564909</v>
      </c>
      <c r="M452" s="398" cm="1">
        <f t="array" ref="M452">J452*INDEX(Berekening_impact[Totaal arbeidsbesparing (€/jaar)],MATCH(B452,IF(Berekening_impact[Doelgroep]=C452,Berekening_impact[Digitale zorgtoepassing]),0))</f>
        <v>2548370.1996572101</v>
      </c>
      <c r="N452" s="397" cm="1">
        <f t="array" ref="N452">J452*INDEX(Berekening_impact[Totaal arbeidsbesparing (FTE/jaar)],MATCH(B452,IF(Berekening_impact[Doelgroep]=C452,Berekening_impact[Digitale zorgtoepassing]),0))</f>
        <v>13.433266473457191</v>
      </c>
      <c r="O452" s="398" cm="1">
        <f t="array" ref="O452">J452*INDEX(Berekening_impact[Overige kostenbesparing (totaal/jaar totaal potentieel)],MATCH(B452,IF(Berekening_impact[Doelgroep]=C452,Berekening_impact[Digitale zorgtoepassing]),0))</f>
        <v>1698913.4664381398</v>
      </c>
      <c r="P452" s="398" cm="1">
        <f t="array" ref="P452">J452*INDEX(Berekening_impact[Opbrengsten door QALY''s],MATCH(B452,IF(Berekening_impact[Doelgroep]=C452,Berekening_impact[Digitale zorgtoepassing]),0))</f>
        <v>0</v>
      </c>
      <c r="Q452" s="398" cm="1">
        <f t="array" ref="Q452">J452*INDEX(Berekening_impact[Jaarlijkse kosten (totaal) - incl. schatting],MATCH(B452,IF(Berekening_impact[Doelgroep]=C452,Berekening_impact[Digitale zorgtoepassing]),0))</f>
        <v>0</v>
      </c>
      <c r="R452" s="398" cm="1">
        <f t="array" ref="R452">(uitkomst_doelgroep[[#This Row],[Implementatiegraad t = T + 1]]-uitkomst_doelgroep[[#This Row],[Implementatiegraad t = T]])*INDEX(Berekening_impact[Initiële investering (totaal) - incl. schatting],MATCH(B452,IF(Berekening_impact[Doelgroep]=C452,Berekening_impact[Digitale zorgtoepassing]),0))</f>
        <v>0</v>
      </c>
      <c r="S452" s="398">
        <f>uitkomst_doelgroep[[#This Row],[Arbeidsbesparing (€)]]*uitkomst_doelgroep[[#This Row],[Percentage van patiëntaantallen in Wlz (overige is Zvw)]]</f>
        <v>0</v>
      </c>
      <c r="T452" s="398">
        <f>uitkomst_doelgroep[[#This Row],[Overige besparingen (€)]]*uitkomst_doelgroep[[#This Row],[Percentage van patiëntaantallen in Wlz (overige is Zvw)]]</f>
        <v>0</v>
      </c>
      <c r="U452" s="398">
        <f>uitkomst_doelgroep[[#This Row],[Kosten (€)]]*uitkomst_doelgroep[[#This Row],[Percentage van patiëntaantallen in Wlz (overige is Zvw)]]</f>
        <v>0</v>
      </c>
      <c r="V452" s="398">
        <f>uitkomst_doelgroep[[#This Row],[Investering (cash flow) (€)]]*uitkomst_doelgroep[[#This Row],[Percentage van patiëntaantallen in Wlz (overige is Zvw)]]</f>
        <v>0</v>
      </c>
    </row>
    <row r="453" spans="1:22" x14ac:dyDescent="0.5">
      <c r="A453" s="33" t="str">
        <f>INDEX(Technologieën[Veld],MATCH(B453,Technologieën[Digitale zorgtoepassing],0))</f>
        <v>Software - Behandeling</v>
      </c>
      <c r="B453" s="33" t="s">
        <v>609</v>
      </c>
      <c r="C453" s="33" t="s">
        <v>270</v>
      </c>
      <c r="D453" s="427" cm="1">
        <f t="array" ref="D453">INDEX(Berekening_patiëntaantal[Percentage van patiëntaantallen in Wlz (overige is Zvw)],MATCH(B453,IF(Berekening_patiëntaantal[Doelgroep (zoeksleutel)]=C453,Berekening_patiëntaantal[Digitale zorgtoepassing]),0))</f>
        <v>0</v>
      </c>
      <c r="E453" s="33" t="str" cm="1">
        <f t="array" ref="E453">INDEX(Berekening_patiëntaantal[Direct toepasbaar/extrapolatie/incidentie voor QALY],MATCH(B453,IF(Berekening_patiëntaantal[Doelgroep (zoeksleutel)]=C453,Berekening_patiëntaantal[Digitale zorgtoepassing]),0))</f>
        <v>Huidige toepassing</v>
      </c>
      <c r="F453" s="43" t="s">
        <v>812</v>
      </c>
      <c r="G453" s="33" t="str">
        <f>CONCATENATE(uitkomst_doelgroep[[#This Row],[Digitale zorgtoepassing]],"_",uitkomst_doelgroep[[#This Row],[Doelgroep]],"_",uitkomst_doelgroep[[#This Row],[Uitgangssituatie/effect beleid]])</f>
        <v>(Zelf)zorgplatform + telebegeleiding_Astma_kinderen_Effect beleid</v>
      </c>
      <c r="H453" s="33">
        <v>2031</v>
      </c>
      <c r="I453" s="32">
        <v>9</v>
      </c>
      <c r="J453" s="406" cm="1">
        <f t="array" ref="J453">INDEX(implementatie[[2023]:[2034]],MATCH(G453, implementatie[Zoeksleutel],0),I453)</f>
        <v>0.94934060668263687</v>
      </c>
      <c r="K453" s="406" cm="1">
        <f t="array" ref="K453">INDEX(implementatie[[2023]:[2034]],MATCH(G453,implementatie[Zoeksleutel],0),I453 + 1)</f>
        <v>0.9722489501493069</v>
      </c>
      <c r="L45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29459.937706575587</v>
      </c>
      <c r="M453" s="398" cm="1">
        <f t="array" ref="M453">J453*INDEX(Berekening_impact[Totaal arbeidsbesparing (€/jaar)],MATCH(B453,IF(Berekening_impact[Doelgroep]=C453,Berekening_impact[Digitale zorgtoepassing]),0))</f>
        <v>2657404.2208839455</v>
      </c>
      <c r="N453" s="397" cm="1">
        <f t="array" ref="N453">J453*INDEX(Berekening_impact[Totaal arbeidsbesparing (FTE/jaar)],MATCH(B453,IF(Berekening_impact[Doelgroep]=C453,Berekening_impact[Digitale zorgtoepassing]),0))</f>
        <v>14.008019333935758</v>
      </c>
      <c r="O453" s="398" cm="1">
        <f t="array" ref="O453">J453*INDEX(Berekening_impact[Overige kostenbesparing (totaal/jaar totaal potentieel)],MATCH(B453,IF(Berekening_impact[Doelgroep]=C453,Berekening_impact[Digitale zorgtoepassing]),0))</f>
        <v>1771602.8139226299</v>
      </c>
      <c r="P453" s="398" cm="1">
        <f t="array" ref="P453">J453*INDEX(Berekening_impact[Opbrengsten door QALY''s],MATCH(B453,IF(Berekening_impact[Doelgroep]=C453,Berekening_impact[Digitale zorgtoepassing]),0))</f>
        <v>0</v>
      </c>
      <c r="Q453" s="398" cm="1">
        <f t="array" ref="Q453">J453*INDEX(Berekening_impact[Jaarlijkse kosten (totaal) - incl. schatting],MATCH(B453,IF(Berekening_impact[Doelgroep]=C453,Berekening_impact[Digitale zorgtoepassing]),0))</f>
        <v>0</v>
      </c>
      <c r="R453" s="398" cm="1">
        <f t="array" ref="R453">(uitkomst_doelgroep[[#This Row],[Implementatiegraad t = T + 1]]-uitkomst_doelgroep[[#This Row],[Implementatiegraad t = T]])*INDEX(Berekening_impact[Initiële investering (totaal) - incl. schatting],MATCH(B453,IF(Berekening_impact[Doelgroep]=C453,Berekening_impact[Digitale zorgtoepassing]),0))</f>
        <v>0</v>
      </c>
      <c r="S453" s="398">
        <f>uitkomst_doelgroep[[#This Row],[Arbeidsbesparing (€)]]*uitkomst_doelgroep[[#This Row],[Percentage van patiëntaantallen in Wlz (overige is Zvw)]]</f>
        <v>0</v>
      </c>
      <c r="T453" s="398">
        <f>uitkomst_doelgroep[[#This Row],[Overige besparingen (€)]]*uitkomst_doelgroep[[#This Row],[Percentage van patiëntaantallen in Wlz (overige is Zvw)]]</f>
        <v>0</v>
      </c>
      <c r="U453" s="398">
        <f>uitkomst_doelgroep[[#This Row],[Kosten (€)]]*uitkomst_doelgroep[[#This Row],[Percentage van patiëntaantallen in Wlz (overige is Zvw)]]</f>
        <v>0</v>
      </c>
      <c r="V453" s="398">
        <f>uitkomst_doelgroep[[#This Row],[Investering (cash flow) (€)]]*uitkomst_doelgroep[[#This Row],[Percentage van patiëntaantallen in Wlz (overige is Zvw)]]</f>
        <v>0</v>
      </c>
    </row>
    <row r="454" spans="1:22" x14ac:dyDescent="0.5">
      <c r="A454" s="33" t="str">
        <f>INDEX(Technologieën[Veld],MATCH(B454,Technologieën[Digitale zorgtoepassing],0))</f>
        <v>Software - Behandeling</v>
      </c>
      <c r="B454" s="33" t="s">
        <v>609</v>
      </c>
      <c r="C454" s="33" t="s">
        <v>270</v>
      </c>
      <c r="D454" s="427" cm="1">
        <f t="array" ref="D454">INDEX(Berekening_patiëntaantal[Percentage van patiëntaantallen in Wlz (overige is Zvw)],MATCH(B454,IF(Berekening_patiëntaantal[Doelgroep (zoeksleutel)]=C454,Berekening_patiëntaantal[Digitale zorgtoepassing]),0))</f>
        <v>0</v>
      </c>
      <c r="E454" s="33" t="str" cm="1">
        <f t="array" ref="E454">INDEX(Berekening_patiëntaantal[Direct toepasbaar/extrapolatie/incidentie voor QALY],MATCH(B454,IF(Berekening_patiëntaantal[Doelgroep (zoeksleutel)]=C454,Berekening_patiëntaantal[Digitale zorgtoepassing]),0))</f>
        <v>Huidige toepassing</v>
      </c>
      <c r="F454" s="43" t="s">
        <v>812</v>
      </c>
      <c r="G454" s="33" t="str">
        <f>CONCATENATE(uitkomst_doelgroep[[#This Row],[Digitale zorgtoepassing]],"_",uitkomst_doelgroep[[#This Row],[Doelgroep]],"_",uitkomst_doelgroep[[#This Row],[Uitgangssituatie/effect beleid]])</f>
        <v>(Zelf)zorgplatform + telebegeleiding_Astma_kinderen_Effect beleid</v>
      </c>
      <c r="H454" s="33">
        <v>2032</v>
      </c>
      <c r="I454" s="32">
        <v>10</v>
      </c>
      <c r="J454" s="406" cm="1">
        <f t="array" ref="J454">INDEX(implementatie[[2023]:[2034]],MATCH(G454, implementatie[Zoeksleutel],0),I454)</f>
        <v>0.9722489501493069</v>
      </c>
      <c r="K454" s="406" cm="1">
        <f t="array" ref="K454">INDEX(implementatie[[2023]:[2034]],MATCH(G454,implementatie[Zoeksleutel],0),I454 + 1)</f>
        <v>0.98508414448286907</v>
      </c>
      <c r="L45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30170.829421033293</v>
      </c>
      <c r="M454" s="398" cm="1">
        <f t="array" ref="M454">J454*INDEX(Berekening_impact[Totaal arbeidsbesparing (€/jaar)],MATCH(B454,IF(Berekening_impact[Doelgroep]=C454,Berekening_impact[Digitale zorgtoepassing]),0))</f>
        <v>2721529.4970948882</v>
      </c>
      <c r="N454" s="397" cm="1">
        <f t="array" ref="N454">J454*INDEX(Berekening_impact[Totaal arbeidsbesparing (FTE/jaar)],MATCH(B454,IF(Berekening_impact[Doelgroep]=C454,Berekening_impact[Digitale zorgtoepassing]),0))</f>
        <v>14.346043975387582</v>
      </c>
      <c r="O454" s="398" cm="1">
        <f t="array" ref="O454">J454*INDEX(Berekening_impact[Overige kostenbesparing (totaal/jaar totaal potentieel)],MATCH(B454,IF(Berekening_impact[Doelgroep]=C454,Berekening_impact[Digitale zorgtoepassing]),0))</f>
        <v>1814352.9980632584</v>
      </c>
      <c r="P454" s="398" cm="1">
        <f t="array" ref="P454">J454*INDEX(Berekening_impact[Opbrengsten door QALY''s],MATCH(B454,IF(Berekening_impact[Doelgroep]=C454,Berekening_impact[Digitale zorgtoepassing]),0))</f>
        <v>0</v>
      </c>
      <c r="Q454" s="398" cm="1">
        <f t="array" ref="Q454">J454*INDEX(Berekening_impact[Jaarlijkse kosten (totaal) - incl. schatting],MATCH(B454,IF(Berekening_impact[Doelgroep]=C454,Berekening_impact[Digitale zorgtoepassing]),0))</f>
        <v>0</v>
      </c>
      <c r="R454" s="398" cm="1">
        <f t="array" ref="R454">(uitkomst_doelgroep[[#This Row],[Implementatiegraad t = T + 1]]-uitkomst_doelgroep[[#This Row],[Implementatiegraad t = T]])*INDEX(Berekening_impact[Initiële investering (totaal) - incl. schatting],MATCH(B454,IF(Berekening_impact[Doelgroep]=C454,Berekening_impact[Digitale zorgtoepassing]),0))</f>
        <v>0</v>
      </c>
      <c r="S454" s="398">
        <f>uitkomst_doelgroep[[#This Row],[Arbeidsbesparing (€)]]*uitkomst_doelgroep[[#This Row],[Percentage van patiëntaantallen in Wlz (overige is Zvw)]]</f>
        <v>0</v>
      </c>
      <c r="T454" s="398">
        <f>uitkomst_doelgroep[[#This Row],[Overige besparingen (€)]]*uitkomst_doelgroep[[#This Row],[Percentage van patiëntaantallen in Wlz (overige is Zvw)]]</f>
        <v>0</v>
      </c>
      <c r="U454" s="398">
        <f>uitkomst_doelgroep[[#This Row],[Kosten (€)]]*uitkomst_doelgroep[[#This Row],[Percentage van patiëntaantallen in Wlz (overige is Zvw)]]</f>
        <v>0</v>
      </c>
      <c r="V454" s="398">
        <f>uitkomst_doelgroep[[#This Row],[Investering (cash flow) (€)]]*uitkomst_doelgroep[[#This Row],[Percentage van patiëntaantallen in Wlz (overige is Zvw)]]</f>
        <v>0</v>
      </c>
    </row>
    <row r="455" spans="1:22" x14ac:dyDescent="0.5">
      <c r="A455" s="33" t="str">
        <f>INDEX(Technologieën[Veld],MATCH(B455,Technologieën[Digitale zorgtoepassing],0))</f>
        <v>Software - Behandeling</v>
      </c>
      <c r="B455" s="33" t="s">
        <v>609</v>
      </c>
      <c r="C455" s="33" t="s">
        <v>270</v>
      </c>
      <c r="D455" s="427" cm="1">
        <f t="array" ref="D455">INDEX(Berekening_patiëntaantal[Percentage van patiëntaantallen in Wlz (overige is Zvw)],MATCH(B455,IF(Berekening_patiëntaantal[Doelgroep (zoeksleutel)]=C455,Berekening_patiëntaantal[Digitale zorgtoepassing]),0))</f>
        <v>0</v>
      </c>
      <c r="E455" s="33" t="str" cm="1">
        <f t="array" ref="E455">INDEX(Berekening_patiëntaantal[Direct toepasbaar/extrapolatie/incidentie voor QALY],MATCH(B455,IF(Berekening_patiëntaantal[Doelgroep (zoeksleutel)]=C455,Berekening_patiëntaantal[Digitale zorgtoepassing]),0))</f>
        <v>Huidige toepassing</v>
      </c>
      <c r="F455" s="43" t="s">
        <v>812</v>
      </c>
      <c r="G455" s="33" t="str">
        <f>CONCATENATE(uitkomst_doelgroep[[#This Row],[Digitale zorgtoepassing]],"_",uitkomst_doelgroep[[#This Row],[Doelgroep]],"_",uitkomst_doelgroep[[#This Row],[Uitgangssituatie/effect beleid]])</f>
        <v>(Zelf)zorgplatform + telebegeleiding_Astma_kinderen_Effect beleid</v>
      </c>
      <c r="H455" s="33">
        <v>2033</v>
      </c>
      <c r="I455" s="32">
        <v>11</v>
      </c>
      <c r="J455" s="406" cm="1">
        <f t="array" ref="J455">INDEX(implementatie[[2023]:[2034]],MATCH(G455, implementatie[Zoeksleutel],0),I455)</f>
        <v>0.98508414448286907</v>
      </c>
      <c r="K455" s="406" cm="1">
        <f t="array" ref="K455">INDEX(implementatie[[2023]:[2034]],MATCH(G455,implementatie[Zoeksleutel],0),I455 + 1)</f>
        <v>0.99206905861789263</v>
      </c>
      <c r="L45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30569.131171592395</v>
      </c>
      <c r="M455" s="398" cm="1">
        <f t="array" ref="M455">J455*INDEX(Berekening_impact[Totaal arbeidsbesparing (€/jaar)],MATCH(B455,IF(Berekening_impact[Doelgroep]=C455,Berekening_impact[Digitale zorgtoepassing]),0))</f>
        <v>2757457.9082023217</v>
      </c>
      <c r="N455" s="397" cm="1">
        <f t="array" ref="N455">J455*INDEX(Berekening_impact[Totaal arbeidsbesparing (FTE/jaar)],MATCH(B455,IF(Berekening_impact[Doelgroep]=C455,Berekening_impact[Digitale zorgtoepassing]),0))</f>
        <v>14.535434010021872</v>
      </c>
      <c r="O455" s="398" cm="1">
        <f t="array" ref="O455">J455*INDEX(Berekening_impact[Overige kostenbesparing (totaal/jaar totaal potentieel)],MATCH(B455,IF(Berekening_impact[Doelgroep]=C455,Berekening_impact[Digitale zorgtoepassing]),0))</f>
        <v>1838305.2721348805</v>
      </c>
      <c r="P455" s="398" cm="1">
        <f t="array" ref="P455">J455*INDEX(Berekening_impact[Opbrengsten door QALY''s],MATCH(B455,IF(Berekening_impact[Doelgroep]=C455,Berekening_impact[Digitale zorgtoepassing]),0))</f>
        <v>0</v>
      </c>
      <c r="Q455" s="398" cm="1">
        <f t="array" ref="Q455">J455*INDEX(Berekening_impact[Jaarlijkse kosten (totaal) - incl. schatting],MATCH(B455,IF(Berekening_impact[Doelgroep]=C455,Berekening_impact[Digitale zorgtoepassing]),0))</f>
        <v>0</v>
      </c>
      <c r="R455" s="398" cm="1">
        <f t="array" ref="R455">(uitkomst_doelgroep[[#This Row],[Implementatiegraad t = T + 1]]-uitkomst_doelgroep[[#This Row],[Implementatiegraad t = T]])*INDEX(Berekening_impact[Initiële investering (totaal) - incl. schatting],MATCH(B455,IF(Berekening_impact[Doelgroep]=C455,Berekening_impact[Digitale zorgtoepassing]),0))</f>
        <v>0</v>
      </c>
      <c r="S455" s="398">
        <f>uitkomst_doelgroep[[#This Row],[Arbeidsbesparing (€)]]*uitkomst_doelgroep[[#This Row],[Percentage van patiëntaantallen in Wlz (overige is Zvw)]]</f>
        <v>0</v>
      </c>
      <c r="T455" s="398">
        <f>uitkomst_doelgroep[[#This Row],[Overige besparingen (€)]]*uitkomst_doelgroep[[#This Row],[Percentage van patiëntaantallen in Wlz (overige is Zvw)]]</f>
        <v>0</v>
      </c>
      <c r="U455" s="398">
        <f>uitkomst_doelgroep[[#This Row],[Kosten (€)]]*uitkomst_doelgroep[[#This Row],[Percentage van patiëntaantallen in Wlz (overige is Zvw)]]</f>
        <v>0</v>
      </c>
      <c r="V455" s="398">
        <f>uitkomst_doelgroep[[#This Row],[Investering (cash flow) (€)]]*uitkomst_doelgroep[[#This Row],[Percentage van patiëntaantallen in Wlz (overige is Zvw)]]</f>
        <v>0</v>
      </c>
    </row>
    <row r="456" spans="1:22" x14ac:dyDescent="0.5">
      <c r="A456" s="33" t="str">
        <f>INDEX(Technologieën[Veld],MATCH(B456,Technologieën[Digitale zorgtoepassing],0))</f>
        <v>Sensoren - Behandeling</v>
      </c>
      <c r="B456" s="33" t="s">
        <v>88</v>
      </c>
      <c r="C456" s="33" t="s">
        <v>89</v>
      </c>
      <c r="D456" s="427" cm="1">
        <f t="array" ref="D456">INDEX(Berekening_patiëntaantal[Percentage van patiëntaantallen in Wlz (overige is Zvw)],MATCH(B456,IF(Berekening_patiëntaantal[Doelgroep (zoeksleutel)]=C456,Berekening_patiëntaantal[Digitale zorgtoepassing]),0))</f>
        <v>0</v>
      </c>
      <c r="E456" s="33" t="str" cm="1">
        <f t="array" ref="E456">INDEX(Berekening_patiëntaantal[Direct toepasbaar/extrapolatie/incidentie voor QALY],MATCH(B456,IF(Berekening_patiëntaantal[Doelgroep (zoeksleutel)]=C456,Berekening_patiëntaantal[Digitale zorgtoepassing]),0))</f>
        <v>Huidige toepassing</v>
      </c>
      <c r="F456" s="43" t="s">
        <v>812</v>
      </c>
      <c r="G456" s="33" t="str">
        <f>CONCATENATE(uitkomst_doelgroep[[#This Row],[Digitale zorgtoepassing]],"_",uitkomst_doelgroep[[#This Row],[Doelgroep]],"_",uitkomst_doelgroep[[#This Row],[Uitgangssituatie/effect beleid]])</f>
        <v>RT monitoring (glucosemeter)_Diabetes_Effect beleid</v>
      </c>
      <c r="H456" s="33">
        <v>2023</v>
      </c>
      <c r="I456" s="32">
        <v>1</v>
      </c>
      <c r="J456" s="406" cm="1">
        <f t="array" ref="J456">INDEX(implementatie[[2023]:[2034]],MATCH(G456, implementatie[Zoeksleutel],0),I456)</f>
        <v>0.8</v>
      </c>
      <c r="K456" s="406" cm="1">
        <f t="array" ref="K456">INDEX(implementatie[[2023]:[2034]],MATCH(G456,implementatie[Zoeksleutel],0),I456 + 1)</f>
        <v>0.877</v>
      </c>
      <c r="L45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88000</v>
      </c>
      <c r="M456" s="398" cm="1">
        <f t="array" ref="M456">J456*INDEX(Berekening_impact[Totaal arbeidsbesparing (€/jaar)],MATCH(B456,IF(Berekening_impact[Doelgroep]=C456,Berekening_impact[Digitale zorgtoepassing]),0))</f>
        <v>14400000</v>
      </c>
      <c r="N456" s="397" cm="1">
        <f t="array" ref="N456">J456*INDEX(Berekening_impact[Totaal arbeidsbesparing (FTE/jaar)],MATCH(B456,IF(Berekening_impact[Doelgroep]=C456,Berekening_impact[Digitale zorgtoepassing]),0))</f>
        <v>249.56940910139471</v>
      </c>
      <c r="O456" s="398" cm="1">
        <f t="array" ref="O456">J456*INDEX(Berekening_impact[Overige kostenbesparing (totaal/jaar totaal potentieel)],MATCH(B456,IF(Berekening_impact[Doelgroep]=C456,Berekening_impact[Digitale zorgtoepassing]),0))</f>
        <v>9600000</v>
      </c>
      <c r="P456" s="398" cm="1">
        <f t="array" ref="P456">J456*INDEX(Berekening_impact[Opbrengsten door QALY''s],MATCH(B456,IF(Berekening_impact[Doelgroep]=C456,Berekening_impact[Digitale zorgtoepassing]),0))</f>
        <v>132000000</v>
      </c>
      <c r="Q456" s="398" cm="1">
        <f t="array" ref="Q456">J456*INDEX(Berekening_impact[Jaarlijkse kosten (totaal) - incl. schatting],MATCH(B456,IF(Berekening_impact[Doelgroep]=C456,Berekening_impact[Digitale zorgtoepassing]),0))</f>
        <v>41052000</v>
      </c>
      <c r="R456" s="398" cm="1">
        <f t="array" ref="R456">(uitkomst_doelgroep[[#This Row],[Implementatiegraad t = T + 1]]-uitkomst_doelgroep[[#This Row],[Implementatiegraad t = T]])*INDEX(Berekening_impact[Initiële investering (totaal) - incl. schatting],MATCH(B456,IF(Berekening_impact[Doelgroep]=C456,Berekening_impact[Digitale zorgtoepassing]),0))</f>
        <v>8152374.9999999953</v>
      </c>
      <c r="S456" s="398">
        <f>uitkomst_doelgroep[[#This Row],[Arbeidsbesparing (€)]]*uitkomst_doelgroep[[#This Row],[Percentage van patiëntaantallen in Wlz (overige is Zvw)]]</f>
        <v>0</v>
      </c>
      <c r="T456" s="398">
        <f>uitkomst_doelgroep[[#This Row],[Overige besparingen (€)]]*uitkomst_doelgroep[[#This Row],[Percentage van patiëntaantallen in Wlz (overige is Zvw)]]</f>
        <v>0</v>
      </c>
      <c r="U456" s="398">
        <f>uitkomst_doelgroep[[#This Row],[Kosten (€)]]*uitkomst_doelgroep[[#This Row],[Percentage van patiëntaantallen in Wlz (overige is Zvw)]]</f>
        <v>0</v>
      </c>
      <c r="V456" s="398">
        <f>uitkomst_doelgroep[[#This Row],[Investering (cash flow) (€)]]*uitkomst_doelgroep[[#This Row],[Percentage van patiëntaantallen in Wlz (overige is Zvw)]]</f>
        <v>0</v>
      </c>
    </row>
    <row r="457" spans="1:22" x14ac:dyDescent="0.5">
      <c r="A457" s="33" t="str">
        <f>INDEX(Technologieën[Veld],MATCH(B457,Technologieën[Digitale zorgtoepassing],0))</f>
        <v>Sensoren - Behandeling</v>
      </c>
      <c r="B457" s="33" t="s">
        <v>88</v>
      </c>
      <c r="C457" s="33" t="s">
        <v>91</v>
      </c>
      <c r="D457" s="427" cm="1">
        <f t="array" ref="D457">INDEX(Berekening_patiëntaantal[Percentage van patiëntaantallen in Wlz (overige is Zvw)],MATCH(B457,IF(Berekening_patiëntaantal[Doelgroep (zoeksleutel)]=C457,Berekening_patiëntaantal[Digitale zorgtoepassing]),0))</f>
        <v>0</v>
      </c>
      <c r="E457" s="33" t="str" cm="1">
        <f t="array" ref="E457">INDEX(Berekening_patiëntaantal[Direct toepasbaar/extrapolatie/incidentie voor QALY],MATCH(B457,IF(Berekening_patiëntaantal[Doelgroep (zoeksleutel)]=C457,Berekening_patiëntaantal[Digitale zorgtoepassing]),0))</f>
        <v>Huidige toepassing</v>
      </c>
      <c r="F457" s="43" t="s">
        <v>812</v>
      </c>
      <c r="G457" s="33" t="str">
        <f>CONCATENATE(uitkomst_doelgroep[[#This Row],[Digitale zorgtoepassing]],"_",uitkomst_doelgroep[[#This Row],[Doelgroep]],"_",uitkomst_doelgroep[[#This Row],[Uitgangssituatie/effect beleid]])</f>
        <v>RT monitoring (glucosemeter)_Diabetes_thuiszorg_Effect beleid</v>
      </c>
      <c r="H457" s="33">
        <v>2023</v>
      </c>
      <c r="I457" s="32">
        <v>1</v>
      </c>
      <c r="J457" s="406" cm="1">
        <f t="array" ref="J457">INDEX(implementatie[[2023]:[2034]],MATCH(G457, implementatie[Zoeksleutel],0),I457)</f>
        <v>0.6</v>
      </c>
      <c r="K457" s="406" cm="1">
        <f t="array" ref="K457">INDEX(implementatie[[2023]:[2034]],MATCH(G457,implementatie[Zoeksleutel],0),I457 + 1)</f>
        <v>0.71799999999999997</v>
      </c>
      <c r="L45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1051.2</v>
      </c>
      <c r="M457" s="398" cm="1">
        <f t="array" ref="M457">J457*INDEX(Berekening_impact[Totaal arbeidsbesparing (€/jaar)],MATCH(B457,IF(Berekening_impact[Doelgroep]=C457,Berekening_impact[Digitale zorgtoepassing]),0))</f>
        <v>4723105.1955862073</v>
      </c>
      <c r="N457" s="397" cm="1">
        <f t="array" ref="N457">J457*INDEX(Berekening_impact[Totaal arbeidsbesparing (FTE/jaar)],MATCH(B457,IF(Berekening_impact[Doelgroep]=C457,Berekening_impact[Digitale zorgtoepassing]),0))</f>
        <v>111.25200000000001</v>
      </c>
      <c r="O457" s="398" cm="1">
        <f t="array" ref="O457">J457*INDEX(Berekening_impact[Overige kostenbesparing (totaal/jaar totaal potentieel)],MATCH(B457,IF(Berekening_impact[Doelgroep]=C457,Berekening_impact[Digitale zorgtoepassing]),0))</f>
        <v>0</v>
      </c>
      <c r="P457" s="398" cm="1">
        <f t="array" ref="P457">J457*INDEX(Berekening_impact[Opbrengsten door QALY''s],MATCH(B457,IF(Berekening_impact[Doelgroep]=C457,Berekening_impact[Digitale zorgtoepassing]),0))</f>
        <v>0</v>
      </c>
      <c r="Q457" s="398" cm="1">
        <f t="array" ref="Q457">J457*INDEX(Berekening_impact[Jaarlijkse kosten (totaal) - incl. schatting],MATCH(B457,IF(Berekening_impact[Doelgroep]=C457,Berekening_impact[Digitale zorgtoepassing]),0))</f>
        <v>0</v>
      </c>
      <c r="R457" s="398" cm="1">
        <f t="array" ref="R457">(uitkomst_doelgroep[[#This Row],[Implementatiegraad t = T + 1]]-uitkomst_doelgroep[[#This Row],[Implementatiegraad t = T]])*INDEX(Berekening_impact[Initiële investering (totaal) - incl. schatting],MATCH(B457,IF(Berekening_impact[Doelgroep]=C457,Berekening_impact[Digitale zorgtoepassing]),0))</f>
        <v>0</v>
      </c>
      <c r="S457" s="398">
        <f>uitkomst_doelgroep[[#This Row],[Arbeidsbesparing (€)]]*uitkomst_doelgroep[[#This Row],[Percentage van patiëntaantallen in Wlz (overige is Zvw)]]</f>
        <v>0</v>
      </c>
      <c r="T457" s="398">
        <f>uitkomst_doelgroep[[#This Row],[Overige besparingen (€)]]*uitkomst_doelgroep[[#This Row],[Percentage van patiëntaantallen in Wlz (overige is Zvw)]]</f>
        <v>0</v>
      </c>
      <c r="U457" s="398">
        <f>uitkomst_doelgroep[[#This Row],[Kosten (€)]]*uitkomst_doelgroep[[#This Row],[Percentage van patiëntaantallen in Wlz (overige is Zvw)]]</f>
        <v>0</v>
      </c>
      <c r="V457" s="398">
        <f>uitkomst_doelgroep[[#This Row],[Investering (cash flow) (€)]]*uitkomst_doelgroep[[#This Row],[Percentage van patiëntaantallen in Wlz (overige is Zvw)]]</f>
        <v>0</v>
      </c>
    </row>
    <row r="458" spans="1:22" x14ac:dyDescent="0.5">
      <c r="A458" s="33" t="str">
        <f>INDEX(Technologieën[Veld],MATCH(B458,Technologieën[Digitale zorgtoepassing],0))</f>
        <v>Sensoren - Behandeling</v>
      </c>
      <c r="B458" s="33" t="s">
        <v>88</v>
      </c>
      <c r="C458" s="33" t="s">
        <v>89</v>
      </c>
      <c r="D458" s="427" cm="1">
        <f t="array" ref="D458">INDEX(Berekening_patiëntaantal[Percentage van patiëntaantallen in Wlz (overige is Zvw)],MATCH(B458,IF(Berekening_patiëntaantal[Doelgroep (zoeksleutel)]=C458,Berekening_patiëntaantal[Digitale zorgtoepassing]),0))</f>
        <v>0</v>
      </c>
      <c r="E458" s="33" t="str" cm="1">
        <f t="array" ref="E458">INDEX(Berekening_patiëntaantal[Direct toepasbaar/extrapolatie/incidentie voor QALY],MATCH(B458,IF(Berekening_patiëntaantal[Doelgroep (zoeksleutel)]=C458,Berekening_patiëntaantal[Digitale zorgtoepassing]),0))</f>
        <v>Huidige toepassing</v>
      </c>
      <c r="F458" s="43" t="s">
        <v>812</v>
      </c>
      <c r="G458" s="33" t="str">
        <f>CONCATENATE(uitkomst_doelgroep[[#This Row],[Digitale zorgtoepassing]],"_",uitkomst_doelgroep[[#This Row],[Doelgroep]],"_",uitkomst_doelgroep[[#This Row],[Uitgangssituatie/effect beleid]])</f>
        <v>RT monitoring (glucosemeter)_Diabetes_Effect beleid</v>
      </c>
      <c r="H458" s="33">
        <v>2024</v>
      </c>
      <c r="I458" s="32">
        <v>2</v>
      </c>
      <c r="J458" s="406" cm="1">
        <f t="array" ref="J458">INDEX(implementatie[[2023]:[2034]],MATCH(G458, implementatie[Zoeksleutel],0),I458)</f>
        <v>0.877</v>
      </c>
      <c r="K458" s="406" cm="1">
        <f t="array" ref="K458">INDEX(implementatie[[2023]:[2034]],MATCH(G458,implementatie[Zoeksleutel],0),I458 + 1)</f>
        <v>0.92861695000000011</v>
      </c>
      <c r="L45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96470</v>
      </c>
      <c r="M458" s="398" cm="1">
        <f t="array" ref="M458">J458*INDEX(Berekening_impact[Totaal arbeidsbesparing (€/jaar)],MATCH(B458,IF(Berekening_impact[Doelgroep]=C458,Berekening_impact[Digitale zorgtoepassing]),0))</f>
        <v>15786000</v>
      </c>
      <c r="N458" s="397" cm="1">
        <f t="array" ref="N458">J458*INDEX(Berekening_impact[Totaal arbeidsbesparing (FTE/jaar)],MATCH(B458,IF(Berekening_impact[Doelgroep]=C458,Berekening_impact[Digitale zorgtoepassing]),0))</f>
        <v>273.59046472740391</v>
      </c>
      <c r="O458" s="398" cm="1">
        <f t="array" ref="O458">J458*INDEX(Berekening_impact[Overige kostenbesparing (totaal/jaar totaal potentieel)],MATCH(B458,IF(Berekening_impact[Doelgroep]=C458,Berekening_impact[Digitale zorgtoepassing]),0))</f>
        <v>10524000</v>
      </c>
      <c r="P458" s="398" cm="1">
        <f t="array" ref="P458">J458*INDEX(Berekening_impact[Opbrengsten door QALY''s],MATCH(B458,IF(Berekening_impact[Doelgroep]=C458,Berekening_impact[Digitale zorgtoepassing]),0))</f>
        <v>144705000</v>
      </c>
      <c r="Q458" s="398" cm="1">
        <f t="array" ref="Q458">J458*INDEX(Berekening_impact[Jaarlijkse kosten (totaal) - incl. schatting],MATCH(B458,IF(Berekening_impact[Doelgroep]=C458,Berekening_impact[Digitale zorgtoepassing]),0))</f>
        <v>45003255</v>
      </c>
      <c r="R458" s="398" cm="1">
        <f t="array" ref="R458">(uitkomst_doelgroep[[#This Row],[Implementatiegraad t = T + 1]]-uitkomst_doelgroep[[#This Row],[Implementatiegraad t = T]])*INDEX(Berekening_impact[Initiële investering (totaal) - incl. schatting],MATCH(B458,IF(Berekening_impact[Doelgroep]=C458,Berekening_impact[Digitale zorgtoepassing]),0))</f>
        <v>5464944.581250011</v>
      </c>
      <c r="S458" s="398">
        <f>uitkomst_doelgroep[[#This Row],[Arbeidsbesparing (€)]]*uitkomst_doelgroep[[#This Row],[Percentage van patiëntaantallen in Wlz (overige is Zvw)]]</f>
        <v>0</v>
      </c>
      <c r="T458" s="398">
        <f>uitkomst_doelgroep[[#This Row],[Overige besparingen (€)]]*uitkomst_doelgroep[[#This Row],[Percentage van patiëntaantallen in Wlz (overige is Zvw)]]</f>
        <v>0</v>
      </c>
      <c r="U458" s="398">
        <f>uitkomst_doelgroep[[#This Row],[Kosten (€)]]*uitkomst_doelgroep[[#This Row],[Percentage van patiëntaantallen in Wlz (overige is Zvw)]]</f>
        <v>0</v>
      </c>
      <c r="V458" s="398">
        <f>uitkomst_doelgroep[[#This Row],[Investering (cash flow) (€)]]*uitkomst_doelgroep[[#This Row],[Percentage van patiëntaantallen in Wlz (overige is Zvw)]]</f>
        <v>0</v>
      </c>
    </row>
    <row r="459" spans="1:22" x14ac:dyDescent="0.5">
      <c r="A459" s="33" t="str">
        <f>INDEX(Technologieën[Veld],MATCH(B459,Technologieën[Digitale zorgtoepassing],0))</f>
        <v>Sensoren - Behandeling</v>
      </c>
      <c r="B459" s="33" t="s">
        <v>88</v>
      </c>
      <c r="C459" s="33" t="s">
        <v>91</v>
      </c>
      <c r="D459" s="427" cm="1">
        <f t="array" ref="D459">INDEX(Berekening_patiëntaantal[Percentage van patiëntaantallen in Wlz (overige is Zvw)],MATCH(B459,IF(Berekening_patiëntaantal[Doelgroep (zoeksleutel)]=C459,Berekening_patiëntaantal[Digitale zorgtoepassing]),0))</f>
        <v>0</v>
      </c>
      <c r="E459" s="33" t="str" cm="1">
        <f t="array" ref="E459">INDEX(Berekening_patiëntaantal[Direct toepasbaar/extrapolatie/incidentie voor QALY],MATCH(B459,IF(Berekening_patiëntaantal[Doelgroep (zoeksleutel)]=C459,Berekening_patiëntaantal[Digitale zorgtoepassing]),0))</f>
        <v>Huidige toepassing</v>
      </c>
      <c r="F459" s="43" t="s">
        <v>812</v>
      </c>
      <c r="G459" s="33" t="str">
        <f>CONCATENATE(uitkomst_doelgroep[[#This Row],[Digitale zorgtoepassing]],"_",uitkomst_doelgroep[[#This Row],[Doelgroep]],"_",uitkomst_doelgroep[[#This Row],[Uitgangssituatie/effect beleid]])</f>
        <v>RT monitoring (glucosemeter)_Diabetes_thuiszorg_Effect beleid</v>
      </c>
      <c r="H459" s="33">
        <v>2024</v>
      </c>
      <c r="I459" s="32">
        <v>2</v>
      </c>
      <c r="J459" s="406" cm="1">
        <f t="array" ref="J459">INDEX(implementatie[[2023]:[2034]],MATCH(G459, implementatie[Zoeksleutel],0),I459)</f>
        <v>0.71799999999999997</v>
      </c>
      <c r="K459" s="406" cm="1">
        <f t="array" ref="K459">INDEX(implementatie[[2023]:[2034]],MATCH(G459,implementatie[Zoeksleutel],0),I459 + 1)</f>
        <v>0.81616420000000001</v>
      </c>
      <c r="L45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1257.9359999999999</v>
      </c>
      <c r="M459" s="398" cm="1">
        <f t="array" ref="M459">J459*INDEX(Berekening_impact[Totaal arbeidsbesparing (€/jaar)],MATCH(B459,IF(Berekening_impact[Doelgroep]=C459,Berekening_impact[Digitale zorgtoepassing]),0))</f>
        <v>5651982.5507181613</v>
      </c>
      <c r="N459" s="397" cm="1">
        <f t="array" ref="N459">J459*INDEX(Berekening_impact[Totaal arbeidsbesparing (FTE/jaar)],MATCH(B459,IF(Berekening_impact[Doelgroep]=C459,Berekening_impact[Digitale zorgtoepassing]),0))</f>
        <v>133.13156000000001</v>
      </c>
      <c r="O459" s="398" cm="1">
        <f t="array" ref="O459">J459*INDEX(Berekening_impact[Overige kostenbesparing (totaal/jaar totaal potentieel)],MATCH(B459,IF(Berekening_impact[Doelgroep]=C459,Berekening_impact[Digitale zorgtoepassing]),0))</f>
        <v>0</v>
      </c>
      <c r="P459" s="398" cm="1">
        <f t="array" ref="P459">J459*INDEX(Berekening_impact[Opbrengsten door QALY''s],MATCH(B459,IF(Berekening_impact[Doelgroep]=C459,Berekening_impact[Digitale zorgtoepassing]),0))</f>
        <v>0</v>
      </c>
      <c r="Q459" s="398" cm="1">
        <f t="array" ref="Q459">J459*INDEX(Berekening_impact[Jaarlijkse kosten (totaal) - incl. schatting],MATCH(B459,IF(Berekening_impact[Doelgroep]=C459,Berekening_impact[Digitale zorgtoepassing]),0))</f>
        <v>0</v>
      </c>
      <c r="R459" s="398" cm="1">
        <f t="array" ref="R459">(uitkomst_doelgroep[[#This Row],[Implementatiegraad t = T + 1]]-uitkomst_doelgroep[[#This Row],[Implementatiegraad t = T]])*INDEX(Berekening_impact[Initiële investering (totaal) - incl. schatting],MATCH(B459,IF(Berekening_impact[Doelgroep]=C459,Berekening_impact[Digitale zorgtoepassing]),0))</f>
        <v>0</v>
      </c>
      <c r="S459" s="398">
        <f>uitkomst_doelgroep[[#This Row],[Arbeidsbesparing (€)]]*uitkomst_doelgroep[[#This Row],[Percentage van patiëntaantallen in Wlz (overige is Zvw)]]</f>
        <v>0</v>
      </c>
      <c r="T459" s="398">
        <f>uitkomst_doelgroep[[#This Row],[Overige besparingen (€)]]*uitkomst_doelgroep[[#This Row],[Percentage van patiëntaantallen in Wlz (overige is Zvw)]]</f>
        <v>0</v>
      </c>
      <c r="U459" s="398">
        <f>uitkomst_doelgroep[[#This Row],[Kosten (€)]]*uitkomst_doelgroep[[#This Row],[Percentage van patiëntaantallen in Wlz (overige is Zvw)]]</f>
        <v>0</v>
      </c>
      <c r="V459" s="398">
        <f>uitkomst_doelgroep[[#This Row],[Investering (cash flow) (€)]]*uitkomst_doelgroep[[#This Row],[Percentage van patiëntaantallen in Wlz (overige is Zvw)]]</f>
        <v>0</v>
      </c>
    </row>
    <row r="460" spans="1:22" x14ac:dyDescent="0.5">
      <c r="A460" s="33" t="str">
        <f>INDEX(Technologieën[Veld],MATCH(B460,Technologieën[Digitale zorgtoepassing],0))</f>
        <v>Sensoren - Behandeling</v>
      </c>
      <c r="B460" s="33" t="s">
        <v>88</v>
      </c>
      <c r="C460" s="33" t="s">
        <v>89</v>
      </c>
      <c r="D460" s="427" cm="1">
        <f t="array" ref="D460">INDEX(Berekening_patiëntaantal[Percentage van patiëntaantallen in Wlz (overige is Zvw)],MATCH(B460,IF(Berekening_patiëntaantal[Doelgroep (zoeksleutel)]=C460,Berekening_patiëntaantal[Digitale zorgtoepassing]),0))</f>
        <v>0</v>
      </c>
      <c r="E460" s="33" t="str" cm="1">
        <f t="array" ref="E460">INDEX(Berekening_patiëntaantal[Direct toepasbaar/extrapolatie/incidentie voor QALY],MATCH(B460,IF(Berekening_patiëntaantal[Doelgroep (zoeksleutel)]=C460,Berekening_patiëntaantal[Digitale zorgtoepassing]),0))</f>
        <v>Huidige toepassing</v>
      </c>
      <c r="F460" s="43" t="s">
        <v>812</v>
      </c>
      <c r="G460" s="33" t="str">
        <f>CONCATENATE(uitkomst_doelgroep[[#This Row],[Digitale zorgtoepassing]],"_",uitkomst_doelgroep[[#This Row],[Doelgroep]],"_",uitkomst_doelgroep[[#This Row],[Uitgangssituatie/effect beleid]])</f>
        <v>RT monitoring (glucosemeter)_Diabetes_Effect beleid</v>
      </c>
      <c r="H460" s="33">
        <v>2025</v>
      </c>
      <c r="I460" s="32">
        <v>3</v>
      </c>
      <c r="J460" s="406" cm="1">
        <f t="array" ref="J460">INDEX(implementatie[[2023]:[2034]],MATCH(G460, implementatie[Zoeksleutel],0),I460)</f>
        <v>0.92861695000000011</v>
      </c>
      <c r="K460" s="406" cm="1">
        <f t="array" ref="K460">INDEX(implementatie[[2023]:[2034]],MATCH(G460,implementatie[Zoeksleutel],0),I460 + 1)</f>
        <v>0.96023090582771387</v>
      </c>
      <c r="L46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102147.86450000001</v>
      </c>
      <c r="M460" s="398" cm="1">
        <f t="array" ref="M460">J460*INDEX(Berekening_impact[Totaal arbeidsbesparing (€/jaar)],MATCH(B460,IF(Berekening_impact[Doelgroep]=C460,Berekening_impact[Digitale zorgtoepassing]),0))</f>
        <v>16715105.100000001</v>
      </c>
      <c r="N460" s="397" cm="1">
        <f t="array" ref="N460">J460*INDEX(Berekening_impact[Totaal arbeidsbesparing (FTE/jaar)],MATCH(B460,IF(Berekening_impact[Doelgroep]=C460,Berekening_impact[Digitale zorgtoepassing]),0))</f>
        <v>289.69297936629926</v>
      </c>
      <c r="O460" s="398" cm="1">
        <f t="array" ref="O460">J460*INDEX(Berekening_impact[Overige kostenbesparing (totaal/jaar totaal potentieel)],MATCH(B460,IF(Berekening_impact[Doelgroep]=C460,Berekening_impact[Digitale zorgtoepassing]),0))</f>
        <v>11143403.4</v>
      </c>
      <c r="P460" s="398" cm="1">
        <f t="array" ref="P460">J460*INDEX(Berekening_impact[Opbrengsten door QALY''s],MATCH(B460,IF(Berekening_impact[Doelgroep]=C460,Berekening_impact[Digitale zorgtoepassing]),0))</f>
        <v>153221796.75000003</v>
      </c>
      <c r="Q460" s="398" cm="1">
        <f t="array" ref="Q460">J460*INDEX(Berekening_impact[Jaarlijkse kosten (totaal) - incl. schatting],MATCH(B460,IF(Berekening_impact[Doelgroep]=C460,Berekening_impact[Digitale zorgtoepassing]),0))</f>
        <v>47651978.789250009</v>
      </c>
      <c r="R460" s="398" cm="1">
        <f t="array" ref="R460">(uitkomst_doelgroep[[#This Row],[Implementatiegraad t = T + 1]]-uitkomst_doelgroep[[#This Row],[Implementatiegraad t = T]])*INDEX(Berekening_impact[Initiële investering (totaal) - incl. schatting],MATCH(B460,IF(Berekening_impact[Doelgroep]=C460,Berekening_impact[Digitale zorgtoepassing]),0))</f>
        <v>3347127.5732591939</v>
      </c>
      <c r="S460" s="398">
        <f>uitkomst_doelgroep[[#This Row],[Arbeidsbesparing (€)]]*uitkomst_doelgroep[[#This Row],[Percentage van patiëntaantallen in Wlz (overige is Zvw)]]</f>
        <v>0</v>
      </c>
      <c r="T460" s="398">
        <f>uitkomst_doelgroep[[#This Row],[Overige besparingen (€)]]*uitkomst_doelgroep[[#This Row],[Percentage van patiëntaantallen in Wlz (overige is Zvw)]]</f>
        <v>0</v>
      </c>
      <c r="U460" s="398">
        <f>uitkomst_doelgroep[[#This Row],[Kosten (€)]]*uitkomst_doelgroep[[#This Row],[Percentage van patiëntaantallen in Wlz (overige is Zvw)]]</f>
        <v>0</v>
      </c>
      <c r="V460" s="398">
        <f>uitkomst_doelgroep[[#This Row],[Investering (cash flow) (€)]]*uitkomst_doelgroep[[#This Row],[Percentage van patiëntaantallen in Wlz (overige is Zvw)]]</f>
        <v>0</v>
      </c>
    </row>
    <row r="461" spans="1:22" x14ac:dyDescent="0.5">
      <c r="A461" s="33" t="str">
        <f>INDEX(Technologieën[Veld],MATCH(B461,Technologieën[Digitale zorgtoepassing],0))</f>
        <v>Sensoren - Behandeling</v>
      </c>
      <c r="B461" s="33" t="s">
        <v>88</v>
      </c>
      <c r="C461" s="33" t="s">
        <v>91</v>
      </c>
      <c r="D461" s="427" cm="1">
        <f t="array" ref="D461">INDEX(Berekening_patiëntaantal[Percentage van patiëntaantallen in Wlz (overige is Zvw)],MATCH(B461,IF(Berekening_patiëntaantal[Doelgroep (zoeksleutel)]=C461,Berekening_patiëntaantal[Digitale zorgtoepassing]),0))</f>
        <v>0</v>
      </c>
      <c r="E461" s="33" t="str" cm="1">
        <f t="array" ref="E461">INDEX(Berekening_patiëntaantal[Direct toepasbaar/extrapolatie/incidentie voor QALY],MATCH(B461,IF(Berekening_patiëntaantal[Doelgroep (zoeksleutel)]=C461,Berekening_patiëntaantal[Digitale zorgtoepassing]),0))</f>
        <v>Huidige toepassing</v>
      </c>
      <c r="F461" s="43" t="s">
        <v>812</v>
      </c>
      <c r="G461" s="33" t="str">
        <f>CONCATENATE(uitkomst_doelgroep[[#This Row],[Digitale zorgtoepassing]],"_",uitkomst_doelgroep[[#This Row],[Doelgroep]],"_",uitkomst_doelgroep[[#This Row],[Uitgangssituatie/effect beleid]])</f>
        <v>RT monitoring (glucosemeter)_Diabetes_thuiszorg_Effect beleid</v>
      </c>
      <c r="H461" s="33">
        <v>2025</v>
      </c>
      <c r="I461" s="32">
        <v>3</v>
      </c>
      <c r="J461" s="406" cm="1">
        <f t="array" ref="J461">INDEX(implementatie[[2023]:[2034]],MATCH(G461, implementatie[Zoeksleutel],0),I461)</f>
        <v>0.81616420000000001</v>
      </c>
      <c r="K461" s="406" cm="1">
        <f t="array" ref="K461">INDEX(implementatie[[2023]:[2034]],MATCH(G461,implementatie[Zoeksleutel],0),I461 + 1)</f>
        <v>0.88827818438726203</v>
      </c>
      <c r="L46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1429.9196784000001</v>
      </c>
      <c r="M461" s="398" cm="1">
        <f t="array" ref="M461">J461*INDEX(Berekening_impact[Totaal arbeidsbesparing (€/jaar)],MATCH(B461,IF(Berekening_impact[Doelgroep]=C461,Berekening_impact[Digitale zorgtoepassing]),0))</f>
        <v>6424715.6224524342</v>
      </c>
      <c r="N461" s="397" cm="1">
        <f t="array" ref="N461">J461*INDEX(Berekening_impact[Totaal arbeidsbesparing (FTE/jaar)],MATCH(B461,IF(Berekening_impact[Doelgroep]=C461,Berekening_impact[Digitale zorgtoepassing]),0))</f>
        <v>151.33316596400002</v>
      </c>
      <c r="O461" s="398" cm="1">
        <f t="array" ref="O461">J461*INDEX(Berekening_impact[Overige kostenbesparing (totaal/jaar totaal potentieel)],MATCH(B461,IF(Berekening_impact[Doelgroep]=C461,Berekening_impact[Digitale zorgtoepassing]),0))</f>
        <v>0</v>
      </c>
      <c r="P461" s="398" cm="1">
        <f t="array" ref="P461">J461*INDEX(Berekening_impact[Opbrengsten door QALY''s],MATCH(B461,IF(Berekening_impact[Doelgroep]=C461,Berekening_impact[Digitale zorgtoepassing]),0))</f>
        <v>0</v>
      </c>
      <c r="Q461" s="398" cm="1">
        <f t="array" ref="Q461">J461*INDEX(Berekening_impact[Jaarlijkse kosten (totaal) - incl. schatting],MATCH(B461,IF(Berekening_impact[Doelgroep]=C461,Berekening_impact[Digitale zorgtoepassing]),0))</f>
        <v>0</v>
      </c>
      <c r="R461" s="398" cm="1">
        <f t="array" ref="R461">(uitkomst_doelgroep[[#This Row],[Implementatiegraad t = T + 1]]-uitkomst_doelgroep[[#This Row],[Implementatiegraad t = T]])*INDEX(Berekening_impact[Initiële investering (totaal) - incl. schatting],MATCH(B461,IF(Berekening_impact[Doelgroep]=C461,Berekening_impact[Digitale zorgtoepassing]),0))</f>
        <v>0</v>
      </c>
      <c r="S461" s="398">
        <f>uitkomst_doelgroep[[#This Row],[Arbeidsbesparing (€)]]*uitkomst_doelgroep[[#This Row],[Percentage van patiëntaantallen in Wlz (overige is Zvw)]]</f>
        <v>0</v>
      </c>
      <c r="T461" s="398">
        <f>uitkomst_doelgroep[[#This Row],[Overige besparingen (€)]]*uitkomst_doelgroep[[#This Row],[Percentage van patiëntaantallen in Wlz (overige is Zvw)]]</f>
        <v>0</v>
      </c>
      <c r="U461" s="398">
        <f>uitkomst_doelgroep[[#This Row],[Kosten (€)]]*uitkomst_doelgroep[[#This Row],[Percentage van patiëntaantallen in Wlz (overige is Zvw)]]</f>
        <v>0</v>
      </c>
      <c r="V461" s="398">
        <f>uitkomst_doelgroep[[#This Row],[Investering (cash flow) (€)]]*uitkomst_doelgroep[[#This Row],[Percentage van patiëntaantallen in Wlz (overige is Zvw)]]</f>
        <v>0</v>
      </c>
    </row>
    <row r="462" spans="1:22" x14ac:dyDescent="0.5">
      <c r="A462" s="33" t="str">
        <f>INDEX(Technologieën[Veld],MATCH(B462,Technologieën[Digitale zorgtoepassing],0))</f>
        <v>Sensoren - Behandeling</v>
      </c>
      <c r="B462" s="33" t="s">
        <v>88</v>
      </c>
      <c r="C462" s="33" t="s">
        <v>89</v>
      </c>
      <c r="D462" s="427" cm="1">
        <f t="array" ref="D462">INDEX(Berekening_patiëntaantal[Percentage van patiëntaantallen in Wlz (overige is Zvw)],MATCH(B462,IF(Berekening_patiëntaantal[Doelgroep (zoeksleutel)]=C462,Berekening_patiëntaantal[Digitale zorgtoepassing]),0))</f>
        <v>0</v>
      </c>
      <c r="E462" s="33" t="str" cm="1">
        <f t="array" ref="E462">INDEX(Berekening_patiëntaantal[Direct toepasbaar/extrapolatie/incidentie voor QALY],MATCH(B462,IF(Berekening_patiëntaantal[Doelgroep (zoeksleutel)]=C462,Berekening_patiëntaantal[Digitale zorgtoepassing]),0))</f>
        <v>Huidige toepassing</v>
      </c>
      <c r="F462" s="43" t="s">
        <v>812</v>
      </c>
      <c r="G462" s="33" t="str">
        <f>CONCATENATE(uitkomst_doelgroep[[#This Row],[Digitale zorgtoepassing]],"_",uitkomst_doelgroep[[#This Row],[Doelgroep]],"_",uitkomst_doelgroep[[#This Row],[Uitgangssituatie/effect beleid]])</f>
        <v>RT monitoring (glucosemeter)_Diabetes_Effect beleid</v>
      </c>
      <c r="H462" s="33">
        <v>2026</v>
      </c>
      <c r="I462" s="32">
        <v>4</v>
      </c>
      <c r="J462" s="406" cm="1">
        <f t="array" ref="J462">INDEX(implementatie[[2023]:[2034]],MATCH(G462, implementatie[Zoeksleutel],0),I462)</f>
        <v>0.96023090582771387</v>
      </c>
      <c r="K462" s="406" cm="1">
        <f t="array" ref="K462">INDEX(implementatie[[2023]:[2034]],MATCH(G462,implementatie[Zoeksleutel],0),I462 + 1)</f>
        <v>0.97840951417647182</v>
      </c>
      <c r="L46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105625.39964104853</v>
      </c>
      <c r="M462" s="398" cm="1">
        <f t="array" ref="M462">J462*INDEX(Berekening_impact[Totaal arbeidsbesparing (€/jaar)],MATCH(B462,IF(Berekening_impact[Doelgroep]=C462,Berekening_impact[Digitale zorgtoepassing]),0))</f>
        <v>17284156.304898851</v>
      </c>
      <c r="N462" s="397" cm="1">
        <f t="array" ref="N462">J462*INDEX(Berekening_impact[Totaal arbeidsbesparing (FTE/jaar)],MATCH(B462,IF(Berekening_impact[Doelgroep]=C462,Berekening_impact[Digitale zorgtoepassing]),0))</f>
        <v>299.55532471039942</v>
      </c>
      <c r="O462" s="398" cm="1">
        <f t="array" ref="O462">J462*INDEX(Berekening_impact[Overige kostenbesparing (totaal/jaar totaal potentieel)],MATCH(B462,IF(Berekening_impact[Doelgroep]=C462,Berekening_impact[Digitale zorgtoepassing]),0))</f>
        <v>11522770.869932566</v>
      </c>
      <c r="P462" s="398" cm="1">
        <f t="array" ref="P462">J462*INDEX(Berekening_impact[Opbrengsten door QALY''s],MATCH(B462,IF(Berekening_impact[Doelgroep]=C462,Berekening_impact[Digitale zorgtoepassing]),0))</f>
        <v>158438099.4615728</v>
      </c>
      <c r="Q462" s="398" cm="1">
        <f t="array" ref="Q462">J462*INDEX(Berekening_impact[Jaarlijkse kosten (totaal) - incl. schatting],MATCH(B462,IF(Berekening_impact[Doelgroep]=C462,Berekening_impact[Digitale zorgtoepassing]),0))</f>
        <v>49274248.932549134</v>
      </c>
      <c r="R462" s="398" cm="1">
        <f t="array" ref="R462">(uitkomst_doelgroep[[#This Row],[Implementatiegraad t = T + 1]]-uitkomst_doelgroep[[#This Row],[Implementatiegraad t = T]])*INDEX(Berekening_impact[Initiële investering (totaal) - incl. schatting],MATCH(B462,IF(Berekening_impact[Doelgroep]=C462,Berekening_impact[Digitale zorgtoepassing]),0))</f>
        <v>1924660.1589247482</v>
      </c>
      <c r="S462" s="398">
        <f>uitkomst_doelgroep[[#This Row],[Arbeidsbesparing (€)]]*uitkomst_doelgroep[[#This Row],[Percentage van patiëntaantallen in Wlz (overige is Zvw)]]</f>
        <v>0</v>
      </c>
      <c r="T462" s="398">
        <f>uitkomst_doelgroep[[#This Row],[Overige besparingen (€)]]*uitkomst_doelgroep[[#This Row],[Percentage van patiëntaantallen in Wlz (overige is Zvw)]]</f>
        <v>0</v>
      </c>
      <c r="U462" s="398">
        <f>uitkomst_doelgroep[[#This Row],[Kosten (€)]]*uitkomst_doelgroep[[#This Row],[Percentage van patiëntaantallen in Wlz (overige is Zvw)]]</f>
        <v>0</v>
      </c>
      <c r="V462" s="398">
        <f>uitkomst_doelgroep[[#This Row],[Investering (cash flow) (€)]]*uitkomst_doelgroep[[#This Row],[Percentage van patiëntaantallen in Wlz (overige is Zvw)]]</f>
        <v>0</v>
      </c>
    </row>
    <row r="463" spans="1:22" x14ac:dyDescent="0.5">
      <c r="A463" s="33" t="str">
        <f>INDEX(Technologieën[Veld],MATCH(B463,Technologieën[Digitale zorgtoepassing],0))</f>
        <v>Sensoren - Behandeling</v>
      </c>
      <c r="B463" s="33" t="s">
        <v>88</v>
      </c>
      <c r="C463" s="33" t="s">
        <v>91</v>
      </c>
      <c r="D463" s="427" cm="1">
        <f t="array" ref="D463">INDEX(Berekening_patiëntaantal[Percentage van patiëntaantallen in Wlz (overige is Zvw)],MATCH(B463,IF(Berekening_patiëntaantal[Doelgroep (zoeksleutel)]=C463,Berekening_patiëntaantal[Digitale zorgtoepassing]),0))</f>
        <v>0</v>
      </c>
      <c r="E463" s="33" t="str" cm="1">
        <f t="array" ref="E463">INDEX(Berekening_patiëntaantal[Direct toepasbaar/extrapolatie/incidentie voor QALY],MATCH(B463,IF(Berekening_patiëntaantal[Doelgroep (zoeksleutel)]=C463,Berekening_patiëntaantal[Digitale zorgtoepassing]),0))</f>
        <v>Huidige toepassing</v>
      </c>
      <c r="F463" s="43" t="s">
        <v>812</v>
      </c>
      <c r="G463" s="33" t="str">
        <f>CONCATENATE(uitkomst_doelgroep[[#This Row],[Digitale zorgtoepassing]],"_",uitkomst_doelgroep[[#This Row],[Doelgroep]],"_",uitkomst_doelgroep[[#This Row],[Uitgangssituatie/effect beleid]])</f>
        <v>RT monitoring (glucosemeter)_Diabetes_thuiszorg_Effect beleid</v>
      </c>
      <c r="H463" s="33">
        <v>2026</v>
      </c>
      <c r="I463" s="32">
        <v>4</v>
      </c>
      <c r="J463" s="406" cm="1">
        <f t="array" ref="J463">INDEX(implementatie[[2023]:[2034]],MATCH(G463, implementatie[Zoeksleutel],0),I463)</f>
        <v>0.88827818438726203</v>
      </c>
      <c r="K463" s="406" cm="1">
        <f t="array" ref="K463">INDEX(implementatie[[2023]:[2034]],MATCH(G463,implementatie[Zoeksleutel],0),I463 + 1)</f>
        <v>0.93572925296559961</v>
      </c>
      <c r="L46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1556.2633790464831</v>
      </c>
      <c r="M463" s="398" cm="1">
        <f t="array" ref="M463">J463*INDEX(Berekening_impact[Totaal arbeidsbesparing (€/jaar)],MATCH(B463,IF(Berekening_impact[Doelgroep]=C463,Berekening_impact[Digitale zorgtoepassing]),0))</f>
        <v>6992385.5130089335</v>
      </c>
      <c r="N463" s="397" cm="1">
        <f t="array" ref="N463">J463*INDEX(Berekening_impact[Totaal arbeidsbesparing (FTE/jaar)],MATCH(B463,IF(Berekening_impact[Doelgroep]=C463,Berekening_impact[Digitale zorgtoepassing]),0))</f>
        <v>164.70454094908615</v>
      </c>
      <c r="O463" s="398" cm="1">
        <f t="array" ref="O463">J463*INDEX(Berekening_impact[Overige kostenbesparing (totaal/jaar totaal potentieel)],MATCH(B463,IF(Berekening_impact[Doelgroep]=C463,Berekening_impact[Digitale zorgtoepassing]),0))</f>
        <v>0</v>
      </c>
      <c r="P463" s="398" cm="1">
        <f t="array" ref="P463">J463*INDEX(Berekening_impact[Opbrengsten door QALY''s],MATCH(B463,IF(Berekening_impact[Doelgroep]=C463,Berekening_impact[Digitale zorgtoepassing]),0))</f>
        <v>0</v>
      </c>
      <c r="Q463" s="398" cm="1">
        <f t="array" ref="Q463">J463*INDEX(Berekening_impact[Jaarlijkse kosten (totaal) - incl. schatting],MATCH(B463,IF(Berekening_impact[Doelgroep]=C463,Berekening_impact[Digitale zorgtoepassing]),0))</f>
        <v>0</v>
      </c>
      <c r="R463" s="398" cm="1">
        <f t="array" ref="R463">(uitkomst_doelgroep[[#This Row],[Implementatiegraad t = T + 1]]-uitkomst_doelgroep[[#This Row],[Implementatiegraad t = T]])*INDEX(Berekening_impact[Initiële investering (totaal) - incl. schatting],MATCH(B463,IF(Berekening_impact[Doelgroep]=C463,Berekening_impact[Digitale zorgtoepassing]),0))</f>
        <v>0</v>
      </c>
      <c r="S463" s="398">
        <f>uitkomst_doelgroep[[#This Row],[Arbeidsbesparing (€)]]*uitkomst_doelgroep[[#This Row],[Percentage van patiëntaantallen in Wlz (overige is Zvw)]]</f>
        <v>0</v>
      </c>
      <c r="T463" s="398">
        <f>uitkomst_doelgroep[[#This Row],[Overige besparingen (€)]]*uitkomst_doelgroep[[#This Row],[Percentage van patiëntaantallen in Wlz (overige is Zvw)]]</f>
        <v>0</v>
      </c>
      <c r="U463" s="398">
        <f>uitkomst_doelgroep[[#This Row],[Kosten (€)]]*uitkomst_doelgroep[[#This Row],[Percentage van patiëntaantallen in Wlz (overige is Zvw)]]</f>
        <v>0</v>
      </c>
      <c r="V463" s="398">
        <f>uitkomst_doelgroep[[#This Row],[Investering (cash flow) (€)]]*uitkomst_doelgroep[[#This Row],[Percentage van patiëntaantallen in Wlz (overige is Zvw)]]</f>
        <v>0</v>
      </c>
    </row>
    <row r="464" spans="1:22" x14ac:dyDescent="0.5">
      <c r="A464" s="33" t="str">
        <f>INDEX(Technologieën[Veld],MATCH(B464,Technologieën[Digitale zorgtoepassing],0))</f>
        <v>Sensoren - Behandeling</v>
      </c>
      <c r="B464" s="33" t="s">
        <v>88</v>
      </c>
      <c r="C464" s="33" t="s">
        <v>89</v>
      </c>
      <c r="D464" s="427" cm="1">
        <f t="array" ref="D464">INDEX(Berekening_patiëntaantal[Percentage van patiëntaantallen in Wlz (overige is Zvw)],MATCH(B464,IF(Berekening_patiëntaantal[Doelgroep (zoeksleutel)]=C464,Berekening_patiëntaantal[Digitale zorgtoepassing]),0))</f>
        <v>0</v>
      </c>
      <c r="E464" s="33" t="str" cm="1">
        <f t="array" ref="E464">INDEX(Berekening_patiëntaantal[Direct toepasbaar/extrapolatie/incidentie voor QALY],MATCH(B464,IF(Berekening_patiëntaantal[Doelgroep (zoeksleutel)]=C464,Berekening_patiëntaantal[Digitale zorgtoepassing]),0))</f>
        <v>Huidige toepassing</v>
      </c>
      <c r="F464" s="43" t="s">
        <v>812</v>
      </c>
      <c r="G464" s="33" t="str">
        <f>CONCATENATE(uitkomst_doelgroep[[#This Row],[Digitale zorgtoepassing]],"_",uitkomst_doelgroep[[#This Row],[Doelgroep]],"_",uitkomst_doelgroep[[#This Row],[Uitgangssituatie/effect beleid]])</f>
        <v>RT monitoring (glucosemeter)_Diabetes_Effect beleid</v>
      </c>
      <c r="H464" s="33">
        <v>2027</v>
      </c>
      <c r="I464" s="32">
        <v>5</v>
      </c>
      <c r="J464" s="406" cm="1">
        <f t="array" ref="J464">INDEX(implementatie[[2023]:[2034]],MATCH(G464, implementatie[Zoeksleutel],0),I464)</f>
        <v>0.97840951417647182</v>
      </c>
      <c r="K464" s="406" cm="1">
        <f t="array" ref="K464">INDEX(implementatie[[2023]:[2034]],MATCH(G464,implementatie[Zoeksleutel],0),I464 + 1)</f>
        <v>0.9884552278575045</v>
      </c>
      <c r="L46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107625.0465594119</v>
      </c>
      <c r="M464" s="398" cm="1">
        <f t="array" ref="M464">J464*INDEX(Berekening_impact[Totaal arbeidsbesparing (€/jaar)],MATCH(B464,IF(Berekening_impact[Doelgroep]=C464,Berekening_impact[Digitale zorgtoepassing]),0))</f>
        <v>17611371.255176492</v>
      </c>
      <c r="N464" s="397" cm="1">
        <f t="array" ref="N464">J464*INDEX(Berekening_impact[Totaal arbeidsbesparing (FTE/jaar)],MATCH(B464,IF(Berekening_impact[Doelgroep]=C464,Berekening_impact[Digitale zorgtoepassing]),0))</f>
        <v>305.22635539025589</v>
      </c>
      <c r="O464" s="398" cm="1">
        <f t="array" ref="O464">J464*INDEX(Berekening_impact[Overige kostenbesparing (totaal/jaar totaal potentieel)],MATCH(B464,IF(Berekening_impact[Doelgroep]=C464,Berekening_impact[Digitale zorgtoepassing]),0))</f>
        <v>11740914.170117661</v>
      </c>
      <c r="P464" s="398" cm="1">
        <f t="array" ref="P464">J464*INDEX(Berekening_impact[Opbrengsten door QALY''s],MATCH(B464,IF(Berekening_impact[Doelgroep]=C464,Berekening_impact[Digitale zorgtoepassing]),0))</f>
        <v>161437569.83911785</v>
      </c>
      <c r="Q464" s="398" cm="1">
        <f t="array" ref="Q464">J464*INDEX(Berekening_impact[Jaarlijkse kosten (totaal) - incl. schatting],MATCH(B464,IF(Berekening_impact[Doelgroep]=C464,Berekening_impact[Digitale zorgtoepassing]),0))</f>
        <v>50207084.219965652</v>
      </c>
      <c r="R464" s="398" cm="1">
        <f t="array" ref="R464">(uitkomst_doelgroep[[#This Row],[Implementatiegraad t = T + 1]]-uitkomst_doelgroep[[#This Row],[Implementatiegraad t = T]])*INDEX(Berekening_impact[Initiële investering (totaal) - incl. schatting],MATCH(B464,IF(Berekening_impact[Doelgroep]=C464,Berekening_impact[Digitale zorgtoepassing]),0))</f>
        <v>1063589.9359793356</v>
      </c>
      <c r="S464" s="398">
        <f>uitkomst_doelgroep[[#This Row],[Arbeidsbesparing (€)]]*uitkomst_doelgroep[[#This Row],[Percentage van patiëntaantallen in Wlz (overige is Zvw)]]</f>
        <v>0</v>
      </c>
      <c r="T464" s="398">
        <f>uitkomst_doelgroep[[#This Row],[Overige besparingen (€)]]*uitkomst_doelgroep[[#This Row],[Percentage van patiëntaantallen in Wlz (overige is Zvw)]]</f>
        <v>0</v>
      </c>
      <c r="U464" s="398">
        <f>uitkomst_doelgroep[[#This Row],[Kosten (€)]]*uitkomst_doelgroep[[#This Row],[Percentage van patiëntaantallen in Wlz (overige is Zvw)]]</f>
        <v>0</v>
      </c>
      <c r="V464" s="398">
        <f>uitkomst_doelgroep[[#This Row],[Investering (cash flow) (€)]]*uitkomst_doelgroep[[#This Row],[Percentage van patiëntaantallen in Wlz (overige is Zvw)]]</f>
        <v>0</v>
      </c>
    </row>
    <row r="465" spans="1:22" x14ac:dyDescent="0.5">
      <c r="A465" s="33" t="str">
        <f>INDEX(Technologieën[Veld],MATCH(B465,Technologieën[Digitale zorgtoepassing],0))</f>
        <v>Sensoren - Behandeling</v>
      </c>
      <c r="B465" s="33" t="s">
        <v>88</v>
      </c>
      <c r="C465" s="33" t="s">
        <v>91</v>
      </c>
      <c r="D465" s="427" cm="1">
        <f t="array" ref="D465">INDEX(Berekening_patiëntaantal[Percentage van patiëntaantallen in Wlz (overige is Zvw)],MATCH(B465,IF(Berekening_patiëntaantal[Doelgroep (zoeksleutel)]=C465,Berekening_patiëntaantal[Digitale zorgtoepassing]),0))</f>
        <v>0</v>
      </c>
      <c r="E465" s="33" t="str" cm="1">
        <f t="array" ref="E465">INDEX(Berekening_patiëntaantal[Direct toepasbaar/extrapolatie/incidentie voor QALY],MATCH(B465,IF(Berekening_patiëntaantal[Doelgroep (zoeksleutel)]=C465,Berekening_patiëntaantal[Digitale zorgtoepassing]),0))</f>
        <v>Huidige toepassing</v>
      </c>
      <c r="F465" s="43" t="s">
        <v>812</v>
      </c>
      <c r="G465" s="33" t="str">
        <f>CONCATENATE(uitkomst_doelgroep[[#This Row],[Digitale zorgtoepassing]],"_",uitkomst_doelgroep[[#This Row],[Doelgroep]],"_",uitkomst_doelgroep[[#This Row],[Uitgangssituatie/effect beleid]])</f>
        <v>RT monitoring (glucosemeter)_Diabetes_thuiszorg_Effect beleid</v>
      </c>
      <c r="H465" s="33">
        <v>2027</v>
      </c>
      <c r="I465" s="32">
        <v>5</v>
      </c>
      <c r="J465" s="406" cm="1">
        <f t="array" ref="J465">INDEX(implementatie[[2023]:[2034]],MATCH(G465, implementatie[Zoeksleutel],0),I465)</f>
        <v>0.93572925296559961</v>
      </c>
      <c r="K465" s="406" cm="1">
        <f t="array" ref="K465">INDEX(implementatie[[2023]:[2034]],MATCH(G465,implementatie[Zoeksleutel],0),I465 + 1)</f>
        <v>0.9643990297909778</v>
      </c>
      <c r="L46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1639.3976511957305</v>
      </c>
      <c r="M465" s="398" cm="1">
        <f t="array" ref="M465">J465*INDEX(Berekening_impact[Totaal arbeidsbesparing (€/jaar)],MATCH(B465,IF(Berekening_impact[Doelgroep]=C465,Berekening_impact[Digitale zorgtoepassing]),0))</f>
        <v>7365912.8272397062</v>
      </c>
      <c r="N465" s="397" cm="1">
        <f t="array" ref="N465">J465*INDEX(Berekening_impact[Totaal arbeidsbesparing (FTE/jaar)],MATCH(B465,IF(Berekening_impact[Doelgroep]=C465,Berekening_impact[Digitale zorgtoepassing]),0))</f>
        <v>173.50291808488149</v>
      </c>
      <c r="O465" s="398" cm="1">
        <f t="array" ref="O465">J465*INDEX(Berekening_impact[Overige kostenbesparing (totaal/jaar totaal potentieel)],MATCH(B465,IF(Berekening_impact[Doelgroep]=C465,Berekening_impact[Digitale zorgtoepassing]),0))</f>
        <v>0</v>
      </c>
      <c r="P465" s="398" cm="1">
        <f t="array" ref="P465">J465*INDEX(Berekening_impact[Opbrengsten door QALY''s],MATCH(B465,IF(Berekening_impact[Doelgroep]=C465,Berekening_impact[Digitale zorgtoepassing]),0))</f>
        <v>0</v>
      </c>
      <c r="Q465" s="398" cm="1">
        <f t="array" ref="Q465">J465*INDEX(Berekening_impact[Jaarlijkse kosten (totaal) - incl. schatting],MATCH(B465,IF(Berekening_impact[Doelgroep]=C465,Berekening_impact[Digitale zorgtoepassing]),0))</f>
        <v>0</v>
      </c>
      <c r="R465" s="398" cm="1">
        <f t="array" ref="R465">(uitkomst_doelgroep[[#This Row],[Implementatiegraad t = T + 1]]-uitkomst_doelgroep[[#This Row],[Implementatiegraad t = T]])*INDEX(Berekening_impact[Initiële investering (totaal) - incl. schatting],MATCH(B465,IF(Berekening_impact[Doelgroep]=C465,Berekening_impact[Digitale zorgtoepassing]),0))</f>
        <v>0</v>
      </c>
      <c r="S465" s="398">
        <f>uitkomst_doelgroep[[#This Row],[Arbeidsbesparing (€)]]*uitkomst_doelgroep[[#This Row],[Percentage van patiëntaantallen in Wlz (overige is Zvw)]]</f>
        <v>0</v>
      </c>
      <c r="T465" s="398">
        <f>uitkomst_doelgroep[[#This Row],[Overige besparingen (€)]]*uitkomst_doelgroep[[#This Row],[Percentage van patiëntaantallen in Wlz (overige is Zvw)]]</f>
        <v>0</v>
      </c>
      <c r="U465" s="398">
        <f>uitkomst_doelgroep[[#This Row],[Kosten (€)]]*uitkomst_doelgroep[[#This Row],[Percentage van patiëntaantallen in Wlz (overige is Zvw)]]</f>
        <v>0</v>
      </c>
      <c r="V465" s="398">
        <f>uitkomst_doelgroep[[#This Row],[Investering (cash flow) (€)]]*uitkomst_doelgroep[[#This Row],[Percentage van patiëntaantallen in Wlz (overige is Zvw)]]</f>
        <v>0</v>
      </c>
    </row>
    <row r="466" spans="1:22" x14ac:dyDescent="0.5">
      <c r="A466" s="33" t="str">
        <f>INDEX(Technologieën[Veld],MATCH(B466,Technologieën[Digitale zorgtoepassing],0))</f>
        <v>Sensoren - Behandeling</v>
      </c>
      <c r="B466" s="33" t="s">
        <v>88</v>
      </c>
      <c r="C466" s="33" t="s">
        <v>89</v>
      </c>
      <c r="D466" s="427" cm="1">
        <f t="array" ref="D466">INDEX(Berekening_patiëntaantal[Percentage van patiëntaantallen in Wlz (overige is Zvw)],MATCH(B466,IF(Berekening_patiëntaantal[Doelgroep (zoeksleutel)]=C466,Berekening_patiëntaantal[Digitale zorgtoepassing]),0))</f>
        <v>0</v>
      </c>
      <c r="E466" s="33" t="str" cm="1">
        <f t="array" ref="E466">INDEX(Berekening_patiëntaantal[Direct toepasbaar/extrapolatie/incidentie voor QALY],MATCH(B466,IF(Berekening_patiëntaantal[Doelgroep (zoeksleutel)]=C466,Berekening_patiëntaantal[Digitale zorgtoepassing]),0))</f>
        <v>Huidige toepassing</v>
      </c>
      <c r="F466" s="43" t="s">
        <v>812</v>
      </c>
      <c r="G466" s="33" t="str">
        <f>CONCATENATE(uitkomst_doelgroep[[#This Row],[Digitale zorgtoepassing]],"_",uitkomst_doelgroep[[#This Row],[Doelgroep]],"_",uitkomst_doelgroep[[#This Row],[Uitgangssituatie/effect beleid]])</f>
        <v>RT monitoring (glucosemeter)_Diabetes_Effect beleid</v>
      </c>
      <c r="H466" s="33">
        <v>2028</v>
      </c>
      <c r="I466" s="32">
        <v>6</v>
      </c>
      <c r="J466" s="406" cm="1">
        <f t="array" ref="J466">INDEX(implementatie[[2023]:[2034]],MATCH(G466, implementatie[Zoeksleutel],0),I466)</f>
        <v>0.9884552278575045</v>
      </c>
      <c r="K466" s="406" cm="1">
        <f t="array" ref="K466">INDEX(implementatie[[2023]:[2034]],MATCH(G466,implementatie[Zoeksleutel],0),I466 + 1)</f>
        <v>0.99387901783146992</v>
      </c>
      <c r="L46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108730.0750643255</v>
      </c>
      <c r="M466" s="398" cm="1">
        <f t="array" ref="M466">J466*INDEX(Berekening_impact[Totaal arbeidsbesparing (€/jaar)],MATCH(B466,IF(Berekening_impact[Doelgroep]=C466,Berekening_impact[Digitale zorgtoepassing]),0))</f>
        <v>17792194.10143508</v>
      </c>
      <c r="N466" s="397" cm="1">
        <f t="array" ref="N466">J466*INDEX(Berekening_impact[Totaal arbeidsbesparing (FTE/jaar)],MATCH(B466,IF(Berekening_impact[Doelgroep]=C466,Berekening_impact[Digitale zorgtoepassing]),0))</f>
        <v>308.36023392447731</v>
      </c>
      <c r="O466" s="398" cm="1">
        <f t="array" ref="O466">J466*INDEX(Berekening_impact[Overige kostenbesparing (totaal/jaar totaal potentieel)],MATCH(B466,IF(Berekening_impact[Doelgroep]=C466,Berekening_impact[Digitale zorgtoepassing]),0))</f>
        <v>11861462.734290054</v>
      </c>
      <c r="P466" s="398" cm="1">
        <f t="array" ref="P466">J466*INDEX(Berekening_impact[Opbrengsten door QALY''s],MATCH(B466,IF(Berekening_impact[Doelgroep]=C466,Berekening_impact[Digitale zorgtoepassing]),0))</f>
        <v>163095112.59648824</v>
      </c>
      <c r="Q466" s="398" cm="1">
        <f t="array" ref="Q466">J466*INDEX(Berekening_impact[Jaarlijkse kosten (totaal) - incl. schatting],MATCH(B466,IF(Berekening_impact[Doelgroep]=C466,Berekening_impact[Digitale zorgtoepassing]),0))</f>
        <v>50722580.017507844</v>
      </c>
      <c r="R466" s="398" cm="1">
        <f t="array" ref="R466">(uitkomst_doelgroep[[#This Row],[Implementatiegraad t = T + 1]]-uitkomst_doelgroep[[#This Row],[Implementatiegraad t = T]])*INDEX(Berekening_impact[Initiële investering (totaal) - incl. schatting],MATCH(B466,IF(Berekening_impact[Doelgroep]=C466,Berekening_impact[Digitale zorgtoepassing]),0))</f>
        <v>574243.76349358889</v>
      </c>
      <c r="S466" s="398">
        <f>uitkomst_doelgroep[[#This Row],[Arbeidsbesparing (€)]]*uitkomst_doelgroep[[#This Row],[Percentage van patiëntaantallen in Wlz (overige is Zvw)]]</f>
        <v>0</v>
      </c>
      <c r="T466" s="398">
        <f>uitkomst_doelgroep[[#This Row],[Overige besparingen (€)]]*uitkomst_doelgroep[[#This Row],[Percentage van patiëntaantallen in Wlz (overige is Zvw)]]</f>
        <v>0</v>
      </c>
      <c r="U466" s="398">
        <f>uitkomst_doelgroep[[#This Row],[Kosten (€)]]*uitkomst_doelgroep[[#This Row],[Percentage van patiëntaantallen in Wlz (overige is Zvw)]]</f>
        <v>0</v>
      </c>
      <c r="V466" s="398">
        <f>uitkomst_doelgroep[[#This Row],[Investering (cash flow) (€)]]*uitkomst_doelgroep[[#This Row],[Percentage van patiëntaantallen in Wlz (overige is Zvw)]]</f>
        <v>0</v>
      </c>
    </row>
    <row r="467" spans="1:22" x14ac:dyDescent="0.5">
      <c r="A467" s="33" t="str">
        <f>INDEX(Technologieën[Veld],MATCH(B467,Technologieën[Digitale zorgtoepassing],0))</f>
        <v>Sensoren - Behandeling</v>
      </c>
      <c r="B467" s="33" t="s">
        <v>88</v>
      </c>
      <c r="C467" s="33" t="s">
        <v>91</v>
      </c>
      <c r="D467" s="427" cm="1">
        <f t="array" ref="D467">INDEX(Berekening_patiëntaantal[Percentage van patiëntaantallen in Wlz (overige is Zvw)],MATCH(B467,IF(Berekening_patiëntaantal[Doelgroep (zoeksleutel)]=C467,Berekening_patiëntaantal[Digitale zorgtoepassing]),0))</f>
        <v>0</v>
      </c>
      <c r="E467" s="33" t="str" cm="1">
        <f t="array" ref="E467">INDEX(Berekening_patiëntaantal[Direct toepasbaar/extrapolatie/incidentie voor QALY],MATCH(B467,IF(Berekening_patiëntaantal[Doelgroep (zoeksleutel)]=C467,Berekening_patiëntaantal[Digitale zorgtoepassing]),0))</f>
        <v>Huidige toepassing</v>
      </c>
      <c r="F467" s="43" t="s">
        <v>812</v>
      </c>
      <c r="G467" s="33" t="str">
        <f>CONCATENATE(uitkomst_doelgroep[[#This Row],[Digitale zorgtoepassing]],"_",uitkomst_doelgroep[[#This Row],[Doelgroep]],"_",uitkomst_doelgroep[[#This Row],[Uitgangssituatie/effect beleid]])</f>
        <v>RT monitoring (glucosemeter)_Diabetes_thuiszorg_Effect beleid</v>
      </c>
      <c r="H467" s="33">
        <v>2028</v>
      </c>
      <c r="I467" s="32">
        <v>6</v>
      </c>
      <c r="J467" s="406" cm="1">
        <f t="array" ref="J467">INDEX(implementatie[[2023]:[2034]],MATCH(G467, implementatie[Zoeksleutel],0),I467)</f>
        <v>0.9643990297909778</v>
      </c>
      <c r="K467" s="406" cm="1">
        <f t="array" ref="K467">INDEX(implementatie[[2023]:[2034]],MATCH(G467,implementatie[Zoeksleutel],0),I467 + 1)</f>
        <v>0.98073914755434266</v>
      </c>
      <c r="L46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1689.627100193793</v>
      </c>
      <c r="M467" s="398" cm="1">
        <f t="array" ref="M467">J467*INDEX(Berekening_impact[Totaal arbeidsbesparing (€/jaar)],MATCH(B467,IF(Berekening_impact[Doelgroep]=C467,Berekening_impact[Digitale zorgtoepassing]),0))</f>
        <v>7591596.7803734411</v>
      </c>
      <c r="N467" s="397" cm="1">
        <f t="array" ref="N467">J467*INDEX(Berekening_impact[Totaal arbeidsbesparing (FTE/jaar)],MATCH(B467,IF(Berekening_impact[Doelgroep]=C467,Berekening_impact[Digitale zorgtoepassing]),0))</f>
        <v>178.81886810384313</v>
      </c>
      <c r="O467" s="398" cm="1">
        <f t="array" ref="O467">J467*INDEX(Berekening_impact[Overige kostenbesparing (totaal/jaar totaal potentieel)],MATCH(B467,IF(Berekening_impact[Doelgroep]=C467,Berekening_impact[Digitale zorgtoepassing]),0))</f>
        <v>0</v>
      </c>
      <c r="P467" s="398" cm="1">
        <f t="array" ref="P467">J467*INDEX(Berekening_impact[Opbrengsten door QALY''s],MATCH(B467,IF(Berekening_impact[Doelgroep]=C467,Berekening_impact[Digitale zorgtoepassing]),0))</f>
        <v>0</v>
      </c>
      <c r="Q467" s="398" cm="1">
        <f t="array" ref="Q467">J467*INDEX(Berekening_impact[Jaarlijkse kosten (totaal) - incl. schatting],MATCH(B467,IF(Berekening_impact[Doelgroep]=C467,Berekening_impact[Digitale zorgtoepassing]),0))</f>
        <v>0</v>
      </c>
      <c r="R467" s="398" cm="1">
        <f t="array" ref="R467">(uitkomst_doelgroep[[#This Row],[Implementatiegraad t = T + 1]]-uitkomst_doelgroep[[#This Row],[Implementatiegraad t = T]])*INDEX(Berekening_impact[Initiële investering (totaal) - incl. schatting],MATCH(B467,IF(Berekening_impact[Doelgroep]=C467,Berekening_impact[Digitale zorgtoepassing]),0))</f>
        <v>0</v>
      </c>
      <c r="S467" s="398">
        <f>uitkomst_doelgroep[[#This Row],[Arbeidsbesparing (€)]]*uitkomst_doelgroep[[#This Row],[Percentage van patiëntaantallen in Wlz (overige is Zvw)]]</f>
        <v>0</v>
      </c>
      <c r="T467" s="398">
        <f>uitkomst_doelgroep[[#This Row],[Overige besparingen (€)]]*uitkomst_doelgroep[[#This Row],[Percentage van patiëntaantallen in Wlz (overige is Zvw)]]</f>
        <v>0</v>
      </c>
      <c r="U467" s="398">
        <f>uitkomst_doelgroep[[#This Row],[Kosten (€)]]*uitkomst_doelgroep[[#This Row],[Percentage van patiëntaantallen in Wlz (overige is Zvw)]]</f>
        <v>0</v>
      </c>
      <c r="V467" s="398">
        <f>uitkomst_doelgroep[[#This Row],[Investering (cash flow) (€)]]*uitkomst_doelgroep[[#This Row],[Percentage van patiëntaantallen in Wlz (overige is Zvw)]]</f>
        <v>0</v>
      </c>
    </row>
    <row r="468" spans="1:22" x14ac:dyDescent="0.5">
      <c r="A468" s="33" t="str">
        <f>INDEX(Technologieën[Veld],MATCH(B468,Technologieën[Digitale zorgtoepassing],0))</f>
        <v>Sensoren - Behandeling</v>
      </c>
      <c r="B468" s="33" t="s">
        <v>88</v>
      </c>
      <c r="C468" s="33" t="s">
        <v>89</v>
      </c>
      <c r="D468" s="427" cm="1">
        <f t="array" ref="D468">INDEX(Berekening_patiëntaantal[Percentage van patiëntaantallen in Wlz (overige is Zvw)],MATCH(B468,IF(Berekening_patiëntaantal[Doelgroep (zoeksleutel)]=C468,Berekening_patiëntaantal[Digitale zorgtoepassing]),0))</f>
        <v>0</v>
      </c>
      <c r="E468" s="33" t="str" cm="1">
        <f t="array" ref="E468">INDEX(Berekening_patiëntaantal[Direct toepasbaar/extrapolatie/incidentie voor QALY],MATCH(B468,IF(Berekening_patiëntaantal[Doelgroep (zoeksleutel)]=C468,Berekening_patiëntaantal[Digitale zorgtoepassing]),0))</f>
        <v>Huidige toepassing</v>
      </c>
      <c r="F468" s="43" t="s">
        <v>812</v>
      </c>
      <c r="G468" s="33" t="str">
        <f>CONCATENATE(uitkomst_doelgroep[[#This Row],[Digitale zorgtoepassing]],"_",uitkomst_doelgroep[[#This Row],[Doelgroep]],"_",uitkomst_doelgroep[[#This Row],[Uitgangssituatie/effect beleid]])</f>
        <v>RT monitoring (glucosemeter)_Diabetes_Effect beleid</v>
      </c>
      <c r="H468" s="33">
        <v>2029</v>
      </c>
      <c r="I468" s="32">
        <v>7</v>
      </c>
      <c r="J468" s="406" cm="1">
        <f t="array" ref="J468">INDEX(implementatie[[2023]:[2034]],MATCH(G468, implementatie[Zoeksleutel],0),I468)</f>
        <v>0.99387901783146992</v>
      </c>
      <c r="K468" s="406" cm="1">
        <f t="array" ref="K468">INDEX(implementatie[[2023]:[2034]],MATCH(G468,implementatie[Zoeksleutel],0),I468 + 1)</f>
        <v>0.99676962447130335</v>
      </c>
      <c r="L46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109326.69196146169</v>
      </c>
      <c r="M468" s="398" cm="1">
        <f t="array" ref="M468">J468*INDEX(Berekening_impact[Totaal arbeidsbesparing (€/jaar)],MATCH(B468,IF(Berekening_impact[Doelgroep]=C468,Berekening_impact[Digitale zorgtoepassing]),0))</f>
        <v>17889822.32096646</v>
      </c>
      <c r="N468" s="397" cm="1">
        <f t="array" ref="N468">J468*INDEX(Berekening_impact[Totaal arbeidsbesparing (FTE/jaar)],MATCH(B468,IF(Berekening_impact[Doelgroep]=C468,Berekening_impact[Digitale zorgtoepassing]),0))</f>
        <v>310.05224899809309</v>
      </c>
      <c r="O468" s="398" cm="1">
        <f t="array" ref="O468">J468*INDEX(Berekening_impact[Overige kostenbesparing (totaal/jaar totaal potentieel)],MATCH(B468,IF(Berekening_impact[Doelgroep]=C468,Berekening_impact[Digitale zorgtoepassing]),0))</f>
        <v>11926548.213977639</v>
      </c>
      <c r="P468" s="398" cm="1">
        <f t="array" ref="P468">J468*INDEX(Berekening_impact[Opbrengsten door QALY''s],MATCH(B468,IF(Berekening_impact[Doelgroep]=C468,Berekening_impact[Digitale zorgtoepassing]),0))</f>
        <v>163990037.94219252</v>
      </c>
      <c r="Q468" s="398" cm="1">
        <f t="array" ref="Q468">J468*INDEX(Berekening_impact[Jaarlijkse kosten (totaal) - incl. schatting],MATCH(B468,IF(Berekening_impact[Doelgroep]=C468,Berekening_impact[Digitale zorgtoepassing]),0))</f>
        <v>51000901.800021879</v>
      </c>
      <c r="R468" s="398" cm="1">
        <f t="array" ref="R468">(uitkomst_doelgroep[[#This Row],[Implementatiegraad t = T + 1]]-uitkomst_doelgroep[[#This Row],[Implementatiegraad t = T]])*INDEX(Berekening_impact[Initiële investering (totaal) - incl. schatting],MATCH(B468,IF(Berekening_impact[Doelgroep]=C468,Berekening_impact[Digitale zorgtoepassing]),0))</f>
        <v>306042.97799236403</v>
      </c>
      <c r="S468" s="398">
        <f>uitkomst_doelgroep[[#This Row],[Arbeidsbesparing (€)]]*uitkomst_doelgroep[[#This Row],[Percentage van patiëntaantallen in Wlz (overige is Zvw)]]</f>
        <v>0</v>
      </c>
      <c r="T468" s="398">
        <f>uitkomst_doelgroep[[#This Row],[Overige besparingen (€)]]*uitkomst_doelgroep[[#This Row],[Percentage van patiëntaantallen in Wlz (overige is Zvw)]]</f>
        <v>0</v>
      </c>
      <c r="U468" s="398">
        <f>uitkomst_doelgroep[[#This Row],[Kosten (€)]]*uitkomst_doelgroep[[#This Row],[Percentage van patiëntaantallen in Wlz (overige is Zvw)]]</f>
        <v>0</v>
      </c>
      <c r="V468" s="398">
        <f>uitkomst_doelgroep[[#This Row],[Investering (cash flow) (€)]]*uitkomst_doelgroep[[#This Row],[Percentage van patiëntaantallen in Wlz (overige is Zvw)]]</f>
        <v>0</v>
      </c>
    </row>
    <row r="469" spans="1:22" x14ac:dyDescent="0.5">
      <c r="A469" s="33" t="str">
        <f>INDEX(Technologieën[Veld],MATCH(B469,Technologieën[Digitale zorgtoepassing],0))</f>
        <v>Sensoren - Behandeling</v>
      </c>
      <c r="B469" s="33" t="s">
        <v>88</v>
      </c>
      <c r="C469" s="33" t="s">
        <v>91</v>
      </c>
      <c r="D469" s="427" cm="1">
        <f t="array" ref="D469">INDEX(Berekening_patiëntaantal[Percentage van patiëntaantallen in Wlz (overige is Zvw)],MATCH(B469,IF(Berekening_patiëntaantal[Doelgroep (zoeksleutel)]=C469,Berekening_patiëntaantal[Digitale zorgtoepassing]),0))</f>
        <v>0</v>
      </c>
      <c r="E469" s="33" t="str" cm="1">
        <f t="array" ref="E469">INDEX(Berekening_patiëntaantal[Direct toepasbaar/extrapolatie/incidentie voor QALY],MATCH(B469,IF(Berekening_patiëntaantal[Doelgroep (zoeksleutel)]=C469,Berekening_patiëntaantal[Digitale zorgtoepassing]),0))</f>
        <v>Huidige toepassing</v>
      </c>
      <c r="F469" s="43" t="s">
        <v>812</v>
      </c>
      <c r="G469" s="33" t="str">
        <f>CONCATENATE(uitkomst_doelgroep[[#This Row],[Digitale zorgtoepassing]],"_",uitkomst_doelgroep[[#This Row],[Doelgroep]],"_",uitkomst_doelgroep[[#This Row],[Uitgangssituatie/effect beleid]])</f>
        <v>RT monitoring (glucosemeter)_Diabetes_thuiszorg_Effect beleid</v>
      </c>
      <c r="H469" s="33">
        <v>2029</v>
      </c>
      <c r="I469" s="32">
        <v>7</v>
      </c>
      <c r="J469" s="406" cm="1">
        <f t="array" ref="J469">INDEX(implementatie[[2023]:[2034]],MATCH(G469, implementatie[Zoeksleutel],0),I469)</f>
        <v>0.98073914755434266</v>
      </c>
      <c r="K469" s="406" cm="1">
        <f t="array" ref="K469">INDEX(implementatie[[2023]:[2034]],MATCH(G469,implementatie[Zoeksleutel],0),I469 + 1)</f>
        <v>0.98972111126940987</v>
      </c>
      <c r="L46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1718.2549865152084</v>
      </c>
      <c r="M469" s="398" cm="1">
        <f t="array" ref="M469">J469*INDEX(Berekening_impact[Totaal arbeidsbesparing (€/jaar)],MATCH(B469,IF(Berekening_impact[Doelgroep]=C469,Berekening_impact[Digitale zorgtoepassing]),0))</f>
        <v>7720223.6055478398</v>
      </c>
      <c r="N469" s="397" cm="1">
        <f t="array" ref="N469">J469*INDEX(Berekening_impact[Totaal arbeidsbesparing (FTE/jaar)],MATCH(B469,IF(Berekening_impact[Doelgroep]=C469,Berekening_impact[Digitale zorgtoepassing]),0))</f>
        <v>181.84865273952624</v>
      </c>
      <c r="O469" s="398" cm="1">
        <f t="array" ref="O469">J469*INDEX(Berekening_impact[Overige kostenbesparing (totaal/jaar totaal potentieel)],MATCH(B469,IF(Berekening_impact[Doelgroep]=C469,Berekening_impact[Digitale zorgtoepassing]),0))</f>
        <v>0</v>
      </c>
      <c r="P469" s="398" cm="1">
        <f t="array" ref="P469">J469*INDEX(Berekening_impact[Opbrengsten door QALY''s],MATCH(B469,IF(Berekening_impact[Doelgroep]=C469,Berekening_impact[Digitale zorgtoepassing]),0))</f>
        <v>0</v>
      </c>
      <c r="Q469" s="398" cm="1">
        <f t="array" ref="Q469">J469*INDEX(Berekening_impact[Jaarlijkse kosten (totaal) - incl. schatting],MATCH(B469,IF(Berekening_impact[Doelgroep]=C469,Berekening_impact[Digitale zorgtoepassing]),0))</f>
        <v>0</v>
      </c>
      <c r="R469" s="398" cm="1">
        <f t="array" ref="R469">(uitkomst_doelgroep[[#This Row],[Implementatiegraad t = T + 1]]-uitkomst_doelgroep[[#This Row],[Implementatiegraad t = T]])*INDEX(Berekening_impact[Initiële investering (totaal) - incl. schatting],MATCH(B469,IF(Berekening_impact[Doelgroep]=C469,Berekening_impact[Digitale zorgtoepassing]),0))</f>
        <v>0</v>
      </c>
      <c r="S469" s="398">
        <f>uitkomst_doelgroep[[#This Row],[Arbeidsbesparing (€)]]*uitkomst_doelgroep[[#This Row],[Percentage van patiëntaantallen in Wlz (overige is Zvw)]]</f>
        <v>0</v>
      </c>
      <c r="T469" s="398">
        <f>uitkomst_doelgroep[[#This Row],[Overige besparingen (€)]]*uitkomst_doelgroep[[#This Row],[Percentage van patiëntaantallen in Wlz (overige is Zvw)]]</f>
        <v>0</v>
      </c>
      <c r="U469" s="398">
        <f>uitkomst_doelgroep[[#This Row],[Kosten (€)]]*uitkomst_doelgroep[[#This Row],[Percentage van patiëntaantallen in Wlz (overige is Zvw)]]</f>
        <v>0</v>
      </c>
      <c r="V469" s="398">
        <f>uitkomst_doelgroep[[#This Row],[Investering (cash flow) (€)]]*uitkomst_doelgroep[[#This Row],[Percentage van patiëntaantallen in Wlz (overige is Zvw)]]</f>
        <v>0</v>
      </c>
    </row>
    <row r="470" spans="1:22" x14ac:dyDescent="0.5">
      <c r="A470" s="33" t="str">
        <f>INDEX(Technologieën[Veld],MATCH(B470,Technologieën[Digitale zorgtoepassing],0))</f>
        <v>Sensoren - Behandeling</v>
      </c>
      <c r="B470" s="33" t="s">
        <v>88</v>
      </c>
      <c r="C470" s="33" t="s">
        <v>89</v>
      </c>
      <c r="D470" s="427" cm="1">
        <f t="array" ref="D470">INDEX(Berekening_patiëntaantal[Percentage van patiëntaantallen in Wlz (overige is Zvw)],MATCH(B470,IF(Berekening_patiëntaantal[Doelgroep (zoeksleutel)]=C470,Berekening_patiëntaantal[Digitale zorgtoepassing]),0))</f>
        <v>0</v>
      </c>
      <c r="E470" s="33" t="str" cm="1">
        <f t="array" ref="E470">INDEX(Berekening_patiëntaantal[Direct toepasbaar/extrapolatie/incidentie voor QALY],MATCH(B470,IF(Berekening_patiëntaantal[Doelgroep (zoeksleutel)]=C470,Berekening_patiëntaantal[Digitale zorgtoepassing]),0))</f>
        <v>Huidige toepassing</v>
      </c>
      <c r="F470" s="43" t="s">
        <v>812</v>
      </c>
      <c r="G470" s="33" t="str">
        <f>CONCATENATE(uitkomst_doelgroep[[#This Row],[Digitale zorgtoepassing]],"_",uitkomst_doelgroep[[#This Row],[Doelgroep]],"_",uitkomst_doelgroep[[#This Row],[Uitgangssituatie/effect beleid]])</f>
        <v>RT monitoring (glucosemeter)_Diabetes_Effect beleid</v>
      </c>
      <c r="H470" s="33">
        <v>2030</v>
      </c>
      <c r="I470" s="32">
        <v>8</v>
      </c>
      <c r="J470" s="406" cm="1">
        <f t="array" ref="J470">INDEX(implementatie[[2023]:[2034]],MATCH(G470, implementatie[Zoeksleutel],0),I470)</f>
        <v>0.99676962447130335</v>
      </c>
      <c r="K470" s="406" cm="1">
        <f t="array" ref="K470">INDEX(implementatie[[2023]:[2034]],MATCH(G470,implementatie[Zoeksleutel],0),I470 + 1)</f>
        <v>0.99829935695070882</v>
      </c>
      <c r="L47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109644.65869184337</v>
      </c>
      <c r="M470" s="398" cm="1">
        <f t="array" ref="M470">J470*INDEX(Berekening_impact[Totaal arbeidsbesparing (€/jaar)],MATCH(B470,IF(Berekening_impact[Doelgroep]=C470,Berekening_impact[Digitale zorgtoepassing]),0))</f>
        <v>17941853.240483459</v>
      </c>
      <c r="N470" s="397" cm="1">
        <f t="array" ref="N470">J470*INDEX(Berekening_impact[Totaal arbeidsbesparing (FTE/jaar)],MATCH(B470,IF(Berekening_impact[Doelgroep]=C470,Berekening_impact[Digitale zorgtoepassing]),0))</f>
        <v>310.95400773690284</v>
      </c>
      <c r="O470" s="398" cm="1">
        <f t="array" ref="O470">J470*INDEX(Berekening_impact[Overige kostenbesparing (totaal/jaar totaal potentieel)],MATCH(B470,IF(Berekening_impact[Doelgroep]=C470,Berekening_impact[Digitale zorgtoepassing]),0))</f>
        <v>11961235.493655641</v>
      </c>
      <c r="P470" s="398" cm="1">
        <f t="array" ref="P470">J470*INDEX(Berekening_impact[Opbrengsten door QALY''s],MATCH(B470,IF(Berekening_impact[Doelgroep]=C470,Berekening_impact[Digitale zorgtoepassing]),0))</f>
        <v>164466988.03776506</v>
      </c>
      <c r="Q470" s="398" cm="1">
        <f t="array" ref="Q470">J470*INDEX(Berekening_impact[Jaarlijkse kosten (totaal) - incl. schatting],MATCH(B470,IF(Berekening_impact[Doelgroep]=C470,Berekening_impact[Digitale zorgtoepassing]),0))</f>
        <v>51149233.279744931</v>
      </c>
      <c r="R470" s="398" cm="1">
        <f t="array" ref="R470">(uitkomst_doelgroep[[#This Row],[Implementatiegraad t = T + 1]]-uitkomst_doelgroep[[#This Row],[Implementatiegraad t = T]])*INDEX(Berekening_impact[Initiële investering (totaal) - incl. schatting],MATCH(B470,IF(Berekening_impact[Doelgroep]=C470,Berekening_impact[Digitale zorgtoepassing]),0))</f>
        <v>161960.42625705368</v>
      </c>
      <c r="S470" s="398">
        <f>uitkomst_doelgroep[[#This Row],[Arbeidsbesparing (€)]]*uitkomst_doelgroep[[#This Row],[Percentage van patiëntaantallen in Wlz (overige is Zvw)]]</f>
        <v>0</v>
      </c>
      <c r="T470" s="398">
        <f>uitkomst_doelgroep[[#This Row],[Overige besparingen (€)]]*uitkomst_doelgroep[[#This Row],[Percentage van patiëntaantallen in Wlz (overige is Zvw)]]</f>
        <v>0</v>
      </c>
      <c r="U470" s="398">
        <f>uitkomst_doelgroep[[#This Row],[Kosten (€)]]*uitkomst_doelgroep[[#This Row],[Percentage van patiëntaantallen in Wlz (overige is Zvw)]]</f>
        <v>0</v>
      </c>
      <c r="V470" s="398">
        <f>uitkomst_doelgroep[[#This Row],[Investering (cash flow) (€)]]*uitkomst_doelgroep[[#This Row],[Percentage van patiëntaantallen in Wlz (overige is Zvw)]]</f>
        <v>0</v>
      </c>
    </row>
    <row r="471" spans="1:22" x14ac:dyDescent="0.5">
      <c r="A471" s="33" t="str">
        <f>INDEX(Technologieën[Veld],MATCH(B471,Technologieën[Digitale zorgtoepassing],0))</f>
        <v>Sensoren - Behandeling</v>
      </c>
      <c r="B471" s="33" t="s">
        <v>88</v>
      </c>
      <c r="C471" s="33" t="s">
        <v>91</v>
      </c>
      <c r="D471" s="427" cm="1">
        <f t="array" ref="D471">INDEX(Berekening_patiëntaantal[Percentage van patiëntaantallen in Wlz (overige is Zvw)],MATCH(B471,IF(Berekening_patiëntaantal[Doelgroep (zoeksleutel)]=C471,Berekening_patiëntaantal[Digitale zorgtoepassing]),0))</f>
        <v>0</v>
      </c>
      <c r="E471" s="33" t="str" cm="1">
        <f t="array" ref="E471">INDEX(Berekening_patiëntaantal[Direct toepasbaar/extrapolatie/incidentie voor QALY],MATCH(B471,IF(Berekening_patiëntaantal[Doelgroep (zoeksleutel)]=C471,Berekening_patiëntaantal[Digitale zorgtoepassing]),0))</f>
        <v>Huidige toepassing</v>
      </c>
      <c r="F471" s="43" t="s">
        <v>812</v>
      </c>
      <c r="G471" s="33" t="str">
        <f>CONCATENATE(uitkomst_doelgroep[[#This Row],[Digitale zorgtoepassing]],"_",uitkomst_doelgroep[[#This Row],[Doelgroep]],"_",uitkomst_doelgroep[[#This Row],[Uitgangssituatie/effect beleid]])</f>
        <v>RT monitoring (glucosemeter)_Diabetes_thuiszorg_Effect beleid</v>
      </c>
      <c r="H471" s="33">
        <v>2030</v>
      </c>
      <c r="I471" s="32">
        <v>8</v>
      </c>
      <c r="J471" s="406" cm="1">
        <f t="array" ref="J471">INDEX(implementatie[[2023]:[2034]],MATCH(G471, implementatie[Zoeksleutel],0),I471)</f>
        <v>0.98972111126940987</v>
      </c>
      <c r="K471" s="406" cm="1">
        <f t="array" ref="K471">INDEX(implementatie[[2023]:[2034]],MATCH(G471,implementatie[Zoeksleutel],0),I471 + 1)</f>
        <v>0.99455603841734896</v>
      </c>
      <c r="L47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1733.9913869440061</v>
      </c>
      <c r="M471" s="398" cm="1">
        <f t="array" ref="M471">J471*INDEX(Berekening_impact[Totaal arbeidsbesparing (€/jaar)],MATCH(B471,IF(Berekening_impact[Doelgroep]=C471,Berekening_impact[Digitale zorgtoepassing]),0))</f>
        <v>7790928.2046965072</v>
      </c>
      <c r="N471" s="397" cm="1">
        <f t="array" ref="N471">J471*INDEX(Berekening_impact[Totaal arbeidsbesparing (FTE/jaar)],MATCH(B471,IF(Berekening_impact[Doelgroep]=C471,Berekening_impact[Digitale zorgtoepassing]),0))</f>
        <v>183.514088451574</v>
      </c>
      <c r="O471" s="398" cm="1">
        <f t="array" ref="O471">J471*INDEX(Berekening_impact[Overige kostenbesparing (totaal/jaar totaal potentieel)],MATCH(B471,IF(Berekening_impact[Doelgroep]=C471,Berekening_impact[Digitale zorgtoepassing]),0))</f>
        <v>0</v>
      </c>
      <c r="P471" s="398" cm="1">
        <f t="array" ref="P471">J471*INDEX(Berekening_impact[Opbrengsten door QALY''s],MATCH(B471,IF(Berekening_impact[Doelgroep]=C471,Berekening_impact[Digitale zorgtoepassing]),0))</f>
        <v>0</v>
      </c>
      <c r="Q471" s="398" cm="1">
        <f t="array" ref="Q471">J471*INDEX(Berekening_impact[Jaarlijkse kosten (totaal) - incl. schatting],MATCH(B471,IF(Berekening_impact[Doelgroep]=C471,Berekening_impact[Digitale zorgtoepassing]),0))</f>
        <v>0</v>
      </c>
      <c r="R471" s="398" cm="1">
        <f t="array" ref="R471">(uitkomst_doelgroep[[#This Row],[Implementatiegraad t = T + 1]]-uitkomst_doelgroep[[#This Row],[Implementatiegraad t = T]])*INDEX(Berekening_impact[Initiële investering (totaal) - incl. schatting],MATCH(B471,IF(Berekening_impact[Doelgroep]=C471,Berekening_impact[Digitale zorgtoepassing]),0))</f>
        <v>0</v>
      </c>
      <c r="S471" s="398">
        <f>uitkomst_doelgroep[[#This Row],[Arbeidsbesparing (€)]]*uitkomst_doelgroep[[#This Row],[Percentage van patiëntaantallen in Wlz (overige is Zvw)]]</f>
        <v>0</v>
      </c>
      <c r="T471" s="398">
        <f>uitkomst_doelgroep[[#This Row],[Overige besparingen (€)]]*uitkomst_doelgroep[[#This Row],[Percentage van patiëntaantallen in Wlz (overige is Zvw)]]</f>
        <v>0</v>
      </c>
      <c r="U471" s="398">
        <f>uitkomst_doelgroep[[#This Row],[Kosten (€)]]*uitkomst_doelgroep[[#This Row],[Percentage van patiëntaantallen in Wlz (overige is Zvw)]]</f>
        <v>0</v>
      </c>
      <c r="V471" s="398">
        <f>uitkomst_doelgroep[[#This Row],[Investering (cash flow) (€)]]*uitkomst_doelgroep[[#This Row],[Percentage van patiëntaantallen in Wlz (overige is Zvw)]]</f>
        <v>0</v>
      </c>
    </row>
    <row r="472" spans="1:22" x14ac:dyDescent="0.5">
      <c r="A472" s="33" t="str">
        <f>INDEX(Technologieën[Veld],MATCH(B472,Technologieën[Digitale zorgtoepassing],0))</f>
        <v>Sensoren - Behandeling</v>
      </c>
      <c r="B472" s="33" t="s">
        <v>88</v>
      </c>
      <c r="C472" s="33" t="s">
        <v>89</v>
      </c>
      <c r="D472" s="427" cm="1">
        <f t="array" ref="D472">INDEX(Berekening_patiëntaantal[Percentage van patiëntaantallen in Wlz (overige is Zvw)],MATCH(B472,IF(Berekening_patiëntaantal[Doelgroep (zoeksleutel)]=C472,Berekening_patiëntaantal[Digitale zorgtoepassing]),0))</f>
        <v>0</v>
      </c>
      <c r="E472" s="33" t="str" cm="1">
        <f t="array" ref="E472">INDEX(Berekening_patiëntaantal[Direct toepasbaar/extrapolatie/incidentie voor QALY],MATCH(B472,IF(Berekening_patiëntaantal[Doelgroep (zoeksleutel)]=C472,Berekening_patiëntaantal[Digitale zorgtoepassing]),0))</f>
        <v>Huidige toepassing</v>
      </c>
      <c r="F472" s="43" t="s">
        <v>812</v>
      </c>
      <c r="G472" s="33" t="str">
        <f>CONCATENATE(uitkomst_doelgroep[[#This Row],[Digitale zorgtoepassing]],"_",uitkomst_doelgroep[[#This Row],[Doelgroep]],"_",uitkomst_doelgroep[[#This Row],[Uitgangssituatie/effect beleid]])</f>
        <v>RT monitoring (glucosemeter)_Diabetes_Effect beleid</v>
      </c>
      <c r="H472" s="33">
        <v>2031</v>
      </c>
      <c r="I472" s="32">
        <v>9</v>
      </c>
      <c r="J472" s="406" cm="1">
        <f t="array" ref="J472">INDEX(implementatie[[2023]:[2034]],MATCH(G472, implementatie[Zoeksleutel],0),I472)</f>
        <v>0.99829935695070882</v>
      </c>
      <c r="K472" s="406" cm="1">
        <f t="array" ref="K472">INDEX(implementatie[[2023]:[2034]],MATCH(G472,implementatie[Zoeksleutel],0),I472 + 1)</f>
        <v>0.9991058609150707</v>
      </c>
      <c r="L47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109812.92926457796</v>
      </c>
      <c r="M472" s="398" cm="1">
        <f t="array" ref="M472">J472*INDEX(Berekening_impact[Totaal arbeidsbesparing (€/jaar)],MATCH(B472,IF(Berekening_impact[Doelgroep]=C472,Berekening_impact[Digitale zorgtoepassing]),0))</f>
        <v>17969388.425112758</v>
      </c>
      <c r="N472" s="397" cm="1">
        <f t="array" ref="N472">J472*INDEX(Berekening_impact[Totaal arbeidsbesparing (FTE/jaar)],MATCH(B472,IF(Berekening_impact[Doelgroep]=C472,Berekening_impact[Digitale zorgtoepassing]),0))</f>
        <v>311.43122577561337</v>
      </c>
      <c r="O472" s="398" cm="1">
        <f t="array" ref="O472">J472*INDEX(Berekening_impact[Overige kostenbesparing (totaal/jaar totaal potentieel)],MATCH(B472,IF(Berekening_impact[Doelgroep]=C472,Berekening_impact[Digitale zorgtoepassing]),0))</f>
        <v>11979592.283408506</v>
      </c>
      <c r="P472" s="398" cm="1">
        <f t="array" ref="P472">J472*INDEX(Berekening_impact[Opbrengsten door QALY''s],MATCH(B472,IF(Berekening_impact[Doelgroep]=C472,Berekening_impact[Digitale zorgtoepassing]),0))</f>
        <v>164719393.89686695</v>
      </c>
      <c r="Q472" s="398" cm="1">
        <f t="array" ref="Q472">J472*INDEX(Berekening_impact[Jaarlijkse kosten (totaal) - incl. schatting],MATCH(B472,IF(Berekening_impact[Doelgroep]=C472,Berekening_impact[Digitale zorgtoepassing]),0))</f>
        <v>51227731.501925625</v>
      </c>
      <c r="R472" s="398" cm="1">
        <f t="array" ref="R472">(uitkomst_doelgroep[[#This Row],[Implementatiegraad t = T + 1]]-uitkomst_doelgroep[[#This Row],[Implementatiegraad t = T]])*INDEX(Berekening_impact[Initiële investering (totaal) - incl. schatting],MATCH(B472,IF(Berekening_impact[Doelgroep]=C472,Berekening_impact[Digitale zorgtoepassing]),0))</f>
        <v>85388.607226814274</v>
      </c>
      <c r="S472" s="398">
        <f>uitkomst_doelgroep[[#This Row],[Arbeidsbesparing (€)]]*uitkomst_doelgroep[[#This Row],[Percentage van patiëntaantallen in Wlz (overige is Zvw)]]</f>
        <v>0</v>
      </c>
      <c r="T472" s="398">
        <f>uitkomst_doelgroep[[#This Row],[Overige besparingen (€)]]*uitkomst_doelgroep[[#This Row],[Percentage van patiëntaantallen in Wlz (overige is Zvw)]]</f>
        <v>0</v>
      </c>
      <c r="U472" s="398">
        <f>uitkomst_doelgroep[[#This Row],[Kosten (€)]]*uitkomst_doelgroep[[#This Row],[Percentage van patiëntaantallen in Wlz (overige is Zvw)]]</f>
        <v>0</v>
      </c>
      <c r="V472" s="398">
        <f>uitkomst_doelgroep[[#This Row],[Investering (cash flow) (€)]]*uitkomst_doelgroep[[#This Row],[Percentage van patiëntaantallen in Wlz (overige is Zvw)]]</f>
        <v>0</v>
      </c>
    </row>
    <row r="473" spans="1:22" ht="17.5" thickBot="1" x14ac:dyDescent="0.55000000000000004">
      <c r="A473" s="33" t="str">
        <f>INDEX(Technologieën[Veld],MATCH(B473,Technologieën[Digitale zorgtoepassing],0))</f>
        <v>Sensoren - Behandeling</v>
      </c>
      <c r="B473" s="40" t="s">
        <v>88</v>
      </c>
      <c r="C473" s="40" t="s">
        <v>91</v>
      </c>
      <c r="D473" s="427" cm="1">
        <f t="array" ref="D473">INDEX(Berekening_patiëntaantal[Percentage van patiëntaantallen in Wlz (overige is Zvw)],MATCH(B473,IF(Berekening_patiëntaantal[Doelgroep (zoeksleutel)]=C473,Berekening_patiëntaantal[Digitale zorgtoepassing]),0))</f>
        <v>0</v>
      </c>
      <c r="E473" s="33" t="str" cm="1">
        <f t="array" ref="E473">INDEX(Berekening_patiëntaantal[Direct toepasbaar/extrapolatie/incidentie voor QALY],MATCH(B473,IF(Berekening_patiëntaantal[Doelgroep (zoeksleutel)]=C473,Berekening_patiëntaantal[Digitale zorgtoepassing]),0))</f>
        <v>Huidige toepassing</v>
      </c>
      <c r="F473" s="43" t="s">
        <v>812</v>
      </c>
      <c r="G473" s="33" t="str">
        <f>CONCATENATE(uitkomst_doelgroep[[#This Row],[Digitale zorgtoepassing]],"_",uitkomst_doelgroep[[#This Row],[Doelgroep]],"_",uitkomst_doelgroep[[#This Row],[Uitgangssituatie/effect beleid]])</f>
        <v>RT monitoring (glucosemeter)_Diabetes_thuiszorg_Effect beleid</v>
      </c>
      <c r="H473" s="33">
        <v>2031</v>
      </c>
      <c r="I473" s="32">
        <v>9</v>
      </c>
      <c r="J473" s="406" cm="1">
        <f t="array" ref="J473">INDEX(implementatie[[2023]:[2034]],MATCH(G473, implementatie[Zoeksleutel],0),I473)</f>
        <v>0.99455603841734896</v>
      </c>
      <c r="K473" s="406" cm="1">
        <f t="array" ref="K473">INDEX(implementatie[[2023]:[2034]],MATCH(G473,implementatie[Zoeksleutel],0),I473 + 1)</f>
        <v>0.9971285836461371</v>
      </c>
      <c r="L47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1742.4621793071954</v>
      </c>
      <c r="M473" s="398" cm="1">
        <f t="array" ref="M473">J473*INDEX(Berekening_impact[Totaal arbeidsbesparing (€/jaar)],MATCH(B473,IF(Berekening_impact[Doelgroep]=C473,Berekening_impact[Digitale zorgtoepassing]),0))</f>
        <v>7828987.9872510275</v>
      </c>
      <c r="N473" s="397" cm="1">
        <f t="array" ref="N473">J473*INDEX(Berekening_impact[Totaal arbeidsbesparing (FTE/jaar)],MATCH(B473,IF(Berekening_impact[Doelgroep]=C473,Berekening_impact[Digitale zorgtoepassing]),0))</f>
        <v>184.41058064334487</v>
      </c>
      <c r="O473" s="398" cm="1">
        <f t="array" ref="O473">J473*INDEX(Berekening_impact[Overige kostenbesparing (totaal/jaar totaal potentieel)],MATCH(B473,IF(Berekening_impact[Doelgroep]=C473,Berekening_impact[Digitale zorgtoepassing]),0))</f>
        <v>0</v>
      </c>
      <c r="P473" s="398" cm="1">
        <f t="array" ref="P473">J473*INDEX(Berekening_impact[Opbrengsten door QALY''s],MATCH(B473,IF(Berekening_impact[Doelgroep]=C473,Berekening_impact[Digitale zorgtoepassing]),0))</f>
        <v>0</v>
      </c>
      <c r="Q473" s="398" cm="1">
        <f t="array" ref="Q473">J473*INDEX(Berekening_impact[Jaarlijkse kosten (totaal) - incl. schatting],MATCH(B473,IF(Berekening_impact[Doelgroep]=C473,Berekening_impact[Digitale zorgtoepassing]),0))</f>
        <v>0</v>
      </c>
      <c r="R473" s="398" cm="1">
        <f t="array" ref="R473">(uitkomst_doelgroep[[#This Row],[Implementatiegraad t = T + 1]]-uitkomst_doelgroep[[#This Row],[Implementatiegraad t = T]])*INDEX(Berekening_impact[Initiële investering (totaal) - incl. schatting],MATCH(B473,IF(Berekening_impact[Doelgroep]=C473,Berekening_impact[Digitale zorgtoepassing]),0))</f>
        <v>0</v>
      </c>
      <c r="S473" s="398">
        <f>uitkomst_doelgroep[[#This Row],[Arbeidsbesparing (€)]]*uitkomst_doelgroep[[#This Row],[Percentage van patiëntaantallen in Wlz (overige is Zvw)]]</f>
        <v>0</v>
      </c>
      <c r="T473" s="398">
        <f>uitkomst_doelgroep[[#This Row],[Overige besparingen (€)]]*uitkomst_doelgroep[[#This Row],[Percentage van patiëntaantallen in Wlz (overige is Zvw)]]</f>
        <v>0</v>
      </c>
      <c r="U473" s="398">
        <f>uitkomst_doelgroep[[#This Row],[Kosten (€)]]*uitkomst_doelgroep[[#This Row],[Percentage van patiëntaantallen in Wlz (overige is Zvw)]]</f>
        <v>0</v>
      </c>
      <c r="V473" s="398">
        <f>uitkomst_doelgroep[[#This Row],[Investering (cash flow) (€)]]*uitkomst_doelgroep[[#This Row],[Percentage van patiëntaantallen in Wlz (overige is Zvw)]]</f>
        <v>0</v>
      </c>
    </row>
    <row r="474" spans="1:22" x14ac:dyDescent="0.5">
      <c r="A474" s="33" t="str">
        <f>INDEX(Technologieën[Veld],MATCH(B474,Technologieën[Digitale zorgtoepassing],0))</f>
        <v>Sensoren - Behandeling</v>
      </c>
      <c r="B474" s="33" t="s">
        <v>88</v>
      </c>
      <c r="C474" s="33" t="s">
        <v>89</v>
      </c>
      <c r="D474" s="427" cm="1">
        <f t="array" ref="D474">INDEX(Berekening_patiëntaantal[Percentage van patiëntaantallen in Wlz (overige is Zvw)],MATCH(B474,IF(Berekening_patiëntaantal[Doelgroep (zoeksleutel)]=C474,Berekening_patiëntaantal[Digitale zorgtoepassing]),0))</f>
        <v>0</v>
      </c>
      <c r="E474" s="33" t="str" cm="1">
        <f t="array" ref="E474">INDEX(Berekening_patiëntaantal[Direct toepasbaar/extrapolatie/incidentie voor QALY],MATCH(B474,IF(Berekening_patiëntaantal[Doelgroep (zoeksleutel)]=C474,Berekening_patiëntaantal[Digitale zorgtoepassing]),0))</f>
        <v>Huidige toepassing</v>
      </c>
      <c r="F474" s="43" t="s">
        <v>812</v>
      </c>
      <c r="G474" s="33" t="str">
        <f>CONCATENATE(uitkomst_doelgroep[[#This Row],[Digitale zorgtoepassing]],"_",uitkomst_doelgroep[[#This Row],[Doelgroep]],"_",uitkomst_doelgroep[[#This Row],[Uitgangssituatie/effect beleid]])</f>
        <v>RT monitoring (glucosemeter)_Diabetes_Effect beleid</v>
      </c>
      <c r="H474" s="33">
        <v>2032</v>
      </c>
      <c r="I474" s="32">
        <v>10</v>
      </c>
      <c r="J474" s="406" cm="1">
        <f t="array" ref="J474">INDEX(implementatie[[2023]:[2034]],MATCH(G474, implementatie[Zoeksleutel],0),I474)</f>
        <v>0.9991058609150707</v>
      </c>
      <c r="K474" s="406" cm="1">
        <f t="array" ref="K474">INDEX(implementatie[[2023]:[2034]],MATCH(G474,implementatie[Zoeksleutel],0),I474 + 1)</f>
        <v>0.99953021721229562</v>
      </c>
      <c r="L47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109901.64470065778</v>
      </c>
      <c r="M474" s="398" cm="1">
        <f t="array" ref="M474">J474*INDEX(Berekening_impact[Totaal arbeidsbesparing (€/jaar)],MATCH(B474,IF(Berekening_impact[Doelgroep]=C474,Berekening_impact[Digitale zorgtoepassing]),0))</f>
        <v>17983905.496471271</v>
      </c>
      <c r="N474" s="397" cm="1">
        <f t="array" ref="N474">J474*INDEX(Berekening_impact[Totaal arbeidsbesparing (FTE/jaar)],MATCH(B474,IF(Berekening_impact[Doelgroep]=C474,Berekening_impact[Digitale zorgtoepassing]),0))</f>
        <v>311.68282417289305</v>
      </c>
      <c r="O474" s="398" cm="1">
        <f t="array" ref="O474">J474*INDEX(Berekening_impact[Overige kostenbesparing (totaal/jaar totaal potentieel)],MATCH(B474,IF(Berekening_impact[Doelgroep]=C474,Berekening_impact[Digitale zorgtoepassing]),0))</f>
        <v>11989270.330980849</v>
      </c>
      <c r="P474" s="398" cm="1">
        <f t="array" ref="P474">J474*INDEX(Berekening_impact[Opbrengsten door QALY''s],MATCH(B474,IF(Berekening_impact[Doelgroep]=C474,Berekening_impact[Digitale zorgtoepassing]),0))</f>
        <v>164852467.05098668</v>
      </c>
      <c r="Q474" s="398" cm="1">
        <f t="array" ref="Q474">J474*INDEX(Berekening_impact[Jaarlijkse kosten (totaal) - incl. schatting],MATCH(B474,IF(Berekening_impact[Doelgroep]=C474,Berekening_impact[Digitale zorgtoepassing]),0))</f>
        <v>51269117.252856851</v>
      </c>
      <c r="R474" s="398" cm="1">
        <f t="array" ref="R474">(uitkomst_doelgroep[[#This Row],[Implementatiegraad t = T + 1]]-uitkomst_doelgroep[[#This Row],[Implementatiegraad t = T]])*INDEX(Berekening_impact[Initiële investering (totaal) - incl. schatting],MATCH(B474,IF(Berekening_impact[Doelgroep]=C474,Berekening_impact[Digitale zorgtoepassing]),0))</f>
        <v>44928.722968689035</v>
      </c>
      <c r="S474" s="398">
        <f>uitkomst_doelgroep[[#This Row],[Arbeidsbesparing (€)]]*uitkomst_doelgroep[[#This Row],[Percentage van patiëntaantallen in Wlz (overige is Zvw)]]</f>
        <v>0</v>
      </c>
      <c r="T474" s="398">
        <f>uitkomst_doelgroep[[#This Row],[Overige besparingen (€)]]*uitkomst_doelgroep[[#This Row],[Percentage van patiëntaantallen in Wlz (overige is Zvw)]]</f>
        <v>0</v>
      </c>
      <c r="U474" s="398">
        <f>uitkomst_doelgroep[[#This Row],[Kosten (€)]]*uitkomst_doelgroep[[#This Row],[Percentage van patiëntaantallen in Wlz (overige is Zvw)]]</f>
        <v>0</v>
      </c>
      <c r="V474" s="398">
        <f>uitkomst_doelgroep[[#This Row],[Investering (cash flow) (€)]]*uitkomst_doelgroep[[#This Row],[Percentage van patiëntaantallen in Wlz (overige is Zvw)]]</f>
        <v>0</v>
      </c>
    </row>
    <row r="475" spans="1:22" x14ac:dyDescent="0.5">
      <c r="A475" s="33" t="str">
        <f>INDEX(Technologieën[Veld],MATCH(B475,Technologieën[Digitale zorgtoepassing],0))</f>
        <v>Sensoren - Behandeling</v>
      </c>
      <c r="B475" s="33" t="s">
        <v>88</v>
      </c>
      <c r="C475" s="33" t="s">
        <v>91</v>
      </c>
      <c r="D475" s="427" cm="1">
        <f t="array" ref="D475">INDEX(Berekening_patiëntaantal[Percentage van patiëntaantallen in Wlz (overige is Zvw)],MATCH(B475,IF(Berekening_patiëntaantal[Doelgroep (zoeksleutel)]=C475,Berekening_patiëntaantal[Digitale zorgtoepassing]),0))</f>
        <v>0</v>
      </c>
      <c r="E475" s="33" t="str" cm="1">
        <f t="array" ref="E475">INDEX(Berekening_patiëntaantal[Direct toepasbaar/extrapolatie/incidentie voor QALY],MATCH(B475,IF(Berekening_patiëntaantal[Doelgroep (zoeksleutel)]=C475,Berekening_patiëntaantal[Digitale zorgtoepassing]),0))</f>
        <v>Huidige toepassing</v>
      </c>
      <c r="F475" s="43" t="s">
        <v>812</v>
      </c>
      <c r="G475" s="33" t="str">
        <f>CONCATENATE(uitkomst_doelgroep[[#This Row],[Digitale zorgtoepassing]],"_",uitkomst_doelgroep[[#This Row],[Doelgroep]],"_",uitkomst_doelgroep[[#This Row],[Uitgangssituatie/effect beleid]])</f>
        <v>RT monitoring (glucosemeter)_Diabetes_thuiszorg_Effect beleid</v>
      </c>
      <c r="H475" s="33">
        <v>2032</v>
      </c>
      <c r="I475" s="32">
        <v>10</v>
      </c>
      <c r="J475" s="406" cm="1">
        <f t="array" ref="J475">INDEX(implementatie[[2023]:[2034]],MATCH(G475, implementatie[Zoeksleutel],0),I475)</f>
        <v>0.9971285836461371</v>
      </c>
      <c r="K475" s="406" cm="1">
        <f t="array" ref="K475">INDEX(implementatie[[2023]:[2034]],MATCH(G475,implementatie[Zoeksleutel],0),I475 + 1)</f>
        <v>0.99848879614987718</v>
      </c>
      <c r="L47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1746.9692785480322</v>
      </c>
      <c r="M475" s="398" cm="1">
        <f t="array" ref="M475">J475*INDEX(Berekening_impact[Totaal arbeidsbesparing (€/jaar)],MATCH(B475,IF(Berekening_impact[Doelgroep]=C475,Berekening_impact[Digitale zorgtoepassing]),0))</f>
        <v>7849238.6568109766</v>
      </c>
      <c r="N475" s="397" cm="1">
        <f t="array" ref="N475">J475*INDEX(Berekening_impact[Totaal arbeidsbesparing (FTE/jaar)],MATCH(B475,IF(Berekening_impact[Doelgroep]=C475,Berekening_impact[Digitale zorgtoepassing]),0))</f>
        <v>184.88758197966675</v>
      </c>
      <c r="O475" s="398" cm="1">
        <f t="array" ref="O475">J475*INDEX(Berekening_impact[Overige kostenbesparing (totaal/jaar totaal potentieel)],MATCH(B475,IF(Berekening_impact[Doelgroep]=C475,Berekening_impact[Digitale zorgtoepassing]),0))</f>
        <v>0</v>
      </c>
      <c r="P475" s="398" cm="1">
        <f t="array" ref="P475">J475*INDEX(Berekening_impact[Opbrengsten door QALY''s],MATCH(B475,IF(Berekening_impact[Doelgroep]=C475,Berekening_impact[Digitale zorgtoepassing]),0))</f>
        <v>0</v>
      </c>
      <c r="Q475" s="398" cm="1">
        <f t="array" ref="Q475">J475*INDEX(Berekening_impact[Jaarlijkse kosten (totaal) - incl. schatting],MATCH(B475,IF(Berekening_impact[Doelgroep]=C475,Berekening_impact[Digitale zorgtoepassing]),0))</f>
        <v>0</v>
      </c>
      <c r="R475" s="398" cm="1">
        <f t="array" ref="R475">(uitkomst_doelgroep[[#This Row],[Implementatiegraad t = T + 1]]-uitkomst_doelgroep[[#This Row],[Implementatiegraad t = T]])*INDEX(Berekening_impact[Initiële investering (totaal) - incl. schatting],MATCH(B475,IF(Berekening_impact[Doelgroep]=C475,Berekening_impact[Digitale zorgtoepassing]),0))</f>
        <v>0</v>
      </c>
      <c r="S475" s="398">
        <f>uitkomst_doelgroep[[#This Row],[Arbeidsbesparing (€)]]*uitkomst_doelgroep[[#This Row],[Percentage van patiëntaantallen in Wlz (overige is Zvw)]]</f>
        <v>0</v>
      </c>
      <c r="T475" s="398">
        <f>uitkomst_doelgroep[[#This Row],[Overige besparingen (€)]]*uitkomst_doelgroep[[#This Row],[Percentage van patiëntaantallen in Wlz (overige is Zvw)]]</f>
        <v>0</v>
      </c>
      <c r="U475" s="398">
        <f>uitkomst_doelgroep[[#This Row],[Kosten (€)]]*uitkomst_doelgroep[[#This Row],[Percentage van patiëntaantallen in Wlz (overige is Zvw)]]</f>
        <v>0</v>
      </c>
      <c r="V475" s="398">
        <f>uitkomst_doelgroep[[#This Row],[Investering (cash flow) (€)]]*uitkomst_doelgroep[[#This Row],[Percentage van patiëntaantallen in Wlz (overige is Zvw)]]</f>
        <v>0</v>
      </c>
    </row>
    <row r="476" spans="1:22" x14ac:dyDescent="0.5">
      <c r="A476" s="33" t="str">
        <f>INDEX(Technologieën[Veld],MATCH(B476,Technologieën[Digitale zorgtoepassing],0))</f>
        <v>Sensoren - Behandeling</v>
      </c>
      <c r="B476" s="33" t="s">
        <v>88</v>
      </c>
      <c r="C476" s="33" t="s">
        <v>89</v>
      </c>
      <c r="D476" s="427" cm="1">
        <f t="array" ref="D476">INDEX(Berekening_patiëntaantal[Percentage van patiëntaantallen in Wlz (overige is Zvw)],MATCH(B476,IF(Berekening_patiëntaantal[Doelgroep (zoeksleutel)]=C476,Berekening_patiëntaantal[Digitale zorgtoepassing]),0))</f>
        <v>0</v>
      </c>
      <c r="E476" s="33" t="str" cm="1">
        <f t="array" ref="E476">INDEX(Berekening_patiëntaantal[Direct toepasbaar/extrapolatie/incidentie voor QALY],MATCH(B476,IF(Berekening_patiëntaantal[Doelgroep (zoeksleutel)]=C476,Berekening_patiëntaantal[Digitale zorgtoepassing]),0))</f>
        <v>Huidige toepassing</v>
      </c>
      <c r="F476" s="43" t="s">
        <v>812</v>
      </c>
      <c r="G476" s="33" t="str">
        <f>CONCATENATE(uitkomst_doelgroep[[#This Row],[Digitale zorgtoepassing]],"_",uitkomst_doelgroep[[#This Row],[Doelgroep]],"_",uitkomst_doelgroep[[#This Row],[Uitgangssituatie/effect beleid]])</f>
        <v>RT monitoring (glucosemeter)_Diabetes_Effect beleid</v>
      </c>
      <c r="H476" s="33">
        <v>2033</v>
      </c>
      <c r="I476" s="32">
        <v>11</v>
      </c>
      <c r="J476" s="406" cm="1">
        <f t="array" ref="J476">INDEX(implementatie[[2023]:[2034]],MATCH(G476, implementatie[Zoeksleutel],0),I476)</f>
        <v>0.99953021721229562</v>
      </c>
      <c r="K476" s="406" cm="1">
        <f t="array" ref="K476">INDEX(implementatie[[2023]:[2034]],MATCH(G476,implementatie[Zoeksleutel],0),I476 + 1)</f>
        <v>0.99975326472331483</v>
      </c>
      <c r="L47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109948.32389335251</v>
      </c>
      <c r="M476" s="398" cm="1">
        <f t="array" ref="M476">J476*INDEX(Berekening_impact[Totaal arbeidsbesparing (€/jaar)],MATCH(B476,IF(Berekening_impact[Doelgroep]=C476,Berekening_impact[Digitale zorgtoepassing]),0))</f>
        <v>17991543.90982132</v>
      </c>
      <c r="N476" s="397" cm="1">
        <f t="array" ref="N476">J476*INDEX(Berekening_impact[Totaal arbeidsbesparing (FTE/jaar)],MATCH(B476,IF(Berekening_impact[Doelgroep]=C476,Berekening_impact[Digitale zorgtoepassing]),0))</f>
        <v>311.81520711082663</v>
      </c>
      <c r="O476" s="398" cm="1">
        <f t="array" ref="O476">J476*INDEX(Berekening_impact[Overige kostenbesparing (totaal/jaar totaal potentieel)],MATCH(B476,IF(Berekening_impact[Doelgroep]=C476,Berekening_impact[Digitale zorgtoepassing]),0))</f>
        <v>11994362.606547548</v>
      </c>
      <c r="P476" s="398" cm="1">
        <f t="array" ref="P476">J476*INDEX(Berekening_impact[Opbrengsten door QALY''s],MATCH(B476,IF(Berekening_impact[Doelgroep]=C476,Berekening_impact[Digitale zorgtoepassing]),0))</f>
        <v>164922485.84002879</v>
      </c>
      <c r="Q476" s="398" cm="1">
        <f t="array" ref="Q476">J476*INDEX(Berekening_impact[Jaarlijkse kosten (totaal) - incl. schatting],MATCH(B476,IF(Berekening_impact[Doelgroep]=C476,Berekening_impact[Digitale zorgtoepassing]),0))</f>
        <v>51290893.096248947</v>
      </c>
      <c r="R476" s="398" cm="1">
        <f t="array" ref="R476">(uitkomst_doelgroep[[#This Row],[Implementatiegraad t = T + 1]]-uitkomst_doelgroep[[#This Row],[Implementatiegraad t = T]])*INDEX(Berekening_impact[Initiële investering (totaal) - incl. schatting],MATCH(B476,IF(Berekening_impact[Doelgroep]=C476,Berekening_impact[Digitale zorgtoepassing]),0))</f>
        <v>23615.155229158136</v>
      </c>
      <c r="S476" s="398">
        <f>uitkomst_doelgroep[[#This Row],[Arbeidsbesparing (€)]]*uitkomst_doelgroep[[#This Row],[Percentage van patiëntaantallen in Wlz (overige is Zvw)]]</f>
        <v>0</v>
      </c>
      <c r="T476" s="398">
        <f>uitkomst_doelgroep[[#This Row],[Overige besparingen (€)]]*uitkomst_doelgroep[[#This Row],[Percentage van patiëntaantallen in Wlz (overige is Zvw)]]</f>
        <v>0</v>
      </c>
      <c r="U476" s="398">
        <f>uitkomst_doelgroep[[#This Row],[Kosten (€)]]*uitkomst_doelgroep[[#This Row],[Percentage van patiëntaantallen in Wlz (overige is Zvw)]]</f>
        <v>0</v>
      </c>
      <c r="V476" s="398">
        <f>uitkomst_doelgroep[[#This Row],[Investering (cash flow) (€)]]*uitkomst_doelgroep[[#This Row],[Percentage van patiëntaantallen in Wlz (overige is Zvw)]]</f>
        <v>0</v>
      </c>
    </row>
    <row r="477" spans="1:22" x14ac:dyDescent="0.5">
      <c r="A477" s="33" t="str">
        <f>INDEX(Technologieën[Veld],MATCH(B477,Technologieën[Digitale zorgtoepassing],0))</f>
        <v>Sensoren - Behandeling</v>
      </c>
      <c r="B477" s="33" t="s">
        <v>88</v>
      </c>
      <c r="C477" s="33" t="s">
        <v>91</v>
      </c>
      <c r="D477" s="427" cm="1">
        <f t="array" ref="D477">INDEX(Berekening_patiëntaantal[Percentage van patiëntaantallen in Wlz (overige is Zvw)],MATCH(B477,IF(Berekening_patiëntaantal[Doelgroep (zoeksleutel)]=C477,Berekening_patiëntaantal[Digitale zorgtoepassing]),0))</f>
        <v>0</v>
      </c>
      <c r="E477" s="33" t="str" cm="1">
        <f t="array" ref="E477">INDEX(Berekening_patiëntaantal[Direct toepasbaar/extrapolatie/incidentie voor QALY],MATCH(B477,IF(Berekening_patiëntaantal[Doelgroep (zoeksleutel)]=C477,Berekening_patiëntaantal[Digitale zorgtoepassing]),0))</f>
        <v>Huidige toepassing</v>
      </c>
      <c r="F477" s="43" t="s">
        <v>812</v>
      </c>
      <c r="G477" s="33" t="str">
        <f>CONCATENATE(uitkomst_doelgroep[[#This Row],[Digitale zorgtoepassing]],"_",uitkomst_doelgroep[[#This Row],[Doelgroep]],"_",uitkomst_doelgroep[[#This Row],[Uitgangssituatie/effect beleid]])</f>
        <v>RT monitoring (glucosemeter)_Diabetes_thuiszorg_Effect beleid</v>
      </c>
      <c r="H477" s="33">
        <v>2033</v>
      </c>
      <c r="I477" s="32">
        <v>11</v>
      </c>
      <c r="J477" s="406" cm="1">
        <f t="array" ref="J477">INDEX(implementatie[[2023]:[2034]],MATCH(G477, implementatie[Zoeksleutel],0),I477)</f>
        <v>0.99848879614987718</v>
      </c>
      <c r="K477" s="406" cm="1">
        <f t="array" ref="K477">INDEX(implementatie[[2023]:[2034]],MATCH(G477,implementatie[Zoeksleutel],0),I477 + 1)</f>
        <v>0.99920559029700107</v>
      </c>
      <c r="L47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1749.3523708545847</v>
      </c>
      <c r="M477" s="398" cm="1">
        <f t="array" ref="M477">J477*INDEX(Berekening_impact[Totaal arbeidsbesparing (€/jaar)],MATCH(B477,IF(Berekening_impact[Doelgroep]=C477,Berekening_impact[Digitale zorgtoepassing]),0))</f>
        <v>7859946.0347168371</v>
      </c>
      <c r="N477" s="397" cm="1">
        <f t="array" ref="N477">J477*INDEX(Berekening_impact[Totaal arbeidsbesparing (FTE/jaar)],MATCH(B477,IF(Berekening_impact[Doelgroep]=C477,Berekening_impact[Digitale zorgtoepassing]),0))</f>
        <v>185.13979258211023</v>
      </c>
      <c r="O477" s="398" cm="1">
        <f t="array" ref="O477">J477*INDEX(Berekening_impact[Overige kostenbesparing (totaal/jaar totaal potentieel)],MATCH(B477,IF(Berekening_impact[Doelgroep]=C477,Berekening_impact[Digitale zorgtoepassing]),0))</f>
        <v>0</v>
      </c>
      <c r="P477" s="398" cm="1">
        <f t="array" ref="P477">J477*INDEX(Berekening_impact[Opbrengsten door QALY''s],MATCH(B477,IF(Berekening_impact[Doelgroep]=C477,Berekening_impact[Digitale zorgtoepassing]),0))</f>
        <v>0</v>
      </c>
      <c r="Q477" s="398" cm="1">
        <f t="array" ref="Q477">J477*INDEX(Berekening_impact[Jaarlijkse kosten (totaal) - incl. schatting],MATCH(B477,IF(Berekening_impact[Doelgroep]=C477,Berekening_impact[Digitale zorgtoepassing]),0))</f>
        <v>0</v>
      </c>
      <c r="R477" s="398" cm="1">
        <f t="array" ref="R477">(uitkomst_doelgroep[[#This Row],[Implementatiegraad t = T + 1]]-uitkomst_doelgroep[[#This Row],[Implementatiegraad t = T]])*INDEX(Berekening_impact[Initiële investering (totaal) - incl. schatting],MATCH(B477,IF(Berekening_impact[Doelgroep]=C477,Berekening_impact[Digitale zorgtoepassing]),0))</f>
        <v>0</v>
      </c>
      <c r="S477" s="398">
        <f>uitkomst_doelgroep[[#This Row],[Arbeidsbesparing (€)]]*uitkomst_doelgroep[[#This Row],[Percentage van patiëntaantallen in Wlz (overige is Zvw)]]</f>
        <v>0</v>
      </c>
      <c r="T477" s="398">
        <f>uitkomst_doelgroep[[#This Row],[Overige besparingen (€)]]*uitkomst_doelgroep[[#This Row],[Percentage van patiëntaantallen in Wlz (overige is Zvw)]]</f>
        <v>0</v>
      </c>
      <c r="U477" s="398">
        <f>uitkomst_doelgroep[[#This Row],[Kosten (€)]]*uitkomst_doelgroep[[#This Row],[Percentage van patiëntaantallen in Wlz (overige is Zvw)]]</f>
        <v>0</v>
      </c>
      <c r="V477" s="398">
        <f>uitkomst_doelgroep[[#This Row],[Investering (cash flow) (€)]]*uitkomst_doelgroep[[#This Row],[Percentage van patiëntaantallen in Wlz (overige is Zvw)]]</f>
        <v>0</v>
      </c>
    </row>
    <row r="478" spans="1:22" x14ac:dyDescent="0.5">
      <c r="A478" s="33" t="str">
        <f>INDEX(Technologieën[Veld],MATCH(B478,Technologieën[Digitale zorgtoepassing],0))</f>
        <v>Sensoren - Verpleging</v>
      </c>
      <c r="B478" s="33" t="s">
        <v>42</v>
      </c>
      <c r="C478" s="33" t="s">
        <v>44</v>
      </c>
      <c r="D478" s="427" cm="1">
        <f t="array" ref="D478">INDEX(Berekening_patiëntaantal[Percentage van patiëntaantallen in Wlz (overige is Zvw)],MATCH(B478,IF(Berekening_patiëntaantal[Doelgroep (zoeksleutel)]=C478,Berekening_patiëntaantal[Digitale zorgtoepassing]),0))</f>
        <v>1</v>
      </c>
      <c r="E478" s="33" t="str" cm="1">
        <f t="array" ref="E478">INDEX(Berekening_patiëntaantal[Direct toepasbaar/extrapolatie/incidentie voor QALY],MATCH(B478,IF(Berekening_patiëntaantal[Doelgroep (zoeksleutel)]=C478,Berekening_patiëntaantal[Digitale zorgtoepassing]),0))</f>
        <v>Extrapolatie</v>
      </c>
      <c r="F478" s="43" t="s">
        <v>812</v>
      </c>
      <c r="G478" s="33" t="str">
        <f>CONCATENATE(uitkomst_doelgroep[[#This Row],[Digitale zorgtoepassing]],"_",uitkomst_doelgroep[[#This Row],[Doelgroep]],"_",uitkomst_doelgroep[[#This Row],[Uitgangssituatie/effect beleid]])</f>
        <v>Slim incontinentiemateriaal_Verstandelijk gehandicapten_Effect beleid</v>
      </c>
      <c r="H478" s="33">
        <v>2023</v>
      </c>
      <c r="I478" s="32">
        <v>1</v>
      </c>
      <c r="J478" s="406" cm="1">
        <f t="array" ref="J478">INDEX(implementatie[[2023]:[2034]],MATCH(G478, implementatie[Zoeksleutel],0),I478)</f>
        <v>0</v>
      </c>
      <c r="K478" s="406" cm="1">
        <f t="array" ref="K478">INDEX(implementatie[[2023]:[2034]],MATCH(G478,implementatie[Zoeksleutel],0),I478 + 1)</f>
        <v>0</v>
      </c>
      <c r="L47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478" s="398" cm="1">
        <f t="array" ref="M478">J478*INDEX(Berekening_impact[Totaal arbeidsbesparing (€/jaar)],MATCH(B478,IF(Berekening_impact[Doelgroep]=C478,Berekening_impact[Digitale zorgtoepassing]),0))</f>
        <v>0</v>
      </c>
      <c r="N478" s="397" cm="1">
        <f t="array" ref="N478">J478*INDEX(Berekening_impact[Totaal arbeidsbesparing (FTE/jaar)],MATCH(B478,IF(Berekening_impact[Doelgroep]=C478,Berekening_impact[Digitale zorgtoepassing]),0))</f>
        <v>0</v>
      </c>
      <c r="O478" s="398" cm="1">
        <f t="array" ref="O478">J478*INDEX(Berekening_impact[Overige kostenbesparing (totaal/jaar totaal potentieel)],MATCH(B478,IF(Berekening_impact[Doelgroep]=C478,Berekening_impact[Digitale zorgtoepassing]),0))</f>
        <v>0</v>
      </c>
      <c r="P478" s="398" cm="1">
        <f t="array" ref="P478">J478*INDEX(Berekening_impact[Opbrengsten door QALY''s],MATCH(B478,IF(Berekening_impact[Doelgroep]=C478,Berekening_impact[Digitale zorgtoepassing]),0))</f>
        <v>0</v>
      </c>
      <c r="Q478" s="398" cm="1">
        <f t="array" ref="Q478">J478*INDEX(Berekening_impact[Jaarlijkse kosten (totaal) - incl. schatting],MATCH(B478,IF(Berekening_impact[Doelgroep]=C478,Berekening_impact[Digitale zorgtoepassing]),0))</f>
        <v>0</v>
      </c>
      <c r="R478" s="398" cm="1">
        <f t="array" ref="R478">(uitkomst_doelgroep[[#This Row],[Implementatiegraad t = T + 1]]-uitkomst_doelgroep[[#This Row],[Implementatiegraad t = T]])*INDEX(Berekening_impact[Initiële investering (totaal) - incl. schatting],MATCH(B478,IF(Berekening_impact[Doelgroep]=C478,Berekening_impact[Digitale zorgtoepassing]),0))</f>
        <v>0</v>
      </c>
      <c r="S478" s="398">
        <f>uitkomst_doelgroep[[#This Row],[Arbeidsbesparing (€)]]*uitkomst_doelgroep[[#This Row],[Percentage van patiëntaantallen in Wlz (overige is Zvw)]]</f>
        <v>0</v>
      </c>
      <c r="T478" s="398">
        <f>uitkomst_doelgroep[[#This Row],[Overige besparingen (€)]]*uitkomst_doelgroep[[#This Row],[Percentage van patiëntaantallen in Wlz (overige is Zvw)]]</f>
        <v>0</v>
      </c>
      <c r="U478" s="398">
        <f>uitkomst_doelgroep[[#This Row],[Kosten (€)]]*uitkomst_doelgroep[[#This Row],[Percentage van patiëntaantallen in Wlz (overige is Zvw)]]</f>
        <v>0</v>
      </c>
      <c r="V478" s="398">
        <f>uitkomst_doelgroep[[#This Row],[Investering (cash flow) (€)]]*uitkomst_doelgroep[[#This Row],[Percentage van patiëntaantallen in Wlz (overige is Zvw)]]</f>
        <v>0</v>
      </c>
    </row>
    <row r="479" spans="1:22" x14ac:dyDescent="0.5">
      <c r="A479" s="33" t="str">
        <f>INDEX(Technologieën[Veld],MATCH(B479,Technologieën[Digitale zorgtoepassing],0))</f>
        <v>Sensoren - Verpleging</v>
      </c>
      <c r="B479" s="33" t="s">
        <v>42</v>
      </c>
      <c r="C479" s="33" t="s">
        <v>348</v>
      </c>
      <c r="D479" s="427" cm="1">
        <f t="array" ref="D479">INDEX(Berekening_patiëntaantal[Percentage van patiëntaantallen in Wlz (overige is Zvw)],MATCH(B479,IF(Berekening_patiëntaantal[Doelgroep (zoeksleutel)]=C479,Berekening_patiëntaantal[Digitale zorgtoepassing]),0))</f>
        <v>1</v>
      </c>
      <c r="E479" s="33" t="str" cm="1">
        <f t="array" ref="E479">INDEX(Berekening_patiëntaantal[Direct toepasbaar/extrapolatie/incidentie voor QALY],MATCH(B479,IF(Berekening_patiëntaantal[Doelgroep (zoeksleutel)]=C479,Berekening_patiëntaantal[Digitale zorgtoepassing]),0))</f>
        <v>Huidige toepassing</v>
      </c>
      <c r="F479" s="43" t="s">
        <v>812</v>
      </c>
      <c r="G479" s="33" t="str">
        <f>CONCATENATE(uitkomst_doelgroep[[#This Row],[Digitale zorgtoepassing]],"_",uitkomst_doelgroep[[#This Row],[Doelgroep]],"_",uitkomst_doelgroep[[#This Row],[Uitgangssituatie/effect beleid]])</f>
        <v>Slim incontinentiemateriaal_Urine incontinent_Effect beleid</v>
      </c>
      <c r="H479" s="33">
        <v>2023</v>
      </c>
      <c r="I479" s="32">
        <v>1</v>
      </c>
      <c r="J479" s="406" cm="1">
        <f t="array" ref="J479">INDEX(implementatie[[2023]:[2034]],MATCH(G479, implementatie[Zoeksleutel],0),I479)</f>
        <v>0.4</v>
      </c>
      <c r="K479" s="406" cm="1">
        <f t="array" ref="K479">INDEX(implementatie[[2023]:[2034]],MATCH(G479,implementatie[Zoeksleutel],0),I479 + 1)</f>
        <v>0.52300000000000002</v>
      </c>
      <c r="L47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13041</v>
      </c>
      <c r="M479" s="398" cm="1">
        <f t="array" ref="M479">J479*INDEX(Berekening_impact[Totaal arbeidsbesparing (€/jaar)],MATCH(B479,IF(Berekening_impact[Doelgroep]=C479,Berekening_impact[Digitale zorgtoepassing]),0))</f>
        <v>30104398.642499998</v>
      </c>
      <c r="N479" s="397" cm="1">
        <f t="array" ref="N479">J479*INDEX(Berekening_impact[Totaal arbeidsbesparing (FTE/jaar)],MATCH(B479,IF(Berekening_impact[Doelgroep]=C479,Berekening_impact[Digitale zorgtoepassing]),0))</f>
        <v>709.10437499999989</v>
      </c>
      <c r="O479" s="398" cm="1">
        <f t="array" ref="O479">J479*INDEX(Berekening_impact[Overige kostenbesparing (totaal/jaar totaal potentieel)],MATCH(B479,IF(Berekening_impact[Doelgroep]=C479,Berekening_impact[Digitale zorgtoepassing]),0))</f>
        <v>10216076.083801232</v>
      </c>
      <c r="P479" s="398" cm="1">
        <f t="array" ref="P479">J479*INDEX(Berekening_impact[Opbrengsten door QALY''s],MATCH(B479,IF(Berekening_impact[Doelgroep]=C479,Berekening_impact[Digitale zorgtoepassing]),0))</f>
        <v>0</v>
      </c>
      <c r="Q479" s="398" cm="1">
        <f t="array" ref="Q479">J479*INDEX(Berekening_impact[Jaarlijkse kosten (totaal) - incl. schatting],MATCH(B479,IF(Berekening_impact[Doelgroep]=C479,Berekening_impact[Digitale zorgtoepassing]),0))</f>
        <v>37543626.225000001</v>
      </c>
      <c r="R479" s="398" cm="1">
        <f t="array" ref="R479">(uitkomst_doelgroep[[#This Row],[Implementatiegraad t = T + 1]]-uitkomst_doelgroep[[#This Row],[Implementatiegraad t = T]])*INDEX(Berekening_impact[Initiële investering (totaal) - incl. schatting],MATCH(B479,IF(Berekening_impact[Doelgroep]=C479,Berekening_impact[Digitale zorgtoepassing]),0))</f>
        <v>0</v>
      </c>
      <c r="S479" s="398">
        <f>uitkomst_doelgroep[[#This Row],[Arbeidsbesparing (€)]]*uitkomst_doelgroep[[#This Row],[Percentage van patiëntaantallen in Wlz (overige is Zvw)]]</f>
        <v>30104398.642499998</v>
      </c>
      <c r="T479" s="398">
        <f>uitkomst_doelgroep[[#This Row],[Overige besparingen (€)]]*uitkomst_doelgroep[[#This Row],[Percentage van patiëntaantallen in Wlz (overige is Zvw)]]</f>
        <v>10216076.083801232</v>
      </c>
      <c r="U479" s="398">
        <f>uitkomst_doelgroep[[#This Row],[Kosten (€)]]*uitkomst_doelgroep[[#This Row],[Percentage van patiëntaantallen in Wlz (overige is Zvw)]]</f>
        <v>37543626.225000001</v>
      </c>
      <c r="V479" s="398">
        <f>uitkomst_doelgroep[[#This Row],[Investering (cash flow) (€)]]*uitkomst_doelgroep[[#This Row],[Percentage van patiëntaantallen in Wlz (overige is Zvw)]]</f>
        <v>0</v>
      </c>
    </row>
    <row r="480" spans="1:22" x14ac:dyDescent="0.5">
      <c r="A480" s="33" t="str">
        <f>INDEX(Technologieën[Veld],MATCH(B480,Technologieën[Digitale zorgtoepassing],0))</f>
        <v>Sensoren - Verpleging</v>
      </c>
      <c r="B480" s="33" t="s">
        <v>42</v>
      </c>
      <c r="C480" s="33" t="s">
        <v>44</v>
      </c>
      <c r="D480" s="427" cm="1">
        <f t="array" ref="D480">INDEX(Berekening_patiëntaantal[Percentage van patiëntaantallen in Wlz (overige is Zvw)],MATCH(B480,IF(Berekening_patiëntaantal[Doelgroep (zoeksleutel)]=C480,Berekening_patiëntaantal[Digitale zorgtoepassing]),0))</f>
        <v>1</v>
      </c>
      <c r="E480" s="33" t="str" cm="1">
        <f t="array" ref="E480">INDEX(Berekening_patiëntaantal[Direct toepasbaar/extrapolatie/incidentie voor QALY],MATCH(B480,IF(Berekening_patiëntaantal[Doelgroep (zoeksleutel)]=C480,Berekening_patiëntaantal[Digitale zorgtoepassing]),0))</f>
        <v>Extrapolatie</v>
      </c>
      <c r="F480" s="43" t="s">
        <v>812</v>
      </c>
      <c r="G480" s="33" t="str">
        <f>CONCATENATE(uitkomst_doelgroep[[#This Row],[Digitale zorgtoepassing]],"_",uitkomst_doelgroep[[#This Row],[Doelgroep]],"_",uitkomst_doelgroep[[#This Row],[Uitgangssituatie/effect beleid]])</f>
        <v>Slim incontinentiemateriaal_Verstandelijk gehandicapten_Effect beleid</v>
      </c>
      <c r="H480" s="33">
        <v>2024</v>
      </c>
      <c r="I480" s="32">
        <v>2</v>
      </c>
      <c r="J480" s="406" cm="1">
        <f t="array" ref="J480">INDEX(implementatie[[2023]:[2034]],MATCH(G480, implementatie[Zoeksleutel],0),I480)</f>
        <v>0</v>
      </c>
      <c r="K480" s="406" cm="1">
        <f t="array" ref="K480">INDEX(implementatie[[2023]:[2034]],MATCH(G480,implementatie[Zoeksleutel],0),I480 + 1)</f>
        <v>2.5000000000000001E-2</v>
      </c>
      <c r="L48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480" s="398" cm="1">
        <f t="array" ref="M480">J480*INDEX(Berekening_impact[Totaal arbeidsbesparing (€/jaar)],MATCH(B480,IF(Berekening_impact[Doelgroep]=C480,Berekening_impact[Digitale zorgtoepassing]),0))</f>
        <v>0</v>
      </c>
      <c r="N480" s="397" cm="1">
        <f t="array" ref="N480">J480*INDEX(Berekening_impact[Totaal arbeidsbesparing (FTE/jaar)],MATCH(B480,IF(Berekening_impact[Doelgroep]=C480,Berekening_impact[Digitale zorgtoepassing]),0))</f>
        <v>0</v>
      </c>
      <c r="O480" s="398" cm="1">
        <f t="array" ref="O480">J480*INDEX(Berekening_impact[Overige kostenbesparing (totaal/jaar totaal potentieel)],MATCH(B480,IF(Berekening_impact[Doelgroep]=C480,Berekening_impact[Digitale zorgtoepassing]),0))</f>
        <v>0</v>
      </c>
      <c r="P480" s="398" cm="1">
        <f t="array" ref="P480">J480*INDEX(Berekening_impact[Opbrengsten door QALY''s],MATCH(B480,IF(Berekening_impact[Doelgroep]=C480,Berekening_impact[Digitale zorgtoepassing]),0))</f>
        <v>0</v>
      </c>
      <c r="Q480" s="398" cm="1">
        <f t="array" ref="Q480">J480*INDEX(Berekening_impact[Jaarlijkse kosten (totaal) - incl. schatting],MATCH(B480,IF(Berekening_impact[Doelgroep]=C480,Berekening_impact[Digitale zorgtoepassing]),0))</f>
        <v>0</v>
      </c>
      <c r="R480" s="398" cm="1">
        <f t="array" ref="R480">(uitkomst_doelgroep[[#This Row],[Implementatiegraad t = T + 1]]-uitkomst_doelgroep[[#This Row],[Implementatiegraad t = T]])*INDEX(Berekening_impact[Initiële investering (totaal) - incl. schatting],MATCH(B480,IF(Berekening_impact[Doelgroep]=C480,Berekening_impact[Digitale zorgtoepassing]),0))</f>
        <v>0</v>
      </c>
      <c r="S480" s="398">
        <f>uitkomst_doelgroep[[#This Row],[Arbeidsbesparing (€)]]*uitkomst_doelgroep[[#This Row],[Percentage van patiëntaantallen in Wlz (overige is Zvw)]]</f>
        <v>0</v>
      </c>
      <c r="T480" s="398">
        <f>uitkomst_doelgroep[[#This Row],[Overige besparingen (€)]]*uitkomst_doelgroep[[#This Row],[Percentage van patiëntaantallen in Wlz (overige is Zvw)]]</f>
        <v>0</v>
      </c>
      <c r="U480" s="398">
        <f>uitkomst_doelgroep[[#This Row],[Kosten (€)]]*uitkomst_doelgroep[[#This Row],[Percentage van patiëntaantallen in Wlz (overige is Zvw)]]</f>
        <v>0</v>
      </c>
      <c r="V480" s="398">
        <f>uitkomst_doelgroep[[#This Row],[Investering (cash flow) (€)]]*uitkomst_doelgroep[[#This Row],[Percentage van patiëntaantallen in Wlz (overige is Zvw)]]</f>
        <v>0</v>
      </c>
    </row>
    <row r="481" spans="1:22" x14ac:dyDescent="0.5">
      <c r="A481" s="33" t="str">
        <f>INDEX(Technologieën[Veld],MATCH(B481,Technologieën[Digitale zorgtoepassing],0))</f>
        <v>Sensoren - Verpleging</v>
      </c>
      <c r="B481" s="33" t="s">
        <v>42</v>
      </c>
      <c r="C481" s="33" t="s">
        <v>348</v>
      </c>
      <c r="D481" s="427" cm="1">
        <f t="array" ref="D481">INDEX(Berekening_patiëntaantal[Percentage van patiëntaantallen in Wlz (overige is Zvw)],MATCH(B481,IF(Berekening_patiëntaantal[Doelgroep (zoeksleutel)]=C481,Berekening_patiëntaantal[Digitale zorgtoepassing]),0))</f>
        <v>1</v>
      </c>
      <c r="E481" s="33" t="str" cm="1">
        <f t="array" ref="E481">INDEX(Berekening_patiëntaantal[Direct toepasbaar/extrapolatie/incidentie voor QALY],MATCH(B481,IF(Berekening_patiëntaantal[Doelgroep (zoeksleutel)]=C481,Berekening_patiëntaantal[Digitale zorgtoepassing]),0))</f>
        <v>Huidige toepassing</v>
      </c>
      <c r="F481" s="43" t="s">
        <v>812</v>
      </c>
      <c r="G481" s="33" t="str">
        <f>CONCATENATE(uitkomst_doelgroep[[#This Row],[Digitale zorgtoepassing]],"_",uitkomst_doelgroep[[#This Row],[Doelgroep]],"_",uitkomst_doelgroep[[#This Row],[Uitgangssituatie/effect beleid]])</f>
        <v>Slim incontinentiemateriaal_Urine incontinent_Effect beleid</v>
      </c>
      <c r="H481" s="33">
        <v>2024</v>
      </c>
      <c r="I481" s="32">
        <v>2</v>
      </c>
      <c r="J481" s="406" cm="1">
        <f t="array" ref="J481">INDEX(implementatie[[2023]:[2034]],MATCH(G481, implementatie[Zoeksleutel],0),I481)</f>
        <v>0.52300000000000002</v>
      </c>
      <c r="K481" s="406" cm="1">
        <f t="array" ref="K481">INDEX(implementatie[[2023]:[2034]],MATCH(G481,implementatie[Zoeksleutel],0),I481 + 1)</f>
        <v>0.64718695000000004</v>
      </c>
      <c r="L48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17051.107499999998</v>
      </c>
      <c r="M481" s="398" cm="1">
        <f t="array" ref="M481">J481*INDEX(Berekening_impact[Totaal arbeidsbesparing (€/jaar)],MATCH(B481,IF(Berekening_impact[Doelgroep]=C481,Berekening_impact[Digitale zorgtoepassing]),0))</f>
        <v>39361501.225068748</v>
      </c>
      <c r="N481" s="397" cm="1">
        <f t="array" ref="N481">J481*INDEX(Berekening_impact[Totaal arbeidsbesparing (FTE/jaar)],MATCH(B481,IF(Berekening_impact[Doelgroep]=C481,Berekening_impact[Digitale zorgtoepassing]),0))</f>
        <v>927.15397031249984</v>
      </c>
      <c r="O481" s="398" cm="1">
        <f t="array" ref="O481">J481*INDEX(Berekening_impact[Overige kostenbesparing (totaal/jaar totaal potentieel)],MATCH(B481,IF(Berekening_impact[Doelgroep]=C481,Berekening_impact[Digitale zorgtoepassing]),0))</f>
        <v>13357519.479570109</v>
      </c>
      <c r="P481" s="398" cm="1">
        <f t="array" ref="P481">J481*INDEX(Berekening_impact[Opbrengsten door QALY''s],MATCH(B481,IF(Berekening_impact[Doelgroep]=C481,Berekening_impact[Digitale zorgtoepassing]),0))</f>
        <v>0</v>
      </c>
      <c r="Q481" s="398" cm="1">
        <f t="array" ref="Q481">J481*INDEX(Berekening_impact[Jaarlijkse kosten (totaal) - incl. schatting],MATCH(B481,IF(Berekening_impact[Doelgroep]=C481,Berekening_impact[Digitale zorgtoepassing]),0))</f>
        <v>49088291.289187498</v>
      </c>
      <c r="R481" s="398" cm="1">
        <f t="array" ref="R481">(uitkomst_doelgroep[[#This Row],[Implementatiegraad t = T + 1]]-uitkomst_doelgroep[[#This Row],[Implementatiegraad t = T]])*INDEX(Berekening_impact[Initiële investering (totaal) - incl. schatting],MATCH(B481,IF(Berekening_impact[Doelgroep]=C481,Berekening_impact[Digitale zorgtoepassing]),0))</f>
        <v>0</v>
      </c>
      <c r="S481" s="398">
        <f>uitkomst_doelgroep[[#This Row],[Arbeidsbesparing (€)]]*uitkomst_doelgroep[[#This Row],[Percentage van patiëntaantallen in Wlz (overige is Zvw)]]</f>
        <v>39361501.225068748</v>
      </c>
      <c r="T481" s="398">
        <f>uitkomst_doelgroep[[#This Row],[Overige besparingen (€)]]*uitkomst_doelgroep[[#This Row],[Percentage van patiëntaantallen in Wlz (overige is Zvw)]]</f>
        <v>13357519.479570109</v>
      </c>
      <c r="U481" s="398">
        <f>uitkomst_doelgroep[[#This Row],[Kosten (€)]]*uitkomst_doelgroep[[#This Row],[Percentage van patiëntaantallen in Wlz (overige is Zvw)]]</f>
        <v>49088291.289187498</v>
      </c>
      <c r="V481" s="398">
        <f>uitkomst_doelgroep[[#This Row],[Investering (cash flow) (€)]]*uitkomst_doelgroep[[#This Row],[Percentage van patiëntaantallen in Wlz (overige is Zvw)]]</f>
        <v>0</v>
      </c>
    </row>
    <row r="482" spans="1:22" x14ac:dyDescent="0.5">
      <c r="A482" s="33" t="str">
        <f>INDEX(Technologieën[Veld],MATCH(B482,Technologieën[Digitale zorgtoepassing],0))</f>
        <v>Sensoren - Verpleging</v>
      </c>
      <c r="B482" s="33" t="s">
        <v>42</v>
      </c>
      <c r="C482" s="33" t="s">
        <v>44</v>
      </c>
      <c r="D482" s="427" cm="1">
        <f t="array" ref="D482">INDEX(Berekening_patiëntaantal[Percentage van patiëntaantallen in Wlz (overige is Zvw)],MATCH(B482,IF(Berekening_patiëntaantal[Doelgroep (zoeksleutel)]=C482,Berekening_patiëntaantal[Digitale zorgtoepassing]),0))</f>
        <v>1</v>
      </c>
      <c r="E482" s="33" t="str" cm="1">
        <f t="array" ref="E482">INDEX(Berekening_patiëntaantal[Direct toepasbaar/extrapolatie/incidentie voor QALY],MATCH(B482,IF(Berekening_patiëntaantal[Doelgroep (zoeksleutel)]=C482,Berekening_patiëntaantal[Digitale zorgtoepassing]),0))</f>
        <v>Extrapolatie</v>
      </c>
      <c r="F482" s="43" t="s">
        <v>812</v>
      </c>
      <c r="G482" s="33" t="str">
        <f>CONCATENATE(uitkomst_doelgroep[[#This Row],[Digitale zorgtoepassing]],"_",uitkomst_doelgroep[[#This Row],[Doelgroep]],"_",uitkomst_doelgroep[[#This Row],[Uitgangssituatie/effect beleid]])</f>
        <v>Slim incontinentiemateriaal_Verstandelijk gehandicapten_Effect beleid</v>
      </c>
      <c r="H482" s="33">
        <v>2025</v>
      </c>
      <c r="I482" s="32">
        <v>3</v>
      </c>
      <c r="J482" s="406" cm="1">
        <f t="array" ref="J482">INDEX(implementatie[[2023]:[2034]],MATCH(G482, implementatie[Zoeksleutel],0),I482)</f>
        <v>2.5000000000000001E-2</v>
      </c>
      <c r="K482" s="406" cm="1">
        <f t="array" ref="K482">INDEX(implementatie[[2023]:[2034]],MATCH(G482,implementatie[Zoeksleutel],0),I482 + 1)</f>
        <v>6.0343750000000002E-2</v>
      </c>
      <c r="L48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56.40625</v>
      </c>
      <c r="M482" s="398" cm="1">
        <f t="array" ref="M482">J482*INDEX(Berekening_impact[Totaal arbeidsbesparing (€/jaar)],MATCH(B482,IF(Berekening_impact[Doelgroep]=C482,Berekening_impact[Digitale zorgtoepassing]),0))</f>
        <v>130210.58476562501</v>
      </c>
      <c r="N482" s="397" cm="1">
        <f t="array" ref="N482">J482*INDEX(Berekening_impact[Totaal arbeidsbesparing (FTE/jaar)],MATCH(B482,IF(Berekening_impact[Doelgroep]=C482,Berekening_impact[Digitale zorgtoepassing]),0))</f>
        <v>3.0670898437500003</v>
      </c>
      <c r="O482" s="398" cm="1">
        <f t="array" ref="O482">J482*INDEX(Berekening_impact[Overige kostenbesparing (totaal/jaar totaal potentieel)],MATCH(B482,IF(Berekening_impact[Doelgroep]=C482,Berekening_impact[Digitale zorgtoepassing]),0))</f>
        <v>44187.603834208516</v>
      </c>
      <c r="P482" s="398" cm="1">
        <f t="array" ref="P482">J482*INDEX(Berekening_impact[Opbrengsten door QALY''s],MATCH(B482,IF(Berekening_impact[Doelgroep]=C482,Berekening_impact[Digitale zorgtoepassing]),0))</f>
        <v>0</v>
      </c>
      <c r="Q482" s="398" cm="1">
        <f t="array" ref="Q482">J482*INDEX(Berekening_impact[Jaarlijkse kosten (totaal) - incl. schatting],MATCH(B482,IF(Berekening_impact[Doelgroep]=C482,Berekening_impact[Digitale zorgtoepassing]),0))</f>
        <v>162387.48307291669</v>
      </c>
      <c r="R482" s="398" cm="1">
        <f t="array" ref="R482">(uitkomst_doelgroep[[#This Row],[Implementatiegraad t = T + 1]]-uitkomst_doelgroep[[#This Row],[Implementatiegraad t = T]])*INDEX(Berekening_impact[Initiële investering (totaal) - incl. schatting],MATCH(B482,IF(Berekening_impact[Doelgroep]=C482,Berekening_impact[Digitale zorgtoepassing]),0))</f>
        <v>0</v>
      </c>
      <c r="S482" s="398">
        <f>uitkomst_doelgroep[[#This Row],[Arbeidsbesparing (€)]]*uitkomst_doelgroep[[#This Row],[Percentage van patiëntaantallen in Wlz (overige is Zvw)]]</f>
        <v>130210.58476562501</v>
      </c>
      <c r="T482" s="398">
        <f>uitkomst_doelgroep[[#This Row],[Overige besparingen (€)]]*uitkomst_doelgroep[[#This Row],[Percentage van patiëntaantallen in Wlz (overige is Zvw)]]</f>
        <v>44187.603834208516</v>
      </c>
      <c r="U482" s="398">
        <f>uitkomst_doelgroep[[#This Row],[Kosten (€)]]*uitkomst_doelgroep[[#This Row],[Percentage van patiëntaantallen in Wlz (overige is Zvw)]]</f>
        <v>162387.48307291669</v>
      </c>
      <c r="V482" s="398">
        <f>uitkomst_doelgroep[[#This Row],[Investering (cash flow) (€)]]*uitkomst_doelgroep[[#This Row],[Percentage van patiëntaantallen in Wlz (overige is Zvw)]]</f>
        <v>0</v>
      </c>
    </row>
    <row r="483" spans="1:22" x14ac:dyDescent="0.5">
      <c r="A483" s="33" t="str">
        <f>INDEX(Technologieën[Veld],MATCH(B483,Technologieën[Digitale zorgtoepassing],0))</f>
        <v>Sensoren - Verpleging</v>
      </c>
      <c r="B483" s="33" t="s">
        <v>42</v>
      </c>
      <c r="C483" s="33" t="s">
        <v>348</v>
      </c>
      <c r="D483" s="427" cm="1">
        <f t="array" ref="D483">INDEX(Berekening_patiëntaantal[Percentage van patiëntaantallen in Wlz (overige is Zvw)],MATCH(B483,IF(Berekening_patiëntaantal[Doelgroep (zoeksleutel)]=C483,Berekening_patiëntaantal[Digitale zorgtoepassing]),0))</f>
        <v>1</v>
      </c>
      <c r="E483" s="33" t="str" cm="1">
        <f t="array" ref="E483">INDEX(Berekening_patiëntaantal[Direct toepasbaar/extrapolatie/incidentie voor QALY],MATCH(B483,IF(Berekening_patiëntaantal[Doelgroep (zoeksleutel)]=C483,Berekening_patiëntaantal[Digitale zorgtoepassing]),0))</f>
        <v>Huidige toepassing</v>
      </c>
      <c r="F483" s="43" t="s">
        <v>812</v>
      </c>
      <c r="G483" s="33" t="str">
        <f>CONCATENATE(uitkomst_doelgroep[[#This Row],[Digitale zorgtoepassing]],"_",uitkomst_doelgroep[[#This Row],[Doelgroep]],"_",uitkomst_doelgroep[[#This Row],[Uitgangssituatie/effect beleid]])</f>
        <v>Slim incontinentiemateriaal_Urine incontinent_Effect beleid</v>
      </c>
      <c r="H483" s="33">
        <v>2025</v>
      </c>
      <c r="I483" s="32">
        <v>3</v>
      </c>
      <c r="J483" s="406" cm="1">
        <f t="array" ref="J483">INDEX(implementatie[[2023]:[2034]],MATCH(G483, implementatie[Zoeksleutel],0),I483)</f>
        <v>0.64718695000000004</v>
      </c>
      <c r="K483" s="406" cm="1">
        <f t="array" ref="K483">INDEX(implementatie[[2023]:[2034]],MATCH(G483,implementatie[Zoeksleutel],0),I483 + 1)</f>
        <v>0.75875847703736388</v>
      </c>
      <c r="L48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21099.912537374999</v>
      </c>
      <c r="M483" s="398" cm="1">
        <f t="array" ref="M483">J483*INDEX(Berekening_impact[Totaal arbeidsbesparing (€/jaar)],MATCH(B483,IF(Berekening_impact[Doelgroep]=C483,Berekening_impact[Digitale zorgtoepassing]),0))</f>
        <v>48707934.847559281</v>
      </c>
      <c r="N483" s="397" cm="1">
        <f t="array" ref="N483">J483*INDEX(Berekening_impact[Totaal arbeidsbesparing (FTE/jaar)],MATCH(B483,IF(Berekening_impact[Doelgroep]=C483,Berekening_impact[Digitale zorgtoepassing]),0))</f>
        <v>1147.3077442197655</v>
      </c>
      <c r="O483" s="398" cm="1">
        <f t="array" ref="O483">J483*INDEX(Berekening_impact[Overige kostenbesparing (totaal/jaar totaal potentieel)],MATCH(B483,IF(Berekening_impact[Doelgroep]=C483,Berekening_impact[Digitale zorgtoepassing]),0))</f>
        <v>16529277.804108158</v>
      </c>
      <c r="P483" s="398" cm="1">
        <f t="array" ref="P483">J483*INDEX(Berekening_impact[Opbrengsten door QALY''s],MATCH(B483,IF(Berekening_impact[Doelgroep]=C483,Berekening_impact[Digitale zorgtoepassing]),0))</f>
        <v>0</v>
      </c>
      <c r="Q483" s="398" cm="1">
        <f t="array" ref="Q483">J483*INDEX(Berekening_impact[Jaarlijkse kosten (totaal) - incl. schatting],MATCH(B483,IF(Berekening_impact[Doelgroep]=C483,Berekening_impact[Digitale zorgtoepassing]),0))</f>
        <v>60744362.371244416</v>
      </c>
      <c r="R483" s="398" cm="1">
        <f t="array" ref="R483">(uitkomst_doelgroep[[#This Row],[Implementatiegraad t = T + 1]]-uitkomst_doelgroep[[#This Row],[Implementatiegraad t = T]])*INDEX(Berekening_impact[Initiële investering (totaal) - incl. schatting],MATCH(B483,IF(Berekening_impact[Doelgroep]=C483,Berekening_impact[Digitale zorgtoepassing]),0))</f>
        <v>0</v>
      </c>
      <c r="S483" s="398">
        <f>uitkomst_doelgroep[[#This Row],[Arbeidsbesparing (€)]]*uitkomst_doelgroep[[#This Row],[Percentage van patiëntaantallen in Wlz (overige is Zvw)]]</f>
        <v>48707934.847559281</v>
      </c>
      <c r="T483" s="398">
        <f>uitkomst_doelgroep[[#This Row],[Overige besparingen (€)]]*uitkomst_doelgroep[[#This Row],[Percentage van patiëntaantallen in Wlz (overige is Zvw)]]</f>
        <v>16529277.804108158</v>
      </c>
      <c r="U483" s="398">
        <f>uitkomst_doelgroep[[#This Row],[Kosten (€)]]*uitkomst_doelgroep[[#This Row],[Percentage van patiëntaantallen in Wlz (overige is Zvw)]]</f>
        <v>60744362.371244416</v>
      </c>
      <c r="V483" s="398">
        <f>uitkomst_doelgroep[[#This Row],[Investering (cash flow) (€)]]*uitkomst_doelgroep[[#This Row],[Percentage van patiëntaantallen in Wlz (overige is Zvw)]]</f>
        <v>0</v>
      </c>
    </row>
    <row r="484" spans="1:22" x14ac:dyDescent="0.5">
      <c r="A484" s="33" t="str">
        <f>INDEX(Technologieën[Veld],MATCH(B484,Technologieën[Digitale zorgtoepassing],0))</f>
        <v>Sensoren - Verpleging</v>
      </c>
      <c r="B484" s="33" t="s">
        <v>42</v>
      </c>
      <c r="C484" s="33" t="s">
        <v>44</v>
      </c>
      <c r="D484" s="427" cm="1">
        <f t="array" ref="D484">INDEX(Berekening_patiëntaantal[Percentage van patiëntaantallen in Wlz (overige is Zvw)],MATCH(B484,IF(Berekening_patiëntaantal[Doelgroep (zoeksleutel)]=C484,Berekening_patiëntaantal[Digitale zorgtoepassing]),0))</f>
        <v>1</v>
      </c>
      <c r="E484" s="33" t="str" cm="1">
        <f t="array" ref="E484">INDEX(Berekening_patiëntaantal[Direct toepasbaar/extrapolatie/incidentie voor QALY],MATCH(B484,IF(Berekening_patiëntaantal[Doelgroep (zoeksleutel)]=C484,Berekening_patiëntaantal[Digitale zorgtoepassing]),0))</f>
        <v>Extrapolatie</v>
      </c>
      <c r="F484" s="43" t="s">
        <v>812</v>
      </c>
      <c r="G484" s="33" t="str">
        <f>CONCATENATE(uitkomst_doelgroep[[#This Row],[Digitale zorgtoepassing]],"_",uitkomst_doelgroep[[#This Row],[Doelgroep]],"_",uitkomst_doelgroep[[#This Row],[Uitgangssituatie/effect beleid]])</f>
        <v>Slim incontinentiemateriaal_Verstandelijk gehandicapten_Effect beleid</v>
      </c>
      <c r="H484" s="33">
        <v>2026</v>
      </c>
      <c r="I484" s="32">
        <v>4</v>
      </c>
      <c r="J484" s="406" cm="1">
        <f t="array" ref="J484">INDEX(implementatie[[2023]:[2034]],MATCH(G484, implementatie[Zoeksleutel],0),I484)</f>
        <v>6.0343750000000002E-2</v>
      </c>
      <c r="K484" s="406" cm="1">
        <f t="array" ref="K484">INDEX(implementatie[[2023]:[2034]],MATCH(G484,implementatie[Zoeksleutel],0),I484 + 1)</f>
        <v>0.10935122807617187</v>
      </c>
      <c r="L48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136.15058593750001</v>
      </c>
      <c r="M484" s="398" cm="1">
        <f t="array" ref="M484">J484*INDEX(Berekening_impact[Totaal arbeidsbesparing (€/jaar)],MATCH(B484,IF(Berekening_impact[Doelgroep]=C484,Berekening_impact[Digitale zorgtoepassing]),0))</f>
        <v>314295.79897802736</v>
      </c>
      <c r="N484" s="397" cm="1">
        <f t="array" ref="N484">J484*INDEX(Berekening_impact[Totaal arbeidsbesparing (FTE/jaar)],MATCH(B484,IF(Berekening_impact[Doelgroep]=C484,Berekening_impact[Digitale zorgtoepassing]),0))</f>
        <v>7.4031881103515627</v>
      </c>
      <c r="O484" s="398" cm="1">
        <f t="array" ref="O484">J484*INDEX(Berekening_impact[Overige kostenbesparing (totaal/jaar totaal potentieel)],MATCH(B484,IF(Berekening_impact[Doelgroep]=C484,Berekening_impact[Digitale zorgtoepassing]),0))</f>
        <v>106657.8287548208</v>
      </c>
      <c r="P484" s="398" cm="1">
        <f t="array" ref="P484">J484*INDEX(Berekening_impact[Opbrengsten door QALY''s],MATCH(B484,IF(Berekening_impact[Doelgroep]=C484,Berekening_impact[Digitale zorgtoepassing]),0))</f>
        <v>0</v>
      </c>
      <c r="Q484" s="398" cm="1">
        <f t="array" ref="Q484">J484*INDEX(Berekening_impact[Jaarlijkse kosten (totaal) - incl. schatting],MATCH(B484,IF(Berekening_impact[Doelgroep]=C484,Berekening_impact[Digitale zorgtoepassing]),0))</f>
        <v>391962.78726725263</v>
      </c>
      <c r="R484" s="398" cm="1">
        <f t="array" ref="R484">(uitkomst_doelgroep[[#This Row],[Implementatiegraad t = T + 1]]-uitkomst_doelgroep[[#This Row],[Implementatiegraad t = T]])*INDEX(Berekening_impact[Initiële investering (totaal) - incl. schatting],MATCH(B484,IF(Berekening_impact[Doelgroep]=C484,Berekening_impact[Digitale zorgtoepassing]),0))</f>
        <v>0</v>
      </c>
      <c r="S484" s="398">
        <f>uitkomst_doelgroep[[#This Row],[Arbeidsbesparing (€)]]*uitkomst_doelgroep[[#This Row],[Percentage van patiëntaantallen in Wlz (overige is Zvw)]]</f>
        <v>314295.79897802736</v>
      </c>
      <c r="T484" s="398">
        <f>uitkomst_doelgroep[[#This Row],[Overige besparingen (€)]]*uitkomst_doelgroep[[#This Row],[Percentage van patiëntaantallen in Wlz (overige is Zvw)]]</f>
        <v>106657.8287548208</v>
      </c>
      <c r="U484" s="398">
        <f>uitkomst_doelgroep[[#This Row],[Kosten (€)]]*uitkomst_doelgroep[[#This Row],[Percentage van patiëntaantallen in Wlz (overige is Zvw)]]</f>
        <v>391962.78726725263</v>
      </c>
      <c r="V484" s="398">
        <f>uitkomst_doelgroep[[#This Row],[Investering (cash flow) (€)]]*uitkomst_doelgroep[[#This Row],[Percentage van patiëntaantallen in Wlz (overige is Zvw)]]</f>
        <v>0</v>
      </c>
    </row>
    <row r="485" spans="1:22" x14ac:dyDescent="0.5">
      <c r="A485" s="33" t="str">
        <f>INDEX(Technologieën[Veld],MATCH(B485,Technologieën[Digitale zorgtoepassing],0))</f>
        <v>Sensoren - Verpleging</v>
      </c>
      <c r="B485" s="33" t="s">
        <v>42</v>
      </c>
      <c r="C485" s="33" t="s">
        <v>348</v>
      </c>
      <c r="D485" s="427" cm="1">
        <f t="array" ref="D485">INDEX(Berekening_patiëntaantal[Percentage van patiëntaantallen in Wlz (overige is Zvw)],MATCH(B485,IF(Berekening_patiëntaantal[Doelgroep (zoeksleutel)]=C485,Berekening_patiëntaantal[Digitale zorgtoepassing]),0))</f>
        <v>1</v>
      </c>
      <c r="E485" s="33" t="str" cm="1">
        <f t="array" ref="E485">INDEX(Berekening_patiëntaantal[Direct toepasbaar/extrapolatie/incidentie voor QALY],MATCH(B485,IF(Berekening_patiëntaantal[Doelgroep (zoeksleutel)]=C485,Berekening_patiëntaantal[Digitale zorgtoepassing]),0))</f>
        <v>Huidige toepassing</v>
      </c>
      <c r="F485" s="43" t="s">
        <v>812</v>
      </c>
      <c r="G485" s="33" t="str">
        <f>CONCATENATE(uitkomst_doelgroep[[#This Row],[Digitale zorgtoepassing]],"_",uitkomst_doelgroep[[#This Row],[Doelgroep]],"_",uitkomst_doelgroep[[#This Row],[Uitgangssituatie/effect beleid]])</f>
        <v>Slim incontinentiemateriaal_Urine incontinent_Effect beleid</v>
      </c>
      <c r="H485" s="33">
        <v>2026</v>
      </c>
      <c r="I485" s="32">
        <v>4</v>
      </c>
      <c r="J485" s="406" cm="1">
        <f t="array" ref="J485">INDEX(implementatie[[2023]:[2034]],MATCH(G485, implementatie[Zoeksleutel],0),I485)</f>
        <v>0.75875847703736388</v>
      </c>
      <c r="K485" s="406" cm="1">
        <f t="array" ref="K485">INDEX(implementatie[[2023]:[2034]],MATCH(G485,implementatie[Zoeksleutel],0),I485 + 1)</f>
        <v>0.84715933786401665</v>
      </c>
      <c r="L48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24737.423247610652</v>
      </c>
      <c r="M485" s="398" cm="1">
        <f t="array" ref="M485">J485*INDEX(Berekening_impact[Totaal arbeidsbesparing (€/jaar)],MATCH(B485,IF(Berekening_impact[Doelgroep]=C485,Berekening_impact[Digitale zorgtoepassing]),0))</f>
        <v>57104919.165272452</v>
      </c>
      <c r="N485" s="397" cm="1">
        <f t="array" ref="N485">J485*INDEX(Berekening_impact[Totaal arbeidsbesparing (FTE/jaar)],MATCH(B485,IF(Berekening_impact[Doelgroep]=C485,Berekening_impact[Digitale zorgtoepassing]),0))</f>
        <v>1345.0973890888292</v>
      </c>
      <c r="O485" s="398" cm="1">
        <f t="array" ref="O485">J485*INDEX(Berekening_impact[Overige kostenbesparing (totaal/jaar totaal potentieel)],MATCH(B485,IF(Berekening_impact[Doelgroep]=C485,Berekening_impact[Digitale zorgtoepassing]),0))</f>
        <v>19378835.826607145</v>
      </c>
      <c r="P485" s="398" cm="1">
        <f t="array" ref="P485">J485*INDEX(Berekening_impact[Opbrengsten door QALY''s],MATCH(B485,IF(Berekening_impact[Doelgroep]=C485,Berekening_impact[Digitale zorgtoepassing]),0))</f>
        <v>0</v>
      </c>
      <c r="Q485" s="398" cm="1">
        <f t="array" ref="Q485">J485*INDEX(Berekening_impact[Jaarlijkse kosten (totaal) - incl. schatting],MATCH(B485,IF(Berekening_impact[Doelgroep]=C485,Berekening_impact[Digitale zorgtoepassing]),0))</f>
        <v>71216361.642352581</v>
      </c>
      <c r="R485" s="398" cm="1">
        <f t="array" ref="R485">(uitkomst_doelgroep[[#This Row],[Implementatiegraad t = T + 1]]-uitkomst_doelgroep[[#This Row],[Implementatiegraad t = T]])*INDEX(Berekening_impact[Initiële investering (totaal) - incl. schatting],MATCH(B485,IF(Berekening_impact[Doelgroep]=C485,Berekening_impact[Digitale zorgtoepassing]),0))</f>
        <v>0</v>
      </c>
      <c r="S485" s="398">
        <f>uitkomst_doelgroep[[#This Row],[Arbeidsbesparing (€)]]*uitkomst_doelgroep[[#This Row],[Percentage van patiëntaantallen in Wlz (overige is Zvw)]]</f>
        <v>57104919.165272452</v>
      </c>
      <c r="T485" s="398">
        <f>uitkomst_doelgroep[[#This Row],[Overige besparingen (€)]]*uitkomst_doelgroep[[#This Row],[Percentage van patiëntaantallen in Wlz (overige is Zvw)]]</f>
        <v>19378835.826607145</v>
      </c>
      <c r="U485" s="398">
        <f>uitkomst_doelgroep[[#This Row],[Kosten (€)]]*uitkomst_doelgroep[[#This Row],[Percentage van patiëntaantallen in Wlz (overige is Zvw)]]</f>
        <v>71216361.642352581</v>
      </c>
      <c r="V485" s="398">
        <f>uitkomst_doelgroep[[#This Row],[Investering (cash flow) (€)]]*uitkomst_doelgroep[[#This Row],[Percentage van patiëntaantallen in Wlz (overige is Zvw)]]</f>
        <v>0</v>
      </c>
    </row>
    <row r="486" spans="1:22" x14ac:dyDescent="0.5">
      <c r="A486" s="33" t="str">
        <f>INDEX(Technologieën[Veld],MATCH(B486,Technologieën[Digitale zorgtoepassing],0))</f>
        <v>Sensoren - Verpleging</v>
      </c>
      <c r="B486" s="33" t="s">
        <v>42</v>
      </c>
      <c r="C486" s="33" t="s">
        <v>44</v>
      </c>
      <c r="D486" s="427" cm="1">
        <f t="array" ref="D486">INDEX(Berekening_patiëntaantal[Percentage van patiëntaantallen in Wlz (overige is Zvw)],MATCH(B486,IF(Berekening_patiëntaantal[Doelgroep (zoeksleutel)]=C486,Berekening_patiëntaantal[Digitale zorgtoepassing]),0))</f>
        <v>1</v>
      </c>
      <c r="E486" s="33" t="str" cm="1">
        <f t="array" ref="E486">INDEX(Berekening_patiëntaantal[Direct toepasbaar/extrapolatie/incidentie voor QALY],MATCH(B486,IF(Berekening_patiëntaantal[Doelgroep (zoeksleutel)]=C486,Berekening_patiëntaantal[Digitale zorgtoepassing]),0))</f>
        <v>Extrapolatie</v>
      </c>
      <c r="F486" s="43" t="s">
        <v>812</v>
      </c>
      <c r="G486" s="33" t="str">
        <f>CONCATENATE(uitkomst_doelgroep[[#This Row],[Digitale zorgtoepassing]],"_",uitkomst_doelgroep[[#This Row],[Doelgroep]],"_",uitkomst_doelgroep[[#This Row],[Uitgangssituatie/effect beleid]])</f>
        <v>Slim incontinentiemateriaal_Verstandelijk gehandicapten_Effect beleid</v>
      </c>
      <c r="H486" s="33">
        <v>2027</v>
      </c>
      <c r="I486" s="32">
        <v>5</v>
      </c>
      <c r="J486" s="406" cm="1">
        <f t="array" ref="J486">INDEX(implementatie[[2023]:[2034]],MATCH(G486, implementatie[Zoeksleutel],0),I486)</f>
        <v>0.10935122807617187</v>
      </c>
      <c r="K486" s="406" cm="1">
        <f t="array" ref="K486">INDEX(implementatie[[2023]:[2034]],MATCH(G486,implementatie[Zoeksleutel],0),I486 + 1)</f>
        <v>0.17544453902174978</v>
      </c>
      <c r="L48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246.72370834686279</v>
      </c>
      <c r="M486" s="398" cm="1">
        <f t="array" ref="M486">J486*INDEX(Berekening_impact[Totaal arbeidsbesparing (€/jaar)],MATCH(B486,IF(Berekening_impact[Doelgroep]=C486,Berekening_impact[Digitale zorgtoepassing]),0))</f>
        <v>569547.49410550273</v>
      </c>
      <c r="N486" s="397" cm="1">
        <f t="array" ref="N486">J486*INDEX(Berekening_impact[Totaal arbeidsbesparing (FTE/jaar)],MATCH(B486,IF(Berekening_impact[Doelgroep]=C486,Berekening_impact[Digitale zorgtoepassing]),0))</f>
        <v>13.415601641360663</v>
      </c>
      <c r="O486" s="398" cm="1">
        <f t="array" ref="O486">J486*INDEX(Berekening_impact[Overige kostenbesparing (totaal/jaar totaal potentieel)],MATCH(B486,IF(Berekening_impact[Doelgroep]=C486,Berekening_impact[Digitale zorgtoepassing]),0))</f>
        <v>193278.74980056248</v>
      </c>
      <c r="P486" s="398" cm="1">
        <f t="array" ref="P486">J486*INDEX(Berekening_impact[Opbrengsten door QALY''s],MATCH(B486,IF(Berekening_impact[Doelgroep]=C486,Berekening_impact[Digitale zorgtoepassing]),0))</f>
        <v>0</v>
      </c>
      <c r="Q486" s="398" cm="1">
        <f t="array" ref="Q486">J486*INDEX(Berekening_impact[Jaarlijkse kosten (totaal) - incl. schatting],MATCH(B486,IF(Berekening_impact[Doelgroep]=C486,Berekening_impact[Digitale zorgtoepassing]),0))</f>
        <v>710290.82792888035</v>
      </c>
      <c r="R486" s="398" cm="1">
        <f t="array" ref="R486">(uitkomst_doelgroep[[#This Row],[Implementatiegraad t = T + 1]]-uitkomst_doelgroep[[#This Row],[Implementatiegraad t = T]])*INDEX(Berekening_impact[Initiële investering (totaal) - incl. schatting],MATCH(B486,IF(Berekening_impact[Doelgroep]=C486,Berekening_impact[Digitale zorgtoepassing]),0))</f>
        <v>0</v>
      </c>
      <c r="S486" s="398">
        <f>uitkomst_doelgroep[[#This Row],[Arbeidsbesparing (€)]]*uitkomst_doelgroep[[#This Row],[Percentage van patiëntaantallen in Wlz (overige is Zvw)]]</f>
        <v>569547.49410550273</v>
      </c>
      <c r="T486" s="398">
        <f>uitkomst_doelgroep[[#This Row],[Overige besparingen (€)]]*uitkomst_doelgroep[[#This Row],[Percentage van patiëntaantallen in Wlz (overige is Zvw)]]</f>
        <v>193278.74980056248</v>
      </c>
      <c r="U486" s="398">
        <f>uitkomst_doelgroep[[#This Row],[Kosten (€)]]*uitkomst_doelgroep[[#This Row],[Percentage van patiëntaantallen in Wlz (overige is Zvw)]]</f>
        <v>710290.82792888035</v>
      </c>
      <c r="V486" s="398">
        <f>uitkomst_doelgroep[[#This Row],[Investering (cash flow) (€)]]*uitkomst_doelgroep[[#This Row],[Percentage van patiëntaantallen in Wlz (overige is Zvw)]]</f>
        <v>0</v>
      </c>
    </row>
    <row r="487" spans="1:22" x14ac:dyDescent="0.5">
      <c r="A487" s="33" t="str">
        <f>INDEX(Technologieën[Veld],MATCH(B487,Technologieën[Digitale zorgtoepassing],0))</f>
        <v>Sensoren - Verpleging</v>
      </c>
      <c r="B487" s="33" t="s">
        <v>42</v>
      </c>
      <c r="C487" s="33" t="s">
        <v>348</v>
      </c>
      <c r="D487" s="427" cm="1">
        <f t="array" ref="D487">INDEX(Berekening_patiëntaantal[Percentage van patiëntaantallen in Wlz (overige is Zvw)],MATCH(B487,IF(Berekening_patiëntaantal[Doelgroep (zoeksleutel)]=C487,Berekening_patiëntaantal[Digitale zorgtoepassing]),0))</f>
        <v>1</v>
      </c>
      <c r="E487" s="33" t="str" cm="1">
        <f t="array" ref="E487">INDEX(Berekening_patiëntaantal[Direct toepasbaar/extrapolatie/incidentie voor QALY],MATCH(B487,IF(Berekening_patiëntaantal[Doelgroep (zoeksleutel)]=C487,Berekening_patiëntaantal[Digitale zorgtoepassing]),0))</f>
        <v>Huidige toepassing</v>
      </c>
      <c r="F487" s="43" t="s">
        <v>812</v>
      </c>
      <c r="G487" s="33" t="str">
        <f>CONCATENATE(uitkomst_doelgroep[[#This Row],[Digitale zorgtoepassing]],"_",uitkomst_doelgroep[[#This Row],[Doelgroep]],"_",uitkomst_doelgroep[[#This Row],[Uitgangssituatie/effect beleid]])</f>
        <v>Slim incontinentiemateriaal_Urine incontinent_Effect beleid</v>
      </c>
      <c r="H487" s="33">
        <v>2027</v>
      </c>
      <c r="I487" s="32">
        <v>5</v>
      </c>
      <c r="J487" s="406" cm="1">
        <f t="array" ref="J487">INDEX(implementatie[[2023]:[2034]],MATCH(G487, implementatie[Zoeksleutel],0),I487)</f>
        <v>0.84715933786401665</v>
      </c>
      <c r="K487" s="406" cm="1">
        <f t="array" ref="K487">INDEX(implementatie[[2023]:[2034]],MATCH(G487,implementatie[Zoeksleutel],0),I487 + 1)</f>
        <v>0.90924653177763415</v>
      </c>
      <c r="L48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27619.512312711598</v>
      </c>
      <c r="M487" s="398" cm="1">
        <f t="array" ref="M487">J487*INDEX(Berekening_impact[Totaal arbeidsbesparing (€/jaar)],MATCH(B487,IF(Berekening_impact[Doelgroep]=C487,Berekening_impact[Digitale zorgtoepassing]),0))</f>
        <v>63758056.051936746</v>
      </c>
      <c r="N487" s="397" cm="1">
        <f t="array" ref="N487">J487*INDEX(Berekening_impact[Totaal arbeidsbesparing (FTE/jaar)],MATCH(B487,IF(Berekening_impact[Doelgroep]=C487,Berekening_impact[Digitale zorgtoepassing]),0))</f>
        <v>1501.8109820036932</v>
      </c>
      <c r="O487" s="398" cm="1">
        <f t="array" ref="O487">J487*INDEX(Berekening_impact[Overige kostenbesparing (totaal/jaar totaal potentieel)],MATCH(B487,IF(Berekening_impact[Doelgroep]=C487,Berekening_impact[Digitale zorgtoepassing]),0))</f>
        <v>21636610.626803666</v>
      </c>
      <c r="P487" s="398" cm="1">
        <f t="array" ref="P487">J487*INDEX(Berekening_impact[Opbrengsten door QALY''s],MATCH(B487,IF(Berekening_impact[Doelgroep]=C487,Berekening_impact[Digitale zorgtoepassing]),0))</f>
        <v>0</v>
      </c>
      <c r="Q487" s="398" cm="1">
        <f t="array" ref="Q487">J487*INDEX(Berekening_impact[Jaarlijkse kosten (totaal) - incl. schatting],MATCH(B487,IF(Berekening_impact[Doelgroep]=C487,Berekening_impact[Digitale zorgtoepassing]),0))</f>
        <v>79513583.834462821</v>
      </c>
      <c r="R487" s="398" cm="1">
        <f t="array" ref="R487">(uitkomst_doelgroep[[#This Row],[Implementatiegraad t = T + 1]]-uitkomst_doelgroep[[#This Row],[Implementatiegraad t = T]])*INDEX(Berekening_impact[Initiële investering (totaal) - incl. schatting],MATCH(B487,IF(Berekening_impact[Doelgroep]=C487,Berekening_impact[Digitale zorgtoepassing]),0))</f>
        <v>0</v>
      </c>
      <c r="S487" s="398">
        <f>uitkomst_doelgroep[[#This Row],[Arbeidsbesparing (€)]]*uitkomst_doelgroep[[#This Row],[Percentage van patiëntaantallen in Wlz (overige is Zvw)]]</f>
        <v>63758056.051936746</v>
      </c>
      <c r="T487" s="398">
        <f>uitkomst_doelgroep[[#This Row],[Overige besparingen (€)]]*uitkomst_doelgroep[[#This Row],[Percentage van patiëntaantallen in Wlz (overige is Zvw)]]</f>
        <v>21636610.626803666</v>
      </c>
      <c r="U487" s="398">
        <f>uitkomst_doelgroep[[#This Row],[Kosten (€)]]*uitkomst_doelgroep[[#This Row],[Percentage van patiëntaantallen in Wlz (overige is Zvw)]]</f>
        <v>79513583.834462821</v>
      </c>
      <c r="V487" s="398">
        <f>uitkomst_doelgroep[[#This Row],[Investering (cash flow) (€)]]*uitkomst_doelgroep[[#This Row],[Percentage van patiëntaantallen in Wlz (overige is Zvw)]]</f>
        <v>0</v>
      </c>
    </row>
    <row r="488" spans="1:22" x14ac:dyDescent="0.5">
      <c r="A488" s="33" t="str">
        <f>INDEX(Technologieën[Veld],MATCH(B488,Technologieën[Digitale zorgtoepassing],0))</f>
        <v>Sensoren - Verpleging</v>
      </c>
      <c r="B488" s="33" t="s">
        <v>42</v>
      </c>
      <c r="C488" s="33" t="s">
        <v>44</v>
      </c>
      <c r="D488" s="427" cm="1">
        <f t="array" ref="D488">INDEX(Berekening_patiëntaantal[Percentage van patiëntaantallen in Wlz (overige is Zvw)],MATCH(B488,IF(Berekening_patiëntaantal[Doelgroep (zoeksleutel)]=C488,Berekening_patiëntaantal[Digitale zorgtoepassing]),0))</f>
        <v>1</v>
      </c>
      <c r="E488" s="33" t="str" cm="1">
        <f t="array" ref="E488">INDEX(Berekening_patiëntaantal[Direct toepasbaar/extrapolatie/incidentie voor QALY],MATCH(B488,IF(Berekening_patiëntaantal[Doelgroep (zoeksleutel)]=C488,Berekening_patiëntaantal[Digitale zorgtoepassing]),0))</f>
        <v>Extrapolatie</v>
      </c>
      <c r="F488" s="43" t="s">
        <v>812</v>
      </c>
      <c r="G488" s="33" t="str">
        <f>CONCATENATE(uitkomst_doelgroep[[#This Row],[Digitale zorgtoepassing]],"_",uitkomst_doelgroep[[#This Row],[Doelgroep]],"_",uitkomst_doelgroep[[#This Row],[Uitgangssituatie/effect beleid]])</f>
        <v>Slim incontinentiemateriaal_Verstandelijk gehandicapten_Effect beleid</v>
      </c>
      <c r="H488" s="33">
        <v>2028</v>
      </c>
      <c r="I488" s="32">
        <v>6</v>
      </c>
      <c r="J488" s="406" cm="1">
        <f t="array" ref="J488">INDEX(implementatie[[2023]:[2034]],MATCH(G488, implementatie[Zoeksleutel],0),I488)</f>
        <v>0.17544453902174978</v>
      </c>
      <c r="K488" s="406" cm="1">
        <f t="array" ref="K488">INDEX(implementatie[[2023]:[2034]],MATCH(G488,implementatie[Zoeksleutel],0),I488 + 1)</f>
        <v>0.26115711428334398</v>
      </c>
      <c r="L48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395.84674116782293</v>
      </c>
      <c r="M488" s="398" cm="1">
        <f t="array" ref="M488">J488*INDEX(Berekening_impact[Totaal arbeidsbesparing (€/jaar)],MATCH(B488,IF(Berekening_impact[Doelgroep]=C488,Berekening_impact[Digitale zorgtoepassing]),0))</f>
        <v>913789.44079830206</v>
      </c>
      <c r="N488" s="397" cm="1">
        <f t="array" ref="N488">J488*INDEX(Berekening_impact[Totaal arbeidsbesparing (FTE/jaar)],MATCH(B488,IF(Berekening_impact[Doelgroep]=C488,Berekening_impact[Digitale zorgtoepassing]),0))</f>
        <v>21.524166551000373</v>
      </c>
      <c r="O488" s="398" cm="1">
        <f t="array" ref="O488">J488*INDEX(Berekening_impact[Overige kostenbesparing (totaal/jaar totaal potentieel)],MATCH(B488,IF(Berekening_impact[Doelgroep]=C488,Berekening_impact[Digitale zorgtoepassing]),0))</f>
        <v>310098.95140673663</v>
      </c>
      <c r="P488" s="398" cm="1">
        <f t="array" ref="P488">J488*INDEX(Berekening_impact[Opbrengsten door QALY''s],MATCH(B488,IF(Berekening_impact[Doelgroep]=C488,Berekening_impact[Digitale zorgtoepassing]),0))</f>
        <v>0</v>
      </c>
      <c r="Q488" s="398" cm="1">
        <f t="array" ref="Q488">J488*INDEX(Berekening_impact[Jaarlijkse kosten (totaal) - incl. schatting],MATCH(B488,IF(Berekening_impact[Doelgroep]=C488,Berekening_impact[Digitale zorgtoepassing]),0))</f>
        <v>1139599.8844252024</v>
      </c>
      <c r="R488" s="398" cm="1">
        <f t="array" ref="R488">(uitkomst_doelgroep[[#This Row],[Implementatiegraad t = T + 1]]-uitkomst_doelgroep[[#This Row],[Implementatiegraad t = T]])*INDEX(Berekening_impact[Initiële investering (totaal) - incl. schatting],MATCH(B488,IF(Berekening_impact[Doelgroep]=C488,Berekening_impact[Digitale zorgtoepassing]),0))</f>
        <v>0</v>
      </c>
      <c r="S488" s="398">
        <f>uitkomst_doelgroep[[#This Row],[Arbeidsbesparing (€)]]*uitkomst_doelgroep[[#This Row],[Percentage van patiëntaantallen in Wlz (overige is Zvw)]]</f>
        <v>913789.44079830206</v>
      </c>
      <c r="T488" s="398">
        <f>uitkomst_doelgroep[[#This Row],[Overige besparingen (€)]]*uitkomst_doelgroep[[#This Row],[Percentage van patiëntaantallen in Wlz (overige is Zvw)]]</f>
        <v>310098.95140673663</v>
      </c>
      <c r="U488" s="398">
        <f>uitkomst_doelgroep[[#This Row],[Kosten (€)]]*uitkomst_doelgroep[[#This Row],[Percentage van patiëntaantallen in Wlz (overige is Zvw)]]</f>
        <v>1139599.8844252024</v>
      </c>
      <c r="V488" s="398">
        <f>uitkomst_doelgroep[[#This Row],[Investering (cash flow) (€)]]*uitkomst_doelgroep[[#This Row],[Percentage van patiëntaantallen in Wlz (overige is Zvw)]]</f>
        <v>0</v>
      </c>
    </row>
    <row r="489" spans="1:22" x14ac:dyDescent="0.5">
      <c r="A489" s="33" t="str">
        <f>INDEX(Technologieën[Veld],MATCH(B489,Technologieën[Digitale zorgtoepassing],0))</f>
        <v>Sensoren - Verpleging</v>
      </c>
      <c r="B489" s="33" t="s">
        <v>42</v>
      </c>
      <c r="C489" s="33" t="s">
        <v>348</v>
      </c>
      <c r="D489" s="427" cm="1">
        <f t="array" ref="D489">INDEX(Berekening_patiëntaantal[Percentage van patiëntaantallen in Wlz (overige is Zvw)],MATCH(B489,IF(Berekening_patiëntaantal[Doelgroep (zoeksleutel)]=C489,Berekening_patiëntaantal[Digitale zorgtoepassing]),0))</f>
        <v>1</v>
      </c>
      <c r="E489" s="33" t="str" cm="1">
        <f t="array" ref="E489">INDEX(Berekening_patiëntaantal[Direct toepasbaar/extrapolatie/incidentie voor QALY],MATCH(B489,IF(Berekening_patiëntaantal[Doelgroep (zoeksleutel)]=C489,Berekening_patiëntaantal[Digitale zorgtoepassing]),0))</f>
        <v>Huidige toepassing</v>
      </c>
      <c r="F489" s="43" t="s">
        <v>812</v>
      </c>
      <c r="G489" s="33" t="str">
        <f>CONCATENATE(uitkomst_doelgroep[[#This Row],[Digitale zorgtoepassing]],"_",uitkomst_doelgroep[[#This Row],[Doelgroep]],"_",uitkomst_doelgroep[[#This Row],[Uitgangssituatie/effect beleid]])</f>
        <v>Slim incontinentiemateriaal_Urine incontinent_Effect beleid</v>
      </c>
      <c r="H489" s="33">
        <v>2028</v>
      </c>
      <c r="I489" s="32">
        <v>6</v>
      </c>
      <c r="J489" s="406" cm="1">
        <f t="array" ref="J489">INDEX(implementatie[[2023]:[2034]],MATCH(G489, implementatie[Zoeksleutel],0),I489)</f>
        <v>0.90924653177763415</v>
      </c>
      <c r="K489" s="406" cm="1">
        <f t="array" ref="K489">INDEX(implementatie[[2023]:[2034]],MATCH(G489,implementatie[Zoeksleutel],0),I489 + 1)</f>
        <v>0.94864814278578335</v>
      </c>
      <c r="L48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29643.710052280316</v>
      </c>
      <c r="M489" s="398" cm="1">
        <f t="array" ref="M489">J489*INDEX(Berekening_impact[Totaal arbeidsbesparing (€/jaar)],MATCH(B489,IF(Berekening_impact[Doelgroep]=C489,Berekening_impact[Digitale zorgtoepassing]),0))</f>
        <v>68430800.14236109</v>
      </c>
      <c r="N489" s="397" cm="1">
        <f t="array" ref="N489">J489*INDEX(Berekening_impact[Totaal arbeidsbesparing (FTE/jaar)],MATCH(B489,IF(Berekening_impact[Doelgroep]=C489,Berekening_impact[Digitale zorgtoepassing]),0))</f>
        <v>1611.876734092742</v>
      </c>
      <c r="O489" s="398" cm="1">
        <f t="array" ref="O489">J489*INDEX(Berekening_impact[Overige kostenbesparing (totaal/jaar totaal potentieel)],MATCH(B489,IF(Berekening_impact[Doelgroep]=C489,Berekening_impact[Digitale zorgtoepassing]),0))</f>
        <v>23222329.368931759</v>
      </c>
      <c r="P489" s="398" cm="1">
        <f t="array" ref="P489">J489*INDEX(Berekening_impact[Opbrengsten door QALY''s],MATCH(B489,IF(Berekening_impact[Doelgroep]=C489,Berekening_impact[Digitale zorgtoepassing]),0))</f>
        <v>0</v>
      </c>
      <c r="Q489" s="398" cm="1">
        <f t="array" ref="Q489">J489*INDEX(Berekening_impact[Jaarlijkse kosten (totaal) - incl. schatting],MATCH(B489,IF(Berekening_impact[Doelgroep]=C489,Berekening_impact[Digitale zorgtoepassing]),0))</f>
        <v>85341029.838592708</v>
      </c>
      <c r="R489" s="398" cm="1">
        <f t="array" ref="R489">(uitkomst_doelgroep[[#This Row],[Implementatiegraad t = T + 1]]-uitkomst_doelgroep[[#This Row],[Implementatiegraad t = T]])*INDEX(Berekening_impact[Initiële investering (totaal) - incl. schatting],MATCH(B489,IF(Berekening_impact[Doelgroep]=C489,Berekening_impact[Digitale zorgtoepassing]),0))</f>
        <v>0</v>
      </c>
      <c r="S489" s="398">
        <f>uitkomst_doelgroep[[#This Row],[Arbeidsbesparing (€)]]*uitkomst_doelgroep[[#This Row],[Percentage van patiëntaantallen in Wlz (overige is Zvw)]]</f>
        <v>68430800.14236109</v>
      </c>
      <c r="T489" s="398">
        <f>uitkomst_doelgroep[[#This Row],[Overige besparingen (€)]]*uitkomst_doelgroep[[#This Row],[Percentage van patiëntaantallen in Wlz (overige is Zvw)]]</f>
        <v>23222329.368931759</v>
      </c>
      <c r="U489" s="398">
        <f>uitkomst_doelgroep[[#This Row],[Kosten (€)]]*uitkomst_doelgroep[[#This Row],[Percentage van patiëntaantallen in Wlz (overige is Zvw)]]</f>
        <v>85341029.838592708</v>
      </c>
      <c r="V489" s="398">
        <f>uitkomst_doelgroep[[#This Row],[Investering (cash flow) (€)]]*uitkomst_doelgroep[[#This Row],[Percentage van patiëntaantallen in Wlz (overige is Zvw)]]</f>
        <v>0</v>
      </c>
    </row>
    <row r="490" spans="1:22" x14ac:dyDescent="0.5">
      <c r="A490" s="33" t="str">
        <f>INDEX(Technologieën[Veld],MATCH(B490,Technologieën[Digitale zorgtoepassing],0))</f>
        <v>Sensoren - Verpleging</v>
      </c>
      <c r="B490" s="33" t="s">
        <v>42</v>
      </c>
      <c r="C490" s="33" t="s">
        <v>44</v>
      </c>
      <c r="D490" s="427" cm="1">
        <f t="array" ref="D490">INDEX(Berekening_patiëntaantal[Percentage van patiëntaantallen in Wlz (overige is Zvw)],MATCH(B490,IF(Berekening_patiëntaantal[Doelgroep (zoeksleutel)]=C490,Berekening_patiëntaantal[Digitale zorgtoepassing]),0))</f>
        <v>1</v>
      </c>
      <c r="E490" s="33" t="str" cm="1">
        <f t="array" ref="E490">INDEX(Berekening_patiëntaantal[Direct toepasbaar/extrapolatie/incidentie voor QALY],MATCH(B490,IF(Berekening_patiëntaantal[Doelgroep (zoeksleutel)]=C490,Berekening_patiëntaantal[Digitale zorgtoepassing]),0))</f>
        <v>Extrapolatie</v>
      </c>
      <c r="F490" s="43" t="s">
        <v>812</v>
      </c>
      <c r="G490" s="33" t="str">
        <f>CONCATENATE(uitkomst_doelgroep[[#This Row],[Digitale zorgtoepassing]],"_",uitkomst_doelgroep[[#This Row],[Doelgroep]],"_",uitkomst_doelgroep[[#This Row],[Uitgangssituatie/effect beleid]])</f>
        <v>Slim incontinentiemateriaal_Verstandelijk gehandicapten_Effect beleid</v>
      </c>
      <c r="H490" s="33">
        <v>2029</v>
      </c>
      <c r="I490" s="32">
        <v>7</v>
      </c>
      <c r="J490" s="406" cm="1">
        <f t="array" ref="J490">INDEX(implementatie[[2023]:[2034]],MATCH(G490, implementatie[Zoeksleutel],0),I490)</f>
        <v>0.26115711428334398</v>
      </c>
      <c r="K490" s="406" cm="1">
        <f t="array" ref="K490">INDEX(implementatie[[2023]:[2034]],MATCH(G490,implementatie[Zoeksleutel],0),I490 + 1)</f>
        <v>0.36645752060040354</v>
      </c>
      <c r="L49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589.23573910179482</v>
      </c>
      <c r="M490" s="398" cm="1">
        <f t="array" ref="M490">J490*INDEX(Berekening_impact[Totaal arbeidsbesparing (€/jaar)],MATCH(B490,IF(Berekening_impact[Doelgroep]=C490,Berekening_impact[Digitale zorgtoepassing]),0))</f>
        <v>1360216.8226614951</v>
      </c>
      <c r="N490" s="397" cm="1">
        <f t="array" ref="N490">J490*INDEX(Berekening_impact[Totaal arbeidsbesparing (FTE/jaar)],MATCH(B490,IF(Berekening_impact[Doelgroep]=C490,Berekening_impact[Digitale zorgtoepassing]),0))</f>
        <v>32.039693313660095</v>
      </c>
      <c r="O490" s="398" cm="1">
        <f t="array" ref="O490">J490*INDEX(Berekening_impact[Overige kostenbesparing (totaal/jaar totaal potentieel)],MATCH(B490,IF(Berekening_impact[Doelgroep]=C490,Berekening_impact[Digitale zorgtoepassing]),0))</f>
        <v>461596.28417750087</v>
      </c>
      <c r="P490" s="398" cm="1">
        <f t="array" ref="P490">J490*INDEX(Berekening_impact[Opbrengsten door QALY''s],MATCH(B490,IF(Berekening_impact[Doelgroep]=C490,Berekening_impact[Digitale zorgtoepassing]),0))</f>
        <v>0</v>
      </c>
      <c r="Q490" s="398" cm="1">
        <f t="array" ref="Q490">J490*INDEX(Berekening_impact[Jaarlijkse kosten (totaal) - incl. schatting],MATCH(B490,IF(Berekening_impact[Doelgroep]=C490,Berekening_impact[Digitale zorgtoepassing]),0))</f>
        <v>1696345.8590023315</v>
      </c>
      <c r="R490" s="398" cm="1">
        <f t="array" ref="R490">(uitkomst_doelgroep[[#This Row],[Implementatiegraad t = T + 1]]-uitkomst_doelgroep[[#This Row],[Implementatiegraad t = T]])*INDEX(Berekening_impact[Initiële investering (totaal) - incl. schatting],MATCH(B490,IF(Berekening_impact[Doelgroep]=C490,Berekening_impact[Digitale zorgtoepassing]),0))</f>
        <v>0</v>
      </c>
      <c r="S490" s="398">
        <f>uitkomst_doelgroep[[#This Row],[Arbeidsbesparing (€)]]*uitkomst_doelgroep[[#This Row],[Percentage van patiëntaantallen in Wlz (overige is Zvw)]]</f>
        <v>1360216.8226614951</v>
      </c>
      <c r="T490" s="398">
        <f>uitkomst_doelgroep[[#This Row],[Overige besparingen (€)]]*uitkomst_doelgroep[[#This Row],[Percentage van patiëntaantallen in Wlz (overige is Zvw)]]</f>
        <v>461596.28417750087</v>
      </c>
      <c r="U490" s="398">
        <f>uitkomst_doelgroep[[#This Row],[Kosten (€)]]*uitkomst_doelgroep[[#This Row],[Percentage van patiëntaantallen in Wlz (overige is Zvw)]]</f>
        <v>1696345.8590023315</v>
      </c>
      <c r="V490" s="398">
        <f>uitkomst_doelgroep[[#This Row],[Investering (cash flow) (€)]]*uitkomst_doelgroep[[#This Row],[Percentage van patiëntaantallen in Wlz (overige is Zvw)]]</f>
        <v>0</v>
      </c>
    </row>
    <row r="491" spans="1:22" x14ac:dyDescent="0.5">
      <c r="A491" s="33" t="str">
        <f>INDEX(Technologieën[Veld],MATCH(B491,Technologieën[Digitale zorgtoepassing],0))</f>
        <v>Sensoren - Verpleging</v>
      </c>
      <c r="B491" s="33" t="s">
        <v>42</v>
      </c>
      <c r="C491" s="33" t="s">
        <v>348</v>
      </c>
      <c r="D491" s="427" cm="1">
        <f t="array" ref="D491">INDEX(Berekening_patiëntaantal[Percentage van patiëntaantallen in Wlz (overige is Zvw)],MATCH(B491,IF(Berekening_patiëntaantal[Doelgroep (zoeksleutel)]=C491,Berekening_patiëntaantal[Digitale zorgtoepassing]),0))</f>
        <v>1</v>
      </c>
      <c r="E491" s="33" t="str" cm="1">
        <f t="array" ref="E491">INDEX(Berekening_patiëntaantal[Direct toepasbaar/extrapolatie/incidentie voor QALY],MATCH(B491,IF(Berekening_patiëntaantal[Doelgroep (zoeksleutel)]=C491,Berekening_patiëntaantal[Digitale zorgtoepassing]),0))</f>
        <v>Huidige toepassing</v>
      </c>
      <c r="F491" s="43" t="s">
        <v>812</v>
      </c>
      <c r="G491" s="33" t="str">
        <f>CONCATENATE(uitkomst_doelgroep[[#This Row],[Digitale zorgtoepassing]],"_",uitkomst_doelgroep[[#This Row],[Doelgroep]],"_",uitkomst_doelgroep[[#This Row],[Uitgangssituatie/effect beleid]])</f>
        <v>Slim incontinentiemateriaal_Urine incontinent_Effect beleid</v>
      </c>
      <c r="H491" s="33">
        <v>2029</v>
      </c>
      <c r="I491" s="32">
        <v>7</v>
      </c>
      <c r="J491" s="406" cm="1">
        <f t="array" ref="J491">INDEX(implementatie[[2023]:[2034]],MATCH(G491, implementatie[Zoeksleutel],0),I491)</f>
        <v>0.94864814278578335</v>
      </c>
      <c r="K491" s="406" cm="1">
        <f t="array" ref="K491">INDEX(implementatie[[2023]:[2034]],MATCH(G491,implementatie[Zoeksleutel],0),I491 + 1)</f>
        <v>0.97185361900482903</v>
      </c>
      <c r="L49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30928.301075173498</v>
      </c>
      <c r="M491" s="398" cm="1">
        <f t="array" ref="M491">J491*INDEX(Berekening_impact[Totaal arbeidsbesparing (€/jaar)],MATCH(B491,IF(Berekening_impact[Doelgroep]=C491,Berekening_impact[Digitale zorgtoepassing]),0))</f>
        <v>71396204.654726192</v>
      </c>
      <c r="N491" s="397" cm="1">
        <f t="array" ref="N491">J491*INDEX(Berekening_impact[Totaal arbeidsbesparing (FTE/jaar)],MATCH(B491,IF(Berekening_impact[Doelgroep]=C491,Berekening_impact[Digitale zorgtoepassing]),0))</f>
        <v>1681.7263709625588</v>
      </c>
      <c r="O491" s="398" cm="1">
        <f t="array" ref="O491">J491*INDEX(Berekening_impact[Overige kostenbesparing (totaal/jaar totaal potentieel)],MATCH(B491,IF(Berekening_impact[Doelgroep]=C491,Berekening_impact[Digitale zorgtoepassing]),0))</f>
        <v>24228654.00864074</v>
      </c>
      <c r="P491" s="398" cm="1">
        <f t="array" ref="P491">J491*INDEX(Berekening_impact[Opbrengsten door QALY''s],MATCH(B491,IF(Berekening_impact[Doelgroep]=C491,Berekening_impact[Digitale zorgtoepassing]),0))</f>
        <v>0</v>
      </c>
      <c r="Q491" s="398" cm="1">
        <f t="array" ref="Q491">J491*INDEX(Berekening_impact[Jaarlijkse kosten (totaal) - incl. schatting],MATCH(B491,IF(Berekening_impact[Doelgroep]=C491,Berekening_impact[Digitale zorgtoepassing]),0))</f>
        <v>89039228.229474708</v>
      </c>
      <c r="R491" s="398" cm="1">
        <f t="array" ref="R491">(uitkomst_doelgroep[[#This Row],[Implementatiegraad t = T + 1]]-uitkomst_doelgroep[[#This Row],[Implementatiegraad t = T]])*INDEX(Berekening_impact[Initiële investering (totaal) - incl. schatting],MATCH(B491,IF(Berekening_impact[Doelgroep]=C491,Berekening_impact[Digitale zorgtoepassing]),0))</f>
        <v>0</v>
      </c>
      <c r="S491" s="398">
        <f>uitkomst_doelgroep[[#This Row],[Arbeidsbesparing (€)]]*uitkomst_doelgroep[[#This Row],[Percentage van patiëntaantallen in Wlz (overige is Zvw)]]</f>
        <v>71396204.654726192</v>
      </c>
      <c r="T491" s="398">
        <f>uitkomst_doelgroep[[#This Row],[Overige besparingen (€)]]*uitkomst_doelgroep[[#This Row],[Percentage van patiëntaantallen in Wlz (overige is Zvw)]]</f>
        <v>24228654.00864074</v>
      </c>
      <c r="U491" s="398">
        <f>uitkomst_doelgroep[[#This Row],[Kosten (€)]]*uitkomst_doelgroep[[#This Row],[Percentage van patiëntaantallen in Wlz (overige is Zvw)]]</f>
        <v>89039228.229474708</v>
      </c>
      <c r="V491" s="398">
        <f>uitkomst_doelgroep[[#This Row],[Investering (cash flow) (€)]]*uitkomst_doelgroep[[#This Row],[Percentage van patiëntaantallen in Wlz (overige is Zvw)]]</f>
        <v>0</v>
      </c>
    </row>
    <row r="492" spans="1:22" x14ac:dyDescent="0.5">
      <c r="A492" s="33" t="str">
        <f>INDEX(Technologieën[Veld],MATCH(B492,Technologieën[Digitale zorgtoepassing],0))</f>
        <v>Sensoren - Verpleging</v>
      </c>
      <c r="B492" s="33" t="s">
        <v>42</v>
      </c>
      <c r="C492" s="33" t="s">
        <v>44</v>
      </c>
      <c r="D492" s="427" cm="1">
        <f t="array" ref="D492">INDEX(Berekening_patiëntaantal[Percentage van patiëntaantallen in Wlz (overige is Zvw)],MATCH(B492,IF(Berekening_patiëntaantal[Doelgroep (zoeksleutel)]=C492,Berekening_patiëntaantal[Digitale zorgtoepassing]),0))</f>
        <v>1</v>
      </c>
      <c r="E492" s="33" t="str" cm="1">
        <f t="array" ref="E492">INDEX(Berekening_patiëntaantal[Direct toepasbaar/extrapolatie/incidentie voor QALY],MATCH(B492,IF(Berekening_patiëntaantal[Doelgroep (zoeksleutel)]=C492,Berekening_patiëntaantal[Digitale zorgtoepassing]),0))</f>
        <v>Extrapolatie</v>
      </c>
      <c r="F492" s="43" t="s">
        <v>812</v>
      </c>
      <c r="G492" s="33" t="str">
        <f>CONCATENATE(uitkomst_doelgroep[[#This Row],[Digitale zorgtoepassing]],"_",uitkomst_doelgroep[[#This Row],[Doelgroep]],"_",uitkomst_doelgroep[[#This Row],[Uitgangssituatie/effect beleid]])</f>
        <v>Slim incontinentiemateriaal_Verstandelijk gehandicapten_Effect beleid</v>
      </c>
      <c r="H492" s="33">
        <v>2030</v>
      </c>
      <c r="I492" s="32">
        <v>8</v>
      </c>
      <c r="J492" s="406" cm="1">
        <f t="array" ref="J492">INDEX(implementatie[[2023]:[2034]],MATCH(G492, implementatie[Zoeksleutel],0),I492)</f>
        <v>0.36645752060040354</v>
      </c>
      <c r="K492" s="406" cm="1">
        <f t="array" ref="K492">INDEX(implementatie[[2023]:[2034]],MATCH(G492,implementatie[Zoeksleutel],0),I492 + 1)</f>
        <v>0.48677096537350723</v>
      </c>
      <c r="L49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826.81978085466051</v>
      </c>
      <c r="M492" s="398" cm="1">
        <f t="array" ref="M492">J492*INDEX(Berekening_impact[Totaal arbeidsbesparing (€/jaar)],MATCH(B492,IF(Berekening_impact[Doelgroep]=C492,Berekening_impact[Digitale zorgtoepassing]),0))</f>
        <v>1908665.9219655846</v>
      </c>
      <c r="N492" s="397" cm="1">
        <f t="array" ref="N492">J492*INDEX(Berekening_impact[Totaal arbeidsbesparing (FTE/jaar)],MATCH(B492,IF(Berekening_impact[Doelgroep]=C492,Berekening_impact[Digitale zorgtoepassing]),0))</f>
        <v>44.958325583972162</v>
      </c>
      <c r="O492" s="398" cm="1">
        <f t="array" ref="O492">J492*INDEX(Berekening_impact[Overige kostenbesparing (totaal/jaar totaal potentieel)],MATCH(B492,IF(Berekening_impact[Doelgroep]=C492,Berekening_impact[Digitale zorgtoepassing]),0))</f>
        <v>647715.18969427748</v>
      </c>
      <c r="P492" s="398" cm="1">
        <f t="array" ref="P492">J492*INDEX(Berekening_impact[Opbrengsten door QALY''s],MATCH(B492,IF(Berekening_impact[Doelgroep]=C492,Berekening_impact[Digitale zorgtoepassing]),0))</f>
        <v>0</v>
      </c>
      <c r="Q492" s="398" cm="1">
        <f t="array" ref="Q492">J492*INDEX(Berekening_impact[Jaarlijkse kosten (totaal) - incl. schatting],MATCH(B492,IF(Berekening_impact[Doelgroep]=C492,Berekening_impact[Digitale zorgtoepassing]),0))</f>
        <v>2380324.5769376419</v>
      </c>
      <c r="R492" s="398" cm="1">
        <f t="array" ref="R492">(uitkomst_doelgroep[[#This Row],[Implementatiegraad t = T + 1]]-uitkomst_doelgroep[[#This Row],[Implementatiegraad t = T]])*INDEX(Berekening_impact[Initiële investering (totaal) - incl. schatting],MATCH(B492,IF(Berekening_impact[Doelgroep]=C492,Berekening_impact[Digitale zorgtoepassing]),0))</f>
        <v>0</v>
      </c>
      <c r="S492" s="398">
        <f>uitkomst_doelgroep[[#This Row],[Arbeidsbesparing (€)]]*uitkomst_doelgroep[[#This Row],[Percentage van patiëntaantallen in Wlz (overige is Zvw)]]</f>
        <v>1908665.9219655846</v>
      </c>
      <c r="T492" s="398">
        <f>uitkomst_doelgroep[[#This Row],[Overige besparingen (€)]]*uitkomst_doelgroep[[#This Row],[Percentage van patiëntaantallen in Wlz (overige is Zvw)]]</f>
        <v>647715.18969427748</v>
      </c>
      <c r="U492" s="398">
        <f>uitkomst_doelgroep[[#This Row],[Kosten (€)]]*uitkomst_doelgroep[[#This Row],[Percentage van patiëntaantallen in Wlz (overige is Zvw)]]</f>
        <v>2380324.5769376419</v>
      </c>
      <c r="V492" s="398">
        <f>uitkomst_doelgroep[[#This Row],[Investering (cash flow) (€)]]*uitkomst_doelgroep[[#This Row],[Percentage van patiëntaantallen in Wlz (overige is Zvw)]]</f>
        <v>0</v>
      </c>
    </row>
    <row r="493" spans="1:22" x14ac:dyDescent="0.5">
      <c r="A493" s="33" t="str">
        <f>INDEX(Technologieën[Veld],MATCH(B493,Technologieën[Digitale zorgtoepassing],0))</f>
        <v>Sensoren - Verpleging</v>
      </c>
      <c r="B493" s="33" t="s">
        <v>42</v>
      </c>
      <c r="C493" s="33" t="s">
        <v>348</v>
      </c>
      <c r="D493" s="427" cm="1">
        <f t="array" ref="D493">INDEX(Berekening_patiëntaantal[Percentage van patiëntaantallen in Wlz (overige is Zvw)],MATCH(B493,IF(Berekening_patiëntaantal[Doelgroep (zoeksleutel)]=C493,Berekening_patiëntaantal[Digitale zorgtoepassing]),0))</f>
        <v>1</v>
      </c>
      <c r="E493" s="33" t="str" cm="1">
        <f t="array" ref="E493">INDEX(Berekening_patiëntaantal[Direct toepasbaar/extrapolatie/incidentie voor QALY],MATCH(B493,IF(Berekening_patiëntaantal[Doelgroep (zoeksleutel)]=C493,Berekening_patiëntaantal[Digitale zorgtoepassing]),0))</f>
        <v>Huidige toepassing</v>
      </c>
      <c r="F493" s="43" t="s">
        <v>812</v>
      </c>
      <c r="G493" s="33" t="str">
        <f>CONCATENATE(uitkomst_doelgroep[[#This Row],[Digitale zorgtoepassing]],"_",uitkomst_doelgroep[[#This Row],[Doelgroep]],"_",uitkomst_doelgroep[[#This Row],[Uitgangssituatie/effect beleid]])</f>
        <v>Slim incontinentiemateriaal_Urine incontinent_Effect beleid</v>
      </c>
      <c r="H493" s="33">
        <v>2030</v>
      </c>
      <c r="I493" s="32">
        <v>8</v>
      </c>
      <c r="J493" s="406" cm="1">
        <f t="array" ref="J493">INDEX(implementatie[[2023]:[2034]],MATCH(G493, implementatie[Zoeksleutel],0),I493)</f>
        <v>0.97185361900482903</v>
      </c>
      <c r="K493" s="406" cm="1">
        <f t="array" ref="K493">INDEX(implementatie[[2023]:[2034]],MATCH(G493,implementatie[Zoeksleutel],0),I493 + 1)</f>
        <v>0.98486665153412889</v>
      </c>
      <c r="L49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31684.857613604934</v>
      </c>
      <c r="M493" s="398" cm="1">
        <f t="array" ref="M493">J493*INDEX(Berekening_impact[Totaal arbeidsbesparing (€/jaar)],MATCH(B493,IF(Berekening_impact[Doelgroep]=C493,Berekening_impact[Digitale zorgtoepassing]),0))</f>
        <v>73142671.921694204</v>
      </c>
      <c r="N493" s="397" cm="1">
        <f t="array" ref="N493">J493*INDEX(Berekening_impact[Totaal arbeidsbesparing (FTE/jaar)],MATCH(B493,IF(Berekening_impact[Doelgroep]=C493,Berekening_impact[Digitale zorgtoepassing]),0))</f>
        <v>1722.8641327397684</v>
      </c>
      <c r="O493" s="398" cm="1">
        <f t="array" ref="O493">J493*INDEX(Berekening_impact[Overige kostenbesparing (totaal/jaar totaal potentieel)],MATCH(B493,IF(Berekening_impact[Doelgroep]=C493,Berekening_impact[Digitale zorgtoepassing]),0))</f>
        <v>24821326.285177268</v>
      </c>
      <c r="P493" s="398" cm="1">
        <f t="array" ref="P493">J493*INDEX(Berekening_impact[Opbrengsten door QALY''s],MATCH(B493,IF(Berekening_impact[Doelgroep]=C493,Berekening_impact[Digitale zorgtoepassing]),0))</f>
        <v>0</v>
      </c>
      <c r="Q493" s="398" cm="1">
        <f t="array" ref="Q493">J493*INDEX(Berekening_impact[Jaarlijkse kosten (totaal) - incl. schatting],MATCH(B493,IF(Berekening_impact[Doelgroep]=C493,Berekening_impact[Digitale zorgtoepassing]),0))</f>
        <v>91217272.543327138</v>
      </c>
      <c r="R493" s="398" cm="1">
        <f t="array" ref="R493">(uitkomst_doelgroep[[#This Row],[Implementatiegraad t = T + 1]]-uitkomst_doelgroep[[#This Row],[Implementatiegraad t = T]])*INDEX(Berekening_impact[Initiële investering (totaal) - incl. schatting],MATCH(B493,IF(Berekening_impact[Doelgroep]=C493,Berekening_impact[Digitale zorgtoepassing]),0))</f>
        <v>0</v>
      </c>
      <c r="S493" s="398">
        <f>uitkomst_doelgroep[[#This Row],[Arbeidsbesparing (€)]]*uitkomst_doelgroep[[#This Row],[Percentage van patiëntaantallen in Wlz (overige is Zvw)]]</f>
        <v>73142671.921694204</v>
      </c>
      <c r="T493" s="398">
        <f>uitkomst_doelgroep[[#This Row],[Overige besparingen (€)]]*uitkomst_doelgroep[[#This Row],[Percentage van patiëntaantallen in Wlz (overige is Zvw)]]</f>
        <v>24821326.285177268</v>
      </c>
      <c r="U493" s="398">
        <f>uitkomst_doelgroep[[#This Row],[Kosten (€)]]*uitkomst_doelgroep[[#This Row],[Percentage van patiëntaantallen in Wlz (overige is Zvw)]]</f>
        <v>91217272.543327138</v>
      </c>
      <c r="V493" s="398">
        <f>uitkomst_doelgroep[[#This Row],[Investering (cash flow) (€)]]*uitkomst_doelgroep[[#This Row],[Percentage van patiëntaantallen in Wlz (overige is Zvw)]]</f>
        <v>0</v>
      </c>
    </row>
    <row r="494" spans="1:22" x14ac:dyDescent="0.5">
      <c r="A494" s="33" t="str">
        <f>INDEX(Technologieën[Veld],MATCH(B494,Technologieën[Digitale zorgtoepassing],0))</f>
        <v>Sensoren - Verpleging</v>
      </c>
      <c r="B494" s="33" t="s">
        <v>42</v>
      </c>
      <c r="C494" s="33" t="s">
        <v>44</v>
      </c>
      <c r="D494" s="427" cm="1">
        <f t="array" ref="D494">INDEX(Berekening_patiëntaantal[Percentage van patiëntaantallen in Wlz (overige is Zvw)],MATCH(B494,IF(Berekening_patiëntaantal[Doelgroep (zoeksleutel)]=C494,Berekening_patiëntaantal[Digitale zorgtoepassing]),0))</f>
        <v>1</v>
      </c>
      <c r="E494" s="33" t="str" cm="1">
        <f t="array" ref="E494">INDEX(Berekening_patiëntaantal[Direct toepasbaar/extrapolatie/incidentie voor QALY],MATCH(B494,IF(Berekening_patiëntaantal[Doelgroep (zoeksleutel)]=C494,Berekening_patiëntaantal[Digitale zorgtoepassing]),0))</f>
        <v>Extrapolatie</v>
      </c>
      <c r="F494" s="43" t="s">
        <v>812</v>
      </c>
      <c r="G494" s="33" t="str">
        <f>CONCATENATE(uitkomst_doelgroep[[#This Row],[Digitale zorgtoepassing]],"_",uitkomst_doelgroep[[#This Row],[Doelgroep]],"_",uitkomst_doelgroep[[#This Row],[Uitgangssituatie/effect beleid]])</f>
        <v>Slim incontinentiemateriaal_Verstandelijk gehandicapten_Effect beleid</v>
      </c>
      <c r="H494" s="33">
        <v>2031</v>
      </c>
      <c r="I494" s="32">
        <v>9</v>
      </c>
      <c r="J494" s="406" cm="1">
        <f t="array" ref="J494">INDEX(implementatie[[2023]:[2034]],MATCH(G494, implementatie[Zoeksleutel],0),I494)</f>
        <v>0.48677096537350723</v>
      </c>
      <c r="K494" s="406" cm="1">
        <f t="array" ref="K494">INDEX(implementatie[[2023]:[2034]],MATCH(G494,implementatie[Zoeksleutel],0),I494 + 1)</f>
        <v>0.61202293792845253</v>
      </c>
      <c r="L49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1098.2769906239757</v>
      </c>
      <c r="M494" s="398" cm="1">
        <f t="array" ref="M494">J494*INDEX(Berekening_impact[Totaal arbeidsbesparing (€/jaar)],MATCH(B494,IF(Berekening_impact[Doelgroep]=C494,Berekening_impact[Digitale zorgtoepassing]),0))</f>
        <v>2535309.2819284871</v>
      </c>
      <c r="N494" s="397" cm="1">
        <f t="array" ref="N494">J494*INDEX(Berekening_impact[Totaal arbeidsbesparing (FTE/jaar)],MATCH(B494,IF(Berekening_impact[Doelgroep]=C494,Berekening_impact[Digitale zorgtoepassing]),0))</f>
        <v>59.718811365178681</v>
      </c>
      <c r="O494" s="398" cm="1">
        <f t="array" ref="O494">J494*INDEX(Berekening_impact[Overige kostenbesparing (totaal/jaar totaal potentieel)],MATCH(B494,IF(Berekening_impact[Doelgroep]=C494,Berekening_impact[Digitale zorgtoepassing]),0))</f>
        <v>860369.70303679071</v>
      </c>
      <c r="P494" s="398" cm="1">
        <f t="array" ref="P494">J494*INDEX(Berekening_impact[Opbrengsten door QALY''s],MATCH(B494,IF(Berekening_impact[Doelgroep]=C494,Berekening_impact[Digitale zorgtoepassing]),0))</f>
        <v>0</v>
      </c>
      <c r="Q494" s="398" cm="1">
        <f t="array" ref="Q494">J494*INDEX(Berekening_impact[Jaarlijkse kosten (totaal) - incl. schatting],MATCH(B494,IF(Berekening_impact[Doelgroep]=C494,Berekening_impact[Digitale zorgtoepassing]),0))</f>
        <v>3161820.4759991085</v>
      </c>
      <c r="R494" s="398" cm="1">
        <f t="array" ref="R494">(uitkomst_doelgroep[[#This Row],[Implementatiegraad t = T + 1]]-uitkomst_doelgroep[[#This Row],[Implementatiegraad t = T]])*INDEX(Berekening_impact[Initiële investering (totaal) - incl. schatting],MATCH(B494,IF(Berekening_impact[Doelgroep]=C494,Berekening_impact[Digitale zorgtoepassing]),0))</f>
        <v>0</v>
      </c>
      <c r="S494" s="398">
        <f>uitkomst_doelgroep[[#This Row],[Arbeidsbesparing (€)]]*uitkomst_doelgroep[[#This Row],[Percentage van patiëntaantallen in Wlz (overige is Zvw)]]</f>
        <v>2535309.2819284871</v>
      </c>
      <c r="T494" s="398">
        <f>uitkomst_doelgroep[[#This Row],[Overige besparingen (€)]]*uitkomst_doelgroep[[#This Row],[Percentage van patiëntaantallen in Wlz (overige is Zvw)]]</f>
        <v>860369.70303679071</v>
      </c>
      <c r="U494" s="398">
        <f>uitkomst_doelgroep[[#This Row],[Kosten (€)]]*uitkomst_doelgroep[[#This Row],[Percentage van patiëntaantallen in Wlz (overige is Zvw)]]</f>
        <v>3161820.4759991085</v>
      </c>
      <c r="V494" s="398">
        <f>uitkomst_doelgroep[[#This Row],[Investering (cash flow) (€)]]*uitkomst_doelgroep[[#This Row],[Percentage van patiëntaantallen in Wlz (overige is Zvw)]]</f>
        <v>0</v>
      </c>
    </row>
    <row r="495" spans="1:22" x14ac:dyDescent="0.5">
      <c r="A495" s="33" t="str">
        <f>INDEX(Technologieën[Veld],MATCH(B495,Technologieën[Digitale zorgtoepassing],0))</f>
        <v>Sensoren - Verpleging</v>
      </c>
      <c r="B495" s="33" t="s">
        <v>42</v>
      </c>
      <c r="C495" s="33" t="s">
        <v>348</v>
      </c>
      <c r="D495" s="427" cm="1">
        <f t="array" ref="D495">INDEX(Berekening_patiëntaantal[Percentage van patiëntaantallen in Wlz (overige is Zvw)],MATCH(B495,IF(Berekening_patiëntaantal[Doelgroep (zoeksleutel)]=C495,Berekening_patiëntaantal[Digitale zorgtoepassing]),0))</f>
        <v>1</v>
      </c>
      <c r="E495" s="33" t="str" cm="1">
        <f t="array" ref="E495">INDEX(Berekening_patiëntaantal[Direct toepasbaar/extrapolatie/incidentie voor QALY],MATCH(B495,IF(Berekening_patiëntaantal[Doelgroep (zoeksleutel)]=C495,Berekening_patiëntaantal[Digitale zorgtoepassing]),0))</f>
        <v>Huidige toepassing</v>
      </c>
      <c r="F495" s="43" t="s">
        <v>812</v>
      </c>
      <c r="G495" s="33" t="str">
        <f>CONCATENATE(uitkomst_doelgroep[[#This Row],[Digitale zorgtoepassing]],"_",uitkomst_doelgroep[[#This Row],[Doelgroep]],"_",uitkomst_doelgroep[[#This Row],[Uitgangssituatie/effect beleid]])</f>
        <v>Slim incontinentiemateriaal_Urine incontinent_Effect beleid</v>
      </c>
      <c r="H495" s="33">
        <v>2031</v>
      </c>
      <c r="I495" s="32">
        <v>9</v>
      </c>
      <c r="J495" s="406" cm="1">
        <f t="array" ref="J495">INDEX(implementatie[[2023]:[2034]],MATCH(G495, implementatie[Zoeksleutel],0),I495)</f>
        <v>0.98486665153412889</v>
      </c>
      <c r="K495" s="406" cm="1">
        <f t="array" ref="K495">INDEX(implementatie[[2023]:[2034]],MATCH(G495,implementatie[Zoeksleutel],0),I495 + 1)</f>
        <v>0.99195193384931235</v>
      </c>
      <c r="L49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32109.115006641434</v>
      </c>
      <c r="M495" s="398" cm="1">
        <f t="array" ref="M495">J495*INDEX(Berekening_impact[Totaal arbeidsbesparing (€/jaar)],MATCH(B495,IF(Berekening_impact[Doelgroep]=C495,Berekening_impact[Digitale zorgtoepassing]),0))</f>
        <v>74122045.718718857</v>
      </c>
      <c r="N495" s="397" cm="1">
        <f t="array" ref="N495">J495*INDEX(Berekening_impact[Totaal arbeidsbesparing (FTE/jaar)],MATCH(B495,IF(Berekening_impact[Doelgroep]=C495,Berekening_impact[Digitale zorgtoepassing]),0))</f>
        <v>1745.9331284861278</v>
      </c>
      <c r="O495" s="398" cm="1">
        <f t="array" ref="O495">J495*INDEX(Berekening_impact[Overige kostenbesparing (totaal/jaar totaal potentieel)],MATCH(B495,IF(Berekening_impact[Doelgroep]=C495,Berekening_impact[Digitale zorgtoepassing]),0))</f>
        <v>25153681.611178037</v>
      </c>
      <c r="P495" s="398" cm="1">
        <f t="array" ref="P495">J495*INDEX(Berekening_impact[Opbrengsten door QALY''s],MATCH(B495,IF(Berekening_impact[Doelgroep]=C495,Berekening_impact[Digitale zorgtoepassing]),0))</f>
        <v>0</v>
      </c>
      <c r="Q495" s="398" cm="1">
        <f t="array" ref="Q495">J495*INDEX(Berekening_impact[Jaarlijkse kosten (totaal) - incl. schatting],MATCH(B495,IF(Berekening_impact[Doelgroep]=C495,Berekening_impact[Digitale zorgtoepassing]),0))</f>
        <v>92438663.616661638</v>
      </c>
      <c r="R495" s="398" cm="1">
        <f t="array" ref="R495">(uitkomst_doelgroep[[#This Row],[Implementatiegraad t = T + 1]]-uitkomst_doelgroep[[#This Row],[Implementatiegraad t = T]])*INDEX(Berekening_impact[Initiële investering (totaal) - incl. schatting],MATCH(B495,IF(Berekening_impact[Doelgroep]=C495,Berekening_impact[Digitale zorgtoepassing]),0))</f>
        <v>0</v>
      </c>
      <c r="S495" s="398">
        <f>uitkomst_doelgroep[[#This Row],[Arbeidsbesparing (€)]]*uitkomst_doelgroep[[#This Row],[Percentage van patiëntaantallen in Wlz (overige is Zvw)]]</f>
        <v>74122045.718718857</v>
      </c>
      <c r="T495" s="398">
        <f>uitkomst_doelgroep[[#This Row],[Overige besparingen (€)]]*uitkomst_doelgroep[[#This Row],[Percentage van patiëntaantallen in Wlz (overige is Zvw)]]</f>
        <v>25153681.611178037</v>
      </c>
      <c r="U495" s="398">
        <f>uitkomst_doelgroep[[#This Row],[Kosten (€)]]*uitkomst_doelgroep[[#This Row],[Percentage van patiëntaantallen in Wlz (overige is Zvw)]]</f>
        <v>92438663.616661638</v>
      </c>
      <c r="V495" s="398">
        <f>uitkomst_doelgroep[[#This Row],[Investering (cash flow) (€)]]*uitkomst_doelgroep[[#This Row],[Percentage van patiëntaantallen in Wlz (overige is Zvw)]]</f>
        <v>0</v>
      </c>
    </row>
    <row r="496" spans="1:22" x14ac:dyDescent="0.5">
      <c r="A496" s="33" t="str">
        <f>INDEX(Technologieën[Veld],MATCH(B496,Technologieën[Digitale zorgtoepassing],0))</f>
        <v>Sensoren - Verpleging</v>
      </c>
      <c r="B496" s="33" t="s">
        <v>42</v>
      </c>
      <c r="C496" s="33" t="s">
        <v>44</v>
      </c>
      <c r="D496" s="427" cm="1">
        <f t="array" ref="D496">INDEX(Berekening_patiëntaantal[Percentage van patiëntaantallen in Wlz (overige is Zvw)],MATCH(B496,IF(Berekening_patiëntaantal[Doelgroep (zoeksleutel)]=C496,Berekening_patiëntaantal[Digitale zorgtoepassing]),0))</f>
        <v>1</v>
      </c>
      <c r="E496" s="33" t="str" cm="1">
        <f t="array" ref="E496">INDEX(Berekening_patiëntaantal[Direct toepasbaar/extrapolatie/incidentie voor QALY],MATCH(B496,IF(Berekening_patiëntaantal[Doelgroep (zoeksleutel)]=C496,Berekening_patiëntaantal[Digitale zorgtoepassing]),0))</f>
        <v>Extrapolatie</v>
      </c>
      <c r="F496" s="43" t="s">
        <v>812</v>
      </c>
      <c r="G496" s="33" t="str">
        <f>CONCATENATE(uitkomst_doelgroep[[#This Row],[Digitale zorgtoepassing]],"_",uitkomst_doelgroep[[#This Row],[Doelgroep]],"_",uitkomst_doelgroep[[#This Row],[Uitgangssituatie/effect beleid]])</f>
        <v>Slim incontinentiemateriaal_Verstandelijk gehandicapten_Effect beleid</v>
      </c>
      <c r="H496" s="33">
        <v>2032</v>
      </c>
      <c r="I496" s="32">
        <v>10</v>
      </c>
      <c r="J496" s="406" cm="1">
        <f t="array" ref="J496">INDEX(implementatie[[2023]:[2034]],MATCH(G496, implementatie[Zoeksleutel],0),I496)</f>
        <v>0.61202293792845253</v>
      </c>
      <c r="K496" s="406" cm="1">
        <f t="array" ref="K496">INDEX(implementatie[[2023]:[2034]],MATCH(G496,implementatie[Zoeksleutel],0),I496 + 1)</f>
        <v>0.7285752521002864</v>
      </c>
      <c r="L49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1380.876753701071</v>
      </c>
      <c r="M496" s="398" cm="1">
        <f t="array" ref="M496">J496*INDEX(Berekening_impact[Totaal arbeidsbesparing (€/jaar)],MATCH(B496,IF(Berekening_impact[Doelgroep]=C496,Berekening_impact[Digitale zorgtoepassing]),0))</f>
        <v>3187674.5855055847</v>
      </c>
      <c r="N496" s="397" cm="1">
        <f t="array" ref="N496">J496*INDEX(Berekening_impact[Totaal arbeidsbesparing (FTE/jaar)],MATCH(B496,IF(Berekening_impact[Doelgroep]=C496,Berekening_impact[Digitale zorgtoepassing]),0))</f>
        <v>75.085173482495733</v>
      </c>
      <c r="O496" s="398" cm="1">
        <f t="array" ref="O496">J496*INDEX(Berekening_impact[Overige kostenbesparing (totaal/jaar totaal potentieel)],MATCH(B496,IF(Berekening_impact[Doelgroep]=C496,Berekening_impact[Digitale zorgtoepassing]),0))</f>
        <v>1081753.0847452339</v>
      </c>
      <c r="P496" s="398" cm="1">
        <f t="array" ref="P496">J496*INDEX(Berekening_impact[Opbrengsten door QALY''s],MATCH(B496,IF(Berekening_impact[Doelgroep]=C496,Berekening_impact[Digitale zorgtoepassing]),0))</f>
        <v>0</v>
      </c>
      <c r="Q496" s="398" cm="1">
        <f t="array" ref="Q496">J496*INDEX(Berekening_impact[Jaarlijkse kosten (totaal) - incl. schatting],MATCH(B496,IF(Berekening_impact[Doelgroep]=C496,Berekening_impact[Digitale zorgtoepassing]),0))</f>
        <v>3975394.5789237325</v>
      </c>
      <c r="R496" s="398" cm="1">
        <f t="array" ref="R496">(uitkomst_doelgroep[[#This Row],[Implementatiegraad t = T + 1]]-uitkomst_doelgroep[[#This Row],[Implementatiegraad t = T]])*INDEX(Berekening_impact[Initiële investering (totaal) - incl. schatting],MATCH(B496,IF(Berekening_impact[Doelgroep]=C496,Berekening_impact[Digitale zorgtoepassing]),0))</f>
        <v>0</v>
      </c>
      <c r="S496" s="398">
        <f>uitkomst_doelgroep[[#This Row],[Arbeidsbesparing (€)]]*uitkomst_doelgroep[[#This Row],[Percentage van patiëntaantallen in Wlz (overige is Zvw)]]</f>
        <v>3187674.5855055847</v>
      </c>
      <c r="T496" s="398">
        <f>uitkomst_doelgroep[[#This Row],[Overige besparingen (€)]]*uitkomst_doelgroep[[#This Row],[Percentage van patiëntaantallen in Wlz (overige is Zvw)]]</f>
        <v>1081753.0847452339</v>
      </c>
      <c r="U496" s="398">
        <f>uitkomst_doelgroep[[#This Row],[Kosten (€)]]*uitkomst_doelgroep[[#This Row],[Percentage van patiëntaantallen in Wlz (overige is Zvw)]]</f>
        <v>3975394.5789237325</v>
      </c>
      <c r="V496" s="398">
        <f>uitkomst_doelgroep[[#This Row],[Investering (cash flow) (€)]]*uitkomst_doelgroep[[#This Row],[Percentage van patiëntaantallen in Wlz (overige is Zvw)]]</f>
        <v>0</v>
      </c>
    </row>
    <row r="497" spans="1:22" x14ac:dyDescent="0.5">
      <c r="A497" s="33" t="str">
        <f>INDEX(Technologieën[Veld],MATCH(B497,Technologieën[Digitale zorgtoepassing],0))</f>
        <v>Sensoren - Verpleging</v>
      </c>
      <c r="B497" s="33" t="s">
        <v>42</v>
      </c>
      <c r="C497" s="33" t="s">
        <v>348</v>
      </c>
      <c r="D497" s="427" cm="1">
        <f t="array" ref="D497">INDEX(Berekening_patiëntaantal[Percentage van patiëntaantallen in Wlz (overige is Zvw)],MATCH(B497,IF(Berekening_patiëntaantal[Doelgroep (zoeksleutel)]=C497,Berekening_patiëntaantal[Digitale zorgtoepassing]),0))</f>
        <v>1</v>
      </c>
      <c r="E497" s="33" t="str" cm="1">
        <f t="array" ref="E497">INDEX(Berekening_patiëntaantal[Direct toepasbaar/extrapolatie/incidentie voor QALY],MATCH(B497,IF(Berekening_patiëntaantal[Doelgroep (zoeksleutel)]=C497,Berekening_patiëntaantal[Digitale zorgtoepassing]),0))</f>
        <v>Huidige toepassing</v>
      </c>
      <c r="F497" s="43" t="s">
        <v>812</v>
      </c>
      <c r="G497" s="33" t="str">
        <f>CONCATENATE(uitkomst_doelgroep[[#This Row],[Digitale zorgtoepassing]],"_",uitkomst_doelgroep[[#This Row],[Doelgroep]],"_",uitkomst_doelgroep[[#This Row],[Uitgangssituatie/effect beleid]])</f>
        <v>Slim incontinentiemateriaal_Urine incontinent_Effect beleid</v>
      </c>
      <c r="H497" s="33">
        <v>2032</v>
      </c>
      <c r="I497" s="32">
        <v>10</v>
      </c>
      <c r="J497" s="406" cm="1">
        <f t="array" ref="J497">INDEX(implementatie[[2023]:[2034]],MATCH(G497, implementatie[Zoeksleutel],0),I497)</f>
        <v>0.99195193384931235</v>
      </c>
      <c r="K497" s="406" cm="1">
        <f t="array" ref="K497">INDEX(implementatie[[2023]:[2034]],MATCH(G497,implementatie[Zoeksleutel],0),I497 + 1)</f>
        <v>0.99574561815494433</v>
      </c>
      <c r="L49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32340.112923322202</v>
      </c>
      <c r="M497" s="398" cm="1">
        <f t="array" ref="M497">J497*INDEX(Berekening_impact[Totaal arbeidsbesparing (€/jaar)],MATCH(B497,IF(Berekening_impact[Doelgroep]=C497,Berekening_impact[Digitale zorgtoepassing]),0))</f>
        <v>74655291.126996204</v>
      </c>
      <c r="N497" s="397" cm="1">
        <f t="array" ref="N497">J497*INDEX(Berekening_impact[Totaal arbeidsbesparing (FTE/jaar)],MATCH(B497,IF(Berekening_impact[Doelgroep]=C497,Berekening_impact[Digitale zorgtoepassing]),0))</f>
        <v>1758.4936402056446</v>
      </c>
      <c r="O497" s="398" cm="1">
        <f t="array" ref="O497">J497*INDEX(Berekening_impact[Overige kostenbesparing (totaal/jaar totaal potentieel)],MATCH(B497,IF(Berekening_impact[Doelgroep]=C497,Berekening_impact[Digitale zorgtoepassing]),0))</f>
        <v>25334641.069195852</v>
      </c>
      <c r="P497" s="398" cm="1">
        <f t="array" ref="P497">J497*INDEX(Berekening_impact[Opbrengsten door QALY''s],MATCH(B497,IF(Berekening_impact[Doelgroep]=C497,Berekening_impact[Digitale zorgtoepassing]),0))</f>
        <v>0</v>
      </c>
      <c r="Q497" s="398" cm="1">
        <f t="array" ref="Q497">J497*INDEX(Berekening_impact[Jaarlijkse kosten (totaal) - incl. schatting],MATCH(B497,IF(Berekening_impact[Doelgroep]=C497,Berekening_impact[Digitale zorgtoepassing]),0))</f>
        <v>93103681.594011277</v>
      </c>
      <c r="R497" s="398" cm="1">
        <f t="array" ref="R497">(uitkomst_doelgroep[[#This Row],[Implementatiegraad t = T + 1]]-uitkomst_doelgroep[[#This Row],[Implementatiegraad t = T]])*INDEX(Berekening_impact[Initiële investering (totaal) - incl. schatting],MATCH(B497,IF(Berekening_impact[Doelgroep]=C497,Berekening_impact[Digitale zorgtoepassing]),0))</f>
        <v>0</v>
      </c>
      <c r="S497" s="398">
        <f>uitkomst_doelgroep[[#This Row],[Arbeidsbesparing (€)]]*uitkomst_doelgroep[[#This Row],[Percentage van patiëntaantallen in Wlz (overige is Zvw)]]</f>
        <v>74655291.126996204</v>
      </c>
      <c r="T497" s="398">
        <f>uitkomst_doelgroep[[#This Row],[Overige besparingen (€)]]*uitkomst_doelgroep[[#This Row],[Percentage van patiëntaantallen in Wlz (overige is Zvw)]]</f>
        <v>25334641.069195852</v>
      </c>
      <c r="U497" s="398">
        <f>uitkomst_doelgroep[[#This Row],[Kosten (€)]]*uitkomst_doelgroep[[#This Row],[Percentage van patiëntaantallen in Wlz (overige is Zvw)]]</f>
        <v>93103681.594011277</v>
      </c>
      <c r="V497" s="398">
        <f>uitkomst_doelgroep[[#This Row],[Investering (cash flow) (€)]]*uitkomst_doelgroep[[#This Row],[Percentage van patiëntaantallen in Wlz (overige is Zvw)]]</f>
        <v>0</v>
      </c>
    </row>
    <row r="498" spans="1:22" x14ac:dyDescent="0.5">
      <c r="A498" s="33" t="str">
        <f>INDEX(Technologieën[Veld],MATCH(B498,Technologieën[Digitale zorgtoepassing],0))</f>
        <v>Sensoren - Verpleging</v>
      </c>
      <c r="B498" s="33" t="s">
        <v>42</v>
      </c>
      <c r="C498" s="33" t="s">
        <v>44</v>
      </c>
      <c r="D498" s="427" cm="1">
        <f t="array" ref="D498">INDEX(Berekening_patiëntaantal[Percentage van patiëntaantallen in Wlz (overige is Zvw)],MATCH(B498,IF(Berekening_patiëntaantal[Doelgroep (zoeksleutel)]=C498,Berekening_patiëntaantal[Digitale zorgtoepassing]),0))</f>
        <v>1</v>
      </c>
      <c r="E498" s="33" t="str" cm="1">
        <f t="array" ref="E498">INDEX(Berekening_patiëntaantal[Direct toepasbaar/extrapolatie/incidentie voor QALY],MATCH(B498,IF(Berekening_patiëntaantal[Doelgroep (zoeksleutel)]=C498,Berekening_patiëntaantal[Digitale zorgtoepassing]),0))</f>
        <v>Extrapolatie</v>
      </c>
      <c r="F498" s="43" t="s">
        <v>812</v>
      </c>
      <c r="G498" s="33" t="str">
        <f>CONCATENATE(uitkomst_doelgroep[[#This Row],[Digitale zorgtoepassing]],"_",uitkomst_doelgroep[[#This Row],[Doelgroep]],"_",uitkomst_doelgroep[[#This Row],[Uitgangssituatie/effect beleid]])</f>
        <v>Slim incontinentiemateriaal_Verstandelijk gehandicapten_Effect beleid</v>
      </c>
      <c r="H498" s="33">
        <v>2033</v>
      </c>
      <c r="I498" s="32">
        <v>11</v>
      </c>
      <c r="J498" s="406" cm="1">
        <f t="array" ref="J498">INDEX(implementatie[[2023]:[2034]],MATCH(G498, implementatie[Zoeksleutel],0),I498)</f>
        <v>0.7285752521002864</v>
      </c>
      <c r="K498" s="406" cm="1">
        <f t="array" ref="K498">INDEX(implementatie[[2023]:[2034]],MATCH(G498,implementatie[Zoeksleutel],0),I498 + 1)</f>
        <v>0.82434988015505994</v>
      </c>
      <c r="L49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1643.8479125512713</v>
      </c>
      <c r="M498" s="398" cm="1">
        <f t="array" ref="M498">J498*INDEX(Berekening_impact[Totaal arbeidsbesparing (€/jaar)],MATCH(B498,IF(Berekening_impact[Doelgroep]=C498,Berekening_impact[Digitale zorgtoepassing]),0))</f>
        <v>3794728.3848696379</v>
      </c>
      <c r="N498" s="397" cm="1">
        <f t="array" ref="N498">J498*INDEX(Berekening_impact[Totaal arbeidsbesparing (FTE/jaar)],MATCH(B498,IF(Berekening_impact[Doelgroep]=C498,Berekening_impact[Digitale zorgtoepassing]),0))</f>
        <v>89.38423024497537</v>
      </c>
      <c r="O498" s="398" cm="1">
        <f t="array" ref="O498">J498*INDEX(Berekening_impact[Overige kostenbesparing (totaal/jaar totaal potentieel)],MATCH(B498,IF(Berekening_impact[Doelgroep]=C498,Berekening_impact[Digitale zorgtoepassing]),0))</f>
        <v>1287759.7841286419</v>
      </c>
      <c r="P498" s="398" cm="1">
        <f t="array" ref="P498">J498*INDEX(Berekening_impact[Opbrengsten door QALY''s],MATCH(B498,IF(Berekening_impact[Doelgroep]=C498,Berekening_impact[Digitale zorgtoepassing]),0))</f>
        <v>0</v>
      </c>
      <c r="Q498" s="398" cm="1">
        <f t="array" ref="Q498">J498*INDEX(Berekening_impact[Jaarlijkse kosten (totaal) - incl. schatting],MATCH(B498,IF(Berekening_impact[Doelgroep]=C498,Berekening_impact[Digitale zorgtoepassing]),0))</f>
        <v>4732460.05671125</v>
      </c>
      <c r="R498" s="398" cm="1">
        <f t="array" ref="R498">(uitkomst_doelgroep[[#This Row],[Implementatiegraad t = T + 1]]-uitkomst_doelgroep[[#This Row],[Implementatiegraad t = T]])*INDEX(Berekening_impact[Initiële investering (totaal) - incl. schatting],MATCH(B498,IF(Berekening_impact[Doelgroep]=C498,Berekening_impact[Digitale zorgtoepassing]),0))</f>
        <v>0</v>
      </c>
      <c r="S498" s="398">
        <f>uitkomst_doelgroep[[#This Row],[Arbeidsbesparing (€)]]*uitkomst_doelgroep[[#This Row],[Percentage van patiëntaantallen in Wlz (overige is Zvw)]]</f>
        <v>3794728.3848696379</v>
      </c>
      <c r="T498" s="398">
        <f>uitkomst_doelgroep[[#This Row],[Overige besparingen (€)]]*uitkomst_doelgroep[[#This Row],[Percentage van patiëntaantallen in Wlz (overige is Zvw)]]</f>
        <v>1287759.7841286419</v>
      </c>
      <c r="U498" s="398">
        <f>uitkomst_doelgroep[[#This Row],[Kosten (€)]]*uitkomst_doelgroep[[#This Row],[Percentage van patiëntaantallen in Wlz (overige is Zvw)]]</f>
        <v>4732460.05671125</v>
      </c>
      <c r="V498" s="398">
        <f>uitkomst_doelgroep[[#This Row],[Investering (cash flow) (€)]]*uitkomst_doelgroep[[#This Row],[Percentage van patiëntaantallen in Wlz (overige is Zvw)]]</f>
        <v>0</v>
      </c>
    </row>
    <row r="499" spans="1:22" x14ac:dyDescent="0.5">
      <c r="A499" s="33" t="str">
        <f>INDEX(Technologieën[Veld],MATCH(B499,Technologieën[Digitale zorgtoepassing],0))</f>
        <v>Sensoren - Verpleging</v>
      </c>
      <c r="B499" s="33" t="s">
        <v>42</v>
      </c>
      <c r="C499" s="33" t="s">
        <v>348</v>
      </c>
      <c r="D499" s="427" cm="1">
        <f t="array" ref="D499">INDEX(Berekening_patiëntaantal[Percentage van patiëntaantallen in Wlz (overige is Zvw)],MATCH(B499,IF(Berekening_patiëntaantal[Doelgroep (zoeksleutel)]=C499,Berekening_patiëntaantal[Digitale zorgtoepassing]),0))</f>
        <v>1</v>
      </c>
      <c r="E499" s="33" t="str" cm="1">
        <f t="array" ref="E499">INDEX(Berekening_patiëntaantal[Direct toepasbaar/extrapolatie/incidentie voor QALY],MATCH(B499,IF(Berekening_patiëntaantal[Doelgroep (zoeksleutel)]=C499,Berekening_patiëntaantal[Digitale zorgtoepassing]),0))</f>
        <v>Huidige toepassing</v>
      </c>
      <c r="F499" s="43" t="s">
        <v>812</v>
      </c>
      <c r="G499" s="33" t="str">
        <f>CONCATENATE(uitkomst_doelgroep[[#This Row],[Digitale zorgtoepassing]],"_",uitkomst_doelgroep[[#This Row],[Doelgroep]],"_",uitkomst_doelgroep[[#This Row],[Uitgangssituatie/effect beleid]])</f>
        <v>Slim incontinentiemateriaal_Urine incontinent_Effect beleid</v>
      </c>
      <c r="H499" s="33">
        <v>2033</v>
      </c>
      <c r="I499" s="32">
        <v>11</v>
      </c>
      <c r="J499" s="406" cm="1">
        <f t="array" ref="J499">INDEX(implementatie[[2023]:[2034]],MATCH(G499, implementatie[Zoeksleutel],0),I499)</f>
        <v>0.99574561815494433</v>
      </c>
      <c r="K499" s="406" cm="1">
        <f t="array" ref="K499">INDEX(implementatie[[2023]:[2034]],MATCH(G499,implementatie[Zoeksleutel],0),I499 + 1)</f>
        <v>0.99775830463714821</v>
      </c>
      <c r="L49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32463.796515896571</v>
      </c>
      <c r="M499" s="398" cm="1">
        <f t="array" ref="M499">J499*INDEX(Berekening_impact[Totaal arbeidsbesparing (€/jaar)],MATCH(B499,IF(Berekening_impact[Doelgroep]=C499,Berekening_impact[Digitale zorgtoepassing]),0))</f>
        <v>74940807.588647559</v>
      </c>
      <c r="N499" s="397" cm="1">
        <f t="array" ref="N499">J499*INDEX(Berekening_impact[Totaal arbeidsbesparing (FTE/jaar)],MATCH(B499,IF(Berekening_impact[Doelgroep]=C499,Berekening_impact[Digitale zorgtoepassing]),0))</f>
        <v>1765.2189355518758</v>
      </c>
      <c r="O499" s="398" cm="1">
        <f t="array" ref="O499">J499*INDEX(Berekening_impact[Overige kostenbesparing (totaal/jaar totaal potentieel)],MATCH(B499,IF(Berekening_impact[Doelgroep]=C499,Berekening_impact[Digitale zorgtoepassing]),0))</f>
        <v>25431532.487956498</v>
      </c>
      <c r="P499" s="398" cm="1">
        <f t="array" ref="P499">J499*INDEX(Berekening_impact[Opbrengsten door QALY''s],MATCH(B499,IF(Berekening_impact[Doelgroep]=C499,Berekening_impact[Digitale zorgtoepassing]),0))</f>
        <v>0</v>
      </c>
      <c r="Q499" s="398" cm="1">
        <f t="array" ref="Q499">J499*INDEX(Berekening_impact[Jaarlijkse kosten (totaal) - incl. schatting],MATCH(B499,IF(Berekening_impact[Doelgroep]=C499,Berekening_impact[Digitale zorgtoepassing]),0))</f>
        <v>93459753.257977009</v>
      </c>
      <c r="R499" s="398" cm="1">
        <f t="array" ref="R499">(uitkomst_doelgroep[[#This Row],[Implementatiegraad t = T + 1]]-uitkomst_doelgroep[[#This Row],[Implementatiegraad t = T]])*INDEX(Berekening_impact[Initiële investering (totaal) - incl. schatting],MATCH(B499,IF(Berekening_impact[Doelgroep]=C499,Berekening_impact[Digitale zorgtoepassing]),0))</f>
        <v>0</v>
      </c>
      <c r="S499" s="398">
        <f>uitkomst_doelgroep[[#This Row],[Arbeidsbesparing (€)]]*uitkomst_doelgroep[[#This Row],[Percentage van patiëntaantallen in Wlz (overige is Zvw)]]</f>
        <v>74940807.588647559</v>
      </c>
      <c r="T499" s="398">
        <f>uitkomst_doelgroep[[#This Row],[Overige besparingen (€)]]*uitkomst_doelgroep[[#This Row],[Percentage van patiëntaantallen in Wlz (overige is Zvw)]]</f>
        <v>25431532.487956498</v>
      </c>
      <c r="U499" s="398">
        <f>uitkomst_doelgroep[[#This Row],[Kosten (€)]]*uitkomst_doelgroep[[#This Row],[Percentage van patiëntaantallen in Wlz (overige is Zvw)]]</f>
        <v>93459753.257977009</v>
      </c>
      <c r="V499" s="398">
        <f>uitkomst_doelgroep[[#This Row],[Investering (cash flow) (€)]]*uitkomst_doelgroep[[#This Row],[Percentage van patiëntaantallen in Wlz (overige is Zvw)]]</f>
        <v>0</v>
      </c>
    </row>
    <row r="500" spans="1:22" x14ac:dyDescent="0.5">
      <c r="A500" s="33" t="str">
        <f>INDEX(Technologieën[Veld],MATCH(B500,Technologieën[Digitale zorgtoepassing],0))</f>
        <v>Sensoren - Verpleging</v>
      </c>
      <c r="B500" s="33" t="s">
        <v>61</v>
      </c>
      <c r="C500" s="33" t="s">
        <v>385</v>
      </c>
      <c r="D500" s="427" cm="1">
        <f t="array" ref="D500">INDEX(Berekening_patiëntaantal[Percentage van patiëntaantallen in Wlz (overige is Zvw)],MATCH(B500,IF(Berekening_patiëntaantal[Doelgroep (zoeksleutel)]=C500,Berekening_patiëntaantal[Digitale zorgtoepassing]),0))</f>
        <v>0</v>
      </c>
      <c r="E500" s="33" t="str" cm="1">
        <f t="array" ref="E500">INDEX(Berekening_patiëntaantal[Direct toepasbaar/extrapolatie/incidentie voor QALY],MATCH(B500,IF(Berekening_patiëntaantal[Doelgroep (zoeksleutel)]=C500,Berekening_patiëntaantal[Digitale zorgtoepassing]),0))</f>
        <v>Extrapolatie</v>
      </c>
      <c r="F500" s="43" t="s">
        <v>812</v>
      </c>
      <c r="G500" s="33" t="str">
        <f>CONCATENATE(uitkomst_doelgroep[[#This Row],[Digitale zorgtoepassing]],"_",uitkomst_doelgroep[[#This Row],[Doelgroep]],"_",uitkomst_doelgroep[[#This Row],[Uitgangssituatie/effect beleid]])</f>
        <v>Slimme bedsensoren_Epilepsie Kinderen_Effect beleid</v>
      </c>
      <c r="H500" s="33">
        <v>2023</v>
      </c>
      <c r="I500" s="32">
        <v>1</v>
      </c>
      <c r="J500" s="406" cm="1">
        <f t="array" ref="J500">INDEX(implementatie[[2023]:[2034]],MATCH(G500, implementatie[Zoeksleutel],0),I500)</f>
        <v>0</v>
      </c>
      <c r="K500" s="406" cm="1">
        <f t="array" ref="K500">INDEX(implementatie[[2023]:[2034]],MATCH(G500,implementatie[Zoeksleutel],0),I500 + 1)</f>
        <v>0</v>
      </c>
      <c r="L50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500" s="398" cm="1">
        <f t="array" ref="M500">J500*INDEX(Berekening_impact[Totaal arbeidsbesparing (€/jaar)],MATCH(B500,IF(Berekening_impact[Doelgroep]=C500,Berekening_impact[Digitale zorgtoepassing]),0))</f>
        <v>0</v>
      </c>
      <c r="N500" s="397" cm="1">
        <f t="array" ref="N500">J500*INDEX(Berekening_impact[Totaal arbeidsbesparing (FTE/jaar)],MATCH(B500,IF(Berekening_impact[Doelgroep]=C500,Berekening_impact[Digitale zorgtoepassing]),0))</f>
        <v>0</v>
      </c>
      <c r="O500" s="398" cm="1">
        <f t="array" ref="O500">J500*INDEX(Berekening_impact[Overige kostenbesparing (totaal/jaar totaal potentieel)],MATCH(B500,IF(Berekening_impact[Doelgroep]=C500,Berekening_impact[Digitale zorgtoepassing]),0))</f>
        <v>0</v>
      </c>
      <c r="P500" s="398" cm="1">
        <f t="array" ref="P500">J500*INDEX(Berekening_impact[Opbrengsten door QALY''s],MATCH(B500,IF(Berekening_impact[Doelgroep]=C500,Berekening_impact[Digitale zorgtoepassing]),0))</f>
        <v>0</v>
      </c>
      <c r="Q500" s="398" cm="1">
        <f t="array" ref="Q500">J500*INDEX(Berekening_impact[Jaarlijkse kosten (totaal) - incl. schatting],MATCH(B500,IF(Berekening_impact[Doelgroep]=C500,Berekening_impact[Digitale zorgtoepassing]),0))</f>
        <v>0</v>
      </c>
      <c r="R500" s="398" cm="1">
        <f t="array" ref="R500">(uitkomst_doelgroep[[#This Row],[Implementatiegraad t = T + 1]]-uitkomst_doelgroep[[#This Row],[Implementatiegraad t = T]])*INDEX(Berekening_impact[Initiële investering (totaal) - incl. schatting],MATCH(B500,IF(Berekening_impact[Doelgroep]=C500,Berekening_impact[Digitale zorgtoepassing]),0))</f>
        <v>0</v>
      </c>
      <c r="S500" s="398">
        <f>uitkomst_doelgroep[[#This Row],[Arbeidsbesparing (€)]]*uitkomst_doelgroep[[#This Row],[Percentage van patiëntaantallen in Wlz (overige is Zvw)]]</f>
        <v>0</v>
      </c>
      <c r="T500" s="398">
        <f>uitkomst_doelgroep[[#This Row],[Overige besparingen (€)]]*uitkomst_doelgroep[[#This Row],[Percentage van patiëntaantallen in Wlz (overige is Zvw)]]</f>
        <v>0</v>
      </c>
      <c r="U500" s="398">
        <f>uitkomst_doelgroep[[#This Row],[Kosten (€)]]*uitkomst_doelgroep[[#This Row],[Percentage van patiëntaantallen in Wlz (overige is Zvw)]]</f>
        <v>0</v>
      </c>
      <c r="V500" s="398">
        <f>uitkomst_doelgroep[[#This Row],[Investering (cash flow) (€)]]*uitkomst_doelgroep[[#This Row],[Percentage van patiëntaantallen in Wlz (overige is Zvw)]]</f>
        <v>0</v>
      </c>
    </row>
    <row r="501" spans="1:22" x14ac:dyDescent="0.5">
      <c r="A501" s="33" t="str">
        <f>INDEX(Technologieën[Veld],MATCH(B501,Technologieën[Digitale zorgtoepassing],0))</f>
        <v>Sensoren - Verpleging</v>
      </c>
      <c r="B501" s="33" t="s">
        <v>61</v>
      </c>
      <c r="C501" s="33" t="s">
        <v>62</v>
      </c>
      <c r="D501" s="427" cm="1">
        <f t="array" ref="D501">INDEX(Berekening_patiëntaantal[Percentage van patiëntaantallen in Wlz (overige is Zvw)],MATCH(B501,IF(Berekening_patiëntaantal[Doelgroep (zoeksleutel)]=C501,Berekening_patiëntaantal[Digitale zorgtoepassing]),0))</f>
        <v>1</v>
      </c>
      <c r="E501" s="33" t="str" cm="1">
        <f t="array" ref="E501">INDEX(Berekening_patiëntaantal[Direct toepasbaar/extrapolatie/incidentie voor QALY],MATCH(B501,IF(Berekening_patiëntaantal[Doelgroep (zoeksleutel)]=C501,Berekening_patiëntaantal[Digitale zorgtoepassing]),0))</f>
        <v>Huidige toepassing</v>
      </c>
      <c r="F501" s="43" t="s">
        <v>812</v>
      </c>
      <c r="G501" s="33" t="str">
        <f>CONCATENATE(uitkomst_doelgroep[[#This Row],[Digitale zorgtoepassing]],"_",uitkomst_doelgroep[[#This Row],[Doelgroep]],"_",uitkomst_doelgroep[[#This Row],[Uitgangssituatie/effect beleid]])</f>
        <v>Slimme bedsensoren_Bewoners verzorgingshuis_Effect beleid</v>
      </c>
      <c r="H501" s="33">
        <v>2023</v>
      </c>
      <c r="I501" s="32">
        <v>1</v>
      </c>
      <c r="J501" s="406" cm="1">
        <f t="array" ref="J501">INDEX(implementatie[[2023]:[2034]],MATCH(G501, implementatie[Zoeksleutel],0),I501)</f>
        <v>0.4</v>
      </c>
      <c r="K501" s="406" cm="1">
        <f t="array" ref="K501">INDEX(implementatie[[2023]:[2034]],MATCH(G501,implementatie[Zoeksleutel],0),I501 + 1)</f>
        <v>0.50800000000000001</v>
      </c>
      <c r="L50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37720</v>
      </c>
      <c r="M501" s="398" cm="1">
        <f t="array" ref="M501">J501*INDEX(Berekening_impact[Totaal arbeidsbesparing (€/jaar)],MATCH(B501,IF(Berekening_impact[Doelgroep]=C501,Berekening_impact[Digitale zorgtoepassing]),0))</f>
        <v>20035529.034473527</v>
      </c>
      <c r="N501" s="397" cm="1">
        <f t="array" ref="N501">J501*INDEX(Berekening_impact[Totaal arbeidsbesparing (FTE/jaar)],MATCH(B501,IF(Berekening_impact[Doelgroep]=C501,Berekening_impact[Digitale zorgtoepassing]),0))</f>
        <v>471.93373508306922</v>
      </c>
      <c r="O501" s="398" cm="1">
        <f t="array" ref="O501">J501*INDEX(Berekening_impact[Overige kostenbesparing (totaal/jaar totaal potentieel)],MATCH(B501,IF(Berekening_impact[Doelgroep]=C501,Berekening_impact[Digitale zorgtoepassing]),0))</f>
        <v>17599889.988904025</v>
      </c>
      <c r="P501" s="398" cm="1">
        <f t="array" ref="P501">J501*INDEX(Berekening_impact[Opbrengsten door QALY''s],MATCH(B501,IF(Berekening_impact[Doelgroep]=C501,Berekening_impact[Digitale zorgtoepassing]),0))</f>
        <v>0</v>
      </c>
      <c r="Q501" s="398" cm="1">
        <f t="array" ref="Q501">J501*INDEX(Berekening_impact[Jaarlijkse kosten (totaal) - incl. schatting],MATCH(B501,IF(Berekening_impact[Doelgroep]=C501,Berekening_impact[Digitale zorgtoepassing]),0))</f>
        <v>17804748.915662654</v>
      </c>
      <c r="R501" s="398" cm="1">
        <f t="array" ref="R501">(uitkomst_doelgroep[[#This Row],[Implementatiegraad t = T + 1]]-uitkomst_doelgroep[[#This Row],[Implementatiegraad t = T]])*INDEX(Berekening_impact[Initiële investering (totaal) - incl. schatting],MATCH(B501,IF(Berekening_impact[Doelgroep]=C501,Berekening_impact[Digitale zorgtoepassing]),0))</f>
        <v>347198.39999999991</v>
      </c>
      <c r="S501" s="398">
        <f>uitkomst_doelgroep[[#This Row],[Arbeidsbesparing (€)]]*uitkomst_doelgroep[[#This Row],[Percentage van patiëntaantallen in Wlz (overige is Zvw)]]</f>
        <v>20035529.034473527</v>
      </c>
      <c r="T501" s="398">
        <f>uitkomst_doelgroep[[#This Row],[Overige besparingen (€)]]*uitkomst_doelgroep[[#This Row],[Percentage van patiëntaantallen in Wlz (overige is Zvw)]]</f>
        <v>17599889.988904025</v>
      </c>
      <c r="U501" s="398">
        <f>uitkomst_doelgroep[[#This Row],[Kosten (€)]]*uitkomst_doelgroep[[#This Row],[Percentage van patiëntaantallen in Wlz (overige is Zvw)]]</f>
        <v>17804748.915662654</v>
      </c>
      <c r="V501" s="398">
        <f>uitkomst_doelgroep[[#This Row],[Investering (cash flow) (€)]]*uitkomst_doelgroep[[#This Row],[Percentage van patiëntaantallen in Wlz (overige is Zvw)]]</f>
        <v>347198.39999999991</v>
      </c>
    </row>
    <row r="502" spans="1:22" x14ac:dyDescent="0.5">
      <c r="A502" s="33" t="str">
        <f>INDEX(Technologieën[Veld],MATCH(B502,Technologieën[Digitale zorgtoepassing],0))</f>
        <v>Sensoren - Verpleging</v>
      </c>
      <c r="B502" s="33" t="s">
        <v>61</v>
      </c>
      <c r="C502" s="33" t="s">
        <v>385</v>
      </c>
      <c r="D502" s="427" cm="1">
        <f t="array" ref="D502">INDEX(Berekening_patiëntaantal[Percentage van patiëntaantallen in Wlz (overige is Zvw)],MATCH(B502,IF(Berekening_patiëntaantal[Doelgroep (zoeksleutel)]=C502,Berekening_patiëntaantal[Digitale zorgtoepassing]),0))</f>
        <v>0</v>
      </c>
      <c r="E502" s="33" t="str" cm="1">
        <f t="array" ref="E502">INDEX(Berekening_patiëntaantal[Direct toepasbaar/extrapolatie/incidentie voor QALY],MATCH(B502,IF(Berekening_patiëntaantal[Doelgroep (zoeksleutel)]=C502,Berekening_patiëntaantal[Digitale zorgtoepassing]),0))</f>
        <v>Extrapolatie</v>
      </c>
      <c r="F502" s="43" t="s">
        <v>812</v>
      </c>
      <c r="G502" s="33" t="str">
        <f>CONCATENATE(uitkomst_doelgroep[[#This Row],[Digitale zorgtoepassing]],"_",uitkomst_doelgroep[[#This Row],[Doelgroep]],"_",uitkomst_doelgroep[[#This Row],[Uitgangssituatie/effect beleid]])</f>
        <v>Slimme bedsensoren_Epilepsie Kinderen_Effect beleid</v>
      </c>
      <c r="H502" s="33">
        <v>2024</v>
      </c>
      <c r="I502" s="32">
        <v>2</v>
      </c>
      <c r="J502" s="406" cm="1">
        <f t="array" ref="J502">INDEX(implementatie[[2023]:[2034]],MATCH(G502, implementatie[Zoeksleutel],0),I502)</f>
        <v>0</v>
      </c>
      <c r="K502" s="406" cm="1">
        <f t="array" ref="K502">INDEX(implementatie[[2023]:[2034]],MATCH(G502,implementatie[Zoeksleutel],0),I502 + 1)</f>
        <v>0.02</v>
      </c>
      <c r="L50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502" s="398" cm="1">
        <f t="array" ref="M502">J502*INDEX(Berekening_impact[Totaal arbeidsbesparing (€/jaar)],MATCH(B502,IF(Berekening_impact[Doelgroep]=C502,Berekening_impact[Digitale zorgtoepassing]),0))</f>
        <v>0</v>
      </c>
      <c r="N502" s="397" cm="1">
        <f t="array" ref="N502">J502*INDEX(Berekening_impact[Totaal arbeidsbesparing (FTE/jaar)],MATCH(B502,IF(Berekening_impact[Doelgroep]=C502,Berekening_impact[Digitale zorgtoepassing]),0))</f>
        <v>0</v>
      </c>
      <c r="O502" s="398" cm="1">
        <f t="array" ref="O502">J502*INDEX(Berekening_impact[Overige kostenbesparing (totaal/jaar totaal potentieel)],MATCH(B502,IF(Berekening_impact[Doelgroep]=C502,Berekening_impact[Digitale zorgtoepassing]),0))</f>
        <v>0</v>
      </c>
      <c r="P502" s="398" cm="1">
        <f t="array" ref="P502">J502*INDEX(Berekening_impact[Opbrengsten door QALY''s],MATCH(B502,IF(Berekening_impact[Doelgroep]=C502,Berekening_impact[Digitale zorgtoepassing]),0))</f>
        <v>0</v>
      </c>
      <c r="Q502" s="398" cm="1">
        <f t="array" ref="Q502">J502*INDEX(Berekening_impact[Jaarlijkse kosten (totaal) - incl. schatting],MATCH(B502,IF(Berekening_impact[Doelgroep]=C502,Berekening_impact[Digitale zorgtoepassing]),0))</f>
        <v>0</v>
      </c>
      <c r="R502" s="398" cm="1">
        <f t="array" ref="R502">(uitkomst_doelgroep[[#This Row],[Implementatiegraad t = T + 1]]-uitkomst_doelgroep[[#This Row],[Implementatiegraad t = T]])*INDEX(Berekening_impact[Initiële investering (totaal) - incl. schatting],MATCH(B502,IF(Berekening_impact[Doelgroep]=C502,Berekening_impact[Digitale zorgtoepassing]),0))</f>
        <v>0</v>
      </c>
      <c r="S502" s="398">
        <f>uitkomst_doelgroep[[#This Row],[Arbeidsbesparing (€)]]*uitkomst_doelgroep[[#This Row],[Percentage van patiëntaantallen in Wlz (overige is Zvw)]]</f>
        <v>0</v>
      </c>
      <c r="T502" s="398">
        <f>uitkomst_doelgroep[[#This Row],[Overige besparingen (€)]]*uitkomst_doelgroep[[#This Row],[Percentage van patiëntaantallen in Wlz (overige is Zvw)]]</f>
        <v>0</v>
      </c>
      <c r="U502" s="398">
        <f>uitkomst_doelgroep[[#This Row],[Kosten (€)]]*uitkomst_doelgroep[[#This Row],[Percentage van patiëntaantallen in Wlz (overige is Zvw)]]</f>
        <v>0</v>
      </c>
      <c r="V502" s="398">
        <f>uitkomst_doelgroep[[#This Row],[Investering (cash flow) (€)]]*uitkomst_doelgroep[[#This Row],[Percentage van patiëntaantallen in Wlz (overige is Zvw)]]</f>
        <v>0</v>
      </c>
    </row>
    <row r="503" spans="1:22" x14ac:dyDescent="0.5">
      <c r="A503" s="33" t="str">
        <f>INDEX(Technologieën[Veld],MATCH(B503,Technologieën[Digitale zorgtoepassing],0))</f>
        <v>Sensoren - Verpleging</v>
      </c>
      <c r="B503" s="33" t="s">
        <v>61</v>
      </c>
      <c r="C503" s="33" t="s">
        <v>62</v>
      </c>
      <c r="D503" s="427" cm="1">
        <f t="array" ref="D503">INDEX(Berekening_patiëntaantal[Percentage van patiëntaantallen in Wlz (overige is Zvw)],MATCH(B503,IF(Berekening_patiëntaantal[Doelgroep (zoeksleutel)]=C503,Berekening_patiëntaantal[Digitale zorgtoepassing]),0))</f>
        <v>1</v>
      </c>
      <c r="E503" s="33" t="str" cm="1">
        <f t="array" ref="E503">INDEX(Berekening_patiëntaantal[Direct toepasbaar/extrapolatie/incidentie voor QALY],MATCH(B503,IF(Berekening_patiëntaantal[Doelgroep (zoeksleutel)]=C503,Berekening_patiëntaantal[Digitale zorgtoepassing]),0))</f>
        <v>Huidige toepassing</v>
      </c>
      <c r="F503" s="43" t="s">
        <v>812</v>
      </c>
      <c r="G503" s="33" t="str">
        <f>CONCATENATE(uitkomst_doelgroep[[#This Row],[Digitale zorgtoepassing]],"_",uitkomst_doelgroep[[#This Row],[Doelgroep]],"_",uitkomst_doelgroep[[#This Row],[Uitgangssituatie/effect beleid]])</f>
        <v>Slimme bedsensoren_Bewoners verzorgingshuis_Effect beleid</v>
      </c>
      <c r="H503" s="33">
        <v>2024</v>
      </c>
      <c r="I503" s="32">
        <v>2</v>
      </c>
      <c r="J503" s="406" cm="1">
        <f t="array" ref="J503">INDEX(implementatie[[2023]:[2034]],MATCH(G503, implementatie[Zoeksleutel],0),I503)</f>
        <v>0.50800000000000001</v>
      </c>
      <c r="K503" s="406" cm="1">
        <f t="array" ref="K503">INDEX(implementatie[[2023]:[2034]],MATCH(G503,implementatie[Zoeksleutel],0),I503 + 1)</f>
        <v>0.61781439999999999</v>
      </c>
      <c r="L50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47904.4</v>
      </c>
      <c r="M503" s="398" cm="1">
        <f t="array" ref="M503">J503*INDEX(Berekening_impact[Totaal arbeidsbesparing (€/jaar)],MATCH(B503,IF(Berekening_impact[Doelgroep]=C503,Berekening_impact[Digitale zorgtoepassing]),0))</f>
        <v>25445121.873781379</v>
      </c>
      <c r="N503" s="397" cm="1">
        <f t="array" ref="N503">J503*INDEX(Berekening_impact[Totaal arbeidsbesparing (FTE/jaar)],MATCH(B503,IF(Berekening_impact[Doelgroep]=C503,Berekening_impact[Digitale zorgtoepassing]),0))</f>
        <v>599.35584355549793</v>
      </c>
      <c r="O503" s="398" cm="1">
        <f t="array" ref="O503">J503*INDEX(Berekening_impact[Overige kostenbesparing (totaal/jaar totaal potentieel)],MATCH(B503,IF(Berekening_impact[Doelgroep]=C503,Berekening_impact[Digitale zorgtoepassing]),0))</f>
        <v>22351860.28590811</v>
      </c>
      <c r="P503" s="398" cm="1">
        <f t="array" ref="P503">J503*INDEX(Berekening_impact[Opbrengsten door QALY''s],MATCH(B503,IF(Berekening_impact[Doelgroep]=C503,Berekening_impact[Digitale zorgtoepassing]),0))</f>
        <v>0</v>
      </c>
      <c r="Q503" s="398" cm="1">
        <f t="array" ref="Q503">J503*INDEX(Berekening_impact[Jaarlijkse kosten (totaal) - incl. schatting],MATCH(B503,IF(Berekening_impact[Doelgroep]=C503,Berekening_impact[Digitale zorgtoepassing]),0))</f>
        <v>22612031.122891568</v>
      </c>
      <c r="R503" s="398" cm="1">
        <f t="array" ref="R503">(uitkomst_doelgroep[[#This Row],[Implementatiegraad t = T + 1]]-uitkomst_doelgroep[[#This Row],[Implementatiegraad t = T]])*INDEX(Berekening_impact[Initiële investering (totaal) - incl. schatting],MATCH(B503,IF(Berekening_impact[Doelgroep]=C503,Berekening_impact[Digitale zorgtoepassing]),0))</f>
        <v>353031.33311999991</v>
      </c>
      <c r="S503" s="398">
        <f>uitkomst_doelgroep[[#This Row],[Arbeidsbesparing (€)]]*uitkomst_doelgroep[[#This Row],[Percentage van patiëntaantallen in Wlz (overige is Zvw)]]</f>
        <v>25445121.873781379</v>
      </c>
      <c r="T503" s="398">
        <f>uitkomst_doelgroep[[#This Row],[Overige besparingen (€)]]*uitkomst_doelgroep[[#This Row],[Percentage van patiëntaantallen in Wlz (overige is Zvw)]]</f>
        <v>22351860.28590811</v>
      </c>
      <c r="U503" s="398">
        <f>uitkomst_doelgroep[[#This Row],[Kosten (€)]]*uitkomst_doelgroep[[#This Row],[Percentage van patiëntaantallen in Wlz (overige is Zvw)]]</f>
        <v>22612031.122891568</v>
      </c>
      <c r="V503" s="398">
        <f>uitkomst_doelgroep[[#This Row],[Investering (cash flow) (€)]]*uitkomst_doelgroep[[#This Row],[Percentage van patiëntaantallen in Wlz (overige is Zvw)]]</f>
        <v>353031.33311999991</v>
      </c>
    </row>
    <row r="504" spans="1:22" x14ac:dyDescent="0.5">
      <c r="A504" s="33" t="str">
        <f>INDEX(Technologieën[Veld],MATCH(B504,Technologieën[Digitale zorgtoepassing],0))</f>
        <v>Sensoren - Verpleging</v>
      </c>
      <c r="B504" s="33" t="s">
        <v>61</v>
      </c>
      <c r="C504" s="33" t="s">
        <v>385</v>
      </c>
      <c r="D504" s="427" cm="1">
        <f t="array" ref="D504">INDEX(Berekening_patiëntaantal[Percentage van patiëntaantallen in Wlz (overige is Zvw)],MATCH(B504,IF(Berekening_patiëntaantal[Doelgroep (zoeksleutel)]=C504,Berekening_patiëntaantal[Digitale zorgtoepassing]),0))</f>
        <v>0</v>
      </c>
      <c r="E504" s="33" t="str" cm="1">
        <f t="array" ref="E504">INDEX(Berekening_patiëntaantal[Direct toepasbaar/extrapolatie/incidentie voor QALY],MATCH(B504,IF(Berekening_patiëntaantal[Doelgroep (zoeksleutel)]=C504,Berekening_patiëntaantal[Digitale zorgtoepassing]),0))</f>
        <v>Extrapolatie</v>
      </c>
      <c r="F504" s="43" t="s">
        <v>812</v>
      </c>
      <c r="G504" s="33" t="str">
        <f>CONCATENATE(uitkomst_doelgroep[[#This Row],[Digitale zorgtoepassing]],"_",uitkomst_doelgroep[[#This Row],[Doelgroep]],"_",uitkomst_doelgroep[[#This Row],[Uitgangssituatie/effect beleid]])</f>
        <v>Slimme bedsensoren_Epilepsie Kinderen_Effect beleid</v>
      </c>
      <c r="H504" s="33">
        <v>2025</v>
      </c>
      <c r="I504" s="32">
        <v>3</v>
      </c>
      <c r="J504" s="406" cm="1">
        <f t="array" ref="J504">INDEX(implementatie[[2023]:[2034]],MATCH(G504, implementatie[Zoeksleutel],0),I504)</f>
        <v>0.02</v>
      </c>
      <c r="K504" s="406" cm="1">
        <f t="array" ref="K504">INDEX(implementatie[[2023]:[2034]],MATCH(G504,implementatie[Zoeksleutel],0),I504 + 1)</f>
        <v>4.7439999999999996E-2</v>
      </c>
      <c r="L50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320</v>
      </c>
      <c r="M504" s="398" cm="1">
        <f t="array" ref="M504">J504*INDEX(Berekening_impact[Totaal arbeidsbesparing (€/jaar)],MATCH(B504,IF(Berekening_impact[Doelgroep]=C504,Berekening_impact[Digitale zorgtoepassing]),0))</f>
        <v>169972.67473572449</v>
      </c>
      <c r="N504" s="397" cm="1">
        <f t="array" ref="N504">J504*INDEX(Berekening_impact[Totaal arbeidsbesparing (FTE/jaar)],MATCH(B504,IF(Berekening_impact[Doelgroep]=C504,Berekening_impact[Digitale zorgtoepassing]),0))</f>
        <v>4.0036796189443837</v>
      </c>
      <c r="O504" s="398" cm="1">
        <f t="array" ref="O504">J504*INDEX(Berekening_impact[Overige kostenbesparing (totaal/jaar totaal potentieel)],MATCH(B504,IF(Berekening_impact[Doelgroep]=C504,Berekening_impact[Digitale zorgtoepassing]),0))</f>
        <v>149309.77721233529</v>
      </c>
      <c r="P504" s="398" cm="1">
        <f t="array" ref="P504">J504*INDEX(Berekening_impact[Opbrengsten door QALY''s],MATCH(B504,IF(Berekening_impact[Doelgroep]=C504,Berekening_impact[Digitale zorgtoepassing]),0))</f>
        <v>0</v>
      </c>
      <c r="Q504" s="398" cm="1">
        <f t="array" ref="Q504">J504*INDEX(Berekening_impact[Jaarlijkse kosten (totaal) - incl. schatting],MATCH(B504,IF(Berekening_impact[Doelgroep]=C504,Berekening_impact[Digitale zorgtoepassing]),0))</f>
        <v>151047.7108433735</v>
      </c>
      <c r="R504" s="398" cm="1">
        <f t="array" ref="R504">(uitkomst_doelgroep[[#This Row],[Implementatiegraad t = T + 1]]-uitkomst_doelgroep[[#This Row],[Implementatiegraad t = T]])*INDEX(Berekening_impact[Initiële investering (totaal) - incl. schatting],MATCH(B504,IF(Berekening_impact[Doelgroep]=C504,Berekening_impact[Digitale zorgtoepassing]),0))</f>
        <v>0</v>
      </c>
      <c r="S504" s="398">
        <f>uitkomst_doelgroep[[#This Row],[Arbeidsbesparing (€)]]*uitkomst_doelgroep[[#This Row],[Percentage van patiëntaantallen in Wlz (overige is Zvw)]]</f>
        <v>0</v>
      </c>
      <c r="T504" s="398">
        <f>uitkomst_doelgroep[[#This Row],[Overige besparingen (€)]]*uitkomst_doelgroep[[#This Row],[Percentage van patiëntaantallen in Wlz (overige is Zvw)]]</f>
        <v>0</v>
      </c>
      <c r="U504" s="398">
        <f>uitkomst_doelgroep[[#This Row],[Kosten (€)]]*uitkomst_doelgroep[[#This Row],[Percentage van patiëntaantallen in Wlz (overige is Zvw)]]</f>
        <v>0</v>
      </c>
      <c r="V504" s="398">
        <f>uitkomst_doelgroep[[#This Row],[Investering (cash flow) (€)]]*uitkomst_doelgroep[[#This Row],[Percentage van patiëntaantallen in Wlz (overige is Zvw)]]</f>
        <v>0</v>
      </c>
    </row>
    <row r="505" spans="1:22" x14ac:dyDescent="0.5">
      <c r="A505" s="33" t="str">
        <f>INDEX(Technologieën[Veld],MATCH(B505,Technologieën[Digitale zorgtoepassing],0))</f>
        <v>Sensoren - Verpleging</v>
      </c>
      <c r="B505" s="33" t="s">
        <v>61</v>
      </c>
      <c r="C505" s="33" t="s">
        <v>62</v>
      </c>
      <c r="D505" s="427" cm="1">
        <f t="array" ref="D505">INDEX(Berekening_patiëntaantal[Percentage van patiëntaantallen in Wlz (overige is Zvw)],MATCH(B505,IF(Berekening_patiëntaantal[Doelgroep (zoeksleutel)]=C505,Berekening_patiëntaantal[Digitale zorgtoepassing]),0))</f>
        <v>1</v>
      </c>
      <c r="E505" s="33" t="str" cm="1">
        <f t="array" ref="E505">INDEX(Berekening_patiëntaantal[Direct toepasbaar/extrapolatie/incidentie voor QALY],MATCH(B505,IF(Berekening_patiëntaantal[Doelgroep (zoeksleutel)]=C505,Berekening_patiëntaantal[Digitale zorgtoepassing]),0))</f>
        <v>Huidige toepassing</v>
      </c>
      <c r="F505" s="43" t="s">
        <v>812</v>
      </c>
      <c r="G505" s="33" t="str">
        <f>CONCATENATE(uitkomst_doelgroep[[#This Row],[Digitale zorgtoepassing]],"_",uitkomst_doelgroep[[#This Row],[Doelgroep]],"_",uitkomst_doelgroep[[#This Row],[Uitgangssituatie/effect beleid]])</f>
        <v>Slimme bedsensoren_Bewoners verzorgingshuis_Effect beleid</v>
      </c>
      <c r="H505" s="33">
        <v>2025</v>
      </c>
      <c r="I505" s="32">
        <v>3</v>
      </c>
      <c r="J505" s="406" cm="1">
        <f t="array" ref="J505">INDEX(implementatie[[2023]:[2034]],MATCH(G505, implementatie[Zoeksleutel],0),I505)</f>
        <v>0.61781439999999999</v>
      </c>
      <c r="K505" s="406" cm="1">
        <f t="array" ref="K505">INDEX(implementatie[[2023]:[2034]],MATCH(G505,implementatie[Zoeksleutel],0),I505 + 1)</f>
        <v>0.71990601886105599</v>
      </c>
      <c r="L50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58259.897919999996</v>
      </c>
      <c r="M505" s="398" cm="1">
        <f t="array" ref="M505">J505*INDEX(Berekening_impact[Totaal arbeidsbesparing (€/jaar)],MATCH(B505,IF(Berekening_impact[Doelgroep]=C505,Berekening_impact[Digitale zorgtoepassing]),0))</f>
        <v>30945595.872789603</v>
      </c>
      <c r="N505" s="397" cm="1">
        <f t="array" ref="N505">J505*INDEX(Berekening_impact[Totaal arbeidsbesparing (FTE/jaar)],MATCH(B505,IF(Berekening_impact[Doelgroep]=C505,Berekening_impact[Digitale zorgtoepassing]),0))</f>
        <v>728.9186434502634</v>
      </c>
      <c r="O505" s="398" cm="1">
        <f t="array" ref="O505">J505*INDEX(Berekening_impact[Overige kostenbesparing (totaal/jaar totaal potentieel)],MATCH(B505,IF(Berekening_impact[Doelgroep]=C505,Berekening_impact[Digitale zorgtoepassing]),0))</f>
        <v>27183663.683901865</v>
      </c>
      <c r="P505" s="398" cm="1">
        <f t="array" ref="P505">J505*INDEX(Berekening_impact[Opbrengsten door QALY''s],MATCH(B505,IF(Berekening_impact[Doelgroep]=C505,Berekening_impact[Digitale zorgtoepassing]),0))</f>
        <v>0</v>
      </c>
      <c r="Q505" s="398" cm="1">
        <f t="array" ref="Q505">J505*INDEX(Berekening_impact[Jaarlijkse kosten (totaal) - incl. schatting],MATCH(B505,IF(Berekening_impact[Doelgroep]=C505,Berekening_impact[Digitale zorgtoepassing]),0))</f>
        <v>27500075.671201929</v>
      </c>
      <c r="R505" s="398" cm="1">
        <f t="array" ref="R505">(uitkomst_doelgroep[[#This Row],[Implementatiegraad t = T + 1]]-uitkomst_doelgroep[[#This Row],[Implementatiegraad t = T]])*INDEX(Berekening_impact[Initiële investering (totaal) - incl. schatting],MATCH(B505,IF(Berekening_impact[Doelgroep]=C505,Berekening_impact[Digitale zorgtoepassing]),0))</f>
        <v>328204.13631452277</v>
      </c>
      <c r="S505" s="398">
        <f>uitkomst_doelgroep[[#This Row],[Arbeidsbesparing (€)]]*uitkomst_doelgroep[[#This Row],[Percentage van patiëntaantallen in Wlz (overige is Zvw)]]</f>
        <v>30945595.872789603</v>
      </c>
      <c r="T505" s="398">
        <f>uitkomst_doelgroep[[#This Row],[Overige besparingen (€)]]*uitkomst_doelgroep[[#This Row],[Percentage van patiëntaantallen in Wlz (overige is Zvw)]]</f>
        <v>27183663.683901865</v>
      </c>
      <c r="U505" s="398">
        <f>uitkomst_doelgroep[[#This Row],[Kosten (€)]]*uitkomst_doelgroep[[#This Row],[Percentage van patiëntaantallen in Wlz (overige is Zvw)]]</f>
        <v>27500075.671201929</v>
      </c>
      <c r="V505" s="398">
        <f>uitkomst_doelgroep[[#This Row],[Investering (cash flow) (€)]]*uitkomst_doelgroep[[#This Row],[Percentage van patiëntaantallen in Wlz (overige is Zvw)]]</f>
        <v>328204.13631452277</v>
      </c>
    </row>
    <row r="506" spans="1:22" x14ac:dyDescent="0.5">
      <c r="A506" s="33" t="str">
        <f>INDEX(Technologieën[Veld],MATCH(B506,Technologieën[Digitale zorgtoepassing],0))</f>
        <v>Sensoren - Verpleging</v>
      </c>
      <c r="B506" s="33" t="s">
        <v>61</v>
      </c>
      <c r="C506" s="33" t="s">
        <v>385</v>
      </c>
      <c r="D506" s="427" cm="1">
        <f t="array" ref="D506">INDEX(Berekening_patiëntaantal[Percentage van patiëntaantallen in Wlz (overige is Zvw)],MATCH(B506,IF(Berekening_patiëntaantal[Doelgroep (zoeksleutel)]=C506,Berekening_patiëntaantal[Digitale zorgtoepassing]),0))</f>
        <v>0</v>
      </c>
      <c r="E506" s="33" t="str" cm="1">
        <f t="array" ref="E506">INDEX(Berekening_patiëntaantal[Direct toepasbaar/extrapolatie/incidentie voor QALY],MATCH(B506,IF(Berekening_patiëntaantal[Doelgroep (zoeksleutel)]=C506,Berekening_patiëntaantal[Digitale zorgtoepassing]),0))</f>
        <v>Extrapolatie</v>
      </c>
      <c r="F506" s="43" t="s">
        <v>812</v>
      </c>
      <c r="G506" s="33" t="str">
        <f>CONCATENATE(uitkomst_doelgroep[[#This Row],[Digitale zorgtoepassing]],"_",uitkomst_doelgroep[[#This Row],[Doelgroep]],"_",uitkomst_doelgroep[[#This Row],[Uitgangssituatie/effect beleid]])</f>
        <v>Slimme bedsensoren_Epilepsie Kinderen_Effect beleid</v>
      </c>
      <c r="H506" s="33">
        <v>2026</v>
      </c>
      <c r="I506" s="32">
        <v>4</v>
      </c>
      <c r="J506" s="406" cm="1">
        <f t="array" ref="J506">INDEX(implementatie[[2023]:[2034]],MATCH(G506, implementatie[Zoeksleutel],0),I506)</f>
        <v>4.7439999999999996E-2</v>
      </c>
      <c r="K506" s="406" cm="1">
        <f t="array" ref="K506">INDEX(implementatie[[2023]:[2034]],MATCH(G506,implementatie[Zoeksleutel],0),I506 + 1)</f>
        <v>8.4566978560000006E-2</v>
      </c>
      <c r="L50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759.04</v>
      </c>
      <c r="M506" s="398" cm="1">
        <f t="array" ref="M506">J506*INDEX(Berekening_impact[Totaal arbeidsbesparing (€/jaar)],MATCH(B506,IF(Berekening_impact[Doelgroep]=C506,Berekening_impact[Digitale zorgtoepassing]),0))</f>
        <v>403175.18447313842</v>
      </c>
      <c r="N506" s="397" cm="1">
        <f t="array" ref="N506">J506*INDEX(Berekening_impact[Totaal arbeidsbesparing (FTE/jaar)],MATCH(B506,IF(Berekening_impact[Doelgroep]=C506,Berekening_impact[Digitale zorgtoepassing]),0))</f>
        <v>9.4967280561360763</v>
      </c>
      <c r="O506" s="398" cm="1">
        <f t="array" ref="O506">J506*INDEX(Berekening_impact[Overige kostenbesparing (totaal/jaar totaal potentieel)],MATCH(B506,IF(Berekening_impact[Doelgroep]=C506,Berekening_impact[Digitale zorgtoepassing]),0))</f>
        <v>354162.79154765932</v>
      </c>
      <c r="P506" s="398" cm="1">
        <f t="array" ref="P506">J506*INDEX(Berekening_impact[Opbrengsten door QALY''s],MATCH(B506,IF(Berekening_impact[Doelgroep]=C506,Berekening_impact[Digitale zorgtoepassing]),0))</f>
        <v>0</v>
      </c>
      <c r="Q506" s="398" cm="1">
        <f t="array" ref="Q506">J506*INDEX(Berekening_impact[Jaarlijkse kosten (totaal) - incl. schatting],MATCH(B506,IF(Berekening_impact[Doelgroep]=C506,Berekening_impact[Digitale zorgtoepassing]),0))</f>
        <v>358285.17012048193</v>
      </c>
      <c r="R506" s="398" cm="1">
        <f t="array" ref="R506">(uitkomst_doelgroep[[#This Row],[Implementatiegraad t = T + 1]]-uitkomst_doelgroep[[#This Row],[Implementatiegraad t = T]])*INDEX(Berekening_impact[Initiële investering (totaal) - incl. schatting],MATCH(B506,IF(Berekening_impact[Doelgroep]=C506,Berekening_impact[Digitale zorgtoepassing]),0))</f>
        <v>0</v>
      </c>
      <c r="S506" s="398">
        <f>uitkomst_doelgroep[[#This Row],[Arbeidsbesparing (€)]]*uitkomst_doelgroep[[#This Row],[Percentage van patiëntaantallen in Wlz (overige is Zvw)]]</f>
        <v>0</v>
      </c>
      <c r="T506" s="398">
        <f>uitkomst_doelgroep[[#This Row],[Overige besparingen (€)]]*uitkomst_doelgroep[[#This Row],[Percentage van patiëntaantallen in Wlz (overige is Zvw)]]</f>
        <v>0</v>
      </c>
      <c r="U506" s="398">
        <f>uitkomst_doelgroep[[#This Row],[Kosten (€)]]*uitkomst_doelgroep[[#This Row],[Percentage van patiëntaantallen in Wlz (overige is Zvw)]]</f>
        <v>0</v>
      </c>
      <c r="V506" s="398">
        <f>uitkomst_doelgroep[[#This Row],[Investering (cash flow) (€)]]*uitkomst_doelgroep[[#This Row],[Percentage van patiëntaantallen in Wlz (overige is Zvw)]]</f>
        <v>0</v>
      </c>
    </row>
    <row r="507" spans="1:22" x14ac:dyDescent="0.5">
      <c r="A507" s="33" t="str">
        <f>INDEX(Technologieën[Veld],MATCH(B507,Technologieën[Digitale zorgtoepassing],0))</f>
        <v>Sensoren - Verpleging</v>
      </c>
      <c r="B507" s="33" t="s">
        <v>61</v>
      </c>
      <c r="C507" s="33" t="s">
        <v>62</v>
      </c>
      <c r="D507" s="427" cm="1">
        <f t="array" ref="D507">INDEX(Berekening_patiëntaantal[Percentage van patiëntaantallen in Wlz (overige is Zvw)],MATCH(B507,IF(Berekening_patiëntaantal[Doelgroep (zoeksleutel)]=C507,Berekening_patiëntaantal[Digitale zorgtoepassing]),0))</f>
        <v>1</v>
      </c>
      <c r="E507" s="33" t="str" cm="1">
        <f t="array" ref="E507">INDEX(Berekening_patiëntaantal[Direct toepasbaar/extrapolatie/incidentie voor QALY],MATCH(B507,IF(Berekening_patiëntaantal[Doelgroep (zoeksleutel)]=C507,Berekening_patiëntaantal[Digitale zorgtoepassing]),0))</f>
        <v>Huidige toepassing</v>
      </c>
      <c r="F507" s="43" t="s">
        <v>812</v>
      </c>
      <c r="G507" s="33" t="str">
        <f>CONCATENATE(uitkomst_doelgroep[[#This Row],[Digitale zorgtoepassing]],"_",uitkomst_doelgroep[[#This Row],[Doelgroep]],"_",uitkomst_doelgroep[[#This Row],[Uitgangssituatie/effect beleid]])</f>
        <v>Slimme bedsensoren_Bewoners verzorgingshuis_Effect beleid</v>
      </c>
      <c r="H507" s="33">
        <v>2026</v>
      </c>
      <c r="I507" s="32">
        <v>4</v>
      </c>
      <c r="J507" s="406" cm="1">
        <f t="array" ref="J507">INDEX(implementatie[[2023]:[2034]],MATCH(G507, implementatie[Zoeksleutel],0),I507)</f>
        <v>0.71990601886105599</v>
      </c>
      <c r="K507" s="406" cm="1">
        <f t="array" ref="K507">INDEX(implementatie[[2023]:[2034]],MATCH(G507,implementatie[Zoeksleutel],0),I507 + 1)</f>
        <v>0.80616443563130724</v>
      </c>
      <c r="L50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67887.137578597583</v>
      </c>
      <c r="M507" s="398" cm="1">
        <f t="array" ref="M507">J507*INDEX(Berekening_impact[Totaal arbeidsbesparing (€/jaar)],MATCH(B507,IF(Berekening_impact[Doelgroep]=C507,Berekening_impact[Digitale zorgtoepassing]),0))</f>
        <v>36059244.857457332</v>
      </c>
      <c r="N507" s="397" cm="1">
        <f t="array" ref="N507">J507*INDEX(Berekening_impact[Totaal arbeidsbesparing (FTE/jaar)],MATCH(B507,IF(Berekening_impact[Doelgroep]=C507,Berekening_impact[Digitale zorgtoepassing]),0))</f>
        <v>849.36984097470156</v>
      </c>
      <c r="O507" s="398" cm="1">
        <f t="array" ref="O507">J507*INDEX(Berekening_impact[Overige kostenbesparing (totaal/jaar totaal potentieel)],MATCH(B507,IF(Berekening_impact[Doelgroep]=C507,Berekening_impact[Digitale zorgtoepassing]),0))</f>
        <v>31675666.835761126</v>
      </c>
      <c r="P507" s="398" cm="1">
        <f t="array" ref="P507">J507*INDEX(Berekening_impact[Opbrengsten door QALY''s],MATCH(B507,IF(Berekening_impact[Doelgroep]=C507,Berekening_impact[Digitale zorgtoepassing]),0))</f>
        <v>0</v>
      </c>
      <c r="Q507" s="398" cm="1">
        <f t="array" ref="Q507">J507*INDEX(Berekening_impact[Jaarlijkse kosten (totaal) - incl. schatting],MATCH(B507,IF(Berekening_impact[Doelgroep]=C507,Berekening_impact[Digitale zorgtoepassing]),0))</f>
        <v>32044364.771738507</v>
      </c>
      <c r="R507" s="398" cm="1">
        <f t="array" ref="R507">(uitkomst_doelgroep[[#This Row],[Implementatiegraad t = T + 1]]-uitkomst_doelgroep[[#This Row],[Implementatiegraad t = T]])*INDEX(Berekening_impact[Initiële investering (totaal) - incl. schatting],MATCH(B507,IF(Berekening_impact[Doelgroep]=C507,Berekening_impact[Digitale zorgtoepassing]),0))</f>
        <v>277303.55823300371</v>
      </c>
      <c r="S507" s="398">
        <f>uitkomst_doelgroep[[#This Row],[Arbeidsbesparing (€)]]*uitkomst_doelgroep[[#This Row],[Percentage van patiëntaantallen in Wlz (overige is Zvw)]]</f>
        <v>36059244.857457332</v>
      </c>
      <c r="T507" s="398">
        <f>uitkomst_doelgroep[[#This Row],[Overige besparingen (€)]]*uitkomst_doelgroep[[#This Row],[Percentage van patiëntaantallen in Wlz (overige is Zvw)]]</f>
        <v>31675666.835761126</v>
      </c>
      <c r="U507" s="398">
        <f>uitkomst_doelgroep[[#This Row],[Kosten (€)]]*uitkomst_doelgroep[[#This Row],[Percentage van patiëntaantallen in Wlz (overige is Zvw)]]</f>
        <v>32044364.771738507</v>
      </c>
      <c r="V507" s="398">
        <f>uitkomst_doelgroep[[#This Row],[Investering (cash flow) (€)]]*uitkomst_doelgroep[[#This Row],[Percentage van patiëntaantallen in Wlz (overige is Zvw)]]</f>
        <v>277303.55823300371</v>
      </c>
    </row>
    <row r="508" spans="1:22" x14ac:dyDescent="0.5">
      <c r="A508" s="33" t="str">
        <f>INDEX(Technologieën[Veld],MATCH(B508,Technologieën[Digitale zorgtoepassing],0))</f>
        <v>Sensoren - Verpleging</v>
      </c>
      <c r="B508" s="33" t="s">
        <v>61</v>
      </c>
      <c r="C508" s="33" t="s">
        <v>385</v>
      </c>
      <c r="D508" s="427" cm="1">
        <f t="array" ref="D508">INDEX(Berekening_patiëntaantal[Percentage van patiëntaantallen in Wlz (overige is Zvw)],MATCH(B508,IF(Berekening_patiëntaantal[Doelgroep (zoeksleutel)]=C508,Berekening_patiëntaantal[Digitale zorgtoepassing]),0))</f>
        <v>0</v>
      </c>
      <c r="E508" s="33" t="str" cm="1">
        <f t="array" ref="E508">INDEX(Berekening_patiëntaantal[Direct toepasbaar/extrapolatie/incidentie voor QALY],MATCH(B508,IF(Berekening_patiëntaantal[Doelgroep (zoeksleutel)]=C508,Berekening_patiëntaantal[Digitale zorgtoepassing]),0))</f>
        <v>Extrapolatie</v>
      </c>
      <c r="F508" s="43" t="s">
        <v>812</v>
      </c>
      <c r="G508" s="33" t="str">
        <f>CONCATENATE(uitkomst_doelgroep[[#This Row],[Digitale zorgtoepassing]],"_",uitkomst_doelgroep[[#This Row],[Doelgroep]],"_",uitkomst_doelgroep[[#This Row],[Uitgangssituatie/effect beleid]])</f>
        <v>Slimme bedsensoren_Epilepsie Kinderen_Effect beleid</v>
      </c>
      <c r="H508" s="33">
        <v>2027</v>
      </c>
      <c r="I508" s="32">
        <v>5</v>
      </c>
      <c r="J508" s="406" cm="1">
        <f t="array" ref="J508">INDEX(implementatie[[2023]:[2034]],MATCH(G508, implementatie[Zoeksleutel],0),I508)</f>
        <v>8.4566978560000006E-2</v>
      </c>
      <c r="K508" s="406" cm="1">
        <f t="array" ref="K508">INDEX(implementatie[[2023]:[2034]],MATCH(G508,implementatie[Zoeksleutel],0),I508 + 1)</f>
        <v>0.13384180086769301</v>
      </c>
      <c r="L50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1353.0716569600002</v>
      </c>
      <c r="M508" s="398" cm="1">
        <f t="array" ref="M508">J508*INDEX(Berekening_impact[Totaal arbeidsbesparing (€/jaar)],MATCH(B508,IF(Berekening_impact[Doelgroep]=C508,Berekening_impact[Digitale zorgtoepassing]),0))</f>
        <v>718703.77700809331</v>
      </c>
      <c r="N508" s="397" cm="1">
        <f t="array" ref="N508">J508*INDEX(Berekening_impact[Totaal arbeidsbesparing (FTE/jaar)],MATCH(B508,IF(Berekening_impact[Doelgroep]=C508,Berekening_impact[Digitale zorgtoepassing]),0))</f>
        <v>16.928954424818933</v>
      </c>
      <c r="O508" s="398" cm="1">
        <f t="array" ref="O508">J508*INDEX(Berekening_impact[Overige kostenbesparing (totaal/jaar totaal potentieel)],MATCH(B508,IF(Berekening_impact[Doelgroep]=C508,Berekening_impact[Digitale zorgtoepassing]),0))</f>
        <v>631333.83641569689</v>
      </c>
      <c r="P508" s="398" cm="1">
        <f t="array" ref="P508">J508*INDEX(Berekening_impact[Opbrengsten door QALY''s],MATCH(B508,IF(Berekening_impact[Doelgroep]=C508,Berekening_impact[Digitale zorgtoepassing]),0))</f>
        <v>0</v>
      </c>
      <c r="Q508" s="398" cm="1">
        <f t="array" ref="Q508">J508*INDEX(Berekening_impact[Jaarlijkse kosten (totaal) - incl. schatting],MATCH(B508,IF(Berekening_impact[Doelgroep]=C508,Berekening_impact[Digitale zorgtoepassing]),0))</f>
        <v>638682.4262214324</v>
      </c>
      <c r="R508" s="398" cm="1">
        <f t="array" ref="R508">(uitkomst_doelgroep[[#This Row],[Implementatiegraad t = T + 1]]-uitkomst_doelgroep[[#This Row],[Implementatiegraad t = T]])*INDEX(Berekening_impact[Initiële investering (totaal) - incl. schatting],MATCH(B508,IF(Berekening_impact[Doelgroep]=C508,Berekening_impact[Digitale zorgtoepassing]),0))</f>
        <v>0</v>
      </c>
      <c r="S508" s="398">
        <f>uitkomst_doelgroep[[#This Row],[Arbeidsbesparing (€)]]*uitkomst_doelgroep[[#This Row],[Percentage van patiëntaantallen in Wlz (overige is Zvw)]]</f>
        <v>0</v>
      </c>
      <c r="T508" s="398">
        <f>uitkomst_doelgroep[[#This Row],[Overige besparingen (€)]]*uitkomst_doelgroep[[#This Row],[Percentage van patiëntaantallen in Wlz (overige is Zvw)]]</f>
        <v>0</v>
      </c>
      <c r="U508" s="398">
        <f>uitkomst_doelgroep[[#This Row],[Kosten (€)]]*uitkomst_doelgroep[[#This Row],[Percentage van patiëntaantallen in Wlz (overige is Zvw)]]</f>
        <v>0</v>
      </c>
      <c r="V508" s="398">
        <f>uitkomst_doelgroep[[#This Row],[Investering (cash flow) (€)]]*uitkomst_doelgroep[[#This Row],[Percentage van patiëntaantallen in Wlz (overige is Zvw)]]</f>
        <v>0</v>
      </c>
    </row>
    <row r="509" spans="1:22" x14ac:dyDescent="0.5">
      <c r="A509" s="33" t="str">
        <f>INDEX(Technologieën[Veld],MATCH(B509,Technologieën[Digitale zorgtoepassing],0))</f>
        <v>Sensoren - Verpleging</v>
      </c>
      <c r="B509" s="33" t="s">
        <v>61</v>
      </c>
      <c r="C509" s="33" t="s">
        <v>62</v>
      </c>
      <c r="D509" s="427" cm="1">
        <f t="array" ref="D509">INDEX(Berekening_patiëntaantal[Percentage van patiëntaantallen in Wlz (overige is Zvw)],MATCH(B509,IF(Berekening_patiëntaantal[Doelgroep (zoeksleutel)]=C509,Berekening_patiëntaantal[Digitale zorgtoepassing]),0))</f>
        <v>1</v>
      </c>
      <c r="E509" s="33" t="str" cm="1">
        <f t="array" ref="E509">INDEX(Berekening_patiëntaantal[Direct toepasbaar/extrapolatie/incidentie voor QALY],MATCH(B509,IF(Berekening_patiëntaantal[Doelgroep (zoeksleutel)]=C509,Berekening_patiëntaantal[Digitale zorgtoepassing]),0))</f>
        <v>Huidige toepassing</v>
      </c>
      <c r="F509" s="43" t="s">
        <v>812</v>
      </c>
      <c r="G509" s="33" t="str">
        <f>CONCATENATE(uitkomst_doelgroep[[#This Row],[Digitale zorgtoepassing]],"_",uitkomst_doelgroep[[#This Row],[Doelgroep]],"_",uitkomst_doelgroep[[#This Row],[Uitgangssituatie/effect beleid]])</f>
        <v>Slimme bedsensoren_Bewoners verzorgingshuis_Effect beleid</v>
      </c>
      <c r="H509" s="33">
        <v>2027</v>
      </c>
      <c r="I509" s="32">
        <v>5</v>
      </c>
      <c r="J509" s="406" cm="1">
        <f t="array" ref="J509">INDEX(implementatie[[2023]:[2034]],MATCH(G509, implementatie[Zoeksleutel],0),I509)</f>
        <v>0.80616443563130724</v>
      </c>
      <c r="K509" s="406" cm="1">
        <f t="array" ref="K509">INDEX(implementatie[[2023]:[2034]],MATCH(G509,implementatie[Zoeksleutel],0),I509 + 1)</f>
        <v>0.87254648226050635</v>
      </c>
      <c r="L50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76021.306280032266</v>
      </c>
      <c r="M509" s="398" cm="1">
        <f t="array" ref="M509">J509*INDEX(Berekening_impact[Totaal arbeidsbesparing (€/jaar)],MATCH(B509,IF(Berekening_impact[Doelgroep]=C509,Berekening_impact[Digitale zorgtoepassing]),0))</f>
        <v>40379827.39162755</v>
      </c>
      <c r="N509" s="397" cm="1">
        <f t="array" ref="N509">J509*INDEX(Berekening_impact[Totaal arbeidsbesparing (FTE/jaar)],MATCH(B509,IF(Berekening_impact[Doelgroep]=C509,Berekening_impact[Digitale zorgtoepassing]),0))</f>
        <v>951.14048299654337</v>
      </c>
      <c r="O509" s="398" cm="1">
        <f t="array" ref="O509">J509*INDEX(Berekening_impact[Overige kostenbesparing (totaal/jaar totaal potentieel)],MATCH(B509,IF(Berekening_impact[Doelgroep]=C509,Berekening_impact[Digitale zorgtoepassing]),0))</f>
        <v>35471013.450194769</v>
      </c>
      <c r="P509" s="398" cm="1">
        <f t="array" ref="P509">J509*INDEX(Berekening_impact[Opbrengsten door QALY''s],MATCH(B509,IF(Berekening_impact[Doelgroep]=C509,Berekening_impact[Digitale zorgtoepassing]),0))</f>
        <v>0</v>
      </c>
      <c r="Q509" s="398" cm="1">
        <f t="array" ref="Q509">J509*INDEX(Berekening_impact[Jaarlijkse kosten (totaal) - incl. schatting],MATCH(B509,IF(Berekening_impact[Doelgroep]=C509,Berekening_impact[Digitale zorgtoepassing]),0))</f>
        <v>35883888.40288078</v>
      </c>
      <c r="R509" s="398" cm="1">
        <f t="array" ref="R509">(uitkomst_doelgroep[[#This Row],[Implementatiegraad t = T + 1]]-uitkomst_doelgroep[[#This Row],[Implementatiegraad t = T]])*INDEX(Berekening_impact[Initiële investering (totaal) - incl. schatting],MATCH(B509,IF(Berekening_impact[Doelgroep]=C509,Berekening_impact[Digitale zorgtoepassing]),0))</f>
        <v>213405.00350354926</v>
      </c>
      <c r="S509" s="398">
        <f>uitkomst_doelgroep[[#This Row],[Arbeidsbesparing (€)]]*uitkomst_doelgroep[[#This Row],[Percentage van patiëntaantallen in Wlz (overige is Zvw)]]</f>
        <v>40379827.39162755</v>
      </c>
      <c r="T509" s="398">
        <f>uitkomst_doelgroep[[#This Row],[Overige besparingen (€)]]*uitkomst_doelgroep[[#This Row],[Percentage van patiëntaantallen in Wlz (overige is Zvw)]]</f>
        <v>35471013.450194769</v>
      </c>
      <c r="U509" s="398">
        <f>uitkomst_doelgroep[[#This Row],[Kosten (€)]]*uitkomst_doelgroep[[#This Row],[Percentage van patiëntaantallen in Wlz (overige is Zvw)]]</f>
        <v>35883888.40288078</v>
      </c>
      <c r="V509" s="398">
        <f>uitkomst_doelgroep[[#This Row],[Investering (cash flow) (€)]]*uitkomst_doelgroep[[#This Row],[Percentage van patiëntaantallen in Wlz (overige is Zvw)]]</f>
        <v>213405.00350354926</v>
      </c>
    </row>
    <row r="510" spans="1:22" x14ac:dyDescent="0.5">
      <c r="A510" s="33" t="str">
        <f>INDEX(Technologieën[Veld],MATCH(B510,Technologieën[Digitale zorgtoepassing],0))</f>
        <v>Sensoren - Verpleging</v>
      </c>
      <c r="B510" s="33" t="s">
        <v>61</v>
      </c>
      <c r="C510" s="33" t="s">
        <v>385</v>
      </c>
      <c r="D510" s="427" cm="1">
        <f t="array" ref="D510">INDEX(Berekening_patiëntaantal[Percentage van patiëntaantallen in Wlz (overige is Zvw)],MATCH(B510,IF(Berekening_patiëntaantal[Doelgroep (zoeksleutel)]=C510,Berekening_patiëntaantal[Digitale zorgtoepassing]),0))</f>
        <v>0</v>
      </c>
      <c r="E510" s="33" t="str" cm="1">
        <f t="array" ref="E510">INDEX(Berekening_patiëntaantal[Direct toepasbaar/extrapolatie/incidentie voor QALY],MATCH(B510,IF(Berekening_patiëntaantal[Doelgroep (zoeksleutel)]=C510,Berekening_patiëntaantal[Digitale zorgtoepassing]),0))</f>
        <v>Extrapolatie</v>
      </c>
      <c r="F510" s="43" t="s">
        <v>812</v>
      </c>
      <c r="G510" s="33" t="str">
        <f>CONCATENATE(uitkomst_doelgroep[[#This Row],[Digitale zorgtoepassing]],"_",uitkomst_doelgroep[[#This Row],[Doelgroep]],"_",uitkomst_doelgroep[[#This Row],[Uitgangssituatie/effect beleid]])</f>
        <v>Slimme bedsensoren_Epilepsie Kinderen_Effect beleid</v>
      </c>
      <c r="H510" s="33">
        <v>2028</v>
      </c>
      <c r="I510" s="32">
        <v>6</v>
      </c>
      <c r="J510" s="406" cm="1">
        <f t="array" ref="J510">INDEX(implementatie[[2023]:[2034]],MATCH(G510, implementatie[Zoeksleutel],0),I510)</f>
        <v>0.13384180086769301</v>
      </c>
      <c r="K510" s="406" cm="1">
        <f t="array" ref="K510">INDEX(implementatie[[2023]:[2034]],MATCH(G510,implementatie[Zoeksleutel],0),I510 + 1)</f>
        <v>0.19753623413361349</v>
      </c>
      <c r="L51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2141.4688138830884</v>
      </c>
      <c r="M510" s="398" cm="1">
        <f t="array" ref="M510">J510*INDEX(Berekening_impact[Totaal arbeidsbesparing (€/jaar)],MATCH(B510,IF(Berekening_impact[Doelgroep]=C510,Berekening_impact[Digitale zorgtoepassing]),0))</f>
        <v>1137472.4442463994</v>
      </c>
      <c r="N510" s="397" cm="1">
        <f t="array" ref="N510">J510*INDEX(Berekening_impact[Totaal arbeidsbesparing (FTE/jaar)],MATCH(B510,IF(Berekening_impact[Doelgroep]=C510,Berekening_impact[Digitale zorgtoepassing]),0))</f>
        <v>26.792984514839759</v>
      </c>
      <c r="O510" s="398" cm="1">
        <f t="array" ref="O510">J510*INDEX(Berekening_impact[Overige kostenbesparing (totaal/jaar totaal potentieel)],MATCH(B510,IF(Berekening_impact[Doelgroep]=C510,Berekening_impact[Digitale zorgtoepassing]),0))</f>
        <v>999194.4734626495</v>
      </c>
      <c r="P510" s="398" cm="1">
        <f t="array" ref="P510">J510*INDEX(Berekening_impact[Opbrengsten door QALY''s],MATCH(B510,IF(Berekening_impact[Doelgroep]=C510,Berekening_impact[Digitale zorgtoepassing]),0))</f>
        <v>0</v>
      </c>
      <c r="Q510" s="398" cm="1">
        <f t="array" ref="Q510">J510*INDEX(Berekening_impact[Jaarlijkse kosten (totaal) - incl. schatting],MATCH(B510,IF(Berekening_impact[Doelgroep]=C510,Berekening_impact[Digitale zorgtoepassing]),0))</f>
        <v>1010824.8818109835</v>
      </c>
      <c r="R510" s="398" cm="1">
        <f t="array" ref="R510">(uitkomst_doelgroep[[#This Row],[Implementatiegraad t = T + 1]]-uitkomst_doelgroep[[#This Row],[Implementatiegraad t = T]])*INDEX(Berekening_impact[Initiële investering (totaal) - incl. schatting],MATCH(B510,IF(Berekening_impact[Doelgroep]=C510,Berekening_impact[Digitale zorgtoepassing]),0))</f>
        <v>0</v>
      </c>
      <c r="S510" s="398">
        <f>uitkomst_doelgroep[[#This Row],[Arbeidsbesparing (€)]]*uitkomst_doelgroep[[#This Row],[Percentage van patiëntaantallen in Wlz (overige is Zvw)]]</f>
        <v>0</v>
      </c>
      <c r="T510" s="398">
        <f>uitkomst_doelgroep[[#This Row],[Overige besparingen (€)]]*uitkomst_doelgroep[[#This Row],[Percentage van patiëntaantallen in Wlz (overige is Zvw)]]</f>
        <v>0</v>
      </c>
      <c r="U510" s="398">
        <f>uitkomst_doelgroep[[#This Row],[Kosten (€)]]*uitkomst_doelgroep[[#This Row],[Percentage van patiëntaantallen in Wlz (overige is Zvw)]]</f>
        <v>0</v>
      </c>
      <c r="V510" s="398">
        <f>uitkomst_doelgroep[[#This Row],[Investering (cash flow) (€)]]*uitkomst_doelgroep[[#This Row],[Percentage van patiëntaantallen in Wlz (overige is Zvw)]]</f>
        <v>0</v>
      </c>
    </row>
    <row r="511" spans="1:22" x14ac:dyDescent="0.5">
      <c r="A511" s="33" t="str">
        <f>INDEX(Technologieën[Veld],MATCH(B511,Technologieën[Digitale zorgtoepassing],0))</f>
        <v>Sensoren - Verpleging</v>
      </c>
      <c r="B511" s="33" t="s">
        <v>61</v>
      </c>
      <c r="C511" s="33" t="s">
        <v>62</v>
      </c>
      <c r="D511" s="427" cm="1">
        <f t="array" ref="D511">INDEX(Berekening_patiëntaantal[Percentage van patiëntaantallen in Wlz (overige is Zvw)],MATCH(B511,IF(Berekening_patiëntaantal[Doelgroep (zoeksleutel)]=C511,Berekening_patiëntaantal[Digitale zorgtoepassing]),0))</f>
        <v>1</v>
      </c>
      <c r="E511" s="33" t="str" cm="1">
        <f t="array" ref="E511">INDEX(Berekening_patiëntaantal[Direct toepasbaar/extrapolatie/incidentie voor QALY],MATCH(B511,IF(Berekening_patiëntaantal[Doelgroep (zoeksleutel)]=C511,Berekening_patiëntaantal[Digitale zorgtoepassing]),0))</f>
        <v>Huidige toepassing</v>
      </c>
      <c r="F511" s="43" t="s">
        <v>812</v>
      </c>
      <c r="G511" s="33" t="str">
        <f>CONCATENATE(uitkomst_doelgroep[[#This Row],[Digitale zorgtoepassing]],"_",uitkomst_doelgroep[[#This Row],[Doelgroep]],"_",uitkomst_doelgroep[[#This Row],[Uitgangssituatie/effect beleid]])</f>
        <v>Slimme bedsensoren_Bewoners verzorgingshuis_Effect beleid</v>
      </c>
      <c r="H511" s="33">
        <v>2028</v>
      </c>
      <c r="I511" s="32">
        <v>6</v>
      </c>
      <c r="J511" s="406" cm="1">
        <f t="array" ref="J511">INDEX(implementatie[[2023]:[2034]],MATCH(G511, implementatie[Zoeksleutel],0),I511)</f>
        <v>0.87254648226050635</v>
      </c>
      <c r="K511" s="406" cm="1">
        <f t="array" ref="K511">INDEX(implementatie[[2023]:[2034]],MATCH(G511,implementatie[Zoeksleutel],0),I511 + 1)</f>
        <v>0.9195792000374251</v>
      </c>
      <c r="L51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82281.133277165747</v>
      </c>
      <c r="M511" s="398" cm="1">
        <f t="array" ref="M511">J511*INDEX(Berekening_impact[Totaal arbeidsbesparing (€/jaar)],MATCH(B511,IF(Berekening_impact[Doelgroep]=C511,Berekening_impact[Digitale zorgtoepassing]),0))</f>
        <v>43704825.948145285</v>
      </c>
      <c r="N511" s="397" cm="1">
        <f t="array" ref="N511">J511*INDEX(Berekening_impact[Totaal arbeidsbesparing (FTE/jaar)],MATCH(B511,IF(Berekening_impact[Doelgroep]=C511,Berekening_impact[Digitale zorgtoepassing]),0))</f>
        <v>1029.4603010169844</v>
      </c>
      <c r="O511" s="398" cm="1">
        <f t="array" ref="O511">J511*INDEX(Berekening_impact[Overige kostenbesparing (totaal/jaar totaal potentieel)],MATCH(B511,IF(Berekening_impact[Doelgroep]=C511,Berekening_impact[Digitale zorgtoepassing]),0))</f>
        <v>38391805.244975269</v>
      </c>
      <c r="P511" s="398" cm="1">
        <f t="array" ref="P511">J511*INDEX(Berekening_impact[Opbrengsten door QALY''s],MATCH(B511,IF(Berekening_impact[Doelgroep]=C511,Berekening_impact[Digitale zorgtoepassing]),0))</f>
        <v>0</v>
      </c>
      <c r="Q511" s="398" cm="1">
        <f t="array" ref="Q511">J511*INDEX(Berekening_impact[Jaarlijkse kosten (totaal) - incl. schatting],MATCH(B511,IF(Berekening_impact[Doelgroep]=C511,Berekening_impact[Digitale zorgtoepassing]),0))</f>
        <v>38838677.584732533</v>
      </c>
      <c r="R511" s="398" cm="1">
        <f t="array" ref="R511">(uitkomst_doelgroep[[#This Row],[Implementatiegraad t = T + 1]]-uitkomst_doelgroep[[#This Row],[Implementatiegraad t = T]])*INDEX(Berekening_impact[Initiële investering (totaal) - incl. schatting],MATCH(B511,IF(Berekening_impact[Doelgroep]=C511,Berekening_impact[Digitale zorgtoepassing]),0))</f>
        <v>151200.78110923839</v>
      </c>
      <c r="S511" s="398">
        <f>uitkomst_doelgroep[[#This Row],[Arbeidsbesparing (€)]]*uitkomst_doelgroep[[#This Row],[Percentage van patiëntaantallen in Wlz (overige is Zvw)]]</f>
        <v>43704825.948145285</v>
      </c>
      <c r="T511" s="398">
        <f>uitkomst_doelgroep[[#This Row],[Overige besparingen (€)]]*uitkomst_doelgroep[[#This Row],[Percentage van patiëntaantallen in Wlz (overige is Zvw)]]</f>
        <v>38391805.244975269</v>
      </c>
      <c r="U511" s="398">
        <f>uitkomst_doelgroep[[#This Row],[Kosten (€)]]*uitkomst_doelgroep[[#This Row],[Percentage van patiëntaantallen in Wlz (overige is Zvw)]]</f>
        <v>38838677.584732533</v>
      </c>
      <c r="V511" s="398">
        <f>uitkomst_doelgroep[[#This Row],[Investering (cash flow) (€)]]*uitkomst_doelgroep[[#This Row],[Percentage van patiëntaantallen in Wlz (overige is Zvw)]]</f>
        <v>151200.78110923839</v>
      </c>
    </row>
    <row r="512" spans="1:22" x14ac:dyDescent="0.5">
      <c r="A512" s="33" t="str">
        <f>INDEX(Technologieën[Veld],MATCH(B512,Technologieën[Digitale zorgtoepassing],0))</f>
        <v>Sensoren - Verpleging</v>
      </c>
      <c r="B512" s="33" t="s">
        <v>61</v>
      </c>
      <c r="C512" s="33" t="s">
        <v>385</v>
      </c>
      <c r="D512" s="427" cm="1">
        <f t="array" ref="D512">INDEX(Berekening_patiëntaantal[Percentage van patiëntaantallen in Wlz (overige is Zvw)],MATCH(B512,IF(Berekening_patiëntaantal[Doelgroep (zoeksleutel)]=C512,Berekening_patiëntaantal[Digitale zorgtoepassing]),0))</f>
        <v>0</v>
      </c>
      <c r="E512" s="33" t="str" cm="1">
        <f t="array" ref="E512">INDEX(Berekening_patiëntaantal[Direct toepasbaar/extrapolatie/incidentie voor QALY],MATCH(B512,IF(Berekening_patiëntaantal[Doelgroep (zoeksleutel)]=C512,Berekening_patiëntaantal[Digitale zorgtoepassing]),0))</f>
        <v>Extrapolatie</v>
      </c>
      <c r="F512" s="43" t="s">
        <v>812</v>
      </c>
      <c r="G512" s="33" t="str">
        <f>CONCATENATE(uitkomst_doelgroep[[#This Row],[Digitale zorgtoepassing]],"_",uitkomst_doelgroep[[#This Row],[Doelgroep]],"_",uitkomst_doelgroep[[#This Row],[Uitgangssituatie/effect beleid]])</f>
        <v>Slimme bedsensoren_Epilepsie Kinderen_Effect beleid</v>
      </c>
      <c r="H512" s="33">
        <v>2029</v>
      </c>
      <c r="I512" s="32">
        <v>7</v>
      </c>
      <c r="J512" s="406" cm="1">
        <f t="array" ref="J512">INDEX(implementatie[[2023]:[2034]],MATCH(G512, implementatie[Zoeksleutel],0),I512)</f>
        <v>0.19753623413361349</v>
      </c>
      <c r="K512" s="406" cm="1">
        <f t="array" ref="K512">INDEX(implementatie[[2023]:[2034]],MATCH(G512,implementatie[Zoeksleutel],0),I512 + 1)</f>
        <v>0.27699177758611071</v>
      </c>
      <c r="L51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3160.5797461378156</v>
      </c>
      <c r="M512" s="398" cm="1">
        <f t="array" ref="M512">J512*INDEX(Berekening_impact[Totaal arbeidsbesparing (€/jaar)],MATCH(B512,IF(Berekening_impact[Doelgroep]=C512,Berekening_impact[Digitale zorgtoepassing]),0))</f>
        <v>1678788.1036456299</v>
      </c>
      <c r="N512" s="397" cm="1">
        <f t="array" ref="N512">J512*INDEX(Berekening_impact[Totaal arbeidsbesparing (FTE/jaar)],MATCH(B512,IF(Berekening_impact[Doelgroep]=C512,Berekening_impact[Digitale zorgtoepassing]),0))</f>
        <v>39.543589730188707</v>
      </c>
      <c r="O512" s="398" cm="1">
        <f t="array" ref="O512">J512*INDEX(Berekening_impact[Overige kostenbesparing (totaal/jaar totaal potentieel)],MATCH(B512,IF(Berekening_impact[Doelgroep]=C512,Berekening_impact[Digitale zorgtoepassing]),0))</f>
        <v>1474704.5554926766</v>
      </c>
      <c r="P512" s="398" cm="1">
        <f t="array" ref="P512">J512*INDEX(Berekening_impact[Opbrengsten door QALY''s],MATCH(B512,IF(Berekening_impact[Doelgroep]=C512,Berekening_impact[Digitale zorgtoepassing]),0))</f>
        <v>0</v>
      </c>
      <c r="Q512" s="398" cm="1">
        <f t="array" ref="Q512">J512*INDEX(Berekening_impact[Jaarlijkse kosten (totaal) - incl. schatting],MATCH(B512,IF(Berekening_impact[Doelgroep]=C512,Berekening_impact[Digitale zorgtoepassing]),0))</f>
        <v>1491869.7987251489</v>
      </c>
      <c r="R512" s="398" cm="1">
        <f t="array" ref="R512">(uitkomst_doelgroep[[#This Row],[Implementatiegraad t = T + 1]]-uitkomst_doelgroep[[#This Row],[Implementatiegraad t = T]])*INDEX(Berekening_impact[Initiële investering (totaal) - incl. schatting],MATCH(B512,IF(Berekening_impact[Doelgroep]=C512,Berekening_impact[Digitale zorgtoepassing]),0))</f>
        <v>0</v>
      </c>
      <c r="S512" s="398">
        <f>uitkomst_doelgroep[[#This Row],[Arbeidsbesparing (€)]]*uitkomst_doelgroep[[#This Row],[Percentage van patiëntaantallen in Wlz (overige is Zvw)]]</f>
        <v>0</v>
      </c>
      <c r="T512" s="398">
        <f>uitkomst_doelgroep[[#This Row],[Overige besparingen (€)]]*uitkomst_doelgroep[[#This Row],[Percentage van patiëntaantallen in Wlz (overige is Zvw)]]</f>
        <v>0</v>
      </c>
      <c r="U512" s="398">
        <f>uitkomst_doelgroep[[#This Row],[Kosten (€)]]*uitkomst_doelgroep[[#This Row],[Percentage van patiëntaantallen in Wlz (overige is Zvw)]]</f>
        <v>0</v>
      </c>
      <c r="V512" s="398">
        <f>uitkomst_doelgroep[[#This Row],[Investering (cash flow) (€)]]*uitkomst_doelgroep[[#This Row],[Percentage van patiëntaantallen in Wlz (overige is Zvw)]]</f>
        <v>0</v>
      </c>
    </row>
    <row r="513" spans="1:22" x14ac:dyDescent="0.5">
      <c r="A513" s="33" t="str">
        <f>INDEX(Technologieën[Veld],MATCH(B513,Technologieën[Digitale zorgtoepassing],0))</f>
        <v>Sensoren - Verpleging</v>
      </c>
      <c r="B513" s="33" t="s">
        <v>61</v>
      </c>
      <c r="C513" s="33" t="s">
        <v>62</v>
      </c>
      <c r="D513" s="427" cm="1">
        <f t="array" ref="D513">INDEX(Berekening_patiëntaantal[Percentage van patiëntaantallen in Wlz (overige is Zvw)],MATCH(B513,IF(Berekening_patiëntaantal[Doelgroep (zoeksleutel)]=C513,Berekening_patiëntaantal[Digitale zorgtoepassing]),0))</f>
        <v>1</v>
      </c>
      <c r="E513" s="33" t="str" cm="1">
        <f t="array" ref="E513">INDEX(Berekening_patiëntaantal[Direct toepasbaar/extrapolatie/incidentie voor QALY],MATCH(B513,IF(Berekening_patiëntaantal[Doelgroep (zoeksleutel)]=C513,Berekening_patiëntaantal[Digitale zorgtoepassing]),0))</f>
        <v>Huidige toepassing</v>
      </c>
      <c r="F513" s="43" t="s">
        <v>812</v>
      </c>
      <c r="G513" s="33" t="str">
        <f>CONCATENATE(uitkomst_doelgroep[[#This Row],[Digitale zorgtoepassing]],"_",uitkomst_doelgroep[[#This Row],[Doelgroep]],"_",uitkomst_doelgroep[[#This Row],[Uitgangssituatie/effect beleid]])</f>
        <v>Slimme bedsensoren_Bewoners verzorgingshuis_Effect beleid</v>
      </c>
      <c r="H513" s="33">
        <v>2029</v>
      </c>
      <c r="I513" s="32">
        <v>7</v>
      </c>
      <c r="J513" s="406" cm="1">
        <f t="array" ref="J513">INDEX(implementatie[[2023]:[2034]],MATCH(G513, implementatie[Zoeksleutel],0),I513)</f>
        <v>0.9195792000374251</v>
      </c>
      <c r="K513" s="406" cm="1">
        <f t="array" ref="K513">INDEX(implementatie[[2023]:[2034]],MATCH(G513,implementatie[Zoeksleutel],0),I513 + 1)</f>
        <v>0.95076893399505846</v>
      </c>
      <c r="L51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86716.318563529188</v>
      </c>
      <c r="M513" s="398" cm="1">
        <f t="array" ref="M513">J513*INDEX(Berekening_impact[Totaal arbeidsbesparing (€/jaar)],MATCH(B513,IF(Berekening_impact[Doelgroep]=C513,Berekening_impact[Digitale zorgtoepassing]),0))</f>
        <v>46060639.404619426</v>
      </c>
      <c r="N513" s="397" cm="1">
        <f t="array" ref="N513">J513*INDEX(Berekening_impact[Totaal arbeidsbesparing (FTE/jaar)],MATCH(B513,IF(Berekening_impact[Doelgroep]=C513,Berekening_impact[Digitale zorgtoepassing]),0))</f>
        <v>1084.9511164459072</v>
      </c>
      <c r="O513" s="398" cm="1">
        <f t="array" ref="O513">J513*INDEX(Berekening_impact[Overige kostenbesparing (totaal/jaar totaal potentieel)],MATCH(B513,IF(Berekening_impact[Doelgroep]=C513,Berekening_impact[Digitale zorgtoepassing]),0))</f>
        <v>40461231.891857624</v>
      </c>
      <c r="P513" s="398" cm="1">
        <f t="array" ref="P513">J513*INDEX(Berekening_impact[Opbrengsten door QALY''s],MATCH(B513,IF(Berekening_impact[Doelgroep]=C513,Berekening_impact[Digitale zorgtoepassing]),0))</f>
        <v>0</v>
      </c>
      <c r="Q513" s="398" cm="1">
        <f t="array" ref="Q513">J513*INDEX(Berekening_impact[Jaarlijkse kosten (totaal) - incl. schatting],MATCH(B513,IF(Berekening_impact[Doelgroep]=C513,Berekening_impact[Digitale zorgtoepassing]),0))</f>
        <v>40932191.911830686</v>
      </c>
      <c r="R513" s="398" cm="1">
        <f t="array" ref="R513">(uitkomst_doelgroep[[#This Row],[Implementatiegraad t = T + 1]]-uitkomst_doelgroep[[#This Row],[Implementatiegraad t = T]])*INDEX(Berekening_impact[Initiële investering (totaal) - incl. schatting],MATCH(B513,IF(Berekening_impact[Doelgroep]=C513,Berekening_impact[Digitale zorgtoepassing]),0))</f>
        <v>100268.75672699971</v>
      </c>
      <c r="S513" s="398">
        <f>uitkomst_doelgroep[[#This Row],[Arbeidsbesparing (€)]]*uitkomst_doelgroep[[#This Row],[Percentage van patiëntaantallen in Wlz (overige is Zvw)]]</f>
        <v>46060639.404619426</v>
      </c>
      <c r="T513" s="398">
        <f>uitkomst_doelgroep[[#This Row],[Overige besparingen (€)]]*uitkomst_doelgroep[[#This Row],[Percentage van patiëntaantallen in Wlz (overige is Zvw)]]</f>
        <v>40461231.891857624</v>
      </c>
      <c r="U513" s="398">
        <f>uitkomst_doelgroep[[#This Row],[Kosten (€)]]*uitkomst_doelgroep[[#This Row],[Percentage van patiëntaantallen in Wlz (overige is Zvw)]]</f>
        <v>40932191.911830686</v>
      </c>
      <c r="V513" s="398">
        <f>uitkomst_doelgroep[[#This Row],[Investering (cash flow) (€)]]*uitkomst_doelgroep[[#This Row],[Percentage van patiëntaantallen in Wlz (overige is Zvw)]]</f>
        <v>100268.75672699971</v>
      </c>
    </row>
    <row r="514" spans="1:22" x14ac:dyDescent="0.5">
      <c r="A514" s="33" t="str">
        <f>INDEX(Technologieën[Veld],MATCH(B514,Technologieën[Digitale zorgtoepassing],0))</f>
        <v>Sensoren - Verpleging</v>
      </c>
      <c r="B514" s="33" t="s">
        <v>61</v>
      </c>
      <c r="C514" s="33" t="s">
        <v>385</v>
      </c>
      <c r="D514" s="427" cm="1">
        <f t="array" ref="D514">INDEX(Berekening_patiëntaantal[Percentage van patiëntaantallen in Wlz (overige is Zvw)],MATCH(B514,IF(Berekening_patiëntaantal[Doelgroep (zoeksleutel)]=C514,Berekening_patiëntaantal[Digitale zorgtoepassing]),0))</f>
        <v>0</v>
      </c>
      <c r="E514" s="33" t="str" cm="1">
        <f t="array" ref="E514">INDEX(Berekening_patiëntaantal[Direct toepasbaar/extrapolatie/incidentie voor QALY],MATCH(B514,IF(Berekening_patiëntaantal[Doelgroep (zoeksleutel)]=C514,Berekening_patiëntaantal[Digitale zorgtoepassing]),0))</f>
        <v>Extrapolatie</v>
      </c>
      <c r="F514" s="43" t="s">
        <v>812</v>
      </c>
      <c r="G514" s="33" t="str">
        <f>CONCATENATE(uitkomst_doelgroep[[#This Row],[Digitale zorgtoepassing]],"_",uitkomst_doelgroep[[#This Row],[Doelgroep]],"_",uitkomst_doelgroep[[#This Row],[Uitgangssituatie/effect beleid]])</f>
        <v>Slimme bedsensoren_Epilepsie Kinderen_Effect beleid</v>
      </c>
      <c r="H514" s="33">
        <v>2030</v>
      </c>
      <c r="I514" s="32">
        <v>8</v>
      </c>
      <c r="J514" s="406" cm="1">
        <f t="array" ref="J514">INDEX(implementatie[[2023]:[2034]],MATCH(G514, implementatie[Zoeksleutel],0),I514)</f>
        <v>0.27699177758611071</v>
      </c>
      <c r="K514" s="406" cm="1">
        <f t="array" ref="K514">INDEX(implementatie[[2023]:[2034]],MATCH(G514,implementatie[Zoeksleutel],0),I514 + 1)</f>
        <v>0.37155887512870744</v>
      </c>
      <c r="L51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4431.868441377771</v>
      </c>
      <c r="M514" s="398" cm="1">
        <f t="array" ref="M514">J514*INDEX(Berekening_impact[Totaal arbeidsbesparing (€/jaar)],MATCH(B514,IF(Berekening_impact[Doelgroep]=C514,Berekening_impact[Digitale zorgtoepassing]),0))</f>
        <v>2354051.6658057068</v>
      </c>
      <c r="N514" s="397" cm="1">
        <f t="array" ref="N514">J514*INDEX(Berekening_impact[Totaal arbeidsbesparing (FTE/jaar)],MATCH(B514,IF(Berekening_impact[Doelgroep]=C514,Berekening_impact[Digitale zorgtoepassing]),0))</f>
        <v>55.449316726834354</v>
      </c>
      <c r="O514" s="398" cm="1">
        <f t="array" ref="O514">J514*INDEX(Berekening_impact[Overige kostenbesparing (totaal/jaar totaal potentieel)],MATCH(B514,IF(Berekening_impact[Doelgroep]=C514,Berekening_impact[Digitale zorgtoepassing]),0))</f>
        <v>2067879.0300515459</v>
      </c>
      <c r="P514" s="398" cm="1">
        <f t="array" ref="P514">J514*INDEX(Berekening_impact[Opbrengsten door QALY''s],MATCH(B514,IF(Berekening_impact[Doelgroep]=C514,Berekening_impact[Digitale zorgtoepassing]),0))</f>
        <v>0</v>
      </c>
      <c r="Q514" s="398" cm="1">
        <f t="array" ref="Q514">J514*INDEX(Berekening_impact[Jaarlijkse kosten (totaal) - incl. schatting],MATCH(B514,IF(Berekening_impact[Doelgroep]=C514,Berekening_impact[Digitale zorgtoepassing]),0))</f>
        <v>2091948.6963409437</v>
      </c>
      <c r="R514" s="398" cm="1">
        <f t="array" ref="R514">(uitkomst_doelgroep[[#This Row],[Implementatiegraad t = T + 1]]-uitkomst_doelgroep[[#This Row],[Implementatiegraad t = T]])*INDEX(Berekening_impact[Initiële investering (totaal) - incl. schatting],MATCH(B514,IF(Berekening_impact[Doelgroep]=C514,Berekening_impact[Digitale zorgtoepassing]),0))</f>
        <v>0</v>
      </c>
      <c r="S514" s="398">
        <f>uitkomst_doelgroep[[#This Row],[Arbeidsbesparing (€)]]*uitkomst_doelgroep[[#This Row],[Percentage van patiëntaantallen in Wlz (overige is Zvw)]]</f>
        <v>0</v>
      </c>
      <c r="T514" s="398">
        <f>uitkomst_doelgroep[[#This Row],[Overige besparingen (€)]]*uitkomst_doelgroep[[#This Row],[Percentage van patiëntaantallen in Wlz (overige is Zvw)]]</f>
        <v>0</v>
      </c>
      <c r="U514" s="398">
        <f>uitkomst_doelgroep[[#This Row],[Kosten (€)]]*uitkomst_doelgroep[[#This Row],[Percentage van patiëntaantallen in Wlz (overige is Zvw)]]</f>
        <v>0</v>
      </c>
      <c r="V514" s="398">
        <f>uitkomst_doelgroep[[#This Row],[Investering (cash flow) (€)]]*uitkomst_doelgroep[[#This Row],[Percentage van patiëntaantallen in Wlz (overige is Zvw)]]</f>
        <v>0</v>
      </c>
    </row>
    <row r="515" spans="1:22" x14ac:dyDescent="0.5">
      <c r="A515" s="33" t="str">
        <f>INDEX(Technologieën[Veld],MATCH(B515,Technologieën[Digitale zorgtoepassing],0))</f>
        <v>Sensoren - Verpleging</v>
      </c>
      <c r="B515" s="33" t="s">
        <v>61</v>
      </c>
      <c r="C515" s="33" t="s">
        <v>62</v>
      </c>
      <c r="D515" s="427" cm="1">
        <f t="array" ref="D515">INDEX(Berekening_patiëntaantal[Percentage van patiëntaantallen in Wlz (overige is Zvw)],MATCH(B515,IF(Berekening_patiëntaantal[Doelgroep (zoeksleutel)]=C515,Berekening_patiëntaantal[Digitale zorgtoepassing]),0))</f>
        <v>1</v>
      </c>
      <c r="E515" s="33" t="str" cm="1">
        <f t="array" ref="E515">INDEX(Berekening_patiëntaantal[Direct toepasbaar/extrapolatie/incidentie voor QALY],MATCH(B515,IF(Berekening_patiëntaantal[Doelgroep (zoeksleutel)]=C515,Berekening_patiëntaantal[Digitale zorgtoepassing]),0))</f>
        <v>Huidige toepassing</v>
      </c>
      <c r="F515" s="43" t="s">
        <v>812</v>
      </c>
      <c r="G515" s="33" t="str">
        <f>CONCATENATE(uitkomst_doelgroep[[#This Row],[Digitale zorgtoepassing]],"_",uitkomst_doelgroep[[#This Row],[Doelgroep]],"_",uitkomst_doelgroep[[#This Row],[Uitgangssituatie/effect beleid]])</f>
        <v>Slimme bedsensoren_Bewoners verzorgingshuis_Effect beleid</v>
      </c>
      <c r="H515" s="33">
        <v>2030</v>
      </c>
      <c r="I515" s="32">
        <v>8</v>
      </c>
      <c r="J515" s="406" cm="1">
        <f t="array" ref="J515">INDEX(implementatie[[2023]:[2034]],MATCH(G515, implementatie[Zoeksleutel],0),I515)</f>
        <v>0.95076893399505846</v>
      </c>
      <c r="K515" s="406" cm="1">
        <f t="array" ref="K515">INDEX(implementatie[[2023]:[2034]],MATCH(G515,implementatie[Zoeksleutel],0),I515 + 1)</f>
        <v>0.97047650257314066</v>
      </c>
      <c r="L51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89657.510475734016</v>
      </c>
      <c r="M515" s="398" cm="1">
        <f t="array" ref="M515">J515*INDEX(Berekening_impact[Totaal arbeidsbesparing (€/jaar)],MATCH(B515,IF(Berekening_impact[Doelgroep]=C515,Berekening_impact[Digitale zorgtoepassing]),0))</f>
        <v>47622896.455333598</v>
      </c>
      <c r="N515" s="397" cm="1">
        <f t="array" ref="N515">J515*INDEX(Berekening_impact[Totaal arbeidsbesparing (FTE/jaar)],MATCH(B515,IF(Berekening_impact[Doelgroep]=C515,Berekening_impact[Digitale zorgtoepassing]),0))</f>
        <v>1121.7498355530902</v>
      </c>
      <c r="O515" s="398" cm="1">
        <f t="array" ref="O515">J515*INDEX(Berekening_impact[Overige kostenbesparing (totaal/jaar totaal potentieel)],MATCH(B515,IF(Berekening_impact[Doelgroep]=C515,Berekening_impact[Digitale zorgtoepassing]),0))</f>
        <v>41833571.607951447</v>
      </c>
      <c r="P515" s="398" cm="1">
        <f t="array" ref="P515">J515*INDEX(Berekening_impact[Opbrengsten door QALY''s],MATCH(B515,IF(Berekening_impact[Doelgroep]=C515,Berekening_impact[Digitale zorgtoepassing]),0))</f>
        <v>0</v>
      </c>
      <c r="Q515" s="398" cm="1">
        <f t="array" ref="Q515">J515*INDEX(Berekening_impact[Jaarlijkse kosten (totaal) - incl. schatting],MATCH(B515,IF(Berekening_impact[Doelgroep]=C515,Berekening_impact[Digitale zorgtoepassing]),0))</f>
        <v>42320505.366485633</v>
      </c>
      <c r="R515" s="398" cm="1">
        <f t="array" ref="R515">(uitkomst_doelgroep[[#This Row],[Implementatiegraad t = T + 1]]-uitkomst_doelgroep[[#This Row],[Implementatiegraad t = T]])*INDEX(Berekening_impact[Initiële investering (totaal) - incl. schatting],MATCH(B515,IF(Berekening_impact[Doelgroep]=C515,Berekening_impact[Digitale zorgtoepassing]),0))</f>
        <v>63355.891464818655</v>
      </c>
      <c r="S515" s="398">
        <f>uitkomst_doelgroep[[#This Row],[Arbeidsbesparing (€)]]*uitkomst_doelgroep[[#This Row],[Percentage van patiëntaantallen in Wlz (overige is Zvw)]]</f>
        <v>47622896.455333598</v>
      </c>
      <c r="T515" s="398">
        <f>uitkomst_doelgroep[[#This Row],[Overige besparingen (€)]]*uitkomst_doelgroep[[#This Row],[Percentage van patiëntaantallen in Wlz (overige is Zvw)]]</f>
        <v>41833571.607951447</v>
      </c>
      <c r="U515" s="398">
        <f>uitkomst_doelgroep[[#This Row],[Kosten (€)]]*uitkomst_doelgroep[[#This Row],[Percentage van patiëntaantallen in Wlz (overige is Zvw)]]</f>
        <v>42320505.366485633</v>
      </c>
      <c r="V515" s="398">
        <f>uitkomst_doelgroep[[#This Row],[Investering (cash flow) (€)]]*uitkomst_doelgroep[[#This Row],[Percentage van patiëntaantallen in Wlz (overige is Zvw)]]</f>
        <v>63355.891464818655</v>
      </c>
    </row>
    <row r="516" spans="1:22" x14ac:dyDescent="0.5">
      <c r="A516" s="33" t="str">
        <f>INDEX(Technologieën[Veld],MATCH(B516,Technologieën[Digitale zorgtoepassing],0))</f>
        <v>Sensoren - Verpleging</v>
      </c>
      <c r="B516" s="33" t="s">
        <v>61</v>
      </c>
      <c r="C516" s="33" t="s">
        <v>385</v>
      </c>
      <c r="D516" s="427" cm="1">
        <f t="array" ref="D516">INDEX(Berekening_patiëntaantal[Percentage van patiëntaantallen in Wlz (overige is Zvw)],MATCH(B516,IF(Berekening_patiëntaantal[Doelgroep (zoeksleutel)]=C516,Berekening_patiëntaantal[Digitale zorgtoepassing]),0))</f>
        <v>0</v>
      </c>
      <c r="E516" s="33" t="str" cm="1">
        <f t="array" ref="E516">INDEX(Berekening_patiëntaantal[Direct toepasbaar/extrapolatie/incidentie voor QALY],MATCH(B516,IF(Berekening_patiëntaantal[Doelgroep (zoeksleutel)]=C516,Berekening_patiëntaantal[Digitale zorgtoepassing]),0))</f>
        <v>Extrapolatie</v>
      </c>
      <c r="F516" s="43" t="s">
        <v>812</v>
      </c>
      <c r="G516" s="33" t="str">
        <f>CONCATENATE(uitkomst_doelgroep[[#This Row],[Digitale zorgtoepassing]],"_",uitkomst_doelgroep[[#This Row],[Doelgroep]],"_",uitkomst_doelgroep[[#This Row],[Uitgangssituatie/effect beleid]])</f>
        <v>Slimme bedsensoren_Epilepsie Kinderen_Effect beleid</v>
      </c>
      <c r="H516" s="33">
        <v>2031</v>
      </c>
      <c r="I516" s="32">
        <v>9</v>
      </c>
      <c r="J516" s="406" cm="1">
        <f t="array" ref="J516">INDEX(implementatie[[2023]:[2034]],MATCH(G516, implementatie[Zoeksleutel],0),I516)</f>
        <v>0.37155887512870744</v>
      </c>
      <c r="K516" s="406" cm="1">
        <f t="array" ref="K516">INDEX(implementatie[[2023]:[2034]],MATCH(G516,implementatie[Zoeksleutel],0),I516 + 1)</f>
        <v>0.47752884860285211</v>
      </c>
      <c r="L51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5944.9420020593188</v>
      </c>
      <c r="M516" s="398" cm="1">
        <f t="array" ref="M516">J516*INDEX(Berekening_impact[Totaal arbeidsbesparing (€/jaar)],MATCH(B516,IF(Berekening_impact[Doelgroep]=C516,Berekening_impact[Digitale zorgtoepassing]),0))</f>
        <v>3157742.7913711728</v>
      </c>
      <c r="N516" s="397" cm="1">
        <f t="array" ref="N516">J516*INDEX(Berekening_impact[Totaal arbeidsbesparing (FTE/jaar)],MATCH(B516,IF(Berekening_impact[Doelgroep]=C516,Berekening_impact[Digitale zorgtoepassing]),0))</f>
        <v>74.380134779535354</v>
      </c>
      <c r="O516" s="398" cm="1">
        <f t="array" ref="O516">J516*INDEX(Berekening_impact[Overige kostenbesparing (totaal/jaar totaal potentieel)],MATCH(B516,IF(Berekening_impact[Doelgroep]=C516,Berekening_impact[Digitale zorgtoepassing]),0))</f>
        <v>2773868.6433366612</v>
      </c>
      <c r="P516" s="398" cm="1">
        <f t="array" ref="P516">J516*INDEX(Berekening_impact[Opbrengsten door QALY''s],MATCH(B516,IF(Berekening_impact[Doelgroep]=C516,Berekening_impact[Digitale zorgtoepassing]),0))</f>
        <v>0</v>
      </c>
      <c r="Q516" s="398" cm="1">
        <f t="array" ref="Q516">J516*INDEX(Berekening_impact[Jaarlijkse kosten (totaal) - incl. schatting],MATCH(B516,IF(Berekening_impact[Doelgroep]=C516,Berekening_impact[Digitale zorgtoepassing]),0))</f>
        <v>2806155.8765865061</v>
      </c>
      <c r="R516" s="398" cm="1">
        <f t="array" ref="R516">(uitkomst_doelgroep[[#This Row],[Implementatiegraad t = T + 1]]-uitkomst_doelgroep[[#This Row],[Implementatiegraad t = T]])*INDEX(Berekening_impact[Initiële investering (totaal) - incl. schatting],MATCH(B516,IF(Berekening_impact[Doelgroep]=C516,Berekening_impact[Digitale zorgtoepassing]),0))</f>
        <v>0</v>
      </c>
      <c r="S516" s="398">
        <f>uitkomst_doelgroep[[#This Row],[Arbeidsbesparing (€)]]*uitkomst_doelgroep[[#This Row],[Percentage van patiëntaantallen in Wlz (overige is Zvw)]]</f>
        <v>0</v>
      </c>
      <c r="T516" s="398">
        <f>uitkomst_doelgroep[[#This Row],[Overige besparingen (€)]]*uitkomst_doelgroep[[#This Row],[Percentage van patiëntaantallen in Wlz (overige is Zvw)]]</f>
        <v>0</v>
      </c>
      <c r="U516" s="398">
        <f>uitkomst_doelgroep[[#This Row],[Kosten (€)]]*uitkomst_doelgroep[[#This Row],[Percentage van patiëntaantallen in Wlz (overige is Zvw)]]</f>
        <v>0</v>
      </c>
      <c r="V516" s="398">
        <f>uitkomst_doelgroep[[#This Row],[Investering (cash flow) (€)]]*uitkomst_doelgroep[[#This Row],[Percentage van patiëntaantallen in Wlz (overige is Zvw)]]</f>
        <v>0</v>
      </c>
    </row>
    <row r="517" spans="1:22" x14ac:dyDescent="0.5">
      <c r="A517" s="33" t="str">
        <f>INDEX(Technologieën[Veld],MATCH(B517,Technologieën[Digitale zorgtoepassing],0))</f>
        <v>Sensoren - Verpleging</v>
      </c>
      <c r="B517" s="33" t="s">
        <v>61</v>
      </c>
      <c r="C517" s="33" t="s">
        <v>62</v>
      </c>
      <c r="D517" s="427" cm="1">
        <f t="array" ref="D517">INDEX(Berekening_patiëntaantal[Percentage van patiëntaantallen in Wlz (overige is Zvw)],MATCH(B517,IF(Berekening_patiëntaantal[Doelgroep (zoeksleutel)]=C517,Berekening_patiëntaantal[Digitale zorgtoepassing]),0))</f>
        <v>1</v>
      </c>
      <c r="E517" s="33" t="str" cm="1">
        <f t="array" ref="E517">INDEX(Berekening_patiëntaantal[Direct toepasbaar/extrapolatie/incidentie voor QALY],MATCH(B517,IF(Berekening_patiëntaantal[Doelgroep (zoeksleutel)]=C517,Berekening_patiëntaantal[Digitale zorgtoepassing]),0))</f>
        <v>Huidige toepassing</v>
      </c>
      <c r="F517" s="43" t="s">
        <v>812</v>
      </c>
      <c r="G517" s="33" t="str">
        <f>CONCATENATE(uitkomst_doelgroep[[#This Row],[Digitale zorgtoepassing]],"_",uitkomst_doelgroep[[#This Row],[Doelgroep]],"_",uitkomst_doelgroep[[#This Row],[Uitgangssituatie/effect beleid]])</f>
        <v>Slimme bedsensoren_Bewoners verzorgingshuis_Effect beleid</v>
      </c>
      <c r="H517" s="33">
        <v>2031</v>
      </c>
      <c r="I517" s="32">
        <v>9</v>
      </c>
      <c r="J517" s="406" cm="1">
        <f t="array" ref="J517">INDEX(implementatie[[2023]:[2034]],MATCH(G517, implementatie[Zoeksleutel],0),I517)</f>
        <v>0.97047650257314066</v>
      </c>
      <c r="K517" s="406" cm="1">
        <f t="array" ref="K517">INDEX(implementatie[[2023]:[2034]],MATCH(G517,implementatie[Zoeksleutel],0),I517 + 1)</f>
        <v>0.98252771673229611</v>
      </c>
      <c r="L51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91515.934192647168</v>
      </c>
      <c r="M517" s="398" cm="1">
        <f t="array" ref="M517">J517*INDEX(Berekening_impact[Totaal arbeidsbesparing (€/jaar)],MATCH(B517,IF(Berekening_impact[Doelgroep]=C517,Berekening_impact[Digitale zorgtoepassing]),0))</f>
        <v>48610025.361446202</v>
      </c>
      <c r="N517" s="397" cm="1">
        <f t="array" ref="N517">J517*INDEX(Berekening_impact[Totaal arbeidsbesparing (FTE/jaar)],MATCH(B517,IF(Berekening_impact[Doelgroep]=C517,Berekening_impact[Digitale zorgtoepassing]),0))</f>
        <v>1145.0015016742402</v>
      </c>
      <c r="O517" s="398" cm="1">
        <f t="array" ref="O517">J517*INDEX(Berekening_impact[Overige kostenbesparing (totaal/jaar totaal potentieel)],MATCH(B517,IF(Berekening_impact[Doelgroep]=C517,Berekening_impact[Digitale zorgtoepassing]),0))</f>
        <v>42700699.205259018</v>
      </c>
      <c r="P517" s="398" cm="1">
        <f t="array" ref="P517">J517*INDEX(Berekening_impact[Opbrengsten door QALY''s],MATCH(B517,IF(Berekening_impact[Doelgroep]=C517,Berekening_impact[Digitale zorgtoepassing]),0))</f>
        <v>0</v>
      </c>
      <c r="Q517" s="398" cm="1">
        <f t="array" ref="Q517">J517*INDEX(Berekening_impact[Jaarlijkse kosten (totaal) - incl. schatting],MATCH(B517,IF(Berekening_impact[Doelgroep]=C517,Berekening_impact[Digitale zorgtoepassing]),0))</f>
        <v>43197726.142163023</v>
      </c>
      <c r="R517" s="398" cm="1">
        <f t="array" ref="R517">(uitkomst_doelgroep[[#This Row],[Implementatiegraad t = T + 1]]-uitkomst_doelgroep[[#This Row],[Implementatiegraad t = T]])*INDEX(Berekening_impact[Initiële investering (totaal) - incl. schatting],MATCH(B517,IF(Berekening_impact[Doelgroep]=C517,Berekening_impact[Digitale zorgtoepassing]),0))</f>
        <v>38742.243278852911</v>
      </c>
      <c r="S517" s="398">
        <f>uitkomst_doelgroep[[#This Row],[Arbeidsbesparing (€)]]*uitkomst_doelgroep[[#This Row],[Percentage van patiëntaantallen in Wlz (overige is Zvw)]]</f>
        <v>48610025.361446202</v>
      </c>
      <c r="T517" s="398">
        <f>uitkomst_doelgroep[[#This Row],[Overige besparingen (€)]]*uitkomst_doelgroep[[#This Row],[Percentage van patiëntaantallen in Wlz (overige is Zvw)]]</f>
        <v>42700699.205259018</v>
      </c>
      <c r="U517" s="398">
        <f>uitkomst_doelgroep[[#This Row],[Kosten (€)]]*uitkomst_doelgroep[[#This Row],[Percentage van patiëntaantallen in Wlz (overige is Zvw)]]</f>
        <v>43197726.142163023</v>
      </c>
      <c r="V517" s="398">
        <f>uitkomst_doelgroep[[#This Row],[Investering (cash flow) (€)]]*uitkomst_doelgroep[[#This Row],[Percentage van patiëntaantallen in Wlz (overige is Zvw)]]</f>
        <v>38742.243278852911</v>
      </c>
    </row>
    <row r="518" spans="1:22" x14ac:dyDescent="0.5">
      <c r="A518" s="33" t="str">
        <f>INDEX(Technologieën[Veld],MATCH(B518,Technologieën[Digitale zorgtoepassing],0))</f>
        <v>Sensoren - Verpleging</v>
      </c>
      <c r="B518" s="33" t="s">
        <v>61</v>
      </c>
      <c r="C518" s="33" t="s">
        <v>385</v>
      </c>
      <c r="D518" s="427" cm="1">
        <f t="array" ref="D518">INDEX(Berekening_patiëntaantal[Percentage van patiëntaantallen in Wlz (overige is Zvw)],MATCH(B518,IF(Berekening_patiëntaantal[Doelgroep (zoeksleutel)]=C518,Berekening_patiëntaantal[Digitale zorgtoepassing]),0))</f>
        <v>0</v>
      </c>
      <c r="E518" s="33" t="str" cm="1">
        <f t="array" ref="E518">INDEX(Berekening_patiëntaantal[Direct toepasbaar/extrapolatie/incidentie voor QALY],MATCH(B518,IF(Berekening_patiëntaantal[Doelgroep (zoeksleutel)]=C518,Berekening_patiëntaantal[Digitale zorgtoepassing]),0))</f>
        <v>Extrapolatie</v>
      </c>
      <c r="F518" s="43" t="s">
        <v>812</v>
      </c>
      <c r="G518" s="33" t="str">
        <f>CONCATENATE(uitkomst_doelgroep[[#This Row],[Digitale zorgtoepassing]],"_",uitkomst_doelgroep[[#This Row],[Doelgroep]],"_",uitkomst_doelgroep[[#This Row],[Uitgangssituatie/effect beleid]])</f>
        <v>Slimme bedsensoren_Epilepsie Kinderen_Effect beleid</v>
      </c>
      <c r="H518" s="33">
        <v>2032</v>
      </c>
      <c r="I518" s="32">
        <v>10</v>
      </c>
      <c r="J518" s="406" cm="1">
        <f t="array" ref="J518">INDEX(implementatie[[2023]:[2034]],MATCH(G518, implementatie[Zoeksleutel],0),I518)</f>
        <v>0.47752884860285211</v>
      </c>
      <c r="K518" s="406" cm="1">
        <f t="array" ref="K518">INDEX(implementatie[[2023]:[2034]],MATCH(G518,implementatie[Zoeksleutel],0),I518 + 1)</f>
        <v>0.5877762905727496</v>
      </c>
      <c r="L51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7640.461577645634</v>
      </c>
      <c r="M518" s="398" cm="1">
        <f t="array" ref="M518">J518*INDEX(Berekening_impact[Totaal arbeidsbesparing (€/jaar)],MATCH(B518,IF(Berekening_impact[Doelgroep]=C518,Berekening_impact[Digitale zorgtoepassing]),0))</f>
        <v>4058342.7830248801</v>
      </c>
      <c r="N518" s="397" cm="1">
        <f t="array" ref="N518">J518*INDEX(Berekening_impact[Totaal arbeidsbesparing (FTE/jaar)],MATCH(B518,IF(Berekening_impact[Doelgroep]=C518,Berekening_impact[Digitale zorgtoepassing]),0))</f>
        <v>95.59362593046086</v>
      </c>
      <c r="O518" s="398" cm="1">
        <f t="array" ref="O518">J518*INDEX(Berekening_impact[Overige kostenbesparing (totaal/jaar totaal potentieel)],MATCH(B518,IF(Berekening_impact[Doelgroep]=C518,Berekening_impact[Digitale zorgtoepassing]),0))</f>
        <v>3564986.2998677422</v>
      </c>
      <c r="P518" s="398" cm="1">
        <f t="array" ref="P518">J518*INDEX(Berekening_impact[Opbrengsten door QALY''s],MATCH(B518,IF(Berekening_impact[Doelgroep]=C518,Berekening_impact[Digitale zorgtoepassing]),0))</f>
        <v>0</v>
      </c>
      <c r="Q518" s="398" cm="1">
        <f t="array" ref="Q518">J518*INDEX(Berekening_impact[Jaarlijkse kosten (totaal) - incl. schatting],MATCH(B518,IF(Berekening_impact[Doelgroep]=C518,Berekening_impact[Digitale zorgtoepassing]),0))</f>
        <v>3606481.9721566346</v>
      </c>
      <c r="R518" s="398" cm="1">
        <f t="array" ref="R518">(uitkomst_doelgroep[[#This Row],[Implementatiegraad t = T + 1]]-uitkomst_doelgroep[[#This Row],[Implementatiegraad t = T]])*INDEX(Berekening_impact[Initiële investering (totaal) - incl. schatting],MATCH(B518,IF(Berekening_impact[Doelgroep]=C518,Berekening_impact[Digitale zorgtoepassing]),0))</f>
        <v>0</v>
      </c>
      <c r="S518" s="398">
        <f>uitkomst_doelgroep[[#This Row],[Arbeidsbesparing (€)]]*uitkomst_doelgroep[[#This Row],[Percentage van patiëntaantallen in Wlz (overige is Zvw)]]</f>
        <v>0</v>
      </c>
      <c r="T518" s="398">
        <f>uitkomst_doelgroep[[#This Row],[Overige besparingen (€)]]*uitkomst_doelgroep[[#This Row],[Percentage van patiëntaantallen in Wlz (overige is Zvw)]]</f>
        <v>0</v>
      </c>
      <c r="U518" s="398">
        <f>uitkomst_doelgroep[[#This Row],[Kosten (€)]]*uitkomst_doelgroep[[#This Row],[Percentage van patiëntaantallen in Wlz (overige is Zvw)]]</f>
        <v>0</v>
      </c>
      <c r="V518" s="398">
        <f>uitkomst_doelgroep[[#This Row],[Investering (cash flow) (€)]]*uitkomst_doelgroep[[#This Row],[Percentage van patiëntaantallen in Wlz (overige is Zvw)]]</f>
        <v>0</v>
      </c>
    </row>
    <row r="519" spans="1:22" x14ac:dyDescent="0.5">
      <c r="A519" s="33" t="str">
        <f>INDEX(Technologieën[Veld],MATCH(B519,Technologieën[Digitale zorgtoepassing],0))</f>
        <v>Sensoren - Verpleging</v>
      </c>
      <c r="B519" s="33" t="s">
        <v>61</v>
      </c>
      <c r="C519" s="33" t="s">
        <v>62</v>
      </c>
      <c r="D519" s="427" cm="1">
        <f t="array" ref="D519">INDEX(Berekening_patiëntaantal[Percentage van patiëntaantallen in Wlz (overige is Zvw)],MATCH(B519,IF(Berekening_patiëntaantal[Doelgroep (zoeksleutel)]=C519,Berekening_patiëntaantal[Digitale zorgtoepassing]),0))</f>
        <v>1</v>
      </c>
      <c r="E519" s="33" t="str" cm="1">
        <f t="array" ref="E519">INDEX(Berekening_patiëntaantal[Direct toepasbaar/extrapolatie/incidentie voor QALY],MATCH(B519,IF(Berekening_patiëntaantal[Doelgroep (zoeksleutel)]=C519,Berekening_patiëntaantal[Digitale zorgtoepassing]),0))</f>
        <v>Huidige toepassing</v>
      </c>
      <c r="F519" s="43" t="s">
        <v>812</v>
      </c>
      <c r="G519" s="33" t="str">
        <f>CONCATENATE(uitkomst_doelgroep[[#This Row],[Digitale zorgtoepassing]],"_",uitkomst_doelgroep[[#This Row],[Doelgroep]],"_",uitkomst_doelgroep[[#This Row],[Uitgangssituatie/effect beleid]])</f>
        <v>Slimme bedsensoren_Bewoners verzorgingshuis_Effect beleid</v>
      </c>
      <c r="H519" s="33">
        <v>2032</v>
      </c>
      <c r="I519" s="32">
        <v>10</v>
      </c>
      <c r="J519" s="406" cm="1">
        <f t="array" ref="J519">INDEX(implementatie[[2023]:[2034]],MATCH(G519, implementatie[Zoeksleutel],0),I519)</f>
        <v>0.98252771673229611</v>
      </c>
      <c r="K519" s="406" cm="1">
        <f t="array" ref="K519">INDEX(implementatie[[2023]:[2034]],MATCH(G519,implementatie[Zoeksleutel],0),I519 + 1)</f>
        <v>0.98974396343169702</v>
      </c>
      <c r="L51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92652.363687855526</v>
      </c>
      <c r="M519" s="398" cm="1">
        <f t="array" ref="M519">J519*INDEX(Berekening_impact[Totaal arbeidsbesparing (€/jaar)],MATCH(B519,IF(Berekening_impact[Doelgroep]=C519,Berekening_impact[Digitale zorgtoepassing]),0))</f>
        <v>49213656.489412248</v>
      </c>
      <c r="N519" s="397" cm="1">
        <f t="array" ref="N519">J519*INDEX(Berekening_impact[Totaal arbeidsbesparing (FTE/jaar)],MATCH(B519,IF(Berekening_impact[Doelgroep]=C519,Berekening_impact[Digitale zorgtoepassing]),0))</f>
        <v>1159.2199379502808</v>
      </c>
      <c r="O519" s="398" cm="1">
        <f t="array" ref="O519">J519*INDEX(Berekening_impact[Overige kostenbesparing (totaal/jaar totaal potentieel)],MATCH(B519,IF(Berekening_impact[Doelgroep]=C519,Berekening_impact[Digitale zorgtoepassing]),0))</f>
        <v>43230949.313843668</v>
      </c>
      <c r="P519" s="398" cm="1">
        <f t="array" ref="P519">J519*INDEX(Berekening_impact[Opbrengsten door QALY''s],MATCH(B519,IF(Berekening_impact[Doelgroep]=C519,Berekening_impact[Digitale zorgtoepassing]),0))</f>
        <v>0</v>
      </c>
      <c r="Q519" s="398" cm="1">
        <f t="array" ref="Q519">J519*INDEX(Berekening_impact[Jaarlijkse kosten (totaal) - incl. schatting],MATCH(B519,IF(Berekening_impact[Doelgroep]=C519,Berekening_impact[Digitale zorgtoepassing]),0))</f>
        <v>43734148.247744627</v>
      </c>
      <c r="R519" s="398" cm="1">
        <f t="array" ref="R519">(uitkomst_doelgroep[[#This Row],[Implementatiegraad t = T + 1]]-uitkomst_doelgroep[[#This Row],[Implementatiegraad t = T]])*INDEX(Berekening_impact[Initiële investering (totaal) - incl. schatting],MATCH(B519,IF(Berekening_impact[Doelgroep]=C519,Berekening_impact[Digitale zorgtoepassing]),0))</f>
        <v>23198.789889234034</v>
      </c>
      <c r="S519" s="398">
        <f>uitkomst_doelgroep[[#This Row],[Arbeidsbesparing (€)]]*uitkomst_doelgroep[[#This Row],[Percentage van patiëntaantallen in Wlz (overige is Zvw)]]</f>
        <v>49213656.489412248</v>
      </c>
      <c r="T519" s="398">
        <f>uitkomst_doelgroep[[#This Row],[Overige besparingen (€)]]*uitkomst_doelgroep[[#This Row],[Percentage van patiëntaantallen in Wlz (overige is Zvw)]]</f>
        <v>43230949.313843668</v>
      </c>
      <c r="U519" s="398">
        <f>uitkomst_doelgroep[[#This Row],[Kosten (€)]]*uitkomst_doelgroep[[#This Row],[Percentage van patiëntaantallen in Wlz (overige is Zvw)]]</f>
        <v>43734148.247744627</v>
      </c>
      <c r="V519" s="398">
        <f>uitkomst_doelgroep[[#This Row],[Investering (cash flow) (€)]]*uitkomst_doelgroep[[#This Row],[Percentage van patiëntaantallen in Wlz (overige is Zvw)]]</f>
        <v>23198.789889234034</v>
      </c>
    </row>
    <row r="520" spans="1:22" x14ac:dyDescent="0.5">
      <c r="A520" s="33" t="str">
        <f>INDEX(Technologieën[Veld],MATCH(B520,Technologieën[Digitale zorgtoepassing],0))</f>
        <v>Sensoren - Verpleging</v>
      </c>
      <c r="B520" s="33" t="s">
        <v>61</v>
      </c>
      <c r="C520" s="33" t="s">
        <v>385</v>
      </c>
      <c r="D520" s="427" cm="1">
        <f t="array" ref="D520">INDEX(Berekening_patiëntaantal[Percentage van patiëntaantallen in Wlz (overige is Zvw)],MATCH(B520,IF(Berekening_patiëntaantal[Doelgroep (zoeksleutel)]=C520,Berekening_patiëntaantal[Digitale zorgtoepassing]),0))</f>
        <v>0</v>
      </c>
      <c r="E520" s="33" t="str" cm="1">
        <f t="array" ref="E520">INDEX(Berekening_patiëntaantal[Direct toepasbaar/extrapolatie/incidentie voor QALY],MATCH(B520,IF(Berekening_patiëntaantal[Doelgroep (zoeksleutel)]=C520,Berekening_patiëntaantal[Digitale zorgtoepassing]),0))</f>
        <v>Extrapolatie</v>
      </c>
      <c r="F520" s="43" t="s">
        <v>812</v>
      </c>
      <c r="G520" s="33" t="str">
        <f>CONCATENATE(uitkomst_doelgroep[[#This Row],[Digitale zorgtoepassing]],"_",uitkomst_doelgroep[[#This Row],[Doelgroep]],"_",uitkomst_doelgroep[[#This Row],[Uitgangssituatie/effect beleid]])</f>
        <v>Slimme bedsensoren_Epilepsie Kinderen_Effect beleid</v>
      </c>
      <c r="H520" s="33">
        <v>2033</v>
      </c>
      <c r="I520" s="32">
        <v>11</v>
      </c>
      <c r="J520" s="406" cm="1">
        <f t="array" ref="J520">INDEX(implementatie[[2023]:[2034]],MATCH(G520, implementatie[Zoeksleutel],0),I520)</f>
        <v>0.5877762905727496</v>
      </c>
      <c r="K520" s="406" cm="1">
        <f t="array" ref="K520">INDEX(implementatie[[2023]:[2034]],MATCH(G520,implementatie[Zoeksleutel],0),I520 + 1)</f>
        <v>0.6929388938866099</v>
      </c>
      <c r="L52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9404.4206491639943</v>
      </c>
      <c r="M520" s="398" cm="1">
        <f t="array" ref="M520">J520*INDEX(Berekening_impact[Totaal arbeidsbesparing (€/jaar)],MATCH(B520,IF(Berekening_impact[Doelgroep]=C520,Berekening_impact[Digitale zorgtoepassing]),0))</f>
        <v>4995295.412744632</v>
      </c>
      <c r="N520" s="397" cm="1">
        <f t="array" ref="N520">J520*INDEX(Berekening_impact[Totaal arbeidsbesparing (FTE/jaar)],MATCH(B520,IF(Berekening_impact[Doelgroep]=C520,Berekening_impact[Digitale zorgtoepassing]),0))</f>
        <v>117.66339775324246</v>
      </c>
      <c r="O520" s="398" cm="1">
        <f t="array" ref="O520">J520*INDEX(Berekening_impact[Overige kostenbesparing (totaal/jaar totaal potentieel)],MATCH(B520,IF(Berekening_impact[Doelgroep]=C520,Berekening_impact[Digitale zorgtoepassing]),0))</f>
        <v>4388037.349805505</v>
      </c>
      <c r="P520" s="398" cm="1">
        <f t="array" ref="P520">J520*INDEX(Berekening_impact[Opbrengsten door QALY''s],MATCH(B520,IF(Berekening_impact[Doelgroep]=C520,Berekening_impact[Digitale zorgtoepassing]),0))</f>
        <v>0</v>
      </c>
      <c r="Q520" s="398" cm="1">
        <f t="array" ref="Q520">J520*INDEX(Berekening_impact[Jaarlijkse kosten (totaal) - incl. schatting],MATCH(B520,IF(Berekening_impact[Doelgroep]=C520,Berekening_impact[Digitale zorgtoepassing]),0))</f>
        <v>4439113.1589511679</v>
      </c>
      <c r="R520" s="398" cm="1">
        <f t="array" ref="R520">(uitkomst_doelgroep[[#This Row],[Implementatiegraad t = T + 1]]-uitkomst_doelgroep[[#This Row],[Implementatiegraad t = T]])*INDEX(Berekening_impact[Initiële investering (totaal) - incl. schatting],MATCH(B520,IF(Berekening_impact[Doelgroep]=C520,Berekening_impact[Digitale zorgtoepassing]),0))</f>
        <v>0</v>
      </c>
      <c r="S520" s="398">
        <f>uitkomst_doelgroep[[#This Row],[Arbeidsbesparing (€)]]*uitkomst_doelgroep[[#This Row],[Percentage van patiëntaantallen in Wlz (overige is Zvw)]]</f>
        <v>0</v>
      </c>
      <c r="T520" s="398">
        <f>uitkomst_doelgroep[[#This Row],[Overige besparingen (€)]]*uitkomst_doelgroep[[#This Row],[Percentage van patiëntaantallen in Wlz (overige is Zvw)]]</f>
        <v>0</v>
      </c>
      <c r="U520" s="398">
        <f>uitkomst_doelgroep[[#This Row],[Kosten (€)]]*uitkomst_doelgroep[[#This Row],[Percentage van patiëntaantallen in Wlz (overige is Zvw)]]</f>
        <v>0</v>
      </c>
      <c r="V520" s="398">
        <f>uitkomst_doelgroep[[#This Row],[Investering (cash flow) (€)]]*uitkomst_doelgroep[[#This Row],[Percentage van patiëntaantallen in Wlz (overige is Zvw)]]</f>
        <v>0</v>
      </c>
    </row>
    <row r="521" spans="1:22" x14ac:dyDescent="0.5">
      <c r="A521" s="33" t="str">
        <f>INDEX(Technologieën[Veld],MATCH(B521,Technologieën[Digitale zorgtoepassing],0))</f>
        <v>Sensoren - Verpleging</v>
      </c>
      <c r="B521" s="33" t="s">
        <v>61</v>
      </c>
      <c r="C521" s="33" t="s">
        <v>62</v>
      </c>
      <c r="D521" s="427" cm="1">
        <f t="array" ref="D521">INDEX(Berekening_patiëntaantal[Percentage van patiëntaantallen in Wlz (overige is Zvw)],MATCH(B521,IF(Berekening_patiëntaantal[Doelgroep (zoeksleutel)]=C521,Berekening_patiëntaantal[Digitale zorgtoepassing]),0))</f>
        <v>1</v>
      </c>
      <c r="E521" s="33" t="str" cm="1">
        <f t="array" ref="E521">INDEX(Berekening_patiëntaantal[Direct toepasbaar/extrapolatie/incidentie voor QALY],MATCH(B521,IF(Berekening_patiëntaantal[Doelgroep (zoeksleutel)]=C521,Berekening_patiëntaantal[Digitale zorgtoepassing]),0))</f>
        <v>Huidige toepassing</v>
      </c>
      <c r="F521" s="43" t="s">
        <v>812</v>
      </c>
      <c r="G521" s="33" t="str">
        <f>CONCATENATE(uitkomst_doelgroep[[#This Row],[Digitale zorgtoepassing]],"_",uitkomst_doelgroep[[#This Row],[Doelgroep]],"_",uitkomst_doelgroep[[#This Row],[Uitgangssituatie/effect beleid]])</f>
        <v>Slimme bedsensoren_Bewoners verzorgingshuis_Effect beleid</v>
      </c>
      <c r="H521" s="33">
        <v>2033</v>
      </c>
      <c r="I521" s="32">
        <v>11</v>
      </c>
      <c r="J521" s="406" cm="1">
        <f t="array" ref="J521">INDEX(implementatie[[2023]:[2034]],MATCH(G521, implementatie[Zoeksleutel],0),I521)</f>
        <v>0.98974396343169702</v>
      </c>
      <c r="K521" s="406" cm="1">
        <f t="array" ref="K521">INDEX(implementatie[[2023]:[2034]],MATCH(G521,implementatie[Zoeksleutel],0),I521 + 1)</f>
        <v>0.99400942427594807</v>
      </c>
      <c r="L52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93332.855751609022</v>
      </c>
      <c r="M521" s="398" cm="1">
        <f t="array" ref="M521">J521*INDEX(Berekening_impact[Totaal arbeidsbesparing (€/jaar)],MATCH(B521,IF(Berekening_impact[Doelgroep]=C521,Berekening_impact[Digitale zorgtoepassing]),0))</f>
        <v>49575109.790076673</v>
      </c>
      <c r="N521" s="397" cm="1">
        <f t="array" ref="N521">J521*INDEX(Berekening_impact[Totaal arbeidsbesparing (FTE/jaar)],MATCH(B521,IF(Berekening_impact[Doelgroep]=C521,Berekening_impact[Digitale zorgtoepassing]),0))</f>
        <v>1167.7339135956036</v>
      </c>
      <c r="O521" s="398" cm="1">
        <f t="array" ref="O521">J521*INDEX(Berekening_impact[Overige kostenbesparing (totaal/jaar totaal potentieel)],MATCH(B521,IF(Berekening_impact[Doelgroep]=C521,Berekening_impact[Digitale zorgtoepassing]),0))</f>
        <v>43548462.183949284</v>
      </c>
      <c r="P521" s="398" cm="1">
        <f t="array" ref="P521">J521*INDEX(Berekening_impact[Opbrengsten door QALY''s],MATCH(B521,IF(Berekening_impact[Doelgroep]=C521,Berekening_impact[Digitale zorgtoepassing]),0))</f>
        <v>0</v>
      </c>
      <c r="Q521" s="398" cm="1">
        <f t="array" ref="Q521">J521*INDEX(Berekening_impact[Jaarlijkse kosten (totaal) - incl. schatting],MATCH(B521,IF(Berekening_impact[Doelgroep]=C521,Berekening_impact[Digitale zorgtoepassing]),0))</f>
        <v>44055356.899235405</v>
      </c>
      <c r="R521" s="398" cm="1">
        <f t="array" ref="R521">(uitkomst_doelgroep[[#This Row],[Implementatiegraad t = T + 1]]-uitkomst_doelgroep[[#This Row],[Implementatiegraad t = T]])*INDEX(Berekening_impact[Initiële investering (totaal) - incl. schatting],MATCH(B521,IF(Berekening_impact[Doelgroep]=C521,Berekening_impact[Digitale zorgtoepassing]),0))</f>
        <v>13712.603522098296</v>
      </c>
      <c r="S521" s="398">
        <f>uitkomst_doelgroep[[#This Row],[Arbeidsbesparing (€)]]*uitkomst_doelgroep[[#This Row],[Percentage van patiëntaantallen in Wlz (overige is Zvw)]]</f>
        <v>49575109.790076673</v>
      </c>
      <c r="T521" s="398">
        <f>uitkomst_doelgroep[[#This Row],[Overige besparingen (€)]]*uitkomst_doelgroep[[#This Row],[Percentage van patiëntaantallen in Wlz (overige is Zvw)]]</f>
        <v>43548462.183949284</v>
      </c>
      <c r="U521" s="398">
        <f>uitkomst_doelgroep[[#This Row],[Kosten (€)]]*uitkomst_doelgroep[[#This Row],[Percentage van patiëntaantallen in Wlz (overige is Zvw)]]</f>
        <v>44055356.899235405</v>
      </c>
      <c r="V521" s="398">
        <f>uitkomst_doelgroep[[#This Row],[Investering (cash flow) (€)]]*uitkomst_doelgroep[[#This Row],[Percentage van patiëntaantallen in Wlz (overige is Zvw)]]</f>
        <v>13712.603522098296</v>
      </c>
    </row>
    <row r="522" spans="1:22" ht="17.5" thickBot="1" x14ac:dyDescent="0.55000000000000004">
      <c r="A522" s="33" t="str">
        <f>INDEX(Technologieën[Veld],MATCH(B522,Technologieën[Digitale zorgtoepassing],0))</f>
        <v>Sensoren - Behandeling</v>
      </c>
      <c r="B522" s="40" t="s">
        <v>53</v>
      </c>
      <c r="C522" s="40" t="s">
        <v>54</v>
      </c>
      <c r="D522" s="427" cm="1">
        <f t="array" ref="D522">INDEX(Berekening_patiëntaantal[Percentage van patiëntaantallen in Wlz (overige is Zvw)],MATCH(B522,IF(Berekening_patiëntaantal[Doelgroep (zoeksleutel)]=C522,Berekening_patiëntaantal[Digitale zorgtoepassing]),0))</f>
        <v>0</v>
      </c>
      <c r="E522" s="33" t="str" cm="1">
        <f t="array" ref="E522">INDEX(Berekening_patiëntaantal[Direct toepasbaar/extrapolatie/incidentie voor QALY],MATCH(B522,IF(Berekening_patiëntaantal[Doelgroep (zoeksleutel)]=C522,Berekening_patiëntaantal[Digitale zorgtoepassing]),0))</f>
        <v>Huidige toepassing</v>
      </c>
      <c r="F522" s="43" t="s">
        <v>812</v>
      </c>
      <c r="G522" s="33" t="str">
        <f>CONCATENATE(uitkomst_doelgroep[[#This Row],[Digitale zorgtoepassing]],"_",uitkomst_doelgroep[[#This Row],[Doelgroep]],"_",uitkomst_doelgroep[[#This Row],[Uitgangssituatie/effect beleid]])</f>
        <v>Slimme pleisters_Heup_Effect beleid</v>
      </c>
      <c r="H522" s="33">
        <v>2023</v>
      </c>
      <c r="I522" s="32">
        <v>1</v>
      </c>
      <c r="J522" s="406" cm="1">
        <f t="array" ref="J522">INDEX(implementatie[[2023]:[2034]],MATCH(G522, implementatie[Zoeksleutel],0),I522)</f>
        <v>0.4</v>
      </c>
      <c r="K522" s="406" cm="1">
        <f t="array" ref="K522">INDEX(implementatie[[2023]:[2034]],MATCH(G522,implementatie[Zoeksleutel],0),I522 + 1)</f>
        <v>0.50800000000000001</v>
      </c>
      <c r="L52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7200</v>
      </c>
      <c r="M522" s="398" cm="1">
        <f t="array" ref="M522">J522*INDEX(Berekening_impact[Totaal arbeidsbesparing (€/jaar)],MATCH(B522,IF(Berekening_impact[Doelgroep]=C522,Berekening_impact[Digitale zorgtoepassing]),0))</f>
        <v>2311675.1999999993</v>
      </c>
      <c r="N522" s="397" cm="1">
        <f t="array" ref="N522">J522*INDEX(Berekening_impact[Totaal arbeidsbesparing (FTE/jaar)],MATCH(B522,IF(Berekening_impact[Doelgroep]=C522,Berekening_impact[Digitale zorgtoepassing]),0))</f>
        <v>40.064125951274185</v>
      </c>
      <c r="O522" s="398" cm="1">
        <f t="array" ref="O522">J522*INDEX(Berekening_impact[Overige kostenbesparing (totaal/jaar totaal potentieel)],MATCH(B522,IF(Berekening_impact[Doelgroep]=C522,Berekening_impact[Digitale zorgtoepassing]),0))</f>
        <v>1541116.7999999998</v>
      </c>
      <c r="P522" s="398" cm="1">
        <f t="array" ref="P522">J522*INDEX(Berekening_impact[Opbrengsten door QALY''s],MATCH(B522,IF(Berekening_impact[Doelgroep]=C522,Berekening_impact[Digitale zorgtoepassing]),0))</f>
        <v>20520000</v>
      </c>
      <c r="Q522" s="398" cm="1">
        <f t="array" ref="Q522">J522*INDEX(Berekening_impact[Jaarlijkse kosten (totaal) - incl. schatting],MATCH(B522,IF(Berekening_impact[Doelgroep]=C522,Berekening_impact[Digitale zorgtoepassing]),0))</f>
        <v>1414166.6666666667</v>
      </c>
      <c r="R522" s="398" cm="1">
        <f t="array" ref="R522">(uitkomst_doelgroep[[#This Row],[Implementatiegraad t = T + 1]]-uitkomst_doelgroep[[#This Row],[Implementatiegraad t = T]])*INDEX(Berekening_impact[Initiële investering (totaal) - incl. schatting],MATCH(B522,IF(Berekening_impact[Doelgroep]=C522,Berekening_impact[Digitale zorgtoepassing]),0))</f>
        <v>287709.29999999993</v>
      </c>
      <c r="S522" s="398">
        <f>uitkomst_doelgroep[[#This Row],[Arbeidsbesparing (€)]]*uitkomst_doelgroep[[#This Row],[Percentage van patiëntaantallen in Wlz (overige is Zvw)]]</f>
        <v>0</v>
      </c>
      <c r="T522" s="398">
        <f>uitkomst_doelgroep[[#This Row],[Overige besparingen (€)]]*uitkomst_doelgroep[[#This Row],[Percentage van patiëntaantallen in Wlz (overige is Zvw)]]</f>
        <v>0</v>
      </c>
      <c r="U522" s="398">
        <f>uitkomst_doelgroep[[#This Row],[Kosten (€)]]*uitkomst_doelgroep[[#This Row],[Percentage van patiëntaantallen in Wlz (overige is Zvw)]]</f>
        <v>0</v>
      </c>
      <c r="V522" s="398">
        <f>uitkomst_doelgroep[[#This Row],[Investering (cash flow) (€)]]*uitkomst_doelgroep[[#This Row],[Percentage van patiëntaantallen in Wlz (overige is Zvw)]]</f>
        <v>0</v>
      </c>
    </row>
    <row r="523" spans="1:22" x14ac:dyDescent="0.5">
      <c r="A523" s="33" t="str">
        <f>INDEX(Technologieën[Veld],MATCH(B523,Technologieën[Digitale zorgtoepassing],0))</f>
        <v>Sensoren - Behandeling</v>
      </c>
      <c r="B523" s="33" t="s">
        <v>53</v>
      </c>
      <c r="C523" s="33" t="s">
        <v>55</v>
      </c>
      <c r="D523" s="427" cm="1">
        <f t="array" ref="D523">INDEX(Berekening_patiëntaantal[Percentage van patiëntaantallen in Wlz (overige is Zvw)],MATCH(B523,IF(Berekening_patiëntaantal[Doelgroep (zoeksleutel)]=C523,Berekening_patiëntaantal[Digitale zorgtoepassing]),0))</f>
        <v>0</v>
      </c>
      <c r="E523" s="33" t="str" cm="1">
        <f t="array" ref="E523">INDEX(Berekening_patiëntaantal[Direct toepasbaar/extrapolatie/incidentie voor QALY],MATCH(B523,IF(Berekening_patiëntaantal[Doelgroep (zoeksleutel)]=C523,Berekening_patiëntaantal[Digitale zorgtoepassing]),0))</f>
        <v>Huidige toepassing</v>
      </c>
      <c r="F523" s="43" t="s">
        <v>812</v>
      </c>
      <c r="G523" s="33" t="str">
        <f>CONCATENATE(uitkomst_doelgroep[[#This Row],[Digitale zorgtoepassing]],"_",uitkomst_doelgroep[[#This Row],[Doelgroep]],"_",uitkomst_doelgroep[[#This Row],[Uitgangssituatie/effect beleid]])</f>
        <v>Slimme pleisters_Knie_Effect beleid</v>
      </c>
      <c r="H523" s="33">
        <v>2023</v>
      </c>
      <c r="I523" s="32">
        <v>1</v>
      </c>
      <c r="J523" s="406" cm="1">
        <f t="array" ref="J523">INDEX(implementatie[[2023]:[2034]],MATCH(G523, implementatie[Zoeksleutel],0),I523)</f>
        <v>0.4</v>
      </c>
      <c r="K523" s="406" cm="1">
        <f t="array" ref="K523">INDEX(implementatie[[2023]:[2034]],MATCH(G523,implementatie[Zoeksleutel],0),I523 + 1)</f>
        <v>0.50800000000000001</v>
      </c>
      <c r="L52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6000</v>
      </c>
      <c r="M523" s="398" cm="1">
        <f t="array" ref="M523">J523*INDEX(Berekening_impact[Totaal arbeidsbesparing (€/jaar)],MATCH(B523,IF(Berekening_impact[Doelgroep]=C523,Berekening_impact[Digitale zorgtoepassing]),0))</f>
        <v>1926395.9999999998</v>
      </c>
      <c r="N523" s="397" cm="1">
        <f t="array" ref="N523">J523*INDEX(Berekening_impact[Totaal arbeidsbesparing (FTE/jaar)],MATCH(B523,IF(Berekening_impact[Doelgroep]=C523,Berekening_impact[Digitale zorgtoepassing]),0))</f>
        <v>33.386771626061822</v>
      </c>
      <c r="O523" s="398" cm="1">
        <f t="array" ref="O523">J523*INDEX(Berekening_impact[Overige kostenbesparing (totaal/jaar totaal potentieel)],MATCH(B523,IF(Berekening_impact[Doelgroep]=C523,Berekening_impact[Digitale zorgtoepassing]),0))</f>
        <v>1284264</v>
      </c>
      <c r="P523" s="398" cm="1">
        <f t="array" ref="P523">J523*INDEX(Berekening_impact[Opbrengsten door QALY''s],MATCH(B523,IF(Berekening_impact[Doelgroep]=C523,Berekening_impact[Digitale zorgtoepassing]),0))</f>
        <v>17100000</v>
      </c>
      <c r="Q523" s="398" cm="1">
        <f t="array" ref="Q523">J523*INDEX(Berekening_impact[Jaarlijkse kosten (totaal) - incl. schatting],MATCH(B523,IF(Berekening_impact[Doelgroep]=C523,Berekening_impact[Digitale zorgtoepassing]),0))</f>
        <v>1250666.6666666667</v>
      </c>
      <c r="R523" s="398" cm="1">
        <f t="array" ref="R523">(uitkomst_doelgroep[[#This Row],[Implementatiegraad t = T + 1]]-uitkomst_doelgroep[[#This Row],[Implementatiegraad t = T]])*INDEX(Berekening_impact[Initiële investering (totaal) - incl. schatting],MATCH(B523,IF(Berekening_impact[Doelgroep]=C523,Berekening_impact[Digitale zorgtoepassing]),0))</f>
        <v>287709.29999999993</v>
      </c>
      <c r="S523" s="398">
        <f>uitkomst_doelgroep[[#This Row],[Arbeidsbesparing (€)]]*uitkomst_doelgroep[[#This Row],[Percentage van patiëntaantallen in Wlz (overige is Zvw)]]</f>
        <v>0</v>
      </c>
      <c r="T523" s="398">
        <f>uitkomst_doelgroep[[#This Row],[Overige besparingen (€)]]*uitkomst_doelgroep[[#This Row],[Percentage van patiëntaantallen in Wlz (overige is Zvw)]]</f>
        <v>0</v>
      </c>
      <c r="U523" s="398">
        <f>uitkomst_doelgroep[[#This Row],[Kosten (€)]]*uitkomst_doelgroep[[#This Row],[Percentage van patiëntaantallen in Wlz (overige is Zvw)]]</f>
        <v>0</v>
      </c>
      <c r="V523" s="398">
        <f>uitkomst_doelgroep[[#This Row],[Investering (cash flow) (€)]]*uitkomst_doelgroep[[#This Row],[Percentage van patiëntaantallen in Wlz (overige is Zvw)]]</f>
        <v>0</v>
      </c>
    </row>
    <row r="524" spans="1:22" x14ac:dyDescent="0.5">
      <c r="A524" s="33" t="str">
        <f>INDEX(Technologieën[Veld],MATCH(B524,Technologieën[Digitale zorgtoepassing],0))</f>
        <v>Sensoren - Behandeling</v>
      </c>
      <c r="B524" s="33" t="s">
        <v>53</v>
      </c>
      <c r="C524" s="33" t="s">
        <v>722</v>
      </c>
      <c r="D524" s="427" cm="1">
        <f t="array" ref="D524">INDEX(Berekening_patiëntaantal[Percentage van patiëntaantallen in Wlz (overige is Zvw)],MATCH(B524,IF(Berekening_patiëntaantal[Doelgroep (zoeksleutel)]=C524,Berekening_patiëntaantal[Digitale zorgtoepassing]),0))</f>
        <v>0</v>
      </c>
      <c r="E524" s="33" t="str" cm="1">
        <f t="array" ref="E524">INDEX(Berekening_patiëntaantal[Direct toepasbaar/extrapolatie/incidentie voor QALY],MATCH(B524,IF(Berekening_patiëntaantal[Doelgroep (zoeksleutel)]=C524,Berekening_patiëntaantal[Digitale zorgtoepassing]),0))</f>
        <v>Extrapolatie</v>
      </c>
      <c r="F524" s="43" t="s">
        <v>812</v>
      </c>
      <c r="G524" s="33" t="str">
        <f>CONCATENATE(uitkomst_doelgroep[[#This Row],[Digitale zorgtoepassing]],"_",uitkomst_doelgroep[[#This Row],[Doelgroep]],"_",uitkomst_doelgroep[[#This Row],[Uitgangssituatie/effect beleid]])</f>
        <v>Slimme pleisters_Overige_aandoeningen_Effect beleid</v>
      </c>
      <c r="H524" s="33">
        <v>2023</v>
      </c>
      <c r="I524" s="32">
        <v>1</v>
      </c>
      <c r="J524" s="406" cm="1">
        <f t="array" ref="J524">INDEX(implementatie[[2023]:[2034]],MATCH(G524, implementatie[Zoeksleutel],0),I524)</f>
        <v>0</v>
      </c>
      <c r="K524" s="406" cm="1">
        <f t="array" ref="K524">INDEX(implementatie[[2023]:[2034]],MATCH(G524,implementatie[Zoeksleutel],0),I524 + 1)</f>
        <v>0</v>
      </c>
      <c r="L52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524" s="398" cm="1">
        <f t="array" ref="M524">J524*INDEX(Berekening_impact[Totaal arbeidsbesparing (€/jaar)],MATCH(B524,IF(Berekening_impact[Doelgroep]=C524,Berekening_impact[Digitale zorgtoepassing]),0))</f>
        <v>0</v>
      </c>
      <c r="N524" s="397" cm="1">
        <f t="array" ref="N524">J524*INDEX(Berekening_impact[Totaal arbeidsbesparing (FTE/jaar)],MATCH(B524,IF(Berekening_impact[Doelgroep]=C524,Berekening_impact[Digitale zorgtoepassing]),0))</f>
        <v>0</v>
      </c>
      <c r="O524" s="398" cm="1">
        <f t="array" ref="O524">J524*INDEX(Berekening_impact[Overige kostenbesparing (totaal/jaar totaal potentieel)],MATCH(B524,IF(Berekening_impact[Doelgroep]=C524,Berekening_impact[Digitale zorgtoepassing]),0))</f>
        <v>0</v>
      </c>
      <c r="P524" s="398" cm="1">
        <f t="array" ref="P524">J524*INDEX(Berekening_impact[Opbrengsten door QALY''s],MATCH(B524,IF(Berekening_impact[Doelgroep]=C524,Berekening_impact[Digitale zorgtoepassing]),0))</f>
        <v>0</v>
      </c>
      <c r="Q524" s="398" cm="1">
        <f t="array" ref="Q524">J524*INDEX(Berekening_impact[Jaarlijkse kosten (totaal) - incl. schatting],MATCH(B524,IF(Berekening_impact[Doelgroep]=C524,Berekening_impact[Digitale zorgtoepassing]),0))</f>
        <v>0</v>
      </c>
      <c r="R524" s="398" cm="1">
        <f t="array" ref="R524">(uitkomst_doelgroep[[#This Row],[Implementatiegraad t = T + 1]]-uitkomst_doelgroep[[#This Row],[Implementatiegraad t = T]])*INDEX(Berekening_impact[Initiële investering (totaal) - incl. schatting],MATCH(B524,IF(Berekening_impact[Doelgroep]=C524,Berekening_impact[Digitale zorgtoepassing]),0))</f>
        <v>0</v>
      </c>
      <c r="S524" s="398">
        <f>uitkomst_doelgroep[[#This Row],[Arbeidsbesparing (€)]]*uitkomst_doelgroep[[#This Row],[Percentage van patiëntaantallen in Wlz (overige is Zvw)]]</f>
        <v>0</v>
      </c>
      <c r="T524" s="398">
        <f>uitkomst_doelgroep[[#This Row],[Overige besparingen (€)]]*uitkomst_doelgroep[[#This Row],[Percentage van patiëntaantallen in Wlz (overige is Zvw)]]</f>
        <v>0</v>
      </c>
      <c r="U524" s="398">
        <f>uitkomst_doelgroep[[#This Row],[Kosten (€)]]*uitkomst_doelgroep[[#This Row],[Percentage van patiëntaantallen in Wlz (overige is Zvw)]]</f>
        <v>0</v>
      </c>
      <c r="V524" s="398">
        <f>uitkomst_doelgroep[[#This Row],[Investering (cash flow) (€)]]*uitkomst_doelgroep[[#This Row],[Percentage van patiëntaantallen in Wlz (overige is Zvw)]]</f>
        <v>0</v>
      </c>
    </row>
    <row r="525" spans="1:22" x14ac:dyDescent="0.5">
      <c r="A525" s="33" t="str">
        <f>INDEX(Technologieën[Veld],MATCH(B525,Technologieën[Digitale zorgtoepassing],0))</f>
        <v>Sensoren - Behandeling</v>
      </c>
      <c r="B525" s="33" t="s">
        <v>53</v>
      </c>
      <c r="C525" s="33" t="s">
        <v>54</v>
      </c>
      <c r="D525" s="427" cm="1">
        <f t="array" ref="D525">INDEX(Berekening_patiëntaantal[Percentage van patiëntaantallen in Wlz (overige is Zvw)],MATCH(B525,IF(Berekening_patiëntaantal[Doelgroep (zoeksleutel)]=C525,Berekening_patiëntaantal[Digitale zorgtoepassing]),0))</f>
        <v>0</v>
      </c>
      <c r="E525" s="33" t="str" cm="1">
        <f t="array" ref="E525">INDEX(Berekening_patiëntaantal[Direct toepasbaar/extrapolatie/incidentie voor QALY],MATCH(B525,IF(Berekening_patiëntaantal[Doelgroep (zoeksleutel)]=C525,Berekening_patiëntaantal[Digitale zorgtoepassing]),0))</f>
        <v>Huidige toepassing</v>
      </c>
      <c r="F525" s="43" t="s">
        <v>812</v>
      </c>
      <c r="G525" s="33" t="str">
        <f>CONCATENATE(uitkomst_doelgroep[[#This Row],[Digitale zorgtoepassing]],"_",uitkomst_doelgroep[[#This Row],[Doelgroep]],"_",uitkomst_doelgroep[[#This Row],[Uitgangssituatie/effect beleid]])</f>
        <v>Slimme pleisters_Heup_Effect beleid</v>
      </c>
      <c r="H525" s="33">
        <v>2024</v>
      </c>
      <c r="I525" s="32">
        <v>2</v>
      </c>
      <c r="J525" s="406" cm="1">
        <f t="array" ref="J525">INDEX(implementatie[[2023]:[2034]],MATCH(G525, implementatie[Zoeksleutel],0),I525)</f>
        <v>0.50800000000000001</v>
      </c>
      <c r="K525" s="406" cm="1">
        <f t="array" ref="K525">INDEX(implementatie[[2023]:[2034]],MATCH(G525,implementatie[Zoeksleutel],0),I525 + 1)</f>
        <v>0.61781439999999999</v>
      </c>
      <c r="L52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9144</v>
      </c>
      <c r="M525" s="398" cm="1">
        <f t="array" ref="M525">J525*INDEX(Berekening_impact[Totaal arbeidsbesparing (€/jaar)],MATCH(B525,IF(Berekening_impact[Doelgroep]=C525,Berekening_impact[Digitale zorgtoepassing]),0))</f>
        <v>2935827.5039999993</v>
      </c>
      <c r="N525" s="397" cm="1">
        <f t="array" ref="N525">J525*INDEX(Berekening_impact[Totaal arbeidsbesparing (FTE/jaar)],MATCH(B525,IF(Berekening_impact[Doelgroep]=C525,Berekening_impact[Digitale zorgtoepassing]),0))</f>
        <v>50.881439958118214</v>
      </c>
      <c r="O525" s="398" cm="1">
        <f t="array" ref="O525">J525*INDEX(Berekening_impact[Overige kostenbesparing (totaal/jaar totaal potentieel)],MATCH(B525,IF(Berekening_impact[Doelgroep]=C525,Berekening_impact[Digitale zorgtoepassing]),0))</f>
        <v>1957218.3359999999</v>
      </c>
      <c r="P525" s="398" cm="1">
        <f t="array" ref="P525">J525*INDEX(Berekening_impact[Opbrengsten door QALY''s],MATCH(B525,IF(Berekening_impact[Doelgroep]=C525,Berekening_impact[Digitale zorgtoepassing]),0))</f>
        <v>26060400</v>
      </c>
      <c r="Q525" s="398" cm="1">
        <f t="array" ref="Q525">J525*INDEX(Berekening_impact[Jaarlijkse kosten (totaal) - incl. schatting],MATCH(B525,IF(Berekening_impact[Doelgroep]=C525,Berekening_impact[Digitale zorgtoepassing]),0))</f>
        <v>1795991.6666666665</v>
      </c>
      <c r="R525" s="398" cm="1">
        <f t="array" ref="R525">(uitkomst_doelgroep[[#This Row],[Implementatiegraad t = T + 1]]-uitkomst_doelgroep[[#This Row],[Implementatiegraad t = T]])*INDEX(Berekening_impact[Initiële investering (totaal) - incl. schatting],MATCH(B525,IF(Berekening_impact[Doelgroep]=C525,Berekening_impact[Digitale zorgtoepassing]),0))</f>
        <v>292542.8162399999</v>
      </c>
      <c r="S525" s="398">
        <f>uitkomst_doelgroep[[#This Row],[Arbeidsbesparing (€)]]*uitkomst_doelgroep[[#This Row],[Percentage van patiëntaantallen in Wlz (overige is Zvw)]]</f>
        <v>0</v>
      </c>
      <c r="T525" s="398">
        <f>uitkomst_doelgroep[[#This Row],[Overige besparingen (€)]]*uitkomst_doelgroep[[#This Row],[Percentage van patiëntaantallen in Wlz (overige is Zvw)]]</f>
        <v>0</v>
      </c>
      <c r="U525" s="398">
        <f>uitkomst_doelgroep[[#This Row],[Kosten (€)]]*uitkomst_doelgroep[[#This Row],[Percentage van patiëntaantallen in Wlz (overige is Zvw)]]</f>
        <v>0</v>
      </c>
      <c r="V525" s="398">
        <f>uitkomst_doelgroep[[#This Row],[Investering (cash flow) (€)]]*uitkomst_doelgroep[[#This Row],[Percentage van patiëntaantallen in Wlz (overige is Zvw)]]</f>
        <v>0</v>
      </c>
    </row>
    <row r="526" spans="1:22" x14ac:dyDescent="0.5">
      <c r="A526" s="33" t="str">
        <f>INDEX(Technologieën[Veld],MATCH(B526,Technologieën[Digitale zorgtoepassing],0))</f>
        <v>Sensoren - Behandeling</v>
      </c>
      <c r="B526" s="33" t="s">
        <v>53</v>
      </c>
      <c r="C526" s="33" t="s">
        <v>55</v>
      </c>
      <c r="D526" s="427" cm="1">
        <f t="array" ref="D526">INDEX(Berekening_patiëntaantal[Percentage van patiëntaantallen in Wlz (overige is Zvw)],MATCH(B526,IF(Berekening_patiëntaantal[Doelgroep (zoeksleutel)]=C526,Berekening_patiëntaantal[Digitale zorgtoepassing]),0))</f>
        <v>0</v>
      </c>
      <c r="E526" s="33" t="str" cm="1">
        <f t="array" ref="E526">INDEX(Berekening_patiëntaantal[Direct toepasbaar/extrapolatie/incidentie voor QALY],MATCH(B526,IF(Berekening_patiëntaantal[Doelgroep (zoeksleutel)]=C526,Berekening_patiëntaantal[Digitale zorgtoepassing]),0))</f>
        <v>Huidige toepassing</v>
      </c>
      <c r="F526" s="43" t="s">
        <v>812</v>
      </c>
      <c r="G526" s="33" t="str">
        <f>CONCATENATE(uitkomst_doelgroep[[#This Row],[Digitale zorgtoepassing]],"_",uitkomst_doelgroep[[#This Row],[Doelgroep]],"_",uitkomst_doelgroep[[#This Row],[Uitgangssituatie/effect beleid]])</f>
        <v>Slimme pleisters_Knie_Effect beleid</v>
      </c>
      <c r="H526" s="33">
        <v>2024</v>
      </c>
      <c r="I526" s="32">
        <v>2</v>
      </c>
      <c r="J526" s="406" cm="1">
        <f t="array" ref="J526">INDEX(implementatie[[2023]:[2034]],MATCH(G526, implementatie[Zoeksleutel],0),I526)</f>
        <v>0.50800000000000001</v>
      </c>
      <c r="K526" s="406" cm="1">
        <f t="array" ref="K526">INDEX(implementatie[[2023]:[2034]],MATCH(G526,implementatie[Zoeksleutel],0),I526 + 1)</f>
        <v>0.61781439999999999</v>
      </c>
      <c r="L52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7620</v>
      </c>
      <c r="M526" s="398" cm="1">
        <f t="array" ref="M526">J526*INDEX(Berekening_impact[Totaal arbeidsbesparing (€/jaar)],MATCH(B526,IF(Berekening_impact[Doelgroep]=C526,Berekening_impact[Digitale zorgtoepassing]),0))</f>
        <v>2446522.9199999995</v>
      </c>
      <c r="N526" s="397" cm="1">
        <f t="array" ref="N526">J526*INDEX(Berekening_impact[Totaal arbeidsbesparing (FTE/jaar)],MATCH(B526,IF(Berekening_impact[Doelgroep]=C526,Berekening_impact[Digitale zorgtoepassing]),0))</f>
        <v>42.40119996509852</v>
      </c>
      <c r="O526" s="398" cm="1">
        <f t="array" ref="O526">J526*INDEX(Berekening_impact[Overige kostenbesparing (totaal/jaar totaal potentieel)],MATCH(B526,IF(Berekening_impact[Doelgroep]=C526,Berekening_impact[Digitale zorgtoepassing]),0))</f>
        <v>1631015.2799999998</v>
      </c>
      <c r="P526" s="398" cm="1">
        <f t="array" ref="P526">J526*INDEX(Berekening_impact[Opbrengsten door QALY''s],MATCH(B526,IF(Berekening_impact[Doelgroep]=C526,Berekening_impact[Digitale zorgtoepassing]),0))</f>
        <v>21717000</v>
      </c>
      <c r="Q526" s="398" cm="1">
        <f t="array" ref="Q526">J526*INDEX(Berekening_impact[Jaarlijkse kosten (totaal) - incl. schatting],MATCH(B526,IF(Berekening_impact[Doelgroep]=C526,Berekening_impact[Digitale zorgtoepassing]),0))</f>
        <v>1588346.6666666665</v>
      </c>
      <c r="R526" s="398" cm="1">
        <f t="array" ref="R526">(uitkomst_doelgroep[[#This Row],[Implementatiegraad t = T + 1]]-uitkomst_doelgroep[[#This Row],[Implementatiegraad t = T]])*INDEX(Berekening_impact[Initiële investering (totaal) - incl. schatting],MATCH(B526,IF(Berekening_impact[Doelgroep]=C526,Berekening_impact[Digitale zorgtoepassing]),0))</f>
        <v>292542.8162399999</v>
      </c>
      <c r="S526" s="398">
        <f>uitkomst_doelgroep[[#This Row],[Arbeidsbesparing (€)]]*uitkomst_doelgroep[[#This Row],[Percentage van patiëntaantallen in Wlz (overige is Zvw)]]</f>
        <v>0</v>
      </c>
      <c r="T526" s="398">
        <f>uitkomst_doelgroep[[#This Row],[Overige besparingen (€)]]*uitkomst_doelgroep[[#This Row],[Percentage van patiëntaantallen in Wlz (overige is Zvw)]]</f>
        <v>0</v>
      </c>
      <c r="U526" s="398">
        <f>uitkomst_doelgroep[[#This Row],[Kosten (€)]]*uitkomst_doelgroep[[#This Row],[Percentage van patiëntaantallen in Wlz (overige is Zvw)]]</f>
        <v>0</v>
      </c>
      <c r="V526" s="398">
        <f>uitkomst_doelgroep[[#This Row],[Investering (cash flow) (€)]]*uitkomst_doelgroep[[#This Row],[Percentage van patiëntaantallen in Wlz (overige is Zvw)]]</f>
        <v>0</v>
      </c>
    </row>
    <row r="527" spans="1:22" x14ac:dyDescent="0.5">
      <c r="A527" s="33" t="str">
        <f>INDEX(Technologieën[Veld],MATCH(B527,Technologieën[Digitale zorgtoepassing],0))</f>
        <v>Sensoren - Behandeling</v>
      </c>
      <c r="B527" s="33" t="s">
        <v>53</v>
      </c>
      <c r="C527" s="33" t="s">
        <v>722</v>
      </c>
      <c r="D527" s="427" cm="1">
        <f t="array" ref="D527">INDEX(Berekening_patiëntaantal[Percentage van patiëntaantallen in Wlz (overige is Zvw)],MATCH(B527,IF(Berekening_patiëntaantal[Doelgroep (zoeksleutel)]=C527,Berekening_patiëntaantal[Digitale zorgtoepassing]),0))</f>
        <v>0</v>
      </c>
      <c r="E527" s="33" t="str" cm="1">
        <f t="array" ref="E527">INDEX(Berekening_patiëntaantal[Direct toepasbaar/extrapolatie/incidentie voor QALY],MATCH(B527,IF(Berekening_patiëntaantal[Doelgroep (zoeksleutel)]=C527,Berekening_patiëntaantal[Digitale zorgtoepassing]),0))</f>
        <v>Extrapolatie</v>
      </c>
      <c r="F527" s="43" t="s">
        <v>812</v>
      </c>
      <c r="G527" s="33" t="str">
        <f>CONCATENATE(uitkomst_doelgroep[[#This Row],[Digitale zorgtoepassing]],"_",uitkomst_doelgroep[[#This Row],[Doelgroep]],"_",uitkomst_doelgroep[[#This Row],[Uitgangssituatie/effect beleid]])</f>
        <v>Slimme pleisters_Overige_aandoeningen_Effect beleid</v>
      </c>
      <c r="H527" s="33">
        <v>2024</v>
      </c>
      <c r="I527" s="32">
        <v>2</v>
      </c>
      <c r="J527" s="406" cm="1">
        <f t="array" ref="J527">INDEX(implementatie[[2023]:[2034]],MATCH(G527, implementatie[Zoeksleutel],0),I527)</f>
        <v>0</v>
      </c>
      <c r="K527" s="406" cm="1">
        <f t="array" ref="K527">INDEX(implementatie[[2023]:[2034]],MATCH(G527,implementatie[Zoeksleutel],0),I527 + 1)</f>
        <v>0</v>
      </c>
      <c r="L52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527" s="398" cm="1">
        <f t="array" ref="M527">J527*INDEX(Berekening_impact[Totaal arbeidsbesparing (€/jaar)],MATCH(B527,IF(Berekening_impact[Doelgroep]=C527,Berekening_impact[Digitale zorgtoepassing]),0))</f>
        <v>0</v>
      </c>
      <c r="N527" s="397" cm="1">
        <f t="array" ref="N527">J527*INDEX(Berekening_impact[Totaal arbeidsbesparing (FTE/jaar)],MATCH(B527,IF(Berekening_impact[Doelgroep]=C527,Berekening_impact[Digitale zorgtoepassing]),0))</f>
        <v>0</v>
      </c>
      <c r="O527" s="398" cm="1">
        <f t="array" ref="O527">J527*INDEX(Berekening_impact[Overige kostenbesparing (totaal/jaar totaal potentieel)],MATCH(B527,IF(Berekening_impact[Doelgroep]=C527,Berekening_impact[Digitale zorgtoepassing]),0))</f>
        <v>0</v>
      </c>
      <c r="P527" s="398" cm="1">
        <f t="array" ref="P527">J527*INDEX(Berekening_impact[Opbrengsten door QALY''s],MATCH(B527,IF(Berekening_impact[Doelgroep]=C527,Berekening_impact[Digitale zorgtoepassing]),0))</f>
        <v>0</v>
      </c>
      <c r="Q527" s="398" cm="1">
        <f t="array" ref="Q527">J527*INDEX(Berekening_impact[Jaarlijkse kosten (totaal) - incl. schatting],MATCH(B527,IF(Berekening_impact[Doelgroep]=C527,Berekening_impact[Digitale zorgtoepassing]),0))</f>
        <v>0</v>
      </c>
      <c r="R527" s="398" cm="1">
        <f t="array" ref="R527">(uitkomst_doelgroep[[#This Row],[Implementatiegraad t = T + 1]]-uitkomst_doelgroep[[#This Row],[Implementatiegraad t = T]])*INDEX(Berekening_impact[Initiële investering (totaal) - incl. schatting],MATCH(B527,IF(Berekening_impact[Doelgroep]=C527,Berekening_impact[Digitale zorgtoepassing]),0))</f>
        <v>0</v>
      </c>
      <c r="S527" s="398">
        <f>uitkomst_doelgroep[[#This Row],[Arbeidsbesparing (€)]]*uitkomst_doelgroep[[#This Row],[Percentage van patiëntaantallen in Wlz (overige is Zvw)]]</f>
        <v>0</v>
      </c>
      <c r="T527" s="398">
        <f>uitkomst_doelgroep[[#This Row],[Overige besparingen (€)]]*uitkomst_doelgroep[[#This Row],[Percentage van patiëntaantallen in Wlz (overige is Zvw)]]</f>
        <v>0</v>
      </c>
      <c r="U527" s="398">
        <f>uitkomst_doelgroep[[#This Row],[Kosten (€)]]*uitkomst_doelgroep[[#This Row],[Percentage van patiëntaantallen in Wlz (overige is Zvw)]]</f>
        <v>0</v>
      </c>
      <c r="V527" s="398">
        <f>uitkomst_doelgroep[[#This Row],[Investering (cash flow) (€)]]*uitkomst_doelgroep[[#This Row],[Percentage van patiëntaantallen in Wlz (overige is Zvw)]]</f>
        <v>0</v>
      </c>
    </row>
    <row r="528" spans="1:22" x14ac:dyDescent="0.5">
      <c r="A528" s="33" t="str">
        <f>INDEX(Technologieën[Veld],MATCH(B528,Technologieën[Digitale zorgtoepassing],0))</f>
        <v>Sensoren - Behandeling</v>
      </c>
      <c r="B528" s="33" t="s">
        <v>53</v>
      </c>
      <c r="C528" s="33" t="s">
        <v>54</v>
      </c>
      <c r="D528" s="427" cm="1">
        <f t="array" ref="D528">INDEX(Berekening_patiëntaantal[Percentage van patiëntaantallen in Wlz (overige is Zvw)],MATCH(B528,IF(Berekening_patiëntaantal[Doelgroep (zoeksleutel)]=C528,Berekening_patiëntaantal[Digitale zorgtoepassing]),0))</f>
        <v>0</v>
      </c>
      <c r="E528" s="33" t="str" cm="1">
        <f t="array" ref="E528">INDEX(Berekening_patiëntaantal[Direct toepasbaar/extrapolatie/incidentie voor QALY],MATCH(B528,IF(Berekening_patiëntaantal[Doelgroep (zoeksleutel)]=C528,Berekening_patiëntaantal[Digitale zorgtoepassing]),0))</f>
        <v>Huidige toepassing</v>
      </c>
      <c r="F528" s="43" t="s">
        <v>812</v>
      </c>
      <c r="G528" s="33" t="str">
        <f>CONCATENATE(uitkomst_doelgroep[[#This Row],[Digitale zorgtoepassing]],"_",uitkomst_doelgroep[[#This Row],[Doelgroep]],"_",uitkomst_doelgroep[[#This Row],[Uitgangssituatie/effect beleid]])</f>
        <v>Slimme pleisters_Heup_Effect beleid</v>
      </c>
      <c r="H528" s="33">
        <v>2025</v>
      </c>
      <c r="I528" s="32">
        <v>3</v>
      </c>
      <c r="J528" s="406" cm="1">
        <f t="array" ref="J528">INDEX(implementatie[[2023]:[2034]],MATCH(G528, implementatie[Zoeksleutel],0),I528)</f>
        <v>0.61781439999999999</v>
      </c>
      <c r="K528" s="406" cm="1">
        <f t="array" ref="K528">INDEX(implementatie[[2023]:[2034]],MATCH(G528,implementatie[Zoeksleutel],0),I528 + 1)</f>
        <v>0.71990601886105599</v>
      </c>
      <c r="L52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11120.6592</v>
      </c>
      <c r="M528" s="398" cm="1">
        <f t="array" ref="M528">J528*INDEX(Berekening_impact[Totaal arbeidsbesparing (€/jaar)],MATCH(B528,IF(Berekening_impact[Doelgroep]=C528,Berekening_impact[Digitale zorgtoepassing]),0))</f>
        <v>3570465.566707199</v>
      </c>
      <c r="N528" s="397" cm="1">
        <f t="array" ref="N528">J528*INDEX(Berekening_impact[Totaal arbeidsbesparing (FTE/jaar)],MATCH(B528,IF(Berekening_impact[Doelgroep]=C528,Berekening_impact[Digitale zorgtoepassing]),0))</f>
        <v>61.880484840277219</v>
      </c>
      <c r="O528" s="398" cm="1">
        <f t="array" ref="O528">J528*INDEX(Berekening_impact[Overige kostenbesparing (totaal/jaar totaal potentieel)],MATCH(B528,IF(Berekening_impact[Doelgroep]=C528,Berekening_impact[Digitale zorgtoepassing]),0))</f>
        <v>2380310.3778047995</v>
      </c>
      <c r="P528" s="398" cm="1">
        <f t="array" ref="P528">J528*INDEX(Berekening_impact[Opbrengsten door QALY''s],MATCH(B528,IF(Berekening_impact[Doelgroep]=C528,Berekening_impact[Digitale zorgtoepassing]),0))</f>
        <v>31693878.719999999</v>
      </c>
      <c r="Q528" s="398" cm="1">
        <f t="array" ref="Q528">J528*INDEX(Berekening_impact[Jaarlijkse kosten (totaal) - incl. schatting],MATCH(B528,IF(Berekening_impact[Doelgroep]=C528,Berekening_impact[Digitale zorgtoepassing]),0))</f>
        <v>2184231.3266666667</v>
      </c>
      <c r="R528" s="398" cm="1">
        <f t="array" ref="R528">(uitkomst_doelgroep[[#This Row],[Implementatiegraad t = T + 1]]-uitkomst_doelgroep[[#This Row],[Implementatiegraad t = T]])*INDEX(Berekening_impact[Initiële investering (totaal) - incl. schatting],MATCH(B528,IF(Berekening_impact[Doelgroep]=C528,Berekening_impact[Digitale zorgtoepassing]),0))</f>
        <v>271969.5203553816</v>
      </c>
      <c r="S528" s="398">
        <f>uitkomst_doelgroep[[#This Row],[Arbeidsbesparing (€)]]*uitkomst_doelgroep[[#This Row],[Percentage van patiëntaantallen in Wlz (overige is Zvw)]]</f>
        <v>0</v>
      </c>
      <c r="T528" s="398">
        <f>uitkomst_doelgroep[[#This Row],[Overige besparingen (€)]]*uitkomst_doelgroep[[#This Row],[Percentage van patiëntaantallen in Wlz (overige is Zvw)]]</f>
        <v>0</v>
      </c>
      <c r="U528" s="398">
        <f>uitkomst_doelgroep[[#This Row],[Kosten (€)]]*uitkomst_doelgroep[[#This Row],[Percentage van patiëntaantallen in Wlz (overige is Zvw)]]</f>
        <v>0</v>
      </c>
      <c r="V528" s="398">
        <f>uitkomst_doelgroep[[#This Row],[Investering (cash flow) (€)]]*uitkomst_doelgroep[[#This Row],[Percentage van patiëntaantallen in Wlz (overige is Zvw)]]</f>
        <v>0</v>
      </c>
    </row>
    <row r="529" spans="1:22" x14ac:dyDescent="0.5">
      <c r="A529" s="33" t="str">
        <f>INDEX(Technologieën[Veld],MATCH(B529,Technologieën[Digitale zorgtoepassing],0))</f>
        <v>Sensoren - Behandeling</v>
      </c>
      <c r="B529" s="33" t="s">
        <v>53</v>
      </c>
      <c r="C529" s="33" t="s">
        <v>55</v>
      </c>
      <c r="D529" s="427" cm="1">
        <f t="array" ref="D529">INDEX(Berekening_patiëntaantal[Percentage van patiëntaantallen in Wlz (overige is Zvw)],MATCH(B529,IF(Berekening_patiëntaantal[Doelgroep (zoeksleutel)]=C529,Berekening_patiëntaantal[Digitale zorgtoepassing]),0))</f>
        <v>0</v>
      </c>
      <c r="E529" s="33" t="str" cm="1">
        <f t="array" ref="E529">INDEX(Berekening_patiëntaantal[Direct toepasbaar/extrapolatie/incidentie voor QALY],MATCH(B529,IF(Berekening_patiëntaantal[Doelgroep (zoeksleutel)]=C529,Berekening_patiëntaantal[Digitale zorgtoepassing]),0))</f>
        <v>Huidige toepassing</v>
      </c>
      <c r="F529" s="43" t="s">
        <v>812</v>
      </c>
      <c r="G529" s="33" t="str">
        <f>CONCATENATE(uitkomst_doelgroep[[#This Row],[Digitale zorgtoepassing]],"_",uitkomst_doelgroep[[#This Row],[Doelgroep]],"_",uitkomst_doelgroep[[#This Row],[Uitgangssituatie/effect beleid]])</f>
        <v>Slimme pleisters_Knie_Effect beleid</v>
      </c>
      <c r="H529" s="33">
        <v>2025</v>
      </c>
      <c r="I529" s="32">
        <v>3</v>
      </c>
      <c r="J529" s="406" cm="1">
        <f t="array" ref="J529">INDEX(implementatie[[2023]:[2034]],MATCH(G529, implementatie[Zoeksleutel],0),I529)</f>
        <v>0.61781439999999999</v>
      </c>
      <c r="K529" s="406" cm="1">
        <f t="array" ref="K529">INDEX(implementatie[[2023]:[2034]],MATCH(G529,implementatie[Zoeksleutel],0),I529 + 1)</f>
        <v>0.71990601886105599</v>
      </c>
      <c r="L52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9267.2160000000003</v>
      </c>
      <c r="M529" s="398" cm="1">
        <f t="array" ref="M529">J529*INDEX(Berekening_impact[Totaal arbeidsbesparing (€/jaar)],MATCH(B529,IF(Berekening_impact[Doelgroep]=C529,Berekening_impact[Digitale zorgtoepassing]),0))</f>
        <v>2975387.9722559992</v>
      </c>
      <c r="N529" s="397" cm="1">
        <f t="array" ref="N529">J529*INDEX(Berekening_impact[Totaal arbeidsbesparing (FTE/jaar)],MATCH(B529,IF(Berekening_impact[Doelgroep]=C529,Berekening_impact[Digitale zorgtoepassing]),0))</f>
        <v>51.567070700231021</v>
      </c>
      <c r="O529" s="398" cm="1">
        <f t="array" ref="O529">J529*INDEX(Berekening_impact[Overige kostenbesparing (totaal/jaar totaal potentieel)],MATCH(B529,IF(Berekening_impact[Doelgroep]=C529,Berekening_impact[Digitale zorgtoepassing]),0))</f>
        <v>1983591.9815039996</v>
      </c>
      <c r="P529" s="398" cm="1">
        <f t="array" ref="P529">J529*INDEX(Berekening_impact[Opbrengsten door QALY''s],MATCH(B529,IF(Berekening_impact[Doelgroep]=C529,Berekening_impact[Digitale zorgtoepassing]),0))</f>
        <v>26411565.599999998</v>
      </c>
      <c r="Q529" s="398" cm="1">
        <f t="array" ref="Q529">J529*INDEX(Berekening_impact[Jaarlijkse kosten (totaal) - incl. schatting],MATCH(B529,IF(Berekening_impact[Doelgroep]=C529,Berekening_impact[Digitale zorgtoepassing]),0))</f>
        <v>1931699.6906666665</v>
      </c>
      <c r="R529" s="398" cm="1">
        <f t="array" ref="R529">(uitkomst_doelgroep[[#This Row],[Implementatiegraad t = T + 1]]-uitkomst_doelgroep[[#This Row],[Implementatiegraad t = T]])*INDEX(Berekening_impact[Initiële investering (totaal) - incl. schatting],MATCH(B529,IF(Berekening_impact[Doelgroep]=C529,Berekening_impact[Digitale zorgtoepassing]),0))</f>
        <v>271969.5203553816</v>
      </c>
      <c r="S529" s="398">
        <f>uitkomst_doelgroep[[#This Row],[Arbeidsbesparing (€)]]*uitkomst_doelgroep[[#This Row],[Percentage van patiëntaantallen in Wlz (overige is Zvw)]]</f>
        <v>0</v>
      </c>
      <c r="T529" s="398">
        <f>uitkomst_doelgroep[[#This Row],[Overige besparingen (€)]]*uitkomst_doelgroep[[#This Row],[Percentage van patiëntaantallen in Wlz (overige is Zvw)]]</f>
        <v>0</v>
      </c>
      <c r="U529" s="398">
        <f>uitkomst_doelgroep[[#This Row],[Kosten (€)]]*uitkomst_doelgroep[[#This Row],[Percentage van patiëntaantallen in Wlz (overige is Zvw)]]</f>
        <v>0</v>
      </c>
      <c r="V529" s="398">
        <f>uitkomst_doelgroep[[#This Row],[Investering (cash flow) (€)]]*uitkomst_doelgroep[[#This Row],[Percentage van patiëntaantallen in Wlz (overige is Zvw)]]</f>
        <v>0</v>
      </c>
    </row>
    <row r="530" spans="1:22" x14ac:dyDescent="0.5">
      <c r="A530" s="33" t="str">
        <f>INDEX(Technologieën[Veld],MATCH(B530,Technologieën[Digitale zorgtoepassing],0))</f>
        <v>Sensoren - Behandeling</v>
      </c>
      <c r="B530" s="33" t="s">
        <v>53</v>
      </c>
      <c r="C530" s="33" t="s">
        <v>722</v>
      </c>
      <c r="D530" s="427" cm="1">
        <f t="array" ref="D530">INDEX(Berekening_patiëntaantal[Percentage van patiëntaantallen in Wlz (overige is Zvw)],MATCH(B530,IF(Berekening_patiëntaantal[Doelgroep (zoeksleutel)]=C530,Berekening_patiëntaantal[Digitale zorgtoepassing]),0))</f>
        <v>0</v>
      </c>
      <c r="E530" s="33" t="str" cm="1">
        <f t="array" ref="E530">INDEX(Berekening_patiëntaantal[Direct toepasbaar/extrapolatie/incidentie voor QALY],MATCH(B530,IF(Berekening_patiëntaantal[Doelgroep (zoeksleutel)]=C530,Berekening_patiëntaantal[Digitale zorgtoepassing]),0))</f>
        <v>Extrapolatie</v>
      </c>
      <c r="F530" s="43" t="s">
        <v>812</v>
      </c>
      <c r="G530" s="33" t="str">
        <f>CONCATENATE(uitkomst_doelgroep[[#This Row],[Digitale zorgtoepassing]],"_",uitkomst_doelgroep[[#This Row],[Doelgroep]],"_",uitkomst_doelgroep[[#This Row],[Uitgangssituatie/effect beleid]])</f>
        <v>Slimme pleisters_Overige_aandoeningen_Effect beleid</v>
      </c>
      <c r="H530" s="33">
        <v>2025</v>
      </c>
      <c r="I530" s="32">
        <v>3</v>
      </c>
      <c r="J530" s="406" cm="1">
        <f t="array" ref="J530">INDEX(implementatie[[2023]:[2034]],MATCH(G530, implementatie[Zoeksleutel],0),I530)</f>
        <v>0</v>
      </c>
      <c r="K530" s="406" cm="1">
        <f t="array" ref="K530">INDEX(implementatie[[2023]:[2034]],MATCH(G530,implementatie[Zoeksleutel],0),I530 + 1)</f>
        <v>0.02</v>
      </c>
      <c r="L53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530" s="398" cm="1">
        <f t="array" ref="M530">J530*INDEX(Berekening_impact[Totaal arbeidsbesparing (€/jaar)],MATCH(B530,IF(Berekening_impact[Doelgroep]=C530,Berekening_impact[Digitale zorgtoepassing]),0))</f>
        <v>0</v>
      </c>
      <c r="N530" s="397" cm="1">
        <f t="array" ref="N530">J530*INDEX(Berekening_impact[Totaal arbeidsbesparing (FTE/jaar)],MATCH(B530,IF(Berekening_impact[Doelgroep]=C530,Berekening_impact[Digitale zorgtoepassing]),0))</f>
        <v>0</v>
      </c>
      <c r="O530" s="398" cm="1">
        <f t="array" ref="O530">J530*INDEX(Berekening_impact[Overige kostenbesparing (totaal/jaar totaal potentieel)],MATCH(B530,IF(Berekening_impact[Doelgroep]=C530,Berekening_impact[Digitale zorgtoepassing]),0))</f>
        <v>0</v>
      </c>
      <c r="P530" s="398" cm="1">
        <f t="array" ref="P530">J530*INDEX(Berekening_impact[Opbrengsten door QALY''s],MATCH(B530,IF(Berekening_impact[Doelgroep]=C530,Berekening_impact[Digitale zorgtoepassing]),0))</f>
        <v>0</v>
      </c>
      <c r="Q530" s="398" cm="1">
        <f t="array" ref="Q530">J530*INDEX(Berekening_impact[Jaarlijkse kosten (totaal) - incl. schatting],MATCH(B530,IF(Berekening_impact[Doelgroep]=C530,Berekening_impact[Digitale zorgtoepassing]),0))</f>
        <v>0</v>
      </c>
      <c r="R530" s="398" cm="1">
        <f t="array" ref="R530">(uitkomst_doelgroep[[#This Row],[Implementatiegraad t = T + 1]]-uitkomst_doelgroep[[#This Row],[Implementatiegraad t = T]])*INDEX(Berekening_impact[Initiële investering (totaal) - incl. schatting],MATCH(B530,IF(Berekening_impact[Doelgroep]=C530,Berekening_impact[Digitale zorgtoepassing]),0))</f>
        <v>0</v>
      </c>
      <c r="S530" s="398">
        <f>uitkomst_doelgroep[[#This Row],[Arbeidsbesparing (€)]]*uitkomst_doelgroep[[#This Row],[Percentage van patiëntaantallen in Wlz (overige is Zvw)]]</f>
        <v>0</v>
      </c>
      <c r="T530" s="398">
        <f>uitkomst_doelgroep[[#This Row],[Overige besparingen (€)]]*uitkomst_doelgroep[[#This Row],[Percentage van patiëntaantallen in Wlz (overige is Zvw)]]</f>
        <v>0</v>
      </c>
      <c r="U530" s="398">
        <f>uitkomst_doelgroep[[#This Row],[Kosten (€)]]*uitkomst_doelgroep[[#This Row],[Percentage van patiëntaantallen in Wlz (overige is Zvw)]]</f>
        <v>0</v>
      </c>
      <c r="V530" s="398">
        <f>uitkomst_doelgroep[[#This Row],[Investering (cash flow) (€)]]*uitkomst_doelgroep[[#This Row],[Percentage van patiëntaantallen in Wlz (overige is Zvw)]]</f>
        <v>0</v>
      </c>
    </row>
    <row r="531" spans="1:22" x14ac:dyDescent="0.5">
      <c r="A531" s="33" t="str">
        <f>INDEX(Technologieën[Veld],MATCH(B531,Technologieën[Digitale zorgtoepassing],0))</f>
        <v>Sensoren - Behandeling</v>
      </c>
      <c r="B531" s="33" t="s">
        <v>53</v>
      </c>
      <c r="C531" s="33" t="s">
        <v>54</v>
      </c>
      <c r="D531" s="427" cm="1">
        <f t="array" ref="D531">INDEX(Berekening_patiëntaantal[Percentage van patiëntaantallen in Wlz (overige is Zvw)],MATCH(B531,IF(Berekening_patiëntaantal[Doelgroep (zoeksleutel)]=C531,Berekening_patiëntaantal[Digitale zorgtoepassing]),0))</f>
        <v>0</v>
      </c>
      <c r="E531" s="33" t="str" cm="1">
        <f t="array" ref="E531">INDEX(Berekening_patiëntaantal[Direct toepasbaar/extrapolatie/incidentie voor QALY],MATCH(B531,IF(Berekening_patiëntaantal[Doelgroep (zoeksleutel)]=C531,Berekening_patiëntaantal[Digitale zorgtoepassing]),0))</f>
        <v>Huidige toepassing</v>
      </c>
      <c r="F531" s="43" t="s">
        <v>812</v>
      </c>
      <c r="G531" s="33" t="str">
        <f>CONCATENATE(uitkomst_doelgroep[[#This Row],[Digitale zorgtoepassing]],"_",uitkomst_doelgroep[[#This Row],[Doelgroep]],"_",uitkomst_doelgroep[[#This Row],[Uitgangssituatie/effect beleid]])</f>
        <v>Slimme pleisters_Heup_Effect beleid</v>
      </c>
      <c r="H531" s="33">
        <v>2026</v>
      </c>
      <c r="I531" s="32">
        <v>4</v>
      </c>
      <c r="J531" s="406" cm="1">
        <f t="array" ref="J531">INDEX(implementatie[[2023]:[2034]],MATCH(G531, implementatie[Zoeksleutel],0),I531)</f>
        <v>0.71990601886105599</v>
      </c>
      <c r="K531" s="406" cm="1">
        <f t="array" ref="K531">INDEX(implementatie[[2023]:[2034]],MATCH(G531,implementatie[Zoeksleutel],0),I531 + 1)</f>
        <v>0.80616443563130724</v>
      </c>
      <c r="L53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12958.308339499008</v>
      </c>
      <c r="M531" s="398" cm="1">
        <f t="array" ref="M531">J531*INDEX(Berekening_impact[Totaal arbeidsbesparing (€/jaar)],MATCH(B531,IF(Berekening_impact[Doelgroep]=C531,Berekening_impact[Digitale zorgtoepassing]),0))</f>
        <v>4160472.2253295872</v>
      </c>
      <c r="N531" s="397" cm="1">
        <f t="array" ref="N531">J531*INDEX(Berekening_impact[Totaal arbeidsbesparing (FTE/jaar)],MATCH(B531,IF(Berekening_impact[Doelgroep]=C531,Berekening_impact[Digitale zorgtoepassing]),0))</f>
        <v>72.106013531824289</v>
      </c>
      <c r="O531" s="398" cm="1">
        <f t="array" ref="O531">J531*INDEX(Berekening_impact[Overige kostenbesparing (totaal/jaar totaal potentieel)],MATCH(B531,IF(Berekening_impact[Doelgroep]=C531,Berekening_impact[Digitale zorgtoepassing]),0))</f>
        <v>2773648.1502197254</v>
      </c>
      <c r="P531" s="398" cm="1">
        <f t="array" ref="P531">J531*INDEX(Berekening_impact[Opbrengsten door QALY''s],MATCH(B531,IF(Berekening_impact[Doelgroep]=C531,Berekening_impact[Digitale zorgtoepassing]),0))</f>
        <v>36931178.767572172</v>
      </c>
      <c r="Q531" s="398" cm="1">
        <f t="array" ref="Q531">J531*INDEX(Berekening_impact[Jaarlijkse kosten (totaal) - incl. schatting],MATCH(B531,IF(Berekening_impact[Doelgroep]=C531,Berekening_impact[Digitale zorgtoepassing]),0))</f>
        <v>2545167.7375150248</v>
      </c>
      <c r="R531" s="398" cm="1">
        <f t="array" ref="R531">(uitkomst_doelgroep[[#This Row],[Implementatiegraad t = T + 1]]-uitkomst_doelgroep[[#This Row],[Implementatiegraad t = T]])*INDEX(Berekening_impact[Initiële investering (totaal) - incl. schatting],MATCH(B531,IF(Berekening_impact[Doelgroep]=C531,Berekening_impact[Digitale zorgtoepassing]),0))</f>
        <v>229790.26581553006</v>
      </c>
      <c r="S531" s="398">
        <f>uitkomst_doelgroep[[#This Row],[Arbeidsbesparing (€)]]*uitkomst_doelgroep[[#This Row],[Percentage van patiëntaantallen in Wlz (overige is Zvw)]]</f>
        <v>0</v>
      </c>
      <c r="T531" s="398">
        <f>uitkomst_doelgroep[[#This Row],[Overige besparingen (€)]]*uitkomst_doelgroep[[#This Row],[Percentage van patiëntaantallen in Wlz (overige is Zvw)]]</f>
        <v>0</v>
      </c>
      <c r="U531" s="398">
        <f>uitkomst_doelgroep[[#This Row],[Kosten (€)]]*uitkomst_doelgroep[[#This Row],[Percentage van patiëntaantallen in Wlz (overige is Zvw)]]</f>
        <v>0</v>
      </c>
      <c r="V531" s="398">
        <f>uitkomst_doelgroep[[#This Row],[Investering (cash flow) (€)]]*uitkomst_doelgroep[[#This Row],[Percentage van patiëntaantallen in Wlz (overige is Zvw)]]</f>
        <v>0</v>
      </c>
    </row>
    <row r="532" spans="1:22" x14ac:dyDescent="0.5">
      <c r="A532" s="33" t="str">
        <f>INDEX(Technologieën[Veld],MATCH(B532,Technologieën[Digitale zorgtoepassing],0))</f>
        <v>Sensoren - Behandeling</v>
      </c>
      <c r="B532" s="33" t="s">
        <v>53</v>
      </c>
      <c r="C532" s="33" t="s">
        <v>55</v>
      </c>
      <c r="D532" s="427" cm="1">
        <f t="array" ref="D532">INDEX(Berekening_patiëntaantal[Percentage van patiëntaantallen in Wlz (overige is Zvw)],MATCH(B532,IF(Berekening_patiëntaantal[Doelgroep (zoeksleutel)]=C532,Berekening_patiëntaantal[Digitale zorgtoepassing]),0))</f>
        <v>0</v>
      </c>
      <c r="E532" s="33" t="str" cm="1">
        <f t="array" ref="E532">INDEX(Berekening_patiëntaantal[Direct toepasbaar/extrapolatie/incidentie voor QALY],MATCH(B532,IF(Berekening_patiëntaantal[Doelgroep (zoeksleutel)]=C532,Berekening_patiëntaantal[Digitale zorgtoepassing]),0))</f>
        <v>Huidige toepassing</v>
      </c>
      <c r="F532" s="43" t="s">
        <v>812</v>
      </c>
      <c r="G532" s="33" t="str">
        <f>CONCATENATE(uitkomst_doelgroep[[#This Row],[Digitale zorgtoepassing]],"_",uitkomst_doelgroep[[#This Row],[Doelgroep]],"_",uitkomst_doelgroep[[#This Row],[Uitgangssituatie/effect beleid]])</f>
        <v>Slimme pleisters_Knie_Effect beleid</v>
      </c>
      <c r="H532" s="33">
        <v>2026</v>
      </c>
      <c r="I532" s="32">
        <v>4</v>
      </c>
      <c r="J532" s="406" cm="1">
        <f t="array" ref="J532">INDEX(implementatie[[2023]:[2034]],MATCH(G532, implementatie[Zoeksleutel],0),I532)</f>
        <v>0.71990601886105599</v>
      </c>
      <c r="K532" s="406" cm="1">
        <f t="array" ref="K532">INDEX(implementatie[[2023]:[2034]],MATCH(G532,implementatie[Zoeksleutel],0),I532 + 1)</f>
        <v>0.80616443563130724</v>
      </c>
      <c r="L53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10798.59028291584</v>
      </c>
      <c r="M532" s="398" cm="1">
        <f t="array" ref="M532">J532*INDEX(Berekening_impact[Totaal arbeidsbesparing (€/jaar)],MATCH(B532,IF(Berekening_impact[Doelgroep]=C532,Berekening_impact[Digitale zorgtoepassing]),0))</f>
        <v>3467060.1877746563</v>
      </c>
      <c r="N532" s="397" cm="1">
        <f t="array" ref="N532">J532*INDEX(Berekening_impact[Totaal arbeidsbesparing (FTE/jaar)],MATCH(B532,IF(Berekening_impact[Doelgroep]=C532,Berekening_impact[Digitale zorgtoepassing]),0))</f>
        <v>60.088344609853579</v>
      </c>
      <c r="O532" s="398" cm="1">
        <f t="array" ref="O532">J532*INDEX(Berekening_impact[Overige kostenbesparing (totaal/jaar totaal potentieel)],MATCH(B532,IF(Berekening_impact[Doelgroep]=C532,Berekening_impact[Digitale zorgtoepassing]),0))</f>
        <v>2311373.4585164376</v>
      </c>
      <c r="P532" s="398" cm="1">
        <f t="array" ref="P532">J532*INDEX(Berekening_impact[Opbrengsten door QALY''s],MATCH(B532,IF(Berekening_impact[Doelgroep]=C532,Berekening_impact[Digitale zorgtoepassing]),0))</f>
        <v>30775982.306310143</v>
      </c>
      <c r="Q532" s="398" cm="1">
        <f t="array" ref="Q532">J532*INDEX(Berekening_impact[Jaarlijkse kosten (totaal) - incl. schatting],MATCH(B532,IF(Berekening_impact[Doelgroep]=C532,Berekening_impact[Digitale zorgtoepassing]),0))</f>
        <v>2250906.1523055681</v>
      </c>
      <c r="R532" s="398" cm="1">
        <f t="array" ref="R532">(uitkomst_doelgroep[[#This Row],[Implementatiegraad t = T + 1]]-uitkomst_doelgroep[[#This Row],[Implementatiegraad t = T]])*INDEX(Berekening_impact[Initiële investering (totaal) - incl. schatting],MATCH(B532,IF(Berekening_impact[Doelgroep]=C532,Berekening_impact[Digitale zorgtoepassing]),0))</f>
        <v>229790.26581553006</v>
      </c>
      <c r="S532" s="398">
        <f>uitkomst_doelgroep[[#This Row],[Arbeidsbesparing (€)]]*uitkomst_doelgroep[[#This Row],[Percentage van patiëntaantallen in Wlz (overige is Zvw)]]</f>
        <v>0</v>
      </c>
      <c r="T532" s="398">
        <f>uitkomst_doelgroep[[#This Row],[Overige besparingen (€)]]*uitkomst_doelgroep[[#This Row],[Percentage van patiëntaantallen in Wlz (overige is Zvw)]]</f>
        <v>0</v>
      </c>
      <c r="U532" s="398">
        <f>uitkomst_doelgroep[[#This Row],[Kosten (€)]]*uitkomst_doelgroep[[#This Row],[Percentage van patiëntaantallen in Wlz (overige is Zvw)]]</f>
        <v>0</v>
      </c>
      <c r="V532" s="398">
        <f>uitkomst_doelgroep[[#This Row],[Investering (cash flow) (€)]]*uitkomst_doelgroep[[#This Row],[Percentage van patiëntaantallen in Wlz (overige is Zvw)]]</f>
        <v>0</v>
      </c>
    </row>
    <row r="533" spans="1:22" x14ac:dyDescent="0.5">
      <c r="A533" s="33" t="str">
        <f>INDEX(Technologieën[Veld],MATCH(B533,Technologieën[Digitale zorgtoepassing],0))</f>
        <v>Sensoren - Behandeling</v>
      </c>
      <c r="B533" s="33" t="s">
        <v>53</v>
      </c>
      <c r="C533" s="33" t="s">
        <v>722</v>
      </c>
      <c r="D533" s="427" cm="1">
        <f t="array" ref="D533">INDEX(Berekening_patiëntaantal[Percentage van patiëntaantallen in Wlz (overige is Zvw)],MATCH(B533,IF(Berekening_patiëntaantal[Doelgroep (zoeksleutel)]=C533,Berekening_patiëntaantal[Digitale zorgtoepassing]),0))</f>
        <v>0</v>
      </c>
      <c r="E533" s="33" t="str" cm="1">
        <f t="array" ref="E533">INDEX(Berekening_patiëntaantal[Direct toepasbaar/extrapolatie/incidentie voor QALY],MATCH(B533,IF(Berekening_patiëntaantal[Doelgroep (zoeksleutel)]=C533,Berekening_patiëntaantal[Digitale zorgtoepassing]),0))</f>
        <v>Extrapolatie</v>
      </c>
      <c r="F533" s="43" t="s">
        <v>812</v>
      </c>
      <c r="G533" s="33" t="str">
        <f>CONCATENATE(uitkomst_doelgroep[[#This Row],[Digitale zorgtoepassing]],"_",uitkomst_doelgroep[[#This Row],[Doelgroep]],"_",uitkomst_doelgroep[[#This Row],[Uitgangssituatie/effect beleid]])</f>
        <v>Slimme pleisters_Overige_aandoeningen_Effect beleid</v>
      </c>
      <c r="H533" s="33">
        <v>2026</v>
      </c>
      <c r="I533" s="32">
        <v>4</v>
      </c>
      <c r="J533" s="406" cm="1">
        <f t="array" ref="J533">INDEX(implementatie[[2023]:[2034]],MATCH(G533, implementatie[Zoeksleutel],0),I533)</f>
        <v>0.02</v>
      </c>
      <c r="K533" s="406" cm="1">
        <f t="array" ref="K533">INDEX(implementatie[[2023]:[2034]],MATCH(G533,implementatie[Zoeksleutel],0),I533 + 1)</f>
        <v>4.7439999999999996E-2</v>
      </c>
      <c r="L53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4980.1861389717178</v>
      </c>
      <c r="M533" s="398" cm="1">
        <f t="array" ref="M533">J533*INDEX(Berekening_impact[Totaal arbeidsbesparing (€/jaar)],MATCH(B533,IF(Berekening_impact[Doelgroep]=C533,Berekening_impact[Digitale zorgtoepassing]),0))</f>
        <v>1598968.442895093</v>
      </c>
      <c r="N533" s="397" cm="1">
        <f t="array" ref="N533">J533*INDEX(Berekening_impact[Totaal arbeidsbesparing (FTE/jaar)],MATCH(B533,IF(Berekening_impact[Doelgroep]=C533,Berekening_impact[Digitale zorgtoepassing]),0))</f>
        <v>27.712056212854556</v>
      </c>
      <c r="O533" s="398" cm="1">
        <f t="array" ref="O533">J533*INDEX(Berekening_impact[Overige kostenbesparing (totaal/jaar totaal potentieel)],MATCH(B533,IF(Berekening_impact[Doelgroep]=C533,Berekening_impact[Digitale zorgtoepassing]),0))</f>
        <v>1065978.9619300622</v>
      </c>
      <c r="P533" s="398" cm="1">
        <f t="array" ref="P533">J533*INDEX(Berekening_impact[Opbrengsten door QALY''s],MATCH(B533,IF(Berekening_impact[Doelgroep]=C533,Berekening_impact[Digitale zorgtoepassing]),0))</f>
        <v>14193530.496069396</v>
      </c>
      <c r="Q533" s="398" cm="1">
        <f t="array" ref="Q533">J533*INDEX(Berekening_impact[Jaarlijkse kosten (totaal) - incl. schatting],MATCH(B533,IF(Berekening_impact[Doelgroep]=C533,Berekening_impact[Digitale zorgtoepassing]),0))</f>
        <v>700208.69476822973</v>
      </c>
      <c r="R533" s="398" cm="1">
        <f t="array" ref="R533">(uitkomst_doelgroep[[#This Row],[Implementatiegraad t = T + 1]]-uitkomst_doelgroep[[#This Row],[Implementatiegraad t = T]])*INDEX(Berekening_impact[Initiële investering (totaal) - incl. schatting],MATCH(B533,IF(Berekening_impact[Doelgroep]=C533,Berekening_impact[Digitale zorgtoepassing]),0))</f>
        <v>0</v>
      </c>
      <c r="S533" s="398">
        <f>uitkomst_doelgroep[[#This Row],[Arbeidsbesparing (€)]]*uitkomst_doelgroep[[#This Row],[Percentage van patiëntaantallen in Wlz (overige is Zvw)]]</f>
        <v>0</v>
      </c>
      <c r="T533" s="398">
        <f>uitkomst_doelgroep[[#This Row],[Overige besparingen (€)]]*uitkomst_doelgroep[[#This Row],[Percentage van patiëntaantallen in Wlz (overige is Zvw)]]</f>
        <v>0</v>
      </c>
      <c r="U533" s="398">
        <f>uitkomst_doelgroep[[#This Row],[Kosten (€)]]*uitkomst_doelgroep[[#This Row],[Percentage van patiëntaantallen in Wlz (overige is Zvw)]]</f>
        <v>0</v>
      </c>
      <c r="V533" s="398">
        <f>uitkomst_doelgroep[[#This Row],[Investering (cash flow) (€)]]*uitkomst_doelgroep[[#This Row],[Percentage van patiëntaantallen in Wlz (overige is Zvw)]]</f>
        <v>0</v>
      </c>
    </row>
    <row r="534" spans="1:22" x14ac:dyDescent="0.5">
      <c r="A534" s="33" t="str">
        <f>INDEX(Technologieën[Veld],MATCH(B534,Technologieën[Digitale zorgtoepassing],0))</f>
        <v>Sensoren - Behandeling</v>
      </c>
      <c r="B534" s="33" t="s">
        <v>53</v>
      </c>
      <c r="C534" s="33" t="s">
        <v>54</v>
      </c>
      <c r="D534" s="427" cm="1">
        <f t="array" ref="D534">INDEX(Berekening_patiëntaantal[Percentage van patiëntaantallen in Wlz (overige is Zvw)],MATCH(B534,IF(Berekening_patiëntaantal[Doelgroep (zoeksleutel)]=C534,Berekening_patiëntaantal[Digitale zorgtoepassing]),0))</f>
        <v>0</v>
      </c>
      <c r="E534" s="33" t="str" cm="1">
        <f t="array" ref="E534">INDEX(Berekening_patiëntaantal[Direct toepasbaar/extrapolatie/incidentie voor QALY],MATCH(B534,IF(Berekening_patiëntaantal[Doelgroep (zoeksleutel)]=C534,Berekening_patiëntaantal[Digitale zorgtoepassing]),0))</f>
        <v>Huidige toepassing</v>
      </c>
      <c r="F534" s="43" t="s">
        <v>812</v>
      </c>
      <c r="G534" s="33" t="str">
        <f>CONCATENATE(uitkomst_doelgroep[[#This Row],[Digitale zorgtoepassing]],"_",uitkomst_doelgroep[[#This Row],[Doelgroep]],"_",uitkomst_doelgroep[[#This Row],[Uitgangssituatie/effect beleid]])</f>
        <v>Slimme pleisters_Heup_Effect beleid</v>
      </c>
      <c r="H534" s="33">
        <v>2027</v>
      </c>
      <c r="I534" s="32">
        <v>5</v>
      </c>
      <c r="J534" s="406" cm="1">
        <f t="array" ref="J534">INDEX(implementatie[[2023]:[2034]],MATCH(G534, implementatie[Zoeksleutel],0),I534)</f>
        <v>0.80616443563130724</v>
      </c>
      <c r="K534" s="406" cm="1">
        <f t="array" ref="K534">INDEX(implementatie[[2023]:[2034]],MATCH(G534,implementatie[Zoeksleutel],0),I534 + 1)</f>
        <v>0.87254648226050635</v>
      </c>
      <c r="L53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14510.95984136353</v>
      </c>
      <c r="M534" s="398" cm="1">
        <f t="array" ref="M534">J534*INDEX(Berekening_impact[Totaal arbeidsbesparing (€/jaar)],MATCH(B534,IF(Berekening_impact[Doelgroep]=C534,Berekening_impact[Digitale zorgtoepassing]),0))</f>
        <v>4658975.8324272214</v>
      </c>
      <c r="N534" s="397" cm="1">
        <f t="array" ref="N534">J534*INDEX(Berekening_impact[Totaal arbeidsbesparing (FTE/jaar)],MATCH(B534,IF(Berekening_impact[Doelgroep]=C534,Berekening_impact[Digitale zorgtoepassing]),0))</f>
        <v>80.745683716426413</v>
      </c>
      <c r="O534" s="398" cm="1">
        <f t="array" ref="O534">J534*INDEX(Berekening_impact[Overige kostenbesparing (totaal/jaar totaal potentieel)],MATCH(B534,IF(Berekening_impact[Doelgroep]=C534,Berekening_impact[Digitale zorgtoepassing]),0))</f>
        <v>3105983.888284815</v>
      </c>
      <c r="P534" s="398" cm="1">
        <f t="array" ref="P534">J534*INDEX(Berekening_impact[Opbrengsten door QALY''s],MATCH(B534,IF(Berekening_impact[Doelgroep]=C534,Berekening_impact[Digitale zorgtoepassing]),0))</f>
        <v>41356235.547886059</v>
      </c>
      <c r="Q534" s="398" cm="1">
        <f t="array" ref="Q534">J534*INDEX(Berekening_impact[Jaarlijkse kosten (totaal) - incl. schatting],MATCH(B534,IF(Berekening_impact[Doelgroep]=C534,Berekening_impact[Digitale zorgtoepassing]),0))</f>
        <v>2850127.1818048507</v>
      </c>
      <c r="R534" s="398" cm="1">
        <f t="array" ref="R534">(uitkomst_doelgroep[[#This Row],[Implementatiegraad t = T + 1]]-uitkomst_doelgroep[[#This Row],[Implementatiegraad t = T]])*INDEX(Berekening_impact[Initiële investering (totaal) - incl. schatting],MATCH(B534,IF(Berekening_impact[Doelgroep]=C534,Berekening_impact[Digitale zorgtoepassing]),0))</f>
        <v>176840.11266902066</v>
      </c>
      <c r="S534" s="398">
        <f>uitkomst_doelgroep[[#This Row],[Arbeidsbesparing (€)]]*uitkomst_doelgroep[[#This Row],[Percentage van patiëntaantallen in Wlz (overige is Zvw)]]</f>
        <v>0</v>
      </c>
      <c r="T534" s="398">
        <f>uitkomst_doelgroep[[#This Row],[Overige besparingen (€)]]*uitkomst_doelgroep[[#This Row],[Percentage van patiëntaantallen in Wlz (overige is Zvw)]]</f>
        <v>0</v>
      </c>
      <c r="U534" s="398">
        <f>uitkomst_doelgroep[[#This Row],[Kosten (€)]]*uitkomst_doelgroep[[#This Row],[Percentage van patiëntaantallen in Wlz (overige is Zvw)]]</f>
        <v>0</v>
      </c>
      <c r="V534" s="398">
        <f>uitkomst_doelgroep[[#This Row],[Investering (cash flow) (€)]]*uitkomst_doelgroep[[#This Row],[Percentage van patiëntaantallen in Wlz (overige is Zvw)]]</f>
        <v>0</v>
      </c>
    </row>
    <row r="535" spans="1:22" x14ac:dyDescent="0.5">
      <c r="A535" s="33" t="str">
        <f>INDEX(Technologieën[Veld],MATCH(B535,Technologieën[Digitale zorgtoepassing],0))</f>
        <v>Sensoren - Behandeling</v>
      </c>
      <c r="B535" s="33" t="s">
        <v>53</v>
      </c>
      <c r="C535" s="33" t="s">
        <v>55</v>
      </c>
      <c r="D535" s="427" cm="1">
        <f t="array" ref="D535">INDEX(Berekening_patiëntaantal[Percentage van patiëntaantallen in Wlz (overige is Zvw)],MATCH(B535,IF(Berekening_patiëntaantal[Doelgroep (zoeksleutel)]=C535,Berekening_patiëntaantal[Digitale zorgtoepassing]),0))</f>
        <v>0</v>
      </c>
      <c r="E535" s="33" t="str" cm="1">
        <f t="array" ref="E535">INDEX(Berekening_patiëntaantal[Direct toepasbaar/extrapolatie/incidentie voor QALY],MATCH(B535,IF(Berekening_patiëntaantal[Doelgroep (zoeksleutel)]=C535,Berekening_patiëntaantal[Digitale zorgtoepassing]),0))</f>
        <v>Huidige toepassing</v>
      </c>
      <c r="F535" s="43" t="s">
        <v>812</v>
      </c>
      <c r="G535" s="33" t="str">
        <f>CONCATENATE(uitkomst_doelgroep[[#This Row],[Digitale zorgtoepassing]],"_",uitkomst_doelgroep[[#This Row],[Doelgroep]],"_",uitkomst_doelgroep[[#This Row],[Uitgangssituatie/effect beleid]])</f>
        <v>Slimme pleisters_Knie_Effect beleid</v>
      </c>
      <c r="H535" s="33">
        <v>2027</v>
      </c>
      <c r="I535" s="32">
        <v>5</v>
      </c>
      <c r="J535" s="406" cm="1">
        <f t="array" ref="J535">INDEX(implementatie[[2023]:[2034]],MATCH(G535, implementatie[Zoeksleutel],0),I535)</f>
        <v>0.80616443563130724</v>
      </c>
      <c r="K535" s="406" cm="1">
        <f t="array" ref="K535">INDEX(implementatie[[2023]:[2034]],MATCH(G535,implementatie[Zoeksleutel],0),I535 + 1)</f>
        <v>0.87254648226050635</v>
      </c>
      <c r="L53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12092.466534469608</v>
      </c>
      <c r="M535" s="398" cm="1">
        <f t="array" ref="M535">J535*INDEX(Berekening_impact[Totaal arbeidsbesparing (€/jaar)],MATCH(B535,IF(Berekening_impact[Doelgroep]=C535,Berekening_impact[Digitale zorgtoepassing]),0))</f>
        <v>3882479.8603560184</v>
      </c>
      <c r="N535" s="397" cm="1">
        <f t="array" ref="N535">J535*INDEX(Berekening_impact[Totaal arbeidsbesparing (FTE/jaar)],MATCH(B535,IF(Berekening_impact[Doelgroep]=C535,Berekening_impact[Digitale zorgtoepassing]),0))</f>
        <v>67.288069763688682</v>
      </c>
      <c r="O535" s="398" cm="1">
        <f t="array" ref="O535">J535*INDEX(Berekening_impact[Overige kostenbesparing (totaal/jaar totaal potentieel)],MATCH(B535,IF(Berekening_impact[Doelgroep]=C535,Berekening_impact[Digitale zorgtoepassing]),0))</f>
        <v>2588319.9069040124</v>
      </c>
      <c r="P535" s="398" cm="1">
        <f t="array" ref="P535">J535*INDEX(Berekening_impact[Opbrengsten door QALY''s],MATCH(B535,IF(Berekening_impact[Doelgroep]=C535,Berekening_impact[Digitale zorgtoepassing]),0))</f>
        <v>34463529.623238385</v>
      </c>
      <c r="Q535" s="398" cm="1">
        <f t="array" ref="Q535">J535*INDEX(Berekening_impact[Jaarlijkse kosten (totaal) - incl. schatting],MATCH(B535,IF(Berekening_impact[Doelgroep]=C535,Berekening_impact[Digitale zorgtoepassing]),0))</f>
        <v>2520607.4687405541</v>
      </c>
      <c r="R535" s="398" cm="1">
        <f t="array" ref="R535">(uitkomst_doelgroep[[#This Row],[Implementatiegraad t = T + 1]]-uitkomst_doelgroep[[#This Row],[Implementatiegraad t = T]])*INDEX(Berekening_impact[Initiële investering (totaal) - incl. schatting],MATCH(B535,IF(Berekening_impact[Doelgroep]=C535,Berekening_impact[Digitale zorgtoepassing]),0))</f>
        <v>176840.11266902066</v>
      </c>
      <c r="S535" s="398">
        <f>uitkomst_doelgroep[[#This Row],[Arbeidsbesparing (€)]]*uitkomst_doelgroep[[#This Row],[Percentage van patiëntaantallen in Wlz (overige is Zvw)]]</f>
        <v>0</v>
      </c>
      <c r="T535" s="398">
        <f>uitkomst_doelgroep[[#This Row],[Overige besparingen (€)]]*uitkomst_doelgroep[[#This Row],[Percentage van patiëntaantallen in Wlz (overige is Zvw)]]</f>
        <v>0</v>
      </c>
      <c r="U535" s="398">
        <f>uitkomst_doelgroep[[#This Row],[Kosten (€)]]*uitkomst_doelgroep[[#This Row],[Percentage van patiëntaantallen in Wlz (overige is Zvw)]]</f>
        <v>0</v>
      </c>
      <c r="V535" s="398">
        <f>uitkomst_doelgroep[[#This Row],[Investering (cash flow) (€)]]*uitkomst_doelgroep[[#This Row],[Percentage van patiëntaantallen in Wlz (overige is Zvw)]]</f>
        <v>0</v>
      </c>
    </row>
    <row r="536" spans="1:22" x14ac:dyDescent="0.5">
      <c r="A536" s="33" t="str">
        <f>INDEX(Technologieën[Veld],MATCH(B536,Technologieën[Digitale zorgtoepassing],0))</f>
        <v>Sensoren - Behandeling</v>
      </c>
      <c r="B536" s="33" t="s">
        <v>53</v>
      </c>
      <c r="C536" s="33" t="s">
        <v>722</v>
      </c>
      <c r="D536" s="427" cm="1">
        <f t="array" ref="D536">INDEX(Berekening_patiëntaantal[Percentage van patiëntaantallen in Wlz (overige is Zvw)],MATCH(B536,IF(Berekening_patiëntaantal[Doelgroep (zoeksleutel)]=C536,Berekening_patiëntaantal[Digitale zorgtoepassing]),0))</f>
        <v>0</v>
      </c>
      <c r="E536" s="33" t="str" cm="1">
        <f t="array" ref="E536">INDEX(Berekening_patiëntaantal[Direct toepasbaar/extrapolatie/incidentie voor QALY],MATCH(B536,IF(Berekening_patiëntaantal[Doelgroep (zoeksleutel)]=C536,Berekening_patiëntaantal[Digitale zorgtoepassing]),0))</f>
        <v>Extrapolatie</v>
      </c>
      <c r="F536" s="43" t="s">
        <v>812</v>
      </c>
      <c r="G536" s="33" t="str">
        <f>CONCATENATE(uitkomst_doelgroep[[#This Row],[Digitale zorgtoepassing]],"_",uitkomst_doelgroep[[#This Row],[Doelgroep]],"_",uitkomst_doelgroep[[#This Row],[Uitgangssituatie/effect beleid]])</f>
        <v>Slimme pleisters_Overige_aandoeningen_Effect beleid</v>
      </c>
      <c r="H536" s="33">
        <v>2027</v>
      </c>
      <c r="I536" s="32">
        <v>5</v>
      </c>
      <c r="J536" s="406" cm="1">
        <f t="array" ref="J536">INDEX(implementatie[[2023]:[2034]],MATCH(G536, implementatie[Zoeksleutel],0),I536)</f>
        <v>4.7439999999999996E-2</v>
      </c>
      <c r="K536" s="406" cm="1">
        <f t="array" ref="K536">INDEX(implementatie[[2023]:[2034]],MATCH(G536,implementatie[Zoeksleutel],0),I536 + 1)</f>
        <v>8.4566978560000006E-2</v>
      </c>
      <c r="L53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11813.001521640912</v>
      </c>
      <c r="M536" s="398" cm="1">
        <f t="array" ref="M536">J536*INDEX(Berekening_impact[Totaal arbeidsbesparing (€/jaar)],MATCH(B536,IF(Berekening_impact[Doelgroep]=C536,Berekening_impact[Digitale zorgtoepassing]),0))</f>
        <v>3792753.1465471601</v>
      </c>
      <c r="N536" s="397" cm="1">
        <f t="array" ref="N536">J536*INDEX(Berekening_impact[Totaal arbeidsbesparing (FTE/jaar)],MATCH(B536,IF(Berekening_impact[Doelgroep]=C536,Berekening_impact[Digitale zorgtoepassing]),0))</f>
        <v>65.732997336891003</v>
      </c>
      <c r="O536" s="398" cm="1">
        <f t="array" ref="O536">J536*INDEX(Berekening_impact[Overige kostenbesparing (totaal/jaar totaal potentieel)],MATCH(B536,IF(Berekening_impact[Doelgroep]=C536,Berekening_impact[Digitale zorgtoepassing]),0))</f>
        <v>2528502.0976981074</v>
      </c>
      <c r="P536" s="398" cm="1">
        <f t="array" ref="P536">J536*INDEX(Berekening_impact[Opbrengsten door QALY''s],MATCH(B536,IF(Berekening_impact[Doelgroep]=C536,Berekening_impact[Digitale zorgtoepassing]),0))</f>
        <v>33667054.336676605</v>
      </c>
      <c r="Q536" s="398" cm="1">
        <f t="array" ref="Q536">J536*INDEX(Berekening_impact[Jaarlijkse kosten (totaal) - incl. schatting],MATCH(B536,IF(Berekening_impact[Doelgroep]=C536,Berekening_impact[Digitale zorgtoepassing]),0))</f>
        <v>1660895.0239902409</v>
      </c>
      <c r="R536" s="398" cm="1">
        <f t="array" ref="R536">(uitkomst_doelgroep[[#This Row],[Implementatiegraad t = T + 1]]-uitkomst_doelgroep[[#This Row],[Implementatiegraad t = T]])*INDEX(Berekening_impact[Initiële investering (totaal) - incl. schatting],MATCH(B536,IF(Berekening_impact[Doelgroep]=C536,Berekening_impact[Digitale zorgtoepassing]),0))</f>
        <v>0</v>
      </c>
      <c r="S536" s="398">
        <f>uitkomst_doelgroep[[#This Row],[Arbeidsbesparing (€)]]*uitkomst_doelgroep[[#This Row],[Percentage van patiëntaantallen in Wlz (overige is Zvw)]]</f>
        <v>0</v>
      </c>
      <c r="T536" s="398">
        <f>uitkomst_doelgroep[[#This Row],[Overige besparingen (€)]]*uitkomst_doelgroep[[#This Row],[Percentage van patiëntaantallen in Wlz (overige is Zvw)]]</f>
        <v>0</v>
      </c>
      <c r="U536" s="398">
        <f>uitkomst_doelgroep[[#This Row],[Kosten (€)]]*uitkomst_doelgroep[[#This Row],[Percentage van patiëntaantallen in Wlz (overige is Zvw)]]</f>
        <v>0</v>
      </c>
      <c r="V536" s="398">
        <f>uitkomst_doelgroep[[#This Row],[Investering (cash flow) (€)]]*uitkomst_doelgroep[[#This Row],[Percentage van patiëntaantallen in Wlz (overige is Zvw)]]</f>
        <v>0</v>
      </c>
    </row>
    <row r="537" spans="1:22" x14ac:dyDescent="0.5">
      <c r="A537" s="33" t="str">
        <f>INDEX(Technologieën[Veld],MATCH(B537,Technologieën[Digitale zorgtoepassing],0))</f>
        <v>Sensoren - Behandeling</v>
      </c>
      <c r="B537" s="33" t="s">
        <v>53</v>
      </c>
      <c r="C537" s="33" t="s">
        <v>54</v>
      </c>
      <c r="D537" s="427" cm="1">
        <f t="array" ref="D537">INDEX(Berekening_patiëntaantal[Percentage van patiëntaantallen in Wlz (overige is Zvw)],MATCH(B537,IF(Berekening_patiëntaantal[Doelgroep (zoeksleutel)]=C537,Berekening_patiëntaantal[Digitale zorgtoepassing]),0))</f>
        <v>0</v>
      </c>
      <c r="E537" s="33" t="str" cm="1">
        <f t="array" ref="E537">INDEX(Berekening_patiëntaantal[Direct toepasbaar/extrapolatie/incidentie voor QALY],MATCH(B537,IF(Berekening_patiëntaantal[Doelgroep (zoeksleutel)]=C537,Berekening_patiëntaantal[Digitale zorgtoepassing]),0))</f>
        <v>Huidige toepassing</v>
      </c>
      <c r="F537" s="43" t="s">
        <v>812</v>
      </c>
      <c r="G537" s="33" t="str">
        <f>CONCATENATE(uitkomst_doelgroep[[#This Row],[Digitale zorgtoepassing]],"_",uitkomst_doelgroep[[#This Row],[Doelgroep]],"_",uitkomst_doelgroep[[#This Row],[Uitgangssituatie/effect beleid]])</f>
        <v>Slimme pleisters_Heup_Effect beleid</v>
      </c>
      <c r="H537" s="33">
        <v>2028</v>
      </c>
      <c r="I537" s="32">
        <v>6</v>
      </c>
      <c r="J537" s="406" cm="1">
        <f t="array" ref="J537">INDEX(implementatie[[2023]:[2034]],MATCH(G537, implementatie[Zoeksleutel],0),I537)</f>
        <v>0.87254648226050635</v>
      </c>
      <c r="K537" s="406" cm="1">
        <f t="array" ref="K537">INDEX(implementatie[[2023]:[2034]],MATCH(G537,implementatie[Zoeksleutel],0),I537 + 1)</f>
        <v>0.9195792000374251</v>
      </c>
      <c r="L53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15705.836680689114</v>
      </c>
      <c r="M537" s="398" cm="1">
        <f t="array" ref="M537">J537*INDEX(Berekening_impact[Totaal arbeidsbesparing (€/jaar)],MATCH(B537,IF(Berekening_impact[Doelgroep]=C537,Berekening_impact[Digitale zorgtoepassing]),0))</f>
        <v>5042610.1597221298</v>
      </c>
      <c r="N537" s="397" cm="1">
        <f t="array" ref="N537">J537*INDEX(Berekening_impact[Totaal arbeidsbesparing (FTE/jaar)],MATCH(B537,IF(Berekening_impact[Doelgroep]=C537,Berekening_impact[Digitale zorgtoepassing]),0))</f>
        <v>87.394530409065382</v>
      </c>
      <c r="O537" s="398" cm="1">
        <f t="array" ref="O537">J537*INDEX(Berekening_impact[Overige kostenbesparing (totaal/jaar totaal potentieel)],MATCH(B537,IF(Berekening_impact[Doelgroep]=C537,Berekening_impact[Digitale zorgtoepassing]),0))</f>
        <v>3361740.1064814203</v>
      </c>
      <c r="P537" s="398" cm="1">
        <f t="array" ref="P537">J537*INDEX(Berekening_impact[Opbrengsten door QALY''s],MATCH(B537,IF(Berekening_impact[Doelgroep]=C537,Berekening_impact[Digitale zorgtoepassing]),0))</f>
        <v>44761634.539963976</v>
      </c>
      <c r="Q537" s="398" cm="1">
        <f t="array" ref="Q537">J537*INDEX(Berekening_impact[Jaarlijkse kosten (totaal) - incl. schatting],MATCH(B537,IF(Berekening_impact[Doelgroep]=C537,Berekening_impact[Digitale zorgtoepassing]),0))</f>
        <v>3084815.3758251648</v>
      </c>
      <c r="R537" s="398" cm="1">
        <f t="array" ref="R537">(uitkomst_doelgroep[[#This Row],[Implementatiegraad t = T + 1]]-uitkomst_doelgroep[[#This Row],[Implementatiegraad t = T]])*INDEX(Berekening_impact[Initiële investering (totaal) - incl. schatting],MATCH(B537,IF(Berekening_impact[Doelgroep]=C537,Berekening_impact[Digitale zorgtoepassing]),0))</f>
        <v>125293.98433976711</v>
      </c>
      <c r="S537" s="398">
        <f>uitkomst_doelgroep[[#This Row],[Arbeidsbesparing (€)]]*uitkomst_doelgroep[[#This Row],[Percentage van patiëntaantallen in Wlz (overige is Zvw)]]</f>
        <v>0</v>
      </c>
      <c r="T537" s="398">
        <f>uitkomst_doelgroep[[#This Row],[Overige besparingen (€)]]*uitkomst_doelgroep[[#This Row],[Percentage van patiëntaantallen in Wlz (overige is Zvw)]]</f>
        <v>0</v>
      </c>
      <c r="U537" s="398">
        <f>uitkomst_doelgroep[[#This Row],[Kosten (€)]]*uitkomst_doelgroep[[#This Row],[Percentage van patiëntaantallen in Wlz (overige is Zvw)]]</f>
        <v>0</v>
      </c>
      <c r="V537" s="398">
        <f>uitkomst_doelgroep[[#This Row],[Investering (cash flow) (€)]]*uitkomst_doelgroep[[#This Row],[Percentage van patiëntaantallen in Wlz (overige is Zvw)]]</f>
        <v>0</v>
      </c>
    </row>
    <row r="538" spans="1:22" x14ac:dyDescent="0.5">
      <c r="A538" s="33" t="str">
        <f>INDEX(Technologieën[Veld],MATCH(B538,Technologieën[Digitale zorgtoepassing],0))</f>
        <v>Sensoren - Behandeling</v>
      </c>
      <c r="B538" s="33" t="s">
        <v>53</v>
      </c>
      <c r="C538" s="33" t="s">
        <v>55</v>
      </c>
      <c r="D538" s="427" cm="1">
        <f t="array" ref="D538">INDEX(Berekening_patiëntaantal[Percentage van patiëntaantallen in Wlz (overige is Zvw)],MATCH(B538,IF(Berekening_patiëntaantal[Doelgroep (zoeksleutel)]=C538,Berekening_patiëntaantal[Digitale zorgtoepassing]),0))</f>
        <v>0</v>
      </c>
      <c r="E538" s="33" t="str" cm="1">
        <f t="array" ref="E538">INDEX(Berekening_patiëntaantal[Direct toepasbaar/extrapolatie/incidentie voor QALY],MATCH(B538,IF(Berekening_patiëntaantal[Doelgroep (zoeksleutel)]=C538,Berekening_patiëntaantal[Digitale zorgtoepassing]),0))</f>
        <v>Huidige toepassing</v>
      </c>
      <c r="F538" s="43" t="s">
        <v>812</v>
      </c>
      <c r="G538" s="33" t="str">
        <f>CONCATENATE(uitkomst_doelgroep[[#This Row],[Digitale zorgtoepassing]],"_",uitkomst_doelgroep[[#This Row],[Doelgroep]],"_",uitkomst_doelgroep[[#This Row],[Uitgangssituatie/effect beleid]])</f>
        <v>Slimme pleisters_Knie_Effect beleid</v>
      </c>
      <c r="H538" s="33">
        <v>2028</v>
      </c>
      <c r="I538" s="32">
        <v>6</v>
      </c>
      <c r="J538" s="406" cm="1">
        <f t="array" ref="J538">INDEX(implementatie[[2023]:[2034]],MATCH(G538, implementatie[Zoeksleutel],0),I538)</f>
        <v>0.87254648226050635</v>
      </c>
      <c r="K538" s="406" cm="1">
        <f t="array" ref="K538">INDEX(implementatie[[2023]:[2034]],MATCH(G538,implementatie[Zoeksleutel],0),I538 + 1)</f>
        <v>0.9195792000374251</v>
      </c>
      <c r="L53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13088.197233907595</v>
      </c>
      <c r="M538" s="398" cm="1">
        <f t="array" ref="M538">J538*INDEX(Berekening_impact[Totaal arbeidsbesparing (€/jaar)],MATCH(B538,IF(Berekening_impact[Doelgroep]=C538,Berekening_impact[Digitale zorgtoepassing]),0))</f>
        <v>4202175.1331017753</v>
      </c>
      <c r="N538" s="397" cm="1">
        <f t="array" ref="N538">J538*INDEX(Berekening_impact[Totaal arbeidsbesparing (FTE/jaar)],MATCH(B538,IF(Berekening_impact[Doelgroep]=C538,Berekening_impact[Digitale zorgtoepassing]),0))</f>
        <v>72.82877534088783</v>
      </c>
      <c r="O538" s="398" cm="1">
        <f t="array" ref="O538">J538*INDEX(Berekening_impact[Overige kostenbesparing (totaal/jaar totaal potentieel)],MATCH(B538,IF(Berekening_impact[Doelgroep]=C538,Berekening_impact[Digitale zorgtoepassing]),0))</f>
        <v>2801450.0887345169</v>
      </c>
      <c r="P538" s="398" cm="1">
        <f t="array" ref="P538">J538*INDEX(Berekening_impact[Opbrengsten door QALY''s],MATCH(B538,IF(Berekening_impact[Doelgroep]=C538,Berekening_impact[Digitale zorgtoepassing]),0))</f>
        <v>37301362.116636649</v>
      </c>
      <c r="Q538" s="398" cm="1">
        <f t="array" ref="Q538">J538*INDEX(Berekening_impact[Jaarlijkse kosten (totaal) - incl. schatting],MATCH(B538,IF(Berekening_impact[Doelgroep]=C538,Berekening_impact[Digitale zorgtoepassing]),0))</f>
        <v>2728162.0012011831</v>
      </c>
      <c r="R538" s="398" cm="1">
        <f t="array" ref="R538">(uitkomst_doelgroep[[#This Row],[Implementatiegraad t = T + 1]]-uitkomst_doelgroep[[#This Row],[Implementatiegraad t = T]])*INDEX(Berekening_impact[Initiële investering (totaal) - incl. schatting],MATCH(B538,IF(Berekening_impact[Doelgroep]=C538,Berekening_impact[Digitale zorgtoepassing]),0))</f>
        <v>125293.98433976711</v>
      </c>
      <c r="S538" s="398">
        <f>uitkomst_doelgroep[[#This Row],[Arbeidsbesparing (€)]]*uitkomst_doelgroep[[#This Row],[Percentage van patiëntaantallen in Wlz (overige is Zvw)]]</f>
        <v>0</v>
      </c>
      <c r="T538" s="398">
        <f>uitkomst_doelgroep[[#This Row],[Overige besparingen (€)]]*uitkomst_doelgroep[[#This Row],[Percentage van patiëntaantallen in Wlz (overige is Zvw)]]</f>
        <v>0</v>
      </c>
      <c r="U538" s="398">
        <f>uitkomst_doelgroep[[#This Row],[Kosten (€)]]*uitkomst_doelgroep[[#This Row],[Percentage van patiëntaantallen in Wlz (overige is Zvw)]]</f>
        <v>0</v>
      </c>
      <c r="V538" s="398">
        <f>uitkomst_doelgroep[[#This Row],[Investering (cash flow) (€)]]*uitkomst_doelgroep[[#This Row],[Percentage van patiëntaantallen in Wlz (overige is Zvw)]]</f>
        <v>0</v>
      </c>
    </row>
    <row r="539" spans="1:22" x14ac:dyDescent="0.5">
      <c r="A539" s="33" t="str">
        <f>INDEX(Technologieën[Veld],MATCH(B539,Technologieën[Digitale zorgtoepassing],0))</f>
        <v>Sensoren - Behandeling</v>
      </c>
      <c r="B539" s="33" t="s">
        <v>53</v>
      </c>
      <c r="C539" s="33" t="s">
        <v>722</v>
      </c>
      <c r="D539" s="427" cm="1">
        <f t="array" ref="D539">INDEX(Berekening_patiëntaantal[Percentage van patiëntaantallen in Wlz (overige is Zvw)],MATCH(B539,IF(Berekening_patiëntaantal[Doelgroep (zoeksleutel)]=C539,Berekening_patiëntaantal[Digitale zorgtoepassing]),0))</f>
        <v>0</v>
      </c>
      <c r="E539" s="33" t="str" cm="1">
        <f t="array" ref="E539">INDEX(Berekening_patiëntaantal[Direct toepasbaar/extrapolatie/incidentie voor QALY],MATCH(B539,IF(Berekening_patiëntaantal[Doelgroep (zoeksleutel)]=C539,Berekening_patiëntaantal[Digitale zorgtoepassing]),0))</f>
        <v>Extrapolatie</v>
      </c>
      <c r="F539" s="43" t="s">
        <v>812</v>
      </c>
      <c r="G539" s="33" t="str">
        <f>CONCATENATE(uitkomst_doelgroep[[#This Row],[Digitale zorgtoepassing]],"_",uitkomst_doelgroep[[#This Row],[Doelgroep]],"_",uitkomst_doelgroep[[#This Row],[Uitgangssituatie/effect beleid]])</f>
        <v>Slimme pleisters_Overige_aandoeningen_Effect beleid</v>
      </c>
      <c r="H539" s="33">
        <v>2028</v>
      </c>
      <c r="I539" s="32">
        <v>6</v>
      </c>
      <c r="J539" s="406" cm="1">
        <f t="array" ref="J539">INDEX(implementatie[[2023]:[2034]],MATCH(G539, implementatie[Zoeksleutel],0),I539)</f>
        <v>8.4566978560000006E-2</v>
      </c>
      <c r="K539" s="406" cm="1">
        <f t="array" ref="K539">INDEX(implementatie[[2023]:[2034]],MATCH(G539,implementatie[Zoeksleutel],0),I539 + 1)</f>
        <v>0.13384180086769301</v>
      </c>
      <c r="L53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21057.964721961522</v>
      </c>
      <c r="M539" s="398" cm="1">
        <f t="array" ref="M539">J539*INDEX(Berekening_impact[Totaal arbeidsbesparing (€/jaar)],MATCH(B539,IF(Berekening_impact[Doelgroep]=C539,Berekening_impact[Digitale zorgtoepassing]),0))</f>
        <v>6760996.501421296</v>
      </c>
      <c r="N539" s="397" cm="1">
        <f t="array" ref="N539">J539*INDEX(Berekening_impact[Totaal arbeidsbesparing (FTE/jaar)],MATCH(B539,IF(Berekening_impact[Doelgroep]=C539,Berekening_impact[Digitale zorgtoepassing]),0))</f>
        <v>117.17624318029931</v>
      </c>
      <c r="O539" s="398" cm="1">
        <f t="array" ref="O539">J539*INDEX(Berekening_impact[Overige kostenbesparing (totaal/jaar totaal potentieel)],MATCH(B539,IF(Berekening_impact[Doelgroep]=C539,Berekening_impact[Digitale zorgtoepassing]),0))</f>
        <v>4507331.0009475313</v>
      </c>
      <c r="P539" s="398" cm="1">
        <f t="array" ref="P539">J539*INDEX(Berekening_impact[Opbrengsten door QALY''s],MATCH(B539,IF(Berekening_impact[Doelgroep]=C539,Berekening_impact[Digitale zorgtoepassing]),0))</f>
        <v>60015199.457590342</v>
      </c>
      <c r="Q539" s="398" cm="1">
        <f t="array" ref="Q539">J539*INDEX(Berekening_impact[Jaarlijkse kosten (totaal) - incl. schatting],MATCH(B539,IF(Berekening_impact[Doelgroep]=C539,Berekening_impact[Digitale zorgtoepassing]),0))</f>
        <v>2960726.6838995237</v>
      </c>
      <c r="R539" s="398" cm="1">
        <f t="array" ref="R539">(uitkomst_doelgroep[[#This Row],[Implementatiegraad t = T + 1]]-uitkomst_doelgroep[[#This Row],[Implementatiegraad t = T]])*INDEX(Berekening_impact[Initiële investering (totaal) - incl. schatting],MATCH(B539,IF(Berekening_impact[Doelgroep]=C539,Berekening_impact[Digitale zorgtoepassing]),0))</f>
        <v>0</v>
      </c>
      <c r="S539" s="398">
        <f>uitkomst_doelgroep[[#This Row],[Arbeidsbesparing (€)]]*uitkomst_doelgroep[[#This Row],[Percentage van patiëntaantallen in Wlz (overige is Zvw)]]</f>
        <v>0</v>
      </c>
      <c r="T539" s="398">
        <f>uitkomst_doelgroep[[#This Row],[Overige besparingen (€)]]*uitkomst_doelgroep[[#This Row],[Percentage van patiëntaantallen in Wlz (overige is Zvw)]]</f>
        <v>0</v>
      </c>
      <c r="U539" s="398">
        <f>uitkomst_doelgroep[[#This Row],[Kosten (€)]]*uitkomst_doelgroep[[#This Row],[Percentage van patiëntaantallen in Wlz (overige is Zvw)]]</f>
        <v>0</v>
      </c>
      <c r="V539" s="398">
        <f>uitkomst_doelgroep[[#This Row],[Investering (cash flow) (€)]]*uitkomst_doelgroep[[#This Row],[Percentage van patiëntaantallen in Wlz (overige is Zvw)]]</f>
        <v>0</v>
      </c>
    </row>
    <row r="540" spans="1:22" x14ac:dyDescent="0.5">
      <c r="A540" s="33" t="str">
        <f>INDEX(Technologieën[Veld],MATCH(B540,Technologieën[Digitale zorgtoepassing],0))</f>
        <v>Sensoren - Behandeling</v>
      </c>
      <c r="B540" s="33" t="s">
        <v>53</v>
      </c>
      <c r="C540" s="33" t="s">
        <v>54</v>
      </c>
      <c r="D540" s="427" cm="1">
        <f t="array" ref="D540">INDEX(Berekening_patiëntaantal[Percentage van patiëntaantallen in Wlz (overige is Zvw)],MATCH(B540,IF(Berekening_patiëntaantal[Doelgroep (zoeksleutel)]=C540,Berekening_patiëntaantal[Digitale zorgtoepassing]),0))</f>
        <v>0</v>
      </c>
      <c r="E540" s="33" t="str" cm="1">
        <f t="array" ref="E540">INDEX(Berekening_patiëntaantal[Direct toepasbaar/extrapolatie/incidentie voor QALY],MATCH(B540,IF(Berekening_patiëntaantal[Doelgroep (zoeksleutel)]=C540,Berekening_patiëntaantal[Digitale zorgtoepassing]),0))</f>
        <v>Huidige toepassing</v>
      </c>
      <c r="F540" s="43" t="s">
        <v>812</v>
      </c>
      <c r="G540" s="33" t="str">
        <f>CONCATENATE(uitkomst_doelgroep[[#This Row],[Digitale zorgtoepassing]],"_",uitkomst_doelgroep[[#This Row],[Doelgroep]],"_",uitkomst_doelgroep[[#This Row],[Uitgangssituatie/effect beleid]])</f>
        <v>Slimme pleisters_Heup_Effect beleid</v>
      </c>
      <c r="H540" s="33">
        <v>2029</v>
      </c>
      <c r="I540" s="32">
        <v>7</v>
      </c>
      <c r="J540" s="406" cm="1">
        <f t="array" ref="J540">INDEX(implementatie[[2023]:[2034]],MATCH(G540, implementatie[Zoeksleutel],0),I540)</f>
        <v>0.9195792000374251</v>
      </c>
      <c r="K540" s="406" cm="1">
        <f t="array" ref="K540">INDEX(implementatie[[2023]:[2034]],MATCH(G540,implementatie[Zoeksleutel],0),I540 + 1)</f>
        <v>0.95076893399505846</v>
      </c>
      <c r="L54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16552.42560067365</v>
      </c>
      <c r="M540" s="398" cm="1">
        <f t="array" ref="M540">J540*INDEX(Berekening_impact[Totaal arbeidsbesparing (€/jaar)],MATCH(B540,IF(Berekening_impact[Doelgroep]=C540,Berekening_impact[Digitale zorgtoepassing]),0))</f>
        <v>5314421.0779058849</v>
      </c>
      <c r="N540" s="397" cm="1">
        <f t="array" ref="N540">J540*INDEX(Berekening_impact[Totaal arbeidsbesparing (FTE/jaar)],MATCH(B540,IF(Berekening_impact[Doelgroep]=C540,Berekening_impact[Digitale zorgtoepassing]),0))</f>
        <v>92.105342231178398</v>
      </c>
      <c r="O540" s="398" cm="1">
        <f t="array" ref="O540">J540*INDEX(Berekening_impact[Overige kostenbesparing (totaal/jaar totaal potentieel)],MATCH(B540,IF(Berekening_impact[Doelgroep]=C540,Berekening_impact[Digitale zorgtoepassing]),0))</f>
        <v>3542947.3852705909</v>
      </c>
      <c r="P540" s="398" cm="1">
        <f t="array" ref="P540">J540*INDEX(Berekening_impact[Opbrengsten door QALY''s],MATCH(B540,IF(Berekening_impact[Doelgroep]=C540,Berekening_impact[Digitale zorgtoepassing]),0))</f>
        <v>47174412.961919911</v>
      </c>
      <c r="Q540" s="398" cm="1">
        <f t="array" ref="Q540">J540*INDEX(Berekening_impact[Jaarlijkse kosten (totaal) - incl. schatting],MATCH(B540,IF(Berekening_impact[Doelgroep]=C540,Berekening_impact[Digitale zorgtoepassing]),0))</f>
        <v>3251095.6301323134</v>
      </c>
      <c r="R540" s="398" cm="1">
        <f t="array" ref="R540">(uitkomst_doelgroep[[#This Row],[Implementatiegraad t = T + 1]]-uitkomst_doelgroep[[#This Row],[Implementatiegraad t = T]])*INDEX(Berekening_impact[Initiële investering (totaal) - incl. schatting],MATCH(B540,IF(Berekening_impact[Doelgroep]=C540,Berekening_impact[Digitale zorgtoepassing]),0))</f>
        <v>83088.671519786309</v>
      </c>
      <c r="S540" s="398">
        <f>uitkomst_doelgroep[[#This Row],[Arbeidsbesparing (€)]]*uitkomst_doelgroep[[#This Row],[Percentage van patiëntaantallen in Wlz (overige is Zvw)]]</f>
        <v>0</v>
      </c>
      <c r="T540" s="398">
        <f>uitkomst_doelgroep[[#This Row],[Overige besparingen (€)]]*uitkomst_doelgroep[[#This Row],[Percentage van patiëntaantallen in Wlz (overige is Zvw)]]</f>
        <v>0</v>
      </c>
      <c r="U540" s="398">
        <f>uitkomst_doelgroep[[#This Row],[Kosten (€)]]*uitkomst_doelgroep[[#This Row],[Percentage van patiëntaantallen in Wlz (overige is Zvw)]]</f>
        <v>0</v>
      </c>
      <c r="V540" s="398">
        <f>uitkomst_doelgroep[[#This Row],[Investering (cash flow) (€)]]*uitkomst_doelgroep[[#This Row],[Percentage van patiëntaantallen in Wlz (overige is Zvw)]]</f>
        <v>0</v>
      </c>
    </row>
    <row r="541" spans="1:22" x14ac:dyDescent="0.5">
      <c r="A541" s="33" t="str">
        <f>INDEX(Technologieën[Veld],MATCH(B541,Technologieën[Digitale zorgtoepassing],0))</f>
        <v>Sensoren - Behandeling</v>
      </c>
      <c r="B541" s="33" t="s">
        <v>53</v>
      </c>
      <c r="C541" s="33" t="s">
        <v>55</v>
      </c>
      <c r="D541" s="427" cm="1">
        <f t="array" ref="D541">INDEX(Berekening_patiëntaantal[Percentage van patiëntaantallen in Wlz (overige is Zvw)],MATCH(B541,IF(Berekening_patiëntaantal[Doelgroep (zoeksleutel)]=C541,Berekening_patiëntaantal[Digitale zorgtoepassing]),0))</f>
        <v>0</v>
      </c>
      <c r="E541" s="33" t="str" cm="1">
        <f t="array" ref="E541">INDEX(Berekening_patiëntaantal[Direct toepasbaar/extrapolatie/incidentie voor QALY],MATCH(B541,IF(Berekening_patiëntaantal[Doelgroep (zoeksleutel)]=C541,Berekening_patiëntaantal[Digitale zorgtoepassing]),0))</f>
        <v>Huidige toepassing</v>
      </c>
      <c r="F541" s="43" t="s">
        <v>812</v>
      </c>
      <c r="G541" s="33" t="str">
        <f>CONCATENATE(uitkomst_doelgroep[[#This Row],[Digitale zorgtoepassing]],"_",uitkomst_doelgroep[[#This Row],[Doelgroep]],"_",uitkomst_doelgroep[[#This Row],[Uitgangssituatie/effect beleid]])</f>
        <v>Slimme pleisters_Knie_Effect beleid</v>
      </c>
      <c r="H541" s="33">
        <v>2029</v>
      </c>
      <c r="I541" s="32">
        <v>7</v>
      </c>
      <c r="J541" s="406" cm="1">
        <f t="array" ref="J541">INDEX(implementatie[[2023]:[2034]],MATCH(G541, implementatie[Zoeksleutel],0),I541)</f>
        <v>0.9195792000374251</v>
      </c>
      <c r="K541" s="406" cm="1">
        <f t="array" ref="K541">INDEX(implementatie[[2023]:[2034]],MATCH(G541,implementatie[Zoeksleutel],0),I541 + 1)</f>
        <v>0.95076893399505846</v>
      </c>
      <c r="L54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13793.688000561377</v>
      </c>
      <c r="M541" s="398" cm="1">
        <f t="array" ref="M541">J541*INDEX(Berekening_impact[Totaal arbeidsbesparing (€/jaar)],MATCH(B541,IF(Berekening_impact[Doelgroep]=C541,Berekening_impact[Digitale zorgtoepassing]),0))</f>
        <v>4428684.2315882379</v>
      </c>
      <c r="N541" s="397" cm="1">
        <f t="array" ref="N541">J541*INDEX(Berekening_impact[Totaal arbeidsbesparing (FTE/jaar)],MATCH(B541,IF(Berekening_impact[Doelgroep]=C541,Berekening_impact[Digitale zorgtoepassing]),0))</f>
        <v>76.754451859315338</v>
      </c>
      <c r="O541" s="398" cm="1">
        <f t="array" ref="O541">J541*INDEX(Berekening_impact[Overige kostenbesparing (totaal/jaar totaal potentieel)],MATCH(B541,IF(Berekening_impact[Doelgroep]=C541,Berekening_impact[Digitale zorgtoepassing]),0))</f>
        <v>2952456.1543921591</v>
      </c>
      <c r="P541" s="398" cm="1">
        <f t="array" ref="P541">J541*INDEX(Berekening_impact[Opbrengsten door QALY''s],MATCH(B541,IF(Berekening_impact[Doelgroep]=C541,Berekening_impact[Digitale zorgtoepassing]),0))</f>
        <v>39312010.80159992</v>
      </c>
      <c r="Q541" s="398" cm="1">
        <f t="array" ref="Q541">J541*INDEX(Berekening_impact[Jaarlijkse kosten (totaal) - incl. schatting],MATCH(B541,IF(Berekening_impact[Doelgroep]=C541,Berekening_impact[Digitale zorgtoepassing]),0))</f>
        <v>2875217.6321170158</v>
      </c>
      <c r="R541" s="398" cm="1">
        <f t="array" ref="R541">(uitkomst_doelgroep[[#This Row],[Implementatiegraad t = T + 1]]-uitkomst_doelgroep[[#This Row],[Implementatiegraad t = T]])*INDEX(Berekening_impact[Initiële investering (totaal) - incl. schatting],MATCH(B541,IF(Berekening_impact[Doelgroep]=C541,Berekening_impact[Digitale zorgtoepassing]),0))</f>
        <v>83088.671519786309</v>
      </c>
      <c r="S541" s="398">
        <f>uitkomst_doelgroep[[#This Row],[Arbeidsbesparing (€)]]*uitkomst_doelgroep[[#This Row],[Percentage van patiëntaantallen in Wlz (overige is Zvw)]]</f>
        <v>0</v>
      </c>
      <c r="T541" s="398">
        <f>uitkomst_doelgroep[[#This Row],[Overige besparingen (€)]]*uitkomst_doelgroep[[#This Row],[Percentage van patiëntaantallen in Wlz (overige is Zvw)]]</f>
        <v>0</v>
      </c>
      <c r="U541" s="398">
        <f>uitkomst_doelgroep[[#This Row],[Kosten (€)]]*uitkomst_doelgroep[[#This Row],[Percentage van patiëntaantallen in Wlz (overige is Zvw)]]</f>
        <v>0</v>
      </c>
      <c r="V541" s="398">
        <f>uitkomst_doelgroep[[#This Row],[Investering (cash flow) (€)]]*uitkomst_doelgroep[[#This Row],[Percentage van patiëntaantallen in Wlz (overige is Zvw)]]</f>
        <v>0</v>
      </c>
    </row>
    <row r="542" spans="1:22" x14ac:dyDescent="0.5">
      <c r="A542" s="33" t="str">
        <f>INDEX(Technologieën[Veld],MATCH(B542,Technologieën[Digitale zorgtoepassing],0))</f>
        <v>Sensoren - Behandeling</v>
      </c>
      <c r="B542" s="33" t="s">
        <v>53</v>
      </c>
      <c r="C542" s="33" t="s">
        <v>722</v>
      </c>
      <c r="D542" s="427" cm="1">
        <f t="array" ref="D542">INDEX(Berekening_patiëntaantal[Percentage van patiëntaantallen in Wlz (overige is Zvw)],MATCH(B542,IF(Berekening_patiëntaantal[Doelgroep (zoeksleutel)]=C542,Berekening_patiëntaantal[Digitale zorgtoepassing]),0))</f>
        <v>0</v>
      </c>
      <c r="E542" s="33" t="str" cm="1">
        <f t="array" ref="E542">INDEX(Berekening_patiëntaantal[Direct toepasbaar/extrapolatie/incidentie voor QALY],MATCH(B542,IF(Berekening_patiëntaantal[Doelgroep (zoeksleutel)]=C542,Berekening_patiëntaantal[Digitale zorgtoepassing]),0))</f>
        <v>Extrapolatie</v>
      </c>
      <c r="F542" s="43" t="s">
        <v>812</v>
      </c>
      <c r="G542" s="33" t="str">
        <f>CONCATENATE(uitkomst_doelgroep[[#This Row],[Digitale zorgtoepassing]],"_",uitkomst_doelgroep[[#This Row],[Doelgroep]],"_",uitkomst_doelgroep[[#This Row],[Uitgangssituatie/effect beleid]])</f>
        <v>Slimme pleisters_Overige_aandoeningen_Effect beleid</v>
      </c>
      <c r="H542" s="33">
        <v>2029</v>
      </c>
      <c r="I542" s="32">
        <v>7</v>
      </c>
      <c r="J542" s="406" cm="1">
        <f t="array" ref="J542">INDEX(implementatie[[2023]:[2034]],MATCH(G542, implementatie[Zoeksleutel],0),I542)</f>
        <v>0.13384180086769301</v>
      </c>
      <c r="K542" s="406" cm="1">
        <f t="array" ref="K542">INDEX(implementatie[[2023]:[2034]],MATCH(G542,implementatie[Zoeksleutel],0),I542 + 1)</f>
        <v>0.19753623413361349</v>
      </c>
      <c r="L54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33327.854074814873</v>
      </c>
      <c r="M542" s="398" cm="1">
        <f t="array" ref="M542">J542*INDEX(Berekening_impact[Totaal arbeidsbesparing (€/jaar)],MATCH(B542,IF(Berekening_impact[Doelgroep]=C542,Berekening_impact[Digitale zorgtoepassing]),0))</f>
        <v>10700440.79638451</v>
      </c>
      <c r="N542" s="397" cm="1">
        <f t="array" ref="N542">J542*INDEX(Berekening_impact[Totaal arbeidsbesparing (FTE/jaar)],MATCH(B542,IF(Berekening_impact[Doelgroep]=C542,Berekening_impact[Digitale zorgtoepassing]),0))</f>
        <v>185.45157546375972</v>
      </c>
      <c r="O542" s="398" cm="1">
        <f t="array" ref="O542">J542*INDEX(Berekening_impact[Overige kostenbesparing (totaal/jaar totaal potentieel)],MATCH(B542,IF(Berekening_impact[Doelgroep]=C542,Berekening_impact[Digitale zorgtoepassing]),0))</f>
        <v>7133627.197589675</v>
      </c>
      <c r="P542" s="398" cm="1">
        <f t="array" ref="P542">J542*INDEX(Berekening_impact[Opbrengsten door QALY''s],MATCH(B542,IF(Berekening_impact[Doelgroep]=C542,Berekening_impact[Digitale zorgtoepassing]),0))</f>
        <v>94984384.113222405</v>
      </c>
      <c r="Q542" s="398" cm="1">
        <f t="array" ref="Q542">J542*INDEX(Berekening_impact[Jaarlijkse kosten (totaal) - incl. schatting],MATCH(B542,IF(Berekening_impact[Doelgroep]=C542,Berekening_impact[Digitale zorgtoepassing]),0))</f>
        <v>4685859.634549832</v>
      </c>
      <c r="R542" s="398" cm="1">
        <f t="array" ref="R542">(uitkomst_doelgroep[[#This Row],[Implementatiegraad t = T + 1]]-uitkomst_doelgroep[[#This Row],[Implementatiegraad t = T]])*INDEX(Berekening_impact[Initiële investering (totaal) - incl. schatting],MATCH(B542,IF(Berekening_impact[Doelgroep]=C542,Berekening_impact[Digitale zorgtoepassing]),0))</f>
        <v>0</v>
      </c>
      <c r="S542" s="398">
        <f>uitkomst_doelgroep[[#This Row],[Arbeidsbesparing (€)]]*uitkomst_doelgroep[[#This Row],[Percentage van patiëntaantallen in Wlz (overige is Zvw)]]</f>
        <v>0</v>
      </c>
      <c r="T542" s="398">
        <f>uitkomst_doelgroep[[#This Row],[Overige besparingen (€)]]*uitkomst_doelgroep[[#This Row],[Percentage van patiëntaantallen in Wlz (overige is Zvw)]]</f>
        <v>0</v>
      </c>
      <c r="U542" s="398">
        <f>uitkomst_doelgroep[[#This Row],[Kosten (€)]]*uitkomst_doelgroep[[#This Row],[Percentage van patiëntaantallen in Wlz (overige is Zvw)]]</f>
        <v>0</v>
      </c>
      <c r="V542" s="398">
        <f>uitkomst_doelgroep[[#This Row],[Investering (cash flow) (€)]]*uitkomst_doelgroep[[#This Row],[Percentage van patiëntaantallen in Wlz (overige is Zvw)]]</f>
        <v>0</v>
      </c>
    </row>
    <row r="543" spans="1:22" x14ac:dyDescent="0.5">
      <c r="A543" s="33" t="str">
        <f>INDEX(Technologieën[Veld],MATCH(B543,Technologieën[Digitale zorgtoepassing],0))</f>
        <v>Sensoren - Behandeling</v>
      </c>
      <c r="B543" s="33" t="s">
        <v>53</v>
      </c>
      <c r="C543" s="33" t="s">
        <v>54</v>
      </c>
      <c r="D543" s="427" cm="1">
        <f t="array" ref="D543">INDEX(Berekening_patiëntaantal[Percentage van patiëntaantallen in Wlz (overige is Zvw)],MATCH(B543,IF(Berekening_patiëntaantal[Doelgroep (zoeksleutel)]=C543,Berekening_patiëntaantal[Digitale zorgtoepassing]),0))</f>
        <v>0</v>
      </c>
      <c r="E543" s="33" t="str" cm="1">
        <f t="array" ref="E543">INDEX(Berekening_patiëntaantal[Direct toepasbaar/extrapolatie/incidentie voor QALY],MATCH(B543,IF(Berekening_patiëntaantal[Doelgroep (zoeksleutel)]=C543,Berekening_patiëntaantal[Digitale zorgtoepassing]),0))</f>
        <v>Huidige toepassing</v>
      </c>
      <c r="F543" s="43" t="s">
        <v>812</v>
      </c>
      <c r="G543" s="33" t="str">
        <f>CONCATENATE(uitkomst_doelgroep[[#This Row],[Digitale zorgtoepassing]],"_",uitkomst_doelgroep[[#This Row],[Doelgroep]],"_",uitkomst_doelgroep[[#This Row],[Uitgangssituatie/effect beleid]])</f>
        <v>Slimme pleisters_Heup_Effect beleid</v>
      </c>
      <c r="H543" s="33">
        <v>2030</v>
      </c>
      <c r="I543" s="32">
        <v>8</v>
      </c>
      <c r="J543" s="406" cm="1">
        <f t="array" ref="J543">INDEX(implementatie[[2023]:[2034]],MATCH(G543, implementatie[Zoeksleutel],0),I543)</f>
        <v>0.95076893399505846</v>
      </c>
      <c r="K543" s="406" cm="1">
        <f t="array" ref="K543">INDEX(implementatie[[2023]:[2034]],MATCH(G543,implementatie[Zoeksleutel],0),I543 + 1)</f>
        <v>0.97047650257314066</v>
      </c>
      <c r="L54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17113.840811911054</v>
      </c>
      <c r="M543" s="398" cm="1">
        <f t="array" ref="M543">J543*INDEX(Berekening_impact[Totaal arbeidsbesparing (€/jaar)],MATCH(B543,IF(Berekening_impact[Doelgroep]=C543,Berekening_impact[Digitale zorgtoepassing]),0))</f>
        <v>5494672.4141170317</v>
      </c>
      <c r="N543" s="397" cm="1">
        <f t="array" ref="N543">J543*INDEX(Berekening_impact[Totaal arbeidsbesparing (FTE/jaar)],MATCH(B543,IF(Berekening_impact[Doelgroep]=C543,Berekening_impact[Digitale zorgtoepassing]),0))</f>
        <v>95.229315805341784</v>
      </c>
      <c r="O543" s="398" cm="1">
        <f t="array" ref="O543">J543*INDEX(Berekening_impact[Overige kostenbesparing (totaal/jaar totaal potentieel)],MATCH(B543,IF(Berekening_impact[Doelgroep]=C543,Berekening_impact[Digitale zorgtoepassing]),0))</f>
        <v>3663114.9427446891</v>
      </c>
      <c r="P543" s="398" cm="1">
        <f t="array" ref="P543">J543*INDEX(Berekening_impact[Opbrengsten door QALY''s],MATCH(B543,IF(Berekening_impact[Doelgroep]=C543,Berekening_impact[Digitale zorgtoepassing]),0))</f>
        <v>48774446.3139465</v>
      </c>
      <c r="Q543" s="398" cm="1">
        <f t="array" ref="Q543">J543*INDEX(Berekening_impact[Jaarlijkse kosten (totaal) - incl. schatting],MATCH(B543,IF(Berekening_impact[Doelgroep]=C543,Berekening_impact[Digitale zorgtoepassing]),0))</f>
        <v>3361364.3353950293</v>
      </c>
      <c r="R543" s="398" cm="1">
        <f t="array" ref="R543">(uitkomst_doelgroep[[#This Row],[Implementatiegraad t = T + 1]]-uitkomst_doelgroep[[#This Row],[Implementatiegraad t = T]])*INDEX(Berekening_impact[Initiële investering (totaal) - incl. schatting],MATCH(B543,IF(Berekening_impact[Doelgroep]=C543,Berekening_impact[Digitale zorgtoepassing]),0))</f>
        <v>52500.470002796523</v>
      </c>
      <c r="S543" s="398">
        <f>uitkomst_doelgroep[[#This Row],[Arbeidsbesparing (€)]]*uitkomst_doelgroep[[#This Row],[Percentage van patiëntaantallen in Wlz (overige is Zvw)]]</f>
        <v>0</v>
      </c>
      <c r="T543" s="398">
        <f>uitkomst_doelgroep[[#This Row],[Overige besparingen (€)]]*uitkomst_doelgroep[[#This Row],[Percentage van patiëntaantallen in Wlz (overige is Zvw)]]</f>
        <v>0</v>
      </c>
      <c r="U543" s="398">
        <f>uitkomst_doelgroep[[#This Row],[Kosten (€)]]*uitkomst_doelgroep[[#This Row],[Percentage van patiëntaantallen in Wlz (overige is Zvw)]]</f>
        <v>0</v>
      </c>
      <c r="V543" s="398">
        <f>uitkomst_doelgroep[[#This Row],[Investering (cash flow) (€)]]*uitkomst_doelgroep[[#This Row],[Percentage van patiëntaantallen in Wlz (overige is Zvw)]]</f>
        <v>0</v>
      </c>
    </row>
    <row r="544" spans="1:22" x14ac:dyDescent="0.5">
      <c r="A544" s="33" t="str">
        <f>INDEX(Technologieën[Veld],MATCH(B544,Technologieën[Digitale zorgtoepassing],0))</f>
        <v>Sensoren - Behandeling</v>
      </c>
      <c r="B544" s="33" t="s">
        <v>53</v>
      </c>
      <c r="C544" s="33" t="s">
        <v>55</v>
      </c>
      <c r="D544" s="427" cm="1">
        <f t="array" ref="D544">INDEX(Berekening_patiëntaantal[Percentage van patiëntaantallen in Wlz (overige is Zvw)],MATCH(B544,IF(Berekening_patiëntaantal[Doelgroep (zoeksleutel)]=C544,Berekening_patiëntaantal[Digitale zorgtoepassing]),0))</f>
        <v>0</v>
      </c>
      <c r="E544" s="33" t="str" cm="1">
        <f t="array" ref="E544">INDEX(Berekening_patiëntaantal[Direct toepasbaar/extrapolatie/incidentie voor QALY],MATCH(B544,IF(Berekening_patiëntaantal[Doelgroep (zoeksleutel)]=C544,Berekening_patiëntaantal[Digitale zorgtoepassing]),0))</f>
        <v>Huidige toepassing</v>
      </c>
      <c r="F544" s="43" t="s">
        <v>812</v>
      </c>
      <c r="G544" s="33" t="str">
        <f>CONCATENATE(uitkomst_doelgroep[[#This Row],[Digitale zorgtoepassing]],"_",uitkomst_doelgroep[[#This Row],[Doelgroep]],"_",uitkomst_doelgroep[[#This Row],[Uitgangssituatie/effect beleid]])</f>
        <v>Slimme pleisters_Knie_Effect beleid</v>
      </c>
      <c r="H544" s="33">
        <v>2030</v>
      </c>
      <c r="I544" s="32">
        <v>8</v>
      </c>
      <c r="J544" s="406" cm="1">
        <f t="array" ref="J544">INDEX(implementatie[[2023]:[2034]],MATCH(G544, implementatie[Zoeksleutel],0),I544)</f>
        <v>0.95076893399505846</v>
      </c>
      <c r="K544" s="406" cm="1">
        <f t="array" ref="K544">INDEX(implementatie[[2023]:[2034]],MATCH(G544,implementatie[Zoeksleutel],0),I544 + 1)</f>
        <v>0.97047650257314066</v>
      </c>
      <c r="L54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14261.534009925877</v>
      </c>
      <c r="M544" s="398" cm="1">
        <f t="array" ref="M544">J544*INDEX(Berekening_impact[Totaal arbeidsbesparing (€/jaar)],MATCH(B544,IF(Berekening_impact[Doelgroep]=C544,Berekening_impact[Digitale zorgtoepassing]),0))</f>
        <v>4578893.6784308609</v>
      </c>
      <c r="N544" s="397" cm="1">
        <f t="array" ref="N544">J544*INDEX(Berekening_impact[Totaal arbeidsbesparing (FTE/jaar)],MATCH(B544,IF(Berekening_impact[Doelgroep]=C544,Berekening_impact[Digitale zorgtoepassing]),0))</f>
        <v>79.357763171118165</v>
      </c>
      <c r="O544" s="398" cm="1">
        <f t="array" ref="O544">J544*INDEX(Berekening_impact[Overige kostenbesparing (totaal/jaar totaal potentieel)],MATCH(B544,IF(Berekening_impact[Doelgroep]=C544,Berekening_impact[Digitale zorgtoepassing]),0))</f>
        <v>3052595.7856205739</v>
      </c>
      <c r="P544" s="398" cm="1">
        <f t="array" ref="P544">J544*INDEX(Berekening_impact[Opbrengsten door QALY''s],MATCH(B544,IF(Berekening_impact[Doelgroep]=C544,Berekening_impact[Digitale zorgtoepassing]),0))</f>
        <v>40645371.92828875</v>
      </c>
      <c r="Q544" s="398" cm="1">
        <f t="array" ref="Q544">J544*INDEX(Berekening_impact[Jaarlijkse kosten (totaal) - incl. schatting],MATCH(B544,IF(Berekening_impact[Doelgroep]=C544,Berekening_impact[Digitale zorgtoepassing]),0))</f>
        <v>2972737.5336245494</v>
      </c>
      <c r="R544" s="398" cm="1">
        <f t="array" ref="R544">(uitkomst_doelgroep[[#This Row],[Implementatiegraad t = T + 1]]-uitkomst_doelgroep[[#This Row],[Implementatiegraad t = T]])*INDEX(Berekening_impact[Initiële investering (totaal) - incl. schatting],MATCH(B544,IF(Berekening_impact[Doelgroep]=C544,Berekening_impact[Digitale zorgtoepassing]),0))</f>
        <v>52500.470002796523</v>
      </c>
      <c r="S544" s="398">
        <f>uitkomst_doelgroep[[#This Row],[Arbeidsbesparing (€)]]*uitkomst_doelgroep[[#This Row],[Percentage van patiëntaantallen in Wlz (overige is Zvw)]]</f>
        <v>0</v>
      </c>
      <c r="T544" s="398">
        <f>uitkomst_doelgroep[[#This Row],[Overige besparingen (€)]]*uitkomst_doelgroep[[#This Row],[Percentage van patiëntaantallen in Wlz (overige is Zvw)]]</f>
        <v>0</v>
      </c>
      <c r="U544" s="398">
        <f>uitkomst_doelgroep[[#This Row],[Kosten (€)]]*uitkomst_doelgroep[[#This Row],[Percentage van patiëntaantallen in Wlz (overige is Zvw)]]</f>
        <v>0</v>
      </c>
      <c r="V544" s="398">
        <f>uitkomst_doelgroep[[#This Row],[Investering (cash flow) (€)]]*uitkomst_doelgroep[[#This Row],[Percentage van patiëntaantallen in Wlz (overige is Zvw)]]</f>
        <v>0</v>
      </c>
    </row>
    <row r="545" spans="1:22" x14ac:dyDescent="0.5">
      <c r="A545" s="33" t="str">
        <f>INDEX(Technologieën[Veld],MATCH(B545,Technologieën[Digitale zorgtoepassing],0))</f>
        <v>Sensoren - Behandeling</v>
      </c>
      <c r="B545" s="33" t="s">
        <v>53</v>
      </c>
      <c r="C545" s="33" t="s">
        <v>722</v>
      </c>
      <c r="D545" s="427" cm="1">
        <f t="array" ref="D545">INDEX(Berekening_patiëntaantal[Percentage van patiëntaantallen in Wlz (overige is Zvw)],MATCH(B545,IF(Berekening_patiëntaantal[Doelgroep (zoeksleutel)]=C545,Berekening_patiëntaantal[Digitale zorgtoepassing]),0))</f>
        <v>0</v>
      </c>
      <c r="E545" s="33" t="str" cm="1">
        <f t="array" ref="E545">INDEX(Berekening_patiëntaantal[Direct toepasbaar/extrapolatie/incidentie voor QALY],MATCH(B545,IF(Berekening_patiëntaantal[Doelgroep (zoeksleutel)]=C545,Berekening_patiëntaantal[Digitale zorgtoepassing]),0))</f>
        <v>Extrapolatie</v>
      </c>
      <c r="F545" s="43" t="s">
        <v>812</v>
      </c>
      <c r="G545" s="33" t="str">
        <f>CONCATENATE(uitkomst_doelgroep[[#This Row],[Digitale zorgtoepassing]],"_",uitkomst_doelgroep[[#This Row],[Doelgroep]],"_",uitkomst_doelgroep[[#This Row],[Uitgangssituatie/effect beleid]])</f>
        <v>Slimme pleisters_Overige_aandoeningen_Effect beleid</v>
      </c>
      <c r="H545" s="33">
        <v>2030</v>
      </c>
      <c r="I545" s="32">
        <v>8</v>
      </c>
      <c r="J545" s="406" cm="1">
        <f t="array" ref="J545">INDEX(implementatie[[2023]:[2034]],MATCH(G545, implementatie[Zoeksleutel],0),I545)</f>
        <v>0.19753623413361349</v>
      </c>
      <c r="K545" s="406" cm="1">
        <f t="array" ref="K545">INDEX(implementatie[[2023]:[2034]],MATCH(G545,implementatie[Zoeksleutel],0),I545 + 1)</f>
        <v>0.27699177758611071</v>
      </c>
      <c r="L54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49188.360758844683</v>
      </c>
      <c r="M545" s="398" cm="1">
        <f t="array" ref="M545">J545*INDEX(Berekening_impact[Totaal arbeidsbesparing (€/jaar)],MATCH(B545,IF(Berekening_impact[Doelgroep]=C545,Berekening_impact[Digitale zorgtoepassing]),0))</f>
        <v>15792710.235399224</v>
      </c>
      <c r="N545" s="397" cm="1">
        <f t="array" ref="N545">J545*INDEX(Berekening_impact[Totaal arbeidsbesparing (FTE/jaar)],MATCH(B545,IF(Berekening_impact[Doelgroep]=C545,Berekening_impact[Digitale zorgtoepassing]),0))</f>
        <v>273.70676121931479</v>
      </c>
      <c r="O545" s="398" cm="1">
        <f t="array" ref="O545">J545*INDEX(Berekening_impact[Overige kostenbesparing (totaal/jaar totaal potentieel)],MATCH(B545,IF(Berekening_impact[Doelgroep]=C545,Berekening_impact[Digitale zorgtoepassing]),0))</f>
        <v>10528473.490266152</v>
      </c>
      <c r="P545" s="398" cm="1">
        <f t="array" ref="P545">J545*INDEX(Berekening_impact[Opbrengsten door QALY''s],MATCH(B545,IF(Berekening_impact[Doelgroep]=C545,Berekening_impact[Digitale zorgtoepassing]),0))</f>
        <v>140186828.16270736</v>
      </c>
      <c r="Q545" s="398" cm="1">
        <f t="array" ref="Q545">J545*INDEX(Berekening_impact[Jaarlijkse kosten (totaal) - incl. schatting],MATCH(B545,IF(Berekening_impact[Doelgroep]=C545,Berekening_impact[Digitale zorgtoepassing]),0))</f>
        <v>6915829.4336064467</v>
      </c>
      <c r="R545" s="398" cm="1">
        <f t="array" ref="R545">(uitkomst_doelgroep[[#This Row],[Implementatiegraad t = T + 1]]-uitkomst_doelgroep[[#This Row],[Implementatiegraad t = T]])*INDEX(Berekening_impact[Initiële investering (totaal) - incl. schatting],MATCH(B545,IF(Berekening_impact[Doelgroep]=C545,Berekening_impact[Digitale zorgtoepassing]),0))</f>
        <v>0</v>
      </c>
      <c r="S545" s="398">
        <f>uitkomst_doelgroep[[#This Row],[Arbeidsbesparing (€)]]*uitkomst_doelgroep[[#This Row],[Percentage van patiëntaantallen in Wlz (overige is Zvw)]]</f>
        <v>0</v>
      </c>
      <c r="T545" s="398">
        <f>uitkomst_doelgroep[[#This Row],[Overige besparingen (€)]]*uitkomst_doelgroep[[#This Row],[Percentage van patiëntaantallen in Wlz (overige is Zvw)]]</f>
        <v>0</v>
      </c>
      <c r="U545" s="398">
        <f>uitkomst_doelgroep[[#This Row],[Kosten (€)]]*uitkomst_doelgroep[[#This Row],[Percentage van patiëntaantallen in Wlz (overige is Zvw)]]</f>
        <v>0</v>
      </c>
      <c r="V545" s="398">
        <f>uitkomst_doelgroep[[#This Row],[Investering (cash flow) (€)]]*uitkomst_doelgroep[[#This Row],[Percentage van patiëntaantallen in Wlz (overige is Zvw)]]</f>
        <v>0</v>
      </c>
    </row>
    <row r="546" spans="1:22" x14ac:dyDescent="0.5">
      <c r="A546" s="33" t="str">
        <f>INDEX(Technologieën[Veld],MATCH(B546,Technologieën[Digitale zorgtoepassing],0))</f>
        <v>Sensoren - Behandeling</v>
      </c>
      <c r="B546" s="33" t="s">
        <v>53</v>
      </c>
      <c r="C546" s="33" t="s">
        <v>54</v>
      </c>
      <c r="D546" s="427" cm="1">
        <f t="array" ref="D546">INDEX(Berekening_patiëntaantal[Percentage van patiëntaantallen in Wlz (overige is Zvw)],MATCH(B546,IF(Berekening_patiëntaantal[Doelgroep (zoeksleutel)]=C546,Berekening_patiëntaantal[Digitale zorgtoepassing]),0))</f>
        <v>0</v>
      </c>
      <c r="E546" s="33" t="str" cm="1">
        <f t="array" ref="E546">INDEX(Berekening_patiëntaantal[Direct toepasbaar/extrapolatie/incidentie voor QALY],MATCH(B546,IF(Berekening_patiëntaantal[Doelgroep (zoeksleutel)]=C546,Berekening_patiëntaantal[Digitale zorgtoepassing]),0))</f>
        <v>Huidige toepassing</v>
      </c>
      <c r="F546" s="43" t="s">
        <v>812</v>
      </c>
      <c r="G546" s="33" t="str">
        <f>CONCATENATE(uitkomst_doelgroep[[#This Row],[Digitale zorgtoepassing]],"_",uitkomst_doelgroep[[#This Row],[Doelgroep]],"_",uitkomst_doelgroep[[#This Row],[Uitgangssituatie/effect beleid]])</f>
        <v>Slimme pleisters_Heup_Effect beleid</v>
      </c>
      <c r="H546" s="33">
        <v>2031</v>
      </c>
      <c r="I546" s="32">
        <v>9</v>
      </c>
      <c r="J546" s="406" cm="1">
        <f t="array" ref="J546">INDEX(implementatie[[2023]:[2034]],MATCH(G546, implementatie[Zoeksleutel],0),I546)</f>
        <v>0.97047650257314066</v>
      </c>
      <c r="K546" s="406" cm="1">
        <f t="array" ref="K546">INDEX(implementatie[[2023]:[2034]],MATCH(G546,implementatie[Zoeksleutel],0),I546 + 1)</f>
        <v>0.98252771673229611</v>
      </c>
      <c r="L54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17468.577046316532</v>
      </c>
      <c r="M546" s="398" cm="1">
        <f t="array" ref="M546">J546*INDEX(Berekening_impact[Totaal arbeidsbesparing (€/jaar)],MATCH(B546,IF(Berekening_impact[Doelgroep]=C546,Berekening_impact[Digitale zorgtoepassing]),0))</f>
        <v>5608566.1579526616</v>
      </c>
      <c r="N546" s="397" cm="1">
        <f t="array" ref="N546">J546*INDEX(Berekening_impact[Totaal arbeidsbesparing (FTE/jaar)],MATCH(B546,IF(Berekening_impact[Doelgroep]=C546,Berekening_impact[Digitale zorgtoepassing]),0))</f>
        <v>97.203232079605925</v>
      </c>
      <c r="O546" s="398" cm="1">
        <f t="array" ref="O546">J546*INDEX(Berekening_impact[Overige kostenbesparing (totaal/jaar totaal potentieel)],MATCH(B546,IF(Berekening_impact[Doelgroep]=C546,Berekening_impact[Digitale zorgtoepassing]),0))</f>
        <v>3739044.1053017755</v>
      </c>
      <c r="P546" s="398" cm="1">
        <f t="array" ref="P546">J546*INDEX(Berekening_impact[Opbrengsten door QALY''s],MATCH(B546,IF(Berekening_impact[Doelgroep]=C546,Berekening_impact[Digitale zorgtoepassing]),0))</f>
        <v>49785444.582002118</v>
      </c>
      <c r="Q546" s="398" cm="1">
        <f t="array" ref="Q546">J546*INDEX(Berekening_impact[Jaarlijkse kosten (totaal) - incl. schatting],MATCH(B546,IF(Berekening_impact[Doelgroep]=C546,Berekening_impact[Digitale zorgtoepassing]),0))</f>
        <v>3431038.8018054576</v>
      </c>
      <c r="R546" s="398" cm="1">
        <f t="array" ref="R546">(uitkomst_doelgroep[[#This Row],[Implementatiegraad t = T + 1]]-uitkomst_doelgroep[[#This Row],[Implementatiegraad t = T]])*INDEX(Berekening_impact[Initiële investering (totaal) - incl. schatting],MATCH(B546,IF(Berekening_impact[Doelgroep]=C546,Berekening_impact[Digitale zorgtoepassing]),0))</f>
        <v>32104.133239636118</v>
      </c>
      <c r="S546" s="398">
        <f>uitkomst_doelgroep[[#This Row],[Arbeidsbesparing (€)]]*uitkomst_doelgroep[[#This Row],[Percentage van patiëntaantallen in Wlz (overige is Zvw)]]</f>
        <v>0</v>
      </c>
      <c r="T546" s="398">
        <f>uitkomst_doelgroep[[#This Row],[Overige besparingen (€)]]*uitkomst_doelgroep[[#This Row],[Percentage van patiëntaantallen in Wlz (overige is Zvw)]]</f>
        <v>0</v>
      </c>
      <c r="U546" s="398">
        <f>uitkomst_doelgroep[[#This Row],[Kosten (€)]]*uitkomst_doelgroep[[#This Row],[Percentage van patiëntaantallen in Wlz (overige is Zvw)]]</f>
        <v>0</v>
      </c>
      <c r="V546" s="398">
        <f>uitkomst_doelgroep[[#This Row],[Investering (cash flow) (€)]]*uitkomst_doelgroep[[#This Row],[Percentage van patiëntaantallen in Wlz (overige is Zvw)]]</f>
        <v>0</v>
      </c>
    </row>
    <row r="547" spans="1:22" x14ac:dyDescent="0.5">
      <c r="A547" s="33" t="str">
        <f>INDEX(Technologieën[Veld],MATCH(B547,Technologieën[Digitale zorgtoepassing],0))</f>
        <v>Sensoren - Behandeling</v>
      </c>
      <c r="B547" s="33" t="s">
        <v>53</v>
      </c>
      <c r="C547" s="33" t="s">
        <v>55</v>
      </c>
      <c r="D547" s="427" cm="1">
        <f t="array" ref="D547">INDEX(Berekening_patiëntaantal[Percentage van patiëntaantallen in Wlz (overige is Zvw)],MATCH(B547,IF(Berekening_patiëntaantal[Doelgroep (zoeksleutel)]=C547,Berekening_patiëntaantal[Digitale zorgtoepassing]),0))</f>
        <v>0</v>
      </c>
      <c r="E547" s="33" t="str" cm="1">
        <f t="array" ref="E547">INDEX(Berekening_patiëntaantal[Direct toepasbaar/extrapolatie/incidentie voor QALY],MATCH(B547,IF(Berekening_patiëntaantal[Doelgroep (zoeksleutel)]=C547,Berekening_patiëntaantal[Digitale zorgtoepassing]),0))</f>
        <v>Huidige toepassing</v>
      </c>
      <c r="F547" s="43" t="s">
        <v>812</v>
      </c>
      <c r="G547" s="33" t="str">
        <f>CONCATENATE(uitkomst_doelgroep[[#This Row],[Digitale zorgtoepassing]],"_",uitkomst_doelgroep[[#This Row],[Doelgroep]],"_",uitkomst_doelgroep[[#This Row],[Uitgangssituatie/effect beleid]])</f>
        <v>Slimme pleisters_Knie_Effect beleid</v>
      </c>
      <c r="H547" s="33">
        <v>2031</v>
      </c>
      <c r="I547" s="32">
        <v>9</v>
      </c>
      <c r="J547" s="406" cm="1">
        <f t="array" ref="J547">INDEX(implementatie[[2023]:[2034]],MATCH(G547, implementatie[Zoeksleutel],0),I547)</f>
        <v>0.97047650257314066</v>
      </c>
      <c r="K547" s="406" cm="1">
        <f t="array" ref="K547">INDEX(implementatie[[2023]:[2034]],MATCH(G547,implementatie[Zoeksleutel],0),I547 + 1)</f>
        <v>0.98252771673229611</v>
      </c>
      <c r="L54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14557.14753859711</v>
      </c>
      <c r="M547" s="398" cm="1">
        <f t="array" ref="M547">J547*INDEX(Berekening_impact[Totaal arbeidsbesparing (€/jaar)],MATCH(B547,IF(Berekening_impact[Doelgroep]=C547,Berekening_impact[Digitale zorgtoepassing]),0))</f>
        <v>4673805.1316272188</v>
      </c>
      <c r="N547" s="397" cm="1">
        <f t="array" ref="N547">J547*INDEX(Berekening_impact[Totaal arbeidsbesparing (FTE/jaar)],MATCH(B547,IF(Berekening_impact[Doelgroep]=C547,Berekening_impact[Digitale zorgtoepassing]),0))</f>
        <v>81.002693399671614</v>
      </c>
      <c r="O547" s="398" cm="1">
        <f t="array" ref="O547">J547*INDEX(Berekening_impact[Overige kostenbesparing (totaal/jaar totaal potentieel)],MATCH(B547,IF(Berekening_impact[Doelgroep]=C547,Berekening_impact[Digitale zorgtoepassing]),0))</f>
        <v>3115870.0877514794</v>
      </c>
      <c r="P547" s="398" cm="1">
        <f t="array" ref="P547">J547*INDEX(Berekening_impact[Opbrengsten door QALY''s],MATCH(B547,IF(Berekening_impact[Doelgroep]=C547,Berekening_impact[Digitale zorgtoepassing]),0))</f>
        <v>41487870.485001765</v>
      </c>
      <c r="Q547" s="398" cm="1">
        <f t="array" ref="Q547">J547*INDEX(Berekening_impact[Jaarlijkse kosten (totaal) - incl. schatting],MATCH(B547,IF(Berekening_impact[Doelgroep]=C547,Berekening_impact[Digitale zorgtoepassing]),0))</f>
        <v>3034356.5313786864</v>
      </c>
      <c r="R547" s="398" cm="1">
        <f t="array" ref="R547">(uitkomst_doelgroep[[#This Row],[Implementatiegraad t = T + 1]]-uitkomst_doelgroep[[#This Row],[Implementatiegraad t = T]])*INDEX(Berekening_impact[Initiële investering (totaal) - incl. schatting],MATCH(B547,IF(Berekening_impact[Doelgroep]=C547,Berekening_impact[Digitale zorgtoepassing]),0))</f>
        <v>32104.133239636118</v>
      </c>
      <c r="S547" s="398">
        <f>uitkomst_doelgroep[[#This Row],[Arbeidsbesparing (€)]]*uitkomst_doelgroep[[#This Row],[Percentage van patiëntaantallen in Wlz (overige is Zvw)]]</f>
        <v>0</v>
      </c>
      <c r="T547" s="398">
        <f>uitkomst_doelgroep[[#This Row],[Overige besparingen (€)]]*uitkomst_doelgroep[[#This Row],[Percentage van patiëntaantallen in Wlz (overige is Zvw)]]</f>
        <v>0</v>
      </c>
      <c r="U547" s="398">
        <f>uitkomst_doelgroep[[#This Row],[Kosten (€)]]*uitkomst_doelgroep[[#This Row],[Percentage van patiëntaantallen in Wlz (overige is Zvw)]]</f>
        <v>0</v>
      </c>
      <c r="V547" s="398">
        <f>uitkomst_doelgroep[[#This Row],[Investering (cash flow) (€)]]*uitkomst_doelgroep[[#This Row],[Percentage van patiëntaantallen in Wlz (overige is Zvw)]]</f>
        <v>0</v>
      </c>
    </row>
    <row r="548" spans="1:22" x14ac:dyDescent="0.5">
      <c r="A548" s="33" t="str">
        <f>INDEX(Technologieën[Veld],MATCH(B548,Technologieën[Digitale zorgtoepassing],0))</f>
        <v>Sensoren - Behandeling</v>
      </c>
      <c r="B548" s="33" t="s">
        <v>53</v>
      </c>
      <c r="C548" s="33" t="s">
        <v>722</v>
      </c>
      <c r="D548" s="427" cm="1">
        <f t="array" ref="D548">INDEX(Berekening_patiëntaantal[Percentage van patiëntaantallen in Wlz (overige is Zvw)],MATCH(B548,IF(Berekening_patiëntaantal[Doelgroep (zoeksleutel)]=C548,Berekening_patiëntaantal[Digitale zorgtoepassing]),0))</f>
        <v>0</v>
      </c>
      <c r="E548" s="33" t="str" cm="1">
        <f t="array" ref="E548">INDEX(Berekening_patiëntaantal[Direct toepasbaar/extrapolatie/incidentie voor QALY],MATCH(B548,IF(Berekening_patiëntaantal[Doelgroep (zoeksleutel)]=C548,Berekening_patiëntaantal[Digitale zorgtoepassing]),0))</f>
        <v>Extrapolatie</v>
      </c>
      <c r="F548" s="43" t="s">
        <v>812</v>
      </c>
      <c r="G548" s="33" t="str">
        <f>CONCATENATE(uitkomst_doelgroep[[#This Row],[Digitale zorgtoepassing]],"_",uitkomst_doelgroep[[#This Row],[Doelgroep]],"_",uitkomst_doelgroep[[#This Row],[Uitgangssituatie/effect beleid]])</f>
        <v>Slimme pleisters_Overige_aandoeningen_Effect beleid</v>
      </c>
      <c r="H548" s="33">
        <v>2031</v>
      </c>
      <c r="I548" s="32">
        <v>9</v>
      </c>
      <c r="J548" s="406" cm="1">
        <f t="array" ref="J548">INDEX(implementatie[[2023]:[2034]],MATCH(G548, implementatie[Zoeksleutel],0),I548)</f>
        <v>0.27699177758611071</v>
      </c>
      <c r="K548" s="406" cm="1">
        <f t="array" ref="K548">INDEX(implementatie[[2023]:[2034]],MATCH(G548,implementatie[Zoeksleutel],0),I548 + 1)</f>
        <v>0.37155887512870744</v>
      </c>
      <c r="L54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68973.530567174268</v>
      </c>
      <c r="M548" s="398" cm="1">
        <f t="array" ref="M548">J548*INDEX(Berekening_impact[Totaal arbeidsbesparing (€/jaar)],MATCH(B548,IF(Berekening_impact[Doelgroep]=C548,Berekening_impact[Digitale zorgtoepassing]),0))</f>
        <v>22145055.565080367</v>
      </c>
      <c r="N548" s="397" cm="1">
        <f t="array" ref="N548">J548*INDEX(Berekening_impact[Totaal arbeidsbesparing (FTE/jaar)],MATCH(B548,IF(Berekening_impact[Doelgroep]=C548,Berekening_impact[Digitale zorgtoepassing]),0))</f>
        <v>383.80058554824029</v>
      </c>
      <c r="O548" s="398" cm="1">
        <f t="array" ref="O548">J548*INDEX(Berekening_impact[Overige kostenbesparing (totaal/jaar totaal potentieel)],MATCH(B548,IF(Berekening_impact[Doelgroep]=C548,Berekening_impact[Digitale zorgtoepassing]),0))</f>
        <v>14763370.376720248</v>
      </c>
      <c r="P548" s="398" cm="1">
        <f t="array" ref="P548">J548*INDEX(Berekening_impact[Opbrengsten door QALY''s],MATCH(B548,IF(Berekening_impact[Doelgroep]=C548,Berekening_impact[Digitale zorgtoepassing]),0))</f>
        <v>196574562.11644667</v>
      </c>
      <c r="Q548" s="398" cm="1">
        <f t="array" ref="Q548">J548*INDEX(Berekening_impact[Jaarlijkse kosten (totaal) - incl. schatting],MATCH(B548,IF(Berekening_impact[Doelgroep]=C548,Berekening_impact[Digitale zorgtoepassing]),0))</f>
        <v>9697602.5522551183</v>
      </c>
      <c r="R548" s="398" cm="1">
        <f t="array" ref="R548">(uitkomst_doelgroep[[#This Row],[Implementatiegraad t = T + 1]]-uitkomst_doelgroep[[#This Row],[Implementatiegraad t = T]])*INDEX(Berekening_impact[Initiële investering (totaal) - incl. schatting],MATCH(B548,IF(Berekening_impact[Doelgroep]=C548,Berekening_impact[Digitale zorgtoepassing]),0))</f>
        <v>0</v>
      </c>
      <c r="S548" s="398">
        <f>uitkomst_doelgroep[[#This Row],[Arbeidsbesparing (€)]]*uitkomst_doelgroep[[#This Row],[Percentage van patiëntaantallen in Wlz (overige is Zvw)]]</f>
        <v>0</v>
      </c>
      <c r="T548" s="398">
        <f>uitkomst_doelgroep[[#This Row],[Overige besparingen (€)]]*uitkomst_doelgroep[[#This Row],[Percentage van patiëntaantallen in Wlz (overige is Zvw)]]</f>
        <v>0</v>
      </c>
      <c r="U548" s="398">
        <f>uitkomst_doelgroep[[#This Row],[Kosten (€)]]*uitkomst_doelgroep[[#This Row],[Percentage van patiëntaantallen in Wlz (overige is Zvw)]]</f>
        <v>0</v>
      </c>
      <c r="V548" s="398">
        <f>uitkomst_doelgroep[[#This Row],[Investering (cash flow) (€)]]*uitkomst_doelgroep[[#This Row],[Percentage van patiëntaantallen in Wlz (overige is Zvw)]]</f>
        <v>0</v>
      </c>
    </row>
    <row r="549" spans="1:22" x14ac:dyDescent="0.5">
      <c r="A549" s="33" t="str">
        <f>INDEX(Technologieën[Veld],MATCH(B549,Technologieën[Digitale zorgtoepassing],0))</f>
        <v>Sensoren - Behandeling</v>
      </c>
      <c r="B549" s="33" t="s">
        <v>53</v>
      </c>
      <c r="C549" s="33" t="s">
        <v>54</v>
      </c>
      <c r="D549" s="427" cm="1">
        <f t="array" ref="D549">INDEX(Berekening_patiëntaantal[Percentage van patiëntaantallen in Wlz (overige is Zvw)],MATCH(B549,IF(Berekening_patiëntaantal[Doelgroep (zoeksleutel)]=C549,Berekening_patiëntaantal[Digitale zorgtoepassing]),0))</f>
        <v>0</v>
      </c>
      <c r="E549" s="33" t="str" cm="1">
        <f t="array" ref="E549">INDEX(Berekening_patiëntaantal[Direct toepasbaar/extrapolatie/incidentie voor QALY],MATCH(B549,IF(Berekening_patiëntaantal[Doelgroep (zoeksleutel)]=C549,Berekening_patiëntaantal[Digitale zorgtoepassing]),0))</f>
        <v>Huidige toepassing</v>
      </c>
      <c r="F549" s="43" t="s">
        <v>812</v>
      </c>
      <c r="G549" s="33" t="str">
        <f>CONCATENATE(uitkomst_doelgroep[[#This Row],[Digitale zorgtoepassing]],"_",uitkomst_doelgroep[[#This Row],[Doelgroep]],"_",uitkomst_doelgroep[[#This Row],[Uitgangssituatie/effect beleid]])</f>
        <v>Slimme pleisters_Heup_Effect beleid</v>
      </c>
      <c r="H549" s="33">
        <v>2032</v>
      </c>
      <c r="I549" s="32">
        <v>10</v>
      </c>
      <c r="J549" s="406" cm="1">
        <f t="array" ref="J549">INDEX(implementatie[[2023]:[2034]],MATCH(G549, implementatie[Zoeksleutel],0),I549)</f>
        <v>0.98252771673229611</v>
      </c>
      <c r="K549" s="406" cm="1">
        <f t="array" ref="K549">INDEX(implementatie[[2023]:[2034]],MATCH(G549,implementatie[Zoeksleutel],0),I549 + 1)</f>
        <v>0.98974396343169702</v>
      </c>
      <c r="L54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17685.49890118133</v>
      </c>
      <c r="M549" s="398" cm="1">
        <f t="array" ref="M549">J549*INDEX(Berekening_impact[Totaal arbeidsbesparing (€/jaar)],MATCH(B549,IF(Berekening_impact[Doelgroep]=C549,Berekening_impact[Digitale zorgtoepassing]),0))</f>
        <v>5678212.3902066834</v>
      </c>
      <c r="N549" s="397" cm="1">
        <f t="array" ref="N549">J549*INDEX(Berekening_impact[Totaal arbeidsbesparing (FTE/jaar)],MATCH(B549,IF(Berekening_impact[Doelgroep]=C549,Berekening_impact[Digitale zorgtoepassing]),0))</f>
        <v>98.410285484451393</v>
      </c>
      <c r="O549" s="398" cm="1">
        <f t="array" ref="O549">J549*INDEX(Berekening_impact[Overige kostenbesparing (totaal/jaar totaal potentieel)],MATCH(B549,IF(Berekening_impact[Doelgroep]=C549,Berekening_impact[Digitale zorgtoepassing]),0))</f>
        <v>3785474.9268044559</v>
      </c>
      <c r="P549" s="398" cm="1">
        <f t="array" ref="P549">J549*INDEX(Berekening_impact[Opbrengsten door QALY''s],MATCH(B549,IF(Berekening_impact[Doelgroep]=C549,Berekening_impact[Digitale zorgtoepassing]),0))</f>
        <v>50403671.868366793</v>
      </c>
      <c r="Q549" s="398" cm="1">
        <f t="array" ref="Q549">J549*INDEX(Berekening_impact[Jaarlijkse kosten (totaal) - incl. schatting],MATCH(B549,IF(Berekening_impact[Doelgroep]=C549,Berekening_impact[Digitale zorgtoepassing]),0))</f>
        <v>3473644.8651973051</v>
      </c>
      <c r="R549" s="398" cm="1">
        <f t="array" ref="R549">(uitkomst_doelgroep[[#This Row],[Implementatiegraad t = T + 1]]-uitkomst_doelgroep[[#This Row],[Implementatiegraad t = T]])*INDEX(Berekening_impact[Initiële investering (totaal) - incl. schatting],MATCH(B549,IF(Berekening_impact[Doelgroep]=C549,Berekening_impact[Digitale zorgtoepassing]),0))</f>
        <v>19223.900801036529</v>
      </c>
      <c r="S549" s="398">
        <f>uitkomst_doelgroep[[#This Row],[Arbeidsbesparing (€)]]*uitkomst_doelgroep[[#This Row],[Percentage van patiëntaantallen in Wlz (overige is Zvw)]]</f>
        <v>0</v>
      </c>
      <c r="T549" s="398">
        <f>uitkomst_doelgroep[[#This Row],[Overige besparingen (€)]]*uitkomst_doelgroep[[#This Row],[Percentage van patiëntaantallen in Wlz (overige is Zvw)]]</f>
        <v>0</v>
      </c>
      <c r="U549" s="398">
        <f>uitkomst_doelgroep[[#This Row],[Kosten (€)]]*uitkomst_doelgroep[[#This Row],[Percentage van patiëntaantallen in Wlz (overige is Zvw)]]</f>
        <v>0</v>
      </c>
      <c r="V549" s="398">
        <f>uitkomst_doelgroep[[#This Row],[Investering (cash flow) (€)]]*uitkomst_doelgroep[[#This Row],[Percentage van patiëntaantallen in Wlz (overige is Zvw)]]</f>
        <v>0</v>
      </c>
    </row>
    <row r="550" spans="1:22" x14ac:dyDescent="0.5">
      <c r="A550" s="33" t="str">
        <f>INDEX(Technologieën[Veld],MATCH(B550,Technologieën[Digitale zorgtoepassing],0))</f>
        <v>Sensoren - Behandeling</v>
      </c>
      <c r="B550" s="33" t="s">
        <v>53</v>
      </c>
      <c r="C550" s="33" t="s">
        <v>55</v>
      </c>
      <c r="D550" s="427" cm="1">
        <f t="array" ref="D550">INDEX(Berekening_patiëntaantal[Percentage van patiëntaantallen in Wlz (overige is Zvw)],MATCH(B550,IF(Berekening_patiëntaantal[Doelgroep (zoeksleutel)]=C550,Berekening_patiëntaantal[Digitale zorgtoepassing]),0))</f>
        <v>0</v>
      </c>
      <c r="E550" s="33" t="str" cm="1">
        <f t="array" ref="E550">INDEX(Berekening_patiëntaantal[Direct toepasbaar/extrapolatie/incidentie voor QALY],MATCH(B550,IF(Berekening_patiëntaantal[Doelgroep (zoeksleutel)]=C550,Berekening_patiëntaantal[Digitale zorgtoepassing]),0))</f>
        <v>Huidige toepassing</v>
      </c>
      <c r="F550" s="43" t="s">
        <v>812</v>
      </c>
      <c r="G550" s="33" t="str">
        <f>CONCATENATE(uitkomst_doelgroep[[#This Row],[Digitale zorgtoepassing]],"_",uitkomst_doelgroep[[#This Row],[Doelgroep]],"_",uitkomst_doelgroep[[#This Row],[Uitgangssituatie/effect beleid]])</f>
        <v>Slimme pleisters_Knie_Effect beleid</v>
      </c>
      <c r="H550" s="33">
        <v>2032</v>
      </c>
      <c r="I550" s="32">
        <v>10</v>
      </c>
      <c r="J550" s="406" cm="1">
        <f t="array" ref="J550">INDEX(implementatie[[2023]:[2034]],MATCH(G550, implementatie[Zoeksleutel],0),I550)</f>
        <v>0.98252771673229611</v>
      </c>
      <c r="K550" s="406" cm="1">
        <f t="array" ref="K550">INDEX(implementatie[[2023]:[2034]],MATCH(G550,implementatie[Zoeksleutel],0),I550 + 1)</f>
        <v>0.98974396343169702</v>
      </c>
      <c r="L55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14737.915750984441</v>
      </c>
      <c r="M550" s="398" cm="1">
        <f t="array" ref="M550">J550*INDEX(Berekening_impact[Totaal arbeidsbesparing (€/jaar)],MATCH(B550,IF(Berekening_impact[Doelgroep]=C550,Berekening_impact[Digitale zorgtoepassing]),0))</f>
        <v>4731843.6585055701</v>
      </c>
      <c r="N550" s="397" cm="1">
        <f t="array" ref="N550">J550*INDEX(Berekening_impact[Totaal arbeidsbesparing (FTE/jaar)],MATCH(B550,IF(Berekening_impact[Doelgroep]=C550,Berekening_impact[Digitale zorgtoepassing]),0))</f>
        <v>82.00857123704283</v>
      </c>
      <c r="O550" s="398" cm="1">
        <f t="array" ref="O550">J550*INDEX(Berekening_impact[Overige kostenbesparing (totaal/jaar totaal potentieel)],MATCH(B550,IF(Berekening_impact[Doelgroep]=C550,Berekening_impact[Digitale zorgtoepassing]),0))</f>
        <v>3154562.4390037134</v>
      </c>
      <c r="P550" s="398" cm="1">
        <f t="array" ref="P550">J550*INDEX(Berekening_impact[Opbrengsten door QALY''s],MATCH(B550,IF(Berekening_impact[Doelgroep]=C550,Berekening_impact[Digitale zorgtoepassing]),0))</f>
        <v>42003059.890305661</v>
      </c>
      <c r="Q550" s="398" cm="1">
        <f t="array" ref="Q550">J550*INDEX(Berekening_impact[Jaarlijkse kosten (totaal) - incl. schatting],MATCH(B550,IF(Berekening_impact[Doelgroep]=C550,Berekening_impact[Digitale zorgtoepassing]),0))</f>
        <v>3072036.660982979</v>
      </c>
      <c r="R550" s="398" cm="1">
        <f t="array" ref="R550">(uitkomst_doelgroep[[#This Row],[Implementatiegraad t = T + 1]]-uitkomst_doelgroep[[#This Row],[Implementatiegraad t = T]])*INDEX(Berekening_impact[Initiële investering (totaal) - incl. schatting],MATCH(B550,IF(Berekening_impact[Doelgroep]=C550,Berekening_impact[Digitale zorgtoepassing]),0))</f>
        <v>19223.900801036529</v>
      </c>
      <c r="S550" s="398">
        <f>uitkomst_doelgroep[[#This Row],[Arbeidsbesparing (€)]]*uitkomst_doelgroep[[#This Row],[Percentage van patiëntaantallen in Wlz (overige is Zvw)]]</f>
        <v>0</v>
      </c>
      <c r="T550" s="398">
        <f>uitkomst_doelgroep[[#This Row],[Overige besparingen (€)]]*uitkomst_doelgroep[[#This Row],[Percentage van patiëntaantallen in Wlz (overige is Zvw)]]</f>
        <v>0</v>
      </c>
      <c r="U550" s="398">
        <f>uitkomst_doelgroep[[#This Row],[Kosten (€)]]*uitkomst_doelgroep[[#This Row],[Percentage van patiëntaantallen in Wlz (overige is Zvw)]]</f>
        <v>0</v>
      </c>
      <c r="V550" s="398">
        <f>uitkomst_doelgroep[[#This Row],[Investering (cash flow) (€)]]*uitkomst_doelgroep[[#This Row],[Percentage van patiëntaantallen in Wlz (overige is Zvw)]]</f>
        <v>0</v>
      </c>
    </row>
    <row r="551" spans="1:22" x14ac:dyDescent="0.5">
      <c r="A551" s="33" t="str">
        <f>INDEX(Technologieën[Veld],MATCH(B551,Technologieën[Digitale zorgtoepassing],0))</f>
        <v>Sensoren - Behandeling</v>
      </c>
      <c r="B551" s="33" t="s">
        <v>53</v>
      </c>
      <c r="C551" s="33" t="s">
        <v>722</v>
      </c>
      <c r="D551" s="427" cm="1">
        <f t="array" ref="D551">INDEX(Berekening_patiëntaantal[Percentage van patiëntaantallen in Wlz (overige is Zvw)],MATCH(B551,IF(Berekening_patiëntaantal[Doelgroep (zoeksleutel)]=C551,Berekening_patiëntaantal[Digitale zorgtoepassing]),0))</f>
        <v>0</v>
      </c>
      <c r="E551" s="33" t="str" cm="1">
        <f t="array" ref="E551">INDEX(Berekening_patiëntaantal[Direct toepasbaar/extrapolatie/incidentie voor QALY],MATCH(B551,IF(Berekening_patiëntaantal[Doelgroep (zoeksleutel)]=C551,Berekening_patiëntaantal[Digitale zorgtoepassing]),0))</f>
        <v>Extrapolatie</v>
      </c>
      <c r="F551" s="43" t="s">
        <v>812</v>
      </c>
      <c r="G551" s="33" t="str">
        <f>CONCATENATE(uitkomst_doelgroep[[#This Row],[Digitale zorgtoepassing]],"_",uitkomst_doelgroep[[#This Row],[Doelgroep]],"_",uitkomst_doelgroep[[#This Row],[Uitgangssituatie/effect beleid]])</f>
        <v>Slimme pleisters_Overige_aandoeningen_Effect beleid</v>
      </c>
      <c r="H551" s="33">
        <v>2032</v>
      </c>
      <c r="I551" s="32">
        <v>10</v>
      </c>
      <c r="J551" s="406" cm="1">
        <f t="array" ref="J551">INDEX(implementatie[[2023]:[2034]],MATCH(G551, implementatie[Zoeksleutel],0),I551)</f>
        <v>0.37155887512870744</v>
      </c>
      <c r="K551" s="406" cm="1">
        <f t="array" ref="K551">INDEX(implementatie[[2023]:[2034]],MATCH(G551,implementatie[Zoeksleutel],0),I551 + 1)</f>
        <v>0.47752884860285211</v>
      </c>
      <c r="L55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92521.617986395606</v>
      </c>
      <c r="M551" s="398" cm="1">
        <f t="array" ref="M551">J551*INDEX(Berekening_impact[Totaal arbeidsbesparing (€/jaar)],MATCH(B551,IF(Berekening_impact[Doelgroep]=C551,Berekening_impact[Digitale zorgtoepassing]),0))</f>
        <v>29705545.800420083</v>
      </c>
      <c r="N551" s="397" cm="1">
        <f t="array" ref="N551">J551*INDEX(Berekening_impact[Totaal arbeidsbesparing (FTE/jaar)],MATCH(B551,IF(Berekening_impact[Doelgroep]=C551,Berekening_impact[Digitale zorgtoepassing]),0))</f>
        <v>514.83302169758736</v>
      </c>
      <c r="O551" s="398" cm="1">
        <f t="array" ref="O551">J551*INDEX(Berekening_impact[Overige kostenbesparing (totaal/jaar totaal potentieel)],MATCH(B551,IF(Berekening_impact[Doelgroep]=C551,Berekening_impact[Digitale zorgtoepassing]),0))</f>
        <v>19803697.200280059</v>
      </c>
      <c r="P551" s="398" cm="1">
        <f t="array" ref="P551">J551*INDEX(Berekening_impact[Opbrengsten door QALY''s],MATCH(B551,IF(Berekening_impact[Doelgroep]=C551,Berekening_impact[Digitale zorgtoepassing]),0))</f>
        <v>263686611.26122749</v>
      </c>
      <c r="Q551" s="398" cm="1">
        <f t="array" ref="Q551">J551*INDEX(Berekening_impact[Jaarlijkse kosten (totaal) - incl. schatting],MATCH(B551,IF(Berekening_impact[Doelgroep]=C551,Berekening_impact[Digitale zorgtoepassing]),0))</f>
        <v>13008437.749171196</v>
      </c>
      <c r="R551" s="398" cm="1">
        <f t="array" ref="R551">(uitkomst_doelgroep[[#This Row],[Implementatiegraad t = T + 1]]-uitkomst_doelgroep[[#This Row],[Implementatiegraad t = T]])*INDEX(Berekening_impact[Initiële investering (totaal) - incl. schatting],MATCH(B551,IF(Berekening_impact[Doelgroep]=C551,Berekening_impact[Digitale zorgtoepassing]),0))</f>
        <v>0</v>
      </c>
      <c r="S551" s="398">
        <f>uitkomst_doelgroep[[#This Row],[Arbeidsbesparing (€)]]*uitkomst_doelgroep[[#This Row],[Percentage van patiëntaantallen in Wlz (overige is Zvw)]]</f>
        <v>0</v>
      </c>
      <c r="T551" s="398">
        <f>uitkomst_doelgroep[[#This Row],[Overige besparingen (€)]]*uitkomst_doelgroep[[#This Row],[Percentage van patiëntaantallen in Wlz (overige is Zvw)]]</f>
        <v>0</v>
      </c>
      <c r="U551" s="398">
        <f>uitkomst_doelgroep[[#This Row],[Kosten (€)]]*uitkomst_doelgroep[[#This Row],[Percentage van patiëntaantallen in Wlz (overige is Zvw)]]</f>
        <v>0</v>
      </c>
      <c r="V551" s="398">
        <f>uitkomst_doelgroep[[#This Row],[Investering (cash flow) (€)]]*uitkomst_doelgroep[[#This Row],[Percentage van patiëntaantallen in Wlz (overige is Zvw)]]</f>
        <v>0</v>
      </c>
    </row>
    <row r="552" spans="1:22" x14ac:dyDescent="0.5">
      <c r="A552" s="33" t="str">
        <f>INDEX(Technologieën[Veld],MATCH(B552,Technologieën[Digitale zorgtoepassing],0))</f>
        <v>Sensoren - Behandeling</v>
      </c>
      <c r="B552" s="33" t="s">
        <v>53</v>
      </c>
      <c r="C552" s="33" t="s">
        <v>54</v>
      </c>
      <c r="D552" s="427" cm="1">
        <f t="array" ref="D552">INDEX(Berekening_patiëntaantal[Percentage van patiëntaantallen in Wlz (overige is Zvw)],MATCH(B552,IF(Berekening_patiëntaantal[Doelgroep (zoeksleutel)]=C552,Berekening_patiëntaantal[Digitale zorgtoepassing]),0))</f>
        <v>0</v>
      </c>
      <c r="E552" s="33" t="str" cm="1">
        <f t="array" ref="E552">INDEX(Berekening_patiëntaantal[Direct toepasbaar/extrapolatie/incidentie voor QALY],MATCH(B552,IF(Berekening_patiëntaantal[Doelgroep (zoeksleutel)]=C552,Berekening_patiëntaantal[Digitale zorgtoepassing]),0))</f>
        <v>Huidige toepassing</v>
      </c>
      <c r="F552" s="43" t="s">
        <v>812</v>
      </c>
      <c r="G552" s="33" t="str">
        <f>CONCATENATE(uitkomst_doelgroep[[#This Row],[Digitale zorgtoepassing]],"_",uitkomst_doelgroep[[#This Row],[Doelgroep]],"_",uitkomst_doelgroep[[#This Row],[Uitgangssituatie/effect beleid]])</f>
        <v>Slimme pleisters_Heup_Effect beleid</v>
      </c>
      <c r="H552" s="33">
        <v>2033</v>
      </c>
      <c r="I552" s="32">
        <v>11</v>
      </c>
      <c r="J552" s="406" cm="1">
        <f t="array" ref="J552">INDEX(implementatie[[2023]:[2034]],MATCH(G552, implementatie[Zoeksleutel],0),I552)</f>
        <v>0.98974396343169702</v>
      </c>
      <c r="K552" s="406" cm="1">
        <f t="array" ref="K552">INDEX(implementatie[[2023]:[2034]],MATCH(G552,implementatie[Zoeksleutel],0),I552 + 1)</f>
        <v>0.99400942427594807</v>
      </c>
      <c r="L55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17815.391341770548</v>
      </c>
      <c r="M552" s="398" cm="1">
        <f t="array" ref="M552">J552*INDEX(Berekening_impact[Totaal arbeidsbesparing (€/jaar)],MATCH(B552,IF(Berekening_impact[Doelgroep]=C552,Berekening_impact[Digitale zorgtoepassing]),0))</f>
        <v>5719916.4365369007</v>
      </c>
      <c r="N552" s="397" cm="1">
        <f t="array" ref="N552">J552*INDEX(Berekening_impact[Totaal arbeidsbesparing (FTE/jaar)],MATCH(B552,IF(Berekening_impact[Doelgroep]=C552,Berekening_impact[Digitale zorgtoepassing]),0))</f>
        <v>99.133067026102054</v>
      </c>
      <c r="O552" s="398" cm="1">
        <f t="array" ref="O552">J552*INDEX(Berekening_impact[Overige kostenbesparing (totaal/jaar totaal potentieel)],MATCH(B552,IF(Berekening_impact[Doelgroep]=C552,Berekening_impact[Digitale zorgtoepassing]),0))</f>
        <v>3813277.6243579346</v>
      </c>
      <c r="P552" s="398" cm="1">
        <f t="array" ref="P552">J552*INDEX(Berekening_impact[Opbrengsten door QALY''s],MATCH(B552,IF(Berekening_impact[Doelgroep]=C552,Berekening_impact[Digitale zorgtoepassing]),0))</f>
        <v>50773865.32404606</v>
      </c>
      <c r="Q552" s="398" cm="1">
        <f t="array" ref="Q552">J552*INDEX(Berekening_impact[Jaarlijkse kosten (totaal) - incl. schatting],MATCH(B552,IF(Berekening_impact[Doelgroep]=C552,Berekening_impact[Digitale zorgtoepassing]),0))</f>
        <v>3499157.3040491454</v>
      </c>
      <c r="R552" s="398" cm="1">
        <f t="array" ref="R552">(uitkomst_doelgroep[[#This Row],[Implementatiegraad t = T + 1]]-uitkomst_doelgroep[[#This Row],[Implementatiegraad t = T]])*INDEX(Berekening_impact[Initiële investering (totaal) - incl. schatting],MATCH(B552,IF(Berekening_impact[Doelgroep]=C552,Berekening_impact[Digitale zorgtoepassing]),0))</f>
        <v>11363.081052563706</v>
      </c>
      <c r="S552" s="398">
        <f>uitkomst_doelgroep[[#This Row],[Arbeidsbesparing (€)]]*uitkomst_doelgroep[[#This Row],[Percentage van patiëntaantallen in Wlz (overige is Zvw)]]</f>
        <v>0</v>
      </c>
      <c r="T552" s="398">
        <f>uitkomst_doelgroep[[#This Row],[Overige besparingen (€)]]*uitkomst_doelgroep[[#This Row],[Percentage van patiëntaantallen in Wlz (overige is Zvw)]]</f>
        <v>0</v>
      </c>
      <c r="U552" s="398">
        <f>uitkomst_doelgroep[[#This Row],[Kosten (€)]]*uitkomst_doelgroep[[#This Row],[Percentage van patiëntaantallen in Wlz (overige is Zvw)]]</f>
        <v>0</v>
      </c>
      <c r="V552" s="398">
        <f>uitkomst_doelgroep[[#This Row],[Investering (cash flow) (€)]]*uitkomst_doelgroep[[#This Row],[Percentage van patiëntaantallen in Wlz (overige is Zvw)]]</f>
        <v>0</v>
      </c>
    </row>
    <row r="553" spans="1:22" x14ac:dyDescent="0.5">
      <c r="A553" s="33" t="str">
        <f>INDEX(Technologieën[Veld],MATCH(B553,Technologieën[Digitale zorgtoepassing],0))</f>
        <v>Sensoren - Behandeling</v>
      </c>
      <c r="B553" s="33" t="s">
        <v>53</v>
      </c>
      <c r="C553" s="33" t="s">
        <v>55</v>
      </c>
      <c r="D553" s="427" cm="1">
        <f t="array" ref="D553">INDEX(Berekening_patiëntaantal[Percentage van patiëntaantallen in Wlz (overige is Zvw)],MATCH(B553,IF(Berekening_patiëntaantal[Doelgroep (zoeksleutel)]=C553,Berekening_patiëntaantal[Digitale zorgtoepassing]),0))</f>
        <v>0</v>
      </c>
      <c r="E553" s="33" t="str" cm="1">
        <f t="array" ref="E553">INDEX(Berekening_patiëntaantal[Direct toepasbaar/extrapolatie/incidentie voor QALY],MATCH(B553,IF(Berekening_patiëntaantal[Doelgroep (zoeksleutel)]=C553,Berekening_patiëntaantal[Digitale zorgtoepassing]),0))</f>
        <v>Huidige toepassing</v>
      </c>
      <c r="F553" s="43" t="s">
        <v>812</v>
      </c>
      <c r="G553" s="33" t="str">
        <f>CONCATENATE(uitkomst_doelgroep[[#This Row],[Digitale zorgtoepassing]],"_",uitkomst_doelgroep[[#This Row],[Doelgroep]],"_",uitkomst_doelgroep[[#This Row],[Uitgangssituatie/effect beleid]])</f>
        <v>Slimme pleisters_Knie_Effect beleid</v>
      </c>
      <c r="H553" s="33">
        <v>2033</v>
      </c>
      <c r="I553" s="32">
        <v>11</v>
      </c>
      <c r="J553" s="406" cm="1">
        <f t="array" ref="J553">INDEX(implementatie[[2023]:[2034]],MATCH(G553, implementatie[Zoeksleutel],0),I553)</f>
        <v>0.98974396343169702</v>
      </c>
      <c r="K553" s="406" cm="1">
        <f t="array" ref="K553">INDEX(implementatie[[2023]:[2034]],MATCH(G553,implementatie[Zoeksleutel],0),I553 + 1)</f>
        <v>0.99400942427594807</v>
      </c>
      <c r="L55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14846.159451475456</v>
      </c>
      <c r="M553" s="398" cm="1">
        <f t="array" ref="M553">J553*INDEX(Berekening_impact[Totaal arbeidsbesparing (€/jaar)],MATCH(B553,IF(Berekening_impact[Doelgroep]=C553,Berekening_impact[Digitale zorgtoepassing]),0))</f>
        <v>4766597.0304474179</v>
      </c>
      <c r="N553" s="397" cm="1">
        <f t="array" ref="N553">J553*INDEX(Berekening_impact[Totaal arbeidsbesparing (FTE/jaar)],MATCH(B553,IF(Berekening_impact[Doelgroep]=C553,Berekening_impact[Digitale zorgtoepassing]),0))</f>
        <v>82.610889188418383</v>
      </c>
      <c r="O553" s="398" cm="1">
        <f t="array" ref="O553">J553*INDEX(Berekening_impact[Overige kostenbesparing (totaal/jaar totaal potentieel)],MATCH(B553,IF(Berekening_impact[Doelgroep]=C553,Berekening_impact[Digitale zorgtoepassing]),0))</f>
        <v>3177731.3536316119</v>
      </c>
      <c r="P553" s="398" cm="1">
        <f t="array" ref="P553">J553*INDEX(Berekening_impact[Opbrengsten door QALY''s],MATCH(B553,IF(Berekening_impact[Doelgroep]=C553,Berekening_impact[Digitale zorgtoepassing]),0))</f>
        <v>42311554.436705045</v>
      </c>
      <c r="Q553" s="398" cm="1">
        <f t="array" ref="Q553">J553*INDEX(Berekening_impact[Jaarlijkse kosten (totaal) - incl. schatting],MATCH(B553,IF(Berekening_impact[Doelgroep]=C553,Berekening_impact[Digitale zorgtoepassing]),0))</f>
        <v>3094599.4589964394</v>
      </c>
      <c r="R553" s="398" cm="1">
        <f t="array" ref="R553">(uitkomst_doelgroep[[#This Row],[Implementatiegraad t = T + 1]]-uitkomst_doelgroep[[#This Row],[Implementatiegraad t = T]])*INDEX(Berekening_impact[Initiële investering (totaal) - incl. schatting],MATCH(B553,IF(Berekening_impact[Doelgroep]=C553,Berekening_impact[Digitale zorgtoepassing]),0))</f>
        <v>11363.081052563706</v>
      </c>
      <c r="S553" s="398">
        <f>uitkomst_doelgroep[[#This Row],[Arbeidsbesparing (€)]]*uitkomst_doelgroep[[#This Row],[Percentage van patiëntaantallen in Wlz (overige is Zvw)]]</f>
        <v>0</v>
      </c>
      <c r="T553" s="398">
        <f>uitkomst_doelgroep[[#This Row],[Overige besparingen (€)]]*uitkomst_doelgroep[[#This Row],[Percentage van patiëntaantallen in Wlz (overige is Zvw)]]</f>
        <v>0</v>
      </c>
      <c r="U553" s="398">
        <f>uitkomst_doelgroep[[#This Row],[Kosten (€)]]*uitkomst_doelgroep[[#This Row],[Percentage van patiëntaantallen in Wlz (overige is Zvw)]]</f>
        <v>0</v>
      </c>
      <c r="V553" s="398">
        <f>uitkomst_doelgroep[[#This Row],[Investering (cash flow) (€)]]*uitkomst_doelgroep[[#This Row],[Percentage van patiëntaantallen in Wlz (overige is Zvw)]]</f>
        <v>0</v>
      </c>
    </row>
    <row r="554" spans="1:22" x14ac:dyDescent="0.5">
      <c r="A554" s="33" t="str">
        <f>INDEX(Technologieën[Veld],MATCH(B554,Technologieën[Digitale zorgtoepassing],0))</f>
        <v>Sensoren - Behandeling</v>
      </c>
      <c r="B554" s="33" t="s">
        <v>53</v>
      </c>
      <c r="C554" s="33" t="s">
        <v>722</v>
      </c>
      <c r="D554" s="427" cm="1">
        <f t="array" ref="D554">INDEX(Berekening_patiëntaantal[Percentage van patiëntaantallen in Wlz (overige is Zvw)],MATCH(B554,IF(Berekening_patiëntaantal[Doelgroep (zoeksleutel)]=C554,Berekening_patiëntaantal[Digitale zorgtoepassing]),0))</f>
        <v>0</v>
      </c>
      <c r="E554" s="33" t="str" cm="1">
        <f t="array" ref="E554">INDEX(Berekening_patiëntaantal[Direct toepasbaar/extrapolatie/incidentie voor QALY],MATCH(B554,IF(Berekening_patiëntaantal[Doelgroep (zoeksleutel)]=C554,Berekening_patiëntaantal[Digitale zorgtoepassing]),0))</f>
        <v>Extrapolatie</v>
      </c>
      <c r="F554" s="43" t="s">
        <v>812</v>
      </c>
      <c r="G554" s="33" t="str">
        <f>CONCATENATE(uitkomst_doelgroep[[#This Row],[Digitale zorgtoepassing]],"_",uitkomst_doelgroep[[#This Row],[Doelgroep]],"_",uitkomst_doelgroep[[#This Row],[Uitgangssituatie/effect beleid]])</f>
        <v>Slimme pleisters_Overige_aandoeningen_Effect beleid</v>
      </c>
      <c r="H554" s="33">
        <v>2033</v>
      </c>
      <c r="I554" s="32">
        <v>11</v>
      </c>
      <c r="J554" s="406" cm="1">
        <f t="array" ref="J554">INDEX(implementatie[[2023]:[2034]],MATCH(G554, implementatie[Zoeksleutel],0),I554)</f>
        <v>0.47752884860285211</v>
      </c>
      <c r="K554" s="406" cm="1">
        <f t="array" ref="K554">INDEX(implementatie[[2023]:[2034]],MATCH(G554,implementatie[Zoeksleutel],0),I554 + 1)</f>
        <v>0.5877762905727496</v>
      </c>
      <c r="L55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118909.1276385524</v>
      </c>
      <c r="M554" s="398" cm="1">
        <f t="array" ref="M554">J554*INDEX(Berekening_impact[Totaal arbeidsbesparing (€/jaar)],MATCH(B554,IF(Berekening_impact[Doelgroep]=C554,Berekening_impact[Digitale zorgtoepassing]),0))</f>
        <v>38177677.974399455</v>
      </c>
      <c r="N554" s="397" cm="1">
        <f t="array" ref="N554">J554*INDEX(Berekening_impact[Totaal arbeidsbesparing (FTE/jaar)],MATCH(B554,IF(Berekening_impact[Doelgroep]=C554,Berekening_impact[Digitale zorgtoepassing]),0))</f>
        <v>661.66531478709749</v>
      </c>
      <c r="O554" s="398" cm="1">
        <f t="array" ref="O554">J554*INDEX(Berekening_impact[Overige kostenbesparing (totaal/jaar totaal potentieel)],MATCH(B554,IF(Berekening_impact[Doelgroep]=C554,Berekening_impact[Digitale zorgtoepassing]),0))</f>
        <v>25451785.316266306</v>
      </c>
      <c r="P554" s="398" cm="1">
        <f t="array" ref="P554">J554*INDEX(Berekening_impact[Opbrengsten door QALY''s],MATCH(B554,IF(Berekening_impact[Doelgroep]=C554,Berekening_impact[Digitale zorgtoepassing]),0))</f>
        <v>338891013.76987433</v>
      </c>
      <c r="Q554" s="398" cm="1">
        <f t="array" ref="Q554">J554*INDEX(Berekening_impact[Jaarlijkse kosten (totaal) - incl. schatting],MATCH(B554,IF(Berekening_impact[Doelgroep]=C554,Berekening_impact[Digitale zorgtoepassing]),0))</f>
        <v>16718492.589718932</v>
      </c>
      <c r="R554" s="398" cm="1">
        <f t="array" ref="R554">(uitkomst_doelgroep[[#This Row],[Implementatiegraad t = T + 1]]-uitkomst_doelgroep[[#This Row],[Implementatiegraad t = T]])*INDEX(Berekening_impact[Initiële investering (totaal) - incl. schatting],MATCH(B554,IF(Berekening_impact[Doelgroep]=C554,Berekening_impact[Digitale zorgtoepassing]),0))</f>
        <v>0</v>
      </c>
      <c r="S554" s="398">
        <f>uitkomst_doelgroep[[#This Row],[Arbeidsbesparing (€)]]*uitkomst_doelgroep[[#This Row],[Percentage van patiëntaantallen in Wlz (overige is Zvw)]]</f>
        <v>0</v>
      </c>
      <c r="T554" s="398">
        <f>uitkomst_doelgroep[[#This Row],[Overige besparingen (€)]]*uitkomst_doelgroep[[#This Row],[Percentage van patiëntaantallen in Wlz (overige is Zvw)]]</f>
        <v>0</v>
      </c>
      <c r="U554" s="398">
        <f>uitkomst_doelgroep[[#This Row],[Kosten (€)]]*uitkomst_doelgroep[[#This Row],[Percentage van patiëntaantallen in Wlz (overige is Zvw)]]</f>
        <v>0</v>
      </c>
      <c r="V554" s="398">
        <f>uitkomst_doelgroep[[#This Row],[Investering (cash flow) (€)]]*uitkomst_doelgroep[[#This Row],[Percentage van patiëntaantallen in Wlz (overige is Zvw)]]</f>
        <v>0</v>
      </c>
    </row>
    <row r="555" spans="1:22" x14ac:dyDescent="0.5">
      <c r="A555" s="33" t="str">
        <f>INDEX(Technologieën[Veld],MATCH(B555,Technologieën[Digitale zorgtoepassing],0))</f>
        <v>Software - Behandeling</v>
      </c>
      <c r="B555" s="33" t="s">
        <v>101</v>
      </c>
      <c r="C555" s="33" t="s">
        <v>83</v>
      </c>
      <c r="D555" s="427" cm="1">
        <f t="array" ref="D555">INDEX(Berekening_patiëntaantal[Percentage van patiëntaantallen in Wlz (overige is Zvw)],MATCH(B555,IF(Berekening_patiëntaantal[Doelgroep (zoeksleutel)]=C555,Berekening_patiëntaantal[Digitale zorgtoepassing]),0))</f>
        <v>1</v>
      </c>
      <c r="E555" s="33" t="str" cm="1">
        <f t="array" ref="E555">INDEX(Berekening_patiëntaantal[Direct toepasbaar/extrapolatie/incidentie voor QALY],MATCH(B555,IF(Berekening_patiëntaantal[Doelgroep (zoeksleutel)]=C555,Berekening_patiëntaantal[Digitale zorgtoepassing]),0))</f>
        <v>Huidige toepassing</v>
      </c>
      <c r="F555" s="43" t="s">
        <v>812</v>
      </c>
      <c r="G555" s="33" t="str">
        <f>CONCATENATE(uitkomst_doelgroep[[#This Row],[Digitale zorgtoepassing]],"_",uitkomst_doelgroep[[#This Row],[Doelgroep]],"_",uitkomst_doelgroep[[#This Row],[Uitgangssituatie/effect beleid]])</f>
        <v>Spraak automatisch vastleggen_Verpleeghuis_Effect beleid</v>
      </c>
      <c r="H555" s="33">
        <v>2023</v>
      </c>
      <c r="I555" s="32">
        <v>1</v>
      </c>
      <c r="J555" s="406" cm="1">
        <f t="array" ref="J555">INDEX(implementatie[[2023]:[2034]],MATCH(G555, implementatie[Zoeksleutel],0),I555)</f>
        <v>0.2</v>
      </c>
      <c r="K555" s="406" cm="1">
        <f t="array" ref="K555">INDEX(implementatie[[2023]:[2034]],MATCH(G555,implementatie[Zoeksleutel],0),I555 + 1)</f>
        <v>0.25600000000000001</v>
      </c>
      <c r="L55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28925.800000000003</v>
      </c>
      <c r="M555" s="398" cm="1">
        <f t="array" ref="M555">J555*INDEX(Berekening_impact[Totaal arbeidsbesparing (€/jaar)],MATCH(B555,IF(Berekening_impact[Doelgroep]=C555,Berekening_impact[Digitale zorgtoepassing]),0))</f>
        <v>51576807.996193111</v>
      </c>
      <c r="N555" s="397" cm="1">
        <f t="array" ref="N555">J555*INDEX(Berekening_impact[Totaal arbeidsbesparing (FTE/jaar)],MATCH(B555,IF(Berekening_impact[Doelgroep]=C555,Berekening_impact[Digitale zorgtoepassing]),0))</f>
        <v>1214.8835999999999</v>
      </c>
      <c r="O555" s="398" cm="1">
        <f t="array" ref="O555">J555*INDEX(Berekening_impact[Overige kostenbesparing (totaal/jaar totaal potentieel)],MATCH(B555,IF(Berekening_impact[Doelgroep]=C555,Berekening_impact[Digitale zorgtoepassing]),0))</f>
        <v>0</v>
      </c>
      <c r="P555" s="398" cm="1">
        <f t="array" ref="P555">J555*INDEX(Berekening_impact[Opbrengsten door QALY''s],MATCH(B555,IF(Berekening_impact[Doelgroep]=C555,Berekening_impact[Digitale zorgtoepassing]),0))</f>
        <v>0</v>
      </c>
      <c r="Q555" s="398" cm="1">
        <f t="array" ref="Q555">J555*INDEX(Berekening_impact[Jaarlijkse kosten (totaal) - incl. schatting],MATCH(B555,IF(Berekening_impact[Doelgroep]=C555,Berekening_impact[Digitale zorgtoepassing]),0))</f>
        <v>694219.20000000007</v>
      </c>
      <c r="R555" s="398" cm="1">
        <f t="array" ref="R555">(uitkomst_doelgroep[[#This Row],[Implementatiegraad t = T + 1]]-uitkomst_doelgroep[[#This Row],[Implementatiegraad t = T]])*INDEX(Berekening_impact[Initiële investering (totaal) - incl. schatting],MATCH(B555,IF(Berekening_impact[Doelgroep]=C555,Berekening_impact[Digitale zorgtoepassing]),0))</f>
        <v>0</v>
      </c>
      <c r="S555" s="398">
        <f>uitkomst_doelgroep[[#This Row],[Arbeidsbesparing (€)]]*uitkomst_doelgroep[[#This Row],[Percentage van patiëntaantallen in Wlz (overige is Zvw)]]</f>
        <v>51576807.996193111</v>
      </c>
      <c r="T555" s="398">
        <f>uitkomst_doelgroep[[#This Row],[Overige besparingen (€)]]*uitkomst_doelgroep[[#This Row],[Percentage van patiëntaantallen in Wlz (overige is Zvw)]]</f>
        <v>0</v>
      </c>
      <c r="U555" s="398">
        <f>uitkomst_doelgroep[[#This Row],[Kosten (€)]]*uitkomst_doelgroep[[#This Row],[Percentage van patiëntaantallen in Wlz (overige is Zvw)]]</f>
        <v>694219.20000000007</v>
      </c>
      <c r="V555" s="398">
        <f>uitkomst_doelgroep[[#This Row],[Investering (cash flow) (€)]]*uitkomst_doelgroep[[#This Row],[Percentage van patiëntaantallen in Wlz (overige is Zvw)]]</f>
        <v>0</v>
      </c>
    </row>
    <row r="556" spans="1:22" x14ac:dyDescent="0.5">
      <c r="A556" s="33" t="str">
        <f>INDEX(Technologieën[Veld],MATCH(B556,Technologieën[Digitale zorgtoepassing],0))</f>
        <v>Software - Behandeling</v>
      </c>
      <c r="B556" s="33" t="s">
        <v>101</v>
      </c>
      <c r="C556" s="33" t="s">
        <v>84</v>
      </c>
      <c r="D556" s="427" cm="1">
        <f t="array" ref="D556">INDEX(Berekening_patiëntaantal[Percentage van patiëntaantallen in Wlz (overige is Zvw)],MATCH(B556,IF(Berekening_patiëntaantal[Doelgroep (zoeksleutel)]=C556,Berekening_patiëntaantal[Digitale zorgtoepassing]),0))</f>
        <v>0</v>
      </c>
      <c r="E556" s="33" t="str" cm="1">
        <f t="array" ref="E556">INDEX(Berekening_patiëntaantal[Direct toepasbaar/extrapolatie/incidentie voor QALY],MATCH(B556,IF(Berekening_patiëntaantal[Doelgroep (zoeksleutel)]=C556,Berekening_patiëntaantal[Digitale zorgtoepassing]),0))</f>
        <v>Huidige toepassing</v>
      </c>
      <c r="F556" s="43" t="s">
        <v>812</v>
      </c>
      <c r="G556" s="33" t="str">
        <f>CONCATENATE(uitkomst_doelgroep[[#This Row],[Digitale zorgtoepassing]],"_",uitkomst_doelgroep[[#This Row],[Doelgroep]],"_",uitkomst_doelgroep[[#This Row],[Uitgangssituatie/effect beleid]])</f>
        <v>Spraak automatisch vastleggen_Wijkverpleging_Effect beleid</v>
      </c>
      <c r="H556" s="33">
        <v>2023</v>
      </c>
      <c r="I556" s="32">
        <v>1</v>
      </c>
      <c r="J556" s="406" cm="1">
        <f t="array" ref="J556">INDEX(implementatie[[2023]:[2034]],MATCH(G556, implementatie[Zoeksleutel],0),I556)</f>
        <v>0.2</v>
      </c>
      <c r="K556" s="406" cm="1">
        <f t="array" ref="K556">INDEX(implementatie[[2023]:[2034]],MATCH(G556,implementatie[Zoeksleutel],0),I556 + 1)</f>
        <v>0.25600000000000001</v>
      </c>
      <c r="L55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18296.529968454259</v>
      </c>
      <c r="M556" s="398" cm="1">
        <f t="array" ref="M556">J556*INDEX(Berekening_impact[Totaal arbeidsbesparing (€/jaar)],MATCH(B556,IF(Berekening_impact[Doelgroep]=C556,Berekening_impact[Digitale zorgtoepassing]),0))</f>
        <v>4050122.5655172416</v>
      </c>
      <c r="N556" s="397" cm="1">
        <f t="array" ref="N556">J556*INDEX(Berekening_impact[Totaal arbeidsbesparing (FTE/jaar)],MATCH(B556,IF(Berekening_impact[Doelgroep]=C556,Berekening_impact[Digitale zorgtoepassing]),0))</f>
        <v>95.4</v>
      </c>
      <c r="O556" s="398" cm="1">
        <f t="array" ref="O556">J556*INDEX(Berekening_impact[Overige kostenbesparing (totaal/jaar totaal potentieel)],MATCH(B556,IF(Berekening_impact[Doelgroep]=C556,Berekening_impact[Digitale zorgtoepassing]),0))</f>
        <v>57976.013705095218</v>
      </c>
      <c r="P556" s="398" cm="1">
        <f t="array" ref="P556">J556*INDEX(Berekening_impact[Opbrengsten door QALY''s],MATCH(B556,IF(Berekening_impact[Doelgroep]=C556,Berekening_impact[Digitale zorgtoepassing]),0))</f>
        <v>0</v>
      </c>
      <c r="Q556" s="398" cm="1">
        <f t="array" ref="Q556">J556*INDEX(Berekening_impact[Jaarlijkse kosten (totaal) - incl. schatting],MATCH(B556,IF(Berekening_impact[Doelgroep]=C556,Berekening_impact[Digitale zorgtoepassing]),0))</f>
        <v>439116.71924290224</v>
      </c>
      <c r="R556" s="398" cm="1">
        <f t="array" ref="R556">(uitkomst_doelgroep[[#This Row],[Implementatiegraad t = T + 1]]-uitkomst_doelgroep[[#This Row],[Implementatiegraad t = T]])*INDEX(Berekening_impact[Initiële investering (totaal) - incl. schatting],MATCH(B556,IF(Berekening_impact[Doelgroep]=C556,Berekening_impact[Digitale zorgtoepassing]),0))</f>
        <v>0</v>
      </c>
      <c r="S556" s="398">
        <f>uitkomst_doelgroep[[#This Row],[Arbeidsbesparing (€)]]*uitkomst_doelgroep[[#This Row],[Percentage van patiëntaantallen in Wlz (overige is Zvw)]]</f>
        <v>0</v>
      </c>
      <c r="T556" s="398">
        <f>uitkomst_doelgroep[[#This Row],[Overige besparingen (€)]]*uitkomst_doelgroep[[#This Row],[Percentage van patiëntaantallen in Wlz (overige is Zvw)]]</f>
        <v>0</v>
      </c>
      <c r="U556" s="398">
        <f>uitkomst_doelgroep[[#This Row],[Kosten (€)]]*uitkomst_doelgroep[[#This Row],[Percentage van patiëntaantallen in Wlz (overige is Zvw)]]</f>
        <v>0</v>
      </c>
      <c r="V556" s="398">
        <f>uitkomst_doelgroep[[#This Row],[Investering (cash flow) (€)]]*uitkomst_doelgroep[[#This Row],[Percentage van patiëntaantallen in Wlz (overige is Zvw)]]</f>
        <v>0</v>
      </c>
    </row>
    <row r="557" spans="1:22" x14ac:dyDescent="0.5">
      <c r="A557" s="33" t="str">
        <f>INDEX(Technologieën[Veld],MATCH(B557,Technologieën[Digitale zorgtoepassing],0))</f>
        <v>Software - Behandeling</v>
      </c>
      <c r="B557" s="33" t="s">
        <v>101</v>
      </c>
      <c r="C557" s="33" t="s">
        <v>83</v>
      </c>
      <c r="D557" s="427" cm="1">
        <f t="array" ref="D557">INDEX(Berekening_patiëntaantal[Percentage van patiëntaantallen in Wlz (overige is Zvw)],MATCH(B557,IF(Berekening_patiëntaantal[Doelgroep (zoeksleutel)]=C557,Berekening_patiëntaantal[Digitale zorgtoepassing]),0))</f>
        <v>1</v>
      </c>
      <c r="E557" s="33" t="str" cm="1">
        <f t="array" ref="E557">INDEX(Berekening_patiëntaantal[Direct toepasbaar/extrapolatie/incidentie voor QALY],MATCH(B557,IF(Berekening_patiëntaantal[Doelgroep (zoeksleutel)]=C557,Berekening_patiëntaantal[Digitale zorgtoepassing]),0))</f>
        <v>Huidige toepassing</v>
      </c>
      <c r="F557" s="43" t="s">
        <v>812</v>
      </c>
      <c r="G557" s="33" t="str">
        <f>CONCATENATE(uitkomst_doelgroep[[#This Row],[Digitale zorgtoepassing]],"_",uitkomst_doelgroep[[#This Row],[Doelgroep]],"_",uitkomst_doelgroep[[#This Row],[Uitgangssituatie/effect beleid]])</f>
        <v>Spraak automatisch vastleggen_Verpleeghuis_Effect beleid</v>
      </c>
      <c r="H557" s="33">
        <v>2024</v>
      </c>
      <c r="I557" s="32">
        <v>2</v>
      </c>
      <c r="J557" s="406" cm="1">
        <f t="array" ref="J557">INDEX(implementatie[[2023]:[2034]],MATCH(G557, implementatie[Zoeksleutel],0),I557)</f>
        <v>0.25600000000000001</v>
      </c>
      <c r="K557" s="406" cm="1">
        <f t="array" ref="K557">INDEX(implementatie[[2023]:[2034]],MATCH(G557,implementatie[Zoeksleutel],0),I557 + 1)</f>
        <v>0.32057920000000001</v>
      </c>
      <c r="L55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37025.023999999998</v>
      </c>
      <c r="M557" s="398" cm="1">
        <f t="array" ref="M557">J557*INDEX(Berekening_impact[Totaal arbeidsbesparing (€/jaar)],MATCH(B557,IF(Berekening_impact[Doelgroep]=C557,Berekening_impact[Digitale zorgtoepassing]),0))</f>
        <v>66018314.235127173</v>
      </c>
      <c r="N557" s="397" cm="1">
        <f t="array" ref="N557">J557*INDEX(Berekening_impact[Totaal arbeidsbesparing (FTE/jaar)],MATCH(B557,IF(Berekening_impact[Doelgroep]=C557,Berekening_impact[Digitale zorgtoepassing]),0))</f>
        <v>1555.0510079999999</v>
      </c>
      <c r="O557" s="398" cm="1">
        <f t="array" ref="O557">J557*INDEX(Berekening_impact[Overige kostenbesparing (totaal/jaar totaal potentieel)],MATCH(B557,IF(Berekening_impact[Doelgroep]=C557,Berekening_impact[Digitale zorgtoepassing]),0))</f>
        <v>0</v>
      </c>
      <c r="P557" s="398" cm="1">
        <f t="array" ref="P557">J557*INDEX(Berekening_impact[Opbrengsten door QALY''s],MATCH(B557,IF(Berekening_impact[Doelgroep]=C557,Berekening_impact[Digitale zorgtoepassing]),0))</f>
        <v>0</v>
      </c>
      <c r="Q557" s="398" cm="1">
        <f t="array" ref="Q557">J557*INDEX(Berekening_impact[Jaarlijkse kosten (totaal) - incl. schatting],MATCH(B557,IF(Berekening_impact[Doelgroep]=C557,Berekening_impact[Digitale zorgtoepassing]),0))</f>
        <v>888600.576</v>
      </c>
      <c r="R557" s="398" cm="1">
        <f t="array" ref="R557">(uitkomst_doelgroep[[#This Row],[Implementatiegraad t = T + 1]]-uitkomst_doelgroep[[#This Row],[Implementatiegraad t = T]])*INDEX(Berekening_impact[Initiële investering (totaal) - incl. schatting],MATCH(B557,IF(Berekening_impact[Doelgroep]=C557,Berekening_impact[Digitale zorgtoepassing]),0))</f>
        <v>0</v>
      </c>
      <c r="S557" s="398">
        <f>uitkomst_doelgroep[[#This Row],[Arbeidsbesparing (€)]]*uitkomst_doelgroep[[#This Row],[Percentage van patiëntaantallen in Wlz (overige is Zvw)]]</f>
        <v>66018314.235127173</v>
      </c>
      <c r="T557" s="398">
        <f>uitkomst_doelgroep[[#This Row],[Overige besparingen (€)]]*uitkomst_doelgroep[[#This Row],[Percentage van patiëntaantallen in Wlz (overige is Zvw)]]</f>
        <v>0</v>
      </c>
      <c r="U557" s="398">
        <f>uitkomst_doelgroep[[#This Row],[Kosten (€)]]*uitkomst_doelgroep[[#This Row],[Percentage van patiëntaantallen in Wlz (overige is Zvw)]]</f>
        <v>888600.576</v>
      </c>
      <c r="V557" s="398">
        <f>uitkomst_doelgroep[[#This Row],[Investering (cash flow) (€)]]*uitkomst_doelgroep[[#This Row],[Percentage van patiëntaantallen in Wlz (overige is Zvw)]]</f>
        <v>0</v>
      </c>
    </row>
    <row r="558" spans="1:22" x14ac:dyDescent="0.5">
      <c r="A558" s="33" t="str">
        <f>INDEX(Technologieën[Veld],MATCH(B558,Technologieën[Digitale zorgtoepassing],0))</f>
        <v>Software - Behandeling</v>
      </c>
      <c r="B558" s="33" t="s">
        <v>101</v>
      </c>
      <c r="C558" s="33" t="s">
        <v>84</v>
      </c>
      <c r="D558" s="427" cm="1">
        <f t="array" ref="D558">INDEX(Berekening_patiëntaantal[Percentage van patiëntaantallen in Wlz (overige is Zvw)],MATCH(B558,IF(Berekening_patiëntaantal[Doelgroep (zoeksleutel)]=C558,Berekening_patiëntaantal[Digitale zorgtoepassing]),0))</f>
        <v>0</v>
      </c>
      <c r="E558" s="33" t="str" cm="1">
        <f t="array" ref="E558">INDEX(Berekening_patiëntaantal[Direct toepasbaar/extrapolatie/incidentie voor QALY],MATCH(B558,IF(Berekening_patiëntaantal[Doelgroep (zoeksleutel)]=C558,Berekening_patiëntaantal[Digitale zorgtoepassing]),0))</f>
        <v>Huidige toepassing</v>
      </c>
      <c r="F558" s="43" t="s">
        <v>812</v>
      </c>
      <c r="G558" s="33" t="str">
        <f>CONCATENATE(uitkomst_doelgroep[[#This Row],[Digitale zorgtoepassing]],"_",uitkomst_doelgroep[[#This Row],[Doelgroep]],"_",uitkomst_doelgroep[[#This Row],[Uitgangssituatie/effect beleid]])</f>
        <v>Spraak automatisch vastleggen_Wijkverpleging_Effect beleid</v>
      </c>
      <c r="H558" s="33">
        <v>2024</v>
      </c>
      <c r="I558" s="32">
        <v>2</v>
      </c>
      <c r="J558" s="406" cm="1">
        <f t="array" ref="J558">INDEX(implementatie[[2023]:[2034]],MATCH(G558, implementatie[Zoeksleutel],0),I558)</f>
        <v>0.25600000000000001</v>
      </c>
      <c r="K558" s="406" cm="1">
        <f t="array" ref="K558">INDEX(implementatie[[2023]:[2034]],MATCH(G558,implementatie[Zoeksleutel],0),I558 + 1)</f>
        <v>0.32057920000000001</v>
      </c>
      <c r="L55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23419.558359621449</v>
      </c>
      <c r="M558" s="398" cm="1">
        <f t="array" ref="M558">J558*INDEX(Berekening_impact[Totaal arbeidsbesparing (€/jaar)],MATCH(B558,IF(Berekening_impact[Doelgroep]=C558,Berekening_impact[Digitale zorgtoepassing]),0))</f>
        <v>5184156.8838620689</v>
      </c>
      <c r="N558" s="397" cm="1">
        <f t="array" ref="N558">J558*INDEX(Berekening_impact[Totaal arbeidsbesparing (FTE/jaar)],MATCH(B558,IF(Berekening_impact[Doelgroep]=C558,Berekening_impact[Digitale zorgtoepassing]),0))</f>
        <v>122.11200000000001</v>
      </c>
      <c r="O558" s="398" cm="1">
        <f t="array" ref="O558">J558*INDEX(Berekening_impact[Overige kostenbesparing (totaal/jaar totaal potentieel)],MATCH(B558,IF(Berekening_impact[Doelgroep]=C558,Berekening_impact[Digitale zorgtoepassing]),0))</f>
        <v>74209.297542521876</v>
      </c>
      <c r="P558" s="398" cm="1">
        <f t="array" ref="P558">J558*INDEX(Berekening_impact[Opbrengsten door QALY''s],MATCH(B558,IF(Berekening_impact[Doelgroep]=C558,Berekening_impact[Digitale zorgtoepassing]),0))</f>
        <v>0</v>
      </c>
      <c r="Q558" s="398" cm="1">
        <f t="array" ref="Q558">J558*INDEX(Berekening_impact[Jaarlijkse kosten (totaal) - incl. schatting],MATCH(B558,IF(Berekening_impact[Doelgroep]=C558,Berekening_impact[Digitale zorgtoepassing]),0))</f>
        <v>562069.40063091484</v>
      </c>
      <c r="R558" s="398" cm="1">
        <f t="array" ref="R558">(uitkomst_doelgroep[[#This Row],[Implementatiegraad t = T + 1]]-uitkomst_doelgroep[[#This Row],[Implementatiegraad t = T]])*INDEX(Berekening_impact[Initiële investering (totaal) - incl. schatting],MATCH(B558,IF(Berekening_impact[Doelgroep]=C558,Berekening_impact[Digitale zorgtoepassing]),0))</f>
        <v>0</v>
      </c>
      <c r="S558" s="398">
        <f>uitkomst_doelgroep[[#This Row],[Arbeidsbesparing (€)]]*uitkomst_doelgroep[[#This Row],[Percentage van patiëntaantallen in Wlz (overige is Zvw)]]</f>
        <v>0</v>
      </c>
      <c r="T558" s="398">
        <f>uitkomst_doelgroep[[#This Row],[Overige besparingen (€)]]*uitkomst_doelgroep[[#This Row],[Percentage van patiëntaantallen in Wlz (overige is Zvw)]]</f>
        <v>0</v>
      </c>
      <c r="U558" s="398">
        <f>uitkomst_doelgroep[[#This Row],[Kosten (€)]]*uitkomst_doelgroep[[#This Row],[Percentage van patiëntaantallen in Wlz (overige is Zvw)]]</f>
        <v>0</v>
      </c>
      <c r="V558" s="398">
        <f>uitkomst_doelgroep[[#This Row],[Investering (cash flow) (€)]]*uitkomst_doelgroep[[#This Row],[Percentage van patiëntaantallen in Wlz (overige is Zvw)]]</f>
        <v>0</v>
      </c>
    </row>
    <row r="559" spans="1:22" x14ac:dyDescent="0.5">
      <c r="A559" s="33" t="str">
        <f>INDEX(Technologieën[Veld],MATCH(B559,Technologieën[Digitale zorgtoepassing],0))</f>
        <v>Software - Behandeling</v>
      </c>
      <c r="B559" s="33" t="s">
        <v>101</v>
      </c>
      <c r="C559" s="33" t="s">
        <v>83</v>
      </c>
      <c r="D559" s="427" cm="1">
        <f t="array" ref="D559">INDEX(Berekening_patiëntaantal[Percentage van patiëntaantallen in Wlz (overige is Zvw)],MATCH(B559,IF(Berekening_patiëntaantal[Doelgroep (zoeksleutel)]=C559,Berekening_patiëntaantal[Digitale zorgtoepassing]),0))</f>
        <v>1</v>
      </c>
      <c r="E559" s="33" t="str" cm="1">
        <f t="array" ref="E559">INDEX(Berekening_patiëntaantal[Direct toepasbaar/extrapolatie/incidentie voor QALY],MATCH(B559,IF(Berekening_patiëntaantal[Doelgroep (zoeksleutel)]=C559,Berekening_patiëntaantal[Digitale zorgtoepassing]),0))</f>
        <v>Huidige toepassing</v>
      </c>
      <c r="F559" s="43" t="s">
        <v>812</v>
      </c>
      <c r="G559" s="33" t="str">
        <f>CONCATENATE(uitkomst_doelgroep[[#This Row],[Digitale zorgtoepassing]],"_",uitkomst_doelgroep[[#This Row],[Doelgroep]],"_",uitkomst_doelgroep[[#This Row],[Uitgangssituatie/effect beleid]])</f>
        <v>Spraak automatisch vastleggen_Verpleeghuis_Effect beleid</v>
      </c>
      <c r="H559" s="33">
        <v>2025</v>
      </c>
      <c r="I559" s="32">
        <v>3</v>
      </c>
      <c r="J559" s="406" cm="1">
        <f t="array" ref="J559">INDEX(implementatie[[2023]:[2034]],MATCH(G559, implementatie[Zoeksleutel],0),I559)</f>
        <v>0.32057920000000001</v>
      </c>
      <c r="K559" s="406" cm="1">
        <f t="array" ref="K559">INDEX(implementatie[[2023]:[2034]],MATCH(G559,implementatie[Zoeksleutel],0),I559 + 1)</f>
        <v>0.39271586095820804</v>
      </c>
      <c r="L55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46365.049116800001</v>
      </c>
      <c r="M559" s="398" cm="1">
        <f t="array" ref="M559">J559*INDEX(Berekening_impact[Totaal arbeidsbesparing (€/jaar)],MATCH(B559,IF(Berekening_impact[Doelgroep]=C559,Berekening_impact[Digitale zorgtoepassing]),0))</f>
        <v>82672259.229865938</v>
      </c>
      <c r="N559" s="397" cm="1">
        <f t="array" ref="N559">J559*INDEX(Berekening_impact[Totaal arbeidsbesparing (FTE/jaar)],MATCH(B559,IF(Berekening_impact[Doelgroep]=C559,Berekening_impact[Digitale zorgtoepassing]),0))</f>
        <v>1947.3320629056</v>
      </c>
      <c r="O559" s="398" cm="1">
        <f t="array" ref="O559">J559*INDEX(Berekening_impact[Overige kostenbesparing (totaal/jaar totaal potentieel)],MATCH(B559,IF(Berekening_impact[Doelgroep]=C559,Berekening_impact[Digitale zorgtoepassing]),0))</f>
        <v>0</v>
      </c>
      <c r="P559" s="398" cm="1">
        <f t="array" ref="P559">J559*INDEX(Berekening_impact[Opbrengsten door QALY''s],MATCH(B559,IF(Berekening_impact[Doelgroep]=C559,Berekening_impact[Digitale zorgtoepassing]),0))</f>
        <v>0</v>
      </c>
      <c r="Q559" s="398" cm="1">
        <f t="array" ref="Q559">J559*INDEX(Berekening_impact[Jaarlijkse kosten (totaal) - incl. schatting],MATCH(B559,IF(Berekening_impact[Doelgroep]=C559,Berekening_impact[Digitale zorgtoepassing]),0))</f>
        <v>1112761.1788032001</v>
      </c>
      <c r="R559" s="398" cm="1">
        <f t="array" ref="R559">(uitkomst_doelgroep[[#This Row],[Implementatiegraad t = T + 1]]-uitkomst_doelgroep[[#This Row],[Implementatiegraad t = T]])*INDEX(Berekening_impact[Initiële investering (totaal) - incl. schatting],MATCH(B559,IF(Berekening_impact[Doelgroep]=C559,Berekening_impact[Digitale zorgtoepassing]),0))</f>
        <v>0</v>
      </c>
      <c r="S559" s="398">
        <f>uitkomst_doelgroep[[#This Row],[Arbeidsbesparing (€)]]*uitkomst_doelgroep[[#This Row],[Percentage van patiëntaantallen in Wlz (overige is Zvw)]]</f>
        <v>82672259.229865938</v>
      </c>
      <c r="T559" s="398">
        <f>uitkomst_doelgroep[[#This Row],[Overige besparingen (€)]]*uitkomst_doelgroep[[#This Row],[Percentage van patiëntaantallen in Wlz (overige is Zvw)]]</f>
        <v>0</v>
      </c>
      <c r="U559" s="398">
        <f>uitkomst_doelgroep[[#This Row],[Kosten (€)]]*uitkomst_doelgroep[[#This Row],[Percentage van patiëntaantallen in Wlz (overige is Zvw)]]</f>
        <v>1112761.1788032001</v>
      </c>
      <c r="V559" s="398">
        <f>uitkomst_doelgroep[[#This Row],[Investering (cash flow) (€)]]*uitkomst_doelgroep[[#This Row],[Percentage van patiëntaantallen in Wlz (overige is Zvw)]]</f>
        <v>0</v>
      </c>
    </row>
    <row r="560" spans="1:22" x14ac:dyDescent="0.5">
      <c r="A560" s="33" t="str">
        <f>INDEX(Technologieën[Veld],MATCH(B560,Technologieën[Digitale zorgtoepassing],0))</f>
        <v>Software - Behandeling</v>
      </c>
      <c r="B560" s="33" t="s">
        <v>101</v>
      </c>
      <c r="C560" s="33" t="s">
        <v>84</v>
      </c>
      <c r="D560" s="427" cm="1">
        <f t="array" ref="D560">INDEX(Berekening_patiëntaantal[Percentage van patiëntaantallen in Wlz (overige is Zvw)],MATCH(B560,IF(Berekening_patiëntaantal[Doelgroep (zoeksleutel)]=C560,Berekening_patiëntaantal[Digitale zorgtoepassing]),0))</f>
        <v>0</v>
      </c>
      <c r="E560" s="33" t="str" cm="1">
        <f t="array" ref="E560">INDEX(Berekening_patiëntaantal[Direct toepasbaar/extrapolatie/incidentie voor QALY],MATCH(B560,IF(Berekening_patiëntaantal[Doelgroep (zoeksleutel)]=C560,Berekening_patiëntaantal[Digitale zorgtoepassing]),0))</f>
        <v>Huidige toepassing</v>
      </c>
      <c r="F560" s="43" t="s">
        <v>812</v>
      </c>
      <c r="G560" s="33" t="str">
        <f>CONCATENATE(uitkomst_doelgroep[[#This Row],[Digitale zorgtoepassing]],"_",uitkomst_doelgroep[[#This Row],[Doelgroep]],"_",uitkomst_doelgroep[[#This Row],[Uitgangssituatie/effect beleid]])</f>
        <v>Spraak automatisch vastleggen_Wijkverpleging_Effect beleid</v>
      </c>
      <c r="H560" s="33">
        <v>2025</v>
      </c>
      <c r="I560" s="32">
        <v>3</v>
      </c>
      <c r="J560" s="406" cm="1">
        <f t="array" ref="J560">INDEX(implementatie[[2023]:[2034]],MATCH(G560, implementatie[Zoeksleutel],0),I560)</f>
        <v>0.32057920000000001</v>
      </c>
      <c r="K560" s="406" cm="1">
        <f t="array" ref="K560">INDEX(implementatie[[2023]:[2034]],MATCH(G560,implementatie[Zoeksleutel],0),I560 + 1)</f>
        <v>0.39271586095820804</v>
      </c>
      <c r="L56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29327.434700315458</v>
      </c>
      <c r="M560" s="398" cm="1">
        <f t="array" ref="M560">J560*INDEX(Berekening_impact[Totaal arbeidsbesparing (€/jaar)],MATCH(B560,IF(Berekening_impact[Doelgroep]=C560,Berekening_impact[Digitale zorgtoepassing]),0))</f>
        <v>6491925.2597773243</v>
      </c>
      <c r="N560" s="397" cm="1">
        <f t="array" ref="N560">J560*INDEX(Berekening_impact[Totaal arbeidsbesparing (FTE/jaar)],MATCH(B560,IF(Berekening_impact[Doelgroep]=C560,Berekening_impact[Digitale zorgtoepassing]),0))</f>
        <v>152.91627840000001</v>
      </c>
      <c r="O560" s="398" cm="1">
        <f t="array" ref="O560">J560*INDEX(Berekening_impact[Overige kostenbesparing (totaal/jaar totaal potentieel)],MATCH(B560,IF(Berekening_impact[Doelgroep]=C560,Berekening_impact[Digitale zorgtoepassing]),0))</f>
        <v>92929.520463842302</v>
      </c>
      <c r="P560" s="398" cm="1">
        <f t="array" ref="P560">J560*INDEX(Berekening_impact[Opbrengsten door QALY''s],MATCH(B560,IF(Berekening_impact[Doelgroep]=C560,Berekening_impact[Digitale zorgtoepassing]),0))</f>
        <v>0</v>
      </c>
      <c r="Q560" s="398" cm="1">
        <f t="array" ref="Q560">J560*INDEX(Berekening_impact[Jaarlijkse kosten (totaal) - incl. schatting],MATCH(B560,IF(Berekening_impact[Doelgroep]=C560,Berekening_impact[Digitale zorgtoepassing]),0))</f>
        <v>703858.43280757102</v>
      </c>
      <c r="R560" s="398" cm="1">
        <f t="array" ref="R560">(uitkomst_doelgroep[[#This Row],[Implementatiegraad t = T + 1]]-uitkomst_doelgroep[[#This Row],[Implementatiegraad t = T]])*INDEX(Berekening_impact[Initiële investering (totaal) - incl. schatting],MATCH(B560,IF(Berekening_impact[Doelgroep]=C560,Berekening_impact[Digitale zorgtoepassing]),0))</f>
        <v>0</v>
      </c>
      <c r="S560" s="398">
        <f>uitkomst_doelgroep[[#This Row],[Arbeidsbesparing (€)]]*uitkomst_doelgroep[[#This Row],[Percentage van patiëntaantallen in Wlz (overige is Zvw)]]</f>
        <v>0</v>
      </c>
      <c r="T560" s="398">
        <f>uitkomst_doelgroep[[#This Row],[Overige besparingen (€)]]*uitkomst_doelgroep[[#This Row],[Percentage van patiëntaantallen in Wlz (overige is Zvw)]]</f>
        <v>0</v>
      </c>
      <c r="U560" s="398">
        <f>uitkomst_doelgroep[[#This Row],[Kosten (€)]]*uitkomst_doelgroep[[#This Row],[Percentage van patiëntaantallen in Wlz (overige is Zvw)]]</f>
        <v>0</v>
      </c>
      <c r="V560" s="398">
        <f>uitkomst_doelgroep[[#This Row],[Investering (cash flow) (€)]]*uitkomst_doelgroep[[#This Row],[Percentage van patiëntaantallen in Wlz (overige is Zvw)]]</f>
        <v>0</v>
      </c>
    </row>
    <row r="561" spans="1:22" x14ac:dyDescent="0.5">
      <c r="A561" s="33" t="str">
        <f>INDEX(Technologieën[Veld],MATCH(B561,Technologieën[Digitale zorgtoepassing],0))</f>
        <v>Software - Behandeling</v>
      </c>
      <c r="B561" s="33" t="s">
        <v>101</v>
      </c>
      <c r="C561" s="33" t="s">
        <v>83</v>
      </c>
      <c r="D561" s="427" cm="1">
        <f t="array" ref="D561">INDEX(Berekening_patiëntaantal[Percentage van patiëntaantallen in Wlz (overige is Zvw)],MATCH(B561,IF(Berekening_patiëntaantal[Doelgroep (zoeksleutel)]=C561,Berekening_patiëntaantal[Digitale zorgtoepassing]),0))</f>
        <v>1</v>
      </c>
      <c r="E561" s="33" t="str" cm="1">
        <f t="array" ref="E561">INDEX(Berekening_patiëntaantal[Direct toepasbaar/extrapolatie/incidentie voor QALY],MATCH(B561,IF(Berekening_patiëntaantal[Doelgroep (zoeksleutel)]=C561,Berekening_patiëntaantal[Digitale zorgtoepassing]),0))</f>
        <v>Huidige toepassing</v>
      </c>
      <c r="F561" s="43" t="s">
        <v>812</v>
      </c>
      <c r="G561" s="33" t="str">
        <f>CONCATENATE(uitkomst_doelgroep[[#This Row],[Digitale zorgtoepassing]],"_",uitkomst_doelgroep[[#This Row],[Doelgroep]],"_",uitkomst_doelgroep[[#This Row],[Uitgangssituatie/effect beleid]])</f>
        <v>Spraak automatisch vastleggen_Verpleeghuis_Effect beleid</v>
      </c>
      <c r="H561" s="33">
        <v>2026</v>
      </c>
      <c r="I561" s="32">
        <v>4</v>
      </c>
      <c r="J561" s="406" cm="1">
        <f t="array" ref="J561">INDEX(implementatie[[2023]:[2034]],MATCH(G561, implementatie[Zoeksleutel],0),I561)</f>
        <v>0.39271586095820804</v>
      </c>
      <c r="K561" s="406" cm="1">
        <f t="array" ref="K561">INDEX(implementatie[[2023]:[2034]],MATCH(G561,implementatie[Zoeksleutel],0),I561 + 1)</f>
        <v>0.47033573640164439</v>
      </c>
      <c r="L56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56798.102254524674</v>
      </c>
      <c r="M561" s="398" cm="1">
        <f t="array" ref="M561">J561*INDEX(Berekening_impact[Totaal arbeidsbesparing (€/jaar)],MATCH(B561,IF(Berekening_impact[Doelgroep]=C561,Berekening_impact[Digitale zorgtoepassing]),0))</f>
        <v>101275152.78850582</v>
      </c>
      <c r="N561" s="397" cm="1">
        <f t="array" ref="N561">J561*INDEX(Berekening_impact[Totaal arbeidsbesparing (FTE/jaar)],MATCH(B561,IF(Berekening_impact[Doelgroep]=C561,Berekening_impact[Digitale zorgtoepassing]),0))</f>
        <v>2385.5202946900358</v>
      </c>
      <c r="O561" s="398" cm="1">
        <f t="array" ref="O561">J561*INDEX(Berekening_impact[Overige kostenbesparing (totaal/jaar totaal potentieel)],MATCH(B561,IF(Berekening_impact[Doelgroep]=C561,Berekening_impact[Digitale zorgtoepassing]),0))</f>
        <v>0</v>
      </c>
      <c r="P561" s="398" cm="1">
        <f t="array" ref="P561">J561*INDEX(Berekening_impact[Opbrengsten door QALY''s],MATCH(B561,IF(Berekening_impact[Doelgroep]=C561,Berekening_impact[Digitale zorgtoepassing]),0))</f>
        <v>0</v>
      </c>
      <c r="Q561" s="398" cm="1">
        <f t="array" ref="Q561">J561*INDEX(Berekening_impact[Jaarlijkse kosten (totaal) - incl. schatting],MATCH(B561,IF(Berekening_impact[Doelgroep]=C561,Berekening_impact[Digitale zorgtoepassing]),0))</f>
        <v>1363154.4541085921</v>
      </c>
      <c r="R561" s="398" cm="1">
        <f t="array" ref="R561">(uitkomst_doelgroep[[#This Row],[Implementatiegraad t = T + 1]]-uitkomst_doelgroep[[#This Row],[Implementatiegraad t = T]])*INDEX(Berekening_impact[Initiële investering (totaal) - incl. schatting],MATCH(B561,IF(Berekening_impact[Doelgroep]=C561,Berekening_impact[Digitale zorgtoepassing]),0))</f>
        <v>0</v>
      </c>
      <c r="S561" s="398">
        <f>uitkomst_doelgroep[[#This Row],[Arbeidsbesparing (€)]]*uitkomst_doelgroep[[#This Row],[Percentage van patiëntaantallen in Wlz (overige is Zvw)]]</f>
        <v>101275152.78850582</v>
      </c>
      <c r="T561" s="398">
        <f>uitkomst_doelgroep[[#This Row],[Overige besparingen (€)]]*uitkomst_doelgroep[[#This Row],[Percentage van patiëntaantallen in Wlz (overige is Zvw)]]</f>
        <v>0</v>
      </c>
      <c r="U561" s="398">
        <f>uitkomst_doelgroep[[#This Row],[Kosten (€)]]*uitkomst_doelgroep[[#This Row],[Percentage van patiëntaantallen in Wlz (overige is Zvw)]]</f>
        <v>1363154.4541085921</v>
      </c>
      <c r="V561" s="398">
        <f>uitkomst_doelgroep[[#This Row],[Investering (cash flow) (€)]]*uitkomst_doelgroep[[#This Row],[Percentage van patiëntaantallen in Wlz (overige is Zvw)]]</f>
        <v>0</v>
      </c>
    </row>
    <row r="562" spans="1:22" x14ac:dyDescent="0.5">
      <c r="A562" s="33" t="str">
        <f>INDEX(Technologieën[Veld],MATCH(B562,Technologieën[Digitale zorgtoepassing],0))</f>
        <v>Software - Behandeling</v>
      </c>
      <c r="B562" s="33" t="s">
        <v>101</v>
      </c>
      <c r="C562" s="33" t="s">
        <v>84</v>
      </c>
      <c r="D562" s="427" cm="1">
        <f t="array" ref="D562">INDEX(Berekening_patiëntaantal[Percentage van patiëntaantallen in Wlz (overige is Zvw)],MATCH(B562,IF(Berekening_patiëntaantal[Doelgroep (zoeksleutel)]=C562,Berekening_patiëntaantal[Digitale zorgtoepassing]),0))</f>
        <v>0</v>
      </c>
      <c r="E562" s="33" t="str" cm="1">
        <f t="array" ref="E562">INDEX(Berekening_patiëntaantal[Direct toepasbaar/extrapolatie/incidentie voor QALY],MATCH(B562,IF(Berekening_patiëntaantal[Doelgroep (zoeksleutel)]=C562,Berekening_patiëntaantal[Digitale zorgtoepassing]),0))</f>
        <v>Huidige toepassing</v>
      </c>
      <c r="F562" s="43" t="s">
        <v>812</v>
      </c>
      <c r="G562" s="33" t="str">
        <f>CONCATENATE(uitkomst_doelgroep[[#This Row],[Digitale zorgtoepassing]],"_",uitkomst_doelgroep[[#This Row],[Doelgroep]],"_",uitkomst_doelgroep[[#This Row],[Uitgangssituatie/effect beleid]])</f>
        <v>Spraak automatisch vastleggen_Wijkverpleging_Effect beleid</v>
      </c>
      <c r="H562" s="33">
        <v>2026</v>
      </c>
      <c r="I562" s="32">
        <v>4</v>
      </c>
      <c r="J562" s="406" cm="1">
        <f t="array" ref="J562">INDEX(implementatie[[2023]:[2034]],MATCH(G562, implementatie[Zoeksleutel],0),I562)</f>
        <v>0.39271586095820804</v>
      </c>
      <c r="K562" s="406" cm="1">
        <f t="array" ref="K562">INDEX(implementatie[[2023]:[2034]],MATCH(G562,implementatie[Zoeksleutel],0),I562 + 1)</f>
        <v>0.47033573640164439</v>
      </c>
      <c r="L56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35926.687595545845</v>
      </c>
      <c r="M562" s="398" cm="1">
        <f t="array" ref="M562">J562*INDEX(Berekening_impact[Totaal arbeidsbesparing (€/jaar)],MATCH(B562,IF(Berekening_impact[Doelgroep]=C562,Berekening_impact[Digitale zorgtoepassing]),0))</f>
        <v>7952736.8515168494</v>
      </c>
      <c r="N562" s="397" cm="1">
        <f t="array" ref="N562">J562*INDEX(Berekening_impact[Totaal arbeidsbesparing (FTE/jaar)],MATCH(B562,IF(Berekening_impact[Doelgroep]=C562,Berekening_impact[Digitale zorgtoepassing]),0))</f>
        <v>187.32546567706524</v>
      </c>
      <c r="O562" s="398" cm="1">
        <f t="array" ref="O562">J562*INDEX(Berekening_impact[Overige kostenbesparing (totaal/jaar totaal potentieel)],MATCH(B562,IF(Berekening_impact[Doelgroep]=C562,Berekening_impact[Digitale zorgtoepassing]),0))</f>
        <v>113840.50068560669</v>
      </c>
      <c r="P562" s="398" cm="1">
        <f t="array" ref="P562">J562*INDEX(Berekening_impact[Opbrengsten door QALY''s],MATCH(B562,IF(Berekening_impact[Doelgroep]=C562,Berekening_impact[Digitale zorgtoepassing]),0))</f>
        <v>0</v>
      </c>
      <c r="Q562" s="398" cm="1">
        <f t="array" ref="Q562">J562*INDEX(Berekening_impact[Jaarlijkse kosten (totaal) - incl. schatting],MATCH(B562,IF(Berekening_impact[Doelgroep]=C562,Berekening_impact[Digitale zorgtoepassing]),0))</f>
        <v>862240.50229310023</v>
      </c>
      <c r="R562" s="398" cm="1">
        <f t="array" ref="R562">(uitkomst_doelgroep[[#This Row],[Implementatiegraad t = T + 1]]-uitkomst_doelgroep[[#This Row],[Implementatiegraad t = T]])*INDEX(Berekening_impact[Initiële investering (totaal) - incl. schatting],MATCH(B562,IF(Berekening_impact[Doelgroep]=C562,Berekening_impact[Digitale zorgtoepassing]),0))</f>
        <v>0</v>
      </c>
      <c r="S562" s="398">
        <f>uitkomst_doelgroep[[#This Row],[Arbeidsbesparing (€)]]*uitkomst_doelgroep[[#This Row],[Percentage van patiëntaantallen in Wlz (overige is Zvw)]]</f>
        <v>0</v>
      </c>
      <c r="T562" s="398">
        <f>uitkomst_doelgroep[[#This Row],[Overige besparingen (€)]]*uitkomst_doelgroep[[#This Row],[Percentage van patiëntaantallen in Wlz (overige is Zvw)]]</f>
        <v>0</v>
      </c>
      <c r="U562" s="398">
        <f>uitkomst_doelgroep[[#This Row],[Kosten (€)]]*uitkomst_doelgroep[[#This Row],[Percentage van patiëntaantallen in Wlz (overige is Zvw)]]</f>
        <v>0</v>
      </c>
      <c r="V562" s="398">
        <f>uitkomst_doelgroep[[#This Row],[Investering (cash flow) (€)]]*uitkomst_doelgroep[[#This Row],[Percentage van patiëntaantallen in Wlz (overige is Zvw)]]</f>
        <v>0</v>
      </c>
    </row>
    <row r="563" spans="1:22" x14ac:dyDescent="0.5">
      <c r="A563" s="33" t="str">
        <f>INDEX(Technologieën[Veld],MATCH(B563,Technologieën[Digitale zorgtoepassing],0))</f>
        <v>Software - Behandeling</v>
      </c>
      <c r="B563" s="33" t="s">
        <v>101</v>
      </c>
      <c r="C563" s="33" t="s">
        <v>83</v>
      </c>
      <c r="D563" s="427" cm="1">
        <f t="array" ref="D563">INDEX(Berekening_patiëntaantal[Percentage van patiëntaantallen in Wlz (overige is Zvw)],MATCH(B563,IF(Berekening_patiëntaantal[Doelgroep (zoeksleutel)]=C563,Berekening_patiëntaantal[Digitale zorgtoepassing]),0))</f>
        <v>1</v>
      </c>
      <c r="E563" s="33" t="str" cm="1">
        <f t="array" ref="E563">INDEX(Berekening_patiëntaantal[Direct toepasbaar/extrapolatie/incidentie voor QALY],MATCH(B563,IF(Berekening_patiëntaantal[Doelgroep (zoeksleutel)]=C563,Berekening_patiëntaantal[Digitale zorgtoepassing]),0))</f>
        <v>Huidige toepassing</v>
      </c>
      <c r="F563" s="43" t="s">
        <v>812</v>
      </c>
      <c r="G563" s="33" t="str">
        <f>CONCATENATE(uitkomst_doelgroep[[#This Row],[Digitale zorgtoepassing]],"_",uitkomst_doelgroep[[#This Row],[Doelgroep]],"_",uitkomst_doelgroep[[#This Row],[Uitgangssituatie/effect beleid]])</f>
        <v>Spraak automatisch vastleggen_Verpleeghuis_Effect beleid</v>
      </c>
      <c r="H563" s="33">
        <v>2027</v>
      </c>
      <c r="I563" s="32">
        <v>5</v>
      </c>
      <c r="J563" s="406" cm="1">
        <f t="array" ref="J563">INDEX(implementatie[[2023]:[2034]],MATCH(G563, implementatie[Zoeksleutel],0),I563)</f>
        <v>0.47033573640164439</v>
      </c>
      <c r="K563" s="406" cm="1">
        <f t="array" ref="K563">INDEX(implementatie[[2023]:[2034]],MATCH(G563,implementatie[Zoeksleutel],0),I563 + 1)</f>
        <v>0.55036838847717817</v>
      </c>
      <c r="L56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68024.187220033433</v>
      </c>
      <c r="M563" s="398" cm="1">
        <f t="array" ref="M563">J563*INDEX(Berekening_impact[Totaal arbeidsbesparing (€/jaar)],MATCH(B563,IF(Berekening_impact[Doelgroep]=C563,Berekening_impact[Digitale zorgtoepassing]),0))</f>
        <v>121292079.85067852</v>
      </c>
      <c r="N563" s="397" cm="1">
        <f t="array" ref="N563">J563*INDEX(Berekening_impact[Totaal arbeidsbesparing (FTE/jaar)],MATCH(B563,IF(Berekening_impact[Doelgroep]=C563,Berekening_impact[Digitale zorgtoepassing]),0))</f>
        <v>2857.0158632414036</v>
      </c>
      <c r="O563" s="398" cm="1">
        <f t="array" ref="O563">J563*INDEX(Berekening_impact[Overige kostenbesparing (totaal/jaar totaal potentieel)],MATCH(B563,IF(Berekening_impact[Doelgroep]=C563,Berekening_impact[Digitale zorgtoepassing]),0))</f>
        <v>0</v>
      </c>
      <c r="P563" s="398" cm="1">
        <f t="array" ref="P563">J563*INDEX(Berekening_impact[Opbrengsten door QALY''s],MATCH(B563,IF(Berekening_impact[Doelgroep]=C563,Berekening_impact[Digitale zorgtoepassing]),0))</f>
        <v>0</v>
      </c>
      <c r="Q563" s="398" cm="1">
        <f t="array" ref="Q563">J563*INDEX(Berekening_impact[Jaarlijkse kosten (totaal) - incl. schatting],MATCH(B563,IF(Berekening_impact[Doelgroep]=C563,Berekening_impact[Digitale zorgtoepassing]),0))</f>
        <v>1632580.4932808022</v>
      </c>
      <c r="R563" s="398" cm="1">
        <f t="array" ref="R563">(uitkomst_doelgroep[[#This Row],[Implementatiegraad t = T + 1]]-uitkomst_doelgroep[[#This Row],[Implementatiegraad t = T]])*INDEX(Berekening_impact[Initiële investering (totaal) - incl. schatting],MATCH(B563,IF(Berekening_impact[Doelgroep]=C563,Berekening_impact[Digitale zorgtoepassing]),0))</f>
        <v>0</v>
      </c>
      <c r="S563" s="398">
        <f>uitkomst_doelgroep[[#This Row],[Arbeidsbesparing (€)]]*uitkomst_doelgroep[[#This Row],[Percentage van patiëntaantallen in Wlz (overige is Zvw)]]</f>
        <v>121292079.85067852</v>
      </c>
      <c r="T563" s="398">
        <f>uitkomst_doelgroep[[#This Row],[Overige besparingen (€)]]*uitkomst_doelgroep[[#This Row],[Percentage van patiëntaantallen in Wlz (overige is Zvw)]]</f>
        <v>0</v>
      </c>
      <c r="U563" s="398">
        <f>uitkomst_doelgroep[[#This Row],[Kosten (€)]]*uitkomst_doelgroep[[#This Row],[Percentage van patiëntaantallen in Wlz (overige is Zvw)]]</f>
        <v>1632580.4932808022</v>
      </c>
      <c r="V563" s="398">
        <f>uitkomst_doelgroep[[#This Row],[Investering (cash flow) (€)]]*uitkomst_doelgroep[[#This Row],[Percentage van patiëntaantallen in Wlz (overige is Zvw)]]</f>
        <v>0</v>
      </c>
    </row>
    <row r="564" spans="1:22" x14ac:dyDescent="0.5">
      <c r="A564" s="33" t="str">
        <f>INDEX(Technologieën[Veld],MATCH(B564,Technologieën[Digitale zorgtoepassing],0))</f>
        <v>Software - Behandeling</v>
      </c>
      <c r="B564" s="33" t="s">
        <v>101</v>
      </c>
      <c r="C564" s="33" t="s">
        <v>84</v>
      </c>
      <c r="D564" s="427" cm="1">
        <f t="array" ref="D564">INDEX(Berekening_patiëntaantal[Percentage van patiëntaantallen in Wlz (overige is Zvw)],MATCH(B564,IF(Berekening_patiëntaantal[Doelgroep (zoeksleutel)]=C564,Berekening_patiëntaantal[Digitale zorgtoepassing]),0))</f>
        <v>0</v>
      </c>
      <c r="E564" s="33" t="str" cm="1">
        <f t="array" ref="E564">INDEX(Berekening_patiëntaantal[Direct toepasbaar/extrapolatie/incidentie voor QALY],MATCH(B564,IF(Berekening_patiëntaantal[Doelgroep (zoeksleutel)]=C564,Berekening_patiëntaantal[Digitale zorgtoepassing]),0))</f>
        <v>Huidige toepassing</v>
      </c>
      <c r="F564" s="43" t="s">
        <v>812</v>
      </c>
      <c r="G564" s="33" t="str">
        <f>CONCATENATE(uitkomst_doelgroep[[#This Row],[Digitale zorgtoepassing]],"_",uitkomst_doelgroep[[#This Row],[Doelgroep]],"_",uitkomst_doelgroep[[#This Row],[Uitgangssituatie/effect beleid]])</f>
        <v>Spraak automatisch vastleggen_Wijkverpleging_Effect beleid</v>
      </c>
      <c r="H564" s="33">
        <v>2027</v>
      </c>
      <c r="I564" s="32">
        <v>5</v>
      </c>
      <c r="J564" s="406" cm="1">
        <f t="array" ref="J564">INDEX(implementatie[[2023]:[2034]],MATCH(G564, implementatie[Zoeksleutel],0),I564)</f>
        <v>0.47033573640164439</v>
      </c>
      <c r="K564" s="406" cm="1">
        <f t="array" ref="K564">INDEX(implementatie[[2023]:[2034]],MATCH(G564,implementatie[Zoeksleutel],0),I564 + 1)</f>
        <v>0.55036838847717817</v>
      </c>
      <c r="L56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43027.559481538447</v>
      </c>
      <c r="M564" s="398" cm="1">
        <f t="array" ref="M564">J564*INDEX(Berekening_impact[Totaal arbeidsbesparing (€/jaar)],MATCH(B564,IF(Berekening_impact[Doelgroep]=C564,Berekening_impact[Digitale zorgtoepassing]),0))</f>
        <v>9524586.8968473449</v>
      </c>
      <c r="N564" s="397" cm="1">
        <f t="array" ref="N564">J564*INDEX(Berekening_impact[Totaal arbeidsbesparing (FTE/jaar)],MATCH(B564,IF(Berekening_impact[Doelgroep]=C564,Berekening_impact[Digitale zorgtoepassing]),0))</f>
        <v>224.35014626358438</v>
      </c>
      <c r="O564" s="398" cm="1">
        <f t="array" ref="O564">J564*INDEX(Berekening_impact[Overige kostenbesparing (totaal/jaar totaal potentieel)],MATCH(B564,IF(Berekening_impact[Doelgroep]=C564,Berekening_impact[Digitale zorgtoepassing]),0))</f>
        <v>136340.95549808894</v>
      </c>
      <c r="P564" s="398" cm="1">
        <f t="array" ref="P564">J564*INDEX(Berekening_impact[Opbrengsten door QALY''s],MATCH(B564,IF(Berekening_impact[Doelgroep]=C564,Berekening_impact[Digitale zorgtoepassing]),0))</f>
        <v>0</v>
      </c>
      <c r="Q564" s="398" cm="1">
        <f t="array" ref="Q564">J564*INDEX(Berekening_impact[Jaarlijkse kosten (totaal) - incl. schatting],MATCH(B564,IF(Berekening_impact[Doelgroep]=C564,Berekening_impact[Digitale zorgtoepassing]),0))</f>
        <v>1032661.4275569227</v>
      </c>
      <c r="R564" s="398" cm="1">
        <f t="array" ref="R564">(uitkomst_doelgroep[[#This Row],[Implementatiegraad t = T + 1]]-uitkomst_doelgroep[[#This Row],[Implementatiegraad t = T]])*INDEX(Berekening_impact[Initiële investering (totaal) - incl. schatting],MATCH(B564,IF(Berekening_impact[Doelgroep]=C564,Berekening_impact[Digitale zorgtoepassing]),0))</f>
        <v>0</v>
      </c>
      <c r="S564" s="398">
        <f>uitkomst_doelgroep[[#This Row],[Arbeidsbesparing (€)]]*uitkomst_doelgroep[[#This Row],[Percentage van patiëntaantallen in Wlz (overige is Zvw)]]</f>
        <v>0</v>
      </c>
      <c r="T564" s="398">
        <f>uitkomst_doelgroep[[#This Row],[Overige besparingen (€)]]*uitkomst_doelgroep[[#This Row],[Percentage van patiëntaantallen in Wlz (overige is Zvw)]]</f>
        <v>0</v>
      </c>
      <c r="U564" s="398">
        <f>uitkomst_doelgroep[[#This Row],[Kosten (€)]]*uitkomst_doelgroep[[#This Row],[Percentage van patiëntaantallen in Wlz (overige is Zvw)]]</f>
        <v>0</v>
      </c>
      <c r="V564" s="398">
        <f>uitkomst_doelgroep[[#This Row],[Investering (cash flow) (€)]]*uitkomst_doelgroep[[#This Row],[Percentage van patiëntaantallen in Wlz (overige is Zvw)]]</f>
        <v>0</v>
      </c>
    </row>
    <row r="565" spans="1:22" x14ac:dyDescent="0.5">
      <c r="A565" s="33" t="str">
        <f>INDEX(Technologieën[Veld],MATCH(B565,Technologieën[Digitale zorgtoepassing],0))</f>
        <v>Software - Behandeling</v>
      </c>
      <c r="B565" s="33" t="s">
        <v>101</v>
      </c>
      <c r="C565" s="33" t="s">
        <v>83</v>
      </c>
      <c r="D565" s="427" cm="1">
        <f t="array" ref="D565">INDEX(Berekening_patiëntaantal[Percentage van patiëntaantallen in Wlz (overige is Zvw)],MATCH(B565,IF(Berekening_patiëntaantal[Doelgroep (zoeksleutel)]=C565,Berekening_patiëntaantal[Digitale zorgtoepassing]),0))</f>
        <v>1</v>
      </c>
      <c r="E565" s="33" t="str" cm="1">
        <f t="array" ref="E565">INDEX(Berekening_patiëntaantal[Direct toepasbaar/extrapolatie/incidentie voor QALY],MATCH(B565,IF(Berekening_patiëntaantal[Doelgroep (zoeksleutel)]=C565,Berekening_patiëntaantal[Digitale zorgtoepassing]),0))</f>
        <v>Huidige toepassing</v>
      </c>
      <c r="F565" s="43" t="s">
        <v>812</v>
      </c>
      <c r="G565" s="33" t="str">
        <f>CONCATENATE(uitkomst_doelgroep[[#This Row],[Digitale zorgtoepassing]],"_",uitkomst_doelgroep[[#This Row],[Doelgroep]],"_",uitkomst_doelgroep[[#This Row],[Uitgangssituatie/effect beleid]])</f>
        <v>Spraak automatisch vastleggen_Verpleeghuis_Effect beleid</v>
      </c>
      <c r="H565" s="33">
        <v>2028</v>
      </c>
      <c r="I565" s="32">
        <v>6</v>
      </c>
      <c r="J565" s="406" cm="1">
        <f t="array" ref="J565">INDEX(implementatie[[2023]:[2034]],MATCH(G565, implementatie[Zoeksleutel],0),I565)</f>
        <v>0.55036838847717817</v>
      </c>
      <c r="K565" s="406" cm="1">
        <f t="array" ref="K565">INDEX(implementatie[[2023]:[2034]],MATCH(G565,implementatie[Zoeksleutel],0),I565 + 1)</f>
        <v>0.62910361222507005</v>
      </c>
      <c r="L56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79599.229657065807</v>
      </c>
      <c r="M565" s="398" cm="1">
        <f t="array" ref="M565">J565*INDEX(Berekening_impact[Totaal arbeidsbesparing (€/jaar)],MATCH(B565,IF(Berekening_impact[Doelgroep]=C565,Berekening_impact[Digitale zorgtoepassing]),0))</f>
        <v>141931223.49830818</v>
      </c>
      <c r="N565" s="397" cm="1">
        <f t="array" ref="N565">J565*INDEX(Berekening_impact[Totaal arbeidsbesparing (FTE/jaar)],MATCH(B565,IF(Berekening_impact[Doelgroep]=C565,Berekening_impact[Digitale zorgtoepassing]),0))</f>
        <v>3343.1676455967636</v>
      </c>
      <c r="O565" s="398" cm="1">
        <f t="array" ref="O565">J565*INDEX(Berekening_impact[Overige kostenbesparing (totaal/jaar totaal potentieel)],MATCH(B565,IF(Berekening_impact[Doelgroep]=C565,Berekening_impact[Digitale zorgtoepassing]),0))</f>
        <v>0</v>
      </c>
      <c r="P565" s="398" cm="1">
        <f t="array" ref="P565">J565*INDEX(Berekening_impact[Opbrengsten door QALY''s],MATCH(B565,IF(Berekening_impact[Doelgroep]=C565,Berekening_impact[Digitale zorgtoepassing]),0))</f>
        <v>0</v>
      </c>
      <c r="Q565" s="398" cm="1">
        <f t="array" ref="Q565">J565*INDEX(Berekening_impact[Jaarlijkse kosten (totaal) - incl. schatting],MATCH(B565,IF(Berekening_impact[Doelgroep]=C565,Berekening_impact[Digitale zorgtoepassing]),0))</f>
        <v>1910381.5117695793</v>
      </c>
      <c r="R565" s="398" cm="1">
        <f t="array" ref="R565">(uitkomst_doelgroep[[#This Row],[Implementatiegraad t = T + 1]]-uitkomst_doelgroep[[#This Row],[Implementatiegraad t = T]])*INDEX(Berekening_impact[Initiële investering (totaal) - incl. schatting],MATCH(B565,IF(Berekening_impact[Doelgroep]=C565,Berekening_impact[Digitale zorgtoepassing]),0))</f>
        <v>0</v>
      </c>
      <c r="S565" s="398">
        <f>uitkomst_doelgroep[[#This Row],[Arbeidsbesparing (€)]]*uitkomst_doelgroep[[#This Row],[Percentage van patiëntaantallen in Wlz (overige is Zvw)]]</f>
        <v>141931223.49830818</v>
      </c>
      <c r="T565" s="398">
        <f>uitkomst_doelgroep[[#This Row],[Overige besparingen (€)]]*uitkomst_doelgroep[[#This Row],[Percentage van patiëntaantallen in Wlz (overige is Zvw)]]</f>
        <v>0</v>
      </c>
      <c r="U565" s="398">
        <f>uitkomst_doelgroep[[#This Row],[Kosten (€)]]*uitkomst_doelgroep[[#This Row],[Percentage van patiëntaantallen in Wlz (overige is Zvw)]]</f>
        <v>1910381.5117695793</v>
      </c>
      <c r="V565" s="398">
        <f>uitkomst_doelgroep[[#This Row],[Investering (cash flow) (€)]]*uitkomst_doelgroep[[#This Row],[Percentage van patiëntaantallen in Wlz (overige is Zvw)]]</f>
        <v>0</v>
      </c>
    </row>
    <row r="566" spans="1:22" x14ac:dyDescent="0.5">
      <c r="A566" s="33" t="str">
        <f>INDEX(Technologieën[Veld],MATCH(B566,Technologieën[Digitale zorgtoepassing],0))</f>
        <v>Software - Behandeling</v>
      </c>
      <c r="B566" s="33" t="s">
        <v>101</v>
      </c>
      <c r="C566" s="33" t="s">
        <v>84</v>
      </c>
      <c r="D566" s="427" cm="1">
        <f t="array" ref="D566">INDEX(Berekening_patiëntaantal[Percentage van patiëntaantallen in Wlz (overige is Zvw)],MATCH(B566,IF(Berekening_patiëntaantal[Doelgroep (zoeksleutel)]=C566,Berekening_patiëntaantal[Digitale zorgtoepassing]),0))</f>
        <v>0</v>
      </c>
      <c r="E566" s="33" t="str" cm="1">
        <f t="array" ref="E566">INDEX(Berekening_patiëntaantal[Direct toepasbaar/extrapolatie/incidentie voor QALY],MATCH(B566,IF(Berekening_patiëntaantal[Doelgroep (zoeksleutel)]=C566,Berekening_patiëntaantal[Digitale zorgtoepassing]),0))</f>
        <v>Huidige toepassing</v>
      </c>
      <c r="F566" s="43" t="s">
        <v>812</v>
      </c>
      <c r="G566" s="33" t="str">
        <f>CONCATENATE(uitkomst_doelgroep[[#This Row],[Digitale zorgtoepassing]],"_",uitkomst_doelgroep[[#This Row],[Doelgroep]],"_",uitkomst_doelgroep[[#This Row],[Uitgangssituatie/effect beleid]])</f>
        <v>Spraak automatisch vastleggen_Wijkverpleging_Effect beleid</v>
      </c>
      <c r="H566" s="33">
        <v>2028</v>
      </c>
      <c r="I566" s="32">
        <v>6</v>
      </c>
      <c r="J566" s="406" cm="1">
        <f t="array" ref="J566">INDEX(implementatie[[2023]:[2034]],MATCH(G566, implementatie[Zoeksleutel],0),I566)</f>
        <v>0.55036838847717817</v>
      </c>
      <c r="K566" s="406" cm="1">
        <f t="array" ref="K566">INDEX(implementatie[[2023]:[2034]],MATCH(G566,implementatie[Zoeksleutel],0),I566 + 1)</f>
        <v>0.62910361222507005</v>
      </c>
      <c r="L56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50349.158567312828</v>
      </c>
      <c r="M566" s="398" cm="1">
        <f t="array" ref="M566">J566*INDEX(Berekening_impact[Totaal arbeidsbesparing (€/jaar)],MATCH(B566,IF(Berekening_impact[Doelgroep]=C566,Berekening_impact[Digitale zorgtoepassing]),0))</f>
        <v>11145297.147593893</v>
      </c>
      <c r="N566" s="397" cm="1">
        <f t="array" ref="N566">J566*INDEX(Berekening_impact[Totaal arbeidsbesparing (FTE/jaar)],MATCH(B566,IF(Berekening_impact[Doelgroep]=C566,Berekening_impact[Digitale zorgtoepassing]),0))</f>
        <v>262.52572130361398</v>
      </c>
      <c r="O566" s="398" cm="1">
        <f t="array" ref="O566">J566*INDEX(Berekening_impact[Overige kostenbesparing (totaal/jaar totaal potentieel)],MATCH(B566,IF(Berekening_impact[Doelgroep]=C566,Berekening_impact[Digitale zorgtoepassing]),0))</f>
        <v>159540.82616602024</v>
      </c>
      <c r="P566" s="398" cm="1">
        <f t="array" ref="P566">J566*INDEX(Berekening_impact[Opbrengsten door QALY''s],MATCH(B566,IF(Berekening_impact[Doelgroep]=C566,Berekening_impact[Digitale zorgtoepassing]),0))</f>
        <v>0</v>
      </c>
      <c r="Q566" s="398" cm="1">
        <f t="array" ref="Q566">J566*INDEX(Berekening_impact[Jaarlijkse kosten (totaal) - incl. schatting],MATCH(B566,IF(Berekening_impact[Doelgroep]=C566,Berekening_impact[Digitale zorgtoepassing]),0))</f>
        <v>1208379.8056155078</v>
      </c>
      <c r="R566" s="398" cm="1">
        <f t="array" ref="R566">(uitkomst_doelgroep[[#This Row],[Implementatiegraad t = T + 1]]-uitkomst_doelgroep[[#This Row],[Implementatiegraad t = T]])*INDEX(Berekening_impact[Initiële investering (totaal) - incl. schatting],MATCH(B566,IF(Berekening_impact[Doelgroep]=C566,Berekening_impact[Digitale zorgtoepassing]),0))</f>
        <v>0</v>
      </c>
      <c r="S566" s="398">
        <f>uitkomst_doelgroep[[#This Row],[Arbeidsbesparing (€)]]*uitkomst_doelgroep[[#This Row],[Percentage van patiëntaantallen in Wlz (overige is Zvw)]]</f>
        <v>0</v>
      </c>
      <c r="T566" s="398">
        <f>uitkomst_doelgroep[[#This Row],[Overige besparingen (€)]]*uitkomst_doelgroep[[#This Row],[Percentage van patiëntaantallen in Wlz (overige is Zvw)]]</f>
        <v>0</v>
      </c>
      <c r="U566" s="398">
        <f>uitkomst_doelgroep[[#This Row],[Kosten (€)]]*uitkomst_doelgroep[[#This Row],[Percentage van patiëntaantallen in Wlz (overige is Zvw)]]</f>
        <v>0</v>
      </c>
      <c r="V566" s="398">
        <f>uitkomst_doelgroep[[#This Row],[Investering (cash flow) (€)]]*uitkomst_doelgroep[[#This Row],[Percentage van patiëntaantallen in Wlz (overige is Zvw)]]</f>
        <v>0</v>
      </c>
    </row>
    <row r="567" spans="1:22" x14ac:dyDescent="0.5">
      <c r="A567" s="33" t="str">
        <f>INDEX(Technologieën[Veld],MATCH(B567,Technologieën[Digitale zorgtoepassing],0))</f>
        <v>Software - Behandeling</v>
      </c>
      <c r="B567" s="33" t="s">
        <v>101</v>
      </c>
      <c r="C567" s="33" t="s">
        <v>83</v>
      </c>
      <c r="D567" s="427" cm="1">
        <f t="array" ref="D567">INDEX(Berekening_patiëntaantal[Percentage van patiëntaantallen in Wlz (overige is Zvw)],MATCH(B567,IF(Berekening_patiëntaantal[Doelgroep (zoeksleutel)]=C567,Berekening_patiëntaantal[Digitale zorgtoepassing]),0))</f>
        <v>1</v>
      </c>
      <c r="E567" s="33" t="str" cm="1">
        <f t="array" ref="E567">INDEX(Berekening_patiëntaantal[Direct toepasbaar/extrapolatie/incidentie voor QALY],MATCH(B567,IF(Berekening_patiëntaantal[Doelgroep (zoeksleutel)]=C567,Berekening_patiëntaantal[Digitale zorgtoepassing]),0))</f>
        <v>Huidige toepassing</v>
      </c>
      <c r="F567" s="43" t="s">
        <v>812</v>
      </c>
      <c r="G567" s="33" t="str">
        <f>CONCATENATE(uitkomst_doelgroep[[#This Row],[Digitale zorgtoepassing]],"_",uitkomst_doelgroep[[#This Row],[Doelgroep]],"_",uitkomst_doelgroep[[#This Row],[Uitgangssituatie/effect beleid]])</f>
        <v>Spraak automatisch vastleggen_Verpleeghuis_Effect beleid</v>
      </c>
      <c r="H567" s="33">
        <v>2029</v>
      </c>
      <c r="I567" s="32">
        <v>7</v>
      </c>
      <c r="J567" s="406" cm="1">
        <f t="array" ref="J567">INDEX(implementatie[[2023]:[2034]],MATCH(G567, implementatie[Zoeksleutel],0),I567)</f>
        <v>0.62910361222507005</v>
      </c>
      <c r="K567" s="406" cm="1">
        <f t="array" ref="K567">INDEX(implementatie[[2023]:[2034]],MATCH(G567,implementatie[Zoeksleutel],0),I567 + 1)</f>
        <v>0.70281225329595098</v>
      </c>
      <c r="L56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90986.626332499654</v>
      </c>
      <c r="M567" s="398" cm="1">
        <f t="array" ref="M567">J567*INDEX(Berekening_impact[Totaal arbeidsbesparing (€/jaar)],MATCH(B567,IF(Berekening_impact[Doelgroep]=C567,Berekening_impact[Digitale zorgtoepassing]),0))</f>
        <v>162235781.0872198</v>
      </c>
      <c r="N567" s="397" cm="1">
        <f t="array" ref="N567">J567*INDEX(Berekening_impact[Totaal arbeidsbesparing (FTE/jaar)],MATCH(B567,IF(Berekening_impact[Doelgroep]=C567,Berekening_impact[Digitale zorgtoepassing]),0))</f>
        <v>3821.4383059649854</v>
      </c>
      <c r="O567" s="398" cm="1">
        <f t="array" ref="O567">J567*INDEX(Berekening_impact[Overige kostenbesparing (totaal/jaar totaal potentieel)],MATCH(B567,IF(Berekening_impact[Doelgroep]=C567,Berekening_impact[Digitale zorgtoepassing]),0))</f>
        <v>0</v>
      </c>
      <c r="P567" s="398" cm="1">
        <f t="array" ref="P567">J567*INDEX(Berekening_impact[Opbrengsten door QALY''s],MATCH(B567,IF(Berekening_impact[Doelgroep]=C567,Berekening_impact[Digitale zorgtoepassing]),0))</f>
        <v>0</v>
      </c>
      <c r="Q567" s="398" cm="1">
        <f t="array" ref="Q567">J567*INDEX(Berekening_impact[Jaarlijkse kosten (totaal) - incl. schatting],MATCH(B567,IF(Berekening_impact[Doelgroep]=C567,Berekening_impact[Digitale zorgtoepassing]),0))</f>
        <v>2183679.0319799916</v>
      </c>
      <c r="R567" s="398" cm="1">
        <f t="array" ref="R567">(uitkomst_doelgroep[[#This Row],[Implementatiegraad t = T + 1]]-uitkomst_doelgroep[[#This Row],[Implementatiegraad t = T]])*INDEX(Berekening_impact[Initiële investering (totaal) - incl. schatting],MATCH(B567,IF(Berekening_impact[Doelgroep]=C567,Berekening_impact[Digitale zorgtoepassing]),0))</f>
        <v>0</v>
      </c>
      <c r="S567" s="398">
        <f>uitkomst_doelgroep[[#This Row],[Arbeidsbesparing (€)]]*uitkomst_doelgroep[[#This Row],[Percentage van patiëntaantallen in Wlz (overige is Zvw)]]</f>
        <v>162235781.0872198</v>
      </c>
      <c r="T567" s="398">
        <f>uitkomst_doelgroep[[#This Row],[Overige besparingen (€)]]*uitkomst_doelgroep[[#This Row],[Percentage van patiëntaantallen in Wlz (overige is Zvw)]]</f>
        <v>0</v>
      </c>
      <c r="U567" s="398">
        <f>uitkomst_doelgroep[[#This Row],[Kosten (€)]]*uitkomst_doelgroep[[#This Row],[Percentage van patiëntaantallen in Wlz (overige is Zvw)]]</f>
        <v>2183679.0319799916</v>
      </c>
      <c r="V567" s="398">
        <f>uitkomst_doelgroep[[#This Row],[Investering (cash flow) (€)]]*uitkomst_doelgroep[[#This Row],[Percentage van patiëntaantallen in Wlz (overige is Zvw)]]</f>
        <v>0</v>
      </c>
    </row>
    <row r="568" spans="1:22" x14ac:dyDescent="0.5">
      <c r="A568" s="33" t="str">
        <f>INDEX(Technologieën[Veld],MATCH(B568,Technologieën[Digitale zorgtoepassing],0))</f>
        <v>Software - Behandeling</v>
      </c>
      <c r="B568" s="33" t="s">
        <v>101</v>
      </c>
      <c r="C568" s="33" t="s">
        <v>84</v>
      </c>
      <c r="D568" s="427" cm="1">
        <f t="array" ref="D568">INDEX(Berekening_patiëntaantal[Percentage van patiëntaantallen in Wlz (overige is Zvw)],MATCH(B568,IF(Berekening_patiëntaantal[Doelgroep (zoeksleutel)]=C568,Berekening_patiëntaantal[Digitale zorgtoepassing]),0))</f>
        <v>0</v>
      </c>
      <c r="E568" s="33" t="str" cm="1">
        <f t="array" ref="E568">INDEX(Berekening_patiëntaantal[Direct toepasbaar/extrapolatie/incidentie voor QALY],MATCH(B568,IF(Berekening_patiëntaantal[Doelgroep (zoeksleutel)]=C568,Berekening_patiëntaantal[Digitale zorgtoepassing]),0))</f>
        <v>Huidige toepassing</v>
      </c>
      <c r="F568" s="43" t="s">
        <v>812</v>
      </c>
      <c r="G568" s="33" t="str">
        <f>CONCATENATE(uitkomst_doelgroep[[#This Row],[Digitale zorgtoepassing]],"_",uitkomst_doelgroep[[#This Row],[Doelgroep]],"_",uitkomst_doelgroep[[#This Row],[Uitgangssituatie/effect beleid]])</f>
        <v>Spraak automatisch vastleggen_Wijkverpleging_Effect beleid</v>
      </c>
      <c r="H568" s="33">
        <v>2029</v>
      </c>
      <c r="I568" s="32">
        <v>7</v>
      </c>
      <c r="J568" s="406" cm="1">
        <f t="array" ref="J568">INDEX(implementatie[[2023]:[2034]],MATCH(G568, implementatie[Zoeksleutel],0),I568)</f>
        <v>0.62910361222507005</v>
      </c>
      <c r="K568" s="406" cm="1">
        <f t="array" ref="K568">INDEX(implementatie[[2023]:[2034]],MATCH(G568,implementatie[Zoeksleutel],0),I568 + 1)</f>
        <v>0.70281225329595098</v>
      </c>
      <c r="L56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57552.065471694106</v>
      </c>
      <c r="M568" s="398" cm="1">
        <f t="array" ref="M568">J568*INDEX(Berekening_impact[Totaal arbeidsbesparing (€/jaar)],MATCH(B568,IF(Berekening_impact[Doelgroep]=C568,Berekening_impact[Digitale zorgtoepassing]),0))</f>
        <v>12739733.679605823</v>
      </c>
      <c r="N568" s="397" cm="1">
        <f t="array" ref="N568">J568*INDEX(Berekening_impact[Totaal arbeidsbesparing (FTE/jaar)],MATCH(B568,IF(Berekening_impact[Doelgroep]=C568,Berekening_impact[Digitale zorgtoepassing]),0))</f>
        <v>300.08242303135842</v>
      </c>
      <c r="O568" s="398" cm="1">
        <f t="array" ref="O568">J568*INDEX(Berekening_impact[Overige kostenbesparing (totaal/jaar totaal potentieel)],MATCH(B568,IF(Berekening_impact[Doelgroep]=C568,Berekening_impact[Digitale zorgtoepassing]),0))</f>
        <v>182364.59822142785</v>
      </c>
      <c r="P568" s="398" cm="1">
        <f t="array" ref="P568">J568*INDEX(Berekening_impact[Opbrengsten door QALY''s],MATCH(B568,IF(Berekening_impact[Doelgroep]=C568,Berekening_impact[Digitale zorgtoepassing]),0))</f>
        <v>0</v>
      </c>
      <c r="Q568" s="398" cm="1">
        <f t="array" ref="Q568">J568*INDEX(Berekening_impact[Jaarlijkse kosten (totaal) - incl. schatting],MATCH(B568,IF(Berekening_impact[Doelgroep]=C568,Berekening_impact[Digitale zorgtoepassing]),0))</f>
        <v>1381249.5713206585</v>
      </c>
      <c r="R568" s="398" cm="1">
        <f t="array" ref="R568">(uitkomst_doelgroep[[#This Row],[Implementatiegraad t = T + 1]]-uitkomst_doelgroep[[#This Row],[Implementatiegraad t = T]])*INDEX(Berekening_impact[Initiële investering (totaal) - incl. schatting],MATCH(B568,IF(Berekening_impact[Doelgroep]=C568,Berekening_impact[Digitale zorgtoepassing]),0))</f>
        <v>0</v>
      </c>
      <c r="S568" s="398">
        <f>uitkomst_doelgroep[[#This Row],[Arbeidsbesparing (€)]]*uitkomst_doelgroep[[#This Row],[Percentage van patiëntaantallen in Wlz (overige is Zvw)]]</f>
        <v>0</v>
      </c>
      <c r="T568" s="398">
        <f>uitkomst_doelgroep[[#This Row],[Overige besparingen (€)]]*uitkomst_doelgroep[[#This Row],[Percentage van patiëntaantallen in Wlz (overige is Zvw)]]</f>
        <v>0</v>
      </c>
      <c r="U568" s="398">
        <f>uitkomst_doelgroep[[#This Row],[Kosten (€)]]*uitkomst_doelgroep[[#This Row],[Percentage van patiëntaantallen in Wlz (overige is Zvw)]]</f>
        <v>0</v>
      </c>
      <c r="V568" s="398">
        <f>uitkomst_doelgroep[[#This Row],[Investering (cash flow) (€)]]*uitkomst_doelgroep[[#This Row],[Percentage van patiëntaantallen in Wlz (overige is Zvw)]]</f>
        <v>0</v>
      </c>
    </row>
    <row r="569" spans="1:22" x14ac:dyDescent="0.5">
      <c r="A569" s="33" t="str">
        <f>INDEX(Technologieën[Veld],MATCH(B569,Technologieën[Digitale zorgtoepassing],0))</f>
        <v>Software - Behandeling</v>
      </c>
      <c r="B569" s="33" t="s">
        <v>101</v>
      </c>
      <c r="C569" s="33" t="s">
        <v>83</v>
      </c>
      <c r="D569" s="427" cm="1">
        <f t="array" ref="D569">INDEX(Berekening_patiëntaantal[Percentage van patiëntaantallen in Wlz (overige is Zvw)],MATCH(B569,IF(Berekening_patiëntaantal[Doelgroep (zoeksleutel)]=C569,Berekening_patiëntaantal[Digitale zorgtoepassing]),0))</f>
        <v>1</v>
      </c>
      <c r="E569" s="33" t="str" cm="1">
        <f t="array" ref="E569">INDEX(Berekening_patiëntaantal[Direct toepasbaar/extrapolatie/incidentie voor QALY],MATCH(B569,IF(Berekening_patiëntaantal[Doelgroep (zoeksleutel)]=C569,Berekening_patiëntaantal[Digitale zorgtoepassing]),0))</f>
        <v>Huidige toepassing</v>
      </c>
      <c r="F569" s="43" t="s">
        <v>812</v>
      </c>
      <c r="G569" s="33" t="str">
        <f>CONCATENATE(uitkomst_doelgroep[[#This Row],[Digitale zorgtoepassing]],"_",uitkomst_doelgroep[[#This Row],[Doelgroep]],"_",uitkomst_doelgroep[[#This Row],[Uitgangssituatie/effect beleid]])</f>
        <v>Spraak automatisch vastleggen_Verpleeghuis_Effect beleid</v>
      </c>
      <c r="H569" s="33">
        <v>2030</v>
      </c>
      <c r="I569" s="32">
        <v>8</v>
      </c>
      <c r="J569" s="406" cm="1">
        <f t="array" ref="J569">INDEX(implementatie[[2023]:[2034]],MATCH(G569, implementatie[Zoeksleutel],0),I569)</f>
        <v>0.70281225329595098</v>
      </c>
      <c r="K569" s="406" cm="1">
        <f t="array" ref="K569">INDEX(implementatie[[2023]:[2034]],MATCH(G569,implementatie[Zoeksleutel],0),I569 + 1)</f>
        <v>0.76844428773689721</v>
      </c>
      <c r="L56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101647.0333819401</v>
      </c>
      <c r="M569" s="398" cm="1">
        <f t="array" ref="M569">J569*INDEX(Berekening_impact[Totaal arbeidsbesparing (€/jaar)],MATCH(B569,IF(Berekening_impact[Doelgroep]=C569,Berekening_impact[Digitale zorgtoepassing]),0))</f>
        <v>181244063.22808549</v>
      </c>
      <c r="N569" s="397" cm="1">
        <f t="array" ref="N569">J569*INDEX(Berekening_impact[Totaal arbeidsbesparing (FTE/jaar)],MATCH(B569,IF(Berekening_impact[Doelgroep]=C569,Berekening_impact[Digitale zorgtoepassing]),0))</f>
        <v>4269.1754020414837</v>
      </c>
      <c r="O569" s="398" cm="1">
        <f t="array" ref="O569">J569*INDEX(Berekening_impact[Overige kostenbesparing (totaal/jaar totaal potentieel)],MATCH(B569,IF(Berekening_impact[Doelgroep]=C569,Berekening_impact[Digitale zorgtoepassing]),0))</f>
        <v>0</v>
      </c>
      <c r="P569" s="398" cm="1">
        <f t="array" ref="P569">J569*INDEX(Berekening_impact[Opbrengsten door QALY''s],MATCH(B569,IF(Berekening_impact[Doelgroep]=C569,Berekening_impact[Digitale zorgtoepassing]),0))</f>
        <v>0</v>
      </c>
      <c r="Q569" s="398" cm="1">
        <f t="array" ref="Q569">J569*INDEX(Berekening_impact[Jaarlijkse kosten (totaal) - incl. schatting],MATCH(B569,IF(Berekening_impact[Doelgroep]=C569,Berekening_impact[Digitale zorgtoepassing]),0))</f>
        <v>2439528.8011665624</v>
      </c>
      <c r="R569" s="398" cm="1">
        <f t="array" ref="R569">(uitkomst_doelgroep[[#This Row],[Implementatiegraad t = T + 1]]-uitkomst_doelgroep[[#This Row],[Implementatiegraad t = T]])*INDEX(Berekening_impact[Initiële investering (totaal) - incl. schatting],MATCH(B569,IF(Berekening_impact[Doelgroep]=C569,Berekening_impact[Digitale zorgtoepassing]),0))</f>
        <v>0</v>
      </c>
      <c r="S569" s="398">
        <f>uitkomst_doelgroep[[#This Row],[Arbeidsbesparing (€)]]*uitkomst_doelgroep[[#This Row],[Percentage van patiëntaantallen in Wlz (overige is Zvw)]]</f>
        <v>181244063.22808549</v>
      </c>
      <c r="T569" s="398">
        <f>uitkomst_doelgroep[[#This Row],[Overige besparingen (€)]]*uitkomst_doelgroep[[#This Row],[Percentage van patiëntaantallen in Wlz (overige is Zvw)]]</f>
        <v>0</v>
      </c>
      <c r="U569" s="398">
        <f>uitkomst_doelgroep[[#This Row],[Kosten (€)]]*uitkomst_doelgroep[[#This Row],[Percentage van patiëntaantallen in Wlz (overige is Zvw)]]</f>
        <v>2439528.8011665624</v>
      </c>
      <c r="V569" s="398">
        <f>uitkomst_doelgroep[[#This Row],[Investering (cash flow) (€)]]*uitkomst_doelgroep[[#This Row],[Percentage van patiëntaantallen in Wlz (overige is Zvw)]]</f>
        <v>0</v>
      </c>
    </row>
    <row r="570" spans="1:22" x14ac:dyDescent="0.5">
      <c r="A570" s="33" t="str">
        <f>INDEX(Technologieën[Veld],MATCH(B570,Technologieën[Digitale zorgtoepassing],0))</f>
        <v>Software - Behandeling</v>
      </c>
      <c r="B570" s="33" t="s">
        <v>101</v>
      </c>
      <c r="C570" s="33" t="s">
        <v>84</v>
      </c>
      <c r="D570" s="427" cm="1">
        <f t="array" ref="D570">INDEX(Berekening_patiëntaantal[Percentage van patiëntaantallen in Wlz (overige is Zvw)],MATCH(B570,IF(Berekening_patiëntaantal[Doelgroep (zoeksleutel)]=C570,Berekening_patiëntaantal[Digitale zorgtoepassing]),0))</f>
        <v>0</v>
      </c>
      <c r="E570" s="33" t="str" cm="1">
        <f t="array" ref="E570">INDEX(Berekening_patiëntaantal[Direct toepasbaar/extrapolatie/incidentie voor QALY],MATCH(B570,IF(Berekening_patiëntaantal[Doelgroep (zoeksleutel)]=C570,Berekening_patiëntaantal[Digitale zorgtoepassing]),0))</f>
        <v>Huidige toepassing</v>
      </c>
      <c r="F570" s="43" t="s">
        <v>812</v>
      </c>
      <c r="G570" s="33" t="str">
        <f>CONCATENATE(uitkomst_doelgroep[[#This Row],[Digitale zorgtoepassing]],"_",uitkomst_doelgroep[[#This Row],[Doelgroep]],"_",uitkomst_doelgroep[[#This Row],[Uitgangssituatie/effect beleid]])</f>
        <v>Spraak automatisch vastleggen_Wijkverpleging_Effect beleid</v>
      </c>
      <c r="H570" s="33">
        <v>2030</v>
      </c>
      <c r="I570" s="32">
        <v>8</v>
      </c>
      <c r="J570" s="406" cm="1">
        <f t="array" ref="J570">INDEX(implementatie[[2023]:[2034]],MATCH(G570, implementatie[Zoeksleutel],0),I570)</f>
        <v>0.70281225329595098</v>
      </c>
      <c r="K570" s="406" cm="1">
        <f t="array" ref="K570">INDEX(implementatie[[2023]:[2034]],MATCH(G570,implementatie[Zoeksleutel],0),I570 + 1)</f>
        <v>0.76844428773689721</v>
      </c>
      <c r="L57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64295.127273131162</v>
      </c>
      <c r="M570" s="398" cm="1">
        <f t="array" ref="M570">J570*INDEX(Berekening_impact[Totaal arbeidsbesparing (€/jaar)],MATCH(B570,IF(Berekening_impact[Doelgroep]=C570,Berekening_impact[Digitale zorgtoepassing]),0))</f>
        <v>14232378.831979752</v>
      </c>
      <c r="N570" s="397" cm="1">
        <f t="array" ref="N570">J570*INDEX(Berekening_impact[Totaal arbeidsbesparing (FTE/jaar)],MATCH(B570,IF(Berekening_impact[Doelgroep]=C570,Berekening_impact[Digitale zorgtoepassing]),0))</f>
        <v>335.2414448221686</v>
      </c>
      <c r="O570" s="398" cm="1">
        <f t="array" ref="O570">J570*INDEX(Berekening_impact[Overige kostenbesparing (totaal/jaar totaal potentieel)],MATCH(B570,IF(Berekening_impact[Doelgroep]=C570,Berekening_impact[Digitale zorgtoepassing]),0))</f>
        <v>203731.26414597454</v>
      </c>
      <c r="P570" s="398" cm="1">
        <f t="array" ref="P570">J570*INDEX(Berekening_impact[Opbrengsten door QALY''s],MATCH(B570,IF(Berekening_impact[Doelgroep]=C570,Berekening_impact[Digitale zorgtoepassing]),0))</f>
        <v>0</v>
      </c>
      <c r="Q570" s="398" cm="1">
        <f t="array" ref="Q570">J570*INDEX(Berekening_impact[Jaarlijkse kosten (totaal) - incl. schatting],MATCH(B570,IF(Berekening_impact[Doelgroep]=C570,Berekening_impact[Digitale zorgtoepassing]),0))</f>
        <v>1543083.0545551479</v>
      </c>
      <c r="R570" s="398" cm="1">
        <f t="array" ref="R570">(uitkomst_doelgroep[[#This Row],[Implementatiegraad t = T + 1]]-uitkomst_doelgroep[[#This Row],[Implementatiegraad t = T]])*INDEX(Berekening_impact[Initiële investering (totaal) - incl. schatting],MATCH(B570,IF(Berekening_impact[Doelgroep]=C570,Berekening_impact[Digitale zorgtoepassing]),0))</f>
        <v>0</v>
      </c>
      <c r="S570" s="398">
        <f>uitkomst_doelgroep[[#This Row],[Arbeidsbesparing (€)]]*uitkomst_doelgroep[[#This Row],[Percentage van patiëntaantallen in Wlz (overige is Zvw)]]</f>
        <v>0</v>
      </c>
      <c r="T570" s="398">
        <f>uitkomst_doelgroep[[#This Row],[Overige besparingen (€)]]*uitkomst_doelgroep[[#This Row],[Percentage van patiëntaantallen in Wlz (overige is Zvw)]]</f>
        <v>0</v>
      </c>
      <c r="U570" s="398">
        <f>uitkomst_doelgroep[[#This Row],[Kosten (€)]]*uitkomst_doelgroep[[#This Row],[Percentage van patiëntaantallen in Wlz (overige is Zvw)]]</f>
        <v>0</v>
      </c>
      <c r="V570" s="398">
        <f>uitkomst_doelgroep[[#This Row],[Investering (cash flow) (€)]]*uitkomst_doelgroep[[#This Row],[Percentage van patiëntaantallen in Wlz (overige is Zvw)]]</f>
        <v>0</v>
      </c>
    </row>
    <row r="571" spans="1:22" x14ac:dyDescent="0.5">
      <c r="A571" s="33" t="str">
        <f>INDEX(Technologieën[Veld],MATCH(B571,Technologieën[Digitale zorgtoepassing],0))</f>
        <v>Software - Behandeling</v>
      </c>
      <c r="B571" s="33" t="s">
        <v>101</v>
      </c>
      <c r="C571" s="33" t="s">
        <v>83</v>
      </c>
      <c r="D571" s="427" cm="1">
        <f t="array" ref="D571">INDEX(Berekening_patiëntaantal[Percentage van patiëntaantallen in Wlz (overige is Zvw)],MATCH(B571,IF(Berekening_patiëntaantal[Doelgroep (zoeksleutel)]=C571,Berekening_patiëntaantal[Digitale zorgtoepassing]),0))</f>
        <v>1</v>
      </c>
      <c r="E571" s="33" t="str" cm="1">
        <f t="array" ref="E571">INDEX(Berekening_patiëntaantal[Direct toepasbaar/extrapolatie/incidentie voor QALY],MATCH(B571,IF(Berekening_patiëntaantal[Doelgroep (zoeksleutel)]=C571,Berekening_patiëntaantal[Digitale zorgtoepassing]),0))</f>
        <v>Huidige toepassing</v>
      </c>
      <c r="F571" s="43" t="s">
        <v>812</v>
      </c>
      <c r="G571" s="33" t="str">
        <f>CONCATENATE(uitkomst_doelgroep[[#This Row],[Digitale zorgtoepassing]],"_",uitkomst_doelgroep[[#This Row],[Doelgroep]],"_",uitkomst_doelgroep[[#This Row],[Uitgangssituatie/effect beleid]])</f>
        <v>Spraak automatisch vastleggen_Verpleeghuis_Effect beleid</v>
      </c>
      <c r="H571" s="33">
        <v>2031</v>
      </c>
      <c r="I571" s="32">
        <v>9</v>
      </c>
      <c r="J571" s="406" cm="1">
        <f t="array" ref="J571">INDEX(implementatie[[2023]:[2034]],MATCH(G571, implementatie[Zoeksleutel],0),I571)</f>
        <v>0.76844428773689721</v>
      </c>
      <c r="K571" s="406" cm="1">
        <f t="array" ref="K571">INDEX(implementatie[[2023]:[2034]],MATCH(G571,implementatie[Zoeksleutel],0),I571 + 1)</f>
        <v>0.82414114417395723</v>
      </c>
      <c r="L57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111139.32889109971</v>
      </c>
      <c r="M571" s="398" cm="1">
        <f t="array" ref="M571">J571*INDEX(Berekening_impact[Totaal arbeidsbesparing (€/jaar)],MATCH(B571,IF(Berekening_impact[Doelgroep]=C571,Berekening_impact[Digitale zorgtoepassing]),0))</f>
        <v>198169517.42188656</v>
      </c>
      <c r="N571" s="397" cm="1">
        <f t="array" ref="N571">J571*INDEX(Berekening_impact[Totaal arbeidsbesparing (FTE/jaar)],MATCH(B571,IF(Berekening_impact[Doelgroep]=C571,Berekening_impact[Digitale zorgtoepassing]),0))</f>
        <v>4667.8518134261876</v>
      </c>
      <c r="O571" s="398" cm="1">
        <f t="array" ref="O571">J571*INDEX(Berekening_impact[Overige kostenbesparing (totaal/jaar totaal potentieel)],MATCH(B571,IF(Berekening_impact[Doelgroep]=C571,Berekening_impact[Digitale zorgtoepassing]),0))</f>
        <v>0</v>
      </c>
      <c r="P571" s="398" cm="1">
        <f t="array" ref="P571">J571*INDEX(Berekening_impact[Opbrengsten door QALY''s],MATCH(B571,IF(Berekening_impact[Doelgroep]=C571,Berekening_impact[Digitale zorgtoepassing]),0))</f>
        <v>0</v>
      </c>
      <c r="Q571" s="398" cm="1">
        <f t="array" ref="Q571">J571*INDEX(Berekening_impact[Jaarlijkse kosten (totaal) - incl. schatting],MATCH(B571,IF(Berekening_impact[Doelgroep]=C571,Berekening_impact[Digitale zorgtoepassing]),0))</f>
        <v>2667343.8933863929</v>
      </c>
      <c r="R571" s="398" cm="1">
        <f t="array" ref="R571">(uitkomst_doelgroep[[#This Row],[Implementatiegraad t = T + 1]]-uitkomst_doelgroep[[#This Row],[Implementatiegraad t = T]])*INDEX(Berekening_impact[Initiële investering (totaal) - incl. schatting],MATCH(B571,IF(Berekening_impact[Doelgroep]=C571,Berekening_impact[Digitale zorgtoepassing]),0))</f>
        <v>0</v>
      </c>
      <c r="S571" s="398">
        <f>uitkomst_doelgroep[[#This Row],[Arbeidsbesparing (€)]]*uitkomst_doelgroep[[#This Row],[Percentage van patiëntaantallen in Wlz (overige is Zvw)]]</f>
        <v>198169517.42188656</v>
      </c>
      <c r="T571" s="398">
        <f>uitkomst_doelgroep[[#This Row],[Overige besparingen (€)]]*uitkomst_doelgroep[[#This Row],[Percentage van patiëntaantallen in Wlz (overige is Zvw)]]</f>
        <v>0</v>
      </c>
      <c r="U571" s="398">
        <f>uitkomst_doelgroep[[#This Row],[Kosten (€)]]*uitkomst_doelgroep[[#This Row],[Percentage van patiëntaantallen in Wlz (overige is Zvw)]]</f>
        <v>2667343.8933863929</v>
      </c>
      <c r="V571" s="398">
        <f>uitkomst_doelgroep[[#This Row],[Investering (cash flow) (€)]]*uitkomst_doelgroep[[#This Row],[Percentage van patiëntaantallen in Wlz (overige is Zvw)]]</f>
        <v>0</v>
      </c>
    </row>
    <row r="572" spans="1:22" x14ac:dyDescent="0.5">
      <c r="A572" s="33" t="str">
        <f>INDEX(Technologieën[Veld],MATCH(B572,Technologieën[Digitale zorgtoepassing],0))</f>
        <v>Software - Behandeling</v>
      </c>
      <c r="B572" s="33" t="s">
        <v>101</v>
      </c>
      <c r="C572" s="33" t="s">
        <v>84</v>
      </c>
      <c r="D572" s="427" cm="1">
        <f t="array" ref="D572">INDEX(Berekening_patiëntaantal[Percentage van patiëntaantallen in Wlz (overige is Zvw)],MATCH(B572,IF(Berekening_patiëntaantal[Doelgroep (zoeksleutel)]=C572,Berekening_patiëntaantal[Digitale zorgtoepassing]),0))</f>
        <v>0</v>
      </c>
      <c r="E572" s="33" t="str" cm="1">
        <f t="array" ref="E572">INDEX(Berekening_patiëntaantal[Direct toepasbaar/extrapolatie/incidentie voor QALY],MATCH(B572,IF(Berekening_patiëntaantal[Doelgroep (zoeksleutel)]=C572,Berekening_patiëntaantal[Digitale zorgtoepassing]),0))</f>
        <v>Huidige toepassing</v>
      </c>
      <c r="F572" s="43" t="s">
        <v>812</v>
      </c>
      <c r="G572" s="33" t="str">
        <f>CONCATENATE(uitkomst_doelgroep[[#This Row],[Digitale zorgtoepassing]],"_",uitkomst_doelgroep[[#This Row],[Doelgroep]],"_",uitkomst_doelgroep[[#This Row],[Uitgangssituatie/effect beleid]])</f>
        <v>Spraak automatisch vastleggen_Wijkverpleging_Effect beleid</v>
      </c>
      <c r="H572" s="33">
        <v>2031</v>
      </c>
      <c r="I572" s="32">
        <v>9</v>
      </c>
      <c r="J572" s="406" cm="1">
        <f t="array" ref="J572">INDEX(implementatie[[2023]:[2034]],MATCH(G572, implementatie[Zoeksleutel],0),I572)</f>
        <v>0.76844428773689721</v>
      </c>
      <c r="K572" s="406" cm="1">
        <f t="array" ref="K572">INDEX(implementatie[[2023]:[2034]],MATCH(G572,implementatie[Zoeksleutel],0),I572 + 1)</f>
        <v>0.82414114417395723</v>
      </c>
      <c r="L57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70299.319698328138</v>
      </c>
      <c r="M572" s="398" cm="1">
        <f t="array" ref="M572">J572*INDEX(Berekening_impact[Totaal arbeidsbesparing (€/jaar)],MATCH(B572,IF(Berekening_impact[Doelgroep]=C572,Berekening_impact[Digitale zorgtoepassing]),0))</f>
        <v>15561467.750530157</v>
      </c>
      <c r="N572" s="397" cm="1">
        <f t="array" ref="N572">J572*INDEX(Berekening_impact[Totaal arbeidsbesparing (FTE/jaar)],MATCH(B572,IF(Berekening_impact[Doelgroep]=C572,Berekening_impact[Digitale zorgtoepassing]),0))</f>
        <v>366.54792525049999</v>
      </c>
      <c r="O572" s="398" cm="1">
        <f t="array" ref="O572">J572*INDEX(Berekening_impact[Overige kostenbesparing (totaal/jaar totaal potentieel)],MATCH(B572,IF(Berekening_impact[Doelgroep]=C572,Berekening_impact[Digitale zorgtoepassing]),0))</f>
        <v>222756.68278718242</v>
      </c>
      <c r="P572" s="398" cm="1">
        <f t="array" ref="P572">J572*INDEX(Berekening_impact[Opbrengsten door QALY''s],MATCH(B572,IF(Berekening_impact[Doelgroep]=C572,Berekening_impact[Digitale zorgtoepassing]),0))</f>
        <v>0</v>
      </c>
      <c r="Q572" s="398" cm="1">
        <f t="array" ref="Q572">J572*INDEX(Berekening_impact[Jaarlijkse kosten (totaal) - incl. schatting],MATCH(B572,IF(Berekening_impact[Doelgroep]=C572,Berekening_impact[Digitale zorgtoepassing]),0))</f>
        <v>1687183.6727598752</v>
      </c>
      <c r="R572" s="398" cm="1">
        <f t="array" ref="R572">(uitkomst_doelgroep[[#This Row],[Implementatiegraad t = T + 1]]-uitkomst_doelgroep[[#This Row],[Implementatiegraad t = T]])*INDEX(Berekening_impact[Initiële investering (totaal) - incl. schatting],MATCH(B572,IF(Berekening_impact[Doelgroep]=C572,Berekening_impact[Digitale zorgtoepassing]),0))</f>
        <v>0</v>
      </c>
      <c r="S572" s="398">
        <f>uitkomst_doelgroep[[#This Row],[Arbeidsbesparing (€)]]*uitkomst_doelgroep[[#This Row],[Percentage van patiëntaantallen in Wlz (overige is Zvw)]]</f>
        <v>0</v>
      </c>
      <c r="T572" s="398">
        <f>uitkomst_doelgroep[[#This Row],[Overige besparingen (€)]]*uitkomst_doelgroep[[#This Row],[Percentage van patiëntaantallen in Wlz (overige is Zvw)]]</f>
        <v>0</v>
      </c>
      <c r="U572" s="398">
        <f>uitkomst_doelgroep[[#This Row],[Kosten (€)]]*uitkomst_doelgroep[[#This Row],[Percentage van patiëntaantallen in Wlz (overige is Zvw)]]</f>
        <v>0</v>
      </c>
      <c r="V572" s="398">
        <f>uitkomst_doelgroep[[#This Row],[Investering (cash flow) (€)]]*uitkomst_doelgroep[[#This Row],[Percentage van patiëntaantallen in Wlz (overige is Zvw)]]</f>
        <v>0</v>
      </c>
    </row>
    <row r="573" spans="1:22" x14ac:dyDescent="0.5">
      <c r="A573" s="33" t="str">
        <f>INDEX(Technologieën[Veld],MATCH(B573,Technologieën[Digitale zorgtoepassing],0))</f>
        <v>Software - Behandeling</v>
      </c>
      <c r="B573" s="33" t="s">
        <v>101</v>
      </c>
      <c r="C573" s="33" t="s">
        <v>83</v>
      </c>
      <c r="D573" s="427" cm="1">
        <f t="array" ref="D573">INDEX(Berekening_patiëntaantal[Percentage van patiëntaantallen in Wlz (overige is Zvw)],MATCH(B573,IF(Berekening_patiëntaantal[Doelgroep (zoeksleutel)]=C573,Berekening_patiëntaantal[Digitale zorgtoepassing]),0))</f>
        <v>1</v>
      </c>
      <c r="E573" s="33" t="str" cm="1">
        <f t="array" ref="E573">INDEX(Berekening_patiëntaantal[Direct toepasbaar/extrapolatie/incidentie voor QALY],MATCH(B573,IF(Berekening_patiëntaantal[Doelgroep (zoeksleutel)]=C573,Berekening_patiëntaantal[Digitale zorgtoepassing]),0))</f>
        <v>Huidige toepassing</v>
      </c>
      <c r="F573" s="43" t="s">
        <v>812</v>
      </c>
      <c r="G573" s="33" t="str">
        <f>CONCATENATE(uitkomst_doelgroep[[#This Row],[Digitale zorgtoepassing]],"_",uitkomst_doelgroep[[#This Row],[Doelgroep]],"_",uitkomst_doelgroep[[#This Row],[Uitgangssituatie/effect beleid]])</f>
        <v>Spraak automatisch vastleggen_Verpleeghuis_Effect beleid</v>
      </c>
      <c r="H573" s="33">
        <v>2032</v>
      </c>
      <c r="I573" s="32">
        <v>10</v>
      </c>
      <c r="J573" s="406" cm="1">
        <f t="array" ref="J573">INDEX(implementatie[[2023]:[2034]],MATCH(G573, implementatie[Zoeksleutel],0),I573)</f>
        <v>0.82414114417395723</v>
      </c>
      <c r="K573" s="406" cm="1">
        <f t="array" ref="K573">INDEX(implementatie[[2023]:[2034]],MATCH(G573,implementatie[Zoeksleutel],0),I573 + 1)</f>
        <v>0.86937948832829703</v>
      </c>
      <c r="L57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119194.70954073526</v>
      </c>
      <c r="M573" s="398" cm="1">
        <f t="array" ref="M573">J573*INDEX(Berekening_impact[Totaal arbeidsbesparing (€/jaar)],MATCH(B573,IF(Berekening_impact[Doelgroep]=C573,Berekening_impact[Digitale zorgtoepassing]),0))</f>
        <v>212532847.77411547</v>
      </c>
      <c r="N573" s="397" cm="1">
        <f t="array" ref="N573">J573*INDEX(Berekening_impact[Totaal arbeidsbesparing (FTE/jaar)],MATCH(B573,IF(Berekening_impact[Doelgroep]=C573,Berekening_impact[Digitale zorgtoepassing]),0))</f>
        <v>5006.1778007108805</v>
      </c>
      <c r="O573" s="398" cm="1">
        <f t="array" ref="O573">J573*INDEX(Berekening_impact[Overige kostenbesparing (totaal/jaar totaal potentieel)],MATCH(B573,IF(Berekening_impact[Doelgroep]=C573,Berekening_impact[Digitale zorgtoepassing]),0))</f>
        <v>0</v>
      </c>
      <c r="P573" s="398" cm="1">
        <f t="array" ref="P573">J573*INDEX(Berekening_impact[Opbrengsten door QALY''s],MATCH(B573,IF(Berekening_impact[Doelgroep]=C573,Berekening_impact[Digitale zorgtoepassing]),0))</f>
        <v>0</v>
      </c>
      <c r="Q573" s="398" cm="1">
        <f t="array" ref="Q573">J573*INDEX(Berekening_impact[Jaarlijkse kosten (totaal) - incl. schatting],MATCH(B573,IF(Berekening_impact[Doelgroep]=C573,Berekening_impact[Digitale zorgtoepassing]),0))</f>
        <v>2860673.028977646</v>
      </c>
      <c r="R573" s="398" cm="1">
        <f t="array" ref="R573">(uitkomst_doelgroep[[#This Row],[Implementatiegraad t = T + 1]]-uitkomst_doelgroep[[#This Row],[Implementatiegraad t = T]])*INDEX(Berekening_impact[Initiële investering (totaal) - incl. schatting],MATCH(B573,IF(Berekening_impact[Doelgroep]=C573,Berekening_impact[Digitale zorgtoepassing]),0))</f>
        <v>0</v>
      </c>
      <c r="S573" s="398">
        <f>uitkomst_doelgroep[[#This Row],[Arbeidsbesparing (€)]]*uitkomst_doelgroep[[#This Row],[Percentage van patiëntaantallen in Wlz (overige is Zvw)]]</f>
        <v>212532847.77411547</v>
      </c>
      <c r="T573" s="398">
        <f>uitkomst_doelgroep[[#This Row],[Overige besparingen (€)]]*uitkomst_doelgroep[[#This Row],[Percentage van patiëntaantallen in Wlz (overige is Zvw)]]</f>
        <v>0</v>
      </c>
      <c r="U573" s="398">
        <f>uitkomst_doelgroep[[#This Row],[Kosten (€)]]*uitkomst_doelgroep[[#This Row],[Percentage van patiëntaantallen in Wlz (overige is Zvw)]]</f>
        <v>2860673.028977646</v>
      </c>
      <c r="V573" s="398">
        <f>uitkomst_doelgroep[[#This Row],[Investering (cash flow) (€)]]*uitkomst_doelgroep[[#This Row],[Percentage van patiëntaantallen in Wlz (overige is Zvw)]]</f>
        <v>0</v>
      </c>
    </row>
    <row r="574" spans="1:22" x14ac:dyDescent="0.5">
      <c r="A574" s="33" t="str">
        <f>INDEX(Technologieën[Veld],MATCH(B574,Technologieën[Digitale zorgtoepassing],0))</f>
        <v>Software - Behandeling</v>
      </c>
      <c r="B574" s="33" t="s">
        <v>101</v>
      </c>
      <c r="C574" s="33" t="s">
        <v>84</v>
      </c>
      <c r="D574" s="427" cm="1">
        <f t="array" ref="D574">INDEX(Berekening_patiëntaantal[Percentage van patiëntaantallen in Wlz (overige is Zvw)],MATCH(B574,IF(Berekening_patiëntaantal[Doelgroep (zoeksleutel)]=C574,Berekening_patiëntaantal[Digitale zorgtoepassing]),0))</f>
        <v>0</v>
      </c>
      <c r="E574" s="33" t="str" cm="1">
        <f t="array" ref="E574">INDEX(Berekening_patiëntaantal[Direct toepasbaar/extrapolatie/incidentie voor QALY],MATCH(B574,IF(Berekening_patiëntaantal[Doelgroep (zoeksleutel)]=C574,Berekening_patiëntaantal[Digitale zorgtoepassing]),0))</f>
        <v>Huidige toepassing</v>
      </c>
      <c r="F574" s="43" t="s">
        <v>812</v>
      </c>
      <c r="G574" s="33" t="str">
        <f>CONCATENATE(uitkomst_doelgroep[[#This Row],[Digitale zorgtoepassing]],"_",uitkomst_doelgroep[[#This Row],[Doelgroep]],"_",uitkomst_doelgroep[[#This Row],[Uitgangssituatie/effect beleid]])</f>
        <v>Spraak automatisch vastleggen_Wijkverpleging_Effect beleid</v>
      </c>
      <c r="H574" s="33">
        <v>2032</v>
      </c>
      <c r="I574" s="32">
        <v>10</v>
      </c>
      <c r="J574" s="406" cm="1">
        <f t="array" ref="J574">INDEX(implementatie[[2023]:[2034]],MATCH(G574, implementatie[Zoeksleutel],0),I574)</f>
        <v>0.82414114417395723</v>
      </c>
      <c r="K574" s="406" cm="1">
        <f t="array" ref="K574">INDEX(implementatie[[2023]:[2034]],MATCH(G574,implementatie[Zoeksleutel],0),I574 + 1)</f>
        <v>0.86937948832829703</v>
      </c>
      <c r="L57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75394.615713074949</v>
      </c>
      <c r="M574" s="398" cm="1">
        <f t="array" ref="M574">J574*INDEX(Berekening_impact[Totaal arbeidsbesparing (€/jaar)],MATCH(B574,IF(Berekening_impact[Doelgroep]=C574,Berekening_impact[Digitale zorgtoepassing]),0))</f>
        <v>16689363.225950712</v>
      </c>
      <c r="N574" s="397" cm="1">
        <f t="array" ref="N574">J574*INDEX(Berekening_impact[Totaal arbeidsbesparing (FTE/jaar)],MATCH(B574,IF(Berekening_impact[Doelgroep]=C574,Berekening_impact[Digitale zorgtoepassing]),0))</f>
        <v>393.11532577097762</v>
      </c>
      <c r="O574" s="398" cm="1">
        <f t="array" ref="O574">J574*INDEX(Berekening_impact[Overige kostenbesparing (totaal/jaar totaal potentieel)],MATCH(B574,IF(Berekening_impact[Doelgroep]=C574,Berekening_impact[Digitale zorgtoepassing]),0))</f>
        <v>238902.09134781099</v>
      </c>
      <c r="P574" s="398" cm="1">
        <f t="array" ref="P574">J574*INDEX(Berekening_impact[Opbrengsten door QALY''s],MATCH(B574,IF(Berekening_impact[Doelgroep]=C574,Berekening_impact[Digitale zorgtoepassing]),0))</f>
        <v>0</v>
      </c>
      <c r="Q574" s="398" cm="1">
        <f t="array" ref="Q574">J574*INDEX(Berekening_impact[Jaarlijkse kosten (totaal) - incl. schatting],MATCH(B574,IF(Berekening_impact[Doelgroep]=C574,Berekening_impact[Digitale zorgtoepassing]),0))</f>
        <v>1809470.7771137988</v>
      </c>
      <c r="R574" s="398" cm="1">
        <f t="array" ref="R574">(uitkomst_doelgroep[[#This Row],[Implementatiegraad t = T + 1]]-uitkomst_doelgroep[[#This Row],[Implementatiegraad t = T]])*INDEX(Berekening_impact[Initiële investering (totaal) - incl. schatting],MATCH(B574,IF(Berekening_impact[Doelgroep]=C574,Berekening_impact[Digitale zorgtoepassing]),0))</f>
        <v>0</v>
      </c>
      <c r="S574" s="398">
        <f>uitkomst_doelgroep[[#This Row],[Arbeidsbesparing (€)]]*uitkomst_doelgroep[[#This Row],[Percentage van patiëntaantallen in Wlz (overige is Zvw)]]</f>
        <v>0</v>
      </c>
      <c r="T574" s="398">
        <f>uitkomst_doelgroep[[#This Row],[Overige besparingen (€)]]*uitkomst_doelgroep[[#This Row],[Percentage van patiëntaantallen in Wlz (overige is Zvw)]]</f>
        <v>0</v>
      </c>
      <c r="U574" s="398">
        <f>uitkomst_doelgroep[[#This Row],[Kosten (€)]]*uitkomst_doelgroep[[#This Row],[Percentage van patiëntaantallen in Wlz (overige is Zvw)]]</f>
        <v>0</v>
      </c>
      <c r="V574" s="398">
        <f>uitkomst_doelgroep[[#This Row],[Investering (cash flow) (€)]]*uitkomst_doelgroep[[#This Row],[Percentage van patiëntaantallen in Wlz (overige is Zvw)]]</f>
        <v>0</v>
      </c>
    </row>
    <row r="575" spans="1:22" x14ac:dyDescent="0.5">
      <c r="A575" s="33" t="str">
        <f>INDEX(Technologieën[Veld],MATCH(B575,Technologieën[Digitale zorgtoepassing],0))</f>
        <v>Software - Behandeling</v>
      </c>
      <c r="B575" s="33" t="s">
        <v>101</v>
      </c>
      <c r="C575" s="33" t="s">
        <v>83</v>
      </c>
      <c r="D575" s="427" cm="1">
        <f t="array" ref="D575">INDEX(Berekening_patiëntaantal[Percentage van patiëntaantallen in Wlz (overige is Zvw)],MATCH(B575,IF(Berekening_patiëntaantal[Doelgroep (zoeksleutel)]=C575,Berekening_patiëntaantal[Digitale zorgtoepassing]),0))</f>
        <v>1</v>
      </c>
      <c r="E575" s="33" t="str" cm="1">
        <f t="array" ref="E575">INDEX(Berekening_patiëntaantal[Direct toepasbaar/extrapolatie/incidentie voor QALY],MATCH(B575,IF(Berekening_patiëntaantal[Doelgroep (zoeksleutel)]=C575,Berekening_patiëntaantal[Digitale zorgtoepassing]),0))</f>
        <v>Huidige toepassing</v>
      </c>
      <c r="F575" s="43" t="s">
        <v>812</v>
      </c>
      <c r="G575" s="33" t="str">
        <f>CONCATENATE(uitkomst_doelgroep[[#This Row],[Digitale zorgtoepassing]],"_",uitkomst_doelgroep[[#This Row],[Doelgroep]],"_",uitkomst_doelgroep[[#This Row],[Uitgangssituatie/effect beleid]])</f>
        <v>Spraak automatisch vastleggen_Verpleeghuis_Effect beleid</v>
      </c>
      <c r="H575" s="33">
        <v>2033</v>
      </c>
      <c r="I575" s="32">
        <v>11</v>
      </c>
      <c r="J575" s="406" cm="1">
        <f t="array" ref="J575">INDEX(implementatie[[2023]:[2034]],MATCH(G575, implementatie[Zoeksleutel],0),I575)</f>
        <v>0.86937948832829703</v>
      </c>
      <c r="K575" s="406" cm="1">
        <f t="array" ref="K575">INDEX(implementatie[[2023]:[2034]],MATCH(G575,implementatie[Zoeksleutel],0),I575 + 1)</f>
        <v>0.90475333152571169</v>
      </c>
      <c r="L57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125737.48601743327</v>
      </c>
      <c r="M575" s="398" cm="1">
        <f t="array" ref="M575">J575*INDEX(Berekening_impact[Totaal arbeidsbesparing (€/jaar)],MATCH(B575,IF(Berekening_impact[Doelgroep]=C575,Berekening_impact[Digitale zorgtoepassing]),0))</f>
        <v>224199094.72668591</v>
      </c>
      <c r="N575" s="397" cm="1">
        <f t="array" ref="N575">J575*INDEX(Berekening_impact[Totaal arbeidsbesparing (FTE/jaar)],MATCH(B575,IF(Berekening_impact[Doelgroep]=C575,Berekening_impact[Digitale zorgtoepassing]),0))</f>
        <v>5280.9744127321974</v>
      </c>
      <c r="O575" s="398" cm="1">
        <f t="array" ref="O575">J575*INDEX(Berekening_impact[Overige kostenbesparing (totaal/jaar totaal potentieel)],MATCH(B575,IF(Berekening_impact[Doelgroep]=C575,Berekening_impact[Digitale zorgtoepassing]),0))</f>
        <v>0</v>
      </c>
      <c r="P575" s="398" cm="1">
        <f t="array" ref="P575">J575*INDEX(Berekening_impact[Opbrengsten door QALY''s],MATCH(B575,IF(Berekening_impact[Doelgroep]=C575,Berekening_impact[Digitale zorgtoepassing]),0))</f>
        <v>0</v>
      </c>
      <c r="Q575" s="398" cm="1">
        <f t="array" ref="Q575">J575*INDEX(Berekening_impact[Jaarlijkse kosten (totaal) - incl. schatting],MATCH(B575,IF(Berekening_impact[Doelgroep]=C575,Berekening_impact[Digitale zorgtoepassing]),0))</f>
        <v>3017699.6644183984</v>
      </c>
      <c r="R575" s="398" cm="1">
        <f t="array" ref="R575">(uitkomst_doelgroep[[#This Row],[Implementatiegraad t = T + 1]]-uitkomst_doelgroep[[#This Row],[Implementatiegraad t = T]])*INDEX(Berekening_impact[Initiële investering (totaal) - incl. schatting],MATCH(B575,IF(Berekening_impact[Doelgroep]=C575,Berekening_impact[Digitale zorgtoepassing]),0))</f>
        <v>0</v>
      </c>
      <c r="S575" s="398">
        <f>uitkomst_doelgroep[[#This Row],[Arbeidsbesparing (€)]]*uitkomst_doelgroep[[#This Row],[Percentage van patiëntaantallen in Wlz (overige is Zvw)]]</f>
        <v>224199094.72668591</v>
      </c>
      <c r="T575" s="398">
        <f>uitkomst_doelgroep[[#This Row],[Overige besparingen (€)]]*uitkomst_doelgroep[[#This Row],[Percentage van patiëntaantallen in Wlz (overige is Zvw)]]</f>
        <v>0</v>
      </c>
      <c r="U575" s="398">
        <f>uitkomst_doelgroep[[#This Row],[Kosten (€)]]*uitkomst_doelgroep[[#This Row],[Percentage van patiëntaantallen in Wlz (overige is Zvw)]]</f>
        <v>3017699.6644183984</v>
      </c>
      <c r="V575" s="398">
        <f>uitkomst_doelgroep[[#This Row],[Investering (cash flow) (€)]]*uitkomst_doelgroep[[#This Row],[Percentage van patiëntaantallen in Wlz (overige is Zvw)]]</f>
        <v>0</v>
      </c>
    </row>
    <row r="576" spans="1:22" x14ac:dyDescent="0.5">
      <c r="A576" s="33" t="str">
        <f>INDEX(Technologieën[Veld],MATCH(B576,Technologieën[Digitale zorgtoepassing],0))</f>
        <v>Software - Behandeling</v>
      </c>
      <c r="B576" s="33" t="s">
        <v>101</v>
      </c>
      <c r="C576" s="33" t="s">
        <v>84</v>
      </c>
      <c r="D576" s="427" cm="1">
        <f t="array" ref="D576">INDEX(Berekening_patiëntaantal[Percentage van patiëntaantallen in Wlz (overige is Zvw)],MATCH(B576,IF(Berekening_patiëntaantal[Doelgroep (zoeksleutel)]=C576,Berekening_patiëntaantal[Digitale zorgtoepassing]),0))</f>
        <v>0</v>
      </c>
      <c r="E576" s="33" t="str" cm="1">
        <f t="array" ref="E576">INDEX(Berekening_patiëntaantal[Direct toepasbaar/extrapolatie/incidentie voor QALY],MATCH(B576,IF(Berekening_patiëntaantal[Doelgroep (zoeksleutel)]=C576,Berekening_patiëntaantal[Digitale zorgtoepassing]),0))</f>
        <v>Huidige toepassing</v>
      </c>
      <c r="F576" s="43" t="s">
        <v>812</v>
      </c>
      <c r="G576" s="33" t="str">
        <f>CONCATENATE(uitkomst_doelgroep[[#This Row],[Digitale zorgtoepassing]],"_",uitkomst_doelgroep[[#This Row],[Doelgroep]],"_",uitkomst_doelgroep[[#This Row],[Uitgangssituatie/effect beleid]])</f>
        <v>Spraak automatisch vastleggen_Wijkverpleging_Effect beleid</v>
      </c>
      <c r="H576" s="33">
        <v>2033</v>
      </c>
      <c r="I576" s="32">
        <v>11</v>
      </c>
      <c r="J576" s="406" cm="1">
        <f t="array" ref="J576">INDEX(implementatie[[2023]:[2034]],MATCH(G576, implementatie[Zoeksleutel],0),I576)</f>
        <v>0.86937948832829703</v>
      </c>
      <c r="K576" s="406" cm="1">
        <f t="array" ref="K576">INDEX(implementatie[[2023]:[2034]],MATCH(G576,implementatie[Zoeksleutel],0),I576 + 1)</f>
        <v>0.90475333152571169</v>
      </c>
      <c r="L57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79533.139310790575</v>
      </c>
      <c r="M576" s="398" cm="1">
        <f t="array" ref="M576">J576*INDEX(Berekening_impact[Totaal arbeidsbesparing (€/jaar)],MATCH(B576,IF(Berekening_impact[Doelgroep]=C576,Berekening_impact[Digitale zorgtoepassing]),0))</f>
        <v>17605467.418381345</v>
      </c>
      <c r="N576" s="397" cm="1">
        <f t="array" ref="N576">J576*INDEX(Berekening_impact[Totaal arbeidsbesparing (FTE/jaar)],MATCH(B576,IF(Berekening_impact[Doelgroep]=C576,Berekening_impact[Digitale zorgtoepassing]),0))</f>
        <v>414.69401593259767</v>
      </c>
      <c r="O576" s="398" cm="1">
        <f t="array" ref="O576">J576*INDEX(Berekening_impact[Overige kostenbesparing (totaal/jaar totaal potentieel)],MATCH(B576,IF(Berekening_impact[Doelgroep]=C576,Berekening_impact[Digitale zorgtoepassing]),0))</f>
        <v>252015.78565125007</v>
      </c>
      <c r="P576" s="398" cm="1">
        <f t="array" ref="P576">J576*INDEX(Berekening_impact[Opbrengsten door QALY''s],MATCH(B576,IF(Berekening_impact[Doelgroep]=C576,Berekening_impact[Digitale zorgtoepassing]),0))</f>
        <v>0</v>
      </c>
      <c r="Q576" s="398" cm="1">
        <f t="array" ref="Q576">J576*INDEX(Berekening_impact[Jaarlijkse kosten (totaal) - incl. schatting],MATCH(B576,IF(Berekening_impact[Doelgroep]=C576,Berekening_impact[Digitale zorgtoepassing]),0))</f>
        <v>1908795.3434589738</v>
      </c>
      <c r="R576" s="398" cm="1">
        <f t="array" ref="R576">(uitkomst_doelgroep[[#This Row],[Implementatiegraad t = T + 1]]-uitkomst_doelgroep[[#This Row],[Implementatiegraad t = T]])*INDEX(Berekening_impact[Initiële investering (totaal) - incl. schatting],MATCH(B576,IF(Berekening_impact[Doelgroep]=C576,Berekening_impact[Digitale zorgtoepassing]),0))</f>
        <v>0</v>
      </c>
      <c r="S576" s="398">
        <f>uitkomst_doelgroep[[#This Row],[Arbeidsbesparing (€)]]*uitkomst_doelgroep[[#This Row],[Percentage van patiëntaantallen in Wlz (overige is Zvw)]]</f>
        <v>0</v>
      </c>
      <c r="T576" s="398">
        <f>uitkomst_doelgroep[[#This Row],[Overige besparingen (€)]]*uitkomst_doelgroep[[#This Row],[Percentage van patiëntaantallen in Wlz (overige is Zvw)]]</f>
        <v>0</v>
      </c>
      <c r="U576" s="398">
        <f>uitkomst_doelgroep[[#This Row],[Kosten (€)]]*uitkomst_doelgroep[[#This Row],[Percentage van patiëntaantallen in Wlz (overige is Zvw)]]</f>
        <v>0</v>
      </c>
      <c r="V576" s="398">
        <f>uitkomst_doelgroep[[#This Row],[Investering (cash flow) (€)]]*uitkomst_doelgroep[[#This Row],[Percentage van patiëntaantallen in Wlz (overige is Zvw)]]</f>
        <v>0</v>
      </c>
    </row>
    <row r="577" spans="1:22" x14ac:dyDescent="0.5">
      <c r="A577" s="33" t="str">
        <f>INDEX(Technologieën[Veld],MATCH(B577,Technologieën[Digitale zorgtoepassing],0))</f>
        <v>Digitale hulpmiddelen - Verpleging</v>
      </c>
      <c r="B577" s="33" t="s">
        <v>48</v>
      </c>
      <c r="C577" s="33" t="s">
        <v>49</v>
      </c>
      <c r="D577" s="427" cm="1">
        <f t="array" ref="D577">INDEX(Berekening_patiëntaantal[Percentage van patiëntaantallen in Wlz (overige is Zvw)],MATCH(B577,IF(Berekening_patiëntaantal[Doelgroep (zoeksleutel)]=C577,Berekening_patiëntaantal[Digitale zorgtoepassing]),0))</f>
        <v>0.70000000000000007</v>
      </c>
      <c r="E577" s="33" t="str" cm="1">
        <f t="array" ref="E577">INDEX(Berekening_patiëntaantal[Direct toepasbaar/extrapolatie/incidentie voor QALY],MATCH(B577,IF(Berekening_patiëntaantal[Doelgroep (zoeksleutel)]=C577,Berekening_patiëntaantal[Digitale zorgtoepassing]),0))</f>
        <v>Huidige toepassing</v>
      </c>
      <c r="F577" s="43" t="s">
        <v>812</v>
      </c>
      <c r="G577" s="33" t="str">
        <f>CONCATENATE(uitkomst_doelgroep[[#This Row],[Digitale zorgtoepassing]],"_",uitkomst_doelgroep[[#This Row],[Doelgroep]],"_",uitkomst_doelgroep[[#This Row],[Uitgangssituatie/effect beleid]])</f>
        <v>Steunkousen technologie_Steunkousen_Effect beleid</v>
      </c>
      <c r="H577" s="33">
        <v>2023</v>
      </c>
      <c r="I577" s="32">
        <v>1</v>
      </c>
      <c r="J577" s="406" cm="1">
        <f t="array" ref="J577">INDEX(implementatie[[2023]:[2034]],MATCH(G577, implementatie[Zoeksleutel],0),I577)</f>
        <v>0.2</v>
      </c>
      <c r="K577" s="406" cm="1">
        <f t="array" ref="K577">INDEX(implementatie[[2023]:[2034]],MATCH(G577,implementatie[Zoeksleutel],0),I577 + 1)</f>
        <v>0.29200000000000004</v>
      </c>
      <c r="L57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19200</v>
      </c>
      <c r="M577" s="398" cm="1">
        <f t="array" ref="M577">J577*INDEX(Berekening_impact[Totaal arbeidsbesparing (€/jaar)],MATCH(B577,IF(Berekening_impact[Doelgroep]=C577,Berekening_impact[Digitale zorgtoepassing]),0))</f>
        <v>32095310.896551728</v>
      </c>
      <c r="N577" s="397" cm="1">
        <f t="array" ref="N577">J577*INDEX(Berekening_impact[Totaal arbeidsbesparing (FTE/jaar)],MATCH(B577,IF(Berekening_impact[Doelgroep]=C577,Berekening_impact[Digitale zorgtoepassing]),0))</f>
        <v>756</v>
      </c>
      <c r="O577" s="398" cm="1">
        <f t="array" ref="O577">J577*INDEX(Berekening_impact[Overige kostenbesparing (totaal/jaar totaal potentieel)],MATCH(B577,IF(Berekening_impact[Doelgroep]=C577,Berekening_impact[Digitale zorgtoepassing]),0))</f>
        <v>4472297.4200113062</v>
      </c>
      <c r="P577" s="398" cm="1">
        <f t="array" ref="P577">J577*INDEX(Berekening_impact[Opbrengsten door QALY''s],MATCH(B577,IF(Berekening_impact[Doelgroep]=C577,Berekening_impact[Digitale zorgtoepassing]),0))</f>
        <v>0</v>
      </c>
      <c r="Q577" s="398" cm="1">
        <f t="array" ref="Q577">J577*INDEX(Berekening_impact[Jaarlijkse kosten (totaal) - incl. schatting],MATCH(B577,IF(Berekening_impact[Doelgroep]=C577,Berekening_impact[Digitale zorgtoepassing]),0))</f>
        <v>0</v>
      </c>
      <c r="R577" s="398" cm="1">
        <f t="array" ref="R577">(uitkomst_doelgroep[[#This Row],[Implementatiegraad t = T + 1]]-uitkomst_doelgroep[[#This Row],[Implementatiegraad t = T]])*INDEX(Berekening_impact[Initiële investering (totaal) - incl. schatting],MATCH(B577,IF(Berekening_impact[Doelgroep]=C577,Berekening_impact[Digitale zorgtoepassing]),0))</f>
        <v>7904640.0000000019</v>
      </c>
      <c r="S577" s="398">
        <f>uitkomst_doelgroep[[#This Row],[Arbeidsbesparing (€)]]*uitkomst_doelgroep[[#This Row],[Percentage van patiëntaantallen in Wlz (overige is Zvw)]]</f>
        <v>22466717.627586212</v>
      </c>
      <c r="T577" s="398">
        <f>uitkomst_doelgroep[[#This Row],[Overige besparingen (€)]]*uitkomst_doelgroep[[#This Row],[Percentage van patiëntaantallen in Wlz (overige is Zvw)]]</f>
        <v>3130608.1940079145</v>
      </c>
      <c r="U577" s="398">
        <f>uitkomst_doelgroep[[#This Row],[Kosten (€)]]*uitkomst_doelgroep[[#This Row],[Percentage van patiëntaantallen in Wlz (overige is Zvw)]]</f>
        <v>0</v>
      </c>
      <c r="V577" s="398">
        <f>uitkomst_doelgroep[[#This Row],[Investering (cash flow) (€)]]*uitkomst_doelgroep[[#This Row],[Percentage van patiëntaantallen in Wlz (overige is Zvw)]]</f>
        <v>5533248.0000000019</v>
      </c>
    </row>
    <row r="578" spans="1:22" x14ac:dyDescent="0.5">
      <c r="A578" s="33" t="str">
        <f>INDEX(Technologieën[Veld],MATCH(B578,Technologieën[Digitale zorgtoepassing],0))</f>
        <v>Digitale hulpmiddelen - Verpleging</v>
      </c>
      <c r="B578" s="33" t="s">
        <v>48</v>
      </c>
      <c r="C578" s="33" t="s">
        <v>49</v>
      </c>
      <c r="D578" s="427" cm="1">
        <f t="array" ref="D578">INDEX(Berekening_patiëntaantal[Percentage van patiëntaantallen in Wlz (overige is Zvw)],MATCH(B578,IF(Berekening_patiëntaantal[Doelgroep (zoeksleutel)]=C578,Berekening_patiëntaantal[Digitale zorgtoepassing]),0))</f>
        <v>0.70000000000000007</v>
      </c>
      <c r="E578" s="33" t="str" cm="1">
        <f t="array" ref="E578">INDEX(Berekening_patiëntaantal[Direct toepasbaar/extrapolatie/incidentie voor QALY],MATCH(B578,IF(Berekening_patiëntaantal[Doelgroep (zoeksleutel)]=C578,Berekening_patiëntaantal[Digitale zorgtoepassing]),0))</f>
        <v>Huidige toepassing</v>
      </c>
      <c r="F578" s="43" t="s">
        <v>812</v>
      </c>
      <c r="G578" s="33" t="str">
        <f>CONCATENATE(uitkomst_doelgroep[[#This Row],[Digitale zorgtoepassing]],"_",uitkomst_doelgroep[[#This Row],[Doelgroep]],"_",uitkomst_doelgroep[[#This Row],[Uitgangssituatie/effect beleid]])</f>
        <v>Steunkousen technologie_Steunkousen_Effect beleid</v>
      </c>
      <c r="H578" s="33">
        <v>2024</v>
      </c>
      <c r="I578" s="32">
        <v>2</v>
      </c>
      <c r="J578" s="406" cm="1">
        <f t="array" ref="J578">INDEX(implementatie[[2023]:[2034]],MATCH(G578, implementatie[Zoeksleutel],0),I578)</f>
        <v>0.29200000000000004</v>
      </c>
      <c r="K578" s="406" cm="1">
        <f t="array" ref="K578">INDEX(implementatie[[2023]:[2034]],MATCH(G578,implementatie[Zoeksleutel],0),I578 + 1)</f>
        <v>0.40273120000000007</v>
      </c>
      <c r="L57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28032.000000000004</v>
      </c>
      <c r="M578" s="398" cm="1">
        <f t="array" ref="M578">J578*INDEX(Berekening_impact[Totaal arbeidsbesparing (€/jaar)],MATCH(B578,IF(Berekening_impact[Doelgroep]=C578,Berekening_impact[Digitale zorgtoepassing]),0))</f>
        <v>46859153.908965528</v>
      </c>
      <c r="N578" s="397" cm="1">
        <f t="array" ref="N578">J578*INDEX(Berekening_impact[Totaal arbeidsbesparing (FTE/jaar)],MATCH(B578,IF(Berekening_impact[Doelgroep]=C578,Berekening_impact[Digitale zorgtoepassing]),0))</f>
        <v>1103.7600000000002</v>
      </c>
      <c r="O578" s="398" cm="1">
        <f t="array" ref="O578">J578*INDEX(Berekening_impact[Overige kostenbesparing (totaal/jaar totaal potentieel)],MATCH(B578,IF(Berekening_impact[Doelgroep]=C578,Berekening_impact[Digitale zorgtoepassing]),0))</f>
        <v>6529554.2332165074</v>
      </c>
      <c r="P578" s="398" cm="1">
        <f t="array" ref="P578">J578*INDEX(Berekening_impact[Opbrengsten door QALY''s],MATCH(B578,IF(Berekening_impact[Doelgroep]=C578,Berekening_impact[Digitale zorgtoepassing]),0))</f>
        <v>0</v>
      </c>
      <c r="Q578" s="398" cm="1">
        <f t="array" ref="Q578">J578*INDEX(Berekening_impact[Jaarlijkse kosten (totaal) - incl. schatting],MATCH(B578,IF(Berekening_impact[Doelgroep]=C578,Berekening_impact[Digitale zorgtoepassing]),0))</f>
        <v>0</v>
      </c>
      <c r="R578" s="398" cm="1">
        <f t="array" ref="R578">(uitkomst_doelgroep[[#This Row],[Implementatiegraad t = T + 1]]-uitkomst_doelgroep[[#This Row],[Implementatiegraad t = T]])*INDEX(Berekening_impact[Initiële investering (totaal) - incl. schatting],MATCH(B578,IF(Berekening_impact[Doelgroep]=C578,Berekening_impact[Digitale zorgtoepassing]),0))</f>
        <v>9514024.7040000018</v>
      </c>
      <c r="S578" s="398">
        <f>uitkomst_doelgroep[[#This Row],[Arbeidsbesparing (€)]]*uitkomst_doelgroep[[#This Row],[Percentage van patiëntaantallen in Wlz (overige is Zvw)]]</f>
        <v>32801407.736275874</v>
      </c>
      <c r="T578" s="398">
        <f>uitkomst_doelgroep[[#This Row],[Overige besparingen (€)]]*uitkomst_doelgroep[[#This Row],[Percentage van patiëntaantallen in Wlz (overige is Zvw)]]</f>
        <v>4570687.9632515553</v>
      </c>
      <c r="U578" s="398">
        <f>uitkomst_doelgroep[[#This Row],[Kosten (€)]]*uitkomst_doelgroep[[#This Row],[Percentage van patiëntaantallen in Wlz (overige is Zvw)]]</f>
        <v>0</v>
      </c>
      <c r="V578" s="398">
        <f>uitkomst_doelgroep[[#This Row],[Investering (cash flow) (€)]]*uitkomst_doelgroep[[#This Row],[Percentage van patiëntaantallen in Wlz (overige is Zvw)]]</f>
        <v>6659817.2928000018</v>
      </c>
    </row>
    <row r="579" spans="1:22" x14ac:dyDescent="0.5">
      <c r="A579" s="33" t="str">
        <f>INDEX(Technologieën[Veld],MATCH(B579,Technologieën[Digitale zorgtoepassing],0))</f>
        <v>Digitale hulpmiddelen - Verpleging</v>
      </c>
      <c r="B579" s="33" t="s">
        <v>48</v>
      </c>
      <c r="C579" s="33" t="s">
        <v>49</v>
      </c>
      <c r="D579" s="427" cm="1">
        <f t="array" ref="D579">INDEX(Berekening_patiëntaantal[Percentage van patiëntaantallen in Wlz (overige is Zvw)],MATCH(B579,IF(Berekening_patiëntaantal[Doelgroep (zoeksleutel)]=C579,Berekening_patiëntaantal[Digitale zorgtoepassing]),0))</f>
        <v>0.70000000000000007</v>
      </c>
      <c r="E579" s="33" t="str" cm="1">
        <f t="array" ref="E579">INDEX(Berekening_patiëntaantal[Direct toepasbaar/extrapolatie/incidentie voor QALY],MATCH(B579,IF(Berekening_patiëntaantal[Doelgroep (zoeksleutel)]=C579,Berekening_patiëntaantal[Digitale zorgtoepassing]),0))</f>
        <v>Huidige toepassing</v>
      </c>
      <c r="F579" s="43" t="s">
        <v>812</v>
      </c>
      <c r="G579" s="33" t="str">
        <f>CONCATENATE(uitkomst_doelgroep[[#This Row],[Digitale zorgtoepassing]],"_",uitkomst_doelgroep[[#This Row],[Doelgroep]],"_",uitkomst_doelgroep[[#This Row],[Uitgangssituatie/effect beleid]])</f>
        <v>Steunkousen technologie_Steunkousen_Effect beleid</v>
      </c>
      <c r="H579" s="33">
        <v>2025</v>
      </c>
      <c r="I579" s="32">
        <v>3</v>
      </c>
      <c r="J579" s="406" cm="1">
        <f t="array" ref="J579">INDEX(implementatie[[2023]:[2034]],MATCH(G579, implementatie[Zoeksleutel],0),I579)</f>
        <v>0.40273120000000007</v>
      </c>
      <c r="K579" s="406" cm="1">
        <f t="array" ref="K579">INDEX(implementatie[[2023]:[2034]],MATCH(G579,implementatie[Zoeksleutel],0),I579 + 1)</f>
        <v>0.52590537124595205</v>
      </c>
      <c r="L57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38662.195200000009</v>
      </c>
      <c r="M579" s="398" cm="1">
        <f t="array" ref="M579">J579*INDEX(Berekening_impact[Totaal arbeidsbesparing (€/jaar)],MATCH(B579,IF(Berekening_impact[Doelgroep]=C579,Berekening_impact[Digitale zorgtoepassing]),0))</f>
        <v>64628915.35870678</v>
      </c>
      <c r="N579" s="397" cm="1">
        <f t="array" ref="N579">J579*INDEX(Berekening_impact[Totaal arbeidsbesparing (FTE/jaar)],MATCH(B579,IF(Berekening_impact[Doelgroep]=C579,Berekening_impact[Digitale zorgtoepassing]),0))</f>
        <v>1522.3239360000002</v>
      </c>
      <c r="O579" s="398" cm="1">
        <f t="array" ref="O579">J579*INDEX(Berekening_impact[Overige kostenbesparing (totaal/jaar totaal potentieel)],MATCH(B579,IF(Berekening_impact[Doelgroep]=C579,Berekening_impact[Digitale zorgtoepassing]),0))</f>
        <v>9005668.533590287</v>
      </c>
      <c r="P579" s="398" cm="1">
        <f t="array" ref="P579">J579*INDEX(Berekening_impact[Opbrengsten door QALY''s],MATCH(B579,IF(Berekening_impact[Doelgroep]=C579,Berekening_impact[Digitale zorgtoepassing]),0))</f>
        <v>0</v>
      </c>
      <c r="Q579" s="398" cm="1">
        <f t="array" ref="Q579">J579*INDEX(Berekening_impact[Jaarlijkse kosten (totaal) - incl. schatting],MATCH(B579,IF(Berekening_impact[Doelgroep]=C579,Berekening_impact[Digitale zorgtoepassing]),0))</f>
        <v>0</v>
      </c>
      <c r="R579" s="398" cm="1">
        <f t="array" ref="R579">(uitkomst_doelgroep[[#This Row],[Implementatiegraad t = T + 1]]-uitkomst_doelgroep[[#This Row],[Implementatiegraad t = T]])*INDEX(Berekening_impact[Initiële investering (totaal) - incl. schatting],MATCH(B579,IF(Berekening_impact[Doelgroep]=C579,Berekening_impact[Digitale zorgtoepassing]),0))</f>
        <v>10583124.793452194</v>
      </c>
      <c r="S579" s="398">
        <f>uitkomst_doelgroep[[#This Row],[Arbeidsbesparing (€)]]*uitkomst_doelgroep[[#This Row],[Percentage van patiëntaantallen in Wlz (overige is Zvw)]]</f>
        <v>45240240.751094751</v>
      </c>
      <c r="T579" s="398">
        <f>uitkomst_doelgroep[[#This Row],[Overige besparingen (€)]]*uitkomst_doelgroep[[#This Row],[Percentage van patiëntaantallen in Wlz (overige is Zvw)]]</f>
        <v>6303967.9735132018</v>
      </c>
      <c r="U579" s="398">
        <f>uitkomst_doelgroep[[#This Row],[Kosten (€)]]*uitkomst_doelgroep[[#This Row],[Percentage van patiëntaantallen in Wlz (overige is Zvw)]]</f>
        <v>0</v>
      </c>
      <c r="V579" s="398">
        <f>uitkomst_doelgroep[[#This Row],[Investering (cash flow) (€)]]*uitkomst_doelgroep[[#This Row],[Percentage van patiëntaantallen in Wlz (overige is Zvw)]]</f>
        <v>7408187.3554165363</v>
      </c>
    </row>
    <row r="580" spans="1:22" x14ac:dyDescent="0.5">
      <c r="A580" s="33" t="str">
        <f>INDEX(Technologieën[Veld],MATCH(B580,Technologieën[Digitale zorgtoepassing],0))</f>
        <v>Digitale hulpmiddelen - Verpleging</v>
      </c>
      <c r="B580" s="33" t="s">
        <v>48</v>
      </c>
      <c r="C580" s="33" t="s">
        <v>49</v>
      </c>
      <c r="D580" s="427" cm="1">
        <f t="array" ref="D580">INDEX(Berekening_patiëntaantal[Percentage van patiëntaantallen in Wlz (overige is Zvw)],MATCH(B580,IF(Berekening_patiëntaantal[Doelgroep (zoeksleutel)]=C580,Berekening_patiëntaantal[Digitale zorgtoepassing]),0))</f>
        <v>0.70000000000000007</v>
      </c>
      <c r="E580" s="33" t="str" cm="1">
        <f t="array" ref="E580">INDEX(Berekening_patiëntaantal[Direct toepasbaar/extrapolatie/incidentie voor QALY],MATCH(B580,IF(Berekening_patiëntaantal[Doelgroep (zoeksleutel)]=C580,Berekening_patiëntaantal[Digitale zorgtoepassing]),0))</f>
        <v>Huidige toepassing</v>
      </c>
      <c r="F580" s="43" t="s">
        <v>812</v>
      </c>
      <c r="G580" s="33" t="str">
        <f>CONCATENATE(uitkomst_doelgroep[[#This Row],[Digitale zorgtoepassing]],"_",uitkomst_doelgroep[[#This Row],[Doelgroep]],"_",uitkomst_doelgroep[[#This Row],[Uitgangssituatie/effect beleid]])</f>
        <v>Steunkousen technologie_Steunkousen_Effect beleid</v>
      </c>
      <c r="H580" s="33">
        <v>2026</v>
      </c>
      <c r="I580" s="32">
        <v>4</v>
      </c>
      <c r="J580" s="406" cm="1">
        <f t="array" ref="J580">INDEX(implementatie[[2023]:[2034]],MATCH(G580, implementatie[Zoeksleutel],0),I580)</f>
        <v>0.52590537124595205</v>
      </c>
      <c r="K580" s="406" cm="1">
        <f t="array" ref="K580">INDEX(implementatie[[2023]:[2034]],MATCH(G580,implementatie[Zoeksleutel],0),I580 + 1)</f>
        <v>0.64995574724807748</v>
      </c>
      <c r="L58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50486.915639611398</v>
      </c>
      <c r="M580" s="398" cm="1">
        <f t="array" ref="M580">J580*INDEX(Berekening_impact[Totaal arbeidsbesparing (€/jaar)],MATCH(B580,IF(Berekening_impact[Doelgroep]=C580,Berekening_impact[Digitale zorgtoepassing]),0))</f>
        <v>84395481.961526439</v>
      </c>
      <c r="N580" s="397" cm="1">
        <f t="array" ref="N580">J580*INDEX(Berekening_impact[Totaal arbeidsbesparing (FTE/jaar)],MATCH(B580,IF(Berekening_impact[Doelgroep]=C580,Berekening_impact[Digitale zorgtoepassing]),0))</f>
        <v>1987.9223033096987</v>
      </c>
      <c r="O580" s="398" cm="1">
        <f t="array" ref="O580">J580*INDEX(Berekening_impact[Overige kostenbesparing (totaal/jaar totaal potentieel)],MATCH(B580,IF(Berekening_impact[Doelgroep]=C580,Berekening_impact[Digitale zorgtoepassing]),0))</f>
        <v>11760026.174966797</v>
      </c>
      <c r="P580" s="398" cm="1">
        <f t="array" ref="P580">J580*INDEX(Berekening_impact[Opbrengsten door QALY''s],MATCH(B580,IF(Berekening_impact[Doelgroep]=C580,Berekening_impact[Digitale zorgtoepassing]),0))</f>
        <v>0</v>
      </c>
      <c r="Q580" s="398" cm="1">
        <f t="array" ref="Q580">J580*INDEX(Berekening_impact[Jaarlijkse kosten (totaal) - incl. schatting],MATCH(B580,IF(Berekening_impact[Doelgroep]=C580,Berekening_impact[Digitale zorgtoepassing]),0))</f>
        <v>0</v>
      </c>
      <c r="R580" s="398" cm="1">
        <f t="array" ref="R580">(uitkomst_doelgroep[[#This Row],[Implementatiegraad t = T + 1]]-uitkomst_doelgroep[[#This Row],[Implementatiegraad t = T]])*INDEX(Berekening_impact[Initiële investering (totaal) - incl. schatting],MATCH(B580,IF(Berekening_impact[Doelgroep]=C580,Berekening_impact[Digitale zorgtoepassing]),0))</f>
        <v>10658408.306102617</v>
      </c>
      <c r="S580" s="398">
        <f>uitkomst_doelgroep[[#This Row],[Arbeidsbesparing (€)]]*uitkomst_doelgroep[[#This Row],[Percentage van patiëntaantallen in Wlz (overige is Zvw)]]</f>
        <v>59076837.373068511</v>
      </c>
      <c r="T580" s="398">
        <f>uitkomst_doelgroep[[#This Row],[Overige besparingen (€)]]*uitkomst_doelgroep[[#This Row],[Percentage van patiëntaantallen in Wlz (overige is Zvw)]]</f>
        <v>8232018.3224767586</v>
      </c>
      <c r="U580" s="398">
        <f>uitkomst_doelgroep[[#This Row],[Kosten (€)]]*uitkomst_doelgroep[[#This Row],[Percentage van patiëntaantallen in Wlz (overige is Zvw)]]</f>
        <v>0</v>
      </c>
      <c r="V580" s="398">
        <f>uitkomst_doelgroep[[#This Row],[Investering (cash flow) (€)]]*uitkomst_doelgroep[[#This Row],[Percentage van patiëntaantallen in Wlz (overige is Zvw)]]</f>
        <v>7460885.8142718328</v>
      </c>
    </row>
    <row r="581" spans="1:22" x14ac:dyDescent="0.5">
      <c r="A581" s="33" t="str">
        <f>INDEX(Technologieën[Veld],MATCH(B581,Technologieën[Digitale zorgtoepassing],0))</f>
        <v>Digitale hulpmiddelen - Verpleging</v>
      </c>
      <c r="B581" s="33" t="s">
        <v>48</v>
      </c>
      <c r="C581" s="33" t="s">
        <v>49</v>
      </c>
      <c r="D581" s="427" cm="1">
        <f t="array" ref="D581">INDEX(Berekening_patiëntaantal[Percentage van patiëntaantallen in Wlz (overige is Zvw)],MATCH(B581,IF(Berekening_patiëntaantal[Doelgroep (zoeksleutel)]=C581,Berekening_patiëntaantal[Digitale zorgtoepassing]),0))</f>
        <v>0.70000000000000007</v>
      </c>
      <c r="E581" s="33" t="str" cm="1">
        <f t="array" ref="E581">INDEX(Berekening_patiëntaantal[Direct toepasbaar/extrapolatie/incidentie voor QALY],MATCH(B581,IF(Berekening_patiëntaantal[Doelgroep (zoeksleutel)]=C581,Berekening_patiëntaantal[Digitale zorgtoepassing]),0))</f>
        <v>Huidige toepassing</v>
      </c>
      <c r="F581" s="43" t="s">
        <v>812</v>
      </c>
      <c r="G581" s="33" t="str">
        <f>CONCATENATE(uitkomst_doelgroep[[#This Row],[Digitale zorgtoepassing]],"_",uitkomst_doelgroep[[#This Row],[Doelgroep]],"_",uitkomst_doelgroep[[#This Row],[Uitgangssituatie/effect beleid]])</f>
        <v>Steunkousen technologie_Steunkousen_Effect beleid</v>
      </c>
      <c r="H581" s="33">
        <v>2027</v>
      </c>
      <c r="I581" s="32">
        <v>5</v>
      </c>
      <c r="J581" s="406" cm="1">
        <f t="array" ref="J581">INDEX(implementatie[[2023]:[2034]],MATCH(G581, implementatie[Zoeksleutel],0),I581)</f>
        <v>0.64995574724807748</v>
      </c>
      <c r="K581" s="406" cm="1">
        <f t="array" ref="K581">INDEX(implementatie[[2023]:[2034]],MATCH(G581,implementatie[Zoeksleutel],0),I581 + 1)</f>
        <v>0.76108782680714737</v>
      </c>
      <c r="L58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62395.751735815436</v>
      </c>
      <c r="M581" s="398" cm="1">
        <f t="array" ref="M581">J581*INDEX(Berekening_impact[Totaal arbeidsbesparing (€/jaar)],MATCH(B581,IF(Berekening_impact[Doelgroep]=C581,Berekening_impact[Digitale zorgtoepassing]),0))</f>
        <v>104302658.88463821</v>
      </c>
      <c r="N581" s="397" cm="1">
        <f t="array" ref="N581">J581*INDEX(Berekening_impact[Totaal arbeidsbesparing (FTE/jaar)],MATCH(B581,IF(Berekening_impact[Doelgroep]=C581,Berekening_impact[Digitale zorgtoepassing]),0))</f>
        <v>2456.832724597733</v>
      </c>
      <c r="O581" s="398" cm="1">
        <f t="array" ref="O581">J581*INDEX(Berekening_impact[Overige kostenbesparing (totaal/jaar totaal potentieel)],MATCH(B581,IF(Berekening_impact[Doelgroep]=C581,Berekening_impact[Digitale zorgtoepassing]),0))</f>
        <v>14533977.057695486</v>
      </c>
      <c r="P581" s="398" cm="1">
        <f t="array" ref="P581">J581*INDEX(Berekening_impact[Opbrengsten door QALY''s],MATCH(B581,IF(Berekening_impact[Doelgroep]=C581,Berekening_impact[Digitale zorgtoepassing]),0))</f>
        <v>0</v>
      </c>
      <c r="Q581" s="398" cm="1">
        <f t="array" ref="Q581">J581*INDEX(Berekening_impact[Jaarlijkse kosten (totaal) - incl. schatting],MATCH(B581,IF(Berekening_impact[Doelgroep]=C581,Berekening_impact[Digitale zorgtoepassing]),0))</f>
        <v>0</v>
      </c>
      <c r="R581" s="398" cm="1">
        <f t="array" ref="R581">(uitkomst_doelgroep[[#This Row],[Implementatiegraad t = T + 1]]-uitkomst_doelgroep[[#This Row],[Implementatiegraad t = T]])*INDEX(Berekening_impact[Initiële investering (totaal) - incl. schatting],MATCH(B581,IF(Berekening_impact[Doelgroep]=C581,Berekening_impact[Digitale zorgtoepassing]),0))</f>
        <v>9548468.2757152859</v>
      </c>
      <c r="S581" s="398">
        <f>uitkomst_doelgroep[[#This Row],[Arbeidsbesparing (€)]]*uitkomst_doelgroep[[#This Row],[Percentage van patiëntaantallen in Wlz (overige is Zvw)]]</f>
        <v>73011861.219246745</v>
      </c>
      <c r="T581" s="398">
        <f>uitkomst_doelgroep[[#This Row],[Overige besparingen (€)]]*uitkomst_doelgroep[[#This Row],[Percentage van patiëntaantallen in Wlz (overige is Zvw)]]</f>
        <v>10173783.940386841</v>
      </c>
      <c r="U581" s="398">
        <f>uitkomst_doelgroep[[#This Row],[Kosten (€)]]*uitkomst_doelgroep[[#This Row],[Percentage van patiëntaantallen in Wlz (overige is Zvw)]]</f>
        <v>0</v>
      </c>
      <c r="V581" s="398">
        <f>uitkomst_doelgroep[[#This Row],[Investering (cash flow) (€)]]*uitkomst_doelgroep[[#This Row],[Percentage van patiëntaantallen in Wlz (overige is Zvw)]]</f>
        <v>6683927.7930007009</v>
      </c>
    </row>
    <row r="582" spans="1:22" ht="17.5" thickBot="1" x14ac:dyDescent="0.55000000000000004">
      <c r="A582" s="33" t="str">
        <f>INDEX(Technologieën[Veld],MATCH(B582,Technologieën[Digitale zorgtoepassing],0))</f>
        <v>Digitale hulpmiddelen - Verpleging</v>
      </c>
      <c r="B582" s="40" t="s">
        <v>48</v>
      </c>
      <c r="C582" s="40" t="s">
        <v>49</v>
      </c>
      <c r="D582" s="427" cm="1">
        <f t="array" ref="D582">INDEX(Berekening_patiëntaantal[Percentage van patiëntaantallen in Wlz (overige is Zvw)],MATCH(B582,IF(Berekening_patiëntaantal[Doelgroep (zoeksleutel)]=C582,Berekening_patiëntaantal[Digitale zorgtoepassing]),0))</f>
        <v>0.70000000000000007</v>
      </c>
      <c r="E582" s="33" t="str" cm="1">
        <f t="array" ref="E582">INDEX(Berekening_patiëntaantal[Direct toepasbaar/extrapolatie/incidentie voor QALY],MATCH(B582,IF(Berekening_patiëntaantal[Doelgroep (zoeksleutel)]=C582,Berekening_patiëntaantal[Digitale zorgtoepassing]),0))</f>
        <v>Huidige toepassing</v>
      </c>
      <c r="F582" s="43" t="s">
        <v>812</v>
      </c>
      <c r="G582" s="33" t="str">
        <f>CONCATENATE(uitkomst_doelgroep[[#This Row],[Digitale zorgtoepassing]],"_",uitkomst_doelgroep[[#This Row],[Doelgroep]],"_",uitkomst_doelgroep[[#This Row],[Uitgangssituatie/effect beleid]])</f>
        <v>Steunkousen technologie_Steunkousen_Effect beleid</v>
      </c>
      <c r="H582" s="33">
        <v>2028</v>
      </c>
      <c r="I582" s="32">
        <v>6</v>
      </c>
      <c r="J582" s="406" cm="1">
        <f t="array" ref="J582">INDEX(implementatie[[2023]:[2034]],MATCH(G582, implementatie[Zoeksleutel],0),I582)</f>
        <v>0.76108782680714737</v>
      </c>
      <c r="K582" s="406" cm="1">
        <f t="array" ref="K582">INDEX(implementatie[[2023]:[2034]],MATCH(G582,implementatie[Zoeksleutel],0),I582 + 1)</f>
        <v>0.8488855471488731</v>
      </c>
      <c r="L58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73064.43137348615</v>
      </c>
      <c r="M582" s="398" cm="1">
        <f t="array" ref="M582">J582*INDEX(Berekening_impact[Totaal arbeidsbesparing (€/jaar)],MATCH(B582,IF(Berekening_impact[Doelgroep]=C582,Berekening_impact[Digitale zorgtoepassing]),0))</f>
        <v>122136752.10478155</v>
      </c>
      <c r="N582" s="397" cm="1">
        <f t="array" ref="N582">J582*INDEX(Berekening_impact[Totaal arbeidsbesparing (FTE/jaar)],MATCH(B582,IF(Berekening_impact[Doelgroep]=C582,Berekening_impact[Digitale zorgtoepassing]),0))</f>
        <v>2876.9119853310171</v>
      </c>
      <c r="O582" s="398" cm="1">
        <f t="array" ref="O582">J582*INDEX(Berekening_impact[Overige kostenbesparing (totaal/jaar totaal potentieel)],MATCH(B582,IF(Berekening_impact[Doelgroep]=C582,Berekening_impact[Digitale zorgtoepassing]),0))</f>
        <v>17019055.621158082</v>
      </c>
      <c r="P582" s="398" cm="1">
        <f t="array" ref="P582">J582*INDEX(Berekening_impact[Opbrengsten door QALY''s],MATCH(B582,IF(Berekening_impact[Doelgroep]=C582,Berekening_impact[Digitale zorgtoepassing]),0))</f>
        <v>0</v>
      </c>
      <c r="Q582" s="398" cm="1">
        <f t="array" ref="Q582">J582*INDEX(Berekening_impact[Jaarlijkse kosten (totaal) - incl. schatting],MATCH(B582,IF(Berekening_impact[Doelgroep]=C582,Berekening_impact[Digitale zorgtoepassing]),0))</f>
        <v>0</v>
      </c>
      <c r="R582" s="398" cm="1">
        <f t="array" ref="R582">(uitkomst_doelgroep[[#This Row],[Implementatiegraad t = T + 1]]-uitkomst_doelgroep[[#This Row],[Implementatiegraad t = T]])*INDEX(Berekening_impact[Initiële investering (totaal) - incl. schatting],MATCH(B582,IF(Berekening_impact[Doelgroep]=C582,Berekening_impact[Digitale zorgtoepassing]),0))</f>
        <v>7543580.1317610741</v>
      </c>
      <c r="S582" s="398">
        <f>uitkomst_doelgroep[[#This Row],[Arbeidsbesparing (€)]]*uitkomst_doelgroep[[#This Row],[Percentage van patiëntaantallen in Wlz (overige is Zvw)]]</f>
        <v>85495726.473347098</v>
      </c>
      <c r="T582" s="398">
        <f>uitkomst_doelgroep[[#This Row],[Overige besparingen (€)]]*uitkomst_doelgroep[[#This Row],[Percentage van patiëntaantallen in Wlz (overige is Zvw)]]</f>
        <v>11913338.934810659</v>
      </c>
      <c r="U582" s="398">
        <f>uitkomst_doelgroep[[#This Row],[Kosten (€)]]*uitkomst_doelgroep[[#This Row],[Percentage van patiëntaantallen in Wlz (overige is Zvw)]]</f>
        <v>0</v>
      </c>
      <c r="V582" s="398">
        <f>uitkomst_doelgroep[[#This Row],[Investering (cash flow) (€)]]*uitkomst_doelgroep[[#This Row],[Percentage van patiëntaantallen in Wlz (overige is Zvw)]]</f>
        <v>5280506.0922327526</v>
      </c>
    </row>
    <row r="583" spans="1:22" x14ac:dyDescent="0.5">
      <c r="A583" s="33" t="str">
        <f>INDEX(Technologieën[Veld],MATCH(B583,Technologieën[Digitale zorgtoepassing],0))</f>
        <v>Digitale hulpmiddelen - Verpleging</v>
      </c>
      <c r="B583" s="33" t="s">
        <v>48</v>
      </c>
      <c r="C583" s="33" t="s">
        <v>49</v>
      </c>
      <c r="D583" s="427" cm="1">
        <f t="array" ref="D583">INDEX(Berekening_patiëntaantal[Percentage van patiëntaantallen in Wlz (overige is Zvw)],MATCH(B583,IF(Berekening_patiëntaantal[Doelgroep (zoeksleutel)]=C583,Berekening_patiëntaantal[Digitale zorgtoepassing]),0))</f>
        <v>0.70000000000000007</v>
      </c>
      <c r="E583" s="33" t="str" cm="1">
        <f t="array" ref="E583">INDEX(Berekening_patiëntaantal[Direct toepasbaar/extrapolatie/incidentie voor QALY],MATCH(B583,IF(Berekening_patiëntaantal[Doelgroep (zoeksleutel)]=C583,Berekening_patiëntaantal[Digitale zorgtoepassing]),0))</f>
        <v>Huidige toepassing</v>
      </c>
      <c r="F583" s="43" t="s">
        <v>812</v>
      </c>
      <c r="G583" s="33" t="str">
        <f>CONCATENATE(uitkomst_doelgroep[[#This Row],[Digitale zorgtoepassing]],"_",uitkomst_doelgroep[[#This Row],[Doelgroep]],"_",uitkomst_doelgroep[[#This Row],[Uitgangssituatie/effect beleid]])</f>
        <v>Steunkousen technologie_Steunkousen_Effect beleid</v>
      </c>
      <c r="H583" s="33">
        <v>2029</v>
      </c>
      <c r="I583" s="32">
        <v>7</v>
      </c>
      <c r="J583" s="406" cm="1">
        <f t="array" ref="J583">INDEX(implementatie[[2023]:[2034]],MATCH(G583, implementatie[Zoeksleutel],0),I583)</f>
        <v>0.8488855471488731</v>
      </c>
      <c r="K583" s="406" cm="1">
        <f t="array" ref="K583">INDEX(implementatie[[2023]:[2034]],MATCH(G583,implementatie[Zoeksleutel],0),I583 + 1)</f>
        <v>0.91038890221593549</v>
      </c>
      <c r="L58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81493.012526291815</v>
      </c>
      <c r="M583" s="398" cm="1">
        <f t="array" ref="M583">J583*INDEX(Berekening_impact[Totaal arbeidsbesparing (€/jaar)],MATCH(B583,IF(Berekening_impact[Doelgroep]=C583,Berekening_impact[Digitale zorgtoepassing]),0))</f>
        <v>136226227.75666252</v>
      </c>
      <c r="N583" s="397" cm="1">
        <f t="array" ref="N583">J583*INDEX(Berekening_impact[Totaal arbeidsbesparing (FTE/jaar)],MATCH(B583,IF(Berekening_impact[Doelgroep]=C583,Berekening_impact[Digitale zorgtoepassing]),0))</f>
        <v>3208.7873682227405</v>
      </c>
      <c r="O583" s="398" cm="1">
        <f t="array" ref="O583">J583*INDEX(Berekening_impact[Overige kostenbesparing (totaal/jaar totaal potentieel)],MATCH(B583,IF(Berekening_impact[Doelgroep]=C583,Berekening_impact[Digitale zorgtoepassing]),0))</f>
        <v>18982343.211993955</v>
      </c>
      <c r="P583" s="398" cm="1">
        <f t="array" ref="P583">J583*INDEX(Berekening_impact[Opbrengsten door QALY''s],MATCH(B583,IF(Berekening_impact[Doelgroep]=C583,Berekening_impact[Digitale zorgtoepassing]),0))</f>
        <v>0</v>
      </c>
      <c r="Q583" s="398" cm="1">
        <f t="array" ref="Q583">J583*INDEX(Berekening_impact[Jaarlijkse kosten (totaal) - incl. schatting],MATCH(B583,IF(Berekening_impact[Doelgroep]=C583,Berekening_impact[Digitale zorgtoepassing]),0))</f>
        <v>0</v>
      </c>
      <c r="R583" s="398" cm="1">
        <f t="array" ref="R583">(uitkomst_doelgroep[[#This Row],[Implementatiegraad t = T + 1]]-uitkomst_doelgroep[[#This Row],[Implementatiegraad t = T]])*INDEX(Berekening_impact[Initiële investering (totaal) - incl. schatting],MATCH(B583,IF(Berekening_impact[Doelgroep]=C583,Berekening_impact[Digitale zorgtoepassing]),0))</f>
        <v>5284368.2673620004</v>
      </c>
      <c r="S583" s="398">
        <f>uitkomst_doelgroep[[#This Row],[Arbeidsbesparing (€)]]*uitkomst_doelgroep[[#This Row],[Percentage van patiëntaantallen in Wlz (overige is Zvw)]]</f>
        <v>95358359.429663777</v>
      </c>
      <c r="T583" s="398">
        <f>uitkomst_doelgroep[[#This Row],[Overige besparingen (€)]]*uitkomst_doelgroep[[#This Row],[Percentage van patiëntaantallen in Wlz (overige is Zvw)]]</f>
        <v>13287640.248395769</v>
      </c>
      <c r="U583" s="398">
        <f>uitkomst_doelgroep[[#This Row],[Kosten (€)]]*uitkomst_doelgroep[[#This Row],[Percentage van patiëntaantallen in Wlz (overige is Zvw)]]</f>
        <v>0</v>
      </c>
      <c r="V583" s="398">
        <f>uitkomst_doelgroep[[#This Row],[Investering (cash flow) (€)]]*uitkomst_doelgroep[[#This Row],[Percentage van patiëntaantallen in Wlz (overige is Zvw)]]</f>
        <v>3699057.7871534005</v>
      </c>
    </row>
    <row r="584" spans="1:22" x14ac:dyDescent="0.5">
      <c r="A584" s="33" t="str">
        <f>INDEX(Technologieën[Veld],MATCH(B584,Technologieën[Digitale zorgtoepassing],0))</f>
        <v>Digitale hulpmiddelen - Verpleging</v>
      </c>
      <c r="B584" s="33" t="s">
        <v>48</v>
      </c>
      <c r="C584" s="33" t="s">
        <v>49</v>
      </c>
      <c r="D584" s="427" cm="1">
        <f t="array" ref="D584">INDEX(Berekening_patiëntaantal[Percentage van patiëntaantallen in Wlz (overige is Zvw)],MATCH(B584,IF(Berekening_patiëntaantal[Doelgroep (zoeksleutel)]=C584,Berekening_patiëntaantal[Digitale zorgtoepassing]),0))</f>
        <v>0.70000000000000007</v>
      </c>
      <c r="E584" s="33" t="str" cm="1">
        <f t="array" ref="E584">INDEX(Berekening_patiëntaantal[Direct toepasbaar/extrapolatie/incidentie voor QALY],MATCH(B584,IF(Berekening_patiëntaantal[Doelgroep (zoeksleutel)]=C584,Berekening_patiëntaantal[Digitale zorgtoepassing]),0))</f>
        <v>Huidige toepassing</v>
      </c>
      <c r="F584" s="43" t="s">
        <v>812</v>
      </c>
      <c r="G584" s="33" t="str">
        <f>CONCATENATE(uitkomst_doelgroep[[#This Row],[Digitale zorgtoepassing]],"_",uitkomst_doelgroep[[#This Row],[Doelgroep]],"_",uitkomst_doelgroep[[#This Row],[Uitgangssituatie/effect beleid]])</f>
        <v>Steunkousen technologie_Steunkousen_Effect beleid</v>
      </c>
      <c r="H584" s="33">
        <v>2030</v>
      </c>
      <c r="I584" s="32">
        <v>8</v>
      </c>
      <c r="J584" s="406" cm="1">
        <f t="array" ref="J584">INDEX(implementatie[[2023]:[2034]],MATCH(G584, implementatie[Zoeksleutel],0),I584)</f>
        <v>0.91038890221593549</v>
      </c>
      <c r="K584" s="406" cm="1">
        <f t="array" ref="K584">INDEX(implementatie[[2023]:[2034]],MATCH(G584,implementatie[Zoeksleutel],0),I584 + 1)</f>
        <v>0.94934060668263687</v>
      </c>
      <c r="L58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87397.334612729814</v>
      </c>
      <c r="M584" s="398" cm="1">
        <f t="array" ref="M584">J584*INDEX(Berekening_impact[Totaal arbeidsbesparing (€/jaar)],MATCH(B584,IF(Berekening_impact[Doelgroep]=C584,Berekening_impact[Digitale zorgtoepassing]),0))</f>
        <v>146096074.26695439</v>
      </c>
      <c r="N584" s="397" cm="1">
        <f t="array" ref="N584">J584*INDEX(Berekening_impact[Totaal arbeidsbesparing (FTE/jaar)],MATCH(B584,IF(Berekening_impact[Doelgroep]=C584,Berekening_impact[Digitale zorgtoepassing]),0))</f>
        <v>3441.2700503762362</v>
      </c>
      <c r="O584" s="398" cm="1">
        <f t="array" ref="O584">J584*INDEX(Berekening_impact[Overige kostenbesparing (totaal/jaar totaal potentieel)],MATCH(B584,IF(Berekening_impact[Doelgroep]=C584,Berekening_impact[Digitale zorgtoepassing]),0))</f>
        <v>20357649.692936268</v>
      </c>
      <c r="P584" s="398" cm="1">
        <f t="array" ref="P584">J584*INDEX(Berekening_impact[Opbrengsten door QALY''s],MATCH(B584,IF(Berekening_impact[Doelgroep]=C584,Berekening_impact[Digitale zorgtoepassing]),0))</f>
        <v>0</v>
      </c>
      <c r="Q584" s="398" cm="1">
        <f t="array" ref="Q584">J584*INDEX(Berekening_impact[Jaarlijkse kosten (totaal) - incl. schatting],MATCH(B584,IF(Berekening_impact[Doelgroep]=C584,Berekening_impact[Digitale zorgtoepassing]),0))</f>
        <v>0</v>
      </c>
      <c r="R584" s="398" cm="1">
        <f t="array" ref="R584">(uitkomst_doelgroep[[#This Row],[Implementatiegraad t = T + 1]]-uitkomst_doelgroep[[#This Row],[Implementatiegraad t = T]])*INDEX(Berekening_impact[Initiële investering (totaal) - incl. schatting],MATCH(B584,IF(Berekening_impact[Doelgroep]=C584,Berekening_impact[Digitale zorgtoepassing]),0))</f>
        <v>3346730.4477789821</v>
      </c>
      <c r="S584" s="398">
        <f>uitkomst_doelgroep[[#This Row],[Arbeidsbesparing (€)]]*uitkomst_doelgroep[[#This Row],[Percentage van patiëntaantallen in Wlz (overige is Zvw)]]</f>
        <v>102267251.98686808</v>
      </c>
      <c r="T584" s="398">
        <f>uitkomst_doelgroep[[#This Row],[Overige besparingen (€)]]*uitkomst_doelgroep[[#This Row],[Percentage van patiëntaantallen in Wlz (overige is Zvw)]]</f>
        <v>14250354.78505539</v>
      </c>
      <c r="U584" s="398">
        <f>uitkomst_doelgroep[[#This Row],[Kosten (€)]]*uitkomst_doelgroep[[#This Row],[Percentage van patiëntaantallen in Wlz (overige is Zvw)]]</f>
        <v>0</v>
      </c>
      <c r="V584" s="398">
        <f>uitkomst_doelgroep[[#This Row],[Investering (cash flow) (€)]]*uitkomst_doelgroep[[#This Row],[Percentage van patiëntaantallen in Wlz (overige is Zvw)]]</f>
        <v>2342711.3134452878</v>
      </c>
    </row>
    <row r="585" spans="1:22" x14ac:dyDescent="0.5">
      <c r="A585" s="33" t="str">
        <f>INDEX(Technologieën[Veld],MATCH(B585,Technologieën[Digitale zorgtoepassing],0))</f>
        <v>Digitale hulpmiddelen - Verpleging</v>
      </c>
      <c r="B585" s="33" t="s">
        <v>48</v>
      </c>
      <c r="C585" s="33" t="s">
        <v>49</v>
      </c>
      <c r="D585" s="427" cm="1">
        <f t="array" ref="D585">INDEX(Berekening_patiëntaantal[Percentage van patiëntaantallen in Wlz (overige is Zvw)],MATCH(B585,IF(Berekening_patiëntaantal[Doelgroep (zoeksleutel)]=C585,Berekening_patiëntaantal[Digitale zorgtoepassing]),0))</f>
        <v>0.70000000000000007</v>
      </c>
      <c r="E585" s="33" t="str" cm="1">
        <f t="array" ref="E585">INDEX(Berekening_patiëntaantal[Direct toepasbaar/extrapolatie/incidentie voor QALY],MATCH(B585,IF(Berekening_patiëntaantal[Doelgroep (zoeksleutel)]=C585,Berekening_patiëntaantal[Digitale zorgtoepassing]),0))</f>
        <v>Huidige toepassing</v>
      </c>
      <c r="F585" s="43" t="s">
        <v>812</v>
      </c>
      <c r="G585" s="33" t="str">
        <f>CONCATENATE(uitkomst_doelgroep[[#This Row],[Digitale zorgtoepassing]],"_",uitkomst_doelgroep[[#This Row],[Doelgroep]],"_",uitkomst_doelgroep[[#This Row],[Uitgangssituatie/effect beleid]])</f>
        <v>Steunkousen technologie_Steunkousen_Effect beleid</v>
      </c>
      <c r="H585" s="33">
        <v>2031</v>
      </c>
      <c r="I585" s="32">
        <v>9</v>
      </c>
      <c r="J585" s="406" cm="1">
        <f t="array" ref="J585">INDEX(implementatie[[2023]:[2034]],MATCH(G585, implementatie[Zoeksleutel],0),I585)</f>
        <v>0.94934060668263687</v>
      </c>
      <c r="K585" s="406" cm="1">
        <f t="array" ref="K585">INDEX(implementatie[[2023]:[2034]],MATCH(G585,implementatie[Zoeksleutel],0),I585 + 1)</f>
        <v>0.9722489501493069</v>
      </c>
      <c r="L58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91136.698241533144</v>
      </c>
      <c r="M585" s="398" cm="1">
        <f t="array" ref="M585">J585*INDEX(Berekening_impact[Totaal arbeidsbesparing (€/jaar)],MATCH(B585,IF(Berekening_impact[Doelgroep]=C585,Berekening_impact[Digitale zorgtoepassing]),0))</f>
        <v>152346909.59100133</v>
      </c>
      <c r="N585" s="397" cm="1">
        <f t="array" ref="N585">J585*INDEX(Berekening_impact[Totaal arbeidsbesparing (FTE/jaar)],MATCH(B585,IF(Berekening_impact[Doelgroep]=C585,Berekening_impact[Digitale zorgtoepassing]),0))</f>
        <v>3588.5074932603675</v>
      </c>
      <c r="O585" s="398" cm="1">
        <f t="array" ref="O585">J585*INDEX(Berekening_impact[Overige kostenbesparing (totaal/jaar totaal potentieel)],MATCH(B585,IF(Berekening_impact[Doelgroep]=C585,Berekening_impact[Digitale zorgtoepassing]),0))</f>
        <v>21228667.729893625</v>
      </c>
      <c r="P585" s="398" cm="1">
        <f t="array" ref="P585">J585*INDEX(Berekening_impact[Opbrengsten door QALY''s],MATCH(B585,IF(Berekening_impact[Doelgroep]=C585,Berekening_impact[Digitale zorgtoepassing]),0))</f>
        <v>0</v>
      </c>
      <c r="Q585" s="398" cm="1">
        <f t="array" ref="Q585">J585*INDEX(Berekening_impact[Jaarlijkse kosten (totaal) - incl. schatting],MATCH(B585,IF(Berekening_impact[Doelgroep]=C585,Berekening_impact[Digitale zorgtoepassing]),0))</f>
        <v>0</v>
      </c>
      <c r="R585" s="398" cm="1">
        <f t="array" ref="R585">(uitkomst_doelgroep[[#This Row],[Implementatiegraad t = T + 1]]-uitkomst_doelgroep[[#This Row],[Implementatiegraad t = T]])*INDEX(Berekening_impact[Initiële investering (totaal) - incl. schatting],MATCH(B585,IF(Berekening_impact[Doelgroep]=C585,Berekening_impact[Digitale zorgtoepassing]),0))</f>
        <v>1968284.8706562894</v>
      </c>
      <c r="S585" s="398">
        <f>uitkomst_doelgroep[[#This Row],[Arbeidsbesparing (€)]]*uitkomst_doelgroep[[#This Row],[Percentage van patiëntaantallen in Wlz (overige is Zvw)]]</f>
        <v>106642836.71370094</v>
      </c>
      <c r="T585" s="398">
        <f>uitkomst_doelgroep[[#This Row],[Overige besparingen (€)]]*uitkomst_doelgroep[[#This Row],[Percentage van patiëntaantallen in Wlz (overige is Zvw)]]</f>
        <v>14860067.410925539</v>
      </c>
      <c r="U585" s="398">
        <f>uitkomst_doelgroep[[#This Row],[Kosten (€)]]*uitkomst_doelgroep[[#This Row],[Percentage van patiëntaantallen in Wlz (overige is Zvw)]]</f>
        <v>0</v>
      </c>
      <c r="V585" s="398">
        <f>uitkomst_doelgroep[[#This Row],[Investering (cash flow) (€)]]*uitkomst_doelgroep[[#This Row],[Percentage van patiëntaantallen in Wlz (overige is Zvw)]]</f>
        <v>1377799.4094594028</v>
      </c>
    </row>
    <row r="586" spans="1:22" x14ac:dyDescent="0.5">
      <c r="A586" s="33" t="str">
        <f>INDEX(Technologieën[Veld],MATCH(B586,Technologieën[Digitale zorgtoepassing],0))</f>
        <v>Digitale hulpmiddelen - Verpleging</v>
      </c>
      <c r="B586" s="33" t="s">
        <v>48</v>
      </c>
      <c r="C586" s="33" t="s">
        <v>49</v>
      </c>
      <c r="D586" s="427" cm="1">
        <f t="array" ref="D586">INDEX(Berekening_patiëntaantal[Percentage van patiëntaantallen in Wlz (overige is Zvw)],MATCH(B586,IF(Berekening_patiëntaantal[Doelgroep (zoeksleutel)]=C586,Berekening_patiëntaantal[Digitale zorgtoepassing]),0))</f>
        <v>0.70000000000000007</v>
      </c>
      <c r="E586" s="33" t="str" cm="1">
        <f t="array" ref="E586">INDEX(Berekening_patiëntaantal[Direct toepasbaar/extrapolatie/incidentie voor QALY],MATCH(B586,IF(Berekening_patiëntaantal[Doelgroep (zoeksleutel)]=C586,Berekening_patiëntaantal[Digitale zorgtoepassing]),0))</f>
        <v>Huidige toepassing</v>
      </c>
      <c r="F586" s="43" t="s">
        <v>812</v>
      </c>
      <c r="G586" s="33" t="str">
        <f>CONCATENATE(uitkomst_doelgroep[[#This Row],[Digitale zorgtoepassing]],"_",uitkomst_doelgroep[[#This Row],[Doelgroep]],"_",uitkomst_doelgroep[[#This Row],[Uitgangssituatie/effect beleid]])</f>
        <v>Steunkousen technologie_Steunkousen_Effect beleid</v>
      </c>
      <c r="H586" s="33">
        <v>2032</v>
      </c>
      <c r="I586" s="32">
        <v>10</v>
      </c>
      <c r="J586" s="406" cm="1">
        <f t="array" ref="J586">INDEX(implementatie[[2023]:[2034]],MATCH(G586, implementatie[Zoeksleutel],0),I586)</f>
        <v>0.9722489501493069</v>
      </c>
      <c r="K586" s="406" cm="1">
        <f t="array" ref="K586">INDEX(implementatie[[2023]:[2034]],MATCH(G586,implementatie[Zoeksleutel],0),I586 + 1)</f>
        <v>0.98508414448286907</v>
      </c>
      <c r="L58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93335.899214333462</v>
      </c>
      <c r="M586" s="398" cm="1">
        <f t="array" ref="M586">J586*INDEX(Berekening_impact[Totaal arbeidsbesparing (€/jaar)],MATCH(B586,IF(Berekening_impact[Doelgroep]=C586,Berekening_impact[Digitale zorgtoepassing]),0))</f>
        <v>156023161.61944014</v>
      </c>
      <c r="N586" s="397" cm="1">
        <f t="array" ref="N586">J586*INDEX(Berekening_impact[Totaal arbeidsbesparing (FTE/jaar)],MATCH(B586,IF(Berekening_impact[Doelgroep]=C586,Berekening_impact[Digitale zorgtoepassing]),0))</f>
        <v>3675.1010315643803</v>
      </c>
      <c r="O586" s="398" cm="1">
        <f t="array" ref="O586">J586*INDEX(Berekening_impact[Overige kostenbesparing (totaal/jaar totaal potentieel)],MATCH(B586,IF(Berekening_impact[Doelgroep]=C586,Berekening_impact[Digitale zorgtoepassing]),0))</f>
        <v>21740932.356807228</v>
      </c>
      <c r="P586" s="398" cm="1">
        <f t="array" ref="P586">J586*INDEX(Berekening_impact[Opbrengsten door QALY''s],MATCH(B586,IF(Berekening_impact[Doelgroep]=C586,Berekening_impact[Digitale zorgtoepassing]),0))</f>
        <v>0</v>
      </c>
      <c r="Q586" s="398" cm="1">
        <f t="array" ref="Q586">J586*INDEX(Berekening_impact[Jaarlijkse kosten (totaal) - incl. schatting],MATCH(B586,IF(Berekening_impact[Doelgroep]=C586,Berekening_impact[Digitale zorgtoepassing]),0))</f>
        <v>0</v>
      </c>
      <c r="R586" s="398" cm="1">
        <f t="array" ref="R586">(uitkomst_doelgroep[[#This Row],[Implementatiegraad t = T + 1]]-uitkomst_doelgroep[[#This Row],[Implementatiegraad t = T]])*INDEX(Berekening_impact[Initiële investering (totaal) - incl. schatting],MATCH(B586,IF(Berekening_impact[Doelgroep]=C586,Berekening_impact[Digitale zorgtoepassing]),0))</f>
        <v>1102799.8971396617</v>
      </c>
      <c r="S586" s="398">
        <f>uitkomst_doelgroep[[#This Row],[Arbeidsbesparing (€)]]*uitkomst_doelgroep[[#This Row],[Percentage van patiëntaantallen in Wlz (overige is Zvw)]]</f>
        <v>109216213.1336081</v>
      </c>
      <c r="T586" s="398">
        <f>uitkomst_doelgroep[[#This Row],[Overige besparingen (€)]]*uitkomst_doelgroep[[#This Row],[Percentage van patiëntaantallen in Wlz (overige is Zvw)]]</f>
        <v>15218652.649765061</v>
      </c>
      <c r="U586" s="398">
        <f>uitkomst_doelgroep[[#This Row],[Kosten (€)]]*uitkomst_doelgroep[[#This Row],[Percentage van patiëntaantallen in Wlz (overige is Zvw)]]</f>
        <v>0</v>
      </c>
      <c r="V586" s="398">
        <f>uitkomst_doelgroep[[#This Row],[Investering (cash flow) (€)]]*uitkomst_doelgroep[[#This Row],[Percentage van patiëntaantallen in Wlz (overige is Zvw)]]</f>
        <v>771959.92799776327</v>
      </c>
    </row>
    <row r="587" spans="1:22" x14ac:dyDescent="0.5">
      <c r="A587" s="33" t="str">
        <f>INDEX(Technologieën[Veld],MATCH(B587,Technologieën[Digitale zorgtoepassing],0))</f>
        <v>Digitale hulpmiddelen - Verpleging</v>
      </c>
      <c r="B587" s="33" t="s">
        <v>48</v>
      </c>
      <c r="C587" s="33" t="s">
        <v>49</v>
      </c>
      <c r="D587" s="427" cm="1">
        <f t="array" ref="D587">INDEX(Berekening_patiëntaantal[Percentage van patiëntaantallen in Wlz (overige is Zvw)],MATCH(B587,IF(Berekening_patiëntaantal[Doelgroep (zoeksleutel)]=C587,Berekening_patiëntaantal[Digitale zorgtoepassing]),0))</f>
        <v>0.70000000000000007</v>
      </c>
      <c r="E587" s="33" t="str" cm="1">
        <f t="array" ref="E587">INDEX(Berekening_patiëntaantal[Direct toepasbaar/extrapolatie/incidentie voor QALY],MATCH(B587,IF(Berekening_patiëntaantal[Doelgroep (zoeksleutel)]=C587,Berekening_patiëntaantal[Digitale zorgtoepassing]),0))</f>
        <v>Huidige toepassing</v>
      </c>
      <c r="F587" s="43" t="s">
        <v>812</v>
      </c>
      <c r="G587" s="33" t="str">
        <f>CONCATENATE(uitkomst_doelgroep[[#This Row],[Digitale zorgtoepassing]],"_",uitkomst_doelgroep[[#This Row],[Doelgroep]],"_",uitkomst_doelgroep[[#This Row],[Uitgangssituatie/effect beleid]])</f>
        <v>Steunkousen technologie_Steunkousen_Effect beleid</v>
      </c>
      <c r="H587" s="33">
        <v>2033</v>
      </c>
      <c r="I587" s="32">
        <v>11</v>
      </c>
      <c r="J587" s="406" cm="1">
        <f t="array" ref="J587">INDEX(implementatie[[2023]:[2034]],MATCH(G587, implementatie[Zoeksleutel],0),I587)</f>
        <v>0.98508414448286907</v>
      </c>
      <c r="K587" s="406" cm="1">
        <f t="array" ref="K587">INDEX(implementatie[[2023]:[2034]],MATCH(G587,implementatie[Zoeksleutel],0),I587 + 1)</f>
        <v>0.99206905861789263</v>
      </c>
      <c r="L58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94568.077870355424</v>
      </c>
      <c r="M587" s="398" cm="1">
        <f t="array" ref="M587">J587*INDEX(Berekening_impact[Totaal arbeidsbesparing (€/jaar)],MATCH(B587,IF(Berekening_impact[Doelgroep]=C587,Berekening_impact[Digitale zorgtoepassing]),0))</f>
        <v>158082909.38220683</v>
      </c>
      <c r="N587" s="397" cm="1">
        <f t="array" ref="N587">J587*INDEX(Berekening_impact[Totaal arbeidsbesparing (FTE/jaar)],MATCH(B587,IF(Berekening_impact[Doelgroep]=C587,Berekening_impact[Digitale zorgtoepassing]),0))</f>
        <v>3723.6180661452449</v>
      </c>
      <c r="O587" s="398" cm="1">
        <f t="array" ref="O587">J587*INDEX(Berekening_impact[Overige kostenbesparing (totaal/jaar totaal potentieel)],MATCH(B587,IF(Berekening_impact[Doelgroep]=C587,Berekening_impact[Digitale zorgtoepassing]),0))</f>
        <v>22027946.389323898</v>
      </c>
      <c r="P587" s="398" cm="1">
        <f t="array" ref="P587">J587*INDEX(Berekening_impact[Opbrengsten door QALY''s],MATCH(B587,IF(Berekening_impact[Doelgroep]=C587,Berekening_impact[Digitale zorgtoepassing]),0))</f>
        <v>0</v>
      </c>
      <c r="Q587" s="398" cm="1">
        <f t="array" ref="Q587">J587*INDEX(Berekening_impact[Jaarlijkse kosten (totaal) - incl. schatting],MATCH(B587,IF(Berekening_impact[Doelgroep]=C587,Berekening_impact[Digitale zorgtoepassing]),0))</f>
        <v>0</v>
      </c>
      <c r="R587" s="398" cm="1">
        <f t="array" ref="R587">(uitkomst_doelgroep[[#This Row],[Implementatiegraad t = T + 1]]-uitkomst_doelgroep[[#This Row],[Implementatiegraad t = T]])*INDEX(Berekening_impact[Initiële investering (totaal) - incl. schatting],MATCH(B587,IF(Berekening_impact[Doelgroep]=C587,Berekening_impact[Digitale zorgtoepassing]),0))</f>
        <v>600143.82248122396</v>
      </c>
      <c r="S587" s="398">
        <f>uitkomst_doelgroep[[#This Row],[Arbeidsbesparing (€)]]*uitkomst_doelgroep[[#This Row],[Percentage van patiëntaantallen in Wlz (overige is Zvw)]]</f>
        <v>110658036.56754479</v>
      </c>
      <c r="T587" s="398">
        <f>uitkomst_doelgroep[[#This Row],[Overige besparingen (€)]]*uitkomst_doelgroep[[#This Row],[Percentage van patiëntaantallen in Wlz (overige is Zvw)]]</f>
        <v>15419562.472526729</v>
      </c>
      <c r="U587" s="398">
        <f>uitkomst_doelgroep[[#This Row],[Kosten (€)]]*uitkomst_doelgroep[[#This Row],[Percentage van patiëntaantallen in Wlz (overige is Zvw)]]</f>
        <v>0</v>
      </c>
      <c r="V587" s="398">
        <f>uitkomst_doelgroep[[#This Row],[Investering (cash flow) (€)]]*uitkomst_doelgroep[[#This Row],[Percentage van patiëntaantallen in Wlz (overige is Zvw)]]</f>
        <v>420100.67573685682</v>
      </c>
    </row>
    <row r="588" spans="1:22" x14ac:dyDescent="0.5">
      <c r="A588" s="33" t="str">
        <f>INDEX(Technologieën[Veld],MATCH(B588,Technologieën[Digitale zorgtoepassing],0))</f>
        <v>Digitale hulpmiddelen - Verpleging</v>
      </c>
      <c r="B588" s="33" t="s">
        <v>19</v>
      </c>
      <c r="C588" s="33" t="s">
        <v>27</v>
      </c>
      <c r="D588" s="427" cm="1">
        <f t="array" ref="D588">INDEX(Berekening_patiëntaantal[Percentage van patiëntaantallen in Wlz (overige is Zvw)],MATCH(B588,IF(Berekening_patiëntaantal[Doelgroep (zoeksleutel)]=C588,Berekening_patiëntaantal[Digitale zorgtoepassing]),0))</f>
        <v>0.45</v>
      </c>
      <c r="E588" s="33" t="str" cm="1">
        <f t="array" ref="E588">INDEX(Berekening_patiëntaantal[Direct toepasbaar/extrapolatie/incidentie voor QALY],MATCH(B588,IF(Berekening_patiëntaantal[Doelgroep (zoeksleutel)]=C588,Berekening_patiëntaantal[Digitale zorgtoepassing]),0))</f>
        <v>Extrapolatie</v>
      </c>
      <c r="F588" s="43" t="s">
        <v>812</v>
      </c>
      <c r="G588" s="33" t="str">
        <f>CONCATENATE(uitkomst_doelgroep[[#This Row],[Digitale zorgtoepassing]],"_",uitkomst_doelgroep[[#This Row],[Doelgroep]],"_",uitkomst_doelgroep[[#This Row],[Uitgangssituatie/effect beleid]])</f>
        <v>Structuurrobot_Parkinson_Effect beleid</v>
      </c>
      <c r="H588" s="33">
        <v>2023</v>
      </c>
      <c r="I588" s="32">
        <v>1</v>
      </c>
      <c r="J588" s="406" cm="1">
        <f t="array" ref="J588">INDEX(implementatie[[2023]:[2034]],MATCH(G588, implementatie[Zoeksleutel],0),I588)</f>
        <v>0</v>
      </c>
      <c r="K588" s="406" cm="1">
        <f t="array" ref="K588">INDEX(implementatie[[2023]:[2034]],MATCH(G588,implementatie[Zoeksleutel],0),I588 + 1)</f>
        <v>0</v>
      </c>
      <c r="L58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588" s="398" cm="1">
        <f t="array" ref="M588">J588*INDEX(Berekening_impact[Totaal arbeidsbesparing (€/jaar)],MATCH(B588,IF(Berekening_impact[Doelgroep]=C588,Berekening_impact[Digitale zorgtoepassing]),0))</f>
        <v>0</v>
      </c>
      <c r="N588" s="397" cm="1">
        <f t="array" ref="N588">J588*INDEX(Berekening_impact[Totaal arbeidsbesparing (FTE/jaar)],MATCH(B588,IF(Berekening_impact[Doelgroep]=C588,Berekening_impact[Digitale zorgtoepassing]),0))</f>
        <v>0</v>
      </c>
      <c r="O588" s="398" cm="1">
        <f t="array" ref="O588">J588*INDEX(Berekening_impact[Overige kostenbesparing (totaal/jaar totaal potentieel)],MATCH(B588,IF(Berekening_impact[Doelgroep]=C588,Berekening_impact[Digitale zorgtoepassing]),0))</f>
        <v>0</v>
      </c>
      <c r="P588" s="398" cm="1">
        <f t="array" ref="P588">J588*INDEX(Berekening_impact[Opbrengsten door QALY''s],MATCH(B588,IF(Berekening_impact[Doelgroep]=C588,Berekening_impact[Digitale zorgtoepassing]),0))</f>
        <v>0</v>
      </c>
      <c r="Q588" s="398" cm="1">
        <f t="array" ref="Q588">J588*INDEX(Berekening_impact[Jaarlijkse kosten (totaal) - incl. schatting],MATCH(B588,IF(Berekening_impact[Doelgroep]=C588,Berekening_impact[Digitale zorgtoepassing]),0))</f>
        <v>0</v>
      </c>
      <c r="R588" s="398" cm="1">
        <f t="array" ref="R588">(uitkomst_doelgroep[[#This Row],[Implementatiegraad t = T + 1]]-uitkomst_doelgroep[[#This Row],[Implementatiegraad t = T]])*INDEX(Berekening_impact[Initiële investering (totaal) - incl. schatting],MATCH(B588,IF(Berekening_impact[Doelgroep]=C588,Berekening_impact[Digitale zorgtoepassing]),0))</f>
        <v>0</v>
      </c>
      <c r="S588" s="398">
        <f>uitkomst_doelgroep[[#This Row],[Arbeidsbesparing (€)]]*uitkomst_doelgroep[[#This Row],[Percentage van patiëntaantallen in Wlz (overige is Zvw)]]</f>
        <v>0</v>
      </c>
      <c r="T588" s="398">
        <f>uitkomst_doelgroep[[#This Row],[Overige besparingen (€)]]*uitkomst_doelgroep[[#This Row],[Percentage van patiëntaantallen in Wlz (overige is Zvw)]]</f>
        <v>0</v>
      </c>
      <c r="U588" s="398">
        <f>uitkomst_doelgroep[[#This Row],[Kosten (€)]]*uitkomst_doelgroep[[#This Row],[Percentage van patiëntaantallen in Wlz (overige is Zvw)]]</f>
        <v>0</v>
      </c>
      <c r="V588" s="398">
        <f>uitkomst_doelgroep[[#This Row],[Investering (cash flow) (€)]]*uitkomst_doelgroep[[#This Row],[Percentage van patiëntaantallen in Wlz (overige is Zvw)]]</f>
        <v>0</v>
      </c>
    </row>
    <row r="589" spans="1:22" x14ac:dyDescent="0.5">
      <c r="A589" s="33" t="str">
        <f>INDEX(Technologieën[Veld],MATCH(B589,Technologieën[Digitale zorgtoepassing],0))</f>
        <v>Digitale hulpmiddelen - Verpleging</v>
      </c>
      <c r="B589" s="33" t="s">
        <v>19</v>
      </c>
      <c r="C589" s="33" t="s">
        <v>24</v>
      </c>
      <c r="D589" s="427" cm="1">
        <f t="array" ref="D589">INDEX(Berekening_patiëntaantal[Percentage van patiëntaantallen in Wlz (overige is Zvw)],MATCH(B589,IF(Berekening_patiëntaantal[Doelgroep (zoeksleutel)]=C589,Berekening_patiëntaantal[Digitale zorgtoepassing]),0))</f>
        <v>1</v>
      </c>
      <c r="E589" s="33" t="str" cm="1">
        <f t="array" ref="E589">INDEX(Berekening_patiëntaantal[Direct toepasbaar/extrapolatie/incidentie voor QALY],MATCH(B589,IF(Berekening_patiëntaantal[Doelgroep (zoeksleutel)]=C589,Berekening_patiëntaantal[Digitale zorgtoepassing]),0))</f>
        <v>Huidige toepassing</v>
      </c>
      <c r="F589" s="43" t="s">
        <v>812</v>
      </c>
      <c r="G589" s="33" t="str">
        <f>CONCATENATE(uitkomst_doelgroep[[#This Row],[Digitale zorgtoepassing]],"_",uitkomst_doelgroep[[#This Row],[Doelgroep]],"_",uitkomst_doelgroep[[#This Row],[Uitgangssituatie/effect beleid]])</f>
        <v>Structuurrobot_Cognitieve beperking_Effect beleid</v>
      </c>
      <c r="H589" s="33">
        <v>2023</v>
      </c>
      <c r="I589" s="32">
        <v>1</v>
      </c>
      <c r="J589" s="406" cm="1">
        <f t="array" ref="J589">INDEX(implementatie[[2023]:[2034]],MATCH(G589, implementatie[Zoeksleutel],0),I589)</f>
        <v>0.2</v>
      </c>
      <c r="K589" s="406" cm="1">
        <f t="array" ref="K589">INDEX(implementatie[[2023]:[2034]],MATCH(G589,implementatie[Zoeksleutel],0),I589 + 1)</f>
        <v>0.28000000000000003</v>
      </c>
      <c r="L58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2163.3360000000002</v>
      </c>
      <c r="M589" s="398" cm="1">
        <f t="array" ref="M589">J589*INDEX(Berekening_impact[Totaal arbeidsbesparing (€/jaar)],MATCH(B589,IF(Berekening_impact[Doelgroep]=C589,Berekening_impact[Digitale zorgtoepassing]),0))</f>
        <v>2984881.7441075863</v>
      </c>
      <c r="N589" s="397" cm="1">
        <f t="array" ref="N589">J589*INDEX(Berekening_impact[Totaal arbeidsbesparing (FTE/jaar)],MATCH(B589,IF(Berekening_impact[Doelgroep]=C589,Berekening_impact[Digitale zorgtoepassing]),0))</f>
        <v>70.308419999999998</v>
      </c>
      <c r="O589" s="398" cm="1">
        <f t="array" ref="O589">J589*INDEX(Berekening_impact[Overige kostenbesparing (totaal/jaar totaal potentieel)],MATCH(B589,IF(Berekening_impact[Doelgroep]=C589,Berekening_impact[Digitale zorgtoepassing]),0))</f>
        <v>1470165.635157468</v>
      </c>
      <c r="P589" s="398" cm="1">
        <f t="array" ref="P589">J589*INDEX(Berekening_impact[Opbrengsten door QALY''s],MATCH(B589,IF(Berekening_impact[Doelgroep]=C589,Berekening_impact[Digitale zorgtoepassing]),0))</f>
        <v>0</v>
      </c>
      <c r="Q589" s="398" cm="1">
        <f t="array" ref="Q589">J589*INDEX(Berekening_impact[Jaarlijkse kosten (totaal) - incl. schatting],MATCH(B589,IF(Berekening_impact[Doelgroep]=C589,Berekening_impact[Digitale zorgtoepassing]),0))</f>
        <v>1150662.1933799998</v>
      </c>
      <c r="R589" s="398" cm="1">
        <f t="array" ref="R589">(uitkomst_doelgroep[[#This Row],[Implementatiegraad t = T + 1]]-uitkomst_doelgroep[[#This Row],[Implementatiegraad t = T]])*INDEX(Berekening_impact[Initiële investering (totaal) - incl. schatting],MATCH(B589,IF(Berekening_impact[Doelgroep]=C589,Berekening_impact[Digitale zorgtoepassing]),0))</f>
        <v>755070.62400000019</v>
      </c>
      <c r="S589" s="398">
        <f>uitkomst_doelgroep[[#This Row],[Arbeidsbesparing (€)]]*uitkomst_doelgroep[[#This Row],[Percentage van patiëntaantallen in Wlz (overige is Zvw)]]</f>
        <v>2984881.7441075863</v>
      </c>
      <c r="T589" s="398">
        <f>uitkomst_doelgroep[[#This Row],[Overige besparingen (€)]]*uitkomst_doelgroep[[#This Row],[Percentage van patiëntaantallen in Wlz (overige is Zvw)]]</f>
        <v>1470165.635157468</v>
      </c>
      <c r="U589" s="398">
        <f>uitkomst_doelgroep[[#This Row],[Kosten (€)]]*uitkomst_doelgroep[[#This Row],[Percentage van patiëntaantallen in Wlz (overige is Zvw)]]</f>
        <v>1150662.1933799998</v>
      </c>
      <c r="V589" s="398">
        <f>uitkomst_doelgroep[[#This Row],[Investering (cash flow) (€)]]*uitkomst_doelgroep[[#This Row],[Percentage van patiëntaantallen in Wlz (overige is Zvw)]]</f>
        <v>755070.62400000019</v>
      </c>
    </row>
    <row r="590" spans="1:22" x14ac:dyDescent="0.5">
      <c r="A590" s="33" t="str">
        <f>INDEX(Technologieën[Veld],MATCH(B590,Technologieën[Digitale zorgtoepassing],0))</f>
        <v>Digitale hulpmiddelen - Verpleging</v>
      </c>
      <c r="B590" s="33" t="s">
        <v>19</v>
      </c>
      <c r="C590" s="33" t="s">
        <v>20</v>
      </c>
      <c r="D590" s="427" cm="1">
        <f t="array" ref="D590">INDEX(Berekening_patiëntaantal[Percentage van patiëntaantallen in Wlz (overige is Zvw)],MATCH(B590,IF(Berekening_patiëntaantal[Doelgroep (zoeksleutel)]=C590,Berekening_patiëntaantal[Digitale zorgtoepassing]),0))</f>
        <v>1</v>
      </c>
      <c r="E590" s="33" t="str" cm="1">
        <f t="array" ref="E590">INDEX(Berekening_patiëntaantal[Direct toepasbaar/extrapolatie/incidentie voor QALY],MATCH(B590,IF(Berekening_patiëntaantal[Doelgroep (zoeksleutel)]=C590,Berekening_patiëntaantal[Digitale zorgtoepassing]),0))</f>
        <v>Huidige toepassing</v>
      </c>
      <c r="F590" s="43" t="s">
        <v>812</v>
      </c>
      <c r="G590" s="33" t="str">
        <f>CONCATENATE(uitkomst_doelgroep[[#This Row],[Digitale zorgtoepassing]],"_",uitkomst_doelgroep[[#This Row],[Doelgroep]],"_",uitkomst_doelgroep[[#This Row],[Uitgangssituatie/effect beleid]])</f>
        <v>Structuurrobot_Dementie_Effect beleid</v>
      </c>
      <c r="H590" s="33">
        <v>2023</v>
      </c>
      <c r="I590" s="32">
        <v>1</v>
      </c>
      <c r="J590" s="406" cm="1">
        <f t="array" ref="J590">INDEX(implementatie[[2023]:[2034]],MATCH(G590, implementatie[Zoeksleutel],0),I590)</f>
        <v>0.2</v>
      </c>
      <c r="K590" s="406" cm="1">
        <f t="array" ref="K590">INDEX(implementatie[[2023]:[2034]],MATCH(G590,implementatie[Zoeksleutel],0),I590 + 1)</f>
        <v>0.28000000000000003</v>
      </c>
      <c r="L59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4885.05</v>
      </c>
      <c r="M590" s="398" cm="1">
        <f t="array" ref="M590">J590*INDEX(Berekening_impact[Totaal arbeidsbesparing (€/jaar)],MATCH(B590,IF(Berekening_impact[Doelgroep]=C590,Berekening_impact[Digitale zorgtoepassing]),0))</f>
        <v>6740190.4115000013</v>
      </c>
      <c r="N590" s="397" cm="1">
        <f t="array" ref="N590">J590*INDEX(Berekening_impact[Totaal arbeidsbesparing (FTE/jaar)],MATCH(B590,IF(Berekening_impact[Doelgroep]=C590,Berekening_impact[Digitale zorgtoepassing]),0))</f>
        <v>158.76412500000004</v>
      </c>
      <c r="O590" s="398" cm="1">
        <f t="array" ref="O590">J590*INDEX(Berekening_impact[Overige kostenbesparing (totaal/jaar totaal potentieel)],MATCH(B590,IF(Berekening_impact[Doelgroep]=C590,Berekening_impact[Digitale zorgtoepassing]),0))</f>
        <v>3319795.2773059704</v>
      </c>
      <c r="P590" s="398" cm="1">
        <f t="array" ref="P590">J590*INDEX(Berekening_impact[Opbrengsten door QALY''s],MATCH(B590,IF(Berekening_impact[Doelgroep]=C590,Berekening_impact[Digitale zorgtoepassing]),0))</f>
        <v>0</v>
      </c>
      <c r="Q590" s="398" cm="1">
        <f t="array" ref="Q590">J590*INDEX(Berekening_impact[Jaarlijkse kosten (totaal) - incl. schatting],MATCH(B590,IF(Berekening_impact[Doelgroep]=C590,Berekening_impact[Digitale zorgtoepassing]),0))</f>
        <v>2598321.4571249997</v>
      </c>
      <c r="R590" s="398" cm="1">
        <f t="array" ref="R590">(uitkomst_doelgroep[[#This Row],[Implementatiegraad t = T + 1]]-uitkomst_doelgroep[[#This Row],[Implementatiegraad t = T]])*INDEX(Berekening_impact[Initiële investering (totaal) - incl. schatting],MATCH(B590,IF(Berekening_impact[Doelgroep]=C590,Berekening_impact[Digitale zorgtoepassing]),0))</f>
        <v>1536151.7000000002</v>
      </c>
      <c r="S590" s="398">
        <f>uitkomst_doelgroep[[#This Row],[Arbeidsbesparing (€)]]*uitkomst_doelgroep[[#This Row],[Percentage van patiëntaantallen in Wlz (overige is Zvw)]]</f>
        <v>6740190.4115000013</v>
      </c>
      <c r="T590" s="398">
        <f>uitkomst_doelgroep[[#This Row],[Overige besparingen (€)]]*uitkomst_doelgroep[[#This Row],[Percentage van patiëntaantallen in Wlz (overige is Zvw)]]</f>
        <v>3319795.2773059704</v>
      </c>
      <c r="U590" s="398">
        <f>uitkomst_doelgroep[[#This Row],[Kosten (€)]]*uitkomst_doelgroep[[#This Row],[Percentage van patiëntaantallen in Wlz (overige is Zvw)]]</f>
        <v>2598321.4571249997</v>
      </c>
      <c r="V590" s="398">
        <f>uitkomst_doelgroep[[#This Row],[Investering (cash flow) (€)]]*uitkomst_doelgroep[[#This Row],[Percentage van patiëntaantallen in Wlz (overige is Zvw)]]</f>
        <v>1536151.7000000002</v>
      </c>
    </row>
    <row r="591" spans="1:22" x14ac:dyDescent="0.5">
      <c r="A591" s="33" t="str">
        <f>INDEX(Technologieën[Veld],MATCH(B591,Technologieën[Digitale zorgtoepassing],0))</f>
        <v>Digitale hulpmiddelen - Verpleging</v>
      </c>
      <c r="B591" s="33" t="s">
        <v>19</v>
      </c>
      <c r="C591" s="33" t="s">
        <v>27</v>
      </c>
      <c r="D591" s="427" cm="1">
        <f t="array" ref="D591">INDEX(Berekening_patiëntaantal[Percentage van patiëntaantallen in Wlz (overige is Zvw)],MATCH(B591,IF(Berekening_patiëntaantal[Doelgroep (zoeksleutel)]=C591,Berekening_patiëntaantal[Digitale zorgtoepassing]),0))</f>
        <v>0.45</v>
      </c>
      <c r="E591" s="33" t="str" cm="1">
        <f t="array" ref="E591">INDEX(Berekening_patiëntaantal[Direct toepasbaar/extrapolatie/incidentie voor QALY],MATCH(B591,IF(Berekening_patiëntaantal[Doelgroep (zoeksleutel)]=C591,Berekening_patiëntaantal[Digitale zorgtoepassing]),0))</f>
        <v>Extrapolatie</v>
      </c>
      <c r="F591" s="43" t="s">
        <v>812</v>
      </c>
      <c r="G591" s="33" t="str">
        <f>CONCATENATE(uitkomst_doelgroep[[#This Row],[Digitale zorgtoepassing]],"_",uitkomst_doelgroep[[#This Row],[Doelgroep]],"_",uitkomst_doelgroep[[#This Row],[Uitgangssituatie/effect beleid]])</f>
        <v>Structuurrobot_Parkinson_Effect beleid</v>
      </c>
      <c r="H591" s="33">
        <v>2024</v>
      </c>
      <c r="I591" s="32">
        <v>2</v>
      </c>
      <c r="J591" s="406" cm="1">
        <f t="array" ref="J591">INDEX(implementatie[[2023]:[2034]],MATCH(G591, implementatie[Zoeksleutel],0),I591)</f>
        <v>0</v>
      </c>
      <c r="K591" s="406" cm="1">
        <f t="array" ref="K591">INDEX(implementatie[[2023]:[2034]],MATCH(G591,implementatie[Zoeksleutel],0),I591 + 1)</f>
        <v>0.02</v>
      </c>
      <c r="L59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591" s="398" cm="1">
        <f t="array" ref="M591">J591*INDEX(Berekening_impact[Totaal arbeidsbesparing (€/jaar)],MATCH(B591,IF(Berekening_impact[Doelgroep]=C591,Berekening_impact[Digitale zorgtoepassing]),0))</f>
        <v>0</v>
      </c>
      <c r="N591" s="397" cm="1">
        <f t="array" ref="N591">J591*INDEX(Berekening_impact[Totaal arbeidsbesparing (FTE/jaar)],MATCH(B591,IF(Berekening_impact[Doelgroep]=C591,Berekening_impact[Digitale zorgtoepassing]),0))</f>
        <v>0</v>
      </c>
      <c r="O591" s="398" cm="1">
        <f t="array" ref="O591">J591*INDEX(Berekening_impact[Overige kostenbesparing (totaal/jaar totaal potentieel)],MATCH(B591,IF(Berekening_impact[Doelgroep]=C591,Berekening_impact[Digitale zorgtoepassing]),0))</f>
        <v>0</v>
      </c>
      <c r="P591" s="398" cm="1">
        <f t="array" ref="P591">J591*INDEX(Berekening_impact[Opbrengsten door QALY''s],MATCH(B591,IF(Berekening_impact[Doelgroep]=C591,Berekening_impact[Digitale zorgtoepassing]),0))</f>
        <v>0</v>
      </c>
      <c r="Q591" s="398" cm="1">
        <f t="array" ref="Q591">J591*INDEX(Berekening_impact[Jaarlijkse kosten (totaal) - incl. schatting],MATCH(B591,IF(Berekening_impact[Doelgroep]=C591,Berekening_impact[Digitale zorgtoepassing]),0))</f>
        <v>0</v>
      </c>
      <c r="R591" s="398" cm="1">
        <f t="array" ref="R591">(uitkomst_doelgroep[[#This Row],[Implementatiegraad t = T + 1]]-uitkomst_doelgroep[[#This Row],[Implementatiegraad t = T]])*INDEX(Berekening_impact[Initiële investering (totaal) - incl. schatting],MATCH(B591,IF(Berekening_impact[Doelgroep]=C591,Berekening_impact[Digitale zorgtoepassing]),0))</f>
        <v>0</v>
      </c>
      <c r="S591" s="398">
        <f>uitkomst_doelgroep[[#This Row],[Arbeidsbesparing (€)]]*uitkomst_doelgroep[[#This Row],[Percentage van patiëntaantallen in Wlz (overige is Zvw)]]</f>
        <v>0</v>
      </c>
      <c r="T591" s="398">
        <f>uitkomst_doelgroep[[#This Row],[Overige besparingen (€)]]*uitkomst_doelgroep[[#This Row],[Percentage van patiëntaantallen in Wlz (overige is Zvw)]]</f>
        <v>0</v>
      </c>
      <c r="U591" s="398">
        <f>uitkomst_doelgroep[[#This Row],[Kosten (€)]]*uitkomst_doelgroep[[#This Row],[Percentage van patiëntaantallen in Wlz (overige is Zvw)]]</f>
        <v>0</v>
      </c>
      <c r="V591" s="398">
        <f>uitkomst_doelgroep[[#This Row],[Investering (cash flow) (€)]]*uitkomst_doelgroep[[#This Row],[Percentage van patiëntaantallen in Wlz (overige is Zvw)]]</f>
        <v>0</v>
      </c>
    </row>
    <row r="592" spans="1:22" x14ac:dyDescent="0.5">
      <c r="A592" s="33" t="str">
        <f>INDEX(Technologieën[Veld],MATCH(B592,Technologieën[Digitale zorgtoepassing],0))</f>
        <v>Digitale hulpmiddelen - Verpleging</v>
      </c>
      <c r="B592" s="33" t="s">
        <v>19</v>
      </c>
      <c r="C592" s="33" t="s">
        <v>24</v>
      </c>
      <c r="D592" s="427" cm="1">
        <f t="array" ref="D592">INDEX(Berekening_patiëntaantal[Percentage van patiëntaantallen in Wlz (overige is Zvw)],MATCH(B592,IF(Berekening_patiëntaantal[Doelgroep (zoeksleutel)]=C592,Berekening_patiëntaantal[Digitale zorgtoepassing]),0))</f>
        <v>1</v>
      </c>
      <c r="E592" s="33" t="str" cm="1">
        <f t="array" ref="E592">INDEX(Berekening_patiëntaantal[Direct toepasbaar/extrapolatie/incidentie voor QALY],MATCH(B592,IF(Berekening_patiëntaantal[Doelgroep (zoeksleutel)]=C592,Berekening_patiëntaantal[Digitale zorgtoepassing]),0))</f>
        <v>Huidige toepassing</v>
      </c>
      <c r="F592" s="43" t="s">
        <v>812</v>
      </c>
      <c r="G592" s="33" t="str">
        <f>CONCATENATE(uitkomst_doelgroep[[#This Row],[Digitale zorgtoepassing]],"_",uitkomst_doelgroep[[#This Row],[Doelgroep]],"_",uitkomst_doelgroep[[#This Row],[Uitgangssituatie/effect beleid]])</f>
        <v>Structuurrobot_Cognitieve beperking_Effect beleid</v>
      </c>
      <c r="H592" s="33">
        <v>2024</v>
      </c>
      <c r="I592" s="32">
        <v>2</v>
      </c>
      <c r="J592" s="406" cm="1">
        <f t="array" ref="J592">INDEX(implementatie[[2023]:[2034]],MATCH(G592, implementatie[Zoeksleutel],0),I592)</f>
        <v>0.28000000000000003</v>
      </c>
      <c r="K592" s="406" cm="1">
        <f t="array" ref="K592">INDEX(implementatie[[2023]:[2034]],MATCH(G592,implementatie[Zoeksleutel],0),I592 + 1)</f>
        <v>0.37504000000000004</v>
      </c>
      <c r="L59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3028.6704000000004</v>
      </c>
      <c r="M592" s="398" cm="1">
        <f t="array" ref="M592">J592*INDEX(Berekening_impact[Totaal arbeidsbesparing (€/jaar)],MATCH(B592,IF(Berekening_impact[Doelgroep]=C592,Berekening_impact[Digitale zorgtoepassing]),0))</f>
        <v>4178834.441750621</v>
      </c>
      <c r="N592" s="397" cm="1">
        <f t="array" ref="N592">J592*INDEX(Berekening_impact[Totaal arbeidsbesparing (FTE/jaar)],MATCH(B592,IF(Berekening_impact[Doelgroep]=C592,Berekening_impact[Digitale zorgtoepassing]),0))</f>
        <v>98.431788000000012</v>
      </c>
      <c r="O592" s="398" cm="1">
        <f t="array" ref="O592">J592*INDEX(Berekening_impact[Overige kostenbesparing (totaal/jaar totaal potentieel)],MATCH(B592,IF(Berekening_impact[Doelgroep]=C592,Berekening_impact[Digitale zorgtoepassing]),0))</f>
        <v>2058231.8892204554</v>
      </c>
      <c r="P592" s="398" cm="1">
        <f t="array" ref="P592">J592*INDEX(Berekening_impact[Opbrengsten door QALY''s],MATCH(B592,IF(Berekening_impact[Doelgroep]=C592,Berekening_impact[Digitale zorgtoepassing]),0))</f>
        <v>0</v>
      </c>
      <c r="Q592" s="398" cm="1">
        <f t="array" ref="Q592">J592*INDEX(Berekening_impact[Jaarlijkse kosten (totaal) - incl. schatting],MATCH(B592,IF(Berekening_impact[Doelgroep]=C592,Berekening_impact[Digitale zorgtoepassing]),0))</f>
        <v>1610927.0707320001</v>
      </c>
      <c r="R592" s="398" cm="1">
        <f t="array" ref="R592">(uitkomst_doelgroep[[#This Row],[Implementatiegraad t = T + 1]]-uitkomst_doelgroep[[#This Row],[Implementatiegraad t = T]])*INDEX(Berekening_impact[Initiële investering (totaal) - incl. schatting],MATCH(B592,IF(Berekening_impact[Doelgroep]=C592,Berekening_impact[Digitale zorgtoepassing]),0))</f>
        <v>897023.90131200023</v>
      </c>
      <c r="S592" s="398">
        <f>uitkomst_doelgroep[[#This Row],[Arbeidsbesparing (€)]]*uitkomst_doelgroep[[#This Row],[Percentage van patiëntaantallen in Wlz (overige is Zvw)]]</f>
        <v>4178834.441750621</v>
      </c>
      <c r="T592" s="398">
        <f>uitkomst_doelgroep[[#This Row],[Overige besparingen (€)]]*uitkomst_doelgroep[[#This Row],[Percentage van patiëntaantallen in Wlz (overige is Zvw)]]</f>
        <v>2058231.8892204554</v>
      </c>
      <c r="U592" s="398">
        <f>uitkomst_doelgroep[[#This Row],[Kosten (€)]]*uitkomst_doelgroep[[#This Row],[Percentage van patiëntaantallen in Wlz (overige is Zvw)]]</f>
        <v>1610927.0707320001</v>
      </c>
      <c r="V592" s="398">
        <f>uitkomst_doelgroep[[#This Row],[Investering (cash flow) (€)]]*uitkomst_doelgroep[[#This Row],[Percentage van patiëntaantallen in Wlz (overige is Zvw)]]</f>
        <v>897023.90131200023</v>
      </c>
    </row>
    <row r="593" spans="1:22" x14ac:dyDescent="0.5">
      <c r="A593" s="33" t="str">
        <f>INDEX(Technologieën[Veld],MATCH(B593,Technologieën[Digitale zorgtoepassing],0))</f>
        <v>Digitale hulpmiddelen - Verpleging</v>
      </c>
      <c r="B593" s="33" t="s">
        <v>19</v>
      </c>
      <c r="C593" s="33" t="s">
        <v>20</v>
      </c>
      <c r="D593" s="427" cm="1">
        <f t="array" ref="D593">INDEX(Berekening_patiëntaantal[Percentage van patiëntaantallen in Wlz (overige is Zvw)],MATCH(B593,IF(Berekening_patiëntaantal[Doelgroep (zoeksleutel)]=C593,Berekening_patiëntaantal[Digitale zorgtoepassing]),0))</f>
        <v>1</v>
      </c>
      <c r="E593" s="33" t="str" cm="1">
        <f t="array" ref="E593">INDEX(Berekening_patiëntaantal[Direct toepasbaar/extrapolatie/incidentie voor QALY],MATCH(B593,IF(Berekening_patiëntaantal[Doelgroep (zoeksleutel)]=C593,Berekening_patiëntaantal[Digitale zorgtoepassing]),0))</f>
        <v>Huidige toepassing</v>
      </c>
      <c r="F593" s="43" t="s">
        <v>812</v>
      </c>
      <c r="G593" s="33" t="str">
        <f>CONCATENATE(uitkomst_doelgroep[[#This Row],[Digitale zorgtoepassing]],"_",uitkomst_doelgroep[[#This Row],[Doelgroep]],"_",uitkomst_doelgroep[[#This Row],[Uitgangssituatie/effect beleid]])</f>
        <v>Structuurrobot_Dementie_Effect beleid</v>
      </c>
      <c r="H593" s="33">
        <v>2024</v>
      </c>
      <c r="I593" s="32">
        <v>2</v>
      </c>
      <c r="J593" s="406" cm="1">
        <f t="array" ref="J593">INDEX(implementatie[[2023]:[2034]],MATCH(G593, implementatie[Zoeksleutel],0),I593)</f>
        <v>0.28000000000000003</v>
      </c>
      <c r="K593" s="406" cm="1">
        <f t="array" ref="K593">INDEX(implementatie[[2023]:[2034]],MATCH(G593,implementatie[Zoeksleutel],0),I593 + 1)</f>
        <v>0.37504000000000004</v>
      </c>
      <c r="L59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6839.0700000000006</v>
      </c>
      <c r="M593" s="398" cm="1">
        <f t="array" ref="M593">J593*INDEX(Berekening_impact[Totaal arbeidsbesparing (€/jaar)],MATCH(B593,IF(Berekening_impact[Doelgroep]=C593,Berekening_impact[Digitale zorgtoepassing]),0))</f>
        <v>9436266.576100003</v>
      </c>
      <c r="N593" s="397" cm="1">
        <f t="array" ref="N593">J593*INDEX(Berekening_impact[Totaal arbeidsbesparing (FTE/jaar)],MATCH(B593,IF(Berekening_impact[Doelgroep]=C593,Berekening_impact[Digitale zorgtoepassing]),0))</f>
        <v>222.26977500000004</v>
      </c>
      <c r="O593" s="398" cm="1">
        <f t="array" ref="O593">J593*INDEX(Berekening_impact[Overige kostenbesparing (totaal/jaar totaal potentieel)],MATCH(B593,IF(Berekening_impact[Doelgroep]=C593,Berekening_impact[Digitale zorgtoepassing]),0))</f>
        <v>4647713.3882283587</v>
      </c>
      <c r="P593" s="398" cm="1">
        <f t="array" ref="P593">J593*INDEX(Berekening_impact[Opbrengsten door QALY''s],MATCH(B593,IF(Berekening_impact[Doelgroep]=C593,Berekening_impact[Digitale zorgtoepassing]),0))</f>
        <v>0</v>
      </c>
      <c r="Q593" s="398" cm="1">
        <f t="array" ref="Q593">J593*INDEX(Berekening_impact[Jaarlijkse kosten (totaal) - incl. schatting],MATCH(B593,IF(Berekening_impact[Doelgroep]=C593,Berekening_impact[Digitale zorgtoepassing]),0))</f>
        <v>3637650.0399749996</v>
      </c>
      <c r="R593" s="398" cm="1">
        <f t="array" ref="R593">(uitkomst_doelgroep[[#This Row],[Implementatiegraad t = T + 1]]-uitkomst_doelgroep[[#This Row],[Implementatiegraad t = T]])*INDEX(Berekening_impact[Initiële investering (totaal) - incl. schatting],MATCH(B593,IF(Berekening_impact[Doelgroep]=C593,Berekening_impact[Digitale zorgtoepassing]),0))</f>
        <v>1824948.2196000002</v>
      </c>
      <c r="S593" s="398">
        <f>uitkomst_doelgroep[[#This Row],[Arbeidsbesparing (€)]]*uitkomst_doelgroep[[#This Row],[Percentage van patiëntaantallen in Wlz (overige is Zvw)]]</f>
        <v>9436266.576100003</v>
      </c>
      <c r="T593" s="398">
        <f>uitkomst_doelgroep[[#This Row],[Overige besparingen (€)]]*uitkomst_doelgroep[[#This Row],[Percentage van patiëntaantallen in Wlz (overige is Zvw)]]</f>
        <v>4647713.3882283587</v>
      </c>
      <c r="U593" s="398">
        <f>uitkomst_doelgroep[[#This Row],[Kosten (€)]]*uitkomst_doelgroep[[#This Row],[Percentage van patiëntaantallen in Wlz (overige is Zvw)]]</f>
        <v>3637650.0399749996</v>
      </c>
      <c r="V593" s="398">
        <f>uitkomst_doelgroep[[#This Row],[Investering (cash flow) (€)]]*uitkomst_doelgroep[[#This Row],[Percentage van patiëntaantallen in Wlz (overige is Zvw)]]</f>
        <v>1824948.2196000002</v>
      </c>
    </row>
    <row r="594" spans="1:22" x14ac:dyDescent="0.5">
      <c r="A594" s="33" t="str">
        <f>INDEX(Technologieën[Veld],MATCH(B594,Technologieën[Digitale zorgtoepassing],0))</f>
        <v>Digitale hulpmiddelen - Verpleging</v>
      </c>
      <c r="B594" s="33" t="s">
        <v>19</v>
      </c>
      <c r="C594" s="33" t="s">
        <v>27</v>
      </c>
      <c r="D594" s="427" cm="1">
        <f t="array" ref="D594">INDEX(Berekening_patiëntaantal[Percentage van patiëntaantallen in Wlz (overige is Zvw)],MATCH(B594,IF(Berekening_patiëntaantal[Doelgroep (zoeksleutel)]=C594,Berekening_patiëntaantal[Digitale zorgtoepassing]),0))</f>
        <v>0.45</v>
      </c>
      <c r="E594" s="33" t="str" cm="1">
        <f t="array" ref="E594">INDEX(Berekening_patiëntaantal[Direct toepasbaar/extrapolatie/incidentie voor QALY],MATCH(B594,IF(Berekening_patiëntaantal[Doelgroep (zoeksleutel)]=C594,Berekening_patiëntaantal[Digitale zorgtoepassing]),0))</f>
        <v>Extrapolatie</v>
      </c>
      <c r="F594" s="43" t="s">
        <v>812</v>
      </c>
      <c r="G594" s="33" t="str">
        <f>CONCATENATE(uitkomst_doelgroep[[#This Row],[Digitale zorgtoepassing]],"_",uitkomst_doelgroep[[#This Row],[Doelgroep]],"_",uitkomst_doelgroep[[#This Row],[Uitgangssituatie/effect beleid]])</f>
        <v>Structuurrobot_Parkinson_Effect beleid</v>
      </c>
      <c r="H594" s="33">
        <v>2025</v>
      </c>
      <c r="I594" s="32">
        <v>3</v>
      </c>
      <c r="J594" s="406" cm="1">
        <f t="array" ref="J594">INDEX(implementatie[[2023]:[2034]],MATCH(G594, implementatie[Zoeksleutel],0),I594)</f>
        <v>0.02</v>
      </c>
      <c r="K594" s="406" cm="1">
        <f t="array" ref="K594">INDEX(implementatie[[2023]:[2034]],MATCH(G594,implementatie[Zoeksleutel],0),I594 + 1)</f>
        <v>4.7439999999999996E-2</v>
      </c>
      <c r="L59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158.70000000000002</v>
      </c>
      <c r="M594" s="398" cm="1">
        <f t="array" ref="M594">J594*INDEX(Berekening_impact[Totaal arbeidsbesparing (€/jaar)],MATCH(B594,IF(Berekening_impact[Doelgroep]=C594,Berekening_impact[Digitale zorgtoepassing]),0))</f>
        <v>218967.71134482758</v>
      </c>
      <c r="N594" s="397" cm="1">
        <f t="array" ref="N594">J594*INDEX(Berekening_impact[Totaal arbeidsbesparing (FTE/jaar)],MATCH(B594,IF(Berekening_impact[Doelgroep]=C594,Berekening_impact[Digitale zorgtoepassing]),0))</f>
        <v>5.1577500000000001</v>
      </c>
      <c r="O594" s="398" cm="1">
        <f t="array" ref="O594">J594*INDEX(Berekening_impact[Overige kostenbesparing (totaal/jaar totaal potentieel)],MATCH(B594,IF(Berekening_impact[Doelgroep]=C594,Berekening_impact[Digitale zorgtoepassing]),0))</f>
        <v>107849.76827431808</v>
      </c>
      <c r="P594" s="398" cm="1">
        <f t="array" ref="P594">J594*INDEX(Berekening_impact[Opbrengsten door QALY''s],MATCH(B594,IF(Berekening_impact[Doelgroep]=C594,Berekening_impact[Digitale zorgtoepassing]),0))</f>
        <v>0</v>
      </c>
      <c r="Q594" s="398" cm="1">
        <f t="array" ref="Q594">J594*INDEX(Berekening_impact[Jaarlijkse kosten (totaal) - incl. schatting],MATCH(B594,IF(Berekening_impact[Doelgroep]=C594,Berekening_impact[Digitale zorgtoepassing]),0))</f>
        <v>84411.339749999999</v>
      </c>
      <c r="R594" s="398" cm="1">
        <f t="array" ref="R594">(uitkomst_doelgroep[[#This Row],[Implementatiegraad t = T + 1]]-uitkomst_doelgroep[[#This Row],[Implementatiegraad t = T]])*INDEX(Berekening_impact[Initiële investering (totaal) - incl. schatting],MATCH(B594,IF(Berekening_impact[Doelgroep]=C594,Berekening_impact[Digitale zorgtoepassing]),0))</f>
        <v>0</v>
      </c>
      <c r="S594" s="398">
        <f>uitkomst_doelgroep[[#This Row],[Arbeidsbesparing (€)]]*uitkomst_doelgroep[[#This Row],[Percentage van patiëntaantallen in Wlz (overige is Zvw)]]</f>
        <v>98535.470105172411</v>
      </c>
      <c r="T594" s="398">
        <f>uitkomst_doelgroep[[#This Row],[Overige besparingen (€)]]*uitkomst_doelgroep[[#This Row],[Percentage van patiëntaantallen in Wlz (overige is Zvw)]]</f>
        <v>48532.395723443136</v>
      </c>
      <c r="U594" s="398">
        <f>uitkomst_doelgroep[[#This Row],[Kosten (€)]]*uitkomst_doelgroep[[#This Row],[Percentage van patiëntaantallen in Wlz (overige is Zvw)]]</f>
        <v>37985.102887499997</v>
      </c>
      <c r="V594" s="398">
        <f>uitkomst_doelgroep[[#This Row],[Investering (cash flow) (€)]]*uitkomst_doelgroep[[#This Row],[Percentage van patiëntaantallen in Wlz (overige is Zvw)]]</f>
        <v>0</v>
      </c>
    </row>
    <row r="595" spans="1:22" x14ac:dyDescent="0.5">
      <c r="A595" s="33" t="str">
        <f>INDEX(Technologieën[Veld],MATCH(B595,Technologieën[Digitale zorgtoepassing],0))</f>
        <v>Digitale hulpmiddelen - Verpleging</v>
      </c>
      <c r="B595" s="33" t="s">
        <v>19</v>
      </c>
      <c r="C595" s="33" t="s">
        <v>24</v>
      </c>
      <c r="D595" s="427" cm="1">
        <f t="array" ref="D595">INDEX(Berekening_patiëntaantal[Percentage van patiëntaantallen in Wlz (overige is Zvw)],MATCH(B595,IF(Berekening_patiëntaantal[Doelgroep (zoeksleutel)]=C595,Berekening_patiëntaantal[Digitale zorgtoepassing]),0))</f>
        <v>1</v>
      </c>
      <c r="E595" s="33" t="str" cm="1">
        <f t="array" ref="E595">INDEX(Berekening_patiëntaantal[Direct toepasbaar/extrapolatie/incidentie voor QALY],MATCH(B595,IF(Berekening_patiëntaantal[Doelgroep (zoeksleutel)]=C595,Berekening_patiëntaantal[Digitale zorgtoepassing]),0))</f>
        <v>Huidige toepassing</v>
      </c>
      <c r="F595" s="43" t="s">
        <v>812</v>
      </c>
      <c r="G595" s="33" t="str">
        <f>CONCATENATE(uitkomst_doelgroep[[#This Row],[Digitale zorgtoepassing]],"_",uitkomst_doelgroep[[#This Row],[Doelgroep]],"_",uitkomst_doelgroep[[#This Row],[Uitgangssituatie/effect beleid]])</f>
        <v>Structuurrobot_Cognitieve beperking_Effect beleid</v>
      </c>
      <c r="H595" s="33">
        <v>2025</v>
      </c>
      <c r="I595" s="32">
        <v>3</v>
      </c>
      <c r="J595" s="406" cm="1">
        <f t="array" ref="J595">INDEX(implementatie[[2023]:[2034]],MATCH(G595, implementatie[Zoeksleutel],0),I595)</f>
        <v>0.37504000000000004</v>
      </c>
      <c r="K595" s="406" cm="1">
        <f t="array" ref="K595">INDEX(implementatie[[2023]:[2034]],MATCH(G595,implementatie[Zoeksleutel],0),I595 + 1)</f>
        <v>0.48129319936000003</v>
      </c>
      <c r="L59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4056.6876672000008</v>
      </c>
      <c r="M595" s="398" cm="1">
        <f t="array" ref="M595">J595*INDEX(Berekening_impact[Totaal arbeidsbesparing (€/jaar)],MATCH(B595,IF(Berekening_impact[Doelgroep]=C595,Berekening_impact[Digitale zorgtoepassing]),0))</f>
        <v>5597250.246550546</v>
      </c>
      <c r="N595" s="397" cm="1">
        <f t="array" ref="N595">J595*INDEX(Berekening_impact[Totaal arbeidsbesparing (FTE/jaar)],MATCH(B595,IF(Berekening_impact[Doelgroep]=C595,Berekening_impact[Digitale zorgtoepassing]),0))</f>
        <v>131.84234918400003</v>
      </c>
      <c r="O595" s="398" cm="1">
        <f t="array" ref="O595">J595*INDEX(Berekening_impact[Overige kostenbesparing (totaal/jaar totaal potentieel)],MATCH(B595,IF(Berekening_impact[Doelgroep]=C595,Berekening_impact[Digitale zorgtoepassing]),0))</f>
        <v>2756854.5990472841</v>
      </c>
      <c r="P595" s="398" cm="1">
        <f t="array" ref="P595">J595*INDEX(Berekening_impact[Opbrengsten door QALY''s],MATCH(B595,IF(Berekening_impact[Doelgroep]=C595,Berekening_impact[Digitale zorgtoepassing]),0))</f>
        <v>0</v>
      </c>
      <c r="Q595" s="398" cm="1">
        <f t="array" ref="Q595">J595*INDEX(Berekening_impact[Jaarlijkse kosten (totaal) - incl. schatting],MATCH(B595,IF(Berekening_impact[Doelgroep]=C595,Berekening_impact[Digitale zorgtoepassing]),0))</f>
        <v>2157721.7450261759</v>
      </c>
      <c r="R595" s="398" cm="1">
        <f t="array" ref="R595">(uitkomst_doelgroep[[#This Row],[Implementatiegraad t = T + 1]]-uitkomst_doelgroep[[#This Row],[Implementatiegraad t = T]])*INDEX(Berekening_impact[Initiële investering (totaal) - incl. schatting],MATCH(B595,IF(Berekening_impact[Doelgroep]=C595,Berekening_impact[Digitale zorgtoepassing]),0))</f>
        <v>1002858.369284395</v>
      </c>
      <c r="S595" s="398">
        <f>uitkomst_doelgroep[[#This Row],[Arbeidsbesparing (€)]]*uitkomst_doelgroep[[#This Row],[Percentage van patiëntaantallen in Wlz (overige is Zvw)]]</f>
        <v>5597250.246550546</v>
      </c>
      <c r="T595" s="398">
        <f>uitkomst_doelgroep[[#This Row],[Overige besparingen (€)]]*uitkomst_doelgroep[[#This Row],[Percentage van patiëntaantallen in Wlz (overige is Zvw)]]</f>
        <v>2756854.5990472841</v>
      </c>
      <c r="U595" s="398">
        <f>uitkomst_doelgroep[[#This Row],[Kosten (€)]]*uitkomst_doelgroep[[#This Row],[Percentage van patiëntaantallen in Wlz (overige is Zvw)]]</f>
        <v>2157721.7450261759</v>
      </c>
      <c r="V595" s="398">
        <f>uitkomst_doelgroep[[#This Row],[Investering (cash flow) (€)]]*uitkomst_doelgroep[[#This Row],[Percentage van patiëntaantallen in Wlz (overige is Zvw)]]</f>
        <v>1002858.369284395</v>
      </c>
    </row>
    <row r="596" spans="1:22" x14ac:dyDescent="0.5">
      <c r="A596" s="33" t="str">
        <f>INDEX(Technologieën[Veld],MATCH(B596,Technologieën[Digitale zorgtoepassing],0))</f>
        <v>Digitale hulpmiddelen - Verpleging</v>
      </c>
      <c r="B596" s="33" t="s">
        <v>19</v>
      </c>
      <c r="C596" s="33" t="s">
        <v>20</v>
      </c>
      <c r="D596" s="427" cm="1">
        <f t="array" ref="D596">INDEX(Berekening_patiëntaantal[Percentage van patiëntaantallen in Wlz (overige is Zvw)],MATCH(B596,IF(Berekening_patiëntaantal[Doelgroep (zoeksleutel)]=C596,Berekening_patiëntaantal[Digitale zorgtoepassing]),0))</f>
        <v>1</v>
      </c>
      <c r="E596" s="33" t="str" cm="1">
        <f t="array" ref="E596">INDEX(Berekening_patiëntaantal[Direct toepasbaar/extrapolatie/incidentie voor QALY],MATCH(B596,IF(Berekening_patiëntaantal[Doelgroep (zoeksleutel)]=C596,Berekening_patiëntaantal[Digitale zorgtoepassing]),0))</f>
        <v>Huidige toepassing</v>
      </c>
      <c r="F596" s="43" t="s">
        <v>812</v>
      </c>
      <c r="G596" s="33" t="str">
        <f>CONCATENATE(uitkomst_doelgroep[[#This Row],[Digitale zorgtoepassing]],"_",uitkomst_doelgroep[[#This Row],[Doelgroep]],"_",uitkomst_doelgroep[[#This Row],[Uitgangssituatie/effect beleid]])</f>
        <v>Structuurrobot_Dementie_Effect beleid</v>
      </c>
      <c r="H596" s="33">
        <v>2025</v>
      </c>
      <c r="I596" s="32">
        <v>3</v>
      </c>
      <c r="J596" s="406" cm="1">
        <f t="array" ref="J596">INDEX(implementatie[[2023]:[2034]],MATCH(G596, implementatie[Zoeksleutel],0),I596)</f>
        <v>0.37504000000000004</v>
      </c>
      <c r="K596" s="406" cm="1">
        <f t="array" ref="K596">INDEX(implementatie[[2023]:[2034]],MATCH(G596,implementatie[Zoeksleutel],0),I596 + 1)</f>
        <v>0.48129319936000003</v>
      </c>
      <c r="L59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9160.4457600000005</v>
      </c>
      <c r="M596" s="398" cm="1">
        <f t="array" ref="M596">J596*INDEX(Berekening_impact[Totaal arbeidsbesparing (€/jaar)],MATCH(B596,IF(Berekening_impact[Doelgroep]=C596,Berekening_impact[Digitale zorgtoepassing]),0))</f>
        <v>12639205.059644803</v>
      </c>
      <c r="N596" s="397" cm="1">
        <f t="array" ref="N596">J596*INDEX(Berekening_impact[Totaal arbeidsbesparing (FTE/jaar)],MATCH(B596,IF(Berekening_impact[Doelgroep]=C596,Berekening_impact[Digitale zorgtoepassing]),0))</f>
        <v>297.71448720000006</v>
      </c>
      <c r="O596" s="398" cm="1">
        <f t="array" ref="O596">J596*INDEX(Berekening_impact[Overige kostenbesparing (totaal/jaar totaal potentieel)],MATCH(B596,IF(Berekening_impact[Doelgroep]=C596,Berekening_impact[Digitale zorgtoepassing]),0))</f>
        <v>6225280.1040041558</v>
      </c>
      <c r="P596" s="398" cm="1">
        <f t="array" ref="P596">J596*INDEX(Berekening_impact[Opbrengsten door QALY''s],MATCH(B596,IF(Berekening_impact[Doelgroep]=C596,Berekening_impact[Digitale zorgtoepassing]),0))</f>
        <v>0</v>
      </c>
      <c r="Q596" s="398" cm="1">
        <f t="array" ref="Q596">J596*INDEX(Berekening_impact[Jaarlijkse kosten (totaal) - incl. schatting],MATCH(B596,IF(Berekening_impact[Doelgroep]=C596,Berekening_impact[Digitale zorgtoepassing]),0))</f>
        <v>4872372.3964008</v>
      </c>
      <c r="R596" s="398" cm="1">
        <f t="array" ref="R596">(uitkomst_doelgroep[[#This Row],[Implementatiegraad t = T + 1]]-uitkomst_doelgroep[[#This Row],[Implementatiegraad t = T]])*INDEX(Berekening_impact[Initiële investering (totaal) - incl. schatting],MATCH(B596,IF(Berekening_impact[Doelgroep]=C596,Berekening_impact[Digitale zorgtoepassing]),0))</f>
        <v>2040262.9103412863</v>
      </c>
      <c r="S596" s="398">
        <f>uitkomst_doelgroep[[#This Row],[Arbeidsbesparing (€)]]*uitkomst_doelgroep[[#This Row],[Percentage van patiëntaantallen in Wlz (overige is Zvw)]]</f>
        <v>12639205.059644803</v>
      </c>
      <c r="T596" s="398">
        <f>uitkomst_doelgroep[[#This Row],[Overige besparingen (€)]]*uitkomst_doelgroep[[#This Row],[Percentage van patiëntaantallen in Wlz (overige is Zvw)]]</f>
        <v>6225280.1040041558</v>
      </c>
      <c r="U596" s="398">
        <f>uitkomst_doelgroep[[#This Row],[Kosten (€)]]*uitkomst_doelgroep[[#This Row],[Percentage van patiëntaantallen in Wlz (overige is Zvw)]]</f>
        <v>4872372.3964008</v>
      </c>
      <c r="V596" s="398">
        <f>uitkomst_doelgroep[[#This Row],[Investering (cash flow) (€)]]*uitkomst_doelgroep[[#This Row],[Percentage van patiëntaantallen in Wlz (overige is Zvw)]]</f>
        <v>2040262.9103412863</v>
      </c>
    </row>
    <row r="597" spans="1:22" x14ac:dyDescent="0.5">
      <c r="A597" s="33" t="str">
        <f>INDEX(Technologieën[Veld],MATCH(B597,Technologieën[Digitale zorgtoepassing],0))</f>
        <v>Digitale hulpmiddelen - Verpleging</v>
      </c>
      <c r="B597" s="33" t="s">
        <v>19</v>
      </c>
      <c r="C597" s="33" t="s">
        <v>27</v>
      </c>
      <c r="D597" s="427" cm="1">
        <f t="array" ref="D597">INDEX(Berekening_patiëntaantal[Percentage van patiëntaantallen in Wlz (overige is Zvw)],MATCH(B597,IF(Berekening_patiëntaantal[Doelgroep (zoeksleutel)]=C597,Berekening_patiëntaantal[Digitale zorgtoepassing]),0))</f>
        <v>0.45</v>
      </c>
      <c r="E597" s="33" t="str" cm="1">
        <f t="array" ref="E597">INDEX(Berekening_patiëntaantal[Direct toepasbaar/extrapolatie/incidentie voor QALY],MATCH(B597,IF(Berekening_patiëntaantal[Doelgroep (zoeksleutel)]=C597,Berekening_patiëntaantal[Digitale zorgtoepassing]),0))</f>
        <v>Extrapolatie</v>
      </c>
      <c r="F597" s="43" t="s">
        <v>812</v>
      </c>
      <c r="G597" s="33" t="str">
        <f>CONCATENATE(uitkomst_doelgroep[[#This Row],[Digitale zorgtoepassing]],"_",uitkomst_doelgroep[[#This Row],[Doelgroep]],"_",uitkomst_doelgroep[[#This Row],[Uitgangssituatie/effect beleid]])</f>
        <v>Structuurrobot_Parkinson_Effect beleid</v>
      </c>
      <c r="H597" s="33">
        <v>2026</v>
      </c>
      <c r="I597" s="32">
        <v>4</v>
      </c>
      <c r="J597" s="406" cm="1">
        <f t="array" ref="J597">INDEX(implementatie[[2023]:[2034]],MATCH(G597, implementatie[Zoeksleutel],0),I597)</f>
        <v>4.7439999999999996E-2</v>
      </c>
      <c r="K597" s="406" cm="1">
        <f t="array" ref="K597">INDEX(implementatie[[2023]:[2034]],MATCH(G597,implementatie[Zoeksleutel],0),I597 + 1)</f>
        <v>8.4566978560000006E-2</v>
      </c>
      <c r="L59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376.43639999999999</v>
      </c>
      <c r="M597" s="398" cm="1">
        <f t="array" ref="M597">J597*INDEX(Berekening_impact[Totaal arbeidsbesparing (€/jaar)],MATCH(B597,IF(Berekening_impact[Doelgroep]=C597,Berekening_impact[Digitale zorgtoepassing]),0))</f>
        <v>519391.41130993096</v>
      </c>
      <c r="N597" s="397" cm="1">
        <f t="array" ref="N597">J597*INDEX(Berekening_impact[Totaal arbeidsbesparing (FTE/jaar)],MATCH(B597,IF(Berekening_impact[Doelgroep]=C597,Berekening_impact[Digitale zorgtoepassing]),0))</f>
        <v>12.234182999999998</v>
      </c>
      <c r="O597" s="398" cm="1">
        <f t="array" ref="O597">J597*INDEX(Berekening_impact[Overige kostenbesparing (totaal/jaar totaal potentieel)],MATCH(B597,IF(Berekening_impact[Doelgroep]=C597,Berekening_impact[Digitale zorgtoepassing]),0))</f>
        <v>255819.65034668244</v>
      </c>
      <c r="P597" s="398" cm="1">
        <f t="array" ref="P597">J597*INDEX(Berekening_impact[Opbrengsten door QALY''s],MATCH(B597,IF(Berekening_impact[Doelgroep]=C597,Berekening_impact[Digitale zorgtoepassing]),0))</f>
        <v>0</v>
      </c>
      <c r="Q597" s="398" cm="1">
        <f t="array" ref="Q597">J597*INDEX(Berekening_impact[Jaarlijkse kosten (totaal) - incl. schatting],MATCH(B597,IF(Berekening_impact[Doelgroep]=C597,Berekening_impact[Digitale zorgtoepassing]),0))</f>
        <v>200223.69788699999</v>
      </c>
      <c r="R597" s="398" cm="1">
        <f t="array" ref="R597">(uitkomst_doelgroep[[#This Row],[Implementatiegraad t = T + 1]]-uitkomst_doelgroep[[#This Row],[Implementatiegraad t = T]])*INDEX(Berekening_impact[Initiële investering (totaal) - incl. schatting],MATCH(B597,IF(Berekening_impact[Doelgroep]=C597,Berekening_impact[Digitale zorgtoepassing]),0))</f>
        <v>0</v>
      </c>
      <c r="S597" s="398">
        <f>uitkomst_doelgroep[[#This Row],[Arbeidsbesparing (€)]]*uitkomst_doelgroep[[#This Row],[Percentage van patiëntaantallen in Wlz (overige is Zvw)]]</f>
        <v>233726.13508946894</v>
      </c>
      <c r="T597" s="398">
        <f>uitkomst_doelgroep[[#This Row],[Overige besparingen (€)]]*uitkomst_doelgroep[[#This Row],[Percentage van patiëntaantallen in Wlz (overige is Zvw)]]</f>
        <v>115118.84265600709</v>
      </c>
      <c r="U597" s="398">
        <f>uitkomst_doelgroep[[#This Row],[Kosten (€)]]*uitkomst_doelgroep[[#This Row],[Percentage van patiëntaantallen in Wlz (overige is Zvw)]]</f>
        <v>90100.66404915</v>
      </c>
      <c r="V597" s="398">
        <f>uitkomst_doelgroep[[#This Row],[Investering (cash flow) (€)]]*uitkomst_doelgroep[[#This Row],[Percentage van patiëntaantallen in Wlz (overige is Zvw)]]</f>
        <v>0</v>
      </c>
    </row>
    <row r="598" spans="1:22" x14ac:dyDescent="0.5">
      <c r="A598" s="33" t="str">
        <f>INDEX(Technologieën[Veld],MATCH(B598,Technologieën[Digitale zorgtoepassing],0))</f>
        <v>Digitale hulpmiddelen - Verpleging</v>
      </c>
      <c r="B598" s="33" t="s">
        <v>19</v>
      </c>
      <c r="C598" s="33" t="s">
        <v>24</v>
      </c>
      <c r="D598" s="427" cm="1">
        <f t="array" ref="D598">INDEX(Berekening_patiëntaantal[Percentage van patiëntaantallen in Wlz (overige is Zvw)],MATCH(B598,IF(Berekening_patiëntaantal[Doelgroep (zoeksleutel)]=C598,Berekening_patiëntaantal[Digitale zorgtoepassing]),0))</f>
        <v>1</v>
      </c>
      <c r="E598" s="33" t="str" cm="1">
        <f t="array" ref="E598">INDEX(Berekening_patiëntaantal[Direct toepasbaar/extrapolatie/incidentie voor QALY],MATCH(B598,IF(Berekening_patiëntaantal[Doelgroep (zoeksleutel)]=C598,Berekening_patiëntaantal[Digitale zorgtoepassing]),0))</f>
        <v>Huidige toepassing</v>
      </c>
      <c r="F598" s="43" t="s">
        <v>812</v>
      </c>
      <c r="G598" s="33" t="str">
        <f>CONCATENATE(uitkomst_doelgroep[[#This Row],[Digitale zorgtoepassing]],"_",uitkomst_doelgroep[[#This Row],[Doelgroep]],"_",uitkomst_doelgroep[[#This Row],[Uitgangssituatie/effect beleid]])</f>
        <v>Structuurrobot_Cognitieve beperking_Effect beleid</v>
      </c>
      <c r="H598" s="33">
        <v>2026</v>
      </c>
      <c r="I598" s="32">
        <v>4</v>
      </c>
      <c r="J598" s="406" cm="1">
        <f t="array" ref="J598">INDEX(implementatie[[2023]:[2034]],MATCH(G598, implementatie[Zoeksleutel],0),I598)</f>
        <v>0.48129319936000003</v>
      </c>
      <c r="K598" s="406" cm="1">
        <f t="array" ref="K598">INDEX(implementatie[[2023]:[2034]],MATCH(G598,implementatie[Zoeksleutel],0),I598 + 1)</f>
        <v>0.59152735761672615</v>
      </c>
      <c r="L59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5205.9945236533249</v>
      </c>
      <c r="M598" s="398" cm="1">
        <f t="array" ref="M598">J598*INDEX(Berekening_impact[Totaal arbeidsbesparing (€/jaar)],MATCH(B598,IF(Berekening_impact[Doelgroep]=C598,Berekening_impact[Digitale zorgtoepassing]),0))</f>
        <v>7183016.4216639856</v>
      </c>
      <c r="N598" s="397" cm="1">
        <f t="array" ref="N598">J598*INDEX(Berekening_impact[Totaal arbeidsbesparing (FTE/jaar)],MATCH(B598,IF(Berekening_impact[Doelgroep]=C598,Berekening_impact[Digitale zorgtoepassing]),0))</f>
        <v>169.19482201873308</v>
      </c>
      <c r="O598" s="398" cm="1">
        <f t="array" ref="O598">J598*INDEX(Berekening_impact[Overige kostenbesparing (totaal/jaar totaal potentieel)],MATCH(B598,IF(Berekening_impact[Doelgroep]=C598,Berekening_impact[Digitale zorgtoepassing]),0))</f>
        <v>3537903.6106703216</v>
      </c>
      <c r="P598" s="398" cm="1">
        <f t="array" ref="P598">J598*INDEX(Berekening_impact[Opbrengsten door QALY''s],MATCH(B598,IF(Berekening_impact[Doelgroep]=C598,Berekening_impact[Digitale zorgtoepassing]),0))</f>
        <v>0</v>
      </c>
      <c r="Q598" s="398" cm="1">
        <f t="array" ref="Q598">J598*INDEX(Berekening_impact[Jaarlijkse kosten (totaal) - incl. schatting],MATCH(B598,IF(Berekening_impact[Doelgroep]=C598,Berekening_impact[Digitale zorgtoepassing]),0))</f>
        <v>2769029.4421722759</v>
      </c>
      <c r="R598" s="398" cm="1">
        <f t="array" ref="R598">(uitkomst_doelgroep[[#This Row],[Implementatiegraad t = T + 1]]-uitkomst_doelgroep[[#This Row],[Implementatiegraad t = T]])*INDEX(Berekening_impact[Initiële investering (totaal) - incl. schatting],MATCH(B598,IF(Berekening_impact[Doelgroep]=C598,Berekening_impact[Digitale zorgtoepassing]),0))</f>
        <v>1040432.1832627618</v>
      </c>
      <c r="S598" s="398">
        <f>uitkomst_doelgroep[[#This Row],[Arbeidsbesparing (€)]]*uitkomst_doelgroep[[#This Row],[Percentage van patiëntaantallen in Wlz (overige is Zvw)]]</f>
        <v>7183016.4216639856</v>
      </c>
      <c r="T598" s="398">
        <f>uitkomst_doelgroep[[#This Row],[Overige besparingen (€)]]*uitkomst_doelgroep[[#This Row],[Percentage van patiëntaantallen in Wlz (overige is Zvw)]]</f>
        <v>3537903.6106703216</v>
      </c>
      <c r="U598" s="398">
        <f>uitkomst_doelgroep[[#This Row],[Kosten (€)]]*uitkomst_doelgroep[[#This Row],[Percentage van patiëntaantallen in Wlz (overige is Zvw)]]</f>
        <v>2769029.4421722759</v>
      </c>
      <c r="V598" s="398">
        <f>uitkomst_doelgroep[[#This Row],[Investering (cash flow) (€)]]*uitkomst_doelgroep[[#This Row],[Percentage van patiëntaantallen in Wlz (overige is Zvw)]]</f>
        <v>1040432.1832627618</v>
      </c>
    </row>
    <row r="599" spans="1:22" x14ac:dyDescent="0.5">
      <c r="A599" s="33" t="str">
        <f>INDEX(Technologieën[Veld],MATCH(B599,Technologieën[Digitale zorgtoepassing],0))</f>
        <v>Digitale hulpmiddelen - Verpleging</v>
      </c>
      <c r="B599" s="33" t="s">
        <v>19</v>
      </c>
      <c r="C599" s="33" t="s">
        <v>20</v>
      </c>
      <c r="D599" s="427" cm="1">
        <f t="array" ref="D599">INDEX(Berekening_patiëntaantal[Percentage van patiëntaantallen in Wlz (overige is Zvw)],MATCH(B599,IF(Berekening_patiëntaantal[Doelgroep (zoeksleutel)]=C599,Berekening_patiëntaantal[Digitale zorgtoepassing]),0))</f>
        <v>1</v>
      </c>
      <c r="E599" s="33" t="str" cm="1">
        <f t="array" ref="E599">INDEX(Berekening_patiëntaantal[Direct toepasbaar/extrapolatie/incidentie voor QALY],MATCH(B599,IF(Berekening_patiëntaantal[Doelgroep (zoeksleutel)]=C599,Berekening_patiëntaantal[Digitale zorgtoepassing]),0))</f>
        <v>Huidige toepassing</v>
      </c>
      <c r="F599" s="43" t="s">
        <v>812</v>
      </c>
      <c r="G599" s="33" t="str">
        <f>CONCATENATE(uitkomst_doelgroep[[#This Row],[Digitale zorgtoepassing]],"_",uitkomst_doelgroep[[#This Row],[Doelgroep]],"_",uitkomst_doelgroep[[#This Row],[Uitgangssituatie/effect beleid]])</f>
        <v>Structuurrobot_Dementie_Effect beleid</v>
      </c>
      <c r="H599" s="33">
        <v>2026</v>
      </c>
      <c r="I599" s="32">
        <v>4</v>
      </c>
      <c r="J599" s="406" cm="1">
        <f t="array" ref="J599">INDEX(implementatie[[2023]:[2034]],MATCH(G599, implementatie[Zoeksleutel],0),I599)</f>
        <v>0.48129319936000003</v>
      </c>
      <c r="K599" s="406" cm="1">
        <f t="array" ref="K599">INDEX(implementatie[[2023]:[2034]],MATCH(G599,implementatie[Zoeksleutel],0),I599 + 1)</f>
        <v>0.59152735761672615</v>
      </c>
      <c r="L59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11755.706717667841</v>
      </c>
      <c r="M599" s="398" cm="1">
        <f t="array" ref="M599">J599*INDEX(Berekening_impact[Totaal arbeidsbesparing (€/jaar)],MATCH(B599,IF(Berekening_impact[Doelgroep]=C599,Berekening_impact[Digitale zorgtoepassing]),0))</f>
        <v>16220039.037232153</v>
      </c>
      <c r="N599" s="397" cm="1">
        <f t="array" ref="N599">J599*INDEX(Berekening_impact[Totaal arbeidsbesparing (FTE/jaar)],MATCH(B599,IF(Berekening_impact[Doelgroep]=C599,Berekening_impact[Digitale zorgtoepassing]),0))</f>
        <v>382.06046832420486</v>
      </c>
      <c r="O599" s="398" cm="1">
        <f t="array" ref="O599">J599*INDEX(Berekening_impact[Overige kostenbesparing (totaal/jaar totaal potentieel)],MATCH(B599,IF(Berekening_impact[Doelgroep]=C599,Berekening_impact[Digitale zorgtoepassing]),0))</f>
        <v>7988974.451174045</v>
      </c>
      <c r="P599" s="398" cm="1">
        <f t="array" ref="P599">J599*INDEX(Berekening_impact[Opbrengsten door QALY''s],MATCH(B599,IF(Berekening_impact[Doelgroep]=C599,Berekening_impact[Digitale zorgtoepassing]),0))</f>
        <v>0</v>
      </c>
      <c r="Q599" s="398" cm="1">
        <f t="array" ref="Q599">J599*INDEX(Berekening_impact[Jaarlijkse kosten (totaal) - incl. schatting],MATCH(B599,IF(Berekening_impact[Doelgroep]=C599,Berekening_impact[Digitale zorgtoepassing]),0))</f>
        <v>6252772.2353271414</v>
      </c>
      <c r="R599" s="398" cm="1">
        <f t="array" ref="R599">(uitkomst_doelgroep[[#This Row],[Implementatiegraad t = T + 1]]-uitkomst_doelgroep[[#This Row],[Implementatiegraad t = T]])*INDEX(Berekening_impact[Initiële investering (totaal) - incl. schatting],MATCH(B599,IF(Berekening_impact[Doelgroep]=C599,Berekening_impact[Digitale zorgtoepassing]),0))</f>
        <v>2116704.8700517355</v>
      </c>
      <c r="S599" s="398">
        <f>uitkomst_doelgroep[[#This Row],[Arbeidsbesparing (€)]]*uitkomst_doelgroep[[#This Row],[Percentage van patiëntaantallen in Wlz (overige is Zvw)]]</f>
        <v>16220039.037232153</v>
      </c>
      <c r="T599" s="398">
        <f>uitkomst_doelgroep[[#This Row],[Overige besparingen (€)]]*uitkomst_doelgroep[[#This Row],[Percentage van patiëntaantallen in Wlz (overige is Zvw)]]</f>
        <v>7988974.451174045</v>
      </c>
      <c r="U599" s="398">
        <f>uitkomst_doelgroep[[#This Row],[Kosten (€)]]*uitkomst_doelgroep[[#This Row],[Percentage van patiëntaantallen in Wlz (overige is Zvw)]]</f>
        <v>6252772.2353271414</v>
      </c>
      <c r="V599" s="398">
        <f>uitkomst_doelgroep[[#This Row],[Investering (cash flow) (€)]]*uitkomst_doelgroep[[#This Row],[Percentage van patiëntaantallen in Wlz (overige is Zvw)]]</f>
        <v>2116704.8700517355</v>
      </c>
    </row>
    <row r="600" spans="1:22" x14ac:dyDescent="0.5">
      <c r="A600" s="33" t="str">
        <f>INDEX(Technologieën[Veld],MATCH(B600,Technologieën[Digitale zorgtoepassing],0))</f>
        <v>Digitale hulpmiddelen - Verpleging</v>
      </c>
      <c r="B600" s="33" t="s">
        <v>19</v>
      </c>
      <c r="C600" s="33" t="s">
        <v>27</v>
      </c>
      <c r="D600" s="427" cm="1">
        <f t="array" ref="D600">INDEX(Berekening_patiëntaantal[Percentage van patiëntaantallen in Wlz (overige is Zvw)],MATCH(B600,IF(Berekening_patiëntaantal[Doelgroep (zoeksleutel)]=C600,Berekening_patiëntaantal[Digitale zorgtoepassing]),0))</f>
        <v>0.45</v>
      </c>
      <c r="E600" s="33" t="str" cm="1">
        <f t="array" ref="E600">INDEX(Berekening_patiëntaantal[Direct toepasbaar/extrapolatie/incidentie voor QALY],MATCH(B600,IF(Berekening_patiëntaantal[Doelgroep (zoeksleutel)]=C600,Berekening_patiëntaantal[Digitale zorgtoepassing]),0))</f>
        <v>Extrapolatie</v>
      </c>
      <c r="F600" s="43" t="s">
        <v>812</v>
      </c>
      <c r="G600" s="33" t="str">
        <f>CONCATENATE(uitkomst_doelgroep[[#This Row],[Digitale zorgtoepassing]],"_",uitkomst_doelgroep[[#This Row],[Doelgroep]],"_",uitkomst_doelgroep[[#This Row],[Uitgangssituatie/effect beleid]])</f>
        <v>Structuurrobot_Parkinson_Effect beleid</v>
      </c>
      <c r="H600" s="33">
        <v>2027</v>
      </c>
      <c r="I600" s="32">
        <v>5</v>
      </c>
      <c r="J600" s="406" cm="1">
        <f t="array" ref="J600">INDEX(implementatie[[2023]:[2034]],MATCH(G600, implementatie[Zoeksleutel],0),I600)</f>
        <v>8.4566978560000006E-2</v>
      </c>
      <c r="K600" s="406" cm="1">
        <f t="array" ref="K600">INDEX(implementatie[[2023]:[2034]],MATCH(G600,implementatie[Zoeksleutel],0),I600 + 1)</f>
        <v>0.13384180086769301</v>
      </c>
      <c r="L60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671.03897487360007</v>
      </c>
      <c r="M600" s="398" cm="1">
        <f t="array" ref="M600">J600*INDEX(Berekening_impact[Totaal arbeidsbesparing (€/jaar)],MATCH(B600,IF(Berekening_impact[Doelgroep]=C600,Berekening_impact[Digitale zorgtoepassing]),0))</f>
        <v>925871.88753151509</v>
      </c>
      <c r="N600" s="397" cm="1">
        <f t="array" ref="N600">J600*INDEX(Berekening_impact[Totaal arbeidsbesparing (FTE/jaar)],MATCH(B600,IF(Berekening_impact[Doelgroep]=C600,Berekening_impact[Digitale zorgtoepassing]),0))</f>
        <v>21.808766683392001</v>
      </c>
      <c r="O600" s="398" cm="1">
        <f t="array" ref="O600">J600*INDEX(Berekening_impact[Overige kostenbesparing (totaal/jaar totaal potentieel)],MATCH(B600,IF(Berekening_impact[Doelgroep]=C600,Berekening_impact[Digitale zorgtoepassing]),0))</f>
        <v>456026.45206776127</v>
      </c>
      <c r="P600" s="398" cm="1">
        <f t="array" ref="P600">J600*INDEX(Berekening_impact[Opbrengsten door QALY''s],MATCH(B600,IF(Berekening_impact[Doelgroep]=C600,Berekening_impact[Digitale zorgtoepassing]),0))</f>
        <v>0</v>
      </c>
      <c r="Q600" s="398" cm="1">
        <f t="array" ref="Q600">J600*INDEX(Berekening_impact[Jaarlijkse kosten (totaal) - incl. schatting],MATCH(B600,IF(Berekening_impact[Doelgroep]=C600,Berekening_impact[Digitale zorgtoepassing]),0))</f>
        <v>356920.59794295632</v>
      </c>
      <c r="R600" s="398" cm="1">
        <f t="array" ref="R600">(uitkomst_doelgroep[[#This Row],[Implementatiegraad t = T + 1]]-uitkomst_doelgroep[[#This Row],[Implementatiegraad t = T]])*INDEX(Berekening_impact[Initiële investering (totaal) - incl. schatting],MATCH(B600,IF(Berekening_impact[Doelgroep]=C600,Berekening_impact[Digitale zorgtoepassing]),0))</f>
        <v>0</v>
      </c>
      <c r="S600" s="398">
        <f>uitkomst_doelgroep[[#This Row],[Arbeidsbesparing (€)]]*uitkomst_doelgroep[[#This Row],[Percentage van patiëntaantallen in Wlz (overige is Zvw)]]</f>
        <v>416642.34938918182</v>
      </c>
      <c r="T600" s="398">
        <f>uitkomst_doelgroep[[#This Row],[Overige besparingen (€)]]*uitkomst_doelgroep[[#This Row],[Percentage van patiëntaantallen in Wlz (overige is Zvw)]]</f>
        <v>205211.90343049259</v>
      </c>
      <c r="U600" s="398">
        <f>uitkomst_doelgroep[[#This Row],[Kosten (€)]]*uitkomst_doelgroep[[#This Row],[Percentage van patiëntaantallen in Wlz (overige is Zvw)]]</f>
        <v>160614.26907433034</v>
      </c>
      <c r="V600" s="398">
        <f>uitkomst_doelgroep[[#This Row],[Investering (cash flow) (€)]]*uitkomst_doelgroep[[#This Row],[Percentage van patiëntaantallen in Wlz (overige is Zvw)]]</f>
        <v>0</v>
      </c>
    </row>
    <row r="601" spans="1:22" x14ac:dyDescent="0.5">
      <c r="A601" s="33" t="str">
        <f>INDEX(Technologieën[Veld],MATCH(B601,Technologieën[Digitale zorgtoepassing],0))</f>
        <v>Digitale hulpmiddelen - Verpleging</v>
      </c>
      <c r="B601" s="33" t="s">
        <v>19</v>
      </c>
      <c r="C601" s="33" t="s">
        <v>24</v>
      </c>
      <c r="D601" s="427" cm="1">
        <f t="array" ref="D601">INDEX(Berekening_patiëntaantal[Percentage van patiëntaantallen in Wlz (overige is Zvw)],MATCH(B601,IF(Berekening_patiëntaantal[Doelgroep (zoeksleutel)]=C601,Berekening_patiëntaantal[Digitale zorgtoepassing]),0))</f>
        <v>1</v>
      </c>
      <c r="E601" s="33" t="str" cm="1">
        <f t="array" ref="E601">INDEX(Berekening_patiëntaantal[Direct toepasbaar/extrapolatie/incidentie voor QALY],MATCH(B601,IF(Berekening_patiëntaantal[Doelgroep (zoeksleutel)]=C601,Berekening_patiëntaantal[Digitale zorgtoepassing]),0))</f>
        <v>Huidige toepassing</v>
      </c>
      <c r="F601" s="43" t="s">
        <v>812</v>
      </c>
      <c r="G601" s="33" t="str">
        <f>CONCATENATE(uitkomst_doelgroep[[#This Row],[Digitale zorgtoepassing]],"_",uitkomst_doelgroep[[#This Row],[Doelgroep]],"_",uitkomst_doelgroep[[#This Row],[Uitgangssituatie/effect beleid]])</f>
        <v>Structuurrobot_Cognitieve beperking_Effect beleid</v>
      </c>
      <c r="H601" s="33">
        <v>2027</v>
      </c>
      <c r="I601" s="32">
        <v>5</v>
      </c>
      <c r="J601" s="406" cm="1">
        <f t="array" ref="J601">INDEX(implementatie[[2023]:[2034]],MATCH(G601, implementatie[Zoeksleutel],0),I601)</f>
        <v>0.59152735761672615</v>
      </c>
      <c r="K601" s="406" cm="1">
        <f t="array" ref="K601">INDEX(implementatie[[2023]:[2034]],MATCH(G601,implementatie[Zoeksleutel],0),I601 + 1)</f>
        <v>0.69634590758747161</v>
      </c>
      <c r="L60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6398.3621385856895</v>
      </c>
      <c r="M601" s="398" cm="1">
        <f t="array" ref="M601">J601*INDEX(Berekening_impact[Totaal arbeidsbesparing (€/jaar)],MATCH(B601,IF(Berekening_impact[Doelgroep]=C601,Berekening_impact[Digitale zorgtoepassing]),0))</f>
        <v>8828196.054451827</v>
      </c>
      <c r="N601" s="397" cm="1">
        <f t="array" ref="N601">J601*INDEX(Berekening_impact[Totaal arbeidsbesparing (FTE/jaar)],MATCH(B601,IF(Berekening_impact[Doelgroep]=C601,Berekening_impact[Digitale zorgtoepassing]),0))</f>
        <v>207.9467695040349</v>
      </c>
      <c r="O601" s="398" cm="1">
        <f t="array" ref="O601">J601*INDEX(Berekening_impact[Overige kostenbesparing (totaal/jaar totaal potentieel)],MATCH(B601,IF(Berekening_impact[Doelgroep]=C601,Berekening_impact[Digitale zorgtoepassing]),0))</f>
        <v>4348215.9671180649</v>
      </c>
      <c r="P601" s="398" cm="1">
        <f t="array" ref="P601">J601*INDEX(Berekening_impact[Opbrengsten door QALY''s],MATCH(B601,IF(Berekening_impact[Doelgroep]=C601,Berekening_impact[Digitale zorgtoepassing]),0))</f>
        <v>0</v>
      </c>
      <c r="Q601" s="398" cm="1">
        <f t="array" ref="Q601">J601*INDEX(Berekening_impact[Jaarlijkse kosten (totaal) - incl. schatting],MATCH(B601,IF(Berekening_impact[Doelgroep]=C601,Berekening_impact[Digitale zorgtoepassing]),0))</f>
        <v>3403240.8337976886</v>
      </c>
      <c r="R601" s="398" cm="1">
        <f t="array" ref="R601">(uitkomst_doelgroep[[#This Row],[Implementatiegraad t = T + 1]]-uitkomst_doelgroep[[#This Row],[Implementatiegraad t = T]])*INDEX(Berekening_impact[Initiële investering (totaal) - incl. schatting],MATCH(B601,IF(Berekening_impact[Doelgroep]=C601,Berekening_impact[Digitale zorgtoepassing]),0))</f>
        <v>989317.59916482458</v>
      </c>
      <c r="S601" s="398">
        <f>uitkomst_doelgroep[[#This Row],[Arbeidsbesparing (€)]]*uitkomst_doelgroep[[#This Row],[Percentage van patiëntaantallen in Wlz (overige is Zvw)]]</f>
        <v>8828196.054451827</v>
      </c>
      <c r="T601" s="398">
        <f>uitkomst_doelgroep[[#This Row],[Overige besparingen (€)]]*uitkomst_doelgroep[[#This Row],[Percentage van patiëntaantallen in Wlz (overige is Zvw)]]</f>
        <v>4348215.9671180649</v>
      </c>
      <c r="U601" s="398">
        <f>uitkomst_doelgroep[[#This Row],[Kosten (€)]]*uitkomst_doelgroep[[#This Row],[Percentage van patiëntaantallen in Wlz (overige is Zvw)]]</f>
        <v>3403240.8337976886</v>
      </c>
      <c r="V601" s="398">
        <f>uitkomst_doelgroep[[#This Row],[Investering (cash flow) (€)]]*uitkomst_doelgroep[[#This Row],[Percentage van patiëntaantallen in Wlz (overige is Zvw)]]</f>
        <v>989317.59916482458</v>
      </c>
    </row>
    <row r="602" spans="1:22" x14ac:dyDescent="0.5">
      <c r="A602" s="33" t="str">
        <f>INDEX(Technologieën[Veld],MATCH(B602,Technologieën[Digitale zorgtoepassing],0))</f>
        <v>Digitale hulpmiddelen - Verpleging</v>
      </c>
      <c r="B602" s="33" t="s">
        <v>19</v>
      </c>
      <c r="C602" s="33" t="s">
        <v>20</v>
      </c>
      <c r="D602" s="427" cm="1">
        <f t="array" ref="D602">INDEX(Berekening_patiëntaantal[Percentage van patiëntaantallen in Wlz (overige is Zvw)],MATCH(B602,IF(Berekening_patiëntaantal[Doelgroep (zoeksleutel)]=C602,Berekening_patiëntaantal[Digitale zorgtoepassing]),0))</f>
        <v>1</v>
      </c>
      <c r="E602" s="33" t="str" cm="1">
        <f t="array" ref="E602">INDEX(Berekening_patiëntaantal[Direct toepasbaar/extrapolatie/incidentie voor QALY],MATCH(B602,IF(Berekening_patiëntaantal[Doelgroep (zoeksleutel)]=C602,Berekening_patiëntaantal[Digitale zorgtoepassing]),0))</f>
        <v>Huidige toepassing</v>
      </c>
      <c r="F602" s="43" t="s">
        <v>812</v>
      </c>
      <c r="G602" s="33" t="str">
        <f>CONCATENATE(uitkomst_doelgroep[[#This Row],[Digitale zorgtoepassing]],"_",uitkomst_doelgroep[[#This Row],[Doelgroep]],"_",uitkomst_doelgroep[[#This Row],[Uitgangssituatie/effect beleid]])</f>
        <v>Structuurrobot_Dementie_Effect beleid</v>
      </c>
      <c r="H602" s="33">
        <v>2027</v>
      </c>
      <c r="I602" s="32">
        <v>5</v>
      </c>
      <c r="J602" s="406" cm="1">
        <f t="array" ref="J602">INDEX(implementatie[[2023]:[2034]],MATCH(G602, implementatie[Zoeksleutel],0),I602)</f>
        <v>0.59152735761672615</v>
      </c>
      <c r="K602" s="406" cm="1">
        <f t="array" ref="K602">INDEX(implementatie[[2023]:[2034]],MATCH(G602,implementatie[Zoeksleutel],0),I602 + 1)</f>
        <v>0.69634590758747161</v>
      </c>
      <c r="L60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14448.20359162794</v>
      </c>
      <c r="M602" s="398" cm="1">
        <f t="array" ref="M602">J602*INDEX(Berekening_impact[Totaal arbeidsbesparing (€/jaar)],MATCH(B602,IF(Berekening_impact[Doelgroep]=C602,Berekening_impact[Digitale zorgtoepassing]),0))</f>
        <v>19935035.119740948</v>
      </c>
      <c r="N602" s="397" cm="1">
        <f t="array" ref="N602">J602*INDEX(Berekening_impact[Totaal arbeidsbesparing (FTE/jaar)],MATCH(B602,IF(Berekening_impact[Doelgroep]=C602,Berekening_impact[Digitale zorgtoepassing]),0))</f>
        <v>469.56661672790807</v>
      </c>
      <c r="O602" s="398" cm="1">
        <f t="array" ref="O602">J602*INDEX(Berekening_impact[Overige kostenbesparing (totaal/jaar totaal potentieel)],MATCH(B602,IF(Berekening_impact[Doelgroep]=C602,Berekening_impact[Digitale zorgtoepassing]),0))</f>
        <v>9818748.6410664357</v>
      </c>
      <c r="P602" s="398" cm="1">
        <f t="array" ref="P602">J602*INDEX(Berekening_impact[Opbrengsten door QALY''s],MATCH(B602,IF(Berekening_impact[Doelgroep]=C602,Berekening_impact[Digitale zorgtoepassing]),0))</f>
        <v>0</v>
      </c>
      <c r="Q602" s="398" cm="1">
        <f t="array" ref="Q602">J602*INDEX(Berekening_impact[Jaarlijkse kosten (totaal) - incl. schatting],MATCH(B602,IF(Berekening_impact[Doelgroep]=C602,Berekening_impact[Digitale zorgtoepassing]),0))</f>
        <v>7684891.1288599633</v>
      </c>
      <c r="R602" s="398" cm="1">
        <f t="array" ref="R602">(uitkomst_doelgroep[[#This Row],[Implementatiegraad t = T + 1]]-uitkomst_doelgroep[[#This Row],[Implementatiegraad t = T]])*INDEX(Berekening_impact[Initiële investering (totaal) - incl. schatting],MATCH(B602,IF(Berekening_impact[Doelgroep]=C602,Berekening_impact[Digitale zorgtoepassing]),0))</f>
        <v>2012714.9216136951</v>
      </c>
      <c r="S602" s="398">
        <f>uitkomst_doelgroep[[#This Row],[Arbeidsbesparing (€)]]*uitkomst_doelgroep[[#This Row],[Percentage van patiëntaantallen in Wlz (overige is Zvw)]]</f>
        <v>19935035.119740948</v>
      </c>
      <c r="T602" s="398">
        <f>uitkomst_doelgroep[[#This Row],[Overige besparingen (€)]]*uitkomst_doelgroep[[#This Row],[Percentage van patiëntaantallen in Wlz (overige is Zvw)]]</f>
        <v>9818748.6410664357</v>
      </c>
      <c r="U602" s="398">
        <f>uitkomst_doelgroep[[#This Row],[Kosten (€)]]*uitkomst_doelgroep[[#This Row],[Percentage van patiëntaantallen in Wlz (overige is Zvw)]]</f>
        <v>7684891.1288599633</v>
      </c>
      <c r="V602" s="398">
        <f>uitkomst_doelgroep[[#This Row],[Investering (cash flow) (€)]]*uitkomst_doelgroep[[#This Row],[Percentage van patiëntaantallen in Wlz (overige is Zvw)]]</f>
        <v>2012714.9216136951</v>
      </c>
    </row>
    <row r="603" spans="1:22" x14ac:dyDescent="0.5">
      <c r="A603" s="33" t="str">
        <f>INDEX(Technologieën[Veld],MATCH(B603,Technologieën[Digitale zorgtoepassing],0))</f>
        <v>Digitale hulpmiddelen - Verpleging</v>
      </c>
      <c r="B603" s="33" t="s">
        <v>19</v>
      </c>
      <c r="C603" s="33" t="s">
        <v>27</v>
      </c>
      <c r="D603" s="427" cm="1">
        <f t="array" ref="D603">INDEX(Berekening_patiëntaantal[Percentage van patiëntaantallen in Wlz (overige is Zvw)],MATCH(B603,IF(Berekening_patiëntaantal[Doelgroep (zoeksleutel)]=C603,Berekening_patiëntaantal[Digitale zorgtoepassing]),0))</f>
        <v>0.45</v>
      </c>
      <c r="E603" s="33" t="str" cm="1">
        <f t="array" ref="E603">INDEX(Berekening_patiëntaantal[Direct toepasbaar/extrapolatie/incidentie voor QALY],MATCH(B603,IF(Berekening_patiëntaantal[Doelgroep (zoeksleutel)]=C603,Berekening_patiëntaantal[Digitale zorgtoepassing]),0))</f>
        <v>Extrapolatie</v>
      </c>
      <c r="F603" s="43" t="s">
        <v>812</v>
      </c>
      <c r="G603" s="33" t="str">
        <f>CONCATENATE(uitkomst_doelgroep[[#This Row],[Digitale zorgtoepassing]],"_",uitkomst_doelgroep[[#This Row],[Doelgroep]],"_",uitkomst_doelgroep[[#This Row],[Uitgangssituatie/effect beleid]])</f>
        <v>Structuurrobot_Parkinson_Effect beleid</v>
      </c>
      <c r="H603" s="33">
        <v>2028</v>
      </c>
      <c r="I603" s="32">
        <v>6</v>
      </c>
      <c r="J603" s="406" cm="1">
        <f t="array" ref="J603">INDEX(implementatie[[2023]:[2034]],MATCH(G603, implementatie[Zoeksleutel],0),I603)</f>
        <v>0.13384180086769301</v>
      </c>
      <c r="K603" s="406" cm="1">
        <f t="array" ref="K603">INDEX(implementatie[[2023]:[2034]],MATCH(G603,implementatie[Zoeksleutel],0),I603 + 1)</f>
        <v>0.19753623413361349</v>
      </c>
      <c r="L60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1062.034689885144</v>
      </c>
      <c r="M603" s="398" cm="1">
        <f t="array" ref="M603">J603*INDEX(Berekening_impact[Totaal arbeidsbesparing (€/jaar)],MATCH(B603,IF(Berekening_impact[Doelgroep]=C603,Berekening_impact[Digitale zorgtoepassing]),0))</f>
        <v>1465351.6409134448</v>
      </c>
      <c r="N603" s="397" cm="1">
        <f t="array" ref="N603">J603*INDEX(Berekening_impact[Totaal arbeidsbesparing (FTE/jaar)],MATCH(B603,IF(Berekening_impact[Doelgroep]=C603,Berekening_impact[Digitale zorgtoepassing]),0))</f>
        <v>34.516127421267178</v>
      </c>
      <c r="O603" s="398" cm="1">
        <f t="array" ref="O603">J603*INDEX(Berekening_impact[Overige kostenbesparing (totaal/jaar totaal potentieel)],MATCH(B603,IF(Berekening_impact[Doelgroep]=C603,Berekening_impact[Digitale zorgtoepassing]),0))</f>
        <v>721740.36044990574</v>
      </c>
      <c r="P603" s="398" cm="1">
        <f t="array" ref="P603">J603*INDEX(Berekening_impact[Opbrengsten door QALY''s],MATCH(B603,IF(Berekening_impact[Doelgroep]=C603,Berekening_impact[Digitale zorgtoepassing]),0))</f>
        <v>0</v>
      </c>
      <c r="Q603" s="398" cm="1">
        <f t="array" ref="Q603">J603*INDEX(Berekening_impact[Jaarlijkse kosten (totaal) - incl. schatting],MATCH(B603,IF(Berekening_impact[Doelgroep]=C603,Berekening_impact[Digitale zorgtoepassing]),0))</f>
        <v>564888.28628973395</v>
      </c>
      <c r="R603" s="398" cm="1">
        <f t="array" ref="R603">(uitkomst_doelgroep[[#This Row],[Implementatiegraad t = T + 1]]-uitkomst_doelgroep[[#This Row],[Implementatiegraad t = T]])*INDEX(Berekening_impact[Initiële investering (totaal) - incl. schatting],MATCH(B603,IF(Berekening_impact[Doelgroep]=C603,Berekening_impact[Digitale zorgtoepassing]),0))</f>
        <v>0</v>
      </c>
      <c r="S603" s="398">
        <f>uitkomst_doelgroep[[#This Row],[Arbeidsbesparing (€)]]*uitkomst_doelgroep[[#This Row],[Percentage van patiëntaantallen in Wlz (overige is Zvw)]]</f>
        <v>659408.23841105017</v>
      </c>
      <c r="T603" s="398">
        <f>uitkomst_doelgroep[[#This Row],[Overige besparingen (€)]]*uitkomst_doelgroep[[#This Row],[Percentage van patiëntaantallen in Wlz (overige is Zvw)]]</f>
        <v>324783.16220245761</v>
      </c>
      <c r="U603" s="398">
        <f>uitkomst_doelgroep[[#This Row],[Kosten (€)]]*uitkomst_doelgroep[[#This Row],[Percentage van patiëntaantallen in Wlz (overige is Zvw)]]</f>
        <v>254199.72883038028</v>
      </c>
      <c r="V603" s="398">
        <f>uitkomst_doelgroep[[#This Row],[Investering (cash flow) (€)]]*uitkomst_doelgroep[[#This Row],[Percentage van patiëntaantallen in Wlz (overige is Zvw)]]</f>
        <v>0</v>
      </c>
    </row>
    <row r="604" spans="1:22" x14ac:dyDescent="0.5">
      <c r="A604" s="33" t="str">
        <f>INDEX(Technologieën[Veld],MATCH(B604,Technologieën[Digitale zorgtoepassing],0))</f>
        <v>Digitale hulpmiddelen - Verpleging</v>
      </c>
      <c r="B604" s="33" t="s">
        <v>19</v>
      </c>
      <c r="C604" s="33" t="s">
        <v>24</v>
      </c>
      <c r="D604" s="427" cm="1">
        <f t="array" ref="D604">INDEX(Berekening_patiëntaantal[Percentage van patiëntaantallen in Wlz (overige is Zvw)],MATCH(B604,IF(Berekening_patiëntaantal[Doelgroep (zoeksleutel)]=C604,Berekening_patiëntaantal[Digitale zorgtoepassing]),0))</f>
        <v>1</v>
      </c>
      <c r="E604" s="33" t="str" cm="1">
        <f t="array" ref="E604">INDEX(Berekening_patiëntaantal[Direct toepasbaar/extrapolatie/incidentie voor QALY],MATCH(B604,IF(Berekening_patiëntaantal[Doelgroep (zoeksleutel)]=C604,Berekening_patiëntaantal[Digitale zorgtoepassing]),0))</f>
        <v>Huidige toepassing</v>
      </c>
      <c r="F604" s="43" t="s">
        <v>812</v>
      </c>
      <c r="G604" s="33" t="str">
        <f>CONCATENATE(uitkomst_doelgroep[[#This Row],[Digitale zorgtoepassing]],"_",uitkomst_doelgroep[[#This Row],[Doelgroep]],"_",uitkomst_doelgroep[[#This Row],[Uitgangssituatie/effect beleid]])</f>
        <v>Structuurrobot_Cognitieve beperking_Effect beleid</v>
      </c>
      <c r="H604" s="33">
        <v>2028</v>
      </c>
      <c r="I604" s="32">
        <v>6</v>
      </c>
      <c r="J604" s="406" cm="1">
        <f t="array" ref="J604">INDEX(implementatie[[2023]:[2034]],MATCH(G604, implementatie[Zoeksleutel],0),I604)</f>
        <v>0.69634590758747161</v>
      </c>
      <c r="K604" s="406" cm="1">
        <f t="array" ref="K604">INDEX(implementatie[[2023]:[2034]],MATCH(G604,implementatie[Zoeksleutel],0),I604 + 1)</f>
        <v>0.78699830326518305</v>
      </c>
      <c r="L60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7532.1508516832528</v>
      </c>
      <c r="M604" s="398" cm="1">
        <f t="array" ref="M604">J604*INDEX(Berekening_impact[Totaal arbeidsbesparing (€/jaar)],MATCH(B604,IF(Berekening_impact[Doelgroep]=C604,Berekening_impact[Digitale zorgtoepassing]),0))</f>
        <v>10392550.935709361</v>
      </c>
      <c r="N604" s="397" cm="1">
        <f t="array" ref="N604">J604*INDEX(Berekening_impact[Totaal arbeidsbesparing (FTE/jaar)],MATCH(B604,IF(Berekening_impact[Doelgroep]=C604,Berekening_impact[Digitale zorgtoepassing]),0))</f>
        <v>244.7949026797057</v>
      </c>
      <c r="O604" s="398" cm="1">
        <f t="array" ref="O604">J604*INDEX(Berekening_impact[Overige kostenbesparing (totaal/jaar totaal potentieel)],MATCH(B604,IF(Berekening_impact[Doelgroep]=C604,Berekening_impact[Digitale zorgtoepassing]),0))</f>
        <v>5118719.1175881932</v>
      </c>
      <c r="P604" s="398" cm="1">
        <f t="array" ref="P604">J604*INDEX(Berekening_impact[Opbrengsten door QALY''s],MATCH(B604,IF(Berekening_impact[Doelgroep]=C604,Berekening_impact[Digitale zorgtoepassing]),0))</f>
        <v>0</v>
      </c>
      <c r="Q604" s="398" cm="1">
        <f t="array" ref="Q604">J604*INDEX(Berekening_impact[Jaarlijkse kosten (totaal) - incl. schatting],MATCH(B604,IF(Berekening_impact[Doelgroep]=C604,Berekening_impact[Digitale zorgtoepassing]),0))</f>
        <v>4006294.5468789339</v>
      </c>
      <c r="R604" s="398" cm="1">
        <f t="array" ref="R604">(uitkomst_doelgroep[[#This Row],[Implementatiegraad t = T + 1]]-uitkomst_doelgroep[[#This Row],[Implementatiegraad t = T]])*INDEX(Berekening_impact[Initiële investering (totaal) - incl. schatting],MATCH(B604,IF(Berekening_impact[Doelgroep]=C604,Berekening_impact[Digitale zorgtoepassing]),0))</f>
        <v>855612.01214330608</v>
      </c>
      <c r="S604" s="398">
        <f>uitkomst_doelgroep[[#This Row],[Arbeidsbesparing (€)]]*uitkomst_doelgroep[[#This Row],[Percentage van patiëntaantallen in Wlz (overige is Zvw)]]</f>
        <v>10392550.935709361</v>
      </c>
      <c r="T604" s="398">
        <f>uitkomst_doelgroep[[#This Row],[Overige besparingen (€)]]*uitkomst_doelgroep[[#This Row],[Percentage van patiëntaantallen in Wlz (overige is Zvw)]]</f>
        <v>5118719.1175881932</v>
      </c>
      <c r="U604" s="398">
        <f>uitkomst_doelgroep[[#This Row],[Kosten (€)]]*uitkomst_doelgroep[[#This Row],[Percentage van patiëntaantallen in Wlz (overige is Zvw)]]</f>
        <v>4006294.5468789339</v>
      </c>
      <c r="V604" s="398">
        <f>uitkomst_doelgroep[[#This Row],[Investering (cash flow) (€)]]*uitkomst_doelgroep[[#This Row],[Percentage van patiëntaantallen in Wlz (overige is Zvw)]]</f>
        <v>855612.01214330608</v>
      </c>
    </row>
    <row r="605" spans="1:22" x14ac:dyDescent="0.5">
      <c r="A605" s="33" t="str">
        <f>INDEX(Technologieën[Veld],MATCH(B605,Technologieën[Digitale zorgtoepassing],0))</f>
        <v>Digitale hulpmiddelen - Verpleging</v>
      </c>
      <c r="B605" s="33" t="s">
        <v>19</v>
      </c>
      <c r="C605" s="33" t="s">
        <v>20</v>
      </c>
      <c r="D605" s="427" cm="1">
        <f t="array" ref="D605">INDEX(Berekening_patiëntaantal[Percentage van patiëntaantallen in Wlz (overige is Zvw)],MATCH(B605,IF(Berekening_patiëntaantal[Doelgroep (zoeksleutel)]=C605,Berekening_patiëntaantal[Digitale zorgtoepassing]),0))</f>
        <v>1</v>
      </c>
      <c r="E605" s="33" t="str" cm="1">
        <f t="array" ref="E605">INDEX(Berekening_patiëntaantal[Direct toepasbaar/extrapolatie/incidentie voor QALY],MATCH(B605,IF(Berekening_patiëntaantal[Doelgroep (zoeksleutel)]=C605,Berekening_patiëntaantal[Digitale zorgtoepassing]),0))</f>
        <v>Huidige toepassing</v>
      </c>
      <c r="F605" s="43" t="s">
        <v>812</v>
      </c>
      <c r="G605" s="33" t="str">
        <f>CONCATENATE(uitkomst_doelgroep[[#This Row],[Digitale zorgtoepassing]],"_",uitkomst_doelgroep[[#This Row],[Doelgroep]],"_",uitkomst_doelgroep[[#This Row],[Uitgangssituatie/effect beleid]])</f>
        <v>Structuurrobot_Dementie_Effect beleid</v>
      </c>
      <c r="H605" s="33">
        <v>2028</v>
      </c>
      <c r="I605" s="32">
        <v>6</v>
      </c>
      <c r="J605" s="406" cm="1">
        <f t="array" ref="J605">INDEX(implementatie[[2023]:[2034]],MATCH(G605, implementatie[Zoeksleutel],0),I605)</f>
        <v>0.69634590758747161</v>
      </c>
      <c r="K605" s="406" cm="1">
        <f t="array" ref="K605">INDEX(implementatie[[2023]:[2034]],MATCH(G605,implementatie[Zoeksleutel],0),I605 + 1)</f>
        <v>0.78699830326518305</v>
      </c>
      <c r="L60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17008.422879300892</v>
      </c>
      <c r="M605" s="398" cm="1">
        <f t="array" ref="M605">J605*INDEX(Berekening_impact[Totaal arbeidsbesparing (€/jaar)],MATCH(B605,IF(Berekening_impact[Doelgroep]=C605,Berekening_impact[Digitale zorgtoepassing]),0))</f>
        <v>23467520.04704171</v>
      </c>
      <c r="N605" s="397" cm="1">
        <f t="array" ref="N605">J605*INDEX(Berekening_impact[Totaal arbeidsbesparing (FTE/jaar)],MATCH(B605,IF(Berekening_impact[Doelgroep]=C605,Berekening_impact[Digitale zorgtoepassing]),0))</f>
        <v>552.77374357727899</v>
      </c>
      <c r="O605" s="398" cm="1">
        <f t="array" ref="O605">J605*INDEX(Berekening_impact[Overige kostenbesparing (totaal/jaar totaal potentieel)],MATCH(B605,IF(Berekening_impact[Doelgroep]=C605,Berekening_impact[Digitale zorgtoepassing]),0))</f>
        <v>11558629.276901139</v>
      </c>
      <c r="P605" s="398" cm="1">
        <f t="array" ref="P605">J605*INDEX(Berekening_impact[Opbrengsten door QALY''s],MATCH(B605,IF(Berekening_impact[Doelgroep]=C605,Berekening_impact[Digitale zorgtoepassing]),0))</f>
        <v>0</v>
      </c>
      <c r="Q605" s="398" cm="1">
        <f t="array" ref="Q605">J605*INDEX(Berekening_impact[Jaarlijkse kosten (totaal) - incl. schatting],MATCH(B605,IF(Berekening_impact[Doelgroep]=C605,Berekening_impact[Digitale zorgtoepassing]),0))</f>
        <v>9046652.5663285479</v>
      </c>
      <c r="R605" s="398" cm="1">
        <f t="array" ref="R605">(uitkomst_doelgroep[[#This Row],[Implementatiegraad t = T + 1]]-uitkomst_doelgroep[[#This Row],[Implementatiegraad t = T]])*INDEX(Berekening_impact[Initiële investering (totaal) - incl. schatting],MATCH(B605,IF(Berekening_impact[Doelgroep]=C605,Berekening_impact[Digitale zorgtoepassing]),0))</f>
        <v>1740697.8966173634</v>
      </c>
      <c r="S605" s="398">
        <f>uitkomst_doelgroep[[#This Row],[Arbeidsbesparing (€)]]*uitkomst_doelgroep[[#This Row],[Percentage van patiëntaantallen in Wlz (overige is Zvw)]]</f>
        <v>23467520.04704171</v>
      </c>
      <c r="T605" s="398">
        <f>uitkomst_doelgroep[[#This Row],[Overige besparingen (€)]]*uitkomst_doelgroep[[#This Row],[Percentage van patiëntaantallen in Wlz (overige is Zvw)]]</f>
        <v>11558629.276901139</v>
      </c>
      <c r="U605" s="398">
        <f>uitkomst_doelgroep[[#This Row],[Kosten (€)]]*uitkomst_doelgroep[[#This Row],[Percentage van patiëntaantallen in Wlz (overige is Zvw)]]</f>
        <v>9046652.5663285479</v>
      </c>
      <c r="V605" s="398">
        <f>uitkomst_doelgroep[[#This Row],[Investering (cash flow) (€)]]*uitkomst_doelgroep[[#This Row],[Percentage van patiëntaantallen in Wlz (overige is Zvw)]]</f>
        <v>1740697.8966173634</v>
      </c>
    </row>
    <row r="606" spans="1:22" x14ac:dyDescent="0.5">
      <c r="A606" s="33" t="str">
        <f>INDEX(Technologieën[Veld],MATCH(B606,Technologieën[Digitale zorgtoepassing],0))</f>
        <v>Digitale hulpmiddelen - Verpleging</v>
      </c>
      <c r="B606" s="33" t="s">
        <v>19</v>
      </c>
      <c r="C606" s="33" t="s">
        <v>27</v>
      </c>
      <c r="D606" s="427" cm="1">
        <f t="array" ref="D606">INDEX(Berekening_patiëntaantal[Percentage van patiëntaantallen in Wlz (overige is Zvw)],MATCH(B606,IF(Berekening_patiëntaantal[Doelgroep (zoeksleutel)]=C606,Berekening_patiëntaantal[Digitale zorgtoepassing]),0))</f>
        <v>0.45</v>
      </c>
      <c r="E606" s="33" t="str" cm="1">
        <f t="array" ref="E606">INDEX(Berekening_patiëntaantal[Direct toepasbaar/extrapolatie/incidentie voor QALY],MATCH(B606,IF(Berekening_patiëntaantal[Doelgroep (zoeksleutel)]=C606,Berekening_patiëntaantal[Digitale zorgtoepassing]),0))</f>
        <v>Extrapolatie</v>
      </c>
      <c r="F606" s="43" t="s">
        <v>812</v>
      </c>
      <c r="G606" s="33" t="str">
        <f>CONCATENATE(uitkomst_doelgroep[[#This Row],[Digitale zorgtoepassing]],"_",uitkomst_doelgroep[[#This Row],[Doelgroep]],"_",uitkomst_doelgroep[[#This Row],[Uitgangssituatie/effect beleid]])</f>
        <v>Structuurrobot_Parkinson_Effect beleid</v>
      </c>
      <c r="H606" s="33">
        <v>2029</v>
      </c>
      <c r="I606" s="32">
        <v>7</v>
      </c>
      <c r="J606" s="406" cm="1">
        <f t="array" ref="J606">INDEX(implementatie[[2023]:[2034]],MATCH(G606, implementatie[Zoeksleutel],0),I606)</f>
        <v>0.19753623413361349</v>
      </c>
      <c r="K606" s="406" cm="1">
        <f t="array" ref="K606">INDEX(implementatie[[2023]:[2034]],MATCH(G606,implementatie[Zoeksleutel],0),I606 + 1)</f>
        <v>0.27699177758611071</v>
      </c>
      <c r="L60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1567.450017850223</v>
      </c>
      <c r="M606" s="398" cm="1">
        <f t="array" ref="M606">J606*INDEX(Berekening_impact[Totaal arbeidsbesparing (€/jaar)],MATCH(B606,IF(Berekening_impact[Doelgroep]=C606,Berekening_impact[Digitale zorgtoepassing]),0))</f>
        <v>2162702.8547956673</v>
      </c>
      <c r="N606" s="397" cm="1">
        <f t="array" ref="N606">J606*INDEX(Berekening_impact[Totaal arbeidsbesparing (FTE/jaar)],MATCH(B606,IF(Berekening_impact[Doelgroep]=C606,Berekening_impact[Digitale zorgtoepassing]),0))</f>
        <v>50.942125580132249</v>
      </c>
      <c r="O606" s="398" cm="1">
        <f t="array" ref="O606">J606*INDEX(Berekening_impact[Overige kostenbesparing (totaal/jaar totaal potentieel)],MATCH(B606,IF(Berekening_impact[Doelgroep]=C606,Berekening_impact[Digitale zorgtoepassing]),0))</f>
        <v>1065211.8538545826</v>
      </c>
      <c r="P606" s="398" cm="1">
        <f t="array" ref="P606">J606*INDEX(Berekening_impact[Opbrengsten door QALY''s],MATCH(B606,IF(Berekening_impact[Doelgroep]=C606,Berekening_impact[Digitale zorgtoepassing]),0))</f>
        <v>0</v>
      </c>
      <c r="Q606" s="398" cm="1">
        <f t="array" ref="Q606">J606*INDEX(Berekening_impact[Jaarlijkse kosten (totaal) - incl. schatting],MATCH(B606,IF(Berekening_impact[Doelgroep]=C606,Berekening_impact[Digitale zorgtoepassing]),0))</f>
        <v>833714.90861939976</v>
      </c>
      <c r="R606" s="398" cm="1">
        <f t="array" ref="R606">(uitkomst_doelgroep[[#This Row],[Implementatiegraad t = T + 1]]-uitkomst_doelgroep[[#This Row],[Implementatiegraad t = T]])*INDEX(Berekening_impact[Initiële investering (totaal) - incl. schatting],MATCH(B606,IF(Berekening_impact[Doelgroep]=C606,Berekening_impact[Digitale zorgtoepassing]),0))</f>
        <v>0</v>
      </c>
      <c r="S606" s="398">
        <f>uitkomst_doelgroep[[#This Row],[Arbeidsbesparing (€)]]*uitkomst_doelgroep[[#This Row],[Percentage van patiëntaantallen in Wlz (overige is Zvw)]]</f>
        <v>973216.28465805028</v>
      </c>
      <c r="T606" s="398">
        <f>uitkomst_doelgroep[[#This Row],[Overige besparingen (€)]]*uitkomst_doelgroep[[#This Row],[Percentage van patiëntaantallen in Wlz (overige is Zvw)]]</f>
        <v>479345.33423456218</v>
      </c>
      <c r="U606" s="398">
        <f>uitkomst_doelgroep[[#This Row],[Kosten (€)]]*uitkomst_doelgroep[[#This Row],[Percentage van patiëntaantallen in Wlz (overige is Zvw)]]</f>
        <v>375171.7088787299</v>
      </c>
      <c r="V606" s="398">
        <f>uitkomst_doelgroep[[#This Row],[Investering (cash flow) (€)]]*uitkomst_doelgroep[[#This Row],[Percentage van patiëntaantallen in Wlz (overige is Zvw)]]</f>
        <v>0</v>
      </c>
    </row>
    <row r="607" spans="1:22" x14ac:dyDescent="0.5">
      <c r="A607" s="33" t="str">
        <f>INDEX(Technologieën[Veld],MATCH(B607,Technologieën[Digitale zorgtoepassing],0))</f>
        <v>Digitale hulpmiddelen - Verpleging</v>
      </c>
      <c r="B607" s="33" t="s">
        <v>19</v>
      </c>
      <c r="C607" s="33" t="s">
        <v>24</v>
      </c>
      <c r="D607" s="427" cm="1">
        <f t="array" ref="D607">INDEX(Berekening_patiëntaantal[Percentage van patiëntaantallen in Wlz (overige is Zvw)],MATCH(B607,IF(Berekening_patiëntaantal[Doelgroep (zoeksleutel)]=C607,Berekening_patiëntaantal[Digitale zorgtoepassing]),0))</f>
        <v>1</v>
      </c>
      <c r="E607" s="33" t="str" cm="1">
        <f t="array" ref="E607">INDEX(Berekening_patiëntaantal[Direct toepasbaar/extrapolatie/incidentie voor QALY],MATCH(B607,IF(Berekening_patiëntaantal[Doelgroep (zoeksleutel)]=C607,Berekening_patiëntaantal[Digitale zorgtoepassing]),0))</f>
        <v>Huidige toepassing</v>
      </c>
      <c r="F607" s="43" t="s">
        <v>812</v>
      </c>
      <c r="G607" s="33" t="str">
        <f>CONCATENATE(uitkomst_doelgroep[[#This Row],[Digitale zorgtoepassing]],"_",uitkomst_doelgroep[[#This Row],[Doelgroep]],"_",uitkomst_doelgroep[[#This Row],[Uitgangssituatie/effect beleid]])</f>
        <v>Structuurrobot_Cognitieve beperking_Effect beleid</v>
      </c>
      <c r="H607" s="33">
        <v>2029</v>
      </c>
      <c r="I607" s="32">
        <v>7</v>
      </c>
      <c r="J607" s="406" cm="1">
        <f t="array" ref="J607">INDEX(implementatie[[2023]:[2034]],MATCH(G607, implementatie[Zoeksleutel],0),I607)</f>
        <v>0.78699830326518305</v>
      </c>
      <c r="K607" s="406" cm="1">
        <f t="array" ref="K607">INDEX(implementatie[[2023]:[2034]],MATCH(G607,implementatie[Zoeksleutel],0),I607 + 1)</f>
        <v>0.85831112676904175</v>
      </c>
      <c r="L60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8512.7088069624406</v>
      </c>
      <c r="M607" s="398" cm="1">
        <f t="array" ref="M607">J607*INDEX(Berekening_impact[Totaal arbeidsbesparing (€/jaar)],MATCH(B607,IF(Berekening_impact[Doelgroep]=C607,Berekening_impact[Digitale zorgtoepassing]),0))</f>
        <v>11745484.340299454</v>
      </c>
      <c r="N607" s="397" cm="1">
        <f t="array" ref="N607">J607*INDEX(Berekening_impact[Totaal arbeidsbesparing (FTE/jaar)],MATCH(B607,IF(Berekening_impact[Doelgroep]=C607,Berekening_impact[Digitale zorgtoepassing]),0))</f>
        <v>276.6630362262793</v>
      </c>
      <c r="O607" s="398" cm="1">
        <f t="array" ref="O607">J607*INDEX(Berekening_impact[Overige kostenbesparing (totaal/jaar totaal potentieel)],MATCH(B607,IF(Berekening_impact[Doelgroep]=C607,Berekening_impact[Digitale zorgtoepassing]),0))</f>
        <v>5785089.3019385375</v>
      </c>
      <c r="P607" s="398" cm="1">
        <f t="array" ref="P607">J607*INDEX(Berekening_impact[Opbrengsten door QALY''s],MATCH(B607,IF(Berekening_impact[Doelgroep]=C607,Berekening_impact[Digitale zorgtoepassing]),0))</f>
        <v>0</v>
      </c>
      <c r="Q607" s="398" cm="1">
        <f t="array" ref="Q607">J607*INDEX(Berekening_impact[Jaarlijkse kosten (totaal) - incl. schatting],MATCH(B607,IF(Berekening_impact[Doelgroep]=C607,Berekening_impact[Digitale zorgtoepassing]),0))</f>
        <v>4527845.9691072693</v>
      </c>
      <c r="R607" s="398" cm="1">
        <f t="array" ref="R607">(uitkomst_doelgroep[[#This Row],[Implementatiegraad t = T + 1]]-uitkomst_doelgroep[[#This Row],[Implementatiegraad t = T]])*INDEX(Berekening_impact[Initiële investering (totaal) - incl. schatting],MATCH(B607,IF(Berekening_impact[Doelgroep]=C607,Berekening_impact[Digitale zorgtoepassing]),0))</f>
        <v>673077.72677825578</v>
      </c>
      <c r="S607" s="398">
        <f>uitkomst_doelgroep[[#This Row],[Arbeidsbesparing (€)]]*uitkomst_doelgroep[[#This Row],[Percentage van patiëntaantallen in Wlz (overige is Zvw)]]</f>
        <v>11745484.340299454</v>
      </c>
      <c r="T607" s="398">
        <f>uitkomst_doelgroep[[#This Row],[Overige besparingen (€)]]*uitkomst_doelgroep[[#This Row],[Percentage van patiëntaantallen in Wlz (overige is Zvw)]]</f>
        <v>5785089.3019385375</v>
      </c>
      <c r="U607" s="398">
        <f>uitkomst_doelgroep[[#This Row],[Kosten (€)]]*uitkomst_doelgroep[[#This Row],[Percentage van patiëntaantallen in Wlz (overige is Zvw)]]</f>
        <v>4527845.9691072693</v>
      </c>
      <c r="V607" s="398">
        <f>uitkomst_doelgroep[[#This Row],[Investering (cash flow) (€)]]*uitkomst_doelgroep[[#This Row],[Percentage van patiëntaantallen in Wlz (overige is Zvw)]]</f>
        <v>673077.72677825578</v>
      </c>
    </row>
    <row r="608" spans="1:22" x14ac:dyDescent="0.5">
      <c r="A608" s="33" t="str">
        <f>INDEX(Technologieën[Veld],MATCH(B608,Technologieën[Digitale zorgtoepassing],0))</f>
        <v>Digitale hulpmiddelen - Verpleging</v>
      </c>
      <c r="B608" s="33" t="s">
        <v>19</v>
      </c>
      <c r="C608" s="33" t="s">
        <v>20</v>
      </c>
      <c r="D608" s="427" cm="1">
        <f t="array" ref="D608">INDEX(Berekening_patiëntaantal[Percentage van patiëntaantallen in Wlz (overige is Zvw)],MATCH(B608,IF(Berekening_patiëntaantal[Doelgroep (zoeksleutel)]=C608,Berekening_patiëntaantal[Digitale zorgtoepassing]),0))</f>
        <v>1</v>
      </c>
      <c r="E608" s="33" t="str" cm="1">
        <f t="array" ref="E608">INDEX(Berekening_patiëntaantal[Direct toepasbaar/extrapolatie/incidentie voor QALY],MATCH(B608,IF(Berekening_patiëntaantal[Doelgroep (zoeksleutel)]=C608,Berekening_patiëntaantal[Digitale zorgtoepassing]),0))</f>
        <v>Huidige toepassing</v>
      </c>
      <c r="F608" s="43" t="s">
        <v>812</v>
      </c>
      <c r="G608" s="33" t="str">
        <f>CONCATENATE(uitkomst_doelgroep[[#This Row],[Digitale zorgtoepassing]],"_",uitkomst_doelgroep[[#This Row],[Doelgroep]],"_",uitkomst_doelgroep[[#This Row],[Uitgangssituatie/effect beleid]])</f>
        <v>Structuurrobot_Dementie_Effect beleid</v>
      </c>
      <c r="H608" s="33">
        <v>2029</v>
      </c>
      <c r="I608" s="32">
        <v>7</v>
      </c>
      <c r="J608" s="406" cm="1">
        <f t="array" ref="J608">INDEX(implementatie[[2023]:[2034]],MATCH(G608, implementatie[Zoeksleutel],0),I608)</f>
        <v>0.78699830326518305</v>
      </c>
      <c r="K608" s="406" cm="1">
        <f t="array" ref="K608">INDEX(implementatie[[2023]:[2034]],MATCH(G608,implementatie[Zoeksleutel],0),I608 + 1)</f>
        <v>0.85831112676904175</v>
      </c>
      <c r="L60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19222.630306827912</v>
      </c>
      <c r="M608" s="398" cm="1">
        <f t="array" ref="M608">J608*INDEX(Berekening_impact[Totaal arbeidsbesparing (€/jaar)],MATCH(B608,IF(Berekening_impact[Doelgroep]=C608,Berekening_impact[Digitale zorgtoepassing]),0))</f>
        <v>26522592.087673783</v>
      </c>
      <c r="N608" s="397" cm="1">
        <f t="array" ref="N608">J608*INDEX(Berekening_impact[Totaal arbeidsbesparing (FTE/jaar)],MATCH(B608,IF(Berekening_impact[Doelgroep]=C608,Berekening_impact[Digitale zorgtoepassing]),0))</f>
        <v>624.73548497190723</v>
      </c>
      <c r="O608" s="398" cm="1">
        <f t="array" ref="O608">J608*INDEX(Berekening_impact[Overige kostenbesparing (totaal/jaar totaal potentieel)],MATCH(B608,IF(Berekening_impact[Doelgroep]=C608,Berekening_impact[Digitale zorgtoepassing]),0))</f>
        <v>13063366.252137832</v>
      </c>
      <c r="P608" s="398" cm="1">
        <f t="array" ref="P608">J608*INDEX(Berekening_impact[Opbrengsten door QALY''s],MATCH(B608,IF(Berekening_impact[Doelgroep]=C608,Berekening_impact[Digitale zorgtoepassing]),0))</f>
        <v>0</v>
      </c>
      <c r="Q608" s="398" cm="1">
        <f t="array" ref="Q608">J608*INDEX(Berekening_impact[Jaarlijkse kosten (totaal) - incl. schatting],MATCH(B608,IF(Berekening_impact[Doelgroep]=C608,Berekening_impact[Digitale zorgtoepassing]),0))</f>
        <v>10224372.890474463</v>
      </c>
      <c r="R608" s="398" cm="1">
        <f t="array" ref="R608">(uitkomst_doelgroep[[#This Row],[Implementatiegraad t = T + 1]]-uitkomst_doelgroep[[#This Row],[Implementatiegraad t = T]])*INDEX(Berekening_impact[Initiële investering (totaal) - incl. schatting],MATCH(B608,IF(Berekening_impact[Doelgroep]=C608,Berekening_impact[Digitale zorgtoepassing]),0))</f>
        <v>1369341.4382156562</v>
      </c>
      <c r="S608" s="398">
        <f>uitkomst_doelgroep[[#This Row],[Arbeidsbesparing (€)]]*uitkomst_doelgroep[[#This Row],[Percentage van patiëntaantallen in Wlz (overige is Zvw)]]</f>
        <v>26522592.087673783</v>
      </c>
      <c r="T608" s="398">
        <f>uitkomst_doelgroep[[#This Row],[Overige besparingen (€)]]*uitkomst_doelgroep[[#This Row],[Percentage van patiëntaantallen in Wlz (overige is Zvw)]]</f>
        <v>13063366.252137832</v>
      </c>
      <c r="U608" s="398">
        <f>uitkomst_doelgroep[[#This Row],[Kosten (€)]]*uitkomst_doelgroep[[#This Row],[Percentage van patiëntaantallen in Wlz (overige is Zvw)]]</f>
        <v>10224372.890474463</v>
      </c>
      <c r="V608" s="398">
        <f>uitkomst_doelgroep[[#This Row],[Investering (cash flow) (€)]]*uitkomst_doelgroep[[#This Row],[Percentage van patiëntaantallen in Wlz (overige is Zvw)]]</f>
        <v>1369341.4382156562</v>
      </c>
    </row>
    <row r="609" spans="1:22" x14ac:dyDescent="0.5">
      <c r="A609" s="33" t="str">
        <f>INDEX(Technologieën[Veld],MATCH(B609,Technologieën[Digitale zorgtoepassing],0))</f>
        <v>Digitale hulpmiddelen - Verpleging</v>
      </c>
      <c r="B609" s="33" t="s">
        <v>19</v>
      </c>
      <c r="C609" s="33" t="s">
        <v>27</v>
      </c>
      <c r="D609" s="427" cm="1">
        <f t="array" ref="D609">INDEX(Berekening_patiëntaantal[Percentage van patiëntaantallen in Wlz (overige is Zvw)],MATCH(B609,IF(Berekening_patiëntaantal[Doelgroep (zoeksleutel)]=C609,Berekening_patiëntaantal[Digitale zorgtoepassing]),0))</f>
        <v>0.45</v>
      </c>
      <c r="E609" s="33" t="str" cm="1">
        <f t="array" ref="E609">INDEX(Berekening_patiëntaantal[Direct toepasbaar/extrapolatie/incidentie voor QALY],MATCH(B609,IF(Berekening_patiëntaantal[Doelgroep (zoeksleutel)]=C609,Berekening_patiëntaantal[Digitale zorgtoepassing]),0))</f>
        <v>Extrapolatie</v>
      </c>
      <c r="F609" s="43" t="s">
        <v>812</v>
      </c>
      <c r="G609" s="33" t="str">
        <f>CONCATENATE(uitkomst_doelgroep[[#This Row],[Digitale zorgtoepassing]],"_",uitkomst_doelgroep[[#This Row],[Doelgroep]],"_",uitkomst_doelgroep[[#This Row],[Uitgangssituatie/effect beleid]])</f>
        <v>Structuurrobot_Parkinson_Effect beleid</v>
      </c>
      <c r="H609" s="33">
        <v>2030</v>
      </c>
      <c r="I609" s="32">
        <v>8</v>
      </c>
      <c r="J609" s="406" cm="1">
        <f t="array" ref="J609">INDEX(implementatie[[2023]:[2034]],MATCH(G609, implementatie[Zoeksleutel],0),I609)</f>
        <v>0.27699177758611071</v>
      </c>
      <c r="K609" s="406" cm="1">
        <f t="array" ref="K609">INDEX(implementatie[[2023]:[2034]],MATCH(G609,implementatie[Zoeksleutel],0),I609 + 1)</f>
        <v>0.37155887512870744</v>
      </c>
      <c r="L60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2197.9297551457885</v>
      </c>
      <c r="M609" s="398" cm="1">
        <f t="array" ref="M609">J609*INDEX(Berekening_impact[Totaal arbeidsbesparing (€/jaar)],MATCH(B609,IF(Berekening_impact[Doelgroep]=C609,Berekening_impact[Digitale zorgtoepassing]),0))</f>
        <v>3032612.7799683083</v>
      </c>
      <c r="N609" s="397" cm="1">
        <f t="array" ref="N609">J609*INDEX(Berekening_impact[Totaal arbeidsbesparing (FTE/jaar)],MATCH(B609,IF(Berekening_impact[Doelgroep]=C609,Berekening_impact[Digitale zorgtoepassing]),0))</f>
        <v>71.432717042238124</v>
      </c>
      <c r="O609" s="398" cm="1">
        <f t="array" ref="O609">J609*INDEX(Berekening_impact[Overige kostenbesparing (totaal/jaar totaal potentieel)],MATCH(B609,IF(Berekening_impact[Doelgroep]=C609,Berekening_impact[Digitale zorgtoepassing]),0))</f>
        <v>1493674.9513276746</v>
      </c>
      <c r="P609" s="398" cm="1">
        <f t="array" ref="P609">J609*INDEX(Berekening_impact[Opbrengsten door QALY''s],MATCH(B609,IF(Berekening_impact[Doelgroep]=C609,Berekening_impact[Digitale zorgtoepassing]),0))</f>
        <v>0</v>
      </c>
      <c r="Q609" s="398" cm="1">
        <f t="array" ref="Q609">J609*INDEX(Berekening_impact[Jaarlijkse kosten (totaal) - incl. schatting],MATCH(B609,IF(Berekening_impact[Doelgroep]=C609,Berekening_impact[Digitale zorgtoepassing]),0))</f>
        <v>1169062.3522888813</v>
      </c>
      <c r="R609" s="398" cm="1">
        <f t="array" ref="R609">(uitkomst_doelgroep[[#This Row],[Implementatiegraad t = T + 1]]-uitkomst_doelgroep[[#This Row],[Implementatiegraad t = T]])*INDEX(Berekening_impact[Initiële investering (totaal) - incl. schatting],MATCH(B609,IF(Berekening_impact[Doelgroep]=C609,Berekening_impact[Digitale zorgtoepassing]),0))</f>
        <v>0</v>
      </c>
      <c r="S609" s="398">
        <f>uitkomst_doelgroep[[#This Row],[Arbeidsbesparing (€)]]*uitkomst_doelgroep[[#This Row],[Percentage van patiëntaantallen in Wlz (overige is Zvw)]]</f>
        <v>1364675.7509857388</v>
      </c>
      <c r="T609" s="398">
        <f>uitkomst_doelgroep[[#This Row],[Overige besparingen (€)]]*uitkomst_doelgroep[[#This Row],[Percentage van patiëntaantallen in Wlz (overige is Zvw)]]</f>
        <v>672153.7280974536</v>
      </c>
      <c r="U609" s="398">
        <f>uitkomst_doelgroep[[#This Row],[Kosten (€)]]*uitkomst_doelgroep[[#This Row],[Percentage van patiëntaantallen in Wlz (overige is Zvw)]]</f>
        <v>526078.05852999666</v>
      </c>
      <c r="V609" s="398">
        <f>uitkomst_doelgroep[[#This Row],[Investering (cash flow) (€)]]*uitkomst_doelgroep[[#This Row],[Percentage van patiëntaantallen in Wlz (overige is Zvw)]]</f>
        <v>0</v>
      </c>
    </row>
    <row r="610" spans="1:22" x14ac:dyDescent="0.5">
      <c r="A610" s="33" t="str">
        <f>INDEX(Technologieën[Veld],MATCH(B610,Technologieën[Digitale zorgtoepassing],0))</f>
        <v>Digitale hulpmiddelen - Verpleging</v>
      </c>
      <c r="B610" s="33" t="s">
        <v>19</v>
      </c>
      <c r="C610" s="33" t="s">
        <v>24</v>
      </c>
      <c r="D610" s="427" cm="1">
        <f t="array" ref="D610">INDEX(Berekening_patiëntaantal[Percentage van patiëntaantallen in Wlz (overige is Zvw)],MATCH(B610,IF(Berekening_patiëntaantal[Doelgroep (zoeksleutel)]=C610,Berekening_patiëntaantal[Digitale zorgtoepassing]),0))</f>
        <v>1</v>
      </c>
      <c r="E610" s="33" t="str" cm="1">
        <f t="array" ref="E610">INDEX(Berekening_patiëntaantal[Direct toepasbaar/extrapolatie/incidentie voor QALY],MATCH(B610,IF(Berekening_patiëntaantal[Doelgroep (zoeksleutel)]=C610,Berekening_patiëntaantal[Digitale zorgtoepassing]),0))</f>
        <v>Huidige toepassing</v>
      </c>
      <c r="F610" s="43" t="s">
        <v>812</v>
      </c>
      <c r="G610" s="33" t="str">
        <f>CONCATENATE(uitkomst_doelgroep[[#This Row],[Digitale zorgtoepassing]],"_",uitkomst_doelgroep[[#This Row],[Doelgroep]],"_",uitkomst_doelgroep[[#This Row],[Uitgangssituatie/effect beleid]])</f>
        <v>Structuurrobot_Cognitieve beperking_Effect beleid</v>
      </c>
      <c r="H610" s="33">
        <v>2030</v>
      </c>
      <c r="I610" s="32">
        <v>8</v>
      </c>
      <c r="J610" s="406" cm="1">
        <f t="array" ref="J610">INDEX(implementatie[[2023]:[2034]],MATCH(G610, implementatie[Zoeksleutel],0),I610)</f>
        <v>0.85831112676904175</v>
      </c>
      <c r="K610" s="406" cm="1">
        <f t="array" ref="K610">INDEX(implementatie[[2023]:[2034]],MATCH(G610,implementatie[Zoeksleutel],0),I610 + 1)</f>
        <v>0.90979015880706082</v>
      </c>
      <c r="L61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9284.0767987001582</v>
      </c>
      <c r="M610" s="398" cm="1">
        <f t="array" ref="M610">J610*INDEX(Berekening_impact[Totaal arbeidsbesparing (€/jaar)],MATCH(B610,IF(Berekening_impact[Doelgroep]=C610,Berekening_impact[Digitale zorgtoepassing]),0))</f>
        <v>12809786.065286623</v>
      </c>
      <c r="N610" s="397" cm="1">
        <f t="array" ref="N610">J610*INDEX(Berekening_impact[Totaal arbeidsbesparing (FTE/jaar)],MATCH(B610,IF(Berekening_impact[Doelgroep]=C610,Berekening_impact[Digitale zorgtoepassing]),0))</f>
        <v>301.73249595775513</v>
      </c>
      <c r="O610" s="398" cm="1">
        <f t="array" ref="O610">J610*INDEX(Berekening_impact[Overige kostenbesparing (totaal/jaar totaal potentieel)],MATCH(B610,IF(Berekening_impact[Doelgroep]=C610,Berekening_impact[Digitale zorgtoepassing]),0))</f>
        <v>6309297.6142456513</v>
      </c>
      <c r="P610" s="398" cm="1">
        <f t="array" ref="P610">J610*INDEX(Berekening_impact[Opbrengsten door QALY''s],MATCH(B610,IF(Berekening_impact[Doelgroep]=C610,Berekening_impact[Digitale zorgtoepassing]),0))</f>
        <v>0</v>
      </c>
      <c r="Q610" s="398" cm="1">
        <f t="array" ref="Q610">J610*INDEX(Berekening_impact[Jaarlijkse kosten (totaal) - incl. schatting],MATCH(B610,IF(Berekening_impact[Doelgroep]=C610,Berekening_impact[Digitale zorgtoepassing]),0))</f>
        <v>4938130.8186526233</v>
      </c>
      <c r="R610" s="398" cm="1">
        <f t="array" ref="R610">(uitkomst_doelgroep[[#This Row],[Implementatiegraad t = T + 1]]-uitkomst_doelgroep[[#This Row],[Implementatiegraad t = T]])*INDEX(Berekening_impact[Initiële investering (totaal) - incl. schatting],MATCH(B610,IF(Berekening_impact[Doelgroep]=C610,Berekening_impact[Digitale zorgtoepassing]),0))</f>
        <v>485878.81054828817</v>
      </c>
      <c r="S610" s="398">
        <f>uitkomst_doelgroep[[#This Row],[Arbeidsbesparing (€)]]*uitkomst_doelgroep[[#This Row],[Percentage van patiëntaantallen in Wlz (overige is Zvw)]]</f>
        <v>12809786.065286623</v>
      </c>
      <c r="T610" s="398">
        <f>uitkomst_doelgroep[[#This Row],[Overige besparingen (€)]]*uitkomst_doelgroep[[#This Row],[Percentage van patiëntaantallen in Wlz (overige is Zvw)]]</f>
        <v>6309297.6142456513</v>
      </c>
      <c r="U610" s="398">
        <f>uitkomst_doelgroep[[#This Row],[Kosten (€)]]*uitkomst_doelgroep[[#This Row],[Percentage van patiëntaantallen in Wlz (overige is Zvw)]]</f>
        <v>4938130.8186526233</v>
      </c>
      <c r="V610" s="398">
        <f>uitkomst_doelgroep[[#This Row],[Investering (cash flow) (€)]]*uitkomst_doelgroep[[#This Row],[Percentage van patiëntaantallen in Wlz (overige is Zvw)]]</f>
        <v>485878.81054828817</v>
      </c>
    </row>
    <row r="611" spans="1:22" x14ac:dyDescent="0.5">
      <c r="A611" s="33" t="str">
        <f>INDEX(Technologieën[Veld],MATCH(B611,Technologieën[Digitale zorgtoepassing],0))</f>
        <v>Digitale hulpmiddelen - Verpleging</v>
      </c>
      <c r="B611" s="33" t="s">
        <v>19</v>
      </c>
      <c r="C611" s="33" t="s">
        <v>20</v>
      </c>
      <c r="D611" s="427" cm="1">
        <f t="array" ref="D611">INDEX(Berekening_patiëntaantal[Percentage van patiëntaantallen in Wlz (overige is Zvw)],MATCH(B611,IF(Berekening_patiëntaantal[Doelgroep (zoeksleutel)]=C611,Berekening_patiëntaantal[Digitale zorgtoepassing]),0))</f>
        <v>1</v>
      </c>
      <c r="E611" s="33" t="str" cm="1">
        <f t="array" ref="E611">INDEX(Berekening_patiëntaantal[Direct toepasbaar/extrapolatie/incidentie voor QALY],MATCH(B611,IF(Berekening_patiëntaantal[Doelgroep (zoeksleutel)]=C611,Berekening_patiëntaantal[Digitale zorgtoepassing]),0))</f>
        <v>Huidige toepassing</v>
      </c>
      <c r="F611" s="43" t="s">
        <v>812</v>
      </c>
      <c r="G611" s="33" t="str">
        <f>CONCATENATE(uitkomst_doelgroep[[#This Row],[Digitale zorgtoepassing]],"_",uitkomst_doelgroep[[#This Row],[Doelgroep]],"_",uitkomst_doelgroep[[#This Row],[Uitgangssituatie/effect beleid]])</f>
        <v>Structuurrobot_Dementie_Effect beleid</v>
      </c>
      <c r="H611" s="33">
        <v>2030</v>
      </c>
      <c r="I611" s="32">
        <v>8</v>
      </c>
      <c r="J611" s="406" cm="1">
        <f t="array" ref="J611">INDEX(implementatie[[2023]:[2034]],MATCH(G611, implementatie[Zoeksleutel],0),I611)</f>
        <v>0.85831112676904175</v>
      </c>
      <c r="K611" s="406" cm="1">
        <f t="array" ref="K611">INDEX(implementatie[[2023]:[2034]],MATCH(G611,implementatie[Zoeksleutel],0),I611 + 1)</f>
        <v>0.90979015880706082</v>
      </c>
      <c r="L61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20964.463849115538</v>
      </c>
      <c r="M611" s="398" cm="1">
        <f t="array" ref="M611">J611*INDEX(Berekening_impact[Totaal arbeidsbesparing (€/jaar)],MATCH(B611,IF(Berekening_impact[Doelgroep]=C611,Berekening_impact[Digitale zorgtoepassing]),0))</f>
        <v>28925902.133662283</v>
      </c>
      <c r="N611" s="397" cm="1">
        <f t="array" ref="N611">J611*INDEX(Berekening_impact[Totaal arbeidsbesparing (FTE/jaar)],MATCH(B611,IF(Berekening_impact[Doelgroep]=C611,Berekening_impact[Digitale zorgtoepassing]),0))</f>
        <v>681.34507509625496</v>
      </c>
      <c r="O611" s="398" cm="1">
        <f t="array" ref="O611">J611*INDEX(Berekening_impact[Overige kostenbesparing (totaal/jaar totaal potentieel)],MATCH(B611,IF(Berekening_impact[Doelgroep]=C611,Berekening_impact[Digitale zorgtoepassing]),0))</f>
        <v>14247086.125535155</v>
      </c>
      <c r="P611" s="398" cm="1">
        <f t="array" ref="P611">J611*INDEX(Berekening_impact[Opbrengsten door QALY''s],MATCH(B611,IF(Berekening_impact[Doelgroep]=C611,Berekening_impact[Digitale zorgtoepassing]),0))</f>
        <v>0</v>
      </c>
      <c r="Q611" s="398" cm="1">
        <f t="array" ref="Q611">J611*INDEX(Berekening_impact[Jaarlijkse kosten (totaal) - incl. schatting],MATCH(B611,IF(Berekening_impact[Doelgroep]=C611,Berekening_impact[Digitale zorgtoepassing]),0))</f>
        <v>11150841.087865684</v>
      </c>
      <c r="R611" s="398" cm="1">
        <f t="array" ref="R611">(uitkomst_doelgroep[[#This Row],[Implementatiegraad t = T + 1]]-uitkomst_doelgroep[[#This Row],[Implementatiegraad t = T]])*INDEX(Berekening_impact[Initiële investering (totaal) - incl. schatting],MATCH(B611,IF(Berekening_impact[Doelgroep]=C611,Berekening_impact[Digitale zorgtoepassing]),0))</f>
        <v>988495.03224446822</v>
      </c>
      <c r="S611" s="398">
        <f>uitkomst_doelgroep[[#This Row],[Arbeidsbesparing (€)]]*uitkomst_doelgroep[[#This Row],[Percentage van patiëntaantallen in Wlz (overige is Zvw)]]</f>
        <v>28925902.133662283</v>
      </c>
      <c r="T611" s="398">
        <f>uitkomst_doelgroep[[#This Row],[Overige besparingen (€)]]*uitkomst_doelgroep[[#This Row],[Percentage van patiëntaantallen in Wlz (overige is Zvw)]]</f>
        <v>14247086.125535155</v>
      </c>
      <c r="U611" s="398">
        <f>uitkomst_doelgroep[[#This Row],[Kosten (€)]]*uitkomst_doelgroep[[#This Row],[Percentage van patiëntaantallen in Wlz (overige is Zvw)]]</f>
        <v>11150841.087865684</v>
      </c>
      <c r="V611" s="398">
        <f>uitkomst_doelgroep[[#This Row],[Investering (cash flow) (€)]]*uitkomst_doelgroep[[#This Row],[Percentage van patiëntaantallen in Wlz (overige is Zvw)]]</f>
        <v>988495.03224446822</v>
      </c>
    </row>
    <row r="612" spans="1:22" x14ac:dyDescent="0.5">
      <c r="A612" s="33" t="str">
        <f>INDEX(Technologieën[Veld],MATCH(B612,Technologieën[Digitale zorgtoepassing],0))</f>
        <v>Digitale hulpmiddelen - Verpleging</v>
      </c>
      <c r="B612" s="33" t="s">
        <v>19</v>
      </c>
      <c r="C612" s="33" t="s">
        <v>27</v>
      </c>
      <c r="D612" s="427" cm="1">
        <f t="array" ref="D612">INDEX(Berekening_patiëntaantal[Percentage van patiëntaantallen in Wlz (overige is Zvw)],MATCH(B612,IF(Berekening_patiëntaantal[Doelgroep (zoeksleutel)]=C612,Berekening_patiëntaantal[Digitale zorgtoepassing]),0))</f>
        <v>0.45</v>
      </c>
      <c r="E612" s="33" t="str" cm="1">
        <f t="array" ref="E612">INDEX(Berekening_patiëntaantal[Direct toepasbaar/extrapolatie/incidentie voor QALY],MATCH(B612,IF(Berekening_patiëntaantal[Doelgroep (zoeksleutel)]=C612,Berekening_patiëntaantal[Digitale zorgtoepassing]),0))</f>
        <v>Extrapolatie</v>
      </c>
      <c r="F612" s="43" t="s">
        <v>812</v>
      </c>
      <c r="G612" s="33" t="str">
        <f>CONCATENATE(uitkomst_doelgroep[[#This Row],[Digitale zorgtoepassing]],"_",uitkomst_doelgroep[[#This Row],[Doelgroep]],"_",uitkomst_doelgroep[[#This Row],[Uitgangssituatie/effect beleid]])</f>
        <v>Structuurrobot_Parkinson_Effect beleid</v>
      </c>
      <c r="H612" s="33">
        <v>2031</v>
      </c>
      <c r="I612" s="32">
        <v>9</v>
      </c>
      <c r="J612" s="406" cm="1">
        <f t="array" ref="J612">INDEX(implementatie[[2023]:[2034]],MATCH(G612, implementatie[Zoeksleutel],0),I612)</f>
        <v>0.37155887512870744</v>
      </c>
      <c r="K612" s="406" cm="1">
        <f t="array" ref="K612">INDEX(implementatie[[2023]:[2034]],MATCH(G612,implementatie[Zoeksleutel],0),I612 + 1)</f>
        <v>0.47752884860285211</v>
      </c>
      <c r="L61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2948.3196741462934</v>
      </c>
      <c r="M612" s="398" cm="1">
        <f t="array" ref="M612">J612*INDEX(Berekening_impact[Totaal arbeidsbesparing (€/jaar)],MATCH(B612,IF(Berekening_impact[Doelgroep]=C612,Berekening_impact[Digitale zorgtoepassing]),0))</f>
        <v>4067969.8258395819</v>
      </c>
      <c r="N612" s="397" cm="1">
        <f t="array" ref="N612">J612*INDEX(Berekening_impact[Totaal arbeidsbesparing (FTE/jaar)],MATCH(B612,IF(Berekening_impact[Doelgroep]=C612,Berekening_impact[Digitale zorgtoepassing]),0))</f>
        <v>95.82038940975454</v>
      </c>
      <c r="O612" s="398" cm="1">
        <f t="array" ref="O612">J612*INDEX(Berekening_impact[Overige kostenbesparing (totaal/jaar totaal potentieel)],MATCH(B612,IF(Berekening_impact[Doelgroep]=C612,Berekening_impact[Digitale zorgtoepassing]),0))</f>
        <v>2003626.9291448691</v>
      </c>
      <c r="P612" s="398" cm="1">
        <f t="array" ref="P612">J612*INDEX(Berekening_impact[Opbrengsten door QALY''s],MATCH(B612,IF(Berekening_impact[Doelgroep]=C612,Berekening_impact[Digitale zorgtoepassing]),0))</f>
        <v>0</v>
      </c>
      <c r="Q612" s="398" cm="1">
        <f t="array" ref="Q612">J612*INDEX(Berekening_impact[Jaarlijkse kosten (totaal) - incl. schatting],MATCH(B612,IF(Berekening_impact[Doelgroep]=C612,Berekening_impact[Digitale zorgtoepassing]),0))</f>
        <v>1568189.1222808573</v>
      </c>
      <c r="R612" s="398" cm="1">
        <f t="array" ref="R612">(uitkomst_doelgroep[[#This Row],[Implementatiegraad t = T + 1]]-uitkomst_doelgroep[[#This Row],[Implementatiegraad t = T]])*INDEX(Berekening_impact[Initiële investering (totaal) - incl. schatting],MATCH(B612,IF(Berekening_impact[Doelgroep]=C612,Berekening_impact[Digitale zorgtoepassing]),0))</f>
        <v>0</v>
      </c>
      <c r="S612" s="398">
        <f>uitkomst_doelgroep[[#This Row],[Arbeidsbesparing (€)]]*uitkomst_doelgroep[[#This Row],[Percentage van patiëntaantallen in Wlz (overige is Zvw)]]</f>
        <v>1830586.4216278119</v>
      </c>
      <c r="T612" s="398">
        <f>uitkomst_doelgroep[[#This Row],[Overige besparingen (€)]]*uitkomst_doelgroep[[#This Row],[Percentage van patiëntaantallen in Wlz (overige is Zvw)]]</f>
        <v>901632.11811519112</v>
      </c>
      <c r="U612" s="398">
        <f>uitkomst_doelgroep[[#This Row],[Kosten (€)]]*uitkomst_doelgroep[[#This Row],[Percentage van patiëntaantallen in Wlz (overige is Zvw)]]</f>
        <v>705685.10502638575</v>
      </c>
      <c r="V612" s="398">
        <f>uitkomst_doelgroep[[#This Row],[Investering (cash flow) (€)]]*uitkomst_doelgroep[[#This Row],[Percentage van patiëntaantallen in Wlz (overige is Zvw)]]</f>
        <v>0</v>
      </c>
    </row>
    <row r="613" spans="1:22" x14ac:dyDescent="0.5">
      <c r="A613" s="33" t="str">
        <f>INDEX(Technologieën[Veld],MATCH(B613,Technologieën[Digitale zorgtoepassing],0))</f>
        <v>Digitale hulpmiddelen - Verpleging</v>
      </c>
      <c r="B613" s="33" t="s">
        <v>19</v>
      </c>
      <c r="C613" s="33" t="s">
        <v>24</v>
      </c>
      <c r="D613" s="427" cm="1">
        <f t="array" ref="D613">INDEX(Berekening_patiëntaantal[Percentage van patiëntaantallen in Wlz (overige is Zvw)],MATCH(B613,IF(Berekening_patiëntaantal[Doelgroep (zoeksleutel)]=C613,Berekening_patiëntaantal[Digitale zorgtoepassing]),0))</f>
        <v>1</v>
      </c>
      <c r="E613" s="33" t="str" cm="1">
        <f t="array" ref="E613">INDEX(Berekening_patiëntaantal[Direct toepasbaar/extrapolatie/incidentie voor QALY],MATCH(B613,IF(Berekening_patiëntaantal[Doelgroep (zoeksleutel)]=C613,Berekening_patiëntaantal[Digitale zorgtoepassing]),0))</f>
        <v>Huidige toepassing</v>
      </c>
      <c r="F613" s="43" t="s">
        <v>812</v>
      </c>
      <c r="G613" s="33" t="str">
        <f>CONCATENATE(uitkomst_doelgroep[[#This Row],[Digitale zorgtoepassing]],"_",uitkomst_doelgroep[[#This Row],[Doelgroep]],"_",uitkomst_doelgroep[[#This Row],[Uitgangssituatie/effect beleid]])</f>
        <v>Structuurrobot_Cognitieve beperking_Effect beleid</v>
      </c>
      <c r="H613" s="33">
        <v>2031</v>
      </c>
      <c r="I613" s="32">
        <v>9</v>
      </c>
      <c r="J613" s="406" cm="1">
        <f t="array" ref="J613">INDEX(implementatie[[2023]:[2034]],MATCH(G613, implementatie[Zoeksleutel],0),I613)</f>
        <v>0.90979015880706082</v>
      </c>
      <c r="K613" s="406" cm="1">
        <f t="array" ref="K613">INDEX(implementatie[[2023]:[2034]],MATCH(G613,implementatie[Zoeksleutel],0),I613 + 1)</f>
        <v>0.94442316592887321</v>
      </c>
      <c r="L61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9840.9090149651583</v>
      </c>
      <c r="M613" s="398" cm="1">
        <f t="array" ref="M613">J613*INDEX(Berekening_impact[Totaal arbeidsbesparing (€/jaar)],MATCH(B613,IF(Berekening_impact[Doelgroep]=C613,Berekening_impact[Digitale zorgtoepassing]),0))</f>
        <v>13578080.179959688</v>
      </c>
      <c r="N613" s="397" cm="1">
        <f t="array" ref="N613">J613*INDEX(Berekening_impact[Totaal arbeidsbesparing (FTE/jaar)],MATCH(B613,IF(Berekening_impact[Doelgroep]=C613,Berekening_impact[Digitale zorgtoepassing]),0))</f>
        <v>319.82954298636764</v>
      </c>
      <c r="O613" s="398" cm="1">
        <f t="array" ref="O613">J613*INDEX(Berekening_impact[Overige kostenbesparing (totaal/jaar totaal potentieel)],MATCH(B613,IF(Berekening_impact[Doelgroep]=C613,Berekening_impact[Digitale zorgtoepassing]),0))</f>
        <v>6687711.1334129814</v>
      </c>
      <c r="P613" s="398" cm="1">
        <f t="array" ref="P613">J613*INDEX(Berekening_impact[Opbrengsten door QALY''s],MATCH(B613,IF(Berekening_impact[Doelgroep]=C613,Berekening_impact[Digitale zorgtoepassing]),0))</f>
        <v>0</v>
      </c>
      <c r="Q613" s="398" cm="1">
        <f t="array" ref="Q613">J613*INDEX(Berekening_impact[Jaarlijkse kosten (totaal) - incl. schatting],MATCH(B613,IF(Berekening_impact[Doelgroep]=C613,Berekening_impact[Digitale zorgtoepassing]),0))</f>
        <v>5234305.6982423551</v>
      </c>
      <c r="R613" s="398" cm="1">
        <f t="array" ref="R613">(uitkomst_doelgroep[[#This Row],[Implementatiegraad t = T + 1]]-uitkomst_doelgroep[[#This Row],[Implementatiegraad t = T]])*INDEX(Berekening_impact[Initiële investering (totaal) - incl. schatting],MATCH(B613,IF(Berekening_impact[Doelgroep]=C613,Berekening_impact[Digitale zorgtoepassing]),0))</f>
        <v>326879.57873079157</v>
      </c>
      <c r="S613" s="398">
        <f>uitkomst_doelgroep[[#This Row],[Arbeidsbesparing (€)]]*uitkomst_doelgroep[[#This Row],[Percentage van patiëntaantallen in Wlz (overige is Zvw)]]</f>
        <v>13578080.179959688</v>
      </c>
      <c r="T613" s="398">
        <f>uitkomst_doelgroep[[#This Row],[Overige besparingen (€)]]*uitkomst_doelgroep[[#This Row],[Percentage van patiëntaantallen in Wlz (overige is Zvw)]]</f>
        <v>6687711.1334129814</v>
      </c>
      <c r="U613" s="398">
        <f>uitkomst_doelgroep[[#This Row],[Kosten (€)]]*uitkomst_doelgroep[[#This Row],[Percentage van patiëntaantallen in Wlz (overige is Zvw)]]</f>
        <v>5234305.6982423551</v>
      </c>
      <c r="V613" s="398">
        <f>uitkomst_doelgroep[[#This Row],[Investering (cash flow) (€)]]*uitkomst_doelgroep[[#This Row],[Percentage van patiëntaantallen in Wlz (overige is Zvw)]]</f>
        <v>326879.57873079157</v>
      </c>
    </row>
    <row r="614" spans="1:22" x14ac:dyDescent="0.5">
      <c r="A614" s="33" t="str">
        <f>INDEX(Technologieën[Veld],MATCH(B614,Technologieën[Digitale zorgtoepassing],0))</f>
        <v>Digitale hulpmiddelen - Verpleging</v>
      </c>
      <c r="B614" s="33" t="s">
        <v>19</v>
      </c>
      <c r="C614" s="33" t="s">
        <v>20</v>
      </c>
      <c r="D614" s="427" cm="1">
        <f t="array" ref="D614">INDEX(Berekening_patiëntaantal[Percentage van patiëntaantallen in Wlz (overige is Zvw)],MATCH(B614,IF(Berekening_patiëntaantal[Doelgroep (zoeksleutel)]=C614,Berekening_patiëntaantal[Digitale zorgtoepassing]),0))</f>
        <v>1</v>
      </c>
      <c r="E614" s="33" t="str" cm="1">
        <f t="array" ref="E614">INDEX(Berekening_patiëntaantal[Direct toepasbaar/extrapolatie/incidentie voor QALY],MATCH(B614,IF(Berekening_patiëntaantal[Doelgroep (zoeksleutel)]=C614,Berekening_patiëntaantal[Digitale zorgtoepassing]),0))</f>
        <v>Huidige toepassing</v>
      </c>
      <c r="F614" s="43" t="s">
        <v>812</v>
      </c>
      <c r="G614" s="33" t="str">
        <f>CONCATENATE(uitkomst_doelgroep[[#This Row],[Digitale zorgtoepassing]],"_",uitkomst_doelgroep[[#This Row],[Doelgroep]],"_",uitkomst_doelgroep[[#This Row],[Uitgangssituatie/effect beleid]])</f>
        <v>Structuurrobot_Dementie_Effect beleid</v>
      </c>
      <c r="H614" s="33">
        <v>2031</v>
      </c>
      <c r="I614" s="32">
        <v>9</v>
      </c>
      <c r="J614" s="406" cm="1">
        <f t="array" ref="J614">INDEX(implementatie[[2023]:[2034]],MATCH(G614, implementatie[Zoeksleutel],0),I614)</f>
        <v>0.90979015880706082</v>
      </c>
      <c r="K614" s="406" cm="1">
        <f t="array" ref="K614">INDEX(implementatie[[2023]:[2034]],MATCH(G614,implementatie[Zoeksleutel],0),I614 + 1)</f>
        <v>0.94442316592887321</v>
      </c>
      <c r="L61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22221.852076402163</v>
      </c>
      <c r="M614" s="398" cm="1">
        <f t="array" ref="M614">J614*INDEX(Berekening_impact[Totaal arbeidsbesparing (€/jaar)],MATCH(B614,IF(Berekening_impact[Doelgroep]=C614,Berekening_impact[Digitale zorgtoepassing]),0))</f>
        <v>30660794.524342071</v>
      </c>
      <c r="N614" s="397" cm="1">
        <f t="array" ref="N614">J614*INDEX(Berekening_impact[Totaal arbeidsbesparing (FTE/jaar)],MATCH(B614,IF(Berekening_impact[Doelgroep]=C614,Berekening_impact[Digitale zorgtoepassing]),0))</f>
        <v>722.21019248307039</v>
      </c>
      <c r="O614" s="398" cm="1">
        <f t="array" ref="O614">J614*INDEX(Berekening_impact[Overige kostenbesparing (totaal/jaar totaal potentieel)],MATCH(B614,IF(Berekening_impact[Doelgroep]=C614,Berekening_impact[Digitale zorgtoepassing]),0))</f>
        <v>15101585.362735646</v>
      </c>
      <c r="P614" s="398" cm="1">
        <f t="array" ref="P614">J614*INDEX(Berekening_impact[Opbrengsten door QALY''s],MATCH(B614,IF(Berekening_impact[Doelgroep]=C614,Berekening_impact[Digitale zorgtoepassing]),0))</f>
        <v>0</v>
      </c>
      <c r="Q614" s="398" cm="1">
        <f t="array" ref="Q614">J614*INDEX(Berekening_impact[Jaarlijkse kosten (totaal) - incl. schatting],MATCH(B614,IF(Berekening_impact[Doelgroep]=C614,Berekening_impact[Digitale zorgtoepassing]),0))</f>
        <v>11819636.455547735</v>
      </c>
      <c r="R614" s="398" cm="1">
        <f t="array" ref="R614">(uitkomst_doelgroep[[#This Row],[Implementatiegraad t = T + 1]]-uitkomst_doelgroep[[#This Row],[Implementatiegraad t = T]])*INDEX(Berekening_impact[Initiële investering (totaal) - incl. schatting],MATCH(B614,IF(Berekening_impact[Doelgroep]=C614,Berekening_impact[Digitale zorgtoepassing]),0))</f>
        <v>665019.40957855259</v>
      </c>
      <c r="S614" s="398">
        <f>uitkomst_doelgroep[[#This Row],[Arbeidsbesparing (€)]]*uitkomst_doelgroep[[#This Row],[Percentage van patiëntaantallen in Wlz (overige is Zvw)]]</f>
        <v>30660794.524342071</v>
      </c>
      <c r="T614" s="398">
        <f>uitkomst_doelgroep[[#This Row],[Overige besparingen (€)]]*uitkomst_doelgroep[[#This Row],[Percentage van patiëntaantallen in Wlz (overige is Zvw)]]</f>
        <v>15101585.362735646</v>
      </c>
      <c r="U614" s="398">
        <f>uitkomst_doelgroep[[#This Row],[Kosten (€)]]*uitkomst_doelgroep[[#This Row],[Percentage van patiëntaantallen in Wlz (overige is Zvw)]]</f>
        <v>11819636.455547735</v>
      </c>
      <c r="V614" s="398">
        <f>uitkomst_doelgroep[[#This Row],[Investering (cash flow) (€)]]*uitkomst_doelgroep[[#This Row],[Percentage van patiëntaantallen in Wlz (overige is Zvw)]]</f>
        <v>665019.40957855259</v>
      </c>
    </row>
    <row r="615" spans="1:22" x14ac:dyDescent="0.5">
      <c r="A615" s="33" t="str">
        <f>INDEX(Technologieën[Veld],MATCH(B615,Technologieën[Digitale zorgtoepassing],0))</f>
        <v>Digitale hulpmiddelen - Verpleging</v>
      </c>
      <c r="B615" s="33" t="s">
        <v>19</v>
      </c>
      <c r="C615" s="33" t="s">
        <v>27</v>
      </c>
      <c r="D615" s="427" cm="1">
        <f t="array" ref="D615">INDEX(Berekening_patiëntaantal[Percentage van patiëntaantallen in Wlz (overige is Zvw)],MATCH(B615,IF(Berekening_patiëntaantal[Doelgroep (zoeksleutel)]=C615,Berekening_patiëntaantal[Digitale zorgtoepassing]),0))</f>
        <v>0.45</v>
      </c>
      <c r="E615" s="33" t="str" cm="1">
        <f t="array" ref="E615">INDEX(Berekening_patiëntaantal[Direct toepasbaar/extrapolatie/incidentie voor QALY],MATCH(B615,IF(Berekening_patiëntaantal[Doelgroep (zoeksleutel)]=C615,Berekening_patiëntaantal[Digitale zorgtoepassing]),0))</f>
        <v>Extrapolatie</v>
      </c>
      <c r="F615" s="43" t="s">
        <v>812</v>
      </c>
      <c r="G615" s="33" t="str">
        <f>CONCATENATE(uitkomst_doelgroep[[#This Row],[Digitale zorgtoepassing]],"_",uitkomst_doelgroep[[#This Row],[Doelgroep]],"_",uitkomst_doelgroep[[#This Row],[Uitgangssituatie/effect beleid]])</f>
        <v>Structuurrobot_Parkinson_Effect beleid</v>
      </c>
      <c r="H615" s="33">
        <v>2032</v>
      </c>
      <c r="I615" s="32">
        <v>10</v>
      </c>
      <c r="J615" s="406" cm="1">
        <f t="array" ref="J615">INDEX(implementatie[[2023]:[2034]],MATCH(G615, implementatie[Zoeksleutel],0),I615)</f>
        <v>0.47752884860285211</v>
      </c>
      <c r="K615" s="406" cm="1">
        <f t="array" ref="K615">INDEX(implementatie[[2023]:[2034]],MATCH(G615,implementatie[Zoeksleutel],0),I615 + 1)</f>
        <v>0.5877762905727496</v>
      </c>
      <c r="L61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3789.1914136636315</v>
      </c>
      <c r="M615" s="398" cm="1">
        <f t="array" ref="M615">J615*INDEX(Berekening_impact[Totaal arbeidsbesparing (€/jaar)],MATCH(B615,IF(Berekening_impact[Doelgroep]=C615,Berekening_impact[Digitale zorgtoepassing]),0))</f>
        <v>5228169.9539848594</v>
      </c>
      <c r="N615" s="397" cm="1">
        <f t="array" ref="N615">J615*INDEX(Berekening_impact[Totaal arbeidsbesparing (FTE/jaar)],MATCH(B615,IF(Berekening_impact[Doelgroep]=C615,Berekening_impact[Digitale zorgtoepassing]),0))</f>
        <v>123.14872094406802</v>
      </c>
      <c r="O615" s="398" cm="1">
        <f t="array" ref="O615">J615*INDEX(Berekening_impact[Overige kostenbesparing (totaal/jaar totaal potentieel)],MATCH(B615,IF(Berekening_impact[Doelgroep]=C615,Berekening_impact[Digitale zorgtoepassing]),0))</f>
        <v>2575068.7833059761</v>
      </c>
      <c r="P615" s="398" cm="1">
        <f t="array" ref="P615">J615*INDEX(Berekening_impact[Opbrengsten door QALY''s],MATCH(B615,IF(Berekening_impact[Doelgroep]=C615,Berekening_impact[Digitale zorgtoepassing]),0))</f>
        <v>0</v>
      </c>
      <c r="Q615" s="398" cm="1">
        <f t="array" ref="Q615">J615*INDEX(Berekening_impact[Jaarlijkse kosten (totaal) - incl. schatting],MATCH(B615,IF(Berekening_impact[Doelgroep]=C615,Berekening_impact[Digitale zorgtoepassing]),0))</f>
        <v>2015442.493992083</v>
      </c>
      <c r="R615" s="398" cm="1">
        <f t="array" ref="R615">(uitkomst_doelgroep[[#This Row],[Implementatiegraad t = T + 1]]-uitkomst_doelgroep[[#This Row],[Implementatiegraad t = T]])*INDEX(Berekening_impact[Initiële investering (totaal) - incl. schatting],MATCH(B615,IF(Berekening_impact[Doelgroep]=C615,Berekening_impact[Digitale zorgtoepassing]),0))</f>
        <v>0</v>
      </c>
      <c r="S615" s="398">
        <f>uitkomst_doelgroep[[#This Row],[Arbeidsbesparing (€)]]*uitkomst_doelgroep[[#This Row],[Percentage van patiëntaantallen in Wlz (overige is Zvw)]]</f>
        <v>2352676.4792931867</v>
      </c>
      <c r="T615" s="398">
        <f>uitkomst_doelgroep[[#This Row],[Overige besparingen (€)]]*uitkomst_doelgroep[[#This Row],[Percentage van patiëntaantallen in Wlz (overige is Zvw)]]</f>
        <v>1158780.9524876892</v>
      </c>
      <c r="U615" s="398">
        <f>uitkomst_doelgroep[[#This Row],[Kosten (€)]]*uitkomst_doelgroep[[#This Row],[Percentage van patiëntaantallen in Wlz (overige is Zvw)]]</f>
        <v>906949.12229643739</v>
      </c>
      <c r="V615" s="398">
        <f>uitkomst_doelgroep[[#This Row],[Investering (cash flow) (€)]]*uitkomst_doelgroep[[#This Row],[Percentage van patiëntaantallen in Wlz (overige is Zvw)]]</f>
        <v>0</v>
      </c>
    </row>
    <row r="616" spans="1:22" x14ac:dyDescent="0.5">
      <c r="A616" s="33" t="str">
        <f>INDEX(Technologieën[Veld],MATCH(B616,Technologieën[Digitale zorgtoepassing],0))</f>
        <v>Digitale hulpmiddelen - Verpleging</v>
      </c>
      <c r="B616" s="33" t="s">
        <v>19</v>
      </c>
      <c r="C616" s="33" t="s">
        <v>24</v>
      </c>
      <c r="D616" s="427" cm="1">
        <f t="array" ref="D616">INDEX(Berekening_patiëntaantal[Percentage van patiëntaantallen in Wlz (overige is Zvw)],MATCH(B616,IF(Berekening_patiëntaantal[Doelgroep (zoeksleutel)]=C616,Berekening_patiëntaantal[Digitale zorgtoepassing]),0))</f>
        <v>1</v>
      </c>
      <c r="E616" s="33" t="str" cm="1">
        <f t="array" ref="E616">INDEX(Berekening_patiëntaantal[Direct toepasbaar/extrapolatie/incidentie voor QALY],MATCH(B616,IF(Berekening_patiëntaantal[Doelgroep (zoeksleutel)]=C616,Berekening_patiëntaantal[Digitale zorgtoepassing]),0))</f>
        <v>Huidige toepassing</v>
      </c>
      <c r="F616" s="43" t="s">
        <v>812</v>
      </c>
      <c r="G616" s="33" t="str">
        <f>CONCATENATE(uitkomst_doelgroep[[#This Row],[Digitale zorgtoepassing]],"_",uitkomst_doelgroep[[#This Row],[Doelgroep]],"_",uitkomst_doelgroep[[#This Row],[Uitgangssituatie/effect beleid]])</f>
        <v>Structuurrobot_Cognitieve beperking_Effect beleid</v>
      </c>
      <c r="H616" s="33">
        <v>2032</v>
      </c>
      <c r="I616" s="32">
        <v>10</v>
      </c>
      <c r="J616" s="406" cm="1">
        <f t="array" ref="J616">INDEX(implementatie[[2023]:[2034]],MATCH(G616, implementatie[Zoeksleutel],0),I616)</f>
        <v>0.94442316592887321</v>
      </c>
      <c r="K616" s="406" cm="1">
        <f t="array" ref="K616">INDEX(implementatie[[2023]:[2034]],MATCH(G616,implementatie[Zoeksleutel],0),I616 + 1)</f>
        <v>0.96652992244459857</v>
      </c>
      <c r="L61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10215.523170439525</v>
      </c>
      <c r="M616" s="398" cm="1">
        <f t="array" ref="M616">J616*INDEX(Berekening_impact[Totaal arbeidsbesparing (€/jaar)],MATCH(B616,IF(Berekening_impact[Doelgroep]=C616,Berekening_impact[Digitale zorgtoepassing]),0))</f>
        <v>14094957.333466917</v>
      </c>
      <c r="N616" s="397" cm="1">
        <f t="array" ref="N616">J616*INDEX(Berekening_impact[Totaal arbeidsbesparing (FTE/jaar)],MATCH(B616,IF(Berekening_impact[Doelgroep]=C616,Berekening_impact[Digitale zorgtoepassing]),0))</f>
        <v>332.00450303928454</v>
      </c>
      <c r="O616" s="398" cm="1">
        <f t="array" ref="O616">J616*INDEX(Berekening_impact[Overige kostenbesparing (totaal/jaar totaal potentieel)],MATCH(B616,IF(Berekening_impact[Doelgroep]=C616,Berekening_impact[Digitale zorgtoepassing]),0))</f>
        <v>6942292.4179762434</v>
      </c>
      <c r="P616" s="398" cm="1">
        <f t="array" ref="P616">J616*INDEX(Berekening_impact[Opbrengsten door QALY''s],MATCH(B616,IF(Berekening_impact[Doelgroep]=C616,Berekening_impact[Digitale zorgtoepassing]),0))</f>
        <v>0</v>
      </c>
      <c r="Q616" s="398" cm="1">
        <f t="array" ref="Q616">J616*INDEX(Berekening_impact[Jaarlijkse kosten (totaal) - incl. schatting],MATCH(B616,IF(Berekening_impact[Doelgroep]=C616,Berekening_impact[Digitale zorgtoepassing]),0))</f>
        <v>5433560.1579330042</v>
      </c>
      <c r="R616" s="398" cm="1">
        <f t="array" ref="R616">(uitkomst_doelgroep[[#This Row],[Implementatiegraad t = T + 1]]-uitkomst_doelgroep[[#This Row],[Implementatiegraad t = T]])*INDEX(Berekening_impact[Initiële investering (totaal) - incl. schatting],MATCH(B616,IF(Berekening_impact[Doelgroep]=C616,Berekening_impact[Digitale zorgtoepassing]),0))</f>
        <v>208652.03046181015</v>
      </c>
      <c r="S616" s="398">
        <f>uitkomst_doelgroep[[#This Row],[Arbeidsbesparing (€)]]*uitkomst_doelgroep[[#This Row],[Percentage van patiëntaantallen in Wlz (overige is Zvw)]]</f>
        <v>14094957.333466917</v>
      </c>
      <c r="T616" s="398">
        <f>uitkomst_doelgroep[[#This Row],[Overige besparingen (€)]]*uitkomst_doelgroep[[#This Row],[Percentage van patiëntaantallen in Wlz (overige is Zvw)]]</f>
        <v>6942292.4179762434</v>
      </c>
      <c r="U616" s="398">
        <f>uitkomst_doelgroep[[#This Row],[Kosten (€)]]*uitkomst_doelgroep[[#This Row],[Percentage van patiëntaantallen in Wlz (overige is Zvw)]]</f>
        <v>5433560.1579330042</v>
      </c>
      <c r="V616" s="398">
        <f>uitkomst_doelgroep[[#This Row],[Investering (cash flow) (€)]]*uitkomst_doelgroep[[#This Row],[Percentage van patiëntaantallen in Wlz (overige is Zvw)]]</f>
        <v>208652.03046181015</v>
      </c>
    </row>
    <row r="617" spans="1:22" x14ac:dyDescent="0.5">
      <c r="A617" s="33" t="str">
        <f>INDEX(Technologieën[Veld],MATCH(B617,Technologieën[Digitale zorgtoepassing],0))</f>
        <v>Digitale hulpmiddelen - Verpleging</v>
      </c>
      <c r="B617" s="33" t="s">
        <v>19</v>
      </c>
      <c r="C617" s="33" t="s">
        <v>20</v>
      </c>
      <c r="D617" s="427" cm="1">
        <f t="array" ref="D617">INDEX(Berekening_patiëntaantal[Percentage van patiëntaantallen in Wlz (overige is Zvw)],MATCH(B617,IF(Berekening_patiëntaantal[Doelgroep (zoeksleutel)]=C617,Berekening_patiëntaantal[Digitale zorgtoepassing]),0))</f>
        <v>1</v>
      </c>
      <c r="E617" s="33" t="str" cm="1">
        <f t="array" ref="E617">INDEX(Berekening_patiëntaantal[Direct toepasbaar/extrapolatie/incidentie voor QALY],MATCH(B617,IF(Berekening_patiëntaantal[Doelgroep (zoeksleutel)]=C617,Berekening_patiëntaantal[Digitale zorgtoepassing]),0))</f>
        <v>Huidige toepassing</v>
      </c>
      <c r="F617" s="43" t="s">
        <v>812</v>
      </c>
      <c r="G617" s="33" t="str">
        <f>CONCATENATE(uitkomst_doelgroep[[#This Row],[Digitale zorgtoepassing]],"_",uitkomst_doelgroep[[#This Row],[Doelgroep]],"_",uitkomst_doelgroep[[#This Row],[Uitgangssituatie/effect beleid]])</f>
        <v>Structuurrobot_Dementie_Effect beleid</v>
      </c>
      <c r="H617" s="33">
        <v>2032</v>
      </c>
      <c r="I617" s="32">
        <v>10</v>
      </c>
      <c r="J617" s="406" cm="1">
        <f t="array" ref="J617">INDEX(implementatie[[2023]:[2034]],MATCH(G617, implementatie[Zoeksleutel],0),I617)</f>
        <v>0.94442316592887321</v>
      </c>
      <c r="K617" s="406" cm="1">
        <f t="array" ref="K617">INDEX(implementatie[[2023]:[2034]],MATCH(G617,implementatie[Zoeksleutel],0),I617 + 1)</f>
        <v>0.96652992244459857</v>
      </c>
      <c r="L61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23067.77193360421</v>
      </c>
      <c r="M617" s="398" cm="1">
        <f t="array" ref="M617">J617*INDEX(Berekening_impact[Totaal arbeidsbesparing (€/jaar)],MATCH(B617,IF(Berekening_impact[Doelgroep]=C617,Berekening_impact[Digitale zorgtoepassing]),0))</f>
        <v>31827959.836961329</v>
      </c>
      <c r="N617" s="397" cm="1">
        <f t="array" ref="N617">J617*INDEX(Berekening_impact[Totaal arbeidsbesparing (FTE/jaar)],MATCH(B617,IF(Berekening_impact[Doelgroep]=C617,Berekening_impact[Digitale zorgtoepassing]),0))</f>
        <v>749.70258784213695</v>
      </c>
      <c r="O617" s="398" cm="1">
        <f t="array" ref="O617">J617*INDEX(Berekening_impact[Overige kostenbesparing (totaal/jaar totaal potentieel)],MATCH(B617,IF(Berekening_impact[Doelgroep]=C617,Berekening_impact[Digitale zorgtoepassing]),0))</f>
        <v>15676457.83014513</v>
      </c>
      <c r="P617" s="398" cm="1">
        <f t="array" ref="P617">J617*INDEX(Berekening_impact[Opbrengsten door QALY''s],MATCH(B617,IF(Berekening_impact[Doelgroep]=C617,Berekening_impact[Digitale zorgtoepassing]),0))</f>
        <v>0</v>
      </c>
      <c r="Q617" s="398" cm="1">
        <f t="array" ref="Q617">J617*INDEX(Berekening_impact[Jaarlijkse kosten (totaal) - incl. schatting],MATCH(B617,IF(Berekening_impact[Doelgroep]=C617,Berekening_impact[Digitale zorgtoepassing]),0))</f>
        <v>12269574.883194575</v>
      </c>
      <c r="R617" s="398" cm="1">
        <f t="array" ref="R617">(uitkomst_doelgroep[[#This Row],[Implementatiegraad t = T + 1]]-uitkomst_doelgroep[[#This Row],[Implementatiegraad t = T]])*INDEX(Berekening_impact[Initiële investering (totaal) - incl. schatting],MATCH(B617,IF(Berekening_impact[Doelgroep]=C617,Berekening_impact[Digitale zorgtoepassing]),0))</f>
        <v>424491.64503896981</v>
      </c>
      <c r="S617" s="398">
        <f>uitkomst_doelgroep[[#This Row],[Arbeidsbesparing (€)]]*uitkomst_doelgroep[[#This Row],[Percentage van patiëntaantallen in Wlz (overige is Zvw)]]</f>
        <v>31827959.836961329</v>
      </c>
      <c r="T617" s="398">
        <f>uitkomst_doelgroep[[#This Row],[Overige besparingen (€)]]*uitkomst_doelgroep[[#This Row],[Percentage van patiëntaantallen in Wlz (overige is Zvw)]]</f>
        <v>15676457.83014513</v>
      </c>
      <c r="U617" s="398">
        <f>uitkomst_doelgroep[[#This Row],[Kosten (€)]]*uitkomst_doelgroep[[#This Row],[Percentage van patiëntaantallen in Wlz (overige is Zvw)]]</f>
        <v>12269574.883194575</v>
      </c>
      <c r="V617" s="398">
        <f>uitkomst_doelgroep[[#This Row],[Investering (cash flow) (€)]]*uitkomst_doelgroep[[#This Row],[Percentage van patiëntaantallen in Wlz (overige is Zvw)]]</f>
        <v>424491.64503896981</v>
      </c>
    </row>
    <row r="618" spans="1:22" x14ac:dyDescent="0.5">
      <c r="A618" s="33" t="str">
        <f>INDEX(Technologieën[Veld],MATCH(B618,Technologieën[Digitale zorgtoepassing],0))</f>
        <v>Digitale hulpmiddelen - Verpleging</v>
      </c>
      <c r="B618" s="33" t="s">
        <v>19</v>
      </c>
      <c r="C618" s="33" t="s">
        <v>27</v>
      </c>
      <c r="D618" s="427" cm="1">
        <f t="array" ref="D618">INDEX(Berekening_patiëntaantal[Percentage van patiëntaantallen in Wlz (overige is Zvw)],MATCH(B618,IF(Berekening_patiëntaantal[Doelgroep (zoeksleutel)]=C618,Berekening_patiëntaantal[Digitale zorgtoepassing]),0))</f>
        <v>0.45</v>
      </c>
      <c r="E618" s="33" t="str" cm="1">
        <f t="array" ref="E618">INDEX(Berekening_patiëntaantal[Direct toepasbaar/extrapolatie/incidentie voor QALY],MATCH(B618,IF(Berekening_patiëntaantal[Doelgroep (zoeksleutel)]=C618,Berekening_patiëntaantal[Digitale zorgtoepassing]),0))</f>
        <v>Extrapolatie</v>
      </c>
      <c r="F618" s="43" t="s">
        <v>812</v>
      </c>
      <c r="G618" s="33" t="str">
        <f>CONCATENATE(uitkomst_doelgroep[[#This Row],[Digitale zorgtoepassing]],"_",uitkomst_doelgroep[[#This Row],[Doelgroep]],"_",uitkomst_doelgroep[[#This Row],[Uitgangssituatie/effect beleid]])</f>
        <v>Structuurrobot_Parkinson_Effect beleid</v>
      </c>
      <c r="H618" s="33">
        <v>2033</v>
      </c>
      <c r="I618" s="32">
        <v>11</v>
      </c>
      <c r="J618" s="406" cm="1">
        <f t="array" ref="J618">INDEX(implementatie[[2023]:[2034]],MATCH(G618, implementatie[Zoeksleutel],0),I618)</f>
        <v>0.5877762905727496</v>
      </c>
      <c r="K618" s="406" cm="1">
        <f t="array" ref="K618">INDEX(implementatie[[2023]:[2034]],MATCH(G618,implementatie[Zoeksleutel],0),I618 + 1)</f>
        <v>0.6929388938866099</v>
      </c>
      <c r="L61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4664.0048656947683</v>
      </c>
      <c r="M618" s="398" cm="1">
        <f t="array" ref="M618">J618*INDEX(Berekening_impact[Totaal arbeidsbesparing (€/jaar)],MATCH(B618,IF(Berekening_impact[Doelgroep]=C618,Berekening_impact[Digitale zorgtoepassing]),0))</f>
        <v>6435201.4564733664</v>
      </c>
      <c r="N618" s="397" cm="1">
        <f t="array" ref="N618">J618*INDEX(Berekening_impact[Totaal arbeidsbesparing (FTE/jaar)],MATCH(B618,IF(Berekening_impact[Doelgroep]=C618,Berekening_impact[Digitale zorgtoepassing]),0))</f>
        <v>151.58015813507996</v>
      </c>
      <c r="O618" s="398" cm="1">
        <f t="array" ref="O618">J618*INDEX(Berekening_impact[Overige kostenbesparing (totaal/jaar totaal potentieel)],MATCH(B618,IF(Berekening_impact[Doelgroep]=C618,Berekening_impact[Digitale zorgtoepassing]),0))</f>
        <v>3169576.8367704647</v>
      </c>
      <c r="P618" s="398" cm="1">
        <f t="array" ref="P618">J618*INDEX(Berekening_impact[Opbrengsten door QALY''s],MATCH(B618,IF(Berekening_impact[Doelgroep]=C618,Berekening_impact[Digitale zorgtoepassing]),0))</f>
        <v>0</v>
      </c>
      <c r="Q618" s="398" cm="1">
        <f t="array" ref="Q618">J618*INDEX(Berekening_impact[Jaarlijkse kosten (totaal) - incl. schatting],MATCH(B618,IF(Berekening_impact[Doelgroep]=C618,Berekening_impact[Digitale zorgtoepassing]),0))</f>
        <v>2480749.2080265544</v>
      </c>
      <c r="R618" s="398" cm="1">
        <f t="array" ref="R618">(uitkomst_doelgroep[[#This Row],[Implementatiegraad t = T + 1]]-uitkomst_doelgroep[[#This Row],[Implementatiegraad t = T]])*INDEX(Berekening_impact[Initiële investering (totaal) - incl. schatting],MATCH(B618,IF(Berekening_impact[Doelgroep]=C618,Berekening_impact[Digitale zorgtoepassing]),0))</f>
        <v>0</v>
      </c>
      <c r="S618" s="398">
        <f>uitkomst_doelgroep[[#This Row],[Arbeidsbesparing (€)]]*uitkomst_doelgroep[[#This Row],[Percentage van patiëntaantallen in Wlz (overige is Zvw)]]</f>
        <v>2895840.6554130148</v>
      </c>
      <c r="T618" s="398">
        <f>uitkomst_doelgroep[[#This Row],[Overige besparingen (€)]]*uitkomst_doelgroep[[#This Row],[Percentage van patiëntaantallen in Wlz (overige is Zvw)]]</f>
        <v>1426309.5765467091</v>
      </c>
      <c r="U618" s="398">
        <f>uitkomst_doelgroep[[#This Row],[Kosten (€)]]*uitkomst_doelgroep[[#This Row],[Percentage van patiëntaantallen in Wlz (overige is Zvw)]]</f>
        <v>1116337.1436119496</v>
      </c>
      <c r="V618" s="398">
        <f>uitkomst_doelgroep[[#This Row],[Investering (cash flow) (€)]]*uitkomst_doelgroep[[#This Row],[Percentage van patiëntaantallen in Wlz (overige is Zvw)]]</f>
        <v>0</v>
      </c>
    </row>
    <row r="619" spans="1:22" x14ac:dyDescent="0.5">
      <c r="A619" s="33" t="str">
        <f>INDEX(Technologieën[Veld],MATCH(B619,Technologieën[Digitale zorgtoepassing],0))</f>
        <v>Digitale hulpmiddelen - Verpleging</v>
      </c>
      <c r="B619" s="33" t="s">
        <v>19</v>
      </c>
      <c r="C619" s="33" t="s">
        <v>24</v>
      </c>
      <c r="D619" s="427" cm="1">
        <f t="array" ref="D619">INDEX(Berekening_patiëntaantal[Percentage van patiëntaantallen in Wlz (overige is Zvw)],MATCH(B619,IF(Berekening_patiëntaantal[Doelgroep (zoeksleutel)]=C619,Berekening_patiëntaantal[Digitale zorgtoepassing]),0))</f>
        <v>1</v>
      </c>
      <c r="E619" s="33" t="str" cm="1">
        <f t="array" ref="E619">INDEX(Berekening_patiëntaantal[Direct toepasbaar/extrapolatie/incidentie voor QALY],MATCH(B619,IF(Berekening_patiëntaantal[Doelgroep (zoeksleutel)]=C619,Berekening_patiëntaantal[Digitale zorgtoepassing]),0))</f>
        <v>Huidige toepassing</v>
      </c>
      <c r="F619" s="43" t="s">
        <v>812</v>
      </c>
      <c r="G619" s="33" t="str">
        <f>CONCATENATE(uitkomst_doelgroep[[#This Row],[Digitale zorgtoepassing]],"_",uitkomst_doelgroep[[#This Row],[Doelgroep]],"_",uitkomst_doelgroep[[#This Row],[Uitgangssituatie/effect beleid]])</f>
        <v>Structuurrobot_Cognitieve beperking_Effect beleid</v>
      </c>
      <c r="H619" s="33">
        <v>2033</v>
      </c>
      <c r="I619" s="32">
        <v>11</v>
      </c>
      <c r="J619" s="406" cm="1">
        <f t="array" ref="J619">INDEX(implementatie[[2023]:[2034]],MATCH(G619, implementatie[Zoeksleutel],0),I619)</f>
        <v>0.96652992244459857</v>
      </c>
      <c r="K619" s="406" cm="1">
        <f t="array" ref="K619">INDEX(implementatie[[2023]:[2034]],MATCH(G619,implementatie[Zoeksleutel],0),I619 + 1)</f>
        <v>0.98013925658124135</v>
      </c>
      <c r="L61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10454.64488150804</v>
      </c>
      <c r="M619" s="398" cm="1">
        <f t="array" ref="M619">J619*INDEX(Berekening_impact[Totaal arbeidsbesparing (€/jaar)],MATCH(B619,IF(Berekening_impact[Doelgroep]=C619,Berekening_impact[Digitale zorgtoepassing]),0))</f>
        <v>14424887.603193017</v>
      </c>
      <c r="N619" s="397" cm="1">
        <f t="array" ref="N619">J619*INDEX(Berekening_impact[Totaal arbeidsbesparing (FTE/jaar)],MATCH(B619,IF(Berekening_impact[Doelgroep]=C619,Berekening_impact[Digitale zorgtoepassing]),0))</f>
        <v>339.77595864901133</v>
      </c>
      <c r="O619" s="398" cm="1">
        <f t="array" ref="O619">J619*INDEX(Berekening_impact[Overige kostenbesparing (totaal/jaar totaal potentieel)],MATCH(B619,IF(Berekening_impact[Doelgroep]=C619,Berekening_impact[Digitale zorgtoepassing]),0))</f>
        <v>7104795.3866473073</v>
      </c>
      <c r="P619" s="398" cm="1">
        <f t="array" ref="P619">J619*INDEX(Berekening_impact[Opbrengsten door QALY''s],MATCH(B619,IF(Berekening_impact[Doelgroep]=C619,Berekening_impact[Digitale zorgtoepassing]),0))</f>
        <v>0</v>
      </c>
      <c r="Q619" s="398" cm="1">
        <f t="array" ref="Q619">J619*INDEX(Berekening_impact[Jaarlijkse kosten (totaal) - incl. schatting],MATCH(B619,IF(Berekening_impact[Doelgroep]=C619,Berekening_impact[Digitale zorgtoepassing]),0))</f>
        <v>5560747.202637515</v>
      </c>
      <c r="R619" s="398" cm="1">
        <f t="array" ref="R619">(uitkomst_doelgroep[[#This Row],[Implementatiegraad t = T + 1]]-uitkomst_doelgroep[[#This Row],[Implementatiegraad t = T]])*INDEX(Berekening_impact[Initiële investering (totaal) - incl. schatting],MATCH(B619,IF(Berekening_impact[Doelgroep]=C619,Berekening_impact[Digitale zorgtoepassing]),0))</f>
        <v>128450.10523474209</v>
      </c>
      <c r="S619" s="398">
        <f>uitkomst_doelgroep[[#This Row],[Arbeidsbesparing (€)]]*uitkomst_doelgroep[[#This Row],[Percentage van patiëntaantallen in Wlz (overige is Zvw)]]</f>
        <v>14424887.603193017</v>
      </c>
      <c r="T619" s="398">
        <f>uitkomst_doelgroep[[#This Row],[Overige besparingen (€)]]*uitkomst_doelgroep[[#This Row],[Percentage van patiëntaantallen in Wlz (overige is Zvw)]]</f>
        <v>7104795.3866473073</v>
      </c>
      <c r="U619" s="398">
        <f>uitkomst_doelgroep[[#This Row],[Kosten (€)]]*uitkomst_doelgroep[[#This Row],[Percentage van patiëntaantallen in Wlz (overige is Zvw)]]</f>
        <v>5560747.202637515</v>
      </c>
      <c r="V619" s="398">
        <f>uitkomst_doelgroep[[#This Row],[Investering (cash flow) (€)]]*uitkomst_doelgroep[[#This Row],[Percentage van patiëntaantallen in Wlz (overige is Zvw)]]</f>
        <v>128450.10523474209</v>
      </c>
    </row>
    <row r="620" spans="1:22" x14ac:dyDescent="0.5">
      <c r="A620" s="33" t="str">
        <f>INDEX(Technologieën[Veld],MATCH(B620,Technologieën[Digitale zorgtoepassing],0))</f>
        <v>Digitale hulpmiddelen - Verpleging</v>
      </c>
      <c r="B620" s="33" t="s">
        <v>19</v>
      </c>
      <c r="C620" s="33" t="s">
        <v>20</v>
      </c>
      <c r="D620" s="427" cm="1">
        <f t="array" ref="D620">INDEX(Berekening_patiëntaantal[Percentage van patiëntaantallen in Wlz (overige is Zvw)],MATCH(B620,IF(Berekening_patiëntaantal[Doelgroep (zoeksleutel)]=C620,Berekening_patiëntaantal[Digitale zorgtoepassing]),0))</f>
        <v>1</v>
      </c>
      <c r="E620" s="33" t="str" cm="1">
        <f t="array" ref="E620">INDEX(Berekening_patiëntaantal[Direct toepasbaar/extrapolatie/incidentie voor QALY],MATCH(B620,IF(Berekening_patiëntaantal[Doelgroep (zoeksleutel)]=C620,Berekening_patiëntaantal[Digitale zorgtoepassing]),0))</f>
        <v>Huidige toepassing</v>
      </c>
      <c r="F620" s="43" t="s">
        <v>812</v>
      </c>
      <c r="G620" s="33" t="str">
        <f>CONCATENATE(uitkomst_doelgroep[[#This Row],[Digitale zorgtoepassing]],"_",uitkomst_doelgroep[[#This Row],[Doelgroep]],"_",uitkomst_doelgroep[[#This Row],[Uitgangssituatie/effect beleid]])</f>
        <v>Structuurrobot_Dementie_Effect beleid</v>
      </c>
      <c r="H620" s="33">
        <v>2033</v>
      </c>
      <c r="I620" s="32">
        <v>11</v>
      </c>
      <c r="J620" s="406" cm="1">
        <f t="array" ref="J620">INDEX(implementatie[[2023]:[2034]],MATCH(G620, implementatie[Zoeksleutel],0),I620)</f>
        <v>0.96652992244459857</v>
      </c>
      <c r="K620" s="406" cm="1">
        <f t="array" ref="K620">INDEX(implementatie[[2023]:[2034]],MATCH(G620,implementatie[Zoeksleutel],0),I620 + 1)</f>
        <v>0.98013925658124135</v>
      </c>
      <c r="L62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23607.734988189932</v>
      </c>
      <c r="M620" s="398" cm="1">
        <f t="array" ref="M620">J620*INDEX(Berekening_impact[Totaal arbeidsbesparing (€/jaar)],MATCH(B620,IF(Berekening_impact[Doelgroep]=C620,Berekening_impact[Digitale zorgtoepassing]),0))</f>
        <v>32572978.578444615</v>
      </c>
      <c r="N620" s="397" cm="1">
        <f t="array" ref="N620">J620*INDEX(Berekening_impact[Totaal arbeidsbesparing (FTE/jaar)],MATCH(B620,IF(Berekening_impact[Doelgroep]=C620,Berekening_impact[Digitale zorgtoepassing]),0))</f>
        <v>767.25138711617285</v>
      </c>
      <c r="O620" s="398" cm="1">
        <f t="array" ref="O620">J620*INDEX(Berekening_impact[Overige kostenbesparing (totaal/jaar totaal potentieel)],MATCH(B620,IF(Berekening_impact[Doelgroep]=C620,Berekening_impact[Digitale zorgtoepassing]),0))</f>
        <v>16043407.35953242</v>
      </c>
      <c r="P620" s="398" cm="1">
        <f t="array" ref="P620">J620*INDEX(Berekening_impact[Opbrengsten door QALY''s],MATCH(B620,IF(Berekening_impact[Doelgroep]=C620,Berekening_impact[Digitale zorgtoepassing]),0))</f>
        <v>0</v>
      </c>
      <c r="Q620" s="398" cm="1">
        <f t="array" ref="Q620">J620*INDEX(Berekening_impact[Jaarlijkse kosten (totaal) - incl. schatting],MATCH(B620,IF(Berekening_impact[Doelgroep]=C620,Berekening_impact[Digitale zorgtoepassing]),0))</f>
        <v>12556777.182205811</v>
      </c>
      <c r="R620" s="398" cm="1">
        <f t="array" ref="R620">(uitkomst_doelgroep[[#This Row],[Implementatiegraad t = T + 1]]-uitkomst_doelgroep[[#This Row],[Implementatiegraad t = T]])*INDEX(Berekening_impact[Initiële investering (totaal) - incl. schatting],MATCH(B620,IF(Berekening_impact[Doelgroep]=C620,Berekening_impact[Digitale zorgtoepassing]),0))</f>
        <v>261325.022123398</v>
      </c>
      <c r="S620" s="398">
        <f>uitkomst_doelgroep[[#This Row],[Arbeidsbesparing (€)]]*uitkomst_doelgroep[[#This Row],[Percentage van patiëntaantallen in Wlz (overige is Zvw)]]</f>
        <v>32572978.578444615</v>
      </c>
      <c r="T620" s="398">
        <f>uitkomst_doelgroep[[#This Row],[Overige besparingen (€)]]*uitkomst_doelgroep[[#This Row],[Percentage van patiëntaantallen in Wlz (overige is Zvw)]]</f>
        <v>16043407.35953242</v>
      </c>
      <c r="U620" s="398">
        <f>uitkomst_doelgroep[[#This Row],[Kosten (€)]]*uitkomst_doelgroep[[#This Row],[Percentage van patiëntaantallen in Wlz (overige is Zvw)]]</f>
        <v>12556777.182205811</v>
      </c>
      <c r="V620" s="398">
        <f>uitkomst_doelgroep[[#This Row],[Investering (cash flow) (€)]]*uitkomst_doelgroep[[#This Row],[Percentage van patiëntaantallen in Wlz (overige is Zvw)]]</f>
        <v>261325.022123398</v>
      </c>
    </row>
    <row r="621" spans="1:22" x14ac:dyDescent="0.5">
      <c r="A621" s="33" t="str">
        <f>INDEX(Technologieën[Veld],MATCH(B621,Technologieën[Digitale zorgtoepassing],0))</f>
        <v>Software - Diagnose</v>
      </c>
      <c r="B621" s="33" t="s">
        <v>56</v>
      </c>
      <c r="C621" s="33" t="s">
        <v>57</v>
      </c>
      <c r="D621" s="427" cm="1">
        <f t="array" ref="D621">INDEX(Berekening_patiëntaantal[Percentage van patiëntaantallen in Wlz (overige is Zvw)],MATCH(B621,IF(Berekening_patiëntaantal[Doelgroep (zoeksleutel)]=C621,Berekening_patiëntaantal[Digitale zorgtoepassing]),0))</f>
        <v>0</v>
      </c>
      <c r="E621" s="33" t="str" cm="1">
        <f t="array" ref="E621">INDEX(Berekening_patiëntaantal[Direct toepasbaar/extrapolatie/incidentie voor QALY],MATCH(B621,IF(Berekening_patiëntaantal[Doelgroep (zoeksleutel)]=C621,Berekening_patiëntaantal[Digitale zorgtoepassing]),0))</f>
        <v>Huidige toepassing</v>
      </c>
      <c r="F621" s="43" t="s">
        <v>812</v>
      </c>
      <c r="G621" s="33" t="str">
        <f>CONCATENATE(uitkomst_doelgroep[[#This Row],[Digitale zorgtoepassing]],"_",uitkomst_doelgroep[[#This Row],[Doelgroep]],"_",uitkomst_doelgroep[[#This Row],[Uitgangssituatie/effect beleid]])</f>
        <v>Virtual cockpit_MRI-scans_Effect beleid</v>
      </c>
      <c r="H621" s="33">
        <v>2023</v>
      </c>
      <c r="I621" s="32">
        <v>1</v>
      </c>
      <c r="J621" s="406" cm="1">
        <f t="array" ref="J621">INDEX(implementatie[[2023]:[2034]],MATCH(G621, implementatie[Zoeksleutel],0),I621)</f>
        <v>0.2</v>
      </c>
      <c r="K621" s="406" cm="1">
        <f t="array" ref="K621">INDEX(implementatie[[2023]:[2034]],MATCH(G621,implementatie[Zoeksleutel],0),I621 + 1)</f>
        <v>0.29200000000000004</v>
      </c>
      <c r="L62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200000</v>
      </c>
      <c r="M621" s="398" cm="1">
        <f t="array" ref="M621">J621*INDEX(Berekening_impact[Totaal arbeidsbesparing (€/jaar)],MATCH(B621,IF(Berekening_impact[Doelgroep]=C621,Berekening_impact[Digitale zorgtoepassing]),0))</f>
        <v>228471.26436781615</v>
      </c>
      <c r="N621" s="397" cm="1">
        <f t="array" ref="N621">J621*INDEX(Berekening_impact[Totaal arbeidsbesparing (FTE/jaar)],MATCH(B621,IF(Berekening_impact[Doelgroep]=C621,Berekening_impact[Digitale zorgtoepassing]),0))</f>
        <v>3.8461538461538467</v>
      </c>
      <c r="O621" s="398" cm="1">
        <f t="array" ref="O621">J621*INDEX(Berekening_impact[Overige kostenbesparing (totaal/jaar totaal potentieel)],MATCH(B621,IF(Berekening_impact[Doelgroep]=C621,Berekening_impact[Digitale zorgtoepassing]),0))</f>
        <v>0</v>
      </c>
      <c r="P621" s="398" cm="1">
        <f t="array" ref="P621">J621*INDEX(Berekening_impact[Opbrengsten door QALY''s],MATCH(B621,IF(Berekening_impact[Doelgroep]=C621,Berekening_impact[Digitale zorgtoepassing]),0))</f>
        <v>0</v>
      </c>
      <c r="Q621" s="398" cm="1">
        <f t="array" ref="Q621">J621*INDEX(Berekening_impact[Jaarlijkse kosten (totaal) - incl. schatting],MATCH(B621,IF(Berekening_impact[Doelgroep]=C621,Berekening_impact[Digitale zorgtoepassing]),0))</f>
        <v>194162.12520825965</v>
      </c>
      <c r="R621" s="398" cm="1">
        <f t="array" ref="R621">(uitkomst_doelgroep[[#This Row],[Implementatiegraad t = T + 1]]-uitkomst_doelgroep[[#This Row],[Implementatiegraad t = T]])*INDEX(Berekening_impact[Initiële investering (totaal) - incl. schatting],MATCH(B621,IF(Berekening_impact[Doelgroep]=C621,Berekening_impact[Digitale zorgtoepassing]),0))</f>
        <v>0</v>
      </c>
      <c r="S621" s="398">
        <f>uitkomst_doelgroep[[#This Row],[Arbeidsbesparing (€)]]*uitkomst_doelgroep[[#This Row],[Percentage van patiëntaantallen in Wlz (overige is Zvw)]]</f>
        <v>0</v>
      </c>
      <c r="T621" s="398">
        <f>uitkomst_doelgroep[[#This Row],[Overige besparingen (€)]]*uitkomst_doelgroep[[#This Row],[Percentage van patiëntaantallen in Wlz (overige is Zvw)]]</f>
        <v>0</v>
      </c>
      <c r="U621" s="398">
        <f>uitkomst_doelgroep[[#This Row],[Kosten (€)]]*uitkomst_doelgroep[[#This Row],[Percentage van patiëntaantallen in Wlz (overige is Zvw)]]</f>
        <v>0</v>
      </c>
      <c r="V621" s="398">
        <f>uitkomst_doelgroep[[#This Row],[Investering (cash flow) (€)]]*uitkomst_doelgroep[[#This Row],[Percentage van patiëntaantallen in Wlz (overige is Zvw)]]</f>
        <v>0</v>
      </c>
    </row>
    <row r="622" spans="1:22" x14ac:dyDescent="0.5">
      <c r="A622" s="33" t="str">
        <f>INDEX(Technologieën[Veld],MATCH(B622,Technologieën[Digitale zorgtoepassing],0))</f>
        <v>Software - Diagnose</v>
      </c>
      <c r="B622" s="33" t="s">
        <v>56</v>
      </c>
      <c r="C622" s="33" t="s">
        <v>57</v>
      </c>
      <c r="D622" s="427" cm="1">
        <f t="array" ref="D622">INDEX(Berekening_patiëntaantal[Percentage van patiëntaantallen in Wlz (overige is Zvw)],MATCH(B622,IF(Berekening_patiëntaantal[Doelgroep (zoeksleutel)]=C622,Berekening_patiëntaantal[Digitale zorgtoepassing]),0))</f>
        <v>0</v>
      </c>
      <c r="E622" s="33" t="str" cm="1">
        <f t="array" ref="E622">INDEX(Berekening_patiëntaantal[Direct toepasbaar/extrapolatie/incidentie voor QALY],MATCH(B622,IF(Berekening_patiëntaantal[Doelgroep (zoeksleutel)]=C622,Berekening_patiëntaantal[Digitale zorgtoepassing]),0))</f>
        <v>Huidige toepassing</v>
      </c>
      <c r="F622" s="43" t="s">
        <v>812</v>
      </c>
      <c r="G622" s="33" t="str">
        <f>CONCATENATE(uitkomst_doelgroep[[#This Row],[Digitale zorgtoepassing]],"_",uitkomst_doelgroep[[#This Row],[Doelgroep]],"_",uitkomst_doelgroep[[#This Row],[Uitgangssituatie/effect beleid]])</f>
        <v>Virtual cockpit_MRI-scans_Effect beleid</v>
      </c>
      <c r="H622" s="33">
        <v>2024</v>
      </c>
      <c r="I622" s="32">
        <v>2</v>
      </c>
      <c r="J622" s="406" cm="1">
        <f t="array" ref="J622">INDEX(implementatie[[2023]:[2034]],MATCH(G622, implementatie[Zoeksleutel],0),I622)</f>
        <v>0.29200000000000004</v>
      </c>
      <c r="K622" s="406" cm="1">
        <f t="array" ref="K622">INDEX(implementatie[[2023]:[2034]],MATCH(G622,implementatie[Zoeksleutel],0),I622 + 1)</f>
        <v>0.40273120000000007</v>
      </c>
      <c r="L62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292000.00000000006</v>
      </c>
      <c r="M622" s="398" cm="1">
        <f t="array" ref="M622">J622*INDEX(Berekening_impact[Totaal arbeidsbesparing (€/jaar)],MATCH(B622,IF(Berekening_impact[Doelgroep]=C622,Berekening_impact[Digitale zorgtoepassing]),0))</f>
        <v>333568.04597701161</v>
      </c>
      <c r="N622" s="397" cm="1">
        <f t="array" ref="N622">J622*INDEX(Berekening_impact[Totaal arbeidsbesparing (FTE/jaar)],MATCH(B622,IF(Berekening_impact[Doelgroep]=C622,Berekening_impact[Digitale zorgtoepassing]),0))</f>
        <v>5.6153846153846168</v>
      </c>
      <c r="O622" s="398" cm="1">
        <f t="array" ref="O622">J622*INDEX(Berekening_impact[Overige kostenbesparing (totaal/jaar totaal potentieel)],MATCH(B622,IF(Berekening_impact[Doelgroep]=C622,Berekening_impact[Digitale zorgtoepassing]),0))</f>
        <v>0</v>
      </c>
      <c r="P622" s="398" cm="1">
        <f t="array" ref="P622">J622*INDEX(Berekening_impact[Opbrengsten door QALY''s],MATCH(B622,IF(Berekening_impact[Doelgroep]=C622,Berekening_impact[Digitale zorgtoepassing]),0))</f>
        <v>0</v>
      </c>
      <c r="Q622" s="398" cm="1">
        <f t="array" ref="Q622">J622*INDEX(Berekening_impact[Jaarlijkse kosten (totaal) - incl. schatting],MATCH(B622,IF(Berekening_impact[Doelgroep]=C622,Berekening_impact[Digitale zorgtoepassing]),0))</f>
        <v>283476.70280405908</v>
      </c>
      <c r="R622" s="398" cm="1">
        <f t="array" ref="R622">(uitkomst_doelgroep[[#This Row],[Implementatiegraad t = T + 1]]-uitkomst_doelgroep[[#This Row],[Implementatiegraad t = T]])*INDEX(Berekening_impact[Initiële investering (totaal) - incl. schatting],MATCH(B622,IF(Berekening_impact[Doelgroep]=C622,Berekening_impact[Digitale zorgtoepassing]),0))</f>
        <v>0</v>
      </c>
      <c r="S622" s="398">
        <f>uitkomst_doelgroep[[#This Row],[Arbeidsbesparing (€)]]*uitkomst_doelgroep[[#This Row],[Percentage van patiëntaantallen in Wlz (overige is Zvw)]]</f>
        <v>0</v>
      </c>
      <c r="T622" s="398">
        <f>uitkomst_doelgroep[[#This Row],[Overige besparingen (€)]]*uitkomst_doelgroep[[#This Row],[Percentage van patiëntaantallen in Wlz (overige is Zvw)]]</f>
        <v>0</v>
      </c>
      <c r="U622" s="398">
        <f>uitkomst_doelgroep[[#This Row],[Kosten (€)]]*uitkomst_doelgroep[[#This Row],[Percentage van patiëntaantallen in Wlz (overige is Zvw)]]</f>
        <v>0</v>
      </c>
      <c r="V622" s="398">
        <f>uitkomst_doelgroep[[#This Row],[Investering (cash flow) (€)]]*uitkomst_doelgroep[[#This Row],[Percentage van patiëntaantallen in Wlz (overige is Zvw)]]</f>
        <v>0</v>
      </c>
    </row>
    <row r="623" spans="1:22" x14ac:dyDescent="0.5">
      <c r="A623" s="33" t="str">
        <f>INDEX(Technologieën[Veld],MATCH(B623,Technologieën[Digitale zorgtoepassing],0))</f>
        <v>Software - Diagnose</v>
      </c>
      <c r="B623" s="33" t="s">
        <v>56</v>
      </c>
      <c r="C623" s="33" t="s">
        <v>57</v>
      </c>
      <c r="D623" s="427" cm="1">
        <f t="array" ref="D623">INDEX(Berekening_patiëntaantal[Percentage van patiëntaantallen in Wlz (overige is Zvw)],MATCH(B623,IF(Berekening_patiëntaantal[Doelgroep (zoeksleutel)]=C623,Berekening_patiëntaantal[Digitale zorgtoepassing]),0))</f>
        <v>0</v>
      </c>
      <c r="E623" s="33" t="str" cm="1">
        <f t="array" ref="E623">INDEX(Berekening_patiëntaantal[Direct toepasbaar/extrapolatie/incidentie voor QALY],MATCH(B623,IF(Berekening_patiëntaantal[Doelgroep (zoeksleutel)]=C623,Berekening_patiëntaantal[Digitale zorgtoepassing]),0))</f>
        <v>Huidige toepassing</v>
      </c>
      <c r="F623" s="43" t="s">
        <v>812</v>
      </c>
      <c r="G623" s="33" t="str">
        <f>CONCATENATE(uitkomst_doelgroep[[#This Row],[Digitale zorgtoepassing]],"_",uitkomst_doelgroep[[#This Row],[Doelgroep]],"_",uitkomst_doelgroep[[#This Row],[Uitgangssituatie/effect beleid]])</f>
        <v>Virtual cockpit_MRI-scans_Effect beleid</v>
      </c>
      <c r="H623" s="33">
        <v>2025</v>
      </c>
      <c r="I623" s="32">
        <v>3</v>
      </c>
      <c r="J623" s="406" cm="1">
        <f t="array" ref="J623">INDEX(implementatie[[2023]:[2034]],MATCH(G623, implementatie[Zoeksleutel],0),I623)</f>
        <v>0.40273120000000007</v>
      </c>
      <c r="K623" s="406" cm="1">
        <f t="array" ref="K623">INDEX(implementatie[[2023]:[2034]],MATCH(G623,implementatie[Zoeksleutel],0),I623 + 1)</f>
        <v>0.52590537124595205</v>
      </c>
      <c r="L62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402731.20000000007</v>
      </c>
      <c r="M623" s="398" cm="1">
        <f t="array" ref="M623">J623*INDEX(Berekening_impact[Totaal arbeidsbesparing (€/jaar)],MATCH(B623,IF(Berekening_impact[Doelgroep]=C623,Berekening_impact[Digitale zorgtoepassing]),0))</f>
        <v>460062.53232183924</v>
      </c>
      <c r="N623" s="397" cm="1">
        <f t="array" ref="N623">J623*INDEX(Berekening_impact[Totaal arbeidsbesparing (FTE/jaar)],MATCH(B623,IF(Berekening_impact[Doelgroep]=C623,Berekening_impact[Digitale zorgtoepassing]),0))</f>
        <v>7.7448307692307718</v>
      </c>
      <c r="O623" s="398" cm="1">
        <f t="array" ref="O623">J623*INDEX(Berekening_impact[Overige kostenbesparing (totaal/jaar totaal potentieel)],MATCH(B623,IF(Berekening_impact[Doelgroep]=C623,Berekening_impact[Digitale zorgtoepassing]),0))</f>
        <v>0</v>
      </c>
      <c r="P623" s="398" cm="1">
        <f t="array" ref="P623">J623*INDEX(Berekening_impact[Opbrengsten door QALY''s],MATCH(B623,IF(Berekening_impact[Doelgroep]=C623,Berekening_impact[Digitale zorgtoepassing]),0))</f>
        <v>0</v>
      </c>
      <c r="Q623" s="398" cm="1">
        <f t="array" ref="Q623">J623*INDEX(Berekening_impact[Jaarlijkse kosten (totaal) - incl. schatting],MATCH(B623,IF(Berekening_impact[Doelgroep]=C623,Berekening_impact[Digitale zorgtoepassing]),0))</f>
        <v>390975.72839836334</v>
      </c>
      <c r="R623" s="398" cm="1">
        <f t="array" ref="R623">(uitkomst_doelgroep[[#This Row],[Implementatiegraad t = T + 1]]-uitkomst_doelgroep[[#This Row],[Implementatiegraad t = T]])*INDEX(Berekening_impact[Initiële investering (totaal) - incl. schatting],MATCH(B623,IF(Berekening_impact[Doelgroep]=C623,Berekening_impact[Digitale zorgtoepassing]),0))</f>
        <v>0</v>
      </c>
      <c r="S623" s="398">
        <f>uitkomst_doelgroep[[#This Row],[Arbeidsbesparing (€)]]*uitkomst_doelgroep[[#This Row],[Percentage van patiëntaantallen in Wlz (overige is Zvw)]]</f>
        <v>0</v>
      </c>
      <c r="T623" s="398">
        <f>uitkomst_doelgroep[[#This Row],[Overige besparingen (€)]]*uitkomst_doelgroep[[#This Row],[Percentage van patiëntaantallen in Wlz (overige is Zvw)]]</f>
        <v>0</v>
      </c>
      <c r="U623" s="398">
        <f>uitkomst_doelgroep[[#This Row],[Kosten (€)]]*uitkomst_doelgroep[[#This Row],[Percentage van patiëntaantallen in Wlz (overige is Zvw)]]</f>
        <v>0</v>
      </c>
      <c r="V623" s="398">
        <f>uitkomst_doelgroep[[#This Row],[Investering (cash flow) (€)]]*uitkomst_doelgroep[[#This Row],[Percentage van patiëntaantallen in Wlz (overige is Zvw)]]</f>
        <v>0</v>
      </c>
    </row>
    <row r="624" spans="1:22" x14ac:dyDescent="0.5">
      <c r="A624" s="33" t="str">
        <f>INDEX(Technologieën[Veld],MATCH(B624,Technologieën[Digitale zorgtoepassing],0))</f>
        <v>Software - Diagnose</v>
      </c>
      <c r="B624" s="33" t="s">
        <v>56</v>
      </c>
      <c r="C624" s="33" t="s">
        <v>57</v>
      </c>
      <c r="D624" s="427" cm="1">
        <f t="array" ref="D624">INDEX(Berekening_patiëntaantal[Percentage van patiëntaantallen in Wlz (overige is Zvw)],MATCH(B624,IF(Berekening_patiëntaantal[Doelgroep (zoeksleutel)]=C624,Berekening_patiëntaantal[Digitale zorgtoepassing]),0))</f>
        <v>0</v>
      </c>
      <c r="E624" s="33" t="str" cm="1">
        <f t="array" ref="E624">INDEX(Berekening_patiëntaantal[Direct toepasbaar/extrapolatie/incidentie voor QALY],MATCH(B624,IF(Berekening_patiëntaantal[Doelgroep (zoeksleutel)]=C624,Berekening_patiëntaantal[Digitale zorgtoepassing]),0))</f>
        <v>Huidige toepassing</v>
      </c>
      <c r="F624" s="43" t="s">
        <v>812</v>
      </c>
      <c r="G624" s="33" t="str">
        <f>CONCATENATE(uitkomst_doelgroep[[#This Row],[Digitale zorgtoepassing]],"_",uitkomst_doelgroep[[#This Row],[Doelgroep]],"_",uitkomst_doelgroep[[#This Row],[Uitgangssituatie/effect beleid]])</f>
        <v>Virtual cockpit_MRI-scans_Effect beleid</v>
      </c>
      <c r="H624" s="33">
        <v>2026</v>
      </c>
      <c r="I624" s="32">
        <v>4</v>
      </c>
      <c r="J624" s="406" cm="1">
        <f t="array" ref="J624">INDEX(implementatie[[2023]:[2034]],MATCH(G624, implementatie[Zoeksleutel],0),I624)</f>
        <v>0.52590537124595205</v>
      </c>
      <c r="K624" s="406" cm="1">
        <f t="array" ref="K624">INDEX(implementatie[[2023]:[2034]],MATCH(G624,implementatie[Zoeksleutel],0),I624 + 1)</f>
        <v>0.64995574724807748</v>
      </c>
      <c r="L62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525905.37124595209</v>
      </c>
      <c r="M624" s="398" cm="1">
        <f t="array" ref="M624">J624*INDEX(Berekening_impact[Totaal arbeidsbesparing (€/jaar)],MATCH(B624,IF(Berekening_impact[Doelgroep]=C624,Berekening_impact[Digitale zorgtoepassing]),0))</f>
        <v>600771.32553194195</v>
      </c>
      <c r="N624" s="397" cm="1">
        <f t="array" ref="N624">J624*INDEX(Berekening_impact[Totaal arbeidsbesparing (FTE/jaar)],MATCH(B624,IF(Berekening_impact[Doelgroep]=C624,Berekening_impact[Digitale zorgtoepassing]),0))</f>
        <v>10.113564831652926</v>
      </c>
      <c r="O624" s="398" cm="1">
        <f t="array" ref="O624">J624*INDEX(Berekening_impact[Overige kostenbesparing (totaal/jaar totaal potentieel)],MATCH(B624,IF(Berekening_impact[Doelgroep]=C624,Berekening_impact[Digitale zorgtoepassing]),0))</f>
        <v>0</v>
      </c>
      <c r="P624" s="398" cm="1">
        <f t="array" ref="P624">J624*INDEX(Berekening_impact[Opbrengsten door QALY''s],MATCH(B624,IF(Berekening_impact[Doelgroep]=C624,Berekening_impact[Digitale zorgtoepassing]),0))</f>
        <v>0</v>
      </c>
      <c r="Q624" s="398" cm="1">
        <f t="array" ref="Q624">J624*INDEX(Berekening_impact[Jaarlijkse kosten (totaal) - incl. schatting],MATCH(B624,IF(Berekening_impact[Doelgroep]=C624,Berekening_impact[Digitale zorgtoepassing]),0))</f>
        <v>510554.52269776404</v>
      </c>
      <c r="R624" s="398" cm="1">
        <f t="array" ref="R624">(uitkomst_doelgroep[[#This Row],[Implementatiegraad t = T + 1]]-uitkomst_doelgroep[[#This Row],[Implementatiegraad t = T]])*INDEX(Berekening_impact[Initiële investering (totaal) - incl. schatting],MATCH(B624,IF(Berekening_impact[Doelgroep]=C624,Berekening_impact[Digitale zorgtoepassing]),0))</f>
        <v>0</v>
      </c>
      <c r="S624" s="398">
        <f>uitkomst_doelgroep[[#This Row],[Arbeidsbesparing (€)]]*uitkomst_doelgroep[[#This Row],[Percentage van patiëntaantallen in Wlz (overige is Zvw)]]</f>
        <v>0</v>
      </c>
      <c r="T624" s="398">
        <f>uitkomst_doelgroep[[#This Row],[Overige besparingen (€)]]*uitkomst_doelgroep[[#This Row],[Percentage van patiëntaantallen in Wlz (overige is Zvw)]]</f>
        <v>0</v>
      </c>
      <c r="U624" s="398">
        <f>uitkomst_doelgroep[[#This Row],[Kosten (€)]]*uitkomst_doelgroep[[#This Row],[Percentage van patiëntaantallen in Wlz (overige is Zvw)]]</f>
        <v>0</v>
      </c>
      <c r="V624" s="398">
        <f>uitkomst_doelgroep[[#This Row],[Investering (cash flow) (€)]]*uitkomst_doelgroep[[#This Row],[Percentage van patiëntaantallen in Wlz (overige is Zvw)]]</f>
        <v>0</v>
      </c>
    </row>
    <row r="625" spans="1:22" x14ac:dyDescent="0.5">
      <c r="A625" s="33" t="str">
        <f>INDEX(Technologieën[Veld],MATCH(B625,Technologieën[Digitale zorgtoepassing],0))</f>
        <v>Software - Diagnose</v>
      </c>
      <c r="B625" s="33" t="s">
        <v>56</v>
      </c>
      <c r="C625" s="33" t="s">
        <v>57</v>
      </c>
      <c r="D625" s="427" cm="1">
        <f t="array" ref="D625">INDEX(Berekening_patiëntaantal[Percentage van patiëntaantallen in Wlz (overige is Zvw)],MATCH(B625,IF(Berekening_patiëntaantal[Doelgroep (zoeksleutel)]=C625,Berekening_patiëntaantal[Digitale zorgtoepassing]),0))</f>
        <v>0</v>
      </c>
      <c r="E625" s="33" t="str" cm="1">
        <f t="array" ref="E625">INDEX(Berekening_patiëntaantal[Direct toepasbaar/extrapolatie/incidentie voor QALY],MATCH(B625,IF(Berekening_patiëntaantal[Doelgroep (zoeksleutel)]=C625,Berekening_patiëntaantal[Digitale zorgtoepassing]),0))</f>
        <v>Huidige toepassing</v>
      </c>
      <c r="F625" s="43" t="s">
        <v>812</v>
      </c>
      <c r="G625" s="33" t="str">
        <f>CONCATENATE(uitkomst_doelgroep[[#This Row],[Digitale zorgtoepassing]],"_",uitkomst_doelgroep[[#This Row],[Doelgroep]],"_",uitkomst_doelgroep[[#This Row],[Uitgangssituatie/effect beleid]])</f>
        <v>Virtual cockpit_MRI-scans_Effect beleid</v>
      </c>
      <c r="H625" s="33">
        <v>2027</v>
      </c>
      <c r="I625" s="32">
        <v>5</v>
      </c>
      <c r="J625" s="406" cm="1">
        <f t="array" ref="J625">INDEX(implementatie[[2023]:[2034]],MATCH(G625, implementatie[Zoeksleutel],0),I625)</f>
        <v>0.64995574724807748</v>
      </c>
      <c r="K625" s="406" cm="1">
        <f t="array" ref="K625">INDEX(implementatie[[2023]:[2034]],MATCH(G625,implementatie[Zoeksleutel],0),I625 + 1)</f>
        <v>0.76108782680714737</v>
      </c>
      <c r="L62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649955.74724807753</v>
      </c>
      <c r="M625" s="398" cm="1">
        <f t="array" ref="M625">J625*INDEX(Berekening_impact[Totaal arbeidsbesparing (€/jaar)],MATCH(B625,IF(Berekening_impact[Doelgroep]=C625,Berekening_impact[Digitale zorgtoepassing]),0))</f>
        <v>742481.056784485</v>
      </c>
      <c r="N625" s="397" cm="1">
        <f t="array" ref="N625">J625*INDEX(Berekening_impact[Totaal arbeidsbesparing (FTE/jaar)],MATCH(B625,IF(Berekening_impact[Doelgroep]=C625,Berekening_impact[Digitale zorgtoepassing]),0))</f>
        <v>12.499148985539954</v>
      </c>
      <c r="O625" s="398" cm="1">
        <f t="array" ref="O625">J625*INDEX(Berekening_impact[Overige kostenbesparing (totaal/jaar totaal potentieel)],MATCH(B625,IF(Berekening_impact[Doelgroep]=C625,Berekening_impact[Digitale zorgtoepassing]),0))</f>
        <v>0</v>
      </c>
      <c r="P625" s="398" cm="1">
        <f t="array" ref="P625">J625*INDEX(Berekening_impact[Opbrengsten door QALY''s],MATCH(B625,IF(Berekening_impact[Doelgroep]=C625,Berekening_impact[Digitale zorgtoepassing]),0))</f>
        <v>0</v>
      </c>
      <c r="Q625" s="398" cm="1">
        <f t="array" ref="Q625">J625*INDEX(Berekening_impact[Jaarlijkse kosten (totaal) - incl. schatting],MATCH(B625,IF(Berekening_impact[Doelgroep]=C625,Berekening_impact[Digitale zorgtoepassing]),0))</f>
        <v>630983.9458850458</v>
      </c>
      <c r="R625" s="398" cm="1">
        <f t="array" ref="R625">(uitkomst_doelgroep[[#This Row],[Implementatiegraad t = T + 1]]-uitkomst_doelgroep[[#This Row],[Implementatiegraad t = T]])*INDEX(Berekening_impact[Initiële investering (totaal) - incl. schatting],MATCH(B625,IF(Berekening_impact[Doelgroep]=C625,Berekening_impact[Digitale zorgtoepassing]),0))</f>
        <v>0</v>
      </c>
      <c r="S625" s="398">
        <f>uitkomst_doelgroep[[#This Row],[Arbeidsbesparing (€)]]*uitkomst_doelgroep[[#This Row],[Percentage van patiëntaantallen in Wlz (overige is Zvw)]]</f>
        <v>0</v>
      </c>
      <c r="T625" s="398">
        <f>uitkomst_doelgroep[[#This Row],[Overige besparingen (€)]]*uitkomst_doelgroep[[#This Row],[Percentage van patiëntaantallen in Wlz (overige is Zvw)]]</f>
        <v>0</v>
      </c>
      <c r="U625" s="398">
        <f>uitkomst_doelgroep[[#This Row],[Kosten (€)]]*uitkomst_doelgroep[[#This Row],[Percentage van patiëntaantallen in Wlz (overige is Zvw)]]</f>
        <v>0</v>
      </c>
      <c r="V625" s="398">
        <f>uitkomst_doelgroep[[#This Row],[Investering (cash flow) (€)]]*uitkomst_doelgroep[[#This Row],[Percentage van patiëntaantallen in Wlz (overige is Zvw)]]</f>
        <v>0</v>
      </c>
    </row>
    <row r="626" spans="1:22" x14ac:dyDescent="0.5">
      <c r="A626" s="33" t="str">
        <f>INDEX(Technologieën[Veld],MATCH(B626,Technologieën[Digitale zorgtoepassing],0))</f>
        <v>Software - Diagnose</v>
      </c>
      <c r="B626" s="33" t="s">
        <v>56</v>
      </c>
      <c r="C626" s="33" t="s">
        <v>57</v>
      </c>
      <c r="D626" s="427" cm="1">
        <f t="array" ref="D626">INDEX(Berekening_patiëntaantal[Percentage van patiëntaantallen in Wlz (overige is Zvw)],MATCH(B626,IF(Berekening_patiëntaantal[Doelgroep (zoeksleutel)]=C626,Berekening_patiëntaantal[Digitale zorgtoepassing]),0))</f>
        <v>0</v>
      </c>
      <c r="E626" s="33" t="str" cm="1">
        <f t="array" ref="E626">INDEX(Berekening_patiëntaantal[Direct toepasbaar/extrapolatie/incidentie voor QALY],MATCH(B626,IF(Berekening_patiëntaantal[Doelgroep (zoeksleutel)]=C626,Berekening_patiëntaantal[Digitale zorgtoepassing]),0))</f>
        <v>Huidige toepassing</v>
      </c>
      <c r="F626" s="43" t="s">
        <v>812</v>
      </c>
      <c r="G626" s="33" t="str">
        <f>CONCATENATE(uitkomst_doelgroep[[#This Row],[Digitale zorgtoepassing]],"_",uitkomst_doelgroep[[#This Row],[Doelgroep]],"_",uitkomst_doelgroep[[#This Row],[Uitgangssituatie/effect beleid]])</f>
        <v>Virtual cockpit_MRI-scans_Effect beleid</v>
      </c>
      <c r="H626" s="33">
        <v>2028</v>
      </c>
      <c r="I626" s="32">
        <v>6</v>
      </c>
      <c r="J626" s="406" cm="1">
        <f t="array" ref="J626">INDEX(implementatie[[2023]:[2034]],MATCH(G626, implementatie[Zoeksleutel],0),I626)</f>
        <v>0.76108782680714737</v>
      </c>
      <c r="K626" s="406" cm="1">
        <f t="array" ref="K626">INDEX(implementatie[[2023]:[2034]],MATCH(G626,implementatie[Zoeksleutel],0),I626 + 1)</f>
        <v>0.8488855471488731</v>
      </c>
      <c r="L62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761087.82680714736</v>
      </c>
      <c r="M626" s="398" cm="1">
        <f t="array" ref="M626">J626*INDEX(Berekening_impact[Totaal arbeidsbesparing (€/jaar)],MATCH(B626,IF(Berekening_impact[Doelgroep]=C626,Berekening_impact[Digitale zorgtoepassing]),0))</f>
        <v>869433.4904279121</v>
      </c>
      <c r="N626" s="397" cm="1">
        <f t="array" ref="N626">J626*INDEX(Berekening_impact[Totaal arbeidsbesparing (FTE/jaar)],MATCH(B626,IF(Berekening_impact[Doelgroep]=C626,Berekening_impact[Digitale zorgtoepassing]),0))</f>
        <v>14.636304361675913</v>
      </c>
      <c r="O626" s="398" cm="1">
        <f t="array" ref="O626">J626*INDEX(Berekening_impact[Overige kostenbesparing (totaal/jaar totaal potentieel)],MATCH(B626,IF(Berekening_impact[Doelgroep]=C626,Berekening_impact[Digitale zorgtoepassing]),0))</f>
        <v>0</v>
      </c>
      <c r="P626" s="398" cm="1">
        <f t="array" ref="P626">J626*INDEX(Berekening_impact[Opbrengsten door QALY''s],MATCH(B626,IF(Berekening_impact[Doelgroep]=C626,Berekening_impact[Digitale zorgtoepassing]),0))</f>
        <v>0</v>
      </c>
      <c r="Q626" s="398" cm="1">
        <f t="array" ref="Q626">J626*INDEX(Berekening_impact[Jaarlijkse kosten (totaal) - incl. schatting],MATCH(B626,IF(Berekening_impact[Doelgroep]=C626,Berekening_impact[Digitale zorgtoepassing]),0))</f>
        <v>738872.14961505786</v>
      </c>
      <c r="R626" s="398" cm="1">
        <f t="array" ref="R626">(uitkomst_doelgroep[[#This Row],[Implementatiegraad t = T + 1]]-uitkomst_doelgroep[[#This Row],[Implementatiegraad t = T]])*INDEX(Berekening_impact[Initiële investering (totaal) - incl. schatting],MATCH(B626,IF(Berekening_impact[Doelgroep]=C626,Berekening_impact[Digitale zorgtoepassing]),0))</f>
        <v>0</v>
      </c>
      <c r="S626" s="398">
        <f>uitkomst_doelgroep[[#This Row],[Arbeidsbesparing (€)]]*uitkomst_doelgroep[[#This Row],[Percentage van patiëntaantallen in Wlz (overige is Zvw)]]</f>
        <v>0</v>
      </c>
      <c r="T626" s="398">
        <f>uitkomst_doelgroep[[#This Row],[Overige besparingen (€)]]*uitkomst_doelgroep[[#This Row],[Percentage van patiëntaantallen in Wlz (overige is Zvw)]]</f>
        <v>0</v>
      </c>
      <c r="U626" s="398">
        <f>uitkomst_doelgroep[[#This Row],[Kosten (€)]]*uitkomst_doelgroep[[#This Row],[Percentage van patiëntaantallen in Wlz (overige is Zvw)]]</f>
        <v>0</v>
      </c>
      <c r="V626" s="398">
        <f>uitkomst_doelgroep[[#This Row],[Investering (cash flow) (€)]]*uitkomst_doelgroep[[#This Row],[Percentage van patiëntaantallen in Wlz (overige is Zvw)]]</f>
        <v>0</v>
      </c>
    </row>
    <row r="627" spans="1:22" x14ac:dyDescent="0.5">
      <c r="A627" s="33" t="str">
        <f>INDEX(Technologieën[Veld],MATCH(B627,Technologieën[Digitale zorgtoepassing],0))</f>
        <v>Software - Diagnose</v>
      </c>
      <c r="B627" s="33" t="s">
        <v>56</v>
      </c>
      <c r="C627" s="33" t="s">
        <v>57</v>
      </c>
      <c r="D627" s="427" cm="1">
        <f t="array" ref="D627">INDEX(Berekening_patiëntaantal[Percentage van patiëntaantallen in Wlz (overige is Zvw)],MATCH(B627,IF(Berekening_patiëntaantal[Doelgroep (zoeksleutel)]=C627,Berekening_patiëntaantal[Digitale zorgtoepassing]),0))</f>
        <v>0</v>
      </c>
      <c r="E627" s="33" t="str" cm="1">
        <f t="array" ref="E627">INDEX(Berekening_patiëntaantal[Direct toepasbaar/extrapolatie/incidentie voor QALY],MATCH(B627,IF(Berekening_patiëntaantal[Doelgroep (zoeksleutel)]=C627,Berekening_patiëntaantal[Digitale zorgtoepassing]),0))</f>
        <v>Huidige toepassing</v>
      </c>
      <c r="F627" s="43" t="s">
        <v>812</v>
      </c>
      <c r="G627" s="33" t="str">
        <f>CONCATENATE(uitkomst_doelgroep[[#This Row],[Digitale zorgtoepassing]],"_",uitkomst_doelgroep[[#This Row],[Doelgroep]],"_",uitkomst_doelgroep[[#This Row],[Uitgangssituatie/effect beleid]])</f>
        <v>Virtual cockpit_MRI-scans_Effect beleid</v>
      </c>
      <c r="H627" s="33">
        <v>2029</v>
      </c>
      <c r="I627" s="32">
        <v>7</v>
      </c>
      <c r="J627" s="406" cm="1">
        <f t="array" ref="J627">INDEX(implementatie[[2023]:[2034]],MATCH(G627, implementatie[Zoeksleutel],0),I627)</f>
        <v>0.8488855471488731</v>
      </c>
      <c r="K627" s="406" cm="1">
        <f t="array" ref="K627">INDEX(implementatie[[2023]:[2034]],MATCH(G627,implementatie[Zoeksleutel],0),I627 + 1)</f>
        <v>0.91038890221593549</v>
      </c>
      <c r="L62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848885.5471488731</v>
      </c>
      <c r="M627" s="398" cm="1">
        <f t="array" ref="M627">J627*INDEX(Berekening_impact[Totaal arbeidsbesparing (€/jaar)],MATCH(B627,IF(Berekening_impact[Doelgroep]=C627,Berekening_impact[Digitale zorgtoepassing]),0))</f>
        <v>969729.77130334219</v>
      </c>
      <c r="N627" s="397" cm="1">
        <f t="array" ref="N627">J627*INDEX(Berekening_impact[Totaal arbeidsbesparing (FTE/jaar)],MATCH(B627,IF(Berekening_impact[Doelgroep]=C627,Berekening_impact[Digitale zorgtoepassing]),0))</f>
        <v>16.324722060555253</v>
      </c>
      <c r="O627" s="398" cm="1">
        <f t="array" ref="O627">J627*INDEX(Berekening_impact[Overige kostenbesparing (totaal/jaar totaal potentieel)],MATCH(B627,IF(Berekening_impact[Doelgroep]=C627,Berekening_impact[Digitale zorgtoepassing]),0))</f>
        <v>0</v>
      </c>
      <c r="P627" s="398" cm="1">
        <f t="array" ref="P627">J627*INDEX(Berekening_impact[Opbrengsten door QALY''s],MATCH(B627,IF(Berekening_impact[Doelgroep]=C627,Berekening_impact[Digitale zorgtoepassing]),0))</f>
        <v>0</v>
      </c>
      <c r="Q627" s="398" cm="1">
        <f t="array" ref="Q627">J627*INDEX(Berekening_impact[Jaarlijkse kosten (totaal) - incl. schatting],MATCH(B627,IF(Berekening_impact[Doelgroep]=C627,Berekening_impact[Digitale zorgtoepassing]),0))</f>
        <v>824107.10946500744</v>
      </c>
      <c r="R627" s="398" cm="1">
        <f t="array" ref="R627">(uitkomst_doelgroep[[#This Row],[Implementatiegraad t = T + 1]]-uitkomst_doelgroep[[#This Row],[Implementatiegraad t = T]])*INDEX(Berekening_impact[Initiële investering (totaal) - incl. schatting],MATCH(B627,IF(Berekening_impact[Doelgroep]=C627,Berekening_impact[Digitale zorgtoepassing]),0))</f>
        <v>0</v>
      </c>
      <c r="S627" s="398">
        <f>uitkomst_doelgroep[[#This Row],[Arbeidsbesparing (€)]]*uitkomst_doelgroep[[#This Row],[Percentage van patiëntaantallen in Wlz (overige is Zvw)]]</f>
        <v>0</v>
      </c>
      <c r="T627" s="398">
        <f>uitkomst_doelgroep[[#This Row],[Overige besparingen (€)]]*uitkomst_doelgroep[[#This Row],[Percentage van patiëntaantallen in Wlz (overige is Zvw)]]</f>
        <v>0</v>
      </c>
      <c r="U627" s="398">
        <f>uitkomst_doelgroep[[#This Row],[Kosten (€)]]*uitkomst_doelgroep[[#This Row],[Percentage van patiëntaantallen in Wlz (overige is Zvw)]]</f>
        <v>0</v>
      </c>
      <c r="V627" s="398">
        <f>uitkomst_doelgroep[[#This Row],[Investering (cash flow) (€)]]*uitkomst_doelgroep[[#This Row],[Percentage van patiëntaantallen in Wlz (overige is Zvw)]]</f>
        <v>0</v>
      </c>
    </row>
    <row r="628" spans="1:22" x14ac:dyDescent="0.5">
      <c r="A628" s="33" t="str">
        <f>INDEX(Technologieën[Veld],MATCH(B628,Technologieën[Digitale zorgtoepassing],0))</f>
        <v>Software - Diagnose</v>
      </c>
      <c r="B628" s="33" t="s">
        <v>56</v>
      </c>
      <c r="C628" s="33" t="s">
        <v>57</v>
      </c>
      <c r="D628" s="427" cm="1">
        <f t="array" ref="D628">INDEX(Berekening_patiëntaantal[Percentage van patiëntaantallen in Wlz (overige is Zvw)],MATCH(B628,IF(Berekening_patiëntaantal[Doelgroep (zoeksleutel)]=C628,Berekening_patiëntaantal[Digitale zorgtoepassing]),0))</f>
        <v>0</v>
      </c>
      <c r="E628" s="33" t="str" cm="1">
        <f t="array" ref="E628">INDEX(Berekening_patiëntaantal[Direct toepasbaar/extrapolatie/incidentie voor QALY],MATCH(B628,IF(Berekening_patiëntaantal[Doelgroep (zoeksleutel)]=C628,Berekening_patiëntaantal[Digitale zorgtoepassing]),0))</f>
        <v>Huidige toepassing</v>
      </c>
      <c r="F628" s="43" t="s">
        <v>812</v>
      </c>
      <c r="G628" s="33" t="str">
        <f>CONCATENATE(uitkomst_doelgroep[[#This Row],[Digitale zorgtoepassing]],"_",uitkomst_doelgroep[[#This Row],[Doelgroep]],"_",uitkomst_doelgroep[[#This Row],[Uitgangssituatie/effect beleid]])</f>
        <v>Virtual cockpit_MRI-scans_Effect beleid</v>
      </c>
      <c r="H628" s="33">
        <v>2030</v>
      </c>
      <c r="I628" s="32">
        <v>8</v>
      </c>
      <c r="J628" s="406" cm="1">
        <f t="array" ref="J628">INDEX(implementatie[[2023]:[2034]],MATCH(G628, implementatie[Zoeksleutel],0),I628)</f>
        <v>0.91038890221593549</v>
      </c>
      <c r="K628" s="406" cm="1">
        <f t="array" ref="K628">INDEX(implementatie[[2023]:[2034]],MATCH(G628,implementatie[Zoeksleutel],0),I628 + 1)</f>
        <v>0.94934060668263687</v>
      </c>
      <c r="L62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910388.90221593552</v>
      </c>
      <c r="M628" s="398" cm="1">
        <f t="array" ref="M628">J628*INDEX(Berekening_impact[Totaal arbeidsbesparing (€/jaar)],MATCH(B628,IF(Berekening_impact[Doelgroep]=C628,Berekening_impact[Digitale zorgtoepassing]),0))</f>
        <v>1039988.5177785145</v>
      </c>
      <c r="N628" s="397" cm="1">
        <f t="array" ref="N628">J628*INDEX(Berekening_impact[Totaal arbeidsbesparing (FTE/jaar)],MATCH(B628,IF(Berekening_impact[Doelgroep]=C628,Berekening_impact[Digitale zorgtoepassing]),0))</f>
        <v>17.507478888767992</v>
      </c>
      <c r="O628" s="398" cm="1">
        <f t="array" ref="O628">J628*INDEX(Berekening_impact[Overige kostenbesparing (totaal/jaar totaal potentieel)],MATCH(B628,IF(Berekening_impact[Doelgroep]=C628,Berekening_impact[Digitale zorgtoepassing]),0))</f>
        <v>0</v>
      </c>
      <c r="P628" s="398" cm="1">
        <f t="array" ref="P628">J628*INDEX(Berekening_impact[Opbrengsten door QALY''s],MATCH(B628,IF(Berekening_impact[Doelgroep]=C628,Berekening_impact[Digitale zorgtoepassing]),0))</f>
        <v>0</v>
      </c>
      <c r="Q628" s="398" cm="1">
        <f t="array" ref="Q628">J628*INDEX(Berekening_impact[Jaarlijkse kosten (totaal) - incl. schatting],MATCH(B628,IF(Berekening_impact[Doelgroep]=C628,Berekening_impact[Digitale zorgtoepassing]),0))</f>
        <v>883815.22010130249</v>
      </c>
      <c r="R628" s="398" cm="1">
        <f t="array" ref="R628">(uitkomst_doelgroep[[#This Row],[Implementatiegraad t = T + 1]]-uitkomst_doelgroep[[#This Row],[Implementatiegraad t = T]])*INDEX(Berekening_impact[Initiële investering (totaal) - incl. schatting],MATCH(B628,IF(Berekening_impact[Doelgroep]=C628,Berekening_impact[Digitale zorgtoepassing]),0))</f>
        <v>0</v>
      </c>
      <c r="S628" s="398">
        <f>uitkomst_doelgroep[[#This Row],[Arbeidsbesparing (€)]]*uitkomst_doelgroep[[#This Row],[Percentage van patiëntaantallen in Wlz (overige is Zvw)]]</f>
        <v>0</v>
      </c>
      <c r="T628" s="398">
        <f>uitkomst_doelgroep[[#This Row],[Overige besparingen (€)]]*uitkomst_doelgroep[[#This Row],[Percentage van patiëntaantallen in Wlz (overige is Zvw)]]</f>
        <v>0</v>
      </c>
      <c r="U628" s="398">
        <f>uitkomst_doelgroep[[#This Row],[Kosten (€)]]*uitkomst_doelgroep[[#This Row],[Percentage van patiëntaantallen in Wlz (overige is Zvw)]]</f>
        <v>0</v>
      </c>
      <c r="V628" s="398">
        <f>uitkomst_doelgroep[[#This Row],[Investering (cash flow) (€)]]*uitkomst_doelgroep[[#This Row],[Percentage van patiëntaantallen in Wlz (overige is Zvw)]]</f>
        <v>0</v>
      </c>
    </row>
    <row r="629" spans="1:22" x14ac:dyDescent="0.5">
      <c r="A629" s="33" t="str">
        <f>INDEX(Technologieën[Veld],MATCH(B629,Technologieën[Digitale zorgtoepassing],0))</f>
        <v>Software - Diagnose</v>
      </c>
      <c r="B629" s="33" t="s">
        <v>56</v>
      </c>
      <c r="C629" s="33" t="s">
        <v>57</v>
      </c>
      <c r="D629" s="427" cm="1">
        <f t="array" ref="D629">INDEX(Berekening_patiëntaantal[Percentage van patiëntaantallen in Wlz (overige is Zvw)],MATCH(B629,IF(Berekening_patiëntaantal[Doelgroep (zoeksleutel)]=C629,Berekening_patiëntaantal[Digitale zorgtoepassing]),0))</f>
        <v>0</v>
      </c>
      <c r="E629" s="33" t="str" cm="1">
        <f t="array" ref="E629">INDEX(Berekening_patiëntaantal[Direct toepasbaar/extrapolatie/incidentie voor QALY],MATCH(B629,IF(Berekening_patiëntaantal[Doelgroep (zoeksleutel)]=C629,Berekening_patiëntaantal[Digitale zorgtoepassing]),0))</f>
        <v>Huidige toepassing</v>
      </c>
      <c r="F629" s="43" t="s">
        <v>812</v>
      </c>
      <c r="G629" s="33" t="str">
        <f>CONCATENATE(uitkomst_doelgroep[[#This Row],[Digitale zorgtoepassing]],"_",uitkomst_doelgroep[[#This Row],[Doelgroep]],"_",uitkomst_doelgroep[[#This Row],[Uitgangssituatie/effect beleid]])</f>
        <v>Virtual cockpit_MRI-scans_Effect beleid</v>
      </c>
      <c r="H629" s="33">
        <v>2031</v>
      </c>
      <c r="I629" s="32">
        <v>9</v>
      </c>
      <c r="J629" s="406" cm="1">
        <f t="array" ref="J629">INDEX(implementatie[[2023]:[2034]],MATCH(G629, implementatie[Zoeksleutel],0),I629)</f>
        <v>0.94934060668263687</v>
      </c>
      <c r="K629" s="406" cm="1">
        <f t="array" ref="K629">INDEX(implementatie[[2023]:[2034]],MATCH(G629,implementatie[Zoeksleutel],0),I629 + 1)</f>
        <v>0.9722489501493069</v>
      </c>
      <c r="L62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949340.60668263689</v>
      </c>
      <c r="M629" s="398" cm="1">
        <f t="array" ref="M629">J629*INDEX(Berekening_impact[Totaal arbeidsbesparing (€/jaar)],MATCH(B629,IF(Berekening_impact[Doelgroep]=C629,Berekening_impact[Digitale zorgtoepassing]),0))</f>
        <v>1084485.2436224583</v>
      </c>
      <c r="N629" s="397" cm="1">
        <f t="array" ref="N629">J629*INDEX(Berekening_impact[Totaal arbeidsbesparing (FTE/jaar)],MATCH(B629,IF(Berekening_impact[Doelgroep]=C629,Berekening_impact[Digitale zorgtoepassing]),0))</f>
        <v>18.256550128512249</v>
      </c>
      <c r="O629" s="398" cm="1">
        <f t="array" ref="O629">J629*INDEX(Berekening_impact[Overige kostenbesparing (totaal/jaar totaal potentieel)],MATCH(B629,IF(Berekening_impact[Doelgroep]=C629,Berekening_impact[Digitale zorgtoepassing]),0))</f>
        <v>0</v>
      </c>
      <c r="P629" s="398" cm="1">
        <f t="array" ref="P629">J629*INDEX(Berekening_impact[Opbrengsten door QALY''s],MATCH(B629,IF(Berekening_impact[Doelgroep]=C629,Berekening_impact[Digitale zorgtoepassing]),0))</f>
        <v>0</v>
      </c>
      <c r="Q629" s="398" cm="1">
        <f t="array" ref="Q629">J629*INDEX(Berekening_impact[Jaarlijkse kosten (totaal) - incl. schatting],MATCH(B629,IF(Berekening_impact[Doelgroep]=C629,Berekening_impact[Digitale zorgtoepassing]),0))</f>
        <v>921629.94869999646</v>
      </c>
      <c r="R629" s="398" cm="1">
        <f t="array" ref="R629">(uitkomst_doelgroep[[#This Row],[Implementatiegraad t = T + 1]]-uitkomst_doelgroep[[#This Row],[Implementatiegraad t = T]])*INDEX(Berekening_impact[Initiële investering (totaal) - incl. schatting],MATCH(B629,IF(Berekening_impact[Doelgroep]=C629,Berekening_impact[Digitale zorgtoepassing]),0))</f>
        <v>0</v>
      </c>
      <c r="S629" s="398">
        <f>uitkomst_doelgroep[[#This Row],[Arbeidsbesparing (€)]]*uitkomst_doelgroep[[#This Row],[Percentage van patiëntaantallen in Wlz (overige is Zvw)]]</f>
        <v>0</v>
      </c>
      <c r="T629" s="398">
        <f>uitkomst_doelgroep[[#This Row],[Overige besparingen (€)]]*uitkomst_doelgroep[[#This Row],[Percentage van patiëntaantallen in Wlz (overige is Zvw)]]</f>
        <v>0</v>
      </c>
      <c r="U629" s="398">
        <f>uitkomst_doelgroep[[#This Row],[Kosten (€)]]*uitkomst_doelgroep[[#This Row],[Percentage van patiëntaantallen in Wlz (overige is Zvw)]]</f>
        <v>0</v>
      </c>
      <c r="V629" s="398">
        <f>uitkomst_doelgroep[[#This Row],[Investering (cash flow) (€)]]*uitkomst_doelgroep[[#This Row],[Percentage van patiëntaantallen in Wlz (overige is Zvw)]]</f>
        <v>0</v>
      </c>
    </row>
    <row r="630" spans="1:22" x14ac:dyDescent="0.5">
      <c r="A630" s="33" t="str">
        <f>INDEX(Technologieën[Veld],MATCH(B630,Technologieën[Digitale zorgtoepassing],0))</f>
        <v>Software - Diagnose</v>
      </c>
      <c r="B630" s="33" t="s">
        <v>56</v>
      </c>
      <c r="C630" s="33" t="s">
        <v>57</v>
      </c>
      <c r="D630" s="427" cm="1">
        <f t="array" ref="D630">INDEX(Berekening_patiëntaantal[Percentage van patiëntaantallen in Wlz (overige is Zvw)],MATCH(B630,IF(Berekening_patiëntaantal[Doelgroep (zoeksleutel)]=C630,Berekening_patiëntaantal[Digitale zorgtoepassing]),0))</f>
        <v>0</v>
      </c>
      <c r="E630" s="33" t="str" cm="1">
        <f t="array" ref="E630">INDEX(Berekening_patiëntaantal[Direct toepasbaar/extrapolatie/incidentie voor QALY],MATCH(B630,IF(Berekening_patiëntaantal[Doelgroep (zoeksleutel)]=C630,Berekening_patiëntaantal[Digitale zorgtoepassing]),0))</f>
        <v>Huidige toepassing</v>
      </c>
      <c r="F630" s="43" t="s">
        <v>812</v>
      </c>
      <c r="G630" s="33" t="str">
        <f>CONCATENATE(uitkomst_doelgroep[[#This Row],[Digitale zorgtoepassing]],"_",uitkomst_doelgroep[[#This Row],[Doelgroep]],"_",uitkomst_doelgroep[[#This Row],[Uitgangssituatie/effect beleid]])</f>
        <v>Virtual cockpit_MRI-scans_Effect beleid</v>
      </c>
      <c r="H630" s="33">
        <v>2032</v>
      </c>
      <c r="I630" s="32">
        <v>10</v>
      </c>
      <c r="J630" s="406" cm="1">
        <f t="array" ref="J630">INDEX(implementatie[[2023]:[2034]],MATCH(G630, implementatie[Zoeksleutel],0),I630)</f>
        <v>0.9722489501493069</v>
      </c>
      <c r="K630" s="406" cm="1">
        <f t="array" ref="K630">INDEX(implementatie[[2023]:[2034]],MATCH(G630,implementatie[Zoeksleutel],0),I630 + 1)</f>
        <v>0.98508414448286907</v>
      </c>
      <c r="L63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972248.95014930691</v>
      </c>
      <c r="M630" s="398" cm="1">
        <f t="array" ref="M630">J630*INDEX(Berekening_impact[Totaal arbeidsbesparing (€/jaar)],MATCH(B630,IF(Berekening_impact[Doelgroep]=C630,Berekening_impact[Digitale zorgtoepassing]),0))</f>
        <v>1110654.73460447</v>
      </c>
      <c r="N630" s="397" cm="1">
        <f t="array" ref="N630">J630*INDEX(Berekening_impact[Totaal arbeidsbesparing (FTE/jaar)],MATCH(B630,IF(Berekening_impact[Doelgroep]=C630,Berekening_impact[Digitale zorgtoepassing]),0))</f>
        <v>18.697095195178981</v>
      </c>
      <c r="O630" s="398" cm="1">
        <f t="array" ref="O630">J630*INDEX(Berekening_impact[Overige kostenbesparing (totaal/jaar totaal potentieel)],MATCH(B630,IF(Berekening_impact[Doelgroep]=C630,Berekening_impact[Digitale zorgtoepassing]),0))</f>
        <v>0</v>
      </c>
      <c r="P630" s="398" cm="1">
        <f t="array" ref="P630">J630*INDEX(Berekening_impact[Opbrengsten door QALY''s],MATCH(B630,IF(Berekening_impact[Doelgroep]=C630,Berekening_impact[Digitale zorgtoepassing]),0))</f>
        <v>0</v>
      </c>
      <c r="Q630" s="398" cm="1">
        <f t="array" ref="Q630">J630*INDEX(Berekening_impact[Jaarlijkse kosten (totaal) - incl. schatting],MATCH(B630,IF(Berekening_impact[Doelgroep]=C630,Berekening_impact[Digitale zorgtoepassing]),0))</f>
        <v>943869.61196244357</v>
      </c>
      <c r="R630" s="398" cm="1">
        <f t="array" ref="R630">(uitkomst_doelgroep[[#This Row],[Implementatiegraad t = T + 1]]-uitkomst_doelgroep[[#This Row],[Implementatiegraad t = T]])*INDEX(Berekening_impact[Initiële investering (totaal) - incl. schatting],MATCH(B630,IF(Berekening_impact[Doelgroep]=C630,Berekening_impact[Digitale zorgtoepassing]),0))</f>
        <v>0</v>
      </c>
      <c r="S630" s="398">
        <f>uitkomst_doelgroep[[#This Row],[Arbeidsbesparing (€)]]*uitkomst_doelgroep[[#This Row],[Percentage van patiëntaantallen in Wlz (overige is Zvw)]]</f>
        <v>0</v>
      </c>
      <c r="T630" s="398">
        <f>uitkomst_doelgroep[[#This Row],[Overige besparingen (€)]]*uitkomst_doelgroep[[#This Row],[Percentage van patiëntaantallen in Wlz (overige is Zvw)]]</f>
        <v>0</v>
      </c>
      <c r="U630" s="398">
        <f>uitkomst_doelgroep[[#This Row],[Kosten (€)]]*uitkomst_doelgroep[[#This Row],[Percentage van patiëntaantallen in Wlz (overige is Zvw)]]</f>
        <v>0</v>
      </c>
      <c r="V630" s="398">
        <f>uitkomst_doelgroep[[#This Row],[Investering (cash flow) (€)]]*uitkomst_doelgroep[[#This Row],[Percentage van patiëntaantallen in Wlz (overige is Zvw)]]</f>
        <v>0</v>
      </c>
    </row>
    <row r="631" spans="1:22" ht="17.5" thickBot="1" x14ac:dyDescent="0.55000000000000004">
      <c r="A631" s="33" t="str">
        <f>INDEX(Technologieën[Veld],MATCH(B631,Technologieën[Digitale zorgtoepassing],0))</f>
        <v>Software - Diagnose</v>
      </c>
      <c r="B631" s="40" t="s">
        <v>56</v>
      </c>
      <c r="C631" s="40" t="s">
        <v>57</v>
      </c>
      <c r="D631" s="427" cm="1">
        <f t="array" ref="D631">INDEX(Berekening_patiëntaantal[Percentage van patiëntaantallen in Wlz (overige is Zvw)],MATCH(B631,IF(Berekening_patiëntaantal[Doelgroep (zoeksleutel)]=C631,Berekening_patiëntaantal[Digitale zorgtoepassing]),0))</f>
        <v>0</v>
      </c>
      <c r="E631" s="33" t="str" cm="1">
        <f t="array" ref="E631">INDEX(Berekening_patiëntaantal[Direct toepasbaar/extrapolatie/incidentie voor QALY],MATCH(B631,IF(Berekening_patiëntaantal[Doelgroep (zoeksleutel)]=C631,Berekening_patiëntaantal[Digitale zorgtoepassing]),0))</f>
        <v>Huidige toepassing</v>
      </c>
      <c r="F631" s="43" t="s">
        <v>812</v>
      </c>
      <c r="G631" s="33" t="str">
        <f>CONCATENATE(uitkomst_doelgroep[[#This Row],[Digitale zorgtoepassing]],"_",uitkomst_doelgroep[[#This Row],[Doelgroep]],"_",uitkomst_doelgroep[[#This Row],[Uitgangssituatie/effect beleid]])</f>
        <v>Virtual cockpit_MRI-scans_Effect beleid</v>
      </c>
      <c r="H631" s="33">
        <v>2033</v>
      </c>
      <c r="I631" s="32">
        <v>11</v>
      </c>
      <c r="J631" s="406" cm="1">
        <f t="array" ref="J631">INDEX(implementatie[[2023]:[2034]],MATCH(G631, implementatie[Zoeksleutel],0),I631)</f>
        <v>0.98508414448286907</v>
      </c>
      <c r="K631" s="406" cm="1">
        <f t="array" ref="K631">INDEX(implementatie[[2023]:[2034]],MATCH(G631,implementatie[Zoeksleutel],0),I631 + 1)</f>
        <v>0.99206905861789263</v>
      </c>
      <c r="L63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985084.14448286907</v>
      </c>
      <c r="M631" s="398" cm="1">
        <f t="array" ref="M631">J631*INDEX(Berekening_impact[Totaal arbeidsbesparing (€/jaar)],MATCH(B631,IF(Berekening_impact[Doelgroep]=C631,Berekening_impact[Digitale zorgtoepassing]),0))</f>
        <v>1125317.0999934478</v>
      </c>
      <c r="N631" s="397" cm="1">
        <f t="array" ref="N631">J631*INDEX(Berekening_impact[Totaal arbeidsbesparing (FTE/jaar)],MATCH(B631,IF(Berekening_impact[Doelgroep]=C631,Berekening_impact[Digitale zorgtoepassing]),0))</f>
        <v>18.943925855439794</v>
      </c>
      <c r="O631" s="398" cm="1">
        <f t="array" ref="O631">J631*INDEX(Berekening_impact[Overige kostenbesparing (totaal/jaar totaal potentieel)],MATCH(B631,IF(Berekening_impact[Doelgroep]=C631,Berekening_impact[Digitale zorgtoepassing]),0))</f>
        <v>0</v>
      </c>
      <c r="P631" s="398" cm="1">
        <f t="array" ref="P631">J631*INDEX(Berekening_impact[Opbrengsten door QALY''s],MATCH(B631,IF(Berekening_impact[Doelgroep]=C631,Berekening_impact[Digitale zorgtoepassing]),0))</f>
        <v>0</v>
      </c>
      <c r="Q631" s="398" cm="1">
        <f t="array" ref="Q631">J631*INDEX(Berekening_impact[Jaarlijkse kosten (totaal) - incl. schatting],MATCH(B631,IF(Berekening_impact[Doelgroep]=C631,Berekening_impact[Digitale zorgtoepassing]),0))</f>
        <v>956330.15500877076</v>
      </c>
      <c r="R631" s="398" cm="1">
        <f t="array" ref="R631">(uitkomst_doelgroep[[#This Row],[Implementatiegraad t = T + 1]]-uitkomst_doelgroep[[#This Row],[Implementatiegraad t = T]])*INDEX(Berekening_impact[Initiële investering (totaal) - incl. schatting],MATCH(B631,IF(Berekening_impact[Doelgroep]=C631,Berekening_impact[Digitale zorgtoepassing]),0))</f>
        <v>0</v>
      </c>
      <c r="S631" s="398">
        <f>uitkomst_doelgroep[[#This Row],[Arbeidsbesparing (€)]]*uitkomst_doelgroep[[#This Row],[Percentage van patiëntaantallen in Wlz (overige is Zvw)]]</f>
        <v>0</v>
      </c>
      <c r="T631" s="398">
        <f>uitkomst_doelgroep[[#This Row],[Overige besparingen (€)]]*uitkomst_doelgroep[[#This Row],[Percentage van patiëntaantallen in Wlz (overige is Zvw)]]</f>
        <v>0</v>
      </c>
      <c r="U631" s="398">
        <f>uitkomst_doelgroep[[#This Row],[Kosten (€)]]*uitkomst_doelgroep[[#This Row],[Percentage van patiëntaantallen in Wlz (overige is Zvw)]]</f>
        <v>0</v>
      </c>
      <c r="V631" s="398">
        <f>uitkomst_doelgroep[[#This Row],[Investering (cash flow) (€)]]*uitkomst_doelgroep[[#This Row],[Percentage van patiëntaantallen in Wlz (overige is Zvw)]]</f>
        <v>0</v>
      </c>
    </row>
    <row r="632" spans="1:22" x14ac:dyDescent="0.5">
      <c r="A632" s="33" t="str">
        <f>INDEX(Technologieën[Veld],MATCH(B632,Technologieën[Digitale zorgtoepassing],0))</f>
        <v>Digitale hulpmiddelen - Verpleging</v>
      </c>
      <c r="B632" s="33" t="s">
        <v>85</v>
      </c>
      <c r="C632" s="33" t="s">
        <v>86</v>
      </c>
      <c r="D632" s="427" cm="1">
        <f t="array" ref="D632">INDEX(Berekening_patiëntaantal[Percentage van patiëntaantallen in Wlz (overige is Zvw)],MATCH(B632,IF(Berekening_patiëntaantal[Doelgroep (zoeksleutel)]=C632,Berekening_patiëntaantal[Digitale zorgtoepassing]),0))</f>
        <v>0.45</v>
      </c>
      <c r="E632" s="33" t="str" cm="1">
        <f t="array" ref="E632">INDEX(Berekening_patiëntaantal[Direct toepasbaar/extrapolatie/incidentie voor QALY],MATCH(B632,IF(Berekening_patiëntaantal[Doelgroep (zoeksleutel)]=C632,Berekening_patiëntaantal[Digitale zorgtoepassing]),0))</f>
        <v>Huidige toepassing</v>
      </c>
      <c r="F632" s="43" t="s">
        <v>812</v>
      </c>
      <c r="G632" s="33" t="str">
        <f>CONCATENATE(uitkomst_doelgroep[[#This Row],[Digitale zorgtoepassing]],"_",uitkomst_doelgroep[[#This Row],[Doelgroep]],"_",uitkomst_doelgroep[[#This Row],[Uitgangssituatie/effect beleid]])</f>
        <v>Zorg op afstand met tablet_Patiënten die thuiszorg krijgen_Effect beleid</v>
      </c>
      <c r="H632" s="33">
        <v>2023</v>
      </c>
      <c r="I632" s="32">
        <v>1</v>
      </c>
      <c r="J632" s="406" cm="1">
        <f t="array" ref="J632">INDEX(implementatie[[2023]:[2034]],MATCH(G632, implementatie[Zoeksleutel],0),I632)</f>
        <v>0.4</v>
      </c>
      <c r="K632" s="406" cm="1">
        <f t="array" ref="K632">INDEX(implementatie[[2023]:[2034]],MATCH(G632,implementatie[Zoeksleutel],0),I632 + 1)</f>
        <v>0.52300000000000002</v>
      </c>
      <c r="L63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34560</v>
      </c>
      <c r="M632" s="398" cm="1">
        <f t="array" ref="M632">J632*INDEX(Berekening_impact[Totaal arbeidsbesparing (€/jaar)],MATCH(B632,IF(Berekening_impact[Doelgroep]=C632,Berekening_impact[Digitale zorgtoepassing]),0))</f>
        <v>22252748.888275862</v>
      </c>
      <c r="N632" s="397" cm="1">
        <f t="array" ref="N632">J632*INDEX(Berekening_impact[Totaal arbeidsbesparing (FTE/jaar)],MATCH(B632,IF(Berekening_impact[Doelgroep]=C632,Berekening_impact[Digitale zorgtoepassing]),0))</f>
        <v>524.16000000000008</v>
      </c>
      <c r="O632" s="398" cm="1">
        <f t="array" ref="O632">J632*INDEX(Berekening_impact[Overige kostenbesparing (totaal/jaar totaal potentieel)],MATCH(B632,IF(Berekening_impact[Doelgroep]=C632,Berekening_impact[Digitale zorgtoepassing]),0))</f>
        <v>10960309.153926916</v>
      </c>
      <c r="P632" s="398" cm="1">
        <f t="array" ref="P632">J632*INDEX(Berekening_impact[Opbrengsten door QALY''s],MATCH(B632,IF(Berekening_impact[Doelgroep]=C632,Berekening_impact[Digitale zorgtoepassing]),0))</f>
        <v>0</v>
      </c>
      <c r="Q632" s="398" cm="1">
        <f t="array" ref="Q632">J632*INDEX(Berekening_impact[Jaarlijkse kosten (totaal) - incl. schatting],MATCH(B632,IF(Berekening_impact[Doelgroep]=C632,Berekening_impact[Digitale zorgtoepassing]),0))</f>
        <v>18330624.000000004</v>
      </c>
      <c r="R632" s="398" cm="1">
        <f t="array" ref="R632">(uitkomst_doelgroep[[#This Row],[Implementatiegraad t = T + 1]]-uitkomst_doelgroep[[#This Row],[Implementatiegraad t = T]])*INDEX(Berekening_impact[Initiële investering (totaal) - incl. schatting],MATCH(B632,IF(Berekening_impact[Doelgroep]=C632,Berekening_impact[Digitale zorgtoepassing]),0))</f>
        <v>3496348.8</v>
      </c>
      <c r="S632" s="398">
        <f>uitkomst_doelgroep[[#This Row],[Arbeidsbesparing (€)]]*uitkomst_doelgroep[[#This Row],[Percentage van patiëntaantallen in Wlz (overige is Zvw)]]</f>
        <v>10013736.999724139</v>
      </c>
      <c r="T632" s="398">
        <f>uitkomst_doelgroep[[#This Row],[Overige besparingen (€)]]*uitkomst_doelgroep[[#This Row],[Percentage van patiëntaantallen in Wlz (overige is Zvw)]]</f>
        <v>4932139.1192671126</v>
      </c>
      <c r="U632" s="398">
        <f>uitkomst_doelgroep[[#This Row],[Kosten (€)]]*uitkomst_doelgroep[[#This Row],[Percentage van patiëntaantallen in Wlz (overige is Zvw)]]</f>
        <v>8248780.8000000017</v>
      </c>
      <c r="V632" s="398">
        <f>uitkomst_doelgroep[[#This Row],[Investering (cash flow) (€)]]*uitkomst_doelgroep[[#This Row],[Percentage van patiëntaantallen in Wlz (overige is Zvw)]]</f>
        <v>1573356.96</v>
      </c>
    </row>
    <row r="633" spans="1:22" x14ac:dyDescent="0.5">
      <c r="A633" s="33" t="str">
        <f>INDEX(Technologieën[Veld],MATCH(B633,Technologieën[Digitale zorgtoepassing],0))</f>
        <v>Digitale hulpmiddelen - Verpleging</v>
      </c>
      <c r="B633" s="33" t="s">
        <v>85</v>
      </c>
      <c r="C633" s="33" t="s">
        <v>86</v>
      </c>
      <c r="D633" s="427" cm="1">
        <f t="array" ref="D633">INDEX(Berekening_patiëntaantal[Percentage van patiëntaantallen in Wlz (overige is Zvw)],MATCH(B633,IF(Berekening_patiëntaantal[Doelgroep (zoeksleutel)]=C633,Berekening_patiëntaantal[Digitale zorgtoepassing]),0))</f>
        <v>0.45</v>
      </c>
      <c r="E633" s="33" t="str" cm="1">
        <f t="array" ref="E633">INDEX(Berekening_patiëntaantal[Direct toepasbaar/extrapolatie/incidentie voor QALY],MATCH(B633,IF(Berekening_patiëntaantal[Doelgroep (zoeksleutel)]=C633,Berekening_patiëntaantal[Digitale zorgtoepassing]),0))</f>
        <v>Huidige toepassing</v>
      </c>
      <c r="F633" s="43" t="s">
        <v>812</v>
      </c>
      <c r="G633" s="33" t="str">
        <f>CONCATENATE(uitkomst_doelgroep[[#This Row],[Digitale zorgtoepassing]],"_",uitkomst_doelgroep[[#This Row],[Doelgroep]],"_",uitkomst_doelgroep[[#This Row],[Uitgangssituatie/effect beleid]])</f>
        <v>Zorg op afstand met tablet_Patiënten die thuiszorg krijgen_Effect beleid</v>
      </c>
      <c r="H633" s="33">
        <v>2024</v>
      </c>
      <c r="I633" s="32">
        <v>2</v>
      </c>
      <c r="J633" s="406" cm="1">
        <f t="array" ref="J633">INDEX(implementatie[[2023]:[2034]],MATCH(G633, implementatie[Zoeksleutel],0),I633)</f>
        <v>0.52300000000000002</v>
      </c>
      <c r="K633" s="406" cm="1">
        <f t="array" ref="K633">INDEX(implementatie[[2023]:[2034]],MATCH(G633,implementatie[Zoeksleutel],0),I633 + 1)</f>
        <v>0.64718695000000004</v>
      </c>
      <c r="L63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45187.200000000004</v>
      </c>
      <c r="M633" s="398" cm="1">
        <f t="array" ref="M633">J633*INDEX(Berekening_impact[Totaal arbeidsbesparing (€/jaar)],MATCH(B633,IF(Berekening_impact[Doelgroep]=C633,Berekening_impact[Digitale zorgtoepassing]),0))</f>
        <v>29095469.17142069</v>
      </c>
      <c r="N633" s="397" cm="1">
        <f t="array" ref="N633">J633*INDEX(Berekening_impact[Totaal arbeidsbesparing (FTE/jaar)],MATCH(B633,IF(Berekening_impact[Doelgroep]=C633,Berekening_impact[Digitale zorgtoepassing]),0))</f>
        <v>685.33920000000012</v>
      </c>
      <c r="O633" s="398" cm="1">
        <f t="array" ref="O633">J633*INDEX(Berekening_impact[Overige kostenbesparing (totaal/jaar totaal potentieel)],MATCH(B633,IF(Berekening_impact[Doelgroep]=C633,Berekening_impact[Digitale zorgtoepassing]),0))</f>
        <v>14330604.218759444</v>
      </c>
      <c r="P633" s="398" cm="1">
        <f t="array" ref="P633">J633*INDEX(Berekening_impact[Opbrengsten door QALY''s],MATCH(B633,IF(Berekening_impact[Doelgroep]=C633,Berekening_impact[Digitale zorgtoepassing]),0))</f>
        <v>0</v>
      </c>
      <c r="Q633" s="398" cm="1">
        <f t="array" ref="Q633">J633*INDEX(Berekening_impact[Jaarlijkse kosten (totaal) - incl. schatting],MATCH(B633,IF(Berekening_impact[Doelgroep]=C633,Berekening_impact[Digitale zorgtoepassing]),0))</f>
        <v>23967290.880000006</v>
      </c>
      <c r="R633" s="398" cm="1">
        <f t="array" ref="R633">(uitkomst_doelgroep[[#This Row],[Implementatiegraad t = T + 1]]-uitkomst_doelgroep[[#This Row],[Implementatiegraad t = T]])*INDEX(Berekening_impact[Initiële investering (totaal) - incl. schatting],MATCH(B633,IF(Berekening_impact[Doelgroep]=C633,Berekening_impact[Digitale zorgtoepassing]),0))</f>
        <v>3530088.5659200004</v>
      </c>
      <c r="S633" s="398">
        <f>uitkomst_doelgroep[[#This Row],[Arbeidsbesparing (€)]]*uitkomst_doelgroep[[#This Row],[Percentage van patiëntaantallen in Wlz (overige is Zvw)]]</f>
        <v>13092961.127139311</v>
      </c>
      <c r="T633" s="398">
        <f>uitkomst_doelgroep[[#This Row],[Overige besparingen (€)]]*uitkomst_doelgroep[[#This Row],[Percentage van patiëntaantallen in Wlz (overige is Zvw)]]</f>
        <v>6448771.8984417496</v>
      </c>
      <c r="U633" s="398">
        <f>uitkomst_doelgroep[[#This Row],[Kosten (€)]]*uitkomst_doelgroep[[#This Row],[Percentage van patiëntaantallen in Wlz (overige is Zvw)]]</f>
        <v>10785280.896000003</v>
      </c>
      <c r="V633" s="398">
        <f>uitkomst_doelgroep[[#This Row],[Investering (cash flow) (€)]]*uitkomst_doelgroep[[#This Row],[Percentage van patiëntaantallen in Wlz (overige is Zvw)]]</f>
        <v>1588539.8546640002</v>
      </c>
    </row>
    <row r="634" spans="1:22" x14ac:dyDescent="0.5">
      <c r="A634" s="33" t="str">
        <f>INDEX(Technologieën[Veld],MATCH(B634,Technologieën[Digitale zorgtoepassing],0))</f>
        <v>Digitale hulpmiddelen - Verpleging</v>
      </c>
      <c r="B634" s="33" t="s">
        <v>85</v>
      </c>
      <c r="C634" s="33" t="s">
        <v>86</v>
      </c>
      <c r="D634" s="427" cm="1">
        <f t="array" ref="D634">INDEX(Berekening_patiëntaantal[Percentage van patiëntaantallen in Wlz (overige is Zvw)],MATCH(B634,IF(Berekening_patiëntaantal[Doelgroep (zoeksleutel)]=C634,Berekening_patiëntaantal[Digitale zorgtoepassing]),0))</f>
        <v>0.45</v>
      </c>
      <c r="E634" s="33" t="str" cm="1">
        <f t="array" ref="E634">INDEX(Berekening_patiëntaantal[Direct toepasbaar/extrapolatie/incidentie voor QALY],MATCH(B634,IF(Berekening_patiëntaantal[Doelgroep (zoeksleutel)]=C634,Berekening_patiëntaantal[Digitale zorgtoepassing]),0))</f>
        <v>Huidige toepassing</v>
      </c>
      <c r="F634" s="43" t="s">
        <v>812</v>
      </c>
      <c r="G634" s="33" t="str">
        <f>CONCATENATE(uitkomst_doelgroep[[#This Row],[Digitale zorgtoepassing]],"_",uitkomst_doelgroep[[#This Row],[Doelgroep]],"_",uitkomst_doelgroep[[#This Row],[Uitgangssituatie/effect beleid]])</f>
        <v>Zorg op afstand met tablet_Patiënten die thuiszorg krijgen_Effect beleid</v>
      </c>
      <c r="H634" s="33">
        <v>2025</v>
      </c>
      <c r="I634" s="32">
        <v>3</v>
      </c>
      <c r="J634" s="406" cm="1">
        <f t="array" ref="J634">INDEX(implementatie[[2023]:[2034]],MATCH(G634, implementatie[Zoeksleutel],0),I634)</f>
        <v>0.64718695000000004</v>
      </c>
      <c r="K634" s="406" cm="1">
        <f t="array" ref="K634">INDEX(implementatie[[2023]:[2034]],MATCH(G634,implementatie[Zoeksleutel],0),I634 + 1)</f>
        <v>0.75875847703736388</v>
      </c>
      <c r="L63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55916.95248</v>
      </c>
      <c r="M634" s="398" cm="1">
        <f t="array" ref="M634">J634*INDEX(Berekening_impact[Totaal arbeidsbesparing (€/jaar)],MATCH(B634,IF(Berekening_impact[Doelgroep]=C634,Berekening_impact[Digitale zorgtoepassing]),0))</f>
        <v>36004221.705297865</v>
      </c>
      <c r="N634" s="397" cm="1">
        <f t="array" ref="N634">J634*INDEX(Berekening_impact[Totaal arbeidsbesparing (FTE/jaar)],MATCH(B634,IF(Berekening_impact[Doelgroep]=C634,Berekening_impact[Digitale zorgtoepassing]),0))</f>
        <v>848.07377928000005</v>
      </c>
      <c r="O634" s="398" cm="1">
        <f t="array" ref="O634">J634*INDEX(Berekening_impact[Overige kostenbesparing (totaal/jaar totaal potentieel)],MATCH(B634,IF(Berekening_impact[Doelgroep]=C634,Berekening_impact[Digitale zorgtoepassing]),0))</f>
        <v>17733422.630967606</v>
      </c>
      <c r="P634" s="398" cm="1">
        <f t="array" ref="P634">J634*INDEX(Berekening_impact[Opbrengsten door QALY''s],MATCH(B634,IF(Berekening_impact[Doelgroep]=C634,Berekening_impact[Digitale zorgtoepassing]),0))</f>
        <v>0</v>
      </c>
      <c r="Q634" s="398" cm="1">
        <f t="array" ref="Q634">J634*INDEX(Berekening_impact[Jaarlijkse kosten (totaal) - incl. schatting],MATCH(B634,IF(Berekening_impact[Doelgroep]=C634,Berekening_impact[Digitale zorgtoepassing]),0))</f>
        <v>29658351.595392007</v>
      </c>
      <c r="R634" s="398" cm="1">
        <f t="array" ref="R634">(uitkomst_doelgroep[[#This Row],[Implementatiegraad t = T + 1]]-uitkomst_doelgroep[[#This Row],[Implementatiegraad t = T]])*INDEX(Berekening_impact[Initiële investering (totaal) - incl. schatting],MATCH(B634,IF(Berekening_impact[Doelgroep]=C634,Berekening_impact[Digitale zorgtoepassing]),0))</f>
        <v>3171487.5989532894</v>
      </c>
      <c r="S634" s="398">
        <f>uitkomst_doelgroep[[#This Row],[Arbeidsbesparing (€)]]*uitkomst_doelgroep[[#This Row],[Percentage van patiëntaantallen in Wlz (overige is Zvw)]]</f>
        <v>16201899.767384039</v>
      </c>
      <c r="T634" s="398">
        <f>uitkomst_doelgroep[[#This Row],[Overige besparingen (€)]]*uitkomst_doelgroep[[#This Row],[Percentage van patiëntaantallen in Wlz (overige is Zvw)]]</f>
        <v>7980040.1839354225</v>
      </c>
      <c r="U634" s="398">
        <f>uitkomst_doelgroep[[#This Row],[Kosten (€)]]*uitkomst_doelgroep[[#This Row],[Percentage van patiëntaantallen in Wlz (overige is Zvw)]]</f>
        <v>13346258.217926404</v>
      </c>
      <c r="V634" s="398">
        <f>uitkomst_doelgroep[[#This Row],[Investering (cash flow) (€)]]*uitkomst_doelgroep[[#This Row],[Percentage van patiëntaantallen in Wlz (overige is Zvw)]]</f>
        <v>1427169.4195289803</v>
      </c>
    </row>
    <row r="635" spans="1:22" x14ac:dyDescent="0.5">
      <c r="A635" s="33" t="str">
        <f>INDEX(Technologieën[Veld],MATCH(B635,Technologieën[Digitale zorgtoepassing],0))</f>
        <v>Digitale hulpmiddelen - Verpleging</v>
      </c>
      <c r="B635" s="33" t="s">
        <v>85</v>
      </c>
      <c r="C635" s="33" t="s">
        <v>86</v>
      </c>
      <c r="D635" s="427" cm="1">
        <f t="array" ref="D635">INDEX(Berekening_patiëntaantal[Percentage van patiëntaantallen in Wlz (overige is Zvw)],MATCH(B635,IF(Berekening_patiëntaantal[Doelgroep (zoeksleutel)]=C635,Berekening_patiëntaantal[Digitale zorgtoepassing]),0))</f>
        <v>0.45</v>
      </c>
      <c r="E635" s="33" t="str" cm="1">
        <f t="array" ref="E635">INDEX(Berekening_patiëntaantal[Direct toepasbaar/extrapolatie/incidentie voor QALY],MATCH(B635,IF(Berekening_patiëntaantal[Doelgroep (zoeksleutel)]=C635,Berekening_patiëntaantal[Digitale zorgtoepassing]),0))</f>
        <v>Huidige toepassing</v>
      </c>
      <c r="F635" s="43" t="s">
        <v>812</v>
      </c>
      <c r="G635" s="33" t="str">
        <f>CONCATENATE(uitkomst_doelgroep[[#This Row],[Digitale zorgtoepassing]],"_",uitkomst_doelgroep[[#This Row],[Doelgroep]],"_",uitkomst_doelgroep[[#This Row],[Uitgangssituatie/effect beleid]])</f>
        <v>Zorg op afstand met tablet_Patiënten die thuiszorg krijgen_Effect beleid</v>
      </c>
      <c r="H635" s="33">
        <v>2026</v>
      </c>
      <c r="I635" s="32">
        <v>4</v>
      </c>
      <c r="J635" s="406" cm="1">
        <f t="array" ref="J635">INDEX(implementatie[[2023]:[2034]],MATCH(G635, implementatie[Zoeksleutel],0),I635)</f>
        <v>0.75875847703736388</v>
      </c>
      <c r="K635" s="406" cm="1">
        <f t="array" ref="K635">INDEX(implementatie[[2023]:[2034]],MATCH(G635,implementatie[Zoeksleutel],0),I635 + 1)</f>
        <v>0.84715933786401665</v>
      </c>
      <c r="L63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65556.732416028244</v>
      </c>
      <c r="M635" s="398" cm="1">
        <f t="array" ref="M635">J635*INDEX(Berekening_impact[Totaal arbeidsbesparing (€/jaar)],MATCH(B635,IF(Berekening_impact[Doelgroep]=C635,Berekening_impact[Digitale zorgtoepassing]),0))</f>
        <v>42211154.640907712</v>
      </c>
      <c r="N635" s="397" cm="1">
        <f t="array" ref="N635">J635*INDEX(Berekening_impact[Totaal arbeidsbesparing (FTE/jaar)],MATCH(B635,IF(Berekening_impact[Doelgroep]=C635,Berekening_impact[Digitale zorgtoepassing]),0))</f>
        <v>994.27710830976173</v>
      </c>
      <c r="O635" s="398" cm="1">
        <f t="array" ref="O635">J635*INDEX(Berekening_impact[Overige kostenbesparing (totaal/jaar totaal potentieel)],MATCH(B635,IF(Berekening_impact[Doelgroep]=C635,Berekening_impact[Digitale zorgtoepassing]),0))</f>
        <v>20790568.703730661</v>
      </c>
      <c r="P635" s="398" cm="1">
        <f t="array" ref="P635">J635*INDEX(Berekening_impact[Opbrengsten door QALY''s],MATCH(B635,IF(Berekening_impact[Doelgroep]=C635,Berekening_impact[Digitale zorgtoepassing]),0))</f>
        <v>0</v>
      </c>
      <c r="Q635" s="398" cm="1">
        <f t="array" ref="Q635">J635*INDEX(Berekening_impact[Jaarlijkse kosten (totaal) - incl. schatting],MATCH(B635,IF(Berekening_impact[Doelgroep]=C635,Berekening_impact[Digitale zorgtoepassing]),0))</f>
        <v>34771290.873461381</v>
      </c>
      <c r="R635" s="398" cm="1">
        <f t="array" ref="R635">(uitkomst_doelgroep[[#This Row],[Implementatiegraad t = T + 1]]-uitkomst_doelgroep[[#This Row],[Implementatiegraad t = T]])*INDEX(Berekening_impact[Initiële investering (totaal) - incl. schatting],MATCH(B635,IF(Berekening_impact[Doelgroep]=C635,Berekening_impact[Digitale zorgtoepassing]),0))</f>
        <v>2512847.5095141008</v>
      </c>
      <c r="S635" s="398">
        <f>uitkomst_doelgroep[[#This Row],[Arbeidsbesparing (€)]]*uitkomst_doelgroep[[#This Row],[Percentage van patiëntaantallen in Wlz (overige is Zvw)]]</f>
        <v>18995019.58840847</v>
      </c>
      <c r="T635" s="398">
        <f>uitkomst_doelgroep[[#This Row],[Overige besparingen (€)]]*uitkomst_doelgroep[[#This Row],[Percentage van patiëntaantallen in Wlz (overige is Zvw)]]</f>
        <v>9355755.9166787975</v>
      </c>
      <c r="U635" s="398">
        <f>uitkomst_doelgroep[[#This Row],[Kosten (€)]]*uitkomst_doelgroep[[#This Row],[Percentage van patiëntaantallen in Wlz (overige is Zvw)]]</f>
        <v>15647080.893057622</v>
      </c>
      <c r="V635" s="398">
        <f>uitkomst_doelgroep[[#This Row],[Investering (cash flow) (€)]]*uitkomst_doelgroep[[#This Row],[Percentage van patiëntaantallen in Wlz (overige is Zvw)]]</f>
        <v>1130781.3792813455</v>
      </c>
    </row>
    <row r="636" spans="1:22" x14ac:dyDescent="0.5">
      <c r="A636" s="33" t="str">
        <f>INDEX(Technologieën[Veld],MATCH(B636,Technologieën[Digitale zorgtoepassing],0))</f>
        <v>Digitale hulpmiddelen - Verpleging</v>
      </c>
      <c r="B636" s="33" t="s">
        <v>85</v>
      </c>
      <c r="C636" s="33" t="s">
        <v>86</v>
      </c>
      <c r="D636" s="427" cm="1">
        <f t="array" ref="D636">INDEX(Berekening_patiëntaantal[Percentage van patiëntaantallen in Wlz (overige is Zvw)],MATCH(B636,IF(Berekening_patiëntaantal[Doelgroep (zoeksleutel)]=C636,Berekening_patiëntaantal[Digitale zorgtoepassing]),0))</f>
        <v>0.45</v>
      </c>
      <c r="E636" s="33" t="str" cm="1">
        <f t="array" ref="E636">INDEX(Berekening_patiëntaantal[Direct toepasbaar/extrapolatie/incidentie voor QALY],MATCH(B636,IF(Berekening_patiëntaantal[Doelgroep (zoeksleutel)]=C636,Berekening_patiëntaantal[Digitale zorgtoepassing]),0))</f>
        <v>Huidige toepassing</v>
      </c>
      <c r="F636" s="43" t="s">
        <v>812</v>
      </c>
      <c r="G636" s="33" t="str">
        <f>CONCATENATE(uitkomst_doelgroep[[#This Row],[Digitale zorgtoepassing]],"_",uitkomst_doelgroep[[#This Row],[Doelgroep]],"_",uitkomst_doelgroep[[#This Row],[Uitgangssituatie/effect beleid]])</f>
        <v>Zorg op afstand met tablet_Patiënten die thuiszorg krijgen_Effect beleid</v>
      </c>
      <c r="H636" s="33">
        <v>2027</v>
      </c>
      <c r="I636" s="32">
        <v>5</v>
      </c>
      <c r="J636" s="406" cm="1">
        <f t="array" ref="J636">INDEX(implementatie[[2023]:[2034]],MATCH(G636, implementatie[Zoeksleutel],0),I636)</f>
        <v>0.84715933786401665</v>
      </c>
      <c r="K636" s="406" cm="1">
        <f t="array" ref="K636">INDEX(implementatie[[2023]:[2034]],MATCH(G636,implementatie[Zoeksleutel],0),I636 + 1)</f>
        <v>0.90924653177763415</v>
      </c>
      <c r="L63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73194.566791451041</v>
      </c>
      <c r="M636" s="398" cm="1">
        <f t="array" ref="M636">J636*INDEX(Berekening_impact[Totaal arbeidsbesparing (€/jaar)],MATCH(B636,IF(Berekening_impact[Doelgroep]=C636,Berekening_impact[Digitale zorgtoepassing]),0))</f>
        <v>47129060.034615032</v>
      </c>
      <c r="N636" s="397" cm="1">
        <f t="array" ref="N636">J636*INDEX(Berekening_impact[Totaal arbeidsbesparing (FTE/jaar)],MATCH(B636,IF(Berekening_impact[Doelgroep]=C636,Berekening_impact[Digitale zorgtoepassing]),0))</f>
        <v>1110.1175963370074</v>
      </c>
      <c r="O636" s="398" cm="1">
        <f t="array" ref="O636">J636*INDEX(Berekening_impact[Overige kostenbesparing (totaal/jaar totaal potentieel)],MATCH(B636,IF(Berekening_impact[Doelgroep]=C636,Berekening_impact[Digitale zorgtoepassing]),0))</f>
        <v>23212820.614064116</v>
      </c>
      <c r="P636" s="398" cm="1">
        <f t="array" ref="P636">J636*INDEX(Berekening_impact[Opbrengsten door QALY''s],MATCH(B636,IF(Berekening_impact[Doelgroep]=C636,Berekening_impact[Digitale zorgtoepassing]),0))</f>
        <v>0</v>
      </c>
      <c r="Q636" s="398" cm="1">
        <f t="array" ref="Q636">J636*INDEX(Berekening_impact[Jaarlijkse kosten (totaal) - incl. schatting],MATCH(B636,IF(Berekening_impact[Doelgroep]=C636,Berekening_impact[Digitale zorgtoepassing]),0))</f>
        <v>38822398.226185635</v>
      </c>
      <c r="R636" s="398" cm="1">
        <f t="array" ref="R636">(uitkomst_doelgroep[[#This Row],[Implementatiegraad t = T + 1]]-uitkomst_doelgroep[[#This Row],[Implementatiegraad t = T]])*INDEX(Berekening_impact[Initiële investering (totaal) - incl. schatting],MATCH(B636,IF(Berekening_impact[Doelgroep]=C636,Berekening_impact[Digitale zorgtoepassing]),0))</f>
        <v>1764865.7393109256</v>
      </c>
      <c r="S636" s="398">
        <f>uitkomst_doelgroep[[#This Row],[Arbeidsbesparing (€)]]*uitkomst_doelgroep[[#This Row],[Percentage van patiëntaantallen in Wlz (overige is Zvw)]]</f>
        <v>21208077.015576765</v>
      </c>
      <c r="T636" s="398">
        <f>uitkomst_doelgroep[[#This Row],[Overige besparingen (€)]]*uitkomst_doelgroep[[#This Row],[Percentage van patiëntaantallen in Wlz (overige is Zvw)]]</f>
        <v>10445769.276328852</v>
      </c>
      <c r="U636" s="398">
        <f>uitkomst_doelgroep[[#This Row],[Kosten (€)]]*uitkomst_doelgroep[[#This Row],[Percentage van patiëntaantallen in Wlz (overige is Zvw)]]</f>
        <v>17470079.201783538</v>
      </c>
      <c r="V636" s="398">
        <f>uitkomst_doelgroep[[#This Row],[Investering (cash flow) (€)]]*uitkomst_doelgroep[[#This Row],[Percentage van patiëntaantallen in Wlz (overige is Zvw)]]</f>
        <v>794189.58268991648</v>
      </c>
    </row>
    <row r="637" spans="1:22" x14ac:dyDescent="0.5">
      <c r="A637" s="33" t="str">
        <f>INDEX(Technologieën[Veld],MATCH(B637,Technologieën[Digitale zorgtoepassing],0))</f>
        <v>Digitale hulpmiddelen - Verpleging</v>
      </c>
      <c r="B637" s="33" t="s">
        <v>85</v>
      </c>
      <c r="C637" s="33" t="s">
        <v>86</v>
      </c>
      <c r="D637" s="427" cm="1">
        <f t="array" ref="D637">INDEX(Berekening_patiëntaantal[Percentage van patiëntaantallen in Wlz (overige is Zvw)],MATCH(B637,IF(Berekening_patiëntaantal[Doelgroep (zoeksleutel)]=C637,Berekening_patiëntaantal[Digitale zorgtoepassing]),0))</f>
        <v>0.45</v>
      </c>
      <c r="E637" s="33" t="str" cm="1">
        <f t="array" ref="E637">INDEX(Berekening_patiëntaantal[Direct toepasbaar/extrapolatie/incidentie voor QALY],MATCH(B637,IF(Berekening_patiëntaantal[Doelgroep (zoeksleutel)]=C637,Berekening_patiëntaantal[Digitale zorgtoepassing]),0))</f>
        <v>Huidige toepassing</v>
      </c>
      <c r="F637" s="43" t="s">
        <v>812</v>
      </c>
      <c r="G637" s="33" t="str">
        <f>CONCATENATE(uitkomst_doelgroep[[#This Row],[Digitale zorgtoepassing]],"_",uitkomst_doelgroep[[#This Row],[Doelgroep]],"_",uitkomst_doelgroep[[#This Row],[Uitgangssituatie/effect beleid]])</f>
        <v>Zorg op afstand met tablet_Patiënten die thuiszorg krijgen_Effect beleid</v>
      </c>
      <c r="H637" s="33">
        <v>2028</v>
      </c>
      <c r="I637" s="32">
        <v>6</v>
      </c>
      <c r="J637" s="406" cm="1">
        <f t="array" ref="J637">INDEX(implementatie[[2023]:[2034]],MATCH(G637, implementatie[Zoeksleutel],0),I637)</f>
        <v>0.90924653177763415</v>
      </c>
      <c r="K637" s="406" cm="1">
        <f t="array" ref="K637">INDEX(implementatie[[2023]:[2034]],MATCH(G637,implementatie[Zoeksleutel],0),I637 + 1)</f>
        <v>0.94864814278578335</v>
      </c>
      <c r="L63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78558.900345587594</v>
      </c>
      <c r="M637" s="398" cm="1">
        <f t="array" ref="M637">J637*INDEX(Berekening_impact[Totaal arbeidsbesparing (€/jaar)],MATCH(B637,IF(Berekening_impact[Doelgroep]=C637,Berekening_impact[Digitale zorgtoepassing]),0))</f>
        <v>50583086.872958578</v>
      </c>
      <c r="N637" s="397" cm="1">
        <f t="array" ref="N637">J637*INDEX(Berekening_impact[Totaal arbeidsbesparing (FTE/jaar)],MATCH(B637,IF(Berekening_impact[Doelgroep]=C637,Berekening_impact[Digitale zorgtoepassing]),0))</f>
        <v>1191.4766552414119</v>
      </c>
      <c r="O637" s="398" cm="1">
        <f t="array" ref="O637">J637*INDEX(Berekening_impact[Overige kostenbesparing (totaal/jaar totaal potentieel)],MATCH(B637,IF(Berekening_impact[Doelgroep]=C637,Berekening_impact[Digitale zorgtoepassing]),0))</f>
        <v>24914057.71354676</v>
      </c>
      <c r="P637" s="398" cm="1">
        <f t="array" ref="P637">J637*INDEX(Berekening_impact[Opbrengsten door QALY''s],MATCH(B637,IF(Berekening_impact[Doelgroep]=C637,Berekening_impact[Digitale zorgtoepassing]),0))</f>
        <v>0</v>
      </c>
      <c r="Q637" s="398" cm="1">
        <f t="array" ref="Q637">J637*INDEX(Berekening_impact[Jaarlijkse kosten (totaal) - incl. schatting],MATCH(B637,IF(Berekening_impact[Doelgroep]=C637,Berekening_impact[Digitale zorgtoepassing]),0))</f>
        <v>41667640.743299663</v>
      </c>
      <c r="R637" s="398" cm="1">
        <f t="array" ref="R637">(uitkomst_doelgroep[[#This Row],[Implementatiegraad t = T + 1]]-uitkomst_doelgroep[[#This Row],[Implementatiegraad t = T]])*INDEX(Berekening_impact[Initiële investering (totaal) - incl. schatting],MATCH(B637,IF(Berekening_impact[Doelgroep]=C637,Berekening_impact[Digitale zorgtoepassing]),0))</f>
        <v>1120014.4338732462</v>
      </c>
      <c r="S637" s="398">
        <f>uitkomst_doelgroep[[#This Row],[Arbeidsbesparing (€)]]*uitkomst_doelgroep[[#This Row],[Percentage van patiëntaantallen in Wlz (overige is Zvw)]]</f>
        <v>22762389.092831362</v>
      </c>
      <c r="T637" s="398">
        <f>uitkomst_doelgroep[[#This Row],[Overige besparingen (€)]]*uitkomst_doelgroep[[#This Row],[Percentage van patiëntaantallen in Wlz (overige is Zvw)]]</f>
        <v>11211325.971096043</v>
      </c>
      <c r="U637" s="398">
        <f>uitkomst_doelgroep[[#This Row],[Kosten (€)]]*uitkomst_doelgroep[[#This Row],[Percentage van patiëntaantallen in Wlz (overige is Zvw)]]</f>
        <v>18750438.334484849</v>
      </c>
      <c r="V637" s="398">
        <f>uitkomst_doelgroep[[#This Row],[Investering (cash flow) (€)]]*uitkomst_doelgroep[[#This Row],[Percentage van patiëntaantallen in Wlz (overige is Zvw)]]</f>
        <v>504006.49524296081</v>
      </c>
    </row>
    <row r="638" spans="1:22" x14ac:dyDescent="0.5">
      <c r="A638" s="33" t="str">
        <f>INDEX(Technologieën[Veld],MATCH(B638,Technologieën[Digitale zorgtoepassing],0))</f>
        <v>Digitale hulpmiddelen - Verpleging</v>
      </c>
      <c r="B638" s="33" t="s">
        <v>85</v>
      </c>
      <c r="C638" s="33" t="s">
        <v>86</v>
      </c>
      <c r="D638" s="427" cm="1">
        <f t="array" ref="D638">INDEX(Berekening_patiëntaantal[Percentage van patiëntaantallen in Wlz (overige is Zvw)],MATCH(B638,IF(Berekening_patiëntaantal[Doelgroep (zoeksleutel)]=C638,Berekening_patiëntaantal[Digitale zorgtoepassing]),0))</f>
        <v>0.45</v>
      </c>
      <c r="E638" s="33" t="str" cm="1">
        <f t="array" ref="E638">INDEX(Berekening_patiëntaantal[Direct toepasbaar/extrapolatie/incidentie voor QALY],MATCH(B638,IF(Berekening_patiëntaantal[Doelgroep (zoeksleutel)]=C638,Berekening_patiëntaantal[Digitale zorgtoepassing]),0))</f>
        <v>Huidige toepassing</v>
      </c>
      <c r="F638" s="43" t="s">
        <v>812</v>
      </c>
      <c r="G638" s="33" t="str">
        <f>CONCATENATE(uitkomst_doelgroep[[#This Row],[Digitale zorgtoepassing]],"_",uitkomst_doelgroep[[#This Row],[Doelgroep]],"_",uitkomst_doelgroep[[#This Row],[Uitgangssituatie/effect beleid]])</f>
        <v>Zorg op afstand met tablet_Patiënten die thuiszorg krijgen_Effect beleid</v>
      </c>
      <c r="H638" s="33">
        <v>2029</v>
      </c>
      <c r="I638" s="32">
        <v>7</v>
      </c>
      <c r="J638" s="406" cm="1">
        <f t="array" ref="J638">INDEX(implementatie[[2023]:[2034]],MATCH(G638, implementatie[Zoeksleutel],0),I638)</f>
        <v>0.94864814278578335</v>
      </c>
      <c r="K638" s="406" cm="1">
        <f t="array" ref="K638">INDEX(implementatie[[2023]:[2034]],MATCH(G638,implementatie[Zoeksleutel],0),I638 + 1)</f>
        <v>0.97185361900482903</v>
      </c>
      <c r="L63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81963.199536691682</v>
      </c>
      <c r="M638" s="398" cm="1">
        <f t="array" ref="M638">J638*INDEX(Berekening_impact[Totaal arbeidsbesparing (€/jaar)],MATCH(B638,IF(Berekening_impact[Doelgroep]=C638,Berekening_impact[Digitale zorgtoepassing]),0))</f>
        <v>52775072.261853255</v>
      </c>
      <c r="N638" s="397" cm="1">
        <f t="array" ref="N638">J638*INDEX(Berekening_impact[Totaal arbeidsbesparing (FTE/jaar)],MATCH(B638,IF(Berekening_impact[Doelgroep]=C638,Berekening_impact[Digitale zorgtoepassing]),0))</f>
        <v>1243.1085263064906</v>
      </c>
      <c r="O638" s="398" cm="1">
        <f t="array" ref="O638">J638*INDEX(Berekening_impact[Overige kostenbesparing (totaal/jaar totaal potentieel)],MATCH(B638,IF(Berekening_impact[Doelgroep]=C638,Berekening_impact[Digitale zorgtoepassing]),0))</f>
        <v>25993692.308076974</v>
      </c>
      <c r="P638" s="398" cm="1">
        <f t="array" ref="P638">J638*INDEX(Berekening_impact[Opbrengsten door QALY''s],MATCH(B638,IF(Berekening_impact[Doelgroep]=C638,Berekening_impact[Digitale zorgtoepassing]),0))</f>
        <v>0</v>
      </c>
      <c r="Q638" s="398" cm="1">
        <f t="array" ref="Q638">J638*INDEX(Berekening_impact[Jaarlijkse kosten (totaal) - incl. schatting],MATCH(B638,IF(Berekening_impact[Doelgroep]=C638,Berekening_impact[Digitale zorgtoepassing]),0))</f>
        <v>43473281.034261279</v>
      </c>
      <c r="R638" s="398" cm="1">
        <f t="array" ref="R638">(uitkomst_doelgroep[[#This Row],[Implementatiegraad t = T + 1]]-uitkomst_doelgroep[[#This Row],[Implementatiegraad t = T]])*INDEX(Berekening_impact[Initiële investering (totaal) - incl. schatting],MATCH(B638,IF(Berekening_impact[Doelgroep]=C638,Berekening_impact[Digitale zorgtoepassing]),0))</f>
        <v>659629.5848121047</v>
      </c>
      <c r="S638" s="398">
        <f>uitkomst_doelgroep[[#This Row],[Arbeidsbesparing (€)]]*uitkomst_doelgroep[[#This Row],[Percentage van patiëntaantallen in Wlz (overige is Zvw)]]</f>
        <v>23748782.517833967</v>
      </c>
      <c r="T638" s="398">
        <f>uitkomst_doelgroep[[#This Row],[Overige besparingen (€)]]*uitkomst_doelgroep[[#This Row],[Percentage van patiëntaantallen in Wlz (overige is Zvw)]]</f>
        <v>11697161.538634639</v>
      </c>
      <c r="U638" s="398">
        <f>uitkomst_doelgroep[[#This Row],[Kosten (€)]]*uitkomst_doelgroep[[#This Row],[Percentage van patiëntaantallen in Wlz (overige is Zvw)]]</f>
        <v>19562976.465417575</v>
      </c>
      <c r="V638" s="398">
        <f>uitkomst_doelgroep[[#This Row],[Investering (cash flow) (€)]]*uitkomst_doelgroep[[#This Row],[Percentage van patiëntaantallen in Wlz (overige is Zvw)]]</f>
        <v>296833.31316544715</v>
      </c>
    </row>
    <row r="639" spans="1:22" x14ac:dyDescent="0.5">
      <c r="A639" s="33" t="str">
        <f>INDEX(Technologieën[Veld],MATCH(B639,Technologieën[Digitale zorgtoepassing],0))</f>
        <v>Digitale hulpmiddelen - Verpleging</v>
      </c>
      <c r="B639" s="33" t="s">
        <v>85</v>
      </c>
      <c r="C639" s="33" t="s">
        <v>86</v>
      </c>
      <c r="D639" s="427" cm="1">
        <f t="array" ref="D639">INDEX(Berekening_patiëntaantal[Percentage van patiëntaantallen in Wlz (overige is Zvw)],MATCH(B639,IF(Berekening_patiëntaantal[Doelgroep (zoeksleutel)]=C639,Berekening_patiëntaantal[Digitale zorgtoepassing]),0))</f>
        <v>0.45</v>
      </c>
      <c r="E639" s="33" t="str" cm="1">
        <f t="array" ref="E639">INDEX(Berekening_patiëntaantal[Direct toepasbaar/extrapolatie/incidentie voor QALY],MATCH(B639,IF(Berekening_patiëntaantal[Doelgroep (zoeksleutel)]=C639,Berekening_patiëntaantal[Digitale zorgtoepassing]),0))</f>
        <v>Huidige toepassing</v>
      </c>
      <c r="F639" s="43" t="s">
        <v>812</v>
      </c>
      <c r="G639" s="33" t="str">
        <f>CONCATENATE(uitkomst_doelgroep[[#This Row],[Digitale zorgtoepassing]],"_",uitkomst_doelgroep[[#This Row],[Doelgroep]],"_",uitkomst_doelgroep[[#This Row],[Uitgangssituatie/effect beleid]])</f>
        <v>Zorg op afstand met tablet_Patiënten die thuiszorg krijgen_Effect beleid</v>
      </c>
      <c r="H639" s="33">
        <v>2030</v>
      </c>
      <c r="I639" s="32">
        <v>8</v>
      </c>
      <c r="J639" s="406" cm="1">
        <f t="array" ref="J639">INDEX(implementatie[[2023]:[2034]],MATCH(G639, implementatie[Zoeksleutel],0),I639)</f>
        <v>0.97185361900482903</v>
      </c>
      <c r="K639" s="406" cm="1">
        <f t="array" ref="K639">INDEX(implementatie[[2023]:[2034]],MATCH(G639,implementatie[Zoeksleutel],0),I639 + 1)</f>
        <v>0.98486665153412889</v>
      </c>
      <c r="L63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83968.152682017229</v>
      </c>
      <c r="M639" s="398" cm="1">
        <f t="array" ref="M639">J639*INDEX(Berekening_impact[Totaal arbeidsbesparing (€/jaar)],MATCH(B639,IF(Berekening_impact[Doelgroep]=C639,Berekening_impact[Digitale zorgtoepassing]),0))</f>
        <v>54066036.349691458</v>
      </c>
      <c r="N639" s="397" cm="1">
        <f t="array" ref="N639">J639*INDEX(Berekening_impact[Totaal arbeidsbesparing (FTE/jaar)],MATCH(B639,IF(Berekening_impact[Doelgroep]=C639,Berekening_impact[Digitale zorgtoepassing]),0))</f>
        <v>1273.516982343928</v>
      </c>
      <c r="O639" s="398" cm="1">
        <f t="array" ref="O639">J639*INDEX(Berekening_impact[Overige kostenbesparing (totaal/jaar totaal potentieel)],MATCH(B639,IF(Berekening_impact[Doelgroep]=C639,Berekening_impact[Digitale zorgtoepassing]),0))</f>
        <v>26629540.291639075</v>
      </c>
      <c r="P639" s="398" cm="1">
        <f t="array" ref="P639">J639*INDEX(Berekening_impact[Opbrengsten door QALY''s],MATCH(B639,IF(Berekening_impact[Doelgroep]=C639,Berekening_impact[Digitale zorgtoepassing]),0))</f>
        <v>0</v>
      </c>
      <c r="Q639" s="398" cm="1">
        <f t="array" ref="Q639">J639*INDEX(Berekening_impact[Jaarlijkse kosten (totaal) - incl. schatting],MATCH(B639,IF(Berekening_impact[Doelgroep]=C639,Berekening_impact[Digitale zorgtoepassing]),0))</f>
        <v>44536708.182541944</v>
      </c>
      <c r="R639" s="398" cm="1">
        <f t="array" ref="R639">(uitkomst_doelgroep[[#This Row],[Implementatiegraad t = T + 1]]-uitkomst_doelgroep[[#This Row],[Implementatiegraad t = T]])*INDEX(Berekening_impact[Initiële investering (totaal) - incl. schatting],MATCH(B639,IF(Berekening_impact[Doelgroep]=C639,Berekening_impact[Digitale zorgtoepassing]),0))</f>
        <v>369903.25746486615</v>
      </c>
      <c r="S639" s="398">
        <f>uitkomst_doelgroep[[#This Row],[Arbeidsbesparing (€)]]*uitkomst_doelgroep[[#This Row],[Percentage van patiëntaantallen in Wlz (overige is Zvw)]]</f>
        <v>24329716.357361156</v>
      </c>
      <c r="T639" s="398">
        <f>uitkomst_doelgroep[[#This Row],[Overige besparingen (€)]]*uitkomst_doelgroep[[#This Row],[Percentage van patiëntaantallen in Wlz (overige is Zvw)]]</f>
        <v>11983293.131237583</v>
      </c>
      <c r="U639" s="398">
        <f>uitkomst_doelgroep[[#This Row],[Kosten (€)]]*uitkomst_doelgroep[[#This Row],[Percentage van patiëntaantallen in Wlz (overige is Zvw)]]</f>
        <v>20041518.682143874</v>
      </c>
      <c r="V639" s="398">
        <f>uitkomst_doelgroep[[#This Row],[Investering (cash flow) (€)]]*uitkomst_doelgroep[[#This Row],[Percentage van patiëntaantallen in Wlz (overige is Zvw)]]</f>
        <v>166456.46585918978</v>
      </c>
    </row>
    <row r="640" spans="1:22" x14ac:dyDescent="0.5">
      <c r="A640" s="33" t="str">
        <f>INDEX(Technologieën[Veld],MATCH(B640,Technologieën[Digitale zorgtoepassing],0))</f>
        <v>Digitale hulpmiddelen - Verpleging</v>
      </c>
      <c r="B640" s="33" t="s">
        <v>85</v>
      </c>
      <c r="C640" s="33" t="s">
        <v>86</v>
      </c>
      <c r="D640" s="427" cm="1">
        <f t="array" ref="D640">INDEX(Berekening_patiëntaantal[Percentage van patiëntaantallen in Wlz (overige is Zvw)],MATCH(B640,IF(Berekening_patiëntaantal[Doelgroep (zoeksleutel)]=C640,Berekening_patiëntaantal[Digitale zorgtoepassing]),0))</f>
        <v>0.45</v>
      </c>
      <c r="E640" s="33" t="str" cm="1">
        <f t="array" ref="E640">INDEX(Berekening_patiëntaantal[Direct toepasbaar/extrapolatie/incidentie voor QALY],MATCH(B640,IF(Berekening_patiëntaantal[Doelgroep (zoeksleutel)]=C640,Berekening_patiëntaantal[Digitale zorgtoepassing]),0))</f>
        <v>Huidige toepassing</v>
      </c>
      <c r="F640" s="43" t="s">
        <v>812</v>
      </c>
      <c r="G640" s="33" t="str">
        <f>CONCATENATE(uitkomst_doelgroep[[#This Row],[Digitale zorgtoepassing]],"_",uitkomst_doelgroep[[#This Row],[Doelgroep]],"_",uitkomst_doelgroep[[#This Row],[Uitgangssituatie/effect beleid]])</f>
        <v>Zorg op afstand met tablet_Patiënten die thuiszorg krijgen_Effect beleid</v>
      </c>
      <c r="H640" s="33">
        <v>2031</v>
      </c>
      <c r="I640" s="32">
        <v>9</v>
      </c>
      <c r="J640" s="406" cm="1">
        <f t="array" ref="J640">INDEX(implementatie[[2023]:[2034]],MATCH(G640, implementatie[Zoeksleutel],0),I640)</f>
        <v>0.98486665153412889</v>
      </c>
      <c r="K640" s="406" cm="1">
        <f t="array" ref="K640">INDEX(implementatie[[2023]:[2034]],MATCH(G640,implementatie[Zoeksleutel],0),I640 + 1)</f>
        <v>0.99195193384931235</v>
      </c>
      <c r="L64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85092.478692548742</v>
      </c>
      <c r="M640" s="398" cm="1">
        <f t="array" ref="M640">J640*INDEX(Berekening_impact[Totaal arbeidsbesparing (€/jaar)],MATCH(B640,IF(Berekening_impact[Doelgroep]=C640,Berekening_impact[Digitale zorgtoepassing]),0))</f>
        <v>54789975.712565146</v>
      </c>
      <c r="N640" s="397" cm="1">
        <f t="array" ref="N640">J640*INDEX(Berekening_impact[Totaal arbeidsbesparing (FTE/jaar)],MATCH(B640,IF(Berekening_impact[Doelgroep]=C640,Berekening_impact[Digitale zorgtoepassing]),0))</f>
        <v>1290.5692601703227</v>
      </c>
      <c r="O640" s="398" cm="1">
        <f t="array" ref="O640">J640*INDEX(Berekening_impact[Overige kostenbesparing (totaal/jaar totaal potentieel)],MATCH(B640,IF(Berekening_impact[Doelgroep]=C640,Berekening_impact[Digitale zorgtoepassing]),0))</f>
        <v>26986107.440517157</v>
      </c>
      <c r="P640" s="398" cm="1">
        <f t="array" ref="P640">J640*INDEX(Berekening_impact[Opbrengsten door QALY''s],MATCH(B640,IF(Berekening_impact[Doelgroep]=C640,Berekening_impact[Digitale zorgtoepassing]),0))</f>
        <v>0</v>
      </c>
      <c r="Q640" s="398" cm="1">
        <f t="array" ref="Q640">J640*INDEX(Berekening_impact[Jaarlijkse kosten (totaal) - incl. schatting],MATCH(B640,IF(Berekening_impact[Doelgroep]=C640,Berekening_impact[Digitale zorgtoepassing]),0))</f>
        <v>45133050.698527858</v>
      </c>
      <c r="R640" s="398" cm="1">
        <f t="array" ref="R640">(uitkomst_doelgroep[[#This Row],[Implementatiegraad t = T + 1]]-uitkomst_doelgroep[[#This Row],[Implementatiegraad t = T]])*INDEX(Berekening_impact[Initiële investering (totaal) - incl. schatting],MATCH(B640,IF(Berekening_impact[Doelgroep]=C640,Berekening_impact[Digitale zorgtoepassing]),0))</f>
        <v>201403.40097847898</v>
      </c>
      <c r="S640" s="398">
        <f>uitkomst_doelgroep[[#This Row],[Arbeidsbesparing (€)]]*uitkomst_doelgroep[[#This Row],[Percentage van patiëntaantallen in Wlz (overige is Zvw)]]</f>
        <v>24655489.070654318</v>
      </c>
      <c r="T640" s="398">
        <f>uitkomst_doelgroep[[#This Row],[Overige besparingen (€)]]*uitkomst_doelgroep[[#This Row],[Percentage van patiëntaantallen in Wlz (overige is Zvw)]]</f>
        <v>12143748.348232722</v>
      </c>
      <c r="U640" s="398">
        <f>uitkomst_doelgroep[[#This Row],[Kosten (€)]]*uitkomst_doelgroep[[#This Row],[Percentage van patiëntaantallen in Wlz (overige is Zvw)]]</f>
        <v>20309872.814337537</v>
      </c>
      <c r="V640" s="398">
        <f>uitkomst_doelgroep[[#This Row],[Investering (cash flow) (€)]]*uitkomst_doelgroep[[#This Row],[Percentage van patiëntaantallen in Wlz (overige is Zvw)]]</f>
        <v>90631.530440315546</v>
      </c>
    </row>
    <row r="641" spans="1:22" x14ac:dyDescent="0.5">
      <c r="A641" s="33" t="str">
        <f>INDEX(Technologieën[Veld],MATCH(B641,Technologieën[Digitale zorgtoepassing],0))</f>
        <v>Digitale hulpmiddelen - Verpleging</v>
      </c>
      <c r="B641" s="33" t="s">
        <v>85</v>
      </c>
      <c r="C641" s="33" t="s">
        <v>86</v>
      </c>
      <c r="D641" s="427" cm="1">
        <f t="array" ref="D641">INDEX(Berekening_patiëntaantal[Percentage van patiëntaantallen in Wlz (overige is Zvw)],MATCH(B641,IF(Berekening_patiëntaantal[Doelgroep (zoeksleutel)]=C641,Berekening_patiëntaantal[Digitale zorgtoepassing]),0))</f>
        <v>0.45</v>
      </c>
      <c r="E641" s="33" t="str" cm="1">
        <f t="array" ref="E641">INDEX(Berekening_patiëntaantal[Direct toepasbaar/extrapolatie/incidentie voor QALY],MATCH(B641,IF(Berekening_patiëntaantal[Doelgroep (zoeksleutel)]=C641,Berekening_patiëntaantal[Digitale zorgtoepassing]),0))</f>
        <v>Huidige toepassing</v>
      </c>
      <c r="F641" s="43" t="s">
        <v>812</v>
      </c>
      <c r="G641" s="33" t="str">
        <f>CONCATENATE(uitkomst_doelgroep[[#This Row],[Digitale zorgtoepassing]],"_",uitkomst_doelgroep[[#This Row],[Doelgroep]],"_",uitkomst_doelgroep[[#This Row],[Uitgangssituatie/effect beleid]])</f>
        <v>Zorg op afstand met tablet_Patiënten die thuiszorg krijgen_Effect beleid</v>
      </c>
      <c r="H641" s="33">
        <v>2032</v>
      </c>
      <c r="I641" s="32">
        <v>10</v>
      </c>
      <c r="J641" s="406" cm="1">
        <f t="array" ref="J641">INDEX(implementatie[[2023]:[2034]],MATCH(G641, implementatie[Zoeksleutel],0),I641)</f>
        <v>0.99195193384931235</v>
      </c>
      <c r="K641" s="406" cm="1">
        <f t="array" ref="K641">INDEX(implementatie[[2023]:[2034]],MATCH(G641,implementatie[Zoeksleutel],0),I641 + 1)</f>
        <v>0.99574561815494433</v>
      </c>
      <c r="L64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85704.647084580589</v>
      </c>
      <c r="M641" s="398" cm="1">
        <f t="array" ref="M641">J641*INDEX(Berekening_impact[Totaal arbeidsbesparing (€/jaar)],MATCH(B641,IF(Berekening_impact[Doelgroep]=C641,Berekening_impact[Digitale zorgtoepassing]),0))</f>
        <v>55184143.232970938</v>
      </c>
      <c r="N641" s="397" cm="1">
        <f t="array" ref="N641">J641*INDEX(Berekening_impact[Totaal arbeidsbesparing (FTE/jaar)],MATCH(B641,IF(Berekening_impact[Doelgroep]=C641,Berekening_impact[Digitale zorgtoepassing]),0))</f>
        <v>1299.8538141161389</v>
      </c>
      <c r="O641" s="398" cm="1">
        <f t="array" ref="O641">J641*INDEX(Berekening_impact[Overige kostenbesparing (totaal/jaar totaal potentieel)],MATCH(B641,IF(Berekening_impact[Doelgroep]=C641,Berekening_impact[Digitale zorgtoepassing]),0))</f>
        <v>27180249.652060311</v>
      </c>
      <c r="P641" s="398" cm="1">
        <f t="array" ref="P641">J641*INDEX(Berekening_impact[Opbrengsten door QALY''s],MATCH(B641,IF(Berekening_impact[Doelgroep]=C641,Berekening_impact[Digitale zorgtoepassing]),0))</f>
        <v>0</v>
      </c>
      <c r="Q641" s="398" cm="1">
        <f t="array" ref="Q641">J641*INDEX(Berekening_impact[Jaarlijkse kosten (totaal) - incl. schatting],MATCH(B641,IF(Berekening_impact[Doelgroep]=C641,Berekening_impact[Digitale zorgtoepassing]),0))</f>
        <v>45457744.813661553</v>
      </c>
      <c r="R641" s="398" cm="1">
        <f t="array" ref="R641">(uitkomst_doelgroep[[#This Row],[Implementatiegraad t = T + 1]]-uitkomst_doelgroep[[#This Row],[Implementatiegraad t = T]])*INDEX(Berekening_impact[Initiële investering (totaal) - incl. schatting],MATCH(B641,IF(Berekening_impact[Doelgroep]=C641,Berekening_impact[Digitale zorgtoepassing]),0))</f>
        <v>107837.7525981725</v>
      </c>
      <c r="S641" s="398">
        <f>uitkomst_doelgroep[[#This Row],[Arbeidsbesparing (€)]]*uitkomst_doelgroep[[#This Row],[Percentage van patiëntaantallen in Wlz (overige is Zvw)]]</f>
        <v>24832864.454836924</v>
      </c>
      <c r="T641" s="398">
        <f>uitkomst_doelgroep[[#This Row],[Overige besparingen (€)]]*uitkomst_doelgroep[[#This Row],[Percentage van patiëntaantallen in Wlz (overige is Zvw)]]</f>
        <v>12231112.34342714</v>
      </c>
      <c r="U641" s="398">
        <f>uitkomst_doelgroep[[#This Row],[Kosten (€)]]*uitkomst_doelgroep[[#This Row],[Percentage van patiëntaantallen in Wlz (overige is Zvw)]]</f>
        <v>20455985.166147698</v>
      </c>
      <c r="V641" s="398">
        <f>uitkomst_doelgroep[[#This Row],[Investering (cash flow) (€)]]*uitkomst_doelgroep[[#This Row],[Percentage van patiëntaantallen in Wlz (overige is Zvw)]]</f>
        <v>48526.988669177626</v>
      </c>
    </row>
    <row r="642" spans="1:22" x14ac:dyDescent="0.5">
      <c r="A642" s="33" t="str">
        <f>INDEX(Technologieën[Veld],MATCH(B642,Technologieën[Digitale zorgtoepassing],0))</f>
        <v>Digitale hulpmiddelen - Verpleging</v>
      </c>
      <c r="B642" s="33" t="s">
        <v>85</v>
      </c>
      <c r="C642" s="33" t="s">
        <v>86</v>
      </c>
      <c r="D642" s="427" cm="1">
        <f t="array" ref="D642">INDEX(Berekening_patiëntaantal[Percentage van patiëntaantallen in Wlz (overige is Zvw)],MATCH(B642,IF(Berekening_patiëntaantal[Doelgroep (zoeksleutel)]=C642,Berekening_patiëntaantal[Digitale zorgtoepassing]),0))</f>
        <v>0.45</v>
      </c>
      <c r="E642" s="33" t="str" cm="1">
        <f t="array" ref="E642">INDEX(Berekening_patiëntaantal[Direct toepasbaar/extrapolatie/incidentie voor QALY],MATCH(B642,IF(Berekening_patiëntaantal[Doelgroep (zoeksleutel)]=C642,Berekening_patiëntaantal[Digitale zorgtoepassing]),0))</f>
        <v>Huidige toepassing</v>
      </c>
      <c r="F642" s="43" t="s">
        <v>812</v>
      </c>
      <c r="G642" s="33" t="str">
        <f>CONCATENATE(uitkomst_doelgroep[[#This Row],[Digitale zorgtoepassing]],"_",uitkomst_doelgroep[[#This Row],[Doelgroep]],"_",uitkomst_doelgroep[[#This Row],[Uitgangssituatie/effect beleid]])</f>
        <v>Zorg op afstand met tablet_Patiënten die thuiszorg krijgen_Effect beleid</v>
      </c>
      <c r="H642" s="33">
        <v>2033</v>
      </c>
      <c r="I642" s="32">
        <v>11</v>
      </c>
      <c r="J642" s="406" cm="1">
        <f t="array" ref="J642">INDEX(implementatie[[2023]:[2034]],MATCH(G642, implementatie[Zoeksleutel],0),I642)</f>
        <v>0.99574561815494433</v>
      </c>
      <c r="K642" s="406" cm="1">
        <f t="array" ref="K642">INDEX(implementatie[[2023]:[2034]],MATCH(G642,implementatie[Zoeksleutel],0),I642 + 1)</f>
        <v>0.99775830463714821</v>
      </c>
      <c r="L64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86032.421408587194</v>
      </c>
      <c r="M642" s="398" cm="1">
        <f t="array" ref="M642">J642*INDEX(Berekening_impact[Totaal arbeidsbesparing (€/jaar)],MATCH(B642,IF(Berekening_impact[Doelgroep]=C642,Berekening_impact[Digitale zorgtoepassing]),0))</f>
        <v>55395192.993507497</v>
      </c>
      <c r="N642" s="397" cm="1">
        <f t="array" ref="N642">J642*INDEX(Berekening_impact[Totaal arbeidsbesparing (FTE/jaar)],MATCH(B642,IF(Berekening_impact[Doelgroep]=C642,Berekening_impact[Digitale zorgtoepassing]),0))</f>
        <v>1304.8250580302392</v>
      </c>
      <c r="O642" s="398" cm="1">
        <f t="array" ref="O642">J642*INDEX(Berekening_impact[Overige kostenbesparing (totaal/jaar totaal potentieel)],MATCH(B642,IF(Berekening_impact[Doelgroep]=C642,Berekening_impact[Digitale zorgtoepassing]),0))</f>
        <v>27284199.534115631</v>
      </c>
      <c r="P642" s="398" cm="1">
        <f t="array" ref="P642">J642*INDEX(Berekening_impact[Opbrengsten door QALY''s],MATCH(B642,IF(Berekening_impact[Doelgroep]=C642,Berekening_impact[Digitale zorgtoepassing]),0))</f>
        <v>0</v>
      </c>
      <c r="Q642" s="398" cm="1">
        <f t="array" ref="Q642">J642*INDEX(Berekening_impact[Jaarlijkse kosten (totaal) - incl. schatting],MATCH(B642,IF(Berekening_impact[Doelgroep]=C642,Berekening_impact[Digitale zorgtoepassing]),0))</f>
        <v>45631596.315114655</v>
      </c>
      <c r="R642" s="398" cm="1">
        <f t="array" ref="R642">(uitkomst_doelgroep[[#This Row],[Implementatiegraad t = T + 1]]-uitkomst_doelgroep[[#This Row],[Implementatiegraad t = T]])*INDEX(Berekening_impact[Initiële investering (totaal) - incl. schatting],MATCH(B642,IF(Berekening_impact[Doelgroep]=C642,Berekening_impact[Digitale zorgtoepassing]),0))</f>
        <v>57211.820868534429</v>
      </c>
      <c r="S642" s="398">
        <f>uitkomst_doelgroep[[#This Row],[Arbeidsbesparing (€)]]*uitkomst_doelgroep[[#This Row],[Percentage van patiëntaantallen in Wlz (overige is Zvw)]]</f>
        <v>24927836.847078376</v>
      </c>
      <c r="T642" s="398">
        <f>uitkomst_doelgroep[[#This Row],[Overige besparingen (€)]]*uitkomst_doelgroep[[#This Row],[Percentage van patiëntaantallen in Wlz (overige is Zvw)]]</f>
        <v>12277889.790352033</v>
      </c>
      <c r="U642" s="398">
        <f>uitkomst_doelgroep[[#This Row],[Kosten (€)]]*uitkomst_doelgroep[[#This Row],[Percentage van patiëntaantallen in Wlz (overige is Zvw)]]</f>
        <v>20534218.341801595</v>
      </c>
      <c r="V642" s="398">
        <f>uitkomst_doelgroep[[#This Row],[Investering (cash flow) (€)]]*uitkomst_doelgroep[[#This Row],[Percentage van patiëntaantallen in Wlz (overige is Zvw)]]</f>
        <v>25745.319390840494</v>
      </c>
    </row>
    <row r="643" spans="1:22" x14ac:dyDescent="0.5">
      <c r="A643" s="33" t="str">
        <f>INDEX(Technologieën[Veld],MATCH(B643,Technologieën[Digitale zorgtoepassing],0))</f>
        <v>Software - Behandeling</v>
      </c>
      <c r="B643" s="33" t="s">
        <v>609</v>
      </c>
      <c r="C643" s="33" t="s">
        <v>597</v>
      </c>
      <c r="D643" s="427" cm="1">
        <f t="array" ref="D643">INDEX(Berekening_patiëntaantal[Percentage van patiëntaantallen in Wlz (overige is Zvw)],MATCH(B643,IF(Berekening_patiëntaantal[Doelgroep (zoeksleutel)]=C643,Berekening_patiëntaantal[Digitale zorgtoepassing]),0))</f>
        <v>0</v>
      </c>
      <c r="E643" s="33" t="str" cm="1">
        <f t="array" ref="E643">INDEX(Berekening_patiëntaantal[Direct toepasbaar/extrapolatie/incidentie voor QALY],MATCH(B643,IF(Berekening_patiëntaantal[Doelgroep (zoeksleutel)]=C643,Berekening_patiëntaantal[Digitale zorgtoepassing]),0))</f>
        <v>Extrapolatie</v>
      </c>
      <c r="F643" s="43" t="s">
        <v>812</v>
      </c>
      <c r="G643" s="33" t="str">
        <f>CONCATENATE(uitkomst_doelgroep[[#This Row],[Digitale zorgtoepassing]],"_",uitkomst_doelgroep[[#This Row],[Doelgroep]],"_",uitkomst_doelgroep[[#This Row],[Uitgangssituatie/effect beleid]])</f>
        <v>(Zelf)zorgplatform + telebegeleiding_Overig_chronisch_Effect beleid</v>
      </c>
      <c r="H643" s="33">
        <v>2023</v>
      </c>
      <c r="I643" s="32">
        <v>1</v>
      </c>
      <c r="J643" s="406" cm="1">
        <f t="array" ref="J643">INDEX(implementatie[[2023]:[2034]],MATCH(G643, implementatie[Zoeksleutel],0),I643)</f>
        <v>0</v>
      </c>
      <c r="K643" s="406" cm="1">
        <f t="array" ref="K643">INDEX(implementatie[[2023]:[2034]],MATCH(G643,implementatie[Zoeksleutel],0),I643 + 1)</f>
        <v>0</v>
      </c>
      <c r="L64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43" s="398" cm="1">
        <f t="array" ref="M643">J643*INDEX(Berekening_impact[Totaal arbeidsbesparing (€/jaar)],MATCH(B643,IF(Berekening_impact[Doelgroep]=C643,Berekening_impact[Digitale zorgtoepassing]),0))</f>
        <v>0</v>
      </c>
      <c r="N643" s="397" cm="1">
        <f t="array" ref="N643">J643*INDEX(Berekening_impact[Totaal arbeidsbesparing (FTE/jaar)],MATCH(B643,IF(Berekening_impact[Doelgroep]=C643,Berekening_impact[Digitale zorgtoepassing]),0))</f>
        <v>0</v>
      </c>
      <c r="O643" s="398" cm="1">
        <f t="array" ref="O643">J643*INDEX(Berekening_impact[Overige kostenbesparing (totaal/jaar totaal potentieel)],MATCH(B643,IF(Berekening_impact[Doelgroep]=C643,Berekening_impact[Digitale zorgtoepassing]),0))</f>
        <v>0</v>
      </c>
      <c r="P643" s="398" cm="1">
        <f t="array" ref="P643">J643*INDEX(Berekening_impact[Opbrengsten door QALY''s],MATCH(B643,IF(Berekening_impact[Doelgroep]=C643,Berekening_impact[Digitale zorgtoepassing]),0))</f>
        <v>0</v>
      </c>
      <c r="Q643" s="398" cm="1">
        <f t="array" ref="Q643">J643*INDEX(Berekening_impact[Jaarlijkse kosten (totaal) - incl. schatting],MATCH(B643,IF(Berekening_impact[Doelgroep]=C643,Berekening_impact[Digitale zorgtoepassing]),0))</f>
        <v>0</v>
      </c>
      <c r="R643" s="398" cm="1">
        <f t="array" ref="R643">(uitkomst_doelgroep[[#This Row],[Implementatiegraad t = T + 1]]-uitkomst_doelgroep[[#This Row],[Implementatiegraad t = T]])*INDEX(Berekening_impact[Initiële investering (totaal) - incl. schatting],MATCH(B643,IF(Berekening_impact[Doelgroep]=C643,Berekening_impact[Digitale zorgtoepassing]),0))</f>
        <v>0</v>
      </c>
      <c r="S643" s="398">
        <f>uitkomst_doelgroep[[#This Row],[Arbeidsbesparing (€)]]*uitkomst_doelgroep[[#This Row],[Percentage van patiëntaantallen in Wlz (overige is Zvw)]]</f>
        <v>0</v>
      </c>
      <c r="T643" s="398">
        <f>uitkomst_doelgroep[[#This Row],[Overige besparingen (€)]]*uitkomst_doelgroep[[#This Row],[Percentage van patiëntaantallen in Wlz (overige is Zvw)]]</f>
        <v>0</v>
      </c>
      <c r="U643" s="398">
        <f>uitkomst_doelgroep[[#This Row],[Kosten (€)]]*uitkomst_doelgroep[[#This Row],[Percentage van patiëntaantallen in Wlz (overige is Zvw)]]</f>
        <v>0</v>
      </c>
      <c r="V643" s="398">
        <f>uitkomst_doelgroep[[#This Row],[Investering (cash flow) (€)]]*uitkomst_doelgroep[[#This Row],[Percentage van patiëntaantallen in Wlz (overige is Zvw)]]</f>
        <v>0</v>
      </c>
    </row>
    <row r="644" spans="1:22" x14ac:dyDescent="0.5">
      <c r="A644" s="33" t="str">
        <f>INDEX(Technologieën[Veld],MATCH(B644,Technologieën[Digitale zorgtoepassing],0))</f>
        <v>Software - Behandeling</v>
      </c>
      <c r="B644" s="33" t="s">
        <v>609</v>
      </c>
      <c r="C644" s="33" t="s">
        <v>597</v>
      </c>
      <c r="D644" s="427" cm="1">
        <f t="array" ref="D644">INDEX(Berekening_patiëntaantal[Percentage van patiëntaantallen in Wlz (overige is Zvw)],MATCH(B644,IF(Berekening_patiëntaantal[Doelgroep (zoeksleutel)]=C644,Berekening_patiëntaantal[Digitale zorgtoepassing]),0))</f>
        <v>0</v>
      </c>
      <c r="E644" s="33" t="str" cm="1">
        <f t="array" ref="E644">INDEX(Berekening_patiëntaantal[Direct toepasbaar/extrapolatie/incidentie voor QALY],MATCH(B644,IF(Berekening_patiëntaantal[Doelgroep (zoeksleutel)]=C644,Berekening_patiëntaantal[Digitale zorgtoepassing]),0))</f>
        <v>Extrapolatie</v>
      </c>
      <c r="F644" s="43" t="s">
        <v>812</v>
      </c>
      <c r="G644" s="33" t="str">
        <f>CONCATENATE(uitkomst_doelgroep[[#This Row],[Digitale zorgtoepassing]],"_",uitkomst_doelgroep[[#This Row],[Doelgroep]],"_",uitkomst_doelgroep[[#This Row],[Uitgangssituatie/effect beleid]])</f>
        <v>(Zelf)zorgplatform + telebegeleiding_Overig_chronisch_Effect beleid</v>
      </c>
      <c r="H644" s="33">
        <v>2024</v>
      </c>
      <c r="I644" s="32">
        <v>2</v>
      </c>
      <c r="J644" s="406" cm="1">
        <f t="array" ref="J644">INDEX(implementatie[[2023]:[2034]],MATCH(G644, implementatie[Zoeksleutel],0),I644)</f>
        <v>0</v>
      </c>
      <c r="K644" s="406" cm="1">
        <f t="array" ref="K644">INDEX(implementatie[[2023]:[2034]],MATCH(G644,implementatie[Zoeksleutel],0),I644 + 1)</f>
        <v>0</v>
      </c>
      <c r="L64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44" s="398" cm="1">
        <f t="array" ref="M644">J644*INDEX(Berekening_impact[Totaal arbeidsbesparing (€/jaar)],MATCH(B644,IF(Berekening_impact[Doelgroep]=C644,Berekening_impact[Digitale zorgtoepassing]),0))</f>
        <v>0</v>
      </c>
      <c r="N644" s="397" cm="1">
        <f t="array" ref="N644">J644*INDEX(Berekening_impact[Totaal arbeidsbesparing (FTE/jaar)],MATCH(B644,IF(Berekening_impact[Doelgroep]=C644,Berekening_impact[Digitale zorgtoepassing]),0))</f>
        <v>0</v>
      </c>
      <c r="O644" s="398" cm="1">
        <f t="array" ref="O644">J644*INDEX(Berekening_impact[Overige kostenbesparing (totaal/jaar totaal potentieel)],MATCH(B644,IF(Berekening_impact[Doelgroep]=C644,Berekening_impact[Digitale zorgtoepassing]),0))</f>
        <v>0</v>
      </c>
      <c r="P644" s="398" cm="1">
        <f t="array" ref="P644">J644*INDEX(Berekening_impact[Opbrengsten door QALY''s],MATCH(B644,IF(Berekening_impact[Doelgroep]=C644,Berekening_impact[Digitale zorgtoepassing]),0))</f>
        <v>0</v>
      </c>
      <c r="Q644" s="398" cm="1">
        <f t="array" ref="Q644">J644*INDEX(Berekening_impact[Jaarlijkse kosten (totaal) - incl. schatting],MATCH(B644,IF(Berekening_impact[Doelgroep]=C644,Berekening_impact[Digitale zorgtoepassing]),0))</f>
        <v>0</v>
      </c>
      <c r="R644" s="398" cm="1">
        <f t="array" ref="R644">(uitkomst_doelgroep[[#This Row],[Implementatiegraad t = T + 1]]-uitkomst_doelgroep[[#This Row],[Implementatiegraad t = T]])*INDEX(Berekening_impact[Initiële investering (totaal) - incl. schatting],MATCH(B644,IF(Berekening_impact[Doelgroep]=C644,Berekening_impact[Digitale zorgtoepassing]),0))</f>
        <v>0</v>
      </c>
      <c r="S644" s="398">
        <f>uitkomst_doelgroep[[#This Row],[Arbeidsbesparing (€)]]*uitkomst_doelgroep[[#This Row],[Percentage van patiëntaantallen in Wlz (overige is Zvw)]]</f>
        <v>0</v>
      </c>
      <c r="T644" s="398">
        <f>uitkomst_doelgroep[[#This Row],[Overige besparingen (€)]]*uitkomst_doelgroep[[#This Row],[Percentage van patiëntaantallen in Wlz (overige is Zvw)]]</f>
        <v>0</v>
      </c>
      <c r="U644" s="398">
        <f>uitkomst_doelgroep[[#This Row],[Kosten (€)]]*uitkomst_doelgroep[[#This Row],[Percentage van patiëntaantallen in Wlz (overige is Zvw)]]</f>
        <v>0</v>
      </c>
      <c r="V644" s="398">
        <f>uitkomst_doelgroep[[#This Row],[Investering (cash flow) (€)]]*uitkomst_doelgroep[[#This Row],[Percentage van patiëntaantallen in Wlz (overige is Zvw)]]</f>
        <v>0</v>
      </c>
    </row>
    <row r="645" spans="1:22" x14ac:dyDescent="0.5">
      <c r="A645" s="33" t="str">
        <f>INDEX(Technologieën[Veld],MATCH(B645,Technologieën[Digitale zorgtoepassing],0))</f>
        <v>Software - Behandeling</v>
      </c>
      <c r="B645" s="33" t="s">
        <v>609</v>
      </c>
      <c r="C645" s="33" t="s">
        <v>597</v>
      </c>
      <c r="D645" s="427" cm="1">
        <f t="array" ref="D645">INDEX(Berekening_patiëntaantal[Percentage van patiëntaantallen in Wlz (overige is Zvw)],MATCH(B645,IF(Berekening_patiëntaantal[Doelgroep (zoeksleutel)]=C645,Berekening_patiëntaantal[Digitale zorgtoepassing]),0))</f>
        <v>0</v>
      </c>
      <c r="E645" s="33" t="str" cm="1">
        <f t="array" ref="E645">INDEX(Berekening_patiëntaantal[Direct toepasbaar/extrapolatie/incidentie voor QALY],MATCH(B645,IF(Berekening_patiëntaantal[Doelgroep (zoeksleutel)]=C645,Berekening_patiëntaantal[Digitale zorgtoepassing]),0))</f>
        <v>Extrapolatie</v>
      </c>
      <c r="F645" s="43" t="s">
        <v>812</v>
      </c>
      <c r="G645" s="33" t="str">
        <f>CONCATENATE(uitkomst_doelgroep[[#This Row],[Digitale zorgtoepassing]],"_",uitkomst_doelgroep[[#This Row],[Doelgroep]],"_",uitkomst_doelgroep[[#This Row],[Uitgangssituatie/effect beleid]])</f>
        <v>(Zelf)zorgplatform + telebegeleiding_Overig_chronisch_Effect beleid</v>
      </c>
      <c r="H645" s="33">
        <v>2025</v>
      </c>
      <c r="I645" s="32">
        <v>3</v>
      </c>
      <c r="J645" s="406" cm="1">
        <f t="array" ref="J645">INDEX(implementatie[[2023]:[2034]],MATCH(G645, implementatie[Zoeksleutel],0),I645)</f>
        <v>0</v>
      </c>
      <c r="K645" s="406" cm="1">
        <f t="array" ref="K645">INDEX(implementatie[[2023]:[2034]],MATCH(G645,implementatie[Zoeksleutel],0),I645 + 1)</f>
        <v>0</v>
      </c>
      <c r="L64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45" s="398" cm="1">
        <f t="array" ref="M645">J645*INDEX(Berekening_impact[Totaal arbeidsbesparing (€/jaar)],MATCH(B645,IF(Berekening_impact[Doelgroep]=C645,Berekening_impact[Digitale zorgtoepassing]),0))</f>
        <v>0</v>
      </c>
      <c r="N645" s="397" cm="1">
        <f t="array" ref="N645">J645*INDEX(Berekening_impact[Totaal arbeidsbesparing (FTE/jaar)],MATCH(B645,IF(Berekening_impact[Doelgroep]=C645,Berekening_impact[Digitale zorgtoepassing]),0))</f>
        <v>0</v>
      </c>
      <c r="O645" s="398" cm="1">
        <f t="array" ref="O645">J645*INDEX(Berekening_impact[Overige kostenbesparing (totaal/jaar totaal potentieel)],MATCH(B645,IF(Berekening_impact[Doelgroep]=C645,Berekening_impact[Digitale zorgtoepassing]),0))</f>
        <v>0</v>
      </c>
      <c r="P645" s="398" cm="1">
        <f t="array" ref="P645">J645*INDEX(Berekening_impact[Opbrengsten door QALY''s],MATCH(B645,IF(Berekening_impact[Doelgroep]=C645,Berekening_impact[Digitale zorgtoepassing]),0))</f>
        <v>0</v>
      </c>
      <c r="Q645" s="398" cm="1">
        <f t="array" ref="Q645">J645*INDEX(Berekening_impact[Jaarlijkse kosten (totaal) - incl. schatting],MATCH(B645,IF(Berekening_impact[Doelgroep]=C645,Berekening_impact[Digitale zorgtoepassing]),0))</f>
        <v>0</v>
      </c>
      <c r="R645" s="398" cm="1">
        <f t="array" ref="R645">(uitkomst_doelgroep[[#This Row],[Implementatiegraad t = T + 1]]-uitkomst_doelgroep[[#This Row],[Implementatiegraad t = T]])*INDEX(Berekening_impact[Initiële investering (totaal) - incl. schatting],MATCH(B645,IF(Berekening_impact[Doelgroep]=C645,Berekening_impact[Digitale zorgtoepassing]),0))</f>
        <v>0</v>
      </c>
      <c r="S645" s="398">
        <f>uitkomst_doelgroep[[#This Row],[Arbeidsbesparing (€)]]*uitkomst_doelgroep[[#This Row],[Percentage van patiëntaantallen in Wlz (overige is Zvw)]]</f>
        <v>0</v>
      </c>
      <c r="T645" s="398">
        <f>uitkomst_doelgroep[[#This Row],[Overige besparingen (€)]]*uitkomst_doelgroep[[#This Row],[Percentage van patiëntaantallen in Wlz (overige is Zvw)]]</f>
        <v>0</v>
      </c>
      <c r="U645" s="398">
        <f>uitkomst_doelgroep[[#This Row],[Kosten (€)]]*uitkomst_doelgroep[[#This Row],[Percentage van patiëntaantallen in Wlz (overige is Zvw)]]</f>
        <v>0</v>
      </c>
      <c r="V645" s="398">
        <f>uitkomst_doelgroep[[#This Row],[Investering (cash flow) (€)]]*uitkomst_doelgroep[[#This Row],[Percentage van patiëntaantallen in Wlz (overige is Zvw)]]</f>
        <v>0</v>
      </c>
    </row>
    <row r="646" spans="1:22" x14ac:dyDescent="0.5">
      <c r="A646" s="33" t="str">
        <f>INDEX(Technologieën[Veld],MATCH(B646,Technologieën[Digitale zorgtoepassing],0))</f>
        <v>Software - Behandeling</v>
      </c>
      <c r="B646" s="33" t="s">
        <v>609</v>
      </c>
      <c r="C646" s="33" t="s">
        <v>597</v>
      </c>
      <c r="D646" s="427" cm="1">
        <f t="array" ref="D646">INDEX(Berekening_patiëntaantal[Percentage van patiëntaantallen in Wlz (overige is Zvw)],MATCH(B646,IF(Berekening_patiëntaantal[Doelgroep (zoeksleutel)]=C646,Berekening_patiëntaantal[Digitale zorgtoepassing]),0))</f>
        <v>0</v>
      </c>
      <c r="E646" s="33" t="str" cm="1">
        <f t="array" ref="E646">INDEX(Berekening_patiëntaantal[Direct toepasbaar/extrapolatie/incidentie voor QALY],MATCH(B646,IF(Berekening_patiëntaantal[Doelgroep (zoeksleutel)]=C646,Berekening_patiëntaantal[Digitale zorgtoepassing]),0))</f>
        <v>Extrapolatie</v>
      </c>
      <c r="F646" s="43" t="s">
        <v>812</v>
      </c>
      <c r="G646" s="33" t="str">
        <f>CONCATENATE(uitkomst_doelgroep[[#This Row],[Digitale zorgtoepassing]],"_",uitkomst_doelgroep[[#This Row],[Doelgroep]],"_",uitkomst_doelgroep[[#This Row],[Uitgangssituatie/effect beleid]])</f>
        <v>(Zelf)zorgplatform + telebegeleiding_Overig_chronisch_Effect beleid</v>
      </c>
      <c r="H646" s="33">
        <v>2026</v>
      </c>
      <c r="I646" s="32">
        <v>4</v>
      </c>
      <c r="J646" s="406" cm="1">
        <f t="array" ref="J646">INDEX(implementatie[[2023]:[2034]],MATCH(G646, implementatie[Zoeksleutel],0),I646)</f>
        <v>0</v>
      </c>
      <c r="K646" s="406" cm="1">
        <f t="array" ref="K646">INDEX(implementatie[[2023]:[2034]],MATCH(G646,implementatie[Zoeksleutel],0),I646 + 1)</f>
        <v>2.5000000000000001E-2</v>
      </c>
      <c r="L64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46" s="398" cm="1">
        <f t="array" ref="M646">J646*INDEX(Berekening_impact[Totaal arbeidsbesparing (€/jaar)],MATCH(B646,IF(Berekening_impact[Doelgroep]=C646,Berekening_impact[Digitale zorgtoepassing]),0))</f>
        <v>0</v>
      </c>
      <c r="N646" s="397" cm="1">
        <f t="array" ref="N646">J646*INDEX(Berekening_impact[Totaal arbeidsbesparing (FTE/jaar)],MATCH(B646,IF(Berekening_impact[Doelgroep]=C646,Berekening_impact[Digitale zorgtoepassing]),0))</f>
        <v>0</v>
      </c>
      <c r="O646" s="398" cm="1">
        <f t="array" ref="O646">J646*INDEX(Berekening_impact[Overige kostenbesparing (totaal/jaar totaal potentieel)],MATCH(B646,IF(Berekening_impact[Doelgroep]=C646,Berekening_impact[Digitale zorgtoepassing]),0))</f>
        <v>0</v>
      </c>
      <c r="P646" s="398" cm="1">
        <f t="array" ref="P646">J646*INDEX(Berekening_impact[Opbrengsten door QALY''s],MATCH(B646,IF(Berekening_impact[Doelgroep]=C646,Berekening_impact[Digitale zorgtoepassing]),0))</f>
        <v>0</v>
      </c>
      <c r="Q646" s="398" cm="1">
        <f t="array" ref="Q646">J646*INDEX(Berekening_impact[Jaarlijkse kosten (totaal) - incl. schatting],MATCH(B646,IF(Berekening_impact[Doelgroep]=C646,Berekening_impact[Digitale zorgtoepassing]),0))</f>
        <v>0</v>
      </c>
      <c r="R646" s="398" cm="1">
        <f t="array" ref="R646">(uitkomst_doelgroep[[#This Row],[Implementatiegraad t = T + 1]]-uitkomst_doelgroep[[#This Row],[Implementatiegraad t = T]])*INDEX(Berekening_impact[Initiële investering (totaal) - incl. schatting],MATCH(B646,IF(Berekening_impact[Doelgroep]=C646,Berekening_impact[Digitale zorgtoepassing]),0))</f>
        <v>0</v>
      </c>
      <c r="S646" s="398">
        <f>uitkomst_doelgroep[[#This Row],[Arbeidsbesparing (€)]]*uitkomst_doelgroep[[#This Row],[Percentage van patiëntaantallen in Wlz (overige is Zvw)]]</f>
        <v>0</v>
      </c>
      <c r="T646" s="398">
        <f>uitkomst_doelgroep[[#This Row],[Overige besparingen (€)]]*uitkomst_doelgroep[[#This Row],[Percentage van patiëntaantallen in Wlz (overige is Zvw)]]</f>
        <v>0</v>
      </c>
      <c r="U646" s="398">
        <f>uitkomst_doelgroep[[#This Row],[Kosten (€)]]*uitkomst_doelgroep[[#This Row],[Percentage van patiëntaantallen in Wlz (overige is Zvw)]]</f>
        <v>0</v>
      </c>
      <c r="V646" s="398">
        <f>uitkomst_doelgroep[[#This Row],[Investering (cash flow) (€)]]*uitkomst_doelgroep[[#This Row],[Percentage van patiëntaantallen in Wlz (overige is Zvw)]]</f>
        <v>0</v>
      </c>
    </row>
    <row r="647" spans="1:22" x14ac:dyDescent="0.5">
      <c r="A647" s="33" t="str">
        <f>INDEX(Technologieën[Veld],MATCH(B647,Technologieën[Digitale zorgtoepassing],0))</f>
        <v>Software - Behandeling</v>
      </c>
      <c r="B647" s="33" t="s">
        <v>609</v>
      </c>
      <c r="C647" s="33" t="s">
        <v>597</v>
      </c>
      <c r="D647" s="427" cm="1">
        <f t="array" ref="D647">INDEX(Berekening_patiëntaantal[Percentage van patiëntaantallen in Wlz (overige is Zvw)],MATCH(B647,IF(Berekening_patiëntaantal[Doelgroep (zoeksleutel)]=C647,Berekening_patiëntaantal[Digitale zorgtoepassing]),0))</f>
        <v>0</v>
      </c>
      <c r="E647" s="33" t="str" cm="1">
        <f t="array" ref="E647">INDEX(Berekening_patiëntaantal[Direct toepasbaar/extrapolatie/incidentie voor QALY],MATCH(B647,IF(Berekening_patiëntaantal[Doelgroep (zoeksleutel)]=C647,Berekening_patiëntaantal[Digitale zorgtoepassing]),0))</f>
        <v>Extrapolatie</v>
      </c>
      <c r="F647" s="43" t="s">
        <v>812</v>
      </c>
      <c r="G647" s="33" t="str">
        <f>CONCATENATE(uitkomst_doelgroep[[#This Row],[Digitale zorgtoepassing]],"_",uitkomst_doelgroep[[#This Row],[Doelgroep]],"_",uitkomst_doelgroep[[#This Row],[Uitgangssituatie/effect beleid]])</f>
        <v>(Zelf)zorgplatform + telebegeleiding_Overig_chronisch_Effect beleid</v>
      </c>
      <c r="H647" s="33">
        <v>2027</v>
      </c>
      <c r="I647" s="32">
        <v>5</v>
      </c>
      <c r="J647" s="406" cm="1">
        <f t="array" ref="J647">INDEX(implementatie[[2023]:[2034]],MATCH(G647, implementatie[Zoeksleutel],0),I647)</f>
        <v>2.5000000000000001E-2</v>
      </c>
      <c r="K647" s="406" cm="1">
        <f t="array" ref="K647">INDEX(implementatie[[2023]:[2034]],MATCH(G647,implementatie[Zoeksleutel],0),I647 + 1)</f>
        <v>6.0343750000000002E-2</v>
      </c>
      <c r="L64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9298.8000000000011</v>
      </c>
      <c r="M647" s="398" cm="1">
        <f t="array" ref="M647">J647*INDEX(Berekening_impact[Totaal arbeidsbesparing (€/jaar)],MATCH(B647,IF(Berekening_impact[Doelgroep]=C647,Berekening_impact[Digitale zorgtoepassing]),0))</f>
        <v>3922832.9617155995</v>
      </c>
      <c r="N647" s="397" cm="1">
        <f t="array" ref="N647">J647*INDEX(Berekening_impact[Totaal arbeidsbesparing (FTE/jaar)],MATCH(B647,IF(Berekening_impact[Doelgroep]=C647,Berekening_impact[Digitale zorgtoepassing]),0))</f>
        <v>67.987437795752527</v>
      </c>
      <c r="O647" s="398" cm="1">
        <f t="array" ref="O647">J647*INDEX(Berekening_impact[Overige kostenbesparing (totaal/jaar totaal potentieel)],MATCH(B647,IF(Berekening_impact[Doelgroep]=C647,Berekening_impact[Digitale zorgtoepassing]),0))</f>
        <v>1248741.7766266668</v>
      </c>
      <c r="P647" s="398" cm="1">
        <f t="array" ref="P647">J647*INDEX(Berekening_impact[Opbrengsten door QALY''s],MATCH(B647,IF(Berekening_impact[Doelgroep]=C647,Berekening_impact[Digitale zorgtoepassing]),0))</f>
        <v>14508532.862068964</v>
      </c>
      <c r="Q647" s="398" cm="1">
        <f t="array" ref="Q647">J647*INDEX(Berekening_impact[Jaarlijkse kosten (totaal) - incl. schatting],MATCH(B647,IF(Berekening_impact[Doelgroep]=C647,Berekening_impact[Digitale zorgtoepassing]),0))</f>
        <v>4094856.7631999995</v>
      </c>
      <c r="R647" s="398" cm="1">
        <f t="array" ref="R647">(uitkomst_doelgroep[[#This Row],[Implementatiegraad t = T + 1]]-uitkomst_doelgroep[[#This Row],[Implementatiegraad t = T]])*INDEX(Berekening_impact[Initiële investering (totaal) - incl. schatting],MATCH(B647,IF(Berekening_impact[Doelgroep]=C647,Berekening_impact[Digitale zorgtoepassing]),0))</f>
        <v>0</v>
      </c>
      <c r="S647" s="398">
        <f>uitkomst_doelgroep[[#This Row],[Arbeidsbesparing (€)]]*uitkomst_doelgroep[[#This Row],[Percentage van patiëntaantallen in Wlz (overige is Zvw)]]</f>
        <v>0</v>
      </c>
      <c r="T647" s="398">
        <f>uitkomst_doelgroep[[#This Row],[Overige besparingen (€)]]*uitkomst_doelgroep[[#This Row],[Percentage van patiëntaantallen in Wlz (overige is Zvw)]]</f>
        <v>0</v>
      </c>
      <c r="U647" s="398">
        <f>uitkomst_doelgroep[[#This Row],[Kosten (€)]]*uitkomst_doelgroep[[#This Row],[Percentage van patiëntaantallen in Wlz (overige is Zvw)]]</f>
        <v>0</v>
      </c>
      <c r="V647" s="398">
        <f>uitkomst_doelgroep[[#This Row],[Investering (cash flow) (€)]]*uitkomst_doelgroep[[#This Row],[Percentage van patiëntaantallen in Wlz (overige is Zvw)]]</f>
        <v>0</v>
      </c>
    </row>
    <row r="648" spans="1:22" x14ac:dyDescent="0.5">
      <c r="A648" s="33" t="str">
        <f>INDEX(Technologieën[Veld],MATCH(B648,Technologieën[Digitale zorgtoepassing],0))</f>
        <v>Software - Behandeling</v>
      </c>
      <c r="B648" s="33" t="s">
        <v>609</v>
      </c>
      <c r="C648" s="33" t="s">
        <v>597</v>
      </c>
      <c r="D648" s="427" cm="1">
        <f t="array" ref="D648">INDEX(Berekening_patiëntaantal[Percentage van patiëntaantallen in Wlz (overige is Zvw)],MATCH(B648,IF(Berekening_patiëntaantal[Doelgroep (zoeksleutel)]=C648,Berekening_patiëntaantal[Digitale zorgtoepassing]),0))</f>
        <v>0</v>
      </c>
      <c r="E648" s="33" t="str" cm="1">
        <f t="array" ref="E648">INDEX(Berekening_patiëntaantal[Direct toepasbaar/extrapolatie/incidentie voor QALY],MATCH(B648,IF(Berekening_patiëntaantal[Doelgroep (zoeksleutel)]=C648,Berekening_patiëntaantal[Digitale zorgtoepassing]),0))</f>
        <v>Extrapolatie</v>
      </c>
      <c r="F648" s="43" t="s">
        <v>812</v>
      </c>
      <c r="G648" s="33" t="str">
        <f>CONCATENATE(uitkomst_doelgroep[[#This Row],[Digitale zorgtoepassing]],"_",uitkomst_doelgroep[[#This Row],[Doelgroep]],"_",uitkomst_doelgroep[[#This Row],[Uitgangssituatie/effect beleid]])</f>
        <v>(Zelf)zorgplatform + telebegeleiding_Overig_chronisch_Effect beleid</v>
      </c>
      <c r="H648" s="33">
        <v>2028</v>
      </c>
      <c r="I648" s="32">
        <v>6</v>
      </c>
      <c r="J648" s="406" cm="1">
        <f t="array" ref="J648">INDEX(implementatie[[2023]:[2034]],MATCH(G648, implementatie[Zoeksleutel],0),I648)</f>
        <v>6.0343750000000002E-2</v>
      </c>
      <c r="K648" s="406" cm="1">
        <f t="array" ref="K648">INDEX(implementatie[[2023]:[2034]],MATCH(G648,implementatie[Zoeksleutel],0),I648 + 1)</f>
        <v>0.10935122807617187</v>
      </c>
      <c r="L64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22444.978500000001</v>
      </c>
      <c r="M648" s="398" cm="1">
        <f t="array" ref="M648">J648*INDEX(Berekening_impact[Totaal arbeidsbesparing (€/jaar)],MATCH(B648,IF(Berekening_impact[Doelgroep]=C648,Berekening_impact[Digitale zorgtoepassing]),0))</f>
        <v>9468738.0613410268</v>
      </c>
      <c r="N648" s="397" cm="1">
        <f t="array" ref="N648">J648*INDEX(Berekening_impact[Totaal arbeidsbesparing (FTE/jaar)],MATCH(B648,IF(Berekening_impact[Doelgroep]=C648,Berekening_impact[Digitale zorgtoepassing]),0))</f>
        <v>164.10467797949767</v>
      </c>
      <c r="O648" s="398" cm="1">
        <f t="array" ref="O648">J648*INDEX(Berekening_impact[Overige kostenbesparing (totaal/jaar totaal potentieel)],MATCH(B648,IF(Berekening_impact[Doelgroep]=C648,Berekening_impact[Digitale zorgtoepassing]),0))</f>
        <v>3014150.4633326172</v>
      </c>
      <c r="P648" s="398" cm="1">
        <f t="array" ref="P648">J648*INDEX(Berekening_impact[Opbrengsten door QALY''s],MATCH(B648,IF(Berekening_impact[Doelgroep]=C648,Berekening_impact[Digitale zorgtoepassing]),0))</f>
        <v>35019971.195818961</v>
      </c>
      <c r="Q648" s="398" cm="1">
        <f t="array" ref="Q648">J648*INDEX(Berekening_impact[Jaarlijkse kosten (totaal) - incl. schatting],MATCH(B648,IF(Berekening_impact[Doelgroep]=C648,Berekening_impact[Digitale zorgtoepassing]),0))</f>
        <v>9883960.5121739991</v>
      </c>
      <c r="R648" s="398" cm="1">
        <f t="array" ref="R648">(uitkomst_doelgroep[[#This Row],[Implementatiegraad t = T + 1]]-uitkomst_doelgroep[[#This Row],[Implementatiegraad t = T]])*INDEX(Berekening_impact[Initiële investering (totaal) - incl. schatting],MATCH(B648,IF(Berekening_impact[Doelgroep]=C648,Berekening_impact[Digitale zorgtoepassing]),0))</f>
        <v>0</v>
      </c>
      <c r="S648" s="398">
        <f>uitkomst_doelgroep[[#This Row],[Arbeidsbesparing (€)]]*uitkomst_doelgroep[[#This Row],[Percentage van patiëntaantallen in Wlz (overige is Zvw)]]</f>
        <v>0</v>
      </c>
      <c r="T648" s="398">
        <f>uitkomst_doelgroep[[#This Row],[Overige besparingen (€)]]*uitkomst_doelgroep[[#This Row],[Percentage van patiëntaantallen in Wlz (overige is Zvw)]]</f>
        <v>0</v>
      </c>
      <c r="U648" s="398">
        <f>uitkomst_doelgroep[[#This Row],[Kosten (€)]]*uitkomst_doelgroep[[#This Row],[Percentage van patiëntaantallen in Wlz (overige is Zvw)]]</f>
        <v>0</v>
      </c>
      <c r="V648" s="398">
        <f>uitkomst_doelgroep[[#This Row],[Investering (cash flow) (€)]]*uitkomst_doelgroep[[#This Row],[Percentage van patiëntaantallen in Wlz (overige is Zvw)]]</f>
        <v>0</v>
      </c>
    </row>
    <row r="649" spans="1:22" x14ac:dyDescent="0.5">
      <c r="A649" s="33" t="str">
        <f>INDEX(Technologieën[Veld],MATCH(B649,Technologieën[Digitale zorgtoepassing],0))</f>
        <v>Software - Behandeling</v>
      </c>
      <c r="B649" s="33" t="s">
        <v>609</v>
      </c>
      <c r="C649" s="33" t="s">
        <v>597</v>
      </c>
      <c r="D649" s="427" cm="1">
        <f t="array" ref="D649">INDEX(Berekening_patiëntaantal[Percentage van patiëntaantallen in Wlz (overige is Zvw)],MATCH(B649,IF(Berekening_patiëntaantal[Doelgroep (zoeksleutel)]=C649,Berekening_patiëntaantal[Digitale zorgtoepassing]),0))</f>
        <v>0</v>
      </c>
      <c r="E649" s="33" t="str" cm="1">
        <f t="array" ref="E649">INDEX(Berekening_patiëntaantal[Direct toepasbaar/extrapolatie/incidentie voor QALY],MATCH(B649,IF(Berekening_patiëntaantal[Doelgroep (zoeksleutel)]=C649,Berekening_patiëntaantal[Digitale zorgtoepassing]),0))</f>
        <v>Extrapolatie</v>
      </c>
      <c r="F649" s="43" t="s">
        <v>812</v>
      </c>
      <c r="G649" s="33" t="str">
        <f>CONCATENATE(uitkomst_doelgroep[[#This Row],[Digitale zorgtoepassing]],"_",uitkomst_doelgroep[[#This Row],[Doelgroep]],"_",uitkomst_doelgroep[[#This Row],[Uitgangssituatie/effect beleid]])</f>
        <v>(Zelf)zorgplatform + telebegeleiding_Overig_chronisch_Effect beleid</v>
      </c>
      <c r="H649" s="33">
        <v>2029</v>
      </c>
      <c r="I649" s="32">
        <v>7</v>
      </c>
      <c r="J649" s="406" cm="1">
        <f t="array" ref="J649">INDEX(implementatie[[2023]:[2034]],MATCH(G649, implementatie[Zoeksleutel],0),I649)</f>
        <v>0.10935122807617187</v>
      </c>
      <c r="K649" s="406" cm="1">
        <f t="array" ref="K649">INDEX(implementatie[[2023]:[2034]],MATCH(G649,implementatie[Zoeksleutel],0),I649 + 1)</f>
        <v>0.17544453902174978</v>
      </c>
      <c r="L64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40673.407985388279</v>
      </c>
      <c r="M649" s="398" cm="1">
        <f t="array" ref="M649">J649*INDEX(Berekening_impact[Totaal arbeidsbesparing (€/jaar)],MATCH(B649,IF(Berekening_impact[Doelgroep]=C649,Berekening_impact[Digitale zorgtoepassing]),0))</f>
        <v>17158664.076051492</v>
      </c>
      <c r="N649" s="397" cm="1">
        <f t="array" ref="N649">J649*INDEX(Berekening_impact[Totaal arbeidsbesparing (FTE/jaar)],MATCH(B649,IF(Berekening_impact[Doelgroep]=C649,Berekening_impact[Digitale zorgtoepassing]),0))</f>
        <v>297.38039266871527</v>
      </c>
      <c r="O649" s="398" cm="1">
        <f t="array" ref="O649">J649*INDEX(Berekening_impact[Overige kostenbesparing (totaal/jaar totaal potentieel)],MATCH(B649,IF(Berekening_impact[Doelgroep]=C649,Berekening_impact[Digitale zorgtoepassing]),0))</f>
        <v>5462057.8729658686</v>
      </c>
      <c r="P649" s="398" cm="1">
        <f t="array" ref="P649">J649*INDEX(Berekening_impact[Opbrengsten door QALY''s],MATCH(B649,IF(Berekening_impact[Doelgroep]=C649,Berekening_impact[Digitale zorgtoepassing]),0))</f>
        <v>63461035.442029513</v>
      </c>
      <c r="Q649" s="398" cm="1">
        <f t="array" ref="Q649">J649*INDEX(Berekening_impact[Jaarlijkse kosten (totaal) - incl. schatting],MATCH(B649,IF(Berekening_impact[Doelgroep]=C649,Berekening_impact[Digitale zorgtoepassing]),0))</f>
        <v>17911104.634077519</v>
      </c>
      <c r="R649" s="398" cm="1">
        <f t="array" ref="R649">(uitkomst_doelgroep[[#This Row],[Implementatiegraad t = T + 1]]-uitkomst_doelgroep[[#This Row],[Implementatiegraad t = T]])*INDEX(Berekening_impact[Initiële investering (totaal) - incl. schatting],MATCH(B649,IF(Berekening_impact[Doelgroep]=C649,Berekening_impact[Digitale zorgtoepassing]),0))</f>
        <v>0</v>
      </c>
      <c r="S649" s="398">
        <f>uitkomst_doelgroep[[#This Row],[Arbeidsbesparing (€)]]*uitkomst_doelgroep[[#This Row],[Percentage van patiëntaantallen in Wlz (overige is Zvw)]]</f>
        <v>0</v>
      </c>
      <c r="T649" s="398">
        <f>uitkomst_doelgroep[[#This Row],[Overige besparingen (€)]]*uitkomst_doelgroep[[#This Row],[Percentage van patiëntaantallen in Wlz (overige is Zvw)]]</f>
        <v>0</v>
      </c>
      <c r="U649" s="398">
        <f>uitkomst_doelgroep[[#This Row],[Kosten (€)]]*uitkomst_doelgroep[[#This Row],[Percentage van patiëntaantallen in Wlz (overige is Zvw)]]</f>
        <v>0</v>
      </c>
      <c r="V649" s="398">
        <f>uitkomst_doelgroep[[#This Row],[Investering (cash flow) (€)]]*uitkomst_doelgroep[[#This Row],[Percentage van patiëntaantallen in Wlz (overige is Zvw)]]</f>
        <v>0</v>
      </c>
    </row>
    <row r="650" spans="1:22" x14ac:dyDescent="0.5">
      <c r="A650" s="33" t="str">
        <f>INDEX(Technologieën[Veld],MATCH(B650,Technologieën[Digitale zorgtoepassing],0))</f>
        <v>Software - Behandeling</v>
      </c>
      <c r="B650" s="33" t="s">
        <v>609</v>
      </c>
      <c r="C650" s="33" t="s">
        <v>597</v>
      </c>
      <c r="D650" s="427" cm="1">
        <f t="array" ref="D650">INDEX(Berekening_patiëntaantal[Percentage van patiëntaantallen in Wlz (overige is Zvw)],MATCH(B650,IF(Berekening_patiëntaantal[Doelgroep (zoeksleutel)]=C650,Berekening_patiëntaantal[Digitale zorgtoepassing]),0))</f>
        <v>0</v>
      </c>
      <c r="E650" s="33" t="str" cm="1">
        <f t="array" ref="E650">INDEX(Berekening_patiëntaantal[Direct toepasbaar/extrapolatie/incidentie voor QALY],MATCH(B650,IF(Berekening_patiëntaantal[Doelgroep (zoeksleutel)]=C650,Berekening_patiëntaantal[Digitale zorgtoepassing]),0))</f>
        <v>Extrapolatie</v>
      </c>
      <c r="F650" s="43" t="s">
        <v>812</v>
      </c>
      <c r="G650" s="33" t="str">
        <f>CONCATENATE(uitkomst_doelgroep[[#This Row],[Digitale zorgtoepassing]],"_",uitkomst_doelgroep[[#This Row],[Doelgroep]],"_",uitkomst_doelgroep[[#This Row],[Uitgangssituatie/effect beleid]])</f>
        <v>(Zelf)zorgplatform + telebegeleiding_Overig_chronisch_Effect beleid</v>
      </c>
      <c r="H650" s="33">
        <v>2030</v>
      </c>
      <c r="I650" s="32">
        <v>8</v>
      </c>
      <c r="J650" s="406" cm="1">
        <f t="array" ref="J650">INDEX(implementatie[[2023]:[2034]],MATCH(G650, implementatie[Zoeksleutel],0),I650)</f>
        <v>0.17544453902174978</v>
      </c>
      <c r="K650" s="406" cm="1">
        <f t="array" ref="K650">INDEX(implementatie[[2023]:[2034]],MATCH(G650,implementatie[Zoeksleutel],0),I650 + 1)</f>
        <v>0.26115711428334398</v>
      </c>
      <c r="L65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65256.947178217873</v>
      </c>
      <c r="M650" s="398" cm="1">
        <f t="array" ref="M650">J650*INDEX(Berekening_impact[Totaal arbeidsbesparing (€/jaar)],MATCH(B650,IF(Berekening_impact[Doelgroep]=C650,Berekening_impact[Digitale zorgtoepassing]),0))</f>
        <v>27529584.825100746</v>
      </c>
      <c r="N650" s="397" cm="1">
        <f t="array" ref="N650">J650*INDEX(Berekening_impact[Totaal arbeidsbesparing (FTE/jaar)],MATCH(B650,IF(Berekening_impact[Doelgroep]=C650,Berekening_impact[Digitale zorgtoepassing]),0))</f>
        <v>477.12098733382754</v>
      </c>
      <c r="O650" s="398" cm="1">
        <f t="array" ref="O650">J650*INDEX(Berekening_impact[Overige kostenbesparing (totaal/jaar totaal potentieel)],MATCH(B650,IF(Berekening_impact[Doelgroep]=C650,Berekening_impact[Digitale zorgtoepassing]),0))</f>
        <v>8763397.0142986551</v>
      </c>
      <c r="P650" s="398" cm="1">
        <f t="array" ref="P650">J650*INDEX(Berekening_impact[Opbrengsten door QALY''s],MATCH(B650,IF(Berekening_impact[Doelgroep]=C650,Berekening_impact[Digitale zorgtoepassing]),0))</f>
        <v>101817714.39470389</v>
      </c>
      <c r="Q650" s="398" cm="1">
        <f t="array" ref="Q650">J650*INDEX(Berekening_impact[Jaarlijkse kosten (totaal) - incl. schatting],MATCH(B650,IF(Berekening_impact[Doelgroep]=C650,Berekening_impact[Digitale zorgtoepassing]),0))</f>
        <v>28736810.287188731</v>
      </c>
      <c r="R650" s="398" cm="1">
        <f t="array" ref="R650">(uitkomst_doelgroep[[#This Row],[Implementatiegraad t = T + 1]]-uitkomst_doelgroep[[#This Row],[Implementatiegraad t = T]])*INDEX(Berekening_impact[Initiële investering (totaal) - incl. schatting],MATCH(B650,IF(Berekening_impact[Doelgroep]=C650,Berekening_impact[Digitale zorgtoepassing]),0))</f>
        <v>0</v>
      </c>
      <c r="S650" s="398">
        <f>uitkomst_doelgroep[[#This Row],[Arbeidsbesparing (€)]]*uitkomst_doelgroep[[#This Row],[Percentage van patiëntaantallen in Wlz (overige is Zvw)]]</f>
        <v>0</v>
      </c>
      <c r="T650" s="398">
        <f>uitkomst_doelgroep[[#This Row],[Overige besparingen (€)]]*uitkomst_doelgroep[[#This Row],[Percentage van patiëntaantallen in Wlz (overige is Zvw)]]</f>
        <v>0</v>
      </c>
      <c r="U650" s="398">
        <f>uitkomst_doelgroep[[#This Row],[Kosten (€)]]*uitkomst_doelgroep[[#This Row],[Percentage van patiëntaantallen in Wlz (overige is Zvw)]]</f>
        <v>0</v>
      </c>
      <c r="V650" s="398">
        <f>uitkomst_doelgroep[[#This Row],[Investering (cash flow) (€)]]*uitkomst_doelgroep[[#This Row],[Percentage van patiëntaantallen in Wlz (overige is Zvw)]]</f>
        <v>0</v>
      </c>
    </row>
    <row r="651" spans="1:22" x14ac:dyDescent="0.5">
      <c r="A651" s="33" t="str">
        <f>INDEX(Technologieën[Veld],MATCH(B651,Technologieën[Digitale zorgtoepassing],0))</f>
        <v>Software - Behandeling</v>
      </c>
      <c r="B651" s="33" t="s">
        <v>609</v>
      </c>
      <c r="C651" s="33" t="s">
        <v>597</v>
      </c>
      <c r="D651" s="427" cm="1">
        <f t="array" ref="D651">INDEX(Berekening_patiëntaantal[Percentage van patiëntaantallen in Wlz (overige is Zvw)],MATCH(B651,IF(Berekening_patiëntaantal[Doelgroep (zoeksleutel)]=C651,Berekening_patiëntaantal[Digitale zorgtoepassing]),0))</f>
        <v>0</v>
      </c>
      <c r="E651" s="33" t="str" cm="1">
        <f t="array" ref="E651">INDEX(Berekening_patiëntaantal[Direct toepasbaar/extrapolatie/incidentie voor QALY],MATCH(B651,IF(Berekening_patiëntaantal[Doelgroep (zoeksleutel)]=C651,Berekening_patiëntaantal[Digitale zorgtoepassing]),0))</f>
        <v>Extrapolatie</v>
      </c>
      <c r="F651" s="43" t="s">
        <v>812</v>
      </c>
      <c r="G651" s="33" t="str">
        <f>CONCATENATE(uitkomst_doelgroep[[#This Row],[Digitale zorgtoepassing]],"_",uitkomst_doelgroep[[#This Row],[Doelgroep]],"_",uitkomst_doelgroep[[#This Row],[Uitgangssituatie/effect beleid]])</f>
        <v>(Zelf)zorgplatform + telebegeleiding_Overig_chronisch_Effect beleid</v>
      </c>
      <c r="H651" s="33">
        <v>2031</v>
      </c>
      <c r="I651" s="32">
        <v>9</v>
      </c>
      <c r="J651" s="406" cm="1">
        <f t="array" ref="J651">INDEX(implementatie[[2023]:[2034]],MATCH(G651, implementatie[Zoeksleutel],0),I651)</f>
        <v>0.26115711428334398</v>
      </c>
      <c r="K651" s="406" cm="1">
        <f t="array" ref="K651">INDEX(implementatie[[2023]:[2034]],MATCH(G651,implementatie[Zoeksleutel],0),I651 + 1)</f>
        <v>0.36645752060040354</v>
      </c>
      <c r="L65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97137.910971918362</v>
      </c>
      <c r="M651" s="398" cm="1">
        <f t="array" ref="M651">J651*INDEX(Berekening_impact[Totaal arbeidsbesparing (€/jaar)],MATCH(B651,IF(Berekening_impact[Doelgroep]=C651,Berekening_impact[Digitale zorgtoepassing]),0))</f>
        <v>40979029.443889178</v>
      </c>
      <c r="N651" s="397" cm="1">
        <f t="array" ref="N651">J651*INDEX(Berekening_impact[Totaal arbeidsbesparing (FTE/jaar)],MATCH(B651,IF(Berekening_impact[Doelgroep]=C651,Berekening_impact[Digitale zorgtoepassing]),0))</f>
        <v>710.21612249028328</v>
      </c>
      <c r="O651" s="398" cm="1">
        <f t="array" ref="O651">J651*INDEX(Berekening_impact[Overige kostenbesparing (totaal/jaar totaal potentieel)],MATCH(B651,IF(Berekening_impact[Doelgroep]=C651,Berekening_impact[Digitale zorgtoepassing]),0))</f>
        <v>13044711.954755057</v>
      </c>
      <c r="P651" s="398" cm="1">
        <f t="array" ref="P651">J651*INDEX(Berekening_impact[Opbrengsten door QALY''s],MATCH(B651,IF(Berekening_impact[Doelgroep]=C651,Berekening_impact[Digitale zorgtoepassing]),0))</f>
        <v>151560262.98971984</v>
      </c>
      <c r="Q651" s="398" cm="1">
        <f t="array" ref="Q651">J651*INDEX(Berekening_impact[Jaarlijkse kosten (totaal) - incl. schatting],MATCH(B651,IF(Berekening_impact[Doelgroep]=C651,Berekening_impact[Digitale zorgtoepassing]),0))</f>
        <v>42776039.027237847</v>
      </c>
      <c r="R651" s="398" cm="1">
        <f t="array" ref="R651">(uitkomst_doelgroep[[#This Row],[Implementatiegraad t = T + 1]]-uitkomst_doelgroep[[#This Row],[Implementatiegraad t = T]])*INDEX(Berekening_impact[Initiële investering (totaal) - incl. schatting],MATCH(B651,IF(Berekening_impact[Doelgroep]=C651,Berekening_impact[Digitale zorgtoepassing]),0))</f>
        <v>0</v>
      </c>
      <c r="S651" s="398">
        <f>uitkomst_doelgroep[[#This Row],[Arbeidsbesparing (€)]]*uitkomst_doelgroep[[#This Row],[Percentage van patiëntaantallen in Wlz (overige is Zvw)]]</f>
        <v>0</v>
      </c>
      <c r="T651" s="398">
        <f>uitkomst_doelgroep[[#This Row],[Overige besparingen (€)]]*uitkomst_doelgroep[[#This Row],[Percentage van patiëntaantallen in Wlz (overige is Zvw)]]</f>
        <v>0</v>
      </c>
      <c r="U651" s="398">
        <f>uitkomst_doelgroep[[#This Row],[Kosten (€)]]*uitkomst_doelgroep[[#This Row],[Percentage van patiëntaantallen in Wlz (overige is Zvw)]]</f>
        <v>0</v>
      </c>
      <c r="V651" s="398">
        <f>uitkomst_doelgroep[[#This Row],[Investering (cash flow) (€)]]*uitkomst_doelgroep[[#This Row],[Percentage van patiëntaantallen in Wlz (overige is Zvw)]]</f>
        <v>0</v>
      </c>
    </row>
    <row r="652" spans="1:22" x14ac:dyDescent="0.5">
      <c r="A652" s="33" t="str">
        <f>INDEX(Technologieën[Veld],MATCH(B652,Technologieën[Digitale zorgtoepassing],0))</f>
        <v>Software - Behandeling</v>
      </c>
      <c r="B652" s="33" t="s">
        <v>609</v>
      </c>
      <c r="C652" s="33" t="s">
        <v>597</v>
      </c>
      <c r="D652" s="427" cm="1">
        <f t="array" ref="D652">INDEX(Berekening_patiëntaantal[Percentage van patiëntaantallen in Wlz (overige is Zvw)],MATCH(B652,IF(Berekening_patiëntaantal[Doelgroep (zoeksleutel)]=C652,Berekening_patiëntaantal[Digitale zorgtoepassing]),0))</f>
        <v>0</v>
      </c>
      <c r="E652" s="33" t="str" cm="1">
        <f t="array" ref="E652">INDEX(Berekening_patiëntaantal[Direct toepasbaar/extrapolatie/incidentie voor QALY],MATCH(B652,IF(Berekening_patiëntaantal[Doelgroep (zoeksleutel)]=C652,Berekening_patiëntaantal[Digitale zorgtoepassing]),0))</f>
        <v>Extrapolatie</v>
      </c>
      <c r="F652" s="43" t="s">
        <v>812</v>
      </c>
      <c r="G652" s="33" t="str">
        <f>CONCATENATE(uitkomst_doelgroep[[#This Row],[Digitale zorgtoepassing]],"_",uitkomst_doelgroep[[#This Row],[Doelgroep]],"_",uitkomst_doelgroep[[#This Row],[Uitgangssituatie/effect beleid]])</f>
        <v>(Zelf)zorgplatform + telebegeleiding_Overig_chronisch_Effect beleid</v>
      </c>
      <c r="H652" s="33">
        <v>2032</v>
      </c>
      <c r="I652" s="32">
        <v>10</v>
      </c>
      <c r="J652" s="406" cm="1">
        <f t="array" ref="J652">INDEX(implementatie[[2023]:[2034]],MATCH(G652, implementatie[Zoeksleutel],0),I652)</f>
        <v>0.36645752060040354</v>
      </c>
      <c r="K652" s="406" cm="1">
        <f t="array" ref="K652">INDEX(implementatie[[2023]:[2034]],MATCH(G652,implementatie[Zoeksleutel],0),I652 + 1)</f>
        <v>0.48677096537350723</v>
      </c>
      <c r="L65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136304.6077023613</v>
      </c>
      <c r="M652" s="398" cm="1">
        <f t="array" ref="M652">J652*INDEX(Berekening_impact[Totaal arbeidsbesparing (€/jaar)],MATCH(B652,IF(Berekening_impact[Doelgroep]=C652,Berekening_impact[Digitale zorgtoepassing]),0))</f>
        <v>57502065.635193445</v>
      </c>
      <c r="N652" s="397" cm="1">
        <f t="array" ref="N652">J652*INDEX(Berekening_impact[Totaal arbeidsbesparing (FTE/jaar)],MATCH(B652,IF(Berekening_impact[Doelgroep]=C652,Berekening_impact[Digitale zorgtoepassing]),0))</f>
        <v>996.58031546422535</v>
      </c>
      <c r="O652" s="398" cm="1">
        <f t="array" ref="O652">J652*INDEX(Berekening_impact[Overige kostenbesparing (totaal/jaar totaal potentieel)],MATCH(B652,IF(Berekening_impact[Doelgroep]=C652,Berekening_impact[Digitale zorgtoepassing]),0))</f>
        <v>18304432.61331005</v>
      </c>
      <c r="P652" s="398" cm="1">
        <f t="array" ref="P652">J652*INDEX(Berekening_impact[Opbrengsten door QALY''s],MATCH(B652,IF(Berekening_impact[Doelgroep]=C652,Berekening_impact[Digitale zorgtoepassing]),0))</f>
        <v>212670439.20733076</v>
      </c>
      <c r="Q652" s="398" cm="1">
        <f t="array" ref="Q652">J652*INDEX(Berekening_impact[Jaarlijkse kosten (totaal) - incl. schatting],MATCH(B652,IF(Berekening_impact[Doelgroep]=C652,Berekening_impact[Digitale zorgtoepassing]),0))</f>
        <v>60023642.266242616</v>
      </c>
      <c r="R652" s="398" cm="1">
        <f t="array" ref="R652">(uitkomst_doelgroep[[#This Row],[Implementatiegraad t = T + 1]]-uitkomst_doelgroep[[#This Row],[Implementatiegraad t = T]])*INDEX(Berekening_impact[Initiële investering (totaal) - incl. schatting],MATCH(B652,IF(Berekening_impact[Doelgroep]=C652,Berekening_impact[Digitale zorgtoepassing]),0))</f>
        <v>0</v>
      </c>
      <c r="S652" s="398">
        <f>uitkomst_doelgroep[[#This Row],[Arbeidsbesparing (€)]]*uitkomst_doelgroep[[#This Row],[Percentage van patiëntaantallen in Wlz (overige is Zvw)]]</f>
        <v>0</v>
      </c>
      <c r="T652" s="398">
        <f>uitkomst_doelgroep[[#This Row],[Overige besparingen (€)]]*uitkomst_doelgroep[[#This Row],[Percentage van patiëntaantallen in Wlz (overige is Zvw)]]</f>
        <v>0</v>
      </c>
      <c r="U652" s="398">
        <f>uitkomst_doelgroep[[#This Row],[Kosten (€)]]*uitkomst_doelgroep[[#This Row],[Percentage van patiëntaantallen in Wlz (overige is Zvw)]]</f>
        <v>0</v>
      </c>
      <c r="V652" s="398">
        <f>uitkomst_doelgroep[[#This Row],[Investering (cash flow) (€)]]*uitkomst_doelgroep[[#This Row],[Percentage van patiëntaantallen in Wlz (overige is Zvw)]]</f>
        <v>0</v>
      </c>
    </row>
    <row r="653" spans="1:22" x14ac:dyDescent="0.5">
      <c r="A653" s="33" t="str">
        <f>INDEX(Technologieën[Veld],MATCH(B653,Technologieën[Digitale zorgtoepassing],0))</f>
        <v>Software - Behandeling</v>
      </c>
      <c r="B653" s="33" t="s">
        <v>609</v>
      </c>
      <c r="C653" s="33" t="s">
        <v>597</v>
      </c>
      <c r="D653" s="427" cm="1">
        <f t="array" ref="D653">INDEX(Berekening_patiëntaantal[Percentage van patiëntaantallen in Wlz (overige is Zvw)],MATCH(B653,IF(Berekening_patiëntaantal[Doelgroep (zoeksleutel)]=C653,Berekening_patiëntaantal[Digitale zorgtoepassing]),0))</f>
        <v>0</v>
      </c>
      <c r="E653" s="33" t="str" cm="1">
        <f t="array" ref="E653">INDEX(Berekening_patiëntaantal[Direct toepasbaar/extrapolatie/incidentie voor QALY],MATCH(B653,IF(Berekening_patiëntaantal[Doelgroep (zoeksleutel)]=C653,Berekening_patiëntaantal[Digitale zorgtoepassing]),0))</f>
        <v>Extrapolatie</v>
      </c>
      <c r="F653" s="43" t="s">
        <v>812</v>
      </c>
      <c r="G653" s="33" t="str">
        <f>CONCATENATE(uitkomst_doelgroep[[#This Row],[Digitale zorgtoepassing]],"_",uitkomst_doelgroep[[#This Row],[Doelgroep]],"_",uitkomst_doelgroep[[#This Row],[Uitgangssituatie/effect beleid]])</f>
        <v>(Zelf)zorgplatform + telebegeleiding_Overig_chronisch_Effect beleid</v>
      </c>
      <c r="H653" s="33">
        <v>2033</v>
      </c>
      <c r="I653" s="32">
        <v>11</v>
      </c>
      <c r="J653" s="406" cm="1">
        <f t="array" ref="J653">INDEX(implementatie[[2023]:[2034]],MATCH(G653, implementatie[Zoeksleutel],0),I653)</f>
        <v>0.48677096537350723</v>
      </c>
      <c r="K653" s="406" cm="1">
        <f t="array" ref="K653">INDEX(implementatie[[2023]:[2034]],MATCH(G653,implementatie[Zoeksleutel],0),I653 + 1)</f>
        <v>0.61202293792845253</v>
      </c>
      <c r="L65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181055.43411260677</v>
      </c>
      <c r="M653" s="398" cm="1">
        <f t="array" ref="M653">J653*INDEX(Berekening_impact[Totaal arbeidsbesparing (€/jaar)],MATCH(B653,IF(Berekening_impact[Doelgroep]=C653,Berekening_impact[Digitale zorgtoepassing]),0))</f>
        <v>76380847.510932669</v>
      </c>
      <c r="N653" s="397" cm="1">
        <f t="array" ref="N653">J653*INDEX(Berekening_impact[Totaal arbeidsbesparing (FTE/jaar)],MATCH(B653,IF(Berekening_impact[Doelgroep]=C653,Berekening_impact[Digitale zorgtoepassing]),0))</f>
        <v>1323.772429164389</v>
      </c>
      <c r="O653" s="398" cm="1">
        <f t="array" ref="O653">J653*INDEX(Berekening_impact[Overige kostenbesparing (totaal/jaar totaal potentieel)],MATCH(B653,IF(Berekening_impact[Doelgroep]=C653,Berekening_impact[Digitale zorgtoepassing]),0))</f>
        <v>24314049.604431644</v>
      </c>
      <c r="P653" s="398" cm="1">
        <f t="array" ref="P653">J653*INDEX(Berekening_impact[Opbrengsten door QALY''s],MATCH(B653,IF(Berekening_impact[Doelgroep]=C653,Berekening_impact[Digitale zorgtoepassing]),0))</f>
        <v>282493301.8969025</v>
      </c>
      <c r="Q653" s="398" cm="1">
        <f t="array" ref="Q653">J653*INDEX(Berekening_impact[Jaarlijkse kosten (totaal) - incl. schatting],MATCH(B653,IF(Berekening_impact[Doelgroep]=C653,Berekening_impact[Digitale zorgtoepassing]),0))</f>
        <v>79730295.187563941</v>
      </c>
      <c r="R653" s="398" cm="1">
        <f t="array" ref="R653">(uitkomst_doelgroep[[#This Row],[Implementatiegraad t = T + 1]]-uitkomst_doelgroep[[#This Row],[Implementatiegraad t = T]])*INDEX(Berekening_impact[Initiële investering (totaal) - incl. schatting],MATCH(B653,IF(Berekening_impact[Doelgroep]=C653,Berekening_impact[Digitale zorgtoepassing]),0))</f>
        <v>0</v>
      </c>
      <c r="S653" s="398">
        <f>uitkomst_doelgroep[[#This Row],[Arbeidsbesparing (€)]]*uitkomst_doelgroep[[#This Row],[Percentage van patiëntaantallen in Wlz (overige is Zvw)]]</f>
        <v>0</v>
      </c>
      <c r="T653" s="398">
        <f>uitkomst_doelgroep[[#This Row],[Overige besparingen (€)]]*uitkomst_doelgroep[[#This Row],[Percentage van patiëntaantallen in Wlz (overige is Zvw)]]</f>
        <v>0</v>
      </c>
      <c r="U653" s="398">
        <f>uitkomst_doelgroep[[#This Row],[Kosten (€)]]*uitkomst_doelgroep[[#This Row],[Percentage van patiëntaantallen in Wlz (overige is Zvw)]]</f>
        <v>0</v>
      </c>
      <c r="V653" s="398">
        <f>uitkomst_doelgroep[[#This Row],[Investering (cash flow) (€)]]*uitkomst_doelgroep[[#This Row],[Percentage van patiëntaantallen in Wlz (overige is Zvw)]]</f>
        <v>0</v>
      </c>
    </row>
    <row r="654" spans="1:22" x14ac:dyDescent="0.5">
      <c r="A654" s="33" t="str">
        <f>INDEX(Technologieën[Veld],MATCH(B654,Technologieën[Digitale zorgtoepassing],0))</f>
        <v>Digitale hulpmiddelen - Verpleging</v>
      </c>
      <c r="B654" s="33" t="s">
        <v>32</v>
      </c>
      <c r="C654" s="33" t="s">
        <v>602</v>
      </c>
      <c r="D654" s="427" cm="1">
        <f t="array" ref="D654">INDEX(Berekening_patiëntaantal[Percentage van patiëntaantallen in Wlz (overige is Zvw)],MATCH(B654,IF(Berekening_patiëntaantal[Doelgroep (zoeksleutel)]=C654,Berekening_patiëntaantal[Digitale zorgtoepassing]),0))</f>
        <v>0</v>
      </c>
      <c r="E654" s="33" t="str" cm="1">
        <f t="array" ref="E654">INDEX(Berekening_patiëntaantal[Direct toepasbaar/extrapolatie/incidentie voor QALY],MATCH(B654,IF(Berekening_patiëntaantal[Doelgroep (zoeksleutel)]=C654,Berekening_patiëntaantal[Digitale zorgtoepassing]),0))</f>
        <v>Incidentie voor QALY</v>
      </c>
      <c r="F654" s="43" t="s">
        <v>812</v>
      </c>
      <c r="G654" s="33" t="str">
        <f>CONCATENATE(uitkomst_doelgroep[[#This Row],[Digitale zorgtoepassing]],"_",uitkomst_doelgroep[[#This Row],[Doelgroep]],"_",uitkomst_doelgroep[[#This Row],[Uitgangssituatie/effect beleid]])</f>
        <v>Heupairbag_Heupfracturen_Effect beleid</v>
      </c>
      <c r="H654" s="33">
        <v>2023</v>
      </c>
      <c r="I654" s="32">
        <v>1</v>
      </c>
      <c r="J654" s="406" cm="1">
        <f t="array" ref="J654">INDEX(implementatie[[2023]:[2034]],MATCH(G654, implementatie[Zoeksleutel],0),I654)</f>
        <v>0.4</v>
      </c>
      <c r="K654" s="406" cm="1">
        <f t="array" ref="K654">INDEX(implementatie[[2023]:[2034]],MATCH(G654,implementatie[Zoeksleutel],0),I654 + 1)</f>
        <v>0.50800000000000001</v>
      </c>
      <c r="L65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54" s="398" cm="1">
        <f t="array" ref="M654">J654*INDEX(Berekening_impact[Totaal arbeidsbesparing (€/jaar)],MATCH(B654,IF(Berekening_impact[Doelgroep]=C654,Berekening_impact[Digitale zorgtoepassing]),0))</f>
        <v>0</v>
      </c>
      <c r="N654" s="397" cm="1">
        <f t="array" ref="N654">J654*INDEX(Berekening_impact[Totaal arbeidsbesparing (FTE/jaar)],MATCH(B654,IF(Berekening_impact[Doelgroep]=C654,Berekening_impact[Digitale zorgtoepassing]),0))</f>
        <v>0</v>
      </c>
      <c r="O654" s="398" cm="1">
        <f t="array" ref="O654">J654*INDEX(Berekening_impact[Overige kostenbesparing (totaal/jaar totaal potentieel)],MATCH(B654,IF(Berekening_impact[Doelgroep]=C654,Berekening_impact[Digitale zorgtoepassing]),0))</f>
        <v>0</v>
      </c>
      <c r="P654" s="398" cm="1">
        <f t="array" ref="P654">J654*INDEX(Berekening_impact[Opbrengsten door QALY''s],MATCH(B654,IF(Berekening_impact[Doelgroep]=C654,Berekening_impact[Digitale zorgtoepassing]),0))</f>
        <v>37800000.000000007</v>
      </c>
      <c r="Q654" s="398" cm="1">
        <f t="array" ref="Q654">J654*INDEX(Berekening_impact[Jaarlijkse kosten (totaal) - incl. schatting],MATCH(B654,IF(Berekening_impact[Doelgroep]=C654,Berekening_impact[Digitale zorgtoepassing]),0))</f>
        <v>0</v>
      </c>
      <c r="R654" s="398" cm="1">
        <f t="array" ref="R654">(uitkomst_doelgroep[[#This Row],[Implementatiegraad t = T + 1]]-uitkomst_doelgroep[[#This Row],[Implementatiegraad t = T]])*INDEX(Berekening_impact[Initiële investering (totaal) - incl. schatting],MATCH(B654,IF(Berekening_impact[Doelgroep]=C654,Berekening_impact[Digitale zorgtoepassing]),0))</f>
        <v>0</v>
      </c>
      <c r="S654" s="398">
        <f>uitkomst_doelgroep[[#This Row],[Arbeidsbesparing (€)]]*uitkomst_doelgroep[[#This Row],[Percentage van patiëntaantallen in Wlz (overige is Zvw)]]</f>
        <v>0</v>
      </c>
      <c r="T654" s="398">
        <f>uitkomst_doelgroep[[#This Row],[Overige besparingen (€)]]*uitkomst_doelgroep[[#This Row],[Percentage van patiëntaantallen in Wlz (overige is Zvw)]]</f>
        <v>0</v>
      </c>
      <c r="U654" s="398">
        <f>uitkomst_doelgroep[[#This Row],[Kosten (€)]]*uitkomst_doelgroep[[#This Row],[Percentage van patiëntaantallen in Wlz (overige is Zvw)]]</f>
        <v>0</v>
      </c>
      <c r="V654" s="398">
        <f>uitkomst_doelgroep[[#This Row],[Investering (cash flow) (€)]]*uitkomst_doelgroep[[#This Row],[Percentage van patiëntaantallen in Wlz (overige is Zvw)]]</f>
        <v>0</v>
      </c>
    </row>
    <row r="655" spans="1:22" x14ac:dyDescent="0.5">
      <c r="A655" s="33" t="str">
        <f>INDEX(Technologieën[Veld],MATCH(B655,Technologieën[Digitale zorgtoepassing],0))</f>
        <v>Digitale hulpmiddelen - Verpleging</v>
      </c>
      <c r="B655" s="33" t="s">
        <v>32</v>
      </c>
      <c r="C655" s="33" t="s">
        <v>602</v>
      </c>
      <c r="D655" s="427" cm="1">
        <f t="array" ref="D655">INDEX(Berekening_patiëntaantal[Percentage van patiëntaantallen in Wlz (overige is Zvw)],MATCH(B655,IF(Berekening_patiëntaantal[Doelgroep (zoeksleutel)]=C655,Berekening_patiëntaantal[Digitale zorgtoepassing]),0))</f>
        <v>0</v>
      </c>
      <c r="E655" s="33" t="str" cm="1">
        <f t="array" ref="E655">INDEX(Berekening_patiëntaantal[Direct toepasbaar/extrapolatie/incidentie voor QALY],MATCH(B655,IF(Berekening_patiëntaantal[Doelgroep (zoeksleutel)]=C655,Berekening_patiëntaantal[Digitale zorgtoepassing]),0))</f>
        <v>Incidentie voor QALY</v>
      </c>
      <c r="F655" s="43" t="s">
        <v>812</v>
      </c>
      <c r="G655" s="33" t="str">
        <f>CONCATENATE(uitkomst_doelgroep[[#This Row],[Digitale zorgtoepassing]],"_",uitkomst_doelgroep[[#This Row],[Doelgroep]],"_",uitkomst_doelgroep[[#This Row],[Uitgangssituatie/effect beleid]])</f>
        <v>Heupairbag_Heupfracturen_Effect beleid</v>
      </c>
      <c r="H655" s="33">
        <v>2024</v>
      </c>
      <c r="I655" s="32">
        <v>2</v>
      </c>
      <c r="J655" s="406" cm="1">
        <f t="array" ref="J655">INDEX(implementatie[[2023]:[2034]],MATCH(G655, implementatie[Zoeksleutel],0),I655)</f>
        <v>0.50800000000000001</v>
      </c>
      <c r="K655" s="406" cm="1">
        <f t="array" ref="K655">INDEX(implementatie[[2023]:[2034]],MATCH(G655,implementatie[Zoeksleutel],0),I655 + 1)</f>
        <v>0.61781439999999999</v>
      </c>
      <c r="L65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55" s="398" cm="1">
        <f t="array" ref="M655">J655*INDEX(Berekening_impact[Totaal arbeidsbesparing (€/jaar)],MATCH(B655,IF(Berekening_impact[Doelgroep]=C655,Berekening_impact[Digitale zorgtoepassing]),0))</f>
        <v>0</v>
      </c>
      <c r="N655" s="397" cm="1">
        <f t="array" ref="N655">J655*INDEX(Berekening_impact[Totaal arbeidsbesparing (FTE/jaar)],MATCH(B655,IF(Berekening_impact[Doelgroep]=C655,Berekening_impact[Digitale zorgtoepassing]),0))</f>
        <v>0</v>
      </c>
      <c r="O655" s="398" cm="1">
        <f t="array" ref="O655">J655*INDEX(Berekening_impact[Overige kostenbesparing (totaal/jaar totaal potentieel)],MATCH(B655,IF(Berekening_impact[Doelgroep]=C655,Berekening_impact[Digitale zorgtoepassing]),0))</f>
        <v>0</v>
      </c>
      <c r="P655" s="398" cm="1">
        <f t="array" ref="P655">J655*INDEX(Berekening_impact[Opbrengsten door QALY''s],MATCH(B655,IF(Berekening_impact[Doelgroep]=C655,Berekening_impact[Digitale zorgtoepassing]),0))</f>
        <v>48006000.000000007</v>
      </c>
      <c r="Q655" s="398" cm="1">
        <f t="array" ref="Q655">J655*INDEX(Berekening_impact[Jaarlijkse kosten (totaal) - incl. schatting],MATCH(B655,IF(Berekening_impact[Doelgroep]=C655,Berekening_impact[Digitale zorgtoepassing]),0))</f>
        <v>0</v>
      </c>
      <c r="R655" s="398" cm="1">
        <f t="array" ref="R655">(uitkomst_doelgroep[[#This Row],[Implementatiegraad t = T + 1]]-uitkomst_doelgroep[[#This Row],[Implementatiegraad t = T]])*INDEX(Berekening_impact[Initiële investering (totaal) - incl. schatting],MATCH(B655,IF(Berekening_impact[Doelgroep]=C655,Berekening_impact[Digitale zorgtoepassing]),0))</f>
        <v>0</v>
      </c>
      <c r="S655" s="398">
        <f>uitkomst_doelgroep[[#This Row],[Arbeidsbesparing (€)]]*uitkomst_doelgroep[[#This Row],[Percentage van patiëntaantallen in Wlz (overige is Zvw)]]</f>
        <v>0</v>
      </c>
      <c r="T655" s="398">
        <f>uitkomst_doelgroep[[#This Row],[Overige besparingen (€)]]*uitkomst_doelgroep[[#This Row],[Percentage van patiëntaantallen in Wlz (overige is Zvw)]]</f>
        <v>0</v>
      </c>
      <c r="U655" s="398">
        <f>uitkomst_doelgroep[[#This Row],[Kosten (€)]]*uitkomst_doelgroep[[#This Row],[Percentage van patiëntaantallen in Wlz (overige is Zvw)]]</f>
        <v>0</v>
      </c>
      <c r="V655" s="398">
        <f>uitkomst_doelgroep[[#This Row],[Investering (cash flow) (€)]]*uitkomst_doelgroep[[#This Row],[Percentage van patiëntaantallen in Wlz (overige is Zvw)]]</f>
        <v>0</v>
      </c>
    </row>
    <row r="656" spans="1:22" x14ac:dyDescent="0.5">
      <c r="A656" s="33" t="str">
        <f>INDEX(Technologieën[Veld],MATCH(B656,Technologieën[Digitale zorgtoepassing],0))</f>
        <v>Digitale hulpmiddelen - Verpleging</v>
      </c>
      <c r="B656" s="33" t="s">
        <v>32</v>
      </c>
      <c r="C656" s="33" t="s">
        <v>602</v>
      </c>
      <c r="D656" s="427" cm="1">
        <f t="array" ref="D656">INDEX(Berekening_patiëntaantal[Percentage van patiëntaantallen in Wlz (overige is Zvw)],MATCH(B656,IF(Berekening_patiëntaantal[Doelgroep (zoeksleutel)]=C656,Berekening_patiëntaantal[Digitale zorgtoepassing]),0))</f>
        <v>0</v>
      </c>
      <c r="E656" s="33" t="str" cm="1">
        <f t="array" ref="E656">INDEX(Berekening_patiëntaantal[Direct toepasbaar/extrapolatie/incidentie voor QALY],MATCH(B656,IF(Berekening_patiëntaantal[Doelgroep (zoeksleutel)]=C656,Berekening_patiëntaantal[Digitale zorgtoepassing]),0))</f>
        <v>Incidentie voor QALY</v>
      </c>
      <c r="F656" s="43" t="s">
        <v>812</v>
      </c>
      <c r="G656" s="33" t="str">
        <f>CONCATENATE(uitkomst_doelgroep[[#This Row],[Digitale zorgtoepassing]],"_",uitkomst_doelgroep[[#This Row],[Doelgroep]],"_",uitkomst_doelgroep[[#This Row],[Uitgangssituatie/effect beleid]])</f>
        <v>Heupairbag_Heupfracturen_Effect beleid</v>
      </c>
      <c r="H656" s="33">
        <v>2025</v>
      </c>
      <c r="I656" s="32">
        <v>3</v>
      </c>
      <c r="J656" s="406" cm="1">
        <f t="array" ref="J656">INDEX(implementatie[[2023]:[2034]],MATCH(G656, implementatie[Zoeksleutel],0),I656)</f>
        <v>0.61781439999999999</v>
      </c>
      <c r="K656" s="406" cm="1">
        <f t="array" ref="K656">INDEX(implementatie[[2023]:[2034]],MATCH(G656,implementatie[Zoeksleutel],0),I656 + 1)</f>
        <v>0.71990601886105599</v>
      </c>
      <c r="L65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56" s="398" cm="1">
        <f t="array" ref="M656">J656*INDEX(Berekening_impact[Totaal arbeidsbesparing (€/jaar)],MATCH(B656,IF(Berekening_impact[Doelgroep]=C656,Berekening_impact[Digitale zorgtoepassing]),0))</f>
        <v>0</v>
      </c>
      <c r="N656" s="397" cm="1">
        <f t="array" ref="N656">J656*INDEX(Berekening_impact[Totaal arbeidsbesparing (FTE/jaar)],MATCH(B656,IF(Berekening_impact[Doelgroep]=C656,Berekening_impact[Digitale zorgtoepassing]),0))</f>
        <v>0</v>
      </c>
      <c r="O656" s="398" cm="1">
        <f t="array" ref="O656">J656*INDEX(Berekening_impact[Overige kostenbesparing (totaal/jaar totaal potentieel)],MATCH(B656,IF(Berekening_impact[Doelgroep]=C656,Berekening_impact[Digitale zorgtoepassing]),0))</f>
        <v>0</v>
      </c>
      <c r="P656" s="398" cm="1">
        <f t="array" ref="P656">J656*INDEX(Berekening_impact[Opbrengsten door QALY''s],MATCH(B656,IF(Berekening_impact[Doelgroep]=C656,Berekening_impact[Digitale zorgtoepassing]),0))</f>
        <v>58383460.800000004</v>
      </c>
      <c r="Q656" s="398" cm="1">
        <f t="array" ref="Q656">J656*INDEX(Berekening_impact[Jaarlijkse kosten (totaal) - incl. schatting],MATCH(B656,IF(Berekening_impact[Doelgroep]=C656,Berekening_impact[Digitale zorgtoepassing]),0))</f>
        <v>0</v>
      </c>
      <c r="R656" s="398" cm="1">
        <f t="array" ref="R656">(uitkomst_doelgroep[[#This Row],[Implementatiegraad t = T + 1]]-uitkomst_doelgroep[[#This Row],[Implementatiegraad t = T]])*INDEX(Berekening_impact[Initiële investering (totaal) - incl. schatting],MATCH(B656,IF(Berekening_impact[Doelgroep]=C656,Berekening_impact[Digitale zorgtoepassing]),0))</f>
        <v>0</v>
      </c>
      <c r="S656" s="398">
        <f>uitkomst_doelgroep[[#This Row],[Arbeidsbesparing (€)]]*uitkomst_doelgroep[[#This Row],[Percentage van patiëntaantallen in Wlz (overige is Zvw)]]</f>
        <v>0</v>
      </c>
      <c r="T656" s="398">
        <f>uitkomst_doelgroep[[#This Row],[Overige besparingen (€)]]*uitkomst_doelgroep[[#This Row],[Percentage van patiëntaantallen in Wlz (overige is Zvw)]]</f>
        <v>0</v>
      </c>
      <c r="U656" s="398">
        <f>uitkomst_doelgroep[[#This Row],[Kosten (€)]]*uitkomst_doelgroep[[#This Row],[Percentage van patiëntaantallen in Wlz (overige is Zvw)]]</f>
        <v>0</v>
      </c>
      <c r="V656" s="398">
        <f>uitkomst_doelgroep[[#This Row],[Investering (cash flow) (€)]]*uitkomst_doelgroep[[#This Row],[Percentage van patiëntaantallen in Wlz (overige is Zvw)]]</f>
        <v>0</v>
      </c>
    </row>
    <row r="657" spans="1:22" x14ac:dyDescent="0.5">
      <c r="A657" s="33" t="str">
        <f>INDEX(Technologieën[Veld],MATCH(B657,Technologieën[Digitale zorgtoepassing],0))</f>
        <v>Digitale hulpmiddelen - Verpleging</v>
      </c>
      <c r="B657" s="33" t="s">
        <v>32</v>
      </c>
      <c r="C657" s="33" t="s">
        <v>602</v>
      </c>
      <c r="D657" s="427" cm="1">
        <f t="array" ref="D657">INDEX(Berekening_patiëntaantal[Percentage van patiëntaantallen in Wlz (overige is Zvw)],MATCH(B657,IF(Berekening_patiëntaantal[Doelgroep (zoeksleutel)]=C657,Berekening_patiëntaantal[Digitale zorgtoepassing]),0))</f>
        <v>0</v>
      </c>
      <c r="E657" s="33" t="str" cm="1">
        <f t="array" ref="E657">INDEX(Berekening_patiëntaantal[Direct toepasbaar/extrapolatie/incidentie voor QALY],MATCH(B657,IF(Berekening_patiëntaantal[Doelgroep (zoeksleutel)]=C657,Berekening_patiëntaantal[Digitale zorgtoepassing]),0))</f>
        <v>Incidentie voor QALY</v>
      </c>
      <c r="F657" s="43" t="s">
        <v>812</v>
      </c>
      <c r="G657" s="33" t="str">
        <f>CONCATENATE(uitkomst_doelgroep[[#This Row],[Digitale zorgtoepassing]],"_",uitkomst_doelgroep[[#This Row],[Doelgroep]],"_",uitkomst_doelgroep[[#This Row],[Uitgangssituatie/effect beleid]])</f>
        <v>Heupairbag_Heupfracturen_Effect beleid</v>
      </c>
      <c r="H657" s="33">
        <v>2026</v>
      </c>
      <c r="I657" s="32">
        <v>4</v>
      </c>
      <c r="J657" s="406" cm="1">
        <f t="array" ref="J657">INDEX(implementatie[[2023]:[2034]],MATCH(G657, implementatie[Zoeksleutel],0),I657)</f>
        <v>0.71990601886105599</v>
      </c>
      <c r="K657" s="406" cm="1">
        <f t="array" ref="K657">INDEX(implementatie[[2023]:[2034]],MATCH(G657,implementatie[Zoeksleutel],0),I657 + 1)</f>
        <v>0.80616443563130724</v>
      </c>
      <c r="L65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57" s="398" cm="1">
        <f t="array" ref="M657">J657*INDEX(Berekening_impact[Totaal arbeidsbesparing (€/jaar)],MATCH(B657,IF(Berekening_impact[Doelgroep]=C657,Berekening_impact[Digitale zorgtoepassing]),0))</f>
        <v>0</v>
      </c>
      <c r="N657" s="397" cm="1">
        <f t="array" ref="N657">J657*INDEX(Berekening_impact[Totaal arbeidsbesparing (FTE/jaar)],MATCH(B657,IF(Berekening_impact[Doelgroep]=C657,Berekening_impact[Digitale zorgtoepassing]),0))</f>
        <v>0</v>
      </c>
      <c r="O657" s="398" cm="1">
        <f t="array" ref="O657">J657*INDEX(Berekening_impact[Overige kostenbesparing (totaal/jaar totaal potentieel)],MATCH(B657,IF(Berekening_impact[Doelgroep]=C657,Berekening_impact[Digitale zorgtoepassing]),0))</f>
        <v>0</v>
      </c>
      <c r="P657" s="398" cm="1">
        <f t="array" ref="P657">J657*INDEX(Berekening_impact[Opbrengsten door QALY''s],MATCH(B657,IF(Berekening_impact[Doelgroep]=C657,Berekening_impact[Digitale zorgtoepassing]),0))</f>
        <v>68031118.782369807</v>
      </c>
      <c r="Q657" s="398" cm="1">
        <f t="array" ref="Q657">J657*INDEX(Berekening_impact[Jaarlijkse kosten (totaal) - incl. schatting],MATCH(B657,IF(Berekening_impact[Doelgroep]=C657,Berekening_impact[Digitale zorgtoepassing]),0))</f>
        <v>0</v>
      </c>
      <c r="R657" s="398" cm="1">
        <f t="array" ref="R657">(uitkomst_doelgroep[[#This Row],[Implementatiegraad t = T + 1]]-uitkomst_doelgroep[[#This Row],[Implementatiegraad t = T]])*INDEX(Berekening_impact[Initiële investering (totaal) - incl. schatting],MATCH(B657,IF(Berekening_impact[Doelgroep]=C657,Berekening_impact[Digitale zorgtoepassing]),0))</f>
        <v>0</v>
      </c>
      <c r="S657" s="398">
        <f>uitkomst_doelgroep[[#This Row],[Arbeidsbesparing (€)]]*uitkomst_doelgroep[[#This Row],[Percentage van patiëntaantallen in Wlz (overige is Zvw)]]</f>
        <v>0</v>
      </c>
      <c r="T657" s="398">
        <f>uitkomst_doelgroep[[#This Row],[Overige besparingen (€)]]*uitkomst_doelgroep[[#This Row],[Percentage van patiëntaantallen in Wlz (overige is Zvw)]]</f>
        <v>0</v>
      </c>
      <c r="U657" s="398">
        <f>uitkomst_doelgroep[[#This Row],[Kosten (€)]]*uitkomst_doelgroep[[#This Row],[Percentage van patiëntaantallen in Wlz (overige is Zvw)]]</f>
        <v>0</v>
      </c>
      <c r="V657" s="398">
        <f>uitkomst_doelgroep[[#This Row],[Investering (cash flow) (€)]]*uitkomst_doelgroep[[#This Row],[Percentage van patiëntaantallen in Wlz (overige is Zvw)]]</f>
        <v>0</v>
      </c>
    </row>
    <row r="658" spans="1:22" x14ac:dyDescent="0.5">
      <c r="A658" s="33" t="str">
        <f>INDEX(Technologieën[Veld],MATCH(B658,Technologieën[Digitale zorgtoepassing],0))</f>
        <v>Digitale hulpmiddelen - Verpleging</v>
      </c>
      <c r="B658" s="33" t="s">
        <v>32</v>
      </c>
      <c r="C658" s="33" t="s">
        <v>602</v>
      </c>
      <c r="D658" s="427" cm="1">
        <f t="array" ref="D658">INDEX(Berekening_patiëntaantal[Percentage van patiëntaantallen in Wlz (overige is Zvw)],MATCH(B658,IF(Berekening_patiëntaantal[Doelgroep (zoeksleutel)]=C658,Berekening_patiëntaantal[Digitale zorgtoepassing]),0))</f>
        <v>0</v>
      </c>
      <c r="E658" s="33" t="str" cm="1">
        <f t="array" ref="E658">INDEX(Berekening_patiëntaantal[Direct toepasbaar/extrapolatie/incidentie voor QALY],MATCH(B658,IF(Berekening_patiëntaantal[Doelgroep (zoeksleutel)]=C658,Berekening_patiëntaantal[Digitale zorgtoepassing]),0))</f>
        <v>Incidentie voor QALY</v>
      </c>
      <c r="F658" s="43" t="s">
        <v>812</v>
      </c>
      <c r="G658" s="33" t="str">
        <f>CONCATENATE(uitkomst_doelgroep[[#This Row],[Digitale zorgtoepassing]],"_",uitkomst_doelgroep[[#This Row],[Doelgroep]],"_",uitkomst_doelgroep[[#This Row],[Uitgangssituatie/effect beleid]])</f>
        <v>Heupairbag_Heupfracturen_Effect beleid</v>
      </c>
      <c r="H658" s="33">
        <v>2027</v>
      </c>
      <c r="I658" s="32">
        <v>5</v>
      </c>
      <c r="J658" s="406" cm="1">
        <f t="array" ref="J658">INDEX(implementatie[[2023]:[2034]],MATCH(G658, implementatie[Zoeksleutel],0),I658)</f>
        <v>0.80616443563130724</v>
      </c>
      <c r="K658" s="406" cm="1">
        <f t="array" ref="K658">INDEX(implementatie[[2023]:[2034]],MATCH(G658,implementatie[Zoeksleutel],0),I658 + 1)</f>
        <v>0.87254648226050635</v>
      </c>
      <c r="L65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58" s="398" cm="1">
        <f t="array" ref="M658">J658*INDEX(Berekening_impact[Totaal arbeidsbesparing (€/jaar)],MATCH(B658,IF(Berekening_impact[Doelgroep]=C658,Berekening_impact[Digitale zorgtoepassing]),0))</f>
        <v>0</v>
      </c>
      <c r="N658" s="397" cm="1">
        <f t="array" ref="N658">J658*INDEX(Berekening_impact[Totaal arbeidsbesparing (FTE/jaar)],MATCH(B658,IF(Berekening_impact[Doelgroep]=C658,Berekening_impact[Digitale zorgtoepassing]),0))</f>
        <v>0</v>
      </c>
      <c r="O658" s="398" cm="1">
        <f t="array" ref="O658">J658*INDEX(Berekening_impact[Overige kostenbesparing (totaal/jaar totaal potentieel)],MATCH(B658,IF(Berekening_impact[Doelgroep]=C658,Berekening_impact[Digitale zorgtoepassing]),0))</f>
        <v>0</v>
      </c>
      <c r="P658" s="398" cm="1">
        <f t="array" ref="P658">J658*INDEX(Berekening_impact[Opbrengsten door QALY''s],MATCH(B658,IF(Berekening_impact[Doelgroep]=C658,Berekening_impact[Digitale zorgtoepassing]),0))</f>
        <v>76182539.167158544</v>
      </c>
      <c r="Q658" s="398" cm="1">
        <f t="array" ref="Q658">J658*INDEX(Berekening_impact[Jaarlijkse kosten (totaal) - incl. schatting],MATCH(B658,IF(Berekening_impact[Doelgroep]=C658,Berekening_impact[Digitale zorgtoepassing]),0))</f>
        <v>0</v>
      </c>
      <c r="R658" s="398" cm="1">
        <f t="array" ref="R658">(uitkomst_doelgroep[[#This Row],[Implementatiegraad t = T + 1]]-uitkomst_doelgroep[[#This Row],[Implementatiegraad t = T]])*INDEX(Berekening_impact[Initiële investering (totaal) - incl. schatting],MATCH(B658,IF(Berekening_impact[Doelgroep]=C658,Berekening_impact[Digitale zorgtoepassing]),0))</f>
        <v>0</v>
      </c>
      <c r="S658" s="398">
        <f>uitkomst_doelgroep[[#This Row],[Arbeidsbesparing (€)]]*uitkomst_doelgroep[[#This Row],[Percentage van patiëntaantallen in Wlz (overige is Zvw)]]</f>
        <v>0</v>
      </c>
      <c r="T658" s="398">
        <f>uitkomst_doelgroep[[#This Row],[Overige besparingen (€)]]*uitkomst_doelgroep[[#This Row],[Percentage van patiëntaantallen in Wlz (overige is Zvw)]]</f>
        <v>0</v>
      </c>
      <c r="U658" s="398">
        <f>uitkomst_doelgroep[[#This Row],[Kosten (€)]]*uitkomst_doelgroep[[#This Row],[Percentage van patiëntaantallen in Wlz (overige is Zvw)]]</f>
        <v>0</v>
      </c>
      <c r="V658" s="398">
        <f>uitkomst_doelgroep[[#This Row],[Investering (cash flow) (€)]]*uitkomst_doelgroep[[#This Row],[Percentage van patiëntaantallen in Wlz (overige is Zvw)]]</f>
        <v>0</v>
      </c>
    </row>
    <row r="659" spans="1:22" x14ac:dyDescent="0.5">
      <c r="A659" s="33" t="str">
        <f>INDEX(Technologieën[Veld],MATCH(B659,Technologieën[Digitale zorgtoepassing],0))</f>
        <v>Digitale hulpmiddelen - Verpleging</v>
      </c>
      <c r="B659" s="33" t="s">
        <v>32</v>
      </c>
      <c r="C659" s="33" t="s">
        <v>602</v>
      </c>
      <c r="D659" s="427" cm="1">
        <f t="array" ref="D659">INDEX(Berekening_patiëntaantal[Percentage van patiëntaantallen in Wlz (overige is Zvw)],MATCH(B659,IF(Berekening_patiëntaantal[Doelgroep (zoeksleutel)]=C659,Berekening_patiëntaantal[Digitale zorgtoepassing]),0))</f>
        <v>0</v>
      </c>
      <c r="E659" s="33" t="str" cm="1">
        <f t="array" ref="E659">INDEX(Berekening_patiëntaantal[Direct toepasbaar/extrapolatie/incidentie voor QALY],MATCH(B659,IF(Berekening_patiëntaantal[Doelgroep (zoeksleutel)]=C659,Berekening_patiëntaantal[Digitale zorgtoepassing]),0))</f>
        <v>Incidentie voor QALY</v>
      </c>
      <c r="F659" s="43" t="s">
        <v>812</v>
      </c>
      <c r="G659" s="33" t="str">
        <f>CONCATENATE(uitkomst_doelgroep[[#This Row],[Digitale zorgtoepassing]],"_",uitkomst_doelgroep[[#This Row],[Doelgroep]],"_",uitkomst_doelgroep[[#This Row],[Uitgangssituatie/effect beleid]])</f>
        <v>Heupairbag_Heupfracturen_Effect beleid</v>
      </c>
      <c r="H659" s="33">
        <v>2028</v>
      </c>
      <c r="I659" s="32">
        <v>6</v>
      </c>
      <c r="J659" s="406" cm="1">
        <f t="array" ref="J659">INDEX(implementatie[[2023]:[2034]],MATCH(G659, implementatie[Zoeksleutel],0),I659)</f>
        <v>0.87254648226050635</v>
      </c>
      <c r="K659" s="406" cm="1">
        <f t="array" ref="K659">INDEX(implementatie[[2023]:[2034]],MATCH(G659,implementatie[Zoeksleutel],0),I659 + 1)</f>
        <v>0.9195792000374251</v>
      </c>
      <c r="L65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59" s="398" cm="1">
        <f t="array" ref="M659">J659*INDEX(Berekening_impact[Totaal arbeidsbesparing (€/jaar)],MATCH(B659,IF(Berekening_impact[Doelgroep]=C659,Berekening_impact[Digitale zorgtoepassing]),0))</f>
        <v>0</v>
      </c>
      <c r="N659" s="397" cm="1">
        <f t="array" ref="N659">J659*INDEX(Berekening_impact[Totaal arbeidsbesparing (FTE/jaar)],MATCH(B659,IF(Berekening_impact[Doelgroep]=C659,Berekening_impact[Digitale zorgtoepassing]),0))</f>
        <v>0</v>
      </c>
      <c r="O659" s="398" cm="1">
        <f t="array" ref="O659">J659*INDEX(Berekening_impact[Overige kostenbesparing (totaal/jaar totaal potentieel)],MATCH(B659,IF(Berekening_impact[Doelgroep]=C659,Berekening_impact[Digitale zorgtoepassing]),0))</f>
        <v>0</v>
      </c>
      <c r="P659" s="398" cm="1">
        <f t="array" ref="P659">J659*INDEX(Berekening_impact[Opbrengsten door QALY''s],MATCH(B659,IF(Berekening_impact[Doelgroep]=C659,Berekening_impact[Digitale zorgtoepassing]),0))</f>
        <v>82455642.573617861</v>
      </c>
      <c r="Q659" s="398" cm="1">
        <f t="array" ref="Q659">J659*INDEX(Berekening_impact[Jaarlijkse kosten (totaal) - incl. schatting],MATCH(B659,IF(Berekening_impact[Doelgroep]=C659,Berekening_impact[Digitale zorgtoepassing]),0))</f>
        <v>0</v>
      </c>
      <c r="R659" s="398" cm="1">
        <f t="array" ref="R659">(uitkomst_doelgroep[[#This Row],[Implementatiegraad t = T + 1]]-uitkomst_doelgroep[[#This Row],[Implementatiegraad t = T]])*INDEX(Berekening_impact[Initiële investering (totaal) - incl. schatting],MATCH(B659,IF(Berekening_impact[Doelgroep]=C659,Berekening_impact[Digitale zorgtoepassing]),0))</f>
        <v>0</v>
      </c>
      <c r="S659" s="398">
        <f>uitkomst_doelgroep[[#This Row],[Arbeidsbesparing (€)]]*uitkomst_doelgroep[[#This Row],[Percentage van patiëntaantallen in Wlz (overige is Zvw)]]</f>
        <v>0</v>
      </c>
      <c r="T659" s="398">
        <f>uitkomst_doelgroep[[#This Row],[Overige besparingen (€)]]*uitkomst_doelgroep[[#This Row],[Percentage van patiëntaantallen in Wlz (overige is Zvw)]]</f>
        <v>0</v>
      </c>
      <c r="U659" s="398">
        <f>uitkomst_doelgroep[[#This Row],[Kosten (€)]]*uitkomst_doelgroep[[#This Row],[Percentage van patiëntaantallen in Wlz (overige is Zvw)]]</f>
        <v>0</v>
      </c>
      <c r="V659" s="398">
        <f>uitkomst_doelgroep[[#This Row],[Investering (cash flow) (€)]]*uitkomst_doelgroep[[#This Row],[Percentage van patiëntaantallen in Wlz (overige is Zvw)]]</f>
        <v>0</v>
      </c>
    </row>
    <row r="660" spans="1:22" x14ac:dyDescent="0.5">
      <c r="A660" s="33" t="str">
        <f>INDEX(Technologieën[Veld],MATCH(B660,Technologieën[Digitale zorgtoepassing],0))</f>
        <v>Digitale hulpmiddelen - Verpleging</v>
      </c>
      <c r="B660" s="33" t="s">
        <v>32</v>
      </c>
      <c r="C660" s="33" t="s">
        <v>602</v>
      </c>
      <c r="D660" s="427" cm="1">
        <f t="array" ref="D660">INDEX(Berekening_patiëntaantal[Percentage van patiëntaantallen in Wlz (overige is Zvw)],MATCH(B660,IF(Berekening_patiëntaantal[Doelgroep (zoeksleutel)]=C660,Berekening_patiëntaantal[Digitale zorgtoepassing]),0))</f>
        <v>0</v>
      </c>
      <c r="E660" s="33" t="str" cm="1">
        <f t="array" ref="E660">INDEX(Berekening_patiëntaantal[Direct toepasbaar/extrapolatie/incidentie voor QALY],MATCH(B660,IF(Berekening_patiëntaantal[Doelgroep (zoeksleutel)]=C660,Berekening_patiëntaantal[Digitale zorgtoepassing]),0))</f>
        <v>Incidentie voor QALY</v>
      </c>
      <c r="F660" s="43" t="s">
        <v>812</v>
      </c>
      <c r="G660" s="33" t="str">
        <f>CONCATENATE(uitkomst_doelgroep[[#This Row],[Digitale zorgtoepassing]],"_",uitkomst_doelgroep[[#This Row],[Doelgroep]],"_",uitkomst_doelgroep[[#This Row],[Uitgangssituatie/effect beleid]])</f>
        <v>Heupairbag_Heupfracturen_Effect beleid</v>
      </c>
      <c r="H660" s="33">
        <v>2029</v>
      </c>
      <c r="I660" s="32">
        <v>7</v>
      </c>
      <c r="J660" s="406" cm="1">
        <f t="array" ref="J660">INDEX(implementatie[[2023]:[2034]],MATCH(G660, implementatie[Zoeksleutel],0),I660)</f>
        <v>0.9195792000374251</v>
      </c>
      <c r="K660" s="406" cm="1">
        <f t="array" ref="K660">INDEX(implementatie[[2023]:[2034]],MATCH(G660,implementatie[Zoeksleutel],0),I660 + 1)</f>
        <v>0.95076893399505846</v>
      </c>
      <c r="L66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60" s="398" cm="1">
        <f t="array" ref="M660">J660*INDEX(Berekening_impact[Totaal arbeidsbesparing (€/jaar)],MATCH(B660,IF(Berekening_impact[Doelgroep]=C660,Berekening_impact[Digitale zorgtoepassing]),0))</f>
        <v>0</v>
      </c>
      <c r="N660" s="397" cm="1">
        <f t="array" ref="N660">J660*INDEX(Berekening_impact[Totaal arbeidsbesparing (FTE/jaar)],MATCH(B660,IF(Berekening_impact[Doelgroep]=C660,Berekening_impact[Digitale zorgtoepassing]),0))</f>
        <v>0</v>
      </c>
      <c r="O660" s="398" cm="1">
        <f t="array" ref="O660">J660*INDEX(Berekening_impact[Overige kostenbesparing (totaal/jaar totaal potentieel)],MATCH(B660,IF(Berekening_impact[Doelgroep]=C660,Berekening_impact[Digitale zorgtoepassing]),0))</f>
        <v>0</v>
      </c>
      <c r="P660" s="398" cm="1">
        <f t="array" ref="P660">J660*INDEX(Berekening_impact[Opbrengsten door QALY''s],MATCH(B660,IF(Berekening_impact[Doelgroep]=C660,Berekening_impact[Digitale zorgtoepassing]),0))</f>
        <v>86900234.403536692</v>
      </c>
      <c r="Q660" s="398" cm="1">
        <f t="array" ref="Q660">J660*INDEX(Berekening_impact[Jaarlijkse kosten (totaal) - incl. schatting],MATCH(B660,IF(Berekening_impact[Doelgroep]=C660,Berekening_impact[Digitale zorgtoepassing]),0))</f>
        <v>0</v>
      </c>
      <c r="R660" s="398" cm="1">
        <f t="array" ref="R660">(uitkomst_doelgroep[[#This Row],[Implementatiegraad t = T + 1]]-uitkomst_doelgroep[[#This Row],[Implementatiegraad t = T]])*INDEX(Berekening_impact[Initiële investering (totaal) - incl. schatting],MATCH(B660,IF(Berekening_impact[Doelgroep]=C660,Berekening_impact[Digitale zorgtoepassing]),0))</f>
        <v>0</v>
      </c>
      <c r="S660" s="398">
        <f>uitkomst_doelgroep[[#This Row],[Arbeidsbesparing (€)]]*uitkomst_doelgroep[[#This Row],[Percentage van patiëntaantallen in Wlz (overige is Zvw)]]</f>
        <v>0</v>
      </c>
      <c r="T660" s="398">
        <f>uitkomst_doelgroep[[#This Row],[Overige besparingen (€)]]*uitkomst_doelgroep[[#This Row],[Percentage van patiëntaantallen in Wlz (overige is Zvw)]]</f>
        <v>0</v>
      </c>
      <c r="U660" s="398">
        <f>uitkomst_doelgroep[[#This Row],[Kosten (€)]]*uitkomst_doelgroep[[#This Row],[Percentage van patiëntaantallen in Wlz (overige is Zvw)]]</f>
        <v>0</v>
      </c>
      <c r="V660" s="398">
        <f>uitkomst_doelgroep[[#This Row],[Investering (cash flow) (€)]]*uitkomst_doelgroep[[#This Row],[Percentage van patiëntaantallen in Wlz (overige is Zvw)]]</f>
        <v>0</v>
      </c>
    </row>
    <row r="661" spans="1:22" x14ac:dyDescent="0.5">
      <c r="A661" s="33" t="str">
        <f>INDEX(Technologieën[Veld],MATCH(B661,Technologieën[Digitale zorgtoepassing],0))</f>
        <v>Digitale hulpmiddelen - Verpleging</v>
      </c>
      <c r="B661" s="33" t="s">
        <v>32</v>
      </c>
      <c r="C661" s="33" t="s">
        <v>602</v>
      </c>
      <c r="D661" s="427" cm="1">
        <f t="array" ref="D661">INDEX(Berekening_patiëntaantal[Percentage van patiëntaantallen in Wlz (overige is Zvw)],MATCH(B661,IF(Berekening_patiëntaantal[Doelgroep (zoeksleutel)]=C661,Berekening_patiëntaantal[Digitale zorgtoepassing]),0))</f>
        <v>0</v>
      </c>
      <c r="E661" s="33" t="str" cm="1">
        <f t="array" ref="E661">INDEX(Berekening_patiëntaantal[Direct toepasbaar/extrapolatie/incidentie voor QALY],MATCH(B661,IF(Berekening_patiëntaantal[Doelgroep (zoeksleutel)]=C661,Berekening_patiëntaantal[Digitale zorgtoepassing]),0))</f>
        <v>Incidentie voor QALY</v>
      </c>
      <c r="F661" s="43" t="s">
        <v>812</v>
      </c>
      <c r="G661" s="33" t="str">
        <f>CONCATENATE(uitkomst_doelgroep[[#This Row],[Digitale zorgtoepassing]],"_",uitkomst_doelgroep[[#This Row],[Doelgroep]],"_",uitkomst_doelgroep[[#This Row],[Uitgangssituatie/effect beleid]])</f>
        <v>Heupairbag_Heupfracturen_Effect beleid</v>
      </c>
      <c r="H661" s="33">
        <v>2030</v>
      </c>
      <c r="I661" s="32">
        <v>8</v>
      </c>
      <c r="J661" s="406" cm="1">
        <f t="array" ref="J661">INDEX(implementatie[[2023]:[2034]],MATCH(G661, implementatie[Zoeksleutel],0),I661)</f>
        <v>0.95076893399505846</v>
      </c>
      <c r="K661" s="406" cm="1">
        <f t="array" ref="K661">INDEX(implementatie[[2023]:[2034]],MATCH(G661,implementatie[Zoeksleutel],0),I661 + 1)</f>
        <v>0.97047650257314066</v>
      </c>
      <c r="L66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61" s="398" cm="1">
        <f t="array" ref="M661">J661*INDEX(Berekening_impact[Totaal arbeidsbesparing (€/jaar)],MATCH(B661,IF(Berekening_impact[Doelgroep]=C661,Berekening_impact[Digitale zorgtoepassing]),0))</f>
        <v>0</v>
      </c>
      <c r="N661" s="397" cm="1">
        <f t="array" ref="N661">J661*INDEX(Berekening_impact[Totaal arbeidsbesparing (FTE/jaar)],MATCH(B661,IF(Berekening_impact[Doelgroep]=C661,Berekening_impact[Digitale zorgtoepassing]),0))</f>
        <v>0</v>
      </c>
      <c r="O661" s="398" cm="1">
        <f t="array" ref="O661">J661*INDEX(Berekening_impact[Overige kostenbesparing (totaal/jaar totaal potentieel)],MATCH(B661,IF(Berekening_impact[Doelgroep]=C661,Berekening_impact[Digitale zorgtoepassing]),0))</f>
        <v>0</v>
      </c>
      <c r="P661" s="398" cm="1">
        <f t="array" ref="P661">J661*INDEX(Berekening_impact[Opbrengsten door QALY''s],MATCH(B661,IF(Berekening_impact[Doelgroep]=C661,Berekening_impact[Digitale zorgtoepassing]),0))</f>
        <v>89847664.262533039</v>
      </c>
      <c r="Q661" s="398" cm="1">
        <f t="array" ref="Q661">J661*INDEX(Berekening_impact[Jaarlijkse kosten (totaal) - incl. schatting],MATCH(B661,IF(Berekening_impact[Doelgroep]=C661,Berekening_impact[Digitale zorgtoepassing]),0))</f>
        <v>0</v>
      </c>
      <c r="R661" s="398" cm="1">
        <f t="array" ref="R661">(uitkomst_doelgroep[[#This Row],[Implementatiegraad t = T + 1]]-uitkomst_doelgroep[[#This Row],[Implementatiegraad t = T]])*INDEX(Berekening_impact[Initiële investering (totaal) - incl. schatting],MATCH(B661,IF(Berekening_impact[Doelgroep]=C661,Berekening_impact[Digitale zorgtoepassing]),0))</f>
        <v>0</v>
      </c>
      <c r="S661" s="398">
        <f>uitkomst_doelgroep[[#This Row],[Arbeidsbesparing (€)]]*uitkomst_doelgroep[[#This Row],[Percentage van patiëntaantallen in Wlz (overige is Zvw)]]</f>
        <v>0</v>
      </c>
      <c r="T661" s="398">
        <f>uitkomst_doelgroep[[#This Row],[Overige besparingen (€)]]*uitkomst_doelgroep[[#This Row],[Percentage van patiëntaantallen in Wlz (overige is Zvw)]]</f>
        <v>0</v>
      </c>
      <c r="U661" s="398">
        <f>uitkomst_doelgroep[[#This Row],[Kosten (€)]]*uitkomst_doelgroep[[#This Row],[Percentage van patiëntaantallen in Wlz (overige is Zvw)]]</f>
        <v>0</v>
      </c>
      <c r="V661" s="398">
        <f>uitkomst_doelgroep[[#This Row],[Investering (cash flow) (€)]]*uitkomst_doelgroep[[#This Row],[Percentage van patiëntaantallen in Wlz (overige is Zvw)]]</f>
        <v>0</v>
      </c>
    </row>
    <row r="662" spans="1:22" x14ac:dyDescent="0.5">
      <c r="A662" s="33" t="str">
        <f>INDEX(Technologieën[Veld],MATCH(B662,Technologieën[Digitale zorgtoepassing],0))</f>
        <v>Digitale hulpmiddelen - Verpleging</v>
      </c>
      <c r="B662" s="33" t="s">
        <v>32</v>
      </c>
      <c r="C662" s="33" t="s">
        <v>602</v>
      </c>
      <c r="D662" s="427" cm="1">
        <f t="array" ref="D662">INDEX(Berekening_patiëntaantal[Percentage van patiëntaantallen in Wlz (overige is Zvw)],MATCH(B662,IF(Berekening_patiëntaantal[Doelgroep (zoeksleutel)]=C662,Berekening_patiëntaantal[Digitale zorgtoepassing]),0))</f>
        <v>0</v>
      </c>
      <c r="E662" s="33" t="str" cm="1">
        <f t="array" ref="E662">INDEX(Berekening_patiëntaantal[Direct toepasbaar/extrapolatie/incidentie voor QALY],MATCH(B662,IF(Berekening_patiëntaantal[Doelgroep (zoeksleutel)]=C662,Berekening_patiëntaantal[Digitale zorgtoepassing]),0))</f>
        <v>Incidentie voor QALY</v>
      </c>
      <c r="F662" s="43" t="s">
        <v>812</v>
      </c>
      <c r="G662" s="33" t="str">
        <f>CONCATENATE(uitkomst_doelgroep[[#This Row],[Digitale zorgtoepassing]],"_",uitkomst_doelgroep[[#This Row],[Doelgroep]],"_",uitkomst_doelgroep[[#This Row],[Uitgangssituatie/effect beleid]])</f>
        <v>Heupairbag_Heupfracturen_Effect beleid</v>
      </c>
      <c r="H662" s="33">
        <v>2031</v>
      </c>
      <c r="I662" s="32">
        <v>9</v>
      </c>
      <c r="J662" s="406" cm="1">
        <f t="array" ref="J662">INDEX(implementatie[[2023]:[2034]],MATCH(G662, implementatie[Zoeksleutel],0),I662)</f>
        <v>0.97047650257314066</v>
      </c>
      <c r="K662" s="406" cm="1">
        <f t="array" ref="K662">INDEX(implementatie[[2023]:[2034]],MATCH(G662,implementatie[Zoeksleutel],0),I662 + 1)</f>
        <v>0.98252771673229611</v>
      </c>
      <c r="L66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62" s="398" cm="1">
        <f t="array" ref="M662">J662*INDEX(Berekening_impact[Totaal arbeidsbesparing (€/jaar)],MATCH(B662,IF(Berekening_impact[Doelgroep]=C662,Berekening_impact[Digitale zorgtoepassing]),0))</f>
        <v>0</v>
      </c>
      <c r="N662" s="397" cm="1">
        <f t="array" ref="N662">J662*INDEX(Berekening_impact[Totaal arbeidsbesparing (FTE/jaar)],MATCH(B662,IF(Berekening_impact[Doelgroep]=C662,Berekening_impact[Digitale zorgtoepassing]),0))</f>
        <v>0</v>
      </c>
      <c r="O662" s="398" cm="1">
        <f t="array" ref="O662">J662*INDEX(Berekening_impact[Overige kostenbesparing (totaal/jaar totaal potentieel)],MATCH(B662,IF(Berekening_impact[Doelgroep]=C662,Berekening_impact[Digitale zorgtoepassing]),0))</f>
        <v>0</v>
      </c>
      <c r="P662" s="398" cm="1">
        <f t="array" ref="P662">J662*INDEX(Berekening_impact[Opbrengsten door QALY''s],MATCH(B662,IF(Berekening_impact[Doelgroep]=C662,Berekening_impact[Digitale zorgtoepassing]),0))</f>
        <v>91710029.493161812</v>
      </c>
      <c r="Q662" s="398" cm="1">
        <f t="array" ref="Q662">J662*INDEX(Berekening_impact[Jaarlijkse kosten (totaal) - incl. schatting],MATCH(B662,IF(Berekening_impact[Doelgroep]=C662,Berekening_impact[Digitale zorgtoepassing]),0))</f>
        <v>0</v>
      </c>
      <c r="R662" s="398" cm="1">
        <f t="array" ref="R662">(uitkomst_doelgroep[[#This Row],[Implementatiegraad t = T + 1]]-uitkomst_doelgroep[[#This Row],[Implementatiegraad t = T]])*INDEX(Berekening_impact[Initiële investering (totaal) - incl. schatting],MATCH(B662,IF(Berekening_impact[Doelgroep]=C662,Berekening_impact[Digitale zorgtoepassing]),0))</f>
        <v>0</v>
      </c>
      <c r="S662" s="398">
        <f>uitkomst_doelgroep[[#This Row],[Arbeidsbesparing (€)]]*uitkomst_doelgroep[[#This Row],[Percentage van patiëntaantallen in Wlz (overige is Zvw)]]</f>
        <v>0</v>
      </c>
      <c r="T662" s="398">
        <f>uitkomst_doelgroep[[#This Row],[Overige besparingen (€)]]*uitkomst_doelgroep[[#This Row],[Percentage van patiëntaantallen in Wlz (overige is Zvw)]]</f>
        <v>0</v>
      </c>
      <c r="U662" s="398">
        <f>uitkomst_doelgroep[[#This Row],[Kosten (€)]]*uitkomst_doelgroep[[#This Row],[Percentage van patiëntaantallen in Wlz (overige is Zvw)]]</f>
        <v>0</v>
      </c>
      <c r="V662" s="398">
        <f>uitkomst_doelgroep[[#This Row],[Investering (cash flow) (€)]]*uitkomst_doelgroep[[#This Row],[Percentage van patiëntaantallen in Wlz (overige is Zvw)]]</f>
        <v>0</v>
      </c>
    </row>
    <row r="663" spans="1:22" x14ac:dyDescent="0.5">
      <c r="A663" s="33" t="str">
        <f>INDEX(Technologieën[Veld],MATCH(B663,Technologieën[Digitale zorgtoepassing],0))</f>
        <v>Digitale hulpmiddelen - Verpleging</v>
      </c>
      <c r="B663" s="33" t="s">
        <v>32</v>
      </c>
      <c r="C663" s="33" t="s">
        <v>602</v>
      </c>
      <c r="D663" s="427" cm="1">
        <f t="array" ref="D663">INDEX(Berekening_patiëntaantal[Percentage van patiëntaantallen in Wlz (overige is Zvw)],MATCH(B663,IF(Berekening_patiëntaantal[Doelgroep (zoeksleutel)]=C663,Berekening_patiëntaantal[Digitale zorgtoepassing]),0))</f>
        <v>0</v>
      </c>
      <c r="E663" s="33" t="str" cm="1">
        <f t="array" ref="E663">INDEX(Berekening_patiëntaantal[Direct toepasbaar/extrapolatie/incidentie voor QALY],MATCH(B663,IF(Berekening_patiëntaantal[Doelgroep (zoeksleutel)]=C663,Berekening_patiëntaantal[Digitale zorgtoepassing]),0))</f>
        <v>Incidentie voor QALY</v>
      </c>
      <c r="F663" s="43" t="s">
        <v>812</v>
      </c>
      <c r="G663" s="33" t="str">
        <f>CONCATENATE(uitkomst_doelgroep[[#This Row],[Digitale zorgtoepassing]],"_",uitkomst_doelgroep[[#This Row],[Doelgroep]],"_",uitkomst_doelgroep[[#This Row],[Uitgangssituatie/effect beleid]])</f>
        <v>Heupairbag_Heupfracturen_Effect beleid</v>
      </c>
      <c r="H663" s="33">
        <v>2032</v>
      </c>
      <c r="I663" s="32">
        <v>10</v>
      </c>
      <c r="J663" s="406" cm="1">
        <f t="array" ref="J663">INDEX(implementatie[[2023]:[2034]],MATCH(G663, implementatie[Zoeksleutel],0),I663)</f>
        <v>0.98252771673229611</v>
      </c>
      <c r="K663" s="406" cm="1">
        <f t="array" ref="K663">INDEX(implementatie[[2023]:[2034]],MATCH(G663,implementatie[Zoeksleutel],0),I663 + 1)</f>
        <v>0.98974396343169702</v>
      </c>
      <c r="L66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63" s="398" cm="1">
        <f t="array" ref="M663">J663*INDEX(Berekening_impact[Totaal arbeidsbesparing (€/jaar)],MATCH(B663,IF(Berekening_impact[Doelgroep]=C663,Berekening_impact[Digitale zorgtoepassing]),0))</f>
        <v>0</v>
      </c>
      <c r="N663" s="397" cm="1">
        <f t="array" ref="N663">J663*INDEX(Berekening_impact[Totaal arbeidsbesparing (FTE/jaar)],MATCH(B663,IF(Berekening_impact[Doelgroep]=C663,Berekening_impact[Digitale zorgtoepassing]),0))</f>
        <v>0</v>
      </c>
      <c r="O663" s="398" cm="1">
        <f t="array" ref="O663">J663*INDEX(Berekening_impact[Overige kostenbesparing (totaal/jaar totaal potentieel)],MATCH(B663,IF(Berekening_impact[Doelgroep]=C663,Berekening_impact[Digitale zorgtoepassing]),0))</f>
        <v>0</v>
      </c>
      <c r="P663" s="398" cm="1">
        <f t="array" ref="P663">J663*INDEX(Berekening_impact[Opbrengsten door QALY''s],MATCH(B663,IF(Berekening_impact[Doelgroep]=C663,Berekening_impact[Digitale zorgtoepassing]),0))</f>
        <v>92848869.231201991</v>
      </c>
      <c r="Q663" s="398" cm="1">
        <f t="array" ref="Q663">J663*INDEX(Berekening_impact[Jaarlijkse kosten (totaal) - incl. schatting],MATCH(B663,IF(Berekening_impact[Doelgroep]=C663,Berekening_impact[Digitale zorgtoepassing]),0))</f>
        <v>0</v>
      </c>
      <c r="R663" s="398" cm="1">
        <f t="array" ref="R663">(uitkomst_doelgroep[[#This Row],[Implementatiegraad t = T + 1]]-uitkomst_doelgroep[[#This Row],[Implementatiegraad t = T]])*INDEX(Berekening_impact[Initiële investering (totaal) - incl. schatting],MATCH(B663,IF(Berekening_impact[Doelgroep]=C663,Berekening_impact[Digitale zorgtoepassing]),0))</f>
        <v>0</v>
      </c>
      <c r="S663" s="398">
        <f>uitkomst_doelgroep[[#This Row],[Arbeidsbesparing (€)]]*uitkomst_doelgroep[[#This Row],[Percentage van patiëntaantallen in Wlz (overige is Zvw)]]</f>
        <v>0</v>
      </c>
      <c r="T663" s="398">
        <f>uitkomst_doelgroep[[#This Row],[Overige besparingen (€)]]*uitkomst_doelgroep[[#This Row],[Percentage van patiëntaantallen in Wlz (overige is Zvw)]]</f>
        <v>0</v>
      </c>
      <c r="U663" s="398">
        <f>uitkomst_doelgroep[[#This Row],[Kosten (€)]]*uitkomst_doelgroep[[#This Row],[Percentage van patiëntaantallen in Wlz (overige is Zvw)]]</f>
        <v>0</v>
      </c>
      <c r="V663" s="398">
        <f>uitkomst_doelgroep[[#This Row],[Investering (cash flow) (€)]]*uitkomst_doelgroep[[#This Row],[Percentage van patiëntaantallen in Wlz (overige is Zvw)]]</f>
        <v>0</v>
      </c>
    </row>
    <row r="664" spans="1:22" x14ac:dyDescent="0.5">
      <c r="A664" s="33" t="str">
        <f>INDEX(Technologieën[Veld],MATCH(B664,Technologieën[Digitale zorgtoepassing],0))</f>
        <v>Digitale hulpmiddelen - Verpleging</v>
      </c>
      <c r="B664" s="33" t="s">
        <v>32</v>
      </c>
      <c r="C664" s="33" t="s">
        <v>602</v>
      </c>
      <c r="D664" s="427" cm="1">
        <f t="array" ref="D664">INDEX(Berekening_patiëntaantal[Percentage van patiëntaantallen in Wlz (overige is Zvw)],MATCH(B664,IF(Berekening_patiëntaantal[Doelgroep (zoeksleutel)]=C664,Berekening_patiëntaantal[Digitale zorgtoepassing]),0))</f>
        <v>0</v>
      </c>
      <c r="E664" s="33" t="str" cm="1">
        <f t="array" ref="E664">INDEX(Berekening_patiëntaantal[Direct toepasbaar/extrapolatie/incidentie voor QALY],MATCH(B664,IF(Berekening_patiëntaantal[Doelgroep (zoeksleutel)]=C664,Berekening_patiëntaantal[Digitale zorgtoepassing]),0))</f>
        <v>Incidentie voor QALY</v>
      </c>
      <c r="F664" s="43" t="s">
        <v>812</v>
      </c>
      <c r="G664" s="33" t="str">
        <f>CONCATENATE(uitkomst_doelgroep[[#This Row],[Digitale zorgtoepassing]],"_",uitkomst_doelgroep[[#This Row],[Doelgroep]],"_",uitkomst_doelgroep[[#This Row],[Uitgangssituatie/effect beleid]])</f>
        <v>Heupairbag_Heupfracturen_Effect beleid</v>
      </c>
      <c r="H664" s="33">
        <v>2033</v>
      </c>
      <c r="I664" s="32">
        <v>11</v>
      </c>
      <c r="J664" s="406" cm="1">
        <f t="array" ref="J664">INDEX(implementatie[[2023]:[2034]],MATCH(G664, implementatie[Zoeksleutel],0),I664)</f>
        <v>0.98974396343169702</v>
      </c>
      <c r="K664" s="406" cm="1">
        <f t="array" ref="K664">INDEX(implementatie[[2023]:[2034]],MATCH(G664,implementatie[Zoeksleutel],0),I664 + 1)</f>
        <v>0.99400942427594807</v>
      </c>
      <c r="L66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64" s="398" cm="1">
        <f t="array" ref="M664">J664*INDEX(Berekening_impact[Totaal arbeidsbesparing (€/jaar)],MATCH(B664,IF(Berekening_impact[Doelgroep]=C664,Berekening_impact[Digitale zorgtoepassing]),0))</f>
        <v>0</v>
      </c>
      <c r="N664" s="397" cm="1">
        <f t="array" ref="N664">J664*INDEX(Berekening_impact[Totaal arbeidsbesparing (FTE/jaar)],MATCH(B664,IF(Berekening_impact[Doelgroep]=C664,Berekening_impact[Digitale zorgtoepassing]),0))</f>
        <v>0</v>
      </c>
      <c r="O664" s="398" cm="1">
        <f t="array" ref="O664">J664*INDEX(Berekening_impact[Overige kostenbesparing (totaal/jaar totaal potentieel)],MATCH(B664,IF(Berekening_impact[Doelgroep]=C664,Berekening_impact[Digitale zorgtoepassing]),0))</f>
        <v>0</v>
      </c>
      <c r="P664" s="398" cm="1">
        <f t="array" ref="P664">J664*INDEX(Berekening_impact[Opbrengsten door QALY''s],MATCH(B664,IF(Berekening_impact[Doelgroep]=C664,Berekening_impact[Digitale zorgtoepassing]),0))</f>
        <v>93530804.544295385</v>
      </c>
      <c r="Q664" s="398" cm="1">
        <f t="array" ref="Q664">J664*INDEX(Berekening_impact[Jaarlijkse kosten (totaal) - incl. schatting],MATCH(B664,IF(Berekening_impact[Doelgroep]=C664,Berekening_impact[Digitale zorgtoepassing]),0))</f>
        <v>0</v>
      </c>
      <c r="R664" s="398" cm="1">
        <f t="array" ref="R664">(uitkomst_doelgroep[[#This Row],[Implementatiegraad t = T + 1]]-uitkomst_doelgroep[[#This Row],[Implementatiegraad t = T]])*INDEX(Berekening_impact[Initiële investering (totaal) - incl. schatting],MATCH(B664,IF(Berekening_impact[Doelgroep]=C664,Berekening_impact[Digitale zorgtoepassing]),0))</f>
        <v>0</v>
      </c>
      <c r="S664" s="398">
        <f>uitkomst_doelgroep[[#This Row],[Arbeidsbesparing (€)]]*uitkomst_doelgroep[[#This Row],[Percentage van patiëntaantallen in Wlz (overige is Zvw)]]</f>
        <v>0</v>
      </c>
      <c r="T664" s="398">
        <f>uitkomst_doelgroep[[#This Row],[Overige besparingen (€)]]*uitkomst_doelgroep[[#This Row],[Percentage van patiëntaantallen in Wlz (overige is Zvw)]]</f>
        <v>0</v>
      </c>
      <c r="U664" s="398">
        <f>uitkomst_doelgroep[[#This Row],[Kosten (€)]]*uitkomst_doelgroep[[#This Row],[Percentage van patiëntaantallen in Wlz (overige is Zvw)]]</f>
        <v>0</v>
      </c>
      <c r="V664" s="398">
        <f>uitkomst_doelgroep[[#This Row],[Investering (cash flow) (€)]]*uitkomst_doelgroep[[#This Row],[Percentage van patiëntaantallen in Wlz (overige is Zvw)]]</f>
        <v>0</v>
      </c>
    </row>
    <row r="665" spans="1:22" x14ac:dyDescent="0.5">
      <c r="A665" s="33" t="str">
        <f>INDEX(Technologieën[Veld],MATCH(B665,Technologieën[Digitale zorgtoepassing],0))</f>
        <v>Software - Diagnose</v>
      </c>
      <c r="B665" s="33" t="s">
        <v>473</v>
      </c>
      <c r="C665" s="33" t="s">
        <v>75</v>
      </c>
      <c r="D665" s="427" cm="1">
        <f t="array" ref="D665">INDEX(Berekening_patiëntaantal[Percentage van patiëntaantallen in Wlz (overige is Zvw)],MATCH(B665,IF(Berekening_patiëntaantal[Doelgroep (zoeksleutel)]=C665,Berekening_patiëntaantal[Digitale zorgtoepassing]),0))</f>
        <v>0</v>
      </c>
      <c r="E665" s="33" t="str" cm="1">
        <f t="array" ref="E665">INDEX(Berekening_patiëntaantal[Direct toepasbaar/extrapolatie/incidentie voor QALY],MATCH(B665,IF(Berekening_patiëntaantal[Doelgroep (zoeksleutel)]=C665,Berekening_patiëntaantal[Digitale zorgtoepassing]),0))</f>
        <v>Incidentie voor QALY</v>
      </c>
      <c r="F665" s="43" t="s">
        <v>812</v>
      </c>
      <c r="G665" s="33" t="str">
        <f>CONCATENATE(uitkomst_doelgroep[[#This Row],[Digitale zorgtoepassing]],"_",uitkomst_doelgroep[[#This Row],[Doelgroep]],"_",uitkomst_doelgroep[[#This Row],[Uitgangssituatie/effect beleid]])</f>
        <v>AI om diagnoses te stellen (CT)_Longkanker_Effect beleid</v>
      </c>
      <c r="H665" s="33">
        <v>2023</v>
      </c>
      <c r="I665" s="32">
        <v>1</v>
      </c>
      <c r="J665" s="406" cm="1">
        <f t="array" ref="J665">INDEX(implementatie[[2023]:[2034]],MATCH(G665, implementatie[Zoeksleutel],0),I665)</f>
        <v>0.4</v>
      </c>
      <c r="K665" s="406" cm="1">
        <f t="array" ref="K665">INDEX(implementatie[[2023]:[2034]],MATCH(G665,implementatie[Zoeksleutel],0),I665 + 1)</f>
        <v>0.53800000000000003</v>
      </c>
      <c r="L66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65" s="398" cm="1">
        <f t="array" ref="M665">J665*INDEX(Berekening_impact[Totaal arbeidsbesparing (€/jaar)],MATCH(B665,IF(Berekening_impact[Doelgroep]=C665,Berekening_impact[Digitale zorgtoepassing]),0))</f>
        <v>0</v>
      </c>
      <c r="N665" s="397" cm="1">
        <f t="array" ref="N665">J665*INDEX(Berekening_impact[Totaal arbeidsbesparing (FTE/jaar)],MATCH(B665,IF(Berekening_impact[Doelgroep]=C665,Berekening_impact[Digitale zorgtoepassing]),0))</f>
        <v>0</v>
      </c>
      <c r="O665" s="398" cm="1">
        <f t="array" ref="O665">J665*INDEX(Berekening_impact[Overige kostenbesparing (totaal/jaar totaal potentieel)],MATCH(B665,IF(Berekening_impact[Doelgroep]=C665,Berekening_impact[Digitale zorgtoepassing]),0))</f>
        <v>0</v>
      </c>
      <c r="P665" s="398" cm="1">
        <f t="array" ref="P665">J665*INDEX(Berekening_impact[Opbrengsten door QALY''s],MATCH(B665,IF(Berekening_impact[Doelgroep]=C665,Berekening_impact[Digitale zorgtoepassing]),0))</f>
        <v>11706400.000000002</v>
      </c>
      <c r="Q665" s="398" cm="1">
        <f t="array" ref="Q665">J665*INDEX(Berekening_impact[Jaarlijkse kosten (totaal) - incl. schatting],MATCH(B665,IF(Berekening_impact[Doelgroep]=C665,Berekening_impact[Digitale zorgtoepassing]),0))</f>
        <v>0</v>
      </c>
      <c r="R665" s="398" cm="1">
        <f t="array" ref="R665">(uitkomst_doelgroep[[#This Row],[Implementatiegraad t = T + 1]]-uitkomst_doelgroep[[#This Row],[Implementatiegraad t = T]])*INDEX(Berekening_impact[Initiële investering (totaal) - incl. schatting],MATCH(B665,IF(Berekening_impact[Doelgroep]=C665,Berekening_impact[Digitale zorgtoepassing]),0))</f>
        <v>0</v>
      </c>
      <c r="S665" s="398">
        <f>uitkomst_doelgroep[[#This Row],[Arbeidsbesparing (€)]]*uitkomst_doelgroep[[#This Row],[Percentage van patiëntaantallen in Wlz (overige is Zvw)]]</f>
        <v>0</v>
      </c>
      <c r="T665" s="398">
        <f>uitkomst_doelgroep[[#This Row],[Overige besparingen (€)]]*uitkomst_doelgroep[[#This Row],[Percentage van patiëntaantallen in Wlz (overige is Zvw)]]</f>
        <v>0</v>
      </c>
      <c r="U665" s="398">
        <f>uitkomst_doelgroep[[#This Row],[Kosten (€)]]*uitkomst_doelgroep[[#This Row],[Percentage van patiëntaantallen in Wlz (overige is Zvw)]]</f>
        <v>0</v>
      </c>
      <c r="V665" s="398">
        <f>uitkomst_doelgroep[[#This Row],[Investering (cash flow) (€)]]*uitkomst_doelgroep[[#This Row],[Percentage van patiëntaantallen in Wlz (overige is Zvw)]]</f>
        <v>0</v>
      </c>
    </row>
    <row r="666" spans="1:22" x14ac:dyDescent="0.5">
      <c r="A666" s="33" t="str">
        <f>INDEX(Technologieën[Veld],MATCH(B666,Technologieën[Digitale zorgtoepassing],0))</f>
        <v>Software - Diagnose</v>
      </c>
      <c r="B666" s="33" t="s">
        <v>473</v>
      </c>
      <c r="C666" s="33" t="s">
        <v>75</v>
      </c>
      <c r="D666" s="427" cm="1">
        <f t="array" ref="D666">INDEX(Berekening_patiëntaantal[Percentage van patiëntaantallen in Wlz (overige is Zvw)],MATCH(B666,IF(Berekening_patiëntaantal[Doelgroep (zoeksleutel)]=C666,Berekening_patiëntaantal[Digitale zorgtoepassing]),0))</f>
        <v>0</v>
      </c>
      <c r="E666" s="33" t="str" cm="1">
        <f t="array" ref="E666">INDEX(Berekening_patiëntaantal[Direct toepasbaar/extrapolatie/incidentie voor QALY],MATCH(B666,IF(Berekening_patiëntaantal[Doelgroep (zoeksleutel)]=C666,Berekening_patiëntaantal[Digitale zorgtoepassing]),0))</f>
        <v>Incidentie voor QALY</v>
      </c>
      <c r="F666" s="43" t="s">
        <v>812</v>
      </c>
      <c r="G666" s="33" t="str">
        <f>CONCATENATE(uitkomst_doelgroep[[#This Row],[Digitale zorgtoepassing]],"_",uitkomst_doelgroep[[#This Row],[Doelgroep]],"_",uitkomst_doelgroep[[#This Row],[Uitgangssituatie/effect beleid]])</f>
        <v>AI om diagnoses te stellen (CT)_Longkanker_Effect beleid</v>
      </c>
      <c r="H666" s="33">
        <v>2024</v>
      </c>
      <c r="I666" s="32">
        <v>2</v>
      </c>
      <c r="J666" s="406" cm="1">
        <f t="array" ref="J666">INDEX(implementatie[[2023]:[2034]],MATCH(G666, implementatie[Zoeksleutel],0),I666)</f>
        <v>0.53800000000000003</v>
      </c>
      <c r="K666" s="406" cm="1">
        <f t="array" ref="K666">INDEX(implementatie[[2023]:[2034]],MATCH(G666,implementatie[Zoeksleutel],0),I666 + 1)</f>
        <v>0.67613800000000002</v>
      </c>
      <c r="L66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66" s="398" cm="1">
        <f t="array" ref="M666">J666*INDEX(Berekening_impact[Totaal arbeidsbesparing (€/jaar)],MATCH(B666,IF(Berekening_impact[Doelgroep]=C666,Berekening_impact[Digitale zorgtoepassing]),0))</f>
        <v>0</v>
      </c>
      <c r="N666" s="397" cm="1">
        <f t="array" ref="N666">J666*INDEX(Berekening_impact[Totaal arbeidsbesparing (FTE/jaar)],MATCH(B666,IF(Berekening_impact[Doelgroep]=C666,Berekening_impact[Digitale zorgtoepassing]),0))</f>
        <v>0</v>
      </c>
      <c r="O666" s="398" cm="1">
        <f t="array" ref="O666">J666*INDEX(Berekening_impact[Overige kostenbesparing (totaal/jaar totaal potentieel)],MATCH(B666,IF(Berekening_impact[Doelgroep]=C666,Berekening_impact[Digitale zorgtoepassing]),0))</f>
        <v>0</v>
      </c>
      <c r="P666" s="398" cm="1">
        <f t="array" ref="P666">J666*INDEX(Berekening_impact[Opbrengsten door QALY''s],MATCH(B666,IF(Berekening_impact[Doelgroep]=C666,Berekening_impact[Digitale zorgtoepassing]),0))</f>
        <v>15745108.000000004</v>
      </c>
      <c r="Q666" s="398" cm="1">
        <f t="array" ref="Q666">J666*INDEX(Berekening_impact[Jaarlijkse kosten (totaal) - incl. schatting],MATCH(B666,IF(Berekening_impact[Doelgroep]=C666,Berekening_impact[Digitale zorgtoepassing]),0))</f>
        <v>0</v>
      </c>
      <c r="R666" s="398" cm="1">
        <f t="array" ref="R666">(uitkomst_doelgroep[[#This Row],[Implementatiegraad t = T + 1]]-uitkomst_doelgroep[[#This Row],[Implementatiegraad t = T]])*INDEX(Berekening_impact[Initiële investering (totaal) - incl. schatting],MATCH(B666,IF(Berekening_impact[Doelgroep]=C666,Berekening_impact[Digitale zorgtoepassing]),0))</f>
        <v>0</v>
      </c>
      <c r="S666" s="398">
        <f>uitkomst_doelgroep[[#This Row],[Arbeidsbesparing (€)]]*uitkomst_doelgroep[[#This Row],[Percentage van patiëntaantallen in Wlz (overige is Zvw)]]</f>
        <v>0</v>
      </c>
      <c r="T666" s="398">
        <f>uitkomst_doelgroep[[#This Row],[Overige besparingen (€)]]*uitkomst_doelgroep[[#This Row],[Percentage van patiëntaantallen in Wlz (overige is Zvw)]]</f>
        <v>0</v>
      </c>
      <c r="U666" s="398">
        <f>uitkomst_doelgroep[[#This Row],[Kosten (€)]]*uitkomst_doelgroep[[#This Row],[Percentage van patiëntaantallen in Wlz (overige is Zvw)]]</f>
        <v>0</v>
      </c>
      <c r="V666" s="398">
        <f>uitkomst_doelgroep[[#This Row],[Investering (cash flow) (€)]]*uitkomst_doelgroep[[#This Row],[Percentage van patiëntaantallen in Wlz (overige is Zvw)]]</f>
        <v>0</v>
      </c>
    </row>
    <row r="667" spans="1:22" x14ac:dyDescent="0.5">
      <c r="A667" s="33" t="str">
        <f>INDEX(Technologieën[Veld],MATCH(B667,Technologieën[Digitale zorgtoepassing],0))</f>
        <v>Software - Diagnose</v>
      </c>
      <c r="B667" s="33" t="s">
        <v>473</v>
      </c>
      <c r="C667" s="33" t="s">
        <v>75</v>
      </c>
      <c r="D667" s="427" cm="1">
        <f t="array" ref="D667">INDEX(Berekening_patiëntaantal[Percentage van patiëntaantallen in Wlz (overige is Zvw)],MATCH(B667,IF(Berekening_patiëntaantal[Doelgroep (zoeksleutel)]=C667,Berekening_patiëntaantal[Digitale zorgtoepassing]),0))</f>
        <v>0</v>
      </c>
      <c r="E667" s="33" t="str" cm="1">
        <f t="array" ref="E667">INDEX(Berekening_patiëntaantal[Direct toepasbaar/extrapolatie/incidentie voor QALY],MATCH(B667,IF(Berekening_patiëntaantal[Doelgroep (zoeksleutel)]=C667,Berekening_patiëntaantal[Digitale zorgtoepassing]),0))</f>
        <v>Incidentie voor QALY</v>
      </c>
      <c r="F667" s="43" t="s">
        <v>812</v>
      </c>
      <c r="G667" s="33" t="str">
        <f>CONCATENATE(uitkomst_doelgroep[[#This Row],[Digitale zorgtoepassing]],"_",uitkomst_doelgroep[[#This Row],[Doelgroep]],"_",uitkomst_doelgroep[[#This Row],[Uitgangssituatie/effect beleid]])</f>
        <v>AI om diagnoses te stellen (CT)_Longkanker_Effect beleid</v>
      </c>
      <c r="H667" s="33">
        <v>2025</v>
      </c>
      <c r="I667" s="32">
        <v>3</v>
      </c>
      <c r="J667" s="406" cm="1">
        <f t="array" ref="J667">INDEX(implementatie[[2023]:[2034]],MATCH(G667, implementatie[Zoeksleutel],0),I667)</f>
        <v>0.67613800000000002</v>
      </c>
      <c r="K667" s="406" cm="1">
        <f t="array" ref="K667">INDEX(implementatie[[2023]:[2034]],MATCH(G667,implementatie[Zoeksleutel],0),I667 + 1)</f>
        <v>0.79534156247800003</v>
      </c>
      <c r="L66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67" s="398" cm="1">
        <f t="array" ref="M667">J667*INDEX(Berekening_impact[Totaal arbeidsbesparing (€/jaar)],MATCH(B667,IF(Berekening_impact[Doelgroep]=C667,Berekening_impact[Digitale zorgtoepassing]),0))</f>
        <v>0</v>
      </c>
      <c r="N667" s="397" cm="1">
        <f t="array" ref="N667">J667*INDEX(Berekening_impact[Totaal arbeidsbesparing (FTE/jaar)],MATCH(B667,IF(Berekening_impact[Doelgroep]=C667,Berekening_impact[Digitale zorgtoepassing]),0))</f>
        <v>0</v>
      </c>
      <c r="O667" s="398" cm="1">
        <f t="array" ref="O667">J667*INDEX(Berekening_impact[Overige kostenbesparing (totaal/jaar totaal potentieel)],MATCH(B667,IF(Berekening_impact[Doelgroep]=C667,Berekening_impact[Digitale zorgtoepassing]),0))</f>
        <v>0</v>
      </c>
      <c r="P667" s="398" cm="1">
        <f t="array" ref="P667">J667*INDEX(Berekening_impact[Opbrengsten door QALY''s],MATCH(B667,IF(Berekening_impact[Doelgroep]=C667,Berekening_impact[Digitale zorgtoepassing]),0))</f>
        <v>19787854.708000004</v>
      </c>
      <c r="Q667" s="398" cm="1">
        <f t="array" ref="Q667">J667*INDEX(Berekening_impact[Jaarlijkse kosten (totaal) - incl. schatting],MATCH(B667,IF(Berekening_impact[Doelgroep]=C667,Berekening_impact[Digitale zorgtoepassing]),0))</f>
        <v>0</v>
      </c>
      <c r="R667" s="398" cm="1">
        <f t="array" ref="R667">(uitkomst_doelgroep[[#This Row],[Implementatiegraad t = T + 1]]-uitkomst_doelgroep[[#This Row],[Implementatiegraad t = T]])*INDEX(Berekening_impact[Initiële investering (totaal) - incl. schatting],MATCH(B667,IF(Berekening_impact[Doelgroep]=C667,Berekening_impact[Digitale zorgtoepassing]),0))</f>
        <v>0</v>
      </c>
      <c r="S667" s="398">
        <f>uitkomst_doelgroep[[#This Row],[Arbeidsbesparing (€)]]*uitkomst_doelgroep[[#This Row],[Percentage van patiëntaantallen in Wlz (overige is Zvw)]]</f>
        <v>0</v>
      </c>
      <c r="T667" s="398">
        <f>uitkomst_doelgroep[[#This Row],[Overige besparingen (€)]]*uitkomst_doelgroep[[#This Row],[Percentage van patiëntaantallen in Wlz (overige is Zvw)]]</f>
        <v>0</v>
      </c>
      <c r="U667" s="398">
        <f>uitkomst_doelgroep[[#This Row],[Kosten (€)]]*uitkomst_doelgroep[[#This Row],[Percentage van patiëntaantallen in Wlz (overige is Zvw)]]</f>
        <v>0</v>
      </c>
      <c r="V667" s="398">
        <f>uitkomst_doelgroep[[#This Row],[Investering (cash flow) (€)]]*uitkomst_doelgroep[[#This Row],[Percentage van patiëntaantallen in Wlz (overige is Zvw)]]</f>
        <v>0</v>
      </c>
    </row>
    <row r="668" spans="1:22" x14ac:dyDescent="0.5">
      <c r="A668" s="33" t="str">
        <f>INDEX(Technologieën[Veld],MATCH(B668,Technologieën[Digitale zorgtoepassing],0))</f>
        <v>Software - Diagnose</v>
      </c>
      <c r="B668" s="33" t="s">
        <v>473</v>
      </c>
      <c r="C668" s="33" t="s">
        <v>75</v>
      </c>
      <c r="D668" s="427" cm="1">
        <f t="array" ref="D668">INDEX(Berekening_patiëntaantal[Percentage van patiëntaantallen in Wlz (overige is Zvw)],MATCH(B668,IF(Berekening_patiëntaantal[Doelgroep (zoeksleutel)]=C668,Berekening_patiëntaantal[Digitale zorgtoepassing]),0))</f>
        <v>0</v>
      </c>
      <c r="E668" s="33" t="str" cm="1">
        <f t="array" ref="E668">INDEX(Berekening_patiëntaantal[Direct toepasbaar/extrapolatie/incidentie voor QALY],MATCH(B668,IF(Berekening_patiëntaantal[Doelgroep (zoeksleutel)]=C668,Berekening_patiëntaantal[Digitale zorgtoepassing]),0))</f>
        <v>Incidentie voor QALY</v>
      </c>
      <c r="F668" s="43" t="s">
        <v>812</v>
      </c>
      <c r="G668" s="33" t="str">
        <f>CONCATENATE(uitkomst_doelgroep[[#This Row],[Digitale zorgtoepassing]],"_",uitkomst_doelgroep[[#This Row],[Doelgroep]],"_",uitkomst_doelgroep[[#This Row],[Uitgangssituatie/effect beleid]])</f>
        <v>AI om diagnoses te stellen (CT)_Longkanker_Effect beleid</v>
      </c>
      <c r="H668" s="33">
        <v>2026</v>
      </c>
      <c r="I668" s="32">
        <v>4</v>
      </c>
      <c r="J668" s="406" cm="1">
        <f t="array" ref="J668">INDEX(implementatie[[2023]:[2034]],MATCH(G668, implementatie[Zoeksleutel],0),I668)</f>
        <v>0.79534156247800003</v>
      </c>
      <c r="K668" s="406" cm="1">
        <f t="array" ref="K668">INDEX(implementatie[[2023]:[2034]],MATCH(G668,implementatie[Zoeksleutel],0),I668 + 1)</f>
        <v>0.88286799634018676</v>
      </c>
      <c r="L66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68" s="398" cm="1">
        <f t="array" ref="M668">J668*INDEX(Berekening_impact[Totaal arbeidsbesparing (€/jaar)],MATCH(B668,IF(Berekening_impact[Doelgroep]=C668,Berekening_impact[Digitale zorgtoepassing]),0))</f>
        <v>0</v>
      </c>
      <c r="N668" s="397" cm="1">
        <f t="array" ref="N668">J668*INDEX(Berekening_impact[Totaal arbeidsbesparing (FTE/jaar)],MATCH(B668,IF(Berekening_impact[Doelgroep]=C668,Berekening_impact[Digitale zorgtoepassing]),0))</f>
        <v>0</v>
      </c>
      <c r="O668" s="398" cm="1">
        <f t="array" ref="O668">J668*INDEX(Berekening_impact[Overige kostenbesparing (totaal/jaar totaal potentieel)],MATCH(B668,IF(Berekening_impact[Doelgroep]=C668,Berekening_impact[Digitale zorgtoepassing]),0))</f>
        <v>0</v>
      </c>
      <c r="P668" s="398" cm="1">
        <f t="array" ref="P668">J668*INDEX(Berekening_impact[Opbrengsten door QALY''s],MATCH(B668,IF(Berekening_impact[Doelgroep]=C668,Berekening_impact[Digitale zorgtoepassing]),0))</f>
        <v>23276466.16748115</v>
      </c>
      <c r="Q668" s="398" cm="1">
        <f t="array" ref="Q668">J668*INDEX(Berekening_impact[Jaarlijkse kosten (totaal) - incl. schatting],MATCH(B668,IF(Berekening_impact[Doelgroep]=C668,Berekening_impact[Digitale zorgtoepassing]),0))</f>
        <v>0</v>
      </c>
      <c r="R668" s="398" cm="1">
        <f t="array" ref="R668">(uitkomst_doelgroep[[#This Row],[Implementatiegraad t = T + 1]]-uitkomst_doelgroep[[#This Row],[Implementatiegraad t = T]])*INDEX(Berekening_impact[Initiële investering (totaal) - incl. schatting],MATCH(B668,IF(Berekening_impact[Doelgroep]=C668,Berekening_impact[Digitale zorgtoepassing]),0))</f>
        <v>0</v>
      </c>
      <c r="S668" s="398">
        <f>uitkomst_doelgroep[[#This Row],[Arbeidsbesparing (€)]]*uitkomst_doelgroep[[#This Row],[Percentage van patiëntaantallen in Wlz (overige is Zvw)]]</f>
        <v>0</v>
      </c>
      <c r="T668" s="398">
        <f>uitkomst_doelgroep[[#This Row],[Overige besparingen (€)]]*uitkomst_doelgroep[[#This Row],[Percentage van patiëntaantallen in Wlz (overige is Zvw)]]</f>
        <v>0</v>
      </c>
      <c r="U668" s="398">
        <f>uitkomst_doelgroep[[#This Row],[Kosten (€)]]*uitkomst_doelgroep[[#This Row],[Percentage van patiëntaantallen in Wlz (overige is Zvw)]]</f>
        <v>0</v>
      </c>
      <c r="V668" s="398">
        <f>uitkomst_doelgroep[[#This Row],[Investering (cash flow) (€)]]*uitkomst_doelgroep[[#This Row],[Percentage van patiëntaantallen in Wlz (overige is Zvw)]]</f>
        <v>0</v>
      </c>
    </row>
    <row r="669" spans="1:22" x14ac:dyDescent="0.5">
      <c r="A669" s="33" t="str">
        <f>INDEX(Technologieën[Veld],MATCH(B669,Technologieën[Digitale zorgtoepassing],0))</f>
        <v>Software - Diagnose</v>
      </c>
      <c r="B669" s="33" t="s">
        <v>473</v>
      </c>
      <c r="C669" s="33" t="s">
        <v>75</v>
      </c>
      <c r="D669" s="427" cm="1">
        <f t="array" ref="D669">INDEX(Berekening_patiëntaantal[Percentage van patiëntaantallen in Wlz (overige is Zvw)],MATCH(B669,IF(Berekening_patiëntaantal[Doelgroep (zoeksleutel)]=C669,Berekening_patiëntaantal[Digitale zorgtoepassing]),0))</f>
        <v>0</v>
      </c>
      <c r="E669" s="33" t="str" cm="1">
        <f t="array" ref="E669">INDEX(Berekening_patiëntaantal[Direct toepasbaar/extrapolatie/incidentie voor QALY],MATCH(B669,IF(Berekening_patiëntaantal[Doelgroep (zoeksleutel)]=C669,Berekening_patiëntaantal[Digitale zorgtoepassing]),0))</f>
        <v>Incidentie voor QALY</v>
      </c>
      <c r="F669" s="43" t="s">
        <v>812</v>
      </c>
      <c r="G669" s="33" t="str">
        <f>CONCATENATE(uitkomst_doelgroep[[#This Row],[Digitale zorgtoepassing]],"_",uitkomst_doelgroep[[#This Row],[Doelgroep]],"_",uitkomst_doelgroep[[#This Row],[Uitgangssituatie/effect beleid]])</f>
        <v>AI om diagnoses te stellen (CT)_Longkanker_Effect beleid</v>
      </c>
      <c r="H669" s="33">
        <v>2027</v>
      </c>
      <c r="I669" s="32">
        <v>5</v>
      </c>
      <c r="J669" s="406" cm="1">
        <f t="array" ref="J669">INDEX(implementatie[[2023]:[2034]],MATCH(G669, implementatie[Zoeksleutel],0),I669)</f>
        <v>0.88286799634018676</v>
      </c>
      <c r="K669" s="406" cm="1">
        <f t="array" ref="K669">INDEX(implementatie[[2023]:[2034]],MATCH(G669,implementatie[Zoeksleutel],0),I669 + 1)</f>
        <v>0.93808800513920654</v>
      </c>
      <c r="L66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69" s="398" cm="1">
        <f t="array" ref="M669">J669*INDEX(Berekening_impact[Totaal arbeidsbesparing (€/jaar)],MATCH(B669,IF(Berekening_impact[Doelgroep]=C669,Berekening_impact[Digitale zorgtoepassing]),0))</f>
        <v>0</v>
      </c>
      <c r="N669" s="397" cm="1">
        <f t="array" ref="N669">J669*INDEX(Berekening_impact[Totaal arbeidsbesparing (FTE/jaar)],MATCH(B669,IF(Berekening_impact[Doelgroep]=C669,Berekening_impact[Digitale zorgtoepassing]),0))</f>
        <v>0</v>
      </c>
      <c r="O669" s="398" cm="1">
        <f t="array" ref="O669">J669*INDEX(Berekening_impact[Overige kostenbesparing (totaal/jaar totaal potentieel)],MATCH(B669,IF(Berekening_impact[Doelgroep]=C669,Berekening_impact[Digitale zorgtoepassing]),0))</f>
        <v>0</v>
      </c>
      <c r="P669" s="398" cm="1">
        <f t="array" ref="P669">J669*INDEX(Berekening_impact[Opbrengsten door QALY''s],MATCH(B669,IF(Berekening_impact[Doelgroep]=C669,Berekening_impact[Digitale zorgtoepassing]),0))</f>
        <v>25838014.78089191</v>
      </c>
      <c r="Q669" s="398" cm="1">
        <f t="array" ref="Q669">J669*INDEX(Berekening_impact[Jaarlijkse kosten (totaal) - incl. schatting],MATCH(B669,IF(Berekening_impact[Doelgroep]=C669,Berekening_impact[Digitale zorgtoepassing]),0))</f>
        <v>0</v>
      </c>
      <c r="R669" s="398" cm="1">
        <f t="array" ref="R669">(uitkomst_doelgroep[[#This Row],[Implementatiegraad t = T + 1]]-uitkomst_doelgroep[[#This Row],[Implementatiegraad t = T]])*INDEX(Berekening_impact[Initiële investering (totaal) - incl. schatting],MATCH(B669,IF(Berekening_impact[Doelgroep]=C669,Berekening_impact[Digitale zorgtoepassing]),0))</f>
        <v>0</v>
      </c>
      <c r="S669" s="398">
        <f>uitkomst_doelgroep[[#This Row],[Arbeidsbesparing (€)]]*uitkomst_doelgroep[[#This Row],[Percentage van patiëntaantallen in Wlz (overige is Zvw)]]</f>
        <v>0</v>
      </c>
      <c r="T669" s="398">
        <f>uitkomst_doelgroep[[#This Row],[Overige besparingen (€)]]*uitkomst_doelgroep[[#This Row],[Percentage van patiëntaantallen in Wlz (overige is Zvw)]]</f>
        <v>0</v>
      </c>
      <c r="U669" s="398">
        <f>uitkomst_doelgroep[[#This Row],[Kosten (€)]]*uitkomst_doelgroep[[#This Row],[Percentage van patiëntaantallen in Wlz (overige is Zvw)]]</f>
        <v>0</v>
      </c>
      <c r="V669" s="398">
        <f>uitkomst_doelgroep[[#This Row],[Investering (cash flow) (€)]]*uitkomst_doelgroep[[#This Row],[Percentage van patiëntaantallen in Wlz (overige is Zvw)]]</f>
        <v>0</v>
      </c>
    </row>
    <row r="670" spans="1:22" x14ac:dyDescent="0.5">
      <c r="A670" s="33" t="str">
        <f>INDEX(Technologieën[Veld],MATCH(B670,Technologieën[Digitale zorgtoepassing],0))</f>
        <v>Software - Diagnose</v>
      </c>
      <c r="B670" s="33" t="s">
        <v>473</v>
      </c>
      <c r="C670" s="33" t="s">
        <v>75</v>
      </c>
      <c r="D670" s="427" cm="1">
        <f t="array" ref="D670">INDEX(Berekening_patiëntaantal[Percentage van patiëntaantallen in Wlz (overige is Zvw)],MATCH(B670,IF(Berekening_patiëntaantal[Doelgroep (zoeksleutel)]=C670,Berekening_patiëntaantal[Digitale zorgtoepassing]),0))</f>
        <v>0</v>
      </c>
      <c r="E670" s="33" t="str" cm="1">
        <f t="array" ref="E670">INDEX(Berekening_patiëntaantal[Direct toepasbaar/extrapolatie/incidentie voor QALY],MATCH(B670,IF(Berekening_patiëntaantal[Doelgroep (zoeksleutel)]=C670,Berekening_patiëntaantal[Digitale zorgtoepassing]),0))</f>
        <v>Incidentie voor QALY</v>
      </c>
      <c r="F670" s="43" t="s">
        <v>812</v>
      </c>
      <c r="G670" s="33" t="str">
        <f>CONCATENATE(uitkomst_doelgroep[[#This Row],[Digitale zorgtoepassing]],"_",uitkomst_doelgroep[[#This Row],[Doelgroep]],"_",uitkomst_doelgroep[[#This Row],[Uitgangssituatie/effect beleid]])</f>
        <v>AI om diagnoses te stellen (CT)_Longkanker_Effect beleid</v>
      </c>
      <c r="H670" s="33">
        <v>2028</v>
      </c>
      <c r="I670" s="32">
        <v>6</v>
      </c>
      <c r="J670" s="406" cm="1">
        <f t="array" ref="J670">INDEX(implementatie[[2023]:[2034]],MATCH(G670, implementatie[Zoeksleutel],0),I670)</f>
        <v>0.93808800513920654</v>
      </c>
      <c r="K670" s="406" cm="1">
        <f t="array" ref="K670">INDEX(implementatie[[2023]:[2034]],MATCH(G670,implementatie[Zoeksleutel],0),I670 + 1)</f>
        <v>0.96898481486160559</v>
      </c>
      <c r="L67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70" s="398" cm="1">
        <f t="array" ref="M670">J670*INDEX(Berekening_impact[Totaal arbeidsbesparing (€/jaar)],MATCH(B670,IF(Berekening_impact[Doelgroep]=C670,Berekening_impact[Digitale zorgtoepassing]),0))</f>
        <v>0</v>
      </c>
      <c r="N670" s="397" cm="1">
        <f t="array" ref="N670">J670*INDEX(Berekening_impact[Totaal arbeidsbesparing (FTE/jaar)],MATCH(B670,IF(Berekening_impact[Doelgroep]=C670,Berekening_impact[Digitale zorgtoepassing]),0))</f>
        <v>0</v>
      </c>
      <c r="O670" s="398" cm="1">
        <f t="array" ref="O670">J670*INDEX(Berekening_impact[Overige kostenbesparing (totaal/jaar totaal potentieel)],MATCH(B670,IF(Berekening_impact[Doelgroep]=C670,Berekening_impact[Digitale zorgtoepassing]),0))</f>
        <v>0</v>
      </c>
      <c r="P670" s="398" cm="1">
        <f t="array" ref="P670">J670*INDEX(Berekening_impact[Opbrengsten door QALY''s],MATCH(B670,IF(Berekening_impact[Doelgroep]=C670,Berekening_impact[Digitale zorgtoepassing]),0))</f>
        <v>27454083.558404021</v>
      </c>
      <c r="Q670" s="398" cm="1">
        <f t="array" ref="Q670">J670*INDEX(Berekening_impact[Jaarlijkse kosten (totaal) - incl. schatting],MATCH(B670,IF(Berekening_impact[Doelgroep]=C670,Berekening_impact[Digitale zorgtoepassing]),0))</f>
        <v>0</v>
      </c>
      <c r="R670" s="398" cm="1">
        <f t="array" ref="R670">(uitkomst_doelgroep[[#This Row],[Implementatiegraad t = T + 1]]-uitkomst_doelgroep[[#This Row],[Implementatiegraad t = T]])*INDEX(Berekening_impact[Initiële investering (totaal) - incl. schatting],MATCH(B670,IF(Berekening_impact[Doelgroep]=C670,Berekening_impact[Digitale zorgtoepassing]),0))</f>
        <v>0</v>
      </c>
      <c r="S670" s="398">
        <f>uitkomst_doelgroep[[#This Row],[Arbeidsbesparing (€)]]*uitkomst_doelgroep[[#This Row],[Percentage van patiëntaantallen in Wlz (overige is Zvw)]]</f>
        <v>0</v>
      </c>
      <c r="T670" s="398">
        <f>uitkomst_doelgroep[[#This Row],[Overige besparingen (€)]]*uitkomst_doelgroep[[#This Row],[Percentage van patiëntaantallen in Wlz (overige is Zvw)]]</f>
        <v>0</v>
      </c>
      <c r="U670" s="398">
        <f>uitkomst_doelgroep[[#This Row],[Kosten (€)]]*uitkomst_doelgroep[[#This Row],[Percentage van patiëntaantallen in Wlz (overige is Zvw)]]</f>
        <v>0</v>
      </c>
      <c r="V670" s="398">
        <f>uitkomst_doelgroep[[#This Row],[Investering (cash flow) (€)]]*uitkomst_doelgroep[[#This Row],[Percentage van patiëntaantallen in Wlz (overige is Zvw)]]</f>
        <v>0</v>
      </c>
    </row>
    <row r="671" spans="1:22" x14ac:dyDescent="0.5">
      <c r="A671" s="33" t="str">
        <f>INDEX(Technologieën[Veld],MATCH(B671,Technologieën[Digitale zorgtoepassing],0))</f>
        <v>Software - Diagnose</v>
      </c>
      <c r="B671" s="33" t="s">
        <v>473</v>
      </c>
      <c r="C671" s="33" t="s">
        <v>75</v>
      </c>
      <c r="D671" s="427" cm="1">
        <f t="array" ref="D671">INDEX(Berekening_patiëntaantal[Percentage van patiëntaantallen in Wlz (overige is Zvw)],MATCH(B671,IF(Berekening_patiëntaantal[Doelgroep (zoeksleutel)]=C671,Berekening_patiëntaantal[Digitale zorgtoepassing]),0))</f>
        <v>0</v>
      </c>
      <c r="E671" s="33" t="str" cm="1">
        <f t="array" ref="E671">INDEX(Berekening_patiëntaantal[Direct toepasbaar/extrapolatie/incidentie voor QALY],MATCH(B671,IF(Berekening_patiëntaantal[Doelgroep (zoeksleutel)]=C671,Berekening_patiëntaantal[Digitale zorgtoepassing]),0))</f>
        <v>Incidentie voor QALY</v>
      </c>
      <c r="F671" s="43" t="s">
        <v>812</v>
      </c>
      <c r="G671" s="33" t="str">
        <f>CONCATENATE(uitkomst_doelgroep[[#This Row],[Digitale zorgtoepassing]],"_",uitkomst_doelgroep[[#This Row],[Doelgroep]],"_",uitkomst_doelgroep[[#This Row],[Uitgangssituatie/effect beleid]])</f>
        <v>AI om diagnoses te stellen (CT)_Longkanker_Effect beleid</v>
      </c>
      <c r="H671" s="33">
        <v>2029</v>
      </c>
      <c r="I671" s="32">
        <v>7</v>
      </c>
      <c r="J671" s="406" cm="1">
        <f t="array" ref="J671">INDEX(implementatie[[2023]:[2034]],MATCH(G671, implementatie[Zoeksleutel],0),I671)</f>
        <v>0.96898481486160559</v>
      </c>
      <c r="K671" s="406" cm="1">
        <f t="array" ref="K671">INDEX(implementatie[[2023]:[2034]],MATCH(G671,implementatie[Zoeksleutel],0),I671 + 1)</f>
        <v>0.9849418921303702</v>
      </c>
      <c r="L67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71" s="398" cm="1">
        <f t="array" ref="M671">J671*INDEX(Berekening_impact[Totaal arbeidsbesparing (€/jaar)],MATCH(B671,IF(Berekening_impact[Doelgroep]=C671,Berekening_impact[Digitale zorgtoepassing]),0))</f>
        <v>0</v>
      </c>
      <c r="N671" s="397" cm="1">
        <f t="array" ref="N671">J671*INDEX(Berekening_impact[Totaal arbeidsbesparing (FTE/jaar)],MATCH(B671,IF(Berekening_impact[Doelgroep]=C671,Berekening_impact[Digitale zorgtoepassing]),0))</f>
        <v>0</v>
      </c>
      <c r="O671" s="398" cm="1">
        <f t="array" ref="O671">J671*INDEX(Berekening_impact[Overige kostenbesparing (totaal/jaar totaal potentieel)],MATCH(B671,IF(Berekening_impact[Doelgroep]=C671,Berekening_impact[Digitale zorgtoepassing]),0))</f>
        <v>0</v>
      </c>
      <c r="P671" s="398" cm="1">
        <f t="array" ref="P671">J671*INDEX(Berekening_impact[Opbrengsten door QALY''s],MATCH(B671,IF(Berekening_impact[Doelgroep]=C671,Berekening_impact[Digitale zorgtoepassing]),0))</f>
        <v>28358309.591739751</v>
      </c>
      <c r="Q671" s="398" cm="1">
        <f t="array" ref="Q671">J671*INDEX(Berekening_impact[Jaarlijkse kosten (totaal) - incl. schatting],MATCH(B671,IF(Berekening_impact[Doelgroep]=C671,Berekening_impact[Digitale zorgtoepassing]),0))</f>
        <v>0</v>
      </c>
      <c r="R671" s="398" cm="1">
        <f t="array" ref="R671">(uitkomst_doelgroep[[#This Row],[Implementatiegraad t = T + 1]]-uitkomst_doelgroep[[#This Row],[Implementatiegraad t = T]])*INDEX(Berekening_impact[Initiële investering (totaal) - incl. schatting],MATCH(B671,IF(Berekening_impact[Doelgroep]=C671,Berekening_impact[Digitale zorgtoepassing]),0))</f>
        <v>0</v>
      </c>
      <c r="S671" s="398">
        <f>uitkomst_doelgroep[[#This Row],[Arbeidsbesparing (€)]]*uitkomst_doelgroep[[#This Row],[Percentage van patiëntaantallen in Wlz (overige is Zvw)]]</f>
        <v>0</v>
      </c>
      <c r="T671" s="398">
        <f>uitkomst_doelgroep[[#This Row],[Overige besparingen (€)]]*uitkomst_doelgroep[[#This Row],[Percentage van patiëntaantallen in Wlz (overige is Zvw)]]</f>
        <v>0</v>
      </c>
      <c r="U671" s="398">
        <f>uitkomst_doelgroep[[#This Row],[Kosten (€)]]*uitkomst_doelgroep[[#This Row],[Percentage van patiëntaantallen in Wlz (overige is Zvw)]]</f>
        <v>0</v>
      </c>
      <c r="V671" s="398">
        <f>uitkomst_doelgroep[[#This Row],[Investering (cash flow) (€)]]*uitkomst_doelgroep[[#This Row],[Percentage van patiëntaantallen in Wlz (overige is Zvw)]]</f>
        <v>0</v>
      </c>
    </row>
    <row r="672" spans="1:22" x14ac:dyDescent="0.5">
      <c r="A672" s="33" t="str">
        <f>INDEX(Technologieën[Veld],MATCH(B672,Technologieën[Digitale zorgtoepassing],0))</f>
        <v>Software - Diagnose</v>
      </c>
      <c r="B672" s="33" t="s">
        <v>473</v>
      </c>
      <c r="C672" s="33" t="s">
        <v>75</v>
      </c>
      <c r="D672" s="427" cm="1">
        <f t="array" ref="D672">INDEX(Berekening_patiëntaantal[Percentage van patiëntaantallen in Wlz (overige is Zvw)],MATCH(B672,IF(Berekening_patiëntaantal[Doelgroep (zoeksleutel)]=C672,Berekening_patiëntaantal[Digitale zorgtoepassing]),0))</f>
        <v>0</v>
      </c>
      <c r="E672" s="33" t="str" cm="1">
        <f t="array" ref="E672">INDEX(Berekening_patiëntaantal[Direct toepasbaar/extrapolatie/incidentie voor QALY],MATCH(B672,IF(Berekening_patiëntaantal[Doelgroep (zoeksleutel)]=C672,Berekening_patiëntaantal[Digitale zorgtoepassing]),0))</f>
        <v>Incidentie voor QALY</v>
      </c>
      <c r="F672" s="43" t="s">
        <v>812</v>
      </c>
      <c r="G672" s="33" t="str">
        <f>CONCATENATE(uitkomst_doelgroep[[#This Row],[Digitale zorgtoepassing]],"_",uitkomst_doelgroep[[#This Row],[Doelgroep]],"_",uitkomst_doelgroep[[#This Row],[Uitgangssituatie/effect beleid]])</f>
        <v>AI om diagnoses te stellen (CT)_Longkanker_Effect beleid</v>
      </c>
      <c r="H672" s="33">
        <v>2030</v>
      </c>
      <c r="I672" s="32">
        <v>8</v>
      </c>
      <c r="J672" s="406" cm="1">
        <f t="array" ref="J672">INDEX(implementatie[[2023]:[2034]],MATCH(G672, implementatie[Zoeksleutel],0),I672)</f>
        <v>0.9849418921303702</v>
      </c>
      <c r="K672" s="406" cm="1">
        <f t="array" ref="K672">INDEX(implementatie[[2023]:[2034]],MATCH(G672,implementatie[Zoeksleutel],0),I672 + 1)</f>
        <v>0.99280931599496725</v>
      </c>
      <c r="L67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72" s="398" cm="1">
        <f t="array" ref="M672">J672*INDEX(Berekening_impact[Totaal arbeidsbesparing (€/jaar)],MATCH(B672,IF(Berekening_impact[Doelgroep]=C672,Berekening_impact[Digitale zorgtoepassing]),0))</f>
        <v>0</v>
      </c>
      <c r="N672" s="397" cm="1">
        <f t="array" ref="N672">J672*INDEX(Berekening_impact[Totaal arbeidsbesparing (FTE/jaar)],MATCH(B672,IF(Berekening_impact[Doelgroep]=C672,Berekening_impact[Digitale zorgtoepassing]),0))</f>
        <v>0</v>
      </c>
      <c r="O672" s="398" cm="1">
        <f t="array" ref="O672">J672*INDEX(Berekening_impact[Overige kostenbesparing (totaal/jaar totaal potentieel)],MATCH(B672,IF(Berekening_impact[Doelgroep]=C672,Berekening_impact[Digitale zorgtoepassing]),0))</f>
        <v>0</v>
      </c>
      <c r="P672" s="398" cm="1">
        <f t="array" ref="P672">J672*INDEX(Berekening_impact[Opbrengsten door QALY''s],MATCH(B672,IF(Berekening_impact[Doelgroep]=C672,Berekening_impact[Digitale zorgtoepassing]),0))</f>
        <v>28825309.415087417</v>
      </c>
      <c r="Q672" s="398" cm="1">
        <f t="array" ref="Q672">J672*INDEX(Berekening_impact[Jaarlijkse kosten (totaal) - incl. schatting],MATCH(B672,IF(Berekening_impact[Doelgroep]=C672,Berekening_impact[Digitale zorgtoepassing]),0))</f>
        <v>0</v>
      </c>
      <c r="R672" s="398" cm="1">
        <f t="array" ref="R672">(uitkomst_doelgroep[[#This Row],[Implementatiegraad t = T + 1]]-uitkomst_doelgroep[[#This Row],[Implementatiegraad t = T]])*INDEX(Berekening_impact[Initiële investering (totaal) - incl. schatting],MATCH(B672,IF(Berekening_impact[Doelgroep]=C672,Berekening_impact[Digitale zorgtoepassing]),0))</f>
        <v>0</v>
      </c>
      <c r="S672" s="398">
        <f>uitkomst_doelgroep[[#This Row],[Arbeidsbesparing (€)]]*uitkomst_doelgroep[[#This Row],[Percentage van patiëntaantallen in Wlz (overige is Zvw)]]</f>
        <v>0</v>
      </c>
      <c r="T672" s="398">
        <f>uitkomst_doelgroep[[#This Row],[Overige besparingen (€)]]*uitkomst_doelgroep[[#This Row],[Percentage van patiëntaantallen in Wlz (overige is Zvw)]]</f>
        <v>0</v>
      </c>
      <c r="U672" s="398">
        <f>uitkomst_doelgroep[[#This Row],[Kosten (€)]]*uitkomst_doelgroep[[#This Row],[Percentage van patiëntaantallen in Wlz (overige is Zvw)]]</f>
        <v>0</v>
      </c>
      <c r="V672" s="398">
        <f>uitkomst_doelgroep[[#This Row],[Investering (cash flow) (€)]]*uitkomst_doelgroep[[#This Row],[Percentage van patiëntaantallen in Wlz (overige is Zvw)]]</f>
        <v>0</v>
      </c>
    </row>
    <row r="673" spans="1:22" x14ac:dyDescent="0.5">
      <c r="A673" s="33" t="str">
        <f>INDEX(Technologieën[Veld],MATCH(B673,Technologieën[Digitale zorgtoepassing],0))</f>
        <v>Software - Diagnose</v>
      </c>
      <c r="B673" s="33" t="s">
        <v>473</v>
      </c>
      <c r="C673" s="33" t="s">
        <v>75</v>
      </c>
      <c r="D673" s="427" cm="1">
        <f t="array" ref="D673">INDEX(Berekening_patiëntaantal[Percentage van patiëntaantallen in Wlz (overige is Zvw)],MATCH(B673,IF(Berekening_patiëntaantal[Doelgroep (zoeksleutel)]=C673,Berekening_patiëntaantal[Digitale zorgtoepassing]),0))</f>
        <v>0</v>
      </c>
      <c r="E673" s="33" t="str" cm="1">
        <f t="array" ref="E673">INDEX(Berekening_patiëntaantal[Direct toepasbaar/extrapolatie/incidentie voor QALY],MATCH(B673,IF(Berekening_patiëntaantal[Doelgroep (zoeksleutel)]=C673,Berekening_patiëntaantal[Digitale zorgtoepassing]),0))</f>
        <v>Incidentie voor QALY</v>
      </c>
      <c r="F673" s="43" t="s">
        <v>812</v>
      </c>
      <c r="G673" s="33" t="str">
        <f>CONCATENATE(uitkomst_doelgroep[[#This Row],[Digitale zorgtoepassing]],"_",uitkomst_doelgroep[[#This Row],[Doelgroep]],"_",uitkomst_doelgroep[[#This Row],[Uitgangssituatie/effect beleid]])</f>
        <v>AI om diagnoses te stellen (CT)_Longkanker_Effect beleid</v>
      </c>
      <c r="H673" s="33">
        <v>2031</v>
      </c>
      <c r="I673" s="32">
        <v>9</v>
      </c>
      <c r="J673" s="406" cm="1">
        <f t="array" ref="J673">INDEX(implementatie[[2023]:[2034]],MATCH(G673, implementatie[Zoeksleutel],0),I673)</f>
        <v>0.99280931599496725</v>
      </c>
      <c r="K673" s="406" cm="1">
        <f t="array" ref="K673">INDEX(implementatie[[2023]:[2034]],MATCH(G673,implementatie[Zoeksleutel],0),I673 + 1)</f>
        <v>0.99659452554940442</v>
      </c>
      <c r="L67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73" s="398" cm="1">
        <f t="array" ref="M673">J673*INDEX(Berekening_impact[Totaal arbeidsbesparing (€/jaar)],MATCH(B673,IF(Berekening_impact[Doelgroep]=C673,Berekening_impact[Digitale zorgtoepassing]),0))</f>
        <v>0</v>
      </c>
      <c r="N673" s="397" cm="1">
        <f t="array" ref="N673">J673*INDEX(Berekening_impact[Totaal arbeidsbesparing (FTE/jaar)],MATCH(B673,IF(Berekening_impact[Doelgroep]=C673,Berekening_impact[Digitale zorgtoepassing]),0))</f>
        <v>0</v>
      </c>
      <c r="O673" s="398" cm="1">
        <f t="array" ref="O673">J673*INDEX(Berekening_impact[Overige kostenbesparing (totaal/jaar totaal potentieel)],MATCH(B673,IF(Berekening_impact[Doelgroep]=C673,Berekening_impact[Digitale zorgtoepassing]),0))</f>
        <v>0</v>
      </c>
      <c r="P673" s="398" cm="1">
        <f t="array" ref="P673">J673*INDEX(Berekening_impact[Opbrengsten door QALY''s],MATCH(B673,IF(Berekening_impact[Doelgroep]=C673,Berekening_impact[Digitale zorgtoepassing]),0))</f>
        <v>29055557.441908713</v>
      </c>
      <c r="Q673" s="398" cm="1">
        <f t="array" ref="Q673">J673*INDEX(Berekening_impact[Jaarlijkse kosten (totaal) - incl. schatting],MATCH(B673,IF(Berekening_impact[Doelgroep]=C673,Berekening_impact[Digitale zorgtoepassing]),0))</f>
        <v>0</v>
      </c>
      <c r="R673" s="398" cm="1">
        <f t="array" ref="R673">(uitkomst_doelgroep[[#This Row],[Implementatiegraad t = T + 1]]-uitkomst_doelgroep[[#This Row],[Implementatiegraad t = T]])*INDEX(Berekening_impact[Initiële investering (totaal) - incl. schatting],MATCH(B673,IF(Berekening_impact[Doelgroep]=C673,Berekening_impact[Digitale zorgtoepassing]),0))</f>
        <v>0</v>
      </c>
      <c r="S673" s="398">
        <f>uitkomst_doelgroep[[#This Row],[Arbeidsbesparing (€)]]*uitkomst_doelgroep[[#This Row],[Percentage van patiëntaantallen in Wlz (overige is Zvw)]]</f>
        <v>0</v>
      </c>
      <c r="T673" s="398">
        <f>uitkomst_doelgroep[[#This Row],[Overige besparingen (€)]]*uitkomst_doelgroep[[#This Row],[Percentage van patiëntaantallen in Wlz (overige is Zvw)]]</f>
        <v>0</v>
      </c>
      <c r="U673" s="398">
        <f>uitkomst_doelgroep[[#This Row],[Kosten (€)]]*uitkomst_doelgroep[[#This Row],[Percentage van patiëntaantallen in Wlz (overige is Zvw)]]</f>
        <v>0</v>
      </c>
      <c r="V673" s="398">
        <f>uitkomst_doelgroep[[#This Row],[Investering (cash flow) (€)]]*uitkomst_doelgroep[[#This Row],[Percentage van patiëntaantallen in Wlz (overige is Zvw)]]</f>
        <v>0</v>
      </c>
    </row>
    <row r="674" spans="1:22" x14ac:dyDescent="0.5">
      <c r="A674" s="33" t="str">
        <f>INDEX(Technologieën[Veld],MATCH(B674,Technologieën[Digitale zorgtoepassing],0))</f>
        <v>Software - Diagnose</v>
      </c>
      <c r="B674" s="33" t="s">
        <v>473</v>
      </c>
      <c r="C674" s="33" t="s">
        <v>75</v>
      </c>
      <c r="D674" s="427" cm="1">
        <f t="array" ref="D674">INDEX(Berekening_patiëntaantal[Percentage van patiëntaantallen in Wlz (overige is Zvw)],MATCH(B674,IF(Berekening_patiëntaantal[Doelgroep (zoeksleutel)]=C674,Berekening_patiëntaantal[Digitale zorgtoepassing]),0))</f>
        <v>0</v>
      </c>
      <c r="E674" s="33" t="str" cm="1">
        <f t="array" ref="E674">INDEX(Berekening_patiëntaantal[Direct toepasbaar/extrapolatie/incidentie voor QALY],MATCH(B674,IF(Berekening_patiëntaantal[Doelgroep (zoeksleutel)]=C674,Berekening_patiëntaantal[Digitale zorgtoepassing]),0))</f>
        <v>Incidentie voor QALY</v>
      </c>
      <c r="F674" s="43" t="s">
        <v>812</v>
      </c>
      <c r="G674" s="33" t="str">
        <f>CONCATENATE(uitkomst_doelgroep[[#This Row],[Digitale zorgtoepassing]],"_",uitkomst_doelgroep[[#This Row],[Doelgroep]],"_",uitkomst_doelgroep[[#This Row],[Uitgangssituatie/effect beleid]])</f>
        <v>AI om diagnoses te stellen (CT)_Longkanker_Effect beleid</v>
      </c>
      <c r="H674" s="33">
        <v>2032</v>
      </c>
      <c r="I674" s="32">
        <v>10</v>
      </c>
      <c r="J674" s="406" cm="1">
        <f t="array" ref="J674">INDEX(implementatie[[2023]:[2034]],MATCH(G674, implementatie[Zoeksleutel],0),I674)</f>
        <v>0.99659452554940442</v>
      </c>
      <c r="K674" s="406" cm="1">
        <f t="array" ref="K674">INDEX(implementatie[[2023]:[2034]],MATCH(G674,implementatie[Zoeksleutel],0),I674 + 1)</f>
        <v>0.99839362838010326</v>
      </c>
      <c r="L67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74" s="398" cm="1">
        <f t="array" ref="M674">J674*INDEX(Berekening_impact[Totaal arbeidsbesparing (€/jaar)],MATCH(B674,IF(Berekening_impact[Doelgroep]=C674,Berekening_impact[Digitale zorgtoepassing]),0))</f>
        <v>0</v>
      </c>
      <c r="N674" s="397" cm="1">
        <f t="array" ref="N674">J674*INDEX(Berekening_impact[Totaal arbeidsbesparing (FTE/jaar)],MATCH(B674,IF(Berekening_impact[Doelgroep]=C674,Berekening_impact[Digitale zorgtoepassing]),0))</f>
        <v>0</v>
      </c>
      <c r="O674" s="398" cm="1">
        <f t="array" ref="O674">J674*INDEX(Berekening_impact[Overige kostenbesparing (totaal/jaar totaal potentieel)],MATCH(B674,IF(Berekening_impact[Doelgroep]=C674,Berekening_impact[Digitale zorgtoepassing]),0))</f>
        <v>0</v>
      </c>
      <c r="P674" s="398" cm="1">
        <f t="array" ref="P674">J674*INDEX(Berekening_impact[Opbrengsten door QALY''s],MATCH(B674,IF(Berekening_impact[Doelgroep]=C674,Berekening_impact[Digitale zorgtoepassing]),0))</f>
        <v>29166335.384728875</v>
      </c>
      <c r="Q674" s="398" cm="1">
        <f t="array" ref="Q674">J674*INDEX(Berekening_impact[Jaarlijkse kosten (totaal) - incl. schatting],MATCH(B674,IF(Berekening_impact[Doelgroep]=C674,Berekening_impact[Digitale zorgtoepassing]),0))</f>
        <v>0</v>
      </c>
      <c r="R674" s="398" cm="1">
        <f t="array" ref="R674">(uitkomst_doelgroep[[#This Row],[Implementatiegraad t = T + 1]]-uitkomst_doelgroep[[#This Row],[Implementatiegraad t = T]])*INDEX(Berekening_impact[Initiële investering (totaal) - incl. schatting],MATCH(B674,IF(Berekening_impact[Doelgroep]=C674,Berekening_impact[Digitale zorgtoepassing]),0))</f>
        <v>0</v>
      </c>
      <c r="S674" s="398">
        <f>uitkomst_doelgroep[[#This Row],[Arbeidsbesparing (€)]]*uitkomst_doelgroep[[#This Row],[Percentage van patiëntaantallen in Wlz (overige is Zvw)]]</f>
        <v>0</v>
      </c>
      <c r="T674" s="398">
        <f>uitkomst_doelgroep[[#This Row],[Overige besparingen (€)]]*uitkomst_doelgroep[[#This Row],[Percentage van patiëntaantallen in Wlz (overige is Zvw)]]</f>
        <v>0</v>
      </c>
      <c r="U674" s="398">
        <f>uitkomst_doelgroep[[#This Row],[Kosten (€)]]*uitkomst_doelgroep[[#This Row],[Percentage van patiëntaantallen in Wlz (overige is Zvw)]]</f>
        <v>0</v>
      </c>
      <c r="V674" s="398">
        <f>uitkomst_doelgroep[[#This Row],[Investering (cash flow) (€)]]*uitkomst_doelgroep[[#This Row],[Percentage van patiëntaantallen in Wlz (overige is Zvw)]]</f>
        <v>0</v>
      </c>
    </row>
    <row r="675" spans="1:22" x14ac:dyDescent="0.5">
      <c r="A675" s="33" t="str">
        <f>INDEX(Technologieën[Veld],MATCH(B675,Technologieën[Digitale zorgtoepassing],0))</f>
        <v>Software - Diagnose</v>
      </c>
      <c r="B675" s="33" t="s">
        <v>473</v>
      </c>
      <c r="C675" s="33" t="s">
        <v>75</v>
      </c>
      <c r="D675" s="427" cm="1">
        <f t="array" ref="D675">INDEX(Berekening_patiëntaantal[Percentage van patiëntaantallen in Wlz (overige is Zvw)],MATCH(B675,IF(Berekening_patiëntaantal[Doelgroep (zoeksleutel)]=C675,Berekening_patiëntaantal[Digitale zorgtoepassing]),0))</f>
        <v>0</v>
      </c>
      <c r="E675" s="33" t="str" cm="1">
        <f t="array" ref="E675">INDEX(Berekening_patiëntaantal[Direct toepasbaar/extrapolatie/incidentie voor QALY],MATCH(B675,IF(Berekening_patiëntaantal[Doelgroep (zoeksleutel)]=C675,Berekening_patiëntaantal[Digitale zorgtoepassing]),0))</f>
        <v>Incidentie voor QALY</v>
      </c>
      <c r="F675" s="43" t="s">
        <v>812</v>
      </c>
      <c r="G675" s="33" t="str">
        <f>CONCATENATE(uitkomst_doelgroep[[#This Row],[Digitale zorgtoepassing]],"_",uitkomst_doelgroep[[#This Row],[Doelgroep]],"_",uitkomst_doelgroep[[#This Row],[Uitgangssituatie/effect beleid]])</f>
        <v>AI om diagnoses te stellen (CT)_Longkanker_Effect beleid</v>
      </c>
      <c r="H675" s="33">
        <v>2033</v>
      </c>
      <c r="I675" s="32">
        <v>11</v>
      </c>
      <c r="J675" s="406" cm="1">
        <f t="array" ref="J675">INDEX(implementatie[[2023]:[2034]],MATCH(G675, implementatie[Zoeksleutel],0),I675)</f>
        <v>0.99839362838010326</v>
      </c>
      <c r="K675" s="406" cm="1">
        <f t="array" ref="K675">INDEX(implementatie[[2023]:[2034]],MATCH(G675,implementatie[Zoeksleutel],0),I675 + 1)</f>
        <v>0.99924371512375787</v>
      </c>
      <c r="L67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75" s="398" cm="1">
        <f t="array" ref="M675">J675*INDEX(Berekening_impact[Totaal arbeidsbesparing (€/jaar)],MATCH(B675,IF(Berekening_impact[Doelgroep]=C675,Berekening_impact[Digitale zorgtoepassing]),0))</f>
        <v>0</v>
      </c>
      <c r="N675" s="397" cm="1">
        <f t="array" ref="N675">J675*INDEX(Berekening_impact[Totaal arbeidsbesparing (FTE/jaar)],MATCH(B675,IF(Berekening_impact[Doelgroep]=C675,Berekening_impact[Digitale zorgtoepassing]),0))</f>
        <v>0</v>
      </c>
      <c r="O675" s="398" cm="1">
        <f t="array" ref="O675">J675*INDEX(Berekening_impact[Overige kostenbesparing (totaal/jaar totaal potentieel)],MATCH(B675,IF(Berekening_impact[Doelgroep]=C675,Berekening_impact[Digitale zorgtoepassing]),0))</f>
        <v>0</v>
      </c>
      <c r="P675" s="398" cm="1">
        <f t="array" ref="P675">J675*INDEX(Berekening_impact[Opbrengsten door QALY''s],MATCH(B675,IF(Berekening_impact[Doelgroep]=C675,Berekening_impact[Digitale zorgtoepassing]),0))</f>
        <v>29218987.928172104</v>
      </c>
      <c r="Q675" s="398" cm="1">
        <f t="array" ref="Q675">J675*INDEX(Berekening_impact[Jaarlijkse kosten (totaal) - incl. schatting],MATCH(B675,IF(Berekening_impact[Doelgroep]=C675,Berekening_impact[Digitale zorgtoepassing]),0))</f>
        <v>0</v>
      </c>
      <c r="R675" s="398" cm="1">
        <f t="array" ref="R675">(uitkomst_doelgroep[[#This Row],[Implementatiegraad t = T + 1]]-uitkomst_doelgroep[[#This Row],[Implementatiegraad t = T]])*INDEX(Berekening_impact[Initiële investering (totaal) - incl. schatting],MATCH(B675,IF(Berekening_impact[Doelgroep]=C675,Berekening_impact[Digitale zorgtoepassing]),0))</f>
        <v>0</v>
      </c>
      <c r="S675" s="398">
        <f>uitkomst_doelgroep[[#This Row],[Arbeidsbesparing (€)]]*uitkomst_doelgroep[[#This Row],[Percentage van patiëntaantallen in Wlz (overige is Zvw)]]</f>
        <v>0</v>
      </c>
      <c r="T675" s="398">
        <f>uitkomst_doelgroep[[#This Row],[Overige besparingen (€)]]*uitkomst_doelgroep[[#This Row],[Percentage van patiëntaantallen in Wlz (overige is Zvw)]]</f>
        <v>0</v>
      </c>
      <c r="U675" s="398">
        <f>uitkomst_doelgroep[[#This Row],[Kosten (€)]]*uitkomst_doelgroep[[#This Row],[Percentage van patiëntaantallen in Wlz (overige is Zvw)]]</f>
        <v>0</v>
      </c>
      <c r="V675" s="398">
        <f>uitkomst_doelgroep[[#This Row],[Investering (cash flow) (€)]]*uitkomst_doelgroep[[#This Row],[Percentage van patiëntaantallen in Wlz (overige is Zvw)]]</f>
        <v>0</v>
      </c>
    </row>
    <row r="676" spans="1:22" x14ac:dyDescent="0.5">
      <c r="A676" s="33" t="str">
        <f>INDEX(Technologieën[Veld],MATCH(B676,Technologieën[Digitale zorgtoepassing],0))</f>
        <v>Software - Diagnose</v>
      </c>
      <c r="B676" s="33" t="s">
        <v>472</v>
      </c>
      <c r="C676" s="33" t="s">
        <v>71</v>
      </c>
      <c r="D676" s="427" cm="1">
        <f t="array" ref="D676">INDEX(Berekening_patiëntaantal[Percentage van patiëntaantallen in Wlz (overige is Zvw)],MATCH(B676,IF(Berekening_patiëntaantal[Doelgroep (zoeksleutel)]=C676,Berekening_patiëntaantal[Digitale zorgtoepassing]),0))</f>
        <v>0</v>
      </c>
      <c r="E676" s="33" t="str" cm="1">
        <f t="array" ref="E676">INDEX(Berekening_patiëntaantal[Direct toepasbaar/extrapolatie/incidentie voor QALY],MATCH(B676,IF(Berekening_patiëntaantal[Doelgroep (zoeksleutel)]=C676,Berekening_patiëntaantal[Digitale zorgtoepassing]),0))</f>
        <v>Incidentie voor QALY</v>
      </c>
      <c r="F676" s="43" t="s">
        <v>812</v>
      </c>
      <c r="G676" s="33" t="str">
        <f>CONCATENATE(uitkomst_doelgroep[[#This Row],[Digitale zorgtoepassing]],"_",uitkomst_doelgroep[[#This Row],[Doelgroep]],"_",uitkomst_doelgroep[[#This Row],[Uitgangssituatie/effect beleid]])</f>
        <v>AI om diagnoses te stellen (MRI)_Prostaatkanker_Effect beleid</v>
      </c>
      <c r="H676" s="33">
        <v>2023</v>
      </c>
      <c r="I676" s="32">
        <v>1</v>
      </c>
      <c r="J676" s="406" cm="1">
        <f t="array" ref="J676">INDEX(implementatie[[2023]:[2034]],MATCH(G676, implementatie[Zoeksleutel],0),I676)</f>
        <v>0.4</v>
      </c>
      <c r="K676" s="406" cm="1">
        <f t="array" ref="K676">INDEX(implementatie[[2023]:[2034]],MATCH(G676,implementatie[Zoeksleutel],0),I676 + 1)</f>
        <v>0.53800000000000003</v>
      </c>
      <c r="L67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76" s="398" cm="1">
        <f t="array" ref="M676">J676*INDEX(Berekening_impact[Totaal arbeidsbesparing (€/jaar)],MATCH(B676,IF(Berekening_impact[Doelgroep]=C676,Berekening_impact[Digitale zorgtoepassing]),0))</f>
        <v>0</v>
      </c>
      <c r="N676" s="397" cm="1">
        <f t="array" ref="N676">J676*INDEX(Berekening_impact[Totaal arbeidsbesparing (FTE/jaar)],MATCH(B676,IF(Berekening_impact[Doelgroep]=C676,Berekening_impact[Digitale zorgtoepassing]),0))</f>
        <v>0</v>
      </c>
      <c r="O676" s="398" cm="1">
        <f t="array" ref="O676">J676*INDEX(Berekening_impact[Overige kostenbesparing (totaal/jaar totaal potentieel)],MATCH(B676,IF(Berekening_impact[Doelgroep]=C676,Berekening_impact[Digitale zorgtoepassing]),0))</f>
        <v>0</v>
      </c>
      <c r="P676" s="398" cm="1">
        <f t="array" ref="P676">J676*INDEX(Berekening_impact[Opbrengsten door QALY''s],MATCH(B676,IF(Berekening_impact[Doelgroep]=C676,Berekening_impact[Digitale zorgtoepassing]),0))</f>
        <v>4043124</v>
      </c>
      <c r="Q676" s="398" cm="1">
        <f t="array" ref="Q676">J676*INDEX(Berekening_impact[Jaarlijkse kosten (totaal) - incl. schatting],MATCH(B676,IF(Berekening_impact[Doelgroep]=C676,Berekening_impact[Digitale zorgtoepassing]),0))</f>
        <v>0</v>
      </c>
      <c r="R676" s="398" cm="1">
        <f t="array" ref="R676">(uitkomst_doelgroep[[#This Row],[Implementatiegraad t = T + 1]]-uitkomst_doelgroep[[#This Row],[Implementatiegraad t = T]])*INDEX(Berekening_impact[Initiële investering (totaal) - incl. schatting],MATCH(B676,IF(Berekening_impact[Doelgroep]=C676,Berekening_impact[Digitale zorgtoepassing]),0))</f>
        <v>0</v>
      </c>
      <c r="S676" s="398">
        <f>uitkomst_doelgroep[[#This Row],[Arbeidsbesparing (€)]]*uitkomst_doelgroep[[#This Row],[Percentage van patiëntaantallen in Wlz (overige is Zvw)]]</f>
        <v>0</v>
      </c>
      <c r="T676" s="398">
        <f>uitkomst_doelgroep[[#This Row],[Overige besparingen (€)]]*uitkomst_doelgroep[[#This Row],[Percentage van patiëntaantallen in Wlz (overige is Zvw)]]</f>
        <v>0</v>
      </c>
      <c r="U676" s="398">
        <f>uitkomst_doelgroep[[#This Row],[Kosten (€)]]*uitkomst_doelgroep[[#This Row],[Percentage van patiëntaantallen in Wlz (overige is Zvw)]]</f>
        <v>0</v>
      </c>
      <c r="V676" s="398">
        <f>uitkomst_doelgroep[[#This Row],[Investering (cash flow) (€)]]*uitkomst_doelgroep[[#This Row],[Percentage van patiëntaantallen in Wlz (overige is Zvw)]]</f>
        <v>0</v>
      </c>
    </row>
    <row r="677" spans="1:22" x14ac:dyDescent="0.5">
      <c r="A677" s="33" t="str">
        <f>INDEX(Technologieën[Veld],MATCH(B677,Technologieën[Digitale zorgtoepassing],0))</f>
        <v>Software - Diagnose</v>
      </c>
      <c r="B677" s="33" t="s">
        <v>472</v>
      </c>
      <c r="C677" s="33" t="s">
        <v>71</v>
      </c>
      <c r="D677" s="427" cm="1">
        <f t="array" ref="D677">INDEX(Berekening_patiëntaantal[Percentage van patiëntaantallen in Wlz (overige is Zvw)],MATCH(B677,IF(Berekening_patiëntaantal[Doelgroep (zoeksleutel)]=C677,Berekening_patiëntaantal[Digitale zorgtoepassing]),0))</f>
        <v>0</v>
      </c>
      <c r="E677" s="33" t="str" cm="1">
        <f t="array" ref="E677">INDEX(Berekening_patiëntaantal[Direct toepasbaar/extrapolatie/incidentie voor QALY],MATCH(B677,IF(Berekening_patiëntaantal[Doelgroep (zoeksleutel)]=C677,Berekening_patiëntaantal[Digitale zorgtoepassing]),0))</f>
        <v>Incidentie voor QALY</v>
      </c>
      <c r="F677" s="43" t="s">
        <v>812</v>
      </c>
      <c r="G677" s="33" t="str">
        <f>CONCATENATE(uitkomst_doelgroep[[#This Row],[Digitale zorgtoepassing]],"_",uitkomst_doelgroep[[#This Row],[Doelgroep]],"_",uitkomst_doelgroep[[#This Row],[Uitgangssituatie/effect beleid]])</f>
        <v>AI om diagnoses te stellen (MRI)_Prostaatkanker_Effect beleid</v>
      </c>
      <c r="H677" s="33">
        <v>2024</v>
      </c>
      <c r="I677" s="32">
        <v>2</v>
      </c>
      <c r="J677" s="406" cm="1">
        <f t="array" ref="J677">INDEX(implementatie[[2023]:[2034]],MATCH(G677, implementatie[Zoeksleutel],0),I677)</f>
        <v>0.53800000000000003</v>
      </c>
      <c r="K677" s="406" cm="1">
        <f t="array" ref="K677">INDEX(implementatie[[2023]:[2034]],MATCH(G677,implementatie[Zoeksleutel],0),I677 + 1)</f>
        <v>0.67613800000000002</v>
      </c>
      <c r="L67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77" s="398" cm="1">
        <f t="array" ref="M677">J677*INDEX(Berekening_impact[Totaal arbeidsbesparing (€/jaar)],MATCH(B677,IF(Berekening_impact[Doelgroep]=C677,Berekening_impact[Digitale zorgtoepassing]),0))</f>
        <v>0</v>
      </c>
      <c r="N677" s="397" cm="1">
        <f t="array" ref="N677">J677*INDEX(Berekening_impact[Totaal arbeidsbesparing (FTE/jaar)],MATCH(B677,IF(Berekening_impact[Doelgroep]=C677,Berekening_impact[Digitale zorgtoepassing]),0))</f>
        <v>0</v>
      </c>
      <c r="O677" s="398" cm="1">
        <f t="array" ref="O677">J677*INDEX(Berekening_impact[Overige kostenbesparing (totaal/jaar totaal potentieel)],MATCH(B677,IF(Berekening_impact[Doelgroep]=C677,Berekening_impact[Digitale zorgtoepassing]),0))</f>
        <v>0</v>
      </c>
      <c r="P677" s="398" cm="1">
        <f t="array" ref="P677">J677*INDEX(Berekening_impact[Opbrengsten door QALY''s],MATCH(B677,IF(Berekening_impact[Doelgroep]=C677,Berekening_impact[Digitale zorgtoepassing]),0))</f>
        <v>5438001.7800000003</v>
      </c>
      <c r="Q677" s="398" cm="1">
        <f t="array" ref="Q677">J677*INDEX(Berekening_impact[Jaarlijkse kosten (totaal) - incl. schatting],MATCH(B677,IF(Berekening_impact[Doelgroep]=C677,Berekening_impact[Digitale zorgtoepassing]),0))</f>
        <v>0</v>
      </c>
      <c r="R677" s="398" cm="1">
        <f t="array" ref="R677">(uitkomst_doelgroep[[#This Row],[Implementatiegraad t = T + 1]]-uitkomst_doelgroep[[#This Row],[Implementatiegraad t = T]])*INDEX(Berekening_impact[Initiële investering (totaal) - incl. schatting],MATCH(B677,IF(Berekening_impact[Doelgroep]=C677,Berekening_impact[Digitale zorgtoepassing]),0))</f>
        <v>0</v>
      </c>
      <c r="S677" s="398">
        <f>uitkomst_doelgroep[[#This Row],[Arbeidsbesparing (€)]]*uitkomst_doelgroep[[#This Row],[Percentage van patiëntaantallen in Wlz (overige is Zvw)]]</f>
        <v>0</v>
      </c>
      <c r="T677" s="398">
        <f>uitkomst_doelgroep[[#This Row],[Overige besparingen (€)]]*uitkomst_doelgroep[[#This Row],[Percentage van patiëntaantallen in Wlz (overige is Zvw)]]</f>
        <v>0</v>
      </c>
      <c r="U677" s="398">
        <f>uitkomst_doelgroep[[#This Row],[Kosten (€)]]*uitkomst_doelgroep[[#This Row],[Percentage van patiëntaantallen in Wlz (overige is Zvw)]]</f>
        <v>0</v>
      </c>
      <c r="V677" s="398">
        <f>uitkomst_doelgroep[[#This Row],[Investering (cash flow) (€)]]*uitkomst_doelgroep[[#This Row],[Percentage van patiëntaantallen in Wlz (overige is Zvw)]]</f>
        <v>0</v>
      </c>
    </row>
    <row r="678" spans="1:22" x14ac:dyDescent="0.5">
      <c r="A678" s="33" t="str">
        <f>INDEX(Technologieën[Veld],MATCH(B678,Technologieën[Digitale zorgtoepassing],0))</f>
        <v>Software - Diagnose</v>
      </c>
      <c r="B678" s="33" t="s">
        <v>472</v>
      </c>
      <c r="C678" s="33" t="s">
        <v>71</v>
      </c>
      <c r="D678" s="427" cm="1">
        <f t="array" ref="D678">INDEX(Berekening_patiëntaantal[Percentage van patiëntaantallen in Wlz (overige is Zvw)],MATCH(B678,IF(Berekening_patiëntaantal[Doelgroep (zoeksleutel)]=C678,Berekening_patiëntaantal[Digitale zorgtoepassing]),0))</f>
        <v>0</v>
      </c>
      <c r="E678" s="33" t="str" cm="1">
        <f t="array" ref="E678">INDEX(Berekening_patiëntaantal[Direct toepasbaar/extrapolatie/incidentie voor QALY],MATCH(B678,IF(Berekening_patiëntaantal[Doelgroep (zoeksleutel)]=C678,Berekening_patiëntaantal[Digitale zorgtoepassing]),0))</f>
        <v>Incidentie voor QALY</v>
      </c>
      <c r="F678" s="43" t="s">
        <v>812</v>
      </c>
      <c r="G678" s="33" t="str">
        <f>CONCATENATE(uitkomst_doelgroep[[#This Row],[Digitale zorgtoepassing]],"_",uitkomst_doelgroep[[#This Row],[Doelgroep]],"_",uitkomst_doelgroep[[#This Row],[Uitgangssituatie/effect beleid]])</f>
        <v>AI om diagnoses te stellen (MRI)_Prostaatkanker_Effect beleid</v>
      </c>
      <c r="H678" s="33">
        <v>2025</v>
      </c>
      <c r="I678" s="32">
        <v>3</v>
      </c>
      <c r="J678" s="406" cm="1">
        <f t="array" ref="J678">INDEX(implementatie[[2023]:[2034]],MATCH(G678, implementatie[Zoeksleutel],0),I678)</f>
        <v>0.67613800000000002</v>
      </c>
      <c r="K678" s="406" cm="1">
        <f t="array" ref="K678">INDEX(implementatie[[2023]:[2034]],MATCH(G678,implementatie[Zoeksleutel],0),I678 + 1)</f>
        <v>0.79534156247800003</v>
      </c>
      <c r="L67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78" s="398" cm="1">
        <f t="array" ref="M678">J678*INDEX(Berekening_impact[Totaal arbeidsbesparing (€/jaar)],MATCH(B678,IF(Berekening_impact[Doelgroep]=C678,Berekening_impact[Digitale zorgtoepassing]),0))</f>
        <v>0</v>
      </c>
      <c r="N678" s="397" cm="1">
        <f t="array" ref="N678">J678*INDEX(Berekening_impact[Totaal arbeidsbesparing (FTE/jaar)],MATCH(B678,IF(Berekening_impact[Doelgroep]=C678,Berekening_impact[Digitale zorgtoepassing]),0))</f>
        <v>0</v>
      </c>
      <c r="O678" s="398" cm="1">
        <f t="array" ref="O678">J678*INDEX(Berekening_impact[Overige kostenbesparing (totaal/jaar totaal potentieel)],MATCH(B678,IF(Berekening_impact[Doelgroep]=C678,Berekening_impact[Digitale zorgtoepassing]),0))</f>
        <v>0</v>
      </c>
      <c r="P678" s="398" cm="1">
        <f t="array" ref="P678">J678*INDEX(Berekening_impact[Opbrengsten door QALY''s],MATCH(B678,IF(Berekening_impact[Doelgroep]=C678,Berekening_impact[Digitale zorgtoepassing]),0))</f>
        <v>6834274.4377800003</v>
      </c>
      <c r="Q678" s="398" cm="1">
        <f t="array" ref="Q678">J678*INDEX(Berekening_impact[Jaarlijkse kosten (totaal) - incl. schatting],MATCH(B678,IF(Berekening_impact[Doelgroep]=C678,Berekening_impact[Digitale zorgtoepassing]),0))</f>
        <v>0</v>
      </c>
      <c r="R678" s="398" cm="1">
        <f t="array" ref="R678">(uitkomst_doelgroep[[#This Row],[Implementatiegraad t = T + 1]]-uitkomst_doelgroep[[#This Row],[Implementatiegraad t = T]])*INDEX(Berekening_impact[Initiële investering (totaal) - incl. schatting],MATCH(B678,IF(Berekening_impact[Doelgroep]=C678,Berekening_impact[Digitale zorgtoepassing]),0))</f>
        <v>0</v>
      </c>
      <c r="S678" s="398">
        <f>uitkomst_doelgroep[[#This Row],[Arbeidsbesparing (€)]]*uitkomst_doelgroep[[#This Row],[Percentage van patiëntaantallen in Wlz (overige is Zvw)]]</f>
        <v>0</v>
      </c>
      <c r="T678" s="398">
        <f>uitkomst_doelgroep[[#This Row],[Overige besparingen (€)]]*uitkomst_doelgroep[[#This Row],[Percentage van patiëntaantallen in Wlz (overige is Zvw)]]</f>
        <v>0</v>
      </c>
      <c r="U678" s="398">
        <f>uitkomst_doelgroep[[#This Row],[Kosten (€)]]*uitkomst_doelgroep[[#This Row],[Percentage van patiëntaantallen in Wlz (overige is Zvw)]]</f>
        <v>0</v>
      </c>
      <c r="V678" s="398">
        <f>uitkomst_doelgroep[[#This Row],[Investering (cash flow) (€)]]*uitkomst_doelgroep[[#This Row],[Percentage van patiëntaantallen in Wlz (overige is Zvw)]]</f>
        <v>0</v>
      </c>
    </row>
    <row r="679" spans="1:22" x14ac:dyDescent="0.5">
      <c r="A679" s="33" t="str">
        <f>INDEX(Technologieën[Veld],MATCH(B679,Technologieën[Digitale zorgtoepassing],0))</f>
        <v>Software - Diagnose</v>
      </c>
      <c r="B679" s="33" t="s">
        <v>472</v>
      </c>
      <c r="C679" s="33" t="s">
        <v>71</v>
      </c>
      <c r="D679" s="427" cm="1">
        <f t="array" ref="D679">INDEX(Berekening_patiëntaantal[Percentage van patiëntaantallen in Wlz (overige is Zvw)],MATCH(B679,IF(Berekening_patiëntaantal[Doelgroep (zoeksleutel)]=C679,Berekening_patiëntaantal[Digitale zorgtoepassing]),0))</f>
        <v>0</v>
      </c>
      <c r="E679" s="33" t="str" cm="1">
        <f t="array" ref="E679">INDEX(Berekening_patiëntaantal[Direct toepasbaar/extrapolatie/incidentie voor QALY],MATCH(B679,IF(Berekening_patiëntaantal[Doelgroep (zoeksleutel)]=C679,Berekening_patiëntaantal[Digitale zorgtoepassing]),0))</f>
        <v>Incidentie voor QALY</v>
      </c>
      <c r="F679" s="43" t="s">
        <v>812</v>
      </c>
      <c r="G679" s="33" t="str">
        <f>CONCATENATE(uitkomst_doelgroep[[#This Row],[Digitale zorgtoepassing]],"_",uitkomst_doelgroep[[#This Row],[Doelgroep]],"_",uitkomst_doelgroep[[#This Row],[Uitgangssituatie/effect beleid]])</f>
        <v>AI om diagnoses te stellen (MRI)_Prostaatkanker_Effect beleid</v>
      </c>
      <c r="H679" s="33">
        <v>2026</v>
      </c>
      <c r="I679" s="32">
        <v>4</v>
      </c>
      <c r="J679" s="406" cm="1">
        <f t="array" ref="J679">INDEX(implementatie[[2023]:[2034]],MATCH(G679, implementatie[Zoeksleutel],0),I679)</f>
        <v>0.79534156247800003</v>
      </c>
      <c r="K679" s="406" cm="1">
        <f t="array" ref="K679">INDEX(implementatie[[2023]:[2034]],MATCH(G679,implementatie[Zoeksleutel],0),I679 + 1)</f>
        <v>0.88286799634018676</v>
      </c>
      <c r="L67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79" s="398" cm="1">
        <f t="array" ref="M679">J679*INDEX(Berekening_impact[Totaal arbeidsbesparing (€/jaar)],MATCH(B679,IF(Berekening_impact[Doelgroep]=C679,Berekening_impact[Digitale zorgtoepassing]),0))</f>
        <v>0</v>
      </c>
      <c r="N679" s="397" cm="1">
        <f t="array" ref="N679">J679*INDEX(Berekening_impact[Totaal arbeidsbesparing (FTE/jaar)],MATCH(B679,IF(Berekening_impact[Doelgroep]=C679,Berekening_impact[Digitale zorgtoepassing]),0))</f>
        <v>0</v>
      </c>
      <c r="O679" s="398" cm="1">
        <f t="array" ref="O679">J679*INDEX(Berekening_impact[Overige kostenbesparing (totaal/jaar totaal potentieel)],MATCH(B679,IF(Berekening_impact[Doelgroep]=C679,Berekening_impact[Digitale zorgtoepassing]),0))</f>
        <v>0</v>
      </c>
      <c r="P679" s="398" cm="1">
        <f t="array" ref="P679">J679*INDEX(Berekening_impact[Opbrengsten door QALY''s],MATCH(B679,IF(Berekening_impact[Doelgroep]=C679,Berekening_impact[Digitale zorgtoepassing]),0))</f>
        <v>8039161.3986307532</v>
      </c>
      <c r="Q679" s="398" cm="1">
        <f t="array" ref="Q679">J679*INDEX(Berekening_impact[Jaarlijkse kosten (totaal) - incl. schatting],MATCH(B679,IF(Berekening_impact[Doelgroep]=C679,Berekening_impact[Digitale zorgtoepassing]),0))</f>
        <v>0</v>
      </c>
      <c r="R679" s="398" cm="1">
        <f t="array" ref="R679">(uitkomst_doelgroep[[#This Row],[Implementatiegraad t = T + 1]]-uitkomst_doelgroep[[#This Row],[Implementatiegraad t = T]])*INDEX(Berekening_impact[Initiële investering (totaal) - incl. schatting],MATCH(B679,IF(Berekening_impact[Doelgroep]=C679,Berekening_impact[Digitale zorgtoepassing]),0))</f>
        <v>0</v>
      </c>
      <c r="S679" s="398">
        <f>uitkomst_doelgroep[[#This Row],[Arbeidsbesparing (€)]]*uitkomst_doelgroep[[#This Row],[Percentage van patiëntaantallen in Wlz (overige is Zvw)]]</f>
        <v>0</v>
      </c>
      <c r="T679" s="398">
        <f>uitkomst_doelgroep[[#This Row],[Overige besparingen (€)]]*uitkomst_doelgroep[[#This Row],[Percentage van patiëntaantallen in Wlz (overige is Zvw)]]</f>
        <v>0</v>
      </c>
      <c r="U679" s="398">
        <f>uitkomst_doelgroep[[#This Row],[Kosten (€)]]*uitkomst_doelgroep[[#This Row],[Percentage van patiëntaantallen in Wlz (overige is Zvw)]]</f>
        <v>0</v>
      </c>
      <c r="V679" s="398">
        <f>uitkomst_doelgroep[[#This Row],[Investering (cash flow) (€)]]*uitkomst_doelgroep[[#This Row],[Percentage van patiëntaantallen in Wlz (overige is Zvw)]]</f>
        <v>0</v>
      </c>
    </row>
    <row r="680" spans="1:22" x14ac:dyDescent="0.5">
      <c r="A680" s="33" t="str">
        <f>INDEX(Technologieën[Veld],MATCH(B680,Technologieën[Digitale zorgtoepassing],0))</f>
        <v>Software - Diagnose</v>
      </c>
      <c r="B680" s="33" t="s">
        <v>472</v>
      </c>
      <c r="C680" s="33" t="s">
        <v>71</v>
      </c>
      <c r="D680" s="427" cm="1">
        <f t="array" ref="D680">INDEX(Berekening_patiëntaantal[Percentage van patiëntaantallen in Wlz (overige is Zvw)],MATCH(B680,IF(Berekening_patiëntaantal[Doelgroep (zoeksleutel)]=C680,Berekening_patiëntaantal[Digitale zorgtoepassing]),0))</f>
        <v>0</v>
      </c>
      <c r="E680" s="33" t="str" cm="1">
        <f t="array" ref="E680">INDEX(Berekening_patiëntaantal[Direct toepasbaar/extrapolatie/incidentie voor QALY],MATCH(B680,IF(Berekening_patiëntaantal[Doelgroep (zoeksleutel)]=C680,Berekening_patiëntaantal[Digitale zorgtoepassing]),0))</f>
        <v>Incidentie voor QALY</v>
      </c>
      <c r="F680" s="43" t="s">
        <v>812</v>
      </c>
      <c r="G680" s="33" t="str">
        <f>CONCATENATE(uitkomst_doelgroep[[#This Row],[Digitale zorgtoepassing]],"_",uitkomst_doelgroep[[#This Row],[Doelgroep]],"_",uitkomst_doelgroep[[#This Row],[Uitgangssituatie/effect beleid]])</f>
        <v>AI om diagnoses te stellen (MRI)_Prostaatkanker_Effect beleid</v>
      </c>
      <c r="H680" s="33">
        <v>2027</v>
      </c>
      <c r="I680" s="32">
        <v>5</v>
      </c>
      <c r="J680" s="406" cm="1">
        <f t="array" ref="J680">INDEX(implementatie[[2023]:[2034]],MATCH(G680, implementatie[Zoeksleutel],0),I680)</f>
        <v>0.88286799634018676</v>
      </c>
      <c r="K680" s="406" cm="1">
        <f t="array" ref="K680">INDEX(implementatie[[2023]:[2034]],MATCH(G680,implementatie[Zoeksleutel],0),I680 + 1)</f>
        <v>0.93808800513920654</v>
      </c>
      <c r="L68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80" s="398" cm="1">
        <f t="array" ref="M680">J680*INDEX(Berekening_impact[Totaal arbeidsbesparing (€/jaar)],MATCH(B680,IF(Berekening_impact[Doelgroep]=C680,Berekening_impact[Digitale zorgtoepassing]),0))</f>
        <v>0</v>
      </c>
      <c r="N680" s="397" cm="1">
        <f t="array" ref="N680">J680*INDEX(Berekening_impact[Totaal arbeidsbesparing (FTE/jaar)],MATCH(B680,IF(Berekening_impact[Doelgroep]=C680,Berekening_impact[Digitale zorgtoepassing]),0))</f>
        <v>0</v>
      </c>
      <c r="O680" s="398" cm="1">
        <f t="array" ref="O680">J680*INDEX(Berekening_impact[Overige kostenbesparing (totaal/jaar totaal potentieel)],MATCH(B680,IF(Berekening_impact[Doelgroep]=C680,Berekening_impact[Digitale zorgtoepassing]),0))</f>
        <v>0</v>
      </c>
      <c r="P680" s="398" cm="1">
        <f t="array" ref="P680">J680*INDEX(Berekening_impact[Opbrengsten door QALY''s],MATCH(B680,IF(Berekening_impact[Doelgroep]=C680,Berekening_impact[Digitale zorgtoepassing]),0))</f>
        <v>8923861.9620873034</v>
      </c>
      <c r="Q680" s="398" cm="1">
        <f t="array" ref="Q680">J680*INDEX(Berekening_impact[Jaarlijkse kosten (totaal) - incl. schatting],MATCH(B680,IF(Berekening_impact[Doelgroep]=C680,Berekening_impact[Digitale zorgtoepassing]),0))</f>
        <v>0</v>
      </c>
      <c r="R680" s="398" cm="1">
        <f t="array" ref="R680">(uitkomst_doelgroep[[#This Row],[Implementatiegraad t = T + 1]]-uitkomst_doelgroep[[#This Row],[Implementatiegraad t = T]])*INDEX(Berekening_impact[Initiële investering (totaal) - incl. schatting],MATCH(B680,IF(Berekening_impact[Doelgroep]=C680,Berekening_impact[Digitale zorgtoepassing]),0))</f>
        <v>0</v>
      </c>
      <c r="S680" s="398">
        <f>uitkomst_doelgroep[[#This Row],[Arbeidsbesparing (€)]]*uitkomst_doelgroep[[#This Row],[Percentage van patiëntaantallen in Wlz (overige is Zvw)]]</f>
        <v>0</v>
      </c>
      <c r="T680" s="398">
        <f>uitkomst_doelgroep[[#This Row],[Overige besparingen (€)]]*uitkomst_doelgroep[[#This Row],[Percentage van patiëntaantallen in Wlz (overige is Zvw)]]</f>
        <v>0</v>
      </c>
      <c r="U680" s="398">
        <f>uitkomst_doelgroep[[#This Row],[Kosten (€)]]*uitkomst_doelgroep[[#This Row],[Percentage van patiëntaantallen in Wlz (overige is Zvw)]]</f>
        <v>0</v>
      </c>
      <c r="V680" s="398">
        <f>uitkomst_doelgroep[[#This Row],[Investering (cash flow) (€)]]*uitkomst_doelgroep[[#This Row],[Percentage van patiëntaantallen in Wlz (overige is Zvw)]]</f>
        <v>0</v>
      </c>
    </row>
    <row r="681" spans="1:22" x14ac:dyDescent="0.5">
      <c r="A681" s="33" t="str">
        <f>INDEX(Technologieën[Veld],MATCH(B681,Technologieën[Digitale zorgtoepassing],0))</f>
        <v>Software - Diagnose</v>
      </c>
      <c r="B681" s="33" t="s">
        <v>472</v>
      </c>
      <c r="C681" s="33" t="s">
        <v>71</v>
      </c>
      <c r="D681" s="427" cm="1">
        <f t="array" ref="D681">INDEX(Berekening_patiëntaantal[Percentage van patiëntaantallen in Wlz (overige is Zvw)],MATCH(B681,IF(Berekening_patiëntaantal[Doelgroep (zoeksleutel)]=C681,Berekening_patiëntaantal[Digitale zorgtoepassing]),0))</f>
        <v>0</v>
      </c>
      <c r="E681" s="33" t="str" cm="1">
        <f t="array" ref="E681">INDEX(Berekening_patiëntaantal[Direct toepasbaar/extrapolatie/incidentie voor QALY],MATCH(B681,IF(Berekening_patiëntaantal[Doelgroep (zoeksleutel)]=C681,Berekening_patiëntaantal[Digitale zorgtoepassing]),0))</f>
        <v>Incidentie voor QALY</v>
      </c>
      <c r="F681" s="43" t="s">
        <v>812</v>
      </c>
      <c r="G681" s="33" t="str">
        <f>CONCATENATE(uitkomst_doelgroep[[#This Row],[Digitale zorgtoepassing]],"_",uitkomst_doelgroep[[#This Row],[Doelgroep]],"_",uitkomst_doelgroep[[#This Row],[Uitgangssituatie/effect beleid]])</f>
        <v>AI om diagnoses te stellen (MRI)_Prostaatkanker_Effect beleid</v>
      </c>
      <c r="H681" s="33">
        <v>2028</v>
      </c>
      <c r="I681" s="32">
        <v>6</v>
      </c>
      <c r="J681" s="406" cm="1">
        <f t="array" ref="J681">INDEX(implementatie[[2023]:[2034]],MATCH(G681, implementatie[Zoeksleutel],0),I681)</f>
        <v>0.93808800513920654</v>
      </c>
      <c r="K681" s="406" cm="1">
        <f t="array" ref="K681">INDEX(implementatie[[2023]:[2034]],MATCH(G681,implementatie[Zoeksleutel],0),I681 + 1)</f>
        <v>0.96898481486160559</v>
      </c>
      <c r="L68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81" s="398" cm="1">
        <f t="array" ref="M681">J681*INDEX(Berekening_impact[Totaal arbeidsbesparing (€/jaar)],MATCH(B681,IF(Berekening_impact[Doelgroep]=C681,Berekening_impact[Digitale zorgtoepassing]),0))</f>
        <v>0</v>
      </c>
      <c r="N681" s="397" cm="1">
        <f t="array" ref="N681">J681*INDEX(Berekening_impact[Totaal arbeidsbesparing (FTE/jaar)],MATCH(B681,IF(Berekening_impact[Doelgroep]=C681,Berekening_impact[Digitale zorgtoepassing]),0))</f>
        <v>0</v>
      </c>
      <c r="O681" s="398" cm="1">
        <f t="array" ref="O681">J681*INDEX(Berekening_impact[Overige kostenbesparing (totaal/jaar totaal potentieel)],MATCH(B681,IF(Berekening_impact[Doelgroep]=C681,Berekening_impact[Digitale zorgtoepassing]),0))</f>
        <v>0</v>
      </c>
      <c r="P681" s="398" cm="1">
        <f t="array" ref="P681">J681*INDEX(Berekening_impact[Opbrengsten door QALY''s],MATCH(B681,IF(Berekening_impact[Doelgroep]=C681,Berekening_impact[Digitale zorgtoepassing]),0))</f>
        <v>9482015.3192261234</v>
      </c>
      <c r="Q681" s="398" cm="1">
        <f t="array" ref="Q681">J681*INDEX(Berekening_impact[Jaarlijkse kosten (totaal) - incl. schatting],MATCH(B681,IF(Berekening_impact[Doelgroep]=C681,Berekening_impact[Digitale zorgtoepassing]),0))</f>
        <v>0</v>
      </c>
      <c r="R681" s="398" cm="1">
        <f t="array" ref="R681">(uitkomst_doelgroep[[#This Row],[Implementatiegraad t = T + 1]]-uitkomst_doelgroep[[#This Row],[Implementatiegraad t = T]])*INDEX(Berekening_impact[Initiële investering (totaal) - incl. schatting],MATCH(B681,IF(Berekening_impact[Doelgroep]=C681,Berekening_impact[Digitale zorgtoepassing]),0))</f>
        <v>0</v>
      </c>
      <c r="S681" s="398">
        <f>uitkomst_doelgroep[[#This Row],[Arbeidsbesparing (€)]]*uitkomst_doelgroep[[#This Row],[Percentage van patiëntaantallen in Wlz (overige is Zvw)]]</f>
        <v>0</v>
      </c>
      <c r="T681" s="398">
        <f>uitkomst_doelgroep[[#This Row],[Overige besparingen (€)]]*uitkomst_doelgroep[[#This Row],[Percentage van patiëntaantallen in Wlz (overige is Zvw)]]</f>
        <v>0</v>
      </c>
      <c r="U681" s="398">
        <f>uitkomst_doelgroep[[#This Row],[Kosten (€)]]*uitkomst_doelgroep[[#This Row],[Percentage van patiëntaantallen in Wlz (overige is Zvw)]]</f>
        <v>0</v>
      </c>
      <c r="V681" s="398">
        <f>uitkomst_doelgroep[[#This Row],[Investering (cash flow) (€)]]*uitkomst_doelgroep[[#This Row],[Percentage van patiëntaantallen in Wlz (overige is Zvw)]]</f>
        <v>0</v>
      </c>
    </row>
    <row r="682" spans="1:22" x14ac:dyDescent="0.5">
      <c r="A682" s="33" t="str">
        <f>INDEX(Technologieën[Veld],MATCH(B682,Technologieën[Digitale zorgtoepassing],0))</f>
        <v>Software - Diagnose</v>
      </c>
      <c r="B682" s="33" t="s">
        <v>472</v>
      </c>
      <c r="C682" s="33" t="s">
        <v>71</v>
      </c>
      <c r="D682" s="427" cm="1">
        <f t="array" ref="D682">INDEX(Berekening_patiëntaantal[Percentage van patiëntaantallen in Wlz (overige is Zvw)],MATCH(B682,IF(Berekening_patiëntaantal[Doelgroep (zoeksleutel)]=C682,Berekening_patiëntaantal[Digitale zorgtoepassing]),0))</f>
        <v>0</v>
      </c>
      <c r="E682" s="33" t="str" cm="1">
        <f t="array" ref="E682">INDEX(Berekening_patiëntaantal[Direct toepasbaar/extrapolatie/incidentie voor QALY],MATCH(B682,IF(Berekening_patiëntaantal[Doelgroep (zoeksleutel)]=C682,Berekening_patiëntaantal[Digitale zorgtoepassing]),0))</f>
        <v>Incidentie voor QALY</v>
      </c>
      <c r="F682" s="43" t="s">
        <v>812</v>
      </c>
      <c r="G682" s="33" t="str">
        <f>CONCATENATE(uitkomst_doelgroep[[#This Row],[Digitale zorgtoepassing]],"_",uitkomst_doelgroep[[#This Row],[Doelgroep]],"_",uitkomst_doelgroep[[#This Row],[Uitgangssituatie/effect beleid]])</f>
        <v>AI om diagnoses te stellen (MRI)_Prostaatkanker_Effect beleid</v>
      </c>
      <c r="H682" s="33">
        <v>2029</v>
      </c>
      <c r="I682" s="32">
        <v>7</v>
      </c>
      <c r="J682" s="406" cm="1">
        <f t="array" ref="J682">INDEX(implementatie[[2023]:[2034]],MATCH(G682, implementatie[Zoeksleutel],0),I682)</f>
        <v>0.96898481486160559</v>
      </c>
      <c r="K682" s="406" cm="1">
        <f t="array" ref="K682">INDEX(implementatie[[2023]:[2034]],MATCH(G682,implementatie[Zoeksleutel],0),I682 + 1)</f>
        <v>0.9849418921303702</v>
      </c>
      <c r="L68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82" s="398" cm="1">
        <f t="array" ref="M682">J682*INDEX(Berekening_impact[Totaal arbeidsbesparing (€/jaar)],MATCH(B682,IF(Berekening_impact[Doelgroep]=C682,Berekening_impact[Digitale zorgtoepassing]),0))</f>
        <v>0</v>
      </c>
      <c r="N682" s="397" cm="1">
        <f t="array" ref="N682">J682*INDEX(Berekening_impact[Totaal arbeidsbesparing (FTE/jaar)],MATCH(B682,IF(Berekening_impact[Doelgroep]=C682,Berekening_impact[Digitale zorgtoepassing]),0))</f>
        <v>0</v>
      </c>
      <c r="O682" s="398" cm="1">
        <f t="array" ref="O682">J682*INDEX(Berekening_impact[Overige kostenbesparing (totaal/jaar totaal potentieel)],MATCH(B682,IF(Berekening_impact[Doelgroep]=C682,Berekening_impact[Digitale zorgtoepassing]),0))</f>
        <v>0</v>
      </c>
      <c r="P682" s="398" cm="1">
        <f t="array" ref="P682">J682*INDEX(Berekening_impact[Opbrengsten door QALY''s],MATCH(B682,IF(Berekening_impact[Doelgroep]=C682,Berekening_impact[Digitale zorgtoepassing]),0))</f>
        <v>9794314.4015062861</v>
      </c>
      <c r="Q682" s="398" cm="1">
        <f t="array" ref="Q682">J682*INDEX(Berekening_impact[Jaarlijkse kosten (totaal) - incl. schatting],MATCH(B682,IF(Berekening_impact[Doelgroep]=C682,Berekening_impact[Digitale zorgtoepassing]),0))</f>
        <v>0</v>
      </c>
      <c r="R682" s="398" cm="1">
        <f t="array" ref="R682">(uitkomst_doelgroep[[#This Row],[Implementatiegraad t = T + 1]]-uitkomst_doelgroep[[#This Row],[Implementatiegraad t = T]])*INDEX(Berekening_impact[Initiële investering (totaal) - incl. schatting],MATCH(B682,IF(Berekening_impact[Doelgroep]=C682,Berekening_impact[Digitale zorgtoepassing]),0))</f>
        <v>0</v>
      </c>
      <c r="S682" s="398">
        <f>uitkomst_doelgroep[[#This Row],[Arbeidsbesparing (€)]]*uitkomst_doelgroep[[#This Row],[Percentage van patiëntaantallen in Wlz (overige is Zvw)]]</f>
        <v>0</v>
      </c>
      <c r="T682" s="398">
        <f>uitkomst_doelgroep[[#This Row],[Overige besparingen (€)]]*uitkomst_doelgroep[[#This Row],[Percentage van patiëntaantallen in Wlz (overige is Zvw)]]</f>
        <v>0</v>
      </c>
      <c r="U682" s="398">
        <f>uitkomst_doelgroep[[#This Row],[Kosten (€)]]*uitkomst_doelgroep[[#This Row],[Percentage van patiëntaantallen in Wlz (overige is Zvw)]]</f>
        <v>0</v>
      </c>
      <c r="V682" s="398">
        <f>uitkomst_doelgroep[[#This Row],[Investering (cash flow) (€)]]*uitkomst_doelgroep[[#This Row],[Percentage van patiëntaantallen in Wlz (overige is Zvw)]]</f>
        <v>0</v>
      </c>
    </row>
    <row r="683" spans="1:22" x14ac:dyDescent="0.5">
      <c r="A683" s="33" t="str">
        <f>INDEX(Technologieën[Veld],MATCH(B683,Technologieën[Digitale zorgtoepassing],0))</f>
        <v>Software - Diagnose</v>
      </c>
      <c r="B683" s="33" t="s">
        <v>472</v>
      </c>
      <c r="C683" s="33" t="s">
        <v>71</v>
      </c>
      <c r="D683" s="427" cm="1">
        <f t="array" ref="D683">INDEX(Berekening_patiëntaantal[Percentage van patiëntaantallen in Wlz (overige is Zvw)],MATCH(B683,IF(Berekening_patiëntaantal[Doelgroep (zoeksleutel)]=C683,Berekening_patiëntaantal[Digitale zorgtoepassing]),0))</f>
        <v>0</v>
      </c>
      <c r="E683" s="33" t="str" cm="1">
        <f t="array" ref="E683">INDEX(Berekening_patiëntaantal[Direct toepasbaar/extrapolatie/incidentie voor QALY],MATCH(B683,IF(Berekening_patiëntaantal[Doelgroep (zoeksleutel)]=C683,Berekening_patiëntaantal[Digitale zorgtoepassing]),0))</f>
        <v>Incidentie voor QALY</v>
      </c>
      <c r="F683" s="43" t="s">
        <v>812</v>
      </c>
      <c r="G683" s="33" t="str">
        <f>CONCATENATE(uitkomst_doelgroep[[#This Row],[Digitale zorgtoepassing]],"_",uitkomst_doelgroep[[#This Row],[Doelgroep]],"_",uitkomst_doelgroep[[#This Row],[Uitgangssituatie/effect beleid]])</f>
        <v>AI om diagnoses te stellen (MRI)_Prostaatkanker_Effect beleid</v>
      </c>
      <c r="H683" s="33">
        <v>2030</v>
      </c>
      <c r="I683" s="32">
        <v>8</v>
      </c>
      <c r="J683" s="406" cm="1">
        <f t="array" ref="J683">INDEX(implementatie[[2023]:[2034]],MATCH(G683, implementatie[Zoeksleutel],0),I683)</f>
        <v>0.9849418921303702</v>
      </c>
      <c r="K683" s="406" cm="1">
        <f t="array" ref="K683">INDEX(implementatie[[2023]:[2034]],MATCH(G683,implementatie[Zoeksleutel],0),I683 + 1)</f>
        <v>0.99280931599496725</v>
      </c>
      <c r="L68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83" s="398" cm="1">
        <f t="array" ref="M683">J683*INDEX(Berekening_impact[Totaal arbeidsbesparing (€/jaar)],MATCH(B683,IF(Berekening_impact[Doelgroep]=C683,Berekening_impact[Digitale zorgtoepassing]),0))</f>
        <v>0</v>
      </c>
      <c r="N683" s="397" cm="1">
        <f t="array" ref="N683">J683*INDEX(Berekening_impact[Totaal arbeidsbesparing (FTE/jaar)],MATCH(B683,IF(Berekening_impact[Doelgroep]=C683,Berekening_impact[Digitale zorgtoepassing]),0))</f>
        <v>0</v>
      </c>
      <c r="O683" s="398" cm="1">
        <f t="array" ref="O683">J683*INDEX(Berekening_impact[Overige kostenbesparing (totaal/jaar totaal potentieel)],MATCH(B683,IF(Berekening_impact[Doelgroep]=C683,Berekening_impact[Digitale zorgtoepassing]),0))</f>
        <v>0</v>
      </c>
      <c r="P683" s="398" cm="1">
        <f t="array" ref="P683">J683*INDEX(Berekening_impact[Opbrengsten door QALY''s],MATCH(B683,IF(Berekening_impact[Doelgroep]=C683,Berekening_impact[Digitale zorgtoepassing]),0))</f>
        <v>9955605.5066942777</v>
      </c>
      <c r="Q683" s="398" cm="1">
        <f t="array" ref="Q683">J683*INDEX(Berekening_impact[Jaarlijkse kosten (totaal) - incl. schatting],MATCH(B683,IF(Berekening_impact[Doelgroep]=C683,Berekening_impact[Digitale zorgtoepassing]),0))</f>
        <v>0</v>
      </c>
      <c r="R683" s="398" cm="1">
        <f t="array" ref="R683">(uitkomst_doelgroep[[#This Row],[Implementatiegraad t = T + 1]]-uitkomst_doelgroep[[#This Row],[Implementatiegraad t = T]])*INDEX(Berekening_impact[Initiële investering (totaal) - incl. schatting],MATCH(B683,IF(Berekening_impact[Doelgroep]=C683,Berekening_impact[Digitale zorgtoepassing]),0))</f>
        <v>0</v>
      </c>
      <c r="S683" s="398">
        <f>uitkomst_doelgroep[[#This Row],[Arbeidsbesparing (€)]]*uitkomst_doelgroep[[#This Row],[Percentage van patiëntaantallen in Wlz (overige is Zvw)]]</f>
        <v>0</v>
      </c>
      <c r="T683" s="398">
        <f>uitkomst_doelgroep[[#This Row],[Overige besparingen (€)]]*uitkomst_doelgroep[[#This Row],[Percentage van patiëntaantallen in Wlz (overige is Zvw)]]</f>
        <v>0</v>
      </c>
      <c r="U683" s="398">
        <f>uitkomst_doelgroep[[#This Row],[Kosten (€)]]*uitkomst_doelgroep[[#This Row],[Percentage van patiëntaantallen in Wlz (overige is Zvw)]]</f>
        <v>0</v>
      </c>
      <c r="V683" s="398">
        <f>uitkomst_doelgroep[[#This Row],[Investering (cash flow) (€)]]*uitkomst_doelgroep[[#This Row],[Percentage van patiëntaantallen in Wlz (overige is Zvw)]]</f>
        <v>0</v>
      </c>
    </row>
    <row r="684" spans="1:22" x14ac:dyDescent="0.5">
      <c r="A684" s="33" t="str">
        <f>INDEX(Technologieën[Veld],MATCH(B684,Technologieën[Digitale zorgtoepassing],0))</f>
        <v>Software - Diagnose</v>
      </c>
      <c r="B684" s="33" t="s">
        <v>472</v>
      </c>
      <c r="C684" s="33" t="s">
        <v>71</v>
      </c>
      <c r="D684" s="427" cm="1">
        <f t="array" ref="D684">INDEX(Berekening_patiëntaantal[Percentage van patiëntaantallen in Wlz (overige is Zvw)],MATCH(B684,IF(Berekening_patiëntaantal[Doelgroep (zoeksleutel)]=C684,Berekening_patiëntaantal[Digitale zorgtoepassing]),0))</f>
        <v>0</v>
      </c>
      <c r="E684" s="33" t="str" cm="1">
        <f t="array" ref="E684">INDEX(Berekening_patiëntaantal[Direct toepasbaar/extrapolatie/incidentie voor QALY],MATCH(B684,IF(Berekening_patiëntaantal[Doelgroep (zoeksleutel)]=C684,Berekening_patiëntaantal[Digitale zorgtoepassing]),0))</f>
        <v>Incidentie voor QALY</v>
      </c>
      <c r="F684" s="43" t="s">
        <v>812</v>
      </c>
      <c r="G684" s="33" t="str">
        <f>CONCATENATE(uitkomst_doelgroep[[#This Row],[Digitale zorgtoepassing]],"_",uitkomst_doelgroep[[#This Row],[Doelgroep]],"_",uitkomst_doelgroep[[#This Row],[Uitgangssituatie/effect beleid]])</f>
        <v>AI om diagnoses te stellen (MRI)_Prostaatkanker_Effect beleid</v>
      </c>
      <c r="H684" s="33">
        <v>2031</v>
      </c>
      <c r="I684" s="32">
        <v>9</v>
      </c>
      <c r="J684" s="406" cm="1">
        <f t="array" ref="J684">INDEX(implementatie[[2023]:[2034]],MATCH(G684, implementatie[Zoeksleutel],0),I684)</f>
        <v>0.99280931599496725</v>
      </c>
      <c r="K684" s="406" cm="1">
        <f t="array" ref="K684">INDEX(implementatie[[2023]:[2034]],MATCH(G684,implementatie[Zoeksleutel],0),I684 + 1)</f>
        <v>0.99659452554940442</v>
      </c>
      <c r="L68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84" s="398" cm="1">
        <f t="array" ref="M684">J684*INDEX(Berekening_impact[Totaal arbeidsbesparing (€/jaar)],MATCH(B684,IF(Berekening_impact[Doelgroep]=C684,Berekening_impact[Digitale zorgtoepassing]),0))</f>
        <v>0</v>
      </c>
      <c r="N684" s="397" cm="1">
        <f t="array" ref="N684">J684*INDEX(Berekening_impact[Totaal arbeidsbesparing (FTE/jaar)],MATCH(B684,IF(Berekening_impact[Doelgroep]=C684,Berekening_impact[Digitale zorgtoepassing]),0))</f>
        <v>0</v>
      </c>
      <c r="O684" s="398" cm="1">
        <f t="array" ref="O684">J684*INDEX(Berekening_impact[Overige kostenbesparing (totaal/jaar totaal potentieel)],MATCH(B684,IF(Berekening_impact[Doelgroep]=C684,Berekening_impact[Digitale zorgtoepassing]),0))</f>
        <v>0</v>
      </c>
      <c r="P684" s="398" cm="1">
        <f t="array" ref="P684">J684*INDEX(Berekening_impact[Opbrengsten door QALY''s],MATCH(B684,IF(Berekening_impact[Doelgroep]=C684,Berekening_impact[Digitale zorgtoepassing]),0))</f>
        <v>10035127.932307091</v>
      </c>
      <c r="Q684" s="398" cm="1">
        <f t="array" ref="Q684">J684*INDEX(Berekening_impact[Jaarlijkse kosten (totaal) - incl. schatting],MATCH(B684,IF(Berekening_impact[Doelgroep]=C684,Berekening_impact[Digitale zorgtoepassing]),0))</f>
        <v>0</v>
      </c>
      <c r="R684" s="398" cm="1">
        <f t="array" ref="R684">(uitkomst_doelgroep[[#This Row],[Implementatiegraad t = T + 1]]-uitkomst_doelgroep[[#This Row],[Implementatiegraad t = T]])*INDEX(Berekening_impact[Initiële investering (totaal) - incl. schatting],MATCH(B684,IF(Berekening_impact[Doelgroep]=C684,Berekening_impact[Digitale zorgtoepassing]),0))</f>
        <v>0</v>
      </c>
      <c r="S684" s="398">
        <f>uitkomst_doelgroep[[#This Row],[Arbeidsbesparing (€)]]*uitkomst_doelgroep[[#This Row],[Percentage van patiëntaantallen in Wlz (overige is Zvw)]]</f>
        <v>0</v>
      </c>
      <c r="T684" s="398">
        <f>uitkomst_doelgroep[[#This Row],[Overige besparingen (€)]]*uitkomst_doelgroep[[#This Row],[Percentage van patiëntaantallen in Wlz (overige is Zvw)]]</f>
        <v>0</v>
      </c>
      <c r="U684" s="398">
        <f>uitkomst_doelgroep[[#This Row],[Kosten (€)]]*uitkomst_doelgroep[[#This Row],[Percentage van patiëntaantallen in Wlz (overige is Zvw)]]</f>
        <v>0</v>
      </c>
      <c r="V684" s="398">
        <f>uitkomst_doelgroep[[#This Row],[Investering (cash flow) (€)]]*uitkomst_doelgroep[[#This Row],[Percentage van patiëntaantallen in Wlz (overige is Zvw)]]</f>
        <v>0</v>
      </c>
    </row>
    <row r="685" spans="1:22" x14ac:dyDescent="0.5">
      <c r="A685" s="33" t="str">
        <f>INDEX(Technologieën[Veld],MATCH(B685,Technologieën[Digitale zorgtoepassing],0))</f>
        <v>Software - Diagnose</v>
      </c>
      <c r="B685" s="33" t="s">
        <v>472</v>
      </c>
      <c r="C685" s="33" t="s">
        <v>71</v>
      </c>
      <c r="D685" s="427" cm="1">
        <f t="array" ref="D685">INDEX(Berekening_patiëntaantal[Percentage van patiëntaantallen in Wlz (overige is Zvw)],MATCH(B685,IF(Berekening_patiëntaantal[Doelgroep (zoeksleutel)]=C685,Berekening_patiëntaantal[Digitale zorgtoepassing]),0))</f>
        <v>0</v>
      </c>
      <c r="E685" s="33" t="str" cm="1">
        <f t="array" ref="E685">INDEX(Berekening_patiëntaantal[Direct toepasbaar/extrapolatie/incidentie voor QALY],MATCH(B685,IF(Berekening_patiëntaantal[Doelgroep (zoeksleutel)]=C685,Berekening_patiëntaantal[Digitale zorgtoepassing]),0))</f>
        <v>Incidentie voor QALY</v>
      </c>
      <c r="F685" s="43" t="s">
        <v>812</v>
      </c>
      <c r="G685" s="33" t="str">
        <f>CONCATENATE(uitkomst_doelgroep[[#This Row],[Digitale zorgtoepassing]],"_",uitkomst_doelgroep[[#This Row],[Doelgroep]],"_",uitkomst_doelgroep[[#This Row],[Uitgangssituatie/effect beleid]])</f>
        <v>AI om diagnoses te stellen (MRI)_Prostaatkanker_Effect beleid</v>
      </c>
      <c r="H685" s="33">
        <v>2032</v>
      </c>
      <c r="I685" s="32">
        <v>10</v>
      </c>
      <c r="J685" s="406" cm="1">
        <f t="array" ref="J685">INDEX(implementatie[[2023]:[2034]],MATCH(G685, implementatie[Zoeksleutel],0),I685)</f>
        <v>0.99659452554940442</v>
      </c>
      <c r="K685" s="406" cm="1">
        <f t="array" ref="K685">INDEX(implementatie[[2023]:[2034]],MATCH(G685,implementatie[Zoeksleutel],0),I685 + 1)</f>
        <v>0.99839362838010326</v>
      </c>
      <c r="L68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85" s="398" cm="1">
        <f t="array" ref="M685">J685*INDEX(Berekening_impact[Totaal arbeidsbesparing (€/jaar)],MATCH(B685,IF(Berekening_impact[Doelgroep]=C685,Berekening_impact[Digitale zorgtoepassing]),0))</f>
        <v>0</v>
      </c>
      <c r="N685" s="397" cm="1">
        <f t="array" ref="N685">J685*INDEX(Berekening_impact[Totaal arbeidsbesparing (FTE/jaar)],MATCH(B685,IF(Berekening_impact[Doelgroep]=C685,Berekening_impact[Digitale zorgtoepassing]),0))</f>
        <v>0</v>
      </c>
      <c r="O685" s="398" cm="1">
        <f t="array" ref="O685">J685*INDEX(Berekening_impact[Overige kostenbesparing (totaal/jaar totaal potentieel)],MATCH(B685,IF(Berekening_impact[Doelgroep]=C685,Berekening_impact[Digitale zorgtoepassing]),0))</f>
        <v>0</v>
      </c>
      <c r="P685" s="398" cm="1">
        <f t="array" ref="P685">J685*INDEX(Berekening_impact[Opbrengsten door QALY''s],MATCH(B685,IF(Berekening_impact[Doelgroep]=C685,Berekening_impact[Digitale zorgtoepassing]),0))</f>
        <v>10073388.111293526</v>
      </c>
      <c r="Q685" s="398" cm="1">
        <f t="array" ref="Q685">J685*INDEX(Berekening_impact[Jaarlijkse kosten (totaal) - incl. schatting],MATCH(B685,IF(Berekening_impact[Doelgroep]=C685,Berekening_impact[Digitale zorgtoepassing]),0))</f>
        <v>0</v>
      </c>
      <c r="R685" s="398" cm="1">
        <f t="array" ref="R685">(uitkomst_doelgroep[[#This Row],[Implementatiegraad t = T + 1]]-uitkomst_doelgroep[[#This Row],[Implementatiegraad t = T]])*INDEX(Berekening_impact[Initiële investering (totaal) - incl. schatting],MATCH(B685,IF(Berekening_impact[Doelgroep]=C685,Berekening_impact[Digitale zorgtoepassing]),0))</f>
        <v>0</v>
      </c>
      <c r="S685" s="398">
        <f>uitkomst_doelgroep[[#This Row],[Arbeidsbesparing (€)]]*uitkomst_doelgroep[[#This Row],[Percentage van patiëntaantallen in Wlz (overige is Zvw)]]</f>
        <v>0</v>
      </c>
      <c r="T685" s="398">
        <f>uitkomst_doelgroep[[#This Row],[Overige besparingen (€)]]*uitkomst_doelgroep[[#This Row],[Percentage van patiëntaantallen in Wlz (overige is Zvw)]]</f>
        <v>0</v>
      </c>
      <c r="U685" s="398">
        <f>uitkomst_doelgroep[[#This Row],[Kosten (€)]]*uitkomst_doelgroep[[#This Row],[Percentage van patiëntaantallen in Wlz (overige is Zvw)]]</f>
        <v>0</v>
      </c>
      <c r="V685" s="398">
        <f>uitkomst_doelgroep[[#This Row],[Investering (cash flow) (€)]]*uitkomst_doelgroep[[#This Row],[Percentage van patiëntaantallen in Wlz (overige is Zvw)]]</f>
        <v>0</v>
      </c>
    </row>
    <row r="686" spans="1:22" x14ac:dyDescent="0.5">
      <c r="A686" s="33" t="str">
        <f>INDEX(Technologieën[Veld],MATCH(B686,Technologieën[Digitale zorgtoepassing],0))</f>
        <v>Software - Diagnose</v>
      </c>
      <c r="B686" s="33" t="s">
        <v>472</v>
      </c>
      <c r="C686" s="33" t="s">
        <v>71</v>
      </c>
      <c r="D686" s="427" cm="1">
        <f t="array" ref="D686">INDEX(Berekening_patiëntaantal[Percentage van patiëntaantallen in Wlz (overige is Zvw)],MATCH(B686,IF(Berekening_patiëntaantal[Doelgroep (zoeksleutel)]=C686,Berekening_patiëntaantal[Digitale zorgtoepassing]),0))</f>
        <v>0</v>
      </c>
      <c r="E686" s="33" t="str" cm="1">
        <f t="array" ref="E686">INDEX(Berekening_patiëntaantal[Direct toepasbaar/extrapolatie/incidentie voor QALY],MATCH(B686,IF(Berekening_patiëntaantal[Doelgroep (zoeksleutel)]=C686,Berekening_patiëntaantal[Digitale zorgtoepassing]),0))</f>
        <v>Incidentie voor QALY</v>
      </c>
      <c r="F686" s="43" t="s">
        <v>812</v>
      </c>
      <c r="G686" s="33" t="str">
        <f>CONCATENATE(uitkomst_doelgroep[[#This Row],[Digitale zorgtoepassing]],"_",uitkomst_doelgroep[[#This Row],[Doelgroep]],"_",uitkomst_doelgroep[[#This Row],[Uitgangssituatie/effect beleid]])</f>
        <v>AI om diagnoses te stellen (MRI)_Prostaatkanker_Effect beleid</v>
      </c>
      <c r="H686" s="33">
        <v>2033</v>
      </c>
      <c r="I686" s="32">
        <v>11</v>
      </c>
      <c r="J686" s="406" cm="1">
        <f t="array" ref="J686">INDEX(implementatie[[2023]:[2034]],MATCH(G686, implementatie[Zoeksleutel],0),I686)</f>
        <v>0.99839362838010326</v>
      </c>
      <c r="K686" s="406" cm="1">
        <f t="array" ref="K686">INDEX(implementatie[[2023]:[2034]],MATCH(G686,implementatie[Zoeksleutel],0),I686 + 1)</f>
        <v>0.99924371512375787</v>
      </c>
      <c r="L68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686" s="398" cm="1">
        <f t="array" ref="M686">J686*INDEX(Berekening_impact[Totaal arbeidsbesparing (€/jaar)],MATCH(B686,IF(Berekening_impact[Doelgroep]=C686,Berekening_impact[Digitale zorgtoepassing]),0))</f>
        <v>0</v>
      </c>
      <c r="N686" s="397" cm="1">
        <f t="array" ref="N686">J686*INDEX(Berekening_impact[Totaal arbeidsbesparing (FTE/jaar)],MATCH(B686,IF(Berekening_impact[Doelgroep]=C686,Berekening_impact[Digitale zorgtoepassing]),0))</f>
        <v>0</v>
      </c>
      <c r="O686" s="398" cm="1">
        <f t="array" ref="O686">J686*INDEX(Berekening_impact[Overige kostenbesparing (totaal/jaar totaal potentieel)],MATCH(B686,IF(Berekening_impact[Doelgroep]=C686,Berekening_impact[Digitale zorgtoepassing]),0))</f>
        <v>0</v>
      </c>
      <c r="P686" s="398" cm="1">
        <f t="array" ref="P686">J686*INDEX(Berekening_impact[Opbrengsten door QALY''s],MATCH(B686,IF(Berekening_impact[Doelgroep]=C686,Berekening_impact[Digitale zorgtoepassing]),0))</f>
        <v>10091573.100876691</v>
      </c>
      <c r="Q686" s="398" cm="1">
        <f t="array" ref="Q686">J686*INDEX(Berekening_impact[Jaarlijkse kosten (totaal) - incl. schatting],MATCH(B686,IF(Berekening_impact[Doelgroep]=C686,Berekening_impact[Digitale zorgtoepassing]),0))</f>
        <v>0</v>
      </c>
      <c r="R686" s="398" cm="1">
        <f t="array" ref="R686">(uitkomst_doelgroep[[#This Row],[Implementatiegraad t = T + 1]]-uitkomst_doelgroep[[#This Row],[Implementatiegraad t = T]])*INDEX(Berekening_impact[Initiële investering (totaal) - incl. schatting],MATCH(B686,IF(Berekening_impact[Doelgroep]=C686,Berekening_impact[Digitale zorgtoepassing]),0))</f>
        <v>0</v>
      </c>
      <c r="S686" s="398">
        <f>uitkomst_doelgroep[[#This Row],[Arbeidsbesparing (€)]]*uitkomst_doelgroep[[#This Row],[Percentage van patiëntaantallen in Wlz (overige is Zvw)]]</f>
        <v>0</v>
      </c>
      <c r="T686" s="398">
        <f>uitkomst_doelgroep[[#This Row],[Overige besparingen (€)]]*uitkomst_doelgroep[[#This Row],[Percentage van patiëntaantallen in Wlz (overige is Zvw)]]</f>
        <v>0</v>
      </c>
      <c r="U686" s="398">
        <f>uitkomst_doelgroep[[#This Row],[Kosten (€)]]*uitkomst_doelgroep[[#This Row],[Percentage van patiëntaantallen in Wlz (overige is Zvw)]]</f>
        <v>0</v>
      </c>
      <c r="V686" s="398">
        <f>uitkomst_doelgroep[[#This Row],[Investering (cash flow) (€)]]*uitkomst_doelgroep[[#This Row],[Percentage van patiëntaantallen in Wlz (overige is Zvw)]]</f>
        <v>0</v>
      </c>
    </row>
    <row r="687" spans="1:22" x14ac:dyDescent="0.5">
      <c r="A687" s="33" t="str">
        <f>INDEX(Technologieën[Veld],MATCH(B687,Technologieën[Digitale zorgtoepassing],0))</f>
        <v>Digitale hulpmiddelen - Diagnose</v>
      </c>
      <c r="B687" s="33" t="s">
        <v>78</v>
      </c>
      <c r="C687" s="33" t="s">
        <v>699</v>
      </c>
      <c r="D687" s="427" cm="1">
        <f t="array" ref="D687">INDEX(Berekening_patiëntaantal[Percentage van patiëntaantallen in Wlz (overige is Zvw)],MATCH(B687,IF(Berekening_patiëntaantal[Doelgroep (zoeksleutel)]=C687,Berekening_patiëntaantal[Digitale zorgtoepassing]),0))</f>
        <v>0</v>
      </c>
      <c r="E687" s="33" t="str" cm="1">
        <f t="array" ref="E687">INDEX(Berekening_patiëntaantal[Direct toepasbaar/extrapolatie/incidentie voor QALY],MATCH(B687,IF(Berekening_patiëntaantal[Doelgroep (zoeksleutel)]=C687,Berekening_patiëntaantal[Digitale zorgtoepassing]),0))</f>
        <v>Huidige toepassing</v>
      </c>
      <c r="F687" s="43" t="s">
        <v>812</v>
      </c>
      <c r="G687" s="33" t="str">
        <f>CONCATENATE(uitkomst_doelgroep[[#This Row],[Digitale zorgtoepassing]],"_",uitkomst_doelgroep[[#This Row],[Doelgroep]],"_",uitkomst_doelgroep[[#This Row],[Uitgangssituatie/effect beleid]])</f>
        <v>Mobiele echo's_Echo's 2e lijn_Effect beleid</v>
      </c>
      <c r="H687" s="33">
        <v>2023</v>
      </c>
      <c r="I687" s="32">
        <v>1</v>
      </c>
      <c r="J687" s="406" cm="1">
        <f t="array" ref="J687">INDEX(implementatie[[2023]:[2034]],MATCH(G687, implementatie[Zoeksleutel],0),I687)</f>
        <v>0.2</v>
      </c>
      <c r="K687" s="406" cm="1">
        <f t="array" ref="K687">INDEX(implementatie[[2023]:[2034]],MATCH(G687,implementatie[Zoeksleutel],0),I687 + 1)</f>
        <v>0.29200000000000004</v>
      </c>
      <c r="L68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760000</v>
      </c>
      <c r="M687" s="398" cm="1">
        <f t="array" ref="M687">J687*INDEX(Berekening_impact[Totaal arbeidsbesparing (€/jaar)],MATCH(B687,IF(Berekening_impact[Doelgroep]=C687,Berekening_impact[Digitale zorgtoepassing]),0))</f>
        <v>1575999.042145594</v>
      </c>
      <c r="N687" s="397" cm="1">
        <f t="array" ref="N687">J687*INDEX(Berekening_impact[Totaal arbeidsbesparing (FTE/jaar)],MATCH(B687,IF(Berekening_impact[Doelgroep]=C687,Berekening_impact[Digitale zorgtoepassing]),0))</f>
        <v>30.448717948717952</v>
      </c>
      <c r="O687" s="398" cm="1">
        <f t="array" ref="O687">J687*INDEX(Berekening_impact[Overige kostenbesparing (totaal/jaar totaal potentieel)],MATCH(B687,IF(Berekening_impact[Doelgroep]=C687,Berekening_impact[Digitale zorgtoepassing]),0))</f>
        <v>1171079.4380587488</v>
      </c>
      <c r="P687" s="398" cm="1">
        <f t="array" ref="P687">J687*INDEX(Berekening_impact[Opbrengsten door QALY''s],MATCH(B687,IF(Berekening_impact[Doelgroep]=C687,Berekening_impact[Digitale zorgtoepassing]),0))</f>
        <v>0</v>
      </c>
      <c r="Q687" s="398" cm="1">
        <f t="array" ref="Q687">J687*INDEX(Berekening_impact[Jaarlijkse kosten (totaal) - incl. schatting],MATCH(B687,IF(Berekening_impact[Doelgroep]=C687,Berekening_impact[Digitale zorgtoepassing]),0))</f>
        <v>178450.80000000002</v>
      </c>
      <c r="R687" s="398" cm="1">
        <f t="array" ref="R687">(uitkomst_doelgroep[[#This Row],[Implementatiegraad t = T + 1]]-uitkomst_doelgroep[[#This Row],[Implementatiegraad t = T]])*INDEX(Berekening_impact[Initiële investering (totaal) - incl. schatting],MATCH(B687,IF(Berekening_impact[Doelgroep]=C687,Berekening_impact[Digitale zorgtoepassing]),0))</f>
        <v>0</v>
      </c>
      <c r="S687" s="398">
        <f>uitkomst_doelgroep[[#This Row],[Arbeidsbesparing (€)]]*uitkomst_doelgroep[[#This Row],[Percentage van patiëntaantallen in Wlz (overige is Zvw)]]</f>
        <v>0</v>
      </c>
      <c r="T687" s="398">
        <f>uitkomst_doelgroep[[#This Row],[Overige besparingen (€)]]*uitkomst_doelgroep[[#This Row],[Percentage van patiëntaantallen in Wlz (overige is Zvw)]]</f>
        <v>0</v>
      </c>
      <c r="U687" s="398">
        <f>uitkomst_doelgroep[[#This Row],[Kosten (€)]]*uitkomst_doelgroep[[#This Row],[Percentage van patiëntaantallen in Wlz (overige is Zvw)]]</f>
        <v>0</v>
      </c>
      <c r="V687" s="398">
        <f>uitkomst_doelgroep[[#This Row],[Investering (cash flow) (€)]]*uitkomst_doelgroep[[#This Row],[Percentage van patiëntaantallen in Wlz (overige is Zvw)]]</f>
        <v>0</v>
      </c>
    </row>
    <row r="688" spans="1:22" x14ac:dyDescent="0.5">
      <c r="A688" s="33" t="str">
        <f>INDEX(Technologieën[Veld],MATCH(B688,Technologieën[Digitale zorgtoepassing],0))</f>
        <v>Digitale hulpmiddelen - Diagnose</v>
      </c>
      <c r="B688" s="33" t="s">
        <v>78</v>
      </c>
      <c r="C688" s="33" t="s">
        <v>699</v>
      </c>
      <c r="D688" s="427" cm="1">
        <f t="array" ref="D688">INDEX(Berekening_patiëntaantal[Percentage van patiëntaantallen in Wlz (overige is Zvw)],MATCH(B688,IF(Berekening_patiëntaantal[Doelgroep (zoeksleutel)]=C688,Berekening_patiëntaantal[Digitale zorgtoepassing]),0))</f>
        <v>0</v>
      </c>
      <c r="E688" s="33" t="str" cm="1">
        <f t="array" ref="E688">INDEX(Berekening_patiëntaantal[Direct toepasbaar/extrapolatie/incidentie voor QALY],MATCH(B688,IF(Berekening_patiëntaantal[Doelgroep (zoeksleutel)]=C688,Berekening_patiëntaantal[Digitale zorgtoepassing]),0))</f>
        <v>Huidige toepassing</v>
      </c>
      <c r="F688" s="43" t="s">
        <v>812</v>
      </c>
      <c r="G688" s="33" t="str">
        <f>CONCATENATE(uitkomst_doelgroep[[#This Row],[Digitale zorgtoepassing]],"_",uitkomst_doelgroep[[#This Row],[Doelgroep]],"_",uitkomst_doelgroep[[#This Row],[Uitgangssituatie/effect beleid]])</f>
        <v>Mobiele echo's_Echo's 2e lijn_Effect beleid</v>
      </c>
      <c r="H688" s="33">
        <v>2024</v>
      </c>
      <c r="I688" s="32">
        <v>2</v>
      </c>
      <c r="J688" s="406" cm="1">
        <f t="array" ref="J688">INDEX(implementatie[[2023]:[2034]],MATCH(G688, implementatie[Zoeksleutel],0),I688)</f>
        <v>0.29200000000000004</v>
      </c>
      <c r="K688" s="406" cm="1">
        <f t="array" ref="K688">INDEX(implementatie[[2023]:[2034]],MATCH(G688,implementatie[Zoeksleutel],0),I688 + 1)</f>
        <v>0.40273120000000007</v>
      </c>
      <c r="L68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1109600.0000000002</v>
      </c>
      <c r="M688" s="398" cm="1">
        <f t="array" ref="M688">J688*INDEX(Berekening_impact[Totaal arbeidsbesparing (€/jaar)],MATCH(B688,IF(Berekening_impact[Doelgroep]=C688,Berekening_impact[Digitale zorgtoepassing]),0))</f>
        <v>2300958.6015325678</v>
      </c>
      <c r="N688" s="397" cm="1">
        <f t="array" ref="N688">J688*INDEX(Berekening_impact[Totaal arbeidsbesparing (FTE/jaar)],MATCH(B688,IF(Berekening_impact[Doelgroep]=C688,Berekening_impact[Digitale zorgtoepassing]),0))</f>
        <v>44.455128205128212</v>
      </c>
      <c r="O688" s="398" cm="1">
        <f t="array" ref="O688">J688*INDEX(Berekening_impact[Overige kostenbesparing (totaal/jaar totaal potentieel)],MATCH(B688,IF(Berekening_impact[Doelgroep]=C688,Berekening_impact[Digitale zorgtoepassing]),0))</f>
        <v>1709775.9795657736</v>
      </c>
      <c r="P688" s="398" cm="1">
        <f t="array" ref="P688">J688*INDEX(Berekening_impact[Opbrengsten door QALY''s],MATCH(B688,IF(Berekening_impact[Doelgroep]=C688,Berekening_impact[Digitale zorgtoepassing]),0))</f>
        <v>0</v>
      </c>
      <c r="Q688" s="398" cm="1">
        <f t="array" ref="Q688">J688*INDEX(Berekening_impact[Jaarlijkse kosten (totaal) - incl. schatting],MATCH(B688,IF(Berekening_impact[Doelgroep]=C688,Berekening_impact[Digitale zorgtoepassing]),0))</f>
        <v>260538.16800000003</v>
      </c>
      <c r="R688" s="398" cm="1">
        <f t="array" ref="R688">(uitkomst_doelgroep[[#This Row],[Implementatiegraad t = T + 1]]-uitkomst_doelgroep[[#This Row],[Implementatiegraad t = T]])*INDEX(Berekening_impact[Initiële investering (totaal) - incl. schatting],MATCH(B688,IF(Berekening_impact[Doelgroep]=C688,Berekening_impact[Digitale zorgtoepassing]),0))</f>
        <v>0</v>
      </c>
      <c r="S688" s="398">
        <f>uitkomst_doelgroep[[#This Row],[Arbeidsbesparing (€)]]*uitkomst_doelgroep[[#This Row],[Percentage van patiëntaantallen in Wlz (overige is Zvw)]]</f>
        <v>0</v>
      </c>
      <c r="T688" s="398">
        <f>uitkomst_doelgroep[[#This Row],[Overige besparingen (€)]]*uitkomst_doelgroep[[#This Row],[Percentage van patiëntaantallen in Wlz (overige is Zvw)]]</f>
        <v>0</v>
      </c>
      <c r="U688" s="398">
        <f>uitkomst_doelgroep[[#This Row],[Kosten (€)]]*uitkomst_doelgroep[[#This Row],[Percentage van patiëntaantallen in Wlz (overige is Zvw)]]</f>
        <v>0</v>
      </c>
      <c r="V688" s="398">
        <f>uitkomst_doelgroep[[#This Row],[Investering (cash flow) (€)]]*uitkomst_doelgroep[[#This Row],[Percentage van patiëntaantallen in Wlz (overige is Zvw)]]</f>
        <v>0</v>
      </c>
    </row>
    <row r="689" spans="1:22" x14ac:dyDescent="0.5">
      <c r="A689" s="33" t="str">
        <f>INDEX(Technologieën[Veld],MATCH(B689,Technologieën[Digitale zorgtoepassing],0))</f>
        <v>Digitale hulpmiddelen - Diagnose</v>
      </c>
      <c r="B689" s="33" t="s">
        <v>78</v>
      </c>
      <c r="C689" s="33" t="s">
        <v>699</v>
      </c>
      <c r="D689" s="427" cm="1">
        <f t="array" ref="D689">INDEX(Berekening_patiëntaantal[Percentage van patiëntaantallen in Wlz (overige is Zvw)],MATCH(B689,IF(Berekening_patiëntaantal[Doelgroep (zoeksleutel)]=C689,Berekening_patiëntaantal[Digitale zorgtoepassing]),0))</f>
        <v>0</v>
      </c>
      <c r="E689" s="33" t="str" cm="1">
        <f t="array" ref="E689">INDEX(Berekening_patiëntaantal[Direct toepasbaar/extrapolatie/incidentie voor QALY],MATCH(B689,IF(Berekening_patiëntaantal[Doelgroep (zoeksleutel)]=C689,Berekening_patiëntaantal[Digitale zorgtoepassing]),0))</f>
        <v>Huidige toepassing</v>
      </c>
      <c r="F689" s="43" t="s">
        <v>812</v>
      </c>
      <c r="G689" s="33" t="str">
        <f>CONCATENATE(uitkomst_doelgroep[[#This Row],[Digitale zorgtoepassing]],"_",uitkomst_doelgroep[[#This Row],[Doelgroep]],"_",uitkomst_doelgroep[[#This Row],[Uitgangssituatie/effect beleid]])</f>
        <v>Mobiele echo's_Echo's 2e lijn_Effect beleid</v>
      </c>
      <c r="H689" s="33">
        <v>2025</v>
      </c>
      <c r="I689" s="32">
        <v>3</v>
      </c>
      <c r="J689" s="406" cm="1">
        <f t="array" ref="J689">INDEX(implementatie[[2023]:[2034]],MATCH(G689, implementatie[Zoeksleutel],0),I689)</f>
        <v>0.40273120000000007</v>
      </c>
      <c r="K689" s="406" cm="1">
        <f t="array" ref="K689">INDEX(implementatie[[2023]:[2034]],MATCH(G689,implementatie[Zoeksleutel],0),I689 + 1)</f>
        <v>0.52590537124595205</v>
      </c>
      <c r="L68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1530378.5600000003</v>
      </c>
      <c r="M689" s="398" cm="1">
        <f t="array" ref="M689">J689*INDEX(Berekening_impact[Totaal arbeidsbesparing (€/jaar)],MATCH(B689,IF(Berekening_impact[Doelgroep]=C689,Berekening_impact[Digitale zorgtoepassing]),0))</f>
        <v>3173519.9272107286</v>
      </c>
      <c r="N689" s="397" cm="1">
        <f t="array" ref="N689">J689*INDEX(Berekening_impact[Totaal arbeidsbesparing (FTE/jaar)],MATCH(B689,IF(Berekening_impact[Doelgroep]=C689,Berekening_impact[Digitale zorgtoepassing]),0))</f>
        <v>61.3132435897436</v>
      </c>
      <c r="O689" s="398" cm="1">
        <f t="array" ref="O689">J689*INDEX(Berekening_impact[Overige kostenbesparing (totaal/jaar totaal potentieel)],MATCH(B689,IF(Berekening_impact[Doelgroep]=C689,Berekening_impact[Digitale zorgtoepassing]),0))</f>
        <v>2358151.1369236284</v>
      </c>
      <c r="P689" s="398" cm="1">
        <f t="array" ref="P689">J689*INDEX(Berekening_impact[Opbrengsten door QALY''s],MATCH(B689,IF(Berekening_impact[Doelgroep]=C689,Berekening_impact[Digitale zorgtoepassing]),0))</f>
        <v>0</v>
      </c>
      <c r="Q689" s="398" cm="1">
        <f t="array" ref="Q689">J689*INDEX(Berekening_impact[Jaarlijkse kosten (totaal) - incl. schatting],MATCH(B689,IF(Berekening_impact[Doelgroep]=C689,Berekening_impact[Digitale zorgtoepassing]),0))</f>
        <v>359338.52412480005</v>
      </c>
      <c r="R689" s="398" cm="1">
        <f t="array" ref="R689">(uitkomst_doelgroep[[#This Row],[Implementatiegraad t = T + 1]]-uitkomst_doelgroep[[#This Row],[Implementatiegraad t = T]])*INDEX(Berekening_impact[Initiële investering (totaal) - incl. schatting],MATCH(B689,IF(Berekening_impact[Doelgroep]=C689,Berekening_impact[Digitale zorgtoepassing]),0))</f>
        <v>0</v>
      </c>
      <c r="S689" s="398">
        <f>uitkomst_doelgroep[[#This Row],[Arbeidsbesparing (€)]]*uitkomst_doelgroep[[#This Row],[Percentage van patiëntaantallen in Wlz (overige is Zvw)]]</f>
        <v>0</v>
      </c>
      <c r="T689" s="398">
        <f>uitkomst_doelgroep[[#This Row],[Overige besparingen (€)]]*uitkomst_doelgroep[[#This Row],[Percentage van patiëntaantallen in Wlz (overige is Zvw)]]</f>
        <v>0</v>
      </c>
      <c r="U689" s="398">
        <f>uitkomst_doelgroep[[#This Row],[Kosten (€)]]*uitkomst_doelgroep[[#This Row],[Percentage van patiëntaantallen in Wlz (overige is Zvw)]]</f>
        <v>0</v>
      </c>
      <c r="V689" s="398">
        <f>uitkomst_doelgroep[[#This Row],[Investering (cash flow) (€)]]*uitkomst_doelgroep[[#This Row],[Percentage van patiëntaantallen in Wlz (overige is Zvw)]]</f>
        <v>0</v>
      </c>
    </row>
    <row r="690" spans="1:22" x14ac:dyDescent="0.5">
      <c r="A690" s="33" t="str">
        <f>INDEX(Technologieën[Veld],MATCH(B690,Technologieën[Digitale zorgtoepassing],0))</f>
        <v>Digitale hulpmiddelen - Diagnose</v>
      </c>
      <c r="B690" s="33" t="s">
        <v>78</v>
      </c>
      <c r="C690" s="33" t="s">
        <v>699</v>
      </c>
      <c r="D690" s="427" cm="1">
        <f t="array" ref="D690">INDEX(Berekening_patiëntaantal[Percentage van patiëntaantallen in Wlz (overige is Zvw)],MATCH(B690,IF(Berekening_patiëntaantal[Doelgroep (zoeksleutel)]=C690,Berekening_patiëntaantal[Digitale zorgtoepassing]),0))</f>
        <v>0</v>
      </c>
      <c r="E690" s="33" t="str" cm="1">
        <f t="array" ref="E690">INDEX(Berekening_patiëntaantal[Direct toepasbaar/extrapolatie/incidentie voor QALY],MATCH(B690,IF(Berekening_patiëntaantal[Doelgroep (zoeksleutel)]=C690,Berekening_patiëntaantal[Digitale zorgtoepassing]),0))</f>
        <v>Huidige toepassing</v>
      </c>
      <c r="F690" s="43" t="s">
        <v>812</v>
      </c>
      <c r="G690" s="33" t="str">
        <f>CONCATENATE(uitkomst_doelgroep[[#This Row],[Digitale zorgtoepassing]],"_",uitkomst_doelgroep[[#This Row],[Doelgroep]],"_",uitkomst_doelgroep[[#This Row],[Uitgangssituatie/effect beleid]])</f>
        <v>Mobiele echo's_Echo's 2e lijn_Effect beleid</v>
      </c>
      <c r="H690" s="33">
        <v>2026</v>
      </c>
      <c r="I690" s="32">
        <v>4</v>
      </c>
      <c r="J690" s="406" cm="1">
        <f t="array" ref="J690">INDEX(implementatie[[2023]:[2034]],MATCH(G690, implementatie[Zoeksleutel],0),I690)</f>
        <v>0.52590537124595205</v>
      </c>
      <c r="K690" s="406" cm="1">
        <f t="array" ref="K690">INDEX(implementatie[[2023]:[2034]],MATCH(G690,implementatie[Zoeksleutel],0),I690 + 1)</f>
        <v>0.64995574724807748</v>
      </c>
      <c r="L69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1998440.4107346178</v>
      </c>
      <c r="M690" s="398" cm="1">
        <f t="array" ref="M690">J690*INDEX(Berekening_impact[Totaal arbeidsbesparing (€/jaar)],MATCH(B690,IF(Berekening_impact[Doelgroep]=C690,Berekening_impact[Digitale zorgtoepassing]),0))</f>
        <v>4144131.8067142172</v>
      </c>
      <c r="N690" s="397" cm="1">
        <f t="array" ref="N690">J690*INDEX(Berekening_impact[Totaal arbeidsbesparing (FTE/jaar)],MATCH(B690,IF(Berekening_impact[Doelgroep]=C690,Berekening_impact[Digitale zorgtoepassing]),0))</f>
        <v>80.065721583918986</v>
      </c>
      <c r="O690" s="398" cm="1">
        <f t="array" ref="O690">J690*INDEX(Berekening_impact[Overige kostenbesparing (totaal/jaar totaal potentieel)],MATCH(B690,IF(Berekening_impact[Doelgroep]=C690,Berekening_impact[Digitale zorgtoepassing]),0))</f>
        <v>3079384.8331539361</v>
      </c>
      <c r="P690" s="398" cm="1">
        <f t="array" ref="P690">J690*INDEX(Berekening_impact[Opbrengsten door QALY''s],MATCH(B690,IF(Berekening_impact[Doelgroep]=C690,Berekening_impact[Digitale zorgtoepassing]),0))</f>
        <v>0</v>
      </c>
      <c r="Q690" s="398" cm="1">
        <f t="array" ref="Q690">J690*INDEX(Berekening_impact[Jaarlijkse kosten (totaal) - incl. schatting],MATCH(B690,IF(Berekening_impact[Doelgroep]=C690,Berekening_impact[Digitale zorgtoepassing]),0))</f>
        <v>469241.17111568572</v>
      </c>
      <c r="R690" s="398" cm="1">
        <f t="array" ref="R690">(uitkomst_doelgroep[[#This Row],[Implementatiegraad t = T + 1]]-uitkomst_doelgroep[[#This Row],[Implementatiegraad t = T]])*INDEX(Berekening_impact[Initiële investering (totaal) - incl. schatting],MATCH(B690,IF(Berekening_impact[Doelgroep]=C690,Berekening_impact[Digitale zorgtoepassing]),0))</f>
        <v>0</v>
      </c>
      <c r="S690" s="398">
        <f>uitkomst_doelgroep[[#This Row],[Arbeidsbesparing (€)]]*uitkomst_doelgroep[[#This Row],[Percentage van patiëntaantallen in Wlz (overige is Zvw)]]</f>
        <v>0</v>
      </c>
      <c r="T690" s="398">
        <f>uitkomst_doelgroep[[#This Row],[Overige besparingen (€)]]*uitkomst_doelgroep[[#This Row],[Percentage van patiëntaantallen in Wlz (overige is Zvw)]]</f>
        <v>0</v>
      </c>
      <c r="U690" s="398">
        <f>uitkomst_doelgroep[[#This Row],[Kosten (€)]]*uitkomst_doelgroep[[#This Row],[Percentage van patiëntaantallen in Wlz (overige is Zvw)]]</f>
        <v>0</v>
      </c>
      <c r="V690" s="398">
        <f>uitkomst_doelgroep[[#This Row],[Investering (cash flow) (€)]]*uitkomst_doelgroep[[#This Row],[Percentage van patiëntaantallen in Wlz (overige is Zvw)]]</f>
        <v>0</v>
      </c>
    </row>
    <row r="691" spans="1:22" x14ac:dyDescent="0.5">
      <c r="A691" s="33" t="str">
        <f>INDEX(Technologieën[Veld],MATCH(B691,Technologieën[Digitale zorgtoepassing],0))</f>
        <v>Digitale hulpmiddelen - Diagnose</v>
      </c>
      <c r="B691" s="33" t="s">
        <v>78</v>
      </c>
      <c r="C691" s="33" t="s">
        <v>699</v>
      </c>
      <c r="D691" s="427" cm="1">
        <f t="array" ref="D691">INDEX(Berekening_patiëntaantal[Percentage van patiëntaantallen in Wlz (overige is Zvw)],MATCH(B691,IF(Berekening_patiëntaantal[Doelgroep (zoeksleutel)]=C691,Berekening_patiëntaantal[Digitale zorgtoepassing]),0))</f>
        <v>0</v>
      </c>
      <c r="E691" s="33" t="str" cm="1">
        <f t="array" ref="E691">INDEX(Berekening_patiëntaantal[Direct toepasbaar/extrapolatie/incidentie voor QALY],MATCH(B691,IF(Berekening_patiëntaantal[Doelgroep (zoeksleutel)]=C691,Berekening_patiëntaantal[Digitale zorgtoepassing]),0))</f>
        <v>Huidige toepassing</v>
      </c>
      <c r="F691" s="43" t="s">
        <v>812</v>
      </c>
      <c r="G691" s="33" t="str">
        <f>CONCATENATE(uitkomst_doelgroep[[#This Row],[Digitale zorgtoepassing]],"_",uitkomst_doelgroep[[#This Row],[Doelgroep]],"_",uitkomst_doelgroep[[#This Row],[Uitgangssituatie/effect beleid]])</f>
        <v>Mobiele echo's_Echo's 2e lijn_Effect beleid</v>
      </c>
      <c r="H691" s="33">
        <v>2027</v>
      </c>
      <c r="I691" s="32">
        <v>5</v>
      </c>
      <c r="J691" s="406" cm="1">
        <f t="array" ref="J691">INDEX(implementatie[[2023]:[2034]],MATCH(G691, implementatie[Zoeksleutel],0),I691)</f>
        <v>0.64995574724807748</v>
      </c>
      <c r="K691" s="406" cm="1">
        <f t="array" ref="K691">INDEX(implementatie[[2023]:[2034]],MATCH(G691,implementatie[Zoeksleutel],0),I691 + 1)</f>
        <v>0.76108782680714737</v>
      </c>
      <c r="L69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2469831.8395426944</v>
      </c>
      <c r="M691" s="398" cm="1">
        <f t="array" ref="M691">J691*INDEX(Berekening_impact[Totaal arbeidsbesparing (€/jaar)],MATCH(B691,IF(Berekening_impact[Doelgroep]=C691,Berekening_impact[Digitale zorgtoepassing]),0))</f>
        <v>5121648.1754999692</v>
      </c>
      <c r="N691" s="397" cm="1">
        <f t="array" ref="N691">J691*INDEX(Berekening_impact[Totaal arbeidsbesparing (FTE/jaar)],MATCH(B691,IF(Berekening_impact[Doelgroep]=C691,Berekening_impact[Digitale zorgtoepassing]),0))</f>
        <v>98.951596135524625</v>
      </c>
      <c r="O691" s="398" cm="1">
        <f t="array" ref="O691">J691*INDEX(Berekening_impact[Overige kostenbesparing (totaal/jaar totaal potentieel)],MATCH(B691,IF(Berekening_impact[Doelgroep]=C691,Berekening_impact[Digitale zorgtoepassing]),0))</f>
        <v>3805749.0562516637</v>
      </c>
      <c r="P691" s="398" cm="1">
        <f t="array" ref="P691">J691*INDEX(Berekening_impact[Opbrengsten door QALY''s],MATCH(B691,IF(Berekening_impact[Doelgroep]=C691,Berekening_impact[Digitale zorgtoepassing]),0))</f>
        <v>0</v>
      </c>
      <c r="Q691" s="398" cm="1">
        <f t="array" ref="Q691">J691*INDEX(Berekening_impact[Jaarlijkse kosten (totaal) - incl. schatting],MATCH(B691,IF(Berekening_impact[Doelgroep]=C691,Berekening_impact[Digitale zorgtoepassing]),0))</f>
        <v>579925.61530508613</v>
      </c>
      <c r="R691" s="398" cm="1">
        <f t="array" ref="R691">(uitkomst_doelgroep[[#This Row],[Implementatiegraad t = T + 1]]-uitkomst_doelgroep[[#This Row],[Implementatiegraad t = T]])*INDEX(Berekening_impact[Initiële investering (totaal) - incl. schatting],MATCH(B691,IF(Berekening_impact[Doelgroep]=C691,Berekening_impact[Digitale zorgtoepassing]),0))</f>
        <v>0</v>
      </c>
      <c r="S691" s="398">
        <f>uitkomst_doelgroep[[#This Row],[Arbeidsbesparing (€)]]*uitkomst_doelgroep[[#This Row],[Percentage van patiëntaantallen in Wlz (overige is Zvw)]]</f>
        <v>0</v>
      </c>
      <c r="T691" s="398">
        <f>uitkomst_doelgroep[[#This Row],[Overige besparingen (€)]]*uitkomst_doelgroep[[#This Row],[Percentage van patiëntaantallen in Wlz (overige is Zvw)]]</f>
        <v>0</v>
      </c>
      <c r="U691" s="398">
        <f>uitkomst_doelgroep[[#This Row],[Kosten (€)]]*uitkomst_doelgroep[[#This Row],[Percentage van patiëntaantallen in Wlz (overige is Zvw)]]</f>
        <v>0</v>
      </c>
      <c r="V691" s="398">
        <f>uitkomst_doelgroep[[#This Row],[Investering (cash flow) (€)]]*uitkomst_doelgroep[[#This Row],[Percentage van patiëntaantallen in Wlz (overige is Zvw)]]</f>
        <v>0</v>
      </c>
    </row>
    <row r="692" spans="1:22" x14ac:dyDescent="0.5">
      <c r="A692" s="33" t="str">
        <f>INDEX(Technologieën[Veld],MATCH(B692,Technologieën[Digitale zorgtoepassing],0))</f>
        <v>Digitale hulpmiddelen - Diagnose</v>
      </c>
      <c r="B692" s="33" t="s">
        <v>78</v>
      </c>
      <c r="C692" s="33" t="s">
        <v>699</v>
      </c>
      <c r="D692" s="427" cm="1">
        <f t="array" ref="D692">INDEX(Berekening_patiëntaantal[Percentage van patiëntaantallen in Wlz (overige is Zvw)],MATCH(B692,IF(Berekening_patiëntaantal[Doelgroep (zoeksleutel)]=C692,Berekening_patiëntaantal[Digitale zorgtoepassing]),0))</f>
        <v>0</v>
      </c>
      <c r="E692" s="33" t="str" cm="1">
        <f t="array" ref="E692">INDEX(Berekening_patiëntaantal[Direct toepasbaar/extrapolatie/incidentie voor QALY],MATCH(B692,IF(Berekening_patiëntaantal[Doelgroep (zoeksleutel)]=C692,Berekening_patiëntaantal[Digitale zorgtoepassing]),0))</f>
        <v>Huidige toepassing</v>
      </c>
      <c r="F692" s="43" t="s">
        <v>812</v>
      </c>
      <c r="G692" s="33" t="str">
        <f>CONCATENATE(uitkomst_doelgroep[[#This Row],[Digitale zorgtoepassing]],"_",uitkomst_doelgroep[[#This Row],[Doelgroep]],"_",uitkomst_doelgroep[[#This Row],[Uitgangssituatie/effect beleid]])</f>
        <v>Mobiele echo's_Echo's 2e lijn_Effect beleid</v>
      </c>
      <c r="H692" s="33">
        <v>2028</v>
      </c>
      <c r="I692" s="32">
        <v>6</v>
      </c>
      <c r="J692" s="406" cm="1">
        <f t="array" ref="J692">INDEX(implementatie[[2023]:[2034]],MATCH(G692, implementatie[Zoeksleutel],0),I692)</f>
        <v>0.76108782680714737</v>
      </c>
      <c r="K692" s="406" cm="1">
        <f t="array" ref="K692">INDEX(implementatie[[2023]:[2034]],MATCH(G692,implementatie[Zoeksleutel],0),I692 + 1)</f>
        <v>0.8488855471488731</v>
      </c>
      <c r="L69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2892133.74186716</v>
      </c>
      <c r="M692" s="398" cm="1">
        <f t="array" ref="M692">J692*INDEX(Berekening_impact[Totaal arbeidsbesparing (€/jaar)],MATCH(B692,IF(Berekening_impact[Doelgroep]=C692,Berekening_impact[Digitale zorgtoepassing]),0))</f>
        <v>5997368.4301836798</v>
      </c>
      <c r="N692" s="397" cm="1">
        <f t="array" ref="N692">J692*INDEX(Berekening_impact[Totaal arbeidsbesparing (FTE/jaar)],MATCH(B692,IF(Berekening_impact[Doelgroep]=C692,Berekening_impact[Digitale zorgtoepassing]),0))</f>
        <v>115.87074286326764</v>
      </c>
      <c r="O692" s="398" cm="1">
        <f t="array" ref="O692">J692*INDEX(Berekening_impact[Overige kostenbesparing (totaal/jaar totaal potentieel)],MATCH(B692,IF(Berekening_impact[Doelgroep]=C692,Berekening_impact[Digitale zorgtoepassing]),0))</f>
        <v>4456471.5226533422</v>
      </c>
      <c r="P692" s="398" cm="1">
        <f t="array" ref="P692">J692*INDEX(Berekening_impact[Opbrengsten door QALY''s],MATCH(B692,IF(Berekening_impact[Doelgroep]=C692,Berekening_impact[Digitale zorgtoepassing]),0))</f>
        <v>0</v>
      </c>
      <c r="Q692" s="398" cm="1">
        <f t="array" ref="Q692">J692*INDEX(Berekening_impact[Jaarlijkse kosten (totaal) - incl. schatting],MATCH(B692,IF(Berekening_impact[Doelgroep]=C692,Berekening_impact[Digitale zorgtoepassing]),0))</f>
        <v>679083.65781998448</v>
      </c>
      <c r="R692" s="398" cm="1">
        <f t="array" ref="R692">(uitkomst_doelgroep[[#This Row],[Implementatiegraad t = T + 1]]-uitkomst_doelgroep[[#This Row],[Implementatiegraad t = T]])*INDEX(Berekening_impact[Initiële investering (totaal) - incl. schatting],MATCH(B692,IF(Berekening_impact[Doelgroep]=C692,Berekening_impact[Digitale zorgtoepassing]),0))</f>
        <v>0</v>
      </c>
      <c r="S692" s="398">
        <f>uitkomst_doelgroep[[#This Row],[Arbeidsbesparing (€)]]*uitkomst_doelgroep[[#This Row],[Percentage van patiëntaantallen in Wlz (overige is Zvw)]]</f>
        <v>0</v>
      </c>
      <c r="T692" s="398">
        <f>uitkomst_doelgroep[[#This Row],[Overige besparingen (€)]]*uitkomst_doelgroep[[#This Row],[Percentage van patiëntaantallen in Wlz (overige is Zvw)]]</f>
        <v>0</v>
      </c>
      <c r="U692" s="398">
        <f>uitkomst_doelgroep[[#This Row],[Kosten (€)]]*uitkomst_doelgroep[[#This Row],[Percentage van patiëntaantallen in Wlz (overige is Zvw)]]</f>
        <v>0</v>
      </c>
      <c r="V692" s="398">
        <f>uitkomst_doelgroep[[#This Row],[Investering (cash flow) (€)]]*uitkomst_doelgroep[[#This Row],[Percentage van patiëntaantallen in Wlz (overige is Zvw)]]</f>
        <v>0</v>
      </c>
    </row>
    <row r="693" spans="1:22" x14ac:dyDescent="0.5">
      <c r="A693" s="33" t="str">
        <f>INDEX(Technologieën[Veld],MATCH(B693,Technologieën[Digitale zorgtoepassing],0))</f>
        <v>Digitale hulpmiddelen - Diagnose</v>
      </c>
      <c r="B693" s="33" t="s">
        <v>78</v>
      </c>
      <c r="C693" s="33" t="s">
        <v>699</v>
      </c>
      <c r="D693" s="427" cm="1">
        <f t="array" ref="D693">INDEX(Berekening_patiëntaantal[Percentage van patiëntaantallen in Wlz (overige is Zvw)],MATCH(B693,IF(Berekening_patiëntaantal[Doelgroep (zoeksleutel)]=C693,Berekening_patiëntaantal[Digitale zorgtoepassing]),0))</f>
        <v>0</v>
      </c>
      <c r="E693" s="33" t="str" cm="1">
        <f t="array" ref="E693">INDEX(Berekening_patiëntaantal[Direct toepasbaar/extrapolatie/incidentie voor QALY],MATCH(B693,IF(Berekening_patiëntaantal[Doelgroep (zoeksleutel)]=C693,Berekening_patiëntaantal[Digitale zorgtoepassing]),0))</f>
        <v>Huidige toepassing</v>
      </c>
      <c r="F693" s="43" t="s">
        <v>812</v>
      </c>
      <c r="G693" s="33" t="str">
        <f>CONCATENATE(uitkomst_doelgroep[[#This Row],[Digitale zorgtoepassing]],"_",uitkomst_doelgroep[[#This Row],[Doelgroep]],"_",uitkomst_doelgroep[[#This Row],[Uitgangssituatie/effect beleid]])</f>
        <v>Mobiele echo's_Echo's 2e lijn_Effect beleid</v>
      </c>
      <c r="H693" s="33">
        <v>2029</v>
      </c>
      <c r="I693" s="32">
        <v>7</v>
      </c>
      <c r="J693" s="406" cm="1">
        <f t="array" ref="J693">INDEX(implementatie[[2023]:[2034]],MATCH(G693, implementatie[Zoeksleutel],0),I693)</f>
        <v>0.8488855471488731</v>
      </c>
      <c r="K693" s="406" cm="1">
        <f t="array" ref="K693">INDEX(implementatie[[2023]:[2034]],MATCH(G693,implementatie[Zoeksleutel],0),I693 + 1)</f>
        <v>0.91038890221593549</v>
      </c>
      <c r="L69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3225765.0791657176</v>
      </c>
      <c r="M693" s="398" cm="1">
        <f t="array" ref="M693">J693*INDEX(Berekening_impact[Totaal arbeidsbesparing (€/jaar)],MATCH(B693,IF(Berekening_impact[Doelgroep]=C693,Berekening_impact[Digitale zorgtoepassing]),0))</f>
        <v>6689214.0459893122</v>
      </c>
      <c r="N693" s="397" cm="1">
        <f t="array" ref="N693">J693*INDEX(Berekening_impact[Totaal arbeidsbesparing (FTE/jaar)],MATCH(B693,IF(Berekening_impact[Doelgroep]=C693,Berekening_impact[Digitale zorgtoepassing]),0))</f>
        <v>129.23738297939576</v>
      </c>
      <c r="O693" s="398" cm="1">
        <f t="array" ref="O693">J693*INDEX(Berekening_impact[Overige kostenbesparing (totaal/jaar totaal potentieel)],MATCH(B693,IF(Berekening_impact[Doelgroep]=C693,Berekening_impact[Digitale zorgtoepassing]),0))</f>
        <v>4970562.0476564793</v>
      </c>
      <c r="P693" s="398" cm="1">
        <f t="array" ref="P693">J693*INDEX(Berekening_impact[Opbrengsten door QALY''s],MATCH(B693,IF(Berekening_impact[Doelgroep]=C693,Berekening_impact[Digitale zorgtoepassing]),0))</f>
        <v>0</v>
      </c>
      <c r="Q693" s="398" cm="1">
        <f t="array" ref="Q693">J693*INDEX(Berekening_impact[Jaarlijkse kosten (totaal) - incl. schatting],MATCH(B693,IF(Berekening_impact[Doelgroep]=C693,Berekening_impact[Digitale zorgtoepassing]),0))</f>
        <v>757421.52498577058</v>
      </c>
      <c r="R693" s="398" cm="1">
        <f t="array" ref="R693">(uitkomst_doelgroep[[#This Row],[Implementatiegraad t = T + 1]]-uitkomst_doelgroep[[#This Row],[Implementatiegraad t = T]])*INDEX(Berekening_impact[Initiële investering (totaal) - incl. schatting],MATCH(B693,IF(Berekening_impact[Doelgroep]=C693,Berekening_impact[Digitale zorgtoepassing]),0))</f>
        <v>0</v>
      </c>
      <c r="S693" s="398">
        <f>uitkomst_doelgroep[[#This Row],[Arbeidsbesparing (€)]]*uitkomst_doelgroep[[#This Row],[Percentage van patiëntaantallen in Wlz (overige is Zvw)]]</f>
        <v>0</v>
      </c>
      <c r="T693" s="398">
        <f>uitkomst_doelgroep[[#This Row],[Overige besparingen (€)]]*uitkomst_doelgroep[[#This Row],[Percentage van patiëntaantallen in Wlz (overige is Zvw)]]</f>
        <v>0</v>
      </c>
      <c r="U693" s="398">
        <f>uitkomst_doelgroep[[#This Row],[Kosten (€)]]*uitkomst_doelgroep[[#This Row],[Percentage van patiëntaantallen in Wlz (overige is Zvw)]]</f>
        <v>0</v>
      </c>
      <c r="V693" s="398">
        <f>uitkomst_doelgroep[[#This Row],[Investering (cash flow) (€)]]*uitkomst_doelgroep[[#This Row],[Percentage van patiëntaantallen in Wlz (overige is Zvw)]]</f>
        <v>0</v>
      </c>
    </row>
    <row r="694" spans="1:22" x14ac:dyDescent="0.5">
      <c r="A694" s="33" t="str">
        <f>INDEX(Technologieën[Veld],MATCH(B694,Technologieën[Digitale zorgtoepassing],0))</f>
        <v>Digitale hulpmiddelen - Diagnose</v>
      </c>
      <c r="B694" s="33" t="s">
        <v>78</v>
      </c>
      <c r="C694" s="33" t="s">
        <v>699</v>
      </c>
      <c r="D694" s="427" cm="1">
        <f t="array" ref="D694">INDEX(Berekening_patiëntaantal[Percentage van patiëntaantallen in Wlz (overige is Zvw)],MATCH(B694,IF(Berekening_patiëntaantal[Doelgroep (zoeksleutel)]=C694,Berekening_patiëntaantal[Digitale zorgtoepassing]),0))</f>
        <v>0</v>
      </c>
      <c r="E694" s="33" t="str" cm="1">
        <f t="array" ref="E694">INDEX(Berekening_patiëntaantal[Direct toepasbaar/extrapolatie/incidentie voor QALY],MATCH(B694,IF(Berekening_patiëntaantal[Doelgroep (zoeksleutel)]=C694,Berekening_patiëntaantal[Digitale zorgtoepassing]),0))</f>
        <v>Huidige toepassing</v>
      </c>
      <c r="F694" s="43" t="s">
        <v>812</v>
      </c>
      <c r="G694" s="33" t="str">
        <f>CONCATENATE(uitkomst_doelgroep[[#This Row],[Digitale zorgtoepassing]],"_",uitkomst_doelgroep[[#This Row],[Doelgroep]],"_",uitkomst_doelgroep[[#This Row],[Uitgangssituatie/effect beleid]])</f>
        <v>Mobiele echo's_Echo's 2e lijn_Effect beleid</v>
      </c>
      <c r="H694" s="33">
        <v>2030</v>
      </c>
      <c r="I694" s="32">
        <v>8</v>
      </c>
      <c r="J694" s="406" cm="1">
        <f t="array" ref="J694">INDEX(implementatie[[2023]:[2034]],MATCH(G694, implementatie[Zoeksleutel],0),I694)</f>
        <v>0.91038890221593549</v>
      </c>
      <c r="K694" s="406" cm="1">
        <f t="array" ref="K694">INDEX(implementatie[[2023]:[2034]],MATCH(G694,implementatie[Zoeksleutel],0),I694 + 1)</f>
        <v>0.94934060668263687</v>
      </c>
      <c r="L69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3459477.8284205548</v>
      </c>
      <c r="M694" s="398" cm="1">
        <f t="array" ref="M694">J694*INDEX(Berekening_impact[Totaal arbeidsbesparing (€/jaar)],MATCH(B694,IF(Berekening_impact[Doelgroep]=C694,Berekening_impact[Digitale zorgtoepassing]),0))</f>
        <v>7173860.1893614661</v>
      </c>
      <c r="N694" s="397" cm="1">
        <f t="array" ref="N694">J694*INDEX(Berekening_impact[Totaal arbeidsbesparing (FTE/jaar)],MATCH(B694,IF(Berekening_impact[Doelgroep]=C694,Berekening_impact[Digitale zorgtoepassing]),0))</f>
        <v>138.60087453607994</v>
      </c>
      <c r="O694" s="398" cm="1">
        <f t="array" ref="O694">J694*INDEX(Berekening_impact[Overige kostenbesparing (totaal/jaar totaal potentieel)],MATCH(B694,IF(Berekening_impact[Doelgroep]=C694,Berekening_impact[Digitale zorgtoepassing]),0))</f>
        <v>5330688.6201097947</v>
      </c>
      <c r="P694" s="398" cm="1">
        <f t="array" ref="P694">J694*INDEX(Berekening_impact[Opbrengsten door QALY''s],MATCH(B694,IF(Berekening_impact[Doelgroep]=C694,Berekening_impact[Digitale zorgtoepassing]),0))</f>
        <v>0</v>
      </c>
      <c r="Q694" s="398" cm="1">
        <f t="array" ref="Q694">J694*INDEX(Berekening_impact[Jaarlijkse kosten (totaal) - incl. schatting],MATCH(B694,IF(Berekening_impact[Doelgroep]=C694,Berekening_impact[Digitale zorgtoepassing]),0))</f>
        <v>812298.13955777732</v>
      </c>
      <c r="R694" s="398" cm="1">
        <f t="array" ref="R694">(uitkomst_doelgroep[[#This Row],[Implementatiegraad t = T + 1]]-uitkomst_doelgroep[[#This Row],[Implementatiegraad t = T]])*INDEX(Berekening_impact[Initiële investering (totaal) - incl. schatting],MATCH(B694,IF(Berekening_impact[Doelgroep]=C694,Berekening_impact[Digitale zorgtoepassing]),0))</f>
        <v>0</v>
      </c>
      <c r="S694" s="398">
        <f>uitkomst_doelgroep[[#This Row],[Arbeidsbesparing (€)]]*uitkomst_doelgroep[[#This Row],[Percentage van patiëntaantallen in Wlz (overige is Zvw)]]</f>
        <v>0</v>
      </c>
      <c r="T694" s="398">
        <f>uitkomst_doelgroep[[#This Row],[Overige besparingen (€)]]*uitkomst_doelgroep[[#This Row],[Percentage van patiëntaantallen in Wlz (overige is Zvw)]]</f>
        <v>0</v>
      </c>
      <c r="U694" s="398">
        <f>uitkomst_doelgroep[[#This Row],[Kosten (€)]]*uitkomst_doelgroep[[#This Row],[Percentage van patiëntaantallen in Wlz (overige is Zvw)]]</f>
        <v>0</v>
      </c>
      <c r="V694" s="398">
        <f>uitkomst_doelgroep[[#This Row],[Investering (cash flow) (€)]]*uitkomst_doelgroep[[#This Row],[Percentage van patiëntaantallen in Wlz (overige is Zvw)]]</f>
        <v>0</v>
      </c>
    </row>
    <row r="695" spans="1:22" x14ac:dyDescent="0.5">
      <c r="A695" s="33" t="str">
        <f>INDEX(Technologieën[Veld],MATCH(B695,Technologieën[Digitale zorgtoepassing],0))</f>
        <v>Digitale hulpmiddelen - Diagnose</v>
      </c>
      <c r="B695" s="33" t="s">
        <v>78</v>
      </c>
      <c r="C695" s="33" t="s">
        <v>699</v>
      </c>
      <c r="D695" s="427" cm="1">
        <f t="array" ref="D695">INDEX(Berekening_patiëntaantal[Percentage van patiëntaantallen in Wlz (overige is Zvw)],MATCH(B695,IF(Berekening_patiëntaantal[Doelgroep (zoeksleutel)]=C695,Berekening_patiëntaantal[Digitale zorgtoepassing]),0))</f>
        <v>0</v>
      </c>
      <c r="E695" s="33" t="str" cm="1">
        <f t="array" ref="E695">INDEX(Berekening_patiëntaantal[Direct toepasbaar/extrapolatie/incidentie voor QALY],MATCH(B695,IF(Berekening_patiëntaantal[Doelgroep (zoeksleutel)]=C695,Berekening_patiëntaantal[Digitale zorgtoepassing]),0))</f>
        <v>Huidige toepassing</v>
      </c>
      <c r="F695" s="43" t="s">
        <v>812</v>
      </c>
      <c r="G695" s="33" t="str">
        <f>CONCATENATE(uitkomst_doelgroep[[#This Row],[Digitale zorgtoepassing]],"_",uitkomst_doelgroep[[#This Row],[Doelgroep]],"_",uitkomst_doelgroep[[#This Row],[Uitgangssituatie/effect beleid]])</f>
        <v>Mobiele echo's_Echo's 2e lijn_Effect beleid</v>
      </c>
      <c r="H695" s="33">
        <v>2031</v>
      </c>
      <c r="I695" s="32">
        <v>9</v>
      </c>
      <c r="J695" s="406" cm="1">
        <f t="array" ref="J695">INDEX(implementatie[[2023]:[2034]],MATCH(G695, implementatie[Zoeksleutel],0),I695)</f>
        <v>0.94934060668263687</v>
      </c>
      <c r="K695" s="406" cm="1">
        <f t="array" ref="K695">INDEX(implementatie[[2023]:[2034]],MATCH(G695,implementatie[Zoeksleutel],0),I695 + 1)</f>
        <v>0.9722489501493069</v>
      </c>
      <c r="L69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3607494.3053940199</v>
      </c>
      <c r="M695" s="398" cm="1">
        <f t="array" ref="M695">J695*INDEX(Berekening_impact[Totaal arbeidsbesparing (€/jaar)],MATCH(B695,IF(Berekening_impact[Doelgroep]=C695,Berekening_impact[Digitale zorgtoepassing]),0))</f>
        <v>7480799.4340087641</v>
      </c>
      <c r="N695" s="397" cm="1">
        <f t="array" ref="N695">J695*INDEX(Berekening_impact[Totaal arbeidsbesparing (FTE/jaar)],MATCH(B695,IF(Berekening_impact[Doelgroep]=C695,Berekening_impact[Digitale zorgtoepassing]),0))</f>
        <v>144.53102185072197</v>
      </c>
      <c r="O695" s="398" cm="1">
        <f t="array" ref="O695">J695*INDEX(Berekening_impact[Overige kostenbesparing (totaal/jaar totaal potentieel)],MATCH(B695,IF(Berekening_impact[Doelgroep]=C695,Berekening_impact[Digitale zorgtoepassing]),0))</f>
        <v>5558766.3210012708</v>
      </c>
      <c r="P695" s="398" cm="1">
        <f t="array" ref="P695">J695*INDEX(Berekening_impact[Opbrengsten door QALY''s],MATCH(B695,IF(Berekening_impact[Doelgroep]=C695,Berekening_impact[Digitale zorgtoepassing]),0))</f>
        <v>0</v>
      </c>
      <c r="Q695" s="398" cm="1">
        <f t="array" ref="Q695">J695*INDEX(Berekening_impact[Jaarlijkse kosten (totaal) - incl. schatting],MATCH(B695,IF(Berekening_impact[Doelgroep]=C695,Berekening_impact[Digitale zorgtoepassing]),0))</f>
        <v>847052.95367500943</v>
      </c>
      <c r="R695" s="398" cm="1">
        <f t="array" ref="R695">(uitkomst_doelgroep[[#This Row],[Implementatiegraad t = T + 1]]-uitkomst_doelgroep[[#This Row],[Implementatiegraad t = T]])*INDEX(Berekening_impact[Initiële investering (totaal) - incl. schatting],MATCH(B695,IF(Berekening_impact[Doelgroep]=C695,Berekening_impact[Digitale zorgtoepassing]),0))</f>
        <v>0</v>
      </c>
      <c r="S695" s="398">
        <f>uitkomst_doelgroep[[#This Row],[Arbeidsbesparing (€)]]*uitkomst_doelgroep[[#This Row],[Percentage van patiëntaantallen in Wlz (overige is Zvw)]]</f>
        <v>0</v>
      </c>
      <c r="T695" s="398">
        <f>uitkomst_doelgroep[[#This Row],[Overige besparingen (€)]]*uitkomst_doelgroep[[#This Row],[Percentage van patiëntaantallen in Wlz (overige is Zvw)]]</f>
        <v>0</v>
      </c>
      <c r="U695" s="398">
        <f>uitkomst_doelgroep[[#This Row],[Kosten (€)]]*uitkomst_doelgroep[[#This Row],[Percentage van patiëntaantallen in Wlz (overige is Zvw)]]</f>
        <v>0</v>
      </c>
      <c r="V695" s="398">
        <f>uitkomst_doelgroep[[#This Row],[Investering (cash flow) (€)]]*uitkomst_doelgroep[[#This Row],[Percentage van patiëntaantallen in Wlz (overige is Zvw)]]</f>
        <v>0</v>
      </c>
    </row>
    <row r="696" spans="1:22" x14ac:dyDescent="0.5">
      <c r="A696" s="33" t="str">
        <f>INDEX(Technologieën[Veld],MATCH(B696,Technologieën[Digitale zorgtoepassing],0))</f>
        <v>Digitale hulpmiddelen - Diagnose</v>
      </c>
      <c r="B696" s="33" t="s">
        <v>78</v>
      </c>
      <c r="C696" s="33" t="s">
        <v>699</v>
      </c>
      <c r="D696" s="427" cm="1">
        <f t="array" ref="D696">INDEX(Berekening_patiëntaantal[Percentage van patiëntaantallen in Wlz (overige is Zvw)],MATCH(B696,IF(Berekening_patiëntaantal[Doelgroep (zoeksleutel)]=C696,Berekening_patiëntaantal[Digitale zorgtoepassing]),0))</f>
        <v>0</v>
      </c>
      <c r="E696" s="33" t="str" cm="1">
        <f t="array" ref="E696">INDEX(Berekening_patiëntaantal[Direct toepasbaar/extrapolatie/incidentie voor QALY],MATCH(B696,IF(Berekening_patiëntaantal[Doelgroep (zoeksleutel)]=C696,Berekening_patiëntaantal[Digitale zorgtoepassing]),0))</f>
        <v>Huidige toepassing</v>
      </c>
      <c r="F696" s="43" t="s">
        <v>812</v>
      </c>
      <c r="G696" s="33" t="str">
        <f>CONCATENATE(uitkomst_doelgroep[[#This Row],[Digitale zorgtoepassing]],"_",uitkomst_doelgroep[[#This Row],[Doelgroep]],"_",uitkomst_doelgroep[[#This Row],[Uitgangssituatie/effect beleid]])</f>
        <v>Mobiele echo's_Echo's 2e lijn_Effect beleid</v>
      </c>
      <c r="H696" s="33">
        <v>2032</v>
      </c>
      <c r="I696" s="32">
        <v>10</v>
      </c>
      <c r="J696" s="406" cm="1">
        <f t="array" ref="J696">INDEX(implementatie[[2023]:[2034]],MATCH(G696, implementatie[Zoeksleutel],0),I696)</f>
        <v>0.9722489501493069</v>
      </c>
      <c r="K696" s="406" cm="1">
        <f t="array" ref="K696">INDEX(implementatie[[2023]:[2034]],MATCH(G696,implementatie[Zoeksleutel],0),I696 + 1)</f>
        <v>0.98508414448286907</v>
      </c>
      <c r="L69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3694546.0105673661</v>
      </c>
      <c r="M696" s="398" cm="1">
        <f t="array" ref="M696">J696*INDEX(Berekening_impact[Totaal arbeidsbesparing (€/jaar)],MATCH(B696,IF(Berekening_impact[Doelgroep]=C696,Berekening_impact[Digitale zorgtoepassing]),0))</f>
        <v>7661317.0708118351</v>
      </c>
      <c r="N696" s="397" cm="1">
        <f t="array" ref="N696">J696*INDEX(Berekening_impact[Totaal arbeidsbesparing (FTE/jaar)],MATCH(B696,IF(Berekening_impact[Doelgroep]=C696,Berekening_impact[Digitale zorgtoepassing]),0))</f>
        <v>148.01867029516691</v>
      </c>
      <c r="O696" s="398" cm="1">
        <f t="array" ref="O696">J696*INDEX(Berekening_impact[Overige kostenbesparing (totaal/jaar totaal potentieel)],MATCH(B696,IF(Berekening_impact[Doelgroep]=C696,Berekening_impact[Digitale zorgtoepassing]),0))</f>
        <v>5692903.7709702943</v>
      </c>
      <c r="P696" s="398" cm="1">
        <f t="array" ref="P696">J696*INDEX(Berekening_impact[Opbrengsten door QALY''s],MATCH(B696,IF(Berekening_impact[Doelgroep]=C696,Berekening_impact[Digitale zorgtoepassing]),0))</f>
        <v>0</v>
      </c>
      <c r="Q696" s="398" cm="1">
        <f t="array" ref="Q696">J696*INDEX(Berekening_impact[Jaarlijkse kosten (totaal) - incl. schatting],MATCH(B696,IF(Berekening_impact[Doelgroep]=C696,Berekening_impact[Digitale zorgtoepassing]),0))</f>
        <v>867493.01476651966</v>
      </c>
      <c r="R696" s="398" cm="1">
        <f t="array" ref="R696">(uitkomst_doelgroep[[#This Row],[Implementatiegraad t = T + 1]]-uitkomst_doelgroep[[#This Row],[Implementatiegraad t = T]])*INDEX(Berekening_impact[Initiële investering (totaal) - incl. schatting],MATCH(B696,IF(Berekening_impact[Doelgroep]=C696,Berekening_impact[Digitale zorgtoepassing]),0))</f>
        <v>0</v>
      </c>
      <c r="S696" s="398">
        <f>uitkomst_doelgroep[[#This Row],[Arbeidsbesparing (€)]]*uitkomst_doelgroep[[#This Row],[Percentage van patiëntaantallen in Wlz (overige is Zvw)]]</f>
        <v>0</v>
      </c>
      <c r="T696" s="398">
        <f>uitkomst_doelgroep[[#This Row],[Overige besparingen (€)]]*uitkomst_doelgroep[[#This Row],[Percentage van patiëntaantallen in Wlz (overige is Zvw)]]</f>
        <v>0</v>
      </c>
      <c r="U696" s="398">
        <f>uitkomst_doelgroep[[#This Row],[Kosten (€)]]*uitkomst_doelgroep[[#This Row],[Percentage van patiëntaantallen in Wlz (overige is Zvw)]]</f>
        <v>0</v>
      </c>
      <c r="V696" s="398">
        <f>uitkomst_doelgroep[[#This Row],[Investering (cash flow) (€)]]*uitkomst_doelgroep[[#This Row],[Percentage van patiëntaantallen in Wlz (overige is Zvw)]]</f>
        <v>0</v>
      </c>
    </row>
    <row r="697" spans="1:22" x14ac:dyDescent="0.5">
      <c r="A697" s="33" t="str">
        <f>INDEX(Technologieën[Veld],MATCH(B697,Technologieën[Digitale zorgtoepassing],0))</f>
        <v>Digitale hulpmiddelen - Diagnose</v>
      </c>
      <c r="B697" s="33" t="s">
        <v>78</v>
      </c>
      <c r="C697" s="33" t="s">
        <v>699</v>
      </c>
      <c r="D697" s="427" cm="1">
        <f t="array" ref="D697">INDEX(Berekening_patiëntaantal[Percentage van patiëntaantallen in Wlz (overige is Zvw)],MATCH(B697,IF(Berekening_patiëntaantal[Doelgroep (zoeksleutel)]=C697,Berekening_patiëntaantal[Digitale zorgtoepassing]),0))</f>
        <v>0</v>
      </c>
      <c r="E697" s="33" t="str" cm="1">
        <f t="array" ref="E697">INDEX(Berekening_patiëntaantal[Direct toepasbaar/extrapolatie/incidentie voor QALY],MATCH(B697,IF(Berekening_patiëntaantal[Doelgroep (zoeksleutel)]=C697,Berekening_patiëntaantal[Digitale zorgtoepassing]),0))</f>
        <v>Huidige toepassing</v>
      </c>
      <c r="F697" s="43" t="s">
        <v>812</v>
      </c>
      <c r="G697" s="33" t="str">
        <f>CONCATENATE(uitkomst_doelgroep[[#This Row],[Digitale zorgtoepassing]],"_",uitkomst_doelgroep[[#This Row],[Doelgroep]],"_",uitkomst_doelgroep[[#This Row],[Uitgangssituatie/effect beleid]])</f>
        <v>Mobiele echo's_Echo's 2e lijn_Effect beleid</v>
      </c>
      <c r="H697" s="33">
        <v>2033</v>
      </c>
      <c r="I697" s="32">
        <v>11</v>
      </c>
      <c r="J697" s="406" cm="1">
        <f t="array" ref="J697">INDEX(implementatie[[2023]:[2034]],MATCH(G697, implementatie[Zoeksleutel],0),I697)</f>
        <v>0.98508414448286907</v>
      </c>
      <c r="K697" s="406" cm="1">
        <f t="array" ref="K697">INDEX(implementatie[[2023]:[2034]],MATCH(G697,implementatie[Zoeksleutel],0),I697 + 1)</f>
        <v>0.99206905861789263</v>
      </c>
      <c r="L69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3743319.7490349025</v>
      </c>
      <c r="M697" s="398" cm="1">
        <f t="array" ref="M697">J697*INDEX(Berekening_impact[Totaal arbeidsbesparing (€/jaar)],MATCH(B697,IF(Berekening_impact[Doelgroep]=C697,Berekening_impact[Digitale zorgtoepassing]),0))</f>
        <v>7762458.3406890677</v>
      </c>
      <c r="N697" s="397" cm="1">
        <f t="array" ref="N697">J697*INDEX(Berekening_impact[Totaal arbeidsbesparing (FTE/jaar)],MATCH(B697,IF(Berekening_impact[Doelgroep]=C697,Berekening_impact[Digitale zorgtoepassing]),0))</f>
        <v>149.97274635556502</v>
      </c>
      <c r="O697" s="398" cm="1">
        <f t="array" ref="O697">J697*INDEX(Berekening_impact[Overige kostenbesparing (totaal/jaar totaal potentieel)],MATCH(B697,IF(Berekening_impact[Doelgroep]=C697,Berekening_impact[Digitale zorgtoepassing]),0))</f>
        <v>5768058.9318079082</v>
      </c>
      <c r="P697" s="398" cm="1">
        <f t="array" ref="P697">J697*INDEX(Berekening_impact[Opbrengsten door QALY''s],MATCH(B697,IF(Berekening_impact[Doelgroep]=C697,Berekening_impact[Digitale zorgtoepassing]),0))</f>
        <v>0</v>
      </c>
      <c r="Q697" s="398" cm="1">
        <f t="array" ref="Q697">J697*INDEX(Berekening_impact[Jaarlijkse kosten (totaal) - incl. schatting],MATCH(B697,IF(Berekening_impact[Doelgroep]=C697,Berekening_impact[Digitale zorgtoepassing]),0))</f>
        <v>878945.2682514179</v>
      </c>
      <c r="R697" s="398" cm="1">
        <f t="array" ref="R697">(uitkomst_doelgroep[[#This Row],[Implementatiegraad t = T + 1]]-uitkomst_doelgroep[[#This Row],[Implementatiegraad t = T]])*INDEX(Berekening_impact[Initiële investering (totaal) - incl. schatting],MATCH(B697,IF(Berekening_impact[Doelgroep]=C697,Berekening_impact[Digitale zorgtoepassing]),0))</f>
        <v>0</v>
      </c>
      <c r="S697" s="398">
        <f>uitkomst_doelgroep[[#This Row],[Arbeidsbesparing (€)]]*uitkomst_doelgroep[[#This Row],[Percentage van patiëntaantallen in Wlz (overige is Zvw)]]</f>
        <v>0</v>
      </c>
      <c r="T697" s="398">
        <f>uitkomst_doelgroep[[#This Row],[Overige besparingen (€)]]*uitkomst_doelgroep[[#This Row],[Percentage van patiëntaantallen in Wlz (overige is Zvw)]]</f>
        <v>0</v>
      </c>
      <c r="U697" s="398">
        <f>uitkomst_doelgroep[[#This Row],[Kosten (€)]]*uitkomst_doelgroep[[#This Row],[Percentage van patiëntaantallen in Wlz (overige is Zvw)]]</f>
        <v>0</v>
      </c>
      <c r="V697" s="398">
        <f>uitkomst_doelgroep[[#This Row],[Investering (cash flow) (€)]]*uitkomst_doelgroep[[#This Row],[Percentage van patiëntaantallen in Wlz (overige is Zvw)]]</f>
        <v>0</v>
      </c>
    </row>
    <row r="698" spans="1:22" x14ac:dyDescent="0.5">
      <c r="A698" s="33" t="str">
        <f>INDEX(Technologieën[Veld],MATCH(B698,Technologieën[Digitale zorgtoepassing],0))</f>
        <v>Digitale hulpmiddelen - Diagnose</v>
      </c>
      <c r="B698" s="33" t="s">
        <v>82</v>
      </c>
      <c r="C698" s="33" t="s">
        <v>703</v>
      </c>
      <c r="D698" s="427" cm="1">
        <f t="array" ref="D698">INDEX(Berekening_patiëntaantal[Percentage van patiëntaantallen in Wlz (overige is Zvw)],MATCH(B698,IF(Berekening_patiëntaantal[Doelgroep (zoeksleutel)]=C698,Berekening_patiëntaantal[Digitale zorgtoepassing]),0))</f>
        <v>0</v>
      </c>
      <c r="E698" s="33" t="str" cm="1">
        <f t="array" ref="E698">INDEX(Berekening_patiëntaantal[Direct toepasbaar/extrapolatie/incidentie voor QALY],MATCH(B698,IF(Berekening_patiëntaantal[Doelgroep (zoeksleutel)]=C698,Berekening_patiëntaantal[Digitale zorgtoepassing]),0))</f>
        <v>Huidige toepassing</v>
      </c>
      <c r="F698" s="43" t="s">
        <v>812</v>
      </c>
      <c r="G698" s="33" t="str">
        <f>CONCATENATE(uitkomst_doelgroep[[#This Row],[Digitale zorgtoepassing]],"_",uitkomst_doelgroep[[#This Row],[Doelgroep]],"_",uitkomst_doelgroep[[#This Row],[Uitgangssituatie/effect beleid]])</f>
        <v>Point-of-care (POC) testing_HAP contacten met labaratoriumonderzoek_Effect beleid</v>
      </c>
      <c r="H698" s="33">
        <v>2023</v>
      </c>
      <c r="I698" s="32">
        <v>1</v>
      </c>
      <c r="J698" s="406" cm="1">
        <f t="array" ref="J698">INDEX(implementatie[[2023]:[2034]],MATCH(G698, implementatie[Zoeksleutel],0),I698)</f>
        <v>0.4</v>
      </c>
      <c r="K698" s="406" cm="1">
        <f t="array" ref="K698">INDEX(implementatie[[2023]:[2034]],MATCH(G698,implementatie[Zoeksleutel],0),I698 + 1)</f>
        <v>0.50800000000000001</v>
      </c>
      <c r="L69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54000</v>
      </c>
      <c r="M698" s="398" cm="1">
        <f t="array" ref="M698">J698*INDEX(Berekening_impact[Totaal arbeidsbesparing (€/jaar)],MATCH(B698,IF(Berekening_impact[Doelgroep]=C698,Berekening_impact[Digitale zorgtoepassing]),0))</f>
        <v>3315348.8372093025</v>
      </c>
      <c r="N698" s="397" cm="1">
        <f t="array" ref="N698">J698*INDEX(Berekening_impact[Totaal arbeidsbesparing (FTE/jaar)],MATCH(B698,IF(Berekening_impact[Doelgroep]=C698,Berekening_impact[Digitale zorgtoepassing]),0))</f>
        <v>60.55429123573753</v>
      </c>
      <c r="O698" s="398" cm="1">
        <f t="array" ref="O698">J698*INDEX(Berekening_impact[Overige kostenbesparing (totaal/jaar totaal potentieel)],MATCH(B698,IF(Berekening_impact[Doelgroep]=C698,Berekening_impact[Digitale zorgtoepassing]),0))</f>
        <v>4244651.162790698</v>
      </c>
      <c r="P698" s="398" cm="1">
        <f t="array" ref="P698">J698*INDEX(Berekening_impact[Opbrengsten door QALY''s],MATCH(B698,IF(Berekening_impact[Doelgroep]=C698,Berekening_impact[Digitale zorgtoepassing]),0))</f>
        <v>0</v>
      </c>
      <c r="Q698" s="398" cm="1">
        <f t="array" ref="Q698">J698*INDEX(Berekening_impact[Jaarlijkse kosten (totaal) - incl. schatting],MATCH(B698,IF(Berekening_impact[Doelgroep]=C698,Berekening_impact[Digitale zorgtoepassing]),0))</f>
        <v>1659600</v>
      </c>
      <c r="R698" s="398" cm="1">
        <f t="array" ref="R698">(uitkomst_doelgroep[[#This Row],[Implementatiegraad t = T + 1]]-uitkomst_doelgroep[[#This Row],[Implementatiegraad t = T]])*INDEX(Berekening_impact[Initiële investering (totaal) - incl. schatting],MATCH(B698,IF(Berekening_impact[Doelgroep]=C698,Berekening_impact[Digitale zorgtoepassing]),0))</f>
        <v>0</v>
      </c>
      <c r="S698" s="398">
        <f>uitkomst_doelgroep[[#This Row],[Arbeidsbesparing (€)]]*uitkomst_doelgroep[[#This Row],[Percentage van patiëntaantallen in Wlz (overige is Zvw)]]</f>
        <v>0</v>
      </c>
      <c r="T698" s="398">
        <f>uitkomst_doelgroep[[#This Row],[Overige besparingen (€)]]*uitkomst_doelgroep[[#This Row],[Percentage van patiëntaantallen in Wlz (overige is Zvw)]]</f>
        <v>0</v>
      </c>
      <c r="U698" s="398">
        <f>uitkomst_doelgroep[[#This Row],[Kosten (€)]]*uitkomst_doelgroep[[#This Row],[Percentage van patiëntaantallen in Wlz (overige is Zvw)]]</f>
        <v>0</v>
      </c>
      <c r="V698" s="398">
        <f>uitkomst_doelgroep[[#This Row],[Investering (cash flow) (€)]]*uitkomst_doelgroep[[#This Row],[Percentage van patiëntaantallen in Wlz (overige is Zvw)]]</f>
        <v>0</v>
      </c>
    </row>
    <row r="699" spans="1:22" x14ac:dyDescent="0.5">
      <c r="A699" s="33" t="str">
        <f>INDEX(Technologieën[Veld],MATCH(B699,Technologieën[Digitale zorgtoepassing],0))</f>
        <v>Digitale hulpmiddelen - Diagnose</v>
      </c>
      <c r="B699" s="33" t="s">
        <v>82</v>
      </c>
      <c r="C699" s="33" t="s">
        <v>703</v>
      </c>
      <c r="D699" s="427" cm="1">
        <f t="array" ref="D699">INDEX(Berekening_patiëntaantal[Percentage van patiëntaantallen in Wlz (overige is Zvw)],MATCH(B699,IF(Berekening_patiëntaantal[Doelgroep (zoeksleutel)]=C699,Berekening_patiëntaantal[Digitale zorgtoepassing]),0))</f>
        <v>0</v>
      </c>
      <c r="E699" s="33" t="str" cm="1">
        <f t="array" ref="E699">INDEX(Berekening_patiëntaantal[Direct toepasbaar/extrapolatie/incidentie voor QALY],MATCH(B699,IF(Berekening_patiëntaantal[Doelgroep (zoeksleutel)]=C699,Berekening_patiëntaantal[Digitale zorgtoepassing]),0))</f>
        <v>Huidige toepassing</v>
      </c>
      <c r="F699" s="43" t="s">
        <v>812</v>
      </c>
      <c r="G699" s="33" t="str">
        <f>CONCATENATE(uitkomst_doelgroep[[#This Row],[Digitale zorgtoepassing]],"_",uitkomst_doelgroep[[#This Row],[Doelgroep]],"_",uitkomst_doelgroep[[#This Row],[Uitgangssituatie/effect beleid]])</f>
        <v>Point-of-care (POC) testing_HAP contacten met labaratoriumonderzoek_Effect beleid</v>
      </c>
      <c r="H699" s="33">
        <v>2024</v>
      </c>
      <c r="I699" s="32">
        <v>2</v>
      </c>
      <c r="J699" s="406" cm="1">
        <f t="array" ref="J699">INDEX(implementatie[[2023]:[2034]],MATCH(G699, implementatie[Zoeksleutel],0),I699)</f>
        <v>0.50800000000000001</v>
      </c>
      <c r="K699" s="406" cm="1">
        <f t="array" ref="K699">INDEX(implementatie[[2023]:[2034]],MATCH(G699,implementatie[Zoeksleutel],0),I699 + 1)</f>
        <v>0.61781439999999999</v>
      </c>
      <c r="L69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68580</v>
      </c>
      <c r="M699" s="398" cm="1">
        <f t="array" ref="M699">J699*INDEX(Berekening_impact[Totaal arbeidsbesparing (€/jaar)],MATCH(B699,IF(Berekening_impact[Doelgroep]=C699,Berekening_impact[Digitale zorgtoepassing]),0))</f>
        <v>4210493.0232558139</v>
      </c>
      <c r="N699" s="397" cm="1">
        <f t="array" ref="N699">J699*INDEX(Berekening_impact[Totaal arbeidsbesparing (FTE/jaar)],MATCH(B699,IF(Berekening_impact[Doelgroep]=C699,Berekening_impact[Digitale zorgtoepassing]),0))</f>
        <v>76.903949869386665</v>
      </c>
      <c r="O699" s="398" cm="1">
        <f t="array" ref="O699">J699*INDEX(Berekening_impact[Overige kostenbesparing (totaal/jaar totaal potentieel)],MATCH(B699,IF(Berekening_impact[Doelgroep]=C699,Berekening_impact[Digitale zorgtoepassing]),0))</f>
        <v>5390706.9767441861</v>
      </c>
      <c r="P699" s="398" cm="1">
        <f t="array" ref="P699">J699*INDEX(Berekening_impact[Opbrengsten door QALY''s],MATCH(B699,IF(Berekening_impact[Doelgroep]=C699,Berekening_impact[Digitale zorgtoepassing]),0))</f>
        <v>0</v>
      </c>
      <c r="Q699" s="398" cm="1">
        <f t="array" ref="Q699">J699*INDEX(Berekening_impact[Jaarlijkse kosten (totaal) - incl. schatting],MATCH(B699,IF(Berekening_impact[Doelgroep]=C699,Berekening_impact[Digitale zorgtoepassing]),0))</f>
        <v>2107692</v>
      </c>
      <c r="R699" s="398" cm="1">
        <f t="array" ref="R699">(uitkomst_doelgroep[[#This Row],[Implementatiegraad t = T + 1]]-uitkomst_doelgroep[[#This Row],[Implementatiegraad t = T]])*INDEX(Berekening_impact[Initiële investering (totaal) - incl. schatting],MATCH(B699,IF(Berekening_impact[Doelgroep]=C699,Berekening_impact[Digitale zorgtoepassing]),0))</f>
        <v>0</v>
      </c>
      <c r="S699" s="398">
        <f>uitkomst_doelgroep[[#This Row],[Arbeidsbesparing (€)]]*uitkomst_doelgroep[[#This Row],[Percentage van patiëntaantallen in Wlz (overige is Zvw)]]</f>
        <v>0</v>
      </c>
      <c r="T699" s="398">
        <f>uitkomst_doelgroep[[#This Row],[Overige besparingen (€)]]*uitkomst_doelgroep[[#This Row],[Percentage van patiëntaantallen in Wlz (overige is Zvw)]]</f>
        <v>0</v>
      </c>
      <c r="U699" s="398">
        <f>uitkomst_doelgroep[[#This Row],[Kosten (€)]]*uitkomst_doelgroep[[#This Row],[Percentage van patiëntaantallen in Wlz (overige is Zvw)]]</f>
        <v>0</v>
      </c>
      <c r="V699" s="398">
        <f>uitkomst_doelgroep[[#This Row],[Investering (cash flow) (€)]]*uitkomst_doelgroep[[#This Row],[Percentage van patiëntaantallen in Wlz (overige is Zvw)]]</f>
        <v>0</v>
      </c>
    </row>
    <row r="700" spans="1:22" x14ac:dyDescent="0.5">
      <c r="A700" s="33" t="str">
        <f>INDEX(Technologieën[Veld],MATCH(B700,Technologieën[Digitale zorgtoepassing],0))</f>
        <v>Digitale hulpmiddelen - Diagnose</v>
      </c>
      <c r="B700" s="33" t="s">
        <v>82</v>
      </c>
      <c r="C700" s="33" t="s">
        <v>703</v>
      </c>
      <c r="D700" s="427" cm="1">
        <f t="array" ref="D700">INDEX(Berekening_patiëntaantal[Percentage van patiëntaantallen in Wlz (overige is Zvw)],MATCH(B700,IF(Berekening_patiëntaantal[Doelgroep (zoeksleutel)]=C700,Berekening_patiëntaantal[Digitale zorgtoepassing]),0))</f>
        <v>0</v>
      </c>
      <c r="E700" s="33" t="str" cm="1">
        <f t="array" ref="E700">INDEX(Berekening_patiëntaantal[Direct toepasbaar/extrapolatie/incidentie voor QALY],MATCH(B700,IF(Berekening_patiëntaantal[Doelgroep (zoeksleutel)]=C700,Berekening_patiëntaantal[Digitale zorgtoepassing]),0))</f>
        <v>Huidige toepassing</v>
      </c>
      <c r="F700" s="43" t="s">
        <v>812</v>
      </c>
      <c r="G700" s="33" t="str">
        <f>CONCATENATE(uitkomst_doelgroep[[#This Row],[Digitale zorgtoepassing]],"_",uitkomst_doelgroep[[#This Row],[Doelgroep]],"_",uitkomst_doelgroep[[#This Row],[Uitgangssituatie/effect beleid]])</f>
        <v>Point-of-care (POC) testing_HAP contacten met labaratoriumonderzoek_Effect beleid</v>
      </c>
      <c r="H700" s="33">
        <v>2025</v>
      </c>
      <c r="I700" s="32">
        <v>3</v>
      </c>
      <c r="J700" s="406" cm="1">
        <f t="array" ref="J700">INDEX(implementatie[[2023]:[2034]],MATCH(G700, implementatie[Zoeksleutel],0),I700)</f>
        <v>0.61781439999999999</v>
      </c>
      <c r="K700" s="406" cm="1">
        <f t="array" ref="K700">INDEX(implementatie[[2023]:[2034]],MATCH(G700,implementatie[Zoeksleutel],0),I700 + 1)</f>
        <v>0.71990601886105599</v>
      </c>
      <c r="L70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83404.944000000003</v>
      </c>
      <c r="M700" s="398" cm="1">
        <f t="array" ref="M700">J700*INDEX(Berekening_impact[Totaal arbeidsbesparing (€/jaar)],MATCH(B700,IF(Berekening_impact[Doelgroep]=C700,Berekening_impact[Digitale zorgtoepassing]),0))</f>
        <v>5120675.631627907</v>
      </c>
      <c r="N700" s="397" cm="1">
        <f t="array" ref="N700">J700*INDEX(Berekening_impact[Totaal arbeidsbesparing (FTE/jaar)],MATCH(B700,IF(Berekening_impact[Doelgroep]=C700,Berekening_impact[Digitale zorgtoepassing]),0))</f>
        <v>93.528282768081098</v>
      </c>
      <c r="O700" s="398" cm="1">
        <f t="array" ref="O700">J700*INDEX(Berekening_impact[Overige kostenbesparing (totaal/jaar totaal potentieel)],MATCH(B700,IF(Berekening_impact[Doelgroep]=C700,Berekening_impact[Digitale zorgtoepassing]),0))</f>
        <v>6556016.5283720931</v>
      </c>
      <c r="P700" s="398" cm="1">
        <f t="array" ref="P700">J700*INDEX(Berekening_impact[Opbrengsten door QALY''s],MATCH(B700,IF(Berekening_impact[Doelgroep]=C700,Berekening_impact[Digitale zorgtoepassing]),0))</f>
        <v>0</v>
      </c>
      <c r="Q700" s="398" cm="1">
        <f t="array" ref="Q700">J700*INDEX(Berekening_impact[Jaarlijkse kosten (totaal) - incl. schatting],MATCH(B700,IF(Berekening_impact[Doelgroep]=C700,Berekening_impact[Digitale zorgtoepassing]),0))</f>
        <v>2563311.9455999997</v>
      </c>
      <c r="R700" s="398" cm="1">
        <f t="array" ref="R700">(uitkomst_doelgroep[[#This Row],[Implementatiegraad t = T + 1]]-uitkomst_doelgroep[[#This Row],[Implementatiegraad t = T]])*INDEX(Berekening_impact[Initiële investering (totaal) - incl. schatting],MATCH(B700,IF(Berekening_impact[Doelgroep]=C700,Berekening_impact[Digitale zorgtoepassing]),0))</f>
        <v>0</v>
      </c>
      <c r="S700" s="398">
        <f>uitkomst_doelgroep[[#This Row],[Arbeidsbesparing (€)]]*uitkomst_doelgroep[[#This Row],[Percentage van patiëntaantallen in Wlz (overige is Zvw)]]</f>
        <v>0</v>
      </c>
      <c r="T700" s="398">
        <f>uitkomst_doelgroep[[#This Row],[Overige besparingen (€)]]*uitkomst_doelgroep[[#This Row],[Percentage van patiëntaantallen in Wlz (overige is Zvw)]]</f>
        <v>0</v>
      </c>
      <c r="U700" s="398">
        <f>uitkomst_doelgroep[[#This Row],[Kosten (€)]]*uitkomst_doelgroep[[#This Row],[Percentage van patiëntaantallen in Wlz (overige is Zvw)]]</f>
        <v>0</v>
      </c>
      <c r="V700" s="398">
        <f>uitkomst_doelgroep[[#This Row],[Investering (cash flow) (€)]]*uitkomst_doelgroep[[#This Row],[Percentage van patiëntaantallen in Wlz (overige is Zvw)]]</f>
        <v>0</v>
      </c>
    </row>
    <row r="701" spans="1:22" x14ac:dyDescent="0.5">
      <c r="A701" s="33" t="str">
        <f>INDEX(Technologieën[Veld],MATCH(B701,Technologieën[Digitale zorgtoepassing],0))</f>
        <v>Digitale hulpmiddelen - Diagnose</v>
      </c>
      <c r="B701" s="33" t="s">
        <v>82</v>
      </c>
      <c r="C701" s="33" t="s">
        <v>703</v>
      </c>
      <c r="D701" s="427" cm="1">
        <f t="array" ref="D701">INDEX(Berekening_patiëntaantal[Percentage van patiëntaantallen in Wlz (overige is Zvw)],MATCH(B701,IF(Berekening_patiëntaantal[Doelgroep (zoeksleutel)]=C701,Berekening_patiëntaantal[Digitale zorgtoepassing]),0))</f>
        <v>0</v>
      </c>
      <c r="E701" s="33" t="str" cm="1">
        <f t="array" ref="E701">INDEX(Berekening_patiëntaantal[Direct toepasbaar/extrapolatie/incidentie voor QALY],MATCH(B701,IF(Berekening_patiëntaantal[Doelgroep (zoeksleutel)]=C701,Berekening_patiëntaantal[Digitale zorgtoepassing]),0))</f>
        <v>Huidige toepassing</v>
      </c>
      <c r="F701" s="43" t="s">
        <v>812</v>
      </c>
      <c r="G701" s="33" t="str">
        <f>CONCATENATE(uitkomst_doelgroep[[#This Row],[Digitale zorgtoepassing]],"_",uitkomst_doelgroep[[#This Row],[Doelgroep]],"_",uitkomst_doelgroep[[#This Row],[Uitgangssituatie/effect beleid]])</f>
        <v>Point-of-care (POC) testing_HAP contacten met labaratoriumonderzoek_Effect beleid</v>
      </c>
      <c r="H701" s="33">
        <v>2026</v>
      </c>
      <c r="I701" s="32">
        <v>4</v>
      </c>
      <c r="J701" s="406" cm="1">
        <f t="array" ref="J701">INDEX(implementatie[[2023]:[2034]],MATCH(G701, implementatie[Zoeksleutel],0),I701)</f>
        <v>0.71990601886105599</v>
      </c>
      <c r="K701" s="406" cm="1">
        <f t="array" ref="K701">INDEX(implementatie[[2023]:[2034]],MATCH(G701,implementatie[Zoeksleutel],0),I701 + 1)</f>
        <v>0.80616443563130724</v>
      </c>
      <c r="L70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97187.312546242552</v>
      </c>
      <c r="M701" s="398" cm="1">
        <f t="array" ref="M701">J701*INDEX(Berekening_impact[Totaal arbeidsbesparing (€/jaar)],MATCH(B701,IF(Berekening_impact[Doelgroep]=C701,Berekening_impact[Digitale zorgtoepassing]),0))</f>
        <v>5966848.9563274495</v>
      </c>
      <c r="N701" s="397" cm="1">
        <f t="array" ref="N701">J701*INDEX(Berekening_impact[Totaal arbeidsbesparing (FTE/jaar)],MATCH(B701,IF(Berekening_impact[Doelgroep]=C701,Berekening_impact[Digitale zorgtoepassing]),0))</f>
        <v>108.98349682118184</v>
      </c>
      <c r="O701" s="398" cm="1">
        <f t="array" ref="O701">J701*INDEX(Berekening_impact[Overige kostenbesparing (totaal/jaar totaal potentieel)],MATCH(B701,IF(Berekening_impact[Doelgroep]=C701,Berekening_impact[Digitale zorgtoepassing]),0))</f>
        <v>7639374.800146508</v>
      </c>
      <c r="P701" s="398" cm="1">
        <f t="array" ref="P701">J701*INDEX(Berekening_impact[Opbrengsten door QALY''s],MATCH(B701,IF(Berekening_impact[Doelgroep]=C701,Berekening_impact[Digitale zorgtoepassing]),0))</f>
        <v>0</v>
      </c>
      <c r="Q701" s="398" cm="1">
        <f t="array" ref="Q701">J701*INDEX(Berekening_impact[Jaarlijkse kosten (totaal) - incl. schatting],MATCH(B701,IF(Berekening_impact[Doelgroep]=C701,Berekening_impact[Digitale zorgtoepassing]),0))</f>
        <v>2986890.0722545213</v>
      </c>
      <c r="R701" s="398" cm="1">
        <f t="array" ref="R701">(uitkomst_doelgroep[[#This Row],[Implementatiegraad t = T + 1]]-uitkomst_doelgroep[[#This Row],[Implementatiegraad t = T]])*INDEX(Berekening_impact[Initiële investering (totaal) - incl. schatting],MATCH(B701,IF(Berekening_impact[Doelgroep]=C701,Berekening_impact[Digitale zorgtoepassing]),0))</f>
        <v>0</v>
      </c>
      <c r="S701" s="398">
        <f>uitkomst_doelgroep[[#This Row],[Arbeidsbesparing (€)]]*uitkomst_doelgroep[[#This Row],[Percentage van patiëntaantallen in Wlz (overige is Zvw)]]</f>
        <v>0</v>
      </c>
      <c r="T701" s="398">
        <f>uitkomst_doelgroep[[#This Row],[Overige besparingen (€)]]*uitkomst_doelgroep[[#This Row],[Percentage van patiëntaantallen in Wlz (overige is Zvw)]]</f>
        <v>0</v>
      </c>
      <c r="U701" s="398">
        <f>uitkomst_doelgroep[[#This Row],[Kosten (€)]]*uitkomst_doelgroep[[#This Row],[Percentage van patiëntaantallen in Wlz (overige is Zvw)]]</f>
        <v>0</v>
      </c>
      <c r="V701" s="398">
        <f>uitkomst_doelgroep[[#This Row],[Investering (cash flow) (€)]]*uitkomst_doelgroep[[#This Row],[Percentage van patiëntaantallen in Wlz (overige is Zvw)]]</f>
        <v>0</v>
      </c>
    </row>
    <row r="702" spans="1:22" x14ac:dyDescent="0.5">
      <c r="A702" s="33" t="str">
        <f>INDEX(Technologieën[Veld],MATCH(B702,Technologieën[Digitale zorgtoepassing],0))</f>
        <v>Digitale hulpmiddelen - Diagnose</v>
      </c>
      <c r="B702" s="33" t="s">
        <v>82</v>
      </c>
      <c r="C702" s="33" t="s">
        <v>703</v>
      </c>
      <c r="D702" s="427" cm="1">
        <f t="array" ref="D702">INDEX(Berekening_patiëntaantal[Percentage van patiëntaantallen in Wlz (overige is Zvw)],MATCH(B702,IF(Berekening_patiëntaantal[Doelgroep (zoeksleutel)]=C702,Berekening_patiëntaantal[Digitale zorgtoepassing]),0))</f>
        <v>0</v>
      </c>
      <c r="E702" s="33" t="str" cm="1">
        <f t="array" ref="E702">INDEX(Berekening_patiëntaantal[Direct toepasbaar/extrapolatie/incidentie voor QALY],MATCH(B702,IF(Berekening_patiëntaantal[Doelgroep (zoeksleutel)]=C702,Berekening_patiëntaantal[Digitale zorgtoepassing]),0))</f>
        <v>Huidige toepassing</v>
      </c>
      <c r="F702" s="43" t="s">
        <v>812</v>
      </c>
      <c r="G702" s="33" t="str">
        <f>CONCATENATE(uitkomst_doelgroep[[#This Row],[Digitale zorgtoepassing]],"_",uitkomst_doelgroep[[#This Row],[Doelgroep]],"_",uitkomst_doelgroep[[#This Row],[Uitgangssituatie/effect beleid]])</f>
        <v>Point-of-care (POC) testing_HAP contacten met labaratoriumonderzoek_Effect beleid</v>
      </c>
      <c r="H702" s="33">
        <v>2027</v>
      </c>
      <c r="I702" s="32">
        <v>5</v>
      </c>
      <c r="J702" s="406" cm="1">
        <f t="array" ref="J702">INDEX(implementatie[[2023]:[2034]],MATCH(G702, implementatie[Zoeksleutel],0),I702)</f>
        <v>0.80616443563130724</v>
      </c>
      <c r="K702" s="406" cm="1">
        <f t="array" ref="K702">INDEX(implementatie[[2023]:[2034]],MATCH(G702,implementatie[Zoeksleutel],0),I702 + 1)</f>
        <v>0.87254648226050635</v>
      </c>
      <c r="L70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108832.19881022647</v>
      </c>
      <c r="M702" s="398" cm="1">
        <f t="array" ref="M702">J702*INDEX(Berekening_impact[Totaal arbeidsbesparing (€/jaar)],MATCH(B702,IF(Berekening_impact[Doelgroep]=C702,Berekening_impact[Digitale zorgtoepassing]),0))</f>
        <v>6681790.8106743693</v>
      </c>
      <c r="N702" s="397" cm="1">
        <f t="array" ref="N702">J702*INDEX(Berekening_impact[Totaal arbeidsbesparing (FTE/jaar)],MATCH(B702,IF(Berekening_impact[Doelgroep]=C702,Berekening_impact[Digitale zorgtoepassing]),0))</f>
        <v>122.0417900477804</v>
      </c>
      <c r="O702" s="398" cm="1">
        <f t="array" ref="O702">J702*INDEX(Berekening_impact[Overige kostenbesparing (totaal/jaar totaal potentieel)],MATCH(B702,IF(Berekening_impact[Doelgroep]=C702,Berekening_impact[Digitale zorgtoepassing]),0))</f>
        <v>8554717.0227573365</v>
      </c>
      <c r="P702" s="398" cm="1">
        <f t="array" ref="P702">J702*INDEX(Berekening_impact[Opbrengsten door QALY''s],MATCH(B702,IF(Berekening_impact[Doelgroep]=C702,Berekening_impact[Digitale zorgtoepassing]),0))</f>
        <v>0</v>
      </c>
      <c r="Q702" s="398" cm="1">
        <f t="array" ref="Q702">J702*INDEX(Berekening_impact[Jaarlijkse kosten (totaal) - incl. schatting],MATCH(B702,IF(Berekening_impact[Doelgroep]=C702,Berekening_impact[Digitale zorgtoepassing]),0))</f>
        <v>3344776.2434342937</v>
      </c>
      <c r="R702" s="398" cm="1">
        <f t="array" ref="R702">(uitkomst_doelgroep[[#This Row],[Implementatiegraad t = T + 1]]-uitkomst_doelgroep[[#This Row],[Implementatiegraad t = T]])*INDEX(Berekening_impact[Initiële investering (totaal) - incl. schatting],MATCH(B702,IF(Berekening_impact[Doelgroep]=C702,Berekening_impact[Digitale zorgtoepassing]),0))</f>
        <v>0</v>
      </c>
      <c r="S702" s="398">
        <f>uitkomst_doelgroep[[#This Row],[Arbeidsbesparing (€)]]*uitkomst_doelgroep[[#This Row],[Percentage van patiëntaantallen in Wlz (overige is Zvw)]]</f>
        <v>0</v>
      </c>
      <c r="T702" s="398">
        <f>uitkomst_doelgroep[[#This Row],[Overige besparingen (€)]]*uitkomst_doelgroep[[#This Row],[Percentage van patiëntaantallen in Wlz (overige is Zvw)]]</f>
        <v>0</v>
      </c>
      <c r="U702" s="398">
        <f>uitkomst_doelgroep[[#This Row],[Kosten (€)]]*uitkomst_doelgroep[[#This Row],[Percentage van patiëntaantallen in Wlz (overige is Zvw)]]</f>
        <v>0</v>
      </c>
      <c r="V702" s="398">
        <f>uitkomst_doelgroep[[#This Row],[Investering (cash flow) (€)]]*uitkomst_doelgroep[[#This Row],[Percentage van patiëntaantallen in Wlz (overige is Zvw)]]</f>
        <v>0</v>
      </c>
    </row>
    <row r="703" spans="1:22" x14ac:dyDescent="0.5">
      <c r="A703" s="33" t="str">
        <f>INDEX(Technologieën[Veld],MATCH(B703,Technologieën[Digitale zorgtoepassing],0))</f>
        <v>Digitale hulpmiddelen - Diagnose</v>
      </c>
      <c r="B703" s="33" t="s">
        <v>82</v>
      </c>
      <c r="C703" s="33" t="s">
        <v>703</v>
      </c>
      <c r="D703" s="427" cm="1">
        <f t="array" ref="D703">INDEX(Berekening_patiëntaantal[Percentage van patiëntaantallen in Wlz (overige is Zvw)],MATCH(B703,IF(Berekening_patiëntaantal[Doelgroep (zoeksleutel)]=C703,Berekening_patiëntaantal[Digitale zorgtoepassing]),0))</f>
        <v>0</v>
      </c>
      <c r="E703" s="33" t="str" cm="1">
        <f t="array" ref="E703">INDEX(Berekening_patiëntaantal[Direct toepasbaar/extrapolatie/incidentie voor QALY],MATCH(B703,IF(Berekening_patiëntaantal[Doelgroep (zoeksleutel)]=C703,Berekening_patiëntaantal[Digitale zorgtoepassing]),0))</f>
        <v>Huidige toepassing</v>
      </c>
      <c r="F703" s="43" t="s">
        <v>812</v>
      </c>
      <c r="G703" s="33" t="str">
        <f>CONCATENATE(uitkomst_doelgroep[[#This Row],[Digitale zorgtoepassing]],"_",uitkomst_doelgroep[[#This Row],[Doelgroep]],"_",uitkomst_doelgroep[[#This Row],[Uitgangssituatie/effect beleid]])</f>
        <v>Point-of-care (POC) testing_HAP contacten met labaratoriumonderzoek_Effect beleid</v>
      </c>
      <c r="H703" s="33">
        <v>2028</v>
      </c>
      <c r="I703" s="32">
        <v>6</v>
      </c>
      <c r="J703" s="406" cm="1">
        <f t="array" ref="J703">INDEX(implementatie[[2023]:[2034]],MATCH(G703, implementatie[Zoeksleutel],0),I703)</f>
        <v>0.87254648226050635</v>
      </c>
      <c r="K703" s="406" cm="1">
        <f t="array" ref="K703">INDEX(implementatie[[2023]:[2034]],MATCH(G703,implementatie[Zoeksleutel],0),I703 + 1)</f>
        <v>0.9195792000374251</v>
      </c>
      <c r="L70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117793.77510516836</v>
      </c>
      <c r="M703" s="398" cm="1">
        <f t="array" ref="M703">J703*INDEX(Berekening_impact[Totaal arbeidsbesparing (€/jaar)],MATCH(B703,IF(Berekening_impact[Doelgroep]=C703,Berekening_impact[Digitale zorgtoepassing]),0))</f>
        <v>7231989.9134335918</v>
      </c>
      <c r="N703" s="397" cm="1">
        <f t="array" ref="N703">J703*INDEX(Berekening_impact[Totaal arbeidsbesparing (FTE/jaar)],MATCH(B703,IF(Berekening_impact[Doelgroep]=C703,Berekening_impact[Digitale zorgtoepassing]),0))</f>
        <v>132.09108450880248</v>
      </c>
      <c r="O703" s="398" cm="1">
        <f t="array" ref="O703">J703*INDEX(Berekening_impact[Overige kostenbesparing (totaal/jaar totaal potentieel)],MATCH(B703,IF(Berekening_impact[Doelgroep]=C703,Berekening_impact[Digitale zorgtoepassing]),0))</f>
        <v>9259138.6012899783</v>
      </c>
      <c r="P703" s="398" cm="1">
        <f t="array" ref="P703">J703*INDEX(Berekening_impact[Opbrengsten door QALY''s],MATCH(B703,IF(Berekening_impact[Doelgroep]=C703,Berekening_impact[Digitale zorgtoepassing]),0))</f>
        <v>0</v>
      </c>
      <c r="Q703" s="398" cm="1">
        <f t="array" ref="Q703">J703*INDEX(Berekening_impact[Jaarlijkse kosten (totaal) - incl. schatting],MATCH(B703,IF(Berekening_impact[Doelgroep]=C703,Berekening_impact[Digitale zorgtoepassing]),0))</f>
        <v>3620195.3548988407</v>
      </c>
      <c r="R703" s="398" cm="1">
        <f t="array" ref="R703">(uitkomst_doelgroep[[#This Row],[Implementatiegraad t = T + 1]]-uitkomst_doelgroep[[#This Row],[Implementatiegraad t = T]])*INDEX(Berekening_impact[Initiële investering (totaal) - incl. schatting],MATCH(B703,IF(Berekening_impact[Doelgroep]=C703,Berekening_impact[Digitale zorgtoepassing]),0))</f>
        <v>0</v>
      </c>
      <c r="S703" s="398">
        <f>uitkomst_doelgroep[[#This Row],[Arbeidsbesparing (€)]]*uitkomst_doelgroep[[#This Row],[Percentage van patiëntaantallen in Wlz (overige is Zvw)]]</f>
        <v>0</v>
      </c>
      <c r="T703" s="398">
        <f>uitkomst_doelgroep[[#This Row],[Overige besparingen (€)]]*uitkomst_doelgroep[[#This Row],[Percentage van patiëntaantallen in Wlz (overige is Zvw)]]</f>
        <v>0</v>
      </c>
      <c r="U703" s="398">
        <f>uitkomst_doelgroep[[#This Row],[Kosten (€)]]*uitkomst_doelgroep[[#This Row],[Percentage van patiëntaantallen in Wlz (overige is Zvw)]]</f>
        <v>0</v>
      </c>
      <c r="V703" s="398">
        <f>uitkomst_doelgroep[[#This Row],[Investering (cash flow) (€)]]*uitkomst_doelgroep[[#This Row],[Percentage van patiëntaantallen in Wlz (overige is Zvw)]]</f>
        <v>0</v>
      </c>
    </row>
    <row r="704" spans="1:22" x14ac:dyDescent="0.5">
      <c r="A704" s="33" t="str">
        <f>INDEX(Technologieën[Veld],MATCH(B704,Technologieën[Digitale zorgtoepassing],0))</f>
        <v>Digitale hulpmiddelen - Diagnose</v>
      </c>
      <c r="B704" s="33" t="s">
        <v>82</v>
      </c>
      <c r="C704" s="33" t="s">
        <v>703</v>
      </c>
      <c r="D704" s="427" cm="1">
        <f t="array" ref="D704">INDEX(Berekening_patiëntaantal[Percentage van patiëntaantallen in Wlz (overige is Zvw)],MATCH(B704,IF(Berekening_patiëntaantal[Doelgroep (zoeksleutel)]=C704,Berekening_patiëntaantal[Digitale zorgtoepassing]),0))</f>
        <v>0</v>
      </c>
      <c r="E704" s="33" t="str" cm="1">
        <f t="array" ref="E704">INDEX(Berekening_patiëntaantal[Direct toepasbaar/extrapolatie/incidentie voor QALY],MATCH(B704,IF(Berekening_patiëntaantal[Doelgroep (zoeksleutel)]=C704,Berekening_patiëntaantal[Digitale zorgtoepassing]),0))</f>
        <v>Huidige toepassing</v>
      </c>
      <c r="F704" s="43" t="s">
        <v>812</v>
      </c>
      <c r="G704" s="33" t="str">
        <f>CONCATENATE(uitkomst_doelgroep[[#This Row],[Digitale zorgtoepassing]],"_",uitkomst_doelgroep[[#This Row],[Doelgroep]],"_",uitkomst_doelgroep[[#This Row],[Uitgangssituatie/effect beleid]])</f>
        <v>Point-of-care (POC) testing_HAP contacten met labaratoriumonderzoek_Effect beleid</v>
      </c>
      <c r="H704" s="33">
        <v>2029</v>
      </c>
      <c r="I704" s="32">
        <v>7</v>
      </c>
      <c r="J704" s="406" cm="1">
        <f t="array" ref="J704">INDEX(implementatie[[2023]:[2034]],MATCH(G704, implementatie[Zoeksleutel],0),I704)</f>
        <v>0.9195792000374251</v>
      </c>
      <c r="K704" s="406" cm="1">
        <f t="array" ref="K704">INDEX(implementatie[[2023]:[2034]],MATCH(G704,implementatie[Zoeksleutel],0),I704 + 1)</f>
        <v>0.95076893399505846</v>
      </c>
      <c r="L70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124143.19200505239</v>
      </c>
      <c r="M704" s="398" cm="1">
        <f t="array" ref="M704">J704*INDEX(Berekening_impact[Totaal arbeidsbesparing (€/jaar)],MATCH(B704,IF(Berekening_impact[Doelgroep]=C704,Berekening_impact[Digitale zorgtoepassing]),0))</f>
        <v>7621814.5789148444</v>
      </c>
      <c r="N704" s="397" cm="1">
        <f t="array" ref="N704">J704*INDEX(Berekening_impact[Totaal arbeidsbesparing (FTE/jaar)],MATCH(B704,IF(Berekening_impact[Doelgroep]=C704,Berekening_impact[Digitale zorgtoepassing]),0))</f>
        <v>139.21116673348195</v>
      </c>
      <c r="O704" s="398" cm="1">
        <f t="array" ref="O704">J704*INDEX(Berekening_impact[Overige kostenbesparing (totaal/jaar totaal potentieel)],MATCH(B704,IF(Berekening_impact[Doelgroep]=C704,Berekening_impact[Digitale zorgtoepassing]),0))</f>
        <v>9758232.3017924912</v>
      </c>
      <c r="P704" s="398" cm="1">
        <f t="array" ref="P704">J704*INDEX(Berekening_impact[Opbrengsten door QALY''s],MATCH(B704,IF(Berekening_impact[Doelgroep]=C704,Berekening_impact[Digitale zorgtoepassing]),0))</f>
        <v>0</v>
      </c>
      <c r="Q704" s="398" cm="1">
        <f t="array" ref="Q704">J704*INDEX(Berekening_impact[Jaarlijkse kosten (totaal) - incl. schatting],MATCH(B704,IF(Berekening_impact[Doelgroep]=C704,Berekening_impact[Digitale zorgtoepassing]),0))</f>
        <v>3815334.1009552768</v>
      </c>
      <c r="R704" s="398" cm="1">
        <f t="array" ref="R704">(uitkomst_doelgroep[[#This Row],[Implementatiegraad t = T + 1]]-uitkomst_doelgroep[[#This Row],[Implementatiegraad t = T]])*INDEX(Berekening_impact[Initiële investering (totaal) - incl. schatting],MATCH(B704,IF(Berekening_impact[Doelgroep]=C704,Berekening_impact[Digitale zorgtoepassing]),0))</f>
        <v>0</v>
      </c>
      <c r="S704" s="398">
        <f>uitkomst_doelgroep[[#This Row],[Arbeidsbesparing (€)]]*uitkomst_doelgroep[[#This Row],[Percentage van patiëntaantallen in Wlz (overige is Zvw)]]</f>
        <v>0</v>
      </c>
      <c r="T704" s="398">
        <f>uitkomst_doelgroep[[#This Row],[Overige besparingen (€)]]*uitkomst_doelgroep[[#This Row],[Percentage van patiëntaantallen in Wlz (overige is Zvw)]]</f>
        <v>0</v>
      </c>
      <c r="U704" s="398">
        <f>uitkomst_doelgroep[[#This Row],[Kosten (€)]]*uitkomst_doelgroep[[#This Row],[Percentage van patiëntaantallen in Wlz (overige is Zvw)]]</f>
        <v>0</v>
      </c>
      <c r="V704" s="398">
        <f>uitkomst_doelgroep[[#This Row],[Investering (cash flow) (€)]]*uitkomst_doelgroep[[#This Row],[Percentage van patiëntaantallen in Wlz (overige is Zvw)]]</f>
        <v>0</v>
      </c>
    </row>
    <row r="705" spans="1:22" x14ac:dyDescent="0.5">
      <c r="A705" s="33" t="str">
        <f>INDEX(Technologieën[Veld],MATCH(B705,Technologieën[Digitale zorgtoepassing],0))</f>
        <v>Digitale hulpmiddelen - Diagnose</v>
      </c>
      <c r="B705" s="33" t="s">
        <v>82</v>
      </c>
      <c r="C705" s="33" t="s">
        <v>703</v>
      </c>
      <c r="D705" s="427" cm="1">
        <f t="array" ref="D705">INDEX(Berekening_patiëntaantal[Percentage van patiëntaantallen in Wlz (overige is Zvw)],MATCH(B705,IF(Berekening_patiëntaantal[Doelgroep (zoeksleutel)]=C705,Berekening_patiëntaantal[Digitale zorgtoepassing]),0))</f>
        <v>0</v>
      </c>
      <c r="E705" s="33" t="str" cm="1">
        <f t="array" ref="E705">INDEX(Berekening_patiëntaantal[Direct toepasbaar/extrapolatie/incidentie voor QALY],MATCH(B705,IF(Berekening_patiëntaantal[Doelgroep (zoeksleutel)]=C705,Berekening_patiëntaantal[Digitale zorgtoepassing]),0))</f>
        <v>Huidige toepassing</v>
      </c>
      <c r="F705" s="43" t="s">
        <v>812</v>
      </c>
      <c r="G705" s="33" t="str">
        <f>CONCATENATE(uitkomst_doelgroep[[#This Row],[Digitale zorgtoepassing]],"_",uitkomst_doelgroep[[#This Row],[Doelgroep]],"_",uitkomst_doelgroep[[#This Row],[Uitgangssituatie/effect beleid]])</f>
        <v>Point-of-care (POC) testing_HAP contacten met labaratoriumonderzoek_Effect beleid</v>
      </c>
      <c r="H705" s="33">
        <v>2030</v>
      </c>
      <c r="I705" s="32">
        <v>8</v>
      </c>
      <c r="J705" s="406" cm="1">
        <f t="array" ref="J705">INDEX(implementatie[[2023]:[2034]],MATCH(G705, implementatie[Zoeksleutel],0),I705)</f>
        <v>0.95076893399505846</v>
      </c>
      <c r="K705" s="406" cm="1">
        <f t="array" ref="K705">INDEX(implementatie[[2023]:[2034]],MATCH(G705,implementatie[Zoeksleutel],0),I705 + 1)</f>
        <v>0.97047650257314066</v>
      </c>
      <c r="L70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128353.80608933289</v>
      </c>
      <c r="M705" s="398" cm="1">
        <f t="array" ref="M705">J705*INDEX(Berekening_impact[Totaal arbeidsbesparing (€/jaar)],MATCH(B705,IF(Berekening_impact[Doelgroep]=C705,Berekening_impact[Digitale zorgtoepassing]),0))</f>
        <v>7880326.6994381119</v>
      </c>
      <c r="N705" s="397" cm="1">
        <f t="array" ref="N705">J705*INDEX(Berekening_impact[Totaal arbeidsbesparing (FTE/jaar)],MATCH(B705,IF(Berekening_impact[Doelgroep]=C705,Berekening_impact[Digitale zorgtoepassing]),0))</f>
        <v>143.9328473175712</v>
      </c>
      <c r="O705" s="398" cm="1">
        <f t="array" ref="O705">J705*INDEX(Berekening_impact[Overige kostenbesparing (totaal/jaar totaal potentieel)],MATCH(B705,IF(Berekening_impact[Doelgroep]=C705,Berekening_impact[Digitale zorgtoepassing]),0))</f>
        <v>10089206.153068492</v>
      </c>
      <c r="P705" s="398" cm="1">
        <f t="array" ref="P705">J705*INDEX(Berekening_impact[Opbrengsten door QALY''s],MATCH(B705,IF(Berekening_impact[Doelgroep]=C705,Berekening_impact[Digitale zorgtoepassing]),0))</f>
        <v>0</v>
      </c>
      <c r="Q705" s="398" cm="1">
        <f t="array" ref="Q705">J705*INDEX(Berekening_impact[Jaarlijkse kosten (totaal) - incl. schatting],MATCH(B705,IF(Berekening_impact[Doelgroep]=C705,Berekening_impact[Digitale zorgtoepassing]),0))</f>
        <v>3944740.3071454978</v>
      </c>
      <c r="R705" s="398" cm="1">
        <f t="array" ref="R705">(uitkomst_doelgroep[[#This Row],[Implementatiegraad t = T + 1]]-uitkomst_doelgroep[[#This Row],[Implementatiegraad t = T]])*INDEX(Berekening_impact[Initiële investering (totaal) - incl. schatting],MATCH(B705,IF(Berekening_impact[Doelgroep]=C705,Berekening_impact[Digitale zorgtoepassing]),0))</f>
        <v>0</v>
      </c>
      <c r="S705" s="398">
        <f>uitkomst_doelgroep[[#This Row],[Arbeidsbesparing (€)]]*uitkomst_doelgroep[[#This Row],[Percentage van patiëntaantallen in Wlz (overige is Zvw)]]</f>
        <v>0</v>
      </c>
      <c r="T705" s="398">
        <f>uitkomst_doelgroep[[#This Row],[Overige besparingen (€)]]*uitkomst_doelgroep[[#This Row],[Percentage van patiëntaantallen in Wlz (overige is Zvw)]]</f>
        <v>0</v>
      </c>
      <c r="U705" s="398">
        <f>uitkomst_doelgroep[[#This Row],[Kosten (€)]]*uitkomst_doelgroep[[#This Row],[Percentage van patiëntaantallen in Wlz (overige is Zvw)]]</f>
        <v>0</v>
      </c>
      <c r="V705" s="398">
        <f>uitkomst_doelgroep[[#This Row],[Investering (cash flow) (€)]]*uitkomst_doelgroep[[#This Row],[Percentage van patiëntaantallen in Wlz (overige is Zvw)]]</f>
        <v>0</v>
      </c>
    </row>
    <row r="706" spans="1:22" x14ac:dyDescent="0.5">
      <c r="A706" s="33" t="str">
        <f>INDEX(Technologieën[Veld],MATCH(B706,Technologieën[Digitale zorgtoepassing],0))</f>
        <v>Digitale hulpmiddelen - Diagnose</v>
      </c>
      <c r="B706" s="33" t="s">
        <v>82</v>
      </c>
      <c r="C706" s="33" t="s">
        <v>703</v>
      </c>
      <c r="D706" s="427" cm="1">
        <f t="array" ref="D706">INDEX(Berekening_patiëntaantal[Percentage van patiëntaantallen in Wlz (overige is Zvw)],MATCH(B706,IF(Berekening_patiëntaantal[Doelgroep (zoeksleutel)]=C706,Berekening_patiëntaantal[Digitale zorgtoepassing]),0))</f>
        <v>0</v>
      </c>
      <c r="E706" s="33" t="str" cm="1">
        <f t="array" ref="E706">INDEX(Berekening_patiëntaantal[Direct toepasbaar/extrapolatie/incidentie voor QALY],MATCH(B706,IF(Berekening_patiëntaantal[Doelgroep (zoeksleutel)]=C706,Berekening_patiëntaantal[Digitale zorgtoepassing]),0))</f>
        <v>Huidige toepassing</v>
      </c>
      <c r="F706" s="43" t="s">
        <v>812</v>
      </c>
      <c r="G706" s="33" t="str">
        <f>CONCATENATE(uitkomst_doelgroep[[#This Row],[Digitale zorgtoepassing]],"_",uitkomst_doelgroep[[#This Row],[Doelgroep]],"_",uitkomst_doelgroep[[#This Row],[Uitgangssituatie/effect beleid]])</f>
        <v>Point-of-care (POC) testing_HAP contacten met labaratoriumonderzoek_Effect beleid</v>
      </c>
      <c r="H706" s="33">
        <v>2031</v>
      </c>
      <c r="I706" s="32">
        <v>9</v>
      </c>
      <c r="J706" s="406" cm="1">
        <f t="array" ref="J706">INDEX(implementatie[[2023]:[2034]],MATCH(G706, implementatie[Zoeksleutel],0),I706)</f>
        <v>0.97047650257314066</v>
      </c>
      <c r="K706" s="406" cm="1">
        <f t="array" ref="K706">INDEX(implementatie[[2023]:[2034]],MATCH(G706,implementatie[Zoeksleutel],0),I706 + 1)</f>
        <v>0.98252771673229611</v>
      </c>
      <c r="L70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131014.32784737399</v>
      </c>
      <c r="M706" s="398" cm="1">
        <f t="array" ref="M706">J706*INDEX(Berekening_impact[Totaal arbeidsbesparing (€/jaar)],MATCH(B706,IF(Berekening_impact[Doelgroep]=C706,Berekening_impact[Digitale zorgtoepassing]),0))</f>
        <v>8043670.3608620306</v>
      </c>
      <c r="N706" s="397" cm="1">
        <f t="array" ref="N706">J706*INDEX(Berekening_impact[Totaal arbeidsbesparing (FTE/jaar)],MATCH(B706,IF(Berekening_impact[Doelgroep]=C706,Berekening_impact[Digitale zorgtoepassing]),0))</f>
        <v>146.91629193563483</v>
      </c>
      <c r="O706" s="398" cm="1">
        <f t="array" ref="O706">J706*INDEX(Berekening_impact[Overige kostenbesparing (totaal/jaar totaal potentieel)],MATCH(B706,IF(Berekening_impact[Doelgroep]=C706,Berekening_impact[Digitale zorgtoepassing]),0))</f>
        <v>10298335.537770327</v>
      </c>
      <c r="P706" s="398" cm="1">
        <f t="array" ref="P706">J706*INDEX(Berekening_impact[Opbrengsten door QALY''s],MATCH(B706,IF(Berekening_impact[Doelgroep]=C706,Berekening_impact[Digitale zorgtoepassing]),0))</f>
        <v>0</v>
      </c>
      <c r="Q706" s="398" cm="1">
        <f t="array" ref="Q706">J706*INDEX(Berekening_impact[Jaarlijkse kosten (totaal) - incl. schatting],MATCH(B706,IF(Berekening_impact[Doelgroep]=C706,Berekening_impact[Digitale zorgtoepassing]),0))</f>
        <v>4026507.0091759604</v>
      </c>
      <c r="R706" s="398" cm="1">
        <f t="array" ref="R706">(uitkomst_doelgroep[[#This Row],[Implementatiegraad t = T + 1]]-uitkomst_doelgroep[[#This Row],[Implementatiegraad t = T]])*INDEX(Berekening_impact[Initiële investering (totaal) - incl. schatting],MATCH(B706,IF(Berekening_impact[Doelgroep]=C706,Berekening_impact[Digitale zorgtoepassing]),0))</f>
        <v>0</v>
      </c>
      <c r="S706" s="398">
        <f>uitkomst_doelgroep[[#This Row],[Arbeidsbesparing (€)]]*uitkomst_doelgroep[[#This Row],[Percentage van patiëntaantallen in Wlz (overige is Zvw)]]</f>
        <v>0</v>
      </c>
      <c r="T706" s="398">
        <f>uitkomst_doelgroep[[#This Row],[Overige besparingen (€)]]*uitkomst_doelgroep[[#This Row],[Percentage van patiëntaantallen in Wlz (overige is Zvw)]]</f>
        <v>0</v>
      </c>
      <c r="U706" s="398">
        <f>uitkomst_doelgroep[[#This Row],[Kosten (€)]]*uitkomst_doelgroep[[#This Row],[Percentage van patiëntaantallen in Wlz (overige is Zvw)]]</f>
        <v>0</v>
      </c>
      <c r="V706" s="398">
        <f>uitkomst_doelgroep[[#This Row],[Investering (cash flow) (€)]]*uitkomst_doelgroep[[#This Row],[Percentage van patiëntaantallen in Wlz (overige is Zvw)]]</f>
        <v>0</v>
      </c>
    </row>
    <row r="707" spans="1:22" x14ac:dyDescent="0.5">
      <c r="A707" s="33" t="str">
        <f>INDEX(Technologieën[Veld],MATCH(B707,Technologieën[Digitale zorgtoepassing],0))</f>
        <v>Digitale hulpmiddelen - Diagnose</v>
      </c>
      <c r="B707" s="33" t="s">
        <v>82</v>
      </c>
      <c r="C707" s="33" t="s">
        <v>703</v>
      </c>
      <c r="D707" s="427" cm="1">
        <f t="array" ref="D707">INDEX(Berekening_patiëntaantal[Percentage van patiëntaantallen in Wlz (overige is Zvw)],MATCH(B707,IF(Berekening_patiëntaantal[Doelgroep (zoeksleutel)]=C707,Berekening_patiëntaantal[Digitale zorgtoepassing]),0))</f>
        <v>0</v>
      </c>
      <c r="E707" s="33" t="str" cm="1">
        <f t="array" ref="E707">INDEX(Berekening_patiëntaantal[Direct toepasbaar/extrapolatie/incidentie voor QALY],MATCH(B707,IF(Berekening_patiëntaantal[Doelgroep (zoeksleutel)]=C707,Berekening_patiëntaantal[Digitale zorgtoepassing]),0))</f>
        <v>Huidige toepassing</v>
      </c>
      <c r="F707" s="43" t="s">
        <v>812</v>
      </c>
      <c r="G707" s="33" t="str">
        <f>CONCATENATE(uitkomst_doelgroep[[#This Row],[Digitale zorgtoepassing]],"_",uitkomst_doelgroep[[#This Row],[Doelgroep]],"_",uitkomst_doelgroep[[#This Row],[Uitgangssituatie/effect beleid]])</f>
        <v>Point-of-care (POC) testing_HAP contacten met labaratoriumonderzoek_Effect beleid</v>
      </c>
      <c r="H707" s="33">
        <v>2032</v>
      </c>
      <c r="I707" s="32">
        <v>10</v>
      </c>
      <c r="J707" s="406" cm="1">
        <f t="array" ref="J707">INDEX(implementatie[[2023]:[2034]],MATCH(G707, implementatie[Zoeksleutel],0),I707)</f>
        <v>0.98252771673229611</v>
      </c>
      <c r="K707" s="406" cm="1">
        <f t="array" ref="K707">INDEX(implementatie[[2023]:[2034]],MATCH(G707,implementatie[Zoeksleutel],0),I707 + 1)</f>
        <v>0.98974396343169702</v>
      </c>
      <c r="L70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132641.24175885998</v>
      </c>
      <c r="M707" s="398" cm="1">
        <f t="array" ref="M707">J707*INDEX(Berekening_impact[Totaal arbeidsbesparing (€/jaar)],MATCH(B707,IF(Berekening_impact[Doelgroep]=C707,Berekening_impact[Digitale zorgtoepassing]),0))</f>
        <v>8143555.3079858217</v>
      </c>
      <c r="N707" s="397" cm="1">
        <f t="array" ref="N707">J707*INDEX(Berekening_impact[Totaal arbeidsbesparing (FTE/jaar)],MATCH(B707,IF(Berekening_impact[Doelgroep]=C707,Berekening_impact[Digitale zorgtoepassing]),0))</f>
        <v>148.74067376547922</v>
      </c>
      <c r="O707" s="398" cm="1">
        <f t="array" ref="O707">J707*INDEX(Berekening_impact[Overige kostenbesparing (totaal/jaar totaal potentieel)],MATCH(B707,IF(Berekening_impact[Doelgroep]=C707,Berekening_impact[Digitale zorgtoepassing]),0))</f>
        <v>10426218.538254576</v>
      </c>
      <c r="P707" s="398" cm="1">
        <f t="array" ref="P707">J707*INDEX(Berekening_impact[Opbrengsten door QALY''s],MATCH(B707,IF(Berekening_impact[Doelgroep]=C707,Berekening_impact[Digitale zorgtoepassing]),0))</f>
        <v>0</v>
      </c>
      <c r="Q707" s="398" cm="1">
        <f t="array" ref="Q707">J707*INDEX(Berekening_impact[Jaarlijkse kosten (totaal) - incl. schatting],MATCH(B707,IF(Berekening_impact[Doelgroep]=C707,Berekening_impact[Digitale zorgtoepassing]),0))</f>
        <v>4076507.4967222963</v>
      </c>
      <c r="R707" s="398" cm="1">
        <f t="array" ref="R707">(uitkomst_doelgroep[[#This Row],[Implementatiegraad t = T + 1]]-uitkomst_doelgroep[[#This Row],[Implementatiegraad t = T]])*INDEX(Berekening_impact[Initiële investering (totaal) - incl. schatting],MATCH(B707,IF(Berekening_impact[Doelgroep]=C707,Berekening_impact[Digitale zorgtoepassing]),0))</f>
        <v>0</v>
      </c>
      <c r="S707" s="398">
        <f>uitkomst_doelgroep[[#This Row],[Arbeidsbesparing (€)]]*uitkomst_doelgroep[[#This Row],[Percentage van patiëntaantallen in Wlz (overige is Zvw)]]</f>
        <v>0</v>
      </c>
      <c r="T707" s="398">
        <f>uitkomst_doelgroep[[#This Row],[Overige besparingen (€)]]*uitkomst_doelgroep[[#This Row],[Percentage van patiëntaantallen in Wlz (overige is Zvw)]]</f>
        <v>0</v>
      </c>
      <c r="U707" s="398">
        <f>uitkomst_doelgroep[[#This Row],[Kosten (€)]]*uitkomst_doelgroep[[#This Row],[Percentage van patiëntaantallen in Wlz (overige is Zvw)]]</f>
        <v>0</v>
      </c>
      <c r="V707" s="398">
        <f>uitkomst_doelgroep[[#This Row],[Investering (cash flow) (€)]]*uitkomst_doelgroep[[#This Row],[Percentage van patiëntaantallen in Wlz (overige is Zvw)]]</f>
        <v>0</v>
      </c>
    </row>
    <row r="708" spans="1:22" x14ac:dyDescent="0.5">
      <c r="A708" s="33" t="str">
        <f>INDEX(Technologieën[Veld],MATCH(B708,Technologieën[Digitale zorgtoepassing],0))</f>
        <v>Digitale hulpmiddelen - Diagnose</v>
      </c>
      <c r="B708" s="33" t="s">
        <v>82</v>
      </c>
      <c r="C708" s="33" t="s">
        <v>703</v>
      </c>
      <c r="D708" s="427" cm="1">
        <f t="array" ref="D708">INDEX(Berekening_patiëntaantal[Percentage van patiëntaantallen in Wlz (overige is Zvw)],MATCH(B708,IF(Berekening_patiëntaantal[Doelgroep (zoeksleutel)]=C708,Berekening_patiëntaantal[Digitale zorgtoepassing]),0))</f>
        <v>0</v>
      </c>
      <c r="E708" s="33" t="str" cm="1">
        <f t="array" ref="E708">INDEX(Berekening_patiëntaantal[Direct toepasbaar/extrapolatie/incidentie voor QALY],MATCH(B708,IF(Berekening_patiëntaantal[Doelgroep (zoeksleutel)]=C708,Berekening_patiëntaantal[Digitale zorgtoepassing]),0))</f>
        <v>Huidige toepassing</v>
      </c>
      <c r="F708" s="43" t="s">
        <v>812</v>
      </c>
      <c r="G708" s="33" t="str">
        <f>CONCATENATE(uitkomst_doelgroep[[#This Row],[Digitale zorgtoepassing]],"_",uitkomst_doelgroep[[#This Row],[Doelgroep]],"_",uitkomst_doelgroep[[#This Row],[Uitgangssituatie/effect beleid]])</f>
        <v>Point-of-care (POC) testing_HAP contacten met labaratoriumonderzoek_Effect beleid</v>
      </c>
      <c r="H708" s="33">
        <v>2033</v>
      </c>
      <c r="I708" s="32">
        <v>11</v>
      </c>
      <c r="J708" s="406" cm="1">
        <f t="array" ref="J708">INDEX(implementatie[[2023]:[2034]],MATCH(G708, implementatie[Zoeksleutel],0),I708)</f>
        <v>0.98974396343169702</v>
      </c>
      <c r="K708" s="406" cm="1">
        <f t="array" ref="K708">INDEX(implementatie[[2023]:[2034]],MATCH(G708,implementatie[Zoeksleutel],0),I708 + 1)</f>
        <v>0.99400942427594807</v>
      </c>
      <c r="L70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133615.43506327909</v>
      </c>
      <c r="M708" s="398" cm="1">
        <f t="array" ref="M708">J708*INDEX(Berekening_impact[Totaal arbeidsbesparing (€/jaar)],MATCH(B708,IF(Berekening_impact[Doelgroep]=C708,Berekening_impact[Digitale zorgtoepassing]),0))</f>
        <v>8203366.2457455071</v>
      </c>
      <c r="N708" s="397" cm="1">
        <f t="array" ref="N708">J708*INDEX(Berekening_impact[Totaal arbeidsbesparing (FTE/jaar)],MATCH(B708,IF(Berekening_impact[Doelgroep]=C708,Berekening_impact[Digitale zorgtoepassing]),0))</f>
        <v>149.83311052614033</v>
      </c>
      <c r="O708" s="398" cm="1">
        <f t="array" ref="O708">J708*INDEX(Berekening_impact[Overige kostenbesparing (totaal/jaar totaal potentieel)],MATCH(B708,IF(Berekening_impact[Doelgroep]=C708,Berekening_impact[Digitale zorgtoepassing]),0))</f>
        <v>10502794.663113566</v>
      </c>
      <c r="P708" s="398" cm="1">
        <f t="array" ref="P708">J708*INDEX(Berekening_impact[Opbrengsten door QALY''s],MATCH(B708,IF(Berekening_impact[Doelgroep]=C708,Berekening_impact[Digitale zorgtoepassing]),0))</f>
        <v>0</v>
      </c>
      <c r="Q708" s="398" cm="1">
        <f t="array" ref="Q708">J708*INDEX(Berekening_impact[Jaarlijkse kosten (totaal) - incl. schatting],MATCH(B708,IF(Berekening_impact[Doelgroep]=C708,Berekening_impact[Digitale zorgtoepassing]),0))</f>
        <v>4106447.704278111</v>
      </c>
      <c r="R708" s="398" cm="1">
        <f t="array" ref="R708">(uitkomst_doelgroep[[#This Row],[Implementatiegraad t = T + 1]]-uitkomst_doelgroep[[#This Row],[Implementatiegraad t = T]])*INDEX(Berekening_impact[Initiële investering (totaal) - incl. schatting],MATCH(B708,IF(Berekening_impact[Doelgroep]=C708,Berekening_impact[Digitale zorgtoepassing]),0))</f>
        <v>0</v>
      </c>
      <c r="S708" s="398">
        <f>uitkomst_doelgroep[[#This Row],[Arbeidsbesparing (€)]]*uitkomst_doelgroep[[#This Row],[Percentage van patiëntaantallen in Wlz (overige is Zvw)]]</f>
        <v>0</v>
      </c>
      <c r="T708" s="398">
        <f>uitkomst_doelgroep[[#This Row],[Overige besparingen (€)]]*uitkomst_doelgroep[[#This Row],[Percentage van patiëntaantallen in Wlz (overige is Zvw)]]</f>
        <v>0</v>
      </c>
      <c r="U708" s="398">
        <f>uitkomst_doelgroep[[#This Row],[Kosten (€)]]*uitkomst_doelgroep[[#This Row],[Percentage van patiëntaantallen in Wlz (overige is Zvw)]]</f>
        <v>0</v>
      </c>
      <c r="V708" s="398">
        <f>uitkomst_doelgroep[[#This Row],[Investering (cash flow) (€)]]*uitkomst_doelgroep[[#This Row],[Percentage van patiëntaantallen in Wlz (overige is Zvw)]]</f>
        <v>0</v>
      </c>
    </row>
    <row r="709" spans="1:22" x14ac:dyDescent="0.5">
      <c r="A709" s="33" t="str">
        <f>INDEX(Technologieën[Veld],MATCH(B709,Technologieën[Digitale zorgtoepassing],0))</f>
        <v>Sensoren - Behandeling</v>
      </c>
      <c r="B709" s="33" t="s">
        <v>593</v>
      </c>
      <c r="C709" s="33" t="s">
        <v>308</v>
      </c>
      <c r="D709" s="427" cm="1">
        <f t="array" ref="D709">INDEX(Berekening_patiëntaantal[Percentage van patiëntaantallen in Wlz (overige is Zvw)],MATCH(B709,IF(Berekening_patiëntaantal[Doelgroep (zoeksleutel)]=C709,Berekening_patiëntaantal[Digitale zorgtoepassing]),0))</f>
        <v>0</v>
      </c>
      <c r="E709" s="33" t="str" cm="1">
        <f t="array" ref="E709">INDEX(Berekening_patiëntaantal[Direct toepasbaar/extrapolatie/incidentie voor QALY],MATCH(B709,IF(Berekening_patiëntaantal[Doelgroep (zoeksleutel)]=C709,Berekening_patiëntaantal[Digitale zorgtoepassing]),0))</f>
        <v>Huidige toepassing</v>
      </c>
      <c r="F709" s="33" t="s">
        <v>813</v>
      </c>
      <c r="G709" s="33" t="str">
        <f>CONCATENATE(uitkomst_doelgroep[[#This Row],[Digitale zorgtoepassing]],"_",uitkomst_doelgroep[[#This Row],[Doelgroep]],"_",uitkomst_doelgroep[[#This Row],[Uitgangssituatie/effect beleid]])</f>
        <v>(Zelf)monitoring hypertensie zwangeren_Zwangeren met hoge bloeddruk_Uitgangssituatie</v>
      </c>
      <c r="H709" s="33">
        <v>2023</v>
      </c>
      <c r="I709" s="32">
        <v>1</v>
      </c>
      <c r="J709" s="406" cm="1">
        <f t="array" ref="J709">INDEX(implementatie[[2023]:[2034]],MATCH(G709, implementatie[Zoeksleutel],0),I709)</f>
        <v>0.2</v>
      </c>
      <c r="K709" s="406" cm="1">
        <f t="array" ref="K709">INDEX(implementatie[[2023]:[2034]],MATCH(G709,implementatie[Zoeksleutel],0),I709 + 1)</f>
        <v>0.28000000000000003</v>
      </c>
      <c r="L70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3376.76</v>
      </c>
      <c r="M709" s="398" cm="1">
        <f t="array" ref="M709">J709*INDEX(Berekening_impact[Totaal arbeidsbesparing (€/jaar)],MATCH(B709,IF(Berekening_impact[Doelgroep]=C709,Berekening_impact[Digitale zorgtoepassing]),0))</f>
        <v>1799137.7279999999</v>
      </c>
      <c r="N709" s="397" cm="1">
        <f t="array" ref="N709">J709*INDEX(Berekening_impact[Totaal arbeidsbesparing (FTE/jaar)],MATCH(B709,IF(Berekening_impact[Doelgroep]=C709,Berekening_impact[Digitale zorgtoepassing]),0))</f>
        <v>31.181231921457346</v>
      </c>
      <c r="O709" s="398" cm="1">
        <f t="array" ref="O709">J709*INDEX(Berekening_impact[Overige kostenbesparing (totaal/jaar totaal potentieel)],MATCH(B709,IF(Berekening_impact[Doelgroep]=C709,Berekening_impact[Digitale zorgtoepassing]),0))</f>
        <v>1199425.1520000002</v>
      </c>
      <c r="P709" s="398" cm="1">
        <f t="array" ref="P709">J709*INDEX(Berekening_impact[Opbrengsten door QALY''s],MATCH(B709,IF(Berekening_impact[Doelgroep]=C709,Berekening_impact[Digitale zorgtoepassing]),0))</f>
        <v>0</v>
      </c>
      <c r="Q709" s="398" cm="1">
        <f t="array" ref="Q709">J709*INDEX(Berekening_impact[Jaarlijkse kosten (totaal) - incl. schatting],MATCH(B709,IF(Berekening_impact[Doelgroep]=C709,Berekening_impact[Digitale zorgtoepassing]),0))</f>
        <v>228063.7</v>
      </c>
      <c r="R709" s="398" cm="1">
        <f t="array" ref="R709">(uitkomst_doelgroep[[#This Row],[Implementatiegraad t = T + 1]]-uitkomst_doelgroep[[#This Row],[Implementatiegraad t = T]])*INDEX(Berekening_impact[Initiële investering (totaal) - incl. schatting],MATCH(B709,IF(Berekening_impact[Doelgroep]=C709,Berekening_impact[Digitale zorgtoepassing]),0))</f>
        <v>0</v>
      </c>
      <c r="S709" s="398">
        <f>uitkomst_doelgroep[[#This Row],[Arbeidsbesparing (€)]]*uitkomst_doelgroep[[#This Row],[Percentage van patiëntaantallen in Wlz (overige is Zvw)]]</f>
        <v>0</v>
      </c>
      <c r="T709" s="398">
        <f>uitkomst_doelgroep[[#This Row],[Overige besparingen (€)]]*uitkomst_doelgroep[[#This Row],[Percentage van patiëntaantallen in Wlz (overige is Zvw)]]</f>
        <v>0</v>
      </c>
      <c r="U709" s="398">
        <f>uitkomst_doelgroep[[#This Row],[Kosten (€)]]*uitkomst_doelgroep[[#This Row],[Percentage van patiëntaantallen in Wlz (overige is Zvw)]]</f>
        <v>0</v>
      </c>
      <c r="V709" s="398">
        <f>uitkomst_doelgroep[[#This Row],[Investering (cash flow) (€)]]*uitkomst_doelgroep[[#This Row],[Percentage van patiëntaantallen in Wlz (overige is Zvw)]]</f>
        <v>0</v>
      </c>
    </row>
    <row r="710" spans="1:22" x14ac:dyDescent="0.5">
      <c r="A710" s="33" t="str">
        <f>INDEX(Technologieën[Veld],MATCH(B710,Technologieën[Digitale zorgtoepassing],0))</f>
        <v>Sensoren - Behandeling</v>
      </c>
      <c r="B710" s="33" t="s">
        <v>593</v>
      </c>
      <c r="C710" s="33" t="s">
        <v>308</v>
      </c>
      <c r="D710" s="427" cm="1">
        <f t="array" ref="D710">INDEX(Berekening_patiëntaantal[Percentage van patiëntaantallen in Wlz (overige is Zvw)],MATCH(B710,IF(Berekening_patiëntaantal[Doelgroep (zoeksleutel)]=C710,Berekening_patiëntaantal[Digitale zorgtoepassing]),0))</f>
        <v>0</v>
      </c>
      <c r="E710" s="33" t="str" cm="1">
        <f t="array" ref="E710">INDEX(Berekening_patiëntaantal[Direct toepasbaar/extrapolatie/incidentie voor QALY],MATCH(B710,IF(Berekening_patiëntaantal[Doelgroep (zoeksleutel)]=C710,Berekening_patiëntaantal[Digitale zorgtoepassing]),0))</f>
        <v>Huidige toepassing</v>
      </c>
      <c r="F710" s="33" t="s">
        <v>813</v>
      </c>
      <c r="G710" s="33" t="str">
        <f>CONCATENATE(uitkomst_doelgroep[[#This Row],[Digitale zorgtoepassing]],"_",uitkomst_doelgroep[[#This Row],[Doelgroep]],"_",uitkomst_doelgroep[[#This Row],[Uitgangssituatie/effect beleid]])</f>
        <v>(Zelf)monitoring hypertensie zwangeren_Zwangeren met hoge bloeddruk_Uitgangssituatie</v>
      </c>
      <c r="H710" s="33">
        <v>2024</v>
      </c>
      <c r="I710" s="32">
        <v>2</v>
      </c>
      <c r="J710" s="406" cm="1">
        <f t="array" ref="J710">INDEX(implementatie[[2023]:[2034]],MATCH(G710, implementatie[Zoeksleutel],0),I710)</f>
        <v>0.28000000000000003</v>
      </c>
      <c r="K710" s="406" cm="1">
        <f t="array" ref="K710">INDEX(implementatie[[2023]:[2034]],MATCH(G710,implementatie[Zoeksleutel],0),I710 + 1)</f>
        <v>0.37504000000000004</v>
      </c>
      <c r="L71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4727.4639999999999</v>
      </c>
      <c r="M710" s="398" cm="1">
        <f t="array" ref="M710">J710*INDEX(Berekening_impact[Totaal arbeidsbesparing (€/jaar)],MATCH(B710,IF(Berekening_impact[Doelgroep]=C710,Berekening_impact[Digitale zorgtoepassing]),0))</f>
        <v>2518792.8191999998</v>
      </c>
      <c r="N710" s="397" cm="1">
        <f t="array" ref="N710">J710*INDEX(Berekening_impact[Totaal arbeidsbesparing (FTE/jaar)],MATCH(B710,IF(Berekening_impact[Doelgroep]=C710,Berekening_impact[Digitale zorgtoepassing]),0))</f>
        <v>43.653724690040285</v>
      </c>
      <c r="O710" s="398" cm="1">
        <f t="array" ref="O710">J710*INDEX(Berekening_impact[Overige kostenbesparing (totaal/jaar totaal potentieel)],MATCH(B710,IF(Berekening_impact[Doelgroep]=C710,Berekening_impact[Digitale zorgtoepassing]),0))</f>
        <v>1679195.2128000003</v>
      </c>
      <c r="P710" s="398" cm="1">
        <f t="array" ref="P710">J710*INDEX(Berekening_impact[Opbrengsten door QALY''s],MATCH(B710,IF(Berekening_impact[Doelgroep]=C710,Berekening_impact[Digitale zorgtoepassing]),0))</f>
        <v>0</v>
      </c>
      <c r="Q710" s="398" cm="1">
        <f t="array" ref="Q710">J710*INDEX(Berekening_impact[Jaarlijkse kosten (totaal) - incl. schatting],MATCH(B710,IF(Berekening_impact[Doelgroep]=C710,Berekening_impact[Digitale zorgtoepassing]),0))</f>
        <v>319289.18000000005</v>
      </c>
      <c r="R710" s="398" cm="1">
        <f t="array" ref="R710">(uitkomst_doelgroep[[#This Row],[Implementatiegraad t = T + 1]]-uitkomst_doelgroep[[#This Row],[Implementatiegraad t = T]])*INDEX(Berekening_impact[Initiële investering (totaal) - incl. schatting],MATCH(B710,IF(Berekening_impact[Doelgroep]=C710,Berekening_impact[Digitale zorgtoepassing]),0))</f>
        <v>0</v>
      </c>
      <c r="S710" s="398">
        <f>uitkomst_doelgroep[[#This Row],[Arbeidsbesparing (€)]]*uitkomst_doelgroep[[#This Row],[Percentage van patiëntaantallen in Wlz (overige is Zvw)]]</f>
        <v>0</v>
      </c>
      <c r="T710" s="398">
        <f>uitkomst_doelgroep[[#This Row],[Overige besparingen (€)]]*uitkomst_doelgroep[[#This Row],[Percentage van patiëntaantallen in Wlz (overige is Zvw)]]</f>
        <v>0</v>
      </c>
      <c r="U710" s="398">
        <f>uitkomst_doelgroep[[#This Row],[Kosten (€)]]*uitkomst_doelgroep[[#This Row],[Percentage van patiëntaantallen in Wlz (overige is Zvw)]]</f>
        <v>0</v>
      </c>
      <c r="V710" s="398">
        <f>uitkomst_doelgroep[[#This Row],[Investering (cash flow) (€)]]*uitkomst_doelgroep[[#This Row],[Percentage van patiëntaantallen in Wlz (overige is Zvw)]]</f>
        <v>0</v>
      </c>
    </row>
    <row r="711" spans="1:22" x14ac:dyDescent="0.5">
      <c r="A711" s="33" t="str">
        <f>INDEX(Technologieën[Veld],MATCH(B711,Technologieën[Digitale zorgtoepassing],0))</f>
        <v>Sensoren - Behandeling</v>
      </c>
      <c r="B711" s="33" t="s">
        <v>593</v>
      </c>
      <c r="C711" s="33" t="s">
        <v>308</v>
      </c>
      <c r="D711" s="427" cm="1">
        <f t="array" ref="D711">INDEX(Berekening_patiëntaantal[Percentage van patiëntaantallen in Wlz (overige is Zvw)],MATCH(B711,IF(Berekening_patiëntaantal[Doelgroep (zoeksleutel)]=C711,Berekening_patiëntaantal[Digitale zorgtoepassing]),0))</f>
        <v>0</v>
      </c>
      <c r="E711" s="33" t="str" cm="1">
        <f t="array" ref="E711">INDEX(Berekening_patiëntaantal[Direct toepasbaar/extrapolatie/incidentie voor QALY],MATCH(B711,IF(Berekening_patiëntaantal[Doelgroep (zoeksleutel)]=C711,Berekening_patiëntaantal[Digitale zorgtoepassing]),0))</f>
        <v>Huidige toepassing</v>
      </c>
      <c r="F711" s="33" t="s">
        <v>813</v>
      </c>
      <c r="G711" s="33" t="str">
        <f>CONCATENATE(uitkomst_doelgroep[[#This Row],[Digitale zorgtoepassing]],"_",uitkomst_doelgroep[[#This Row],[Doelgroep]],"_",uitkomst_doelgroep[[#This Row],[Uitgangssituatie/effect beleid]])</f>
        <v>(Zelf)monitoring hypertensie zwangeren_Zwangeren met hoge bloeddruk_Uitgangssituatie</v>
      </c>
      <c r="H711" s="33">
        <v>2025</v>
      </c>
      <c r="I711" s="32">
        <v>3</v>
      </c>
      <c r="J711" s="406" cm="1">
        <f t="array" ref="J711">INDEX(implementatie[[2023]:[2034]],MATCH(G711, implementatie[Zoeksleutel],0),I711)</f>
        <v>0.37504000000000004</v>
      </c>
      <c r="K711" s="406" cm="1">
        <f t="array" ref="K711">INDEX(implementatie[[2023]:[2034]],MATCH(G711,implementatie[Zoeksleutel],0),I711 + 1)</f>
        <v>0.48129319936000003</v>
      </c>
      <c r="L71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6332.1003520000004</v>
      </c>
      <c r="M711" s="398" cm="1">
        <f t="array" ref="M711">J711*INDEX(Berekening_impact[Totaal arbeidsbesparing (€/jaar)],MATCH(B711,IF(Berekening_impact[Doelgroep]=C711,Berekening_impact[Digitale zorgtoepassing]),0))</f>
        <v>3373743.0675455998</v>
      </c>
      <c r="N711" s="397" cm="1">
        <f t="array" ref="N711">J711*INDEX(Berekening_impact[Totaal arbeidsbesparing (FTE/jaar)],MATCH(B711,IF(Berekening_impact[Doelgroep]=C711,Berekening_impact[Digitale zorgtoepassing]),0))</f>
        <v>58.471046099116819</v>
      </c>
      <c r="O711" s="398" cm="1">
        <f t="array" ref="O711">J711*INDEX(Berekening_impact[Overige kostenbesparing (totaal/jaar totaal potentieel)],MATCH(B711,IF(Berekening_impact[Doelgroep]=C711,Berekening_impact[Digitale zorgtoepassing]),0))</f>
        <v>2249162.0450304006</v>
      </c>
      <c r="P711" s="398" cm="1">
        <f t="array" ref="P711">J711*INDEX(Berekening_impact[Opbrengsten door QALY''s],MATCH(B711,IF(Berekening_impact[Doelgroep]=C711,Berekening_impact[Digitale zorgtoepassing]),0))</f>
        <v>0</v>
      </c>
      <c r="Q711" s="398" cm="1">
        <f t="array" ref="Q711">J711*INDEX(Berekening_impact[Jaarlijkse kosten (totaal) - incl. schatting],MATCH(B711,IF(Berekening_impact[Doelgroep]=C711,Berekening_impact[Digitale zorgtoepassing]),0))</f>
        <v>427665.05024000007</v>
      </c>
      <c r="R711" s="398" cm="1">
        <f t="array" ref="R711">(uitkomst_doelgroep[[#This Row],[Implementatiegraad t = T + 1]]-uitkomst_doelgroep[[#This Row],[Implementatiegraad t = T]])*INDEX(Berekening_impact[Initiële investering (totaal) - incl. schatting],MATCH(B711,IF(Berekening_impact[Doelgroep]=C711,Berekening_impact[Digitale zorgtoepassing]),0))</f>
        <v>0</v>
      </c>
      <c r="S711" s="398">
        <f>uitkomst_doelgroep[[#This Row],[Arbeidsbesparing (€)]]*uitkomst_doelgroep[[#This Row],[Percentage van patiëntaantallen in Wlz (overige is Zvw)]]</f>
        <v>0</v>
      </c>
      <c r="T711" s="398">
        <f>uitkomst_doelgroep[[#This Row],[Overige besparingen (€)]]*uitkomst_doelgroep[[#This Row],[Percentage van patiëntaantallen in Wlz (overige is Zvw)]]</f>
        <v>0</v>
      </c>
      <c r="U711" s="398">
        <f>uitkomst_doelgroep[[#This Row],[Kosten (€)]]*uitkomst_doelgroep[[#This Row],[Percentage van patiëntaantallen in Wlz (overige is Zvw)]]</f>
        <v>0</v>
      </c>
      <c r="V711" s="398">
        <f>uitkomst_doelgroep[[#This Row],[Investering (cash flow) (€)]]*uitkomst_doelgroep[[#This Row],[Percentage van patiëntaantallen in Wlz (overige is Zvw)]]</f>
        <v>0</v>
      </c>
    </row>
    <row r="712" spans="1:22" x14ac:dyDescent="0.5">
      <c r="A712" s="33" t="str">
        <f>INDEX(Technologieën[Veld],MATCH(B712,Technologieën[Digitale zorgtoepassing],0))</f>
        <v>Sensoren - Behandeling</v>
      </c>
      <c r="B712" s="33" t="s">
        <v>593</v>
      </c>
      <c r="C712" s="33" t="s">
        <v>308</v>
      </c>
      <c r="D712" s="427" cm="1">
        <f t="array" ref="D712">INDEX(Berekening_patiëntaantal[Percentage van patiëntaantallen in Wlz (overige is Zvw)],MATCH(B712,IF(Berekening_patiëntaantal[Doelgroep (zoeksleutel)]=C712,Berekening_patiëntaantal[Digitale zorgtoepassing]),0))</f>
        <v>0</v>
      </c>
      <c r="E712" s="33" t="str" cm="1">
        <f t="array" ref="E712">INDEX(Berekening_patiëntaantal[Direct toepasbaar/extrapolatie/incidentie voor QALY],MATCH(B712,IF(Berekening_patiëntaantal[Doelgroep (zoeksleutel)]=C712,Berekening_patiëntaantal[Digitale zorgtoepassing]),0))</f>
        <v>Huidige toepassing</v>
      </c>
      <c r="F712" s="33" t="s">
        <v>813</v>
      </c>
      <c r="G712" s="33" t="str">
        <f>CONCATENATE(uitkomst_doelgroep[[#This Row],[Digitale zorgtoepassing]],"_",uitkomst_doelgroep[[#This Row],[Doelgroep]],"_",uitkomst_doelgroep[[#This Row],[Uitgangssituatie/effect beleid]])</f>
        <v>(Zelf)monitoring hypertensie zwangeren_Zwangeren met hoge bloeddruk_Uitgangssituatie</v>
      </c>
      <c r="H712" s="33">
        <v>2026</v>
      </c>
      <c r="I712" s="32">
        <v>4</v>
      </c>
      <c r="J712" s="406" cm="1">
        <f t="array" ref="J712">INDEX(implementatie[[2023]:[2034]],MATCH(G712, implementatie[Zoeksleutel],0),I712)</f>
        <v>0.48129319936000003</v>
      </c>
      <c r="K712" s="406" cm="1">
        <f t="array" ref="K712">INDEX(implementatie[[2023]:[2034]],MATCH(G712,implementatie[Zoeksleutel],0),I712 + 1)</f>
        <v>0.59152735761672615</v>
      </c>
      <c r="L71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8126.0581193543685</v>
      </c>
      <c r="M712" s="398" cm="1">
        <f t="array" ref="M712">J712*INDEX(Berekening_impact[Totaal arbeidsbesparing (€/jaar)],MATCH(B712,IF(Berekening_impact[Doelgroep]=C712,Berekening_impact[Digitale zorgtoepassing]),0))</f>
        <v>4329563.7659920072</v>
      </c>
      <c r="N712" s="397" cm="1">
        <f t="array" ref="N712">J712*INDEX(Berekening_impact[Totaal arbeidsbesparing (FTE/jaar)],MATCH(B712,IF(Berekening_impact[Doelgroep]=C712,Berekening_impact[Digitale zorgtoepassing]),0))</f>
        <v>75.03657435732184</v>
      </c>
      <c r="O712" s="398" cm="1">
        <f t="array" ref="O712">J712*INDEX(Berekening_impact[Overige kostenbesparing (totaal/jaar totaal potentieel)],MATCH(B712,IF(Berekening_impact[Doelgroep]=C712,Berekening_impact[Digitale zorgtoepassing]),0))</f>
        <v>2886375.8439946719</v>
      </c>
      <c r="P712" s="398" cm="1">
        <f t="array" ref="P712">J712*INDEX(Berekening_impact[Opbrengsten door QALY''s],MATCH(B712,IF(Berekening_impact[Doelgroep]=C712,Berekening_impact[Digitale zorgtoepassing]),0))</f>
        <v>0</v>
      </c>
      <c r="Q712" s="398" cm="1">
        <f t="array" ref="Q712">J712*INDEX(Berekening_impact[Jaarlijkse kosten (totaal) - incl. schatting],MATCH(B712,IF(Berekening_impact[Doelgroep]=C712,Berekening_impact[Digitale zorgtoepassing]),0))</f>
        <v>548827.53915439616</v>
      </c>
      <c r="R712" s="398" cm="1">
        <f t="array" ref="R712">(uitkomst_doelgroep[[#This Row],[Implementatiegraad t = T + 1]]-uitkomst_doelgroep[[#This Row],[Implementatiegraad t = T]])*INDEX(Berekening_impact[Initiële investering (totaal) - incl. schatting],MATCH(B712,IF(Berekening_impact[Doelgroep]=C712,Berekening_impact[Digitale zorgtoepassing]),0))</f>
        <v>0</v>
      </c>
      <c r="S712" s="398">
        <f>uitkomst_doelgroep[[#This Row],[Arbeidsbesparing (€)]]*uitkomst_doelgroep[[#This Row],[Percentage van patiëntaantallen in Wlz (overige is Zvw)]]</f>
        <v>0</v>
      </c>
      <c r="T712" s="398">
        <f>uitkomst_doelgroep[[#This Row],[Overige besparingen (€)]]*uitkomst_doelgroep[[#This Row],[Percentage van patiëntaantallen in Wlz (overige is Zvw)]]</f>
        <v>0</v>
      </c>
      <c r="U712" s="398">
        <f>uitkomst_doelgroep[[#This Row],[Kosten (€)]]*uitkomst_doelgroep[[#This Row],[Percentage van patiëntaantallen in Wlz (overige is Zvw)]]</f>
        <v>0</v>
      </c>
      <c r="V712" s="398">
        <f>uitkomst_doelgroep[[#This Row],[Investering (cash flow) (€)]]*uitkomst_doelgroep[[#This Row],[Percentage van patiëntaantallen in Wlz (overige is Zvw)]]</f>
        <v>0</v>
      </c>
    </row>
    <row r="713" spans="1:22" x14ac:dyDescent="0.5">
      <c r="A713" s="33" t="str">
        <f>INDEX(Technologieën[Veld],MATCH(B713,Technologieën[Digitale zorgtoepassing],0))</f>
        <v>Sensoren - Behandeling</v>
      </c>
      <c r="B713" s="33" t="s">
        <v>593</v>
      </c>
      <c r="C713" s="33" t="s">
        <v>308</v>
      </c>
      <c r="D713" s="427" cm="1">
        <f t="array" ref="D713">INDEX(Berekening_patiëntaantal[Percentage van patiëntaantallen in Wlz (overige is Zvw)],MATCH(B713,IF(Berekening_patiëntaantal[Doelgroep (zoeksleutel)]=C713,Berekening_patiëntaantal[Digitale zorgtoepassing]),0))</f>
        <v>0</v>
      </c>
      <c r="E713" s="33" t="str" cm="1">
        <f t="array" ref="E713">INDEX(Berekening_patiëntaantal[Direct toepasbaar/extrapolatie/incidentie voor QALY],MATCH(B713,IF(Berekening_patiëntaantal[Doelgroep (zoeksleutel)]=C713,Berekening_patiëntaantal[Digitale zorgtoepassing]),0))</f>
        <v>Huidige toepassing</v>
      </c>
      <c r="F713" s="33" t="s">
        <v>813</v>
      </c>
      <c r="G713" s="33" t="str">
        <f>CONCATENATE(uitkomst_doelgroep[[#This Row],[Digitale zorgtoepassing]],"_",uitkomst_doelgroep[[#This Row],[Doelgroep]],"_",uitkomst_doelgroep[[#This Row],[Uitgangssituatie/effect beleid]])</f>
        <v>(Zelf)monitoring hypertensie zwangeren_Zwangeren met hoge bloeddruk_Uitgangssituatie</v>
      </c>
      <c r="H713" s="33">
        <v>2027</v>
      </c>
      <c r="I713" s="32">
        <v>5</v>
      </c>
      <c r="J713" s="406" cm="1">
        <f t="array" ref="J713">INDEX(implementatie[[2023]:[2034]],MATCH(G713, implementatie[Zoeksleutel],0),I713)</f>
        <v>0.59152735761672615</v>
      </c>
      <c r="K713" s="406" cm="1">
        <f t="array" ref="K713">INDEX(implementatie[[2023]:[2034]],MATCH(G713,implementatie[Zoeksleutel],0),I713 + 1)</f>
        <v>0.69634590758747161</v>
      </c>
      <c r="L71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9987.229600529281</v>
      </c>
      <c r="M713" s="398" cm="1">
        <f t="array" ref="M713">J713*INDEX(Berekening_impact[Totaal arbeidsbesparing (€/jaar)],MATCH(B713,IF(Berekening_impact[Doelgroep]=C713,Berekening_impact[Digitale zorgtoepassing]),0))</f>
        <v>5321195.9311619997</v>
      </c>
      <c r="N713" s="397" cm="1">
        <f t="array" ref="N713">J713*INDEX(Berekening_impact[Totaal arbeidsbesparing (FTE/jaar)],MATCH(B713,IF(Berekening_impact[Doelgroep]=C713,Berekening_impact[Digitale zorgtoepassing]),0))</f>
        <v>92.222758628669879</v>
      </c>
      <c r="O713" s="398" cm="1">
        <f t="array" ref="O713">J713*INDEX(Berekening_impact[Overige kostenbesparing (totaal/jaar totaal potentieel)],MATCH(B713,IF(Berekening_impact[Doelgroep]=C713,Berekening_impact[Digitale zorgtoepassing]),0))</f>
        <v>3547463.9541080012</v>
      </c>
      <c r="P713" s="398" cm="1">
        <f t="array" ref="P713">J713*INDEX(Berekening_impact[Opbrengsten door QALY''s],MATCH(B713,IF(Berekening_impact[Doelgroep]=C713,Berekening_impact[Digitale zorgtoepassing]),0))</f>
        <v>0</v>
      </c>
      <c r="Q713" s="398" cm="1">
        <f t="array" ref="Q713">J713*INDEX(Berekening_impact[Jaarlijkse kosten (totaal) - incl. schatting],MATCH(B713,IF(Berekening_impact[Doelgroep]=C713,Berekening_impact[Digitale zorgtoepassing]),0))</f>
        <v>674529.58914646879</v>
      </c>
      <c r="R713" s="398" cm="1">
        <f t="array" ref="R713">(uitkomst_doelgroep[[#This Row],[Implementatiegraad t = T + 1]]-uitkomst_doelgroep[[#This Row],[Implementatiegraad t = T]])*INDEX(Berekening_impact[Initiële investering (totaal) - incl. schatting],MATCH(B713,IF(Berekening_impact[Doelgroep]=C713,Berekening_impact[Digitale zorgtoepassing]),0))</f>
        <v>0</v>
      </c>
      <c r="S713" s="398">
        <f>uitkomst_doelgroep[[#This Row],[Arbeidsbesparing (€)]]*uitkomst_doelgroep[[#This Row],[Percentage van patiëntaantallen in Wlz (overige is Zvw)]]</f>
        <v>0</v>
      </c>
      <c r="T713" s="398">
        <f>uitkomst_doelgroep[[#This Row],[Overige besparingen (€)]]*uitkomst_doelgroep[[#This Row],[Percentage van patiëntaantallen in Wlz (overige is Zvw)]]</f>
        <v>0</v>
      </c>
      <c r="U713" s="398">
        <f>uitkomst_doelgroep[[#This Row],[Kosten (€)]]*uitkomst_doelgroep[[#This Row],[Percentage van patiëntaantallen in Wlz (overige is Zvw)]]</f>
        <v>0</v>
      </c>
      <c r="V713" s="398">
        <f>uitkomst_doelgroep[[#This Row],[Investering (cash flow) (€)]]*uitkomst_doelgroep[[#This Row],[Percentage van patiëntaantallen in Wlz (overige is Zvw)]]</f>
        <v>0</v>
      </c>
    </row>
    <row r="714" spans="1:22" x14ac:dyDescent="0.5">
      <c r="A714" s="33" t="str">
        <f>INDEX(Technologieën[Veld],MATCH(B714,Technologieën[Digitale zorgtoepassing],0))</f>
        <v>Sensoren - Behandeling</v>
      </c>
      <c r="B714" s="33" t="s">
        <v>593</v>
      </c>
      <c r="C714" s="33" t="s">
        <v>308</v>
      </c>
      <c r="D714" s="427" cm="1">
        <f t="array" ref="D714">INDEX(Berekening_patiëntaantal[Percentage van patiëntaantallen in Wlz (overige is Zvw)],MATCH(B714,IF(Berekening_patiëntaantal[Doelgroep (zoeksleutel)]=C714,Berekening_patiëntaantal[Digitale zorgtoepassing]),0))</f>
        <v>0</v>
      </c>
      <c r="E714" s="33" t="str" cm="1">
        <f t="array" ref="E714">INDEX(Berekening_patiëntaantal[Direct toepasbaar/extrapolatie/incidentie voor QALY],MATCH(B714,IF(Berekening_patiëntaantal[Doelgroep (zoeksleutel)]=C714,Berekening_patiëntaantal[Digitale zorgtoepassing]),0))</f>
        <v>Huidige toepassing</v>
      </c>
      <c r="F714" s="33" t="s">
        <v>813</v>
      </c>
      <c r="G714" s="33" t="str">
        <f>CONCATENATE(uitkomst_doelgroep[[#This Row],[Digitale zorgtoepassing]],"_",uitkomst_doelgroep[[#This Row],[Doelgroep]],"_",uitkomst_doelgroep[[#This Row],[Uitgangssituatie/effect beleid]])</f>
        <v>(Zelf)monitoring hypertensie zwangeren_Zwangeren met hoge bloeddruk_Uitgangssituatie</v>
      </c>
      <c r="H714" s="33">
        <v>2028</v>
      </c>
      <c r="I714" s="32">
        <v>6</v>
      </c>
      <c r="J714" s="406" cm="1">
        <f t="array" ref="J714">INDEX(implementatie[[2023]:[2034]],MATCH(G714, implementatie[Zoeksleutel],0),I714)</f>
        <v>0.69634590758747161</v>
      </c>
      <c r="K714" s="406" cm="1">
        <f t="array" ref="K714">INDEX(implementatie[[2023]:[2034]],MATCH(G714,implementatie[Zoeksleutel],0),I714 + 1)</f>
        <v>0.78699830326518305</v>
      </c>
      <c r="L71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11756.965034525352</v>
      </c>
      <c r="M714" s="398" cm="1">
        <f t="array" ref="M714">J714*INDEX(Berekening_impact[Totaal arbeidsbesparing (€/jaar)],MATCH(B714,IF(Berekening_impact[Doelgroep]=C714,Berekening_impact[Digitale zorgtoepassing]),0))</f>
        <v>6264110.9703951078</v>
      </c>
      <c r="N714" s="397" cm="1">
        <f t="array" ref="N714">J714*INDEX(Berekening_impact[Totaal arbeidsbesparing (FTE/jaar)],MATCH(B714,IF(Berekening_impact[Doelgroep]=C714,Berekening_impact[Digitale zorgtoepassing]),0))</f>
        <v>108.56461621021329</v>
      </c>
      <c r="O714" s="398" cm="1">
        <f t="array" ref="O714">J714*INDEX(Berekening_impact[Overige kostenbesparing (totaal/jaar totaal potentieel)],MATCH(B714,IF(Berekening_impact[Doelgroep]=C714,Berekening_impact[Digitale zorgtoepassing]),0))</f>
        <v>4176073.9802634059</v>
      </c>
      <c r="P714" s="398" cm="1">
        <f t="array" ref="P714">J714*INDEX(Berekening_impact[Opbrengsten door QALY''s],MATCH(B714,IF(Berekening_impact[Doelgroep]=C714,Berekening_impact[Digitale zorgtoepassing]),0))</f>
        <v>0</v>
      </c>
      <c r="Q714" s="398" cm="1">
        <f t="array" ref="Q714">J714*INDEX(Berekening_impact[Jaarlijkse kosten (totaal) - incl. schatting],MATCH(B714,IF(Berekening_impact[Doelgroep]=C714,Berekening_impact[Digitale zorgtoepassing]),0))</f>
        <v>794056.12082128425</v>
      </c>
      <c r="R714" s="398" cm="1">
        <f t="array" ref="R714">(uitkomst_doelgroep[[#This Row],[Implementatiegraad t = T + 1]]-uitkomst_doelgroep[[#This Row],[Implementatiegraad t = T]])*INDEX(Berekening_impact[Initiële investering (totaal) - incl. schatting],MATCH(B714,IF(Berekening_impact[Doelgroep]=C714,Berekening_impact[Digitale zorgtoepassing]),0))</f>
        <v>0</v>
      </c>
      <c r="S714" s="398">
        <f>uitkomst_doelgroep[[#This Row],[Arbeidsbesparing (€)]]*uitkomst_doelgroep[[#This Row],[Percentage van patiëntaantallen in Wlz (overige is Zvw)]]</f>
        <v>0</v>
      </c>
      <c r="T714" s="398">
        <f>uitkomst_doelgroep[[#This Row],[Overige besparingen (€)]]*uitkomst_doelgroep[[#This Row],[Percentage van patiëntaantallen in Wlz (overige is Zvw)]]</f>
        <v>0</v>
      </c>
      <c r="U714" s="398">
        <f>uitkomst_doelgroep[[#This Row],[Kosten (€)]]*uitkomst_doelgroep[[#This Row],[Percentage van patiëntaantallen in Wlz (overige is Zvw)]]</f>
        <v>0</v>
      </c>
      <c r="V714" s="398">
        <f>uitkomst_doelgroep[[#This Row],[Investering (cash flow) (€)]]*uitkomst_doelgroep[[#This Row],[Percentage van patiëntaantallen in Wlz (overige is Zvw)]]</f>
        <v>0</v>
      </c>
    </row>
    <row r="715" spans="1:22" x14ac:dyDescent="0.5">
      <c r="A715" s="33" t="str">
        <f>INDEX(Technologieën[Veld],MATCH(B715,Technologieën[Digitale zorgtoepassing],0))</f>
        <v>Sensoren - Behandeling</v>
      </c>
      <c r="B715" s="33" t="s">
        <v>593</v>
      </c>
      <c r="C715" s="33" t="s">
        <v>308</v>
      </c>
      <c r="D715" s="427" cm="1">
        <f t="array" ref="D715">INDEX(Berekening_patiëntaantal[Percentage van patiëntaantallen in Wlz (overige is Zvw)],MATCH(B715,IF(Berekening_patiëntaantal[Doelgroep (zoeksleutel)]=C715,Berekening_patiëntaantal[Digitale zorgtoepassing]),0))</f>
        <v>0</v>
      </c>
      <c r="E715" s="33" t="str" cm="1">
        <f t="array" ref="E715">INDEX(Berekening_patiëntaantal[Direct toepasbaar/extrapolatie/incidentie voor QALY],MATCH(B715,IF(Berekening_patiëntaantal[Doelgroep (zoeksleutel)]=C715,Berekening_patiëntaantal[Digitale zorgtoepassing]),0))</f>
        <v>Huidige toepassing</v>
      </c>
      <c r="F715" s="33" t="s">
        <v>813</v>
      </c>
      <c r="G715" s="33" t="str">
        <f>CONCATENATE(uitkomst_doelgroep[[#This Row],[Digitale zorgtoepassing]],"_",uitkomst_doelgroep[[#This Row],[Doelgroep]],"_",uitkomst_doelgroep[[#This Row],[Uitgangssituatie/effect beleid]])</f>
        <v>(Zelf)monitoring hypertensie zwangeren_Zwangeren met hoge bloeddruk_Uitgangssituatie</v>
      </c>
      <c r="H715" s="33">
        <v>2029</v>
      </c>
      <c r="I715" s="32">
        <v>7</v>
      </c>
      <c r="J715" s="406" cm="1">
        <f t="array" ref="J715">INDEX(implementatie[[2023]:[2034]],MATCH(G715, implementatie[Zoeksleutel],0),I715)</f>
        <v>0.78699830326518305</v>
      </c>
      <c r="K715" s="406" cm="1">
        <f t="array" ref="K715">INDEX(implementatie[[2023]:[2034]],MATCH(G715,implementatie[Zoeksleutel],0),I715 + 1)</f>
        <v>0.85831112676904175</v>
      </c>
      <c r="L71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13287.521952668698</v>
      </c>
      <c r="M715" s="398" cm="1">
        <f t="array" ref="M715">J715*INDEX(Berekening_impact[Totaal arbeidsbesparing (€/jaar)],MATCH(B715,IF(Berekening_impact[Doelgroep]=C715,Berekening_impact[Digitale zorgtoepassing]),0))</f>
        <v>7079591.6963818809</v>
      </c>
      <c r="N715" s="397" cm="1">
        <f t="array" ref="N715">J715*INDEX(Berekening_impact[Totaal arbeidsbesparing (FTE/jaar)],MATCH(B715,IF(Berekening_impact[Doelgroep]=C715,Berekening_impact[Digitale zorgtoepassing]),0))</f>
        <v>122.69788307952547</v>
      </c>
      <c r="O715" s="398" cm="1">
        <f t="array" ref="O715">J715*INDEX(Berekening_impact[Overige kostenbesparing (totaal/jaar totaal potentieel)],MATCH(B715,IF(Berekening_impact[Doelgroep]=C715,Berekening_impact[Digitale zorgtoepassing]),0))</f>
        <v>4719727.7975879218</v>
      </c>
      <c r="P715" s="398" cm="1">
        <f t="array" ref="P715">J715*INDEX(Berekening_impact[Opbrengsten door QALY''s],MATCH(B715,IF(Berekening_impact[Doelgroep]=C715,Berekening_impact[Digitale zorgtoepassing]),0))</f>
        <v>0</v>
      </c>
      <c r="Q715" s="398" cm="1">
        <f t="array" ref="Q715">J715*INDEX(Berekening_impact[Jaarlijkse kosten (totaal) - incl. schatting],MATCH(B715,IF(Berekening_impact[Doelgroep]=C715,Berekening_impact[Digitale zorgtoepassing]),0))</f>
        <v>897428.7246818986</v>
      </c>
      <c r="R715" s="398" cm="1">
        <f t="array" ref="R715">(uitkomst_doelgroep[[#This Row],[Implementatiegraad t = T + 1]]-uitkomst_doelgroep[[#This Row],[Implementatiegraad t = T]])*INDEX(Berekening_impact[Initiële investering (totaal) - incl. schatting],MATCH(B715,IF(Berekening_impact[Doelgroep]=C715,Berekening_impact[Digitale zorgtoepassing]),0))</f>
        <v>0</v>
      </c>
      <c r="S715" s="398">
        <f>uitkomst_doelgroep[[#This Row],[Arbeidsbesparing (€)]]*uitkomst_doelgroep[[#This Row],[Percentage van patiëntaantallen in Wlz (overige is Zvw)]]</f>
        <v>0</v>
      </c>
      <c r="T715" s="398">
        <f>uitkomst_doelgroep[[#This Row],[Overige besparingen (€)]]*uitkomst_doelgroep[[#This Row],[Percentage van patiëntaantallen in Wlz (overige is Zvw)]]</f>
        <v>0</v>
      </c>
      <c r="U715" s="398">
        <f>uitkomst_doelgroep[[#This Row],[Kosten (€)]]*uitkomst_doelgroep[[#This Row],[Percentage van patiëntaantallen in Wlz (overige is Zvw)]]</f>
        <v>0</v>
      </c>
      <c r="V715" s="398">
        <f>uitkomst_doelgroep[[#This Row],[Investering (cash flow) (€)]]*uitkomst_doelgroep[[#This Row],[Percentage van patiëntaantallen in Wlz (overige is Zvw)]]</f>
        <v>0</v>
      </c>
    </row>
    <row r="716" spans="1:22" x14ac:dyDescent="0.5">
      <c r="A716" s="33" t="str">
        <f>INDEX(Technologieën[Veld],MATCH(B716,Technologieën[Digitale zorgtoepassing],0))</f>
        <v>Sensoren - Behandeling</v>
      </c>
      <c r="B716" s="33" t="s">
        <v>593</v>
      </c>
      <c r="C716" s="33" t="s">
        <v>308</v>
      </c>
      <c r="D716" s="427" cm="1">
        <f t="array" ref="D716">INDEX(Berekening_patiëntaantal[Percentage van patiëntaantallen in Wlz (overige is Zvw)],MATCH(B716,IF(Berekening_patiëntaantal[Doelgroep (zoeksleutel)]=C716,Berekening_patiëntaantal[Digitale zorgtoepassing]),0))</f>
        <v>0</v>
      </c>
      <c r="E716" s="33" t="str" cm="1">
        <f t="array" ref="E716">INDEX(Berekening_patiëntaantal[Direct toepasbaar/extrapolatie/incidentie voor QALY],MATCH(B716,IF(Berekening_patiëntaantal[Doelgroep (zoeksleutel)]=C716,Berekening_patiëntaantal[Digitale zorgtoepassing]),0))</f>
        <v>Huidige toepassing</v>
      </c>
      <c r="F716" s="33" t="s">
        <v>813</v>
      </c>
      <c r="G716" s="33" t="str">
        <f>CONCATENATE(uitkomst_doelgroep[[#This Row],[Digitale zorgtoepassing]],"_",uitkomst_doelgroep[[#This Row],[Doelgroep]],"_",uitkomst_doelgroep[[#This Row],[Uitgangssituatie/effect beleid]])</f>
        <v>(Zelf)monitoring hypertensie zwangeren_Zwangeren met hoge bloeddruk_Uitgangssituatie</v>
      </c>
      <c r="H716" s="33">
        <v>2030</v>
      </c>
      <c r="I716" s="32">
        <v>8</v>
      </c>
      <c r="J716" s="406" cm="1">
        <f t="array" ref="J716">INDEX(implementatie[[2023]:[2034]],MATCH(G716, implementatie[Zoeksleutel],0),I716)</f>
        <v>0.85831112676904175</v>
      </c>
      <c r="K716" s="406" cm="1">
        <f t="array" ref="K716">INDEX(implementatie[[2023]:[2034]],MATCH(G716,implementatie[Zoeksleutel],0),I716 + 1)</f>
        <v>0.90979015880706082</v>
      </c>
      <c r="L71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14491.553402143147</v>
      </c>
      <c r="M716" s="398" cm="1">
        <f t="array" ref="M716">J716*INDEX(Berekening_impact[Totaal arbeidsbesparing (€/jaar)],MATCH(B716,IF(Berekening_impact[Doelgroep]=C716,Berekening_impact[Digitale zorgtoepassing]),0))</f>
        <v>7721099.6526618674</v>
      </c>
      <c r="N716" s="397" cm="1">
        <f t="array" ref="N716">J716*INDEX(Berekening_impact[Totaal arbeidsbesparing (FTE/jaar)],MATCH(B716,IF(Berekening_impact[Doelgroep]=C716,Berekening_impact[Digitale zorgtoepassing]),0))</f>
        <v>133.81599152276434</v>
      </c>
      <c r="O716" s="398" cm="1">
        <f t="array" ref="O716">J716*INDEX(Berekening_impact[Overige kostenbesparing (totaal/jaar totaal potentieel)],MATCH(B716,IF(Berekening_impact[Doelgroep]=C716,Berekening_impact[Digitale zorgtoepassing]),0))</f>
        <v>5147399.7684412468</v>
      </c>
      <c r="P716" s="398" cm="1">
        <f t="array" ref="P716">J716*INDEX(Berekening_impact[Opbrengsten door QALY''s],MATCH(B716,IF(Berekening_impact[Doelgroep]=C716,Berekening_impact[Digitale zorgtoepassing]),0))</f>
        <v>0</v>
      </c>
      <c r="Q716" s="398" cm="1">
        <f t="array" ref="Q716">J716*INDEX(Berekening_impact[Jaarlijkse kosten (totaal) - incl. schatting],MATCH(B716,IF(Berekening_impact[Doelgroep]=C716,Berekening_impact[Digitale zorgtoepassing]),0))</f>
        <v>978748.05661058356</v>
      </c>
      <c r="R716" s="398" cm="1">
        <f t="array" ref="R716">(uitkomst_doelgroep[[#This Row],[Implementatiegraad t = T + 1]]-uitkomst_doelgroep[[#This Row],[Implementatiegraad t = T]])*INDEX(Berekening_impact[Initiële investering (totaal) - incl. schatting],MATCH(B716,IF(Berekening_impact[Doelgroep]=C716,Berekening_impact[Digitale zorgtoepassing]),0))</f>
        <v>0</v>
      </c>
      <c r="S716" s="398">
        <f>uitkomst_doelgroep[[#This Row],[Arbeidsbesparing (€)]]*uitkomst_doelgroep[[#This Row],[Percentage van patiëntaantallen in Wlz (overige is Zvw)]]</f>
        <v>0</v>
      </c>
      <c r="T716" s="398">
        <f>uitkomst_doelgroep[[#This Row],[Overige besparingen (€)]]*uitkomst_doelgroep[[#This Row],[Percentage van patiëntaantallen in Wlz (overige is Zvw)]]</f>
        <v>0</v>
      </c>
      <c r="U716" s="398">
        <f>uitkomst_doelgroep[[#This Row],[Kosten (€)]]*uitkomst_doelgroep[[#This Row],[Percentage van patiëntaantallen in Wlz (overige is Zvw)]]</f>
        <v>0</v>
      </c>
      <c r="V716" s="398">
        <f>uitkomst_doelgroep[[#This Row],[Investering (cash flow) (€)]]*uitkomst_doelgroep[[#This Row],[Percentage van patiëntaantallen in Wlz (overige is Zvw)]]</f>
        <v>0</v>
      </c>
    </row>
    <row r="717" spans="1:22" x14ac:dyDescent="0.5">
      <c r="A717" s="33" t="str">
        <f>INDEX(Technologieën[Veld],MATCH(B717,Technologieën[Digitale zorgtoepassing],0))</f>
        <v>Sensoren - Behandeling</v>
      </c>
      <c r="B717" s="33" t="s">
        <v>593</v>
      </c>
      <c r="C717" s="33" t="s">
        <v>308</v>
      </c>
      <c r="D717" s="427" cm="1">
        <f t="array" ref="D717">INDEX(Berekening_patiëntaantal[Percentage van patiëntaantallen in Wlz (overige is Zvw)],MATCH(B717,IF(Berekening_patiëntaantal[Doelgroep (zoeksleutel)]=C717,Berekening_patiëntaantal[Digitale zorgtoepassing]),0))</f>
        <v>0</v>
      </c>
      <c r="E717" s="33" t="str" cm="1">
        <f t="array" ref="E717">INDEX(Berekening_patiëntaantal[Direct toepasbaar/extrapolatie/incidentie voor QALY],MATCH(B717,IF(Berekening_patiëntaantal[Doelgroep (zoeksleutel)]=C717,Berekening_patiëntaantal[Digitale zorgtoepassing]),0))</f>
        <v>Huidige toepassing</v>
      </c>
      <c r="F717" s="33" t="s">
        <v>813</v>
      </c>
      <c r="G717" s="33" t="str">
        <f>CONCATENATE(uitkomst_doelgroep[[#This Row],[Digitale zorgtoepassing]],"_",uitkomst_doelgroep[[#This Row],[Doelgroep]],"_",uitkomst_doelgroep[[#This Row],[Uitgangssituatie/effect beleid]])</f>
        <v>(Zelf)monitoring hypertensie zwangeren_Zwangeren met hoge bloeddruk_Uitgangssituatie</v>
      </c>
      <c r="H717" s="33">
        <v>2031</v>
      </c>
      <c r="I717" s="32">
        <v>9</v>
      </c>
      <c r="J717" s="406" cm="1">
        <f t="array" ref="J717">INDEX(implementatie[[2023]:[2034]],MATCH(G717, implementatie[Zoeksleutel],0),I717)</f>
        <v>0.90979015880706082</v>
      </c>
      <c r="K717" s="406" cm="1">
        <f t="array" ref="K717">INDEX(implementatie[[2023]:[2034]],MATCH(G717,implementatie[Zoeksleutel],0),I717 + 1)</f>
        <v>0.94442316592887321</v>
      </c>
      <c r="L71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15360.715083266652</v>
      </c>
      <c r="M717" s="398" cm="1">
        <f t="array" ref="M717">J717*INDEX(Berekening_impact[Totaal arbeidsbesparing (€/jaar)],MATCH(B717,IF(Berekening_impact[Doelgroep]=C717,Berekening_impact[Digitale zorgtoepassing]),0))</f>
        <v>8184188.9963644715</v>
      </c>
      <c r="N717" s="397" cm="1">
        <f t="array" ref="N717">J717*INDEX(Berekening_impact[Totaal arbeidsbesparing (FTE/jaar)],MATCH(B717,IF(Berekening_impact[Doelgroep]=C717,Berekening_impact[Digitale zorgtoepassing]),0))</f>
        <v>141.84188970811235</v>
      </c>
      <c r="O717" s="398" cm="1">
        <f t="array" ref="O717">J717*INDEX(Berekening_impact[Overige kostenbesparing (totaal/jaar totaal potentieel)],MATCH(B717,IF(Berekening_impact[Doelgroep]=C717,Berekening_impact[Digitale zorgtoepassing]),0))</f>
        <v>5456125.9975763159</v>
      </c>
      <c r="P717" s="398" cm="1">
        <f t="array" ref="P717">J717*INDEX(Berekening_impact[Opbrengsten door QALY''s],MATCH(B717,IF(Berekening_impact[Doelgroep]=C717,Berekening_impact[Digitale zorgtoepassing]),0))</f>
        <v>0</v>
      </c>
      <c r="Q717" s="398" cm="1">
        <f t="array" ref="Q717">J717*INDEX(Berekening_impact[Jaarlijkse kosten (totaal) - incl. schatting],MATCH(B717,IF(Berekening_impact[Doelgroep]=C717,Berekening_impact[Digitale zorgtoepassing]),0))</f>
        <v>1037450.5492056294</v>
      </c>
      <c r="R717" s="398" cm="1">
        <f t="array" ref="R717">(uitkomst_doelgroep[[#This Row],[Implementatiegraad t = T + 1]]-uitkomst_doelgroep[[#This Row],[Implementatiegraad t = T]])*INDEX(Berekening_impact[Initiële investering (totaal) - incl. schatting],MATCH(B717,IF(Berekening_impact[Doelgroep]=C717,Berekening_impact[Digitale zorgtoepassing]),0))</f>
        <v>0</v>
      </c>
      <c r="S717" s="398">
        <f>uitkomst_doelgroep[[#This Row],[Arbeidsbesparing (€)]]*uitkomst_doelgroep[[#This Row],[Percentage van patiëntaantallen in Wlz (overige is Zvw)]]</f>
        <v>0</v>
      </c>
      <c r="T717" s="398">
        <f>uitkomst_doelgroep[[#This Row],[Overige besparingen (€)]]*uitkomst_doelgroep[[#This Row],[Percentage van patiëntaantallen in Wlz (overige is Zvw)]]</f>
        <v>0</v>
      </c>
      <c r="U717" s="398">
        <f>uitkomst_doelgroep[[#This Row],[Kosten (€)]]*uitkomst_doelgroep[[#This Row],[Percentage van patiëntaantallen in Wlz (overige is Zvw)]]</f>
        <v>0</v>
      </c>
      <c r="V717" s="398">
        <f>uitkomst_doelgroep[[#This Row],[Investering (cash flow) (€)]]*uitkomst_doelgroep[[#This Row],[Percentage van patiëntaantallen in Wlz (overige is Zvw)]]</f>
        <v>0</v>
      </c>
    </row>
    <row r="718" spans="1:22" x14ac:dyDescent="0.5">
      <c r="A718" s="33" t="str">
        <f>INDEX(Technologieën[Veld],MATCH(B718,Technologieën[Digitale zorgtoepassing],0))</f>
        <v>Sensoren - Behandeling</v>
      </c>
      <c r="B718" s="33" t="s">
        <v>593</v>
      </c>
      <c r="C718" s="33" t="s">
        <v>308</v>
      </c>
      <c r="D718" s="427" cm="1">
        <f t="array" ref="D718">INDEX(Berekening_patiëntaantal[Percentage van patiëntaantallen in Wlz (overige is Zvw)],MATCH(B718,IF(Berekening_patiëntaantal[Doelgroep (zoeksleutel)]=C718,Berekening_patiëntaantal[Digitale zorgtoepassing]),0))</f>
        <v>0</v>
      </c>
      <c r="E718" s="33" t="str" cm="1">
        <f t="array" ref="E718">INDEX(Berekening_patiëntaantal[Direct toepasbaar/extrapolatie/incidentie voor QALY],MATCH(B718,IF(Berekening_patiëntaantal[Doelgroep (zoeksleutel)]=C718,Berekening_patiëntaantal[Digitale zorgtoepassing]),0))</f>
        <v>Huidige toepassing</v>
      </c>
      <c r="F718" s="33" t="s">
        <v>813</v>
      </c>
      <c r="G718" s="33" t="str">
        <f>CONCATENATE(uitkomst_doelgroep[[#This Row],[Digitale zorgtoepassing]],"_",uitkomst_doelgroep[[#This Row],[Doelgroep]],"_",uitkomst_doelgroep[[#This Row],[Uitgangssituatie/effect beleid]])</f>
        <v>(Zelf)monitoring hypertensie zwangeren_Zwangeren met hoge bloeddruk_Uitgangssituatie</v>
      </c>
      <c r="H718" s="33">
        <v>2032</v>
      </c>
      <c r="I718" s="32">
        <v>10</v>
      </c>
      <c r="J718" s="406" cm="1">
        <f t="array" ref="J718">INDEX(implementatie[[2023]:[2034]],MATCH(G718, implementatie[Zoeksleutel],0),I718)</f>
        <v>0.94442316592887321</v>
      </c>
      <c r="K718" s="406" cm="1">
        <f t="array" ref="K718">INDEX(implementatie[[2023]:[2034]],MATCH(G718,implementatie[Zoeksleutel],0),I718 + 1)</f>
        <v>0.96652992244459857</v>
      </c>
      <c r="L71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15945.451848909908</v>
      </c>
      <c r="M718" s="398" cm="1">
        <f t="array" ref="M718">J718*INDEX(Berekening_impact[Totaal arbeidsbesparing (€/jaar)],MATCH(B718,IF(Berekening_impact[Doelgroep]=C718,Berekening_impact[Digitale zorgtoepassing]),0))</f>
        <v>8495736.7450991981</v>
      </c>
      <c r="N718" s="397" cm="1">
        <f t="array" ref="N718">J718*INDEX(Berekening_impact[Totaal arbeidsbesparing (FTE/jaar)],MATCH(B718,IF(Berekening_impact[Doelgroep]=C718,Berekening_impact[Digitale zorgtoepassing]),0))</f>
        <v>147.24138884412594</v>
      </c>
      <c r="O718" s="398" cm="1">
        <f t="array" ref="O718">J718*INDEX(Berekening_impact[Overige kostenbesparing (totaal/jaar totaal potentieel)],MATCH(B718,IF(Berekening_impact[Doelgroep]=C718,Berekening_impact[Digitale zorgtoepassing]),0))</f>
        <v>5663824.4967328003</v>
      </c>
      <c r="P718" s="398" cm="1">
        <f t="array" ref="P718">J718*INDEX(Berekening_impact[Opbrengsten door QALY''s],MATCH(B718,IF(Berekening_impact[Doelgroep]=C718,Berekening_impact[Digitale zorgtoepassing]),0))</f>
        <v>0</v>
      </c>
      <c r="Q718" s="398" cm="1">
        <f t="array" ref="Q718">J718*INDEX(Berekening_impact[Jaarlijkse kosten (totaal) - incl. schatting],MATCH(B718,IF(Berekening_impact[Doelgroep]=C718,Berekening_impact[Digitale zorgtoepassing]),0))</f>
        <v>1076943.2079372639</v>
      </c>
      <c r="R718" s="398" cm="1">
        <f t="array" ref="R718">(uitkomst_doelgroep[[#This Row],[Implementatiegraad t = T + 1]]-uitkomst_doelgroep[[#This Row],[Implementatiegraad t = T]])*INDEX(Berekening_impact[Initiële investering (totaal) - incl. schatting],MATCH(B718,IF(Berekening_impact[Doelgroep]=C718,Berekening_impact[Digitale zorgtoepassing]),0))</f>
        <v>0</v>
      </c>
      <c r="S718" s="398">
        <f>uitkomst_doelgroep[[#This Row],[Arbeidsbesparing (€)]]*uitkomst_doelgroep[[#This Row],[Percentage van patiëntaantallen in Wlz (overige is Zvw)]]</f>
        <v>0</v>
      </c>
      <c r="T718" s="398">
        <f>uitkomst_doelgroep[[#This Row],[Overige besparingen (€)]]*uitkomst_doelgroep[[#This Row],[Percentage van patiëntaantallen in Wlz (overige is Zvw)]]</f>
        <v>0</v>
      </c>
      <c r="U718" s="398">
        <f>uitkomst_doelgroep[[#This Row],[Kosten (€)]]*uitkomst_doelgroep[[#This Row],[Percentage van patiëntaantallen in Wlz (overige is Zvw)]]</f>
        <v>0</v>
      </c>
      <c r="V718" s="398">
        <f>uitkomst_doelgroep[[#This Row],[Investering (cash flow) (€)]]*uitkomst_doelgroep[[#This Row],[Percentage van patiëntaantallen in Wlz (overige is Zvw)]]</f>
        <v>0</v>
      </c>
    </row>
    <row r="719" spans="1:22" x14ac:dyDescent="0.5">
      <c r="A719" s="33" t="str">
        <f>INDEX(Technologieën[Veld],MATCH(B719,Technologieën[Digitale zorgtoepassing],0))</f>
        <v>Sensoren - Behandeling</v>
      </c>
      <c r="B719" s="33" t="s">
        <v>593</v>
      </c>
      <c r="C719" s="33" t="s">
        <v>308</v>
      </c>
      <c r="D719" s="427" cm="1">
        <f t="array" ref="D719">INDEX(Berekening_patiëntaantal[Percentage van patiëntaantallen in Wlz (overige is Zvw)],MATCH(B719,IF(Berekening_patiëntaantal[Doelgroep (zoeksleutel)]=C719,Berekening_patiëntaantal[Digitale zorgtoepassing]),0))</f>
        <v>0</v>
      </c>
      <c r="E719" s="33" t="str" cm="1">
        <f t="array" ref="E719">INDEX(Berekening_patiëntaantal[Direct toepasbaar/extrapolatie/incidentie voor QALY],MATCH(B719,IF(Berekening_patiëntaantal[Doelgroep (zoeksleutel)]=C719,Berekening_patiëntaantal[Digitale zorgtoepassing]),0))</f>
        <v>Huidige toepassing</v>
      </c>
      <c r="F719" s="33" t="s">
        <v>813</v>
      </c>
      <c r="G719" s="33" t="str">
        <f>CONCATENATE(uitkomst_doelgroep[[#This Row],[Digitale zorgtoepassing]],"_",uitkomst_doelgroep[[#This Row],[Doelgroep]],"_",uitkomst_doelgroep[[#This Row],[Uitgangssituatie/effect beleid]])</f>
        <v>(Zelf)monitoring hypertensie zwangeren_Zwangeren met hoge bloeddruk_Uitgangssituatie</v>
      </c>
      <c r="H719" s="33">
        <v>2033</v>
      </c>
      <c r="I719" s="32">
        <v>11</v>
      </c>
      <c r="J719" s="406" cm="1">
        <f t="array" ref="J719">INDEX(implementatie[[2023]:[2034]],MATCH(G719, implementatie[Zoeksleutel],0),I719)</f>
        <v>0.96652992244459857</v>
      </c>
      <c r="K719" s="406" cm="1">
        <f t="array" ref="K719">INDEX(implementatie[[2023]:[2034]],MATCH(G719,implementatie[Zoeksleutel],0),I719 + 1)</f>
        <v>0.98013925658124135</v>
      </c>
      <c r="L71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16318.697904570112</v>
      </c>
      <c r="M719" s="398" cm="1">
        <f t="array" ref="M719">J719*INDEX(Berekening_impact[Totaal arbeidsbesparing (€/jaar)],MATCH(B719,IF(Berekening_impact[Doelgroep]=C719,Berekening_impact[Digitale zorgtoepassing]),0))</f>
        <v>8694602.2435549553</v>
      </c>
      <c r="N719" s="397" cm="1">
        <f t="array" ref="N719">J719*INDEX(Berekening_impact[Totaal arbeidsbesparing (FTE/jaar)],MATCH(B719,IF(Berekening_impact[Doelgroep]=C719,Berekening_impact[Digitale zorgtoepassing]),0))</f>
        <v>150.68796835386604</v>
      </c>
      <c r="O719" s="398" cm="1">
        <f t="array" ref="O719">J719*INDEX(Berekening_impact[Overige kostenbesparing (totaal/jaar totaal potentieel)],MATCH(B719,IF(Berekening_impact[Doelgroep]=C719,Berekening_impact[Digitale zorgtoepassing]),0))</f>
        <v>5796401.4957033051</v>
      </c>
      <c r="P719" s="398" cm="1">
        <f t="array" ref="P719">J719*INDEX(Berekening_impact[Opbrengsten door QALY''s],MATCH(B719,IF(Berekening_impact[Doelgroep]=C719,Berekening_impact[Digitale zorgtoepassing]),0))</f>
        <v>0</v>
      </c>
      <c r="Q719" s="398" cm="1">
        <f t="array" ref="Q719">J719*INDEX(Berekening_impact[Jaarlijkse kosten (totaal) - incl. schatting],MATCH(B719,IF(Berekening_impact[Doelgroep]=C719,Berekening_impact[Digitale zorgtoepassing]),0))</f>
        <v>1102151.951367141</v>
      </c>
      <c r="R719" s="398" cm="1">
        <f t="array" ref="R719">(uitkomst_doelgroep[[#This Row],[Implementatiegraad t = T + 1]]-uitkomst_doelgroep[[#This Row],[Implementatiegraad t = T]])*INDEX(Berekening_impact[Initiële investering (totaal) - incl. schatting],MATCH(B719,IF(Berekening_impact[Doelgroep]=C719,Berekening_impact[Digitale zorgtoepassing]),0))</f>
        <v>0</v>
      </c>
      <c r="S719" s="398">
        <f>uitkomst_doelgroep[[#This Row],[Arbeidsbesparing (€)]]*uitkomst_doelgroep[[#This Row],[Percentage van patiëntaantallen in Wlz (overige is Zvw)]]</f>
        <v>0</v>
      </c>
      <c r="T719" s="398">
        <f>uitkomst_doelgroep[[#This Row],[Overige besparingen (€)]]*uitkomst_doelgroep[[#This Row],[Percentage van patiëntaantallen in Wlz (overige is Zvw)]]</f>
        <v>0</v>
      </c>
      <c r="U719" s="398">
        <f>uitkomst_doelgroep[[#This Row],[Kosten (€)]]*uitkomst_doelgroep[[#This Row],[Percentage van patiëntaantallen in Wlz (overige is Zvw)]]</f>
        <v>0</v>
      </c>
      <c r="V719" s="398">
        <f>uitkomst_doelgroep[[#This Row],[Investering (cash flow) (€)]]*uitkomst_doelgroep[[#This Row],[Percentage van patiëntaantallen in Wlz (overige is Zvw)]]</f>
        <v>0</v>
      </c>
    </row>
    <row r="720" spans="1:22" x14ac:dyDescent="0.5">
      <c r="A720" s="33" t="str">
        <f>INDEX(Technologieën[Veld],MATCH(B720,Technologieën[Digitale zorgtoepassing],0))</f>
        <v>Software - Behandeling</v>
      </c>
      <c r="B720" s="33" t="s">
        <v>609</v>
      </c>
      <c r="C720" s="33" t="s">
        <v>81</v>
      </c>
      <c r="D720" s="427" cm="1">
        <f t="array" ref="D720">INDEX(Berekening_patiëntaantal[Percentage van patiëntaantallen in Wlz (overige is Zvw)],MATCH(B720,IF(Berekening_patiëntaantal[Doelgroep (zoeksleutel)]=C720,Berekening_patiëntaantal[Digitale zorgtoepassing]),0))</f>
        <v>0</v>
      </c>
      <c r="E720" s="33" t="str" cm="1">
        <f t="array" ref="E720">INDEX(Berekening_patiëntaantal[Direct toepasbaar/extrapolatie/incidentie voor QALY],MATCH(B720,IF(Berekening_patiëntaantal[Doelgroep (zoeksleutel)]=C720,Berekening_patiëntaantal[Digitale zorgtoepassing]),0))</f>
        <v>Huidige toepassing</v>
      </c>
      <c r="F720" s="33" t="s">
        <v>813</v>
      </c>
      <c r="G720" s="33" t="str">
        <f>CONCATENATE(uitkomst_doelgroep[[#This Row],[Digitale zorgtoepassing]],"_",uitkomst_doelgroep[[#This Row],[Doelgroep]],"_",uitkomst_doelgroep[[#This Row],[Uitgangssituatie/effect beleid]])</f>
        <v>(Zelf)zorgplatform + telebegeleiding_IBD_Uitgangssituatie</v>
      </c>
      <c r="H720" s="33">
        <v>2023</v>
      </c>
      <c r="I720" s="32">
        <v>1</v>
      </c>
      <c r="J720" s="406" cm="1">
        <f t="array" ref="J720">INDEX(implementatie[[2023]:[2034]],MATCH(G720, implementatie[Zoeksleutel],0),I720)</f>
        <v>0.6</v>
      </c>
      <c r="K720" s="406" cm="1">
        <f t="array" ref="K720">INDEX(implementatie[[2023]:[2034]],MATCH(G720,implementatie[Zoeksleutel],0),I720 + 1)</f>
        <v>0.71799999999999997</v>
      </c>
      <c r="L72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48000</v>
      </c>
      <c r="M720" s="398" cm="1">
        <f t="array" ref="M720">J720*INDEX(Berekening_impact[Totaal arbeidsbesparing (€/jaar)],MATCH(B720,IF(Berekening_impact[Doelgroep]=C720,Berekening_impact[Digitale zorgtoepassing]),0))</f>
        <v>5702400</v>
      </c>
      <c r="N720" s="397" cm="1">
        <f t="array" ref="N720">J720*INDEX(Berekening_impact[Totaal arbeidsbesparing (FTE/jaar)],MATCH(B720,IF(Berekening_impact[Doelgroep]=C720,Berekening_impact[Digitale zorgtoepassing]),0))</f>
        <v>30.05915653406489</v>
      </c>
      <c r="O720" s="398" cm="1">
        <f t="array" ref="O720">J720*INDEX(Berekening_impact[Overige kostenbesparing (totaal/jaar totaal potentieel)],MATCH(B720,IF(Berekening_impact[Doelgroep]=C720,Berekening_impact[Digitale zorgtoepassing]),0))</f>
        <v>14169600</v>
      </c>
      <c r="P720" s="398" cm="1">
        <f t="array" ref="P720">J720*INDEX(Berekening_impact[Opbrengsten door QALY''s],MATCH(B720,IF(Berekening_impact[Doelgroep]=C720,Berekening_impact[Digitale zorgtoepassing]),0))</f>
        <v>4800000</v>
      </c>
      <c r="Q720" s="398" cm="1">
        <f t="array" ref="Q720">J720*INDEX(Berekening_impact[Jaarlijkse kosten (totaal) - incl. schatting],MATCH(B720,IF(Berekening_impact[Doelgroep]=C720,Berekening_impact[Digitale zorgtoepassing]),0))</f>
        <v>1920000</v>
      </c>
      <c r="R720" s="398" cm="1">
        <f t="array" ref="R720">(uitkomst_doelgroep[[#This Row],[Implementatiegraad t = T + 1]]-uitkomst_doelgroep[[#This Row],[Implementatiegraad t = T]])*INDEX(Berekening_impact[Initiële investering (totaal) - incl. schatting],MATCH(B720,IF(Berekening_impact[Doelgroep]=C720,Berekening_impact[Digitale zorgtoepassing]),0))</f>
        <v>0</v>
      </c>
      <c r="S720" s="398">
        <f>uitkomst_doelgroep[[#This Row],[Arbeidsbesparing (€)]]*uitkomst_doelgroep[[#This Row],[Percentage van patiëntaantallen in Wlz (overige is Zvw)]]</f>
        <v>0</v>
      </c>
      <c r="T720" s="398">
        <f>uitkomst_doelgroep[[#This Row],[Overige besparingen (€)]]*uitkomst_doelgroep[[#This Row],[Percentage van patiëntaantallen in Wlz (overige is Zvw)]]</f>
        <v>0</v>
      </c>
      <c r="U720" s="398">
        <f>uitkomst_doelgroep[[#This Row],[Kosten (€)]]*uitkomst_doelgroep[[#This Row],[Percentage van patiëntaantallen in Wlz (overige is Zvw)]]</f>
        <v>0</v>
      </c>
      <c r="V720" s="398">
        <f>uitkomst_doelgroep[[#This Row],[Investering (cash flow) (€)]]*uitkomst_doelgroep[[#This Row],[Percentage van patiëntaantallen in Wlz (overige is Zvw)]]</f>
        <v>0</v>
      </c>
    </row>
    <row r="721" spans="1:22" x14ac:dyDescent="0.5">
      <c r="A721" s="33" t="str">
        <f>INDEX(Technologieën[Veld],MATCH(B721,Technologieën[Digitale zorgtoepassing],0))</f>
        <v>Software - Behandeling</v>
      </c>
      <c r="B721" s="33" t="s">
        <v>609</v>
      </c>
      <c r="C721" s="33" t="s">
        <v>81</v>
      </c>
      <c r="D721" s="427" cm="1">
        <f t="array" ref="D721">INDEX(Berekening_patiëntaantal[Percentage van patiëntaantallen in Wlz (overige is Zvw)],MATCH(B721,IF(Berekening_patiëntaantal[Doelgroep (zoeksleutel)]=C721,Berekening_patiëntaantal[Digitale zorgtoepassing]),0))</f>
        <v>0</v>
      </c>
      <c r="E721" s="33" t="str" cm="1">
        <f t="array" ref="E721">INDEX(Berekening_patiëntaantal[Direct toepasbaar/extrapolatie/incidentie voor QALY],MATCH(B721,IF(Berekening_patiëntaantal[Doelgroep (zoeksleutel)]=C721,Berekening_patiëntaantal[Digitale zorgtoepassing]),0))</f>
        <v>Huidige toepassing</v>
      </c>
      <c r="F721" s="33" t="s">
        <v>813</v>
      </c>
      <c r="G721" s="33" t="str">
        <f>CONCATENATE(uitkomst_doelgroep[[#This Row],[Digitale zorgtoepassing]],"_",uitkomst_doelgroep[[#This Row],[Doelgroep]],"_",uitkomst_doelgroep[[#This Row],[Uitgangssituatie/effect beleid]])</f>
        <v>(Zelf)zorgplatform + telebegeleiding_IBD_Uitgangssituatie</v>
      </c>
      <c r="H721" s="33">
        <v>2024</v>
      </c>
      <c r="I721" s="32">
        <v>2</v>
      </c>
      <c r="J721" s="406" cm="1">
        <f t="array" ref="J721">INDEX(implementatie[[2023]:[2034]],MATCH(G721, implementatie[Zoeksleutel],0),I721)</f>
        <v>0.71799999999999997</v>
      </c>
      <c r="K721" s="406" cm="1">
        <f t="array" ref="K721">INDEX(implementatie[[2023]:[2034]],MATCH(G721,implementatie[Zoeksleutel],0),I721 + 1)</f>
        <v>0.81616420000000001</v>
      </c>
      <c r="L72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57440</v>
      </c>
      <c r="M721" s="398" cm="1">
        <f t="array" ref="M721">J721*INDEX(Berekening_impact[Totaal arbeidsbesparing (€/jaar)],MATCH(B721,IF(Berekening_impact[Doelgroep]=C721,Berekening_impact[Digitale zorgtoepassing]),0))</f>
        <v>6823872</v>
      </c>
      <c r="N721" s="397" cm="1">
        <f t="array" ref="N721">J721*INDEX(Berekening_impact[Totaal arbeidsbesparing (FTE/jaar)],MATCH(B721,IF(Berekening_impact[Doelgroep]=C721,Berekening_impact[Digitale zorgtoepassing]),0))</f>
        <v>35.970790652430985</v>
      </c>
      <c r="O721" s="398" cm="1">
        <f t="array" ref="O721">J721*INDEX(Berekening_impact[Overige kostenbesparing (totaal/jaar totaal potentieel)],MATCH(B721,IF(Berekening_impact[Doelgroep]=C721,Berekening_impact[Digitale zorgtoepassing]),0))</f>
        <v>16956288</v>
      </c>
      <c r="P721" s="398" cm="1">
        <f t="array" ref="P721">J721*INDEX(Berekening_impact[Opbrengsten door QALY''s],MATCH(B721,IF(Berekening_impact[Doelgroep]=C721,Berekening_impact[Digitale zorgtoepassing]),0))</f>
        <v>5744000</v>
      </c>
      <c r="Q721" s="398" cm="1">
        <f t="array" ref="Q721">J721*INDEX(Berekening_impact[Jaarlijkse kosten (totaal) - incl. schatting],MATCH(B721,IF(Berekening_impact[Doelgroep]=C721,Berekening_impact[Digitale zorgtoepassing]),0))</f>
        <v>2297600</v>
      </c>
      <c r="R721" s="398" cm="1">
        <f t="array" ref="R721">(uitkomst_doelgroep[[#This Row],[Implementatiegraad t = T + 1]]-uitkomst_doelgroep[[#This Row],[Implementatiegraad t = T]])*INDEX(Berekening_impact[Initiële investering (totaal) - incl. schatting],MATCH(B721,IF(Berekening_impact[Doelgroep]=C721,Berekening_impact[Digitale zorgtoepassing]),0))</f>
        <v>0</v>
      </c>
      <c r="S721" s="398">
        <f>uitkomst_doelgroep[[#This Row],[Arbeidsbesparing (€)]]*uitkomst_doelgroep[[#This Row],[Percentage van patiëntaantallen in Wlz (overige is Zvw)]]</f>
        <v>0</v>
      </c>
      <c r="T721" s="398">
        <f>uitkomst_doelgroep[[#This Row],[Overige besparingen (€)]]*uitkomst_doelgroep[[#This Row],[Percentage van patiëntaantallen in Wlz (overige is Zvw)]]</f>
        <v>0</v>
      </c>
      <c r="U721" s="398">
        <f>uitkomst_doelgroep[[#This Row],[Kosten (€)]]*uitkomst_doelgroep[[#This Row],[Percentage van patiëntaantallen in Wlz (overige is Zvw)]]</f>
        <v>0</v>
      </c>
      <c r="V721" s="398">
        <f>uitkomst_doelgroep[[#This Row],[Investering (cash flow) (€)]]*uitkomst_doelgroep[[#This Row],[Percentage van patiëntaantallen in Wlz (overige is Zvw)]]</f>
        <v>0</v>
      </c>
    </row>
    <row r="722" spans="1:22" x14ac:dyDescent="0.5">
      <c r="A722" s="33" t="str">
        <f>INDEX(Technologieën[Veld],MATCH(B722,Technologieën[Digitale zorgtoepassing],0))</f>
        <v>Software - Behandeling</v>
      </c>
      <c r="B722" s="33" t="s">
        <v>609</v>
      </c>
      <c r="C722" s="33" t="s">
        <v>81</v>
      </c>
      <c r="D722" s="427" cm="1">
        <f t="array" ref="D722">INDEX(Berekening_patiëntaantal[Percentage van patiëntaantallen in Wlz (overige is Zvw)],MATCH(B722,IF(Berekening_patiëntaantal[Doelgroep (zoeksleutel)]=C722,Berekening_patiëntaantal[Digitale zorgtoepassing]),0))</f>
        <v>0</v>
      </c>
      <c r="E722" s="33" t="str" cm="1">
        <f t="array" ref="E722">INDEX(Berekening_patiëntaantal[Direct toepasbaar/extrapolatie/incidentie voor QALY],MATCH(B722,IF(Berekening_patiëntaantal[Doelgroep (zoeksleutel)]=C722,Berekening_patiëntaantal[Digitale zorgtoepassing]),0))</f>
        <v>Huidige toepassing</v>
      </c>
      <c r="F722" s="33" t="s">
        <v>813</v>
      </c>
      <c r="G722" s="33" t="str">
        <f>CONCATENATE(uitkomst_doelgroep[[#This Row],[Digitale zorgtoepassing]],"_",uitkomst_doelgroep[[#This Row],[Doelgroep]],"_",uitkomst_doelgroep[[#This Row],[Uitgangssituatie/effect beleid]])</f>
        <v>(Zelf)zorgplatform + telebegeleiding_IBD_Uitgangssituatie</v>
      </c>
      <c r="H722" s="33">
        <v>2025</v>
      </c>
      <c r="I722" s="32">
        <v>3</v>
      </c>
      <c r="J722" s="406" cm="1">
        <f t="array" ref="J722">INDEX(implementatie[[2023]:[2034]],MATCH(G722, implementatie[Zoeksleutel],0),I722)</f>
        <v>0.81616420000000001</v>
      </c>
      <c r="K722" s="406" cm="1">
        <f t="array" ref="K722">INDEX(implementatie[[2023]:[2034]],MATCH(G722,implementatie[Zoeksleutel],0),I722 + 1)</f>
        <v>0.88827818438726203</v>
      </c>
      <c r="L72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65293.135999999999</v>
      </c>
      <c r="M722" s="398" cm="1">
        <f t="array" ref="M722">J722*INDEX(Berekening_impact[Totaal arbeidsbesparing (€/jaar)],MATCH(B722,IF(Berekening_impact[Doelgroep]=C722,Berekening_impact[Digitale zorgtoepassing]),0))</f>
        <v>7756824.5568000004</v>
      </c>
      <c r="N722" s="397" cm="1">
        <f t="array" ref="N722">J722*INDEX(Berekening_impact[Totaal arbeidsbesparing (FTE/jaar)],MATCH(B722,IF(Berekening_impact[Doelgroep]=C722,Berekening_impact[Digitale zorgtoepassing]),0))</f>
        <v>40.888679075499745</v>
      </c>
      <c r="O722" s="398" cm="1">
        <f t="array" ref="O722">J722*INDEX(Berekening_impact[Overige kostenbesparing (totaal/jaar totaal potentieel)],MATCH(B722,IF(Berekening_impact[Doelgroep]=C722,Berekening_impact[Digitale zorgtoepassing]),0))</f>
        <v>19274533.747200001</v>
      </c>
      <c r="P722" s="398" cm="1">
        <f t="array" ref="P722">J722*INDEX(Berekening_impact[Opbrengsten door QALY''s],MATCH(B722,IF(Berekening_impact[Doelgroep]=C722,Berekening_impact[Digitale zorgtoepassing]),0))</f>
        <v>6529313.5999999996</v>
      </c>
      <c r="Q722" s="398" cm="1">
        <f t="array" ref="Q722">J722*INDEX(Berekening_impact[Jaarlijkse kosten (totaal) - incl. schatting],MATCH(B722,IF(Berekening_impact[Doelgroep]=C722,Berekening_impact[Digitale zorgtoepassing]),0))</f>
        <v>2611725.44</v>
      </c>
      <c r="R722" s="398" cm="1">
        <f t="array" ref="R722">(uitkomst_doelgroep[[#This Row],[Implementatiegraad t = T + 1]]-uitkomst_doelgroep[[#This Row],[Implementatiegraad t = T]])*INDEX(Berekening_impact[Initiële investering (totaal) - incl. schatting],MATCH(B722,IF(Berekening_impact[Doelgroep]=C722,Berekening_impact[Digitale zorgtoepassing]),0))</f>
        <v>0</v>
      </c>
      <c r="S722" s="398">
        <f>uitkomst_doelgroep[[#This Row],[Arbeidsbesparing (€)]]*uitkomst_doelgroep[[#This Row],[Percentage van patiëntaantallen in Wlz (overige is Zvw)]]</f>
        <v>0</v>
      </c>
      <c r="T722" s="398">
        <f>uitkomst_doelgroep[[#This Row],[Overige besparingen (€)]]*uitkomst_doelgroep[[#This Row],[Percentage van patiëntaantallen in Wlz (overige is Zvw)]]</f>
        <v>0</v>
      </c>
      <c r="U722" s="398">
        <f>uitkomst_doelgroep[[#This Row],[Kosten (€)]]*uitkomst_doelgroep[[#This Row],[Percentage van patiëntaantallen in Wlz (overige is Zvw)]]</f>
        <v>0</v>
      </c>
      <c r="V722" s="398">
        <f>uitkomst_doelgroep[[#This Row],[Investering (cash flow) (€)]]*uitkomst_doelgroep[[#This Row],[Percentage van patiëntaantallen in Wlz (overige is Zvw)]]</f>
        <v>0</v>
      </c>
    </row>
    <row r="723" spans="1:22" x14ac:dyDescent="0.5">
      <c r="A723" s="33" t="str">
        <f>INDEX(Technologieën[Veld],MATCH(B723,Technologieën[Digitale zorgtoepassing],0))</f>
        <v>Software - Behandeling</v>
      </c>
      <c r="B723" s="33" t="s">
        <v>609</v>
      </c>
      <c r="C723" s="33" t="s">
        <v>81</v>
      </c>
      <c r="D723" s="427" cm="1">
        <f t="array" ref="D723">INDEX(Berekening_patiëntaantal[Percentage van patiëntaantallen in Wlz (overige is Zvw)],MATCH(B723,IF(Berekening_patiëntaantal[Doelgroep (zoeksleutel)]=C723,Berekening_patiëntaantal[Digitale zorgtoepassing]),0))</f>
        <v>0</v>
      </c>
      <c r="E723" s="33" t="str" cm="1">
        <f t="array" ref="E723">INDEX(Berekening_patiëntaantal[Direct toepasbaar/extrapolatie/incidentie voor QALY],MATCH(B723,IF(Berekening_patiëntaantal[Doelgroep (zoeksleutel)]=C723,Berekening_patiëntaantal[Digitale zorgtoepassing]),0))</f>
        <v>Huidige toepassing</v>
      </c>
      <c r="F723" s="33" t="s">
        <v>813</v>
      </c>
      <c r="G723" s="33" t="str">
        <f>CONCATENATE(uitkomst_doelgroep[[#This Row],[Digitale zorgtoepassing]],"_",uitkomst_doelgroep[[#This Row],[Doelgroep]],"_",uitkomst_doelgroep[[#This Row],[Uitgangssituatie/effect beleid]])</f>
        <v>(Zelf)zorgplatform + telebegeleiding_IBD_Uitgangssituatie</v>
      </c>
      <c r="H723" s="33">
        <v>2026</v>
      </c>
      <c r="I723" s="32">
        <v>4</v>
      </c>
      <c r="J723" s="406" cm="1">
        <f t="array" ref="J723">INDEX(implementatie[[2023]:[2034]],MATCH(G723, implementatie[Zoeksleutel],0),I723)</f>
        <v>0.88827818438726203</v>
      </c>
      <c r="K723" s="406" cm="1">
        <f t="array" ref="K723">INDEX(implementatie[[2023]:[2034]],MATCH(G723,implementatie[Zoeksleutel],0),I723 + 1)</f>
        <v>0.93572925296559961</v>
      </c>
      <c r="L72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71062.254750980966</v>
      </c>
      <c r="M723" s="398" cm="1">
        <f t="array" ref="M723">J723*INDEX(Berekening_impact[Totaal arbeidsbesparing (€/jaar)],MATCH(B723,IF(Berekening_impact[Doelgroep]=C723,Berekening_impact[Digitale zorgtoepassing]),0))</f>
        <v>8442195.8644165378</v>
      </c>
      <c r="N723" s="397" cm="1">
        <f t="array" ref="N723">J723*INDEX(Berekening_impact[Totaal arbeidsbesparing (FTE/jaar)],MATCH(B723,IF(Berekening_impact[Doelgroep]=C723,Berekening_impact[Digitale zorgtoepassing]),0))</f>
        <v>44.501488317152777</v>
      </c>
      <c r="O723" s="398" cm="1">
        <f t="array" ref="O723">J723*INDEX(Berekening_impact[Overige kostenbesparing (totaal/jaar totaal potentieel)],MATCH(B723,IF(Berekening_impact[Doelgroep]=C723,Berekening_impact[Digitale zorgtoepassing]),0))</f>
        <v>20977577.602489579</v>
      </c>
      <c r="P723" s="398" cm="1">
        <f t="array" ref="P723">J723*INDEX(Berekening_impact[Opbrengsten door QALY''s],MATCH(B723,IF(Berekening_impact[Doelgroep]=C723,Berekening_impact[Digitale zorgtoepassing]),0))</f>
        <v>7106225.4750980958</v>
      </c>
      <c r="Q723" s="398" cm="1">
        <f t="array" ref="Q723">J723*INDEX(Berekening_impact[Jaarlijkse kosten (totaal) - incl. schatting],MATCH(B723,IF(Berekening_impact[Doelgroep]=C723,Berekening_impact[Digitale zorgtoepassing]),0))</f>
        <v>2842490.1900392384</v>
      </c>
      <c r="R723" s="398" cm="1">
        <f t="array" ref="R723">(uitkomst_doelgroep[[#This Row],[Implementatiegraad t = T + 1]]-uitkomst_doelgroep[[#This Row],[Implementatiegraad t = T]])*INDEX(Berekening_impact[Initiële investering (totaal) - incl. schatting],MATCH(B723,IF(Berekening_impact[Doelgroep]=C723,Berekening_impact[Digitale zorgtoepassing]),0))</f>
        <v>0</v>
      </c>
      <c r="S723" s="398">
        <f>uitkomst_doelgroep[[#This Row],[Arbeidsbesparing (€)]]*uitkomst_doelgroep[[#This Row],[Percentage van patiëntaantallen in Wlz (overige is Zvw)]]</f>
        <v>0</v>
      </c>
      <c r="T723" s="398">
        <f>uitkomst_doelgroep[[#This Row],[Overige besparingen (€)]]*uitkomst_doelgroep[[#This Row],[Percentage van patiëntaantallen in Wlz (overige is Zvw)]]</f>
        <v>0</v>
      </c>
      <c r="U723" s="398">
        <f>uitkomst_doelgroep[[#This Row],[Kosten (€)]]*uitkomst_doelgroep[[#This Row],[Percentage van patiëntaantallen in Wlz (overige is Zvw)]]</f>
        <v>0</v>
      </c>
      <c r="V723" s="398">
        <f>uitkomst_doelgroep[[#This Row],[Investering (cash flow) (€)]]*uitkomst_doelgroep[[#This Row],[Percentage van patiëntaantallen in Wlz (overige is Zvw)]]</f>
        <v>0</v>
      </c>
    </row>
    <row r="724" spans="1:22" x14ac:dyDescent="0.5">
      <c r="A724" s="33" t="str">
        <f>INDEX(Technologieën[Veld],MATCH(B724,Technologieën[Digitale zorgtoepassing],0))</f>
        <v>Software - Behandeling</v>
      </c>
      <c r="B724" s="33" t="s">
        <v>609</v>
      </c>
      <c r="C724" s="33" t="s">
        <v>81</v>
      </c>
      <c r="D724" s="427" cm="1">
        <f t="array" ref="D724">INDEX(Berekening_patiëntaantal[Percentage van patiëntaantallen in Wlz (overige is Zvw)],MATCH(B724,IF(Berekening_patiëntaantal[Doelgroep (zoeksleutel)]=C724,Berekening_patiëntaantal[Digitale zorgtoepassing]),0))</f>
        <v>0</v>
      </c>
      <c r="E724" s="33" t="str" cm="1">
        <f t="array" ref="E724">INDEX(Berekening_patiëntaantal[Direct toepasbaar/extrapolatie/incidentie voor QALY],MATCH(B724,IF(Berekening_patiëntaantal[Doelgroep (zoeksleutel)]=C724,Berekening_patiëntaantal[Digitale zorgtoepassing]),0))</f>
        <v>Huidige toepassing</v>
      </c>
      <c r="F724" s="33" t="s">
        <v>813</v>
      </c>
      <c r="G724" s="33" t="str">
        <f>CONCATENATE(uitkomst_doelgroep[[#This Row],[Digitale zorgtoepassing]],"_",uitkomst_doelgroep[[#This Row],[Doelgroep]],"_",uitkomst_doelgroep[[#This Row],[Uitgangssituatie/effect beleid]])</f>
        <v>(Zelf)zorgplatform + telebegeleiding_IBD_Uitgangssituatie</v>
      </c>
      <c r="H724" s="33">
        <v>2027</v>
      </c>
      <c r="I724" s="32">
        <v>5</v>
      </c>
      <c r="J724" s="406" cm="1">
        <f t="array" ref="J724">INDEX(implementatie[[2023]:[2034]],MATCH(G724, implementatie[Zoeksleutel],0),I724)</f>
        <v>0.93572925296559961</v>
      </c>
      <c r="K724" s="406" cm="1">
        <f t="array" ref="K724">INDEX(implementatie[[2023]:[2034]],MATCH(G724,implementatie[Zoeksleutel],0),I724 + 1)</f>
        <v>0.9643990297909778</v>
      </c>
      <c r="L72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74858.340237247976</v>
      </c>
      <c r="M724" s="398" cm="1">
        <f t="array" ref="M724">J724*INDEX(Berekening_impact[Totaal arbeidsbesparing (€/jaar)],MATCH(B724,IF(Berekening_impact[Doelgroep]=C724,Berekening_impact[Digitale zorgtoepassing]),0))</f>
        <v>8893170.8201850578</v>
      </c>
      <c r="N724" s="397" cm="1">
        <f t="array" ref="N724">J724*INDEX(Berekening_impact[Totaal arbeidsbesparing (FTE/jaar)],MATCH(B724,IF(Berekening_impact[Doelgroep]=C724,Berekening_impact[Digitale zorgtoepassing]),0))</f>
        <v>46.878720147327606</v>
      </c>
      <c r="O724" s="398" cm="1">
        <f t="array" ref="O724">J724*INDEX(Berekening_impact[Overige kostenbesparing (totaal/jaar totaal potentieel)],MATCH(B724,IF(Berekening_impact[Doelgroep]=C724,Berekening_impact[Digitale zorgtoepassing]),0))</f>
        <v>22098182.038035601</v>
      </c>
      <c r="P724" s="398" cm="1">
        <f t="array" ref="P724">J724*INDEX(Berekening_impact[Opbrengsten door QALY''s],MATCH(B724,IF(Berekening_impact[Doelgroep]=C724,Berekening_impact[Digitale zorgtoepassing]),0))</f>
        <v>7485834.0237247972</v>
      </c>
      <c r="Q724" s="398" cm="1">
        <f t="array" ref="Q724">J724*INDEX(Berekening_impact[Jaarlijkse kosten (totaal) - incl. schatting],MATCH(B724,IF(Berekening_impact[Doelgroep]=C724,Berekening_impact[Digitale zorgtoepassing]),0))</f>
        <v>2994333.6094899187</v>
      </c>
      <c r="R724" s="398" cm="1">
        <f t="array" ref="R724">(uitkomst_doelgroep[[#This Row],[Implementatiegraad t = T + 1]]-uitkomst_doelgroep[[#This Row],[Implementatiegraad t = T]])*INDEX(Berekening_impact[Initiële investering (totaal) - incl. schatting],MATCH(B724,IF(Berekening_impact[Doelgroep]=C724,Berekening_impact[Digitale zorgtoepassing]),0))</f>
        <v>0</v>
      </c>
      <c r="S724" s="398">
        <f>uitkomst_doelgroep[[#This Row],[Arbeidsbesparing (€)]]*uitkomst_doelgroep[[#This Row],[Percentage van patiëntaantallen in Wlz (overige is Zvw)]]</f>
        <v>0</v>
      </c>
      <c r="T724" s="398">
        <f>uitkomst_doelgroep[[#This Row],[Overige besparingen (€)]]*uitkomst_doelgroep[[#This Row],[Percentage van patiëntaantallen in Wlz (overige is Zvw)]]</f>
        <v>0</v>
      </c>
      <c r="U724" s="398">
        <f>uitkomst_doelgroep[[#This Row],[Kosten (€)]]*uitkomst_doelgroep[[#This Row],[Percentage van patiëntaantallen in Wlz (overige is Zvw)]]</f>
        <v>0</v>
      </c>
      <c r="V724" s="398">
        <f>uitkomst_doelgroep[[#This Row],[Investering (cash flow) (€)]]*uitkomst_doelgroep[[#This Row],[Percentage van patiëntaantallen in Wlz (overige is Zvw)]]</f>
        <v>0</v>
      </c>
    </row>
    <row r="725" spans="1:22" x14ac:dyDescent="0.5">
      <c r="A725" s="33" t="str">
        <f>INDEX(Technologieën[Veld],MATCH(B725,Technologieën[Digitale zorgtoepassing],0))</f>
        <v>Software - Behandeling</v>
      </c>
      <c r="B725" s="33" t="s">
        <v>609</v>
      </c>
      <c r="C725" s="33" t="s">
        <v>81</v>
      </c>
      <c r="D725" s="427" cm="1">
        <f t="array" ref="D725">INDEX(Berekening_patiëntaantal[Percentage van patiëntaantallen in Wlz (overige is Zvw)],MATCH(B725,IF(Berekening_patiëntaantal[Doelgroep (zoeksleutel)]=C725,Berekening_patiëntaantal[Digitale zorgtoepassing]),0))</f>
        <v>0</v>
      </c>
      <c r="E725" s="33" t="str" cm="1">
        <f t="array" ref="E725">INDEX(Berekening_patiëntaantal[Direct toepasbaar/extrapolatie/incidentie voor QALY],MATCH(B725,IF(Berekening_patiëntaantal[Doelgroep (zoeksleutel)]=C725,Berekening_patiëntaantal[Digitale zorgtoepassing]),0))</f>
        <v>Huidige toepassing</v>
      </c>
      <c r="F725" s="33" t="s">
        <v>813</v>
      </c>
      <c r="G725" s="33" t="str">
        <f>CONCATENATE(uitkomst_doelgroep[[#This Row],[Digitale zorgtoepassing]],"_",uitkomst_doelgroep[[#This Row],[Doelgroep]],"_",uitkomst_doelgroep[[#This Row],[Uitgangssituatie/effect beleid]])</f>
        <v>(Zelf)zorgplatform + telebegeleiding_IBD_Uitgangssituatie</v>
      </c>
      <c r="H725" s="33">
        <v>2028</v>
      </c>
      <c r="I725" s="32">
        <v>6</v>
      </c>
      <c r="J725" s="406" cm="1">
        <f t="array" ref="J725">INDEX(implementatie[[2023]:[2034]],MATCH(G725, implementatie[Zoeksleutel],0),I725)</f>
        <v>0.9643990297909778</v>
      </c>
      <c r="K725" s="406" cm="1">
        <f t="array" ref="K725">INDEX(implementatie[[2023]:[2034]],MATCH(G725,implementatie[Zoeksleutel],0),I725 + 1)</f>
        <v>0.98073914755434266</v>
      </c>
      <c r="L72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77151.92238327823</v>
      </c>
      <c r="M725" s="398" cm="1">
        <f t="array" ref="M725">J725*INDEX(Berekening_impact[Totaal arbeidsbesparing (€/jaar)],MATCH(B725,IF(Berekening_impact[Doelgroep]=C725,Berekening_impact[Digitale zorgtoepassing]),0))</f>
        <v>9165648.3791334536</v>
      </c>
      <c r="N725" s="397" cm="1">
        <f t="array" ref="N725">J725*INDEX(Berekening_impact[Totaal arbeidsbesparing (FTE/jaar)],MATCH(B725,IF(Berekening_impact[Doelgroep]=C725,Berekening_impact[Digitale zorgtoepassing]),0))</f>
        <v>48.315035662978858</v>
      </c>
      <c r="O725" s="398" cm="1">
        <f t="array" ref="O725">J725*INDEX(Berekening_impact[Overige kostenbesparing (totaal/jaar totaal potentieel)],MATCH(B725,IF(Berekening_impact[Doelgroep]=C725,Berekening_impact[Digitale zorgtoepassing]),0))</f>
        <v>22775247.487543732</v>
      </c>
      <c r="P725" s="398" cm="1">
        <f t="array" ref="P725">J725*INDEX(Berekening_impact[Opbrengsten door QALY''s],MATCH(B725,IF(Berekening_impact[Doelgroep]=C725,Berekening_impact[Digitale zorgtoepassing]),0))</f>
        <v>7715192.2383278226</v>
      </c>
      <c r="Q725" s="398" cm="1">
        <f t="array" ref="Q725">J725*INDEX(Berekening_impact[Jaarlijkse kosten (totaal) - incl. schatting],MATCH(B725,IF(Berekening_impact[Doelgroep]=C725,Berekening_impact[Digitale zorgtoepassing]),0))</f>
        <v>3086076.895331129</v>
      </c>
      <c r="R725" s="398" cm="1">
        <f t="array" ref="R725">(uitkomst_doelgroep[[#This Row],[Implementatiegraad t = T + 1]]-uitkomst_doelgroep[[#This Row],[Implementatiegraad t = T]])*INDEX(Berekening_impact[Initiële investering (totaal) - incl. schatting],MATCH(B725,IF(Berekening_impact[Doelgroep]=C725,Berekening_impact[Digitale zorgtoepassing]),0))</f>
        <v>0</v>
      </c>
      <c r="S725" s="398">
        <f>uitkomst_doelgroep[[#This Row],[Arbeidsbesparing (€)]]*uitkomst_doelgroep[[#This Row],[Percentage van patiëntaantallen in Wlz (overige is Zvw)]]</f>
        <v>0</v>
      </c>
      <c r="T725" s="398">
        <f>uitkomst_doelgroep[[#This Row],[Overige besparingen (€)]]*uitkomst_doelgroep[[#This Row],[Percentage van patiëntaantallen in Wlz (overige is Zvw)]]</f>
        <v>0</v>
      </c>
      <c r="U725" s="398">
        <f>uitkomst_doelgroep[[#This Row],[Kosten (€)]]*uitkomst_doelgroep[[#This Row],[Percentage van patiëntaantallen in Wlz (overige is Zvw)]]</f>
        <v>0</v>
      </c>
      <c r="V725" s="398">
        <f>uitkomst_doelgroep[[#This Row],[Investering (cash flow) (€)]]*uitkomst_doelgroep[[#This Row],[Percentage van patiëntaantallen in Wlz (overige is Zvw)]]</f>
        <v>0</v>
      </c>
    </row>
    <row r="726" spans="1:22" x14ac:dyDescent="0.5">
      <c r="A726" s="33" t="str">
        <f>INDEX(Technologieën[Veld],MATCH(B726,Technologieën[Digitale zorgtoepassing],0))</f>
        <v>Software - Behandeling</v>
      </c>
      <c r="B726" s="33" t="s">
        <v>609</v>
      </c>
      <c r="C726" s="33" t="s">
        <v>81</v>
      </c>
      <c r="D726" s="427" cm="1">
        <f t="array" ref="D726">INDEX(Berekening_patiëntaantal[Percentage van patiëntaantallen in Wlz (overige is Zvw)],MATCH(B726,IF(Berekening_patiëntaantal[Doelgroep (zoeksleutel)]=C726,Berekening_patiëntaantal[Digitale zorgtoepassing]),0))</f>
        <v>0</v>
      </c>
      <c r="E726" s="33" t="str" cm="1">
        <f t="array" ref="E726">INDEX(Berekening_patiëntaantal[Direct toepasbaar/extrapolatie/incidentie voor QALY],MATCH(B726,IF(Berekening_patiëntaantal[Doelgroep (zoeksleutel)]=C726,Berekening_patiëntaantal[Digitale zorgtoepassing]),0))</f>
        <v>Huidige toepassing</v>
      </c>
      <c r="F726" s="33" t="s">
        <v>813</v>
      </c>
      <c r="G726" s="33" t="str">
        <f>CONCATENATE(uitkomst_doelgroep[[#This Row],[Digitale zorgtoepassing]],"_",uitkomst_doelgroep[[#This Row],[Doelgroep]],"_",uitkomst_doelgroep[[#This Row],[Uitgangssituatie/effect beleid]])</f>
        <v>(Zelf)zorgplatform + telebegeleiding_IBD_Uitgangssituatie</v>
      </c>
      <c r="H726" s="33">
        <v>2029</v>
      </c>
      <c r="I726" s="32">
        <v>7</v>
      </c>
      <c r="J726" s="406" cm="1">
        <f t="array" ref="J726">INDEX(implementatie[[2023]:[2034]],MATCH(G726, implementatie[Zoeksleutel],0),I726)</f>
        <v>0.98073914755434266</v>
      </c>
      <c r="K726" s="406" cm="1">
        <f t="array" ref="K726">INDEX(implementatie[[2023]:[2034]],MATCH(G726,implementatie[Zoeksleutel],0),I726 + 1)</f>
        <v>0.98972111126940987</v>
      </c>
      <c r="L72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78459.131804347417</v>
      </c>
      <c r="M726" s="398" cm="1">
        <f t="array" ref="M726">J726*INDEX(Berekening_impact[Totaal arbeidsbesparing (€/jaar)],MATCH(B726,IF(Berekening_impact[Doelgroep]=C726,Berekening_impact[Digitale zorgtoepassing]),0))</f>
        <v>9320944.8583564721</v>
      </c>
      <c r="N726" s="397" cm="1">
        <f t="array" ref="N726">J726*INDEX(Berekening_impact[Totaal arbeidsbesparing (FTE/jaar)],MATCH(B726,IF(Berekening_impact[Doelgroep]=C726,Berekening_impact[Digitale zorgtoepassing]),0))</f>
        <v>49.133652592368918</v>
      </c>
      <c r="O726" s="398" cm="1">
        <f t="array" ref="O726">J726*INDEX(Berekening_impact[Overige kostenbesparing (totaal/jaar totaal potentieel)],MATCH(B726,IF(Berekening_impact[Doelgroep]=C726,Berekening_impact[Digitale zorgtoepassing]),0))</f>
        <v>23161135.708643354</v>
      </c>
      <c r="P726" s="398" cm="1">
        <f t="array" ref="P726">J726*INDEX(Berekening_impact[Opbrengsten door QALY''s],MATCH(B726,IF(Berekening_impact[Doelgroep]=C726,Berekening_impact[Digitale zorgtoepassing]),0))</f>
        <v>7845913.1804347411</v>
      </c>
      <c r="Q726" s="398" cm="1">
        <f t="array" ref="Q726">J726*INDEX(Berekening_impact[Jaarlijkse kosten (totaal) - incl. schatting],MATCH(B726,IF(Berekening_impact[Doelgroep]=C726,Berekening_impact[Digitale zorgtoepassing]),0))</f>
        <v>3138365.2721738964</v>
      </c>
      <c r="R726" s="398" cm="1">
        <f t="array" ref="R726">(uitkomst_doelgroep[[#This Row],[Implementatiegraad t = T + 1]]-uitkomst_doelgroep[[#This Row],[Implementatiegraad t = T]])*INDEX(Berekening_impact[Initiële investering (totaal) - incl. schatting],MATCH(B726,IF(Berekening_impact[Doelgroep]=C726,Berekening_impact[Digitale zorgtoepassing]),0))</f>
        <v>0</v>
      </c>
      <c r="S726" s="398">
        <f>uitkomst_doelgroep[[#This Row],[Arbeidsbesparing (€)]]*uitkomst_doelgroep[[#This Row],[Percentage van patiëntaantallen in Wlz (overige is Zvw)]]</f>
        <v>0</v>
      </c>
      <c r="T726" s="398">
        <f>uitkomst_doelgroep[[#This Row],[Overige besparingen (€)]]*uitkomst_doelgroep[[#This Row],[Percentage van patiëntaantallen in Wlz (overige is Zvw)]]</f>
        <v>0</v>
      </c>
      <c r="U726" s="398">
        <f>uitkomst_doelgroep[[#This Row],[Kosten (€)]]*uitkomst_doelgroep[[#This Row],[Percentage van patiëntaantallen in Wlz (overige is Zvw)]]</f>
        <v>0</v>
      </c>
      <c r="V726" s="398">
        <f>uitkomst_doelgroep[[#This Row],[Investering (cash flow) (€)]]*uitkomst_doelgroep[[#This Row],[Percentage van patiëntaantallen in Wlz (overige is Zvw)]]</f>
        <v>0</v>
      </c>
    </row>
    <row r="727" spans="1:22" x14ac:dyDescent="0.5">
      <c r="A727" s="33" t="str">
        <f>INDEX(Technologieën[Veld],MATCH(B727,Technologieën[Digitale zorgtoepassing],0))</f>
        <v>Software - Behandeling</v>
      </c>
      <c r="B727" s="33" t="s">
        <v>609</v>
      </c>
      <c r="C727" s="33" t="s">
        <v>81</v>
      </c>
      <c r="D727" s="427" cm="1">
        <f t="array" ref="D727">INDEX(Berekening_patiëntaantal[Percentage van patiëntaantallen in Wlz (overige is Zvw)],MATCH(B727,IF(Berekening_patiëntaantal[Doelgroep (zoeksleutel)]=C727,Berekening_patiëntaantal[Digitale zorgtoepassing]),0))</f>
        <v>0</v>
      </c>
      <c r="E727" s="33" t="str" cm="1">
        <f t="array" ref="E727">INDEX(Berekening_patiëntaantal[Direct toepasbaar/extrapolatie/incidentie voor QALY],MATCH(B727,IF(Berekening_patiëntaantal[Doelgroep (zoeksleutel)]=C727,Berekening_patiëntaantal[Digitale zorgtoepassing]),0))</f>
        <v>Huidige toepassing</v>
      </c>
      <c r="F727" s="33" t="s">
        <v>813</v>
      </c>
      <c r="G727" s="33" t="str">
        <f>CONCATENATE(uitkomst_doelgroep[[#This Row],[Digitale zorgtoepassing]],"_",uitkomst_doelgroep[[#This Row],[Doelgroep]],"_",uitkomst_doelgroep[[#This Row],[Uitgangssituatie/effect beleid]])</f>
        <v>(Zelf)zorgplatform + telebegeleiding_IBD_Uitgangssituatie</v>
      </c>
      <c r="H727" s="33">
        <v>2030</v>
      </c>
      <c r="I727" s="32">
        <v>8</v>
      </c>
      <c r="J727" s="406" cm="1">
        <f t="array" ref="J727">INDEX(implementatie[[2023]:[2034]],MATCH(G727, implementatie[Zoeksleutel],0),I727)</f>
        <v>0.98972111126940987</v>
      </c>
      <c r="K727" s="406" cm="1">
        <f t="array" ref="K727">INDEX(implementatie[[2023]:[2034]],MATCH(G727,implementatie[Zoeksleutel],0),I727 + 1)</f>
        <v>0.99455603841734896</v>
      </c>
      <c r="L72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79177.688901552785</v>
      </c>
      <c r="M727" s="398" cm="1">
        <f t="array" ref="M727">J727*INDEX(Berekening_impact[Totaal arbeidsbesparing (€/jaar)],MATCH(B727,IF(Berekening_impact[Doelgroep]=C727,Berekening_impact[Digitale zorgtoepassing]),0))</f>
        <v>9406309.441504471</v>
      </c>
      <c r="N727" s="397" cm="1">
        <f t="array" ref="N727">J727*INDEX(Berekening_impact[Totaal arbeidsbesparing (FTE/jaar)],MATCH(B727,IF(Berekening_impact[Doelgroep]=C727,Berekening_impact[Digitale zorgtoepassing]),0))</f>
        <v>49.583636347859745</v>
      </c>
      <c r="O727" s="398" cm="1">
        <f t="array" ref="O727">J727*INDEX(Berekening_impact[Overige kostenbesparing (totaal/jaar totaal potentieel)],MATCH(B727,IF(Berekening_impact[Doelgroep]=C727,Berekening_impact[Digitale zorgtoepassing]),0))</f>
        <v>23373253.763738383</v>
      </c>
      <c r="P727" s="398" cm="1">
        <f t="array" ref="P727">J727*INDEX(Berekening_impact[Opbrengsten door QALY''s],MATCH(B727,IF(Berekening_impact[Doelgroep]=C727,Berekening_impact[Digitale zorgtoepassing]),0))</f>
        <v>7917768.8901552791</v>
      </c>
      <c r="Q727" s="398" cm="1">
        <f t="array" ref="Q727">J727*INDEX(Berekening_impact[Jaarlijkse kosten (totaal) - incl. schatting],MATCH(B727,IF(Berekening_impact[Doelgroep]=C727,Berekening_impact[Digitale zorgtoepassing]),0))</f>
        <v>3167107.5560621116</v>
      </c>
      <c r="R727" s="398" cm="1">
        <f t="array" ref="R727">(uitkomst_doelgroep[[#This Row],[Implementatiegraad t = T + 1]]-uitkomst_doelgroep[[#This Row],[Implementatiegraad t = T]])*INDEX(Berekening_impact[Initiële investering (totaal) - incl. schatting],MATCH(B727,IF(Berekening_impact[Doelgroep]=C727,Berekening_impact[Digitale zorgtoepassing]),0))</f>
        <v>0</v>
      </c>
      <c r="S727" s="398">
        <f>uitkomst_doelgroep[[#This Row],[Arbeidsbesparing (€)]]*uitkomst_doelgroep[[#This Row],[Percentage van patiëntaantallen in Wlz (overige is Zvw)]]</f>
        <v>0</v>
      </c>
      <c r="T727" s="398">
        <f>uitkomst_doelgroep[[#This Row],[Overige besparingen (€)]]*uitkomst_doelgroep[[#This Row],[Percentage van patiëntaantallen in Wlz (overige is Zvw)]]</f>
        <v>0</v>
      </c>
      <c r="U727" s="398">
        <f>uitkomst_doelgroep[[#This Row],[Kosten (€)]]*uitkomst_doelgroep[[#This Row],[Percentage van patiëntaantallen in Wlz (overige is Zvw)]]</f>
        <v>0</v>
      </c>
      <c r="V727" s="398">
        <f>uitkomst_doelgroep[[#This Row],[Investering (cash flow) (€)]]*uitkomst_doelgroep[[#This Row],[Percentage van patiëntaantallen in Wlz (overige is Zvw)]]</f>
        <v>0</v>
      </c>
    </row>
    <row r="728" spans="1:22" x14ac:dyDescent="0.5">
      <c r="A728" s="33" t="str">
        <f>INDEX(Technologieën[Veld],MATCH(B728,Technologieën[Digitale zorgtoepassing],0))</f>
        <v>Software - Behandeling</v>
      </c>
      <c r="B728" s="33" t="s">
        <v>609</v>
      </c>
      <c r="C728" s="33" t="s">
        <v>81</v>
      </c>
      <c r="D728" s="427" cm="1">
        <f t="array" ref="D728">INDEX(Berekening_patiëntaantal[Percentage van patiëntaantallen in Wlz (overige is Zvw)],MATCH(B728,IF(Berekening_patiëntaantal[Doelgroep (zoeksleutel)]=C728,Berekening_patiëntaantal[Digitale zorgtoepassing]),0))</f>
        <v>0</v>
      </c>
      <c r="E728" s="33" t="str" cm="1">
        <f t="array" ref="E728">INDEX(Berekening_patiëntaantal[Direct toepasbaar/extrapolatie/incidentie voor QALY],MATCH(B728,IF(Berekening_patiëntaantal[Doelgroep (zoeksleutel)]=C728,Berekening_patiëntaantal[Digitale zorgtoepassing]),0))</f>
        <v>Huidige toepassing</v>
      </c>
      <c r="F728" s="33" t="s">
        <v>813</v>
      </c>
      <c r="G728" s="33" t="str">
        <f>CONCATENATE(uitkomst_doelgroep[[#This Row],[Digitale zorgtoepassing]],"_",uitkomst_doelgroep[[#This Row],[Doelgroep]],"_",uitkomst_doelgroep[[#This Row],[Uitgangssituatie/effect beleid]])</f>
        <v>(Zelf)zorgplatform + telebegeleiding_IBD_Uitgangssituatie</v>
      </c>
      <c r="H728" s="33">
        <v>2031</v>
      </c>
      <c r="I728" s="32">
        <v>9</v>
      </c>
      <c r="J728" s="406" cm="1">
        <f t="array" ref="J728">INDEX(implementatie[[2023]:[2034]],MATCH(G728, implementatie[Zoeksleutel],0),I728)</f>
        <v>0.99455603841734896</v>
      </c>
      <c r="K728" s="406" cm="1">
        <f t="array" ref="K728">INDEX(implementatie[[2023]:[2034]],MATCH(G728,implementatie[Zoeksleutel],0),I728 + 1)</f>
        <v>0.9971285836461371</v>
      </c>
      <c r="L72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79564.483073387921</v>
      </c>
      <c r="M728" s="398" cm="1">
        <f t="array" ref="M728">J728*INDEX(Berekening_impact[Totaal arbeidsbesparing (€/jaar)],MATCH(B728,IF(Berekening_impact[Doelgroep]=C728,Berekening_impact[Digitale zorgtoepassing]),0))</f>
        <v>9452260.5891184844</v>
      </c>
      <c r="N728" s="397" cm="1">
        <f t="array" ref="N728">J728*INDEX(Berekening_impact[Totaal arbeidsbesparing (FTE/jaar)],MATCH(B728,IF(Berekening_impact[Doelgroep]=C728,Berekening_impact[Digitale zorgtoepassing]),0))</f>
        <v>49.82585940114425</v>
      </c>
      <c r="O728" s="398" cm="1">
        <f t="array" ref="O728">J728*INDEX(Berekening_impact[Overige kostenbesparing (totaal/jaar totaal potentieel)],MATCH(B728,IF(Berekening_impact[Doelgroep]=C728,Berekening_impact[Digitale zorgtoepassing]),0))</f>
        <v>23487435.403264113</v>
      </c>
      <c r="P728" s="398" cm="1">
        <f t="array" ref="P728">J728*INDEX(Berekening_impact[Opbrengsten door QALY''s],MATCH(B728,IF(Berekening_impact[Doelgroep]=C728,Berekening_impact[Digitale zorgtoepassing]),0))</f>
        <v>7956448.3073387919</v>
      </c>
      <c r="Q728" s="398" cm="1">
        <f t="array" ref="Q728">J728*INDEX(Berekening_impact[Jaarlijkse kosten (totaal) - incl. schatting],MATCH(B728,IF(Berekening_impact[Doelgroep]=C728,Berekening_impact[Digitale zorgtoepassing]),0))</f>
        <v>3182579.3229355165</v>
      </c>
      <c r="R728" s="398" cm="1">
        <f t="array" ref="R728">(uitkomst_doelgroep[[#This Row],[Implementatiegraad t = T + 1]]-uitkomst_doelgroep[[#This Row],[Implementatiegraad t = T]])*INDEX(Berekening_impact[Initiële investering (totaal) - incl. schatting],MATCH(B728,IF(Berekening_impact[Doelgroep]=C728,Berekening_impact[Digitale zorgtoepassing]),0))</f>
        <v>0</v>
      </c>
      <c r="S728" s="398">
        <f>uitkomst_doelgroep[[#This Row],[Arbeidsbesparing (€)]]*uitkomst_doelgroep[[#This Row],[Percentage van patiëntaantallen in Wlz (overige is Zvw)]]</f>
        <v>0</v>
      </c>
      <c r="T728" s="398">
        <f>uitkomst_doelgroep[[#This Row],[Overige besparingen (€)]]*uitkomst_doelgroep[[#This Row],[Percentage van patiëntaantallen in Wlz (overige is Zvw)]]</f>
        <v>0</v>
      </c>
      <c r="U728" s="398">
        <f>uitkomst_doelgroep[[#This Row],[Kosten (€)]]*uitkomst_doelgroep[[#This Row],[Percentage van patiëntaantallen in Wlz (overige is Zvw)]]</f>
        <v>0</v>
      </c>
      <c r="V728" s="398">
        <f>uitkomst_doelgroep[[#This Row],[Investering (cash flow) (€)]]*uitkomst_doelgroep[[#This Row],[Percentage van patiëntaantallen in Wlz (overige is Zvw)]]</f>
        <v>0</v>
      </c>
    </row>
    <row r="729" spans="1:22" x14ac:dyDescent="0.5">
      <c r="A729" s="33" t="str">
        <f>INDEX(Technologieën[Veld],MATCH(B729,Technologieën[Digitale zorgtoepassing],0))</f>
        <v>Software - Behandeling</v>
      </c>
      <c r="B729" s="33" t="s">
        <v>609</v>
      </c>
      <c r="C729" s="33" t="s">
        <v>81</v>
      </c>
      <c r="D729" s="427" cm="1">
        <f t="array" ref="D729">INDEX(Berekening_patiëntaantal[Percentage van patiëntaantallen in Wlz (overige is Zvw)],MATCH(B729,IF(Berekening_patiëntaantal[Doelgroep (zoeksleutel)]=C729,Berekening_patiëntaantal[Digitale zorgtoepassing]),0))</f>
        <v>0</v>
      </c>
      <c r="E729" s="33" t="str" cm="1">
        <f t="array" ref="E729">INDEX(Berekening_patiëntaantal[Direct toepasbaar/extrapolatie/incidentie voor QALY],MATCH(B729,IF(Berekening_patiëntaantal[Doelgroep (zoeksleutel)]=C729,Berekening_patiëntaantal[Digitale zorgtoepassing]),0))</f>
        <v>Huidige toepassing</v>
      </c>
      <c r="F729" s="33" t="s">
        <v>813</v>
      </c>
      <c r="G729" s="33" t="str">
        <f>CONCATENATE(uitkomst_doelgroep[[#This Row],[Digitale zorgtoepassing]],"_",uitkomst_doelgroep[[#This Row],[Doelgroep]],"_",uitkomst_doelgroep[[#This Row],[Uitgangssituatie/effect beleid]])</f>
        <v>(Zelf)zorgplatform + telebegeleiding_IBD_Uitgangssituatie</v>
      </c>
      <c r="H729" s="33">
        <v>2032</v>
      </c>
      <c r="I729" s="32">
        <v>10</v>
      </c>
      <c r="J729" s="406" cm="1">
        <f t="array" ref="J729">INDEX(implementatie[[2023]:[2034]],MATCH(G729, implementatie[Zoeksleutel],0),I729)</f>
        <v>0.9971285836461371</v>
      </c>
      <c r="K729" s="406" cm="1">
        <f t="array" ref="K729">INDEX(implementatie[[2023]:[2034]],MATCH(G729,implementatie[Zoeksleutel],0),I729 + 1)</f>
        <v>0.99848879614987718</v>
      </c>
      <c r="L72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79770.28669169097</v>
      </c>
      <c r="M729" s="398" cm="1">
        <f t="array" ref="M729">J729*INDEX(Berekening_impact[Totaal arbeidsbesparing (€/jaar)],MATCH(B729,IF(Berekening_impact[Doelgroep]=C729,Berekening_impact[Digitale zorgtoepassing]),0))</f>
        <v>9476710.0589728877</v>
      </c>
      <c r="N729" s="397" cm="1">
        <f t="array" ref="N729">J729*INDEX(Berekening_impact[Totaal arbeidsbesparing (FTE/jaar)],MATCH(B729,IF(Berekening_impact[Doelgroep]=C729,Berekening_impact[Digitale zorgtoepassing]),0))</f>
        <v>49.954740300682758</v>
      </c>
      <c r="O729" s="398" cm="1">
        <f t="array" ref="O729">J729*INDEX(Berekening_impact[Overige kostenbesparing (totaal/jaar totaal potentieel)],MATCH(B729,IF(Berekening_impact[Doelgroep]=C729,Berekening_impact[Digitale zorgtoepassing]),0))</f>
        <v>23548188.631387174</v>
      </c>
      <c r="P729" s="398" cm="1">
        <f t="array" ref="P729">J729*INDEX(Berekening_impact[Opbrengsten door QALY''s],MATCH(B729,IF(Berekening_impact[Doelgroep]=C729,Berekening_impact[Digitale zorgtoepassing]),0))</f>
        <v>7977028.6691690972</v>
      </c>
      <c r="Q729" s="398" cm="1">
        <f t="array" ref="Q729">J729*INDEX(Berekening_impact[Jaarlijkse kosten (totaal) - incl. schatting],MATCH(B729,IF(Berekening_impact[Doelgroep]=C729,Berekening_impact[Digitale zorgtoepassing]),0))</f>
        <v>3190811.4676676388</v>
      </c>
      <c r="R729" s="398" cm="1">
        <f t="array" ref="R729">(uitkomst_doelgroep[[#This Row],[Implementatiegraad t = T + 1]]-uitkomst_doelgroep[[#This Row],[Implementatiegraad t = T]])*INDEX(Berekening_impact[Initiële investering (totaal) - incl. schatting],MATCH(B729,IF(Berekening_impact[Doelgroep]=C729,Berekening_impact[Digitale zorgtoepassing]),0))</f>
        <v>0</v>
      </c>
      <c r="S729" s="398">
        <f>uitkomst_doelgroep[[#This Row],[Arbeidsbesparing (€)]]*uitkomst_doelgroep[[#This Row],[Percentage van patiëntaantallen in Wlz (overige is Zvw)]]</f>
        <v>0</v>
      </c>
      <c r="T729" s="398">
        <f>uitkomst_doelgroep[[#This Row],[Overige besparingen (€)]]*uitkomst_doelgroep[[#This Row],[Percentage van patiëntaantallen in Wlz (overige is Zvw)]]</f>
        <v>0</v>
      </c>
      <c r="U729" s="398">
        <f>uitkomst_doelgroep[[#This Row],[Kosten (€)]]*uitkomst_doelgroep[[#This Row],[Percentage van patiëntaantallen in Wlz (overige is Zvw)]]</f>
        <v>0</v>
      </c>
      <c r="V729" s="398">
        <f>uitkomst_doelgroep[[#This Row],[Investering (cash flow) (€)]]*uitkomst_doelgroep[[#This Row],[Percentage van patiëntaantallen in Wlz (overige is Zvw)]]</f>
        <v>0</v>
      </c>
    </row>
    <row r="730" spans="1:22" x14ac:dyDescent="0.5">
      <c r="A730" s="33" t="str">
        <f>INDEX(Technologieën[Veld],MATCH(B730,Technologieën[Digitale zorgtoepassing],0))</f>
        <v>Software - Behandeling</v>
      </c>
      <c r="B730" s="33" t="s">
        <v>609</v>
      </c>
      <c r="C730" s="33" t="s">
        <v>81</v>
      </c>
      <c r="D730" s="427" cm="1">
        <f t="array" ref="D730">INDEX(Berekening_patiëntaantal[Percentage van patiëntaantallen in Wlz (overige is Zvw)],MATCH(B730,IF(Berekening_patiëntaantal[Doelgroep (zoeksleutel)]=C730,Berekening_patiëntaantal[Digitale zorgtoepassing]),0))</f>
        <v>0</v>
      </c>
      <c r="E730" s="33" t="str" cm="1">
        <f t="array" ref="E730">INDEX(Berekening_patiëntaantal[Direct toepasbaar/extrapolatie/incidentie voor QALY],MATCH(B730,IF(Berekening_patiëntaantal[Doelgroep (zoeksleutel)]=C730,Berekening_patiëntaantal[Digitale zorgtoepassing]),0))</f>
        <v>Huidige toepassing</v>
      </c>
      <c r="F730" s="33" t="s">
        <v>813</v>
      </c>
      <c r="G730" s="33" t="str">
        <f>CONCATENATE(uitkomst_doelgroep[[#This Row],[Digitale zorgtoepassing]],"_",uitkomst_doelgroep[[#This Row],[Doelgroep]],"_",uitkomst_doelgroep[[#This Row],[Uitgangssituatie/effect beleid]])</f>
        <v>(Zelf)zorgplatform + telebegeleiding_IBD_Uitgangssituatie</v>
      </c>
      <c r="H730" s="33">
        <v>2033</v>
      </c>
      <c r="I730" s="32">
        <v>11</v>
      </c>
      <c r="J730" s="406" cm="1">
        <f t="array" ref="J730">INDEX(implementatie[[2023]:[2034]],MATCH(G730, implementatie[Zoeksleutel],0),I730)</f>
        <v>0.99848879614987718</v>
      </c>
      <c r="K730" s="406" cm="1">
        <f t="array" ref="K730">INDEX(implementatie[[2023]:[2034]],MATCH(G730,implementatie[Zoeksleutel],0),I730 + 1)</f>
        <v>0.99920559029700107</v>
      </c>
      <c r="L73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79879.103691990167</v>
      </c>
      <c r="M730" s="398" cm="1">
        <f t="array" ref="M730">J730*INDEX(Berekening_impact[Totaal arbeidsbesparing (€/jaar)],MATCH(B730,IF(Berekening_impact[Doelgroep]=C730,Berekening_impact[Digitale zorgtoepassing]),0))</f>
        <v>9489637.5186084323</v>
      </c>
      <c r="N730" s="397" cm="1">
        <f t="array" ref="N730">J730*INDEX(Berekening_impact[Totaal arbeidsbesparing (FTE/jaar)],MATCH(B730,IF(Berekening_impact[Doelgroep]=C730,Berekening_impact[Digitale zorgtoepassing]),0))</f>
        <v>50.022885034965284</v>
      </c>
      <c r="O730" s="398" cm="1">
        <f t="array" ref="O730">J730*INDEX(Berekening_impact[Overige kostenbesparing (totaal/jaar totaal potentieel)],MATCH(B730,IF(Berekening_impact[Doelgroep]=C730,Berekening_impact[Digitale zorgtoepassing]),0))</f>
        <v>23580311.409875501</v>
      </c>
      <c r="P730" s="398" cm="1">
        <f t="array" ref="P730">J730*INDEX(Berekening_impact[Opbrengsten door QALY''s],MATCH(B730,IF(Berekening_impact[Doelgroep]=C730,Berekening_impact[Digitale zorgtoepassing]),0))</f>
        <v>7987910.3691990171</v>
      </c>
      <c r="Q730" s="398" cm="1">
        <f t="array" ref="Q730">J730*INDEX(Berekening_impact[Jaarlijkse kosten (totaal) - incl. schatting],MATCH(B730,IF(Berekening_impact[Doelgroep]=C730,Berekening_impact[Digitale zorgtoepassing]),0))</f>
        <v>3195164.1476796069</v>
      </c>
      <c r="R730" s="398" cm="1">
        <f t="array" ref="R730">(uitkomst_doelgroep[[#This Row],[Implementatiegraad t = T + 1]]-uitkomst_doelgroep[[#This Row],[Implementatiegraad t = T]])*INDEX(Berekening_impact[Initiële investering (totaal) - incl. schatting],MATCH(B730,IF(Berekening_impact[Doelgroep]=C730,Berekening_impact[Digitale zorgtoepassing]),0))</f>
        <v>0</v>
      </c>
      <c r="S730" s="398">
        <f>uitkomst_doelgroep[[#This Row],[Arbeidsbesparing (€)]]*uitkomst_doelgroep[[#This Row],[Percentage van patiëntaantallen in Wlz (overige is Zvw)]]</f>
        <v>0</v>
      </c>
      <c r="T730" s="398">
        <f>uitkomst_doelgroep[[#This Row],[Overige besparingen (€)]]*uitkomst_doelgroep[[#This Row],[Percentage van patiëntaantallen in Wlz (overige is Zvw)]]</f>
        <v>0</v>
      </c>
      <c r="U730" s="398">
        <f>uitkomst_doelgroep[[#This Row],[Kosten (€)]]*uitkomst_doelgroep[[#This Row],[Percentage van patiëntaantallen in Wlz (overige is Zvw)]]</f>
        <v>0</v>
      </c>
      <c r="V730" s="398">
        <f>uitkomst_doelgroep[[#This Row],[Investering (cash flow) (€)]]*uitkomst_doelgroep[[#This Row],[Percentage van patiëntaantallen in Wlz (overige is Zvw)]]</f>
        <v>0</v>
      </c>
    </row>
    <row r="731" spans="1:22" x14ac:dyDescent="0.5">
      <c r="A731" s="33" t="str">
        <f>INDEX(Technologieën[Veld],MATCH(B731,Technologieën[Digitale zorgtoepassing],0))</f>
        <v>Software - Behandeling</v>
      </c>
      <c r="B731" s="33" t="s">
        <v>588</v>
      </c>
      <c r="C731" s="33" t="s">
        <v>104</v>
      </c>
      <c r="D731" s="427" cm="1">
        <f t="array" ref="D731">INDEX(Berekening_patiëntaantal[Percentage van patiëntaantallen in Wlz (overige is Zvw)],MATCH(B731,IF(Berekening_patiëntaantal[Doelgroep (zoeksleutel)]=C731,Berekening_patiëntaantal[Digitale zorgtoepassing]),0))</f>
        <v>0</v>
      </c>
      <c r="E731" s="33" t="str" cm="1">
        <f t="array" ref="E731">INDEX(Berekening_patiëntaantal[Direct toepasbaar/extrapolatie/incidentie voor QALY],MATCH(B731,IF(Berekening_patiëntaantal[Doelgroep (zoeksleutel)]=C731,Berekening_patiëntaantal[Digitale zorgtoepassing]),0))</f>
        <v>Huidige toepassing</v>
      </c>
      <c r="F731" s="33" t="s">
        <v>813</v>
      </c>
      <c r="G731" s="33" t="str">
        <f>CONCATENATE(uitkomst_doelgroep[[#This Row],[Digitale zorgtoepassing]],"_",uitkomst_doelgroep[[#This Row],[Doelgroep]],"_",uitkomst_doelgroep[[#This Row],[Uitgangssituatie/effect beleid]])</f>
        <v>Digitale zorg logopedie_Afasie_Uitgangssituatie</v>
      </c>
      <c r="H731" s="33">
        <v>2023</v>
      </c>
      <c r="I731" s="32">
        <v>1</v>
      </c>
      <c r="J731" s="406" cm="1">
        <f t="array" ref="J731">INDEX(implementatie[[2023]:[2034]],MATCH(G731, implementatie[Zoeksleutel],0),I731)</f>
        <v>0.2</v>
      </c>
      <c r="K731" s="406" cm="1">
        <f t="array" ref="K731">INDEX(implementatie[[2023]:[2034]],MATCH(G731,implementatie[Zoeksleutel],0),I731 + 1)</f>
        <v>0.26800000000000002</v>
      </c>
      <c r="L73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1600</v>
      </c>
      <c r="M731" s="398" cm="1">
        <f t="array" ref="M731">J731*INDEX(Berekening_impact[Totaal arbeidsbesparing (€/jaar)],MATCH(B731,IF(Berekening_impact[Doelgroep]=C731,Berekening_impact[Digitale zorgtoepassing]),0))</f>
        <v>1719765.5172413797</v>
      </c>
      <c r="N731" s="397" cm="1">
        <f t="array" ref="N731">J731*INDEX(Berekening_impact[Totaal arbeidsbesparing (FTE/jaar)],MATCH(B731,IF(Berekening_impact[Doelgroep]=C731,Berekening_impact[Digitale zorgtoepassing]),0))</f>
        <v>40</v>
      </c>
      <c r="O731" s="398" cm="1">
        <f t="array" ref="O731">J731*INDEX(Berekening_impact[Overige kostenbesparing (totaal/jaar totaal potentieel)],MATCH(B731,IF(Berekening_impact[Doelgroep]=C731,Berekening_impact[Digitale zorgtoepassing]),0))</f>
        <v>0</v>
      </c>
      <c r="P731" s="398" cm="1">
        <f t="array" ref="P731">J731*INDEX(Berekening_impact[Opbrengsten door QALY''s],MATCH(B731,IF(Berekening_impact[Doelgroep]=C731,Berekening_impact[Digitale zorgtoepassing]),0))</f>
        <v>0</v>
      </c>
      <c r="Q731" s="398" cm="1">
        <f t="array" ref="Q731">J731*INDEX(Berekening_impact[Jaarlijkse kosten (totaal) - incl. schatting],MATCH(B731,IF(Berekening_impact[Doelgroep]=C731,Berekening_impact[Digitale zorgtoepassing]),0))</f>
        <v>224000.136</v>
      </c>
      <c r="R731" s="398" cm="1">
        <f t="array" ref="R731">(uitkomst_doelgroep[[#This Row],[Implementatiegraad t = T + 1]]-uitkomst_doelgroep[[#This Row],[Implementatiegraad t = T]])*INDEX(Berekening_impact[Initiële investering (totaal) - incl. schatting],MATCH(B731,IF(Berekening_impact[Doelgroep]=C731,Berekening_impact[Digitale zorgtoepassing]),0))</f>
        <v>0</v>
      </c>
      <c r="S731" s="398">
        <f>uitkomst_doelgroep[[#This Row],[Arbeidsbesparing (€)]]*uitkomst_doelgroep[[#This Row],[Percentage van patiëntaantallen in Wlz (overige is Zvw)]]</f>
        <v>0</v>
      </c>
      <c r="T731" s="398">
        <f>uitkomst_doelgroep[[#This Row],[Overige besparingen (€)]]*uitkomst_doelgroep[[#This Row],[Percentage van patiëntaantallen in Wlz (overige is Zvw)]]</f>
        <v>0</v>
      </c>
      <c r="U731" s="398">
        <f>uitkomst_doelgroep[[#This Row],[Kosten (€)]]*uitkomst_doelgroep[[#This Row],[Percentage van patiëntaantallen in Wlz (overige is Zvw)]]</f>
        <v>0</v>
      </c>
      <c r="V731" s="398">
        <f>uitkomst_doelgroep[[#This Row],[Investering (cash flow) (€)]]*uitkomst_doelgroep[[#This Row],[Percentage van patiëntaantallen in Wlz (overige is Zvw)]]</f>
        <v>0</v>
      </c>
    </row>
    <row r="732" spans="1:22" x14ac:dyDescent="0.5">
      <c r="A732" s="33" t="str">
        <f>INDEX(Technologieën[Veld],MATCH(B732,Technologieën[Digitale zorgtoepassing],0))</f>
        <v>Software - Behandeling</v>
      </c>
      <c r="B732" s="33" t="s">
        <v>588</v>
      </c>
      <c r="C732" s="33" t="s">
        <v>104</v>
      </c>
      <c r="D732" s="427" cm="1">
        <f t="array" ref="D732">INDEX(Berekening_patiëntaantal[Percentage van patiëntaantallen in Wlz (overige is Zvw)],MATCH(B732,IF(Berekening_patiëntaantal[Doelgroep (zoeksleutel)]=C732,Berekening_patiëntaantal[Digitale zorgtoepassing]),0))</f>
        <v>0</v>
      </c>
      <c r="E732" s="33" t="str" cm="1">
        <f t="array" ref="E732">INDEX(Berekening_patiëntaantal[Direct toepasbaar/extrapolatie/incidentie voor QALY],MATCH(B732,IF(Berekening_patiëntaantal[Doelgroep (zoeksleutel)]=C732,Berekening_patiëntaantal[Digitale zorgtoepassing]),0))</f>
        <v>Huidige toepassing</v>
      </c>
      <c r="F732" s="33" t="s">
        <v>813</v>
      </c>
      <c r="G732" s="33" t="str">
        <f>CONCATENATE(uitkomst_doelgroep[[#This Row],[Digitale zorgtoepassing]],"_",uitkomst_doelgroep[[#This Row],[Doelgroep]],"_",uitkomst_doelgroep[[#This Row],[Uitgangssituatie/effect beleid]])</f>
        <v>Digitale zorg logopedie_Afasie_Uitgangssituatie</v>
      </c>
      <c r="H732" s="33">
        <v>2024</v>
      </c>
      <c r="I732" s="32">
        <v>2</v>
      </c>
      <c r="J732" s="406" cm="1">
        <f t="array" ref="J732">INDEX(implementatie[[2023]:[2034]],MATCH(G732, implementatie[Zoeksleutel],0),I732)</f>
        <v>0.26800000000000002</v>
      </c>
      <c r="K732" s="406" cm="1">
        <f t="array" ref="K732">INDEX(implementatie[[2023]:[2034]],MATCH(G732,implementatie[Zoeksleutel],0),I732 + 1)</f>
        <v>0.3476416</v>
      </c>
      <c r="L73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2144</v>
      </c>
      <c r="M732" s="398" cm="1">
        <f t="array" ref="M732">J732*INDEX(Berekening_impact[Totaal arbeidsbesparing (€/jaar)],MATCH(B732,IF(Berekening_impact[Doelgroep]=C732,Berekening_impact[Digitale zorgtoepassing]),0))</f>
        <v>2304485.793103449</v>
      </c>
      <c r="N732" s="397" cm="1">
        <f t="array" ref="N732">J732*INDEX(Berekening_impact[Totaal arbeidsbesparing (FTE/jaar)],MATCH(B732,IF(Berekening_impact[Doelgroep]=C732,Berekening_impact[Digitale zorgtoepassing]),0))</f>
        <v>53.6</v>
      </c>
      <c r="O732" s="398" cm="1">
        <f t="array" ref="O732">J732*INDEX(Berekening_impact[Overige kostenbesparing (totaal/jaar totaal potentieel)],MATCH(B732,IF(Berekening_impact[Doelgroep]=C732,Berekening_impact[Digitale zorgtoepassing]),0))</f>
        <v>0</v>
      </c>
      <c r="P732" s="398" cm="1">
        <f t="array" ref="P732">J732*INDEX(Berekening_impact[Opbrengsten door QALY''s],MATCH(B732,IF(Berekening_impact[Doelgroep]=C732,Berekening_impact[Digitale zorgtoepassing]),0))</f>
        <v>0</v>
      </c>
      <c r="Q732" s="398" cm="1">
        <f t="array" ref="Q732">J732*INDEX(Berekening_impact[Jaarlijkse kosten (totaal) - incl. schatting],MATCH(B732,IF(Berekening_impact[Doelgroep]=C732,Berekening_impact[Digitale zorgtoepassing]),0))</f>
        <v>300160.18223999999</v>
      </c>
      <c r="R732" s="398" cm="1">
        <f t="array" ref="R732">(uitkomst_doelgroep[[#This Row],[Implementatiegraad t = T + 1]]-uitkomst_doelgroep[[#This Row],[Implementatiegraad t = T]])*INDEX(Berekening_impact[Initiële investering (totaal) - incl. schatting],MATCH(B732,IF(Berekening_impact[Doelgroep]=C732,Berekening_impact[Digitale zorgtoepassing]),0))</f>
        <v>0</v>
      </c>
      <c r="S732" s="398">
        <f>uitkomst_doelgroep[[#This Row],[Arbeidsbesparing (€)]]*uitkomst_doelgroep[[#This Row],[Percentage van patiëntaantallen in Wlz (overige is Zvw)]]</f>
        <v>0</v>
      </c>
      <c r="T732" s="398">
        <f>uitkomst_doelgroep[[#This Row],[Overige besparingen (€)]]*uitkomst_doelgroep[[#This Row],[Percentage van patiëntaantallen in Wlz (overige is Zvw)]]</f>
        <v>0</v>
      </c>
      <c r="U732" s="398">
        <f>uitkomst_doelgroep[[#This Row],[Kosten (€)]]*uitkomst_doelgroep[[#This Row],[Percentage van patiëntaantallen in Wlz (overige is Zvw)]]</f>
        <v>0</v>
      </c>
      <c r="V732" s="398">
        <f>uitkomst_doelgroep[[#This Row],[Investering (cash flow) (€)]]*uitkomst_doelgroep[[#This Row],[Percentage van patiëntaantallen in Wlz (overige is Zvw)]]</f>
        <v>0</v>
      </c>
    </row>
    <row r="733" spans="1:22" x14ac:dyDescent="0.5">
      <c r="A733" s="33" t="str">
        <f>INDEX(Technologieën[Veld],MATCH(B733,Technologieën[Digitale zorgtoepassing],0))</f>
        <v>Software - Behandeling</v>
      </c>
      <c r="B733" s="33" t="s">
        <v>588</v>
      </c>
      <c r="C733" s="33" t="s">
        <v>104</v>
      </c>
      <c r="D733" s="427" cm="1">
        <f t="array" ref="D733">INDEX(Berekening_patiëntaantal[Percentage van patiëntaantallen in Wlz (overige is Zvw)],MATCH(B733,IF(Berekening_patiëntaantal[Doelgroep (zoeksleutel)]=C733,Berekening_patiëntaantal[Digitale zorgtoepassing]),0))</f>
        <v>0</v>
      </c>
      <c r="E733" s="33" t="str" cm="1">
        <f t="array" ref="E733">INDEX(Berekening_patiëntaantal[Direct toepasbaar/extrapolatie/incidentie voor QALY],MATCH(B733,IF(Berekening_patiëntaantal[Doelgroep (zoeksleutel)]=C733,Berekening_patiëntaantal[Digitale zorgtoepassing]),0))</f>
        <v>Huidige toepassing</v>
      </c>
      <c r="F733" s="33" t="s">
        <v>813</v>
      </c>
      <c r="G733" s="33" t="str">
        <f>CONCATENATE(uitkomst_doelgroep[[#This Row],[Digitale zorgtoepassing]],"_",uitkomst_doelgroep[[#This Row],[Doelgroep]],"_",uitkomst_doelgroep[[#This Row],[Uitgangssituatie/effect beleid]])</f>
        <v>Digitale zorg logopedie_Afasie_Uitgangssituatie</v>
      </c>
      <c r="H733" s="33">
        <v>2025</v>
      </c>
      <c r="I733" s="32">
        <v>3</v>
      </c>
      <c r="J733" s="406" cm="1">
        <f t="array" ref="J733">INDEX(implementatie[[2023]:[2034]],MATCH(G733, implementatie[Zoeksleutel],0),I733)</f>
        <v>0.3476416</v>
      </c>
      <c r="K733" s="406" cm="1">
        <f t="array" ref="K733">INDEX(implementatie[[2023]:[2034]],MATCH(G733,implementatie[Zoeksleutel],0),I733 + 1)</f>
        <v>0.43680239728230397</v>
      </c>
      <c r="L73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2781.1327999999999</v>
      </c>
      <c r="M733" s="398" cm="1">
        <f t="array" ref="M733">J733*INDEX(Berekening_impact[Totaal arbeidsbesparing (€/jaar)],MATCH(B733,IF(Berekening_impact[Doelgroep]=C733,Berekening_impact[Digitale zorgtoepassing]),0))</f>
        <v>2989310.1801931038</v>
      </c>
      <c r="N733" s="397" cm="1">
        <f t="array" ref="N733">J733*INDEX(Berekening_impact[Totaal arbeidsbesparing (FTE/jaar)],MATCH(B733,IF(Berekening_impact[Doelgroep]=C733,Berekening_impact[Digitale zorgtoepassing]),0))</f>
        <v>69.528319999999994</v>
      </c>
      <c r="O733" s="398" cm="1">
        <f t="array" ref="O733">J733*INDEX(Berekening_impact[Overige kostenbesparing (totaal/jaar totaal potentieel)],MATCH(B733,IF(Berekening_impact[Doelgroep]=C733,Berekening_impact[Digitale zorgtoepassing]),0))</f>
        <v>0</v>
      </c>
      <c r="P733" s="398" cm="1">
        <f t="array" ref="P733">J733*INDEX(Berekening_impact[Opbrengsten door QALY''s],MATCH(B733,IF(Berekening_impact[Doelgroep]=C733,Berekening_impact[Digitale zorgtoepassing]),0))</f>
        <v>0</v>
      </c>
      <c r="Q733" s="398" cm="1">
        <f t="array" ref="Q733">J733*INDEX(Berekening_impact[Jaarlijkse kosten (totaal) - incl. schatting],MATCH(B733,IF(Berekening_impact[Doelgroep]=C733,Berekening_impact[Digitale zorgtoepassing]),0))</f>
        <v>389358.82839628798</v>
      </c>
      <c r="R733" s="398" cm="1">
        <f t="array" ref="R733">(uitkomst_doelgroep[[#This Row],[Implementatiegraad t = T + 1]]-uitkomst_doelgroep[[#This Row],[Implementatiegraad t = T]])*INDEX(Berekening_impact[Initiële investering (totaal) - incl. schatting],MATCH(B733,IF(Berekening_impact[Doelgroep]=C733,Berekening_impact[Digitale zorgtoepassing]),0))</f>
        <v>0</v>
      </c>
      <c r="S733" s="398">
        <f>uitkomst_doelgroep[[#This Row],[Arbeidsbesparing (€)]]*uitkomst_doelgroep[[#This Row],[Percentage van patiëntaantallen in Wlz (overige is Zvw)]]</f>
        <v>0</v>
      </c>
      <c r="T733" s="398">
        <f>uitkomst_doelgroep[[#This Row],[Overige besparingen (€)]]*uitkomst_doelgroep[[#This Row],[Percentage van patiëntaantallen in Wlz (overige is Zvw)]]</f>
        <v>0</v>
      </c>
      <c r="U733" s="398">
        <f>uitkomst_doelgroep[[#This Row],[Kosten (€)]]*uitkomst_doelgroep[[#This Row],[Percentage van patiëntaantallen in Wlz (overige is Zvw)]]</f>
        <v>0</v>
      </c>
      <c r="V733" s="398">
        <f>uitkomst_doelgroep[[#This Row],[Investering (cash flow) (€)]]*uitkomst_doelgroep[[#This Row],[Percentage van patiëntaantallen in Wlz (overige is Zvw)]]</f>
        <v>0</v>
      </c>
    </row>
    <row r="734" spans="1:22" x14ac:dyDescent="0.5">
      <c r="A734" s="33" t="str">
        <f>INDEX(Technologieën[Veld],MATCH(B734,Technologieën[Digitale zorgtoepassing],0))</f>
        <v>Software - Behandeling</v>
      </c>
      <c r="B734" s="33" t="s">
        <v>588</v>
      </c>
      <c r="C734" s="33" t="s">
        <v>104</v>
      </c>
      <c r="D734" s="427" cm="1">
        <f t="array" ref="D734">INDEX(Berekening_patiëntaantal[Percentage van patiëntaantallen in Wlz (overige is Zvw)],MATCH(B734,IF(Berekening_patiëntaantal[Doelgroep (zoeksleutel)]=C734,Berekening_patiëntaantal[Digitale zorgtoepassing]),0))</f>
        <v>0</v>
      </c>
      <c r="E734" s="33" t="str" cm="1">
        <f t="array" ref="E734">INDEX(Berekening_patiëntaantal[Direct toepasbaar/extrapolatie/incidentie voor QALY],MATCH(B734,IF(Berekening_patiëntaantal[Doelgroep (zoeksleutel)]=C734,Berekening_patiëntaantal[Digitale zorgtoepassing]),0))</f>
        <v>Huidige toepassing</v>
      </c>
      <c r="F734" s="33" t="s">
        <v>813</v>
      </c>
      <c r="G734" s="33" t="str">
        <f>CONCATENATE(uitkomst_doelgroep[[#This Row],[Digitale zorgtoepassing]],"_",uitkomst_doelgroep[[#This Row],[Doelgroep]],"_",uitkomst_doelgroep[[#This Row],[Uitgangssituatie/effect beleid]])</f>
        <v>Digitale zorg logopedie_Afasie_Uitgangssituatie</v>
      </c>
      <c r="H734" s="33">
        <v>2026</v>
      </c>
      <c r="I734" s="32">
        <v>4</v>
      </c>
      <c r="J734" s="406" cm="1">
        <f t="array" ref="J734">INDEX(implementatie[[2023]:[2034]],MATCH(G734, implementatie[Zoeksleutel],0),I734)</f>
        <v>0.43680239728230397</v>
      </c>
      <c r="K734" s="406" cm="1">
        <f t="array" ref="K734">INDEX(implementatie[[2023]:[2034]],MATCH(G734,implementatie[Zoeksleutel],0),I734 + 1)</f>
        <v>0.53135248337682706</v>
      </c>
      <c r="L73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3494.4191782584317</v>
      </c>
      <c r="M734" s="398" cm="1">
        <f t="array" ref="M734">J734*INDEX(Berekening_impact[Totaal arbeidsbesparing (€/jaar)],MATCH(B734,IF(Berekening_impact[Doelgroep]=C734,Berekening_impact[Digitale zorgtoepassing]),0))</f>
        <v>3755988.5034723803</v>
      </c>
      <c r="N734" s="397" cm="1">
        <f t="array" ref="N734">J734*INDEX(Berekening_impact[Totaal arbeidsbesparing (FTE/jaar)],MATCH(B734,IF(Berekening_impact[Doelgroep]=C734,Berekening_impact[Digitale zorgtoepassing]),0))</f>
        <v>87.360479456460794</v>
      </c>
      <c r="O734" s="398" cm="1">
        <f t="array" ref="O734">J734*INDEX(Berekening_impact[Overige kostenbesparing (totaal/jaar totaal potentieel)],MATCH(B734,IF(Berekening_impact[Doelgroep]=C734,Berekening_impact[Digitale zorgtoepassing]),0))</f>
        <v>0</v>
      </c>
      <c r="P734" s="398" cm="1">
        <f t="array" ref="P734">J734*INDEX(Berekening_impact[Opbrengsten door QALY''s],MATCH(B734,IF(Berekening_impact[Doelgroep]=C734,Berekening_impact[Digitale zorgtoepassing]),0))</f>
        <v>0</v>
      </c>
      <c r="Q734" s="398" cm="1">
        <f t="array" ref="Q734">J734*INDEX(Berekening_impact[Jaarlijkse kosten (totaal) - incl. schatting],MATCH(B734,IF(Berekening_impact[Doelgroep]=C734,Berekening_impact[Digitale zorgtoepassing]),0))</f>
        <v>489218.98198181059</v>
      </c>
      <c r="R734" s="398" cm="1">
        <f t="array" ref="R734">(uitkomst_doelgroep[[#This Row],[Implementatiegraad t = T + 1]]-uitkomst_doelgroep[[#This Row],[Implementatiegraad t = T]])*INDEX(Berekening_impact[Initiële investering (totaal) - incl. schatting],MATCH(B734,IF(Berekening_impact[Doelgroep]=C734,Berekening_impact[Digitale zorgtoepassing]),0))</f>
        <v>0</v>
      </c>
      <c r="S734" s="398">
        <f>uitkomst_doelgroep[[#This Row],[Arbeidsbesparing (€)]]*uitkomst_doelgroep[[#This Row],[Percentage van patiëntaantallen in Wlz (overige is Zvw)]]</f>
        <v>0</v>
      </c>
      <c r="T734" s="398">
        <f>uitkomst_doelgroep[[#This Row],[Overige besparingen (€)]]*uitkomst_doelgroep[[#This Row],[Percentage van patiëntaantallen in Wlz (overige is Zvw)]]</f>
        <v>0</v>
      </c>
      <c r="U734" s="398">
        <f>uitkomst_doelgroep[[#This Row],[Kosten (€)]]*uitkomst_doelgroep[[#This Row],[Percentage van patiëntaantallen in Wlz (overige is Zvw)]]</f>
        <v>0</v>
      </c>
      <c r="V734" s="398">
        <f>uitkomst_doelgroep[[#This Row],[Investering (cash flow) (€)]]*uitkomst_doelgroep[[#This Row],[Percentage van patiëntaantallen in Wlz (overige is Zvw)]]</f>
        <v>0</v>
      </c>
    </row>
    <row r="735" spans="1:22" x14ac:dyDescent="0.5">
      <c r="A735" s="33" t="str">
        <f>INDEX(Technologieën[Veld],MATCH(B735,Technologieën[Digitale zorgtoepassing],0))</f>
        <v>Software - Behandeling</v>
      </c>
      <c r="B735" s="33" t="s">
        <v>588</v>
      </c>
      <c r="C735" s="33" t="s">
        <v>104</v>
      </c>
      <c r="D735" s="427" cm="1">
        <f t="array" ref="D735">INDEX(Berekening_patiëntaantal[Percentage van patiëntaantallen in Wlz (overige is Zvw)],MATCH(B735,IF(Berekening_patiëntaantal[Doelgroep (zoeksleutel)]=C735,Berekening_patiëntaantal[Digitale zorgtoepassing]),0))</f>
        <v>0</v>
      </c>
      <c r="E735" s="33" t="str" cm="1">
        <f t="array" ref="E735">INDEX(Berekening_patiëntaantal[Direct toepasbaar/extrapolatie/incidentie voor QALY],MATCH(B735,IF(Berekening_patiëntaantal[Doelgroep (zoeksleutel)]=C735,Berekening_patiëntaantal[Digitale zorgtoepassing]),0))</f>
        <v>Huidige toepassing</v>
      </c>
      <c r="F735" s="33" t="s">
        <v>813</v>
      </c>
      <c r="G735" s="33" t="str">
        <f>CONCATENATE(uitkomst_doelgroep[[#This Row],[Digitale zorgtoepassing]],"_",uitkomst_doelgroep[[#This Row],[Doelgroep]],"_",uitkomst_doelgroep[[#This Row],[Uitgangssituatie/effect beleid]])</f>
        <v>Digitale zorg logopedie_Afasie_Uitgangssituatie</v>
      </c>
      <c r="H735" s="33">
        <v>2027</v>
      </c>
      <c r="I735" s="32">
        <v>5</v>
      </c>
      <c r="J735" s="406" cm="1">
        <f t="array" ref="J735">INDEX(implementatie[[2023]:[2034]],MATCH(G735, implementatie[Zoeksleutel],0),I735)</f>
        <v>0.53135248337682706</v>
      </c>
      <c r="K735" s="406" cm="1">
        <f t="array" ref="K735">INDEX(implementatie[[2023]:[2034]],MATCH(G735,implementatie[Zoeksleutel],0),I735 + 1)</f>
        <v>0.62553815375131172</v>
      </c>
      <c r="L73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4250.8198670146166</v>
      </c>
      <c r="M735" s="398" cm="1">
        <f t="array" ref="M735">J735*INDEX(Berekening_impact[Totaal arbeidsbesparing (€/jaar)],MATCH(B735,IF(Berekening_impact[Doelgroep]=C735,Berekening_impact[Digitale zorgtoepassing]),0))</f>
        <v>4569008.3920602025</v>
      </c>
      <c r="N735" s="397" cm="1">
        <f t="array" ref="N735">J735*INDEX(Berekening_impact[Totaal arbeidsbesparing (FTE/jaar)],MATCH(B735,IF(Berekening_impact[Doelgroep]=C735,Berekening_impact[Digitale zorgtoepassing]),0))</f>
        <v>106.27049667536541</v>
      </c>
      <c r="O735" s="398" cm="1">
        <f t="array" ref="O735">J735*INDEX(Berekening_impact[Overige kostenbesparing (totaal/jaar totaal potentieel)],MATCH(B735,IF(Berekening_impact[Doelgroep]=C735,Berekening_impact[Digitale zorgtoepassing]),0))</f>
        <v>0</v>
      </c>
      <c r="P735" s="398" cm="1">
        <f t="array" ref="P735">J735*INDEX(Berekening_impact[Opbrengsten door QALY''s],MATCH(B735,IF(Berekening_impact[Doelgroep]=C735,Berekening_impact[Digitale zorgtoepassing]),0))</f>
        <v>0</v>
      </c>
      <c r="Q735" s="398" cm="1">
        <f t="array" ref="Q735">J735*INDEX(Berekening_impact[Jaarlijkse kosten (totaal) - incl. schatting],MATCH(B735,IF(Berekening_impact[Doelgroep]=C735,Berekening_impact[Digitale zorgtoepassing]),0))</f>
        <v>595115.14270173502</v>
      </c>
      <c r="R735" s="398" cm="1">
        <f t="array" ref="R735">(uitkomst_doelgroep[[#This Row],[Implementatiegraad t = T + 1]]-uitkomst_doelgroep[[#This Row],[Implementatiegraad t = T]])*INDEX(Berekening_impact[Initiële investering (totaal) - incl. schatting],MATCH(B735,IF(Berekening_impact[Doelgroep]=C735,Berekening_impact[Digitale zorgtoepassing]),0))</f>
        <v>0</v>
      </c>
      <c r="S735" s="398">
        <f>uitkomst_doelgroep[[#This Row],[Arbeidsbesparing (€)]]*uitkomst_doelgroep[[#This Row],[Percentage van patiëntaantallen in Wlz (overige is Zvw)]]</f>
        <v>0</v>
      </c>
      <c r="T735" s="398">
        <f>uitkomst_doelgroep[[#This Row],[Overige besparingen (€)]]*uitkomst_doelgroep[[#This Row],[Percentage van patiëntaantallen in Wlz (overige is Zvw)]]</f>
        <v>0</v>
      </c>
      <c r="U735" s="398">
        <f>uitkomst_doelgroep[[#This Row],[Kosten (€)]]*uitkomst_doelgroep[[#This Row],[Percentage van patiëntaantallen in Wlz (overige is Zvw)]]</f>
        <v>0</v>
      </c>
      <c r="V735" s="398">
        <f>uitkomst_doelgroep[[#This Row],[Investering (cash flow) (€)]]*uitkomst_doelgroep[[#This Row],[Percentage van patiëntaantallen in Wlz (overige is Zvw)]]</f>
        <v>0</v>
      </c>
    </row>
    <row r="736" spans="1:22" x14ac:dyDescent="0.5">
      <c r="A736" s="33" t="str">
        <f>INDEX(Technologieën[Veld],MATCH(B736,Technologieën[Digitale zorgtoepassing],0))</f>
        <v>Software - Behandeling</v>
      </c>
      <c r="B736" s="33" t="s">
        <v>588</v>
      </c>
      <c r="C736" s="33" t="s">
        <v>104</v>
      </c>
      <c r="D736" s="427" cm="1">
        <f t="array" ref="D736">INDEX(Berekening_patiëntaantal[Percentage van patiëntaantallen in Wlz (overige is Zvw)],MATCH(B736,IF(Berekening_patiëntaantal[Doelgroep (zoeksleutel)]=C736,Berekening_patiëntaantal[Digitale zorgtoepassing]),0))</f>
        <v>0</v>
      </c>
      <c r="E736" s="33" t="str" cm="1">
        <f t="array" ref="E736">INDEX(Berekening_patiëntaantal[Direct toepasbaar/extrapolatie/incidentie voor QALY],MATCH(B736,IF(Berekening_patiëntaantal[Doelgroep (zoeksleutel)]=C736,Berekening_patiëntaantal[Digitale zorgtoepassing]),0))</f>
        <v>Huidige toepassing</v>
      </c>
      <c r="F736" s="33" t="s">
        <v>813</v>
      </c>
      <c r="G736" s="33" t="str">
        <f>CONCATENATE(uitkomst_doelgroep[[#This Row],[Digitale zorgtoepassing]],"_",uitkomst_doelgroep[[#This Row],[Doelgroep]],"_",uitkomst_doelgroep[[#This Row],[Uitgangssituatie/effect beleid]])</f>
        <v>Digitale zorg logopedie_Afasie_Uitgangssituatie</v>
      </c>
      <c r="H736" s="33">
        <v>2028</v>
      </c>
      <c r="I736" s="32">
        <v>6</v>
      </c>
      <c r="J736" s="406" cm="1">
        <f t="array" ref="J736">INDEX(implementatie[[2023]:[2034]],MATCH(G736, implementatie[Zoeksleutel],0),I736)</f>
        <v>0.62553815375131172</v>
      </c>
      <c r="K736" s="406" cm="1">
        <f t="array" ref="K736">INDEX(implementatie[[2023]:[2034]],MATCH(G736,implementatie[Zoeksleutel],0),I736 + 1)</f>
        <v>0.71313914162849124</v>
      </c>
      <c r="L73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5004.3052300104937</v>
      </c>
      <c r="M736" s="398" cm="1">
        <f t="array" ref="M736">J736*INDEX(Berekening_impact[Totaal arbeidsbesparing (€/jaar)],MATCH(B736,IF(Berekening_impact[Doelgroep]=C736,Berekening_impact[Digitale zorgtoepassing]),0))</f>
        <v>5378894.7327017114</v>
      </c>
      <c r="N736" s="397" cm="1">
        <f t="array" ref="N736">J736*INDEX(Berekening_impact[Totaal arbeidsbesparing (FTE/jaar)],MATCH(B736,IF(Berekening_impact[Doelgroep]=C736,Berekening_impact[Digitale zorgtoepassing]),0))</f>
        <v>125.10763075026235</v>
      </c>
      <c r="O736" s="398" cm="1">
        <f t="array" ref="O736">J736*INDEX(Berekening_impact[Overige kostenbesparing (totaal/jaar totaal potentieel)],MATCH(B736,IF(Berekening_impact[Doelgroep]=C736,Berekening_impact[Digitale zorgtoepassing]),0))</f>
        <v>0</v>
      </c>
      <c r="P736" s="398" cm="1">
        <f t="array" ref="P736">J736*INDEX(Berekening_impact[Opbrengsten door QALY''s],MATCH(B736,IF(Berekening_impact[Doelgroep]=C736,Berekening_impact[Digitale zorgtoepassing]),0))</f>
        <v>0</v>
      </c>
      <c r="Q736" s="398" cm="1">
        <f t="array" ref="Q736">J736*INDEX(Berekening_impact[Jaarlijkse kosten (totaal) - incl. schatting],MATCH(B736,IF(Berekening_impact[Doelgroep]=C736,Berekening_impact[Digitale zorgtoepassing]),0))</f>
        <v>700603.15756741364</v>
      </c>
      <c r="R736" s="398" cm="1">
        <f t="array" ref="R736">(uitkomst_doelgroep[[#This Row],[Implementatiegraad t = T + 1]]-uitkomst_doelgroep[[#This Row],[Implementatiegraad t = T]])*INDEX(Berekening_impact[Initiële investering (totaal) - incl. schatting],MATCH(B736,IF(Berekening_impact[Doelgroep]=C736,Berekening_impact[Digitale zorgtoepassing]),0))</f>
        <v>0</v>
      </c>
      <c r="S736" s="398">
        <f>uitkomst_doelgroep[[#This Row],[Arbeidsbesparing (€)]]*uitkomst_doelgroep[[#This Row],[Percentage van patiëntaantallen in Wlz (overige is Zvw)]]</f>
        <v>0</v>
      </c>
      <c r="T736" s="398">
        <f>uitkomst_doelgroep[[#This Row],[Overige besparingen (€)]]*uitkomst_doelgroep[[#This Row],[Percentage van patiëntaantallen in Wlz (overige is Zvw)]]</f>
        <v>0</v>
      </c>
      <c r="U736" s="398">
        <f>uitkomst_doelgroep[[#This Row],[Kosten (€)]]*uitkomst_doelgroep[[#This Row],[Percentage van patiëntaantallen in Wlz (overige is Zvw)]]</f>
        <v>0</v>
      </c>
      <c r="V736" s="398">
        <f>uitkomst_doelgroep[[#This Row],[Investering (cash flow) (€)]]*uitkomst_doelgroep[[#This Row],[Percentage van patiëntaantallen in Wlz (overige is Zvw)]]</f>
        <v>0</v>
      </c>
    </row>
    <row r="737" spans="1:22" x14ac:dyDescent="0.5">
      <c r="A737" s="33" t="str">
        <f>INDEX(Technologieën[Veld],MATCH(B737,Technologieën[Digitale zorgtoepassing],0))</f>
        <v>Software - Behandeling</v>
      </c>
      <c r="B737" s="33" t="s">
        <v>588</v>
      </c>
      <c r="C737" s="33" t="s">
        <v>104</v>
      </c>
      <c r="D737" s="427" cm="1">
        <f t="array" ref="D737">INDEX(Berekening_patiëntaantal[Percentage van patiëntaantallen in Wlz (overige is Zvw)],MATCH(B737,IF(Berekening_patiëntaantal[Doelgroep (zoeksleutel)]=C737,Berekening_patiëntaantal[Digitale zorgtoepassing]),0))</f>
        <v>0</v>
      </c>
      <c r="E737" s="33" t="str" cm="1">
        <f t="array" ref="E737">INDEX(Berekening_patiëntaantal[Direct toepasbaar/extrapolatie/incidentie voor QALY],MATCH(B737,IF(Berekening_patiëntaantal[Doelgroep (zoeksleutel)]=C737,Berekening_patiëntaantal[Digitale zorgtoepassing]),0))</f>
        <v>Huidige toepassing</v>
      </c>
      <c r="F737" s="33" t="s">
        <v>813</v>
      </c>
      <c r="G737" s="33" t="str">
        <f>CONCATENATE(uitkomst_doelgroep[[#This Row],[Digitale zorgtoepassing]],"_",uitkomst_doelgroep[[#This Row],[Doelgroep]],"_",uitkomst_doelgroep[[#This Row],[Uitgangssituatie/effect beleid]])</f>
        <v>Digitale zorg logopedie_Afasie_Uitgangssituatie</v>
      </c>
      <c r="H737" s="33">
        <v>2029</v>
      </c>
      <c r="I737" s="32">
        <v>7</v>
      </c>
      <c r="J737" s="406" cm="1">
        <f t="array" ref="J737">INDEX(implementatie[[2023]:[2034]],MATCH(G737, implementatie[Zoeksleutel],0),I737)</f>
        <v>0.71313914162849124</v>
      </c>
      <c r="K737" s="406" cm="1">
        <f t="array" ref="K737">INDEX(implementatie[[2023]:[2034]],MATCH(G737,implementatie[Zoeksleutel],0),I737 + 1)</f>
        <v>0.78904215171111836</v>
      </c>
      <c r="L73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5705.1131330279295</v>
      </c>
      <c r="M737" s="398" cm="1">
        <f t="array" ref="M737">J737*INDEX(Berekening_impact[Totaal arbeidsbesparing (€/jaar)],MATCH(B737,IF(Berekening_impact[Doelgroep]=C737,Berekening_impact[Digitale zorgtoepassing]),0))</f>
        <v>6132160.5238389783</v>
      </c>
      <c r="N737" s="397" cm="1">
        <f t="array" ref="N737">J737*INDEX(Berekening_impact[Totaal arbeidsbesparing (FTE/jaar)],MATCH(B737,IF(Berekening_impact[Doelgroep]=C737,Berekening_impact[Digitale zorgtoepassing]),0))</f>
        <v>142.62782832569826</v>
      </c>
      <c r="O737" s="398" cm="1">
        <f t="array" ref="O737">J737*INDEX(Berekening_impact[Overige kostenbesparing (totaal/jaar totaal potentieel)],MATCH(B737,IF(Berekening_impact[Doelgroep]=C737,Berekening_impact[Digitale zorgtoepassing]),0))</f>
        <v>0</v>
      </c>
      <c r="P737" s="398" cm="1">
        <f t="array" ref="P737">J737*INDEX(Berekening_impact[Opbrengsten door QALY''s],MATCH(B737,IF(Berekening_impact[Doelgroep]=C737,Berekening_impact[Digitale zorgtoepassing]),0))</f>
        <v>0</v>
      </c>
      <c r="Q737" s="398" cm="1">
        <f t="array" ref="Q737">J737*INDEX(Berekening_impact[Jaarlijkse kosten (totaal) - incl. schatting],MATCH(B737,IF(Berekening_impact[Doelgroep]=C737,Berekening_impact[Digitale zorgtoepassing]),0))</f>
        <v>798716.32355852646</v>
      </c>
      <c r="R737" s="398" cm="1">
        <f t="array" ref="R737">(uitkomst_doelgroep[[#This Row],[Implementatiegraad t = T + 1]]-uitkomst_doelgroep[[#This Row],[Implementatiegraad t = T]])*INDEX(Berekening_impact[Initiële investering (totaal) - incl. schatting],MATCH(B737,IF(Berekening_impact[Doelgroep]=C737,Berekening_impact[Digitale zorgtoepassing]),0))</f>
        <v>0</v>
      </c>
      <c r="S737" s="398">
        <f>uitkomst_doelgroep[[#This Row],[Arbeidsbesparing (€)]]*uitkomst_doelgroep[[#This Row],[Percentage van patiëntaantallen in Wlz (overige is Zvw)]]</f>
        <v>0</v>
      </c>
      <c r="T737" s="398">
        <f>uitkomst_doelgroep[[#This Row],[Overige besparingen (€)]]*uitkomst_doelgroep[[#This Row],[Percentage van patiëntaantallen in Wlz (overige is Zvw)]]</f>
        <v>0</v>
      </c>
      <c r="U737" s="398">
        <f>uitkomst_doelgroep[[#This Row],[Kosten (€)]]*uitkomst_doelgroep[[#This Row],[Percentage van patiëntaantallen in Wlz (overige is Zvw)]]</f>
        <v>0</v>
      </c>
      <c r="V737" s="398">
        <f>uitkomst_doelgroep[[#This Row],[Investering (cash flow) (€)]]*uitkomst_doelgroep[[#This Row],[Percentage van patiëntaantallen in Wlz (overige is Zvw)]]</f>
        <v>0</v>
      </c>
    </row>
    <row r="738" spans="1:22" x14ac:dyDescent="0.5">
      <c r="A738" s="33" t="str">
        <f>INDEX(Technologieën[Veld],MATCH(B738,Technologieën[Digitale zorgtoepassing],0))</f>
        <v>Software - Behandeling</v>
      </c>
      <c r="B738" s="33" t="s">
        <v>588</v>
      </c>
      <c r="C738" s="33" t="s">
        <v>104</v>
      </c>
      <c r="D738" s="427" cm="1">
        <f t="array" ref="D738">INDEX(Berekening_patiëntaantal[Percentage van patiëntaantallen in Wlz (overige is Zvw)],MATCH(B738,IF(Berekening_patiëntaantal[Doelgroep (zoeksleutel)]=C738,Berekening_patiëntaantal[Digitale zorgtoepassing]),0))</f>
        <v>0</v>
      </c>
      <c r="E738" s="33" t="str" cm="1">
        <f t="array" ref="E738">INDEX(Berekening_patiëntaantal[Direct toepasbaar/extrapolatie/incidentie voor QALY],MATCH(B738,IF(Berekening_patiëntaantal[Doelgroep (zoeksleutel)]=C738,Berekening_patiëntaantal[Digitale zorgtoepassing]),0))</f>
        <v>Huidige toepassing</v>
      </c>
      <c r="F738" s="33" t="s">
        <v>813</v>
      </c>
      <c r="G738" s="33" t="str">
        <f>CONCATENATE(uitkomst_doelgroep[[#This Row],[Digitale zorgtoepassing]],"_",uitkomst_doelgroep[[#This Row],[Doelgroep]],"_",uitkomst_doelgroep[[#This Row],[Uitgangssituatie/effect beleid]])</f>
        <v>Digitale zorg logopedie_Afasie_Uitgangssituatie</v>
      </c>
      <c r="H738" s="33">
        <v>2030</v>
      </c>
      <c r="I738" s="32">
        <v>8</v>
      </c>
      <c r="J738" s="406" cm="1">
        <f t="array" ref="J738">INDEX(implementatie[[2023]:[2034]],MATCH(G738, implementatie[Zoeksleutel],0),I738)</f>
        <v>0.78904215171111836</v>
      </c>
      <c r="K738" s="406" cm="1">
        <f t="array" ref="K738">INDEX(implementatie[[2023]:[2034]],MATCH(G738,implementatie[Zoeksleutel],0),I738 + 1)</f>
        <v>0.85046564152242399</v>
      </c>
      <c r="L73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6312.3372136889466</v>
      </c>
      <c r="M738" s="398" cm="1">
        <f t="array" ref="M738">J738*INDEX(Berekening_impact[Totaal arbeidsbesparing (€/jaar)],MATCH(B738,IF(Berekening_impact[Doelgroep]=C738,Berekening_impact[Digitale zorgtoepassing]),0))</f>
        <v>6784837.4208136126</v>
      </c>
      <c r="N738" s="397" cm="1">
        <f t="array" ref="N738">J738*INDEX(Berekening_impact[Totaal arbeidsbesparing (FTE/jaar)],MATCH(B738,IF(Berekening_impact[Doelgroep]=C738,Berekening_impact[Digitale zorgtoepassing]),0))</f>
        <v>157.80843034222366</v>
      </c>
      <c r="O738" s="398" cm="1">
        <f t="array" ref="O738">J738*INDEX(Berekening_impact[Overige kostenbesparing (totaal/jaar totaal potentieel)],MATCH(B738,IF(Berekening_impact[Doelgroep]=C738,Berekening_impact[Digitale zorgtoepassing]),0))</f>
        <v>0</v>
      </c>
      <c r="P738" s="398" cm="1">
        <f t="array" ref="P738">J738*INDEX(Berekening_impact[Opbrengsten door QALY''s],MATCH(B738,IF(Berekening_impact[Doelgroep]=C738,Berekening_impact[Digitale zorgtoepassing]),0))</f>
        <v>0</v>
      </c>
      <c r="Q738" s="398" cm="1">
        <f t="array" ref="Q738">J738*INDEX(Berekening_impact[Jaarlijkse kosten (totaal) - incl. schatting],MATCH(B738,IF(Berekening_impact[Doelgroep]=C738,Berekening_impact[Digitale zorgtoepassing]),0))</f>
        <v>883727.74646511569</v>
      </c>
      <c r="R738" s="398" cm="1">
        <f t="array" ref="R738">(uitkomst_doelgroep[[#This Row],[Implementatiegraad t = T + 1]]-uitkomst_doelgroep[[#This Row],[Implementatiegraad t = T]])*INDEX(Berekening_impact[Initiële investering (totaal) - incl. schatting],MATCH(B738,IF(Berekening_impact[Doelgroep]=C738,Berekening_impact[Digitale zorgtoepassing]),0))</f>
        <v>0</v>
      </c>
      <c r="S738" s="398">
        <f>uitkomst_doelgroep[[#This Row],[Arbeidsbesparing (€)]]*uitkomst_doelgroep[[#This Row],[Percentage van patiëntaantallen in Wlz (overige is Zvw)]]</f>
        <v>0</v>
      </c>
      <c r="T738" s="398">
        <f>uitkomst_doelgroep[[#This Row],[Overige besparingen (€)]]*uitkomst_doelgroep[[#This Row],[Percentage van patiëntaantallen in Wlz (overige is Zvw)]]</f>
        <v>0</v>
      </c>
      <c r="U738" s="398">
        <f>uitkomst_doelgroep[[#This Row],[Kosten (€)]]*uitkomst_doelgroep[[#This Row],[Percentage van patiëntaantallen in Wlz (overige is Zvw)]]</f>
        <v>0</v>
      </c>
      <c r="V738" s="398">
        <f>uitkomst_doelgroep[[#This Row],[Investering (cash flow) (€)]]*uitkomst_doelgroep[[#This Row],[Percentage van patiëntaantallen in Wlz (overige is Zvw)]]</f>
        <v>0</v>
      </c>
    </row>
    <row r="739" spans="1:22" x14ac:dyDescent="0.5">
      <c r="A739" s="33" t="str">
        <f>INDEX(Technologieën[Veld],MATCH(B739,Technologieën[Digitale zorgtoepassing],0))</f>
        <v>Software - Behandeling</v>
      </c>
      <c r="B739" s="33" t="s">
        <v>588</v>
      </c>
      <c r="C739" s="33" t="s">
        <v>104</v>
      </c>
      <c r="D739" s="427" cm="1">
        <f t="array" ref="D739">INDEX(Berekening_patiëntaantal[Percentage van patiëntaantallen in Wlz (overige is Zvw)],MATCH(B739,IF(Berekening_patiëntaantal[Doelgroep (zoeksleutel)]=C739,Berekening_patiëntaantal[Digitale zorgtoepassing]),0))</f>
        <v>0</v>
      </c>
      <c r="E739" s="33" t="str" cm="1">
        <f t="array" ref="E739">INDEX(Berekening_patiëntaantal[Direct toepasbaar/extrapolatie/incidentie voor QALY],MATCH(B739,IF(Berekening_patiëntaantal[Doelgroep (zoeksleutel)]=C739,Berekening_patiëntaantal[Digitale zorgtoepassing]),0))</f>
        <v>Huidige toepassing</v>
      </c>
      <c r="F739" s="33" t="s">
        <v>813</v>
      </c>
      <c r="G739" s="33" t="str">
        <f>CONCATENATE(uitkomst_doelgroep[[#This Row],[Digitale zorgtoepassing]],"_",uitkomst_doelgroep[[#This Row],[Doelgroep]],"_",uitkomst_doelgroep[[#This Row],[Uitgangssituatie/effect beleid]])</f>
        <v>Digitale zorg logopedie_Afasie_Uitgangssituatie</v>
      </c>
      <c r="H739" s="33">
        <v>2031</v>
      </c>
      <c r="I739" s="32">
        <v>9</v>
      </c>
      <c r="J739" s="406" cm="1">
        <f t="array" ref="J739">INDEX(implementatie[[2023]:[2034]],MATCH(G739, implementatie[Zoeksleutel],0),I739)</f>
        <v>0.85046564152242399</v>
      </c>
      <c r="K739" s="406" cm="1">
        <f t="array" ref="K739">INDEX(implementatie[[2023]:[2034]],MATCH(G739,implementatie[Zoeksleutel],0),I739 + 1)</f>
        <v>0.89721949883888419</v>
      </c>
      <c r="L73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6803.7251321793919</v>
      </c>
      <c r="M739" s="398" cm="1">
        <f t="array" ref="M739">J739*INDEX(Berekening_impact[Totaal arbeidsbesparing (€/jaar)],MATCH(B739,IF(Berekening_impact[Doelgroep]=C739,Berekening_impact[Digitale zorgtoepassing]),0))</f>
        <v>7313007.4194441661</v>
      </c>
      <c r="N739" s="397" cm="1">
        <f t="array" ref="N739">J739*INDEX(Berekening_impact[Totaal arbeidsbesparing (FTE/jaar)],MATCH(B739,IF(Berekening_impact[Doelgroep]=C739,Berekening_impact[Digitale zorgtoepassing]),0))</f>
        <v>170.09312830448479</v>
      </c>
      <c r="O739" s="398" cm="1">
        <f t="array" ref="O739">J739*INDEX(Berekening_impact[Overige kostenbesparing (totaal/jaar totaal potentieel)],MATCH(B739,IF(Berekening_impact[Doelgroep]=C739,Berekening_impact[Digitale zorgtoepassing]),0))</f>
        <v>0</v>
      </c>
      <c r="P739" s="398" cm="1">
        <f t="array" ref="P739">J739*INDEX(Berekening_impact[Opbrengsten door QALY''s],MATCH(B739,IF(Berekening_impact[Doelgroep]=C739,Berekening_impact[Digitale zorgtoepassing]),0))</f>
        <v>0</v>
      </c>
      <c r="Q739" s="398" cm="1">
        <f t="array" ref="Q739">J739*INDEX(Berekening_impact[Jaarlijkse kosten (totaal) - incl. schatting],MATCH(B739,IF(Berekening_impact[Doelgroep]=C739,Berekening_impact[Digitale zorgtoepassing]),0))</f>
        <v>952522.0968217511</v>
      </c>
      <c r="R739" s="398" cm="1">
        <f t="array" ref="R739">(uitkomst_doelgroep[[#This Row],[Implementatiegraad t = T + 1]]-uitkomst_doelgroep[[#This Row],[Implementatiegraad t = T]])*INDEX(Berekening_impact[Initiële investering (totaal) - incl. schatting],MATCH(B739,IF(Berekening_impact[Doelgroep]=C739,Berekening_impact[Digitale zorgtoepassing]),0))</f>
        <v>0</v>
      </c>
      <c r="S739" s="398">
        <f>uitkomst_doelgroep[[#This Row],[Arbeidsbesparing (€)]]*uitkomst_doelgroep[[#This Row],[Percentage van patiëntaantallen in Wlz (overige is Zvw)]]</f>
        <v>0</v>
      </c>
      <c r="T739" s="398">
        <f>uitkomst_doelgroep[[#This Row],[Overige besparingen (€)]]*uitkomst_doelgroep[[#This Row],[Percentage van patiëntaantallen in Wlz (overige is Zvw)]]</f>
        <v>0</v>
      </c>
      <c r="U739" s="398">
        <f>uitkomst_doelgroep[[#This Row],[Kosten (€)]]*uitkomst_doelgroep[[#This Row],[Percentage van patiëntaantallen in Wlz (overige is Zvw)]]</f>
        <v>0</v>
      </c>
      <c r="V739" s="398">
        <f>uitkomst_doelgroep[[#This Row],[Investering (cash flow) (€)]]*uitkomst_doelgroep[[#This Row],[Percentage van patiëntaantallen in Wlz (overige is Zvw)]]</f>
        <v>0</v>
      </c>
    </row>
    <row r="740" spans="1:22" x14ac:dyDescent="0.5">
      <c r="A740" s="33" t="str">
        <f>INDEX(Technologieën[Veld],MATCH(B740,Technologieën[Digitale zorgtoepassing],0))</f>
        <v>Software - Behandeling</v>
      </c>
      <c r="B740" s="33" t="s">
        <v>588</v>
      </c>
      <c r="C740" s="33" t="s">
        <v>104</v>
      </c>
      <c r="D740" s="427" cm="1">
        <f t="array" ref="D740">INDEX(Berekening_patiëntaantal[Percentage van patiëntaantallen in Wlz (overige is Zvw)],MATCH(B740,IF(Berekening_patiëntaantal[Doelgroep (zoeksleutel)]=C740,Berekening_patiëntaantal[Digitale zorgtoepassing]),0))</f>
        <v>0</v>
      </c>
      <c r="E740" s="33" t="str" cm="1">
        <f t="array" ref="E740">INDEX(Berekening_patiëntaantal[Direct toepasbaar/extrapolatie/incidentie voor QALY],MATCH(B740,IF(Berekening_patiëntaantal[Doelgroep (zoeksleutel)]=C740,Berekening_patiëntaantal[Digitale zorgtoepassing]),0))</f>
        <v>Huidige toepassing</v>
      </c>
      <c r="F740" s="33" t="s">
        <v>813</v>
      </c>
      <c r="G740" s="33" t="str">
        <f>CONCATENATE(uitkomst_doelgroep[[#This Row],[Digitale zorgtoepassing]],"_",uitkomst_doelgroep[[#This Row],[Doelgroep]],"_",uitkomst_doelgroep[[#This Row],[Uitgangssituatie/effect beleid]])</f>
        <v>Digitale zorg logopedie_Afasie_Uitgangssituatie</v>
      </c>
      <c r="H740" s="33">
        <v>2032</v>
      </c>
      <c r="I740" s="32">
        <v>10</v>
      </c>
      <c r="J740" s="406" cm="1">
        <f t="array" ref="J740">INDEX(implementatie[[2023]:[2034]],MATCH(G740, implementatie[Zoeksleutel],0),I740)</f>
        <v>0.89721949883888419</v>
      </c>
      <c r="K740" s="406" cm="1">
        <f t="array" ref="K740">INDEX(implementatie[[2023]:[2034]],MATCH(G740,implementatie[Zoeksleutel],0),I740 + 1)</f>
        <v>0.93103704076606597</v>
      </c>
      <c r="L74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7177.7559907110735</v>
      </c>
      <c r="M740" s="398" cm="1">
        <f t="array" ref="M740">J740*INDEX(Berekening_impact[Totaal arbeidsbesparing (€/jaar)],MATCH(B740,IF(Berekening_impact[Doelgroep]=C740,Berekening_impact[Digitale zorgtoepassing]),0))</f>
        <v>7715035.7774985256</v>
      </c>
      <c r="N740" s="397" cm="1">
        <f t="array" ref="N740">J740*INDEX(Berekening_impact[Totaal arbeidsbesparing (FTE/jaar)],MATCH(B740,IF(Berekening_impact[Doelgroep]=C740,Berekening_impact[Digitale zorgtoepassing]),0))</f>
        <v>179.44389976777683</v>
      </c>
      <c r="O740" s="398" cm="1">
        <f t="array" ref="O740">J740*INDEX(Berekening_impact[Overige kostenbesparing (totaal/jaar totaal potentieel)],MATCH(B740,IF(Berekening_impact[Doelgroep]=C740,Berekening_impact[Digitale zorgtoepassing]),0))</f>
        <v>0</v>
      </c>
      <c r="P740" s="398" cm="1">
        <f t="array" ref="P740">J740*INDEX(Berekening_impact[Opbrengsten door QALY''s],MATCH(B740,IF(Berekening_impact[Doelgroep]=C740,Berekening_impact[Digitale zorgtoepassing]),0))</f>
        <v>0</v>
      </c>
      <c r="Q740" s="398" cm="1">
        <f t="array" ref="Q740">J740*INDEX(Berekening_impact[Jaarlijkse kosten (totaal) - incl. schatting],MATCH(B740,IF(Berekening_impact[Doelgroep]=C740,Berekening_impact[Digitale zorgtoepassing]),0))</f>
        <v>1004886.4488088094</v>
      </c>
      <c r="R740" s="398" cm="1">
        <f t="array" ref="R740">(uitkomst_doelgroep[[#This Row],[Implementatiegraad t = T + 1]]-uitkomst_doelgroep[[#This Row],[Implementatiegraad t = T]])*INDEX(Berekening_impact[Initiële investering (totaal) - incl. schatting],MATCH(B740,IF(Berekening_impact[Doelgroep]=C740,Berekening_impact[Digitale zorgtoepassing]),0))</f>
        <v>0</v>
      </c>
      <c r="S740" s="398">
        <f>uitkomst_doelgroep[[#This Row],[Arbeidsbesparing (€)]]*uitkomst_doelgroep[[#This Row],[Percentage van patiëntaantallen in Wlz (overige is Zvw)]]</f>
        <v>0</v>
      </c>
      <c r="T740" s="398">
        <f>uitkomst_doelgroep[[#This Row],[Overige besparingen (€)]]*uitkomst_doelgroep[[#This Row],[Percentage van patiëntaantallen in Wlz (overige is Zvw)]]</f>
        <v>0</v>
      </c>
      <c r="U740" s="398">
        <f>uitkomst_doelgroep[[#This Row],[Kosten (€)]]*uitkomst_doelgroep[[#This Row],[Percentage van patiëntaantallen in Wlz (overige is Zvw)]]</f>
        <v>0</v>
      </c>
      <c r="V740" s="398">
        <f>uitkomst_doelgroep[[#This Row],[Investering (cash flow) (€)]]*uitkomst_doelgroep[[#This Row],[Percentage van patiëntaantallen in Wlz (overige is Zvw)]]</f>
        <v>0</v>
      </c>
    </row>
    <row r="741" spans="1:22" x14ac:dyDescent="0.5">
      <c r="A741" s="33" t="str">
        <f>INDEX(Technologieën[Veld],MATCH(B741,Technologieën[Digitale zorgtoepassing],0))</f>
        <v>Software - Behandeling</v>
      </c>
      <c r="B741" s="33" t="s">
        <v>588</v>
      </c>
      <c r="C741" s="33" t="s">
        <v>104</v>
      </c>
      <c r="D741" s="427" cm="1">
        <f t="array" ref="D741">INDEX(Berekening_patiëntaantal[Percentage van patiëntaantallen in Wlz (overige is Zvw)],MATCH(B741,IF(Berekening_patiëntaantal[Doelgroep (zoeksleutel)]=C741,Berekening_patiëntaantal[Digitale zorgtoepassing]),0))</f>
        <v>0</v>
      </c>
      <c r="E741" s="33" t="str" cm="1">
        <f t="array" ref="E741">INDEX(Berekening_patiëntaantal[Direct toepasbaar/extrapolatie/incidentie voor QALY],MATCH(B741,IF(Berekening_patiëntaantal[Doelgroep (zoeksleutel)]=C741,Berekening_patiëntaantal[Digitale zorgtoepassing]),0))</f>
        <v>Huidige toepassing</v>
      </c>
      <c r="F741" s="33" t="s">
        <v>813</v>
      </c>
      <c r="G741" s="33" t="str">
        <f>CONCATENATE(uitkomst_doelgroep[[#This Row],[Digitale zorgtoepassing]],"_",uitkomst_doelgroep[[#This Row],[Doelgroep]],"_",uitkomst_doelgroep[[#This Row],[Uitgangssituatie/effect beleid]])</f>
        <v>Digitale zorg logopedie_Afasie_Uitgangssituatie</v>
      </c>
      <c r="H741" s="33">
        <v>2033</v>
      </c>
      <c r="I741" s="32">
        <v>11</v>
      </c>
      <c r="J741" s="406" cm="1">
        <f t="array" ref="J741">INDEX(implementatie[[2023]:[2034]],MATCH(G741, implementatie[Zoeksleutel],0),I741)</f>
        <v>0.93103704076606597</v>
      </c>
      <c r="K741" s="406" cm="1">
        <f t="array" ref="K741">INDEX(implementatie[[2023]:[2034]],MATCH(G741,implementatie[Zoeksleutel],0),I741 + 1)</f>
        <v>0.9545439594752464</v>
      </c>
      <c r="L74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7448.2963261285277</v>
      </c>
      <c r="M741" s="398" cm="1">
        <f t="array" ref="M741">J741*INDEX(Berekening_impact[Totaal arbeidsbesparing (€/jaar)],MATCH(B741,IF(Berekening_impact[Doelgroep]=C741,Berekening_impact[Digitale zorgtoepassing]),0))</f>
        <v>8005826.9899196848</v>
      </c>
      <c r="N741" s="397" cm="1">
        <f t="array" ref="N741">J741*INDEX(Berekening_impact[Totaal arbeidsbesparing (FTE/jaar)],MATCH(B741,IF(Berekening_impact[Doelgroep]=C741,Berekening_impact[Digitale zorgtoepassing]),0))</f>
        <v>186.20740815321318</v>
      </c>
      <c r="O741" s="398" cm="1">
        <f t="array" ref="O741">J741*INDEX(Berekening_impact[Overige kostenbesparing (totaal/jaar totaal potentieel)],MATCH(B741,IF(Berekening_impact[Doelgroep]=C741,Berekening_impact[Digitale zorgtoepassing]),0))</f>
        <v>0</v>
      </c>
      <c r="P741" s="398" cm="1">
        <f t="array" ref="P741">J741*INDEX(Berekening_impact[Opbrengsten door QALY''s],MATCH(B741,IF(Berekening_impact[Doelgroep]=C741,Berekening_impact[Digitale zorgtoepassing]),0))</f>
        <v>0</v>
      </c>
      <c r="Q741" s="398" cm="1">
        <f t="array" ref="Q741">J741*INDEX(Berekening_impact[Jaarlijkse kosten (totaal) - incl. schatting],MATCH(B741,IF(Berekening_impact[Doelgroep]=C741,Berekening_impact[Digitale zorgtoepassing]),0))</f>
        <v>1042762.1187631815</v>
      </c>
      <c r="R741" s="398" cm="1">
        <f t="array" ref="R741">(uitkomst_doelgroep[[#This Row],[Implementatiegraad t = T + 1]]-uitkomst_doelgroep[[#This Row],[Implementatiegraad t = T]])*INDEX(Berekening_impact[Initiële investering (totaal) - incl. schatting],MATCH(B741,IF(Berekening_impact[Doelgroep]=C741,Berekening_impact[Digitale zorgtoepassing]),0))</f>
        <v>0</v>
      </c>
      <c r="S741" s="398">
        <f>uitkomst_doelgroep[[#This Row],[Arbeidsbesparing (€)]]*uitkomst_doelgroep[[#This Row],[Percentage van patiëntaantallen in Wlz (overige is Zvw)]]</f>
        <v>0</v>
      </c>
      <c r="T741" s="398">
        <f>uitkomst_doelgroep[[#This Row],[Overige besparingen (€)]]*uitkomst_doelgroep[[#This Row],[Percentage van patiëntaantallen in Wlz (overige is Zvw)]]</f>
        <v>0</v>
      </c>
      <c r="U741" s="398">
        <f>uitkomst_doelgroep[[#This Row],[Kosten (€)]]*uitkomst_doelgroep[[#This Row],[Percentage van patiëntaantallen in Wlz (overige is Zvw)]]</f>
        <v>0</v>
      </c>
      <c r="V741" s="398">
        <f>uitkomst_doelgroep[[#This Row],[Investering (cash flow) (€)]]*uitkomst_doelgroep[[#This Row],[Percentage van patiëntaantallen in Wlz (overige is Zvw)]]</f>
        <v>0</v>
      </c>
    </row>
    <row r="742" spans="1:22" x14ac:dyDescent="0.5">
      <c r="A742" s="33" t="str">
        <f>INDEX(Technologieën[Veld],MATCH(B742,Technologieën[Digitale zorgtoepassing],0))</f>
        <v>Software - Behandeling</v>
      </c>
      <c r="B742" s="33" t="s">
        <v>588</v>
      </c>
      <c r="C742" s="33" t="s">
        <v>589</v>
      </c>
      <c r="D742" s="427" cm="1">
        <f t="array" ref="D742">INDEX(Berekening_patiëntaantal[Percentage van patiëntaantallen in Wlz (overige is Zvw)],MATCH(B742,IF(Berekening_patiëntaantal[Doelgroep (zoeksleutel)]=C742,Berekening_patiëntaantal[Digitale zorgtoepassing]),0))</f>
        <v>0</v>
      </c>
      <c r="E742" s="33" t="str" cm="1">
        <f t="array" ref="E742">INDEX(Berekening_patiëntaantal[Direct toepasbaar/extrapolatie/incidentie voor QALY],MATCH(B742,IF(Berekening_patiëntaantal[Doelgroep (zoeksleutel)]=C742,Berekening_patiëntaantal[Digitale zorgtoepassing]),0))</f>
        <v>Extrapolatie</v>
      </c>
      <c r="F742" s="33" t="s">
        <v>813</v>
      </c>
      <c r="G742" s="33" t="str">
        <f>CONCATENATE(uitkomst_doelgroep[[#This Row],[Digitale zorgtoepassing]],"_",uitkomst_doelgroep[[#This Row],[Doelgroep]],"_",uitkomst_doelgroep[[#This Row],[Uitgangssituatie/effect beleid]])</f>
        <v>Digitale zorg logopedie_Overige_zittingen_Uitgangssituatie</v>
      </c>
      <c r="H742" s="33">
        <v>2023</v>
      </c>
      <c r="I742" s="32">
        <v>1</v>
      </c>
      <c r="J742" s="406" cm="1">
        <f t="array" ref="J742">INDEX(implementatie[[2023]:[2034]],MATCH(G742, implementatie[Zoeksleutel],0),I742)</f>
        <v>0</v>
      </c>
      <c r="K742" s="406" cm="1">
        <f t="array" ref="K742">INDEX(implementatie[[2023]:[2034]],MATCH(G742,implementatie[Zoeksleutel],0),I742 + 1)</f>
        <v>0</v>
      </c>
      <c r="L74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742" s="398" cm="1">
        <f t="array" ref="M742">J742*INDEX(Berekening_impact[Totaal arbeidsbesparing (€/jaar)],MATCH(B742,IF(Berekening_impact[Doelgroep]=C742,Berekening_impact[Digitale zorgtoepassing]),0))</f>
        <v>0</v>
      </c>
      <c r="N742" s="397" cm="1">
        <f t="array" ref="N742">J742*INDEX(Berekening_impact[Totaal arbeidsbesparing (FTE/jaar)],MATCH(B742,IF(Berekening_impact[Doelgroep]=C742,Berekening_impact[Digitale zorgtoepassing]),0))</f>
        <v>0</v>
      </c>
      <c r="O742" s="398" cm="1">
        <f t="array" ref="O742">J742*INDEX(Berekening_impact[Overige kostenbesparing (totaal/jaar totaal potentieel)],MATCH(B742,IF(Berekening_impact[Doelgroep]=C742,Berekening_impact[Digitale zorgtoepassing]),0))</f>
        <v>0</v>
      </c>
      <c r="P742" s="398" cm="1">
        <f t="array" ref="P742">J742*INDEX(Berekening_impact[Opbrengsten door QALY''s],MATCH(B742,IF(Berekening_impact[Doelgroep]=C742,Berekening_impact[Digitale zorgtoepassing]),0))</f>
        <v>0</v>
      </c>
      <c r="Q742" s="398" cm="1">
        <f t="array" ref="Q742">J742*INDEX(Berekening_impact[Jaarlijkse kosten (totaal) - incl. schatting],MATCH(B742,IF(Berekening_impact[Doelgroep]=C742,Berekening_impact[Digitale zorgtoepassing]),0))</f>
        <v>0</v>
      </c>
      <c r="R742" s="398" cm="1">
        <f t="array" ref="R742">(uitkomst_doelgroep[[#This Row],[Implementatiegraad t = T + 1]]-uitkomst_doelgroep[[#This Row],[Implementatiegraad t = T]])*INDEX(Berekening_impact[Initiële investering (totaal) - incl. schatting],MATCH(B742,IF(Berekening_impact[Doelgroep]=C742,Berekening_impact[Digitale zorgtoepassing]),0))</f>
        <v>0</v>
      </c>
      <c r="S742" s="398">
        <f>uitkomst_doelgroep[[#This Row],[Arbeidsbesparing (€)]]*uitkomst_doelgroep[[#This Row],[Percentage van patiëntaantallen in Wlz (overige is Zvw)]]</f>
        <v>0</v>
      </c>
      <c r="T742" s="398">
        <f>uitkomst_doelgroep[[#This Row],[Overige besparingen (€)]]*uitkomst_doelgroep[[#This Row],[Percentage van patiëntaantallen in Wlz (overige is Zvw)]]</f>
        <v>0</v>
      </c>
      <c r="U742" s="398">
        <f>uitkomst_doelgroep[[#This Row],[Kosten (€)]]*uitkomst_doelgroep[[#This Row],[Percentage van patiëntaantallen in Wlz (overige is Zvw)]]</f>
        <v>0</v>
      </c>
      <c r="V742" s="398">
        <f>uitkomst_doelgroep[[#This Row],[Investering (cash flow) (€)]]*uitkomst_doelgroep[[#This Row],[Percentage van patiëntaantallen in Wlz (overige is Zvw)]]</f>
        <v>0</v>
      </c>
    </row>
    <row r="743" spans="1:22" x14ac:dyDescent="0.5">
      <c r="A743" s="33" t="str">
        <f>INDEX(Technologieën[Veld],MATCH(B743,Technologieën[Digitale zorgtoepassing],0))</f>
        <v>Software - Behandeling</v>
      </c>
      <c r="B743" s="33" t="s">
        <v>588</v>
      </c>
      <c r="C743" s="33" t="s">
        <v>589</v>
      </c>
      <c r="D743" s="427" cm="1">
        <f t="array" ref="D743">INDEX(Berekening_patiëntaantal[Percentage van patiëntaantallen in Wlz (overige is Zvw)],MATCH(B743,IF(Berekening_patiëntaantal[Doelgroep (zoeksleutel)]=C743,Berekening_patiëntaantal[Digitale zorgtoepassing]),0))</f>
        <v>0</v>
      </c>
      <c r="E743" s="33" t="str" cm="1">
        <f t="array" ref="E743">INDEX(Berekening_patiëntaantal[Direct toepasbaar/extrapolatie/incidentie voor QALY],MATCH(B743,IF(Berekening_patiëntaantal[Doelgroep (zoeksleutel)]=C743,Berekening_patiëntaantal[Digitale zorgtoepassing]),0))</f>
        <v>Extrapolatie</v>
      </c>
      <c r="F743" s="33" t="s">
        <v>813</v>
      </c>
      <c r="G743" s="33" t="str">
        <f>CONCATENATE(uitkomst_doelgroep[[#This Row],[Digitale zorgtoepassing]],"_",uitkomst_doelgroep[[#This Row],[Doelgroep]],"_",uitkomst_doelgroep[[#This Row],[Uitgangssituatie/effect beleid]])</f>
        <v>Digitale zorg logopedie_Overige_zittingen_Uitgangssituatie</v>
      </c>
      <c r="H743" s="33">
        <v>2024</v>
      </c>
      <c r="I743" s="32">
        <v>2</v>
      </c>
      <c r="J743" s="406" cm="1">
        <f t="array" ref="J743">INDEX(implementatie[[2023]:[2034]],MATCH(G743, implementatie[Zoeksleutel],0),I743)</f>
        <v>0</v>
      </c>
      <c r="K743" s="406" cm="1">
        <f t="array" ref="K743">INDEX(implementatie[[2023]:[2034]],MATCH(G743,implementatie[Zoeksleutel],0),I743 + 1)</f>
        <v>0</v>
      </c>
      <c r="L74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743" s="398" cm="1">
        <f t="array" ref="M743">J743*INDEX(Berekening_impact[Totaal arbeidsbesparing (€/jaar)],MATCH(B743,IF(Berekening_impact[Doelgroep]=C743,Berekening_impact[Digitale zorgtoepassing]),0))</f>
        <v>0</v>
      </c>
      <c r="N743" s="397" cm="1">
        <f t="array" ref="N743">J743*INDEX(Berekening_impact[Totaal arbeidsbesparing (FTE/jaar)],MATCH(B743,IF(Berekening_impact[Doelgroep]=C743,Berekening_impact[Digitale zorgtoepassing]),0))</f>
        <v>0</v>
      </c>
      <c r="O743" s="398" cm="1">
        <f t="array" ref="O743">J743*INDEX(Berekening_impact[Overige kostenbesparing (totaal/jaar totaal potentieel)],MATCH(B743,IF(Berekening_impact[Doelgroep]=C743,Berekening_impact[Digitale zorgtoepassing]),0))</f>
        <v>0</v>
      </c>
      <c r="P743" s="398" cm="1">
        <f t="array" ref="P743">J743*INDEX(Berekening_impact[Opbrengsten door QALY''s],MATCH(B743,IF(Berekening_impact[Doelgroep]=C743,Berekening_impact[Digitale zorgtoepassing]),0))</f>
        <v>0</v>
      </c>
      <c r="Q743" s="398" cm="1">
        <f t="array" ref="Q743">J743*INDEX(Berekening_impact[Jaarlijkse kosten (totaal) - incl. schatting],MATCH(B743,IF(Berekening_impact[Doelgroep]=C743,Berekening_impact[Digitale zorgtoepassing]),0))</f>
        <v>0</v>
      </c>
      <c r="R743" s="398" cm="1">
        <f t="array" ref="R743">(uitkomst_doelgroep[[#This Row],[Implementatiegraad t = T + 1]]-uitkomst_doelgroep[[#This Row],[Implementatiegraad t = T]])*INDEX(Berekening_impact[Initiële investering (totaal) - incl. schatting],MATCH(B743,IF(Berekening_impact[Doelgroep]=C743,Berekening_impact[Digitale zorgtoepassing]),0))</f>
        <v>0</v>
      </c>
      <c r="S743" s="398">
        <f>uitkomst_doelgroep[[#This Row],[Arbeidsbesparing (€)]]*uitkomst_doelgroep[[#This Row],[Percentage van patiëntaantallen in Wlz (overige is Zvw)]]</f>
        <v>0</v>
      </c>
      <c r="T743" s="398">
        <f>uitkomst_doelgroep[[#This Row],[Overige besparingen (€)]]*uitkomst_doelgroep[[#This Row],[Percentage van patiëntaantallen in Wlz (overige is Zvw)]]</f>
        <v>0</v>
      </c>
      <c r="U743" s="398">
        <f>uitkomst_doelgroep[[#This Row],[Kosten (€)]]*uitkomst_doelgroep[[#This Row],[Percentage van patiëntaantallen in Wlz (overige is Zvw)]]</f>
        <v>0</v>
      </c>
      <c r="V743" s="398">
        <f>uitkomst_doelgroep[[#This Row],[Investering (cash flow) (€)]]*uitkomst_doelgroep[[#This Row],[Percentage van patiëntaantallen in Wlz (overige is Zvw)]]</f>
        <v>0</v>
      </c>
    </row>
    <row r="744" spans="1:22" x14ac:dyDescent="0.5">
      <c r="A744" s="33" t="str">
        <f>INDEX(Technologieën[Veld],MATCH(B744,Technologieën[Digitale zorgtoepassing],0))</f>
        <v>Software - Behandeling</v>
      </c>
      <c r="B744" s="33" t="s">
        <v>588</v>
      </c>
      <c r="C744" s="33" t="s">
        <v>589</v>
      </c>
      <c r="D744" s="427" cm="1">
        <f t="array" ref="D744">INDEX(Berekening_patiëntaantal[Percentage van patiëntaantallen in Wlz (overige is Zvw)],MATCH(B744,IF(Berekening_patiëntaantal[Doelgroep (zoeksleutel)]=C744,Berekening_patiëntaantal[Digitale zorgtoepassing]),0))</f>
        <v>0</v>
      </c>
      <c r="E744" s="33" t="str" cm="1">
        <f t="array" ref="E744">INDEX(Berekening_patiëntaantal[Direct toepasbaar/extrapolatie/incidentie voor QALY],MATCH(B744,IF(Berekening_patiëntaantal[Doelgroep (zoeksleutel)]=C744,Berekening_patiëntaantal[Digitale zorgtoepassing]),0))</f>
        <v>Extrapolatie</v>
      </c>
      <c r="F744" s="33" t="s">
        <v>813</v>
      </c>
      <c r="G744" s="33" t="str">
        <f>CONCATENATE(uitkomst_doelgroep[[#This Row],[Digitale zorgtoepassing]],"_",uitkomst_doelgroep[[#This Row],[Doelgroep]],"_",uitkomst_doelgroep[[#This Row],[Uitgangssituatie/effect beleid]])</f>
        <v>Digitale zorg logopedie_Overige_zittingen_Uitgangssituatie</v>
      </c>
      <c r="H744" s="33">
        <v>2025</v>
      </c>
      <c r="I744" s="32">
        <v>3</v>
      </c>
      <c r="J744" s="406" cm="1">
        <f t="array" ref="J744">INDEX(implementatie[[2023]:[2034]],MATCH(G744, implementatie[Zoeksleutel],0),I744)</f>
        <v>0</v>
      </c>
      <c r="K744" s="406" cm="1">
        <f t="array" ref="K744">INDEX(implementatie[[2023]:[2034]],MATCH(G744,implementatie[Zoeksleutel],0),I744 + 1)</f>
        <v>0</v>
      </c>
      <c r="L74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744" s="398" cm="1">
        <f t="array" ref="M744">J744*INDEX(Berekening_impact[Totaal arbeidsbesparing (€/jaar)],MATCH(B744,IF(Berekening_impact[Doelgroep]=C744,Berekening_impact[Digitale zorgtoepassing]),0))</f>
        <v>0</v>
      </c>
      <c r="N744" s="397" cm="1">
        <f t="array" ref="N744">J744*INDEX(Berekening_impact[Totaal arbeidsbesparing (FTE/jaar)],MATCH(B744,IF(Berekening_impact[Doelgroep]=C744,Berekening_impact[Digitale zorgtoepassing]),0))</f>
        <v>0</v>
      </c>
      <c r="O744" s="398" cm="1">
        <f t="array" ref="O744">J744*INDEX(Berekening_impact[Overige kostenbesparing (totaal/jaar totaal potentieel)],MATCH(B744,IF(Berekening_impact[Doelgroep]=C744,Berekening_impact[Digitale zorgtoepassing]),0))</f>
        <v>0</v>
      </c>
      <c r="P744" s="398" cm="1">
        <f t="array" ref="P744">J744*INDEX(Berekening_impact[Opbrengsten door QALY''s],MATCH(B744,IF(Berekening_impact[Doelgroep]=C744,Berekening_impact[Digitale zorgtoepassing]),0))</f>
        <v>0</v>
      </c>
      <c r="Q744" s="398" cm="1">
        <f t="array" ref="Q744">J744*INDEX(Berekening_impact[Jaarlijkse kosten (totaal) - incl. schatting],MATCH(B744,IF(Berekening_impact[Doelgroep]=C744,Berekening_impact[Digitale zorgtoepassing]),0))</f>
        <v>0</v>
      </c>
      <c r="R744" s="398" cm="1">
        <f t="array" ref="R744">(uitkomst_doelgroep[[#This Row],[Implementatiegraad t = T + 1]]-uitkomst_doelgroep[[#This Row],[Implementatiegraad t = T]])*INDEX(Berekening_impact[Initiële investering (totaal) - incl. schatting],MATCH(B744,IF(Berekening_impact[Doelgroep]=C744,Berekening_impact[Digitale zorgtoepassing]),0))</f>
        <v>0</v>
      </c>
      <c r="S744" s="398">
        <f>uitkomst_doelgroep[[#This Row],[Arbeidsbesparing (€)]]*uitkomst_doelgroep[[#This Row],[Percentage van patiëntaantallen in Wlz (overige is Zvw)]]</f>
        <v>0</v>
      </c>
      <c r="T744" s="398">
        <f>uitkomst_doelgroep[[#This Row],[Overige besparingen (€)]]*uitkomst_doelgroep[[#This Row],[Percentage van patiëntaantallen in Wlz (overige is Zvw)]]</f>
        <v>0</v>
      </c>
      <c r="U744" s="398">
        <f>uitkomst_doelgroep[[#This Row],[Kosten (€)]]*uitkomst_doelgroep[[#This Row],[Percentage van patiëntaantallen in Wlz (overige is Zvw)]]</f>
        <v>0</v>
      </c>
      <c r="V744" s="398">
        <f>uitkomst_doelgroep[[#This Row],[Investering (cash flow) (€)]]*uitkomst_doelgroep[[#This Row],[Percentage van patiëntaantallen in Wlz (overige is Zvw)]]</f>
        <v>0</v>
      </c>
    </row>
    <row r="745" spans="1:22" x14ac:dyDescent="0.5">
      <c r="A745" s="33" t="str">
        <f>INDEX(Technologieën[Veld],MATCH(B745,Technologieën[Digitale zorgtoepassing],0))</f>
        <v>Software - Behandeling</v>
      </c>
      <c r="B745" s="33" t="s">
        <v>588</v>
      </c>
      <c r="C745" s="33" t="s">
        <v>589</v>
      </c>
      <c r="D745" s="427" cm="1">
        <f t="array" ref="D745">INDEX(Berekening_patiëntaantal[Percentage van patiëntaantallen in Wlz (overige is Zvw)],MATCH(B745,IF(Berekening_patiëntaantal[Doelgroep (zoeksleutel)]=C745,Berekening_patiëntaantal[Digitale zorgtoepassing]),0))</f>
        <v>0</v>
      </c>
      <c r="E745" s="33" t="str" cm="1">
        <f t="array" ref="E745">INDEX(Berekening_patiëntaantal[Direct toepasbaar/extrapolatie/incidentie voor QALY],MATCH(B745,IF(Berekening_patiëntaantal[Doelgroep (zoeksleutel)]=C745,Berekening_patiëntaantal[Digitale zorgtoepassing]),0))</f>
        <v>Extrapolatie</v>
      </c>
      <c r="F745" s="33" t="s">
        <v>813</v>
      </c>
      <c r="G745" s="33" t="str">
        <f>CONCATENATE(uitkomst_doelgroep[[#This Row],[Digitale zorgtoepassing]],"_",uitkomst_doelgroep[[#This Row],[Doelgroep]],"_",uitkomst_doelgroep[[#This Row],[Uitgangssituatie/effect beleid]])</f>
        <v>Digitale zorg logopedie_Overige_zittingen_Uitgangssituatie</v>
      </c>
      <c r="H745" s="33">
        <v>2026</v>
      </c>
      <c r="I745" s="32">
        <v>4</v>
      </c>
      <c r="J745" s="406" cm="1">
        <f t="array" ref="J745">INDEX(implementatie[[2023]:[2034]],MATCH(G745, implementatie[Zoeksleutel],0),I745)</f>
        <v>0</v>
      </c>
      <c r="K745" s="406" cm="1">
        <f t="array" ref="K745">INDEX(implementatie[[2023]:[2034]],MATCH(G745,implementatie[Zoeksleutel],0),I745 + 1)</f>
        <v>0</v>
      </c>
      <c r="L74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745" s="398" cm="1">
        <f t="array" ref="M745">J745*INDEX(Berekening_impact[Totaal arbeidsbesparing (€/jaar)],MATCH(B745,IF(Berekening_impact[Doelgroep]=C745,Berekening_impact[Digitale zorgtoepassing]),0))</f>
        <v>0</v>
      </c>
      <c r="N745" s="397" cm="1">
        <f t="array" ref="N745">J745*INDEX(Berekening_impact[Totaal arbeidsbesparing (FTE/jaar)],MATCH(B745,IF(Berekening_impact[Doelgroep]=C745,Berekening_impact[Digitale zorgtoepassing]),0))</f>
        <v>0</v>
      </c>
      <c r="O745" s="398" cm="1">
        <f t="array" ref="O745">J745*INDEX(Berekening_impact[Overige kostenbesparing (totaal/jaar totaal potentieel)],MATCH(B745,IF(Berekening_impact[Doelgroep]=C745,Berekening_impact[Digitale zorgtoepassing]),0))</f>
        <v>0</v>
      </c>
      <c r="P745" s="398" cm="1">
        <f t="array" ref="P745">J745*INDEX(Berekening_impact[Opbrengsten door QALY''s],MATCH(B745,IF(Berekening_impact[Doelgroep]=C745,Berekening_impact[Digitale zorgtoepassing]),0))</f>
        <v>0</v>
      </c>
      <c r="Q745" s="398" cm="1">
        <f t="array" ref="Q745">J745*INDEX(Berekening_impact[Jaarlijkse kosten (totaal) - incl. schatting],MATCH(B745,IF(Berekening_impact[Doelgroep]=C745,Berekening_impact[Digitale zorgtoepassing]),0))</f>
        <v>0</v>
      </c>
      <c r="R745" s="398" cm="1">
        <f t="array" ref="R745">(uitkomst_doelgroep[[#This Row],[Implementatiegraad t = T + 1]]-uitkomst_doelgroep[[#This Row],[Implementatiegraad t = T]])*INDEX(Berekening_impact[Initiële investering (totaal) - incl. schatting],MATCH(B745,IF(Berekening_impact[Doelgroep]=C745,Berekening_impact[Digitale zorgtoepassing]),0))</f>
        <v>0</v>
      </c>
      <c r="S745" s="398">
        <f>uitkomst_doelgroep[[#This Row],[Arbeidsbesparing (€)]]*uitkomst_doelgroep[[#This Row],[Percentage van patiëntaantallen in Wlz (overige is Zvw)]]</f>
        <v>0</v>
      </c>
      <c r="T745" s="398">
        <f>uitkomst_doelgroep[[#This Row],[Overige besparingen (€)]]*uitkomst_doelgroep[[#This Row],[Percentage van patiëntaantallen in Wlz (overige is Zvw)]]</f>
        <v>0</v>
      </c>
      <c r="U745" s="398">
        <f>uitkomst_doelgroep[[#This Row],[Kosten (€)]]*uitkomst_doelgroep[[#This Row],[Percentage van patiëntaantallen in Wlz (overige is Zvw)]]</f>
        <v>0</v>
      </c>
      <c r="V745" s="398">
        <f>uitkomst_doelgroep[[#This Row],[Investering (cash flow) (€)]]*uitkomst_doelgroep[[#This Row],[Percentage van patiëntaantallen in Wlz (overige is Zvw)]]</f>
        <v>0</v>
      </c>
    </row>
    <row r="746" spans="1:22" x14ac:dyDescent="0.5">
      <c r="A746" s="33" t="str">
        <f>INDEX(Technologieën[Veld],MATCH(B746,Technologieën[Digitale zorgtoepassing],0))</f>
        <v>Software - Behandeling</v>
      </c>
      <c r="B746" s="33" t="s">
        <v>588</v>
      </c>
      <c r="C746" s="33" t="s">
        <v>589</v>
      </c>
      <c r="D746" s="427" cm="1">
        <f t="array" ref="D746">INDEX(Berekening_patiëntaantal[Percentage van patiëntaantallen in Wlz (overige is Zvw)],MATCH(B746,IF(Berekening_patiëntaantal[Doelgroep (zoeksleutel)]=C746,Berekening_patiëntaantal[Digitale zorgtoepassing]),0))</f>
        <v>0</v>
      </c>
      <c r="E746" s="33" t="str" cm="1">
        <f t="array" ref="E746">INDEX(Berekening_patiëntaantal[Direct toepasbaar/extrapolatie/incidentie voor QALY],MATCH(B746,IF(Berekening_patiëntaantal[Doelgroep (zoeksleutel)]=C746,Berekening_patiëntaantal[Digitale zorgtoepassing]),0))</f>
        <v>Extrapolatie</v>
      </c>
      <c r="F746" s="33" t="s">
        <v>813</v>
      </c>
      <c r="G746" s="33" t="str">
        <f>CONCATENATE(uitkomst_doelgroep[[#This Row],[Digitale zorgtoepassing]],"_",uitkomst_doelgroep[[#This Row],[Doelgroep]],"_",uitkomst_doelgroep[[#This Row],[Uitgangssituatie/effect beleid]])</f>
        <v>Digitale zorg logopedie_Overige_zittingen_Uitgangssituatie</v>
      </c>
      <c r="H746" s="33">
        <v>2027</v>
      </c>
      <c r="I746" s="32">
        <v>5</v>
      </c>
      <c r="J746" s="406" cm="1">
        <f t="array" ref="J746">INDEX(implementatie[[2023]:[2034]],MATCH(G746, implementatie[Zoeksleutel],0),I746)</f>
        <v>0</v>
      </c>
      <c r="K746" s="406" cm="1">
        <f t="array" ref="K746">INDEX(implementatie[[2023]:[2034]],MATCH(G746,implementatie[Zoeksleutel],0),I746 + 1)</f>
        <v>0.01</v>
      </c>
      <c r="L74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746" s="398" cm="1">
        <f t="array" ref="M746">J746*INDEX(Berekening_impact[Totaal arbeidsbesparing (€/jaar)],MATCH(B746,IF(Berekening_impact[Doelgroep]=C746,Berekening_impact[Digitale zorgtoepassing]),0))</f>
        <v>0</v>
      </c>
      <c r="N746" s="397" cm="1">
        <f t="array" ref="N746">J746*INDEX(Berekening_impact[Totaal arbeidsbesparing (FTE/jaar)],MATCH(B746,IF(Berekening_impact[Doelgroep]=C746,Berekening_impact[Digitale zorgtoepassing]),0))</f>
        <v>0</v>
      </c>
      <c r="O746" s="398" cm="1">
        <f t="array" ref="O746">J746*INDEX(Berekening_impact[Overige kostenbesparing (totaal/jaar totaal potentieel)],MATCH(B746,IF(Berekening_impact[Doelgroep]=C746,Berekening_impact[Digitale zorgtoepassing]),0))</f>
        <v>0</v>
      </c>
      <c r="P746" s="398" cm="1">
        <f t="array" ref="P746">J746*INDEX(Berekening_impact[Opbrengsten door QALY''s],MATCH(B746,IF(Berekening_impact[Doelgroep]=C746,Berekening_impact[Digitale zorgtoepassing]),0))</f>
        <v>0</v>
      </c>
      <c r="Q746" s="398" cm="1">
        <f t="array" ref="Q746">J746*INDEX(Berekening_impact[Jaarlijkse kosten (totaal) - incl. schatting],MATCH(B746,IF(Berekening_impact[Doelgroep]=C746,Berekening_impact[Digitale zorgtoepassing]),0))</f>
        <v>0</v>
      </c>
      <c r="R746" s="398" cm="1">
        <f t="array" ref="R746">(uitkomst_doelgroep[[#This Row],[Implementatiegraad t = T + 1]]-uitkomst_doelgroep[[#This Row],[Implementatiegraad t = T]])*INDEX(Berekening_impact[Initiële investering (totaal) - incl. schatting],MATCH(B746,IF(Berekening_impact[Doelgroep]=C746,Berekening_impact[Digitale zorgtoepassing]),0))</f>
        <v>0</v>
      </c>
      <c r="S746" s="398">
        <f>uitkomst_doelgroep[[#This Row],[Arbeidsbesparing (€)]]*uitkomst_doelgroep[[#This Row],[Percentage van patiëntaantallen in Wlz (overige is Zvw)]]</f>
        <v>0</v>
      </c>
      <c r="T746" s="398">
        <f>uitkomst_doelgroep[[#This Row],[Overige besparingen (€)]]*uitkomst_doelgroep[[#This Row],[Percentage van patiëntaantallen in Wlz (overige is Zvw)]]</f>
        <v>0</v>
      </c>
      <c r="U746" s="398">
        <f>uitkomst_doelgroep[[#This Row],[Kosten (€)]]*uitkomst_doelgroep[[#This Row],[Percentage van patiëntaantallen in Wlz (overige is Zvw)]]</f>
        <v>0</v>
      </c>
      <c r="V746" s="398">
        <f>uitkomst_doelgroep[[#This Row],[Investering (cash flow) (€)]]*uitkomst_doelgroep[[#This Row],[Percentage van patiëntaantallen in Wlz (overige is Zvw)]]</f>
        <v>0</v>
      </c>
    </row>
    <row r="747" spans="1:22" x14ac:dyDescent="0.5">
      <c r="A747" s="33" t="str">
        <f>INDEX(Technologieën[Veld],MATCH(B747,Technologieën[Digitale zorgtoepassing],0))</f>
        <v>Software - Behandeling</v>
      </c>
      <c r="B747" s="33" t="s">
        <v>588</v>
      </c>
      <c r="C747" s="33" t="s">
        <v>589</v>
      </c>
      <c r="D747" s="427" cm="1">
        <f t="array" ref="D747">INDEX(Berekening_patiëntaantal[Percentage van patiëntaantallen in Wlz (overige is Zvw)],MATCH(B747,IF(Berekening_patiëntaantal[Doelgroep (zoeksleutel)]=C747,Berekening_patiëntaantal[Digitale zorgtoepassing]),0))</f>
        <v>0</v>
      </c>
      <c r="E747" s="33" t="str" cm="1">
        <f t="array" ref="E747">INDEX(Berekening_patiëntaantal[Direct toepasbaar/extrapolatie/incidentie voor QALY],MATCH(B747,IF(Berekening_patiëntaantal[Doelgroep (zoeksleutel)]=C747,Berekening_patiëntaantal[Digitale zorgtoepassing]),0))</f>
        <v>Extrapolatie</v>
      </c>
      <c r="F747" s="33" t="s">
        <v>813</v>
      </c>
      <c r="G747" s="33" t="str">
        <f>CONCATENATE(uitkomst_doelgroep[[#This Row],[Digitale zorgtoepassing]],"_",uitkomst_doelgroep[[#This Row],[Doelgroep]],"_",uitkomst_doelgroep[[#This Row],[Uitgangssituatie/effect beleid]])</f>
        <v>Digitale zorg logopedie_Overige_zittingen_Uitgangssituatie</v>
      </c>
      <c r="H747" s="33">
        <v>2028</v>
      </c>
      <c r="I747" s="32">
        <v>6</v>
      </c>
      <c r="J747" s="406" cm="1">
        <f t="array" ref="J747">INDEX(implementatie[[2023]:[2034]],MATCH(G747, implementatie[Zoeksleutel],0),I747)</f>
        <v>0.01</v>
      </c>
      <c r="K747" s="406" cm="1">
        <f t="array" ref="K747">INDEX(implementatie[[2023]:[2034]],MATCH(G747,implementatie[Zoeksleutel],0),I747 + 1)</f>
        <v>2.2870000000000001E-2</v>
      </c>
      <c r="L74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350</v>
      </c>
      <c r="M747" s="398" cm="1">
        <f t="array" ref="M747">J747*INDEX(Berekening_impact[Totaal arbeidsbesparing (€/jaar)],MATCH(B747,IF(Berekening_impact[Doelgroep]=C747,Berekening_impact[Digitale zorgtoepassing]),0))</f>
        <v>376198.70689655177</v>
      </c>
      <c r="N747" s="397" cm="1">
        <f t="array" ref="N747">J747*INDEX(Berekening_impact[Totaal arbeidsbesparing (FTE/jaar)],MATCH(B747,IF(Berekening_impact[Doelgroep]=C747,Berekening_impact[Digitale zorgtoepassing]),0))</f>
        <v>8.75</v>
      </c>
      <c r="O747" s="398" cm="1">
        <f t="array" ref="O747">J747*INDEX(Berekening_impact[Overige kostenbesparing (totaal/jaar totaal potentieel)],MATCH(B747,IF(Berekening_impact[Doelgroep]=C747,Berekening_impact[Digitale zorgtoepassing]),0))</f>
        <v>0</v>
      </c>
      <c r="P747" s="398" cm="1">
        <f t="array" ref="P747">J747*INDEX(Berekening_impact[Opbrengsten door QALY''s],MATCH(B747,IF(Berekening_impact[Doelgroep]=C747,Berekening_impact[Digitale zorgtoepassing]),0))</f>
        <v>0</v>
      </c>
      <c r="Q747" s="398" cm="1">
        <f t="array" ref="Q747">J747*INDEX(Berekening_impact[Jaarlijkse kosten (totaal) - incl. schatting],MATCH(B747,IF(Berekening_impact[Doelgroep]=C747,Berekening_impact[Digitale zorgtoepassing]),0))</f>
        <v>49000.029749999994</v>
      </c>
      <c r="R747" s="398" cm="1">
        <f t="array" ref="R747">(uitkomst_doelgroep[[#This Row],[Implementatiegraad t = T + 1]]-uitkomst_doelgroep[[#This Row],[Implementatiegraad t = T]])*INDEX(Berekening_impact[Initiële investering (totaal) - incl. schatting],MATCH(B747,IF(Berekening_impact[Doelgroep]=C747,Berekening_impact[Digitale zorgtoepassing]),0))</f>
        <v>0</v>
      </c>
      <c r="S747" s="398">
        <f>uitkomst_doelgroep[[#This Row],[Arbeidsbesparing (€)]]*uitkomst_doelgroep[[#This Row],[Percentage van patiëntaantallen in Wlz (overige is Zvw)]]</f>
        <v>0</v>
      </c>
      <c r="T747" s="398">
        <f>uitkomst_doelgroep[[#This Row],[Overige besparingen (€)]]*uitkomst_doelgroep[[#This Row],[Percentage van patiëntaantallen in Wlz (overige is Zvw)]]</f>
        <v>0</v>
      </c>
      <c r="U747" s="398">
        <f>uitkomst_doelgroep[[#This Row],[Kosten (€)]]*uitkomst_doelgroep[[#This Row],[Percentage van patiëntaantallen in Wlz (overige is Zvw)]]</f>
        <v>0</v>
      </c>
      <c r="V747" s="398">
        <f>uitkomst_doelgroep[[#This Row],[Investering (cash flow) (€)]]*uitkomst_doelgroep[[#This Row],[Percentage van patiëntaantallen in Wlz (overige is Zvw)]]</f>
        <v>0</v>
      </c>
    </row>
    <row r="748" spans="1:22" x14ac:dyDescent="0.5">
      <c r="A748" s="33" t="str">
        <f>INDEX(Technologieën[Veld],MATCH(B748,Technologieën[Digitale zorgtoepassing],0))</f>
        <v>Software - Behandeling</v>
      </c>
      <c r="B748" s="33" t="s">
        <v>588</v>
      </c>
      <c r="C748" s="33" t="s">
        <v>589</v>
      </c>
      <c r="D748" s="427" cm="1">
        <f t="array" ref="D748">INDEX(Berekening_patiëntaantal[Percentage van patiëntaantallen in Wlz (overige is Zvw)],MATCH(B748,IF(Berekening_patiëntaantal[Doelgroep (zoeksleutel)]=C748,Berekening_patiëntaantal[Digitale zorgtoepassing]),0))</f>
        <v>0</v>
      </c>
      <c r="E748" s="33" t="str" cm="1">
        <f t="array" ref="E748">INDEX(Berekening_patiëntaantal[Direct toepasbaar/extrapolatie/incidentie voor QALY],MATCH(B748,IF(Berekening_patiëntaantal[Doelgroep (zoeksleutel)]=C748,Berekening_patiëntaantal[Digitale zorgtoepassing]),0))</f>
        <v>Extrapolatie</v>
      </c>
      <c r="F748" s="33" t="s">
        <v>813</v>
      </c>
      <c r="G748" s="33" t="str">
        <f>CONCATENATE(uitkomst_doelgroep[[#This Row],[Digitale zorgtoepassing]],"_",uitkomst_doelgroep[[#This Row],[Doelgroep]],"_",uitkomst_doelgroep[[#This Row],[Uitgangssituatie/effect beleid]])</f>
        <v>Digitale zorg logopedie_Overige_zittingen_Uitgangssituatie</v>
      </c>
      <c r="H748" s="33">
        <v>2029</v>
      </c>
      <c r="I748" s="32">
        <v>7</v>
      </c>
      <c r="J748" s="406" cm="1">
        <f t="array" ref="J748">INDEX(implementatie[[2023]:[2034]],MATCH(G748, implementatie[Zoeksleutel],0),I748)</f>
        <v>2.2870000000000001E-2</v>
      </c>
      <c r="K748" s="406" cm="1">
        <f t="array" ref="K748">INDEX(implementatie[[2023]:[2034]],MATCH(G748,implementatie[Zoeksleutel],0),I748 + 1)</f>
        <v>3.9345388929999996E-2</v>
      </c>
      <c r="L74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800.45</v>
      </c>
      <c r="M748" s="398" cm="1">
        <f t="array" ref="M748">J748*INDEX(Berekening_impact[Totaal arbeidsbesparing (€/jaar)],MATCH(B748,IF(Berekening_impact[Doelgroep]=C748,Berekening_impact[Digitale zorgtoepassing]),0))</f>
        <v>860366.44267241401</v>
      </c>
      <c r="N748" s="397" cm="1">
        <f t="array" ref="N748">J748*INDEX(Berekening_impact[Totaal arbeidsbesparing (FTE/jaar)],MATCH(B748,IF(Berekening_impact[Doelgroep]=C748,Berekening_impact[Digitale zorgtoepassing]),0))</f>
        <v>20.01125</v>
      </c>
      <c r="O748" s="398" cm="1">
        <f t="array" ref="O748">J748*INDEX(Berekening_impact[Overige kostenbesparing (totaal/jaar totaal potentieel)],MATCH(B748,IF(Berekening_impact[Doelgroep]=C748,Berekening_impact[Digitale zorgtoepassing]),0))</f>
        <v>0</v>
      </c>
      <c r="P748" s="398" cm="1">
        <f t="array" ref="P748">J748*INDEX(Berekening_impact[Opbrengsten door QALY''s],MATCH(B748,IF(Berekening_impact[Doelgroep]=C748,Berekening_impact[Digitale zorgtoepassing]),0))</f>
        <v>0</v>
      </c>
      <c r="Q748" s="398" cm="1">
        <f t="array" ref="Q748">J748*INDEX(Berekening_impact[Jaarlijkse kosten (totaal) - incl. schatting],MATCH(B748,IF(Berekening_impact[Doelgroep]=C748,Berekening_impact[Digitale zorgtoepassing]),0))</f>
        <v>112063.06803825</v>
      </c>
      <c r="R748" s="398" cm="1">
        <f t="array" ref="R748">(uitkomst_doelgroep[[#This Row],[Implementatiegraad t = T + 1]]-uitkomst_doelgroep[[#This Row],[Implementatiegraad t = T]])*INDEX(Berekening_impact[Initiële investering (totaal) - incl. schatting],MATCH(B748,IF(Berekening_impact[Doelgroep]=C748,Berekening_impact[Digitale zorgtoepassing]),0))</f>
        <v>0</v>
      </c>
      <c r="S748" s="398">
        <f>uitkomst_doelgroep[[#This Row],[Arbeidsbesparing (€)]]*uitkomst_doelgroep[[#This Row],[Percentage van patiëntaantallen in Wlz (overige is Zvw)]]</f>
        <v>0</v>
      </c>
      <c r="T748" s="398">
        <f>uitkomst_doelgroep[[#This Row],[Overige besparingen (€)]]*uitkomst_doelgroep[[#This Row],[Percentage van patiëntaantallen in Wlz (overige is Zvw)]]</f>
        <v>0</v>
      </c>
      <c r="U748" s="398">
        <f>uitkomst_doelgroep[[#This Row],[Kosten (€)]]*uitkomst_doelgroep[[#This Row],[Percentage van patiëntaantallen in Wlz (overige is Zvw)]]</f>
        <v>0</v>
      </c>
      <c r="V748" s="398">
        <f>uitkomst_doelgroep[[#This Row],[Investering (cash flow) (€)]]*uitkomst_doelgroep[[#This Row],[Percentage van patiëntaantallen in Wlz (overige is Zvw)]]</f>
        <v>0</v>
      </c>
    </row>
    <row r="749" spans="1:22" x14ac:dyDescent="0.5">
      <c r="A749" s="33" t="str">
        <f>INDEX(Technologieën[Veld],MATCH(B749,Technologieën[Digitale zorgtoepassing],0))</f>
        <v>Software - Behandeling</v>
      </c>
      <c r="B749" s="33" t="s">
        <v>588</v>
      </c>
      <c r="C749" s="33" t="s">
        <v>589</v>
      </c>
      <c r="D749" s="427" cm="1">
        <f t="array" ref="D749">INDEX(Berekening_patiëntaantal[Percentage van patiëntaantallen in Wlz (overige is Zvw)],MATCH(B749,IF(Berekening_patiëntaantal[Doelgroep (zoeksleutel)]=C749,Berekening_patiëntaantal[Digitale zorgtoepassing]),0))</f>
        <v>0</v>
      </c>
      <c r="E749" s="33" t="str" cm="1">
        <f t="array" ref="E749">INDEX(Berekening_patiëntaantal[Direct toepasbaar/extrapolatie/incidentie voor QALY],MATCH(B749,IF(Berekening_patiëntaantal[Doelgroep (zoeksleutel)]=C749,Berekening_patiëntaantal[Digitale zorgtoepassing]),0))</f>
        <v>Extrapolatie</v>
      </c>
      <c r="F749" s="33" t="s">
        <v>813</v>
      </c>
      <c r="G749" s="33" t="str">
        <f>CONCATENATE(uitkomst_doelgroep[[#This Row],[Digitale zorgtoepassing]],"_",uitkomst_doelgroep[[#This Row],[Doelgroep]],"_",uitkomst_doelgroep[[#This Row],[Uitgangssituatie/effect beleid]])</f>
        <v>Digitale zorg logopedie_Overige_zittingen_Uitgangssituatie</v>
      </c>
      <c r="H749" s="33">
        <v>2030</v>
      </c>
      <c r="I749" s="32">
        <v>8</v>
      </c>
      <c r="J749" s="406" cm="1">
        <f t="array" ref="J749">INDEX(implementatie[[2023]:[2034]],MATCH(G749, implementatie[Zoeksleutel],0),I749)</f>
        <v>3.9345388929999996E-2</v>
      </c>
      <c r="K749" s="406" cm="1">
        <f t="array" ref="K749">INDEX(implementatie[[2023]:[2034]],MATCH(G749,implementatie[Zoeksleutel],0),I749 + 1)</f>
        <v>6.0291133830684102E-2</v>
      </c>
      <c r="L74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1377.0886125499999</v>
      </c>
      <c r="M749" s="398" cm="1">
        <f t="array" ref="M749">J749*INDEX(Berekening_impact[Totaal arbeidsbesparing (€/jaar)],MATCH(B749,IF(Berekening_impact[Doelgroep]=C749,Berekening_impact[Digitale zorgtoepassing]),0))</f>
        <v>1480168.4437807901</v>
      </c>
      <c r="N749" s="397" cm="1">
        <f t="array" ref="N749">J749*INDEX(Berekening_impact[Totaal arbeidsbesparing (FTE/jaar)],MATCH(B749,IF(Berekening_impact[Doelgroep]=C749,Berekening_impact[Digitale zorgtoepassing]),0))</f>
        <v>34.427215313749997</v>
      </c>
      <c r="O749" s="398" cm="1">
        <f t="array" ref="O749">J749*INDEX(Berekening_impact[Overige kostenbesparing (totaal/jaar totaal potentieel)],MATCH(B749,IF(Berekening_impact[Doelgroep]=C749,Berekening_impact[Digitale zorgtoepassing]),0))</f>
        <v>0</v>
      </c>
      <c r="P749" s="398" cm="1">
        <f t="array" ref="P749">J749*INDEX(Berekening_impact[Opbrengsten door QALY''s],MATCH(B749,IF(Berekening_impact[Doelgroep]=C749,Berekening_impact[Digitale zorgtoepassing]),0))</f>
        <v>0</v>
      </c>
      <c r="Q749" s="398" cm="1">
        <f t="array" ref="Q749">J749*INDEX(Berekening_impact[Jaarlijkse kosten (totaal) - incl. schatting],MATCH(B749,IF(Berekening_impact[Doelgroep]=C749,Berekening_impact[Digitale zorgtoepassing]),0))</f>
        <v>192792.52280953203</v>
      </c>
      <c r="R749" s="398" cm="1">
        <f t="array" ref="R749">(uitkomst_doelgroep[[#This Row],[Implementatiegraad t = T + 1]]-uitkomst_doelgroep[[#This Row],[Implementatiegraad t = T]])*INDEX(Berekening_impact[Initiële investering (totaal) - incl. schatting],MATCH(B749,IF(Berekening_impact[Doelgroep]=C749,Berekening_impact[Digitale zorgtoepassing]),0))</f>
        <v>0</v>
      </c>
      <c r="S749" s="398">
        <f>uitkomst_doelgroep[[#This Row],[Arbeidsbesparing (€)]]*uitkomst_doelgroep[[#This Row],[Percentage van patiëntaantallen in Wlz (overige is Zvw)]]</f>
        <v>0</v>
      </c>
      <c r="T749" s="398">
        <f>uitkomst_doelgroep[[#This Row],[Overige besparingen (€)]]*uitkomst_doelgroep[[#This Row],[Percentage van patiëntaantallen in Wlz (overige is Zvw)]]</f>
        <v>0</v>
      </c>
      <c r="U749" s="398">
        <f>uitkomst_doelgroep[[#This Row],[Kosten (€)]]*uitkomst_doelgroep[[#This Row],[Percentage van patiëntaantallen in Wlz (overige is Zvw)]]</f>
        <v>0</v>
      </c>
      <c r="V749" s="398">
        <f>uitkomst_doelgroep[[#This Row],[Investering (cash flow) (€)]]*uitkomst_doelgroep[[#This Row],[Percentage van patiëntaantallen in Wlz (overige is Zvw)]]</f>
        <v>0</v>
      </c>
    </row>
    <row r="750" spans="1:22" x14ac:dyDescent="0.5">
      <c r="A750" s="33" t="str">
        <f>INDEX(Technologieën[Veld],MATCH(B750,Technologieën[Digitale zorgtoepassing],0))</f>
        <v>Software - Behandeling</v>
      </c>
      <c r="B750" s="33" t="s">
        <v>588</v>
      </c>
      <c r="C750" s="33" t="s">
        <v>589</v>
      </c>
      <c r="D750" s="427" cm="1">
        <f t="array" ref="D750">INDEX(Berekening_patiëntaantal[Percentage van patiëntaantallen in Wlz (overige is Zvw)],MATCH(B750,IF(Berekening_patiëntaantal[Doelgroep (zoeksleutel)]=C750,Berekening_patiëntaantal[Digitale zorgtoepassing]),0))</f>
        <v>0</v>
      </c>
      <c r="E750" s="33" t="str" cm="1">
        <f t="array" ref="E750">INDEX(Berekening_patiëntaantal[Direct toepasbaar/extrapolatie/incidentie voor QALY],MATCH(B750,IF(Berekening_patiëntaantal[Doelgroep (zoeksleutel)]=C750,Berekening_patiëntaantal[Digitale zorgtoepassing]),0))</f>
        <v>Extrapolatie</v>
      </c>
      <c r="F750" s="33" t="s">
        <v>813</v>
      </c>
      <c r="G750" s="33" t="str">
        <f>CONCATENATE(uitkomst_doelgroep[[#This Row],[Digitale zorgtoepassing]],"_",uitkomst_doelgroep[[#This Row],[Doelgroep]],"_",uitkomst_doelgroep[[#This Row],[Uitgangssituatie/effect beleid]])</f>
        <v>Digitale zorg logopedie_Overige_zittingen_Uitgangssituatie</v>
      </c>
      <c r="H750" s="33">
        <v>2031</v>
      </c>
      <c r="I750" s="32">
        <v>9</v>
      </c>
      <c r="J750" s="406" cm="1">
        <f t="array" ref="J750">INDEX(implementatie[[2023]:[2034]],MATCH(G750, implementatie[Zoeksleutel],0),I750)</f>
        <v>6.0291133830684102E-2</v>
      </c>
      <c r="K750" s="406" cm="1">
        <f t="array" ref="K750">INDEX(implementatie[[2023]:[2034]],MATCH(G750,implementatie[Zoeksleutel],0),I750 + 1)</f>
        <v>8.6685056396005655E-2</v>
      </c>
      <c r="L75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2110.1896840739437</v>
      </c>
      <c r="M750" s="398" cm="1">
        <f t="array" ref="M750">J750*INDEX(Berekening_impact[Totaal arbeidsbesparing (€/jaar)],MATCH(B750,IF(Berekening_impact[Doelgroep]=C750,Berekening_impact[Digitale zorgtoepassing]),0))</f>
        <v>2268144.6584430304</v>
      </c>
      <c r="N750" s="397" cm="1">
        <f t="array" ref="N750">J750*INDEX(Berekening_impact[Totaal arbeidsbesparing (FTE/jaar)],MATCH(B750,IF(Berekening_impact[Doelgroep]=C750,Berekening_impact[Digitale zorgtoepassing]),0))</f>
        <v>52.754742101848592</v>
      </c>
      <c r="O750" s="398" cm="1">
        <f t="array" ref="O750">J750*INDEX(Berekening_impact[Overige kostenbesparing (totaal/jaar totaal potentieel)],MATCH(B750,IF(Berekening_impact[Doelgroep]=C750,Berekening_impact[Digitale zorgtoepassing]),0))</f>
        <v>0</v>
      </c>
      <c r="P750" s="398" cm="1">
        <f t="array" ref="P750">J750*INDEX(Berekening_impact[Opbrengsten door QALY''s],MATCH(B750,IF(Berekening_impact[Doelgroep]=C750,Berekening_impact[Digitale zorgtoepassing]),0))</f>
        <v>0</v>
      </c>
      <c r="Q750" s="398" cm="1">
        <f t="array" ref="Q750">J750*INDEX(Berekening_impact[Jaarlijkse kosten (totaal) - incl. schatting],MATCH(B750,IF(Berekening_impact[Doelgroep]=C750,Berekening_impact[Digitale zorgtoepassing]),0))</f>
        <v>295426.73513647524</v>
      </c>
      <c r="R750" s="398" cm="1">
        <f t="array" ref="R750">(uitkomst_doelgroep[[#This Row],[Implementatiegraad t = T + 1]]-uitkomst_doelgroep[[#This Row],[Implementatiegraad t = T]])*INDEX(Berekening_impact[Initiële investering (totaal) - incl. schatting],MATCH(B750,IF(Berekening_impact[Doelgroep]=C750,Berekening_impact[Digitale zorgtoepassing]),0))</f>
        <v>0</v>
      </c>
      <c r="S750" s="398">
        <f>uitkomst_doelgroep[[#This Row],[Arbeidsbesparing (€)]]*uitkomst_doelgroep[[#This Row],[Percentage van patiëntaantallen in Wlz (overige is Zvw)]]</f>
        <v>0</v>
      </c>
      <c r="T750" s="398">
        <f>uitkomst_doelgroep[[#This Row],[Overige besparingen (€)]]*uitkomst_doelgroep[[#This Row],[Percentage van patiëntaantallen in Wlz (overige is Zvw)]]</f>
        <v>0</v>
      </c>
      <c r="U750" s="398">
        <f>uitkomst_doelgroep[[#This Row],[Kosten (€)]]*uitkomst_doelgroep[[#This Row],[Percentage van patiëntaantallen in Wlz (overige is Zvw)]]</f>
        <v>0</v>
      </c>
      <c r="V750" s="398">
        <f>uitkomst_doelgroep[[#This Row],[Investering (cash flow) (€)]]*uitkomst_doelgroep[[#This Row],[Percentage van patiëntaantallen in Wlz (overige is Zvw)]]</f>
        <v>0</v>
      </c>
    </row>
    <row r="751" spans="1:22" x14ac:dyDescent="0.5">
      <c r="A751" s="33" t="str">
        <f>INDEX(Technologieën[Veld],MATCH(B751,Technologieën[Digitale zorgtoepassing],0))</f>
        <v>Software - Behandeling</v>
      </c>
      <c r="B751" s="33" t="s">
        <v>588</v>
      </c>
      <c r="C751" s="33" t="s">
        <v>589</v>
      </c>
      <c r="D751" s="427" cm="1">
        <f t="array" ref="D751">INDEX(Berekening_patiëntaantal[Percentage van patiëntaantallen in Wlz (overige is Zvw)],MATCH(B751,IF(Berekening_patiëntaantal[Doelgroep (zoeksleutel)]=C751,Berekening_patiëntaantal[Digitale zorgtoepassing]),0))</f>
        <v>0</v>
      </c>
      <c r="E751" s="33" t="str" cm="1">
        <f t="array" ref="E751">INDEX(Berekening_patiëntaantal[Direct toepasbaar/extrapolatie/incidentie voor QALY],MATCH(B751,IF(Berekening_patiëntaantal[Doelgroep (zoeksleutel)]=C751,Berekening_patiëntaantal[Digitale zorgtoepassing]),0))</f>
        <v>Extrapolatie</v>
      </c>
      <c r="F751" s="33" t="s">
        <v>813</v>
      </c>
      <c r="G751" s="33" t="str">
        <f>CONCATENATE(uitkomst_doelgroep[[#This Row],[Digitale zorgtoepassing]],"_",uitkomst_doelgroep[[#This Row],[Doelgroep]],"_",uitkomst_doelgroep[[#This Row],[Uitgangssituatie/effect beleid]])</f>
        <v>Digitale zorg logopedie_Overige_zittingen_Uitgangssituatie</v>
      </c>
      <c r="H751" s="33">
        <v>2032</v>
      </c>
      <c r="I751" s="32">
        <v>10</v>
      </c>
      <c r="J751" s="406" cm="1">
        <f t="array" ref="J751">INDEX(implementatie[[2023]:[2034]],MATCH(G751, implementatie[Zoeksleutel],0),I751)</f>
        <v>8.6685056396005655E-2</v>
      </c>
      <c r="K751" s="406" cm="1">
        <f t="array" ref="K751">INDEX(implementatie[[2023]:[2034]],MATCH(G751,implementatie[Zoeksleutel],0),I751 + 1)</f>
        <v>0.11956943305013369</v>
      </c>
      <c r="L75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3033.9769738601981</v>
      </c>
      <c r="M751" s="398" cm="1">
        <f t="array" ref="M751">J751*INDEX(Berekening_impact[Totaal arbeidsbesparing (€/jaar)],MATCH(B751,IF(Berekening_impact[Doelgroep]=C751,Berekening_impact[Digitale zorgtoepassing]),0))</f>
        <v>3261080.6123431991</v>
      </c>
      <c r="N751" s="397" cm="1">
        <f t="array" ref="N751">J751*INDEX(Berekening_impact[Totaal arbeidsbesparing (FTE/jaar)],MATCH(B751,IF(Berekening_impact[Doelgroep]=C751,Berekening_impact[Digitale zorgtoepassing]),0))</f>
        <v>75.849424346504946</v>
      </c>
      <c r="O751" s="398" cm="1">
        <f t="array" ref="O751">J751*INDEX(Berekening_impact[Overige kostenbesparing (totaal/jaar totaal potentieel)],MATCH(B751,IF(Berekening_impact[Doelgroep]=C751,Berekening_impact[Digitale zorgtoepassing]),0))</f>
        <v>0</v>
      </c>
      <c r="P751" s="398" cm="1">
        <f t="array" ref="P751">J751*INDEX(Berekening_impact[Opbrengsten door QALY''s],MATCH(B751,IF(Berekening_impact[Doelgroep]=C751,Berekening_impact[Digitale zorgtoepassing]),0))</f>
        <v>0</v>
      </c>
      <c r="Q751" s="398" cm="1">
        <f t="array" ref="Q751">J751*INDEX(Berekening_impact[Jaarlijkse kosten (totaal) - incl. schatting],MATCH(B751,IF(Berekening_impact[Doelgroep]=C751,Berekening_impact[Digitale zorgtoepassing]),0))</f>
        <v>424757.03422847047</v>
      </c>
      <c r="R751" s="398" cm="1">
        <f t="array" ref="R751">(uitkomst_doelgroep[[#This Row],[Implementatiegraad t = T + 1]]-uitkomst_doelgroep[[#This Row],[Implementatiegraad t = T]])*INDEX(Berekening_impact[Initiële investering (totaal) - incl. schatting],MATCH(B751,IF(Berekening_impact[Doelgroep]=C751,Berekening_impact[Digitale zorgtoepassing]),0))</f>
        <v>0</v>
      </c>
      <c r="S751" s="398">
        <f>uitkomst_doelgroep[[#This Row],[Arbeidsbesparing (€)]]*uitkomst_doelgroep[[#This Row],[Percentage van patiëntaantallen in Wlz (overige is Zvw)]]</f>
        <v>0</v>
      </c>
      <c r="T751" s="398">
        <f>uitkomst_doelgroep[[#This Row],[Overige besparingen (€)]]*uitkomst_doelgroep[[#This Row],[Percentage van patiëntaantallen in Wlz (overige is Zvw)]]</f>
        <v>0</v>
      </c>
      <c r="U751" s="398">
        <f>uitkomst_doelgroep[[#This Row],[Kosten (€)]]*uitkomst_doelgroep[[#This Row],[Percentage van patiëntaantallen in Wlz (overige is Zvw)]]</f>
        <v>0</v>
      </c>
      <c r="V751" s="398">
        <f>uitkomst_doelgroep[[#This Row],[Investering (cash flow) (€)]]*uitkomst_doelgroep[[#This Row],[Percentage van patiëntaantallen in Wlz (overige is Zvw)]]</f>
        <v>0</v>
      </c>
    </row>
    <row r="752" spans="1:22" x14ac:dyDescent="0.5">
      <c r="A752" s="33" t="str">
        <f>INDEX(Technologieën[Veld],MATCH(B752,Technologieën[Digitale zorgtoepassing],0))</f>
        <v>Software - Behandeling</v>
      </c>
      <c r="B752" s="33" t="s">
        <v>588</v>
      </c>
      <c r="C752" s="33" t="s">
        <v>589</v>
      </c>
      <c r="D752" s="427" cm="1">
        <f t="array" ref="D752">INDEX(Berekening_patiëntaantal[Percentage van patiëntaantallen in Wlz (overige is Zvw)],MATCH(B752,IF(Berekening_patiëntaantal[Doelgroep (zoeksleutel)]=C752,Berekening_patiëntaantal[Digitale zorgtoepassing]),0))</f>
        <v>0</v>
      </c>
      <c r="E752" s="33" t="str" cm="1">
        <f t="array" ref="E752">INDEX(Berekening_patiëntaantal[Direct toepasbaar/extrapolatie/incidentie voor QALY],MATCH(B752,IF(Berekening_patiëntaantal[Doelgroep (zoeksleutel)]=C752,Berekening_patiëntaantal[Digitale zorgtoepassing]),0))</f>
        <v>Extrapolatie</v>
      </c>
      <c r="F752" s="33" t="s">
        <v>813</v>
      </c>
      <c r="G752" s="33" t="str">
        <f>CONCATENATE(uitkomst_doelgroep[[#This Row],[Digitale zorgtoepassing]],"_",uitkomst_doelgroep[[#This Row],[Doelgroep]],"_",uitkomst_doelgroep[[#This Row],[Uitgangssituatie/effect beleid]])</f>
        <v>Digitale zorg logopedie_Overige_zittingen_Uitgangssituatie</v>
      </c>
      <c r="H752" s="33">
        <v>2033</v>
      </c>
      <c r="I752" s="32">
        <v>11</v>
      </c>
      <c r="J752" s="406" cm="1">
        <f t="array" ref="J752">INDEX(implementatie[[2023]:[2034]],MATCH(G752, implementatie[Zoeksleutel],0),I752)</f>
        <v>0.11956943305013369</v>
      </c>
      <c r="K752" s="406" cm="1">
        <f t="array" ref="K752">INDEX(implementatie[[2023]:[2034]],MATCH(G752,implementatie[Zoeksleutel],0),I752 + 1)</f>
        <v>0.15995551383869336</v>
      </c>
      <c r="L75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4184.930156754679</v>
      </c>
      <c r="M752" s="398" cm="1">
        <f t="array" ref="M752">J752*INDEX(Berekening_impact[Totaal arbeidsbesparing (€/jaar)],MATCH(B752,IF(Berekening_impact[Doelgroep]=C752,Berekening_impact[Digitale zorgtoepassing]),0))</f>
        <v>4498186.6097814115</v>
      </c>
      <c r="N752" s="397" cm="1">
        <f t="array" ref="N752">J752*INDEX(Berekening_impact[Totaal arbeidsbesparing (FTE/jaar)],MATCH(B752,IF(Berekening_impact[Doelgroep]=C752,Berekening_impact[Digitale zorgtoepassing]),0))</f>
        <v>104.62325391886698</v>
      </c>
      <c r="O752" s="398" cm="1">
        <f t="array" ref="O752">J752*INDEX(Berekening_impact[Overige kostenbesparing (totaal/jaar totaal potentieel)],MATCH(B752,IF(Berekening_impact[Doelgroep]=C752,Berekening_impact[Digitale zorgtoepassing]),0))</f>
        <v>0</v>
      </c>
      <c r="P752" s="398" cm="1">
        <f t="array" ref="P752">J752*INDEX(Berekening_impact[Opbrengsten door QALY''s],MATCH(B752,IF(Berekening_impact[Doelgroep]=C752,Berekening_impact[Digitale zorgtoepassing]),0))</f>
        <v>0</v>
      </c>
      <c r="Q752" s="398" cm="1">
        <f t="array" ref="Q752">J752*INDEX(Berekening_impact[Jaarlijkse kosten (totaal) - incl. schatting],MATCH(B752,IF(Berekening_impact[Doelgroep]=C752,Berekening_impact[Digitale zorgtoepassing]),0))</f>
        <v>585890.57766471838</v>
      </c>
      <c r="R752" s="398" cm="1">
        <f t="array" ref="R752">(uitkomst_doelgroep[[#This Row],[Implementatiegraad t = T + 1]]-uitkomst_doelgroep[[#This Row],[Implementatiegraad t = T]])*INDEX(Berekening_impact[Initiële investering (totaal) - incl. schatting],MATCH(B752,IF(Berekening_impact[Doelgroep]=C752,Berekening_impact[Digitale zorgtoepassing]),0))</f>
        <v>0</v>
      </c>
      <c r="S752" s="398">
        <f>uitkomst_doelgroep[[#This Row],[Arbeidsbesparing (€)]]*uitkomst_doelgroep[[#This Row],[Percentage van patiëntaantallen in Wlz (overige is Zvw)]]</f>
        <v>0</v>
      </c>
      <c r="T752" s="398">
        <f>uitkomst_doelgroep[[#This Row],[Overige besparingen (€)]]*uitkomst_doelgroep[[#This Row],[Percentage van patiëntaantallen in Wlz (overige is Zvw)]]</f>
        <v>0</v>
      </c>
      <c r="U752" s="398">
        <f>uitkomst_doelgroep[[#This Row],[Kosten (€)]]*uitkomst_doelgroep[[#This Row],[Percentage van patiëntaantallen in Wlz (overige is Zvw)]]</f>
        <v>0</v>
      </c>
      <c r="V752" s="398">
        <f>uitkomst_doelgroep[[#This Row],[Investering (cash flow) (€)]]*uitkomst_doelgroep[[#This Row],[Percentage van patiëntaantallen in Wlz (overige is Zvw)]]</f>
        <v>0</v>
      </c>
    </row>
    <row r="753" spans="1:22" x14ac:dyDescent="0.5">
      <c r="A753" s="33" t="str">
        <f>INDEX(Technologieën[Veld],MATCH(B753,Technologieën[Digitale zorgtoepassing],0))</f>
        <v>Software - Behandeling</v>
      </c>
      <c r="B753" s="33" t="s">
        <v>609</v>
      </c>
      <c r="C753" s="33" t="s">
        <v>95</v>
      </c>
      <c r="D753" s="427" cm="1">
        <f t="array" ref="D753">INDEX(Berekening_patiëntaantal[Percentage van patiëntaantallen in Wlz (overige is Zvw)],MATCH(B753,IF(Berekening_patiëntaantal[Doelgroep (zoeksleutel)]=C753,Berekening_patiëntaantal[Digitale zorgtoepassing]),0))</f>
        <v>0</v>
      </c>
      <c r="E753" s="33" t="str" cm="1">
        <f t="array" ref="E753">INDEX(Berekening_patiëntaantal[Direct toepasbaar/extrapolatie/incidentie voor QALY],MATCH(B753,IF(Berekening_patiëntaantal[Doelgroep (zoeksleutel)]=C753,Berekening_patiëntaantal[Digitale zorgtoepassing]),0))</f>
        <v>Huidige toepassing</v>
      </c>
      <c r="F753" s="33" t="s">
        <v>813</v>
      </c>
      <c r="G753" s="33" t="str">
        <f>CONCATENATE(uitkomst_doelgroep[[#This Row],[Digitale zorgtoepassing]],"_",uitkomst_doelgroep[[#This Row],[Doelgroep]],"_",uitkomst_doelgroep[[#This Row],[Uitgangssituatie/effect beleid]])</f>
        <v>(Zelf)zorgplatform + telebegeleiding_COPD_Uitgangssituatie</v>
      </c>
      <c r="H753" s="33">
        <v>2023</v>
      </c>
      <c r="I753" s="32">
        <v>1</v>
      </c>
      <c r="J753" s="406" cm="1">
        <f t="array" ref="J753">INDEX(implementatie[[2023]:[2034]],MATCH(G753, implementatie[Zoeksleutel],0),I753)</f>
        <v>0.4</v>
      </c>
      <c r="K753" s="406" cm="1">
        <f t="array" ref="K753">INDEX(implementatie[[2023]:[2034]],MATCH(G753,implementatie[Zoeksleutel],0),I753 + 1)</f>
        <v>0.52300000000000002</v>
      </c>
      <c r="L75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6552</v>
      </c>
      <c r="M753" s="398" cm="1">
        <f t="array" ref="M753">J753*INDEX(Berekening_impact[Totaal arbeidsbesparing (€/jaar)],MATCH(B753,IF(Berekening_impact[Doelgroep]=C753,Berekening_impact[Digitale zorgtoepassing]),0))</f>
        <v>3711547.0079999999</v>
      </c>
      <c r="N753" s="397" cm="1">
        <f t="array" ref="N753">J753*INDEX(Berekening_impact[Totaal arbeidsbesparing (FTE/jaar)],MATCH(B753,IF(Berekening_impact[Doelgroep]=C753,Berekening_impact[Digitale zorgtoepassing]),0))</f>
        <v>19.564739845856522</v>
      </c>
      <c r="O753" s="398" cm="1">
        <f t="array" ref="O753">J753*INDEX(Berekening_impact[Overige kostenbesparing (totaal/jaar totaal potentieel)],MATCH(B753,IF(Berekening_impact[Doelgroep]=C753,Berekening_impact[Digitale zorgtoepassing]),0))</f>
        <v>4239473.472000001</v>
      </c>
      <c r="P753" s="398" cm="1">
        <f t="array" ref="P753">J753*INDEX(Berekening_impact[Opbrengsten door QALY''s],MATCH(B753,IF(Berekening_impact[Doelgroep]=C753,Berekening_impact[Digitale zorgtoepassing]),0))</f>
        <v>16380000</v>
      </c>
      <c r="Q753" s="398" cm="1">
        <f t="array" ref="Q753">J753*INDEX(Berekening_impact[Jaarlijkse kosten (totaal) - incl. schatting],MATCH(B753,IF(Berekening_impact[Doelgroep]=C753,Berekening_impact[Digitale zorgtoepassing]),0))</f>
        <v>5674032</v>
      </c>
      <c r="R753" s="398" cm="1">
        <f t="array" ref="R753">(uitkomst_doelgroep[[#This Row],[Implementatiegraad t = T + 1]]-uitkomst_doelgroep[[#This Row],[Implementatiegraad t = T]])*INDEX(Berekening_impact[Initiële investering (totaal) - incl. schatting],MATCH(B753,IF(Berekening_impact[Doelgroep]=C753,Berekening_impact[Digitale zorgtoepassing]),0))</f>
        <v>0</v>
      </c>
      <c r="S753" s="398">
        <f>uitkomst_doelgroep[[#This Row],[Arbeidsbesparing (€)]]*uitkomst_doelgroep[[#This Row],[Percentage van patiëntaantallen in Wlz (overige is Zvw)]]</f>
        <v>0</v>
      </c>
      <c r="T753" s="398">
        <f>uitkomst_doelgroep[[#This Row],[Overige besparingen (€)]]*uitkomst_doelgroep[[#This Row],[Percentage van patiëntaantallen in Wlz (overige is Zvw)]]</f>
        <v>0</v>
      </c>
      <c r="U753" s="398">
        <f>uitkomst_doelgroep[[#This Row],[Kosten (€)]]*uitkomst_doelgroep[[#This Row],[Percentage van patiëntaantallen in Wlz (overige is Zvw)]]</f>
        <v>0</v>
      </c>
      <c r="V753" s="398">
        <f>uitkomst_doelgroep[[#This Row],[Investering (cash flow) (€)]]*uitkomst_doelgroep[[#This Row],[Percentage van patiëntaantallen in Wlz (overige is Zvw)]]</f>
        <v>0</v>
      </c>
    </row>
    <row r="754" spans="1:22" x14ac:dyDescent="0.5">
      <c r="A754" s="33" t="str">
        <f>INDEX(Technologieën[Veld],MATCH(B754,Technologieën[Digitale zorgtoepassing],0))</f>
        <v>Software - Behandeling</v>
      </c>
      <c r="B754" s="33" t="s">
        <v>609</v>
      </c>
      <c r="C754" s="33" t="s">
        <v>95</v>
      </c>
      <c r="D754" s="427" cm="1">
        <f t="array" ref="D754">INDEX(Berekening_patiëntaantal[Percentage van patiëntaantallen in Wlz (overige is Zvw)],MATCH(B754,IF(Berekening_patiëntaantal[Doelgroep (zoeksleutel)]=C754,Berekening_patiëntaantal[Digitale zorgtoepassing]),0))</f>
        <v>0</v>
      </c>
      <c r="E754" s="33" t="str" cm="1">
        <f t="array" ref="E754">INDEX(Berekening_patiëntaantal[Direct toepasbaar/extrapolatie/incidentie voor QALY],MATCH(B754,IF(Berekening_patiëntaantal[Doelgroep (zoeksleutel)]=C754,Berekening_patiëntaantal[Digitale zorgtoepassing]),0))</f>
        <v>Huidige toepassing</v>
      </c>
      <c r="F754" s="33" t="s">
        <v>813</v>
      </c>
      <c r="G754" s="33" t="str">
        <f>CONCATENATE(uitkomst_doelgroep[[#This Row],[Digitale zorgtoepassing]],"_",uitkomst_doelgroep[[#This Row],[Doelgroep]],"_",uitkomst_doelgroep[[#This Row],[Uitgangssituatie/effect beleid]])</f>
        <v>(Zelf)zorgplatform + telebegeleiding_COPD_Uitgangssituatie</v>
      </c>
      <c r="H754" s="33">
        <v>2024</v>
      </c>
      <c r="I754" s="32">
        <v>2</v>
      </c>
      <c r="J754" s="406" cm="1">
        <f t="array" ref="J754">INDEX(implementatie[[2023]:[2034]],MATCH(G754, implementatie[Zoeksleutel],0),I754)</f>
        <v>0.52300000000000002</v>
      </c>
      <c r="K754" s="406" cm="1">
        <f t="array" ref="K754">INDEX(implementatie[[2023]:[2034]],MATCH(G754,implementatie[Zoeksleutel],0),I754 + 1)</f>
        <v>0.64718695000000004</v>
      </c>
      <c r="L75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8566.74</v>
      </c>
      <c r="M754" s="398" cm="1">
        <f t="array" ref="M754">J754*INDEX(Berekening_impact[Totaal arbeidsbesparing (€/jaar)],MATCH(B754,IF(Berekening_impact[Doelgroep]=C754,Berekening_impact[Digitale zorgtoepassing]),0))</f>
        <v>4852847.7129600001</v>
      </c>
      <c r="N754" s="397" cm="1">
        <f t="array" ref="N754">J754*INDEX(Berekening_impact[Totaal arbeidsbesparing (FTE/jaar)],MATCH(B754,IF(Berekening_impact[Doelgroep]=C754,Berekening_impact[Digitale zorgtoepassing]),0))</f>
        <v>25.580897348457398</v>
      </c>
      <c r="O754" s="398" cm="1">
        <f t="array" ref="O754">J754*INDEX(Berekening_impact[Overige kostenbesparing (totaal/jaar totaal potentieel)],MATCH(B754,IF(Berekening_impact[Doelgroep]=C754,Berekening_impact[Digitale zorgtoepassing]),0))</f>
        <v>5543111.5646400014</v>
      </c>
      <c r="P754" s="398" cm="1">
        <f t="array" ref="P754">J754*INDEX(Berekening_impact[Opbrengsten door QALY''s],MATCH(B754,IF(Berekening_impact[Doelgroep]=C754,Berekening_impact[Digitale zorgtoepassing]),0))</f>
        <v>21416850</v>
      </c>
      <c r="Q754" s="398" cm="1">
        <f t="array" ref="Q754">J754*INDEX(Berekening_impact[Jaarlijkse kosten (totaal) - incl. schatting],MATCH(B754,IF(Berekening_impact[Doelgroep]=C754,Berekening_impact[Digitale zorgtoepassing]),0))</f>
        <v>7418796.8399999999</v>
      </c>
      <c r="R754" s="398" cm="1">
        <f t="array" ref="R754">(uitkomst_doelgroep[[#This Row],[Implementatiegraad t = T + 1]]-uitkomst_doelgroep[[#This Row],[Implementatiegraad t = T]])*INDEX(Berekening_impact[Initiële investering (totaal) - incl. schatting],MATCH(B754,IF(Berekening_impact[Doelgroep]=C754,Berekening_impact[Digitale zorgtoepassing]),0))</f>
        <v>0</v>
      </c>
      <c r="S754" s="398">
        <f>uitkomst_doelgroep[[#This Row],[Arbeidsbesparing (€)]]*uitkomst_doelgroep[[#This Row],[Percentage van patiëntaantallen in Wlz (overige is Zvw)]]</f>
        <v>0</v>
      </c>
      <c r="T754" s="398">
        <f>uitkomst_doelgroep[[#This Row],[Overige besparingen (€)]]*uitkomst_doelgroep[[#This Row],[Percentage van patiëntaantallen in Wlz (overige is Zvw)]]</f>
        <v>0</v>
      </c>
      <c r="U754" s="398">
        <f>uitkomst_doelgroep[[#This Row],[Kosten (€)]]*uitkomst_doelgroep[[#This Row],[Percentage van patiëntaantallen in Wlz (overige is Zvw)]]</f>
        <v>0</v>
      </c>
      <c r="V754" s="398">
        <f>uitkomst_doelgroep[[#This Row],[Investering (cash flow) (€)]]*uitkomst_doelgroep[[#This Row],[Percentage van patiëntaantallen in Wlz (overige is Zvw)]]</f>
        <v>0</v>
      </c>
    </row>
    <row r="755" spans="1:22" x14ac:dyDescent="0.5">
      <c r="A755" s="33" t="str">
        <f>INDEX(Technologieën[Veld],MATCH(B755,Technologieën[Digitale zorgtoepassing],0))</f>
        <v>Software - Behandeling</v>
      </c>
      <c r="B755" s="33" t="s">
        <v>609</v>
      </c>
      <c r="C755" s="33" t="s">
        <v>95</v>
      </c>
      <c r="D755" s="427" cm="1">
        <f t="array" ref="D755">INDEX(Berekening_patiëntaantal[Percentage van patiëntaantallen in Wlz (overige is Zvw)],MATCH(B755,IF(Berekening_patiëntaantal[Doelgroep (zoeksleutel)]=C755,Berekening_patiëntaantal[Digitale zorgtoepassing]),0))</f>
        <v>0</v>
      </c>
      <c r="E755" s="33" t="str" cm="1">
        <f t="array" ref="E755">INDEX(Berekening_patiëntaantal[Direct toepasbaar/extrapolatie/incidentie voor QALY],MATCH(B755,IF(Berekening_patiëntaantal[Doelgroep (zoeksleutel)]=C755,Berekening_patiëntaantal[Digitale zorgtoepassing]),0))</f>
        <v>Huidige toepassing</v>
      </c>
      <c r="F755" s="33" t="s">
        <v>813</v>
      </c>
      <c r="G755" s="33" t="str">
        <f>CONCATENATE(uitkomst_doelgroep[[#This Row],[Digitale zorgtoepassing]],"_",uitkomst_doelgroep[[#This Row],[Doelgroep]],"_",uitkomst_doelgroep[[#This Row],[Uitgangssituatie/effect beleid]])</f>
        <v>(Zelf)zorgplatform + telebegeleiding_COPD_Uitgangssituatie</v>
      </c>
      <c r="H755" s="33">
        <v>2025</v>
      </c>
      <c r="I755" s="32">
        <v>3</v>
      </c>
      <c r="J755" s="406" cm="1">
        <f t="array" ref="J755">INDEX(implementatie[[2023]:[2034]],MATCH(G755, implementatie[Zoeksleutel],0),I755)</f>
        <v>0.64718695000000004</v>
      </c>
      <c r="K755" s="406" cm="1">
        <f t="array" ref="K755">INDEX(implementatie[[2023]:[2034]],MATCH(G755,implementatie[Zoeksleutel],0),I755 + 1)</f>
        <v>0.75875847703736388</v>
      </c>
      <c r="L75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10600.922241</v>
      </c>
      <c r="M755" s="398" cm="1">
        <f t="array" ref="M755">J755*INDEX(Berekening_impact[Totaal arbeidsbesparing (€/jaar)],MATCH(B755,IF(Berekening_impact[Doelgroep]=C755,Berekening_impact[Digitale zorgtoepassing]),0))</f>
        <v>6005161.9697228642</v>
      </c>
      <c r="N755" s="397" cm="1">
        <f t="array" ref="N755">J755*INDEX(Berekening_impact[Totaal arbeidsbesparing (FTE/jaar)],MATCH(B755,IF(Berekening_impact[Doelgroep]=C755,Berekening_impact[Digitale zorgtoepassing]),0))</f>
        <v>31.65511077095838</v>
      </c>
      <c r="O755" s="398" cm="1">
        <f t="array" ref="O755">J755*INDEX(Berekening_impact[Overige kostenbesparing (totaal/jaar totaal potentieel)],MATCH(B755,IF(Berekening_impact[Doelgroep]=C755,Berekening_impact[Digitale zorgtoepassing]),0))</f>
        <v>6859329.7648739778</v>
      </c>
      <c r="P755" s="398" cm="1">
        <f t="array" ref="P755">J755*INDEX(Berekening_impact[Opbrengsten door QALY''s],MATCH(B755,IF(Berekening_impact[Doelgroep]=C755,Berekening_impact[Digitale zorgtoepassing]),0))</f>
        <v>26502305.602500003</v>
      </c>
      <c r="Q755" s="398" cm="1">
        <f t="array" ref="Q755">J755*INDEX(Berekening_impact[Jaarlijkse kosten (totaal) - incl. schatting],MATCH(B755,IF(Berekening_impact[Doelgroep]=C755,Berekening_impact[Digitale zorgtoepassing]),0))</f>
        <v>9180398.6607060004</v>
      </c>
      <c r="R755" s="398" cm="1">
        <f t="array" ref="R755">(uitkomst_doelgroep[[#This Row],[Implementatiegraad t = T + 1]]-uitkomst_doelgroep[[#This Row],[Implementatiegraad t = T]])*INDEX(Berekening_impact[Initiële investering (totaal) - incl. schatting],MATCH(B755,IF(Berekening_impact[Doelgroep]=C755,Berekening_impact[Digitale zorgtoepassing]),0))</f>
        <v>0</v>
      </c>
      <c r="S755" s="398">
        <f>uitkomst_doelgroep[[#This Row],[Arbeidsbesparing (€)]]*uitkomst_doelgroep[[#This Row],[Percentage van patiëntaantallen in Wlz (overige is Zvw)]]</f>
        <v>0</v>
      </c>
      <c r="T755" s="398">
        <f>uitkomst_doelgroep[[#This Row],[Overige besparingen (€)]]*uitkomst_doelgroep[[#This Row],[Percentage van patiëntaantallen in Wlz (overige is Zvw)]]</f>
        <v>0</v>
      </c>
      <c r="U755" s="398">
        <f>uitkomst_doelgroep[[#This Row],[Kosten (€)]]*uitkomst_doelgroep[[#This Row],[Percentage van patiëntaantallen in Wlz (overige is Zvw)]]</f>
        <v>0</v>
      </c>
      <c r="V755" s="398">
        <f>uitkomst_doelgroep[[#This Row],[Investering (cash flow) (€)]]*uitkomst_doelgroep[[#This Row],[Percentage van patiëntaantallen in Wlz (overige is Zvw)]]</f>
        <v>0</v>
      </c>
    </row>
    <row r="756" spans="1:22" x14ac:dyDescent="0.5">
      <c r="A756" s="33" t="str">
        <f>INDEX(Technologieën[Veld],MATCH(B756,Technologieën[Digitale zorgtoepassing],0))</f>
        <v>Software - Behandeling</v>
      </c>
      <c r="B756" s="33" t="s">
        <v>609</v>
      </c>
      <c r="C756" s="33" t="s">
        <v>95</v>
      </c>
      <c r="D756" s="427" cm="1">
        <f t="array" ref="D756">INDEX(Berekening_patiëntaantal[Percentage van patiëntaantallen in Wlz (overige is Zvw)],MATCH(B756,IF(Berekening_patiëntaantal[Doelgroep (zoeksleutel)]=C756,Berekening_patiëntaantal[Digitale zorgtoepassing]),0))</f>
        <v>0</v>
      </c>
      <c r="E756" s="33" t="str" cm="1">
        <f t="array" ref="E756">INDEX(Berekening_patiëntaantal[Direct toepasbaar/extrapolatie/incidentie voor QALY],MATCH(B756,IF(Berekening_patiëntaantal[Doelgroep (zoeksleutel)]=C756,Berekening_patiëntaantal[Digitale zorgtoepassing]),0))</f>
        <v>Huidige toepassing</v>
      </c>
      <c r="F756" s="33" t="s">
        <v>813</v>
      </c>
      <c r="G756" s="33" t="str">
        <f>CONCATENATE(uitkomst_doelgroep[[#This Row],[Digitale zorgtoepassing]],"_",uitkomst_doelgroep[[#This Row],[Doelgroep]],"_",uitkomst_doelgroep[[#This Row],[Uitgangssituatie/effect beleid]])</f>
        <v>(Zelf)zorgplatform + telebegeleiding_COPD_Uitgangssituatie</v>
      </c>
      <c r="H756" s="33">
        <v>2026</v>
      </c>
      <c r="I756" s="32">
        <v>4</v>
      </c>
      <c r="J756" s="406" cm="1">
        <f t="array" ref="J756">INDEX(implementatie[[2023]:[2034]],MATCH(G756, implementatie[Zoeksleutel],0),I756)</f>
        <v>0.75875847703736388</v>
      </c>
      <c r="K756" s="406" cm="1">
        <f t="array" ref="K756">INDEX(implementatie[[2023]:[2034]],MATCH(G756,implementatie[Zoeksleutel],0),I756 + 1)</f>
        <v>0.84715933786401665</v>
      </c>
      <c r="L75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12428.463853872021</v>
      </c>
      <c r="M756" s="398" cm="1">
        <f t="array" ref="M756">J756*INDEX(Berekening_impact[Totaal arbeidsbesparing (€/jaar)],MATCH(B756,IF(Berekening_impact[Doelgroep]=C756,Berekening_impact[Digitale zorgtoepassing]),0))</f>
        <v>7040419.3881066609</v>
      </c>
      <c r="N756" s="397" cm="1">
        <f t="array" ref="N756">J756*INDEX(Berekening_impact[Totaal arbeidsbesparing (FTE/jaar)],MATCH(B756,IF(Berekening_impact[Doelgroep]=C756,Berekening_impact[Digitale zorgtoepassing]),0))</f>
        <v>37.112280522685808</v>
      </c>
      <c r="O756" s="398" cm="1">
        <f t="array" ref="O756">J756*INDEX(Berekening_impact[Overige kostenbesparing (totaal/jaar totaal potentieel)],MATCH(B756,IF(Berekening_impact[Doelgroep]=C756,Berekening_impact[Digitale zorgtoepassing]),0))</f>
        <v>8041841.0876375642</v>
      </c>
      <c r="P756" s="398" cm="1">
        <f t="array" ref="P756">J756*INDEX(Berekening_impact[Opbrengsten door QALY''s],MATCH(B756,IF(Berekening_impact[Doelgroep]=C756,Berekening_impact[Digitale zorgtoepassing]),0))</f>
        <v>31071159.634680051</v>
      </c>
      <c r="Q756" s="398" cm="1">
        <f t="array" ref="Q756">J756*INDEX(Berekening_impact[Jaarlijkse kosten (totaal) - incl. schatting],MATCH(B756,IF(Berekening_impact[Doelgroep]=C756,Berekening_impact[Digitale zorgtoepassing]),0))</f>
        <v>10763049.697453169</v>
      </c>
      <c r="R756" s="398" cm="1">
        <f t="array" ref="R756">(uitkomst_doelgroep[[#This Row],[Implementatiegraad t = T + 1]]-uitkomst_doelgroep[[#This Row],[Implementatiegraad t = T]])*INDEX(Berekening_impact[Initiële investering (totaal) - incl. schatting],MATCH(B756,IF(Berekening_impact[Doelgroep]=C756,Berekening_impact[Digitale zorgtoepassing]),0))</f>
        <v>0</v>
      </c>
      <c r="S756" s="398">
        <f>uitkomst_doelgroep[[#This Row],[Arbeidsbesparing (€)]]*uitkomst_doelgroep[[#This Row],[Percentage van patiëntaantallen in Wlz (overige is Zvw)]]</f>
        <v>0</v>
      </c>
      <c r="T756" s="398">
        <f>uitkomst_doelgroep[[#This Row],[Overige besparingen (€)]]*uitkomst_doelgroep[[#This Row],[Percentage van patiëntaantallen in Wlz (overige is Zvw)]]</f>
        <v>0</v>
      </c>
      <c r="U756" s="398">
        <f>uitkomst_doelgroep[[#This Row],[Kosten (€)]]*uitkomst_doelgroep[[#This Row],[Percentage van patiëntaantallen in Wlz (overige is Zvw)]]</f>
        <v>0</v>
      </c>
      <c r="V756" s="398">
        <f>uitkomst_doelgroep[[#This Row],[Investering (cash flow) (€)]]*uitkomst_doelgroep[[#This Row],[Percentage van patiëntaantallen in Wlz (overige is Zvw)]]</f>
        <v>0</v>
      </c>
    </row>
    <row r="757" spans="1:22" x14ac:dyDescent="0.5">
      <c r="A757" s="33" t="str">
        <f>INDEX(Technologieën[Veld],MATCH(B757,Technologieën[Digitale zorgtoepassing],0))</f>
        <v>Software - Behandeling</v>
      </c>
      <c r="B757" s="33" t="s">
        <v>609</v>
      </c>
      <c r="C757" s="33" t="s">
        <v>95</v>
      </c>
      <c r="D757" s="427" cm="1">
        <f t="array" ref="D757">INDEX(Berekening_patiëntaantal[Percentage van patiëntaantallen in Wlz (overige is Zvw)],MATCH(B757,IF(Berekening_patiëntaantal[Doelgroep (zoeksleutel)]=C757,Berekening_patiëntaantal[Digitale zorgtoepassing]),0))</f>
        <v>0</v>
      </c>
      <c r="E757" s="33" t="str" cm="1">
        <f t="array" ref="E757">INDEX(Berekening_patiëntaantal[Direct toepasbaar/extrapolatie/incidentie voor QALY],MATCH(B757,IF(Berekening_patiëntaantal[Doelgroep (zoeksleutel)]=C757,Berekening_patiëntaantal[Digitale zorgtoepassing]),0))</f>
        <v>Huidige toepassing</v>
      </c>
      <c r="F757" s="33" t="s">
        <v>813</v>
      </c>
      <c r="G757" s="33" t="str">
        <f>CONCATENATE(uitkomst_doelgroep[[#This Row],[Digitale zorgtoepassing]],"_",uitkomst_doelgroep[[#This Row],[Doelgroep]],"_",uitkomst_doelgroep[[#This Row],[Uitgangssituatie/effect beleid]])</f>
        <v>(Zelf)zorgplatform + telebegeleiding_COPD_Uitgangssituatie</v>
      </c>
      <c r="H757" s="33">
        <v>2027</v>
      </c>
      <c r="I757" s="32">
        <v>5</v>
      </c>
      <c r="J757" s="406" cm="1">
        <f t="array" ref="J757">INDEX(implementatie[[2023]:[2034]],MATCH(G757, implementatie[Zoeksleutel],0),I757)</f>
        <v>0.84715933786401665</v>
      </c>
      <c r="K757" s="406" cm="1">
        <f t="array" ref="K757">INDEX(implementatie[[2023]:[2034]],MATCH(G757,implementatie[Zoeksleutel],0),I757 + 1)</f>
        <v>0.90924653177763415</v>
      </c>
      <c r="L75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13876.469954212593</v>
      </c>
      <c r="M757" s="398" cm="1">
        <f t="array" ref="M757">J757*INDEX(Berekening_impact[Totaal arbeidsbesparing (€/jaar)],MATCH(B757,IF(Berekening_impact[Doelgroep]=C757,Berekening_impact[Digitale zorgtoepassing]),0))</f>
        <v>7860679.2643711297</v>
      </c>
      <c r="N757" s="397" cm="1">
        <f t="array" ref="N757">J757*INDEX(Berekening_impact[Totaal arbeidsbesparing (FTE/jaar)],MATCH(B757,IF(Berekening_impact[Doelgroep]=C757,Berekening_impact[Digitale zorgtoepassing]),0))</f>
        <v>41.436130133243879</v>
      </c>
      <c r="O757" s="398" cm="1">
        <f t="array" ref="O757">J757*INDEX(Berekening_impact[Overige kostenbesparing (totaal/jaar totaal potentieel)],MATCH(B757,IF(Berekening_impact[Doelgroep]=C757,Berekening_impact[Digitale zorgtoepassing]),0))</f>
        <v>8978773.8485789597</v>
      </c>
      <c r="P757" s="398" cm="1">
        <f t="array" ref="P757">J757*INDEX(Berekening_impact[Opbrengsten door QALY''s],MATCH(B757,IF(Berekening_impact[Doelgroep]=C757,Berekening_impact[Digitale zorgtoepassing]),0))</f>
        <v>34691174.885531485</v>
      </c>
      <c r="Q757" s="398" cm="1">
        <f t="array" ref="Q757">J757*INDEX(Berekening_impact[Jaarlijkse kosten (totaal) - incl. schatting],MATCH(B757,IF(Berekening_impact[Doelgroep]=C757,Berekening_impact[Digitale zorgtoepassing]),0))</f>
        <v>12017022.980348105</v>
      </c>
      <c r="R757" s="398" cm="1">
        <f t="array" ref="R757">(uitkomst_doelgroep[[#This Row],[Implementatiegraad t = T + 1]]-uitkomst_doelgroep[[#This Row],[Implementatiegraad t = T]])*INDEX(Berekening_impact[Initiële investering (totaal) - incl. schatting],MATCH(B757,IF(Berekening_impact[Doelgroep]=C757,Berekening_impact[Digitale zorgtoepassing]),0))</f>
        <v>0</v>
      </c>
      <c r="S757" s="398">
        <f>uitkomst_doelgroep[[#This Row],[Arbeidsbesparing (€)]]*uitkomst_doelgroep[[#This Row],[Percentage van patiëntaantallen in Wlz (overige is Zvw)]]</f>
        <v>0</v>
      </c>
      <c r="T757" s="398">
        <f>uitkomst_doelgroep[[#This Row],[Overige besparingen (€)]]*uitkomst_doelgroep[[#This Row],[Percentage van patiëntaantallen in Wlz (overige is Zvw)]]</f>
        <v>0</v>
      </c>
      <c r="U757" s="398">
        <f>uitkomst_doelgroep[[#This Row],[Kosten (€)]]*uitkomst_doelgroep[[#This Row],[Percentage van patiëntaantallen in Wlz (overige is Zvw)]]</f>
        <v>0</v>
      </c>
      <c r="V757" s="398">
        <f>uitkomst_doelgroep[[#This Row],[Investering (cash flow) (€)]]*uitkomst_doelgroep[[#This Row],[Percentage van patiëntaantallen in Wlz (overige is Zvw)]]</f>
        <v>0</v>
      </c>
    </row>
    <row r="758" spans="1:22" x14ac:dyDescent="0.5">
      <c r="A758" s="33" t="str">
        <f>INDEX(Technologieën[Veld],MATCH(B758,Technologieën[Digitale zorgtoepassing],0))</f>
        <v>Software - Behandeling</v>
      </c>
      <c r="B758" s="33" t="s">
        <v>609</v>
      </c>
      <c r="C758" s="33" t="s">
        <v>95</v>
      </c>
      <c r="D758" s="427" cm="1">
        <f t="array" ref="D758">INDEX(Berekening_patiëntaantal[Percentage van patiëntaantallen in Wlz (overige is Zvw)],MATCH(B758,IF(Berekening_patiëntaantal[Doelgroep (zoeksleutel)]=C758,Berekening_patiëntaantal[Digitale zorgtoepassing]),0))</f>
        <v>0</v>
      </c>
      <c r="E758" s="33" t="str" cm="1">
        <f t="array" ref="E758">INDEX(Berekening_patiëntaantal[Direct toepasbaar/extrapolatie/incidentie voor QALY],MATCH(B758,IF(Berekening_patiëntaantal[Doelgroep (zoeksleutel)]=C758,Berekening_patiëntaantal[Digitale zorgtoepassing]),0))</f>
        <v>Huidige toepassing</v>
      </c>
      <c r="F758" s="33" t="s">
        <v>813</v>
      </c>
      <c r="G758" s="33" t="str">
        <f>CONCATENATE(uitkomst_doelgroep[[#This Row],[Digitale zorgtoepassing]],"_",uitkomst_doelgroep[[#This Row],[Doelgroep]],"_",uitkomst_doelgroep[[#This Row],[Uitgangssituatie/effect beleid]])</f>
        <v>(Zelf)zorgplatform + telebegeleiding_COPD_Uitgangssituatie</v>
      </c>
      <c r="H758" s="33">
        <v>2028</v>
      </c>
      <c r="I758" s="32">
        <v>6</v>
      </c>
      <c r="J758" s="406" cm="1">
        <f t="array" ref="J758">INDEX(implementatie[[2023]:[2034]],MATCH(G758, implementatie[Zoeksleutel],0),I758)</f>
        <v>0.90924653177763415</v>
      </c>
      <c r="K758" s="406" cm="1">
        <f t="array" ref="K758">INDEX(implementatie[[2023]:[2034]],MATCH(G758,implementatie[Zoeksleutel],0),I758 + 1)</f>
        <v>0.94864814278578335</v>
      </c>
      <c r="L75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14893.458190517647</v>
      </c>
      <c r="M758" s="398" cm="1">
        <f t="array" ref="M758">J758*INDEX(Berekening_impact[Totaal arbeidsbesparing (€/jaar)],MATCH(B758,IF(Berekening_impact[Doelgroep]=C758,Berekening_impact[Digitale zorgtoepassing]),0))</f>
        <v>8436778.1113841366</v>
      </c>
      <c r="N758" s="397" cm="1">
        <f t="array" ref="N758">J758*INDEX(Berekening_impact[Totaal arbeidsbesparing (FTE/jaar)],MATCH(B758,IF(Berekening_impact[Doelgroep]=C758,Berekening_impact[Digitale zorgtoepassing]),0))</f>
        <v>44.472929624941813</v>
      </c>
      <c r="O758" s="398" cm="1">
        <f t="array" ref="O758">J758*INDEX(Berekening_impact[Overige kostenbesparing (totaal/jaar totaal potentieel)],MATCH(B758,IF(Berekening_impact[Doelgroep]=C758,Berekening_impact[Digitale zorgtoepassing]),0))</f>
        <v>9636816.3774482142</v>
      </c>
      <c r="P758" s="398" cm="1">
        <f t="array" ref="P758">J758*INDEX(Berekening_impact[Opbrengsten door QALY''s],MATCH(B758,IF(Berekening_impact[Doelgroep]=C758,Berekening_impact[Digitale zorgtoepassing]),0))</f>
        <v>37233645.476294115</v>
      </c>
      <c r="Q758" s="398" cm="1">
        <f t="array" ref="Q758">J758*INDEX(Berekening_impact[Jaarlijkse kosten (totaal) - incl. schatting],MATCH(B758,IF(Berekening_impact[Doelgroep]=C758,Berekening_impact[Digitale zorgtoepassing]),0))</f>
        <v>12897734.792988282</v>
      </c>
      <c r="R758" s="398" cm="1">
        <f t="array" ref="R758">(uitkomst_doelgroep[[#This Row],[Implementatiegraad t = T + 1]]-uitkomst_doelgroep[[#This Row],[Implementatiegraad t = T]])*INDEX(Berekening_impact[Initiële investering (totaal) - incl. schatting],MATCH(B758,IF(Berekening_impact[Doelgroep]=C758,Berekening_impact[Digitale zorgtoepassing]),0))</f>
        <v>0</v>
      </c>
      <c r="S758" s="398">
        <f>uitkomst_doelgroep[[#This Row],[Arbeidsbesparing (€)]]*uitkomst_doelgroep[[#This Row],[Percentage van patiëntaantallen in Wlz (overige is Zvw)]]</f>
        <v>0</v>
      </c>
      <c r="T758" s="398">
        <f>uitkomst_doelgroep[[#This Row],[Overige besparingen (€)]]*uitkomst_doelgroep[[#This Row],[Percentage van patiëntaantallen in Wlz (overige is Zvw)]]</f>
        <v>0</v>
      </c>
      <c r="U758" s="398">
        <f>uitkomst_doelgroep[[#This Row],[Kosten (€)]]*uitkomst_doelgroep[[#This Row],[Percentage van patiëntaantallen in Wlz (overige is Zvw)]]</f>
        <v>0</v>
      </c>
      <c r="V758" s="398">
        <f>uitkomst_doelgroep[[#This Row],[Investering (cash flow) (€)]]*uitkomst_doelgroep[[#This Row],[Percentage van patiëntaantallen in Wlz (overige is Zvw)]]</f>
        <v>0</v>
      </c>
    </row>
    <row r="759" spans="1:22" x14ac:dyDescent="0.5">
      <c r="A759" s="33" t="str">
        <f>INDEX(Technologieën[Veld],MATCH(B759,Technologieën[Digitale zorgtoepassing],0))</f>
        <v>Software - Behandeling</v>
      </c>
      <c r="B759" s="33" t="s">
        <v>609</v>
      </c>
      <c r="C759" s="33" t="s">
        <v>95</v>
      </c>
      <c r="D759" s="427" cm="1">
        <f t="array" ref="D759">INDEX(Berekening_patiëntaantal[Percentage van patiëntaantallen in Wlz (overige is Zvw)],MATCH(B759,IF(Berekening_patiëntaantal[Doelgroep (zoeksleutel)]=C759,Berekening_patiëntaantal[Digitale zorgtoepassing]),0))</f>
        <v>0</v>
      </c>
      <c r="E759" s="33" t="str" cm="1">
        <f t="array" ref="E759">INDEX(Berekening_patiëntaantal[Direct toepasbaar/extrapolatie/incidentie voor QALY],MATCH(B759,IF(Berekening_patiëntaantal[Doelgroep (zoeksleutel)]=C759,Berekening_patiëntaantal[Digitale zorgtoepassing]),0))</f>
        <v>Huidige toepassing</v>
      </c>
      <c r="F759" s="33" t="s">
        <v>813</v>
      </c>
      <c r="G759" s="33" t="str">
        <f>CONCATENATE(uitkomst_doelgroep[[#This Row],[Digitale zorgtoepassing]],"_",uitkomst_doelgroep[[#This Row],[Doelgroep]],"_",uitkomst_doelgroep[[#This Row],[Uitgangssituatie/effect beleid]])</f>
        <v>(Zelf)zorgplatform + telebegeleiding_COPD_Uitgangssituatie</v>
      </c>
      <c r="H759" s="33">
        <v>2029</v>
      </c>
      <c r="I759" s="32">
        <v>7</v>
      </c>
      <c r="J759" s="406" cm="1">
        <f t="array" ref="J759">INDEX(implementatie[[2023]:[2034]],MATCH(G759, implementatie[Zoeksleutel],0),I759)</f>
        <v>0.94864814278578335</v>
      </c>
      <c r="K759" s="406" cm="1">
        <f t="array" ref="K759">INDEX(implementatie[[2023]:[2034]],MATCH(G759,implementatie[Zoeksleutel],0),I759 + 1)</f>
        <v>0.97185361900482903</v>
      </c>
      <c r="L75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15538.856578831132</v>
      </c>
      <c r="M759" s="398" cm="1">
        <f t="array" ref="M759">J759*INDEX(Berekening_impact[Totaal arbeidsbesparing (€/jaar)],MATCH(B759,IF(Berekening_impact[Doelgroep]=C759,Berekening_impact[Digitale zorgtoepassing]),0))</f>
        <v>8802380.4400033262</v>
      </c>
      <c r="N759" s="397" cm="1">
        <f t="array" ref="N759">J759*INDEX(Berekening_impact[Totaal arbeidsbesparing (FTE/jaar)],MATCH(B759,IF(Berekening_impact[Doelgroep]=C759,Berekening_impact[Digitale zorgtoepassing]),0))</f>
        <v>46.400135297147003</v>
      </c>
      <c r="O759" s="398" cm="1">
        <f t="array" ref="O759">J759*INDEX(Berekening_impact[Overige kostenbesparing (totaal/jaar totaal potentieel)],MATCH(B759,IF(Berekening_impact[Doelgroep]=C759,Berekening_impact[Digitale zorgtoepassing]),0))</f>
        <v>10054421.589005994</v>
      </c>
      <c r="P759" s="398" cm="1">
        <f t="array" ref="P759">J759*INDEX(Berekening_impact[Opbrengsten door QALY''s],MATCH(B759,IF(Berekening_impact[Doelgroep]=C759,Berekening_impact[Digitale zorgtoepassing]),0))</f>
        <v>38847141.447077826</v>
      </c>
      <c r="Q759" s="398" cm="1">
        <f t="array" ref="Q759">J759*INDEX(Berekening_impact[Jaarlijkse kosten (totaal) - incl. schatting],MATCH(B759,IF(Berekening_impact[Doelgroep]=C759,Berekening_impact[Digitale zorgtoepassing]),0))</f>
        <v>13456649.797267759</v>
      </c>
      <c r="R759" s="398" cm="1">
        <f t="array" ref="R759">(uitkomst_doelgroep[[#This Row],[Implementatiegraad t = T + 1]]-uitkomst_doelgroep[[#This Row],[Implementatiegraad t = T]])*INDEX(Berekening_impact[Initiële investering (totaal) - incl. schatting],MATCH(B759,IF(Berekening_impact[Doelgroep]=C759,Berekening_impact[Digitale zorgtoepassing]),0))</f>
        <v>0</v>
      </c>
      <c r="S759" s="398">
        <f>uitkomst_doelgroep[[#This Row],[Arbeidsbesparing (€)]]*uitkomst_doelgroep[[#This Row],[Percentage van patiëntaantallen in Wlz (overige is Zvw)]]</f>
        <v>0</v>
      </c>
      <c r="T759" s="398">
        <f>uitkomst_doelgroep[[#This Row],[Overige besparingen (€)]]*uitkomst_doelgroep[[#This Row],[Percentage van patiëntaantallen in Wlz (overige is Zvw)]]</f>
        <v>0</v>
      </c>
      <c r="U759" s="398">
        <f>uitkomst_doelgroep[[#This Row],[Kosten (€)]]*uitkomst_doelgroep[[#This Row],[Percentage van patiëntaantallen in Wlz (overige is Zvw)]]</f>
        <v>0</v>
      </c>
      <c r="V759" s="398">
        <f>uitkomst_doelgroep[[#This Row],[Investering (cash flow) (€)]]*uitkomst_doelgroep[[#This Row],[Percentage van patiëntaantallen in Wlz (overige is Zvw)]]</f>
        <v>0</v>
      </c>
    </row>
    <row r="760" spans="1:22" x14ac:dyDescent="0.5">
      <c r="A760" s="33" t="str">
        <f>INDEX(Technologieën[Veld],MATCH(B760,Technologieën[Digitale zorgtoepassing],0))</f>
        <v>Software - Behandeling</v>
      </c>
      <c r="B760" s="33" t="s">
        <v>609</v>
      </c>
      <c r="C760" s="33" t="s">
        <v>95</v>
      </c>
      <c r="D760" s="427" cm="1">
        <f t="array" ref="D760">INDEX(Berekening_patiëntaantal[Percentage van patiëntaantallen in Wlz (overige is Zvw)],MATCH(B760,IF(Berekening_patiëntaantal[Doelgroep (zoeksleutel)]=C760,Berekening_patiëntaantal[Digitale zorgtoepassing]),0))</f>
        <v>0</v>
      </c>
      <c r="E760" s="33" t="str" cm="1">
        <f t="array" ref="E760">INDEX(Berekening_patiëntaantal[Direct toepasbaar/extrapolatie/incidentie voor QALY],MATCH(B760,IF(Berekening_patiëntaantal[Doelgroep (zoeksleutel)]=C760,Berekening_patiëntaantal[Digitale zorgtoepassing]),0))</f>
        <v>Huidige toepassing</v>
      </c>
      <c r="F760" s="33" t="s">
        <v>813</v>
      </c>
      <c r="G760" s="33" t="str">
        <f>CONCATENATE(uitkomst_doelgroep[[#This Row],[Digitale zorgtoepassing]],"_",uitkomst_doelgroep[[#This Row],[Doelgroep]],"_",uitkomst_doelgroep[[#This Row],[Uitgangssituatie/effect beleid]])</f>
        <v>(Zelf)zorgplatform + telebegeleiding_COPD_Uitgangssituatie</v>
      </c>
      <c r="H760" s="33">
        <v>2030</v>
      </c>
      <c r="I760" s="32">
        <v>8</v>
      </c>
      <c r="J760" s="406" cm="1">
        <f t="array" ref="J760">INDEX(implementatie[[2023]:[2034]],MATCH(G760, implementatie[Zoeksleutel],0),I760)</f>
        <v>0.97185361900482903</v>
      </c>
      <c r="K760" s="406" cm="1">
        <f t="array" ref="K760">INDEX(implementatie[[2023]:[2034]],MATCH(G760,implementatie[Zoeksleutel],0),I760 + 1)</f>
        <v>0.98486665153412889</v>
      </c>
      <c r="L76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15918.962279299099</v>
      </c>
      <c r="M760" s="398" cm="1">
        <f t="array" ref="M760">J760*INDEX(Berekening_impact[Totaal arbeidsbesparing (€/jaar)],MATCH(B760,IF(Berekening_impact[Doelgroep]=C760,Berekening_impact[Digitale zorgtoepassing]),0))</f>
        <v>9017700.9795783628</v>
      </c>
      <c r="N760" s="397" cm="1">
        <f t="array" ref="N760">J760*INDEX(Berekening_impact[Totaal arbeidsbesparing (FTE/jaar)],MATCH(B760,IF(Berekening_impact[Doelgroep]=C760,Berekening_impact[Digitale zorgtoepassing]),0))</f>
        <v>47.535158060209099</v>
      </c>
      <c r="O760" s="398" cm="1">
        <f t="array" ref="O760">J760*INDEX(Berekening_impact[Overige kostenbesparing (totaal/jaar totaal potentieel)],MATCH(B760,IF(Berekening_impact[Doelgroep]=C760,Berekening_impact[Digitale zorgtoepassing]),0))</f>
        <v>10300369.091095421</v>
      </c>
      <c r="P760" s="398" cm="1">
        <f t="array" ref="P760">J760*INDEX(Berekening_impact[Opbrengsten door QALY''s],MATCH(B760,IF(Berekening_impact[Doelgroep]=C760,Berekening_impact[Digitale zorgtoepassing]),0))</f>
        <v>39797405.698247746</v>
      </c>
      <c r="Q760" s="398" cm="1">
        <f t="array" ref="Q760">J760*INDEX(Berekening_impact[Jaarlijkse kosten (totaal) - incl. schatting],MATCH(B760,IF(Berekening_impact[Doelgroep]=C760,Berekening_impact[Digitale zorgtoepassing]),0))</f>
        <v>13785821.33387302</v>
      </c>
      <c r="R760" s="398" cm="1">
        <f t="array" ref="R760">(uitkomst_doelgroep[[#This Row],[Implementatiegraad t = T + 1]]-uitkomst_doelgroep[[#This Row],[Implementatiegraad t = T]])*INDEX(Berekening_impact[Initiële investering (totaal) - incl. schatting],MATCH(B760,IF(Berekening_impact[Doelgroep]=C760,Berekening_impact[Digitale zorgtoepassing]),0))</f>
        <v>0</v>
      </c>
      <c r="S760" s="398">
        <f>uitkomst_doelgroep[[#This Row],[Arbeidsbesparing (€)]]*uitkomst_doelgroep[[#This Row],[Percentage van patiëntaantallen in Wlz (overige is Zvw)]]</f>
        <v>0</v>
      </c>
      <c r="T760" s="398">
        <f>uitkomst_doelgroep[[#This Row],[Overige besparingen (€)]]*uitkomst_doelgroep[[#This Row],[Percentage van patiëntaantallen in Wlz (overige is Zvw)]]</f>
        <v>0</v>
      </c>
      <c r="U760" s="398">
        <f>uitkomst_doelgroep[[#This Row],[Kosten (€)]]*uitkomst_doelgroep[[#This Row],[Percentage van patiëntaantallen in Wlz (overige is Zvw)]]</f>
        <v>0</v>
      </c>
      <c r="V760" s="398">
        <f>uitkomst_doelgroep[[#This Row],[Investering (cash flow) (€)]]*uitkomst_doelgroep[[#This Row],[Percentage van patiëntaantallen in Wlz (overige is Zvw)]]</f>
        <v>0</v>
      </c>
    </row>
    <row r="761" spans="1:22" x14ac:dyDescent="0.5">
      <c r="A761" s="33" t="str">
        <f>INDEX(Technologieën[Veld],MATCH(B761,Technologieën[Digitale zorgtoepassing],0))</f>
        <v>Software - Behandeling</v>
      </c>
      <c r="B761" s="33" t="s">
        <v>609</v>
      </c>
      <c r="C761" s="33" t="s">
        <v>95</v>
      </c>
      <c r="D761" s="427" cm="1">
        <f t="array" ref="D761">INDEX(Berekening_patiëntaantal[Percentage van patiëntaantallen in Wlz (overige is Zvw)],MATCH(B761,IF(Berekening_patiëntaantal[Doelgroep (zoeksleutel)]=C761,Berekening_patiëntaantal[Digitale zorgtoepassing]),0))</f>
        <v>0</v>
      </c>
      <c r="E761" s="33" t="str" cm="1">
        <f t="array" ref="E761">INDEX(Berekening_patiëntaantal[Direct toepasbaar/extrapolatie/incidentie voor QALY],MATCH(B761,IF(Berekening_patiëntaantal[Doelgroep (zoeksleutel)]=C761,Berekening_patiëntaantal[Digitale zorgtoepassing]),0))</f>
        <v>Huidige toepassing</v>
      </c>
      <c r="F761" s="33" t="s">
        <v>813</v>
      </c>
      <c r="G761" s="33" t="str">
        <f>CONCATENATE(uitkomst_doelgroep[[#This Row],[Digitale zorgtoepassing]],"_",uitkomst_doelgroep[[#This Row],[Doelgroep]],"_",uitkomst_doelgroep[[#This Row],[Uitgangssituatie/effect beleid]])</f>
        <v>(Zelf)zorgplatform + telebegeleiding_COPD_Uitgangssituatie</v>
      </c>
      <c r="H761" s="33">
        <v>2031</v>
      </c>
      <c r="I761" s="32">
        <v>9</v>
      </c>
      <c r="J761" s="406" cm="1">
        <f t="array" ref="J761">INDEX(implementatie[[2023]:[2034]],MATCH(G761, implementatie[Zoeksleutel],0),I761)</f>
        <v>0.98486665153412889</v>
      </c>
      <c r="K761" s="406" cm="1">
        <f t="array" ref="K761">INDEX(implementatie[[2023]:[2034]],MATCH(G761,implementatie[Zoeksleutel],0),I761 + 1)</f>
        <v>0.99195193384931235</v>
      </c>
      <c r="L76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16132.115752129032</v>
      </c>
      <c r="M761" s="398" cm="1">
        <f t="array" ref="M761">J761*INDEX(Berekening_impact[Totaal arbeidsbesparing (€/jaar)],MATCH(B761,IF(Berekening_impact[Doelgroep]=C761,Berekening_impact[Digitale zorgtoepassing]),0))</f>
        <v>9138447.184451187</v>
      </c>
      <c r="N761" s="397" cm="1">
        <f t="array" ref="N761">J761*INDEX(Berekening_impact[Totaal arbeidsbesparing (FTE/jaar)],MATCH(B761,IF(Berekening_impact[Doelgroep]=C761,Berekening_impact[Digitale zorgtoepassing]),0))</f>
        <v>48.171649550312651</v>
      </c>
      <c r="O761" s="398" cm="1">
        <f t="array" ref="O761">J761*INDEX(Berekening_impact[Overige kostenbesparing (totaal/jaar totaal potentieel)],MATCH(B761,IF(Berekening_impact[Doelgroep]=C761,Berekening_impact[Digitale zorgtoepassing]),0))</f>
        <v>10438290.10659102</v>
      </c>
      <c r="P761" s="398" cm="1">
        <f t="array" ref="P761">J761*INDEX(Berekening_impact[Opbrengsten door QALY''s],MATCH(B761,IF(Berekening_impact[Doelgroep]=C761,Berekening_impact[Digitale zorgtoepassing]),0))</f>
        <v>40330289.380322576</v>
      </c>
      <c r="Q761" s="398" cm="1">
        <f t="array" ref="Q761">J761*INDEX(Berekening_impact[Jaarlijkse kosten (totaal) - incl. schatting],MATCH(B761,IF(Berekening_impact[Doelgroep]=C761,Berekening_impact[Digitale zorgtoepassing]),0))</f>
        <v>13970412.24134374</v>
      </c>
      <c r="R761" s="398" cm="1">
        <f t="array" ref="R761">(uitkomst_doelgroep[[#This Row],[Implementatiegraad t = T + 1]]-uitkomst_doelgroep[[#This Row],[Implementatiegraad t = T]])*INDEX(Berekening_impact[Initiële investering (totaal) - incl. schatting],MATCH(B761,IF(Berekening_impact[Doelgroep]=C761,Berekening_impact[Digitale zorgtoepassing]),0))</f>
        <v>0</v>
      </c>
      <c r="S761" s="398">
        <f>uitkomst_doelgroep[[#This Row],[Arbeidsbesparing (€)]]*uitkomst_doelgroep[[#This Row],[Percentage van patiëntaantallen in Wlz (overige is Zvw)]]</f>
        <v>0</v>
      </c>
      <c r="T761" s="398">
        <f>uitkomst_doelgroep[[#This Row],[Overige besparingen (€)]]*uitkomst_doelgroep[[#This Row],[Percentage van patiëntaantallen in Wlz (overige is Zvw)]]</f>
        <v>0</v>
      </c>
      <c r="U761" s="398">
        <f>uitkomst_doelgroep[[#This Row],[Kosten (€)]]*uitkomst_doelgroep[[#This Row],[Percentage van patiëntaantallen in Wlz (overige is Zvw)]]</f>
        <v>0</v>
      </c>
      <c r="V761" s="398">
        <f>uitkomst_doelgroep[[#This Row],[Investering (cash flow) (€)]]*uitkomst_doelgroep[[#This Row],[Percentage van patiëntaantallen in Wlz (overige is Zvw)]]</f>
        <v>0</v>
      </c>
    </row>
    <row r="762" spans="1:22" x14ac:dyDescent="0.5">
      <c r="A762" s="33" t="str">
        <f>INDEX(Technologieën[Veld],MATCH(B762,Technologieën[Digitale zorgtoepassing],0))</f>
        <v>Software - Behandeling</v>
      </c>
      <c r="B762" s="33" t="s">
        <v>609</v>
      </c>
      <c r="C762" s="33" t="s">
        <v>95</v>
      </c>
      <c r="D762" s="427" cm="1">
        <f t="array" ref="D762">INDEX(Berekening_patiëntaantal[Percentage van patiëntaantallen in Wlz (overige is Zvw)],MATCH(B762,IF(Berekening_patiëntaantal[Doelgroep (zoeksleutel)]=C762,Berekening_patiëntaantal[Digitale zorgtoepassing]),0))</f>
        <v>0</v>
      </c>
      <c r="E762" s="33" t="str" cm="1">
        <f t="array" ref="E762">INDEX(Berekening_patiëntaantal[Direct toepasbaar/extrapolatie/incidentie voor QALY],MATCH(B762,IF(Berekening_patiëntaantal[Doelgroep (zoeksleutel)]=C762,Berekening_patiëntaantal[Digitale zorgtoepassing]),0))</f>
        <v>Huidige toepassing</v>
      </c>
      <c r="F762" s="33" t="s">
        <v>813</v>
      </c>
      <c r="G762" s="33" t="str">
        <f>CONCATENATE(uitkomst_doelgroep[[#This Row],[Digitale zorgtoepassing]],"_",uitkomst_doelgroep[[#This Row],[Doelgroep]],"_",uitkomst_doelgroep[[#This Row],[Uitgangssituatie/effect beleid]])</f>
        <v>(Zelf)zorgplatform + telebegeleiding_COPD_Uitgangssituatie</v>
      </c>
      <c r="H762" s="33">
        <v>2032</v>
      </c>
      <c r="I762" s="32">
        <v>10</v>
      </c>
      <c r="J762" s="406" cm="1">
        <f t="array" ref="J762">INDEX(implementatie[[2023]:[2034]],MATCH(G762, implementatie[Zoeksleutel],0),I762)</f>
        <v>0.99195193384931235</v>
      </c>
      <c r="K762" s="406" cm="1">
        <f t="array" ref="K762">INDEX(implementatie[[2023]:[2034]],MATCH(G762,implementatie[Zoeksleutel],0),I762 + 1)</f>
        <v>0.99574561815494433</v>
      </c>
      <c r="L76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16248.172676451737</v>
      </c>
      <c r="M762" s="398" cm="1">
        <f t="array" ref="M762">J762*INDEX(Berekening_impact[Totaal arbeidsbesparing (€/jaar)],MATCH(B762,IF(Berekening_impact[Doelgroep]=C762,Berekening_impact[Digitale zorgtoepassing]),0))</f>
        <v>9204190.5803955719</v>
      </c>
      <c r="N762" s="397" cm="1">
        <f t="array" ref="N762">J762*INDEX(Berekening_impact[Totaal arbeidsbesparing (FTE/jaar)],MATCH(B762,IF(Berekening_impact[Doelgroep]=C762,Berekening_impact[Digitale zorgtoepassing]),0))</f>
        <v>48.51820381339018</v>
      </c>
      <c r="O762" s="398" cm="1">
        <f t="array" ref="O762">J762*INDEX(Berekening_impact[Overige kostenbesparing (totaal/jaar totaal potentieel)],MATCH(B762,IF(Berekening_impact[Doelgroep]=C762,Berekening_impact[Digitale zorgtoepassing]),0))</f>
        <v>10513384.772633148</v>
      </c>
      <c r="P762" s="398" cm="1">
        <f t="array" ref="P762">J762*INDEX(Berekening_impact[Opbrengsten door QALY''s],MATCH(B762,IF(Berekening_impact[Doelgroep]=C762,Berekening_impact[Digitale zorgtoepassing]),0))</f>
        <v>40620431.691129342</v>
      </c>
      <c r="Q762" s="398" cm="1">
        <f t="array" ref="Q762">J762*INDEX(Berekening_impact[Jaarlijkse kosten (totaal) - incl. schatting],MATCH(B762,IF(Berekening_impact[Doelgroep]=C762,Berekening_impact[Digitale zorgtoepassing]),0))</f>
        <v>14070917.537807204</v>
      </c>
      <c r="R762" s="398" cm="1">
        <f t="array" ref="R762">(uitkomst_doelgroep[[#This Row],[Implementatiegraad t = T + 1]]-uitkomst_doelgroep[[#This Row],[Implementatiegraad t = T]])*INDEX(Berekening_impact[Initiële investering (totaal) - incl. schatting],MATCH(B762,IF(Berekening_impact[Doelgroep]=C762,Berekening_impact[Digitale zorgtoepassing]),0))</f>
        <v>0</v>
      </c>
      <c r="S762" s="398">
        <f>uitkomst_doelgroep[[#This Row],[Arbeidsbesparing (€)]]*uitkomst_doelgroep[[#This Row],[Percentage van patiëntaantallen in Wlz (overige is Zvw)]]</f>
        <v>0</v>
      </c>
      <c r="T762" s="398">
        <f>uitkomst_doelgroep[[#This Row],[Overige besparingen (€)]]*uitkomst_doelgroep[[#This Row],[Percentage van patiëntaantallen in Wlz (overige is Zvw)]]</f>
        <v>0</v>
      </c>
      <c r="U762" s="398">
        <f>uitkomst_doelgroep[[#This Row],[Kosten (€)]]*uitkomst_doelgroep[[#This Row],[Percentage van patiëntaantallen in Wlz (overige is Zvw)]]</f>
        <v>0</v>
      </c>
      <c r="V762" s="398">
        <f>uitkomst_doelgroep[[#This Row],[Investering (cash flow) (€)]]*uitkomst_doelgroep[[#This Row],[Percentage van patiëntaantallen in Wlz (overige is Zvw)]]</f>
        <v>0</v>
      </c>
    </row>
    <row r="763" spans="1:22" x14ac:dyDescent="0.5">
      <c r="A763" s="33" t="str">
        <f>INDEX(Technologieën[Veld],MATCH(B763,Technologieën[Digitale zorgtoepassing],0))</f>
        <v>Software - Behandeling</v>
      </c>
      <c r="B763" s="33" t="s">
        <v>609</v>
      </c>
      <c r="C763" s="33" t="s">
        <v>95</v>
      </c>
      <c r="D763" s="427" cm="1">
        <f t="array" ref="D763">INDEX(Berekening_patiëntaantal[Percentage van patiëntaantallen in Wlz (overige is Zvw)],MATCH(B763,IF(Berekening_patiëntaantal[Doelgroep (zoeksleutel)]=C763,Berekening_patiëntaantal[Digitale zorgtoepassing]),0))</f>
        <v>0</v>
      </c>
      <c r="E763" s="33" t="str" cm="1">
        <f t="array" ref="E763">INDEX(Berekening_patiëntaantal[Direct toepasbaar/extrapolatie/incidentie voor QALY],MATCH(B763,IF(Berekening_patiëntaantal[Doelgroep (zoeksleutel)]=C763,Berekening_patiëntaantal[Digitale zorgtoepassing]),0))</f>
        <v>Huidige toepassing</v>
      </c>
      <c r="F763" s="33" t="s">
        <v>813</v>
      </c>
      <c r="G763" s="33" t="str">
        <f>CONCATENATE(uitkomst_doelgroep[[#This Row],[Digitale zorgtoepassing]],"_",uitkomst_doelgroep[[#This Row],[Doelgroep]],"_",uitkomst_doelgroep[[#This Row],[Uitgangssituatie/effect beleid]])</f>
        <v>(Zelf)zorgplatform + telebegeleiding_COPD_Uitgangssituatie</v>
      </c>
      <c r="H763" s="33">
        <v>2033</v>
      </c>
      <c r="I763" s="32">
        <v>11</v>
      </c>
      <c r="J763" s="406" cm="1">
        <f t="array" ref="J763">INDEX(implementatie[[2023]:[2034]],MATCH(G763, implementatie[Zoeksleutel],0),I763)</f>
        <v>0.99574561815494433</v>
      </c>
      <c r="K763" s="406" cm="1">
        <f t="array" ref="K763">INDEX(implementatie[[2023]:[2034]],MATCH(G763,implementatie[Zoeksleutel],0),I763 + 1)</f>
        <v>0.99775830463714821</v>
      </c>
      <c r="L76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16310.313225377988</v>
      </c>
      <c r="M763" s="398" cm="1">
        <f t="array" ref="M763">J763*INDEX(Berekening_impact[Totaal arbeidsbesparing (€/jaar)],MATCH(B763,IF(Berekening_impact[Doelgroep]=C763,Berekening_impact[Digitale zorgtoepassing]),0))</f>
        <v>9239391.6744802352</v>
      </c>
      <c r="N763" s="397" cm="1">
        <f t="array" ref="N763">J763*INDEX(Berekening_impact[Totaal arbeidsbesparing (FTE/jaar)],MATCH(B763,IF(Berekening_impact[Doelgroep]=C763,Berekening_impact[Digitale zorgtoepassing]),0))</f>
        <v>48.703759929632675</v>
      </c>
      <c r="O763" s="398" cm="1">
        <f t="array" ref="O763">J763*INDEX(Berekening_impact[Overige kostenbesparing (totaal/jaar totaal potentieel)],MATCH(B763,IF(Berekening_impact[Doelgroep]=C763,Berekening_impact[Digitale zorgtoepassing]),0))</f>
        <v>10553592.832570322</v>
      </c>
      <c r="P763" s="398" cm="1">
        <f t="array" ref="P763">J763*INDEX(Berekening_impact[Opbrengsten door QALY''s],MATCH(B763,IF(Berekening_impact[Doelgroep]=C763,Berekening_impact[Digitale zorgtoepassing]),0))</f>
        <v>40775783.063444972</v>
      </c>
      <c r="Q763" s="398" cm="1">
        <f t="array" ref="Q763">J763*INDEX(Berekening_impact[Jaarlijkse kosten (totaal) - incl. schatting],MATCH(B763,IF(Berekening_impact[Doelgroep]=C763,Berekening_impact[Digitale zorgtoepassing]),0))</f>
        <v>14124731.253177337</v>
      </c>
      <c r="R763" s="398" cm="1">
        <f t="array" ref="R763">(uitkomst_doelgroep[[#This Row],[Implementatiegraad t = T + 1]]-uitkomst_doelgroep[[#This Row],[Implementatiegraad t = T]])*INDEX(Berekening_impact[Initiële investering (totaal) - incl. schatting],MATCH(B763,IF(Berekening_impact[Doelgroep]=C763,Berekening_impact[Digitale zorgtoepassing]),0))</f>
        <v>0</v>
      </c>
      <c r="S763" s="398">
        <f>uitkomst_doelgroep[[#This Row],[Arbeidsbesparing (€)]]*uitkomst_doelgroep[[#This Row],[Percentage van patiëntaantallen in Wlz (overige is Zvw)]]</f>
        <v>0</v>
      </c>
      <c r="T763" s="398">
        <f>uitkomst_doelgroep[[#This Row],[Overige besparingen (€)]]*uitkomst_doelgroep[[#This Row],[Percentage van patiëntaantallen in Wlz (overige is Zvw)]]</f>
        <v>0</v>
      </c>
      <c r="U763" s="398">
        <f>uitkomst_doelgroep[[#This Row],[Kosten (€)]]*uitkomst_doelgroep[[#This Row],[Percentage van patiëntaantallen in Wlz (overige is Zvw)]]</f>
        <v>0</v>
      </c>
      <c r="V763" s="398">
        <f>uitkomst_doelgroep[[#This Row],[Investering (cash flow) (€)]]*uitkomst_doelgroep[[#This Row],[Percentage van patiëntaantallen in Wlz (overige is Zvw)]]</f>
        <v>0</v>
      </c>
    </row>
    <row r="764" spans="1:22" x14ac:dyDescent="0.5">
      <c r="A764" s="33" t="str">
        <f>INDEX(Technologieën[Veld],MATCH(B764,Technologieën[Digitale zorgtoepassing],0))</f>
        <v>Software - Behandeling</v>
      </c>
      <c r="B764" s="33" t="s">
        <v>609</v>
      </c>
      <c r="C764" s="33" t="s">
        <v>51</v>
      </c>
      <c r="D764" s="427" cm="1">
        <f t="array" ref="D764">INDEX(Berekening_patiëntaantal[Percentage van patiëntaantallen in Wlz (overige is Zvw)],MATCH(B764,IF(Berekening_patiëntaantal[Doelgroep (zoeksleutel)]=C764,Berekening_patiëntaantal[Digitale zorgtoepassing]),0))</f>
        <v>0</v>
      </c>
      <c r="E764" s="33" t="str" cm="1">
        <f t="array" ref="E764">INDEX(Berekening_patiëntaantal[Direct toepasbaar/extrapolatie/incidentie voor QALY],MATCH(B764,IF(Berekening_patiëntaantal[Doelgroep (zoeksleutel)]=C764,Berekening_patiëntaantal[Digitale zorgtoepassing]),0))</f>
        <v>Huidige toepassing</v>
      </c>
      <c r="F764" s="33" t="s">
        <v>813</v>
      </c>
      <c r="G764" s="33" t="str">
        <f>CONCATENATE(uitkomst_doelgroep[[#This Row],[Digitale zorgtoepassing]],"_",uitkomst_doelgroep[[#This Row],[Doelgroep]],"_",uitkomst_doelgroep[[#This Row],[Uitgangssituatie/effect beleid]])</f>
        <v>(Zelf)zorgplatform + telebegeleiding_Hartfalen_Uitgangssituatie</v>
      </c>
      <c r="H764" s="33">
        <v>2023</v>
      </c>
      <c r="I764" s="32">
        <v>1</v>
      </c>
      <c r="J764" s="406" cm="1">
        <f t="array" ref="J764">INDEX(implementatie[[2023]:[2034]],MATCH(G764, implementatie[Zoeksleutel],0),I764)</f>
        <v>0.6</v>
      </c>
      <c r="K764" s="406" cm="1">
        <f t="array" ref="K764">INDEX(implementatie[[2023]:[2034]],MATCH(G764,implementatie[Zoeksleutel],0),I764 + 1)</f>
        <v>0.71799999999999997</v>
      </c>
      <c r="L76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28956</v>
      </c>
      <c r="M764" s="398" cm="1">
        <f t="array" ref="M764">J764*INDEX(Berekening_impact[Totaal arbeidsbesparing (€/jaar)],MATCH(B764,IF(Berekening_impact[Doelgroep]=C764,Berekening_impact[Digitale zorgtoepassing]),0))</f>
        <v>31957261.234465517</v>
      </c>
      <c r="N764" s="397" cm="1">
        <f t="array" ref="N764">J764*INDEX(Berekening_impact[Totaal arbeidsbesparing (FTE/jaar)],MATCH(B764,IF(Berekening_impact[Doelgroep]=C764,Berekening_impact[Digitale zorgtoepassing]),0))</f>
        <v>553.85797241558794</v>
      </c>
      <c r="O764" s="398" cm="1">
        <f t="array" ref="O764">J764*INDEX(Berekening_impact[Overige kostenbesparing (totaal/jaar totaal potentieel)],MATCH(B764,IF(Berekening_impact[Doelgroep]=C764,Berekening_impact[Digitale zorgtoepassing]),0))</f>
        <v>42506760</v>
      </c>
      <c r="P764" s="398" cm="1">
        <f t="array" ref="P764">J764*INDEX(Berekening_impact[Opbrengsten door QALY''s],MATCH(B764,IF(Berekening_impact[Doelgroep]=C764,Berekening_impact[Digitale zorgtoepassing]),0))</f>
        <v>0</v>
      </c>
      <c r="Q764" s="398" cm="1">
        <f t="array" ref="Q764">J764*INDEX(Berekening_impact[Jaarlijkse kosten (totaal) - incl. schatting],MATCH(B764,IF(Berekening_impact[Doelgroep]=C764,Berekening_impact[Digitale zorgtoepassing]),0))</f>
        <v>10134600</v>
      </c>
      <c r="R764" s="398" cm="1">
        <f t="array" ref="R764">(uitkomst_doelgroep[[#This Row],[Implementatiegraad t = T + 1]]-uitkomst_doelgroep[[#This Row],[Implementatiegraad t = T]])*INDEX(Berekening_impact[Initiële investering (totaal) - incl. schatting],MATCH(B764,IF(Berekening_impact[Doelgroep]=C764,Berekening_impact[Digitale zorgtoepassing]),0))</f>
        <v>0</v>
      </c>
      <c r="S764" s="398">
        <f>uitkomst_doelgroep[[#This Row],[Arbeidsbesparing (€)]]*uitkomst_doelgroep[[#This Row],[Percentage van patiëntaantallen in Wlz (overige is Zvw)]]</f>
        <v>0</v>
      </c>
      <c r="T764" s="398">
        <f>uitkomst_doelgroep[[#This Row],[Overige besparingen (€)]]*uitkomst_doelgroep[[#This Row],[Percentage van patiëntaantallen in Wlz (overige is Zvw)]]</f>
        <v>0</v>
      </c>
      <c r="U764" s="398">
        <f>uitkomst_doelgroep[[#This Row],[Kosten (€)]]*uitkomst_doelgroep[[#This Row],[Percentage van patiëntaantallen in Wlz (overige is Zvw)]]</f>
        <v>0</v>
      </c>
      <c r="V764" s="398">
        <f>uitkomst_doelgroep[[#This Row],[Investering (cash flow) (€)]]*uitkomst_doelgroep[[#This Row],[Percentage van patiëntaantallen in Wlz (overige is Zvw)]]</f>
        <v>0</v>
      </c>
    </row>
    <row r="765" spans="1:22" x14ac:dyDescent="0.5">
      <c r="A765" s="33" t="str">
        <f>INDEX(Technologieën[Veld],MATCH(B765,Technologieën[Digitale zorgtoepassing],0))</f>
        <v>Software - Behandeling</v>
      </c>
      <c r="B765" s="33" t="s">
        <v>609</v>
      </c>
      <c r="C765" s="33" t="s">
        <v>51</v>
      </c>
      <c r="D765" s="427" cm="1">
        <f t="array" ref="D765">INDEX(Berekening_patiëntaantal[Percentage van patiëntaantallen in Wlz (overige is Zvw)],MATCH(B765,IF(Berekening_patiëntaantal[Doelgroep (zoeksleutel)]=C765,Berekening_patiëntaantal[Digitale zorgtoepassing]),0))</f>
        <v>0</v>
      </c>
      <c r="E765" s="33" t="str" cm="1">
        <f t="array" ref="E765">INDEX(Berekening_patiëntaantal[Direct toepasbaar/extrapolatie/incidentie voor QALY],MATCH(B765,IF(Berekening_patiëntaantal[Doelgroep (zoeksleutel)]=C765,Berekening_patiëntaantal[Digitale zorgtoepassing]),0))</f>
        <v>Huidige toepassing</v>
      </c>
      <c r="F765" s="33" t="s">
        <v>813</v>
      </c>
      <c r="G765" s="33" t="str">
        <f>CONCATENATE(uitkomst_doelgroep[[#This Row],[Digitale zorgtoepassing]],"_",uitkomst_doelgroep[[#This Row],[Doelgroep]],"_",uitkomst_doelgroep[[#This Row],[Uitgangssituatie/effect beleid]])</f>
        <v>(Zelf)zorgplatform + telebegeleiding_Hartfalen_Uitgangssituatie</v>
      </c>
      <c r="H765" s="33">
        <v>2024</v>
      </c>
      <c r="I765" s="32">
        <v>2</v>
      </c>
      <c r="J765" s="406" cm="1">
        <f t="array" ref="J765">INDEX(implementatie[[2023]:[2034]],MATCH(G765, implementatie[Zoeksleutel],0),I765)</f>
        <v>0.71799999999999997</v>
      </c>
      <c r="K765" s="406" cm="1">
        <f t="array" ref="K765">INDEX(implementatie[[2023]:[2034]],MATCH(G765,implementatie[Zoeksleutel],0),I765 + 1)</f>
        <v>0.81616420000000001</v>
      </c>
      <c r="L76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34650.68</v>
      </c>
      <c r="M765" s="398" cm="1">
        <f t="array" ref="M765">J765*INDEX(Berekening_impact[Totaal arbeidsbesparing (€/jaar)],MATCH(B765,IF(Berekening_impact[Doelgroep]=C765,Berekening_impact[Digitale zorgtoepassing]),0))</f>
        <v>38242189.277243733</v>
      </c>
      <c r="N765" s="397" cm="1">
        <f t="array" ref="N765">J765*INDEX(Berekening_impact[Totaal arbeidsbesparing (FTE/jaar)],MATCH(B765,IF(Berekening_impact[Doelgroep]=C765,Berekening_impact[Digitale zorgtoepassing]),0))</f>
        <v>662.78337365732023</v>
      </c>
      <c r="O765" s="398" cm="1">
        <f t="array" ref="O765">J765*INDEX(Berekening_impact[Overige kostenbesparing (totaal/jaar totaal potentieel)],MATCH(B765,IF(Berekening_impact[Doelgroep]=C765,Berekening_impact[Digitale zorgtoepassing]),0))</f>
        <v>50866422.799999997</v>
      </c>
      <c r="P765" s="398" cm="1">
        <f t="array" ref="P765">J765*INDEX(Berekening_impact[Opbrengsten door QALY''s],MATCH(B765,IF(Berekening_impact[Doelgroep]=C765,Berekening_impact[Digitale zorgtoepassing]),0))</f>
        <v>0</v>
      </c>
      <c r="Q765" s="398" cm="1">
        <f t="array" ref="Q765">J765*INDEX(Berekening_impact[Jaarlijkse kosten (totaal) - incl. schatting],MATCH(B765,IF(Berekening_impact[Doelgroep]=C765,Berekening_impact[Digitale zorgtoepassing]),0))</f>
        <v>12127738</v>
      </c>
      <c r="R765" s="398" cm="1">
        <f t="array" ref="R765">(uitkomst_doelgroep[[#This Row],[Implementatiegraad t = T + 1]]-uitkomst_doelgroep[[#This Row],[Implementatiegraad t = T]])*INDEX(Berekening_impact[Initiële investering (totaal) - incl. schatting],MATCH(B765,IF(Berekening_impact[Doelgroep]=C765,Berekening_impact[Digitale zorgtoepassing]),0))</f>
        <v>0</v>
      </c>
      <c r="S765" s="398">
        <f>uitkomst_doelgroep[[#This Row],[Arbeidsbesparing (€)]]*uitkomst_doelgroep[[#This Row],[Percentage van patiëntaantallen in Wlz (overige is Zvw)]]</f>
        <v>0</v>
      </c>
      <c r="T765" s="398">
        <f>uitkomst_doelgroep[[#This Row],[Overige besparingen (€)]]*uitkomst_doelgroep[[#This Row],[Percentage van patiëntaantallen in Wlz (overige is Zvw)]]</f>
        <v>0</v>
      </c>
      <c r="U765" s="398">
        <f>uitkomst_doelgroep[[#This Row],[Kosten (€)]]*uitkomst_doelgroep[[#This Row],[Percentage van patiëntaantallen in Wlz (overige is Zvw)]]</f>
        <v>0</v>
      </c>
      <c r="V765" s="398">
        <f>uitkomst_doelgroep[[#This Row],[Investering (cash flow) (€)]]*uitkomst_doelgroep[[#This Row],[Percentage van patiëntaantallen in Wlz (overige is Zvw)]]</f>
        <v>0</v>
      </c>
    </row>
    <row r="766" spans="1:22" x14ac:dyDescent="0.5">
      <c r="A766" s="33" t="str">
        <f>INDEX(Technologieën[Veld],MATCH(B766,Technologieën[Digitale zorgtoepassing],0))</f>
        <v>Software - Behandeling</v>
      </c>
      <c r="B766" s="33" t="s">
        <v>609</v>
      </c>
      <c r="C766" s="33" t="s">
        <v>51</v>
      </c>
      <c r="D766" s="427" cm="1">
        <f t="array" ref="D766">INDEX(Berekening_patiëntaantal[Percentage van patiëntaantallen in Wlz (overige is Zvw)],MATCH(B766,IF(Berekening_patiëntaantal[Doelgroep (zoeksleutel)]=C766,Berekening_patiëntaantal[Digitale zorgtoepassing]),0))</f>
        <v>0</v>
      </c>
      <c r="E766" s="33" t="str" cm="1">
        <f t="array" ref="E766">INDEX(Berekening_patiëntaantal[Direct toepasbaar/extrapolatie/incidentie voor QALY],MATCH(B766,IF(Berekening_patiëntaantal[Doelgroep (zoeksleutel)]=C766,Berekening_patiëntaantal[Digitale zorgtoepassing]),0))</f>
        <v>Huidige toepassing</v>
      </c>
      <c r="F766" s="33" t="s">
        <v>813</v>
      </c>
      <c r="G766" s="33" t="str">
        <f>CONCATENATE(uitkomst_doelgroep[[#This Row],[Digitale zorgtoepassing]],"_",uitkomst_doelgroep[[#This Row],[Doelgroep]],"_",uitkomst_doelgroep[[#This Row],[Uitgangssituatie/effect beleid]])</f>
        <v>(Zelf)zorgplatform + telebegeleiding_Hartfalen_Uitgangssituatie</v>
      </c>
      <c r="H766" s="33">
        <v>2025</v>
      </c>
      <c r="I766" s="32">
        <v>3</v>
      </c>
      <c r="J766" s="406" cm="1">
        <f t="array" ref="J766">INDEX(implementatie[[2023]:[2034]],MATCH(G766, implementatie[Zoeksleutel],0),I766)</f>
        <v>0.81616420000000001</v>
      </c>
      <c r="K766" s="406" cm="1">
        <f t="array" ref="K766">INDEX(implementatie[[2023]:[2034]],MATCH(G766,implementatie[Zoeksleutel],0),I766 + 1)</f>
        <v>0.88827818438726203</v>
      </c>
      <c r="L76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39388.084292</v>
      </c>
      <c r="M766" s="398" cm="1">
        <f t="array" ref="M766">J766*INDEX(Berekening_impact[Totaal arbeidsbesparing (€/jaar)],MATCH(B766,IF(Berekening_impact[Doelgroep]=C766,Berekening_impact[Digitale zorgtoepassing]),0))</f>
        <v>43470620.916030936</v>
      </c>
      <c r="N766" s="397" cm="1">
        <f t="array" ref="N766">J766*INDEX(Berekening_impact[Totaal arbeidsbesparing (FTE/jaar)],MATCH(B766,IF(Berekening_impact[Doelgroep]=C766,Berekening_impact[Digitale zorgtoepassing]),0))</f>
        <v>753.39841495031737</v>
      </c>
      <c r="O766" s="398" cm="1">
        <f t="array" ref="O766">J766*INDEX(Berekening_impact[Overige kostenbesparing (totaal/jaar totaal potentieel)],MATCH(B766,IF(Berekening_impact[Doelgroep]=C766,Berekening_impact[Digitale zorgtoepassing]),0))</f>
        <v>57820826.283320002</v>
      </c>
      <c r="P766" s="398" cm="1">
        <f t="array" ref="P766">J766*INDEX(Berekening_impact[Opbrengsten door QALY''s],MATCH(B766,IF(Berekening_impact[Doelgroep]=C766,Berekening_impact[Digitale zorgtoepassing]),0))</f>
        <v>0</v>
      </c>
      <c r="Q766" s="398" cm="1">
        <f t="array" ref="Q766">J766*INDEX(Berekening_impact[Jaarlijkse kosten (totaal) - incl. schatting],MATCH(B766,IF(Berekening_impact[Doelgroep]=C766,Berekening_impact[Digitale zorgtoepassing]),0))</f>
        <v>13785829.5022</v>
      </c>
      <c r="R766" s="398" cm="1">
        <f t="array" ref="R766">(uitkomst_doelgroep[[#This Row],[Implementatiegraad t = T + 1]]-uitkomst_doelgroep[[#This Row],[Implementatiegraad t = T]])*INDEX(Berekening_impact[Initiële investering (totaal) - incl. schatting],MATCH(B766,IF(Berekening_impact[Doelgroep]=C766,Berekening_impact[Digitale zorgtoepassing]),0))</f>
        <v>0</v>
      </c>
      <c r="S766" s="398">
        <f>uitkomst_doelgroep[[#This Row],[Arbeidsbesparing (€)]]*uitkomst_doelgroep[[#This Row],[Percentage van patiëntaantallen in Wlz (overige is Zvw)]]</f>
        <v>0</v>
      </c>
      <c r="T766" s="398">
        <f>uitkomst_doelgroep[[#This Row],[Overige besparingen (€)]]*uitkomst_doelgroep[[#This Row],[Percentage van patiëntaantallen in Wlz (overige is Zvw)]]</f>
        <v>0</v>
      </c>
      <c r="U766" s="398">
        <f>uitkomst_doelgroep[[#This Row],[Kosten (€)]]*uitkomst_doelgroep[[#This Row],[Percentage van patiëntaantallen in Wlz (overige is Zvw)]]</f>
        <v>0</v>
      </c>
      <c r="V766" s="398">
        <f>uitkomst_doelgroep[[#This Row],[Investering (cash flow) (€)]]*uitkomst_doelgroep[[#This Row],[Percentage van patiëntaantallen in Wlz (overige is Zvw)]]</f>
        <v>0</v>
      </c>
    </row>
    <row r="767" spans="1:22" x14ac:dyDescent="0.5">
      <c r="A767" s="33" t="str">
        <f>INDEX(Technologieën[Veld],MATCH(B767,Technologieën[Digitale zorgtoepassing],0))</f>
        <v>Software - Behandeling</v>
      </c>
      <c r="B767" s="33" t="s">
        <v>609</v>
      </c>
      <c r="C767" s="33" t="s">
        <v>51</v>
      </c>
      <c r="D767" s="427" cm="1">
        <f t="array" ref="D767">INDEX(Berekening_patiëntaantal[Percentage van patiëntaantallen in Wlz (overige is Zvw)],MATCH(B767,IF(Berekening_patiëntaantal[Doelgroep (zoeksleutel)]=C767,Berekening_patiëntaantal[Digitale zorgtoepassing]),0))</f>
        <v>0</v>
      </c>
      <c r="E767" s="33" t="str" cm="1">
        <f t="array" ref="E767">INDEX(Berekening_patiëntaantal[Direct toepasbaar/extrapolatie/incidentie voor QALY],MATCH(B767,IF(Berekening_patiëntaantal[Doelgroep (zoeksleutel)]=C767,Berekening_patiëntaantal[Digitale zorgtoepassing]),0))</f>
        <v>Huidige toepassing</v>
      </c>
      <c r="F767" s="33" t="s">
        <v>813</v>
      </c>
      <c r="G767" s="33" t="str">
        <f>CONCATENATE(uitkomst_doelgroep[[#This Row],[Digitale zorgtoepassing]],"_",uitkomst_doelgroep[[#This Row],[Doelgroep]],"_",uitkomst_doelgroep[[#This Row],[Uitgangssituatie/effect beleid]])</f>
        <v>(Zelf)zorgplatform + telebegeleiding_Hartfalen_Uitgangssituatie</v>
      </c>
      <c r="H767" s="33">
        <v>2026</v>
      </c>
      <c r="I767" s="32">
        <v>4</v>
      </c>
      <c r="J767" s="406" cm="1">
        <f t="array" ref="J767">INDEX(implementatie[[2023]:[2034]],MATCH(G767, implementatie[Zoeksleutel],0),I767)</f>
        <v>0.88827818438726203</v>
      </c>
      <c r="K767" s="406" cm="1">
        <f t="array" ref="K767">INDEX(implementatie[[2023]:[2034]],MATCH(G767,implementatie[Zoeksleutel],0),I767 + 1)</f>
        <v>0.93572925296559961</v>
      </c>
      <c r="L76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42868.305178529263</v>
      </c>
      <c r="M767" s="398" cm="1">
        <f t="array" ref="M767">J767*INDEX(Berekening_impact[Totaal arbeidsbesparing (€/jaar)],MATCH(B767,IF(Berekening_impact[Doelgroep]=C767,Berekening_impact[Digitale zorgtoepassing]),0))</f>
        <v>47311563.312234104</v>
      </c>
      <c r="N767" s="397" cm="1">
        <f t="array" ref="N767">J767*INDEX(Berekening_impact[Totaal arbeidsbesparing (FTE/jaar)],MATCH(B767,IF(Berekening_impact[Doelgroep]=C767,Berekening_impact[Digitale zorgtoepassing]),0))</f>
        <v>819.96659024288124</v>
      </c>
      <c r="O767" s="398" cm="1">
        <f t="array" ref="O767">J767*INDEX(Berekening_impact[Overige kostenbesparing (totaal/jaar totaal potentieel)],MATCH(B767,IF(Berekening_impact[Doelgroep]=C767,Berekening_impact[Digitale zorgtoepassing]),0))</f>
        <v>62929712.661641821</v>
      </c>
      <c r="P767" s="398" cm="1">
        <f t="array" ref="P767">J767*INDEX(Berekening_impact[Opbrengsten door QALY''s],MATCH(B767,IF(Berekening_impact[Doelgroep]=C767,Berekening_impact[Digitale zorgtoepassing]),0))</f>
        <v>0</v>
      </c>
      <c r="Q767" s="398" cm="1">
        <f t="array" ref="Q767">J767*INDEX(Berekening_impact[Jaarlijkse kosten (totaal) - incl. schatting],MATCH(B767,IF(Berekening_impact[Doelgroep]=C767,Berekening_impact[Digitale zorgtoepassing]),0))</f>
        <v>15003906.812485242</v>
      </c>
      <c r="R767" s="398" cm="1">
        <f t="array" ref="R767">(uitkomst_doelgroep[[#This Row],[Implementatiegraad t = T + 1]]-uitkomst_doelgroep[[#This Row],[Implementatiegraad t = T]])*INDEX(Berekening_impact[Initiële investering (totaal) - incl. schatting],MATCH(B767,IF(Berekening_impact[Doelgroep]=C767,Berekening_impact[Digitale zorgtoepassing]),0))</f>
        <v>0</v>
      </c>
      <c r="S767" s="398">
        <f>uitkomst_doelgroep[[#This Row],[Arbeidsbesparing (€)]]*uitkomst_doelgroep[[#This Row],[Percentage van patiëntaantallen in Wlz (overige is Zvw)]]</f>
        <v>0</v>
      </c>
      <c r="T767" s="398">
        <f>uitkomst_doelgroep[[#This Row],[Overige besparingen (€)]]*uitkomst_doelgroep[[#This Row],[Percentage van patiëntaantallen in Wlz (overige is Zvw)]]</f>
        <v>0</v>
      </c>
      <c r="U767" s="398">
        <f>uitkomst_doelgroep[[#This Row],[Kosten (€)]]*uitkomst_doelgroep[[#This Row],[Percentage van patiëntaantallen in Wlz (overige is Zvw)]]</f>
        <v>0</v>
      </c>
      <c r="V767" s="398">
        <f>uitkomst_doelgroep[[#This Row],[Investering (cash flow) (€)]]*uitkomst_doelgroep[[#This Row],[Percentage van patiëntaantallen in Wlz (overige is Zvw)]]</f>
        <v>0</v>
      </c>
    </row>
    <row r="768" spans="1:22" x14ac:dyDescent="0.5">
      <c r="A768" s="33" t="str">
        <f>INDEX(Technologieën[Veld],MATCH(B768,Technologieën[Digitale zorgtoepassing],0))</f>
        <v>Software - Behandeling</v>
      </c>
      <c r="B768" s="33" t="s">
        <v>609</v>
      </c>
      <c r="C768" s="33" t="s">
        <v>51</v>
      </c>
      <c r="D768" s="427" cm="1">
        <f t="array" ref="D768">INDEX(Berekening_patiëntaantal[Percentage van patiëntaantallen in Wlz (overige is Zvw)],MATCH(B768,IF(Berekening_patiëntaantal[Doelgroep (zoeksleutel)]=C768,Berekening_patiëntaantal[Digitale zorgtoepassing]),0))</f>
        <v>0</v>
      </c>
      <c r="E768" s="33" t="str" cm="1">
        <f t="array" ref="E768">INDEX(Berekening_patiëntaantal[Direct toepasbaar/extrapolatie/incidentie voor QALY],MATCH(B768,IF(Berekening_patiëntaantal[Doelgroep (zoeksleutel)]=C768,Berekening_patiëntaantal[Digitale zorgtoepassing]),0))</f>
        <v>Huidige toepassing</v>
      </c>
      <c r="F768" s="33" t="s">
        <v>813</v>
      </c>
      <c r="G768" s="33" t="str">
        <f>CONCATENATE(uitkomst_doelgroep[[#This Row],[Digitale zorgtoepassing]],"_",uitkomst_doelgroep[[#This Row],[Doelgroep]],"_",uitkomst_doelgroep[[#This Row],[Uitgangssituatie/effect beleid]])</f>
        <v>(Zelf)zorgplatform + telebegeleiding_Hartfalen_Uitgangssituatie</v>
      </c>
      <c r="H768" s="33">
        <v>2027</v>
      </c>
      <c r="I768" s="32">
        <v>5</v>
      </c>
      <c r="J768" s="406" cm="1">
        <f t="array" ref="J768">INDEX(implementatie[[2023]:[2034]],MATCH(G768, implementatie[Zoeksleutel],0),I768)</f>
        <v>0.93572925296559961</v>
      </c>
      <c r="K768" s="406" cm="1">
        <f t="array" ref="K768">INDEX(implementatie[[2023]:[2034]],MATCH(G768,implementatie[Zoeksleutel],0),I768 + 1)</f>
        <v>0.9643990297909778</v>
      </c>
      <c r="L76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45158.293748119839</v>
      </c>
      <c r="M768" s="398" cm="1">
        <f t="array" ref="M768">J768*INDEX(Berekening_impact[Totaal arbeidsbesparing (€/jaar)],MATCH(B768,IF(Berekening_impact[Doelgroep]=C768,Berekening_impact[Digitale zorgtoepassing]),0))</f>
        <v>49838906.969588228</v>
      </c>
      <c r="N768" s="397" cm="1">
        <f t="array" ref="N768">J768*INDEX(Berekening_impact[Totaal arbeidsbesparing (FTE/jaar)],MATCH(B768,IF(Berekening_impact[Doelgroep]=C768,Berekening_impact[Digitale zorgtoepassing]),0))</f>
        <v>863.76851129579973</v>
      </c>
      <c r="O768" s="398" cm="1">
        <f t="array" ref="O768">J768*INDEX(Berekening_impact[Overige kostenbesparing (totaal/jaar totaal potentieel)],MATCH(B768,IF(Berekening_impact[Doelgroep]=C768,Berekening_impact[Digitale zorgtoepassing]),0))</f>
        <v>66291364.634646721</v>
      </c>
      <c r="P768" s="398" cm="1">
        <f t="array" ref="P768">J768*INDEX(Berekening_impact[Opbrengsten door QALY''s],MATCH(B768,IF(Berekening_impact[Doelgroep]=C768,Berekening_impact[Digitale zorgtoepassing]),0))</f>
        <v>0</v>
      </c>
      <c r="Q768" s="398" cm="1">
        <f t="array" ref="Q768">J768*INDEX(Berekening_impact[Jaarlijkse kosten (totaal) - incl. schatting],MATCH(B768,IF(Berekening_impact[Doelgroep]=C768,Berekening_impact[Digitale zorgtoepassing]),0))</f>
        <v>15805402.811841942</v>
      </c>
      <c r="R768" s="398" cm="1">
        <f t="array" ref="R768">(uitkomst_doelgroep[[#This Row],[Implementatiegraad t = T + 1]]-uitkomst_doelgroep[[#This Row],[Implementatiegraad t = T]])*INDEX(Berekening_impact[Initiële investering (totaal) - incl. schatting],MATCH(B768,IF(Berekening_impact[Doelgroep]=C768,Berekening_impact[Digitale zorgtoepassing]),0))</f>
        <v>0</v>
      </c>
      <c r="S768" s="398">
        <f>uitkomst_doelgroep[[#This Row],[Arbeidsbesparing (€)]]*uitkomst_doelgroep[[#This Row],[Percentage van patiëntaantallen in Wlz (overige is Zvw)]]</f>
        <v>0</v>
      </c>
      <c r="T768" s="398">
        <f>uitkomst_doelgroep[[#This Row],[Overige besparingen (€)]]*uitkomst_doelgroep[[#This Row],[Percentage van patiëntaantallen in Wlz (overige is Zvw)]]</f>
        <v>0</v>
      </c>
      <c r="U768" s="398">
        <f>uitkomst_doelgroep[[#This Row],[Kosten (€)]]*uitkomst_doelgroep[[#This Row],[Percentage van patiëntaantallen in Wlz (overige is Zvw)]]</f>
        <v>0</v>
      </c>
      <c r="V768" s="398">
        <f>uitkomst_doelgroep[[#This Row],[Investering (cash flow) (€)]]*uitkomst_doelgroep[[#This Row],[Percentage van patiëntaantallen in Wlz (overige is Zvw)]]</f>
        <v>0</v>
      </c>
    </row>
    <row r="769" spans="1:22" x14ac:dyDescent="0.5">
      <c r="A769" s="33" t="str">
        <f>INDEX(Technologieën[Veld],MATCH(B769,Technologieën[Digitale zorgtoepassing],0))</f>
        <v>Software - Behandeling</v>
      </c>
      <c r="B769" s="33" t="s">
        <v>609</v>
      </c>
      <c r="C769" s="33" t="s">
        <v>51</v>
      </c>
      <c r="D769" s="427" cm="1">
        <f t="array" ref="D769">INDEX(Berekening_patiëntaantal[Percentage van patiëntaantallen in Wlz (overige is Zvw)],MATCH(B769,IF(Berekening_patiëntaantal[Doelgroep (zoeksleutel)]=C769,Berekening_patiëntaantal[Digitale zorgtoepassing]),0))</f>
        <v>0</v>
      </c>
      <c r="E769" s="33" t="str" cm="1">
        <f t="array" ref="E769">INDEX(Berekening_patiëntaantal[Direct toepasbaar/extrapolatie/incidentie voor QALY],MATCH(B769,IF(Berekening_patiëntaantal[Doelgroep (zoeksleutel)]=C769,Berekening_patiëntaantal[Digitale zorgtoepassing]),0))</f>
        <v>Huidige toepassing</v>
      </c>
      <c r="F769" s="33" t="s">
        <v>813</v>
      </c>
      <c r="G769" s="33" t="str">
        <f>CONCATENATE(uitkomst_doelgroep[[#This Row],[Digitale zorgtoepassing]],"_",uitkomst_doelgroep[[#This Row],[Doelgroep]],"_",uitkomst_doelgroep[[#This Row],[Uitgangssituatie/effect beleid]])</f>
        <v>(Zelf)zorgplatform + telebegeleiding_Hartfalen_Uitgangssituatie</v>
      </c>
      <c r="H769" s="33">
        <v>2028</v>
      </c>
      <c r="I769" s="32">
        <v>6</v>
      </c>
      <c r="J769" s="406" cm="1">
        <f t="array" ref="J769">INDEX(implementatie[[2023]:[2034]],MATCH(G769, implementatie[Zoeksleutel],0),I769)</f>
        <v>0.9643990297909778</v>
      </c>
      <c r="K769" s="406" cm="1">
        <f t="array" ref="K769">INDEX(implementatie[[2023]:[2034]],MATCH(G769,implementatie[Zoeksleutel],0),I769 + 1)</f>
        <v>0.98073914755434266</v>
      </c>
      <c r="L76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46541.897177712592</v>
      </c>
      <c r="M769" s="398" cm="1">
        <f t="array" ref="M769">J769*INDEX(Berekening_impact[Totaal arbeidsbesparing (€/jaar)],MATCH(B769,IF(Berekening_impact[Doelgroep]=C769,Berekening_impact[Digitale zorgtoepassing]),0))</f>
        <v>51365919.548825622</v>
      </c>
      <c r="N769" s="397" cm="1">
        <f t="array" ref="N769">J769*INDEX(Berekening_impact[Totaal arbeidsbesparing (FTE/jaar)],MATCH(B769,IF(Berekening_impact[Doelgroep]=C769,Berekening_impact[Digitale zorgtoepassing]),0))</f>
        <v>890.23348539931862</v>
      </c>
      <c r="O769" s="398" cm="1">
        <f t="array" ref="O769">J769*INDEX(Berekening_impact[Overige kostenbesparing (totaal/jaar totaal potentieel)],MATCH(B769,IF(Berekening_impact[Doelgroep]=C769,Berekening_impact[Digitale zorgtoepassing]),0))</f>
        <v>68322463.505929902</v>
      </c>
      <c r="P769" s="398" cm="1">
        <f t="array" ref="P769">J769*INDEX(Berekening_impact[Opbrengsten door QALY''s],MATCH(B769,IF(Berekening_impact[Doelgroep]=C769,Berekening_impact[Digitale zorgtoepassing]),0))</f>
        <v>0</v>
      </c>
      <c r="Q769" s="398" cm="1">
        <f t="array" ref="Q769">J769*INDEX(Berekening_impact[Jaarlijkse kosten (totaal) - incl. schatting],MATCH(B769,IF(Berekening_impact[Doelgroep]=C769,Berekening_impact[Digitale zorgtoepassing]),0))</f>
        <v>16289664.012199406</v>
      </c>
      <c r="R769" s="398" cm="1">
        <f t="array" ref="R769">(uitkomst_doelgroep[[#This Row],[Implementatiegraad t = T + 1]]-uitkomst_doelgroep[[#This Row],[Implementatiegraad t = T]])*INDEX(Berekening_impact[Initiële investering (totaal) - incl. schatting],MATCH(B769,IF(Berekening_impact[Doelgroep]=C769,Berekening_impact[Digitale zorgtoepassing]),0))</f>
        <v>0</v>
      </c>
      <c r="S769" s="398">
        <f>uitkomst_doelgroep[[#This Row],[Arbeidsbesparing (€)]]*uitkomst_doelgroep[[#This Row],[Percentage van patiëntaantallen in Wlz (overige is Zvw)]]</f>
        <v>0</v>
      </c>
      <c r="T769" s="398">
        <f>uitkomst_doelgroep[[#This Row],[Overige besparingen (€)]]*uitkomst_doelgroep[[#This Row],[Percentage van patiëntaantallen in Wlz (overige is Zvw)]]</f>
        <v>0</v>
      </c>
      <c r="U769" s="398">
        <f>uitkomst_doelgroep[[#This Row],[Kosten (€)]]*uitkomst_doelgroep[[#This Row],[Percentage van patiëntaantallen in Wlz (overige is Zvw)]]</f>
        <v>0</v>
      </c>
      <c r="V769" s="398">
        <f>uitkomst_doelgroep[[#This Row],[Investering (cash flow) (€)]]*uitkomst_doelgroep[[#This Row],[Percentage van patiëntaantallen in Wlz (overige is Zvw)]]</f>
        <v>0</v>
      </c>
    </row>
    <row r="770" spans="1:22" x14ac:dyDescent="0.5">
      <c r="A770" s="33" t="str">
        <f>INDEX(Technologieën[Veld],MATCH(B770,Technologieën[Digitale zorgtoepassing],0))</f>
        <v>Software - Behandeling</v>
      </c>
      <c r="B770" s="33" t="s">
        <v>609</v>
      </c>
      <c r="C770" s="33" t="s">
        <v>51</v>
      </c>
      <c r="D770" s="427" cm="1">
        <f t="array" ref="D770">INDEX(Berekening_patiëntaantal[Percentage van patiëntaantallen in Wlz (overige is Zvw)],MATCH(B770,IF(Berekening_patiëntaantal[Doelgroep (zoeksleutel)]=C770,Berekening_patiëntaantal[Digitale zorgtoepassing]),0))</f>
        <v>0</v>
      </c>
      <c r="E770" s="33" t="str" cm="1">
        <f t="array" ref="E770">INDEX(Berekening_patiëntaantal[Direct toepasbaar/extrapolatie/incidentie voor QALY],MATCH(B770,IF(Berekening_patiëntaantal[Doelgroep (zoeksleutel)]=C770,Berekening_patiëntaantal[Digitale zorgtoepassing]),0))</f>
        <v>Huidige toepassing</v>
      </c>
      <c r="F770" s="33" t="s">
        <v>813</v>
      </c>
      <c r="G770" s="33" t="str">
        <f>CONCATENATE(uitkomst_doelgroep[[#This Row],[Digitale zorgtoepassing]],"_",uitkomst_doelgroep[[#This Row],[Doelgroep]],"_",uitkomst_doelgroep[[#This Row],[Uitgangssituatie/effect beleid]])</f>
        <v>(Zelf)zorgplatform + telebegeleiding_Hartfalen_Uitgangssituatie</v>
      </c>
      <c r="H770" s="33">
        <v>2029</v>
      </c>
      <c r="I770" s="32">
        <v>7</v>
      </c>
      <c r="J770" s="406" cm="1">
        <f t="array" ref="J770">INDEX(implementatie[[2023]:[2034]],MATCH(G770, implementatie[Zoeksleutel],0),I770)</f>
        <v>0.98073914755434266</v>
      </c>
      <c r="K770" s="406" cm="1">
        <f t="array" ref="K770">INDEX(implementatie[[2023]:[2034]],MATCH(G770,implementatie[Zoeksleutel],0),I770 + 1)</f>
        <v>0.98972111126940987</v>
      </c>
      <c r="L77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47330.471260972576</v>
      </c>
      <c r="M770" s="398" cm="1">
        <f t="array" ref="M770">J770*INDEX(Berekening_impact[Totaal arbeidsbesparing (€/jaar)],MATCH(B770,IF(Berekening_impact[Doelgroep]=C770,Berekening_impact[Digitale zorgtoepassing]),0))</f>
        <v>52236228.568768591</v>
      </c>
      <c r="N770" s="397" cm="1">
        <f t="array" ref="N770">J770*INDEX(Berekening_impact[Totaal arbeidsbesparing (FTE/jaar)],MATCH(B770,IF(Berekening_impact[Doelgroep]=C770,Berekening_impact[Digitale zorgtoepassing]),0))</f>
        <v>905.3169928884007</v>
      </c>
      <c r="O770" s="398" cm="1">
        <f t="array" ref="O770">J770*INDEX(Berekening_impact[Overige kostenbesparing (totaal/jaar totaal potentieel)],MATCH(B770,IF(Berekening_impact[Doelgroep]=C770,Berekening_impact[Digitale zorgtoepassing]),0))</f>
        <v>69480072.612828389</v>
      </c>
      <c r="P770" s="398" cm="1">
        <f t="array" ref="P770">J770*INDEX(Berekening_impact[Opbrengsten door QALY''s],MATCH(B770,IF(Berekening_impact[Doelgroep]=C770,Berekening_impact[Digitale zorgtoepassing]),0))</f>
        <v>0</v>
      </c>
      <c r="Q770" s="398" cm="1">
        <f t="array" ref="Q770">J770*INDEX(Berekening_impact[Jaarlijkse kosten (totaal) - incl. schatting],MATCH(B770,IF(Berekening_impact[Doelgroep]=C770,Berekening_impact[Digitale zorgtoepassing]),0))</f>
        <v>16565664.941340402</v>
      </c>
      <c r="R770" s="398" cm="1">
        <f t="array" ref="R770">(uitkomst_doelgroep[[#This Row],[Implementatiegraad t = T + 1]]-uitkomst_doelgroep[[#This Row],[Implementatiegraad t = T]])*INDEX(Berekening_impact[Initiële investering (totaal) - incl. schatting],MATCH(B770,IF(Berekening_impact[Doelgroep]=C770,Berekening_impact[Digitale zorgtoepassing]),0))</f>
        <v>0</v>
      </c>
      <c r="S770" s="398">
        <f>uitkomst_doelgroep[[#This Row],[Arbeidsbesparing (€)]]*uitkomst_doelgroep[[#This Row],[Percentage van patiëntaantallen in Wlz (overige is Zvw)]]</f>
        <v>0</v>
      </c>
      <c r="T770" s="398">
        <f>uitkomst_doelgroep[[#This Row],[Overige besparingen (€)]]*uitkomst_doelgroep[[#This Row],[Percentage van patiëntaantallen in Wlz (overige is Zvw)]]</f>
        <v>0</v>
      </c>
      <c r="U770" s="398">
        <f>uitkomst_doelgroep[[#This Row],[Kosten (€)]]*uitkomst_doelgroep[[#This Row],[Percentage van patiëntaantallen in Wlz (overige is Zvw)]]</f>
        <v>0</v>
      </c>
      <c r="V770" s="398">
        <f>uitkomst_doelgroep[[#This Row],[Investering (cash flow) (€)]]*uitkomst_doelgroep[[#This Row],[Percentage van patiëntaantallen in Wlz (overige is Zvw)]]</f>
        <v>0</v>
      </c>
    </row>
    <row r="771" spans="1:22" x14ac:dyDescent="0.5">
      <c r="A771" s="33" t="str">
        <f>INDEX(Technologieën[Veld],MATCH(B771,Technologieën[Digitale zorgtoepassing],0))</f>
        <v>Software - Behandeling</v>
      </c>
      <c r="B771" s="33" t="s">
        <v>609</v>
      </c>
      <c r="C771" s="33" t="s">
        <v>51</v>
      </c>
      <c r="D771" s="427" cm="1">
        <f t="array" ref="D771">INDEX(Berekening_patiëntaantal[Percentage van patiëntaantallen in Wlz (overige is Zvw)],MATCH(B771,IF(Berekening_patiëntaantal[Doelgroep (zoeksleutel)]=C771,Berekening_patiëntaantal[Digitale zorgtoepassing]),0))</f>
        <v>0</v>
      </c>
      <c r="E771" s="33" t="str" cm="1">
        <f t="array" ref="E771">INDEX(Berekening_patiëntaantal[Direct toepasbaar/extrapolatie/incidentie voor QALY],MATCH(B771,IF(Berekening_patiëntaantal[Doelgroep (zoeksleutel)]=C771,Berekening_patiëntaantal[Digitale zorgtoepassing]),0))</f>
        <v>Huidige toepassing</v>
      </c>
      <c r="F771" s="33" t="s">
        <v>813</v>
      </c>
      <c r="G771" s="33" t="str">
        <f>CONCATENATE(uitkomst_doelgroep[[#This Row],[Digitale zorgtoepassing]],"_",uitkomst_doelgroep[[#This Row],[Doelgroep]],"_",uitkomst_doelgroep[[#This Row],[Uitgangssituatie/effect beleid]])</f>
        <v>(Zelf)zorgplatform + telebegeleiding_Hartfalen_Uitgangssituatie</v>
      </c>
      <c r="H771" s="33">
        <v>2030</v>
      </c>
      <c r="I771" s="32">
        <v>8</v>
      </c>
      <c r="J771" s="406" cm="1">
        <f t="array" ref="J771">INDEX(implementatie[[2023]:[2034]],MATCH(G771, implementatie[Zoeksleutel],0),I771)</f>
        <v>0.98972111126940987</v>
      </c>
      <c r="K771" s="406" cm="1">
        <f t="array" ref="K771">INDEX(implementatie[[2023]:[2034]],MATCH(G771,implementatie[Zoeksleutel],0),I771 + 1)</f>
        <v>0.99455603841734896</v>
      </c>
      <c r="L77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47763.94082986172</v>
      </c>
      <c r="M771" s="398" cm="1">
        <f t="array" ref="M771">J771*INDEX(Berekening_impact[Totaal arbeidsbesparing (€/jaar)],MATCH(B771,IF(Berekening_impact[Doelgroep]=C771,Berekening_impact[Digitale zorgtoepassing]),0))</f>
        <v>52714626.83683674</v>
      </c>
      <c r="N771" s="397" cm="1">
        <f t="array" ref="N771">J771*INDEX(Berekening_impact[Totaal arbeidsbesparing (FTE/jaar)],MATCH(B771,IF(Berekening_impact[Doelgroep]=C771,Berekening_impact[Digitale zorgtoepassing]),0))</f>
        <v>913.60821324096321</v>
      </c>
      <c r="O771" s="398" cm="1">
        <f t="array" ref="O771">J771*INDEX(Berekening_impact[Overige kostenbesparing (totaal/jaar totaal potentieel)],MATCH(B771,IF(Berekening_impact[Doelgroep]=C771,Berekening_impact[Digitale zorgtoepassing]),0))</f>
        <v>70116396.239436835</v>
      </c>
      <c r="P771" s="398" cm="1">
        <f t="array" ref="P771">J771*INDEX(Berekening_impact[Opbrengsten door QALY''s],MATCH(B771,IF(Berekening_impact[Doelgroep]=C771,Berekening_impact[Digitale zorgtoepassing]),0))</f>
        <v>0</v>
      </c>
      <c r="Q771" s="398" cm="1">
        <f t="array" ref="Q771">J771*INDEX(Berekening_impact[Jaarlijkse kosten (totaal) - incl. schatting],MATCH(B771,IF(Berekening_impact[Doelgroep]=C771,Berekening_impact[Digitale zorgtoepassing]),0))</f>
        <v>16717379.290451603</v>
      </c>
      <c r="R771" s="398" cm="1">
        <f t="array" ref="R771">(uitkomst_doelgroep[[#This Row],[Implementatiegraad t = T + 1]]-uitkomst_doelgroep[[#This Row],[Implementatiegraad t = T]])*INDEX(Berekening_impact[Initiële investering (totaal) - incl. schatting],MATCH(B771,IF(Berekening_impact[Doelgroep]=C771,Berekening_impact[Digitale zorgtoepassing]),0))</f>
        <v>0</v>
      </c>
      <c r="S771" s="398">
        <f>uitkomst_doelgroep[[#This Row],[Arbeidsbesparing (€)]]*uitkomst_doelgroep[[#This Row],[Percentage van patiëntaantallen in Wlz (overige is Zvw)]]</f>
        <v>0</v>
      </c>
      <c r="T771" s="398">
        <f>uitkomst_doelgroep[[#This Row],[Overige besparingen (€)]]*uitkomst_doelgroep[[#This Row],[Percentage van patiëntaantallen in Wlz (overige is Zvw)]]</f>
        <v>0</v>
      </c>
      <c r="U771" s="398">
        <f>uitkomst_doelgroep[[#This Row],[Kosten (€)]]*uitkomst_doelgroep[[#This Row],[Percentage van patiëntaantallen in Wlz (overige is Zvw)]]</f>
        <v>0</v>
      </c>
      <c r="V771" s="398">
        <f>uitkomst_doelgroep[[#This Row],[Investering (cash flow) (€)]]*uitkomst_doelgroep[[#This Row],[Percentage van patiëntaantallen in Wlz (overige is Zvw)]]</f>
        <v>0</v>
      </c>
    </row>
    <row r="772" spans="1:22" x14ac:dyDescent="0.5">
      <c r="A772" s="33" t="str">
        <f>INDEX(Technologieën[Veld],MATCH(B772,Technologieën[Digitale zorgtoepassing],0))</f>
        <v>Software - Behandeling</v>
      </c>
      <c r="B772" s="33" t="s">
        <v>609</v>
      </c>
      <c r="C772" s="33" t="s">
        <v>51</v>
      </c>
      <c r="D772" s="427" cm="1">
        <f t="array" ref="D772">INDEX(Berekening_patiëntaantal[Percentage van patiëntaantallen in Wlz (overige is Zvw)],MATCH(B772,IF(Berekening_patiëntaantal[Doelgroep (zoeksleutel)]=C772,Berekening_patiëntaantal[Digitale zorgtoepassing]),0))</f>
        <v>0</v>
      </c>
      <c r="E772" s="33" t="str" cm="1">
        <f t="array" ref="E772">INDEX(Berekening_patiëntaantal[Direct toepasbaar/extrapolatie/incidentie voor QALY],MATCH(B772,IF(Berekening_patiëntaantal[Doelgroep (zoeksleutel)]=C772,Berekening_patiëntaantal[Digitale zorgtoepassing]),0))</f>
        <v>Huidige toepassing</v>
      </c>
      <c r="F772" s="33" t="s">
        <v>813</v>
      </c>
      <c r="G772" s="33" t="str">
        <f>CONCATENATE(uitkomst_doelgroep[[#This Row],[Digitale zorgtoepassing]],"_",uitkomst_doelgroep[[#This Row],[Doelgroep]],"_",uitkomst_doelgroep[[#This Row],[Uitgangssituatie/effect beleid]])</f>
        <v>(Zelf)zorgplatform + telebegeleiding_Hartfalen_Uitgangssituatie</v>
      </c>
      <c r="H772" s="33">
        <v>2031</v>
      </c>
      <c r="I772" s="32">
        <v>9</v>
      </c>
      <c r="J772" s="406" cm="1">
        <f t="array" ref="J772">INDEX(implementatie[[2023]:[2034]],MATCH(G772, implementatie[Zoeksleutel],0),I772)</f>
        <v>0.99455603841734896</v>
      </c>
      <c r="K772" s="406" cm="1">
        <f t="array" ref="K772">INDEX(implementatie[[2023]:[2034]],MATCH(G772,implementatie[Zoeksleutel],0),I772 + 1)</f>
        <v>0.9971285836461371</v>
      </c>
      <c r="L77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47997.27441402126</v>
      </c>
      <c r="M772" s="398" cm="1">
        <f t="array" ref="M772">J772*INDEX(Berekening_impact[Totaal arbeidsbesparing (€/jaar)],MATCH(B772,IF(Berekening_impact[Doelgroep]=C772,Berekening_impact[Digitale zorgtoepassing]),0))</f>
        <v>52972145.220030576</v>
      </c>
      <c r="N772" s="397" cm="1">
        <f t="array" ref="N772">J772*INDEX(Berekening_impact[Totaal arbeidsbesparing (FTE/jaar)],MATCH(B772,IF(Berekening_impact[Doelgroep]=C772,Berekening_impact[Digitale zorgtoepassing]),0))</f>
        <v>918.07131815252092</v>
      </c>
      <c r="O772" s="398" cm="1">
        <f t="array" ref="O772">J772*INDEX(Berekening_impact[Overige kostenbesparing (totaal/jaar totaal potentieel)],MATCH(B772,IF(Berekening_impact[Doelgroep]=C772,Berekening_impact[Digitale zorgtoepassing]),0))</f>
        <v>70458924.719261721</v>
      </c>
      <c r="P772" s="398" cm="1">
        <f t="array" ref="P772">J772*INDEX(Berekening_impact[Opbrengsten door QALY''s],MATCH(B772,IF(Berekening_impact[Doelgroep]=C772,Berekening_impact[Digitale zorgtoepassing]),0))</f>
        <v>0</v>
      </c>
      <c r="Q772" s="398" cm="1">
        <f t="array" ref="Q772">J772*INDEX(Berekening_impact[Jaarlijkse kosten (totaal) - incl. schatting],MATCH(B772,IF(Berekening_impact[Doelgroep]=C772,Berekening_impact[Digitale zorgtoepassing]),0))</f>
        <v>16799046.04490744</v>
      </c>
      <c r="R772" s="398" cm="1">
        <f t="array" ref="R772">(uitkomst_doelgroep[[#This Row],[Implementatiegraad t = T + 1]]-uitkomst_doelgroep[[#This Row],[Implementatiegraad t = T]])*INDEX(Berekening_impact[Initiële investering (totaal) - incl. schatting],MATCH(B772,IF(Berekening_impact[Doelgroep]=C772,Berekening_impact[Digitale zorgtoepassing]),0))</f>
        <v>0</v>
      </c>
      <c r="S772" s="398">
        <f>uitkomst_doelgroep[[#This Row],[Arbeidsbesparing (€)]]*uitkomst_doelgroep[[#This Row],[Percentage van patiëntaantallen in Wlz (overige is Zvw)]]</f>
        <v>0</v>
      </c>
      <c r="T772" s="398">
        <f>uitkomst_doelgroep[[#This Row],[Overige besparingen (€)]]*uitkomst_doelgroep[[#This Row],[Percentage van patiëntaantallen in Wlz (overige is Zvw)]]</f>
        <v>0</v>
      </c>
      <c r="U772" s="398">
        <f>uitkomst_doelgroep[[#This Row],[Kosten (€)]]*uitkomst_doelgroep[[#This Row],[Percentage van patiëntaantallen in Wlz (overige is Zvw)]]</f>
        <v>0</v>
      </c>
      <c r="V772" s="398">
        <f>uitkomst_doelgroep[[#This Row],[Investering (cash flow) (€)]]*uitkomst_doelgroep[[#This Row],[Percentage van patiëntaantallen in Wlz (overige is Zvw)]]</f>
        <v>0</v>
      </c>
    </row>
    <row r="773" spans="1:22" x14ac:dyDescent="0.5">
      <c r="A773" s="33" t="str">
        <f>INDEX(Technologieën[Veld],MATCH(B773,Technologieën[Digitale zorgtoepassing],0))</f>
        <v>Software - Behandeling</v>
      </c>
      <c r="B773" s="33" t="s">
        <v>609</v>
      </c>
      <c r="C773" s="33" t="s">
        <v>51</v>
      </c>
      <c r="D773" s="427" cm="1">
        <f t="array" ref="D773">INDEX(Berekening_patiëntaantal[Percentage van patiëntaantallen in Wlz (overige is Zvw)],MATCH(B773,IF(Berekening_patiëntaantal[Doelgroep (zoeksleutel)]=C773,Berekening_patiëntaantal[Digitale zorgtoepassing]),0))</f>
        <v>0</v>
      </c>
      <c r="E773" s="33" t="str" cm="1">
        <f t="array" ref="E773">INDEX(Berekening_patiëntaantal[Direct toepasbaar/extrapolatie/incidentie voor QALY],MATCH(B773,IF(Berekening_patiëntaantal[Doelgroep (zoeksleutel)]=C773,Berekening_patiëntaantal[Digitale zorgtoepassing]),0))</f>
        <v>Huidige toepassing</v>
      </c>
      <c r="F773" s="33" t="s">
        <v>813</v>
      </c>
      <c r="G773" s="33" t="str">
        <f>CONCATENATE(uitkomst_doelgroep[[#This Row],[Digitale zorgtoepassing]],"_",uitkomst_doelgroep[[#This Row],[Doelgroep]],"_",uitkomst_doelgroep[[#This Row],[Uitgangssituatie/effect beleid]])</f>
        <v>(Zelf)zorgplatform + telebegeleiding_Hartfalen_Uitgangssituatie</v>
      </c>
      <c r="H773" s="33">
        <v>2032</v>
      </c>
      <c r="I773" s="32">
        <v>10</v>
      </c>
      <c r="J773" s="406" cm="1">
        <f t="array" ref="J773">INDEX(implementatie[[2023]:[2034]],MATCH(G773, implementatie[Zoeksleutel],0),I773)</f>
        <v>0.9971285836461371</v>
      </c>
      <c r="K773" s="406" cm="1">
        <f t="array" ref="K773">INDEX(implementatie[[2023]:[2034]],MATCH(G773,implementatie[Zoeksleutel],0),I773 + 1)</f>
        <v>0.99848879614987718</v>
      </c>
      <c r="L77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48121.42544676258</v>
      </c>
      <c r="M773" s="398" cm="1">
        <f t="array" ref="M773">J773*INDEX(Berekening_impact[Totaal arbeidsbesparing (€/jaar)],MATCH(B773,IF(Berekening_impact[Doelgroep]=C773,Berekening_impact[Digitale zorgtoepassing]),0))</f>
        <v>53109164.386553675</v>
      </c>
      <c r="N773" s="397" cm="1">
        <f t="array" ref="N773">J773*INDEX(Berekening_impact[Totaal arbeidsbesparing (FTE/jaar)],MATCH(B773,IF(Berekening_impact[Doelgroep]=C773,Berekening_impact[Digitale zorgtoepassing]),0))</f>
        <v>920.44602595979416</v>
      </c>
      <c r="O773" s="398" cm="1">
        <f t="array" ref="O773">J773*INDEX(Berekening_impact[Overige kostenbesparing (totaal/jaar totaal potentieel)],MATCH(B773,IF(Berekening_impact[Doelgroep]=C773,Berekening_impact[Digitale zorgtoepassing]),0))</f>
        <v>70641175.656977117</v>
      </c>
      <c r="P773" s="398" cm="1">
        <f t="array" ref="P773">J773*INDEX(Berekening_impact[Opbrengsten door QALY''s],MATCH(B773,IF(Berekening_impact[Doelgroep]=C773,Berekening_impact[Digitale zorgtoepassing]),0))</f>
        <v>0</v>
      </c>
      <c r="Q773" s="398" cm="1">
        <f t="array" ref="Q773">J773*INDEX(Berekening_impact[Jaarlijkse kosten (totaal) - incl. schatting],MATCH(B773,IF(Berekening_impact[Doelgroep]=C773,Berekening_impact[Digitale zorgtoepassing]),0))</f>
        <v>16842498.906366903</v>
      </c>
      <c r="R773" s="398" cm="1">
        <f t="array" ref="R773">(uitkomst_doelgroep[[#This Row],[Implementatiegraad t = T + 1]]-uitkomst_doelgroep[[#This Row],[Implementatiegraad t = T]])*INDEX(Berekening_impact[Initiële investering (totaal) - incl. schatting],MATCH(B773,IF(Berekening_impact[Doelgroep]=C773,Berekening_impact[Digitale zorgtoepassing]),0))</f>
        <v>0</v>
      </c>
      <c r="S773" s="398">
        <f>uitkomst_doelgroep[[#This Row],[Arbeidsbesparing (€)]]*uitkomst_doelgroep[[#This Row],[Percentage van patiëntaantallen in Wlz (overige is Zvw)]]</f>
        <v>0</v>
      </c>
      <c r="T773" s="398">
        <f>uitkomst_doelgroep[[#This Row],[Overige besparingen (€)]]*uitkomst_doelgroep[[#This Row],[Percentage van patiëntaantallen in Wlz (overige is Zvw)]]</f>
        <v>0</v>
      </c>
      <c r="U773" s="398">
        <f>uitkomst_doelgroep[[#This Row],[Kosten (€)]]*uitkomst_doelgroep[[#This Row],[Percentage van patiëntaantallen in Wlz (overige is Zvw)]]</f>
        <v>0</v>
      </c>
      <c r="V773" s="398">
        <f>uitkomst_doelgroep[[#This Row],[Investering (cash flow) (€)]]*uitkomst_doelgroep[[#This Row],[Percentage van patiëntaantallen in Wlz (overige is Zvw)]]</f>
        <v>0</v>
      </c>
    </row>
    <row r="774" spans="1:22" x14ac:dyDescent="0.5">
      <c r="A774" s="33" t="str">
        <f>INDEX(Technologieën[Veld],MATCH(B774,Technologieën[Digitale zorgtoepassing],0))</f>
        <v>Software - Behandeling</v>
      </c>
      <c r="B774" s="33" t="s">
        <v>609</v>
      </c>
      <c r="C774" s="33" t="s">
        <v>51</v>
      </c>
      <c r="D774" s="427" cm="1">
        <f t="array" ref="D774">INDEX(Berekening_patiëntaantal[Percentage van patiëntaantallen in Wlz (overige is Zvw)],MATCH(B774,IF(Berekening_patiëntaantal[Doelgroep (zoeksleutel)]=C774,Berekening_patiëntaantal[Digitale zorgtoepassing]),0))</f>
        <v>0</v>
      </c>
      <c r="E774" s="33" t="str" cm="1">
        <f t="array" ref="E774">INDEX(Berekening_patiëntaantal[Direct toepasbaar/extrapolatie/incidentie voor QALY],MATCH(B774,IF(Berekening_patiëntaantal[Doelgroep (zoeksleutel)]=C774,Berekening_patiëntaantal[Digitale zorgtoepassing]),0))</f>
        <v>Huidige toepassing</v>
      </c>
      <c r="F774" s="33" t="s">
        <v>813</v>
      </c>
      <c r="G774" s="33" t="str">
        <f>CONCATENATE(uitkomst_doelgroep[[#This Row],[Digitale zorgtoepassing]],"_",uitkomst_doelgroep[[#This Row],[Doelgroep]],"_",uitkomst_doelgroep[[#This Row],[Uitgangssituatie/effect beleid]])</f>
        <v>(Zelf)zorgplatform + telebegeleiding_Hartfalen_Uitgangssituatie</v>
      </c>
      <c r="H774" s="33">
        <v>2033</v>
      </c>
      <c r="I774" s="32">
        <v>11</v>
      </c>
      <c r="J774" s="406" cm="1">
        <f t="array" ref="J774">INDEX(implementatie[[2023]:[2034]],MATCH(G774, implementatie[Zoeksleutel],0),I774)</f>
        <v>0.99848879614987718</v>
      </c>
      <c r="K774" s="406" cm="1">
        <f t="array" ref="K774">INDEX(implementatie[[2023]:[2034]],MATCH(G774,implementatie[Zoeksleutel],0),I774 + 1)</f>
        <v>0.99920559029700107</v>
      </c>
      <c r="L77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48187.069302193071</v>
      </c>
      <c r="M774" s="398" cm="1">
        <f t="array" ref="M774">J774*INDEX(Berekening_impact[Totaal arbeidsbesparing (€/jaar)],MATCH(B774,IF(Berekening_impact[Doelgroep]=C774,Berekening_impact[Digitale zorgtoepassing]),0))</f>
        <v>53181612.163747691</v>
      </c>
      <c r="N774" s="397" cm="1">
        <f t="array" ref="N774">J774*INDEX(Berekening_impact[Totaal arbeidsbesparing (FTE/jaar)],MATCH(B774,IF(Berekening_impact[Doelgroep]=C774,Berekening_impact[Digitale zorgtoepassing]),0))</f>
        <v>921.70163352542056</v>
      </c>
      <c r="O774" s="398" cm="1">
        <f t="array" ref="O774">J774*INDEX(Berekening_impact[Overige kostenbesparing (totaal/jaar totaal potentieel)],MATCH(B774,IF(Berekening_impact[Doelgroep]=C774,Berekening_impact[Digitale zorgtoepassing]),0))</f>
        <v>70737539.367719591</v>
      </c>
      <c r="P774" s="398" cm="1">
        <f t="array" ref="P774">J774*INDEX(Berekening_impact[Opbrengsten door QALY''s],MATCH(B774,IF(Berekening_impact[Doelgroep]=C774,Berekening_impact[Digitale zorgtoepassing]),0))</f>
        <v>0</v>
      </c>
      <c r="Q774" s="398" cm="1">
        <f t="array" ref="Q774">J774*INDEX(Berekening_impact[Jaarlijkse kosten (totaal) - incl. schatting],MATCH(B774,IF(Berekening_impact[Doelgroep]=C774,Berekening_impact[Digitale zorgtoepassing]),0))</f>
        <v>16865474.255767576</v>
      </c>
      <c r="R774" s="398" cm="1">
        <f t="array" ref="R774">(uitkomst_doelgroep[[#This Row],[Implementatiegraad t = T + 1]]-uitkomst_doelgroep[[#This Row],[Implementatiegraad t = T]])*INDEX(Berekening_impact[Initiële investering (totaal) - incl. schatting],MATCH(B774,IF(Berekening_impact[Doelgroep]=C774,Berekening_impact[Digitale zorgtoepassing]),0))</f>
        <v>0</v>
      </c>
      <c r="S774" s="398">
        <f>uitkomst_doelgroep[[#This Row],[Arbeidsbesparing (€)]]*uitkomst_doelgroep[[#This Row],[Percentage van patiëntaantallen in Wlz (overige is Zvw)]]</f>
        <v>0</v>
      </c>
      <c r="T774" s="398">
        <f>uitkomst_doelgroep[[#This Row],[Overige besparingen (€)]]*uitkomst_doelgroep[[#This Row],[Percentage van patiëntaantallen in Wlz (overige is Zvw)]]</f>
        <v>0</v>
      </c>
      <c r="U774" s="398">
        <f>uitkomst_doelgroep[[#This Row],[Kosten (€)]]*uitkomst_doelgroep[[#This Row],[Percentage van patiëntaantallen in Wlz (overige is Zvw)]]</f>
        <v>0</v>
      </c>
      <c r="V774" s="398">
        <f>uitkomst_doelgroep[[#This Row],[Investering (cash flow) (€)]]*uitkomst_doelgroep[[#This Row],[Percentage van patiëntaantallen in Wlz (overige is Zvw)]]</f>
        <v>0</v>
      </c>
    </row>
    <row r="775" spans="1:22" x14ac:dyDescent="0.5">
      <c r="A775" s="33" t="str">
        <f>INDEX(Technologieën[Veld],MATCH(B775,Technologieën[Digitale zorgtoepassing],0))</f>
        <v>Software - Behandeling</v>
      </c>
      <c r="B775" s="33" t="s">
        <v>609</v>
      </c>
      <c r="C775" s="33" t="s">
        <v>94</v>
      </c>
      <c r="D775" s="427" cm="1">
        <f t="array" ref="D775">INDEX(Berekening_patiëntaantal[Percentage van patiëntaantallen in Wlz (overige is Zvw)],MATCH(B775,IF(Berekening_patiëntaantal[Doelgroep (zoeksleutel)]=C775,Berekening_patiëntaantal[Digitale zorgtoepassing]),0))</f>
        <v>0</v>
      </c>
      <c r="E775" s="33" t="str" cm="1">
        <f t="array" ref="E775">INDEX(Berekening_patiëntaantal[Direct toepasbaar/extrapolatie/incidentie voor QALY],MATCH(B775,IF(Berekening_patiëntaantal[Doelgroep (zoeksleutel)]=C775,Berekening_patiëntaantal[Digitale zorgtoepassing]),0))</f>
        <v>Huidige toepassing</v>
      </c>
      <c r="F775" s="33" t="s">
        <v>813</v>
      </c>
      <c r="G775" s="33" t="str">
        <f>CONCATENATE(uitkomst_doelgroep[[#This Row],[Digitale zorgtoepassing]],"_",uitkomst_doelgroep[[#This Row],[Doelgroep]],"_",uitkomst_doelgroep[[#This Row],[Uitgangssituatie/effect beleid]])</f>
        <v>(Zelf)zorgplatform + telebegeleiding_Hypertensie_Uitgangssituatie</v>
      </c>
      <c r="H775" s="33">
        <v>2023</v>
      </c>
      <c r="I775" s="32">
        <v>1</v>
      </c>
      <c r="J775" s="406" cm="1">
        <f t="array" ref="J775">INDEX(implementatie[[2023]:[2034]],MATCH(G775, implementatie[Zoeksleutel],0),I775)</f>
        <v>0.2</v>
      </c>
      <c r="K775" s="406" cm="1">
        <f t="array" ref="K775">INDEX(implementatie[[2023]:[2034]],MATCH(G775,implementatie[Zoeksleutel],0),I775 + 1)</f>
        <v>0.29200000000000004</v>
      </c>
      <c r="L77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5600</v>
      </c>
      <c r="M775" s="398" cm="1">
        <f t="array" ref="M775">J775*INDEX(Berekening_impact[Totaal arbeidsbesparing (€/jaar)],MATCH(B775,IF(Berekening_impact[Doelgroep]=C775,Berekening_impact[Digitale zorgtoepassing]),0))</f>
        <v>610009.68000000005</v>
      </c>
      <c r="N775" s="397" cm="1">
        <f t="array" ref="N775">J775*INDEX(Berekening_impact[Totaal arbeidsbesparing (FTE/jaar)],MATCH(B775,IF(Berekening_impact[Doelgroep]=C775,Berekening_impact[Digitale zorgtoepassing]),0))</f>
        <v>3.2155542330272939</v>
      </c>
      <c r="O775" s="398" cm="1">
        <f t="array" ref="O775">J775*INDEX(Berekening_impact[Overige kostenbesparing (totaal/jaar totaal potentieel)],MATCH(B775,IF(Berekening_impact[Doelgroep]=C775,Berekening_impact[Digitale zorgtoepassing]),0))</f>
        <v>406673.12</v>
      </c>
      <c r="P775" s="398" cm="1">
        <f t="array" ref="P775">J775*INDEX(Berekening_impact[Opbrengsten door QALY''s],MATCH(B775,IF(Berekening_impact[Doelgroep]=C775,Berekening_impact[Digitale zorgtoepassing]),0))</f>
        <v>8013793.1034482764</v>
      </c>
      <c r="Q775" s="398" cm="1">
        <f t="array" ref="Q775">J775*INDEX(Berekening_impact[Jaarlijkse kosten (totaal) - incl. schatting],MATCH(B775,IF(Berekening_impact[Doelgroep]=C775,Berekening_impact[Digitale zorgtoepassing]),0))</f>
        <v>644000</v>
      </c>
      <c r="R775" s="398" cm="1">
        <f t="array" ref="R775">(uitkomst_doelgroep[[#This Row],[Implementatiegraad t = T + 1]]-uitkomst_doelgroep[[#This Row],[Implementatiegraad t = T]])*INDEX(Berekening_impact[Initiële investering (totaal) - incl. schatting],MATCH(B775,IF(Berekening_impact[Doelgroep]=C775,Berekening_impact[Digitale zorgtoepassing]),0))</f>
        <v>542119.20000000019</v>
      </c>
      <c r="S775" s="398">
        <f>uitkomst_doelgroep[[#This Row],[Arbeidsbesparing (€)]]*uitkomst_doelgroep[[#This Row],[Percentage van patiëntaantallen in Wlz (overige is Zvw)]]</f>
        <v>0</v>
      </c>
      <c r="T775" s="398">
        <f>uitkomst_doelgroep[[#This Row],[Overige besparingen (€)]]*uitkomst_doelgroep[[#This Row],[Percentage van patiëntaantallen in Wlz (overige is Zvw)]]</f>
        <v>0</v>
      </c>
      <c r="U775" s="398">
        <f>uitkomst_doelgroep[[#This Row],[Kosten (€)]]*uitkomst_doelgroep[[#This Row],[Percentage van patiëntaantallen in Wlz (overige is Zvw)]]</f>
        <v>0</v>
      </c>
      <c r="V775" s="398">
        <f>uitkomst_doelgroep[[#This Row],[Investering (cash flow) (€)]]*uitkomst_doelgroep[[#This Row],[Percentage van patiëntaantallen in Wlz (overige is Zvw)]]</f>
        <v>0</v>
      </c>
    </row>
    <row r="776" spans="1:22" x14ac:dyDescent="0.5">
      <c r="A776" s="33" t="str">
        <f>INDEX(Technologieën[Veld],MATCH(B776,Technologieën[Digitale zorgtoepassing],0))</f>
        <v>Software - Behandeling</v>
      </c>
      <c r="B776" s="33" t="s">
        <v>609</v>
      </c>
      <c r="C776" s="33" t="s">
        <v>94</v>
      </c>
      <c r="D776" s="427" cm="1">
        <f t="array" ref="D776">INDEX(Berekening_patiëntaantal[Percentage van patiëntaantallen in Wlz (overige is Zvw)],MATCH(B776,IF(Berekening_patiëntaantal[Doelgroep (zoeksleutel)]=C776,Berekening_patiëntaantal[Digitale zorgtoepassing]),0))</f>
        <v>0</v>
      </c>
      <c r="E776" s="33" t="str" cm="1">
        <f t="array" ref="E776">INDEX(Berekening_patiëntaantal[Direct toepasbaar/extrapolatie/incidentie voor QALY],MATCH(B776,IF(Berekening_patiëntaantal[Doelgroep (zoeksleutel)]=C776,Berekening_patiëntaantal[Digitale zorgtoepassing]),0))</f>
        <v>Huidige toepassing</v>
      </c>
      <c r="F776" s="33" t="s">
        <v>813</v>
      </c>
      <c r="G776" s="33" t="str">
        <f>CONCATENATE(uitkomst_doelgroep[[#This Row],[Digitale zorgtoepassing]],"_",uitkomst_doelgroep[[#This Row],[Doelgroep]],"_",uitkomst_doelgroep[[#This Row],[Uitgangssituatie/effect beleid]])</f>
        <v>(Zelf)zorgplatform + telebegeleiding_Hypertensie_Uitgangssituatie</v>
      </c>
      <c r="H776" s="33">
        <v>2024</v>
      </c>
      <c r="I776" s="32">
        <v>2</v>
      </c>
      <c r="J776" s="406" cm="1">
        <f t="array" ref="J776">INDEX(implementatie[[2023]:[2034]],MATCH(G776, implementatie[Zoeksleutel],0),I776)</f>
        <v>0.29200000000000004</v>
      </c>
      <c r="K776" s="406" cm="1">
        <f t="array" ref="K776">INDEX(implementatie[[2023]:[2034]],MATCH(G776,implementatie[Zoeksleutel],0),I776 + 1)</f>
        <v>0.40273120000000007</v>
      </c>
      <c r="L77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8176.0000000000009</v>
      </c>
      <c r="M776" s="398" cm="1">
        <f t="array" ref="M776">J776*INDEX(Berekening_impact[Totaal arbeidsbesparing (€/jaar)],MATCH(B776,IF(Berekening_impact[Doelgroep]=C776,Berekening_impact[Digitale zorgtoepassing]),0))</f>
        <v>890614.13280000025</v>
      </c>
      <c r="N776" s="397" cm="1">
        <f t="array" ref="N776">J776*INDEX(Berekening_impact[Totaal arbeidsbesparing (FTE/jaar)],MATCH(B776,IF(Berekening_impact[Doelgroep]=C776,Berekening_impact[Digitale zorgtoepassing]),0))</f>
        <v>4.6947091802198493</v>
      </c>
      <c r="O776" s="398" cm="1">
        <f t="array" ref="O776">J776*INDEX(Berekening_impact[Overige kostenbesparing (totaal/jaar totaal potentieel)],MATCH(B776,IF(Berekening_impact[Doelgroep]=C776,Berekening_impact[Digitale zorgtoepassing]),0))</f>
        <v>593742.75520000001</v>
      </c>
      <c r="P776" s="398" cm="1">
        <f t="array" ref="P776">J776*INDEX(Berekening_impact[Opbrengsten door QALY''s],MATCH(B776,IF(Berekening_impact[Doelgroep]=C776,Berekening_impact[Digitale zorgtoepassing]),0))</f>
        <v>11700137.931034485</v>
      </c>
      <c r="Q776" s="398" cm="1">
        <f t="array" ref="Q776">J776*INDEX(Berekening_impact[Jaarlijkse kosten (totaal) - incl. schatting],MATCH(B776,IF(Berekening_impact[Doelgroep]=C776,Berekening_impact[Digitale zorgtoepassing]),0))</f>
        <v>940240.00000000012</v>
      </c>
      <c r="R776" s="398" cm="1">
        <f t="array" ref="R776">(uitkomst_doelgroep[[#This Row],[Implementatiegraad t = T + 1]]-uitkomst_doelgroep[[#This Row],[Implementatiegraad t = T]])*INDEX(Berekening_impact[Initiële investering (totaal) - incl. schatting],MATCH(B776,IF(Berekening_impact[Doelgroep]=C776,Berekening_impact[Digitale zorgtoepassing]),0))</f>
        <v>652494.66912000021</v>
      </c>
      <c r="S776" s="398">
        <f>uitkomst_doelgroep[[#This Row],[Arbeidsbesparing (€)]]*uitkomst_doelgroep[[#This Row],[Percentage van patiëntaantallen in Wlz (overige is Zvw)]]</f>
        <v>0</v>
      </c>
      <c r="T776" s="398">
        <f>uitkomst_doelgroep[[#This Row],[Overige besparingen (€)]]*uitkomst_doelgroep[[#This Row],[Percentage van patiëntaantallen in Wlz (overige is Zvw)]]</f>
        <v>0</v>
      </c>
      <c r="U776" s="398">
        <f>uitkomst_doelgroep[[#This Row],[Kosten (€)]]*uitkomst_doelgroep[[#This Row],[Percentage van patiëntaantallen in Wlz (overige is Zvw)]]</f>
        <v>0</v>
      </c>
      <c r="V776" s="398">
        <f>uitkomst_doelgroep[[#This Row],[Investering (cash flow) (€)]]*uitkomst_doelgroep[[#This Row],[Percentage van patiëntaantallen in Wlz (overige is Zvw)]]</f>
        <v>0</v>
      </c>
    </row>
    <row r="777" spans="1:22" x14ac:dyDescent="0.5">
      <c r="A777" s="33" t="str">
        <f>INDEX(Technologieën[Veld],MATCH(B777,Technologieën[Digitale zorgtoepassing],0))</f>
        <v>Software - Behandeling</v>
      </c>
      <c r="B777" s="33" t="s">
        <v>609</v>
      </c>
      <c r="C777" s="33" t="s">
        <v>94</v>
      </c>
      <c r="D777" s="427" cm="1">
        <f t="array" ref="D777">INDEX(Berekening_patiëntaantal[Percentage van patiëntaantallen in Wlz (overige is Zvw)],MATCH(B777,IF(Berekening_patiëntaantal[Doelgroep (zoeksleutel)]=C777,Berekening_patiëntaantal[Digitale zorgtoepassing]),0))</f>
        <v>0</v>
      </c>
      <c r="E777" s="33" t="str" cm="1">
        <f t="array" ref="E777">INDEX(Berekening_patiëntaantal[Direct toepasbaar/extrapolatie/incidentie voor QALY],MATCH(B777,IF(Berekening_patiëntaantal[Doelgroep (zoeksleutel)]=C777,Berekening_patiëntaantal[Digitale zorgtoepassing]),0))</f>
        <v>Huidige toepassing</v>
      </c>
      <c r="F777" s="33" t="s">
        <v>813</v>
      </c>
      <c r="G777" s="33" t="str">
        <f>CONCATENATE(uitkomst_doelgroep[[#This Row],[Digitale zorgtoepassing]],"_",uitkomst_doelgroep[[#This Row],[Doelgroep]],"_",uitkomst_doelgroep[[#This Row],[Uitgangssituatie/effect beleid]])</f>
        <v>(Zelf)zorgplatform + telebegeleiding_Hypertensie_Uitgangssituatie</v>
      </c>
      <c r="H777" s="33">
        <v>2025</v>
      </c>
      <c r="I777" s="32">
        <v>3</v>
      </c>
      <c r="J777" s="406" cm="1">
        <f t="array" ref="J777">INDEX(implementatie[[2023]:[2034]],MATCH(G777, implementatie[Zoeksleutel],0),I777)</f>
        <v>0.40273120000000007</v>
      </c>
      <c r="K777" s="406" cm="1">
        <f t="array" ref="K777">INDEX(implementatie[[2023]:[2034]],MATCH(G777,implementatie[Zoeksleutel],0),I777 + 1)</f>
        <v>0.52590537124595205</v>
      </c>
      <c r="L77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11276.473600000001</v>
      </c>
      <c r="M777" s="398" cm="1">
        <f t="array" ref="M777">J777*INDEX(Berekening_impact[Totaal arbeidsbesparing (€/jaar)],MATCH(B777,IF(Berekening_impact[Doelgroep]=C777,Berekening_impact[Digitale zorgtoepassing]),0))</f>
        <v>1228349.6521900804</v>
      </c>
      <c r="N777" s="397" cm="1">
        <f t="array" ref="N777">J777*INDEX(Berekening_impact[Totaal arbeidsbesparing (FTE/jaar)],MATCH(B777,IF(Berekening_impact[Doelgroep]=C777,Berekening_impact[Digitale zorgtoepassing]),0))</f>
        <v>6.4750200746608089</v>
      </c>
      <c r="O777" s="398" cm="1">
        <f t="array" ref="O777">J777*INDEX(Berekening_impact[Overige kostenbesparing (totaal/jaar totaal potentieel)],MATCH(B777,IF(Berekening_impact[Doelgroep]=C777,Berekening_impact[Digitale zorgtoepassing]),0))</f>
        <v>818899.7681267201</v>
      </c>
      <c r="P777" s="398" cm="1">
        <f t="array" ref="P777">J777*INDEX(Berekening_impact[Opbrengsten door QALY''s],MATCH(B777,IF(Berekening_impact[Doelgroep]=C777,Berekening_impact[Digitale zorgtoepassing]),0))</f>
        <v>16137022.565517245</v>
      </c>
      <c r="Q777" s="398" cm="1">
        <f t="array" ref="Q777">J777*INDEX(Berekening_impact[Jaarlijkse kosten (totaal) - incl. schatting],MATCH(B777,IF(Berekening_impact[Doelgroep]=C777,Berekening_impact[Digitale zorgtoepassing]),0))</f>
        <v>1296794.4640000002</v>
      </c>
      <c r="R777" s="398" cm="1">
        <f t="array" ref="R777">(uitkomst_doelgroep[[#This Row],[Implementatiegraad t = T + 1]]-uitkomst_doelgroep[[#This Row],[Implementatiegraad t = T]])*INDEX(Berekening_impact[Initiële investering (totaal) - incl. schatting],MATCH(B777,IF(Berekening_impact[Doelgroep]=C777,Berekening_impact[Digitale zorgtoepassing]),0))</f>
        <v>725816.12148389663</v>
      </c>
      <c r="S777" s="398">
        <f>uitkomst_doelgroep[[#This Row],[Arbeidsbesparing (€)]]*uitkomst_doelgroep[[#This Row],[Percentage van patiëntaantallen in Wlz (overige is Zvw)]]</f>
        <v>0</v>
      </c>
      <c r="T777" s="398">
        <f>uitkomst_doelgroep[[#This Row],[Overige besparingen (€)]]*uitkomst_doelgroep[[#This Row],[Percentage van patiëntaantallen in Wlz (overige is Zvw)]]</f>
        <v>0</v>
      </c>
      <c r="U777" s="398">
        <f>uitkomst_doelgroep[[#This Row],[Kosten (€)]]*uitkomst_doelgroep[[#This Row],[Percentage van patiëntaantallen in Wlz (overige is Zvw)]]</f>
        <v>0</v>
      </c>
      <c r="V777" s="398">
        <f>uitkomst_doelgroep[[#This Row],[Investering (cash flow) (€)]]*uitkomst_doelgroep[[#This Row],[Percentage van patiëntaantallen in Wlz (overige is Zvw)]]</f>
        <v>0</v>
      </c>
    </row>
    <row r="778" spans="1:22" x14ac:dyDescent="0.5">
      <c r="A778" s="33" t="str">
        <f>INDEX(Technologieën[Veld],MATCH(B778,Technologieën[Digitale zorgtoepassing],0))</f>
        <v>Software - Behandeling</v>
      </c>
      <c r="B778" s="33" t="s">
        <v>609</v>
      </c>
      <c r="C778" s="33" t="s">
        <v>94</v>
      </c>
      <c r="D778" s="427" cm="1">
        <f t="array" ref="D778">INDEX(Berekening_patiëntaantal[Percentage van patiëntaantallen in Wlz (overige is Zvw)],MATCH(B778,IF(Berekening_patiëntaantal[Doelgroep (zoeksleutel)]=C778,Berekening_patiëntaantal[Digitale zorgtoepassing]),0))</f>
        <v>0</v>
      </c>
      <c r="E778" s="33" t="str" cm="1">
        <f t="array" ref="E778">INDEX(Berekening_patiëntaantal[Direct toepasbaar/extrapolatie/incidentie voor QALY],MATCH(B778,IF(Berekening_patiëntaantal[Doelgroep (zoeksleutel)]=C778,Berekening_patiëntaantal[Digitale zorgtoepassing]),0))</f>
        <v>Huidige toepassing</v>
      </c>
      <c r="F778" s="33" t="s">
        <v>813</v>
      </c>
      <c r="G778" s="33" t="str">
        <f>CONCATENATE(uitkomst_doelgroep[[#This Row],[Digitale zorgtoepassing]],"_",uitkomst_doelgroep[[#This Row],[Doelgroep]],"_",uitkomst_doelgroep[[#This Row],[Uitgangssituatie/effect beleid]])</f>
        <v>(Zelf)zorgplatform + telebegeleiding_Hypertensie_Uitgangssituatie</v>
      </c>
      <c r="H778" s="33">
        <v>2026</v>
      </c>
      <c r="I778" s="32">
        <v>4</v>
      </c>
      <c r="J778" s="406" cm="1">
        <f t="array" ref="J778">INDEX(implementatie[[2023]:[2034]],MATCH(G778, implementatie[Zoeksleutel],0),I778)</f>
        <v>0.52590537124595205</v>
      </c>
      <c r="K778" s="406" cm="1">
        <f t="array" ref="K778">INDEX(implementatie[[2023]:[2034]],MATCH(G778,implementatie[Zoeksleutel],0),I778 + 1)</f>
        <v>0.64995574724807748</v>
      </c>
      <c r="L77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14725.350394886656</v>
      </c>
      <c r="M778" s="398" cm="1">
        <f t="array" ref="M778">J778*INDEX(Berekening_impact[Totaal arbeidsbesparing (€/jaar)],MATCH(B778,IF(Berekening_impact[Doelgroep]=C778,Berekening_impact[Digitale zorgtoepassing]),0))</f>
        <v>1604036.8361201223</v>
      </c>
      <c r="N778" s="397" cm="1">
        <f t="array" ref="N778">J778*INDEX(Berekening_impact[Totaal arbeidsbesparing (FTE/jaar)],MATCH(B778,IF(Berekening_impact[Doelgroep]=C778,Berekening_impact[Digitale zorgtoepassing]),0))</f>
        <v>8.4553862134085573</v>
      </c>
      <c r="O778" s="398" cm="1">
        <f t="array" ref="O778">J778*INDEX(Berekening_impact[Overige kostenbesparing (totaal/jaar totaal potentieel)],MATCH(B778,IF(Berekening_impact[Doelgroep]=C778,Berekening_impact[Digitale zorgtoepassing]),0))</f>
        <v>1069357.8907467478</v>
      </c>
      <c r="P778" s="398" cm="1">
        <f t="array" ref="P778">J778*INDEX(Berekening_impact[Opbrengsten door QALY''s],MATCH(B778,IF(Berekening_impact[Doelgroep]=C778,Berekening_impact[Digitale zorgtoepassing]),0))</f>
        <v>21072484.18578608</v>
      </c>
      <c r="Q778" s="398" cm="1">
        <f t="array" ref="Q778">J778*INDEX(Berekening_impact[Jaarlijkse kosten (totaal) - incl. schatting],MATCH(B778,IF(Berekening_impact[Doelgroep]=C778,Berekening_impact[Digitale zorgtoepassing]),0))</f>
        <v>1693415.2954119656</v>
      </c>
      <c r="R778" s="398" cm="1">
        <f t="array" ref="R778">(uitkomst_doelgroep[[#This Row],[Implementatiegraad t = T + 1]]-uitkomst_doelgroep[[#This Row],[Implementatiegraad t = T]])*INDEX(Berekening_impact[Initiële investering (totaal) - incl. schatting],MATCH(B778,IF(Berekening_impact[Doelgroep]=C778,Berekening_impact[Digitale zorgtoepassing]),0))</f>
        <v>730979.24563012435</v>
      </c>
      <c r="S778" s="398">
        <f>uitkomst_doelgroep[[#This Row],[Arbeidsbesparing (€)]]*uitkomst_doelgroep[[#This Row],[Percentage van patiëntaantallen in Wlz (overige is Zvw)]]</f>
        <v>0</v>
      </c>
      <c r="T778" s="398">
        <f>uitkomst_doelgroep[[#This Row],[Overige besparingen (€)]]*uitkomst_doelgroep[[#This Row],[Percentage van patiëntaantallen in Wlz (overige is Zvw)]]</f>
        <v>0</v>
      </c>
      <c r="U778" s="398">
        <f>uitkomst_doelgroep[[#This Row],[Kosten (€)]]*uitkomst_doelgroep[[#This Row],[Percentage van patiëntaantallen in Wlz (overige is Zvw)]]</f>
        <v>0</v>
      </c>
      <c r="V778" s="398">
        <f>uitkomst_doelgroep[[#This Row],[Investering (cash flow) (€)]]*uitkomst_doelgroep[[#This Row],[Percentage van patiëntaantallen in Wlz (overige is Zvw)]]</f>
        <v>0</v>
      </c>
    </row>
    <row r="779" spans="1:22" ht="17.5" thickBot="1" x14ac:dyDescent="0.55000000000000004">
      <c r="A779" s="33" t="str">
        <f>INDEX(Technologieën[Veld],MATCH(B779,Technologieën[Digitale zorgtoepassing],0))</f>
        <v>Software - Behandeling</v>
      </c>
      <c r="B779" s="33" t="s">
        <v>609</v>
      </c>
      <c r="C779" s="40" t="s">
        <v>94</v>
      </c>
      <c r="D779" s="427" cm="1">
        <f t="array" ref="D779">INDEX(Berekening_patiëntaantal[Percentage van patiëntaantallen in Wlz (overige is Zvw)],MATCH(B779,IF(Berekening_patiëntaantal[Doelgroep (zoeksleutel)]=C779,Berekening_patiëntaantal[Digitale zorgtoepassing]),0))</f>
        <v>0</v>
      </c>
      <c r="E779" s="33" t="str" cm="1">
        <f t="array" ref="E779">INDEX(Berekening_patiëntaantal[Direct toepasbaar/extrapolatie/incidentie voor QALY],MATCH(B779,IF(Berekening_patiëntaantal[Doelgroep (zoeksleutel)]=C779,Berekening_patiëntaantal[Digitale zorgtoepassing]),0))</f>
        <v>Huidige toepassing</v>
      </c>
      <c r="F779" s="33" t="s">
        <v>813</v>
      </c>
      <c r="G779" s="33" t="str">
        <f>CONCATENATE(uitkomst_doelgroep[[#This Row],[Digitale zorgtoepassing]],"_",uitkomst_doelgroep[[#This Row],[Doelgroep]],"_",uitkomst_doelgroep[[#This Row],[Uitgangssituatie/effect beleid]])</f>
        <v>(Zelf)zorgplatform + telebegeleiding_Hypertensie_Uitgangssituatie</v>
      </c>
      <c r="H779" s="33">
        <v>2027</v>
      </c>
      <c r="I779" s="32">
        <v>5</v>
      </c>
      <c r="J779" s="406" cm="1">
        <f t="array" ref="J779">INDEX(implementatie[[2023]:[2034]],MATCH(G779, implementatie[Zoeksleutel],0),I779)</f>
        <v>0.64995574724807748</v>
      </c>
      <c r="K779" s="406" cm="1">
        <f t="array" ref="K779">INDEX(implementatie[[2023]:[2034]],MATCH(G779,implementatie[Zoeksleutel],0),I779 + 1)</f>
        <v>0.76108782680714737</v>
      </c>
      <c r="L77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18198.76092294617</v>
      </c>
      <c r="M779" s="398" cm="1">
        <f t="array" ref="M779">J779*INDEX(Berekening_impact[Totaal arbeidsbesparing (€/jaar)],MATCH(B779,IF(Berekening_impact[Doelgroep]=C779,Berekening_impact[Digitale zorgtoepassing]),0))</f>
        <v>1982396.4869648034</v>
      </c>
      <c r="N779" s="397" cm="1">
        <f t="array" ref="N779">J779*INDEX(Berekening_impact[Totaal arbeidsbesparing (FTE/jaar)],MATCH(B779,IF(Berekening_impact[Doelgroep]=C779,Berekening_impact[Digitale zorgtoepassing]),0))</f>
        <v>10.449839771719866</v>
      </c>
      <c r="O779" s="398" cm="1">
        <f t="array" ref="O779">J779*INDEX(Berekening_impact[Overige kostenbesparing (totaal/jaar totaal potentieel)],MATCH(B779,IF(Berekening_impact[Doelgroep]=C779,Berekening_impact[Digitale zorgtoepassing]),0))</f>
        <v>1321597.6579765354</v>
      </c>
      <c r="P779" s="398" cm="1">
        <f t="array" ref="P779">J779*INDEX(Berekening_impact[Opbrengsten door QALY''s],MATCH(B779,IF(Berekening_impact[Doelgroep]=C779,Berekening_impact[Digitale zorgtoepassing]),0))</f>
        <v>26043054.424216069</v>
      </c>
      <c r="Q779" s="398" cm="1">
        <f t="array" ref="Q779">J779*INDEX(Berekening_impact[Jaarlijkse kosten (totaal) - incl. schatting],MATCH(B779,IF(Berekening_impact[Doelgroep]=C779,Berekening_impact[Digitale zorgtoepassing]),0))</f>
        <v>2092857.5061388095</v>
      </c>
      <c r="R779" s="398" cm="1">
        <f t="array" ref="R779">(uitkomst_doelgroep[[#This Row],[Implementatiegraad t = T + 1]]-uitkomst_doelgroep[[#This Row],[Implementatiegraad t = T]])*INDEX(Berekening_impact[Initiële investering (totaal) - incl. schatting],MATCH(B779,IF(Berekening_impact[Doelgroep]=C779,Berekening_impact[Digitale zorgtoepassing]),0))</f>
        <v>654856.89200977527</v>
      </c>
      <c r="S779" s="398">
        <f>uitkomst_doelgroep[[#This Row],[Arbeidsbesparing (€)]]*uitkomst_doelgroep[[#This Row],[Percentage van patiëntaantallen in Wlz (overige is Zvw)]]</f>
        <v>0</v>
      </c>
      <c r="T779" s="398">
        <f>uitkomst_doelgroep[[#This Row],[Overige besparingen (€)]]*uitkomst_doelgroep[[#This Row],[Percentage van patiëntaantallen in Wlz (overige is Zvw)]]</f>
        <v>0</v>
      </c>
      <c r="U779" s="398">
        <f>uitkomst_doelgroep[[#This Row],[Kosten (€)]]*uitkomst_doelgroep[[#This Row],[Percentage van patiëntaantallen in Wlz (overige is Zvw)]]</f>
        <v>0</v>
      </c>
      <c r="V779" s="398">
        <f>uitkomst_doelgroep[[#This Row],[Investering (cash flow) (€)]]*uitkomst_doelgroep[[#This Row],[Percentage van patiëntaantallen in Wlz (overige is Zvw)]]</f>
        <v>0</v>
      </c>
    </row>
    <row r="780" spans="1:22" x14ac:dyDescent="0.5">
      <c r="A780" s="33" t="str">
        <f>INDEX(Technologieën[Veld],MATCH(B780,Technologieën[Digitale zorgtoepassing],0))</f>
        <v>Software - Behandeling</v>
      </c>
      <c r="B780" s="33" t="s">
        <v>609</v>
      </c>
      <c r="C780" s="33" t="s">
        <v>94</v>
      </c>
      <c r="D780" s="427" cm="1">
        <f t="array" ref="D780">INDEX(Berekening_patiëntaantal[Percentage van patiëntaantallen in Wlz (overige is Zvw)],MATCH(B780,IF(Berekening_patiëntaantal[Doelgroep (zoeksleutel)]=C780,Berekening_patiëntaantal[Digitale zorgtoepassing]),0))</f>
        <v>0</v>
      </c>
      <c r="E780" s="33" t="str" cm="1">
        <f t="array" ref="E780">INDEX(Berekening_patiëntaantal[Direct toepasbaar/extrapolatie/incidentie voor QALY],MATCH(B780,IF(Berekening_patiëntaantal[Doelgroep (zoeksleutel)]=C780,Berekening_patiëntaantal[Digitale zorgtoepassing]),0))</f>
        <v>Huidige toepassing</v>
      </c>
      <c r="F780" s="33" t="s">
        <v>813</v>
      </c>
      <c r="G780" s="33" t="str">
        <f>CONCATENATE(uitkomst_doelgroep[[#This Row],[Digitale zorgtoepassing]],"_",uitkomst_doelgroep[[#This Row],[Doelgroep]],"_",uitkomst_doelgroep[[#This Row],[Uitgangssituatie/effect beleid]])</f>
        <v>(Zelf)zorgplatform + telebegeleiding_Hypertensie_Uitgangssituatie</v>
      </c>
      <c r="H780" s="33">
        <v>2028</v>
      </c>
      <c r="I780" s="32">
        <v>6</v>
      </c>
      <c r="J780" s="406" cm="1">
        <f t="array" ref="J780">INDEX(implementatie[[2023]:[2034]],MATCH(G780, implementatie[Zoeksleutel],0),I780)</f>
        <v>0.76108782680714737</v>
      </c>
      <c r="K780" s="406" cm="1">
        <f t="array" ref="K780">INDEX(implementatie[[2023]:[2034]],MATCH(G780,implementatie[Zoeksleutel],0),I780 + 1)</f>
        <v>0.8488855471488731</v>
      </c>
      <c r="L78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21310.459150600127</v>
      </c>
      <c r="M780" s="398" cm="1">
        <f t="array" ref="M780">J780*INDEX(Berekening_impact[Totaal arbeidsbesparing (€/jaar)],MATCH(B780,IF(Berekening_impact[Doelgroep]=C780,Berekening_impact[Digitale zorgtoepassing]),0))</f>
        <v>2321354.7084126174</v>
      </c>
      <c r="N780" s="397" cm="1">
        <f t="array" ref="N780">J780*INDEX(Berekening_impact[Totaal arbeidsbesparing (FTE/jaar)],MATCH(B780,IF(Berekening_impact[Doelgroep]=C780,Berekening_impact[Digitale zorgtoepassing]),0))</f>
        <v>12.236595915976332</v>
      </c>
      <c r="O780" s="398" cm="1">
        <f t="array" ref="O780">J780*INDEX(Berekening_impact[Overige kostenbesparing (totaal/jaar totaal potentieel)],MATCH(B780,IF(Berekening_impact[Doelgroep]=C780,Berekening_impact[Digitale zorgtoepassing]),0))</f>
        <v>1547569.8056084111</v>
      </c>
      <c r="P780" s="398" cm="1">
        <f t="array" ref="P780">J780*INDEX(Berekening_impact[Opbrengsten door QALY''s],MATCH(B780,IF(Berekening_impact[Doelgroep]=C780,Berekening_impact[Digitale zorgtoepassing]),0))</f>
        <v>30496001.887927767</v>
      </c>
      <c r="Q780" s="398" cm="1">
        <f t="array" ref="Q780">J780*INDEX(Berekening_impact[Jaarlijkse kosten (totaal) - incl. schatting],MATCH(B780,IF(Berekening_impact[Doelgroep]=C780,Berekening_impact[Digitale zorgtoepassing]),0))</f>
        <v>2450702.8023190144</v>
      </c>
      <c r="R780" s="398" cm="1">
        <f t="array" ref="R780">(uitkomst_doelgroep[[#This Row],[Implementatiegraad t = T + 1]]-uitkomst_doelgroep[[#This Row],[Implementatiegraad t = T]])*INDEX(Berekening_impact[Initiële investering (totaal) - incl. schatting],MATCH(B780,IF(Berekening_impact[Doelgroep]=C780,Berekening_impact[Digitale zorgtoepassing]),0))</f>
        <v>517356.84688565304</v>
      </c>
      <c r="S780" s="398">
        <f>uitkomst_doelgroep[[#This Row],[Arbeidsbesparing (€)]]*uitkomst_doelgroep[[#This Row],[Percentage van patiëntaantallen in Wlz (overige is Zvw)]]</f>
        <v>0</v>
      </c>
      <c r="T780" s="398">
        <f>uitkomst_doelgroep[[#This Row],[Overige besparingen (€)]]*uitkomst_doelgroep[[#This Row],[Percentage van patiëntaantallen in Wlz (overige is Zvw)]]</f>
        <v>0</v>
      </c>
      <c r="U780" s="398">
        <f>uitkomst_doelgroep[[#This Row],[Kosten (€)]]*uitkomst_doelgroep[[#This Row],[Percentage van patiëntaantallen in Wlz (overige is Zvw)]]</f>
        <v>0</v>
      </c>
      <c r="V780" s="398">
        <f>uitkomst_doelgroep[[#This Row],[Investering (cash flow) (€)]]*uitkomst_doelgroep[[#This Row],[Percentage van patiëntaantallen in Wlz (overige is Zvw)]]</f>
        <v>0</v>
      </c>
    </row>
    <row r="781" spans="1:22" x14ac:dyDescent="0.5">
      <c r="A781" s="33" t="str">
        <f>INDEX(Technologieën[Veld],MATCH(B781,Technologieën[Digitale zorgtoepassing],0))</f>
        <v>Software - Behandeling</v>
      </c>
      <c r="B781" s="33" t="s">
        <v>609</v>
      </c>
      <c r="C781" s="33" t="s">
        <v>94</v>
      </c>
      <c r="D781" s="427" cm="1">
        <f t="array" ref="D781">INDEX(Berekening_patiëntaantal[Percentage van patiëntaantallen in Wlz (overige is Zvw)],MATCH(B781,IF(Berekening_patiëntaantal[Doelgroep (zoeksleutel)]=C781,Berekening_patiëntaantal[Digitale zorgtoepassing]),0))</f>
        <v>0</v>
      </c>
      <c r="E781" s="33" t="str" cm="1">
        <f t="array" ref="E781">INDEX(Berekening_patiëntaantal[Direct toepasbaar/extrapolatie/incidentie voor QALY],MATCH(B781,IF(Berekening_patiëntaantal[Doelgroep (zoeksleutel)]=C781,Berekening_patiëntaantal[Digitale zorgtoepassing]),0))</f>
        <v>Huidige toepassing</v>
      </c>
      <c r="F781" s="33" t="s">
        <v>813</v>
      </c>
      <c r="G781" s="33" t="str">
        <f>CONCATENATE(uitkomst_doelgroep[[#This Row],[Digitale zorgtoepassing]],"_",uitkomst_doelgroep[[#This Row],[Doelgroep]],"_",uitkomst_doelgroep[[#This Row],[Uitgangssituatie/effect beleid]])</f>
        <v>(Zelf)zorgplatform + telebegeleiding_Hypertensie_Uitgangssituatie</v>
      </c>
      <c r="H781" s="33">
        <v>2029</v>
      </c>
      <c r="I781" s="32">
        <v>7</v>
      </c>
      <c r="J781" s="406" cm="1">
        <f t="array" ref="J781">INDEX(implementatie[[2023]:[2034]],MATCH(G781, implementatie[Zoeksleutel],0),I781)</f>
        <v>0.8488855471488731</v>
      </c>
      <c r="K781" s="406" cm="1">
        <f t="array" ref="K781">INDEX(implementatie[[2023]:[2034]],MATCH(G781,implementatie[Zoeksleutel],0),I781 + 1)</f>
        <v>0.91038890221593549</v>
      </c>
      <c r="L78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23768.795320168447</v>
      </c>
      <c r="M781" s="398" cm="1">
        <f t="array" ref="M781">J781*INDEX(Berekening_impact[Totaal arbeidsbesparing (€/jaar)],MATCH(B781,IF(Berekening_impact[Doelgroep]=C781,Berekening_impact[Digitale zorgtoepassing]),0))</f>
        <v>2589142.0048645451</v>
      </c>
      <c r="N781" s="397" cm="1">
        <f t="array" ref="N781">J781*INDEX(Berekening_impact[Totaal arbeidsbesparing (FTE/jaar)],MATCH(B781,IF(Berekening_impact[Doelgroep]=C781,Berekening_impact[Digitale zorgtoepassing]),0))</f>
        <v>13.648187572451246</v>
      </c>
      <c r="O781" s="398" cm="1">
        <f t="array" ref="O781">J781*INDEX(Berekening_impact[Overige kostenbesparing (totaal/jaar totaal potentieel)],MATCH(B781,IF(Berekening_impact[Doelgroep]=C781,Berekening_impact[Digitale zorgtoepassing]),0))</f>
        <v>1726094.6699096966</v>
      </c>
      <c r="P781" s="398" cm="1">
        <f t="array" ref="P781">J781*INDEX(Berekening_impact[Opbrengsten door QALY''s],MATCH(B781,IF(Berekening_impact[Doelgroep]=C781,Berekening_impact[Digitale zorgtoepassing]),0))</f>
        <v>34013965.716792777</v>
      </c>
      <c r="Q781" s="398" cm="1">
        <f t="array" ref="Q781">J781*INDEX(Berekening_impact[Jaarlijkse kosten (totaal) - incl. schatting],MATCH(B781,IF(Berekening_impact[Doelgroep]=C781,Berekening_impact[Digitale zorgtoepassing]),0))</f>
        <v>2733411.4618193712</v>
      </c>
      <c r="R781" s="398" cm="1">
        <f t="array" ref="R781">(uitkomst_doelgroep[[#This Row],[Implementatiegraad t = T + 1]]-uitkomst_doelgroep[[#This Row],[Implementatiegraad t = T]])*INDEX(Berekening_impact[Initiële investering (totaal) - incl. schatting],MATCH(B781,IF(Berekening_impact[Doelgroep]=C781,Berekening_impact[Digitale zorgtoepassing]),0))</f>
        <v>362414.67006817186</v>
      </c>
      <c r="S781" s="398">
        <f>uitkomst_doelgroep[[#This Row],[Arbeidsbesparing (€)]]*uitkomst_doelgroep[[#This Row],[Percentage van patiëntaantallen in Wlz (overige is Zvw)]]</f>
        <v>0</v>
      </c>
      <c r="T781" s="398">
        <f>uitkomst_doelgroep[[#This Row],[Overige besparingen (€)]]*uitkomst_doelgroep[[#This Row],[Percentage van patiëntaantallen in Wlz (overige is Zvw)]]</f>
        <v>0</v>
      </c>
      <c r="U781" s="398">
        <f>uitkomst_doelgroep[[#This Row],[Kosten (€)]]*uitkomst_doelgroep[[#This Row],[Percentage van patiëntaantallen in Wlz (overige is Zvw)]]</f>
        <v>0</v>
      </c>
      <c r="V781" s="398">
        <f>uitkomst_doelgroep[[#This Row],[Investering (cash flow) (€)]]*uitkomst_doelgroep[[#This Row],[Percentage van patiëntaantallen in Wlz (overige is Zvw)]]</f>
        <v>0</v>
      </c>
    </row>
    <row r="782" spans="1:22" x14ac:dyDescent="0.5">
      <c r="A782" s="33" t="str">
        <f>INDEX(Technologieën[Veld],MATCH(B782,Technologieën[Digitale zorgtoepassing],0))</f>
        <v>Software - Behandeling</v>
      </c>
      <c r="B782" s="33" t="s">
        <v>609</v>
      </c>
      <c r="C782" s="33" t="s">
        <v>94</v>
      </c>
      <c r="D782" s="427" cm="1">
        <f t="array" ref="D782">INDEX(Berekening_patiëntaantal[Percentage van patiëntaantallen in Wlz (overige is Zvw)],MATCH(B782,IF(Berekening_patiëntaantal[Doelgroep (zoeksleutel)]=C782,Berekening_patiëntaantal[Digitale zorgtoepassing]),0))</f>
        <v>0</v>
      </c>
      <c r="E782" s="33" t="str" cm="1">
        <f t="array" ref="E782">INDEX(Berekening_patiëntaantal[Direct toepasbaar/extrapolatie/incidentie voor QALY],MATCH(B782,IF(Berekening_patiëntaantal[Doelgroep (zoeksleutel)]=C782,Berekening_patiëntaantal[Digitale zorgtoepassing]),0))</f>
        <v>Huidige toepassing</v>
      </c>
      <c r="F782" s="33" t="s">
        <v>813</v>
      </c>
      <c r="G782" s="33" t="str">
        <f>CONCATENATE(uitkomst_doelgroep[[#This Row],[Digitale zorgtoepassing]],"_",uitkomst_doelgroep[[#This Row],[Doelgroep]],"_",uitkomst_doelgroep[[#This Row],[Uitgangssituatie/effect beleid]])</f>
        <v>(Zelf)zorgplatform + telebegeleiding_Hypertensie_Uitgangssituatie</v>
      </c>
      <c r="H782" s="33">
        <v>2030</v>
      </c>
      <c r="I782" s="32">
        <v>8</v>
      </c>
      <c r="J782" s="406" cm="1">
        <f t="array" ref="J782">INDEX(implementatie[[2023]:[2034]],MATCH(G782, implementatie[Zoeksleutel],0),I782)</f>
        <v>0.91038890221593549</v>
      </c>
      <c r="K782" s="406" cm="1">
        <f t="array" ref="K782">INDEX(implementatie[[2023]:[2034]],MATCH(G782,implementatie[Zoeksleutel],0),I782 + 1)</f>
        <v>0.94934060668263687</v>
      </c>
      <c r="L78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25490.889262046192</v>
      </c>
      <c r="M782" s="398" cm="1">
        <f t="array" ref="M782">J782*INDEX(Berekening_impact[Totaal arbeidsbesparing (€/jaar)],MATCH(B782,IF(Berekening_impact[Doelgroep]=C782,Berekening_impact[Digitale zorgtoepassing]),0))</f>
        <v>2776730.2145814709</v>
      </c>
      <c r="N782" s="397" cm="1">
        <f t="array" ref="N782">J782*INDEX(Berekening_impact[Totaal arbeidsbesparing (FTE/jaar)],MATCH(B782,IF(Berekening_impact[Doelgroep]=C782,Berekening_impact[Digitale zorgtoepassing]),0))</f>
        <v>14.637024441107611</v>
      </c>
      <c r="O782" s="398" cm="1">
        <f t="array" ref="O782">J782*INDEX(Berekening_impact[Overige kostenbesparing (totaal/jaar totaal potentieel)],MATCH(B782,IF(Berekening_impact[Doelgroep]=C782,Berekening_impact[Digitale zorgtoepassing]),0))</f>
        <v>1851153.476387647</v>
      </c>
      <c r="P782" s="398" cm="1">
        <f t="array" ref="P782">J782*INDEX(Berekening_impact[Opbrengsten door QALY''s],MATCH(B782,IF(Berekening_impact[Doelgroep]=C782,Berekening_impact[Digitale zorgtoepassing]),0))</f>
        <v>36478341.530169554</v>
      </c>
      <c r="Q782" s="398" cm="1">
        <f t="array" ref="Q782">J782*INDEX(Berekening_impact[Jaarlijkse kosten (totaal) - incl. schatting],MATCH(B782,IF(Berekening_impact[Doelgroep]=C782,Berekening_impact[Digitale zorgtoepassing]),0))</f>
        <v>2931452.2651353125</v>
      </c>
      <c r="R782" s="398" cm="1">
        <f t="array" ref="R782">(uitkomst_doelgroep[[#This Row],[Implementatiegraad t = T + 1]]-uitkomst_doelgroep[[#This Row],[Implementatiegraad t = T]])*INDEX(Berekening_impact[Initiële investering (totaal) - incl. schatting],MATCH(B782,IF(Berekening_impact[Doelgroep]=C782,Berekening_impact[Digitale zorgtoepassing]),0))</f>
        <v>229526.81374048453</v>
      </c>
      <c r="S782" s="398">
        <f>uitkomst_doelgroep[[#This Row],[Arbeidsbesparing (€)]]*uitkomst_doelgroep[[#This Row],[Percentage van patiëntaantallen in Wlz (overige is Zvw)]]</f>
        <v>0</v>
      </c>
      <c r="T782" s="398">
        <f>uitkomst_doelgroep[[#This Row],[Overige besparingen (€)]]*uitkomst_doelgroep[[#This Row],[Percentage van patiëntaantallen in Wlz (overige is Zvw)]]</f>
        <v>0</v>
      </c>
      <c r="U782" s="398">
        <f>uitkomst_doelgroep[[#This Row],[Kosten (€)]]*uitkomst_doelgroep[[#This Row],[Percentage van patiëntaantallen in Wlz (overige is Zvw)]]</f>
        <v>0</v>
      </c>
      <c r="V782" s="398">
        <f>uitkomst_doelgroep[[#This Row],[Investering (cash flow) (€)]]*uitkomst_doelgroep[[#This Row],[Percentage van patiëntaantallen in Wlz (overige is Zvw)]]</f>
        <v>0</v>
      </c>
    </row>
    <row r="783" spans="1:22" x14ac:dyDescent="0.5">
      <c r="A783" s="33" t="str">
        <f>INDEX(Technologieën[Veld],MATCH(B783,Technologieën[Digitale zorgtoepassing],0))</f>
        <v>Software - Behandeling</v>
      </c>
      <c r="B783" s="33" t="s">
        <v>609</v>
      </c>
      <c r="C783" s="33" t="s">
        <v>94</v>
      </c>
      <c r="D783" s="427" cm="1">
        <f t="array" ref="D783">INDEX(Berekening_patiëntaantal[Percentage van patiëntaantallen in Wlz (overige is Zvw)],MATCH(B783,IF(Berekening_patiëntaantal[Doelgroep (zoeksleutel)]=C783,Berekening_patiëntaantal[Digitale zorgtoepassing]),0))</f>
        <v>0</v>
      </c>
      <c r="E783" s="33" t="str" cm="1">
        <f t="array" ref="E783">INDEX(Berekening_patiëntaantal[Direct toepasbaar/extrapolatie/incidentie voor QALY],MATCH(B783,IF(Berekening_patiëntaantal[Doelgroep (zoeksleutel)]=C783,Berekening_patiëntaantal[Digitale zorgtoepassing]),0))</f>
        <v>Huidige toepassing</v>
      </c>
      <c r="F783" s="33" t="s">
        <v>813</v>
      </c>
      <c r="G783" s="33" t="str">
        <f>CONCATENATE(uitkomst_doelgroep[[#This Row],[Digitale zorgtoepassing]],"_",uitkomst_doelgroep[[#This Row],[Doelgroep]],"_",uitkomst_doelgroep[[#This Row],[Uitgangssituatie/effect beleid]])</f>
        <v>(Zelf)zorgplatform + telebegeleiding_Hypertensie_Uitgangssituatie</v>
      </c>
      <c r="H783" s="33">
        <v>2031</v>
      </c>
      <c r="I783" s="32">
        <v>9</v>
      </c>
      <c r="J783" s="406" cm="1">
        <f t="array" ref="J783">INDEX(implementatie[[2023]:[2034]],MATCH(G783, implementatie[Zoeksleutel],0),I783)</f>
        <v>0.94934060668263687</v>
      </c>
      <c r="K783" s="406" cm="1">
        <f t="array" ref="K783">INDEX(implementatie[[2023]:[2034]],MATCH(G783,implementatie[Zoeksleutel],0),I783 + 1)</f>
        <v>0.9722489501493069</v>
      </c>
      <c r="L78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26581.536987113832</v>
      </c>
      <c r="M783" s="398" cm="1">
        <f t="array" ref="M783">J783*INDEX(Berekening_impact[Totaal arbeidsbesparing (€/jaar)],MATCH(B783,IF(Berekening_impact[Doelgroep]=C783,Berekening_impact[Digitale zorgtoepassing]),0))</f>
        <v>2895534.7984674061</v>
      </c>
      <c r="N783" s="397" cm="1">
        <f t="array" ref="N783">J783*INDEX(Berekening_impact[Totaal arbeidsbesparing (FTE/jaar)],MATCH(B783,IF(Berekening_impact[Doelgroep]=C783,Berekening_impact[Digitale zorgtoepassing]),0))</f>
        <v>15.263281032015261</v>
      </c>
      <c r="O783" s="398" cm="1">
        <f t="array" ref="O783">J783*INDEX(Berekening_impact[Overige kostenbesparing (totaal/jaar totaal potentieel)],MATCH(B783,IF(Berekening_impact[Doelgroep]=C783,Berekening_impact[Digitale zorgtoepassing]),0))</f>
        <v>1930356.5323116039</v>
      </c>
      <c r="P783" s="398" cm="1">
        <f t="array" ref="P783">J783*INDEX(Berekening_impact[Opbrengsten door QALY''s],MATCH(B783,IF(Berekening_impact[Doelgroep]=C783,Berekening_impact[Digitale zorgtoepassing]),0))</f>
        <v>38039096.033283591</v>
      </c>
      <c r="Q783" s="398" cm="1">
        <f t="array" ref="Q783">J783*INDEX(Berekening_impact[Jaarlijkse kosten (totaal) - incl. schatting],MATCH(B783,IF(Berekening_impact[Doelgroep]=C783,Berekening_impact[Digitale zorgtoepassing]),0))</f>
        <v>3056876.7535180906</v>
      </c>
      <c r="R783" s="398" cm="1">
        <f t="array" ref="R783">(uitkomst_doelgroep[[#This Row],[Implementatiegraad t = T + 1]]-uitkomst_doelgroep[[#This Row],[Implementatiegraad t = T]])*INDEX(Berekening_impact[Initiële investering (totaal) - incl. schatting],MATCH(B783,IF(Berekening_impact[Doelgroep]=C783,Berekening_impact[Digitale zorgtoepassing]),0))</f>
        <v>134989.70471169983</v>
      </c>
      <c r="S783" s="398">
        <f>uitkomst_doelgroep[[#This Row],[Arbeidsbesparing (€)]]*uitkomst_doelgroep[[#This Row],[Percentage van patiëntaantallen in Wlz (overige is Zvw)]]</f>
        <v>0</v>
      </c>
      <c r="T783" s="398">
        <f>uitkomst_doelgroep[[#This Row],[Overige besparingen (€)]]*uitkomst_doelgroep[[#This Row],[Percentage van patiëntaantallen in Wlz (overige is Zvw)]]</f>
        <v>0</v>
      </c>
      <c r="U783" s="398">
        <f>uitkomst_doelgroep[[#This Row],[Kosten (€)]]*uitkomst_doelgroep[[#This Row],[Percentage van patiëntaantallen in Wlz (overige is Zvw)]]</f>
        <v>0</v>
      </c>
      <c r="V783" s="398">
        <f>uitkomst_doelgroep[[#This Row],[Investering (cash flow) (€)]]*uitkomst_doelgroep[[#This Row],[Percentage van patiëntaantallen in Wlz (overige is Zvw)]]</f>
        <v>0</v>
      </c>
    </row>
    <row r="784" spans="1:22" x14ac:dyDescent="0.5">
      <c r="A784" s="33" t="str">
        <f>INDEX(Technologieën[Veld],MATCH(B784,Technologieën[Digitale zorgtoepassing],0))</f>
        <v>Software - Behandeling</v>
      </c>
      <c r="B784" s="33" t="s">
        <v>609</v>
      </c>
      <c r="C784" s="33" t="s">
        <v>94</v>
      </c>
      <c r="D784" s="427" cm="1">
        <f t="array" ref="D784">INDEX(Berekening_patiëntaantal[Percentage van patiëntaantallen in Wlz (overige is Zvw)],MATCH(B784,IF(Berekening_patiëntaantal[Doelgroep (zoeksleutel)]=C784,Berekening_patiëntaantal[Digitale zorgtoepassing]),0))</f>
        <v>0</v>
      </c>
      <c r="E784" s="33" t="str" cm="1">
        <f t="array" ref="E784">INDEX(Berekening_patiëntaantal[Direct toepasbaar/extrapolatie/incidentie voor QALY],MATCH(B784,IF(Berekening_patiëntaantal[Doelgroep (zoeksleutel)]=C784,Berekening_patiëntaantal[Digitale zorgtoepassing]),0))</f>
        <v>Huidige toepassing</v>
      </c>
      <c r="F784" s="33" t="s">
        <v>813</v>
      </c>
      <c r="G784" s="33" t="str">
        <f>CONCATENATE(uitkomst_doelgroep[[#This Row],[Digitale zorgtoepassing]],"_",uitkomst_doelgroep[[#This Row],[Doelgroep]],"_",uitkomst_doelgroep[[#This Row],[Uitgangssituatie/effect beleid]])</f>
        <v>(Zelf)zorgplatform + telebegeleiding_Hypertensie_Uitgangssituatie</v>
      </c>
      <c r="H784" s="33">
        <v>2032</v>
      </c>
      <c r="I784" s="32">
        <v>10</v>
      </c>
      <c r="J784" s="406" cm="1">
        <f t="array" ref="J784">INDEX(implementatie[[2023]:[2034]],MATCH(G784, implementatie[Zoeksleutel],0),I784)</f>
        <v>0.9722489501493069</v>
      </c>
      <c r="K784" s="406" cm="1">
        <f t="array" ref="K784">INDEX(implementatie[[2023]:[2034]],MATCH(G784,implementatie[Zoeksleutel],0),I784 + 1)</f>
        <v>0.98508414448286907</v>
      </c>
      <c r="L78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27222.970604180595</v>
      </c>
      <c r="M784" s="398" cm="1">
        <f t="array" ref="M784">J784*INDEX(Berekening_impact[Totaal arbeidsbesparing (€/jaar)],MATCH(B784,IF(Berekening_impact[Doelgroep]=C784,Berekening_impact[Digitale zorgtoepassing]),0))</f>
        <v>2965406.3548045736</v>
      </c>
      <c r="N784" s="397" cm="1">
        <f t="array" ref="N784">J784*INDEX(Berekening_impact[Totaal arbeidsbesparing (FTE/jaar)],MATCH(B784,IF(Berekening_impact[Doelgroep]=C784,Berekening_impact[Digitale zorgtoepassing]),0))</f>
        <v>15.631596136044729</v>
      </c>
      <c r="O784" s="398" cm="1">
        <f t="array" ref="O784">J784*INDEX(Berekening_impact[Overige kostenbesparing (totaal/jaar totaal potentieel)],MATCH(B784,IF(Berekening_impact[Doelgroep]=C784,Berekening_impact[Digitale zorgtoepassing]),0))</f>
        <v>1976937.5698697155</v>
      </c>
      <c r="P784" s="398" cm="1">
        <f t="array" ref="P784">J784*INDEX(Berekening_impact[Opbrengsten door QALY''s],MATCH(B784,IF(Berekening_impact[Doelgroep]=C784,Berekening_impact[Digitale zorgtoepassing]),0))</f>
        <v>38957009.657706715</v>
      </c>
      <c r="Q784" s="398" cm="1">
        <f t="array" ref="Q784">J784*INDEX(Berekening_impact[Jaarlijkse kosten (totaal) - incl. schatting],MATCH(B784,IF(Berekening_impact[Doelgroep]=C784,Berekening_impact[Digitale zorgtoepassing]),0))</f>
        <v>3130641.6194807682</v>
      </c>
      <c r="R784" s="398" cm="1">
        <f t="array" ref="R784">(uitkomst_doelgroep[[#This Row],[Implementatiegraad t = T + 1]]-uitkomst_doelgroep[[#This Row],[Implementatiegraad t = T]])*INDEX(Berekening_impact[Initiële investering (totaal) - incl. schatting],MATCH(B784,IF(Berekening_impact[Doelgroep]=C784,Berekening_impact[Digitale zorgtoepassing]),0))</f>
        <v>75632.666129948455</v>
      </c>
      <c r="S784" s="398">
        <f>uitkomst_doelgroep[[#This Row],[Arbeidsbesparing (€)]]*uitkomst_doelgroep[[#This Row],[Percentage van patiëntaantallen in Wlz (overige is Zvw)]]</f>
        <v>0</v>
      </c>
      <c r="T784" s="398">
        <f>uitkomst_doelgroep[[#This Row],[Overige besparingen (€)]]*uitkomst_doelgroep[[#This Row],[Percentage van patiëntaantallen in Wlz (overige is Zvw)]]</f>
        <v>0</v>
      </c>
      <c r="U784" s="398">
        <f>uitkomst_doelgroep[[#This Row],[Kosten (€)]]*uitkomst_doelgroep[[#This Row],[Percentage van patiëntaantallen in Wlz (overige is Zvw)]]</f>
        <v>0</v>
      </c>
      <c r="V784" s="398">
        <f>uitkomst_doelgroep[[#This Row],[Investering (cash flow) (€)]]*uitkomst_doelgroep[[#This Row],[Percentage van patiëntaantallen in Wlz (overige is Zvw)]]</f>
        <v>0</v>
      </c>
    </row>
    <row r="785" spans="1:22" x14ac:dyDescent="0.5">
      <c r="A785" s="33" t="str">
        <f>INDEX(Technologieën[Veld],MATCH(B785,Technologieën[Digitale zorgtoepassing],0))</f>
        <v>Software - Behandeling</v>
      </c>
      <c r="B785" s="33" t="s">
        <v>609</v>
      </c>
      <c r="C785" s="33" t="s">
        <v>94</v>
      </c>
      <c r="D785" s="427" cm="1">
        <f t="array" ref="D785">INDEX(Berekening_patiëntaantal[Percentage van patiëntaantallen in Wlz (overige is Zvw)],MATCH(B785,IF(Berekening_patiëntaantal[Doelgroep (zoeksleutel)]=C785,Berekening_patiëntaantal[Digitale zorgtoepassing]),0))</f>
        <v>0</v>
      </c>
      <c r="E785" s="33" t="str" cm="1">
        <f t="array" ref="E785">INDEX(Berekening_patiëntaantal[Direct toepasbaar/extrapolatie/incidentie voor QALY],MATCH(B785,IF(Berekening_patiëntaantal[Doelgroep (zoeksleutel)]=C785,Berekening_patiëntaantal[Digitale zorgtoepassing]),0))</f>
        <v>Huidige toepassing</v>
      </c>
      <c r="F785" s="33" t="s">
        <v>813</v>
      </c>
      <c r="G785" s="33" t="str">
        <f>CONCATENATE(uitkomst_doelgroep[[#This Row],[Digitale zorgtoepassing]],"_",uitkomst_doelgroep[[#This Row],[Doelgroep]],"_",uitkomst_doelgroep[[#This Row],[Uitgangssituatie/effect beleid]])</f>
        <v>(Zelf)zorgplatform + telebegeleiding_Hypertensie_Uitgangssituatie</v>
      </c>
      <c r="H785" s="33">
        <v>2033</v>
      </c>
      <c r="I785" s="32">
        <v>11</v>
      </c>
      <c r="J785" s="406" cm="1">
        <f t="array" ref="J785">INDEX(implementatie[[2023]:[2034]],MATCH(G785, implementatie[Zoeksleutel],0),I785)</f>
        <v>0.98508414448286907</v>
      </c>
      <c r="K785" s="406" cm="1">
        <f t="array" ref="K785">INDEX(implementatie[[2023]:[2034]],MATCH(G785,implementatie[Zoeksleutel],0),I785 + 1)</f>
        <v>0.99206905861789263</v>
      </c>
      <c r="L78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27582.356045520333</v>
      </c>
      <c r="M785" s="398" cm="1">
        <f t="array" ref="M785">J785*INDEX(Berekening_impact[Totaal arbeidsbesparing (€/jaar)],MATCH(B785,IF(Berekening_impact[Doelgroep]=C785,Berekening_impact[Digitale zorgtoepassing]),0))</f>
        <v>3004554.3187453439</v>
      </c>
      <c r="N785" s="397" cm="1">
        <f t="array" ref="N785">J785*INDEX(Berekening_impact[Totaal arbeidsbesparing (FTE/jaar)],MATCH(B785,IF(Berekening_impact[Doelgroep]=C785,Berekening_impact[Digitale zorgtoepassing]),0))</f>
        <v>15.837957453399799</v>
      </c>
      <c r="O785" s="398" cm="1">
        <f t="array" ref="O785">J785*INDEX(Berekening_impact[Overige kostenbesparing (totaal/jaar totaal potentieel)],MATCH(B785,IF(Berekening_impact[Doelgroep]=C785,Berekening_impact[Digitale zorgtoepassing]),0))</f>
        <v>2003036.2124968956</v>
      </c>
      <c r="P785" s="398" cm="1">
        <f t="array" ref="P785">J785*INDEX(Berekening_impact[Opbrengsten door QALY''s],MATCH(B785,IF(Berekening_impact[Doelgroep]=C785,Berekening_impact[Digitale zorgtoepassing]),0))</f>
        <v>39471302.616865307</v>
      </c>
      <c r="Q785" s="398" cm="1">
        <f t="array" ref="Q785">J785*INDEX(Berekening_impact[Jaarlijkse kosten (totaal) - incl. schatting],MATCH(B785,IF(Berekening_impact[Doelgroep]=C785,Berekening_impact[Digitale zorgtoepassing]),0))</f>
        <v>3171970.9452348384</v>
      </c>
      <c r="R785" s="398" cm="1">
        <f t="array" ref="R785">(uitkomst_doelgroep[[#This Row],[Implementatiegraad t = T + 1]]-uitkomst_doelgroep[[#This Row],[Implementatiegraad t = T]])*INDEX(Berekening_impact[Initiële investering (totaal) - incl. schatting],MATCH(B785,IF(Berekening_impact[Doelgroep]=C785,Berekening_impact[Digitale zorgtoepassing]),0))</f>
        <v>41159.305032039811</v>
      </c>
      <c r="S785" s="398">
        <f>uitkomst_doelgroep[[#This Row],[Arbeidsbesparing (€)]]*uitkomst_doelgroep[[#This Row],[Percentage van patiëntaantallen in Wlz (overige is Zvw)]]</f>
        <v>0</v>
      </c>
      <c r="T785" s="398">
        <f>uitkomst_doelgroep[[#This Row],[Overige besparingen (€)]]*uitkomst_doelgroep[[#This Row],[Percentage van patiëntaantallen in Wlz (overige is Zvw)]]</f>
        <v>0</v>
      </c>
      <c r="U785" s="398">
        <f>uitkomst_doelgroep[[#This Row],[Kosten (€)]]*uitkomst_doelgroep[[#This Row],[Percentage van patiëntaantallen in Wlz (overige is Zvw)]]</f>
        <v>0</v>
      </c>
      <c r="V785" s="398">
        <f>uitkomst_doelgroep[[#This Row],[Investering (cash flow) (€)]]*uitkomst_doelgroep[[#This Row],[Percentage van patiëntaantallen in Wlz (overige is Zvw)]]</f>
        <v>0</v>
      </c>
    </row>
    <row r="786" spans="1:22" x14ac:dyDescent="0.5">
      <c r="A786" s="33" t="str">
        <f>INDEX(Technologieën[Veld],MATCH(B786,Technologieën[Digitale zorgtoepassing],0))</f>
        <v>Software - Behandeling</v>
      </c>
      <c r="B786" s="33" t="s">
        <v>609</v>
      </c>
      <c r="C786" s="33" t="s">
        <v>109</v>
      </c>
      <c r="D786" s="427" cm="1">
        <f t="array" ref="D786">INDEX(Berekening_patiëntaantal[Percentage van patiëntaantallen in Wlz (overige is Zvw)],MATCH(B786,IF(Berekening_patiëntaantal[Doelgroep (zoeksleutel)]=C786,Berekening_patiëntaantal[Digitale zorgtoepassing]),0))</f>
        <v>0</v>
      </c>
      <c r="E786" s="33" t="str" cm="1">
        <f t="array" ref="E786">INDEX(Berekening_patiëntaantal[Direct toepasbaar/extrapolatie/incidentie voor QALY],MATCH(B786,IF(Berekening_patiëntaantal[Doelgroep (zoeksleutel)]=C786,Berekening_patiëntaantal[Digitale zorgtoepassing]),0))</f>
        <v>Huidige toepassing</v>
      </c>
      <c r="F786" s="33" t="s">
        <v>813</v>
      </c>
      <c r="G786" s="33" t="str">
        <f>CONCATENATE(uitkomst_doelgroep[[#This Row],[Digitale zorgtoepassing]],"_",uitkomst_doelgroep[[#This Row],[Doelgroep]],"_",uitkomst_doelgroep[[#This Row],[Uitgangssituatie/effect beleid]])</f>
        <v>(Zelf)zorgplatform + telebegeleiding_MS_Uitgangssituatie</v>
      </c>
      <c r="H786" s="33">
        <v>2023</v>
      </c>
      <c r="I786" s="32">
        <v>1</v>
      </c>
      <c r="J786" s="406" cm="1">
        <f t="array" ref="J786">INDEX(implementatie[[2023]:[2034]],MATCH(G786, implementatie[Zoeksleutel],0),I786)</f>
        <v>0.4</v>
      </c>
      <c r="K786" s="406" cm="1">
        <f t="array" ref="K786">INDEX(implementatie[[2023]:[2034]],MATCH(G786,implementatie[Zoeksleutel],0),I786 + 1)</f>
        <v>0.52300000000000002</v>
      </c>
      <c r="L78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13600</v>
      </c>
      <c r="M786" s="398" cm="1">
        <f t="array" ref="M786">J786*INDEX(Berekening_impact[Totaal arbeidsbesparing (€/jaar)],MATCH(B786,IF(Berekening_impact[Doelgroep]=C786,Berekening_impact[Digitale zorgtoepassing]),0))</f>
        <v>0</v>
      </c>
      <c r="N786" s="397" cm="1">
        <f t="array" ref="N786">J786*INDEX(Berekening_impact[Totaal arbeidsbesparing (FTE/jaar)],MATCH(B786,IF(Berekening_impact[Doelgroep]=C786,Berekening_impact[Digitale zorgtoepassing]),0))</f>
        <v>0</v>
      </c>
      <c r="O786" s="398" cm="1">
        <f t="array" ref="O786">J786*INDEX(Berekening_impact[Overige kostenbesparing (totaal/jaar totaal potentieel)],MATCH(B786,IF(Berekening_impact[Doelgroep]=C786,Berekening_impact[Digitale zorgtoepassing]),0))</f>
        <v>0</v>
      </c>
      <c r="P786" s="398" cm="1">
        <f t="array" ref="P786">J786*INDEX(Berekening_impact[Opbrengsten door QALY''s],MATCH(B786,IF(Berekening_impact[Doelgroep]=C786,Berekening_impact[Digitale zorgtoepassing]),0))</f>
        <v>30056000</v>
      </c>
      <c r="Q786" s="398" cm="1">
        <f t="array" ref="Q786">J786*INDEX(Berekening_impact[Jaarlijkse kosten (totaal) - incl. schatting],MATCH(B786,IF(Berekening_impact[Doelgroep]=C786,Berekening_impact[Digitale zorgtoepassing]),0))</f>
        <v>11299152</v>
      </c>
      <c r="R786" s="398" cm="1">
        <f t="array" ref="R786">(uitkomst_doelgroep[[#This Row],[Implementatiegraad t = T + 1]]-uitkomst_doelgroep[[#This Row],[Implementatiegraad t = T]])*INDEX(Berekening_impact[Initiële investering (totaal) - incl. schatting],MATCH(B786,IF(Berekening_impact[Doelgroep]=C786,Berekening_impact[Digitale zorgtoepassing]),0))</f>
        <v>0</v>
      </c>
      <c r="S786" s="398">
        <f>uitkomst_doelgroep[[#This Row],[Arbeidsbesparing (€)]]*uitkomst_doelgroep[[#This Row],[Percentage van patiëntaantallen in Wlz (overige is Zvw)]]</f>
        <v>0</v>
      </c>
      <c r="T786" s="398">
        <f>uitkomst_doelgroep[[#This Row],[Overige besparingen (€)]]*uitkomst_doelgroep[[#This Row],[Percentage van patiëntaantallen in Wlz (overige is Zvw)]]</f>
        <v>0</v>
      </c>
      <c r="U786" s="398">
        <f>uitkomst_doelgroep[[#This Row],[Kosten (€)]]*uitkomst_doelgroep[[#This Row],[Percentage van patiëntaantallen in Wlz (overige is Zvw)]]</f>
        <v>0</v>
      </c>
      <c r="V786" s="398">
        <f>uitkomst_doelgroep[[#This Row],[Investering (cash flow) (€)]]*uitkomst_doelgroep[[#This Row],[Percentage van patiëntaantallen in Wlz (overige is Zvw)]]</f>
        <v>0</v>
      </c>
    </row>
    <row r="787" spans="1:22" x14ac:dyDescent="0.5">
      <c r="A787" s="33" t="str">
        <f>INDEX(Technologieën[Veld],MATCH(B787,Technologieën[Digitale zorgtoepassing],0))</f>
        <v>Software - Behandeling</v>
      </c>
      <c r="B787" s="33" t="s">
        <v>609</v>
      </c>
      <c r="C787" s="33" t="s">
        <v>109</v>
      </c>
      <c r="D787" s="427" cm="1">
        <f t="array" ref="D787">INDEX(Berekening_patiëntaantal[Percentage van patiëntaantallen in Wlz (overige is Zvw)],MATCH(B787,IF(Berekening_patiëntaantal[Doelgroep (zoeksleutel)]=C787,Berekening_patiëntaantal[Digitale zorgtoepassing]),0))</f>
        <v>0</v>
      </c>
      <c r="E787" s="33" t="str" cm="1">
        <f t="array" ref="E787">INDEX(Berekening_patiëntaantal[Direct toepasbaar/extrapolatie/incidentie voor QALY],MATCH(B787,IF(Berekening_patiëntaantal[Doelgroep (zoeksleutel)]=C787,Berekening_patiëntaantal[Digitale zorgtoepassing]),0))</f>
        <v>Huidige toepassing</v>
      </c>
      <c r="F787" s="33" t="s">
        <v>813</v>
      </c>
      <c r="G787" s="33" t="str">
        <f>CONCATENATE(uitkomst_doelgroep[[#This Row],[Digitale zorgtoepassing]],"_",uitkomst_doelgroep[[#This Row],[Doelgroep]],"_",uitkomst_doelgroep[[#This Row],[Uitgangssituatie/effect beleid]])</f>
        <v>(Zelf)zorgplatform + telebegeleiding_MS_Uitgangssituatie</v>
      </c>
      <c r="H787" s="33">
        <v>2024</v>
      </c>
      <c r="I787" s="32">
        <v>2</v>
      </c>
      <c r="J787" s="406" cm="1">
        <f t="array" ref="J787">INDEX(implementatie[[2023]:[2034]],MATCH(G787, implementatie[Zoeksleutel],0),I787)</f>
        <v>0.52300000000000002</v>
      </c>
      <c r="K787" s="406" cm="1">
        <f t="array" ref="K787">INDEX(implementatie[[2023]:[2034]],MATCH(G787,implementatie[Zoeksleutel],0),I787 + 1)</f>
        <v>0.64718695000000004</v>
      </c>
      <c r="L78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17782</v>
      </c>
      <c r="M787" s="398" cm="1">
        <f t="array" ref="M787">J787*INDEX(Berekening_impact[Totaal arbeidsbesparing (€/jaar)],MATCH(B787,IF(Berekening_impact[Doelgroep]=C787,Berekening_impact[Digitale zorgtoepassing]),0))</f>
        <v>0</v>
      </c>
      <c r="N787" s="397" cm="1">
        <f t="array" ref="N787">J787*INDEX(Berekening_impact[Totaal arbeidsbesparing (FTE/jaar)],MATCH(B787,IF(Berekening_impact[Doelgroep]=C787,Berekening_impact[Digitale zorgtoepassing]),0))</f>
        <v>0</v>
      </c>
      <c r="O787" s="398" cm="1">
        <f t="array" ref="O787">J787*INDEX(Berekening_impact[Overige kostenbesparing (totaal/jaar totaal potentieel)],MATCH(B787,IF(Berekening_impact[Doelgroep]=C787,Berekening_impact[Digitale zorgtoepassing]),0))</f>
        <v>0</v>
      </c>
      <c r="P787" s="398" cm="1">
        <f t="array" ref="P787">J787*INDEX(Berekening_impact[Opbrengsten door QALY''s],MATCH(B787,IF(Berekening_impact[Doelgroep]=C787,Berekening_impact[Digitale zorgtoepassing]),0))</f>
        <v>39298220</v>
      </c>
      <c r="Q787" s="398" cm="1">
        <f t="array" ref="Q787">J787*INDEX(Berekening_impact[Jaarlijkse kosten (totaal) - incl. schatting],MATCH(B787,IF(Berekening_impact[Doelgroep]=C787,Berekening_impact[Digitale zorgtoepassing]),0))</f>
        <v>14773641.239999998</v>
      </c>
      <c r="R787" s="398" cm="1">
        <f t="array" ref="R787">(uitkomst_doelgroep[[#This Row],[Implementatiegraad t = T + 1]]-uitkomst_doelgroep[[#This Row],[Implementatiegraad t = T]])*INDEX(Berekening_impact[Initiële investering (totaal) - incl. schatting],MATCH(B787,IF(Berekening_impact[Doelgroep]=C787,Berekening_impact[Digitale zorgtoepassing]),0))</f>
        <v>0</v>
      </c>
      <c r="S787" s="398">
        <f>uitkomst_doelgroep[[#This Row],[Arbeidsbesparing (€)]]*uitkomst_doelgroep[[#This Row],[Percentage van patiëntaantallen in Wlz (overige is Zvw)]]</f>
        <v>0</v>
      </c>
      <c r="T787" s="398">
        <f>uitkomst_doelgroep[[#This Row],[Overige besparingen (€)]]*uitkomst_doelgroep[[#This Row],[Percentage van patiëntaantallen in Wlz (overige is Zvw)]]</f>
        <v>0</v>
      </c>
      <c r="U787" s="398">
        <f>uitkomst_doelgroep[[#This Row],[Kosten (€)]]*uitkomst_doelgroep[[#This Row],[Percentage van patiëntaantallen in Wlz (overige is Zvw)]]</f>
        <v>0</v>
      </c>
      <c r="V787" s="398">
        <f>uitkomst_doelgroep[[#This Row],[Investering (cash flow) (€)]]*uitkomst_doelgroep[[#This Row],[Percentage van patiëntaantallen in Wlz (overige is Zvw)]]</f>
        <v>0</v>
      </c>
    </row>
    <row r="788" spans="1:22" x14ac:dyDescent="0.5">
      <c r="A788" s="33" t="str">
        <f>INDEX(Technologieën[Veld],MATCH(B788,Technologieën[Digitale zorgtoepassing],0))</f>
        <v>Software - Behandeling</v>
      </c>
      <c r="B788" s="33" t="s">
        <v>609</v>
      </c>
      <c r="C788" s="33" t="s">
        <v>109</v>
      </c>
      <c r="D788" s="427" cm="1">
        <f t="array" ref="D788">INDEX(Berekening_patiëntaantal[Percentage van patiëntaantallen in Wlz (overige is Zvw)],MATCH(B788,IF(Berekening_patiëntaantal[Doelgroep (zoeksleutel)]=C788,Berekening_patiëntaantal[Digitale zorgtoepassing]),0))</f>
        <v>0</v>
      </c>
      <c r="E788" s="33" t="str" cm="1">
        <f t="array" ref="E788">INDEX(Berekening_patiëntaantal[Direct toepasbaar/extrapolatie/incidentie voor QALY],MATCH(B788,IF(Berekening_patiëntaantal[Doelgroep (zoeksleutel)]=C788,Berekening_patiëntaantal[Digitale zorgtoepassing]),0))</f>
        <v>Huidige toepassing</v>
      </c>
      <c r="F788" s="33" t="s">
        <v>813</v>
      </c>
      <c r="G788" s="33" t="str">
        <f>CONCATENATE(uitkomst_doelgroep[[#This Row],[Digitale zorgtoepassing]],"_",uitkomst_doelgroep[[#This Row],[Doelgroep]],"_",uitkomst_doelgroep[[#This Row],[Uitgangssituatie/effect beleid]])</f>
        <v>(Zelf)zorgplatform + telebegeleiding_MS_Uitgangssituatie</v>
      </c>
      <c r="H788" s="33">
        <v>2025</v>
      </c>
      <c r="I788" s="32">
        <v>3</v>
      </c>
      <c r="J788" s="406" cm="1">
        <f t="array" ref="J788">INDEX(implementatie[[2023]:[2034]],MATCH(G788, implementatie[Zoeksleutel],0),I788)</f>
        <v>0.64718695000000004</v>
      </c>
      <c r="K788" s="406" cm="1">
        <f t="array" ref="K788">INDEX(implementatie[[2023]:[2034]],MATCH(G788,implementatie[Zoeksleutel],0),I788 + 1)</f>
        <v>0.75875847703736388</v>
      </c>
      <c r="L78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22004.356300000003</v>
      </c>
      <c r="M788" s="398" cm="1">
        <f t="array" ref="M788">J788*INDEX(Berekening_impact[Totaal arbeidsbesparing (€/jaar)],MATCH(B788,IF(Berekening_impact[Doelgroep]=C788,Berekening_impact[Digitale zorgtoepassing]),0))</f>
        <v>0</v>
      </c>
      <c r="N788" s="397" cm="1">
        <f t="array" ref="N788">J788*INDEX(Berekening_impact[Totaal arbeidsbesparing (FTE/jaar)],MATCH(B788,IF(Berekening_impact[Doelgroep]=C788,Berekening_impact[Digitale zorgtoepassing]),0))</f>
        <v>0</v>
      </c>
      <c r="O788" s="398" cm="1">
        <f t="array" ref="O788">J788*INDEX(Berekening_impact[Overige kostenbesparing (totaal/jaar totaal potentieel)],MATCH(B788,IF(Berekening_impact[Doelgroep]=C788,Berekening_impact[Digitale zorgtoepassing]),0))</f>
        <v>0</v>
      </c>
      <c r="P788" s="398" cm="1">
        <f t="array" ref="P788">J788*INDEX(Berekening_impact[Opbrengsten door QALY''s],MATCH(B788,IF(Berekening_impact[Doelgroep]=C788,Berekening_impact[Digitale zorgtoepassing]),0))</f>
        <v>48629627.423</v>
      </c>
      <c r="Q788" s="398" cm="1">
        <f t="array" ref="Q788">J788*INDEX(Berekening_impact[Jaarlijkse kosten (totaal) - incl. schatting],MATCH(B788,IF(Berekening_impact[Doelgroep]=C788,Berekening_impact[Digitale zorgtoepassing]),0))</f>
        <v>18281659.301165998</v>
      </c>
      <c r="R788" s="398" cm="1">
        <f t="array" ref="R788">(uitkomst_doelgroep[[#This Row],[Implementatiegraad t = T + 1]]-uitkomst_doelgroep[[#This Row],[Implementatiegraad t = T]])*INDEX(Berekening_impact[Initiële investering (totaal) - incl. schatting],MATCH(B788,IF(Berekening_impact[Doelgroep]=C788,Berekening_impact[Digitale zorgtoepassing]),0))</f>
        <v>0</v>
      </c>
      <c r="S788" s="398">
        <f>uitkomst_doelgroep[[#This Row],[Arbeidsbesparing (€)]]*uitkomst_doelgroep[[#This Row],[Percentage van patiëntaantallen in Wlz (overige is Zvw)]]</f>
        <v>0</v>
      </c>
      <c r="T788" s="398">
        <f>uitkomst_doelgroep[[#This Row],[Overige besparingen (€)]]*uitkomst_doelgroep[[#This Row],[Percentage van patiëntaantallen in Wlz (overige is Zvw)]]</f>
        <v>0</v>
      </c>
      <c r="U788" s="398">
        <f>uitkomst_doelgroep[[#This Row],[Kosten (€)]]*uitkomst_doelgroep[[#This Row],[Percentage van patiëntaantallen in Wlz (overige is Zvw)]]</f>
        <v>0</v>
      </c>
      <c r="V788" s="398">
        <f>uitkomst_doelgroep[[#This Row],[Investering (cash flow) (€)]]*uitkomst_doelgroep[[#This Row],[Percentage van patiëntaantallen in Wlz (overige is Zvw)]]</f>
        <v>0</v>
      </c>
    </row>
    <row r="789" spans="1:22" x14ac:dyDescent="0.5">
      <c r="A789" s="33" t="str">
        <f>INDEX(Technologieën[Veld],MATCH(B789,Technologieën[Digitale zorgtoepassing],0))</f>
        <v>Software - Behandeling</v>
      </c>
      <c r="B789" s="33" t="s">
        <v>609</v>
      </c>
      <c r="C789" s="33" t="s">
        <v>109</v>
      </c>
      <c r="D789" s="427" cm="1">
        <f t="array" ref="D789">INDEX(Berekening_patiëntaantal[Percentage van patiëntaantallen in Wlz (overige is Zvw)],MATCH(B789,IF(Berekening_patiëntaantal[Doelgroep (zoeksleutel)]=C789,Berekening_patiëntaantal[Digitale zorgtoepassing]),0))</f>
        <v>0</v>
      </c>
      <c r="E789" s="33" t="str" cm="1">
        <f t="array" ref="E789">INDEX(Berekening_patiëntaantal[Direct toepasbaar/extrapolatie/incidentie voor QALY],MATCH(B789,IF(Berekening_patiëntaantal[Doelgroep (zoeksleutel)]=C789,Berekening_patiëntaantal[Digitale zorgtoepassing]),0))</f>
        <v>Huidige toepassing</v>
      </c>
      <c r="F789" s="33" t="s">
        <v>813</v>
      </c>
      <c r="G789" s="33" t="str">
        <f>CONCATENATE(uitkomst_doelgroep[[#This Row],[Digitale zorgtoepassing]],"_",uitkomst_doelgroep[[#This Row],[Doelgroep]],"_",uitkomst_doelgroep[[#This Row],[Uitgangssituatie/effect beleid]])</f>
        <v>(Zelf)zorgplatform + telebegeleiding_MS_Uitgangssituatie</v>
      </c>
      <c r="H789" s="33">
        <v>2026</v>
      </c>
      <c r="I789" s="32">
        <v>4</v>
      </c>
      <c r="J789" s="406" cm="1">
        <f t="array" ref="J789">INDEX(implementatie[[2023]:[2034]],MATCH(G789, implementatie[Zoeksleutel],0),I789)</f>
        <v>0.75875847703736388</v>
      </c>
      <c r="K789" s="406" cm="1">
        <f t="array" ref="K789">INDEX(implementatie[[2023]:[2034]],MATCH(G789,implementatie[Zoeksleutel],0),I789 + 1)</f>
        <v>0.84715933786401665</v>
      </c>
      <c r="L78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25797.788219270373</v>
      </c>
      <c r="M789" s="398" cm="1">
        <f t="array" ref="M789">J789*INDEX(Berekening_impact[Totaal arbeidsbesparing (€/jaar)],MATCH(B789,IF(Berekening_impact[Doelgroep]=C789,Berekening_impact[Digitale zorgtoepassing]),0))</f>
        <v>0</v>
      </c>
      <c r="N789" s="397" cm="1">
        <f t="array" ref="N789">J789*INDEX(Berekening_impact[Totaal arbeidsbesparing (FTE/jaar)],MATCH(B789,IF(Berekening_impact[Doelgroep]=C789,Berekening_impact[Digitale zorgtoepassing]),0))</f>
        <v>0</v>
      </c>
      <c r="O789" s="398" cm="1">
        <f t="array" ref="O789">J789*INDEX(Berekening_impact[Overige kostenbesparing (totaal/jaar totaal potentieel)],MATCH(B789,IF(Berekening_impact[Doelgroep]=C789,Berekening_impact[Digitale zorgtoepassing]),0))</f>
        <v>0</v>
      </c>
      <c r="P789" s="398" cm="1">
        <f t="array" ref="P789">J789*INDEX(Berekening_impact[Opbrengsten door QALY''s],MATCH(B789,IF(Berekening_impact[Doelgroep]=C789,Berekening_impact[Digitale zorgtoepassing]),0))</f>
        <v>57013111.964587525</v>
      </c>
      <c r="Q789" s="398" cm="1">
        <f t="array" ref="Q789">J789*INDEX(Berekening_impact[Jaarlijkse kosten (totaal) - incl. schatting],MATCH(B789,IF(Berekening_impact[Doelgroep]=C789,Berekening_impact[Digitale zorgtoepassing]),0))</f>
        <v>21433318.408334207</v>
      </c>
      <c r="R789" s="398" cm="1">
        <f t="array" ref="R789">(uitkomst_doelgroep[[#This Row],[Implementatiegraad t = T + 1]]-uitkomst_doelgroep[[#This Row],[Implementatiegraad t = T]])*INDEX(Berekening_impact[Initiële investering (totaal) - incl. schatting],MATCH(B789,IF(Berekening_impact[Doelgroep]=C789,Berekening_impact[Digitale zorgtoepassing]),0))</f>
        <v>0</v>
      </c>
      <c r="S789" s="398">
        <f>uitkomst_doelgroep[[#This Row],[Arbeidsbesparing (€)]]*uitkomst_doelgroep[[#This Row],[Percentage van patiëntaantallen in Wlz (overige is Zvw)]]</f>
        <v>0</v>
      </c>
      <c r="T789" s="398">
        <f>uitkomst_doelgroep[[#This Row],[Overige besparingen (€)]]*uitkomst_doelgroep[[#This Row],[Percentage van patiëntaantallen in Wlz (overige is Zvw)]]</f>
        <v>0</v>
      </c>
      <c r="U789" s="398">
        <f>uitkomst_doelgroep[[#This Row],[Kosten (€)]]*uitkomst_doelgroep[[#This Row],[Percentage van patiëntaantallen in Wlz (overige is Zvw)]]</f>
        <v>0</v>
      </c>
      <c r="V789" s="398">
        <f>uitkomst_doelgroep[[#This Row],[Investering (cash flow) (€)]]*uitkomst_doelgroep[[#This Row],[Percentage van patiëntaantallen in Wlz (overige is Zvw)]]</f>
        <v>0</v>
      </c>
    </row>
    <row r="790" spans="1:22" x14ac:dyDescent="0.5">
      <c r="A790" s="33" t="str">
        <f>INDEX(Technologieën[Veld],MATCH(B790,Technologieën[Digitale zorgtoepassing],0))</f>
        <v>Software - Behandeling</v>
      </c>
      <c r="B790" s="33" t="s">
        <v>609</v>
      </c>
      <c r="C790" s="33" t="s">
        <v>109</v>
      </c>
      <c r="D790" s="427" cm="1">
        <f t="array" ref="D790">INDEX(Berekening_patiëntaantal[Percentage van patiëntaantallen in Wlz (overige is Zvw)],MATCH(B790,IF(Berekening_patiëntaantal[Doelgroep (zoeksleutel)]=C790,Berekening_patiëntaantal[Digitale zorgtoepassing]),0))</f>
        <v>0</v>
      </c>
      <c r="E790" s="33" t="str" cm="1">
        <f t="array" ref="E790">INDEX(Berekening_patiëntaantal[Direct toepasbaar/extrapolatie/incidentie voor QALY],MATCH(B790,IF(Berekening_patiëntaantal[Doelgroep (zoeksleutel)]=C790,Berekening_patiëntaantal[Digitale zorgtoepassing]),0))</f>
        <v>Huidige toepassing</v>
      </c>
      <c r="F790" s="33" t="s">
        <v>813</v>
      </c>
      <c r="G790" s="33" t="str">
        <f>CONCATENATE(uitkomst_doelgroep[[#This Row],[Digitale zorgtoepassing]],"_",uitkomst_doelgroep[[#This Row],[Doelgroep]],"_",uitkomst_doelgroep[[#This Row],[Uitgangssituatie/effect beleid]])</f>
        <v>(Zelf)zorgplatform + telebegeleiding_MS_Uitgangssituatie</v>
      </c>
      <c r="H790" s="33">
        <v>2027</v>
      </c>
      <c r="I790" s="32">
        <v>5</v>
      </c>
      <c r="J790" s="406" cm="1">
        <f t="array" ref="J790">INDEX(implementatie[[2023]:[2034]],MATCH(G790, implementatie[Zoeksleutel],0),I790)</f>
        <v>0.84715933786401665</v>
      </c>
      <c r="K790" s="406" cm="1">
        <f t="array" ref="K790">INDEX(implementatie[[2023]:[2034]],MATCH(G790,implementatie[Zoeksleutel],0),I790 + 1)</f>
        <v>0.90924653177763415</v>
      </c>
      <c r="L79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28803.417487376566</v>
      </c>
      <c r="M790" s="398" cm="1">
        <f t="array" ref="M790">J790*INDEX(Berekening_impact[Totaal arbeidsbesparing (€/jaar)],MATCH(B790,IF(Berekening_impact[Doelgroep]=C790,Berekening_impact[Digitale zorgtoepassing]),0))</f>
        <v>0</v>
      </c>
      <c r="N790" s="397" cm="1">
        <f t="array" ref="N790">J790*INDEX(Berekening_impact[Totaal arbeidsbesparing (FTE/jaar)],MATCH(B790,IF(Berekening_impact[Doelgroep]=C790,Berekening_impact[Digitale zorgtoepassing]),0))</f>
        <v>0</v>
      </c>
      <c r="O790" s="398" cm="1">
        <f t="array" ref="O790">J790*INDEX(Berekening_impact[Overige kostenbesparing (totaal/jaar totaal potentieel)],MATCH(B790,IF(Berekening_impact[Doelgroep]=C790,Berekening_impact[Digitale zorgtoepassing]),0))</f>
        <v>0</v>
      </c>
      <c r="P790" s="398" cm="1">
        <f t="array" ref="P790">J790*INDEX(Berekening_impact[Opbrengsten door QALY''s],MATCH(B790,IF(Berekening_impact[Doelgroep]=C790,Berekening_impact[Digitale zorgtoepassing]),0))</f>
        <v>63655552.647102214</v>
      </c>
      <c r="Q790" s="398" cm="1">
        <f t="array" ref="Q790">J790*INDEX(Berekening_impact[Jaarlijkse kosten (totaal) - incl. schatting],MATCH(B790,IF(Berekening_impact[Doelgroep]=C790,Berekening_impact[Digitale zorgtoepassing]),0))</f>
        <v>23930455.316862196</v>
      </c>
      <c r="R790" s="398" cm="1">
        <f t="array" ref="R790">(uitkomst_doelgroep[[#This Row],[Implementatiegraad t = T + 1]]-uitkomst_doelgroep[[#This Row],[Implementatiegraad t = T]])*INDEX(Berekening_impact[Initiële investering (totaal) - incl. schatting],MATCH(B790,IF(Berekening_impact[Doelgroep]=C790,Berekening_impact[Digitale zorgtoepassing]),0))</f>
        <v>0</v>
      </c>
      <c r="S790" s="398">
        <f>uitkomst_doelgroep[[#This Row],[Arbeidsbesparing (€)]]*uitkomst_doelgroep[[#This Row],[Percentage van patiëntaantallen in Wlz (overige is Zvw)]]</f>
        <v>0</v>
      </c>
      <c r="T790" s="398">
        <f>uitkomst_doelgroep[[#This Row],[Overige besparingen (€)]]*uitkomst_doelgroep[[#This Row],[Percentage van patiëntaantallen in Wlz (overige is Zvw)]]</f>
        <v>0</v>
      </c>
      <c r="U790" s="398">
        <f>uitkomst_doelgroep[[#This Row],[Kosten (€)]]*uitkomst_doelgroep[[#This Row],[Percentage van patiëntaantallen in Wlz (overige is Zvw)]]</f>
        <v>0</v>
      </c>
      <c r="V790" s="398">
        <f>uitkomst_doelgroep[[#This Row],[Investering (cash flow) (€)]]*uitkomst_doelgroep[[#This Row],[Percentage van patiëntaantallen in Wlz (overige is Zvw)]]</f>
        <v>0</v>
      </c>
    </row>
    <row r="791" spans="1:22" x14ac:dyDescent="0.5">
      <c r="A791" s="33" t="str">
        <f>INDEX(Technologieën[Veld],MATCH(B791,Technologieën[Digitale zorgtoepassing],0))</f>
        <v>Software - Behandeling</v>
      </c>
      <c r="B791" s="33" t="s">
        <v>609</v>
      </c>
      <c r="C791" s="33" t="s">
        <v>109</v>
      </c>
      <c r="D791" s="427" cm="1">
        <f t="array" ref="D791">INDEX(Berekening_patiëntaantal[Percentage van patiëntaantallen in Wlz (overige is Zvw)],MATCH(B791,IF(Berekening_patiëntaantal[Doelgroep (zoeksleutel)]=C791,Berekening_patiëntaantal[Digitale zorgtoepassing]),0))</f>
        <v>0</v>
      </c>
      <c r="E791" s="33" t="str" cm="1">
        <f t="array" ref="E791">INDEX(Berekening_patiëntaantal[Direct toepasbaar/extrapolatie/incidentie voor QALY],MATCH(B791,IF(Berekening_patiëntaantal[Doelgroep (zoeksleutel)]=C791,Berekening_patiëntaantal[Digitale zorgtoepassing]),0))</f>
        <v>Huidige toepassing</v>
      </c>
      <c r="F791" s="33" t="s">
        <v>813</v>
      </c>
      <c r="G791" s="33" t="str">
        <f>CONCATENATE(uitkomst_doelgroep[[#This Row],[Digitale zorgtoepassing]],"_",uitkomst_doelgroep[[#This Row],[Doelgroep]],"_",uitkomst_doelgroep[[#This Row],[Uitgangssituatie/effect beleid]])</f>
        <v>(Zelf)zorgplatform + telebegeleiding_MS_Uitgangssituatie</v>
      </c>
      <c r="H791" s="33">
        <v>2028</v>
      </c>
      <c r="I791" s="32">
        <v>6</v>
      </c>
      <c r="J791" s="406" cm="1">
        <f t="array" ref="J791">INDEX(implementatie[[2023]:[2034]],MATCH(G791, implementatie[Zoeksleutel],0),I791)</f>
        <v>0.90924653177763415</v>
      </c>
      <c r="K791" s="406" cm="1">
        <f t="array" ref="K791">INDEX(implementatie[[2023]:[2034]],MATCH(G791,implementatie[Zoeksleutel],0),I791 + 1)</f>
        <v>0.94864814278578335</v>
      </c>
      <c r="L79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30914.382080439562</v>
      </c>
      <c r="M791" s="398" cm="1">
        <f t="array" ref="M791">J791*INDEX(Berekening_impact[Totaal arbeidsbesparing (€/jaar)],MATCH(B791,IF(Berekening_impact[Doelgroep]=C791,Berekening_impact[Digitale zorgtoepassing]),0))</f>
        <v>0</v>
      </c>
      <c r="N791" s="397" cm="1">
        <f t="array" ref="N791">J791*INDEX(Berekening_impact[Totaal arbeidsbesparing (FTE/jaar)],MATCH(B791,IF(Berekening_impact[Doelgroep]=C791,Berekening_impact[Digitale zorgtoepassing]),0))</f>
        <v>0</v>
      </c>
      <c r="O791" s="398" cm="1">
        <f t="array" ref="O791">J791*INDEX(Berekening_impact[Overige kostenbesparing (totaal/jaar totaal potentieel)],MATCH(B791,IF(Berekening_impact[Doelgroep]=C791,Berekening_impact[Digitale zorgtoepassing]),0))</f>
        <v>0</v>
      </c>
      <c r="P791" s="398" cm="1">
        <f t="array" ref="P791">J791*INDEX(Berekening_impact[Opbrengsten door QALY''s],MATCH(B791,IF(Berekening_impact[Doelgroep]=C791,Berekening_impact[Digitale zorgtoepassing]),0))</f>
        <v>68320784.397771433</v>
      </c>
      <c r="Q791" s="398" cm="1">
        <f t="array" ref="Q791">J791*INDEX(Berekening_impact[Jaarlijkse kosten (totaal) - incl. schatting],MATCH(B791,IF(Berekening_impact[Doelgroep]=C791,Berekening_impact[Digitale zorgtoepassing]),0))</f>
        <v>25684286.920070793</v>
      </c>
      <c r="R791" s="398" cm="1">
        <f t="array" ref="R791">(uitkomst_doelgroep[[#This Row],[Implementatiegraad t = T + 1]]-uitkomst_doelgroep[[#This Row],[Implementatiegraad t = T]])*INDEX(Berekening_impact[Initiële investering (totaal) - incl. schatting],MATCH(B791,IF(Berekening_impact[Doelgroep]=C791,Berekening_impact[Digitale zorgtoepassing]),0))</f>
        <v>0</v>
      </c>
      <c r="S791" s="398">
        <f>uitkomst_doelgroep[[#This Row],[Arbeidsbesparing (€)]]*uitkomst_doelgroep[[#This Row],[Percentage van patiëntaantallen in Wlz (overige is Zvw)]]</f>
        <v>0</v>
      </c>
      <c r="T791" s="398">
        <f>uitkomst_doelgroep[[#This Row],[Overige besparingen (€)]]*uitkomst_doelgroep[[#This Row],[Percentage van patiëntaantallen in Wlz (overige is Zvw)]]</f>
        <v>0</v>
      </c>
      <c r="U791" s="398">
        <f>uitkomst_doelgroep[[#This Row],[Kosten (€)]]*uitkomst_doelgroep[[#This Row],[Percentage van patiëntaantallen in Wlz (overige is Zvw)]]</f>
        <v>0</v>
      </c>
      <c r="V791" s="398">
        <f>uitkomst_doelgroep[[#This Row],[Investering (cash flow) (€)]]*uitkomst_doelgroep[[#This Row],[Percentage van patiëntaantallen in Wlz (overige is Zvw)]]</f>
        <v>0</v>
      </c>
    </row>
    <row r="792" spans="1:22" x14ac:dyDescent="0.5">
      <c r="A792" s="33" t="str">
        <f>INDEX(Technologieën[Veld],MATCH(B792,Technologieën[Digitale zorgtoepassing],0))</f>
        <v>Software - Behandeling</v>
      </c>
      <c r="B792" s="33" t="s">
        <v>609</v>
      </c>
      <c r="C792" s="33" t="s">
        <v>109</v>
      </c>
      <c r="D792" s="427" cm="1">
        <f t="array" ref="D792">INDEX(Berekening_patiëntaantal[Percentage van patiëntaantallen in Wlz (overige is Zvw)],MATCH(B792,IF(Berekening_patiëntaantal[Doelgroep (zoeksleutel)]=C792,Berekening_patiëntaantal[Digitale zorgtoepassing]),0))</f>
        <v>0</v>
      </c>
      <c r="E792" s="33" t="str" cm="1">
        <f t="array" ref="E792">INDEX(Berekening_patiëntaantal[Direct toepasbaar/extrapolatie/incidentie voor QALY],MATCH(B792,IF(Berekening_patiëntaantal[Doelgroep (zoeksleutel)]=C792,Berekening_patiëntaantal[Digitale zorgtoepassing]),0))</f>
        <v>Huidige toepassing</v>
      </c>
      <c r="F792" s="33" t="s">
        <v>813</v>
      </c>
      <c r="G792" s="33" t="str">
        <f>CONCATENATE(uitkomst_doelgroep[[#This Row],[Digitale zorgtoepassing]],"_",uitkomst_doelgroep[[#This Row],[Doelgroep]],"_",uitkomst_doelgroep[[#This Row],[Uitgangssituatie/effect beleid]])</f>
        <v>(Zelf)zorgplatform + telebegeleiding_MS_Uitgangssituatie</v>
      </c>
      <c r="H792" s="33">
        <v>2029</v>
      </c>
      <c r="I792" s="32">
        <v>7</v>
      </c>
      <c r="J792" s="406" cm="1">
        <f t="array" ref="J792">INDEX(implementatie[[2023]:[2034]],MATCH(G792, implementatie[Zoeksleutel],0),I792)</f>
        <v>0.94864814278578335</v>
      </c>
      <c r="K792" s="406" cm="1">
        <f t="array" ref="K792">INDEX(implementatie[[2023]:[2034]],MATCH(G792,implementatie[Zoeksleutel],0),I792 + 1)</f>
        <v>0.97185361900482903</v>
      </c>
      <c r="L79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32254.036854716633</v>
      </c>
      <c r="M792" s="398" cm="1">
        <f t="array" ref="M792">J792*INDEX(Berekening_impact[Totaal arbeidsbesparing (€/jaar)],MATCH(B792,IF(Berekening_impact[Doelgroep]=C792,Berekening_impact[Digitale zorgtoepassing]),0))</f>
        <v>0</v>
      </c>
      <c r="N792" s="397" cm="1">
        <f t="array" ref="N792">J792*INDEX(Berekening_impact[Totaal arbeidsbesparing (FTE/jaar)],MATCH(B792,IF(Berekening_impact[Doelgroep]=C792,Berekening_impact[Digitale zorgtoepassing]),0))</f>
        <v>0</v>
      </c>
      <c r="O792" s="398" cm="1">
        <f t="array" ref="O792">J792*INDEX(Berekening_impact[Overige kostenbesparing (totaal/jaar totaal potentieel)],MATCH(B792,IF(Berekening_impact[Doelgroep]=C792,Berekening_impact[Digitale zorgtoepassing]),0))</f>
        <v>0</v>
      </c>
      <c r="P792" s="398" cm="1">
        <f t="array" ref="P792">J792*INDEX(Berekening_impact[Opbrengsten door QALY''s],MATCH(B792,IF(Berekening_impact[Doelgroep]=C792,Berekening_impact[Digitale zorgtoepassing]),0))</f>
        <v>71281421.448923767</v>
      </c>
      <c r="Q792" s="398" cm="1">
        <f t="array" ref="Q792">J792*INDEX(Berekening_impact[Jaarlijkse kosten (totaal) - incl. schatting],MATCH(B792,IF(Berekening_impact[Doelgroep]=C792,Berekening_impact[Digitale zorgtoepassing]),0))</f>
        <v>26797298.899635669</v>
      </c>
      <c r="R792" s="398" cm="1">
        <f t="array" ref="R792">(uitkomst_doelgroep[[#This Row],[Implementatiegraad t = T + 1]]-uitkomst_doelgroep[[#This Row],[Implementatiegraad t = T]])*INDEX(Berekening_impact[Initiële investering (totaal) - incl. schatting],MATCH(B792,IF(Berekening_impact[Doelgroep]=C792,Berekening_impact[Digitale zorgtoepassing]),0))</f>
        <v>0</v>
      </c>
      <c r="S792" s="398">
        <f>uitkomst_doelgroep[[#This Row],[Arbeidsbesparing (€)]]*uitkomst_doelgroep[[#This Row],[Percentage van patiëntaantallen in Wlz (overige is Zvw)]]</f>
        <v>0</v>
      </c>
      <c r="T792" s="398">
        <f>uitkomst_doelgroep[[#This Row],[Overige besparingen (€)]]*uitkomst_doelgroep[[#This Row],[Percentage van patiëntaantallen in Wlz (overige is Zvw)]]</f>
        <v>0</v>
      </c>
      <c r="U792" s="398">
        <f>uitkomst_doelgroep[[#This Row],[Kosten (€)]]*uitkomst_doelgroep[[#This Row],[Percentage van patiëntaantallen in Wlz (overige is Zvw)]]</f>
        <v>0</v>
      </c>
      <c r="V792" s="398">
        <f>uitkomst_doelgroep[[#This Row],[Investering (cash flow) (€)]]*uitkomst_doelgroep[[#This Row],[Percentage van patiëntaantallen in Wlz (overige is Zvw)]]</f>
        <v>0</v>
      </c>
    </row>
    <row r="793" spans="1:22" x14ac:dyDescent="0.5">
      <c r="A793" s="33" t="str">
        <f>INDEX(Technologieën[Veld],MATCH(B793,Technologieën[Digitale zorgtoepassing],0))</f>
        <v>Software - Behandeling</v>
      </c>
      <c r="B793" s="33" t="s">
        <v>609</v>
      </c>
      <c r="C793" s="33" t="s">
        <v>109</v>
      </c>
      <c r="D793" s="427" cm="1">
        <f t="array" ref="D793">INDEX(Berekening_patiëntaantal[Percentage van patiëntaantallen in Wlz (overige is Zvw)],MATCH(B793,IF(Berekening_patiëntaantal[Doelgroep (zoeksleutel)]=C793,Berekening_patiëntaantal[Digitale zorgtoepassing]),0))</f>
        <v>0</v>
      </c>
      <c r="E793" s="33" t="str" cm="1">
        <f t="array" ref="E793">INDEX(Berekening_patiëntaantal[Direct toepasbaar/extrapolatie/incidentie voor QALY],MATCH(B793,IF(Berekening_patiëntaantal[Doelgroep (zoeksleutel)]=C793,Berekening_patiëntaantal[Digitale zorgtoepassing]),0))</f>
        <v>Huidige toepassing</v>
      </c>
      <c r="F793" s="33" t="s">
        <v>813</v>
      </c>
      <c r="G793" s="33" t="str">
        <f>CONCATENATE(uitkomst_doelgroep[[#This Row],[Digitale zorgtoepassing]],"_",uitkomst_doelgroep[[#This Row],[Doelgroep]],"_",uitkomst_doelgroep[[#This Row],[Uitgangssituatie/effect beleid]])</f>
        <v>(Zelf)zorgplatform + telebegeleiding_MS_Uitgangssituatie</v>
      </c>
      <c r="H793" s="33">
        <v>2030</v>
      </c>
      <c r="I793" s="32">
        <v>8</v>
      </c>
      <c r="J793" s="406" cm="1">
        <f t="array" ref="J793">INDEX(implementatie[[2023]:[2034]],MATCH(G793, implementatie[Zoeksleutel],0),I793)</f>
        <v>0.97185361900482903</v>
      </c>
      <c r="K793" s="406" cm="1">
        <f t="array" ref="K793">INDEX(implementatie[[2023]:[2034]],MATCH(G793,implementatie[Zoeksleutel],0),I793 + 1)</f>
        <v>0.98486665153412889</v>
      </c>
      <c r="L79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33043.023046164184</v>
      </c>
      <c r="M793" s="398" cm="1">
        <f t="array" ref="M793">J793*INDEX(Berekening_impact[Totaal arbeidsbesparing (€/jaar)],MATCH(B793,IF(Berekening_impact[Doelgroep]=C793,Berekening_impact[Digitale zorgtoepassing]),0))</f>
        <v>0</v>
      </c>
      <c r="N793" s="397" cm="1">
        <f t="array" ref="N793">J793*INDEX(Berekening_impact[Totaal arbeidsbesparing (FTE/jaar)],MATCH(B793,IF(Berekening_impact[Doelgroep]=C793,Berekening_impact[Digitale zorgtoepassing]),0))</f>
        <v>0</v>
      </c>
      <c r="O793" s="398" cm="1">
        <f t="array" ref="O793">J793*INDEX(Berekening_impact[Overige kostenbesparing (totaal/jaar totaal potentieel)],MATCH(B793,IF(Berekening_impact[Doelgroep]=C793,Berekening_impact[Digitale zorgtoepassing]),0))</f>
        <v>0</v>
      </c>
      <c r="P793" s="398" cm="1">
        <f t="array" ref="P793">J793*INDEX(Berekening_impact[Opbrengsten door QALY''s],MATCH(B793,IF(Berekening_impact[Doelgroep]=C793,Berekening_impact[Digitale zorgtoepassing]),0))</f>
        <v>73025080.932022855</v>
      </c>
      <c r="Q793" s="398" cm="1">
        <f t="array" ref="Q793">J793*INDEX(Berekening_impact[Jaarlijkse kosten (totaal) - incl. schatting],MATCH(B793,IF(Berekening_impact[Doelgroep]=C793,Berekening_impact[Digitale zorgtoepassing]),0))</f>
        <v>27452804.407214127</v>
      </c>
      <c r="R793" s="398" cm="1">
        <f t="array" ref="R793">(uitkomst_doelgroep[[#This Row],[Implementatiegraad t = T + 1]]-uitkomst_doelgroep[[#This Row],[Implementatiegraad t = T]])*INDEX(Berekening_impact[Initiële investering (totaal) - incl. schatting],MATCH(B793,IF(Berekening_impact[Doelgroep]=C793,Berekening_impact[Digitale zorgtoepassing]),0))</f>
        <v>0</v>
      </c>
      <c r="S793" s="398">
        <f>uitkomst_doelgroep[[#This Row],[Arbeidsbesparing (€)]]*uitkomst_doelgroep[[#This Row],[Percentage van patiëntaantallen in Wlz (overige is Zvw)]]</f>
        <v>0</v>
      </c>
      <c r="T793" s="398">
        <f>uitkomst_doelgroep[[#This Row],[Overige besparingen (€)]]*uitkomst_doelgroep[[#This Row],[Percentage van patiëntaantallen in Wlz (overige is Zvw)]]</f>
        <v>0</v>
      </c>
      <c r="U793" s="398">
        <f>uitkomst_doelgroep[[#This Row],[Kosten (€)]]*uitkomst_doelgroep[[#This Row],[Percentage van patiëntaantallen in Wlz (overige is Zvw)]]</f>
        <v>0</v>
      </c>
      <c r="V793" s="398">
        <f>uitkomst_doelgroep[[#This Row],[Investering (cash flow) (€)]]*uitkomst_doelgroep[[#This Row],[Percentage van patiëntaantallen in Wlz (overige is Zvw)]]</f>
        <v>0</v>
      </c>
    </row>
    <row r="794" spans="1:22" x14ac:dyDescent="0.5">
      <c r="A794" s="33" t="str">
        <f>INDEX(Technologieën[Veld],MATCH(B794,Technologieën[Digitale zorgtoepassing],0))</f>
        <v>Software - Behandeling</v>
      </c>
      <c r="B794" s="33" t="s">
        <v>609</v>
      </c>
      <c r="C794" s="33" t="s">
        <v>109</v>
      </c>
      <c r="D794" s="427" cm="1">
        <f t="array" ref="D794">INDEX(Berekening_patiëntaantal[Percentage van patiëntaantallen in Wlz (overige is Zvw)],MATCH(B794,IF(Berekening_patiëntaantal[Doelgroep (zoeksleutel)]=C794,Berekening_patiëntaantal[Digitale zorgtoepassing]),0))</f>
        <v>0</v>
      </c>
      <c r="E794" s="33" t="str" cm="1">
        <f t="array" ref="E794">INDEX(Berekening_patiëntaantal[Direct toepasbaar/extrapolatie/incidentie voor QALY],MATCH(B794,IF(Berekening_patiëntaantal[Doelgroep (zoeksleutel)]=C794,Berekening_patiëntaantal[Digitale zorgtoepassing]),0))</f>
        <v>Huidige toepassing</v>
      </c>
      <c r="F794" s="33" t="s">
        <v>813</v>
      </c>
      <c r="G794" s="33" t="str">
        <f>CONCATENATE(uitkomst_doelgroep[[#This Row],[Digitale zorgtoepassing]],"_",uitkomst_doelgroep[[#This Row],[Doelgroep]],"_",uitkomst_doelgroep[[#This Row],[Uitgangssituatie/effect beleid]])</f>
        <v>(Zelf)zorgplatform + telebegeleiding_MS_Uitgangssituatie</v>
      </c>
      <c r="H794" s="33">
        <v>2031</v>
      </c>
      <c r="I794" s="32">
        <v>9</v>
      </c>
      <c r="J794" s="406" cm="1">
        <f t="array" ref="J794">INDEX(implementatie[[2023]:[2034]],MATCH(G794, implementatie[Zoeksleutel],0),I794)</f>
        <v>0.98486665153412889</v>
      </c>
      <c r="K794" s="406" cm="1">
        <f t="array" ref="K794">INDEX(implementatie[[2023]:[2034]],MATCH(G794,implementatie[Zoeksleutel],0),I794 + 1)</f>
        <v>0.99195193384931235</v>
      </c>
      <c r="L79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33485.466152160385</v>
      </c>
      <c r="M794" s="398" cm="1">
        <f t="array" ref="M794">J794*INDEX(Berekening_impact[Totaal arbeidsbesparing (€/jaar)],MATCH(B794,IF(Berekening_impact[Doelgroep]=C794,Berekening_impact[Digitale zorgtoepassing]),0))</f>
        <v>0</v>
      </c>
      <c r="N794" s="397" cm="1">
        <f t="array" ref="N794">J794*INDEX(Berekening_impact[Totaal arbeidsbesparing (FTE/jaar)],MATCH(B794,IF(Berekening_impact[Doelgroep]=C794,Berekening_impact[Digitale zorgtoepassing]),0))</f>
        <v>0</v>
      </c>
      <c r="O794" s="398" cm="1">
        <f t="array" ref="O794">J794*INDEX(Berekening_impact[Overige kostenbesparing (totaal/jaar totaal potentieel)],MATCH(B794,IF(Berekening_impact[Doelgroep]=C794,Berekening_impact[Digitale zorgtoepassing]),0))</f>
        <v>0</v>
      </c>
      <c r="P794" s="398" cm="1">
        <f t="array" ref="P794">J794*INDEX(Berekening_impact[Opbrengsten door QALY''s],MATCH(B794,IF(Berekening_impact[Doelgroep]=C794,Berekening_impact[Digitale zorgtoepassing]),0))</f>
        <v>74002880.196274444</v>
      </c>
      <c r="Q794" s="398" cm="1">
        <f t="array" ref="Q794">J794*INDEX(Berekening_impact[Jaarlijkse kosten (totaal) - incl. schatting],MATCH(B794,IF(Berekening_impact[Doelgroep]=C794,Berekening_impact[Digitale zorgtoepassing]),0))</f>
        <v>27820394.988537885</v>
      </c>
      <c r="R794" s="398" cm="1">
        <f t="array" ref="R794">(uitkomst_doelgroep[[#This Row],[Implementatiegraad t = T + 1]]-uitkomst_doelgroep[[#This Row],[Implementatiegraad t = T]])*INDEX(Berekening_impact[Initiële investering (totaal) - incl. schatting],MATCH(B794,IF(Berekening_impact[Doelgroep]=C794,Berekening_impact[Digitale zorgtoepassing]),0))</f>
        <v>0</v>
      </c>
      <c r="S794" s="398">
        <f>uitkomst_doelgroep[[#This Row],[Arbeidsbesparing (€)]]*uitkomst_doelgroep[[#This Row],[Percentage van patiëntaantallen in Wlz (overige is Zvw)]]</f>
        <v>0</v>
      </c>
      <c r="T794" s="398">
        <f>uitkomst_doelgroep[[#This Row],[Overige besparingen (€)]]*uitkomst_doelgroep[[#This Row],[Percentage van patiëntaantallen in Wlz (overige is Zvw)]]</f>
        <v>0</v>
      </c>
      <c r="U794" s="398">
        <f>uitkomst_doelgroep[[#This Row],[Kosten (€)]]*uitkomst_doelgroep[[#This Row],[Percentage van patiëntaantallen in Wlz (overige is Zvw)]]</f>
        <v>0</v>
      </c>
      <c r="V794" s="398">
        <f>uitkomst_doelgroep[[#This Row],[Investering (cash flow) (€)]]*uitkomst_doelgroep[[#This Row],[Percentage van patiëntaantallen in Wlz (overige is Zvw)]]</f>
        <v>0</v>
      </c>
    </row>
    <row r="795" spans="1:22" x14ac:dyDescent="0.5">
      <c r="A795" s="33" t="str">
        <f>INDEX(Technologieën[Veld],MATCH(B795,Technologieën[Digitale zorgtoepassing],0))</f>
        <v>Software - Behandeling</v>
      </c>
      <c r="B795" s="33" t="s">
        <v>609</v>
      </c>
      <c r="C795" s="33" t="s">
        <v>109</v>
      </c>
      <c r="D795" s="427" cm="1">
        <f t="array" ref="D795">INDEX(Berekening_patiëntaantal[Percentage van patiëntaantallen in Wlz (overige is Zvw)],MATCH(B795,IF(Berekening_patiëntaantal[Doelgroep (zoeksleutel)]=C795,Berekening_patiëntaantal[Digitale zorgtoepassing]),0))</f>
        <v>0</v>
      </c>
      <c r="E795" s="33" t="str" cm="1">
        <f t="array" ref="E795">INDEX(Berekening_patiëntaantal[Direct toepasbaar/extrapolatie/incidentie voor QALY],MATCH(B795,IF(Berekening_patiëntaantal[Doelgroep (zoeksleutel)]=C795,Berekening_patiëntaantal[Digitale zorgtoepassing]),0))</f>
        <v>Huidige toepassing</v>
      </c>
      <c r="F795" s="33" t="s">
        <v>813</v>
      </c>
      <c r="G795" s="33" t="str">
        <f>CONCATENATE(uitkomst_doelgroep[[#This Row],[Digitale zorgtoepassing]],"_",uitkomst_doelgroep[[#This Row],[Doelgroep]],"_",uitkomst_doelgroep[[#This Row],[Uitgangssituatie/effect beleid]])</f>
        <v>(Zelf)zorgplatform + telebegeleiding_MS_Uitgangssituatie</v>
      </c>
      <c r="H795" s="33">
        <v>2032</v>
      </c>
      <c r="I795" s="32">
        <v>10</v>
      </c>
      <c r="J795" s="406" cm="1">
        <f t="array" ref="J795">INDEX(implementatie[[2023]:[2034]],MATCH(G795, implementatie[Zoeksleutel],0),I795)</f>
        <v>0.99195193384931235</v>
      </c>
      <c r="K795" s="406" cm="1">
        <f t="array" ref="K795">INDEX(implementatie[[2023]:[2034]],MATCH(G795,implementatie[Zoeksleutel],0),I795 + 1)</f>
        <v>0.99574561815494433</v>
      </c>
      <c r="L79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33726.365750876619</v>
      </c>
      <c r="M795" s="398" cm="1">
        <f t="array" ref="M795">J795*INDEX(Berekening_impact[Totaal arbeidsbesparing (€/jaar)],MATCH(B795,IF(Berekening_impact[Doelgroep]=C795,Berekening_impact[Digitale zorgtoepassing]),0))</f>
        <v>0</v>
      </c>
      <c r="N795" s="397" cm="1">
        <f t="array" ref="N795">J795*INDEX(Berekening_impact[Totaal arbeidsbesparing (FTE/jaar)],MATCH(B795,IF(Berekening_impact[Doelgroep]=C795,Berekening_impact[Digitale zorgtoepassing]),0))</f>
        <v>0</v>
      </c>
      <c r="O795" s="398" cm="1">
        <f t="array" ref="O795">J795*INDEX(Berekening_impact[Overige kostenbesparing (totaal/jaar totaal potentieel)],MATCH(B795,IF(Berekening_impact[Doelgroep]=C795,Berekening_impact[Digitale zorgtoepassing]),0))</f>
        <v>0</v>
      </c>
      <c r="P795" s="398" cm="1">
        <f t="array" ref="P795">J795*INDEX(Berekening_impact[Opbrengsten door QALY''s],MATCH(B795,IF(Berekening_impact[Doelgroep]=C795,Berekening_impact[Digitale zorgtoepassing]),0))</f>
        <v>74535268.309437335</v>
      </c>
      <c r="Q795" s="398" cm="1">
        <f t="array" ref="Q795">J795*INDEX(Berekening_impact[Jaarlijkse kosten (totaal) - incl. schatting],MATCH(B795,IF(Berekening_impact[Doelgroep]=C795,Berekening_impact[Digitale zorgtoepassing]),0))</f>
        <v>28020539.193143308</v>
      </c>
      <c r="R795" s="398" cm="1">
        <f t="array" ref="R795">(uitkomst_doelgroep[[#This Row],[Implementatiegraad t = T + 1]]-uitkomst_doelgroep[[#This Row],[Implementatiegraad t = T]])*INDEX(Berekening_impact[Initiële investering (totaal) - incl. schatting],MATCH(B795,IF(Berekening_impact[Doelgroep]=C795,Berekening_impact[Digitale zorgtoepassing]),0))</f>
        <v>0</v>
      </c>
      <c r="S795" s="398">
        <f>uitkomst_doelgroep[[#This Row],[Arbeidsbesparing (€)]]*uitkomst_doelgroep[[#This Row],[Percentage van patiëntaantallen in Wlz (overige is Zvw)]]</f>
        <v>0</v>
      </c>
      <c r="T795" s="398">
        <f>uitkomst_doelgroep[[#This Row],[Overige besparingen (€)]]*uitkomst_doelgroep[[#This Row],[Percentage van patiëntaantallen in Wlz (overige is Zvw)]]</f>
        <v>0</v>
      </c>
      <c r="U795" s="398">
        <f>uitkomst_doelgroep[[#This Row],[Kosten (€)]]*uitkomst_doelgroep[[#This Row],[Percentage van patiëntaantallen in Wlz (overige is Zvw)]]</f>
        <v>0</v>
      </c>
      <c r="V795" s="398">
        <f>uitkomst_doelgroep[[#This Row],[Investering (cash flow) (€)]]*uitkomst_doelgroep[[#This Row],[Percentage van patiëntaantallen in Wlz (overige is Zvw)]]</f>
        <v>0</v>
      </c>
    </row>
    <row r="796" spans="1:22" x14ac:dyDescent="0.5">
      <c r="A796" s="33" t="str">
        <f>INDEX(Technologieën[Veld],MATCH(B796,Technologieën[Digitale zorgtoepassing],0))</f>
        <v>Software - Behandeling</v>
      </c>
      <c r="B796" s="33" t="s">
        <v>609</v>
      </c>
      <c r="C796" s="33" t="s">
        <v>109</v>
      </c>
      <c r="D796" s="427" cm="1">
        <f t="array" ref="D796">INDEX(Berekening_patiëntaantal[Percentage van patiëntaantallen in Wlz (overige is Zvw)],MATCH(B796,IF(Berekening_patiëntaantal[Doelgroep (zoeksleutel)]=C796,Berekening_patiëntaantal[Digitale zorgtoepassing]),0))</f>
        <v>0</v>
      </c>
      <c r="E796" s="33" t="str" cm="1">
        <f t="array" ref="E796">INDEX(Berekening_patiëntaantal[Direct toepasbaar/extrapolatie/incidentie voor QALY],MATCH(B796,IF(Berekening_patiëntaantal[Doelgroep (zoeksleutel)]=C796,Berekening_patiëntaantal[Digitale zorgtoepassing]),0))</f>
        <v>Huidige toepassing</v>
      </c>
      <c r="F796" s="33" t="s">
        <v>813</v>
      </c>
      <c r="G796" s="33" t="str">
        <f>CONCATENATE(uitkomst_doelgroep[[#This Row],[Digitale zorgtoepassing]],"_",uitkomst_doelgroep[[#This Row],[Doelgroep]],"_",uitkomst_doelgroep[[#This Row],[Uitgangssituatie/effect beleid]])</f>
        <v>(Zelf)zorgplatform + telebegeleiding_MS_Uitgangssituatie</v>
      </c>
      <c r="H796" s="33">
        <v>2033</v>
      </c>
      <c r="I796" s="32">
        <v>11</v>
      </c>
      <c r="J796" s="406" cm="1">
        <f t="array" ref="J796">INDEX(implementatie[[2023]:[2034]],MATCH(G796, implementatie[Zoeksleutel],0),I796)</f>
        <v>0.99574561815494433</v>
      </c>
      <c r="K796" s="406" cm="1">
        <f t="array" ref="K796">INDEX(implementatie[[2023]:[2034]],MATCH(G796,implementatie[Zoeksleutel],0),I796 + 1)</f>
        <v>0.99775830463714821</v>
      </c>
      <c r="L79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33855.351017268105</v>
      </c>
      <c r="M796" s="398" cm="1">
        <f t="array" ref="M796">J796*INDEX(Berekening_impact[Totaal arbeidsbesparing (€/jaar)],MATCH(B796,IF(Berekening_impact[Doelgroep]=C796,Berekening_impact[Digitale zorgtoepassing]),0))</f>
        <v>0</v>
      </c>
      <c r="N796" s="397" cm="1">
        <f t="array" ref="N796">J796*INDEX(Berekening_impact[Totaal arbeidsbesparing (FTE/jaar)],MATCH(B796,IF(Berekening_impact[Doelgroep]=C796,Berekening_impact[Digitale zorgtoepassing]),0))</f>
        <v>0</v>
      </c>
      <c r="O796" s="398" cm="1">
        <f t="array" ref="O796">J796*INDEX(Berekening_impact[Overige kostenbesparing (totaal/jaar totaal potentieel)],MATCH(B796,IF(Berekening_impact[Doelgroep]=C796,Berekening_impact[Digitale zorgtoepassing]),0))</f>
        <v>0</v>
      </c>
      <c r="P796" s="398" cm="1">
        <f t="array" ref="P796">J796*INDEX(Berekening_impact[Opbrengsten door QALY''s],MATCH(B796,IF(Berekening_impact[Doelgroep]=C796,Berekening_impact[Digitale zorgtoepassing]),0))</f>
        <v>74820325.748162523</v>
      </c>
      <c r="Q796" s="398" cm="1">
        <f t="array" ref="Q796">J796*INDEX(Berekening_impact[Jaarlijkse kosten (totaal) - incl. schatting],MATCH(B796,IF(Berekening_impact[Doelgroep]=C796,Berekening_impact[Digitale zorgtoepassing]),0))</f>
        <v>28127702.732166685</v>
      </c>
      <c r="R796" s="398" cm="1">
        <f t="array" ref="R796">(uitkomst_doelgroep[[#This Row],[Implementatiegraad t = T + 1]]-uitkomst_doelgroep[[#This Row],[Implementatiegraad t = T]])*INDEX(Berekening_impact[Initiële investering (totaal) - incl. schatting],MATCH(B796,IF(Berekening_impact[Doelgroep]=C796,Berekening_impact[Digitale zorgtoepassing]),0))</f>
        <v>0</v>
      </c>
      <c r="S796" s="398">
        <f>uitkomst_doelgroep[[#This Row],[Arbeidsbesparing (€)]]*uitkomst_doelgroep[[#This Row],[Percentage van patiëntaantallen in Wlz (overige is Zvw)]]</f>
        <v>0</v>
      </c>
      <c r="T796" s="398">
        <f>uitkomst_doelgroep[[#This Row],[Overige besparingen (€)]]*uitkomst_doelgroep[[#This Row],[Percentage van patiëntaantallen in Wlz (overige is Zvw)]]</f>
        <v>0</v>
      </c>
      <c r="U796" s="398">
        <f>uitkomst_doelgroep[[#This Row],[Kosten (€)]]*uitkomst_doelgroep[[#This Row],[Percentage van patiëntaantallen in Wlz (overige is Zvw)]]</f>
        <v>0</v>
      </c>
      <c r="V796" s="398">
        <f>uitkomst_doelgroep[[#This Row],[Investering (cash flow) (€)]]*uitkomst_doelgroep[[#This Row],[Percentage van patiëntaantallen in Wlz (overige is Zvw)]]</f>
        <v>0</v>
      </c>
    </row>
    <row r="797" spans="1:22" x14ac:dyDescent="0.5">
      <c r="A797" s="33" t="str">
        <f>INDEX(Technologieën[Veld],MATCH(B797,Technologieën[Digitale zorgtoepassing],0))</f>
        <v>Software - Diagnose</v>
      </c>
      <c r="B797" s="33" t="s">
        <v>474</v>
      </c>
      <c r="C797" s="33" t="s">
        <v>111</v>
      </c>
      <c r="D797" s="427" cm="1">
        <f t="array" ref="D797">INDEX(Berekening_patiëntaantal[Percentage van patiëntaantallen in Wlz (overige is Zvw)],MATCH(B797,IF(Berekening_patiëntaantal[Doelgroep (zoeksleutel)]=C797,Berekening_patiëntaantal[Digitale zorgtoepassing]),0))</f>
        <v>0</v>
      </c>
      <c r="E797" s="33" t="str" cm="1">
        <f t="array" ref="E797">INDEX(Berekening_patiëntaantal[Direct toepasbaar/extrapolatie/incidentie voor QALY],MATCH(B797,IF(Berekening_patiëntaantal[Doelgroep (zoeksleutel)]=C797,Berekening_patiëntaantal[Digitale zorgtoepassing]),0))</f>
        <v>Huidige toepassing</v>
      </c>
      <c r="F797" s="33" t="s">
        <v>813</v>
      </c>
      <c r="G797" s="33" t="str">
        <f>CONCATENATE(uitkomst_doelgroep[[#This Row],[Digitale zorgtoepassing]],"_",uitkomst_doelgroep[[#This Row],[Doelgroep]],"_",uitkomst_doelgroep[[#This Row],[Uitgangssituatie/effect beleid]])</f>
        <v>AI om diagnoses te stellen (app)_Huisartsconsult_Goedaardige huidplek_Uitgangssituatie</v>
      </c>
      <c r="H797" s="33">
        <v>2023</v>
      </c>
      <c r="I797" s="32">
        <v>1</v>
      </c>
      <c r="J797" s="406" cm="1">
        <f t="array" ref="J797">INDEX(implementatie[[2023]:[2034]],MATCH(G797, implementatie[Zoeksleutel],0),I797)</f>
        <v>0.4</v>
      </c>
      <c r="K797" s="406" cm="1">
        <f t="array" ref="K797">INDEX(implementatie[[2023]:[2034]],MATCH(G797,implementatie[Zoeksleutel],0),I797 + 1)</f>
        <v>0.53800000000000003</v>
      </c>
      <c r="L79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366160.60800000001</v>
      </c>
      <c r="M797" s="398" cm="1">
        <f t="array" ref="M797">J797*INDEX(Berekening_impact[Totaal arbeidsbesparing (€/jaar)],MATCH(B797,IF(Berekening_impact[Doelgroep]=C797,Berekening_impact[Digitale zorgtoepassing]),0))</f>
        <v>3218315.0025475873</v>
      </c>
      <c r="N797" s="397" cm="1">
        <f t="array" ref="N797">J797*INDEX(Berekening_impact[Totaal arbeidsbesparing (FTE/jaar)],MATCH(B797,IF(Berekening_impact[Doelgroep]=C797,Berekening_impact[Digitale zorgtoepassing]),0))</f>
        <v>23.765231769230773</v>
      </c>
      <c r="O797" s="398" cm="1">
        <f t="array" ref="O797">J797*INDEX(Berekening_impact[Overige kostenbesparing (totaal/jaar totaal potentieel)],MATCH(B797,IF(Berekening_impact[Doelgroep]=C797,Berekening_impact[Digitale zorgtoepassing]),0))</f>
        <v>0</v>
      </c>
      <c r="P797" s="398" cm="1">
        <f t="array" ref="P797">J797*INDEX(Berekening_impact[Opbrengsten door QALY''s],MATCH(B797,IF(Berekening_impact[Doelgroep]=C797,Berekening_impact[Digitale zorgtoepassing]),0))</f>
        <v>0</v>
      </c>
      <c r="Q797" s="398" cm="1">
        <f t="array" ref="Q797">J797*INDEX(Berekening_impact[Jaarlijkse kosten (totaal) - incl. schatting],MATCH(B797,IF(Berekening_impact[Doelgroep]=C797,Berekening_impact[Digitale zorgtoepassing]),0))</f>
        <v>2559462.6499200002</v>
      </c>
      <c r="R797" s="398" cm="1">
        <f t="array" ref="R797">(uitkomst_doelgroep[[#This Row],[Implementatiegraad t = T + 1]]-uitkomst_doelgroep[[#This Row],[Implementatiegraad t = T]])*INDEX(Berekening_impact[Initiële investering (totaal) - incl. schatting],MATCH(B797,IF(Berekening_impact[Doelgroep]=C797,Berekening_impact[Digitale zorgtoepassing]),0))</f>
        <v>0</v>
      </c>
      <c r="S797" s="398">
        <f>uitkomst_doelgroep[[#This Row],[Arbeidsbesparing (€)]]*uitkomst_doelgroep[[#This Row],[Percentage van patiëntaantallen in Wlz (overige is Zvw)]]</f>
        <v>0</v>
      </c>
      <c r="T797" s="398">
        <f>uitkomst_doelgroep[[#This Row],[Overige besparingen (€)]]*uitkomst_doelgroep[[#This Row],[Percentage van patiëntaantallen in Wlz (overige is Zvw)]]</f>
        <v>0</v>
      </c>
      <c r="U797" s="398">
        <f>uitkomst_doelgroep[[#This Row],[Kosten (€)]]*uitkomst_doelgroep[[#This Row],[Percentage van patiëntaantallen in Wlz (overige is Zvw)]]</f>
        <v>0</v>
      </c>
      <c r="V797" s="398">
        <f>uitkomst_doelgroep[[#This Row],[Investering (cash flow) (€)]]*uitkomst_doelgroep[[#This Row],[Percentage van patiëntaantallen in Wlz (overige is Zvw)]]</f>
        <v>0</v>
      </c>
    </row>
    <row r="798" spans="1:22" x14ac:dyDescent="0.5">
      <c r="A798" s="33" t="str">
        <f>INDEX(Technologieën[Veld],MATCH(B798,Technologieën[Digitale zorgtoepassing],0))</f>
        <v>Software - Diagnose</v>
      </c>
      <c r="B798" s="33" t="s">
        <v>474</v>
      </c>
      <c r="C798" s="33" t="s">
        <v>111</v>
      </c>
      <c r="D798" s="427" cm="1">
        <f t="array" ref="D798">INDEX(Berekening_patiëntaantal[Percentage van patiëntaantallen in Wlz (overige is Zvw)],MATCH(B798,IF(Berekening_patiëntaantal[Doelgroep (zoeksleutel)]=C798,Berekening_patiëntaantal[Digitale zorgtoepassing]),0))</f>
        <v>0</v>
      </c>
      <c r="E798" s="33" t="str" cm="1">
        <f t="array" ref="E798">INDEX(Berekening_patiëntaantal[Direct toepasbaar/extrapolatie/incidentie voor QALY],MATCH(B798,IF(Berekening_patiëntaantal[Doelgroep (zoeksleutel)]=C798,Berekening_patiëntaantal[Digitale zorgtoepassing]),0))</f>
        <v>Huidige toepassing</v>
      </c>
      <c r="F798" s="33" t="s">
        <v>813</v>
      </c>
      <c r="G798" s="33" t="str">
        <f>CONCATENATE(uitkomst_doelgroep[[#This Row],[Digitale zorgtoepassing]],"_",uitkomst_doelgroep[[#This Row],[Doelgroep]],"_",uitkomst_doelgroep[[#This Row],[Uitgangssituatie/effect beleid]])</f>
        <v>AI om diagnoses te stellen (app)_Huisartsconsult_Goedaardige huidplek_Uitgangssituatie</v>
      </c>
      <c r="H798" s="33">
        <v>2024</v>
      </c>
      <c r="I798" s="32">
        <v>2</v>
      </c>
      <c r="J798" s="406" cm="1">
        <f t="array" ref="J798">INDEX(implementatie[[2023]:[2034]],MATCH(G798, implementatie[Zoeksleutel],0),I798)</f>
        <v>0.53800000000000003</v>
      </c>
      <c r="K798" s="406" cm="1">
        <f t="array" ref="K798">INDEX(implementatie[[2023]:[2034]],MATCH(G798,implementatie[Zoeksleutel],0),I798 + 1)</f>
        <v>0.67613800000000002</v>
      </c>
      <c r="L79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492486.01776000002</v>
      </c>
      <c r="M798" s="398" cm="1">
        <f t="array" ref="M798">J798*INDEX(Berekening_impact[Totaal arbeidsbesparing (€/jaar)],MATCH(B798,IF(Berekening_impact[Doelgroep]=C798,Berekening_impact[Digitale zorgtoepassing]),0))</f>
        <v>4328633.6784265051</v>
      </c>
      <c r="N798" s="397" cm="1">
        <f t="array" ref="N798">J798*INDEX(Berekening_impact[Totaal arbeidsbesparing (FTE/jaar)],MATCH(B798,IF(Berekening_impact[Doelgroep]=C798,Berekening_impact[Digitale zorgtoepassing]),0))</f>
        <v>31.96423672961539</v>
      </c>
      <c r="O798" s="398" cm="1">
        <f t="array" ref="O798">J798*INDEX(Berekening_impact[Overige kostenbesparing (totaal/jaar totaal potentieel)],MATCH(B798,IF(Berekening_impact[Doelgroep]=C798,Berekening_impact[Digitale zorgtoepassing]),0))</f>
        <v>0</v>
      </c>
      <c r="P798" s="398" cm="1">
        <f t="array" ref="P798">J798*INDEX(Berekening_impact[Opbrengsten door QALY''s],MATCH(B798,IF(Berekening_impact[Doelgroep]=C798,Berekening_impact[Digitale zorgtoepassing]),0))</f>
        <v>0</v>
      </c>
      <c r="Q798" s="398" cm="1">
        <f t="array" ref="Q798">J798*INDEX(Berekening_impact[Jaarlijkse kosten (totaal) - incl. schatting],MATCH(B798,IF(Berekening_impact[Doelgroep]=C798,Berekening_impact[Digitale zorgtoepassing]),0))</f>
        <v>3442477.2641424006</v>
      </c>
      <c r="R798" s="398" cm="1">
        <f t="array" ref="R798">(uitkomst_doelgroep[[#This Row],[Implementatiegraad t = T + 1]]-uitkomst_doelgroep[[#This Row],[Implementatiegraad t = T]])*INDEX(Berekening_impact[Initiële investering (totaal) - incl. schatting],MATCH(B798,IF(Berekening_impact[Doelgroep]=C798,Berekening_impact[Digitale zorgtoepassing]),0))</f>
        <v>0</v>
      </c>
      <c r="S798" s="398">
        <f>uitkomst_doelgroep[[#This Row],[Arbeidsbesparing (€)]]*uitkomst_doelgroep[[#This Row],[Percentage van patiëntaantallen in Wlz (overige is Zvw)]]</f>
        <v>0</v>
      </c>
      <c r="T798" s="398">
        <f>uitkomst_doelgroep[[#This Row],[Overige besparingen (€)]]*uitkomst_doelgroep[[#This Row],[Percentage van patiëntaantallen in Wlz (overige is Zvw)]]</f>
        <v>0</v>
      </c>
      <c r="U798" s="398">
        <f>uitkomst_doelgroep[[#This Row],[Kosten (€)]]*uitkomst_doelgroep[[#This Row],[Percentage van patiëntaantallen in Wlz (overige is Zvw)]]</f>
        <v>0</v>
      </c>
      <c r="V798" s="398">
        <f>uitkomst_doelgroep[[#This Row],[Investering (cash flow) (€)]]*uitkomst_doelgroep[[#This Row],[Percentage van patiëntaantallen in Wlz (overige is Zvw)]]</f>
        <v>0</v>
      </c>
    </row>
    <row r="799" spans="1:22" x14ac:dyDescent="0.5">
      <c r="A799" s="33" t="str">
        <f>INDEX(Technologieën[Veld],MATCH(B799,Technologieën[Digitale zorgtoepassing],0))</f>
        <v>Software - Diagnose</v>
      </c>
      <c r="B799" s="33" t="s">
        <v>474</v>
      </c>
      <c r="C799" s="33" t="s">
        <v>111</v>
      </c>
      <c r="D799" s="427" cm="1">
        <f t="array" ref="D799">INDEX(Berekening_patiëntaantal[Percentage van patiëntaantallen in Wlz (overige is Zvw)],MATCH(B799,IF(Berekening_patiëntaantal[Doelgroep (zoeksleutel)]=C799,Berekening_patiëntaantal[Digitale zorgtoepassing]),0))</f>
        <v>0</v>
      </c>
      <c r="E799" s="33" t="str" cm="1">
        <f t="array" ref="E799">INDEX(Berekening_patiëntaantal[Direct toepasbaar/extrapolatie/incidentie voor QALY],MATCH(B799,IF(Berekening_patiëntaantal[Doelgroep (zoeksleutel)]=C799,Berekening_patiëntaantal[Digitale zorgtoepassing]),0))</f>
        <v>Huidige toepassing</v>
      </c>
      <c r="F799" s="33" t="s">
        <v>813</v>
      </c>
      <c r="G799" s="33" t="str">
        <f>CONCATENATE(uitkomst_doelgroep[[#This Row],[Digitale zorgtoepassing]],"_",uitkomst_doelgroep[[#This Row],[Doelgroep]],"_",uitkomst_doelgroep[[#This Row],[Uitgangssituatie/effect beleid]])</f>
        <v>AI om diagnoses te stellen (app)_Huisartsconsult_Goedaardige huidplek_Uitgangssituatie</v>
      </c>
      <c r="H799" s="33">
        <v>2025</v>
      </c>
      <c r="I799" s="32">
        <v>3</v>
      </c>
      <c r="J799" s="406" cm="1">
        <f t="array" ref="J799">INDEX(implementatie[[2023]:[2034]],MATCH(G799, implementatie[Zoeksleutel],0),I799)</f>
        <v>0.67613800000000002</v>
      </c>
      <c r="K799" s="406" cm="1">
        <f t="array" ref="K799">INDEX(implementatie[[2023]:[2034]],MATCH(G799,implementatie[Zoeksleutel],0),I799 + 1)</f>
        <v>0.79534156247800003</v>
      </c>
      <c r="L79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618937.75292976003</v>
      </c>
      <c r="M799" s="398" cm="1">
        <f t="array" ref="M799">J799*INDEX(Berekening_impact[Totaal arbeidsbesparing (€/jaar)],MATCH(B799,IF(Berekening_impact[Doelgroep]=C799,Berekening_impact[Digitale zorgtoepassing]),0))</f>
        <v>5440062.6729813013</v>
      </c>
      <c r="N799" s="397" cm="1">
        <f t="array" ref="N799">J799*INDEX(Berekening_impact[Totaal arbeidsbesparing (FTE/jaar)],MATCH(B799,IF(Berekening_impact[Doelgroep]=C799,Berekening_impact[Digitale zorgtoepassing]),0))</f>
        <v>40.171440694960388</v>
      </c>
      <c r="O799" s="398" cm="1">
        <f t="array" ref="O799">J799*INDEX(Berekening_impact[Overige kostenbesparing (totaal/jaar totaal potentieel)],MATCH(B799,IF(Berekening_impact[Doelgroep]=C799,Berekening_impact[Digitale zorgtoepassing]),0))</f>
        <v>0</v>
      </c>
      <c r="P799" s="398" cm="1">
        <f t="array" ref="P799">J799*INDEX(Berekening_impact[Opbrengsten door QALY''s],MATCH(B799,IF(Berekening_impact[Doelgroep]=C799,Berekening_impact[Digitale zorgtoepassing]),0))</f>
        <v>0</v>
      </c>
      <c r="Q799" s="398" cm="1">
        <f t="array" ref="Q799">J799*INDEX(Berekening_impact[Jaarlijkse kosten (totaal) - incl. schatting],MATCH(B799,IF(Berekening_impact[Doelgroep]=C799,Berekening_impact[Digitale zorgtoepassing]),0))</f>
        <v>4326374.892979023</v>
      </c>
      <c r="R799" s="398" cm="1">
        <f t="array" ref="R799">(uitkomst_doelgroep[[#This Row],[Implementatiegraad t = T + 1]]-uitkomst_doelgroep[[#This Row],[Implementatiegraad t = T]])*INDEX(Berekening_impact[Initiële investering (totaal) - incl. schatting],MATCH(B799,IF(Berekening_impact[Doelgroep]=C799,Berekening_impact[Digitale zorgtoepassing]),0))</f>
        <v>0</v>
      </c>
      <c r="S799" s="398">
        <f>uitkomst_doelgroep[[#This Row],[Arbeidsbesparing (€)]]*uitkomst_doelgroep[[#This Row],[Percentage van patiëntaantallen in Wlz (overige is Zvw)]]</f>
        <v>0</v>
      </c>
      <c r="T799" s="398">
        <f>uitkomst_doelgroep[[#This Row],[Overige besparingen (€)]]*uitkomst_doelgroep[[#This Row],[Percentage van patiëntaantallen in Wlz (overige is Zvw)]]</f>
        <v>0</v>
      </c>
      <c r="U799" s="398">
        <f>uitkomst_doelgroep[[#This Row],[Kosten (€)]]*uitkomst_doelgroep[[#This Row],[Percentage van patiëntaantallen in Wlz (overige is Zvw)]]</f>
        <v>0</v>
      </c>
      <c r="V799" s="398">
        <f>uitkomst_doelgroep[[#This Row],[Investering (cash flow) (€)]]*uitkomst_doelgroep[[#This Row],[Percentage van patiëntaantallen in Wlz (overige is Zvw)]]</f>
        <v>0</v>
      </c>
    </row>
    <row r="800" spans="1:22" x14ac:dyDescent="0.5">
      <c r="A800" s="33" t="str">
        <f>INDEX(Technologieën[Veld],MATCH(B800,Technologieën[Digitale zorgtoepassing],0))</f>
        <v>Software - Diagnose</v>
      </c>
      <c r="B800" s="33" t="s">
        <v>474</v>
      </c>
      <c r="C800" s="33" t="s">
        <v>111</v>
      </c>
      <c r="D800" s="427" cm="1">
        <f t="array" ref="D800">INDEX(Berekening_patiëntaantal[Percentage van patiëntaantallen in Wlz (overige is Zvw)],MATCH(B800,IF(Berekening_patiëntaantal[Doelgroep (zoeksleutel)]=C800,Berekening_patiëntaantal[Digitale zorgtoepassing]),0))</f>
        <v>0</v>
      </c>
      <c r="E800" s="33" t="str" cm="1">
        <f t="array" ref="E800">INDEX(Berekening_patiëntaantal[Direct toepasbaar/extrapolatie/incidentie voor QALY],MATCH(B800,IF(Berekening_patiëntaantal[Doelgroep (zoeksleutel)]=C800,Berekening_patiëntaantal[Digitale zorgtoepassing]),0))</f>
        <v>Huidige toepassing</v>
      </c>
      <c r="F800" s="33" t="s">
        <v>813</v>
      </c>
      <c r="G800" s="33" t="str">
        <f>CONCATENATE(uitkomst_doelgroep[[#This Row],[Digitale zorgtoepassing]],"_",uitkomst_doelgroep[[#This Row],[Doelgroep]],"_",uitkomst_doelgroep[[#This Row],[Uitgangssituatie/effect beleid]])</f>
        <v>AI om diagnoses te stellen (app)_Huisartsconsult_Goedaardige huidplek_Uitgangssituatie</v>
      </c>
      <c r="H800" s="33">
        <v>2026</v>
      </c>
      <c r="I800" s="32">
        <v>4</v>
      </c>
      <c r="J800" s="406" cm="1">
        <f t="array" ref="J800">INDEX(implementatie[[2023]:[2034]],MATCH(G800, implementatie[Zoeksleutel],0),I800)</f>
        <v>0.79534156247800003</v>
      </c>
      <c r="K800" s="406" cm="1">
        <f t="array" ref="K800">INDEX(implementatie[[2023]:[2034]],MATCH(G800,implementatie[Zoeksleutel],0),I800 + 1)</f>
        <v>0.88286799634018676</v>
      </c>
      <c r="L80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728056.87521153619</v>
      </c>
      <c r="M800" s="398" cm="1">
        <f t="array" ref="M800">J800*INDEX(Berekening_impact[Totaal arbeidsbesparing (€/jaar)],MATCH(B800,IF(Berekening_impact[Doelgroep]=C800,Berekening_impact[Digitale zorgtoepassing]),0))</f>
        <v>6399149.2066814667</v>
      </c>
      <c r="N800" s="397" cm="1">
        <f t="array" ref="N800">J800*INDEX(Berekening_impact[Totaal arbeidsbesparing (FTE/jaar)],MATCH(B800,IF(Berekening_impact[Doelgroep]=C800,Berekening_impact[Digitale zorgtoepassing]),0))</f>
        <v>47.253691419979518</v>
      </c>
      <c r="O800" s="398" cm="1">
        <f t="array" ref="O800">J800*INDEX(Berekening_impact[Overige kostenbesparing (totaal/jaar totaal potentieel)],MATCH(B800,IF(Berekening_impact[Doelgroep]=C800,Berekening_impact[Digitale zorgtoepassing]),0))</f>
        <v>0</v>
      </c>
      <c r="P800" s="398" cm="1">
        <f t="array" ref="P800">J800*INDEX(Berekening_impact[Opbrengsten door QALY''s],MATCH(B800,IF(Berekening_impact[Doelgroep]=C800,Berekening_impact[Digitale zorgtoepassing]),0))</f>
        <v>0</v>
      </c>
      <c r="Q800" s="398" cm="1">
        <f t="array" ref="Q800">J800*INDEX(Berekening_impact[Jaarlijkse kosten (totaal) - incl. schatting],MATCH(B800,IF(Berekening_impact[Doelgroep]=C800,Berekening_impact[Digitale zorgtoepassing]),0))</f>
        <v>5089117.5577286379</v>
      </c>
      <c r="R800" s="398" cm="1">
        <f t="array" ref="R800">(uitkomst_doelgroep[[#This Row],[Implementatiegraad t = T + 1]]-uitkomst_doelgroep[[#This Row],[Implementatiegraad t = T]])*INDEX(Berekening_impact[Initiële investering (totaal) - incl. schatting],MATCH(B800,IF(Berekening_impact[Doelgroep]=C800,Berekening_impact[Digitale zorgtoepassing]),0))</f>
        <v>0</v>
      </c>
      <c r="S800" s="398">
        <f>uitkomst_doelgroep[[#This Row],[Arbeidsbesparing (€)]]*uitkomst_doelgroep[[#This Row],[Percentage van patiëntaantallen in Wlz (overige is Zvw)]]</f>
        <v>0</v>
      </c>
      <c r="T800" s="398">
        <f>uitkomst_doelgroep[[#This Row],[Overige besparingen (€)]]*uitkomst_doelgroep[[#This Row],[Percentage van patiëntaantallen in Wlz (overige is Zvw)]]</f>
        <v>0</v>
      </c>
      <c r="U800" s="398">
        <f>uitkomst_doelgroep[[#This Row],[Kosten (€)]]*uitkomst_doelgroep[[#This Row],[Percentage van patiëntaantallen in Wlz (overige is Zvw)]]</f>
        <v>0</v>
      </c>
      <c r="V800" s="398">
        <f>uitkomst_doelgroep[[#This Row],[Investering (cash flow) (€)]]*uitkomst_doelgroep[[#This Row],[Percentage van patiëntaantallen in Wlz (overige is Zvw)]]</f>
        <v>0</v>
      </c>
    </row>
    <row r="801" spans="1:22" x14ac:dyDescent="0.5">
      <c r="A801" s="33" t="str">
        <f>INDEX(Technologieën[Veld],MATCH(B801,Technologieën[Digitale zorgtoepassing],0))</f>
        <v>Software - Diagnose</v>
      </c>
      <c r="B801" s="33" t="s">
        <v>474</v>
      </c>
      <c r="C801" s="33" t="s">
        <v>111</v>
      </c>
      <c r="D801" s="427" cm="1">
        <f t="array" ref="D801">INDEX(Berekening_patiëntaantal[Percentage van patiëntaantallen in Wlz (overige is Zvw)],MATCH(B801,IF(Berekening_patiëntaantal[Doelgroep (zoeksleutel)]=C801,Berekening_patiëntaantal[Digitale zorgtoepassing]),0))</f>
        <v>0</v>
      </c>
      <c r="E801" s="33" t="str" cm="1">
        <f t="array" ref="E801">INDEX(Berekening_patiëntaantal[Direct toepasbaar/extrapolatie/incidentie voor QALY],MATCH(B801,IF(Berekening_patiëntaantal[Doelgroep (zoeksleutel)]=C801,Berekening_patiëntaantal[Digitale zorgtoepassing]),0))</f>
        <v>Huidige toepassing</v>
      </c>
      <c r="F801" s="33" t="s">
        <v>813</v>
      </c>
      <c r="G801" s="33" t="str">
        <f>CONCATENATE(uitkomst_doelgroep[[#This Row],[Digitale zorgtoepassing]],"_",uitkomst_doelgroep[[#This Row],[Doelgroep]],"_",uitkomst_doelgroep[[#This Row],[Uitgangssituatie/effect beleid]])</f>
        <v>AI om diagnoses te stellen (app)_Huisartsconsult_Goedaardige huidplek_Uitgangssituatie</v>
      </c>
      <c r="H801" s="33">
        <v>2027</v>
      </c>
      <c r="I801" s="32">
        <v>5</v>
      </c>
      <c r="J801" s="406" cm="1">
        <f t="array" ref="J801">INDEX(implementatie[[2023]:[2034]],MATCH(G801, implementatie[Zoeksleutel],0),I801)</f>
        <v>0.88286799634018676</v>
      </c>
      <c r="K801" s="406" cm="1">
        <f t="array" ref="K801">INDEX(implementatie[[2023]:[2034]],MATCH(G801,implementatie[Zoeksleutel],0),I801 + 1)</f>
        <v>0.93808800513920654</v>
      </c>
      <c r="L80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808178.70580916142</v>
      </c>
      <c r="M801" s="398" cm="1">
        <f t="array" ref="M801">J801*INDEX(Berekening_impact[Totaal arbeidsbesparing (€/jaar)],MATCH(B801,IF(Berekening_impact[Doelgroep]=C801,Berekening_impact[Digitale zorgtoepassing]),0))</f>
        <v>7103368.2947268784</v>
      </c>
      <c r="N801" s="397" cm="1">
        <f t="array" ref="N801">J801*INDEX(Berekening_impact[Totaal arbeidsbesparing (FTE/jaar)],MATCH(B801,IF(Berekening_impact[Doelgroep]=C801,Berekening_impact[Digitale zorgtoepassing]),0))</f>
        <v>52.453906386652307</v>
      </c>
      <c r="O801" s="398" cm="1">
        <f t="array" ref="O801">J801*INDEX(Berekening_impact[Overige kostenbesparing (totaal/jaar totaal potentieel)],MATCH(B801,IF(Berekening_impact[Doelgroep]=C801,Berekening_impact[Digitale zorgtoepassing]),0))</f>
        <v>0</v>
      </c>
      <c r="P801" s="398" cm="1">
        <f t="array" ref="P801">J801*INDEX(Berekening_impact[Opbrengsten door QALY''s],MATCH(B801,IF(Berekening_impact[Doelgroep]=C801,Berekening_impact[Digitale zorgtoepassing]),0))</f>
        <v>0</v>
      </c>
      <c r="Q801" s="398" cm="1">
        <f t="array" ref="Q801">J801*INDEX(Berekening_impact[Jaarlijkse kosten (totaal) - incl. schatting],MATCH(B801,IF(Berekening_impact[Doelgroep]=C801,Berekening_impact[Digitale zorgtoepassing]),0))</f>
        <v>5649169.1536060385</v>
      </c>
      <c r="R801" s="398" cm="1">
        <f t="array" ref="R801">(uitkomst_doelgroep[[#This Row],[Implementatiegraad t = T + 1]]-uitkomst_doelgroep[[#This Row],[Implementatiegraad t = T]])*INDEX(Berekening_impact[Initiële investering (totaal) - incl. schatting],MATCH(B801,IF(Berekening_impact[Doelgroep]=C801,Berekening_impact[Digitale zorgtoepassing]),0))</f>
        <v>0</v>
      </c>
      <c r="S801" s="398">
        <f>uitkomst_doelgroep[[#This Row],[Arbeidsbesparing (€)]]*uitkomst_doelgroep[[#This Row],[Percentage van patiëntaantallen in Wlz (overige is Zvw)]]</f>
        <v>0</v>
      </c>
      <c r="T801" s="398">
        <f>uitkomst_doelgroep[[#This Row],[Overige besparingen (€)]]*uitkomst_doelgroep[[#This Row],[Percentage van patiëntaantallen in Wlz (overige is Zvw)]]</f>
        <v>0</v>
      </c>
      <c r="U801" s="398">
        <f>uitkomst_doelgroep[[#This Row],[Kosten (€)]]*uitkomst_doelgroep[[#This Row],[Percentage van patiëntaantallen in Wlz (overige is Zvw)]]</f>
        <v>0</v>
      </c>
      <c r="V801" s="398">
        <f>uitkomst_doelgroep[[#This Row],[Investering (cash flow) (€)]]*uitkomst_doelgroep[[#This Row],[Percentage van patiëntaantallen in Wlz (overige is Zvw)]]</f>
        <v>0</v>
      </c>
    </row>
    <row r="802" spans="1:22" x14ac:dyDescent="0.5">
      <c r="A802" s="33" t="str">
        <f>INDEX(Technologieën[Veld],MATCH(B802,Technologieën[Digitale zorgtoepassing],0))</f>
        <v>Software - Diagnose</v>
      </c>
      <c r="B802" s="33" t="s">
        <v>474</v>
      </c>
      <c r="C802" s="33" t="s">
        <v>111</v>
      </c>
      <c r="D802" s="427" cm="1">
        <f t="array" ref="D802">INDEX(Berekening_patiëntaantal[Percentage van patiëntaantallen in Wlz (overige is Zvw)],MATCH(B802,IF(Berekening_patiëntaantal[Doelgroep (zoeksleutel)]=C802,Berekening_patiëntaantal[Digitale zorgtoepassing]),0))</f>
        <v>0</v>
      </c>
      <c r="E802" s="33" t="str" cm="1">
        <f t="array" ref="E802">INDEX(Berekening_patiëntaantal[Direct toepasbaar/extrapolatie/incidentie voor QALY],MATCH(B802,IF(Berekening_patiëntaantal[Doelgroep (zoeksleutel)]=C802,Berekening_patiëntaantal[Digitale zorgtoepassing]),0))</f>
        <v>Huidige toepassing</v>
      </c>
      <c r="F802" s="33" t="s">
        <v>813</v>
      </c>
      <c r="G802" s="33" t="str">
        <f>CONCATENATE(uitkomst_doelgroep[[#This Row],[Digitale zorgtoepassing]],"_",uitkomst_doelgroep[[#This Row],[Doelgroep]],"_",uitkomst_doelgroep[[#This Row],[Uitgangssituatie/effect beleid]])</f>
        <v>AI om diagnoses te stellen (app)_Huisartsconsult_Goedaardige huidplek_Uitgangssituatie</v>
      </c>
      <c r="H802" s="33">
        <v>2028</v>
      </c>
      <c r="I802" s="32">
        <v>6</v>
      </c>
      <c r="J802" s="406" cm="1">
        <f t="array" ref="J802">INDEX(implementatie[[2023]:[2034]],MATCH(G802, implementatie[Zoeksleutel],0),I802)</f>
        <v>0.93808800513920654</v>
      </c>
      <c r="K802" s="406" cm="1">
        <f t="array" ref="K802">INDEX(implementatie[[2023]:[2034]],MATCH(G802,implementatie[Zoeksleutel],0),I802 + 1)</f>
        <v>0.96898481486160559</v>
      </c>
      <c r="L80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858727.18579819752</v>
      </c>
      <c r="M802" s="398" cm="1">
        <f t="array" ref="M802">J802*INDEX(Berekening_impact[Totaal arbeidsbesparing (€/jaar)],MATCH(B802,IF(Berekening_impact[Doelgroep]=C802,Berekening_impact[Digitale zorgtoepassing]),0))</f>
        <v>7547656.7516236156</v>
      </c>
      <c r="N802" s="397" cm="1">
        <f t="array" ref="N802">J802*INDEX(Berekening_impact[Totaal arbeidsbesparing (FTE/jaar)],MATCH(B802,IF(Berekening_impact[Doelgroep]=C802,Berekening_impact[Digitale zorgtoepassing]),0))</f>
        <v>55.734697155171474</v>
      </c>
      <c r="O802" s="398" cm="1">
        <f t="array" ref="O802">J802*INDEX(Berekening_impact[Overige kostenbesparing (totaal/jaar totaal potentieel)],MATCH(B802,IF(Berekening_impact[Doelgroep]=C802,Berekening_impact[Digitale zorgtoepassing]),0))</f>
        <v>0</v>
      </c>
      <c r="P802" s="398" cm="1">
        <f t="array" ref="P802">J802*INDEX(Berekening_impact[Opbrengsten door QALY''s],MATCH(B802,IF(Berekening_impact[Doelgroep]=C802,Berekening_impact[Digitale zorgtoepassing]),0))</f>
        <v>0</v>
      </c>
      <c r="Q802" s="398" cm="1">
        <f t="array" ref="Q802">J802*INDEX(Berekening_impact[Jaarlijkse kosten (totaal) - incl. schatting],MATCH(B802,IF(Berekening_impact[Doelgroep]=C802,Berekening_impact[Digitale zorgtoepassing]),0))</f>
        <v>6002503.0287294006</v>
      </c>
      <c r="R802" s="398" cm="1">
        <f t="array" ref="R802">(uitkomst_doelgroep[[#This Row],[Implementatiegraad t = T + 1]]-uitkomst_doelgroep[[#This Row],[Implementatiegraad t = T]])*INDEX(Berekening_impact[Initiële investering (totaal) - incl. schatting],MATCH(B802,IF(Berekening_impact[Doelgroep]=C802,Berekening_impact[Digitale zorgtoepassing]),0))</f>
        <v>0</v>
      </c>
      <c r="S802" s="398">
        <f>uitkomst_doelgroep[[#This Row],[Arbeidsbesparing (€)]]*uitkomst_doelgroep[[#This Row],[Percentage van patiëntaantallen in Wlz (overige is Zvw)]]</f>
        <v>0</v>
      </c>
      <c r="T802" s="398">
        <f>uitkomst_doelgroep[[#This Row],[Overige besparingen (€)]]*uitkomst_doelgroep[[#This Row],[Percentage van patiëntaantallen in Wlz (overige is Zvw)]]</f>
        <v>0</v>
      </c>
      <c r="U802" s="398">
        <f>uitkomst_doelgroep[[#This Row],[Kosten (€)]]*uitkomst_doelgroep[[#This Row],[Percentage van patiëntaantallen in Wlz (overige is Zvw)]]</f>
        <v>0</v>
      </c>
      <c r="V802" s="398">
        <f>uitkomst_doelgroep[[#This Row],[Investering (cash flow) (€)]]*uitkomst_doelgroep[[#This Row],[Percentage van patiëntaantallen in Wlz (overige is Zvw)]]</f>
        <v>0</v>
      </c>
    </row>
    <row r="803" spans="1:22" x14ac:dyDescent="0.5">
      <c r="A803" s="33" t="str">
        <f>INDEX(Technologieën[Veld],MATCH(B803,Technologieën[Digitale zorgtoepassing],0))</f>
        <v>Software - Diagnose</v>
      </c>
      <c r="B803" s="33" t="s">
        <v>474</v>
      </c>
      <c r="C803" s="33" t="s">
        <v>111</v>
      </c>
      <c r="D803" s="427" cm="1">
        <f t="array" ref="D803">INDEX(Berekening_patiëntaantal[Percentage van patiëntaantallen in Wlz (overige is Zvw)],MATCH(B803,IF(Berekening_patiëntaantal[Doelgroep (zoeksleutel)]=C803,Berekening_patiëntaantal[Digitale zorgtoepassing]),0))</f>
        <v>0</v>
      </c>
      <c r="E803" s="33" t="str" cm="1">
        <f t="array" ref="E803">INDEX(Berekening_patiëntaantal[Direct toepasbaar/extrapolatie/incidentie voor QALY],MATCH(B803,IF(Berekening_patiëntaantal[Doelgroep (zoeksleutel)]=C803,Berekening_patiëntaantal[Digitale zorgtoepassing]),0))</f>
        <v>Huidige toepassing</v>
      </c>
      <c r="F803" s="33" t="s">
        <v>813</v>
      </c>
      <c r="G803" s="33" t="str">
        <f>CONCATENATE(uitkomst_doelgroep[[#This Row],[Digitale zorgtoepassing]],"_",uitkomst_doelgroep[[#This Row],[Doelgroep]],"_",uitkomst_doelgroep[[#This Row],[Uitgangssituatie/effect beleid]])</f>
        <v>AI om diagnoses te stellen (app)_Huisartsconsult_Goedaardige huidplek_Uitgangssituatie</v>
      </c>
      <c r="H803" s="33">
        <v>2029</v>
      </c>
      <c r="I803" s="32">
        <v>7</v>
      </c>
      <c r="J803" s="406" cm="1">
        <f t="array" ref="J803">INDEX(implementatie[[2023]:[2034]],MATCH(G803, implementatie[Zoeksleutel],0),I803)</f>
        <v>0.96898481486160559</v>
      </c>
      <c r="K803" s="406" cm="1">
        <f t="array" ref="K803">INDEX(implementatie[[2023]:[2034]],MATCH(G803,implementatie[Zoeksleutel],0),I803 + 1)</f>
        <v>0.9849418921303702</v>
      </c>
      <c r="L80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887010.17238123238</v>
      </c>
      <c r="M803" s="398" cm="1">
        <f t="array" ref="M803">J803*INDEX(Berekening_impact[Totaal arbeidsbesparing (€/jaar)],MATCH(B803,IF(Berekening_impact[Doelgroep]=C803,Berekening_impact[Digitale zorgtoepassing]),0))</f>
        <v>7796245.9172747536</v>
      </c>
      <c r="N803" s="397" cm="1">
        <f t="array" ref="N803">J803*INDEX(Berekening_impact[Totaal arbeidsbesparing (FTE/jaar)],MATCH(B803,IF(Berekening_impact[Doelgroep]=C803,Berekening_impact[Digitale zorgtoepassing]),0))</f>
        <v>57.570371765128066</v>
      </c>
      <c r="O803" s="398" cm="1">
        <f t="array" ref="O803">J803*INDEX(Berekening_impact[Overige kostenbesparing (totaal/jaar totaal potentieel)],MATCH(B803,IF(Berekening_impact[Doelgroep]=C803,Berekening_impact[Digitale zorgtoepassing]),0))</f>
        <v>0</v>
      </c>
      <c r="P803" s="398" cm="1">
        <f t="array" ref="P803">J803*INDEX(Berekening_impact[Opbrengsten door QALY''s],MATCH(B803,IF(Berekening_impact[Doelgroep]=C803,Berekening_impact[Digitale zorgtoepassing]),0))</f>
        <v>0</v>
      </c>
      <c r="Q803" s="398" cm="1">
        <f t="array" ref="Q803">J803*INDEX(Berekening_impact[Jaarlijkse kosten (totaal) - incl. schatting],MATCH(B803,IF(Berekening_impact[Doelgroep]=C803,Berekening_impact[Digitale zorgtoepassing]),0))</f>
        <v>6200201.104944814</v>
      </c>
      <c r="R803" s="398" cm="1">
        <f t="array" ref="R803">(uitkomst_doelgroep[[#This Row],[Implementatiegraad t = T + 1]]-uitkomst_doelgroep[[#This Row],[Implementatiegraad t = T]])*INDEX(Berekening_impact[Initiële investering (totaal) - incl. schatting],MATCH(B803,IF(Berekening_impact[Doelgroep]=C803,Berekening_impact[Digitale zorgtoepassing]),0))</f>
        <v>0</v>
      </c>
      <c r="S803" s="398">
        <f>uitkomst_doelgroep[[#This Row],[Arbeidsbesparing (€)]]*uitkomst_doelgroep[[#This Row],[Percentage van patiëntaantallen in Wlz (overige is Zvw)]]</f>
        <v>0</v>
      </c>
      <c r="T803" s="398">
        <f>uitkomst_doelgroep[[#This Row],[Overige besparingen (€)]]*uitkomst_doelgroep[[#This Row],[Percentage van patiëntaantallen in Wlz (overige is Zvw)]]</f>
        <v>0</v>
      </c>
      <c r="U803" s="398">
        <f>uitkomst_doelgroep[[#This Row],[Kosten (€)]]*uitkomst_doelgroep[[#This Row],[Percentage van patiëntaantallen in Wlz (overige is Zvw)]]</f>
        <v>0</v>
      </c>
      <c r="V803" s="398">
        <f>uitkomst_doelgroep[[#This Row],[Investering (cash flow) (€)]]*uitkomst_doelgroep[[#This Row],[Percentage van patiëntaantallen in Wlz (overige is Zvw)]]</f>
        <v>0</v>
      </c>
    </row>
    <row r="804" spans="1:22" x14ac:dyDescent="0.5">
      <c r="A804" s="33" t="str">
        <f>INDEX(Technologieën[Veld],MATCH(B804,Technologieën[Digitale zorgtoepassing],0))</f>
        <v>Software - Diagnose</v>
      </c>
      <c r="B804" s="33" t="s">
        <v>474</v>
      </c>
      <c r="C804" s="33" t="s">
        <v>111</v>
      </c>
      <c r="D804" s="427" cm="1">
        <f t="array" ref="D804">INDEX(Berekening_patiëntaantal[Percentage van patiëntaantallen in Wlz (overige is Zvw)],MATCH(B804,IF(Berekening_patiëntaantal[Doelgroep (zoeksleutel)]=C804,Berekening_patiëntaantal[Digitale zorgtoepassing]),0))</f>
        <v>0</v>
      </c>
      <c r="E804" s="33" t="str" cm="1">
        <f t="array" ref="E804">INDEX(Berekening_patiëntaantal[Direct toepasbaar/extrapolatie/incidentie voor QALY],MATCH(B804,IF(Berekening_patiëntaantal[Doelgroep (zoeksleutel)]=C804,Berekening_patiëntaantal[Digitale zorgtoepassing]),0))</f>
        <v>Huidige toepassing</v>
      </c>
      <c r="F804" s="33" t="s">
        <v>813</v>
      </c>
      <c r="G804" s="33" t="str">
        <f>CONCATENATE(uitkomst_doelgroep[[#This Row],[Digitale zorgtoepassing]],"_",uitkomst_doelgroep[[#This Row],[Doelgroep]],"_",uitkomst_doelgroep[[#This Row],[Uitgangssituatie/effect beleid]])</f>
        <v>AI om diagnoses te stellen (app)_Huisartsconsult_Goedaardige huidplek_Uitgangssituatie</v>
      </c>
      <c r="H804" s="33">
        <v>2030</v>
      </c>
      <c r="I804" s="32">
        <v>8</v>
      </c>
      <c r="J804" s="406" cm="1">
        <f t="array" ref="J804">INDEX(implementatie[[2023]:[2034]],MATCH(G804, implementatie[Zoeksleutel],0),I804)</f>
        <v>0.9849418921303702</v>
      </c>
      <c r="K804" s="406" cm="1">
        <f t="array" ref="K804">INDEX(implementatie[[2023]:[2034]],MATCH(G804,implementatie[Zoeksleutel],0),I804 + 1)</f>
        <v>0.99280931599496725</v>
      </c>
      <c r="L80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901617.30516781693</v>
      </c>
      <c r="M804" s="398" cm="1">
        <f t="array" ref="M804">J804*INDEX(Berekening_impact[Totaal arbeidsbesparing (€/jaar)],MATCH(B804,IF(Berekening_impact[Doelgroep]=C804,Berekening_impact[Digitale zorgtoepassing]),0))</f>
        <v>7924633.1702019442</v>
      </c>
      <c r="N804" s="397" cm="1">
        <f t="array" ref="N804">J804*INDEX(Berekening_impact[Totaal arbeidsbesparing (FTE/jaar)],MATCH(B804,IF(Berekening_impact[Doelgroep]=C804,Berekening_impact[Digitale zorgtoepassing]),0))</f>
        <v>58.518430864257354</v>
      </c>
      <c r="O804" s="398" cm="1">
        <f t="array" ref="O804">J804*INDEX(Berekening_impact[Overige kostenbesparing (totaal/jaar totaal potentieel)],MATCH(B804,IF(Berekening_impact[Doelgroep]=C804,Berekening_impact[Digitale zorgtoepassing]),0))</f>
        <v>0</v>
      </c>
      <c r="P804" s="398" cm="1">
        <f t="array" ref="P804">J804*INDEX(Berekening_impact[Opbrengsten door QALY''s],MATCH(B804,IF(Berekening_impact[Doelgroep]=C804,Berekening_impact[Digitale zorgtoepassing]),0))</f>
        <v>0</v>
      </c>
      <c r="Q804" s="398" cm="1">
        <f t="array" ref="Q804">J804*INDEX(Berekening_impact[Jaarlijkse kosten (totaal) - incl. schatting],MATCH(B804,IF(Berekening_impact[Doelgroep]=C804,Berekening_impact[Digitale zorgtoepassing]),0))</f>
        <v>6302304.9631230403</v>
      </c>
      <c r="R804" s="398" cm="1">
        <f t="array" ref="R804">(uitkomst_doelgroep[[#This Row],[Implementatiegraad t = T + 1]]-uitkomst_doelgroep[[#This Row],[Implementatiegraad t = T]])*INDEX(Berekening_impact[Initiële investering (totaal) - incl. schatting],MATCH(B804,IF(Berekening_impact[Doelgroep]=C804,Berekening_impact[Digitale zorgtoepassing]),0))</f>
        <v>0</v>
      </c>
      <c r="S804" s="398">
        <f>uitkomst_doelgroep[[#This Row],[Arbeidsbesparing (€)]]*uitkomst_doelgroep[[#This Row],[Percentage van patiëntaantallen in Wlz (overige is Zvw)]]</f>
        <v>0</v>
      </c>
      <c r="T804" s="398">
        <f>uitkomst_doelgroep[[#This Row],[Overige besparingen (€)]]*uitkomst_doelgroep[[#This Row],[Percentage van patiëntaantallen in Wlz (overige is Zvw)]]</f>
        <v>0</v>
      </c>
      <c r="U804" s="398">
        <f>uitkomst_doelgroep[[#This Row],[Kosten (€)]]*uitkomst_doelgroep[[#This Row],[Percentage van patiëntaantallen in Wlz (overige is Zvw)]]</f>
        <v>0</v>
      </c>
      <c r="V804" s="398">
        <f>uitkomst_doelgroep[[#This Row],[Investering (cash flow) (€)]]*uitkomst_doelgroep[[#This Row],[Percentage van patiëntaantallen in Wlz (overige is Zvw)]]</f>
        <v>0</v>
      </c>
    </row>
    <row r="805" spans="1:22" x14ac:dyDescent="0.5">
      <c r="A805" s="33" t="str">
        <f>INDEX(Technologieën[Veld],MATCH(B805,Technologieën[Digitale zorgtoepassing],0))</f>
        <v>Software - Diagnose</v>
      </c>
      <c r="B805" s="33" t="s">
        <v>474</v>
      </c>
      <c r="C805" s="33" t="s">
        <v>111</v>
      </c>
      <c r="D805" s="427" cm="1">
        <f t="array" ref="D805">INDEX(Berekening_patiëntaantal[Percentage van patiëntaantallen in Wlz (overige is Zvw)],MATCH(B805,IF(Berekening_patiëntaantal[Doelgroep (zoeksleutel)]=C805,Berekening_patiëntaantal[Digitale zorgtoepassing]),0))</f>
        <v>0</v>
      </c>
      <c r="E805" s="33" t="str" cm="1">
        <f t="array" ref="E805">INDEX(Berekening_patiëntaantal[Direct toepasbaar/extrapolatie/incidentie voor QALY],MATCH(B805,IF(Berekening_patiëntaantal[Doelgroep (zoeksleutel)]=C805,Berekening_patiëntaantal[Digitale zorgtoepassing]),0))</f>
        <v>Huidige toepassing</v>
      </c>
      <c r="F805" s="33" t="s">
        <v>813</v>
      </c>
      <c r="G805" s="33" t="str">
        <f>CONCATENATE(uitkomst_doelgroep[[#This Row],[Digitale zorgtoepassing]],"_",uitkomst_doelgroep[[#This Row],[Doelgroep]],"_",uitkomst_doelgroep[[#This Row],[Uitgangssituatie/effect beleid]])</f>
        <v>AI om diagnoses te stellen (app)_Huisartsconsult_Goedaardige huidplek_Uitgangssituatie</v>
      </c>
      <c r="H805" s="33">
        <v>2031</v>
      </c>
      <c r="I805" s="32">
        <v>9</v>
      </c>
      <c r="J805" s="406" cm="1">
        <f t="array" ref="J805">INDEX(implementatie[[2023]:[2034]],MATCH(G805, implementatie[Zoeksleutel],0),I805)</f>
        <v>0.99280931599496725</v>
      </c>
      <c r="K805" s="406" cm="1">
        <f t="array" ref="K805">INDEX(implementatie[[2023]:[2034]],MATCH(G805,implementatie[Zoeksleutel],0),I805 + 1)</f>
        <v>0.99659452554940442</v>
      </c>
      <c r="L80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908819.15693195339</v>
      </c>
      <c r="M805" s="398" cm="1">
        <f t="array" ref="M805">J805*INDEX(Berekening_impact[Totaal arbeidsbesparing (€/jaar)],MATCH(B805,IF(Berekening_impact[Doelgroep]=C805,Berekening_impact[Digitale zorgtoepassing]),0))</f>
        <v>7987932.7908390276</v>
      </c>
      <c r="N805" s="397" cm="1">
        <f t="array" ref="N805">J805*INDEX(Berekening_impact[Totaal arbeidsbesparing (FTE/jaar)],MATCH(B805,IF(Berekening_impact[Doelgroep]=C805,Berekening_impact[Digitale zorgtoepassing]),0))</f>
        <v>58.985858743179669</v>
      </c>
      <c r="O805" s="398" cm="1">
        <f t="array" ref="O805">J805*INDEX(Berekening_impact[Overige kostenbesparing (totaal/jaar totaal potentieel)],MATCH(B805,IF(Berekening_impact[Doelgroep]=C805,Berekening_impact[Digitale zorgtoepassing]),0))</f>
        <v>0</v>
      </c>
      <c r="P805" s="398" cm="1">
        <f t="array" ref="P805">J805*INDEX(Berekening_impact[Opbrengsten door QALY''s],MATCH(B805,IF(Berekening_impact[Doelgroep]=C805,Berekening_impact[Digitale zorgtoepassing]),0))</f>
        <v>0</v>
      </c>
      <c r="Q805" s="398" cm="1">
        <f t="array" ref="Q805">J805*INDEX(Berekening_impact[Jaarlijkse kosten (totaal) - incl. schatting],MATCH(B805,IF(Berekening_impact[Doelgroep]=C805,Berekening_impact[Digitale zorgtoepassing]),0))</f>
        <v>6352645.9069543537</v>
      </c>
      <c r="R805" s="398" cm="1">
        <f t="array" ref="R805">(uitkomst_doelgroep[[#This Row],[Implementatiegraad t = T + 1]]-uitkomst_doelgroep[[#This Row],[Implementatiegraad t = T]])*INDEX(Berekening_impact[Initiële investering (totaal) - incl. schatting],MATCH(B805,IF(Berekening_impact[Doelgroep]=C805,Berekening_impact[Digitale zorgtoepassing]),0))</f>
        <v>0</v>
      </c>
      <c r="S805" s="398">
        <f>uitkomst_doelgroep[[#This Row],[Arbeidsbesparing (€)]]*uitkomst_doelgroep[[#This Row],[Percentage van patiëntaantallen in Wlz (overige is Zvw)]]</f>
        <v>0</v>
      </c>
      <c r="T805" s="398">
        <f>uitkomst_doelgroep[[#This Row],[Overige besparingen (€)]]*uitkomst_doelgroep[[#This Row],[Percentage van patiëntaantallen in Wlz (overige is Zvw)]]</f>
        <v>0</v>
      </c>
      <c r="U805" s="398">
        <f>uitkomst_doelgroep[[#This Row],[Kosten (€)]]*uitkomst_doelgroep[[#This Row],[Percentage van patiëntaantallen in Wlz (overige is Zvw)]]</f>
        <v>0</v>
      </c>
      <c r="V805" s="398">
        <f>uitkomst_doelgroep[[#This Row],[Investering (cash flow) (€)]]*uitkomst_doelgroep[[#This Row],[Percentage van patiëntaantallen in Wlz (overige is Zvw)]]</f>
        <v>0</v>
      </c>
    </row>
    <row r="806" spans="1:22" x14ac:dyDescent="0.5">
      <c r="A806" s="33" t="str">
        <f>INDEX(Technologieën[Veld],MATCH(B806,Technologieën[Digitale zorgtoepassing],0))</f>
        <v>Software - Diagnose</v>
      </c>
      <c r="B806" s="33" t="s">
        <v>474</v>
      </c>
      <c r="C806" s="33" t="s">
        <v>111</v>
      </c>
      <c r="D806" s="427" cm="1">
        <f t="array" ref="D806">INDEX(Berekening_patiëntaantal[Percentage van patiëntaantallen in Wlz (overige is Zvw)],MATCH(B806,IF(Berekening_patiëntaantal[Doelgroep (zoeksleutel)]=C806,Berekening_patiëntaantal[Digitale zorgtoepassing]),0))</f>
        <v>0</v>
      </c>
      <c r="E806" s="33" t="str" cm="1">
        <f t="array" ref="E806">INDEX(Berekening_patiëntaantal[Direct toepasbaar/extrapolatie/incidentie voor QALY],MATCH(B806,IF(Berekening_patiëntaantal[Doelgroep (zoeksleutel)]=C806,Berekening_patiëntaantal[Digitale zorgtoepassing]),0))</f>
        <v>Huidige toepassing</v>
      </c>
      <c r="F806" s="33" t="s">
        <v>813</v>
      </c>
      <c r="G806" s="33" t="str">
        <f>CONCATENATE(uitkomst_doelgroep[[#This Row],[Digitale zorgtoepassing]],"_",uitkomst_doelgroep[[#This Row],[Doelgroep]],"_",uitkomst_doelgroep[[#This Row],[Uitgangssituatie/effect beleid]])</f>
        <v>AI om diagnoses te stellen (app)_Huisartsconsult_Goedaardige huidplek_Uitgangssituatie</v>
      </c>
      <c r="H806" s="33">
        <v>2032</v>
      </c>
      <c r="I806" s="32">
        <v>10</v>
      </c>
      <c r="J806" s="406" cm="1">
        <f t="array" ref="J806">INDEX(implementatie[[2023]:[2034]],MATCH(G806, implementatie[Zoeksleutel],0),I806)</f>
        <v>0.99659452554940442</v>
      </c>
      <c r="K806" s="406" cm="1">
        <f t="array" ref="K806">INDEX(implementatie[[2023]:[2034]],MATCH(G806,implementatie[Zoeksleutel],0),I806 + 1)</f>
        <v>0.99839362838010326</v>
      </c>
      <c r="L80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912284.1435116037</v>
      </c>
      <c r="M806" s="398" cm="1">
        <f t="array" ref="M806">J806*INDEX(Berekening_impact[Totaal arbeidsbesparing (€/jaar)],MATCH(B806,IF(Berekening_impact[Doelgroep]=C806,Berekening_impact[Digitale zorgtoepassing]),0))</f>
        <v>8018387.7825811068</v>
      </c>
      <c r="N806" s="397" cm="1">
        <f t="array" ref="N806">J806*INDEX(Berekening_impact[Totaal arbeidsbesparing (FTE/jaar)],MATCH(B806,IF(Berekening_impact[Doelgroep]=C806,Berekening_impact[Digitale zorgtoepassing]),0))</f>
        <v>59.210749699070433</v>
      </c>
      <c r="O806" s="398" cm="1">
        <f t="array" ref="O806">J806*INDEX(Berekening_impact[Overige kostenbesparing (totaal/jaar totaal potentieel)],MATCH(B806,IF(Berekening_impact[Doelgroep]=C806,Berekening_impact[Digitale zorgtoepassing]),0))</f>
        <v>0</v>
      </c>
      <c r="P806" s="398" cm="1">
        <f t="array" ref="P806">J806*INDEX(Berekening_impact[Opbrengsten door QALY''s],MATCH(B806,IF(Berekening_impact[Doelgroep]=C806,Berekening_impact[Digitale zorgtoepassing]),0))</f>
        <v>0</v>
      </c>
      <c r="Q806" s="398" cm="1">
        <f t="array" ref="Q806">J806*INDEX(Berekening_impact[Jaarlijkse kosten (totaal) - incl. schatting],MATCH(B806,IF(Berekening_impact[Doelgroep]=C806,Berekening_impact[Digitale zorgtoepassing]),0))</f>
        <v>6376866.1631461103</v>
      </c>
      <c r="R806" s="398" cm="1">
        <f t="array" ref="R806">(uitkomst_doelgroep[[#This Row],[Implementatiegraad t = T + 1]]-uitkomst_doelgroep[[#This Row],[Implementatiegraad t = T]])*INDEX(Berekening_impact[Initiële investering (totaal) - incl. schatting],MATCH(B806,IF(Berekening_impact[Doelgroep]=C806,Berekening_impact[Digitale zorgtoepassing]),0))</f>
        <v>0</v>
      </c>
      <c r="S806" s="398">
        <f>uitkomst_doelgroep[[#This Row],[Arbeidsbesparing (€)]]*uitkomst_doelgroep[[#This Row],[Percentage van patiëntaantallen in Wlz (overige is Zvw)]]</f>
        <v>0</v>
      </c>
      <c r="T806" s="398">
        <f>uitkomst_doelgroep[[#This Row],[Overige besparingen (€)]]*uitkomst_doelgroep[[#This Row],[Percentage van patiëntaantallen in Wlz (overige is Zvw)]]</f>
        <v>0</v>
      </c>
      <c r="U806" s="398">
        <f>uitkomst_doelgroep[[#This Row],[Kosten (€)]]*uitkomst_doelgroep[[#This Row],[Percentage van patiëntaantallen in Wlz (overige is Zvw)]]</f>
        <v>0</v>
      </c>
      <c r="V806" s="398">
        <f>uitkomst_doelgroep[[#This Row],[Investering (cash flow) (€)]]*uitkomst_doelgroep[[#This Row],[Percentage van patiëntaantallen in Wlz (overige is Zvw)]]</f>
        <v>0</v>
      </c>
    </row>
    <row r="807" spans="1:22" x14ac:dyDescent="0.5">
      <c r="A807" s="33" t="str">
        <f>INDEX(Technologieën[Veld],MATCH(B807,Technologieën[Digitale zorgtoepassing],0))</f>
        <v>Software - Diagnose</v>
      </c>
      <c r="B807" s="33" t="s">
        <v>474</v>
      </c>
      <c r="C807" s="33" t="s">
        <v>111</v>
      </c>
      <c r="D807" s="427" cm="1">
        <f t="array" ref="D807">INDEX(Berekening_patiëntaantal[Percentage van patiëntaantallen in Wlz (overige is Zvw)],MATCH(B807,IF(Berekening_patiëntaantal[Doelgroep (zoeksleutel)]=C807,Berekening_patiëntaantal[Digitale zorgtoepassing]),0))</f>
        <v>0</v>
      </c>
      <c r="E807" s="33" t="str" cm="1">
        <f t="array" ref="E807">INDEX(Berekening_patiëntaantal[Direct toepasbaar/extrapolatie/incidentie voor QALY],MATCH(B807,IF(Berekening_patiëntaantal[Doelgroep (zoeksleutel)]=C807,Berekening_patiëntaantal[Digitale zorgtoepassing]),0))</f>
        <v>Huidige toepassing</v>
      </c>
      <c r="F807" s="33" t="s">
        <v>813</v>
      </c>
      <c r="G807" s="33" t="str">
        <f>CONCATENATE(uitkomst_doelgroep[[#This Row],[Digitale zorgtoepassing]],"_",uitkomst_doelgroep[[#This Row],[Doelgroep]],"_",uitkomst_doelgroep[[#This Row],[Uitgangssituatie/effect beleid]])</f>
        <v>AI om diagnoses te stellen (app)_Huisartsconsult_Goedaardige huidplek_Uitgangssituatie</v>
      </c>
      <c r="H807" s="33">
        <v>2033</v>
      </c>
      <c r="I807" s="32">
        <v>11</v>
      </c>
      <c r="J807" s="406" cm="1">
        <f t="array" ref="J807">INDEX(implementatie[[2023]:[2034]],MATCH(G807, implementatie[Zoeksleutel],0),I807)</f>
        <v>0.99839362838010326</v>
      </c>
      <c r="K807" s="406" cm="1">
        <f t="array" ref="K807">INDEX(implementatie[[2023]:[2034]],MATCH(G807,implementatie[Zoeksleutel],0),I807 + 1)</f>
        <v>0.99924371512375787</v>
      </c>
      <c r="L80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913931.04497746169</v>
      </c>
      <c r="M807" s="398" cm="1">
        <f t="array" ref="M807">J807*INDEX(Berekening_impact[Totaal arbeidsbesparing (€/jaar)],MATCH(B807,IF(Berekening_impact[Doelgroep]=C807,Berekening_impact[Digitale zorgtoepassing]),0))</f>
        <v>8032862.9816590166</v>
      </c>
      <c r="N807" s="397" cm="1">
        <f t="array" ref="N807">J807*INDEX(Berekening_impact[Totaal arbeidsbesparing (FTE/jaar)],MATCH(B807,IF(Berekening_impact[Doelgroep]=C807,Berekening_impact[Digitale zorgtoepassing]),0))</f>
        <v>59.317639938441026</v>
      </c>
      <c r="O807" s="398" cm="1">
        <f t="array" ref="O807">J807*INDEX(Berekening_impact[Overige kostenbesparing (totaal/jaar totaal potentieel)],MATCH(B807,IF(Berekening_impact[Doelgroep]=C807,Berekening_impact[Digitale zorgtoepassing]),0))</f>
        <v>0</v>
      </c>
      <c r="P807" s="398" cm="1">
        <f t="array" ref="P807">J807*INDEX(Berekening_impact[Opbrengsten door QALY''s],MATCH(B807,IF(Berekening_impact[Doelgroep]=C807,Berekening_impact[Digitale zorgtoepassing]),0))</f>
        <v>0</v>
      </c>
      <c r="Q807" s="398" cm="1">
        <f t="array" ref="Q807">J807*INDEX(Berekening_impact[Jaarlijkse kosten (totaal) - incl. schatting],MATCH(B807,IF(Berekening_impact[Doelgroep]=C807,Berekening_impact[Digitale zorgtoepassing]),0))</f>
        <v>6388378.0043924572</v>
      </c>
      <c r="R807" s="398" cm="1">
        <f t="array" ref="R807">(uitkomst_doelgroep[[#This Row],[Implementatiegraad t = T + 1]]-uitkomst_doelgroep[[#This Row],[Implementatiegraad t = T]])*INDEX(Berekening_impact[Initiële investering (totaal) - incl. schatting],MATCH(B807,IF(Berekening_impact[Doelgroep]=C807,Berekening_impact[Digitale zorgtoepassing]),0))</f>
        <v>0</v>
      </c>
      <c r="S807" s="398">
        <f>uitkomst_doelgroep[[#This Row],[Arbeidsbesparing (€)]]*uitkomst_doelgroep[[#This Row],[Percentage van patiëntaantallen in Wlz (overige is Zvw)]]</f>
        <v>0</v>
      </c>
      <c r="T807" s="398">
        <f>uitkomst_doelgroep[[#This Row],[Overige besparingen (€)]]*uitkomst_doelgroep[[#This Row],[Percentage van patiëntaantallen in Wlz (overige is Zvw)]]</f>
        <v>0</v>
      </c>
      <c r="U807" s="398">
        <f>uitkomst_doelgroep[[#This Row],[Kosten (€)]]*uitkomst_doelgroep[[#This Row],[Percentage van patiëntaantallen in Wlz (overige is Zvw)]]</f>
        <v>0</v>
      </c>
      <c r="V807" s="398">
        <f>uitkomst_doelgroep[[#This Row],[Investering (cash flow) (€)]]*uitkomst_doelgroep[[#This Row],[Percentage van patiëntaantallen in Wlz (overige is Zvw)]]</f>
        <v>0</v>
      </c>
    </row>
    <row r="808" spans="1:22" x14ac:dyDescent="0.5">
      <c r="A808" s="33" t="str">
        <f>INDEX(Technologieën[Veld],MATCH(B808,Technologieën[Digitale zorgtoepassing],0))</f>
        <v>Software - Diagnose</v>
      </c>
      <c r="B808" s="33" t="s">
        <v>473</v>
      </c>
      <c r="C808" s="33" t="s">
        <v>464</v>
      </c>
      <c r="D808" s="427" cm="1">
        <f t="array" ref="D808">INDEX(Berekening_patiëntaantal[Percentage van patiëntaantallen in Wlz (overige is Zvw)],MATCH(B808,IF(Berekening_patiëntaantal[Doelgroep (zoeksleutel)]=C808,Berekening_patiëntaantal[Digitale zorgtoepassing]),0))</f>
        <v>0</v>
      </c>
      <c r="E808" s="33" t="str" cm="1">
        <f t="array" ref="E808">INDEX(Berekening_patiëntaantal[Direct toepasbaar/extrapolatie/incidentie voor QALY],MATCH(B808,IF(Berekening_patiëntaantal[Doelgroep (zoeksleutel)]=C808,Berekening_patiëntaantal[Digitale zorgtoepassing]),0))</f>
        <v>Extrapolatie</v>
      </c>
      <c r="F808" s="33" t="s">
        <v>813</v>
      </c>
      <c r="G808" s="33" t="str">
        <f>CONCATENATE(uitkomst_doelgroep[[#This Row],[Digitale zorgtoepassing]],"_",uitkomst_doelgroep[[#This Row],[Doelgroep]],"_",uitkomst_doelgroep[[#This Row],[Uitgangssituatie/effect beleid]])</f>
        <v>AI om diagnoses te stellen (CT)_CT scan_Overig_Uitgangssituatie</v>
      </c>
      <c r="H808" s="33">
        <v>2023</v>
      </c>
      <c r="I808" s="32">
        <v>1</v>
      </c>
      <c r="J808" s="406" cm="1">
        <f t="array" ref="J808">INDEX(implementatie[[2023]:[2034]],MATCH(G808, implementatie[Zoeksleutel],0),I808)</f>
        <v>0</v>
      </c>
      <c r="K808" s="406" cm="1">
        <f t="array" ref="K808">INDEX(implementatie[[2023]:[2034]],MATCH(G808,implementatie[Zoeksleutel],0),I808 + 1)</f>
        <v>0</v>
      </c>
      <c r="L80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808" s="398" cm="1">
        <f t="array" ref="M808">J808*INDEX(Berekening_impact[Totaal arbeidsbesparing (€/jaar)],MATCH(B808,IF(Berekening_impact[Doelgroep]=C808,Berekening_impact[Digitale zorgtoepassing]),0))</f>
        <v>0</v>
      </c>
      <c r="N808" s="397" cm="1">
        <f t="array" ref="N808">J808*INDEX(Berekening_impact[Totaal arbeidsbesparing (FTE/jaar)],MATCH(B808,IF(Berekening_impact[Doelgroep]=C808,Berekening_impact[Digitale zorgtoepassing]),0))</f>
        <v>0</v>
      </c>
      <c r="O808" s="398" cm="1">
        <f t="array" ref="O808">J808*INDEX(Berekening_impact[Overige kostenbesparing (totaal/jaar totaal potentieel)],MATCH(B808,IF(Berekening_impact[Doelgroep]=C808,Berekening_impact[Digitale zorgtoepassing]),0))</f>
        <v>0</v>
      </c>
      <c r="P808" s="398" cm="1">
        <f t="array" ref="P808">J808*INDEX(Berekening_impact[Opbrengsten door QALY''s],MATCH(B808,IF(Berekening_impact[Doelgroep]=C808,Berekening_impact[Digitale zorgtoepassing]),0))</f>
        <v>0</v>
      </c>
      <c r="Q808" s="398" cm="1">
        <f t="array" ref="Q808">J808*INDEX(Berekening_impact[Jaarlijkse kosten (totaal) - incl. schatting],MATCH(B808,IF(Berekening_impact[Doelgroep]=C808,Berekening_impact[Digitale zorgtoepassing]),0))</f>
        <v>0</v>
      </c>
      <c r="R808" s="398" cm="1">
        <f t="array" ref="R808">(uitkomst_doelgroep[[#This Row],[Implementatiegraad t = T + 1]]-uitkomst_doelgroep[[#This Row],[Implementatiegraad t = T]])*INDEX(Berekening_impact[Initiële investering (totaal) - incl. schatting],MATCH(B808,IF(Berekening_impact[Doelgroep]=C808,Berekening_impact[Digitale zorgtoepassing]),0))</f>
        <v>0</v>
      </c>
      <c r="S808" s="398">
        <f>uitkomst_doelgroep[[#This Row],[Arbeidsbesparing (€)]]*uitkomst_doelgroep[[#This Row],[Percentage van patiëntaantallen in Wlz (overige is Zvw)]]</f>
        <v>0</v>
      </c>
      <c r="T808" s="398">
        <f>uitkomst_doelgroep[[#This Row],[Overige besparingen (€)]]*uitkomst_doelgroep[[#This Row],[Percentage van patiëntaantallen in Wlz (overige is Zvw)]]</f>
        <v>0</v>
      </c>
      <c r="U808" s="398">
        <f>uitkomst_doelgroep[[#This Row],[Kosten (€)]]*uitkomst_doelgroep[[#This Row],[Percentage van patiëntaantallen in Wlz (overige is Zvw)]]</f>
        <v>0</v>
      </c>
      <c r="V808" s="398">
        <f>uitkomst_doelgroep[[#This Row],[Investering (cash flow) (€)]]*uitkomst_doelgroep[[#This Row],[Percentage van patiëntaantallen in Wlz (overige is Zvw)]]</f>
        <v>0</v>
      </c>
    </row>
    <row r="809" spans="1:22" x14ac:dyDescent="0.5">
      <c r="A809" s="33" t="str">
        <f>INDEX(Technologieën[Veld],MATCH(B809,Technologieën[Digitale zorgtoepassing],0))</f>
        <v>Software - Diagnose</v>
      </c>
      <c r="B809" s="33" t="s">
        <v>473</v>
      </c>
      <c r="C809" s="33" t="s">
        <v>455</v>
      </c>
      <c r="D809" s="427" cm="1">
        <f t="array" ref="D809">INDEX(Berekening_patiëntaantal[Percentage van patiëntaantallen in Wlz (overige is Zvw)],MATCH(B809,IF(Berekening_patiëntaantal[Doelgroep (zoeksleutel)]=C809,Berekening_patiëntaantal[Digitale zorgtoepassing]),0))</f>
        <v>0</v>
      </c>
      <c r="E809" s="33" t="str" cm="1">
        <f t="array" ref="E809">INDEX(Berekening_patiëntaantal[Direct toepasbaar/extrapolatie/incidentie voor QALY],MATCH(B809,IF(Berekening_patiëntaantal[Doelgroep (zoeksleutel)]=C809,Berekening_patiëntaantal[Digitale zorgtoepassing]),0))</f>
        <v>Huidige toepassing</v>
      </c>
      <c r="F809" s="33" t="s">
        <v>813</v>
      </c>
      <c r="G809" s="33" t="str">
        <f>CONCATENATE(uitkomst_doelgroep[[#This Row],[Digitale zorgtoepassing]],"_",uitkomst_doelgroep[[#This Row],[Doelgroep]],"_",uitkomst_doelgroep[[#This Row],[Uitgangssituatie/effect beleid]])</f>
        <v>AI om diagnoses te stellen (CT)_CT scan_Interstitiële longaandoening_Uitgangssituatie</v>
      </c>
      <c r="H809" s="33">
        <v>2023</v>
      </c>
      <c r="I809" s="32">
        <v>1</v>
      </c>
      <c r="J809" s="406" cm="1">
        <f t="array" ref="J809">INDEX(implementatie[[2023]:[2034]],MATCH(G809, implementatie[Zoeksleutel],0),I809)</f>
        <v>0.4</v>
      </c>
      <c r="K809" s="406" cm="1">
        <f t="array" ref="K809">INDEX(implementatie[[2023]:[2034]],MATCH(G809,implementatie[Zoeksleutel],0),I809 + 1)</f>
        <v>0.53800000000000003</v>
      </c>
      <c r="L80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4321.6000000000004</v>
      </c>
      <c r="M809" s="398" cm="1">
        <f t="array" ref="M809">J809*INDEX(Berekening_impact[Totaal arbeidsbesparing (€/jaar)],MATCH(B809,IF(Berekening_impact[Doelgroep]=C809,Berekening_impact[Digitale zorgtoepassing]),0))</f>
        <v>9853.7633632183934</v>
      </c>
      <c r="N809" s="397" cm="1">
        <f t="array" ref="N809">J809*INDEX(Berekening_impact[Totaal arbeidsbesparing (FTE/jaar)],MATCH(B809,IF(Berekening_impact[Doelgroep]=C809,Berekening_impact[Digitale zorgtoepassing]),0))</f>
        <v>5.1942307692307704E-2</v>
      </c>
      <c r="O809" s="398" cm="1">
        <f t="array" ref="O809">J809*INDEX(Berekening_impact[Overige kostenbesparing (totaal/jaar totaal potentieel)],MATCH(B809,IF(Berekening_impact[Doelgroep]=C809,Berekening_impact[Digitale zorgtoepassing]),0))</f>
        <v>0</v>
      </c>
      <c r="P809" s="398" cm="1">
        <f t="array" ref="P809">J809*INDEX(Berekening_impact[Opbrengsten door QALY''s],MATCH(B809,IF(Berekening_impact[Doelgroep]=C809,Berekening_impact[Digitale zorgtoepassing]),0))</f>
        <v>0</v>
      </c>
      <c r="Q809" s="398" cm="1">
        <f t="array" ref="Q809">J809*INDEX(Berekening_impact[Jaarlijkse kosten (totaal) - incl. schatting],MATCH(B809,IF(Berekening_impact[Doelgroep]=C809,Berekening_impact[Digitale zorgtoepassing]),0))</f>
        <v>392343.27066666668</v>
      </c>
      <c r="R809" s="398" cm="1">
        <f t="array" ref="R809">(uitkomst_doelgroep[[#This Row],[Implementatiegraad t = T + 1]]-uitkomst_doelgroep[[#This Row],[Implementatiegraad t = T]])*INDEX(Berekening_impact[Initiële investering (totaal) - incl. schatting],MATCH(B809,IF(Berekening_impact[Doelgroep]=C809,Berekening_impact[Digitale zorgtoepassing]),0))</f>
        <v>0</v>
      </c>
      <c r="S809" s="398">
        <f>uitkomst_doelgroep[[#This Row],[Arbeidsbesparing (€)]]*uitkomst_doelgroep[[#This Row],[Percentage van patiëntaantallen in Wlz (overige is Zvw)]]</f>
        <v>0</v>
      </c>
      <c r="T809" s="398">
        <f>uitkomst_doelgroep[[#This Row],[Overige besparingen (€)]]*uitkomst_doelgroep[[#This Row],[Percentage van patiëntaantallen in Wlz (overige is Zvw)]]</f>
        <v>0</v>
      </c>
      <c r="U809" s="398">
        <f>uitkomst_doelgroep[[#This Row],[Kosten (€)]]*uitkomst_doelgroep[[#This Row],[Percentage van patiëntaantallen in Wlz (overige is Zvw)]]</f>
        <v>0</v>
      </c>
      <c r="V809" s="398">
        <f>uitkomst_doelgroep[[#This Row],[Investering (cash flow) (€)]]*uitkomst_doelgroep[[#This Row],[Percentage van patiëntaantallen in Wlz (overige is Zvw)]]</f>
        <v>0</v>
      </c>
    </row>
    <row r="810" spans="1:22" x14ac:dyDescent="0.5">
      <c r="A810" s="33" t="str">
        <f>INDEX(Technologieën[Veld],MATCH(B810,Technologieën[Digitale zorgtoepassing],0))</f>
        <v>Software - Diagnose</v>
      </c>
      <c r="B810" s="33" t="s">
        <v>473</v>
      </c>
      <c r="C810" s="33" t="s">
        <v>451</v>
      </c>
      <c r="D810" s="427" cm="1">
        <f t="array" ref="D810">INDEX(Berekening_patiëntaantal[Percentage van patiëntaantallen in Wlz (overige is Zvw)],MATCH(B810,IF(Berekening_patiëntaantal[Doelgroep (zoeksleutel)]=C810,Berekening_patiëntaantal[Digitale zorgtoepassing]),0))</f>
        <v>0</v>
      </c>
      <c r="E810" s="33" t="str" cm="1">
        <f t="array" ref="E810">INDEX(Berekening_patiëntaantal[Direct toepasbaar/extrapolatie/incidentie voor QALY],MATCH(B810,IF(Berekening_patiëntaantal[Doelgroep (zoeksleutel)]=C810,Berekening_patiëntaantal[Digitale zorgtoepassing]),0))</f>
        <v>Huidige toepassing</v>
      </c>
      <c r="F810" s="33" t="s">
        <v>813</v>
      </c>
      <c r="G810" s="33" t="str">
        <f>CONCATENATE(uitkomst_doelgroep[[#This Row],[Digitale zorgtoepassing]],"_",uitkomst_doelgroep[[#This Row],[Doelgroep]],"_",uitkomst_doelgroep[[#This Row],[Uitgangssituatie/effect beleid]])</f>
        <v>AI om diagnoses te stellen (CT)_CT scan_Longkanker_Uitgangssituatie</v>
      </c>
      <c r="H810" s="33">
        <v>2023</v>
      </c>
      <c r="I810" s="32">
        <v>1</v>
      </c>
      <c r="J810" s="406" cm="1">
        <f t="array" ref="J810">INDEX(implementatie[[2023]:[2034]],MATCH(G810, implementatie[Zoeksleutel],0),I810)</f>
        <v>0.4</v>
      </c>
      <c r="K810" s="406" cm="1">
        <f t="array" ref="K810">INDEX(implementatie[[2023]:[2034]],MATCH(G810,implementatie[Zoeksleutel],0),I810 + 1)</f>
        <v>0.53800000000000003</v>
      </c>
      <c r="L81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29580.400000000001</v>
      </c>
      <c r="M810" s="398" cm="1">
        <f t="array" ref="M810">J810*INDEX(Berekening_impact[Totaal arbeidsbesparing (€/jaar)],MATCH(B810,IF(Berekening_impact[Doelgroep]=C810,Berekening_impact[Digitale zorgtoepassing]),0))</f>
        <v>93713.636504889218</v>
      </c>
      <c r="N810" s="397" cm="1">
        <f t="array" ref="N810">J810*INDEX(Berekening_impact[Totaal arbeidsbesparing (FTE/jaar)],MATCH(B810,IF(Berekening_impact[Doelgroep]=C810,Berekening_impact[Digitale zorgtoepassing]),0))</f>
        <v>0.49399426014957265</v>
      </c>
      <c r="O810" s="398" cm="1">
        <f t="array" ref="O810">J810*INDEX(Berekening_impact[Overige kostenbesparing (totaal/jaar totaal potentieel)],MATCH(B810,IF(Berekening_impact[Doelgroep]=C810,Berekening_impact[Digitale zorgtoepassing]),0))</f>
        <v>840000</v>
      </c>
      <c r="P810" s="398" cm="1">
        <f t="array" ref="P810">J810*INDEX(Berekening_impact[Opbrengsten door QALY''s],MATCH(B810,IF(Berekening_impact[Doelgroep]=C810,Berekening_impact[Digitale zorgtoepassing]),0))</f>
        <v>0</v>
      </c>
      <c r="Q810" s="398" cm="1">
        <f t="array" ref="Q810">J810*INDEX(Berekening_impact[Jaarlijkse kosten (totaal) - incl. schatting],MATCH(B810,IF(Berekening_impact[Doelgroep]=C810,Berekening_impact[Digitale zorgtoepassing]),0))</f>
        <v>389802.90100000001</v>
      </c>
      <c r="R810" s="398" cm="1">
        <f t="array" ref="R810">(uitkomst_doelgroep[[#This Row],[Implementatiegraad t = T + 1]]-uitkomst_doelgroep[[#This Row],[Implementatiegraad t = T]])*INDEX(Berekening_impact[Initiële investering (totaal) - incl. schatting],MATCH(B810,IF(Berekening_impact[Doelgroep]=C810,Berekening_impact[Digitale zorgtoepassing]),0))</f>
        <v>0</v>
      </c>
      <c r="S810" s="398">
        <f>uitkomst_doelgroep[[#This Row],[Arbeidsbesparing (€)]]*uitkomst_doelgroep[[#This Row],[Percentage van patiëntaantallen in Wlz (overige is Zvw)]]</f>
        <v>0</v>
      </c>
      <c r="T810" s="398">
        <f>uitkomst_doelgroep[[#This Row],[Overige besparingen (€)]]*uitkomst_doelgroep[[#This Row],[Percentage van patiëntaantallen in Wlz (overige is Zvw)]]</f>
        <v>0</v>
      </c>
      <c r="U810" s="398">
        <f>uitkomst_doelgroep[[#This Row],[Kosten (€)]]*uitkomst_doelgroep[[#This Row],[Percentage van patiëntaantallen in Wlz (overige is Zvw)]]</f>
        <v>0</v>
      </c>
      <c r="V810" s="398">
        <f>uitkomst_doelgroep[[#This Row],[Investering (cash flow) (€)]]*uitkomst_doelgroep[[#This Row],[Percentage van patiëntaantallen in Wlz (overige is Zvw)]]</f>
        <v>0</v>
      </c>
    </row>
    <row r="811" spans="1:22" x14ac:dyDescent="0.5">
      <c r="A811" s="33" t="str">
        <f>INDEX(Technologieën[Veld],MATCH(B811,Technologieën[Digitale zorgtoepassing],0))</f>
        <v>Software - Diagnose</v>
      </c>
      <c r="B811" s="33" t="s">
        <v>473</v>
      </c>
      <c r="C811" s="33" t="s">
        <v>464</v>
      </c>
      <c r="D811" s="427" cm="1">
        <f t="array" ref="D811">INDEX(Berekening_patiëntaantal[Percentage van patiëntaantallen in Wlz (overige is Zvw)],MATCH(B811,IF(Berekening_patiëntaantal[Doelgroep (zoeksleutel)]=C811,Berekening_patiëntaantal[Digitale zorgtoepassing]),0))</f>
        <v>0</v>
      </c>
      <c r="E811" s="33" t="str" cm="1">
        <f t="array" ref="E811">INDEX(Berekening_patiëntaantal[Direct toepasbaar/extrapolatie/incidentie voor QALY],MATCH(B811,IF(Berekening_patiëntaantal[Doelgroep (zoeksleutel)]=C811,Berekening_patiëntaantal[Digitale zorgtoepassing]),0))</f>
        <v>Extrapolatie</v>
      </c>
      <c r="F811" s="33" t="s">
        <v>813</v>
      </c>
      <c r="G811" s="33" t="str">
        <f>CONCATENATE(uitkomst_doelgroep[[#This Row],[Digitale zorgtoepassing]],"_",uitkomst_doelgroep[[#This Row],[Doelgroep]],"_",uitkomst_doelgroep[[#This Row],[Uitgangssituatie/effect beleid]])</f>
        <v>AI om diagnoses te stellen (CT)_CT scan_Overig_Uitgangssituatie</v>
      </c>
      <c r="H811" s="33">
        <v>2024</v>
      </c>
      <c r="I811" s="32">
        <v>2</v>
      </c>
      <c r="J811" s="406" cm="1">
        <f t="array" ref="J811">INDEX(implementatie[[2023]:[2034]],MATCH(G811, implementatie[Zoeksleutel],0),I811)</f>
        <v>0</v>
      </c>
      <c r="K811" s="406" cm="1">
        <f t="array" ref="K811">INDEX(implementatie[[2023]:[2034]],MATCH(G811,implementatie[Zoeksleutel],0),I811 + 1)</f>
        <v>0</v>
      </c>
      <c r="L81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811" s="398" cm="1">
        <f t="array" ref="M811">J811*INDEX(Berekening_impact[Totaal arbeidsbesparing (€/jaar)],MATCH(B811,IF(Berekening_impact[Doelgroep]=C811,Berekening_impact[Digitale zorgtoepassing]),0))</f>
        <v>0</v>
      </c>
      <c r="N811" s="397" cm="1">
        <f t="array" ref="N811">J811*INDEX(Berekening_impact[Totaal arbeidsbesparing (FTE/jaar)],MATCH(B811,IF(Berekening_impact[Doelgroep]=C811,Berekening_impact[Digitale zorgtoepassing]),0))</f>
        <v>0</v>
      </c>
      <c r="O811" s="398" cm="1">
        <f t="array" ref="O811">J811*INDEX(Berekening_impact[Overige kostenbesparing (totaal/jaar totaal potentieel)],MATCH(B811,IF(Berekening_impact[Doelgroep]=C811,Berekening_impact[Digitale zorgtoepassing]),0))</f>
        <v>0</v>
      </c>
      <c r="P811" s="398" cm="1">
        <f t="array" ref="P811">J811*INDEX(Berekening_impact[Opbrengsten door QALY''s],MATCH(B811,IF(Berekening_impact[Doelgroep]=C811,Berekening_impact[Digitale zorgtoepassing]),0))</f>
        <v>0</v>
      </c>
      <c r="Q811" s="398" cm="1">
        <f t="array" ref="Q811">J811*INDEX(Berekening_impact[Jaarlijkse kosten (totaal) - incl. schatting],MATCH(B811,IF(Berekening_impact[Doelgroep]=C811,Berekening_impact[Digitale zorgtoepassing]),0))</f>
        <v>0</v>
      </c>
      <c r="R811" s="398" cm="1">
        <f t="array" ref="R811">(uitkomst_doelgroep[[#This Row],[Implementatiegraad t = T + 1]]-uitkomst_doelgroep[[#This Row],[Implementatiegraad t = T]])*INDEX(Berekening_impact[Initiële investering (totaal) - incl. schatting],MATCH(B811,IF(Berekening_impact[Doelgroep]=C811,Berekening_impact[Digitale zorgtoepassing]),0))</f>
        <v>0</v>
      </c>
      <c r="S811" s="398">
        <f>uitkomst_doelgroep[[#This Row],[Arbeidsbesparing (€)]]*uitkomst_doelgroep[[#This Row],[Percentage van patiëntaantallen in Wlz (overige is Zvw)]]</f>
        <v>0</v>
      </c>
      <c r="T811" s="398">
        <f>uitkomst_doelgroep[[#This Row],[Overige besparingen (€)]]*uitkomst_doelgroep[[#This Row],[Percentage van patiëntaantallen in Wlz (overige is Zvw)]]</f>
        <v>0</v>
      </c>
      <c r="U811" s="398">
        <f>uitkomst_doelgroep[[#This Row],[Kosten (€)]]*uitkomst_doelgroep[[#This Row],[Percentage van patiëntaantallen in Wlz (overige is Zvw)]]</f>
        <v>0</v>
      </c>
      <c r="V811" s="398">
        <f>uitkomst_doelgroep[[#This Row],[Investering (cash flow) (€)]]*uitkomst_doelgroep[[#This Row],[Percentage van patiëntaantallen in Wlz (overige is Zvw)]]</f>
        <v>0</v>
      </c>
    </row>
    <row r="812" spans="1:22" x14ac:dyDescent="0.5">
      <c r="A812" s="33" t="str">
        <f>INDEX(Technologieën[Veld],MATCH(B812,Technologieën[Digitale zorgtoepassing],0))</f>
        <v>Software - Diagnose</v>
      </c>
      <c r="B812" s="33" t="s">
        <v>473</v>
      </c>
      <c r="C812" s="33" t="s">
        <v>455</v>
      </c>
      <c r="D812" s="427" cm="1">
        <f t="array" ref="D812">INDEX(Berekening_patiëntaantal[Percentage van patiëntaantallen in Wlz (overige is Zvw)],MATCH(B812,IF(Berekening_patiëntaantal[Doelgroep (zoeksleutel)]=C812,Berekening_patiëntaantal[Digitale zorgtoepassing]),0))</f>
        <v>0</v>
      </c>
      <c r="E812" s="33" t="str" cm="1">
        <f t="array" ref="E812">INDEX(Berekening_patiëntaantal[Direct toepasbaar/extrapolatie/incidentie voor QALY],MATCH(B812,IF(Berekening_patiëntaantal[Doelgroep (zoeksleutel)]=C812,Berekening_patiëntaantal[Digitale zorgtoepassing]),0))</f>
        <v>Huidige toepassing</v>
      </c>
      <c r="F812" s="33" t="s">
        <v>813</v>
      </c>
      <c r="G812" s="33" t="str">
        <f>CONCATENATE(uitkomst_doelgroep[[#This Row],[Digitale zorgtoepassing]],"_",uitkomst_doelgroep[[#This Row],[Doelgroep]],"_",uitkomst_doelgroep[[#This Row],[Uitgangssituatie/effect beleid]])</f>
        <v>AI om diagnoses te stellen (CT)_CT scan_Interstitiële longaandoening_Uitgangssituatie</v>
      </c>
      <c r="H812" s="33">
        <v>2024</v>
      </c>
      <c r="I812" s="32">
        <v>2</v>
      </c>
      <c r="J812" s="406" cm="1">
        <f t="array" ref="J812">INDEX(implementatie[[2023]:[2034]],MATCH(G812, implementatie[Zoeksleutel],0),I812)</f>
        <v>0.53800000000000003</v>
      </c>
      <c r="K812" s="406" cm="1">
        <f t="array" ref="K812">INDEX(implementatie[[2023]:[2034]],MATCH(G812,implementatie[Zoeksleutel],0),I812 + 1)</f>
        <v>0.67613800000000002</v>
      </c>
      <c r="L81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5812.5520000000006</v>
      </c>
      <c r="M812" s="398" cm="1">
        <f t="array" ref="M812">J812*INDEX(Berekening_impact[Totaal arbeidsbesparing (€/jaar)],MATCH(B812,IF(Berekening_impact[Doelgroep]=C812,Berekening_impact[Digitale zorgtoepassing]),0))</f>
        <v>13253.311723528737</v>
      </c>
      <c r="N812" s="397" cm="1">
        <f t="array" ref="N812">J812*INDEX(Berekening_impact[Totaal arbeidsbesparing (FTE/jaar)],MATCH(B812,IF(Berekening_impact[Doelgroep]=C812,Berekening_impact[Digitale zorgtoepassing]),0))</f>
        <v>6.9862403846153859E-2</v>
      </c>
      <c r="O812" s="398" cm="1">
        <f t="array" ref="O812">J812*INDEX(Berekening_impact[Overige kostenbesparing (totaal/jaar totaal potentieel)],MATCH(B812,IF(Berekening_impact[Doelgroep]=C812,Berekening_impact[Digitale zorgtoepassing]),0))</f>
        <v>0</v>
      </c>
      <c r="P812" s="398" cm="1">
        <f t="array" ref="P812">J812*INDEX(Berekening_impact[Opbrengsten door QALY''s],MATCH(B812,IF(Berekening_impact[Doelgroep]=C812,Berekening_impact[Digitale zorgtoepassing]),0))</f>
        <v>0</v>
      </c>
      <c r="Q812" s="398" cm="1">
        <f t="array" ref="Q812">J812*INDEX(Berekening_impact[Jaarlijkse kosten (totaal) - incl. schatting],MATCH(B812,IF(Berekening_impact[Doelgroep]=C812,Berekening_impact[Digitale zorgtoepassing]),0))</f>
        <v>527701.69904666673</v>
      </c>
      <c r="R812" s="398" cm="1">
        <f t="array" ref="R812">(uitkomst_doelgroep[[#This Row],[Implementatiegraad t = T + 1]]-uitkomst_doelgroep[[#This Row],[Implementatiegraad t = T]])*INDEX(Berekening_impact[Initiële investering (totaal) - incl. schatting],MATCH(B812,IF(Berekening_impact[Doelgroep]=C812,Berekening_impact[Digitale zorgtoepassing]),0))</f>
        <v>0</v>
      </c>
      <c r="S812" s="398">
        <f>uitkomst_doelgroep[[#This Row],[Arbeidsbesparing (€)]]*uitkomst_doelgroep[[#This Row],[Percentage van patiëntaantallen in Wlz (overige is Zvw)]]</f>
        <v>0</v>
      </c>
      <c r="T812" s="398">
        <f>uitkomst_doelgroep[[#This Row],[Overige besparingen (€)]]*uitkomst_doelgroep[[#This Row],[Percentage van patiëntaantallen in Wlz (overige is Zvw)]]</f>
        <v>0</v>
      </c>
      <c r="U812" s="398">
        <f>uitkomst_doelgroep[[#This Row],[Kosten (€)]]*uitkomst_doelgroep[[#This Row],[Percentage van patiëntaantallen in Wlz (overige is Zvw)]]</f>
        <v>0</v>
      </c>
      <c r="V812" s="398">
        <f>uitkomst_doelgroep[[#This Row],[Investering (cash flow) (€)]]*uitkomst_doelgroep[[#This Row],[Percentage van patiëntaantallen in Wlz (overige is Zvw)]]</f>
        <v>0</v>
      </c>
    </row>
    <row r="813" spans="1:22" x14ac:dyDescent="0.5">
      <c r="A813" s="33" t="str">
        <f>INDEX(Technologieën[Veld],MATCH(B813,Technologieën[Digitale zorgtoepassing],0))</f>
        <v>Software - Diagnose</v>
      </c>
      <c r="B813" s="33" t="s">
        <v>473</v>
      </c>
      <c r="C813" s="33" t="s">
        <v>451</v>
      </c>
      <c r="D813" s="427" cm="1">
        <f t="array" ref="D813">INDEX(Berekening_patiëntaantal[Percentage van patiëntaantallen in Wlz (overige is Zvw)],MATCH(B813,IF(Berekening_patiëntaantal[Doelgroep (zoeksleutel)]=C813,Berekening_patiëntaantal[Digitale zorgtoepassing]),0))</f>
        <v>0</v>
      </c>
      <c r="E813" s="33" t="str" cm="1">
        <f t="array" ref="E813">INDEX(Berekening_patiëntaantal[Direct toepasbaar/extrapolatie/incidentie voor QALY],MATCH(B813,IF(Berekening_patiëntaantal[Doelgroep (zoeksleutel)]=C813,Berekening_patiëntaantal[Digitale zorgtoepassing]),0))</f>
        <v>Huidige toepassing</v>
      </c>
      <c r="F813" s="33" t="s">
        <v>813</v>
      </c>
      <c r="G813" s="33" t="str">
        <f>CONCATENATE(uitkomst_doelgroep[[#This Row],[Digitale zorgtoepassing]],"_",uitkomst_doelgroep[[#This Row],[Doelgroep]],"_",uitkomst_doelgroep[[#This Row],[Uitgangssituatie/effect beleid]])</f>
        <v>AI om diagnoses te stellen (CT)_CT scan_Longkanker_Uitgangssituatie</v>
      </c>
      <c r="H813" s="33">
        <v>2024</v>
      </c>
      <c r="I813" s="32">
        <v>2</v>
      </c>
      <c r="J813" s="406" cm="1">
        <f t="array" ref="J813">INDEX(implementatie[[2023]:[2034]],MATCH(G813, implementatie[Zoeksleutel],0),I813)</f>
        <v>0.53800000000000003</v>
      </c>
      <c r="K813" s="406" cm="1">
        <f t="array" ref="K813">INDEX(implementatie[[2023]:[2034]],MATCH(G813,implementatie[Zoeksleutel],0),I813 + 1)</f>
        <v>0.67613800000000002</v>
      </c>
      <c r="L81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39785.637999999999</v>
      </c>
      <c r="M813" s="398" cm="1">
        <f t="array" ref="M813">J813*INDEX(Berekening_impact[Totaal arbeidsbesparing (€/jaar)],MATCH(B813,IF(Berekening_impact[Doelgroep]=C813,Berekening_impact[Digitale zorgtoepassing]),0))</f>
        <v>126044.841099076</v>
      </c>
      <c r="N813" s="397" cm="1">
        <f t="array" ref="N813">J813*INDEX(Berekening_impact[Totaal arbeidsbesparing (FTE/jaar)],MATCH(B813,IF(Berekening_impact[Doelgroep]=C813,Berekening_impact[Digitale zorgtoepassing]),0))</f>
        <v>0.66442227990117519</v>
      </c>
      <c r="O813" s="398" cm="1">
        <f t="array" ref="O813">J813*INDEX(Berekening_impact[Overige kostenbesparing (totaal/jaar totaal potentieel)],MATCH(B813,IF(Berekening_impact[Doelgroep]=C813,Berekening_impact[Digitale zorgtoepassing]),0))</f>
        <v>1129800</v>
      </c>
      <c r="P813" s="398" cm="1">
        <f t="array" ref="P813">J813*INDEX(Berekening_impact[Opbrengsten door QALY''s],MATCH(B813,IF(Berekening_impact[Doelgroep]=C813,Berekening_impact[Digitale zorgtoepassing]),0))</f>
        <v>0</v>
      </c>
      <c r="Q813" s="398" cm="1">
        <f t="array" ref="Q813">J813*INDEX(Berekening_impact[Jaarlijkse kosten (totaal) - incl. schatting],MATCH(B813,IF(Berekening_impact[Doelgroep]=C813,Berekening_impact[Digitale zorgtoepassing]),0))</f>
        <v>524284.90184499999</v>
      </c>
      <c r="R813" s="398" cm="1">
        <f t="array" ref="R813">(uitkomst_doelgroep[[#This Row],[Implementatiegraad t = T + 1]]-uitkomst_doelgroep[[#This Row],[Implementatiegraad t = T]])*INDEX(Berekening_impact[Initiële investering (totaal) - incl. schatting],MATCH(B813,IF(Berekening_impact[Doelgroep]=C813,Berekening_impact[Digitale zorgtoepassing]),0))</f>
        <v>0</v>
      </c>
      <c r="S813" s="398">
        <f>uitkomst_doelgroep[[#This Row],[Arbeidsbesparing (€)]]*uitkomst_doelgroep[[#This Row],[Percentage van patiëntaantallen in Wlz (overige is Zvw)]]</f>
        <v>0</v>
      </c>
      <c r="T813" s="398">
        <f>uitkomst_doelgroep[[#This Row],[Overige besparingen (€)]]*uitkomst_doelgroep[[#This Row],[Percentage van patiëntaantallen in Wlz (overige is Zvw)]]</f>
        <v>0</v>
      </c>
      <c r="U813" s="398">
        <f>uitkomst_doelgroep[[#This Row],[Kosten (€)]]*uitkomst_doelgroep[[#This Row],[Percentage van patiëntaantallen in Wlz (overige is Zvw)]]</f>
        <v>0</v>
      </c>
      <c r="V813" s="398">
        <f>uitkomst_doelgroep[[#This Row],[Investering (cash flow) (€)]]*uitkomst_doelgroep[[#This Row],[Percentage van patiëntaantallen in Wlz (overige is Zvw)]]</f>
        <v>0</v>
      </c>
    </row>
    <row r="814" spans="1:22" x14ac:dyDescent="0.5">
      <c r="A814" s="33" t="str">
        <f>INDEX(Technologieën[Veld],MATCH(B814,Technologieën[Digitale zorgtoepassing],0))</f>
        <v>Software - Diagnose</v>
      </c>
      <c r="B814" s="33" t="s">
        <v>473</v>
      </c>
      <c r="C814" s="33" t="s">
        <v>464</v>
      </c>
      <c r="D814" s="427" cm="1">
        <f t="array" ref="D814">INDEX(Berekening_patiëntaantal[Percentage van patiëntaantallen in Wlz (overige is Zvw)],MATCH(B814,IF(Berekening_patiëntaantal[Doelgroep (zoeksleutel)]=C814,Berekening_patiëntaantal[Digitale zorgtoepassing]),0))</f>
        <v>0</v>
      </c>
      <c r="E814" s="33" t="str" cm="1">
        <f t="array" ref="E814">INDEX(Berekening_patiëntaantal[Direct toepasbaar/extrapolatie/incidentie voor QALY],MATCH(B814,IF(Berekening_patiëntaantal[Doelgroep (zoeksleutel)]=C814,Berekening_patiëntaantal[Digitale zorgtoepassing]),0))</f>
        <v>Extrapolatie</v>
      </c>
      <c r="F814" s="33" t="s">
        <v>813</v>
      </c>
      <c r="G814" s="33" t="str">
        <f>CONCATENATE(uitkomst_doelgroep[[#This Row],[Digitale zorgtoepassing]],"_",uitkomst_doelgroep[[#This Row],[Doelgroep]],"_",uitkomst_doelgroep[[#This Row],[Uitgangssituatie/effect beleid]])</f>
        <v>AI om diagnoses te stellen (CT)_CT scan_Overig_Uitgangssituatie</v>
      </c>
      <c r="H814" s="33">
        <v>2025</v>
      </c>
      <c r="I814" s="32">
        <v>3</v>
      </c>
      <c r="J814" s="406" cm="1">
        <f t="array" ref="J814">INDEX(implementatie[[2023]:[2034]],MATCH(G814, implementatie[Zoeksleutel],0),I814)</f>
        <v>0</v>
      </c>
      <c r="K814" s="406" cm="1">
        <f t="array" ref="K814">INDEX(implementatie[[2023]:[2034]],MATCH(G814,implementatie[Zoeksleutel],0),I814 + 1)</f>
        <v>0</v>
      </c>
      <c r="L81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814" s="398" cm="1">
        <f t="array" ref="M814">J814*INDEX(Berekening_impact[Totaal arbeidsbesparing (€/jaar)],MATCH(B814,IF(Berekening_impact[Doelgroep]=C814,Berekening_impact[Digitale zorgtoepassing]),0))</f>
        <v>0</v>
      </c>
      <c r="N814" s="397" cm="1">
        <f t="array" ref="N814">J814*INDEX(Berekening_impact[Totaal arbeidsbesparing (FTE/jaar)],MATCH(B814,IF(Berekening_impact[Doelgroep]=C814,Berekening_impact[Digitale zorgtoepassing]),0))</f>
        <v>0</v>
      </c>
      <c r="O814" s="398" cm="1">
        <f t="array" ref="O814">J814*INDEX(Berekening_impact[Overige kostenbesparing (totaal/jaar totaal potentieel)],MATCH(B814,IF(Berekening_impact[Doelgroep]=C814,Berekening_impact[Digitale zorgtoepassing]),0))</f>
        <v>0</v>
      </c>
      <c r="P814" s="398" cm="1">
        <f t="array" ref="P814">J814*INDEX(Berekening_impact[Opbrengsten door QALY''s],MATCH(B814,IF(Berekening_impact[Doelgroep]=C814,Berekening_impact[Digitale zorgtoepassing]),0))</f>
        <v>0</v>
      </c>
      <c r="Q814" s="398" cm="1">
        <f t="array" ref="Q814">J814*INDEX(Berekening_impact[Jaarlijkse kosten (totaal) - incl. schatting],MATCH(B814,IF(Berekening_impact[Doelgroep]=C814,Berekening_impact[Digitale zorgtoepassing]),0))</f>
        <v>0</v>
      </c>
      <c r="R814" s="398" cm="1">
        <f t="array" ref="R814">(uitkomst_doelgroep[[#This Row],[Implementatiegraad t = T + 1]]-uitkomst_doelgroep[[#This Row],[Implementatiegraad t = T]])*INDEX(Berekening_impact[Initiële investering (totaal) - incl. schatting],MATCH(B814,IF(Berekening_impact[Doelgroep]=C814,Berekening_impact[Digitale zorgtoepassing]),0))</f>
        <v>0</v>
      </c>
      <c r="S814" s="398">
        <f>uitkomst_doelgroep[[#This Row],[Arbeidsbesparing (€)]]*uitkomst_doelgroep[[#This Row],[Percentage van patiëntaantallen in Wlz (overige is Zvw)]]</f>
        <v>0</v>
      </c>
      <c r="T814" s="398">
        <f>uitkomst_doelgroep[[#This Row],[Overige besparingen (€)]]*uitkomst_doelgroep[[#This Row],[Percentage van patiëntaantallen in Wlz (overige is Zvw)]]</f>
        <v>0</v>
      </c>
      <c r="U814" s="398">
        <f>uitkomst_doelgroep[[#This Row],[Kosten (€)]]*uitkomst_doelgroep[[#This Row],[Percentage van patiëntaantallen in Wlz (overige is Zvw)]]</f>
        <v>0</v>
      </c>
      <c r="V814" s="398">
        <f>uitkomst_doelgroep[[#This Row],[Investering (cash flow) (€)]]*uitkomst_doelgroep[[#This Row],[Percentage van patiëntaantallen in Wlz (overige is Zvw)]]</f>
        <v>0</v>
      </c>
    </row>
    <row r="815" spans="1:22" x14ac:dyDescent="0.5">
      <c r="A815" s="33" t="str">
        <f>INDEX(Technologieën[Veld],MATCH(B815,Technologieën[Digitale zorgtoepassing],0))</f>
        <v>Software - Diagnose</v>
      </c>
      <c r="B815" s="33" t="s">
        <v>473</v>
      </c>
      <c r="C815" s="33" t="s">
        <v>455</v>
      </c>
      <c r="D815" s="427" cm="1">
        <f t="array" ref="D815">INDEX(Berekening_patiëntaantal[Percentage van patiëntaantallen in Wlz (overige is Zvw)],MATCH(B815,IF(Berekening_patiëntaantal[Doelgroep (zoeksleutel)]=C815,Berekening_patiëntaantal[Digitale zorgtoepassing]),0))</f>
        <v>0</v>
      </c>
      <c r="E815" s="33" t="str" cm="1">
        <f t="array" ref="E815">INDEX(Berekening_patiëntaantal[Direct toepasbaar/extrapolatie/incidentie voor QALY],MATCH(B815,IF(Berekening_patiëntaantal[Doelgroep (zoeksleutel)]=C815,Berekening_patiëntaantal[Digitale zorgtoepassing]),0))</f>
        <v>Huidige toepassing</v>
      </c>
      <c r="F815" s="33" t="s">
        <v>813</v>
      </c>
      <c r="G815" s="33" t="str">
        <f>CONCATENATE(uitkomst_doelgroep[[#This Row],[Digitale zorgtoepassing]],"_",uitkomst_doelgroep[[#This Row],[Doelgroep]],"_",uitkomst_doelgroep[[#This Row],[Uitgangssituatie/effect beleid]])</f>
        <v>AI om diagnoses te stellen (CT)_CT scan_Interstitiële longaandoening_Uitgangssituatie</v>
      </c>
      <c r="H815" s="33">
        <v>2025</v>
      </c>
      <c r="I815" s="32">
        <v>3</v>
      </c>
      <c r="J815" s="406" cm="1">
        <f t="array" ref="J815">INDEX(implementatie[[2023]:[2034]],MATCH(G815, implementatie[Zoeksleutel],0),I815)</f>
        <v>0.67613800000000002</v>
      </c>
      <c r="K815" s="406" cm="1">
        <f t="array" ref="K815">INDEX(implementatie[[2023]:[2034]],MATCH(G815,implementatie[Zoeksleutel],0),I815 + 1)</f>
        <v>0.79534156247800003</v>
      </c>
      <c r="L81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7304.994952</v>
      </c>
      <c r="M815" s="398" cm="1">
        <f t="array" ref="M815">J815*INDEX(Berekening_impact[Totaal arbeidsbesparing (€/jaar)],MATCH(B815,IF(Berekening_impact[Doelgroep]=C815,Berekening_impact[Digitale zorgtoepassing]),0))</f>
        <v>16656.259632199391</v>
      </c>
      <c r="N815" s="397" cm="1">
        <f t="array" ref="N815">J815*INDEX(Berekening_impact[Totaal arbeidsbesparing (FTE/jaar)],MATCH(B815,IF(Berekening_impact[Doelgroep]=C815,Berekening_impact[Digitale zorgtoepassing]),0))</f>
        <v>8.7800420096153853E-2</v>
      </c>
      <c r="O815" s="398" cm="1">
        <f t="array" ref="O815">J815*INDEX(Berekening_impact[Overige kostenbesparing (totaal/jaar totaal potentieel)],MATCH(B815,IF(Berekening_impact[Doelgroep]=C815,Berekening_impact[Digitale zorgtoepassing]),0))</f>
        <v>0</v>
      </c>
      <c r="P815" s="398" cm="1">
        <f t="array" ref="P815">J815*INDEX(Berekening_impact[Opbrengsten door QALY''s],MATCH(B815,IF(Berekening_impact[Doelgroep]=C815,Berekening_impact[Digitale zorgtoepassing]),0))</f>
        <v>0</v>
      </c>
      <c r="Q815" s="398" cm="1">
        <f t="array" ref="Q815">J815*INDEX(Berekening_impact[Jaarlijkse kosten (totaal) - incl. schatting],MATCH(B815,IF(Berekening_impact[Doelgroep]=C815,Berekening_impact[Digitale zorgtoepassing]),0))</f>
        <v>663195.48585504666</v>
      </c>
      <c r="R815" s="398" cm="1">
        <f t="array" ref="R815">(uitkomst_doelgroep[[#This Row],[Implementatiegraad t = T + 1]]-uitkomst_doelgroep[[#This Row],[Implementatiegraad t = T]])*INDEX(Berekening_impact[Initiële investering (totaal) - incl. schatting],MATCH(B815,IF(Berekening_impact[Doelgroep]=C815,Berekening_impact[Digitale zorgtoepassing]),0))</f>
        <v>0</v>
      </c>
      <c r="S815" s="398">
        <f>uitkomst_doelgroep[[#This Row],[Arbeidsbesparing (€)]]*uitkomst_doelgroep[[#This Row],[Percentage van patiëntaantallen in Wlz (overige is Zvw)]]</f>
        <v>0</v>
      </c>
      <c r="T815" s="398">
        <f>uitkomst_doelgroep[[#This Row],[Overige besparingen (€)]]*uitkomst_doelgroep[[#This Row],[Percentage van patiëntaantallen in Wlz (overige is Zvw)]]</f>
        <v>0</v>
      </c>
      <c r="U815" s="398">
        <f>uitkomst_doelgroep[[#This Row],[Kosten (€)]]*uitkomst_doelgroep[[#This Row],[Percentage van patiëntaantallen in Wlz (overige is Zvw)]]</f>
        <v>0</v>
      </c>
      <c r="V815" s="398">
        <f>uitkomst_doelgroep[[#This Row],[Investering (cash flow) (€)]]*uitkomst_doelgroep[[#This Row],[Percentage van patiëntaantallen in Wlz (overige is Zvw)]]</f>
        <v>0</v>
      </c>
    </row>
    <row r="816" spans="1:22" x14ac:dyDescent="0.5">
      <c r="A816" s="33" t="str">
        <f>INDEX(Technologieën[Veld],MATCH(B816,Technologieën[Digitale zorgtoepassing],0))</f>
        <v>Software - Diagnose</v>
      </c>
      <c r="B816" s="33" t="s">
        <v>473</v>
      </c>
      <c r="C816" s="33" t="s">
        <v>451</v>
      </c>
      <c r="D816" s="427" cm="1">
        <f t="array" ref="D816">INDEX(Berekening_patiëntaantal[Percentage van patiëntaantallen in Wlz (overige is Zvw)],MATCH(B816,IF(Berekening_patiëntaantal[Doelgroep (zoeksleutel)]=C816,Berekening_patiëntaantal[Digitale zorgtoepassing]),0))</f>
        <v>0</v>
      </c>
      <c r="E816" s="33" t="str" cm="1">
        <f t="array" ref="E816">INDEX(Berekening_patiëntaantal[Direct toepasbaar/extrapolatie/incidentie voor QALY],MATCH(B816,IF(Berekening_patiëntaantal[Doelgroep (zoeksleutel)]=C816,Berekening_patiëntaantal[Digitale zorgtoepassing]),0))</f>
        <v>Huidige toepassing</v>
      </c>
      <c r="F816" s="33" t="s">
        <v>813</v>
      </c>
      <c r="G816" s="33" t="str">
        <f>CONCATENATE(uitkomst_doelgroep[[#This Row],[Digitale zorgtoepassing]],"_",uitkomst_doelgroep[[#This Row],[Doelgroep]],"_",uitkomst_doelgroep[[#This Row],[Uitgangssituatie/effect beleid]])</f>
        <v>AI om diagnoses te stellen (CT)_CT scan_Longkanker_Uitgangssituatie</v>
      </c>
      <c r="H816" s="33">
        <v>2025</v>
      </c>
      <c r="I816" s="32">
        <v>3</v>
      </c>
      <c r="J816" s="406" cm="1">
        <f t="array" ref="J816">INDEX(implementatie[[2023]:[2034]],MATCH(G816, implementatie[Zoeksleutel],0),I816)</f>
        <v>0.67613800000000002</v>
      </c>
      <c r="K816" s="406" cm="1">
        <f t="array" ref="K816">INDEX(implementatie[[2023]:[2034]],MATCH(G816,implementatie[Zoeksleutel],0),I816 + 1)</f>
        <v>0.79534156247800003</v>
      </c>
      <c r="L81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50001.081237999999</v>
      </c>
      <c r="M816" s="398" cm="1">
        <f t="array" ref="M816">J816*INDEX(Berekening_impact[Totaal arbeidsbesparing (€/jaar)],MATCH(B816,IF(Berekening_impact[Doelgroep]=C816,Berekening_impact[Digitale zorgtoepassing]),0))</f>
        <v>158408.37689785694</v>
      </c>
      <c r="N816" s="397" cm="1">
        <f t="array" ref="N816">J816*INDEX(Berekening_impact[Totaal arbeidsbesparing (FTE/jaar)],MATCH(B816,IF(Berekening_impact[Doelgroep]=C816,Berekening_impact[Digitale zorgtoepassing]),0))</f>
        <v>0.83502072767252944</v>
      </c>
      <c r="O816" s="398" cm="1">
        <f t="array" ref="O816">J816*INDEX(Berekening_impact[Overige kostenbesparing (totaal/jaar totaal potentieel)],MATCH(B816,IF(Berekening_impact[Doelgroep]=C816,Berekening_impact[Digitale zorgtoepassing]),0))</f>
        <v>1419889.8</v>
      </c>
      <c r="P816" s="398" cm="1">
        <f t="array" ref="P816">J816*INDEX(Berekening_impact[Opbrengsten door QALY''s],MATCH(B816,IF(Berekening_impact[Doelgroep]=C816,Berekening_impact[Digitale zorgtoepassing]),0))</f>
        <v>0</v>
      </c>
      <c r="Q816" s="398" cm="1">
        <f t="array" ref="Q816">J816*INDEX(Berekening_impact[Jaarlijkse kosten (totaal) - incl. schatting],MATCH(B816,IF(Berekening_impact[Doelgroep]=C816,Berekening_impact[Digitale zorgtoepassing]),0))</f>
        <v>658901.38469084504</v>
      </c>
      <c r="R816" s="398" cm="1">
        <f t="array" ref="R816">(uitkomst_doelgroep[[#This Row],[Implementatiegraad t = T + 1]]-uitkomst_doelgroep[[#This Row],[Implementatiegraad t = T]])*INDEX(Berekening_impact[Initiële investering (totaal) - incl. schatting],MATCH(B816,IF(Berekening_impact[Doelgroep]=C816,Berekening_impact[Digitale zorgtoepassing]),0))</f>
        <v>0</v>
      </c>
      <c r="S816" s="398">
        <f>uitkomst_doelgroep[[#This Row],[Arbeidsbesparing (€)]]*uitkomst_doelgroep[[#This Row],[Percentage van patiëntaantallen in Wlz (overige is Zvw)]]</f>
        <v>0</v>
      </c>
      <c r="T816" s="398">
        <f>uitkomst_doelgroep[[#This Row],[Overige besparingen (€)]]*uitkomst_doelgroep[[#This Row],[Percentage van patiëntaantallen in Wlz (overige is Zvw)]]</f>
        <v>0</v>
      </c>
      <c r="U816" s="398">
        <f>uitkomst_doelgroep[[#This Row],[Kosten (€)]]*uitkomst_doelgroep[[#This Row],[Percentage van patiëntaantallen in Wlz (overige is Zvw)]]</f>
        <v>0</v>
      </c>
      <c r="V816" s="398">
        <f>uitkomst_doelgroep[[#This Row],[Investering (cash flow) (€)]]*uitkomst_doelgroep[[#This Row],[Percentage van patiëntaantallen in Wlz (overige is Zvw)]]</f>
        <v>0</v>
      </c>
    </row>
    <row r="817" spans="1:22" x14ac:dyDescent="0.5">
      <c r="A817" s="33" t="str">
        <f>INDEX(Technologieën[Veld],MATCH(B817,Technologieën[Digitale zorgtoepassing],0))</f>
        <v>Software - Diagnose</v>
      </c>
      <c r="B817" s="33" t="s">
        <v>473</v>
      </c>
      <c r="C817" s="33" t="s">
        <v>464</v>
      </c>
      <c r="D817" s="427" cm="1">
        <f t="array" ref="D817">INDEX(Berekening_patiëntaantal[Percentage van patiëntaantallen in Wlz (overige is Zvw)],MATCH(B817,IF(Berekening_patiëntaantal[Doelgroep (zoeksleutel)]=C817,Berekening_patiëntaantal[Digitale zorgtoepassing]),0))</f>
        <v>0</v>
      </c>
      <c r="E817" s="33" t="str" cm="1">
        <f t="array" ref="E817">INDEX(Berekening_patiëntaantal[Direct toepasbaar/extrapolatie/incidentie voor QALY],MATCH(B817,IF(Berekening_patiëntaantal[Doelgroep (zoeksleutel)]=C817,Berekening_patiëntaantal[Digitale zorgtoepassing]),0))</f>
        <v>Extrapolatie</v>
      </c>
      <c r="F817" s="33" t="s">
        <v>813</v>
      </c>
      <c r="G817" s="33" t="str">
        <f>CONCATENATE(uitkomst_doelgroep[[#This Row],[Digitale zorgtoepassing]],"_",uitkomst_doelgroep[[#This Row],[Doelgroep]],"_",uitkomst_doelgroep[[#This Row],[Uitgangssituatie/effect beleid]])</f>
        <v>AI om diagnoses te stellen (CT)_CT scan_Overig_Uitgangssituatie</v>
      </c>
      <c r="H817" s="33">
        <v>2026</v>
      </c>
      <c r="I817" s="32">
        <v>4</v>
      </c>
      <c r="J817" s="406" cm="1">
        <f t="array" ref="J817">INDEX(implementatie[[2023]:[2034]],MATCH(G817, implementatie[Zoeksleutel],0),I817)</f>
        <v>0</v>
      </c>
      <c r="K817" s="406" cm="1">
        <f t="array" ref="K817">INDEX(implementatie[[2023]:[2034]],MATCH(G817,implementatie[Zoeksleutel],0),I817 + 1)</f>
        <v>0.03</v>
      </c>
      <c r="L81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817" s="398" cm="1">
        <f t="array" ref="M817">J817*INDEX(Berekening_impact[Totaal arbeidsbesparing (€/jaar)],MATCH(B817,IF(Berekening_impact[Doelgroep]=C817,Berekening_impact[Digitale zorgtoepassing]),0))</f>
        <v>0</v>
      </c>
      <c r="N817" s="397" cm="1">
        <f t="array" ref="N817">J817*INDEX(Berekening_impact[Totaal arbeidsbesparing (FTE/jaar)],MATCH(B817,IF(Berekening_impact[Doelgroep]=C817,Berekening_impact[Digitale zorgtoepassing]),0))</f>
        <v>0</v>
      </c>
      <c r="O817" s="398" cm="1">
        <f t="array" ref="O817">J817*INDEX(Berekening_impact[Overige kostenbesparing (totaal/jaar totaal potentieel)],MATCH(B817,IF(Berekening_impact[Doelgroep]=C817,Berekening_impact[Digitale zorgtoepassing]),0))</f>
        <v>0</v>
      </c>
      <c r="P817" s="398" cm="1">
        <f t="array" ref="P817">J817*INDEX(Berekening_impact[Opbrengsten door QALY''s],MATCH(B817,IF(Berekening_impact[Doelgroep]=C817,Berekening_impact[Digitale zorgtoepassing]),0))</f>
        <v>0</v>
      </c>
      <c r="Q817" s="398" cm="1">
        <f t="array" ref="Q817">J817*INDEX(Berekening_impact[Jaarlijkse kosten (totaal) - incl. schatting],MATCH(B817,IF(Berekening_impact[Doelgroep]=C817,Berekening_impact[Digitale zorgtoepassing]),0))</f>
        <v>0</v>
      </c>
      <c r="R817" s="398" cm="1">
        <f t="array" ref="R817">(uitkomst_doelgroep[[#This Row],[Implementatiegraad t = T + 1]]-uitkomst_doelgroep[[#This Row],[Implementatiegraad t = T]])*INDEX(Berekening_impact[Initiële investering (totaal) - incl. schatting],MATCH(B817,IF(Berekening_impact[Doelgroep]=C817,Berekening_impact[Digitale zorgtoepassing]),0))</f>
        <v>0</v>
      </c>
      <c r="S817" s="398">
        <f>uitkomst_doelgroep[[#This Row],[Arbeidsbesparing (€)]]*uitkomst_doelgroep[[#This Row],[Percentage van patiëntaantallen in Wlz (overige is Zvw)]]</f>
        <v>0</v>
      </c>
      <c r="T817" s="398">
        <f>uitkomst_doelgroep[[#This Row],[Overige besparingen (€)]]*uitkomst_doelgroep[[#This Row],[Percentage van patiëntaantallen in Wlz (overige is Zvw)]]</f>
        <v>0</v>
      </c>
      <c r="U817" s="398">
        <f>uitkomst_doelgroep[[#This Row],[Kosten (€)]]*uitkomst_doelgroep[[#This Row],[Percentage van patiëntaantallen in Wlz (overige is Zvw)]]</f>
        <v>0</v>
      </c>
      <c r="V817" s="398">
        <f>uitkomst_doelgroep[[#This Row],[Investering (cash flow) (€)]]*uitkomst_doelgroep[[#This Row],[Percentage van patiëntaantallen in Wlz (overige is Zvw)]]</f>
        <v>0</v>
      </c>
    </row>
    <row r="818" spans="1:22" x14ac:dyDescent="0.5">
      <c r="A818" s="33" t="str">
        <f>INDEX(Technologieën[Veld],MATCH(B818,Technologieën[Digitale zorgtoepassing],0))</f>
        <v>Software - Diagnose</v>
      </c>
      <c r="B818" s="33" t="s">
        <v>473</v>
      </c>
      <c r="C818" s="33" t="s">
        <v>455</v>
      </c>
      <c r="D818" s="427" cm="1">
        <f t="array" ref="D818">INDEX(Berekening_patiëntaantal[Percentage van patiëntaantallen in Wlz (overige is Zvw)],MATCH(B818,IF(Berekening_patiëntaantal[Doelgroep (zoeksleutel)]=C818,Berekening_patiëntaantal[Digitale zorgtoepassing]),0))</f>
        <v>0</v>
      </c>
      <c r="E818" s="33" t="str" cm="1">
        <f t="array" ref="E818">INDEX(Berekening_patiëntaantal[Direct toepasbaar/extrapolatie/incidentie voor QALY],MATCH(B818,IF(Berekening_patiëntaantal[Doelgroep (zoeksleutel)]=C818,Berekening_patiëntaantal[Digitale zorgtoepassing]),0))</f>
        <v>Huidige toepassing</v>
      </c>
      <c r="F818" s="33" t="s">
        <v>813</v>
      </c>
      <c r="G818" s="33" t="str">
        <f>CONCATENATE(uitkomst_doelgroep[[#This Row],[Digitale zorgtoepassing]],"_",uitkomst_doelgroep[[#This Row],[Doelgroep]],"_",uitkomst_doelgroep[[#This Row],[Uitgangssituatie/effect beleid]])</f>
        <v>AI om diagnoses te stellen (CT)_CT scan_Interstitiële longaandoening_Uitgangssituatie</v>
      </c>
      <c r="H818" s="33">
        <v>2026</v>
      </c>
      <c r="I818" s="32">
        <v>4</v>
      </c>
      <c r="J818" s="406" cm="1">
        <f t="array" ref="J818">INDEX(implementatie[[2023]:[2034]],MATCH(G818, implementatie[Zoeksleutel],0),I818)</f>
        <v>0.79534156247800003</v>
      </c>
      <c r="K818" s="406" cm="1">
        <f t="array" ref="K818">INDEX(implementatie[[2023]:[2034]],MATCH(G818,implementatie[Zoeksleutel],0),I818 + 1)</f>
        <v>0.88286799634018676</v>
      </c>
      <c r="L81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8592.8702410123115</v>
      </c>
      <c r="M818" s="398" cm="1">
        <f t="array" ref="M818">J818*INDEX(Berekening_impact[Totaal arbeidsbesparing (€/jaar)],MATCH(B818,IF(Berekening_impact[Doelgroep]=C818,Berekening_impact[Digitale zorgtoepassing]),0))</f>
        <v>19592.768873976471</v>
      </c>
      <c r="N818" s="397" cm="1">
        <f t="array" ref="N818">J818*INDEX(Berekening_impact[Totaal arbeidsbesparing (FTE/jaar)],MATCH(B818,IF(Berekening_impact[Doelgroep]=C818,Berekening_impact[Digitale zorgtoepassing]),0))</f>
        <v>0.10327969039678261</v>
      </c>
      <c r="O818" s="398" cm="1">
        <f t="array" ref="O818">J818*INDEX(Berekening_impact[Overige kostenbesparing (totaal/jaar totaal potentieel)],MATCH(B818,IF(Berekening_impact[Doelgroep]=C818,Berekening_impact[Digitale zorgtoepassing]),0))</f>
        <v>0</v>
      </c>
      <c r="P818" s="398" cm="1">
        <f t="array" ref="P818">J818*INDEX(Berekening_impact[Opbrengsten door QALY''s],MATCH(B818,IF(Berekening_impact[Doelgroep]=C818,Berekening_impact[Digitale zorgtoepassing]),0))</f>
        <v>0</v>
      </c>
      <c r="Q818" s="398" cm="1">
        <f t="array" ref="Q818">J818*INDEX(Berekening_impact[Jaarlijkse kosten (totaal) - incl. schatting],MATCH(B818,IF(Berekening_impact[Doelgroep]=C818,Berekening_impact[Digitale zorgtoepassing]),0))</f>
        <v>780117.27479938883</v>
      </c>
      <c r="R818" s="398" cm="1">
        <f t="array" ref="R818">(uitkomst_doelgroep[[#This Row],[Implementatiegraad t = T + 1]]-uitkomst_doelgroep[[#This Row],[Implementatiegraad t = T]])*INDEX(Berekening_impact[Initiële investering (totaal) - incl. schatting],MATCH(B818,IF(Berekening_impact[Doelgroep]=C818,Berekening_impact[Digitale zorgtoepassing]),0))</f>
        <v>0</v>
      </c>
      <c r="S818" s="398">
        <f>uitkomst_doelgroep[[#This Row],[Arbeidsbesparing (€)]]*uitkomst_doelgroep[[#This Row],[Percentage van patiëntaantallen in Wlz (overige is Zvw)]]</f>
        <v>0</v>
      </c>
      <c r="T818" s="398">
        <f>uitkomst_doelgroep[[#This Row],[Overige besparingen (€)]]*uitkomst_doelgroep[[#This Row],[Percentage van patiëntaantallen in Wlz (overige is Zvw)]]</f>
        <v>0</v>
      </c>
      <c r="U818" s="398">
        <f>uitkomst_doelgroep[[#This Row],[Kosten (€)]]*uitkomst_doelgroep[[#This Row],[Percentage van patiëntaantallen in Wlz (overige is Zvw)]]</f>
        <v>0</v>
      </c>
      <c r="V818" s="398">
        <f>uitkomst_doelgroep[[#This Row],[Investering (cash flow) (€)]]*uitkomst_doelgroep[[#This Row],[Percentage van patiëntaantallen in Wlz (overige is Zvw)]]</f>
        <v>0</v>
      </c>
    </row>
    <row r="819" spans="1:22" x14ac:dyDescent="0.5">
      <c r="A819" s="33" t="str">
        <f>INDEX(Technologieën[Veld],MATCH(B819,Technologieën[Digitale zorgtoepassing],0))</f>
        <v>Software - Diagnose</v>
      </c>
      <c r="B819" s="33" t="s">
        <v>473</v>
      </c>
      <c r="C819" s="33" t="s">
        <v>451</v>
      </c>
      <c r="D819" s="427" cm="1">
        <f t="array" ref="D819">INDEX(Berekening_patiëntaantal[Percentage van patiëntaantallen in Wlz (overige is Zvw)],MATCH(B819,IF(Berekening_patiëntaantal[Doelgroep (zoeksleutel)]=C819,Berekening_patiëntaantal[Digitale zorgtoepassing]),0))</f>
        <v>0</v>
      </c>
      <c r="E819" s="33" t="str" cm="1">
        <f t="array" ref="E819">INDEX(Berekening_patiëntaantal[Direct toepasbaar/extrapolatie/incidentie voor QALY],MATCH(B819,IF(Berekening_patiëntaantal[Doelgroep (zoeksleutel)]=C819,Berekening_patiëntaantal[Digitale zorgtoepassing]),0))</f>
        <v>Huidige toepassing</v>
      </c>
      <c r="F819" s="33" t="s">
        <v>813</v>
      </c>
      <c r="G819" s="33" t="str">
        <f>CONCATENATE(uitkomst_doelgroep[[#This Row],[Digitale zorgtoepassing]],"_",uitkomst_doelgroep[[#This Row],[Doelgroep]],"_",uitkomst_doelgroep[[#This Row],[Uitgangssituatie/effect beleid]])</f>
        <v>AI om diagnoses te stellen (CT)_CT scan_Longkanker_Uitgangssituatie</v>
      </c>
      <c r="H819" s="33">
        <v>2026</v>
      </c>
      <c r="I819" s="32">
        <v>4</v>
      </c>
      <c r="J819" s="406" cm="1">
        <f t="array" ref="J819">INDEX(implementatie[[2023]:[2034]],MATCH(G819, implementatie[Zoeksleutel],0),I819)</f>
        <v>0.79534156247800003</v>
      </c>
      <c r="K819" s="406" cm="1">
        <f t="array" ref="K819">INDEX(implementatie[[2023]:[2034]],MATCH(G819,implementatie[Zoeksleutel],0),I819 + 1)</f>
        <v>0.88286799634018676</v>
      </c>
      <c r="L81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58816.30388681058</v>
      </c>
      <c r="M819" s="398" cm="1">
        <f t="array" ref="M819">J819*INDEX(Berekening_impact[Totaal arbeidsbesparing (€/jaar)],MATCH(B819,IF(Berekening_impact[Doelgroep]=C819,Berekening_impact[Digitale zorgtoepassing]),0))</f>
        <v>186335.87520823482</v>
      </c>
      <c r="N819" s="397" cm="1">
        <f t="array" ref="N819">J819*INDEX(Berekening_impact[Totaal arbeidsbesparing (FTE/jaar)],MATCH(B819,IF(Berekening_impact[Doelgroep]=C819,Berekening_impact[Digitale zorgtoepassing]),0))</f>
        <v>0.98223541680631177</v>
      </c>
      <c r="O819" s="398" cm="1">
        <f t="array" ref="O819">J819*INDEX(Berekening_impact[Overige kostenbesparing (totaal/jaar totaal potentieel)],MATCH(B819,IF(Berekening_impact[Doelgroep]=C819,Berekening_impact[Digitale zorgtoepassing]),0))</f>
        <v>1670217.2812038001</v>
      </c>
      <c r="P819" s="398" cm="1">
        <f t="array" ref="P819">J819*INDEX(Berekening_impact[Opbrengsten door QALY''s],MATCH(B819,IF(Berekening_impact[Doelgroep]=C819,Berekening_impact[Digitale zorgtoepassing]),0))</f>
        <v>0</v>
      </c>
      <c r="Q819" s="398" cm="1">
        <f t="array" ref="Q819">J819*INDEX(Berekening_impact[Jaarlijkse kosten (totaal) - incl. schatting],MATCH(B819,IF(Berekening_impact[Doelgroep]=C819,Berekening_impact[Digitale zorgtoepassing]),0))</f>
        <v>775066.12084949284</v>
      </c>
      <c r="R819" s="398" cm="1">
        <f t="array" ref="R819">(uitkomst_doelgroep[[#This Row],[Implementatiegraad t = T + 1]]-uitkomst_doelgroep[[#This Row],[Implementatiegraad t = T]])*INDEX(Berekening_impact[Initiële investering (totaal) - incl. schatting],MATCH(B819,IF(Berekening_impact[Doelgroep]=C819,Berekening_impact[Digitale zorgtoepassing]),0))</f>
        <v>0</v>
      </c>
      <c r="S819" s="398">
        <f>uitkomst_doelgroep[[#This Row],[Arbeidsbesparing (€)]]*uitkomst_doelgroep[[#This Row],[Percentage van patiëntaantallen in Wlz (overige is Zvw)]]</f>
        <v>0</v>
      </c>
      <c r="T819" s="398">
        <f>uitkomst_doelgroep[[#This Row],[Overige besparingen (€)]]*uitkomst_doelgroep[[#This Row],[Percentage van patiëntaantallen in Wlz (overige is Zvw)]]</f>
        <v>0</v>
      </c>
      <c r="U819" s="398">
        <f>uitkomst_doelgroep[[#This Row],[Kosten (€)]]*uitkomst_doelgroep[[#This Row],[Percentage van patiëntaantallen in Wlz (overige is Zvw)]]</f>
        <v>0</v>
      </c>
      <c r="V819" s="398">
        <f>uitkomst_doelgroep[[#This Row],[Investering (cash flow) (€)]]*uitkomst_doelgroep[[#This Row],[Percentage van patiëntaantallen in Wlz (overige is Zvw)]]</f>
        <v>0</v>
      </c>
    </row>
    <row r="820" spans="1:22" x14ac:dyDescent="0.5">
      <c r="A820" s="33" t="str">
        <f>INDEX(Technologieën[Veld],MATCH(B820,Technologieën[Digitale zorgtoepassing],0))</f>
        <v>Software - Diagnose</v>
      </c>
      <c r="B820" s="33" t="s">
        <v>473</v>
      </c>
      <c r="C820" s="33" t="s">
        <v>464</v>
      </c>
      <c r="D820" s="427" cm="1">
        <f t="array" ref="D820">INDEX(Berekening_patiëntaantal[Percentage van patiëntaantallen in Wlz (overige is Zvw)],MATCH(B820,IF(Berekening_patiëntaantal[Doelgroep (zoeksleutel)]=C820,Berekening_patiëntaantal[Digitale zorgtoepassing]),0))</f>
        <v>0</v>
      </c>
      <c r="E820" s="33" t="str" cm="1">
        <f t="array" ref="E820">INDEX(Berekening_patiëntaantal[Direct toepasbaar/extrapolatie/incidentie voor QALY],MATCH(B820,IF(Berekening_patiëntaantal[Doelgroep (zoeksleutel)]=C820,Berekening_patiëntaantal[Digitale zorgtoepassing]),0))</f>
        <v>Extrapolatie</v>
      </c>
      <c r="F820" s="33" t="s">
        <v>813</v>
      </c>
      <c r="G820" s="33" t="str">
        <f>CONCATENATE(uitkomst_doelgroep[[#This Row],[Digitale zorgtoepassing]],"_",uitkomst_doelgroep[[#This Row],[Doelgroep]],"_",uitkomst_doelgroep[[#This Row],[Uitgangssituatie/effect beleid]])</f>
        <v>AI om diagnoses te stellen (CT)_CT scan_Overig_Uitgangssituatie</v>
      </c>
      <c r="H820" s="33">
        <v>2027</v>
      </c>
      <c r="I820" s="32">
        <v>5</v>
      </c>
      <c r="J820" s="406" cm="1">
        <f t="array" ref="J820">INDEX(implementatie[[2023]:[2034]],MATCH(G820, implementatie[Zoeksleutel],0),I820)</f>
        <v>0.03</v>
      </c>
      <c r="K820" s="406" cm="1">
        <f t="array" ref="K820">INDEX(implementatie[[2023]:[2034]],MATCH(G820,implementatie[Zoeksleutel],0),I820 + 1)</f>
        <v>7.3649999999999993E-2</v>
      </c>
      <c r="L82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57457.35</v>
      </c>
      <c r="M820" s="398" cm="1">
        <f t="array" ref="M820">J820*INDEX(Berekening_impact[Totaal arbeidsbesparing (€/jaar)],MATCH(B820,IF(Berekening_impact[Doelgroep]=C820,Berekening_impact[Digitale zorgtoepassing]),0))</f>
        <v>165023.58646439869</v>
      </c>
      <c r="N820" s="397" cm="1">
        <f t="array" ref="N820">J820*INDEX(Berekening_impact[Totaal arbeidsbesparing (FTE/jaar)],MATCH(B820,IF(Berekening_impact[Doelgroep]=C820,Berekening_impact[Digitale zorgtoepassing]),0))</f>
        <v>0.86989159254807669</v>
      </c>
      <c r="O820" s="398" cm="1">
        <f t="array" ref="O820">J820*INDEX(Berekening_impact[Overige kostenbesparing (totaal/jaar totaal potentieel)],MATCH(B820,IF(Berekening_impact[Doelgroep]=C820,Berekening_impact[Digitale zorgtoepassing]),0))</f>
        <v>0</v>
      </c>
      <c r="P820" s="398" cm="1">
        <f t="array" ref="P820">J820*INDEX(Berekening_impact[Opbrengsten door QALY''s],MATCH(B820,IF(Berekening_impact[Doelgroep]=C820,Berekening_impact[Digitale zorgtoepassing]),0))</f>
        <v>0</v>
      </c>
      <c r="Q820" s="398" cm="1">
        <f t="array" ref="Q820">J820*INDEX(Berekening_impact[Jaarlijkse kosten (totaal) - incl. schatting],MATCH(B820,IF(Berekening_impact[Doelgroep]=C820,Berekening_impact[Digitale zorgtoepassing]),0))</f>
        <v>229614.03712499994</v>
      </c>
      <c r="R820" s="398" cm="1">
        <f t="array" ref="R820">(uitkomst_doelgroep[[#This Row],[Implementatiegraad t = T + 1]]-uitkomst_doelgroep[[#This Row],[Implementatiegraad t = T]])*INDEX(Berekening_impact[Initiële investering (totaal) - incl. schatting],MATCH(B820,IF(Berekening_impact[Doelgroep]=C820,Berekening_impact[Digitale zorgtoepassing]),0))</f>
        <v>0</v>
      </c>
      <c r="S820" s="398">
        <f>uitkomst_doelgroep[[#This Row],[Arbeidsbesparing (€)]]*uitkomst_doelgroep[[#This Row],[Percentage van patiëntaantallen in Wlz (overige is Zvw)]]</f>
        <v>0</v>
      </c>
      <c r="T820" s="398">
        <f>uitkomst_doelgroep[[#This Row],[Overige besparingen (€)]]*uitkomst_doelgroep[[#This Row],[Percentage van patiëntaantallen in Wlz (overige is Zvw)]]</f>
        <v>0</v>
      </c>
      <c r="U820" s="398">
        <f>uitkomst_doelgroep[[#This Row],[Kosten (€)]]*uitkomst_doelgroep[[#This Row],[Percentage van patiëntaantallen in Wlz (overige is Zvw)]]</f>
        <v>0</v>
      </c>
      <c r="V820" s="398">
        <f>uitkomst_doelgroep[[#This Row],[Investering (cash flow) (€)]]*uitkomst_doelgroep[[#This Row],[Percentage van patiëntaantallen in Wlz (overige is Zvw)]]</f>
        <v>0</v>
      </c>
    </row>
    <row r="821" spans="1:22" x14ac:dyDescent="0.5">
      <c r="A821" s="33" t="str">
        <f>INDEX(Technologieën[Veld],MATCH(B821,Technologieën[Digitale zorgtoepassing],0))</f>
        <v>Software - Diagnose</v>
      </c>
      <c r="B821" s="33" t="s">
        <v>473</v>
      </c>
      <c r="C821" s="33" t="s">
        <v>455</v>
      </c>
      <c r="D821" s="427" cm="1">
        <f t="array" ref="D821">INDEX(Berekening_patiëntaantal[Percentage van patiëntaantallen in Wlz (overige is Zvw)],MATCH(B821,IF(Berekening_patiëntaantal[Doelgroep (zoeksleutel)]=C821,Berekening_patiëntaantal[Digitale zorgtoepassing]),0))</f>
        <v>0</v>
      </c>
      <c r="E821" s="33" t="str" cm="1">
        <f t="array" ref="E821">INDEX(Berekening_patiëntaantal[Direct toepasbaar/extrapolatie/incidentie voor QALY],MATCH(B821,IF(Berekening_patiëntaantal[Doelgroep (zoeksleutel)]=C821,Berekening_patiëntaantal[Digitale zorgtoepassing]),0))</f>
        <v>Huidige toepassing</v>
      </c>
      <c r="F821" s="33" t="s">
        <v>813</v>
      </c>
      <c r="G821" s="33" t="str">
        <f>CONCATENATE(uitkomst_doelgroep[[#This Row],[Digitale zorgtoepassing]],"_",uitkomst_doelgroep[[#This Row],[Doelgroep]],"_",uitkomst_doelgroep[[#This Row],[Uitgangssituatie/effect beleid]])</f>
        <v>AI om diagnoses te stellen (CT)_CT scan_Interstitiële longaandoening_Uitgangssituatie</v>
      </c>
      <c r="H821" s="33">
        <v>2027</v>
      </c>
      <c r="I821" s="32">
        <v>5</v>
      </c>
      <c r="J821" s="406" cm="1">
        <f t="array" ref="J821">INDEX(implementatie[[2023]:[2034]],MATCH(G821, implementatie[Zoeksleutel],0),I821)</f>
        <v>0.88286799634018676</v>
      </c>
      <c r="K821" s="406" cm="1">
        <f t="array" ref="K821">INDEX(implementatie[[2023]:[2034]],MATCH(G821,implementatie[Zoeksleutel],0),I821 + 1)</f>
        <v>0.93808800513920654</v>
      </c>
      <c r="L82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9538.5058324593774</v>
      </c>
      <c r="M821" s="398" cm="1">
        <f t="array" ref="M821">J821*INDEX(Berekening_impact[Totaal arbeidsbesparing (€/jaar)],MATCH(B821,IF(Berekening_impact[Doelgroep]=C821,Berekening_impact[Digitale zorgtoepassing]),0))</f>
        <v>21748.930792237403</v>
      </c>
      <c r="N821" s="397" cm="1">
        <f t="array" ref="N821">J821*INDEX(Berekening_impact[Totaal arbeidsbesparing (FTE/jaar)],MATCH(B821,IF(Berekening_impact[Doelgroep]=C821,Berekening_impact[Digitale zorgtoepassing]),0))</f>
        <v>0.11464550279398292</v>
      </c>
      <c r="O821" s="398" cm="1">
        <f t="array" ref="O821">J821*INDEX(Berekening_impact[Overige kostenbesparing (totaal/jaar totaal potentieel)],MATCH(B821,IF(Berekening_impact[Doelgroep]=C821,Berekening_impact[Digitale zorgtoepassing]),0))</f>
        <v>0</v>
      </c>
      <c r="P821" s="398" cm="1">
        <f t="array" ref="P821">J821*INDEX(Berekening_impact[Opbrengsten door QALY''s],MATCH(B821,IF(Berekening_impact[Doelgroep]=C821,Berekening_impact[Digitale zorgtoepassing]),0))</f>
        <v>0</v>
      </c>
      <c r="Q821" s="398" cm="1">
        <f t="array" ref="Q821">J821*INDEX(Berekening_impact[Jaarlijkse kosten (totaal) - incl. schatting],MATCH(B821,IF(Berekening_impact[Doelgroep]=C821,Berekening_impact[Digitale zorgtoepassing]),0))</f>
        <v>865968.29312758893</v>
      </c>
      <c r="R821" s="398" cm="1">
        <f t="array" ref="R821">(uitkomst_doelgroep[[#This Row],[Implementatiegraad t = T + 1]]-uitkomst_doelgroep[[#This Row],[Implementatiegraad t = T]])*INDEX(Berekening_impact[Initiële investering (totaal) - incl. schatting],MATCH(B821,IF(Berekening_impact[Doelgroep]=C821,Berekening_impact[Digitale zorgtoepassing]),0))</f>
        <v>0</v>
      </c>
      <c r="S821" s="398">
        <f>uitkomst_doelgroep[[#This Row],[Arbeidsbesparing (€)]]*uitkomst_doelgroep[[#This Row],[Percentage van patiëntaantallen in Wlz (overige is Zvw)]]</f>
        <v>0</v>
      </c>
      <c r="T821" s="398">
        <f>uitkomst_doelgroep[[#This Row],[Overige besparingen (€)]]*uitkomst_doelgroep[[#This Row],[Percentage van patiëntaantallen in Wlz (overige is Zvw)]]</f>
        <v>0</v>
      </c>
      <c r="U821" s="398">
        <f>uitkomst_doelgroep[[#This Row],[Kosten (€)]]*uitkomst_doelgroep[[#This Row],[Percentage van patiëntaantallen in Wlz (overige is Zvw)]]</f>
        <v>0</v>
      </c>
      <c r="V821" s="398">
        <f>uitkomst_doelgroep[[#This Row],[Investering (cash flow) (€)]]*uitkomst_doelgroep[[#This Row],[Percentage van patiëntaantallen in Wlz (overige is Zvw)]]</f>
        <v>0</v>
      </c>
    </row>
    <row r="822" spans="1:22" x14ac:dyDescent="0.5">
      <c r="A822" s="33" t="str">
        <f>INDEX(Technologieën[Veld],MATCH(B822,Technologieën[Digitale zorgtoepassing],0))</f>
        <v>Software - Diagnose</v>
      </c>
      <c r="B822" s="33" t="s">
        <v>473</v>
      </c>
      <c r="C822" s="33" t="s">
        <v>451</v>
      </c>
      <c r="D822" s="427" cm="1">
        <f t="array" ref="D822">INDEX(Berekening_patiëntaantal[Percentage van patiëntaantallen in Wlz (overige is Zvw)],MATCH(B822,IF(Berekening_patiëntaantal[Doelgroep (zoeksleutel)]=C822,Berekening_patiëntaantal[Digitale zorgtoepassing]),0))</f>
        <v>0</v>
      </c>
      <c r="E822" s="33" t="str" cm="1">
        <f t="array" ref="E822">INDEX(Berekening_patiëntaantal[Direct toepasbaar/extrapolatie/incidentie voor QALY],MATCH(B822,IF(Berekening_patiëntaantal[Doelgroep (zoeksleutel)]=C822,Berekening_patiëntaantal[Digitale zorgtoepassing]),0))</f>
        <v>Huidige toepassing</v>
      </c>
      <c r="F822" s="33" t="s">
        <v>813</v>
      </c>
      <c r="G822" s="33" t="str">
        <f>CONCATENATE(uitkomst_doelgroep[[#This Row],[Digitale zorgtoepassing]],"_",uitkomst_doelgroep[[#This Row],[Doelgroep]],"_",uitkomst_doelgroep[[#This Row],[Uitgangssituatie/effect beleid]])</f>
        <v>AI om diagnoses te stellen (CT)_CT scan_Longkanker_Uitgangssituatie</v>
      </c>
      <c r="H822" s="33">
        <v>2027</v>
      </c>
      <c r="I822" s="32">
        <v>5</v>
      </c>
      <c r="J822" s="406" cm="1">
        <f t="array" ref="J822">INDEX(implementatie[[2023]:[2034]],MATCH(G822, implementatie[Zoeksleutel],0),I822)</f>
        <v>0.88286799634018676</v>
      </c>
      <c r="K822" s="406" cm="1">
        <f t="array" ref="K822">INDEX(implementatie[[2023]:[2034]],MATCH(G822,implementatie[Zoeksleutel],0),I822 + 1)</f>
        <v>0.93808800513920654</v>
      </c>
      <c r="L82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65288.971197353152</v>
      </c>
      <c r="M822" s="398" cm="1">
        <f t="array" ref="M822">J822*INDEX(Berekening_impact[Totaal arbeidsbesparing (€/jaar)],MATCH(B822,IF(Berekening_impact[Doelgroep]=C822,Berekening_impact[Digitale zorgtoepassing]),0))</f>
        <v>206841.92622706029</v>
      </c>
      <c r="N822" s="397" cm="1">
        <f t="array" ref="N822">J822*INDEX(Berekening_impact[Totaal arbeidsbesparing (FTE/jaar)],MATCH(B822,IF(Berekening_impact[Doelgroep]=C822,Berekening_impact[Digitale zorgtoepassing]),0))</f>
        <v>1.0903293066545154</v>
      </c>
      <c r="O822" s="398" cm="1">
        <f t="array" ref="O822">J822*INDEX(Berekening_impact[Overige kostenbesparing (totaal/jaar totaal potentieel)],MATCH(B822,IF(Berekening_impact[Doelgroep]=C822,Berekening_impact[Digitale zorgtoepassing]),0))</f>
        <v>1854022.7923143923</v>
      </c>
      <c r="P822" s="398" cm="1">
        <f t="array" ref="P822">J822*INDEX(Berekening_impact[Opbrengsten door QALY''s],MATCH(B822,IF(Berekening_impact[Doelgroep]=C822,Berekening_impact[Digitale zorgtoepassing]),0))</f>
        <v>0</v>
      </c>
      <c r="Q822" s="398" cm="1">
        <f t="array" ref="Q822">J822*INDEX(Berekening_impact[Jaarlijkse kosten (totaal) - incl. schatting],MATCH(B822,IF(Berekening_impact[Doelgroep]=C822,Berekening_impact[Digitale zorgtoepassing]),0))</f>
        <v>860361.26543365535</v>
      </c>
      <c r="R822" s="398" cm="1">
        <f t="array" ref="R822">(uitkomst_doelgroep[[#This Row],[Implementatiegraad t = T + 1]]-uitkomst_doelgroep[[#This Row],[Implementatiegraad t = T]])*INDEX(Berekening_impact[Initiële investering (totaal) - incl. schatting],MATCH(B822,IF(Berekening_impact[Doelgroep]=C822,Berekening_impact[Digitale zorgtoepassing]),0))</f>
        <v>0</v>
      </c>
      <c r="S822" s="398">
        <f>uitkomst_doelgroep[[#This Row],[Arbeidsbesparing (€)]]*uitkomst_doelgroep[[#This Row],[Percentage van patiëntaantallen in Wlz (overige is Zvw)]]</f>
        <v>0</v>
      </c>
      <c r="T822" s="398">
        <f>uitkomst_doelgroep[[#This Row],[Overige besparingen (€)]]*uitkomst_doelgroep[[#This Row],[Percentage van patiëntaantallen in Wlz (overige is Zvw)]]</f>
        <v>0</v>
      </c>
      <c r="U822" s="398">
        <f>uitkomst_doelgroep[[#This Row],[Kosten (€)]]*uitkomst_doelgroep[[#This Row],[Percentage van patiëntaantallen in Wlz (overige is Zvw)]]</f>
        <v>0</v>
      </c>
      <c r="V822" s="398">
        <f>uitkomst_doelgroep[[#This Row],[Investering (cash flow) (€)]]*uitkomst_doelgroep[[#This Row],[Percentage van patiëntaantallen in Wlz (overige is Zvw)]]</f>
        <v>0</v>
      </c>
    </row>
    <row r="823" spans="1:22" x14ac:dyDescent="0.5">
      <c r="A823" s="33" t="str">
        <f>INDEX(Technologieën[Veld],MATCH(B823,Technologieën[Digitale zorgtoepassing],0))</f>
        <v>Software - Diagnose</v>
      </c>
      <c r="B823" s="33" t="s">
        <v>473</v>
      </c>
      <c r="C823" s="33" t="s">
        <v>464</v>
      </c>
      <c r="D823" s="427" cm="1">
        <f t="array" ref="D823">INDEX(Berekening_patiëntaantal[Percentage van patiëntaantallen in Wlz (overige is Zvw)],MATCH(B823,IF(Berekening_patiëntaantal[Doelgroep (zoeksleutel)]=C823,Berekening_patiëntaantal[Digitale zorgtoepassing]),0))</f>
        <v>0</v>
      </c>
      <c r="E823" s="33" t="str" cm="1">
        <f t="array" ref="E823">INDEX(Berekening_patiëntaantal[Direct toepasbaar/extrapolatie/incidentie voor QALY],MATCH(B823,IF(Berekening_patiëntaantal[Doelgroep (zoeksleutel)]=C823,Berekening_patiëntaantal[Digitale zorgtoepassing]),0))</f>
        <v>Extrapolatie</v>
      </c>
      <c r="F823" s="33" t="s">
        <v>813</v>
      </c>
      <c r="G823" s="33" t="str">
        <f>CONCATENATE(uitkomst_doelgroep[[#This Row],[Digitale zorgtoepassing]],"_",uitkomst_doelgroep[[#This Row],[Doelgroep]],"_",uitkomst_doelgroep[[#This Row],[Uitgangssituatie/effect beleid]])</f>
        <v>AI om diagnoses te stellen (CT)_CT scan_Overig_Uitgangssituatie</v>
      </c>
      <c r="H823" s="33">
        <v>2028</v>
      </c>
      <c r="I823" s="32">
        <v>6</v>
      </c>
      <c r="J823" s="406" cm="1">
        <f t="array" ref="J823">INDEX(implementatie[[2023]:[2034]],MATCH(G823, implementatie[Zoeksleutel],0),I823)</f>
        <v>7.3649999999999993E-2</v>
      </c>
      <c r="K823" s="406" cm="1">
        <f t="array" ref="K823">INDEX(implementatie[[2023]:[2034]],MATCH(G823,implementatie[Zoeksleutel],0),I823 + 1)</f>
        <v>0.13555333874999997</v>
      </c>
      <c r="L82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141057.79424999998</v>
      </c>
      <c r="M823" s="398" cm="1">
        <f t="array" ref="M823">J823*INDEX(Berekening_impact[Totaal arbeidsbesparing (€/jaar)],MATCH(B823,IF(Berekening_impact[Doelgroep]=C823,Berekening_impact[Digitale zorgtoepassing]),0))</f>
        <v>405132.90477009874</v>
      </c>
      <c r="N823" s="397" cm="1">
        <f t="array" ref="N823">J823*INDEX(Berekening_impact[Totaal arbeidsbesparing (FTE/jaar)],MATCH(B823,IF(Berekening_impact[Doelgroep]=C823,Berekening_impact[Digitale zorgtoepassing]),0))</f>
        <v>2.1355838597055281</v>
      </c>
      <c r="O823" s="398" cm="1">
        <f t="array" ref="O823">J823*INDEX(Berekening_impact[Overige kostenbesparing (totaal/jaar totaal potentieel)],MATCH(B823,IF(Berekening_impact[Doelgroep]=C823,Berekening_impact[Digitale zorgtoepassing]),0))</f>
        <v>0</v>
      </c>
      <c r="P823" s="398" cm="1">
        <f t="array" ref="P823">J823*INDEX(Berekening_impact[Opbrengsten door QALY''s],MATCH(B823,IF(Berekening_impact[Doelgroep]=C823,Berekening_impact[Digitale zorgtoepassing]),0))</f>
        <v>0</v>
      </c>
      <c r="Q823" s="398" cm="1">
        <f t="array" ref="Q823">J823*INDEX(Berekening_impact[Jaarlijkse kosten (totaal) - incl. schatting],MATCH(B823,IF(Berekening_impact[Doelgroep]=C823,Berekening_impact[Digitale zorgtoepassing]),0))</f>
        <v>563702.4611418749</v>
      </c>
      <c r="R823" s="398" cm="1">
        <f t="array" ref="R823">(uitkomst_doelgroep[[#This Row],[Implementatiegraad t = T + 1]]-uitkomst_doelgroep[[#This Row],[Implementatiegraad t = T]])*INDEX(Berekening_impact[Initiële investering (totaal) - incl. schatting],MATCH(B823,IF(Berekening_impact[Doelgroep]=C823,Berekening_impact[Digitale zorgtoepassing]),0))</f>
        <v>0</v>
      </c>
      <c r="S823" s="398">
        <f>uitkomst_doelgroep[[#This Row],[Arbeidsbesparing (€)]]*uitkomst_doelgroep[[#This Row],[Percentage van patiëntaantallen in Wlz (overige is Zvw)]]</f>
        <v>0</v>
      </c>
      <c r="T823" s="398">
        <f>uitkomst_doelgroep[[#This Row],[Overige besparingen (€)]]*uitkomst_doelgroep[[#This Row],[Percentage van patiëntaantallen in Wlz (overige is Zvw)]]</f>
        <v>0</v>
      </c>
      <c r="U823" s="398">
        <f>uitkomst_doelgroep[[#This Row],[Kosten (€)]]*uitkomst_doelgroep[[#This Row],[Percentage van patiëntaantallen in Wlz (overige is Zvw)]]</f>
        <v>0</v>
      </c>
      <c r="V823" s="398">
        <f>uitkomst_doelgroep[[#This Row],[Investering (cash flow) (€)]]*uitkomst_doelgroep[[#This Row],[Percentage van patiëntaantallen in Wlz (overige is Zvw)]]</f>
        <v>0</v>
      </c>
    </row>
    <row r="824" spans="1:22" x14ac:dyDescent="0.5">
      <c r="A824" s="33" t="str">
        <f>INDEX(Technologieën[Veld],MATCH(B824,Technologieën[Digitale zorgtoepassing],0))</f>
        <v>Software - Diagnose</v>
      </c>
      <c r="B824" s="33" t="s">
        <v>473</v>
      </c>
      <c r="C824" s="33" t="s">
        <v>455</v>
      </c>
      <c r="D824" s="427" cm="1">
        <f t="array" ref="D824">INDEX(Berekening_patiëntaantal[Percentage van patiëntaantallen in Wlz (overige is Zvw)],MATCH(B824,IF(Berekening_patiëntaantal[Doelgroep (zoeksleutel)]=C824,Berekening_patiëntaantal[Digitale zorgtoepassing]),0))</f>
        <v>0</v>
      </c>
      <c r="E824" s="33" t="str" cm="1">
        <f t="array" ref="E824">INDEX(Berekening_patiëntaantal[Direct toepasbaar/extrapolatie/incidentie voor QALY],MATCH(B824,IF(Berekening_patiëntaantal[Doelgroep (zoeksleutel)]=C824,Berekening_patiëntaantal[Digitale zorgtoepassing]),0))</f>
        <v>Huidige toepassing</v>
      </c>
      <c r="F824" s="33" t="s">
        <v>813</v>
      </c>
      <c r="G824" s="33" t="str">
        <f>CONCATENATE(uitkomst_doelgroep[[#This Row],[Digitale zorgtoepassing]],"_",uitkomst_doelgroep[[#This Row],[Doelgroep]],"_",uitkomst_doelgroep[[#This Row],[Uitgangssituatie/effect beleid]])</f>
        <v>AI om diagnoses te stellen (CT)_CT scan_Interstitiële longaandoening_Uitgangssituatie</v>
      </c>
      <c r="H824" s="33">
        <v>2028</v>
      </c>
      <c r="I824" s="32">
        <v>6</v>
      </c>
      <c r="J824" s="406" cm="1">
        <f t="array" ref="J824">INDEX(implementatie[[2023]:[2034]],MATCH(G824, implementatie[Zoeksleutel],0),I824)</f>
        <v>0.93808800513920654</v>
      </c>
      <c r="K824" s="406" cm="1">
        <f t="array" ref="K824">INDEX(implementatie[[2023]:[2034]],MATCH(G824,implementatie[Zoeksleutel],0),I824 + 1)</f>
        <v>0.96898481486160559</v>
      </c>
      <c r="L82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10135.102807523988</v>
      </c>
      <c r="M824" s="398" cm="1">
        <f t="array" ref="M824">J824*INDEX(Berekening_impact[Totaal arbeidsbesparing (€/jaar)],MATCH(B824,IF(Berekening_impact[Doelgroep]=C824,Berekening_impact[Digitale zorgtoepassing]),0))</f>
        <v>23109.243041288351</v>
      </c>
      <c r="N824" s="397" cm="1">
        <f t="array" ref="N824">J824*INDEX(Berekening_impact[Totaal arbeidsbesparing (FTE/jaar)],MATCH(B824,IF(Berekening_impact[Doelgroep]=C824,Berekening_impact[Digitale zorgtoepassing]),0))</f>
        <v>0.12181613951350947</v>
      </c>
      <c r="O824" s="398" cm="1">
        <f t="array" ref="O824">J824*INDEX(Berekening_impact[Overige kostenbesparing (totaal/jaar totaal potentieel)],MATCH(B824,IF(Berekening_impact[Doelgroep]=C824,Berekening_impact[Digitale zorgtoepassing]),0))</f>
        <v>0</v>
      </c>
      <c r="P824" s="398" cm="1">
        <f t="array" ref="P824">J824*INDEX(Berekening_impact[Opbrengsten door QALY''s],MATCH(B824,IF(Berekening_impact[Doelgroep]=C824,Berekening_impact[Digitale zorgtoepassing]),0))</f>
        <v>0</v>
      </c>
      <c r="Q824" s="398" cm="1">
        <f t="array" ref="Q824">J824*INDEX(Berekening_impact[Jaarlijkse kosten (totaal) - incl. schatting],MATCH(B824,IF(Berekening_impact[Doelgroep]=C824,Berekening_impact[Digitale zorgtoepassing]),0))</f>
        <v>920131.29027371272</v>
      </c>
      <c r="R824" s="398" cm="1">
        <f t="array" ref="R824">(uitkomst_doelgroep[[#This Row],[Implementatiegraad t = T + 1]]-uitkomst_doelgroep[[#This Row],[Implementatiegraad t = T]])*INDEX(Berekening_impact[Initiële investering (totaal) - incl. schatting],MATCH(B824,IF(Berekening_impact[Doelgroep]=C824,Berekening_impact[Digitale zorgtoepassing]),0))</f>
        <v>0</v>
      </c>
      <c r="S824" s="398">
        <f>uitkomst_doelgroep[[#This Row],[Arbeidsbesparing (€)]]*uitkomst_doelgroep[[#This Row],[Percentage van patiëntaantallen in Wlz (overige is Zvw)]]</f>
        <v>0</v>
      </c>
      <c r="T824" s="398">
        <f>uitkomst_doelgroep[[#This Row],[Overige besparingen (€)]]*uitkomst_doelgroep[[#This Row],[Percentage van patiëntaantallen in Wlz (overige is Zvw)]]</f>
        <v>0</v>
      </c>
      <c r="U824" s="398">
        <f>uitkomst_doelgroep[[#This Row],[Kosten (€)]]*uitkomst_doelgroep[[#This Row],[Percentage van patiëntaantallen in Wlz (overige is Zvw)]]</f>
        <v>0</v>
      </c>
      <c r="V824" s="398">
        <f>uitkomst_doelgroep[[#This Row],[Investering (cash flow) (€)]]*uitkomst_doelgroep[[#This Row],[Percentage van patiëntaantallen in Wlz (overige is Zvw)]]</f>
        <v>0</v>
      </c>
    </row>
    <row r="825" spans="1:22" x14ac:dyDescent="0.5">
      <c r="A825" s="33" t="str">
        <f>INDEX(Technologieën[Veld],MATCH(B825,Technologieën[Digitale zorgtoepassing],0))</f>
        <v>Software - Diagnose</v>
      </c>
      <c r="B825" s="33" t="s">
        <v>473</v>
      </c>
      <c r="C825" s="33" t="s">
        <v>451</v>
      </c>
      <c r="D825" s="427" cm="1">
        <f t="array" ref="D825">INDEX(Berekening_patiëntaantal[Percentage van patiëntaantallen in Wlz (overige is Zvw)],MATCH(B825,IF(Berekening_patiëntaantal[Doelgroep (zoeksleutel)]=C825,Berekening_patiëntaantal[Digitale zorgtoepassing]),0))</f>
        <v>0</v>
      </c>
      <c r="E825" s="33" t="str" cm="1">
        <f t="array" ref="E825">INDEX(Berekening_patiëntaantal[Direct toepasbaar/extrapolatie/incidentie voor QALY],MATCH(B825,IF(Berekening_patiëntaantal[Doelgroep (zoeksleutel)]=C825,Berekening_patiëntaantal[Digitale zorgtoepassing]),0))</f>
        <v>Huidige toepassing</v>
      </c>
      <c r="F825" s="33" t="s">
        <v>813</v>
      </c>
      <c r="G825" s="33" t="str">
        <f>CONCATENATE(uitkomst_doelgroep[[#This Row],[Digitale zorgtoepassing]],"_",uitkomst_doelgroep[[#This Row],[Doelgroep]],"_",uitkomst_doelgroep[[#This Row],[Uitgangssituatie/effect beleid]])</f>
        <v>AI om diagnoses te stellen (CT)_CT scan_Longkanker_Uitgangssituatie</v>
      </c>
      <c r="H825" s="33">
        <v>2028</v>
      </c>
      <c r="I825" s="32">
        <v>6</v>
      </c>
      <c r="J825" s="406" cm="1">
        <f t="array" ref="J825">INDEX(implementatie[[2023]:[2034]],MATCH(G825, implementatie[Zoeksleutel],0),I825)</f>
        <v>0.93808800513920654</v>
      </c>
      <c r="K825" s="406" cm="1">
        <f t="array" ref="K825">INDEX(implementatie[[2023]:[2034]],MATCH(G825,implementatie[Zoeksleutel],0),I825 + 1)</f>
        <v>0.96898481486160559</v>
      </c>
      <c r="L82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69372.546068049458</v>
      </c>
      <c r="M825" s="398" cm="1">
        <f t="array" ref="M825">J825*INDEX(Berekening_impact[Totaal arbeidsbesparing (€/jaar)],MATCH(B825,IF(Berekening_impact[Doelgroep]=C825,Berekening_impact[Digitale zorgtoepassing]),0))</f>
        <v>219779.0958080306</v>
      </c>
      <c r="N825" s="397" cm="1">
        <f t="array" ref="N825">J825*INDEX(Berekening_impact[Totaal arbeidsbesparing (FTE/jaar)],MATCH(B825,IF(Berekening_impact[Doelgroep]=C825,Berekening_impact[Digitale zorgtoepassing]),0))</f>
        <v>1.158525225134827</v>
      </c>
      <c r="O825" s="398" cm="1">
        <f t="array" ref="O825">J825*INDEX(Berekening_impact[Overige kostenbesparing (totaal/jaar totaal potentieel)],MATCH(B825,IF(Berekening_impact[Doelgroep]=C825,Berekening_impact[Digitale zorgtoepassing]),0))</f>
        <v>1969984.8107923337</v>
      </c>
      <c r="P825" s="398" cm="1">
        <f t="array" ref="P825">J825*INDEX(Berekening_impact[Opbrengsten door QALY''s],MATCH(B825,IF(Berekening_impact[Doelgroep]=C825,Berekening_impact[Digitale zorgtoepassing]),0))</f>
        <v>0</v>
      </c>
      <c r="Q825" s="398" cm="1">
        <f t="array" ref="Q825">J825*INDEX(Berekening_impact[Jaarlijkse kosten (totaal) - incl. schatting],MATCH(B825,IF(Berekening_impact[Doelgroep]=C825,Berekening_impact[Digitale zorgtoepassing]),0))</f>
        <v>914173.564491414</v>
      </c>
      <c r="R825" s="398" cm="1">
        <f t="array" ref="R825">(uitkomst_doelgroep[[#This Row],[Implementatiegraad t = T + 1]]-uitkomst_doelgroep[[#This Row],[Implementatiegraad t = T]])*INDEX(Berekening_impact[Initiële investering (totaal) - incl. schatting],MATCH(B825,IF(Berekening_impact[Doelgroep]=C825,Berekening_impact[Digitale zorgtoepassing]),0))</f>
        <v>0</v>
      </c>
      <c r="S825" s="398">
        <f>uitkomst_doelgroep[[#This Row],[Arbeidsbesparing (€)]]*uitkomst_doelgroep[[#This Row],[Percentage van patiëntaantallen in Wlz (overige is Zvw)]]</f>
        <v>0</v>
      </c>
      <c r="T825" s="398">
        <f>uitkomst_doelgroep[[#This Row],[Overige besparingen (€)]]*uitkomst_doelgroep[[#This Row],[Percentage van patiëntaantallen in Wlz (overige is Zvw)]]</f>
        <v>0</v>
      </c>
      <c r="U825" s="398">
        <f>uitkomst_doelgroep[[#This Row],[Kosten (€)]]*uitkomst_doelgroep[[#This Row],[Percentage van patiëntaantallen in Wlz (overige is Zvw)]]</f>
        <v>0</v>
      </c>
      <c r="V825" s="398">
        <f>uitkomst_doelgroep[[#This Row],[Investering (cash flow) (€)]]*uitkomst_doelgroep[[#This Row],[Percentage van patiëntaantallen in Wlz (overige is Zvw)]]</f>
        <v>0</v>
      </c>
    </row>
    <row r="826" spans="1:22" x14ac:dyDescent="0.5">
      <c r="A826" s="33" t="str">
        <f>INDEX(Technologieën[Veld],MATCH(B826,Technologieën[Digitale zorgtoepassing],0))</f>
        <v>Software - Diagnose</v>
      </c>
      <c r="B826" s="33" t="s">
        <v>473</v>
      </c>
      <c r="C826" s="33" t="s">
        <v>464</v>
      </c>
      <c r="D826" s="427" cm="1">
        <f t="array" ref="D826">INDEX(Berekening_patiëntaantal[Percentage van patiëntaantallen in Wlz (overige is Zvw)],MATCH(B826,IF(Berekening_patiëntaantal[Doelgroep (zoeksleutel)]=C826,Berekening_patiëntaantal[Digitale zorgtoepassing]),0))</f>
        <v>0</v>
      </c>
      <c r="E826" s="33" t="str" cm="1">
        <f t="array" ref="E826">INDEX(Berekening_patiëntaantal[Direct toepasbaar/extrapolatie/incidentie voor QALY],MATCH(B826,IF(Berekening_patiëntaantal[Doelgroep (zoeksleutel)]=C826,Berekening_patiëntaantal[Digitale zorgtoepassing]),0))</f>
        <v>Extrapolatie</v>
      </c>
      <c r="F826" s="33" t="s">
        <v>813</v>
      </c>
      <c r="G826" s="33" t="str">
        <f>CONCATENATE(uitkomst_doelgroep[[#This Row],[Digitale zorgtoepassing]],"_",uitkomst_doelgroep[[#This Row],[Doelgroep]],"_",uitkomst_doelgroep[[#This Row],[Uitgangssituatie/effect beleid]])</f>
        <v>AI om diagnoses te stellen (CT)_CT scan_Overig_Uitgangssituatie</v>
      </c>
      <c r="H826" s="33">
        <v>2029</v>
      </c>
      <c r="I826" s="32">
        <v>7</v>
      </c>
      <c r="J826" s="406" cm="1">
        <f t="array" ref="J826">INDEX(implementatie[[2023]:[2034]],MATCH(G826, implementatie[Zoeksleutel],0),I826)</f>
        <v>0.13555333874999997</v>
      </c>
      <c r="K826" s="406" cm="1">
        <f t="array" ref="K826">INDEX(implementatie[[2023]:[2034]],MATCH(G826,implementatie[Zoeksleutel],0),I826 + 1)</f>
        <v>0.22007605413936385</v>
      </c>
      <c r="L82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259617.8542742437</v>
      </c>
      <c r="M826" s="398" cm="1">
        <f t="array" ref="M826">J826*INDEX(Berekening_impact[Totaal arbeidsbesparing (€/jaar)],MATCH(B826,IF(Berekening_impact[Doelgroep]=C826,Berekening_impact[Digitale zorgtoepassing]),0))</f>
        <v>745649.93725828477</v>
      </c>
      <c r="N826" s="397" cm="1">
        <f t="array" ref="N826">J826*INDEX(Berekening_impact[Totaal arbeidsbesparing (FTE/jaar)],MATCH(B826,IF(Berekening_impact[Doelgroep]=C826,Berekening_impact[Digitale zorgtoepassing]),0))</f>
        <v>3.9305569906815467</v>
      </c>
      <c r="O826" s="398" cm="1">
        <f t="array" ref="O826">J826*INDEX(Berekening_impact[Overige kostenbesparing (totaal/jaar totaal potentieel)],MATCH(B826,IF(Berekening_impact[Doelgroep]=C826,Berekening_impact[Digitale zorgtoepassing]),0))</f>
        <v>0</v>
      </c>
      <c r="P826" s="398" cm="1">
        <f t="array" ref="P826">J826*INDEX(Berekening_impact[Opbrengsten door QALY''s],MATCH(B826,IF(Berekening_impact[Doelgroep]=C826,Berekening_impact[Digitale zorgtoepassing]),0))</f>
        <v>0</v>
      </c>
      <c r="Q826" s="398" cm="1">
        <f t="array" ref="Q826">J826*INDEX(Berekening_impact[Jaarlijkse kosten (totaal) - incl. schatting],MATCH(B826,IF(Berekening_impact[Doelgroep]=C826,Berekening_impact[Digitale zorgtoepassing]),0))</f>
        <v>1037498.3118720064</v>
      </c>
      <c r="R826" s="398" cm="1">
        <f t="array" ref="R826">(uitkomst_doelgroep[[#This Row],[Implementatiegraad t = T + 1]]-uitkomst_doelgroep[[#This Row],[Implementatiegraad t = T]])*INDEX(Berekening_impact[Initiële investering (totaal) - incl. schatting],MATCH(B826,IF(Berekening_impact[Doelgroep]=C826,Berekening_impact[Digitale zorgtoepassing]),0))</f>
        <v>0</v>
      </c>
      <c r="S826" s="398">
        <f>uitkomst_doelgroep[[#This Row],[Arbeidsbesparing (€)]]*uitkomst_doelgroep[[#This Row],[Percentage van patiëntaantallen in Wlz (overige is Zvw)]]</f>
        <v>0</v>
      </c>
      <c r="T826" s="398">
        <f>uitkomst_doelgroep[[#This Row],[Overige besparingen (€)]]*uitkomst_doelgroep[[#This Row],[Percentage van patiëntaantallen in Wlz (overige is Zvw)]]</f>
        <v>0</v>
      </c>
      <c r="U826" s="398">
        <f>uitkomst_doelgroep[[#This Row],[Kosten (€)]]*uitkomst_doelgroep[[#This Row],[Percentage van patiëntaantallen in Wlz (overige is Zvw)]]</f>
        <v>0</v>
      </c>
      <c r="V826" s="398">
        <f>uitkomst_doelgroep[[#This Row],[Investering (cash flow) (€)]]*uitkomst_doelgroep[[#This Row],[Percentage van patiëntaantallen in Wlz (overige is Zvw)]]</f>
        <v>0</v>
      </c>
    </row>
    <row r="827" spans="1:22" x14ac:dyDescent="0.5">
      <c r="A827" s="33" t="str">
        <f>INDEX(Technologieën[Veld],MATCH(B827,Technologieën[Digitale zorgtoepassing],0))</f>
        <v>Software - Diagnose</v>
      </c>
      <c r="B827" s="33" t="s">
        <v>473</v>
      </c>
      <c r="C827" s="33" t="s">
        <v>455</v>
      </c>
      <c r="D827" s="427" cm="1">
        <f t="array" ref="D827">INDEX(Berekening_patiëntaantal[Percentage van patiëntaantallen in Wlz (overige is Zvw)],MATCH(B827,IF(Berekening_patiëntaantal[Doelgroep (zoeksleutel)]=C827,Berekening_patiëntaantal[Digitale zorgtoepassing]),0))</f>
        <v>0</v>
      </c>
      <c r="E827" s="33" t="str" cm="1">
        <f t="array" ref="E827">INDEX(Berekening_patiëntaantal[Direct toepasbaar/extrapolatie/incidentie voor QALY],MATCH(B827,IF(Berekening_patiëntaantal[Doelgroep (zoeksleutel)]=C827,Berekening_patiëntaantal[Digitale zorgtoepassing]),0))</f>
        <v>Huidige toepassing</v>
      </c>
      <c r="F827" s="33" t="s">
        <v>813</v>
      </c>
      <c r="G827" s="33" t="str">
        <f>CONCATENATE(uitkomst_doelgroep[[#This Row],[Digitale zorgtoepassing]],"_",uitkomst_doelgroep[[#This Row],[Doelgroep]],"_",uitkomst_doelgroep[[#This Row],[Uitgangssituatie/effect beleid]])</f>
        <v>AI om diagnoses te stellen (CT)_CT scan_Interstitiële longaandoening_Uitgangssituatie</v>
      </c>
      <c r="H827" s="33">
        <v>2029</v>
      </c>
      <c r="I827" s="32">
        <v>7</v>
      </c>
      <c r="J827" s="406" cm="1">
        <f t="array" ref="J827">INDEX(implementatie[[2023]:[2034]],MATCH(G827, implementatie[Zoeksleutel],0),I827)</f>
        <v>0.96898481486160559</v>
      </c>
      <c r="K827" s="406" cm="1">
        <f t="array" ref="K827">INDEX(implementatie[[2023]:[2034]],MATCH(G827,implementatie[Zoeksleutel],0),I827 + 1)</f>
        <v>0.9849418921303702</v>
      </c>
      <c r="L82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10468.911939764786</v>
      </c>
      <c r="M827" s="398" cm="1">
        <f t="array" ref="M827">J827*INDEX(Berekening_impact[Totaal arbeidsbesparing (€/jaar)],MATCH(B827,IF(Berekening_impact[Doelgroep]=C827,Berekening_impact[Digitale zorgtoepassing]),0))</f>
        <v>23870.367670495612</v>
      </c>
      <c r="N827" s="397" cm="1">
        <f t="array" ref="N827">J827*INDEX(Berekening_impact[Totaal arbeidsbesparing (FTE/jaar)],MATCH(B827,IF(Berekening_impact[Doelgroep]=C827,Berekening_impact[Digitale zorgtoepassing]),0))</f>
        <v>0.12582826850678833</v>
      </c>
      <c r="O827" s="398" cm="1">
        <f t="array" ref="O827">J827*INDEX(Berekening_impact[Overige kostenbesparing (totaal/jaar totaal potentieel)],MATCH(B827,IF(Berekening_impact[Doelgroep]=C827,Berekening_impact[Digitale zorgtoepassing]),0))</f>
        <v>0</v>
      </c>
      <c r="P827" s="398" cm="1">
        <f t="array" ref="P827">J827*INDEX(Berekening_impact[Opbrengsten door QALY''s],MATCH(B827,IF(Berekening_impact[Doelgroep]=C827,Berekening_impact[Digitale zorgtoepassing]),0))</f>
        <v>0</v>
      </c>
      <c r="Q827" s="398" cm="1">
        <f t="array" ref="Q827">J827*INDEX(Berekening_impact[Jaarlijkse kosten (totaal) - incl. schatting],MATCH(B827,IF(Berekening_impact[Doelgroep]=C827,Berekening_impact[Digitale zorgtoepassing]),0))</f>
        <v>950436.67872284201</v>
      </c>
      <c r="R827" s="398" cm="1">
        <f t="array" ref="R827">(uitkomst_doelgroep[[#This Row],[Implementatiegraad t = T + 1]]-uitkomst_doelgroep[[#This Row],[Implementatiegraad t = T]])*INDEX(Berekening_impact[Initiële investering (totaal) - incl. schatting],MATCH(B827,IF(Berekening_impact[Doelgroep]=C827,Berekening_impact[Digitale zorgtoepassing]),0))</f>
        <v>0</v>
      </c>
      <c r="S827" s="398">
        <f>uitkomst_doelgroep[[#This Row],[Arbeidsbesparing (€)]]*uitkomst_doelgroep[[#This Row],[Percentage van patiëntaantallen in Wlz (overige is Zvw)]]</f>
        <v>0</v>
      </c>
      <c r="T827" s="398">
        <f>uitkomst_doelgroep[[#This Row],[Overige besparingen (€)]]*uitkomst_doelgroep[[#This Row],[Percentage van patiëntaantallen in Wlz (overige is Zvw)]]</f>
        <v>0</v>
      </c>
      <c r="U827" s="398">
        <f>uitkomst_doelgroep[[#This Row],[Kosten (€)]]*uitkomst_doelgroep[[#This Row],[Percentage van patiëntaantallen in Wlz (overige is Zvw)]]</f>
        <v>0</v>
      </c>
      <c r="V827" s="398">
        <f>uitkomst_doelgroep[[#This Row],[Investering (cash flow) (€)]]*uitkomst_doelgroep[[#This Row],[Percentage van patiëntaantallen in Wlz (overige is Zvw)]]</f>
        <v>0</v>
      </c>
    </row>
    <row r="828" spans="1:22" x14ac:dyDescent="0.5">
      <c r="A828" s="33" t="str">
        <f>INDEX(Technologieën[Veld],MATCH(B828,Technologieën[Digitale zorgtoepassing],0))</f>
        <v>Software - Diagnose</v>
      </c>
      <c r="B828" s="33" t="s">
        <v>473</v>
      </c>
      <c r="C828" s="33" t="s">
        <v>451</v>
      </c>
      <c r="D828" s="427" cm="1">
        <f t="array" ref="D828">INDEX(Berekening_patiëntaantal[Percentage van patiëntaantallen in Wlz (overige is Zvw)],MATCH(B828,IF(Berekening_patiëntaantal[Doelgroep (zoeksleutel)]=C828,Berekening_patiëntaantal[Digitale zorgtoepassing]),0))</f>
        <v>0</v>
      </c>
      <c r="E828" s="33" t="str" cm="1">
        <f t="array" ref="E828">INDEX(Berekening_patiëntaantal[Direct toepasbaar/extrapolatie/incidentie voor QALY],MATCH(B828,IF(Berekening_patiëntaantal[Doelgroep (zoeksleutel)]=C828,Berekening_patiëntaantal[Digitale zorgtoepassing]),0))</f>
        <v>Huidige toepassing</v>
      </c>
      <c r="F828" s="33" t="s">
        <v>813</v>
      </c>
      <c r="G828" s="33" t="str">
        <f>CONCATENATE(uitkomst_doelgroep[[#This Row],[Digitale zorgtoepassing]],"_",uitkomst_doelgroep[[#This Row],[Doelgroep]],"_",uitkomst_doelgroep[[#This Row],[Uitgangssituatie/effect beleid]])</f>
        <v>AI om diagnoses te stellen (CT)_CT scan_Longkanker_Uitgangssituatie</v>
      </c>
      <c r="H828" s="33">
        <v>2029</v>
      </c>
      <c r="I828" s="32">
        <v>7</v>
      </c>
      <c r="J828" s="406" cm="1">
        <f t="array" ref="J828">INDEX(implementatie[[2023]:[2034]],MATCH(G828, implementatie[Zoeksleutel],0),I828)</f>
        <v>0.96898481486160559</v>
      </c>
      <c r="K828" s="406" cm="1">
        <f t="array" ref="K828">INDEX(implementatie[[2023]:[2034]],MATCH(G828,implementatie[Zoeksleutel],0),I828 + 1)</f>
        <v>0.9849418921303702</v>
      </c>
      <c r="L82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71657.396043830595</v>
      </c>
      <c r="M828" s="398" cm="1">
        <f t="array" ref="M828">J828*INDEX(Berekening_impact[Totaal arbeidsbesparing (€/jaar)],MATCH(B828,IF(Berekening_impact[Doelgroep]=C828,Berekening_impact[Digitale zorgtoepassing]),0))</f>
        <v>227017.72679674468</v>
      </c>
      <c r="N828" s="397" cm="1">
        <f t="array" ref="N828">J828*INDEX(Berekening_impact[Totaal arbeidsbesparing (FTE/jaar)],MATCH(B828,IF(Berekening_impact[Doelgroep]=C828,Berekening_impact[Digitale zorgtoepassing]),0))</f>
        <v>1.1966823417843238</v>
      </c>
      <c r="O828" s="398" cm="1">
        <f t="array" ref="O828">J828*INDEX(Berekening_impact[Overige kostenbesparing (totaal/jaar totaal potentieel)],MATCH(B828,IF(Berekening_impact[Doelgroep]=C828,Berekening_impact[Digitale zorgtoepassing]),0))</f>
        <v>2034868.1112093718</v>
      </c>
      <c r="P828" s="398" cm="1">
        <f t="array" ref="P828">J828*INDEX(Berekening_impact[Opbrengsten door QALY''s],MATCH(B828,IF(Berekening_impact[Doelgroep]=C828,Berekening_impact[Digitale zorgtoepassing]),0))</f>
        <v>0</v>
      </c>
      <c r="Q828" s="398" cm="1">
        <f t="array" ref="Q828">J828*INDEX(Berekening_impact[Jaarlijkse kosten (totaal) - incl. schatting],MATCH(B828,IF(Berekening_impact[Doelgroep]=C828,Berekening_impact[Digitale zorgtoepassing]),0))</f>
        <v>944282.72964500438</v>
      </c>
      <c r="R828" s="398" cm="1">
        <f t="array" ref="R828">(uitkomst_doelgroep[[#This Row],[Implementatiegraad t = T + 1]]-uitkomst_doelgroep[[#This Row],[Implementatiegraad t = T]])*INDEX(Berekening_impact[Initiële investering (totaal) - incl. schatting],MATCH(B828,IF(Berekening_impact[Doelgroep]=C828,Berekening_impact[Digitale zorgtoepassing]),0))</f>
        <v>0</v>
      </c>
      <c r="S828" s="398">
        <f>uitkomst_doelgroep[[#This Row],[Arbeidsbesparing (€)]]*uitkomst_doelgroep[[#This Row],[Percentage van patiëntaantallen in Wlz (overige is Zvw)]]</f>
        <v>0</v>
      </c>
      <c r="T828" s="398">
        <f>uitkomst_doelgroep[[#This Row],[Overige besparingen (€)]]*uitkomst_doelgroep[[#This Row],[Percentage van patiëntaantallen in Wlz (overige is Zvw)]]</f>
        <v>0</v>
      </c>
      <c r="U828" s="398">
        <f>uitkomst_doelgroep[[#This Row],[Kosten (€)]]*uitkomst_doelgroep[[#This Row],[Percentage van patiëntaantallen in Wlz (overige is Zvw)]]</f>
        <v>0</v>
      </c>
      <c r="V828" s="398">
        <f>uitkomst_doelgroep[[#This Row],[Investering (cash flow) (€)]]*uitkomst_doelgroep[[#This Row],[Percentage van patiëntaantallen in Wlz (overige is Zvw)]]</f>
        <v>0</v>
      </c>
    </row>
    <row r="829" spans="1:22" x14ac:dyDescent="0.5">
      <c r="A829" s="33" t="str">
        <f>INDEX(Technologieën[Veld],MATCH(B829,Technologieën[Digitale zorgtoepassing],0))</f>
        <v>Software - Diagnose</v>
      </c>
      <c r="B829" s="33" t="s">
        <v>473</v>
      </c>
      <c r="C829" s="33" t="s">
        <v>464</v>
      </c>
      <c r="D829" s="427" cm="1">
        <f t="array" ref="D829">INDEX(Berekening_patiëntaantal[Percentage van patiëntaantallen in Wlz (overige is Zvw)],MATCH(B829,IF(Berekening_patiëntaantal[Doelgroep (zoeksleutel)]=C829,Berekening_patiëntaantal[Digitale zorgtoepassing]),0))</f>
        <v>0</v>
      </c>
      <c r="E829" s="33" t="str" cm="1">
        <f t="array" ref="E829">INDEX(Berekening_patiëntaantal[Direct toepasbaar/extrapolatie/incidentie voor QALY],MATCH(B829,IF(Berekening_patiëntaantal[Doelgroep (zoeksleutel)]=C829,Berekening_patiëntaantal[Digitale zorgtoepassing]),0))</f>
        <v>Extrapolatie</v>
      </c>
      <c r="F829" s="33" t="s">
        <v>813</v>
      </c>
      <c r="G829" s="33" t="str">
        <f>CONCATENATE(uitkomst_doelgroep[[#This Row],[Digitale zorgtoepassing]],"_",uitkomst_doelgroep[[#This Row],[Doelgroep]],"_",uitkomst_doelgroep[[#This Row],[Uitgangssituatie/effect beleid]])</f>
        <v>AI om diagnoses te stellen (CT)_CT scan_Overig_Uitgangssituatie</v>
      </c>
      <c r="H829" s="33">
        <v>2030</v>
      </c>
      <c r="I829" s="32">
        <v>8</v>
      </c>
      <c r="J829" s="406" cm="1">
        <f t="array" ref="J829">INDEX(implementatie[[2023]:[2034]],MATCH(G829, implementatie[Zoeksleutel],0),I829)</f>
        <v>0.22007605413936385</v>
      </c>
      <c r="K829" s="406" cm="1">
        <f t="array" ref="K829">INDEX(implementatie[[2023]:[2034]],MATCH(G829,implementatie[Zoeksleutel],0),I829 + 1)</f>
        <v>0.32929506478208875</v>
      </c>
      <c r="L82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421499.56231014594</v>
      </c>
      <c r="M829" s="398" cm="1">
        <f t="array" ref="M829">J829*INDEX(Berekening_impact[Totaal arbeidsbesparing (€/jaar)],MATCH(B829,IF(Berekening_impact[Doelgroep]=C829,Berekening_impact[Digitale zorgtoepassing]),0))</f>
        <v>1210591.3249670332</v>
      </c>
      <c r="N829" s="397" cm="1">
        <f t="array" ref="N829">J829*INDEX(Berekening_impact[Totaal arbeidsbesparing (FTE/jaar)],MATCH(B829,IF(Berekening_impact[Doelgroep]=C829,Berekening_impact[Digitale zorgtoepassing]),0))</f>
        <v>6.3814103072329322</v>
      </c>
      <c r="O829" s="398" cm="1">
        <f t="array" ref="O829">J829*INDEX(Berekening_impact[Overige kostenbesparing (totaal/jaar totaal potentieel)],MATCH(B829,IF(Berekening_impact[Doelgroep]=C829,Berekening_impact[Digitale zorgtoepassing]),0))</f>
        <v>0</v>
      </c>
      <c r="P829" s="398" cm="1">
        <f t="array" ref="P829">J829*INDEX(Berekening_impact[Opbrengsten door QALY''s],MATCH(B829,IF(Berekening_impact[Doelgroep]=C829,Berekening_impact[Digitale zorgtoepassing]),0))</f>
        <v>0</v>
      </c>
      <c r="Q829" s="398" cm="1">
        <f t="array" ref="Q829">J829*INDEX(Berekening_impact[Jaarlijkse kosten (totaal) - incl. schatting],MATCH(B829,IF(Berekening_impact[Doelgroep]=C829,Berekening_impact[Digitale zorgtoepassing]),0))</f>
        <v>1684418.3755159797</v>
      </c>
      <c r="R829" s="398" cm="1">
        <f t="array" ref="R829">(uitkomst_doelgroep[[#This Row],[Implementatiegraad t = T + 1]]-uitkomst_doelgroep[[#This Row],[Implementatiegraad t = T]])*INDEX(Berekening_impact[Initiële investering (totaal) - incl. schatting],MATCH(B829,IF(Berekening_impact[Doelgroep]=C829,Berekening_impact[Digitale zorgtoepassing]),0))</f>
        <v>0</v>
      </c>
      <c r="S829" s="398">
        <f>uitkomst_doelgroep[[#This Row],[Arbeidsbesparing (€)]]*uitkomst_doelgroep[[#This Row],[Percentage van patiëntaantallen in Wlz (overige is Zvw)]]</f>
        <v>0</v>
      </c>
      <c r="T829" s="398">
        <f>uitkomst_doelgroep[[#This Row],[Overige besparingen (€)]]*uitkomst_doelgroep[[#This Row],[Percentage van patiëntaantallen in Wlz (overige is Zvw)]]</f>
        <v>0</v>
      </c>
      <c r="U829" s="398">
        <f>uitkomst_doelgroep[[#This Row],[Kosten (€)]]*uitkomst_doelgroep[[#This Row],[Percentage van patiëntaantallen in Wlz (overige is Zvw)]]</f>
        <v>0</v>
      </c>
      <c r="V829" s="398">
        <f>uitkomst_doelgroep[[#This Row],[Investering (cash flow) (€)]]*uitkomst_doelgroep[[#This Row],[Percentage van patiëntaantallen in Wlz (overige is Zvw)]]</f>
        <v>0</v>
      </c>
    </row>
    <row r="830" spans="1:22" x14ac:dyDescent="0.5">
      <c r="A830" s="33" t="str">
        <f>INDEX(Technologieën[Veld],MATCH(B830,Technologieën[Digitale zorgtoepassing],0))</f>
        <v>Software - Diagnose</v>
      </c>
      <c r="B830" s="33" t="s">
        <v>473</v>
      </c>
      <c r="C830" s="33" t="s">
        <v>455</v>
      </c>
      <c r="D830" s="427" cm="1">
        <f t="array" ref="D830">INDEX(Berekening_patiëntaantal[Percentage van patiëntaantallen in Wlz (overige is Zvw)],MATCH(B830,IF(Berekening_patiëntaantal[Doelgroep (zoeksleutel)]=C830,Berekening_patiëntaantal[Digitale zorgtoepassing]),0))</f>
        <v>0</v>
      </c>
      <c r="E830" s="33" t="str" cm="1">
        <f t="array" ref="E830">INDEX(Berekening_patiëntaantal[Direct toepasbaar/extrapolatie/incidentie voor QALY],MATCH(B830,IF(Berekening_patiëntaantal[Doelgroep (zoeksleutel)]=C830,Berekening_patiëntaantal[Digitale zorgtoepassing]),0))</f>
        <v>Huidige toepassing</v>
      </c>
      <c r="F830" s="33" t="s">
        <v>813</v>
      </c>
      <c r="G830" s="33" t="str">
        <f>CONCATENATE(uitkomst_doelgroep[[#This Row],[Digitale zorgtoepassing]],"_",uitkomst_doelgroep[[#This Row],[Doelgroep]],"_",uitkomst_doelgroep[[#This Row],[Uitgangssituatie/effect beleid]])</f>
        <v>AI om diagnoses te stellen (CT)_CT scan_Interstitiële longaandoening_Uitgangssituatie</v>
      </c>
      <c r="H830" s="33">
        <v>2030</v>
      </c>
      <c r="I830" s="32">
        <v>8</v>
      </c>
      <c r="J830" s="406" cm="1">
        <f t="array" ref="J830">INDEX(implementatie[[2023]:[2034]],MATCH(G830, implementatie[Zoeksleutel],0),I830)</f>
        <v>0.9849418921303702</v>
      </c>
      <c r="K830" s="406" cm="1">
        <f t="array" ref="K830">INDEX(implementatie[[2023]:[2034]],MATCH(G830,implementatie[Zoeksleutel],0),I830 + 1)</f>
        <v>0.99280931599496725</v>
      </c>
      <c r="L83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10641.312202576519</v>
      </c>
      <c r="M830" s="398" cm="1">
        <f t="array" ref="M830">J830*INDEX(Berekening_impact[Totaal arbeidsbesparing (€/jaar)],MATCH(B830,IF(Berekening_impact[Doelgroep]=C830,Berekening_impact[Digitale zorgtoepassing]),0))</f>
        <v>24263.460828933108</v>
      </c>
      <c r="N830" s="397" cm="1">
        <f t="array" ref="N830">J830*INDEX(Berekening_impact[Totaal arbeidsbesparing (FTE/jaar)],MATCH(B830,IF(Berekening_impact[Doelgroep]=C830,Berekening_impact[Digitale zorgtoepassing]),0))</f>
        <v>0.12790038705019857</v>
      </c>
      <c r="O830" s="398" cm="1">
        <f t="array" ref="O830">J830*INDEX(Berekening_impact[Overige kostenbesparing (totaal/jaar totaal potentieel)],MATCH(B830,IF(Berekening_impact[Doelgroep]=C830,Berekening_impact[Digitale zorgtoepassing]),0))</f>
        <v>0</v>
      </c>
      <c r="P830" s="398" cm="1">
        <f t="array" ref="P830">J830*INDEX(Berekening_impact[Opbrengsten door QALY''s],MATCH(B830,IF(Berekening_impact[Doelgroep]=C830,Berekening_impact[Digitale zorgtoepassing]),0))</f>
        <v>0</v>
      </c>
      <c r="Q830" s="398" cm="1">
        <f t="array" ref="Q830">J830*INDEX(Berekening_impact[Jaarlijkse kosten (totaal) - incl. schatting],MATCH(B830,IF(Berekening_impact[Doelgroep]=C830,Berekening_impact[Digitale zorgtoepassing]),0))</f>
        <v>966088.30843761156</v>
      </c>
      <c r="R830" s="398" cm="1">
        <f t="array" ref="R830">(uitkomst_doelgroep[[#This Row],[Implementatiegraad t = T + 1]]-uitkomst_doelgroep[[#This Row],[Implementatiegraad t = T]])*INDEX(Berekening_impact[Initiële investering (totaal) - incl. schatting],MATCH(B830,IF(Berekening_impact[Doelgroep]=C830,Berekening_impact[Digitale zorgtoepassing]),0))</f>
        <v>0</v>
      </c>
      <c r="S830" s="398">
        <f>uitkomst_doelgroep[[#This Row],[Arbeidsbesparing (€)]]*uitkomst_doelgroep[[#This Row],[Percentage van patiëntaantallen in Wlz (overige is Zvw)]]</f>
        <v>0</v>
      </c>
      <c r="T830" s="398">
        <f>uitkomst_doelgroep[[#This Row],[Overige besparingen (€)]]*uitkomst_doelgroep[[#This Row],[Percentage van patiëntaantallen in Wlz (overige is Zvw)]]</f>
        <v>0</v>
      </c>
      <c r="U830" s="398">
        <f>uitkomst_doelgroep[[#This Row],[Kosten (€)]]*uitkomst_doelgroep[[#This Row],[Percentage van patiëntaantallen in Wlz (overige is Zvw)]]</f>
        <v>0</v>
      </c>
      <c r="V830" s="398">
        <f>uitkomst_doelgroep[[#This Row],[Investering (cash flow) (€)]]*uitkomst_doelgroep[[#This Row],[Percentage van patiëntaantallen in Wlz (overige is Zvw)]]</f>
        <v>0</v>
      </c>
    </row>
    <row r="831" spans="1:22" x14ac:dyDescent="0.5">
      <c r="A831" s="33" t="str">
        <f>INDEX(Technologieën[Veld],MATCH(B831,Technologieën[Digitale zorgtoepassing],0))</f>
        <v>Software - Diagnose</v>
      </c>
      <c r="B831" s="33" t="s">
        <v>473</v>
      </c>
      <c r="C831" s="33" t="s">
        <v>451</v>
      </c>
      <c r="D831" s="427" cm="1">
        <f t="array" ref="D831">INDEX(Berekening_patiëntaantal[Percentage van patiëntaantallen in Wlz (overige is Zvw)],MATCH(B831,IF(Berekening_patiëntaantal[Doelgroep (zoeksleutel)]=C831,Berekening_patiëntaantal[Digitale zorgtoepassing]),0))</f>
        <v>0</v>
      </c>
      <c r="E831" s="33" t="str" cm="1">
        <f t="array" ref="E831">INDEX(Berekening_patiëntaantal[Direct toepasbaar/extrapolatie/incidentie voor QALY],MATCH(B831,IF(Berekening_patiëntaantal[Doelgroep (zoeksleutel)]=C831,Berekening_patiëntaantal[Digitale zorgtoepassing]),0))</f>
        <v>Huidige toepassing</v>
      </c>
      <c r="F831" s="33" t="s">
        <v>813</v>
      </c>
      <c r="G831" s="33" t="str">
        <f>CONCATENATE(uitkomst_doelgroep[[#This Row],[Digitale zorgtoepassing]],"_",uitkomst_doelgroep[[#This Row],[Doelgroep]],"_",uitkomst_doelgroep[[#This Row],[Uitgangssituatie/effect beleid]])</f>
        <v>AI om diagnoses te stellen (CT)_CT scan_Longkanker_Uitgangssituatie</v>
      </c>
      <c r="H831" s="33">
        <v>2030</v>
      </c>
      <c r="I831" s="32">
        <v>8</v>
      </c>
      <c r="J831" s="406" cm="1">
        <f t="array" ref="J831">INDEX(implementatie[[2023]:[2034]],MATCH(G831, implementatie[Zoeksleutel],0),I831)</f>
        <v>0.9849418921303702</v>
      </c>
      <c r="K831" s="406" cm="1">
        <f t="array" ref="K831">INDEX(implementatie[[2023]:[2034]],MATCH(G831,implementatie[Zoeksleutel],0),I831 + 1)</f>
        <v>0.99280931599496725</v>
      </c>
      <c r="L83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72837.437864933003</v>
      </c>
      <c r="M831" s="398" cm="1">
        <f t="array" ref="M831">J831*INDEX(Berekening_impact[Totaal arbeidsbesparing (€/jaar)],MATCH(B831,IF(Berekening_impact[Doelgroep]=C831,Berekening_impact[Digitale zorgtoepassing]),0))</f>
        <v>230756.21614385827</v>
      </c>
      <c r="N831" s="397" cm="1">
        <f t="array" ref="N831">J831*INDEX(Berekening_impact[Totaal arbeidsbesparing (FTE/jaar)],MATCH(B831,IF(Berekening_impact[Doelgroep]=C831,Berekening_impact[Digitale zorgtoepassing]),0))</f>
        <v>1.216389103233156</v>
      </c>
      <c r="O831" s="398" cm="1">
        <f t="array" ref="O831">J831*INDEX(Berekening_impact[Overige kostenbesparing (totaal/jaar totaal potentieel)],MATCH(B831,IF(Berekening_impact[Doelgroep]=C831,Berekening_impact[Digitale zorgtoepassing]),0))</f>
        <v>2068377.9734737775</v>
      </c>
      <c r="P831" s="398" cm="1">
        <f t="array" ref="P831">J831*INDEX(Berekening_impact[Opbrengsten door QALY''s],MATCH(B831,IF(Berekening_impact[Doelgroep]=C831,Berekening_impact[Digitale zorgtoepassing]),0))</f>
        <v>0</v>
      </c>
      <c r="Q831" s="398" cm="1">
        <f t="array" ref="Q831">J831*INDEX(Berekening_impact[Jaarlijkse kosten (totaal) - incl. schatting],MATCH(B831,IF(Berekening_impact[Doelgroep]=C831,Berekening_impact[Digitale zorgtoepassing]),0))</f>
        <v>959833.01717211842</v>
      </c>
      <c r="R831" s="398" cm="1">
        <f t="array" ref="R831">(uitkomst_doelgroep[[#This Row],[Implementatiegraad t = T + 1]]-uitkomst_doelgroep[[#This Row],[Implementatiegraad t = T]])*INDEX(Berekening_impact[Initiële investering (totaal) - incl. schatting],MATCH(B831,IF(Berekening_impact[Doelgroep]=C831,Berekening_impact[Digitale zorgtoepassing]),0))</f>
        <v>0</v>
      </c>
      <c r="S831" s="398">
        <f>uitkomst_doelgroep[[#This Row],[Arbeidsbesparing (€)]]*uitkomst_doelgroep[[#This Row],[Percentage van patiëntaantallen in Wlz (overige is Zvw)]]</f>
        <v>0</v>
      </c>
      <c r="T831" s="398">
        <f>uitkomst_doelgroep[[#This Row],[Overige besparingen (€)]]*uitkomst_doelgroep[[#This Row],[Percentage van patiëntaantallen in Wlz (overige is Zvw)]]</f>
        <v>0</v>
      </c>
      <c r="U831" s="398">
        <f>uitkomst_doelgroep[[#This Row],[Kosten (€)]]*uitkomst_doelgroep[[#This Row],[Percentage van patiëntaantallen in Wlz (overige is Zvw)]]</f>
        <v>0</v>
      </c>
      <c r="V831" s="398">
        <f>uitkomst_doelgroep[[#This Row],[Investering (cash flow) (€)]]*uitkomst_doelgroep[[#This Row],[Percentage van patiëntaantallen in Wlz (overige is Zvw)]]</f>
        <v>0</v>
      </c>
    </row>
    <row r="832" spans="1:22" x14ac:dyDescent="0.5">
      <c r="A832" s="33" t="str">
        <f>INDEX(Technologieën[Veld],MATCH(B832,Technologieën[Digitale zorgtoepassing],0))</f>
        <v>Software - Diagnose</v>
      </c>
      <c r="B832" s="33" t="s">
        <v>473</v>
      </c>
      <c r="C832" s="33" t="s">
        <v>464</v>
      </c>
      <c r="D832" s="427" cm="1">
        <f t="array" ref="D832">INDEX(Berekening_patiëntaantal[Percentage van patiëntaantallen in Wlz (overige is Zvw)],MATCH(B832,IF(Berekening_patiëntaantal[Doelgroep (zoeksleutel)]=C832,Berekening_patiëntaantal[Digitale zorgtoepassing]),0))</f>
        <v>0</v>
      </c>
      <c r="E832" s="33" t="str" cm="1">
        <f t="array" ref="E832">INDEX(Berekening_patiëntaantal[Direct toepasbaar/extrapolatie/incidentie voor QALY],MATCH(B832,IF(Berekening_patiëntaantal[Doelgroep (zoeksleutel)]=C832,Berekening_patiëntaantal[Digitale zorgtoepassing]),0))</f>
        <v>Extrapolatie</v>
      </c>
      <c r="F832" s="33" t="s">
        <v>813</v>
      </c>
      <c r="G832" s="33" t="str">
        <f>CONCATENATE(uitkomst_doelgroep[[#This Row],[Digitale zorgtoepassing]],"_",uitkomst_doelgroep[[#This Row],[Doelgroep]],"_",uitkomst_doelgroep[[#This Row],[Uitgangssituatie/effect beleid]])</f>
        <v>AI om diagnoses te stellen (CT)_CT scan_Overig_Uitgangssituatie</v>
      </c>
      <c r="H832" s="33">
        <v>2031</v>
      </c>
      <c r="I832" s="32">
        <v>9</v>
      </c>
      <c r="J832" s="406" cm="1">
        <f t="array" ref="J832">INDEX(implementatie[[2023]:[2034]],MATCH(G832, implementatie[Zoeksleutel],0),I832)</f>
        <v>0.32929506478208875</v>
      </c>
      <c r="K832" s="406" cm="1">
        <f t="array" ref="K832">INDEX(implementatie[[2023]:[2034]],MATCH(G832,implementatie[Zoeksleutel],0),I832 + 1)</f>
        <v>0.4598461253847505</v>
      </c>
      <c r="L83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630680.7263485716</v>
      </c>
      <c r="M832" s="398" cm="1">
        <f t="array" ref="M832">J832*INDEX(Berekening_impact[Totaal arbeidsbesparing (€/jaar)],MATCH(B832,IF(Berekening_impact[Doelgroep]=C832,Berekening_impact[Digitale zorgtoepassing]),0))</f>
        <v>1811381.7531788929</v>
      </c>
      <c r="N832" s="397" cm="1">
        <f t="array" ref="N832">J832*INDEX(Berekening_impact[Totaal arbeidsbesparing (FTE/jaar)],MATCH(B832,IF(Berekening_impact[Doelgroep]=C832,Berekening_impact[Digitale zorgtoepassing]),0))</f>
        <v>9.5483669440504428</v>
      </c>
      <c r="O832" s="398" cm="1">
        <f t="array" ref="O832">J832*INDEX(Berekening_impact[Overige kostenbesparing (totaal/jaar totaal potentieel)],MATCH(B832,IF(Berekening_impact[Doelgroep]=C832,Berekening_impact[Digitale zorgtoepassing]),0))</f>
        <v>0</v>
      </c>
      <c r="P832" s="398" cm="1">
        <f t="array" ref="P832">J832*INDEX(Berekening_impact[Opbrengsten door QALY''s],MATCH(B832,IF(Berekening_impact[Doelgroep]=C832,Berekening_impact[Digitale zorgtoepassing]),0))</f>
        <v>0</v>
      </c>
      <c r="Q832" s="398" cm="1">
        <f t="array" ref="Q832">J832*INDEX(Berekening_impact[Jaarlijkse kosten (totaal) - incl. schatting],MATCH(B832,IF(Berekening_impact[Doelgroep]=C832,Berekening_impact[Digitale zorgtoepassing]),0))</f>
        <v>2520358.9743317934</v>
      </c>
      <c r="R832" s="398" cm="1">
        <f t="array" ref="R832">(uitkomst_doelgroep[[#This Row],[Implementatiegraad t = T + 1]]-uitkomst_doelgroep[[#This Row],[Implementatiegraad t = T]])*INDEX(Berekening_impact[Initiële investering (totaal) - incl. schatting],MATCH(B832,IF(Berekening_impact[Doelgroep]=C832,Berekening_impact[Digitale zorgtoepassing]),0))</f>
        <v>0</v>
      </c>
      <c r="S832" s="398">
        <f>uitkomst_doelgroep[[#This Row],[Arbeidsbesparing (€)]]*uitkomst_doelgroep[[#This Row],[Percentage van patiëntaantallen in Wlz (overige is Zvw)]]</f>
        <v>0</v>
      </c>
      <c r="T832" s="398">
        <f>uitkomst_doelgroep[[#This Row],[Overige besparingen (€)]]*uitkomst_doelgroep[[#This Row],[Percentage van patiëntaantallen in Wlz (overige is Zvw)]]</f>
        <v>0</v>
      </c>
      <c r="U832" s="398">
        <f>uitkomst_doelgroep[[#This Row],[Kosten (€)]]*uitkomst_doelgroep[[#This Row],[Percentage van patiëntaantallen in Wlz (overige is Zvw)]]</f>
        <v>0</v>
      </c>
      <c r="V832" s="398">
        <f>uitkomst_doelgroep[[#This Row],[Investering (cash flow) (€)]]*uitkomst_doelgroep[[#This Row],[Percentage van patiëntaantallen in Wlz (overige is Zvw)]]</f>
        <v>0</v>
      </c>
    </row>
    <row r="833" spans="1:22" x14ac:dyDescent="0.5">
      <c r="A833" s="33" t="str">
        <f>INDEX(Technologieën[Veld],MATCH(B833,Technologieën[Digitale zorgtoepassing],0))</f>
        <v>Software - Diagnose</v>
      </c>
      <c r="B833" s="33" t="s">
        <v>473</v>
      </c>
      <c r="C833" s="33" t="s">
        <v>455</v>
      </c>
      <c r="D833" s="427" cm="1">
        <f t="array" ref="D833">INDEX(Berekening_patiëntaantal[Percentage van patiëntaantallen in Wlz (overige is Zvw)],MATCH(B833,IF(Berekening_patiëntaantal[Doelgroep (zoeksleutel)]=C833,Berekening_patiëntaantal[Digitale zorgtoepassing]),0))</f>
        <v>0</v>
      </c>
      <c r="E833" s="33" t="str" cm="1">
        <f t="array" ref="E833">INDEX(Berekening_patiëntaantal[Direct toepasbaar/extrapolatie/incidentie voor QALY],MATCH(B833,IF(Berekening_patiëntaantal[Doelgroep (zoeksleutel)]=C833,Berekening_patiëntaantal[Digitale zorgtoepassing]),0))</f>
        <v>Huidige toepassing</v>
      </c>
      <c r="F833" s="33" t="s">
        <v>813</v>
      </c>
      <c r="G833" s="33" t="str">
        <f>CONCATENATE(uitkomst_doelgroep[[#This Row],[Digitale zorgtoepassing]],"_",uitkomst_doelgroep[[#This Row],[Doelgroep]],"_",uitkomst_doelgroep[[#This Row],[Uitgangssituatie/effect beleid]])</f>
        <v>AI om diagnoses te stellen (CT)_CT scan_Interstitiële longaandoening_Uitgangssituatie</v>
      </c>
      <c r="H833" s="33">
        <v>2031</v>
      </c>
      <c r="I833" s="32">
        <v>9</v>
      </c>
      <c r="J833" s="406" cm="1">
        <f t="array" ref="J833">INDEX(implementatie[[2023]:[2034]],MATCH(G833, implementatie[Zoeksleutel],0),I833)</f>
        <v>0.99280931599496725</v>
      </c>
      <c r="K833" s="406" cm="1">
        <f t="array" ref="K833">INDEX(implementatie[[2023]:[2034]],MATCH(G833,implementatie[Zoeksleutel],0),I833 + 1)</f>
        <v>0.99659452554940442</v>
      </c>
      <c r="L83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10726.311850009626</v>
      </c>
      <c r="M833" s="398" cm="1">
        <f t="array" ref="M833">J833*INDEX(Berekening_impact[Totaal arbeidsbesparing (€/jaar)],MATCH(B833,IF(Berekening_impact[Doelgroep]=C833,Berekening_impact[Digitale zorgtoepassing]),0))</f>
        <v>24457.270161532801</v>
      </c>
      <c r="N833" s="397" cm="1">
        <f t="array" ref="N833">J833*INDEX(Berekening_impact[Totaal arbeidsbesparing (FTE/jaar)],MATCH(B833,IF(Berekening_impact[Doelgroep]=C833,Berekening_impact[Digitale zorgtoepassing]),0))</f>
        <v>0.12892201742800033</v>
      </c>
      <c r="O833" s="398" cm="1">
        <f t="array" ref="O833">J833*INDEX(Berekening_impact[Overige kostenbesparing (totaal/jaar totaal potentieel)],MATCH(B833,IF(Berekening_impact[Doelgroep]=C833,Berekening_impact[Digitale zorgtoepassing]),0))</f>
        <v>0</v>
      </c>
      <c r="P833" s="398" cm="1">
        <f t="array" ref="P833">J833*INDEX(Berekening_impact[Opbrengsten door QALY''s],MATCH(B833,IF(Berekening_impact[Doelgroep]=C833,Berekening_impact[Digitale zorgtoepassing]),0))</f>
        <v>0</v>
      </c>
      <c r="Q833" s="398" cm="1">
        <f t="array" ref="Q833">J833*INDEX(Berekening_impact[Jaarlijkse kosten (totaal) - incl. schatting],MATCH(B833,IF(Berekening_impact[Doelgroep]=C833,Berekening_impact[Digitale zorgtoepassing]),0))</f>
        <v>973805.13546450401</v>
      </c>
      <c r="R833" s="398" cm="1">
        <f t="array" ref="R833">(uitkomst_doelgroep[[#This Row],[Implementatiegraad t = T + 1]]-uitkomst_doelgroep[[#This Row],[Implementatiegraad t = T]])*INDEX(Berekening_impact[Initiële investering (totaal) - incl. schatting],MATCH(B833,IF(Berekening_impact[Doelgroep]=C833,Berekening_impact[Digitale zorgtoepassing]),0))</f>
        <v>0</v>
      </c>
      <c r="S833" s="398">
        <f>uitkomst_doelgroep[[#This Row],[Arbeidsbesparing (€)]]*uitkomst_doelgroep[[#This Row],[Percentage van patiëntaantallen in Wlz (overige is Zvw)]]</f>
        <v>0</v>
      </c>
      <c r="T833" s="398">
        <f>uitkomst_doelgroep[[#This Row],[Overige besparingen (€)]]*uitkomst_doelgroep[[#This Row],[Percentage van patiëntaantallen in Wlz (overige is Zvw)]]</f>
        <v>0</v>
      </c>
      <c r="U833" s="398">
        <f>uitkomst_doelgroep[[#This Row],[Kosten (€)]]*uitkomst_doelgroep[[#This Row],[Percentage van patiëntaantallen in Wlz (overige is Zvw)]]</f>
        <v>0</v>
      </c>
      <c r="V833" s="398">
        <f>uitkomst_doelgroep[[#This Row],[Investering (cash flow) (€)]]*uitkomst_doelgroep[[#This Row],[Percentage van patiëntaantallen in Wlz (overige is Zvw)]]</f>
        <v>0</v>
      </c>
    </row>
    <row r="834" spans="1:22" x14ac:dyDescent="0.5">
      <c r="A834" s="33" t="str">
        <f>INDEX(Technologieën[Veld],MATCH(B834,Technologieën[Digitale zorgtoepassing],0))</f>
        <v>Software - Diagnose</v>
      </c>
      <c r="B834" s="33" t="s">
        <v>473</v>
      </c>
      <c r="C834" s="33" t="s">
        <v>451</v>
      </c>
      <c r="D834" s="427" cm="1">
        <f t="array" ref="D834">INDEX(Berekening_patiëntaantal[Percentage van patiëntaantallen in Wlz (overige is Zvw)],MATCH(B834,IF(Berekening_patiëntaantal[Doelgroep (zoeksleutel)]=C834,Berekening_patiëntaantal[Digitale zorgtoepassing]),0))</f>
        <v>0</v>
      </c>
      <c r="E834" s="33" t="str" cm="1">
        <f t="array" ref="E834">INDEX(Berekening_patiëntaantal[Direct toepasbaar/extrapolatie/incidentie voor QALY],MATCH(B834,IF(Berekening_patiëntaantal[Doelgroep (zoeksleutel)]=C834,Berekening_patiëntaantal[Digitale zorgtoepassing]),0))</f>
        <v>Huidige toepassing</v>
      </c>
      <c r="F834" s="33" t="s">
        <v>813</v>
      </c>
      <c r="G834" s="33" t="str">
        <f>CONCATENATE(uitkomst_doelgroep[[#This Row],[Digitale zorgtoepassing]],"_",uitkomst_doelgroep[[#This Row],[Doelgroep]],"_",uitkomst_doelgroep[[#This Row],[Uitgangssituatie/effect beleid]])</f>
        <v>AI om diagnoses te stellen (CT)_CT scan_Longkanker_Uitgangssituatie</v>
      </c>
      <c r="H834" s="33">
        <v>2031</v>
      </c>
      <c r="I834" s="32">
        <v>9</v>
      </c>
      <c r="J834" s="406" cm="1">
        <f t="array" ref="J834">INDEX(implementatie[[2023]:[2034]],MATCH(G834, implementatie[Zoeksleutel],0),I834)</f>
        <v>0.99280931599496725</v>
      </c>
      <c r="K834" s="406" cm="1">
        <f t="array" ref="K834">INDEX(implementatie[[2023]:[2034]],MATCH(G834,implementatie[Zoeksleutel],0),I834 + 1)</f>
        <v>0.99659452554940442</v>
      </c>
      <c r="L83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73419.241727143817</v>
      </c>
      <c r="M834" s="398" cm="1">
        <f t="array" ref="M834">J834*INDEX(Berekening_impact[Totaal arbeidsbesparing (€/jaar)],MATCH(B834,IF(Berekening_impact[Doelgroep]=C834,Berekening_impact[Digitale zorgtoepassing]),0))</f>
        <v>232599.42839455014</v>
      </c>
      <c r="N834" s="397" cm="1">
        <f t="array" ref="N834">J834*INDEX(Berekening_impact[Totaal arbeidsbesparing (FTE/jaar)],MATCH(B834,IF(Berekening_impact[Doelgroep]=C834,Berekening_impact[Digitale zorgtoepassing]),0))</f>
        <v>1.2261052588113428</v>
      </c>
      <c r="O834" s="398" cm="1">
        <f t="array" ref="O834">J834*INDEX(Berekening_impact[Overige kostenbesparing (totaal/jaar totaal potentieel)],MATCH(B834,IF(Berekening_impact[Doelgroep]=C834,Berekening_impact[Digitale zorgtoepassing]),0))</f>
        <v>2084899.5635894311</v>
      </c>
      <c r="P834" s="398" cm="1">
        <f t="array" ref="P834">J834*INDEX(Berekening_impact[Opbrengsten door QALY''s],MATCH(B834,IF(Berekening_impact[Doelgroep]=C834,Berekening_impact[Digitale zorgtoepassing]),0))</f>
        <v>0</v>
      </c>
      <c r="Q834" s="398" cm="1">
        <f t="array" ref="Q834">J834*INDEX(Berekening_impact[Jaarlijkse kosten (totaal) - incl. schatting],MATCH(B834,IF(Berekening_impact[Doelgroep]=C834,Berekening_impact[Digitale zorgtoepassing]),0))</f>
        <v>967499.8787866598</v>
      </c>
      <c r="R834" s="398" cm="1">
        <f t="array" ref="R834">(uitkomst_doelgroep[[#This Row],[Implementatiegraad t = T + 1]]-uitkomst_doelgroep[[#This Row],[Implementatiegraad t = T]])*INDEX(Berekening_impact[Initiële investering (totaal) - incl. schatting],MATCH(B834,IF(Berekening_impact[Doelgroep]=C834,Berekening_impact[Digitale zorgtoepassing]),0))</f>
        <v>0</v>
      </c>
      <c r="S834" s="398">
        <f>uitkomst_doelgroep[[#This Row],[Arbeidsbesparing (€)]]*uitkomst_doelgroep[[#This Row],[Percentage van patiëntaantallen in Wlz (overige is Zvw)]]</f>
        <v>0</v>
      </c>
      <c r="T834" s="398">
        <f>uitkomst_doelgroep[[#This Row],[Overige besparingen (€)]]*uitkomst_doelgroep[[#This Row],[Percentage van patiëntaantallen in Wlz (overige is Zvw)]]</f>
        <v>0</v>
      </c>
      <c r="U834" s="398">
        <f>uitkomst_doelgroep[[#This Row],[Kosten (€)]]*uitkomst_doelgroep[[#This Row],[Percentage van patiëntaantallen in Wlz (overige is Zvw)]]</f>
        <v>0</v>
      </c>
      <c r="V834" s="398">
        <f>uitkomst_doelgroep[[#This Row],[Investering (cash flow) (€)]]*uitkomst_doelgroep[[#This Row],[Percentage van patiëntaantallen in Wlz (overige is Zvw)]]</f>
        <v>0</v>
      </c>
    </row>
    <row r="835" spans="1:22" x14ac:dyDescent="0.5">
      <c r="A835" s="33" t="str">
        <f>INDEX(Technologieën[Veld],MATCH(B835,Technologieën[Digitale zorgtoepassing],0))</f>
        <v>Software - Diagnose</v>
      </c>
      <c r="B835" s="33" t="s">
        <v>473</v>
      </c>
      <c r="C835" s="33" t="s">
        <v>464</v>
      </c>
      <c r="D835" s="427" cm="1">
        <f t="array" ref="D835">INDEX(Berekening_patiëntaantal[Percentage van patiëntaantallen in Wlz (overige is Zvw)],MATCH(B835,IF(Berekening_patiëntaantal[Doelgroep (zoeksleutel)]=C835,Berekening_patiëntaantal[Digitale zorgtoepassing]),0))</f>
        <v>0</v>
      </c>
      <c r="E835" s="33" t="str" cm="1">
        <f t="array" ref="E835">INDEX(Berekening_patiëntaantal[Direct toepasbaar/extrapolatie/incidentie voor QALY],MATCH(B835,IF(Berekening_patiëntaantal[Doelgroep (zoeksleutel)]=C835,Berekening_patiëntaantal[Digitale zorgtoepassing]),0))</f>
        <v>Extrapolatie</v>
      </c>
      <c r="F835" s="33" t="s">
        <v>813</v>
      </c>
      <c r="G835" s="33" t="str">
        <f>CONCATENATE(uitkomst_doelgroep[[#This Row],[Digitale zorgtoepassing]],"_",uitkomst_doelgroep[[#This Row],[Doelgroep]],"_",uitkomst_doelgroep[[#This Row],[Uitgangssituatie/effect beleid]])</f>
        <v>AI om diagnoses te stellen (CT)_CT scan_Overig_Uitgangssituatie</v>
      </c>
      <c r="H835" s="33">
        <v>2032</v>
      </c>
      <c r="I835" s="32">
        <v>10</v>
      </c>
      <c r="J835" s="406" cm="1">
        <f t="array" ref="J835">INDEX(implementatie[[2023]:[2034]],MATCH(G835, implementatie[Zoeksleutel],0),I835)</f>
        <v>0.4598461253847505</v>
      </c>
      <c r="K835" s="406" cm="1">
        <f t="array" ref="K835">INDEX(implementatie[[2023]:[2034]],MATCH(G835,implementatie[Zoeksleutel],0),I835 + 1)</f>
        <v>0.60024457479989934</v>
      </c>
      <c r="L83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880717.9924125165</v>
      </c>
      <c r="M835" s="398" cm="1">
        <f t="array" ref="M835">J835*INDEX(Berekening_impact[Totaal arbeidsbesparing (€/jaar)],MATCH(B835,IF(Berekening_impact[Doelgroep]=C835,Berekening_impact[Digitale zorgtoepassing]),0))</f>
        <v>2529515.2277583033</v>
      </c>
      <c r="N835" s="397" cm="1">
        <f t="array" ref="N835">J835*INDEX(Berekening_impact[Totaal arbeidsbesparing (FTE/jaar)],MATCH(B835,IF(Berekening_impact[Doelgroep]=C835,Berekening_impact[Digitale zorgtoepassing]),0))</f>
        <v>13.333875944600107</v>
      </c>
      <c r="O835" s="398" cm="1">
        <f t="array" ref="O835">J835*INDEX(Berekening_impact[Overige kostenbesparing (totaal/jaar totaal potentieel)],MATCH(B835,IF(Berekening_impact[Doelgroep]=C835,Berekening_impact[Digitale zorgtoepassing]),0))</f>
        <v>0</v>
      </c>
      <c r="P835" s="398" cm="1">
        <f t="array" ref="P835">J835*INDEX(Berekening_impact[Opbrengsten door QALY''s],MATCH(B835,IF(Berekening_impact[Doelgroep]=C835,Berekening_impact[Digitale zorgtoepassing]),0))</f>
        <v>0</v>
      </c>
      <c r="Q835" s="398" cm="1">
        <f t="array" ref="Q835">J835*INDEX(Berekening_impact[Jaarlijkse kosten (totaal) - incl. schatting],MATCH(B835,IF(Berekening_impact[Doelgroep]=C835,Berekening_impact[Digitale zorgtoepassing]),0))</f>
        <v>3519570.8435293832</v>
      </c>
      <c r="R835" s="398" cm="1">
        <f t="array" ref="R835">(uitkomst_doelgroep[[#This Row],[Implementatiegraad t = T + 1]]-uitkomst_doelgroep[[#This Row],[Implementatiegraad t = T]])*INDEX(Berekening_impact[Initiële investering (totaal) - incl. schatting],MATCH(B835,IF(Berekening_impact[Doelgroep]=C835,Berekening_impact[Digitale zorgtoepassing]),0))</f>
        <v>0</v>
      </c>
      <c r="S835" s="398">
        <f>uitkomst_doelgroep[[#This Row],[Arbeidsbesparing (€)]]*uitkomst_doelgroep[[#This Row],[Percentage van patiëntaantallen in Wlz (overige is Zvw)]]</f>
        <v>0</v>
      </c>
      <c r="T835" s="398">
        <f>uitkomst_doelgroep[[#This Row],[Overige besparingen (€)]]*uitkomst_doelgroep[[#This Row],[Percentage van patiëntaantallen in Wlz (overige is Zvw)]]</f>
        <v>0</v>
      </c>
      <c r="U835" s="398">
        <f>uitkomst_doelgroep[[#This Row],[Kosten (€)]]*uitkomst_doelgroep[[#This Row],[Percentage van patiëntaantallen in Wlz (overige is Zvw)]]</f>
        <v>0</v>
      </c>
      <c r="V835" s="398">
        <f>uitkomst_doelgroep[[#This Row],[Investering (cash flow) (€)]]*uitkomst_doelgroep[[#This Row],[Percentage van patiëntaantallen in Wlz (overige is Zvw)]]</f>
        <v>0</v>
      </c>
    </row>
    <row r="836" spans="1:22" x14ac:dyDescent="0.5">
      <c r="A836" s="33" t="str">
        <f>INDEX(Technologieën[Veld],MATCH(B836,Technologieën[Digitale zorgtoepassing],0))</f>
        <v>Software - Diagnose</v>
      </c>
      <c r="B836" s="33" t="s">
        <v>473</v>
      </c>
      <c r="C836" s="33" t="s">
        <v>455</v>
      </c>
      <c r="D836" s="427" cm="1">
        <f t="array" ref="D836">INDEX(Berekening_patiëntaantal[Percentage van patiëntaantallen in Wlz (overige is Zvw)],MATCH(B836,IF(Berekening_patiëntaantal[Doelgroep (zoeksleutel)]=C836,Berekening_patiëntaantal[Digitale zorgtoepassing]),0))</f>
        <v>0</v>
      </c>
      <c r="E836" s="33" t="str" cm="1">
        <f t="array" ref="E836">INDEX(Berekening_patiëntaantal[Direct toepasbaar/extrapolatie/incidentie voor QALY],MATCH(B836,IF(Berekening_patiëntaantal[Doelgroep (zoeksleutel)]=C836,Berekening_patiëntaantal[Digitale zorgtoepassing]),0))</f>
        <v>Huidige toepassing</v>
      </c>
      <c r="F836" s="33" t="s">
        <v>813</v>
      </c>
      <c r="G836" s="33" t="str">
        <f>CONCATENATE(uitkomst_doelgroep[[#This Row],[Digitale zorgtoepassing]],"_",uitkomst_doelgroep[[#This Row],[Doelgroep]],"_",uitkomst_doelgroep[[#This Row],[Uitgangssituatie/effect beleid]])</f>
        <v>AI om diagnoses te stellen (CT)_CT scan_Interstitiële longaandoening_Uitgangssituatie</v>
      </c>
      <c r="H836" s="33">
        <v>2032</v>
      </c>
      <c r="I836" s="32">
        <v>10</v>
      </c>
      <c r="J836" s="406" cm="1">
        <f t="array" ref="J836">INDEX(implementatie[[2023]:[2034]],MATCH(G836, implementatie[Zoeksleutel],0),I836)</f>
        <v>0.99659452554940442</v>
      </c>
      <c r="K836" s="406" cm="1">
        <f t="array" ref="K836">INDEX(implementatie[[2023]:[2034]],MATCH(G836,implementatie[Zoeksleutel],0),I836 + 1)</f>
        <v>0.99839362838010326</v>
      </c>
      <c r="L83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10767.207254035766</v>
      </c>
      <c r="M836" s="398" cm="1">
        <f t="array" ref="M836">J836*INDEX(Berekening_impact[Totaal arbeidsbesparing (€/jaar)],MATCH(B836,IF(Berekening_impact[Doelgroep]=C836,Berekening_impact[Digitale zorgtoepassing]),0))</f>
        <v>24550.516559606844</v>
      </c>
      <c r="N836" s="397" cm="1">
        <f t="array" ref="N836">J836*INDEX(Berekening_impact[Totaal arbeidsbesparing (FTE/jaar)],MATCH(B836,IF(Berekening_impact[Doelgroep]=C836,Berekening_impact[Digitale zorgtoepassing]),0))</f>
        <v>0.12941354872639144</v>
      </c>
      <c r="O836" s="398" cm="1">
        <f t="array" ref="O836">J836*INDEX(Berekening_impact[Overige kostenbesparing (totaal/jaar totaal potentieel)],MATCH(B836,IF(Berekening_impact[Doelgroep]=C836,Berekening_impact[Digitale zorgtoepassing]),0))</f>
        <v>0</v>
      </c>
      <c r="P836" s="398" cm="1">
        <f t="array" ref="P836">J836*INDEX(Berekening_impact[Opbrengsten door QALY''s],MATCH(B836,IF(Berekening_impact[Doelgroep]=C836,Berekening_impact[Digitale zorgtoepassing]),0))</f>
        <v>0</v>
      </c>
      <c r="Q836" s="398" cm="1">
        <f t="array" ref="Q836">J836*INDEX(Berekening_impact[Jaarlijkse kosten (totaal) - incl. schatting],MATCH(B836,IF(Berekening_impact[Doelgroep]=C836,Berekening_impact[Digitale zorgtoepassing]),0))</f>
        <v>977517.88920637057</v>
      </c>
      <c r="R836" s="398" cm="1">
        <f t="array" ref="R836">(uitkomst_doelgroep[[#This Row],[Implementatiegraad t = T + 1]]-uitkomst_doelgroep[[#This Row],[Implementatiegraad t = T]])*INDEX(Berekening_impact[Initiële investering (totaal) - incl. schatting],MATCH(B836,IF(Berekening_impact[Doelgroep]=C836,Berekening_impact[Digitale zorgtoepassing]),0))</f>
        <v>0</v>
      </c>
      <c r="S836" s="398">
        <f>uitkomst_doelgroep[[#This Row],[Arbeidsbesparing (€)]]*uitkomst_doelgroep[[#This Row],[Percentage van patiëntaantallen in Wlz (overige is Zvw)]]</f>
        <v>0</v>
      </c>
      <c r="T836" s="398">
        <f>uitkomst_doelgroep[[#This Row],[Overige besparingen (€)]]*uitkomst_doelgroep[[#This Row],[Percentage van patiëntaantallen in Wlz (overige is Zvw)]]</f>
        <v>0</v>
      </c>
      <c r="U836" s="398">
        <f>uitkomst_doelgroep[[#This Row],[Kosten (€)]]*uitkomst_doelgroep[[#This Row],[Percentage van patiëntaantallen in Wlz (overige is Zvw)]]</f>
        <v>0</v>
      </c>
      <c r="V836" s="398">
        <f>uitkomst_doelgroep[[#This Row],[Investering (cash flow) (€)]]*uitkomst_doelgroep[[#This Row],[Percentage van patiëntaantallen in Wlz (overige is Zvw)]]</f>
        <v>0</v>
      </c>
    </row>
    <row r="837" spans="1:22" x14ac:dyDescent="0.5">
      <c r="A837" s="33" t="str">
        <f>INDEX(Technologieën[Veld],MATCH(B837,Technologieën[Digitale zorgtoepassing],0))</f>
        <v>Software - Diagnose</v>
      </c>
      <c r="B837" s="33" t="s">
        <v>473</v>
      </c>
      <c r="C837" s="33" t="s">
        <v>451</v>
      </c>
      <c r="D837" s="427" cm="1">
        <f t="array" ref="D837">INDEX(Berekening_patiëntaantal[Percentage van patiëntaantallen in Wlz (overige is Zvw)],MATCH(B837,IF(Berekening_patiëntaantal[Doelgroep (zoeksleutel)]=C837,Berekening_patiëntaantal[Digitale zorgtoepassing]),0))</f>
        <v>0</v>
      </c>
      <c r="E837" s="33" t="str" cm="1">
        <f t="array" ref="E837">INDEX(Berekening_patiëntaantal[Direct toepasbaar/extrapolatie/incidentie voor QALY],MATCH(B837,IF(Berekening_patiëntaantal[Doelgroep (zoeksleutel)]=C837,Berekening_patiëntaantal[Digitale zorgtoepassing]),0))</f>
        <v>Huidige toepassing</v>
      </c>
      <c r="F837" s="33" t="s">
        <v>813</v>
      </c>
      <c r="G837" s="33" t="str">
        <f>CONCATENATE(uitkomst_doelgroep[[#This Row],[Digitale zorgtoepassing]],"_",uitkomst_doelgroep[[#This Row],[Doelgroep]],"_",uitkomst_doelgroep[[#This Row],[Uitgangssituatie/effect beleid]])</f>
        <v>AI om diagnoses te stellen (CT)_CT scan_Longkanker_Uitgangssituatie</v>
      </c>
      <c r="H837" s="33">
        <v>2032</v>
      </c>
      <c r="I837" s="32">
        <v>10</v>
      </c>
      <c r="J837" s="406" cm="1">
        <f t="array" ref="J837">INDEX(implementatie[[2023]:[2034]],MATCH(G837, implementatie[Zoeksleutel],0),I837)</f>
        <v>0.99659452554940442</v>
      </c>
      <c r="K837" s="406" cm="1">
        <f t="array" ref="K837">INDEX(implementatie[[2023]:[2034]],MATCH(G837,implementatie[Zoeksleutel],0),I837 + 1)</f>
        <v>0.99839362838010326</v>
      </c>
      <c r="L83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73699.161758904011</v>
      </c>
      <c r="M837" s="398" cm="1">
        <f t="array" ref="M837">J837*INDEX(Berekening_impact[Totaal arbeidsbesparing (€/jaar)],MATCH(B837,IF(Berekening_impact[Doelgroep]=C837,Berekening_impact[Digitale zorgtoepassing]),0))</f>
        <v>233486.24277524851</v>
      </c>
      <c r="N837" s="397" cm="1">
        <f t="array" ref="N837">J837*INDEX(Berekening_impact[Totaal arbeidsbesparing (FTE/jaar)],MATCH(B837,IF(Berekening_impact[Doelgroep]=C837,Berekening_impact[Digitale zorgtoepassing]),0))</f>
        <v>1.2307799382947311</v>
      </c>
      <c r="O837" s="398" cm="1">
        <f t="array" ref="O837">J837*INDEX(Berekening_impact[Overige kostenbesparing (totaal/jaar totaal potentieel)],MATCH(B837,IF(Berekening_impact[Doelgroep]=C837,Berekening_impact[Digitale zorgtoepassing]),0))</f>
        <v>2092848.5036537494</v>
      </c>
      <c r="P837" s="398" cm="1">
        <f t="array" ref="P837">J837*INDEX(Berekening_impact[Opbrengsten door QALY''s],MATCH(B837,IF(Berekening_impact[Doelgroep]=C837,Berekening_impact[Digitale zorgtoepassing]),0))</f>
        <v>0</v>
      </c>
      <c r="Q837" s="398" cm="1">
        <f t="array" ref="Q837">J837*INDEX(Berekening_impact[Jaarlijkse kosten (totaal) - incl. schatting],MATCH(B837,IF(Berekening_impact[Doelgroep]=C837,Berekening_impact[Digitale zorgtoepassing]),0))</f>
        <v>971188.59294969111</v>
      </c>
      <c r="R837" s="398" cm="1">
        <f t="array" ref="R837">(uitkomst_doelgroep[[#This Row],[Implementatiegraad t = T + 1]]-uitkomst_doelgroep[[#This Row],[Implementatiegraad t = T]])*INDEX(Berekening_impact[Initiële investering (totaal) - incl. schatting],MATCH(B837,IF(Berekening_impact[Doelgroep]=C837,Berekening_impact[Digitale zorgtoepassing]),0))</f>
        <v>0</v>
      </c>
      <c r="S837" s="398">
        <f>uitkomst_doelgroep[[#This Row],[Arbeidsbesparing (€)]]*uitkomst_doelgroep[[#This Row],[Percentage van patiëntaantallen in Wlz (overige is Zvw)]]</f>
        <v>0</v>
      </c>
      <c r="T837" s="398">
        <f>uitkomst_doelgroep[[#This Row],[Overige besparingen (€)]]*uitkomst_doelgroep[[#This Row],[Percentage van patiëntaantallen in Wlz (overige is Zvw)]]</f>
        <v>0</v>
      </c>
      <c r="U837" s="398">
        <f>uitkomst_doelgroep[[#This Row],[Kosten (€)]]*uitkomst_doelgroep[[#This Row],[Percentage van patiëntaantallen in Wlz (overige is Zvw)]]</f>
        <v>0</v>
      </c>
      <c r="V837" s="398">
        <f>uitkomst_doelgroep[[#This Row],[Investering (cash flow) (€)]]*uitkomst_doelgroep[[#This Row],[Percentage van patiëntaantallen in Wlz (overige is Zvw)]]</f>
        <v>0</v>
      </c>
    </row>
    <row r="838" spans="1:22" x14ac:dyDescent="0.5">
      <c r="A838" s="33" t="str">
        <f>INDEX(Technologieën[Veld],MATCH(B838,Technologieën[Digitale zorgtoepassing],0))</f>
        <v>Software - Diagnose</v>
      </c>
      <c r="B838" s="33" t="s">
        <v>473</v>
      </c>
      <c r="C838" s="33" t="s">
        <v>464</v>
      </c>
      <c r="D838" s="427" cm="1">
        <f t="array" ref="D838">INDEX(Berekening_patiëntaantal[Percentage van patiëntaantallen in Wlz (overige is Zvw)],MATCH(B838,IF(Berekening_patiëntaantal[Doelgroep (zoeksleutel)]=C838,Berekening_patiëntaantal[Digitale zorgtoepassing]),0))</f>
        <v>0</v>
      </c>
      <c r="E838" s="33" t="str" cm="1">
        <f t="array" ref="E838">INDEX(Berekening_patiëntaantal[Direct toepasbaar/extrapolatie/incidentie voor QALY],MATCH(B838,IF(Berekening_patiëntaantal[Doelgroep (zoeksleutel)]=C838,Berekening_patiëntaantal[Digitale zorgtoepassing]),0))</f>
        <v>Extrapolatie</v>
      </c>
      <c r="F838" s="33" t="s">
        <v>813</v>
      </c>
      <c r="G838" s="33" t="str">
        <f>CONCATENATE(uitkomst_doelgroep[[#This Row],[Digitale zorgtoepassing]],"_",uitkomst_doelgroep[[#This Row],[Doelgroep]],"_",uitkomst_doelgroep[[#This Row],[Uitgangssituatie/effect beleid]])</f>
        <v>AI om diagnoses te stellen (CT)_CT scan_Overig_Uitgangssituatie</v>
      </c>
      <c r="H838" s="33">
        <v>2033</v>
      </c>
      <c r="I838" s="32">
        <v>11</v>
      </c>
      <c r="J838" s="406" cm="1">
        <f t="array" ref="J838">INDEX(implementatie[[2023]:[2034]],MATCH(G838, implementatie[Zoeksleutel],0),I838)</f>
        <v>0.60024457479989934</v>
      </c>
      <c r="K838" s="406" cm="1">
        <f t="array" ref="K838">INDEX(implementatie[[2023]:[2034]],MATCH(G838,implementatie[Zoeksleutel],0),I838 + 1)</f>
        <v>0.73221275016749598</v>
      </c>
      <c r="L83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1149615.4206626331</v>
      </c>
      <c r="M838" s="398" cm="1">
        <f t="array" ref="M838">J838*INDEX(Berekening_impact[Totaal arbeidsbesparing (€/jaar)],MATCH(B838,IF(Berekening_impact[Doelgroep]=C838,Berekening_impact[Digitale zorgtoepassing]),0))</f>
        <v>3301817.0829759138</v>
      </c>
      <c r="N838" s="397" cm="1">
        <f t="array" ref="N838">J838*INDEX(Berekening_impact[Totaal arbeidsbesparing (FTE/jaar)],MATCH(B838,IF(Berekening_impact[Doelgroep]=C838,Berekening_impact[Digitale zorgtoepassing]),0))</f>
        <v>17.404923636367588</v>
      </c>
      <c r="O838" s="398" cm="1">
        <f t="array" ref="O838">J838*INDEX(Berekening_impact[Overige kostenbesparing (totaal/jaar totaal potentieel)],MATCH(B838,IF(Berekening_impact[Doelgroep]=C838,Berekening_impact[Digitale zorgtoepassing]),0))</f>
        <v>0</v>
      </c>
      <c r="P838" s="398" cm="1">
        <f t="array" ref="P838">J838*INDEX(Berekening_impact[Opbrengsten door QALY''s],MATCH(B838,IF(Berekening_impact[Doelgroep]=C838,Berekening_impact[Digitale zorgtoepassing]),0))</f>
        <v>0</v>
      </c>
      <c r="Q838" s="398" cm="1">
        <f t="array" ref="Q838">J838*INDEX(Berekening_impact[Jaarlijkse kosten (totaal) - incl. schatting],MATCH(B838,IF(Berekening_impact[Doelgroep]=C838,Berekening_impact[Digitale zorgtoepassing]),0))</f>
        <v>4594152.66940613</v>
      </c>
      <c r="R838" s="398" cm="1">
        <f t="array" ref="R838">(uitkomst_doelgroep[[#This Row],[Implementatiegraad t = T + 1]]-uitkomst_doelgroep[[#This Row],[Implementatiegraad t = T]])*INDEX(Berekening_impact[Initiële investering (totaal) - incl. schatting],MATCH(B838,IF(Berekening_impact[Doelgroep]=C838,Berekening_impact[Digitale zorgtoepassing]),0))</f>
        <v>0</v>
      </c>
      <c r="S838" s="398">
        <f>uitkomst_doelgroep[[#This Row],[Arbeidsbesparing (€)]]*uitkomst_doelgroep[[#This Row],[Percentage van patiëntaantallen in Wlz (overige is Zvw)]]</f>
        <v>0</v>
      </c>
      <c r="T838" s="398">
        <f>uitkomst_doelgroep[[#This Row],[Overige besparingen (€)]]*uitkomst_doelgroep[[#This Row],[Percentage van patiëntaantallen in Wlz (overige is Zvw)]]</f>
        <v>0</v>
      </c>
      <c r="U838" s="398">
        <f>uitkomst_doelgroep[[#This Row],[Kosten (€)]]*uitkomst_doelgroep[[#This Row],[Percentage van patiëntaantallen in Wlz (overige is Zvw)]]</f>
        <v>0</v>
      </c>
      <c r="V838" s="398">
        <f>uitkomst_doelgroep[[#This Row],[Investering (cash flow) (€)]]*uitkomst_doelgroep[[#This Row],[Percentage van patiëntaantallen in Wlz (overige is Zvw)]]</f>
        <v>0</v>
      </c>
    </row>
    <row r="839" spans="1:22" x14ac:dyDescent="0.5">
      <c r="A839" s="33" t="str">
        <f>INDEX(Technologieën[Veld],MATCH(B839,Technologieën[Digitale zorgtoepassing],0))</f>
        <v>Software - Diagnose</v>
      </c>
      <c r="B839" s="33" t="s">
        <v>473</v>
      </c>
      <c r="C839" s="33" t="s">
        <v>455</v>
      </c>
      <c r="D839" s="427" cm="1">
        <f t="array" ref="D839">INDEX(Berekening_patiëntaantal[Percentage van patiëntaantallen in Wlz (overige is Zvw)],MATCH(B839,IF(Berekening_patiëntaantal[Doelgroep (zoeksleutel)]=C839,Berekening_patiëntaantal[Digitale zorgtoepassing]),0))</f>
        <v>0</v>
      </c>
      <c r="E839" s="33" t="str" cm="1">
        <f t="array" ref="E839">INDEX(Berekening_patiëntaantal[Direct toepasbaar/extrapolatie/incidentie voor QALY],MATCH(B839,IF(Berekening_patiëntaantal[Doelgroep (zoeksleutel)]=C839,Berekening_patiëntaantal[Digitale zorgtoepassing]),0))</f>
        <v>Huidige toepassing</v>
      </c>
      <c r="F839" s="33" t="s">
        <v>813</v>
      </c>
      <c r="G839" s="33" t="str">
        <f>CONCATENATE(uitkomst_doelgroep[[#This Row],[Digitale zorgtoepassing]],"_",uitkomst_doelgroep[[#This Row],[Doelgroep]],"_",uitkomst_doelgroep[[#This Row],[Uitgangssituatie/effect beleid]])</f>
        <v>AI om diagnoses te stellen (CT)_CT scan_Interstitiële longaandoening_Uitgangssituatie</v>
      </c>
      <c r="H839" s="33">
        <v>2033</v>
      </c>
      <c r="I839" s="32">
        <v>11</v>
      </c>
      <c r="J839" s="406" cm="1">
        <f t="array" ref="J839">INDEX(implementatie[[2023]:[2034]],MATCH(G839, implementatie[Zoeksleutel],0),I839)</f>
        <v>0.99839362838010326</v>
      </c>
      <c r="K839" s="406" cm="1">
        <f t="array" ref="K839">INDEX(implementatie[[2023]:[2034]],MATCH(G839,implementatie[Zoeksleutel],0),I839 + 1)</f>
        <v>0.99924371512375787</v>
      </c>
      <c r="L83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10786.644761018635</v>
      </c>
      <c r="M839" s="398" cm="1">
        <f t="array" ref="M839">J839*INDEX(Berekening_impact[Totaal arbeidsbesparing (€/jaar)],MATCH(B839,IF(Berekening_impact[Doelgroep]=C839,Berekening_impact[Digitale zorgtoepassing]),0))</f>
        <v>24594.83639350635</v>
      </c>
      <c r="N839" s="397" cm="1">
        <f t="array" ref="N839">J839*INDEX(Berekening_impact[Totaal arbeidsbesparing (FTE/jaar)],MATCH(B839,IF(Berekening_impact[Doelgroep]=C839,Berekening_impact[Digitale zorgtoepassing]),0))</f>
        <v>0.12964717260839709</v>
      </c>
      <c r="O839" s="398" cm="1">
        <f t="array" ref="O839">J839*INDEX(Berekening_impact[Overige kostenbesparing (totaal/jaar totaal potentieel)],MATCH(B839,IF(Berekening_impact[Doelgroep]=C839,Berekening_impact[Digitale zorgtoepassing]),0))</f>
        <v>0</v>
      </c>
      <c r="P839" s="398" cm="1">
        <f t="array" ref="P839">J839*INDEX(Berekening_impact[Opbrengsten door QALY''s],MATCH(B839,IF(Berekening_impact[Doelgroep]=C839,Berekening_impact[Digitale zorgtoepassing]),0))</f>
        <v>0</v>
      </c>
      <c r="Q839" s="398" cm="1">
        <f t="array" ref="Q839">J839*INDEX(Berekening_impact[Jaarlijkse kosten (totaal) - incl. schatting],MATCH(B839,IF(Berekening_impact[Doelgroep]=C839,Berekening_impact[Digitale zorgtoepassing]),0))</f>
        <v>979282.55392852565</v>
      </c>
      <c r="R839" s="398" cm="1">
        <f t="array" ref="R839">(uitkomst_doelgroep[[#This Row],[Implementatiegraad t = T + 1]]-uitkomst_doelgroep[[#This Row],[Implementatiegraad t = T]])*INDEX(Berekening_impact[Initiële investering (totaal) - incl. schatting],MATCH(B839,IF(Berekening_impact[Doelgroep]=C839,Berekening_impact[Digitale zorgtoepassing]),0))</f>
        <v>0</v>
      </c>
      <c r="S839" s="398">
        <f>uitkomst_doelgroep[[#This Row],[Arbeidsbesparing (€)]]*uitkomst_doelgroep[[#This Row],[Percentage van patiëntaantallen in Wlz (overige is Zvw)]]</f>
        <v>0</v>
      </c>
      <c r="T839" s="398">
        <f>uitkomst_doelgroep[[#This Row],[Overige besparingen (€)]]*uitkomst_doelgroep[[#This Row],[Percentage van patiëntaantallen in Wlz (overige is Zvw)]]</f>
        <v>0</v>
      </c>
      <c r="U839" s="398">
        <f>uitkomst_doelgroep[[#This Row],[Kosten (€)]]*uitkomst_doelgroep[[#This Row],[Percentage van patiëntaantallen in Wlz (overige is Zvw)]]</f>
        <v>0</v>
      </c>
      <c r="V839" s="398">
        <f>uitkomst_doelgroep[[#This Row],[Investering (cash flow) (€)]]*uitkomst_doelgroep[[#This Row],[Percentage van patiëntaantallen in Wlz (overige is Zvw)]]</f>
        <v>0</v>
      </c>
    </row>
    <row r="840" spans="1:22" x14ac:dyDescent="0.5">
      <c r="A840" s="33" t="str">
        <f>INDEX(Technologieën[Veld],MATCH(B840,Technologieën[Digitale zorgtoepassing],0))</f>
        <v>Software - Diagnose</v>
      </c>
      <c r="B840" s="33" t="s">
        <v>473</v>
      </c>
      <c r="C840" s="33" t="s">
        <v>451</v>
      </c>
      <c r="D840" s="427" cm="1">
        <f t="array" ref="D840">INDEX(Berekening_patiëntaantal[Percentage van patiëntaantallen in Wlz (overige is Zvw)],MATCH(B840,IF(Berekening_patiëntaantal[Doelgroep (zoeksleutel)]=C840,Berekening_patiëntaantal[Digitale zorgtoepassing]),0))</f>
        <v>0</v>
      </c>
      <c r="E840" s="33" t="str" cm="1">
        <f t="array" ref="E840">INDEX(Berekening_patiëntaantal[Direct toepasbaar/extrapolatie/incidentie voor QALY],MATCH(B840,IF(Berekening_patiëntaantal[Doelgroep (zoeksleutel)]=C840,Berekening_patiëntaantal[Digitale zorgtoepassing]),0))</f>
        <v>Huidige toepassing</v>
      </c>
      <c r="F840" s="33" t="s">
        <v>813</v>
      </c>
      <c r="G840" s="33" t="str">
        <f>CONCATENATE(uitkomst_doelgroep[[#This Row],[Digitale zorgtoepassing]],"_",uitkomst_doelgroep[[#This Row],[Doelgroep]],"_",uitkomst_doelgroep[[#This Row],[Uitgangssituatie/effect beleid]])</f>
        <v>AI om diagnoses te stellen (CT)_CT scan_Longkanker_Uitgangssituatie</v>
      </c>
      <c r="H840" s="33">
        <v>2033</v>
      </c>
      <c r="I840" s="32">
        <v>11</v>
      </c>
      <c r="J840" s="406" cm="1">
        <f t="array" ref="J840">INDEX(implementatie[[2023]:[2034]],MATCH(G840, implementatie[Zoeksleutel],0),I840)</f>
        <v>0.99839362838010326</v>
      </c>
      <c r="K840" s="406" cm="1">
        <f t="array" ref="K840">INDEX(implementatie[[2023]:[2034]],MATCH(G840,implementatie[Zoeksleutel],0),I840 + 1)</f>
        <v>0.99924371512375787</v>
      </c>
      <c r="L84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73832.207212337016</v>
      </c>
      <c r="M840" s="398" cm="1">
        <f t="array" ref="M840">J840*INDEX(Berekening_impact[Totaal arbeidsbesparing (€/jaar)],MATCH(B840,IF(Berekening_impact[Doelgroep]=C840,Berekening_impact[Digitale zorgtoepassing]),0))</f>
        <v>233907.74394702609</v>
      </c>
      <c r="N840" s="397" cm="1">
        <f t="array" ref="N840">J840*INDEX(Berekening_impact[Totaal arbeidsbesparing (FTE/jaar)],MATCH(B840,IF(Berekening_impact[Doelgroep]=C840,Berekening_impact[Digitale zorgtoepassing]),0))</f>
        <v>1.2330018044741913</v>
      </c>
      <c r="O840" s="398" cm="1">
        <f t="array" ref="O840">J840*INDEX(Berekening_impact[Overige kostenbesparing (totaal/jaar totaal potentieel)],MATCH(B840,IF(Berekening_impact[Doelgroep]=C840,Berekening_impact[Digitale zorgtoepassing]),0))</f>
        <v>2096626.6195982168</v>
      </c>
      <c r="P840" s="398" cm="1">
        <f t="array" ref="P840">J840*INDEX(Berekening_impact[Opbrengsten door QALY''s],MATCH(B840,IF(Berekening_impact[Doelgroep]=C840,Berekening_impact[Digitale zorgtoepassing]),0))</f>
        <v>0</v>
      </c>
      <c r="Q840" s="398" cm="1">
        <f t="array" ref="Q840">J840*INDEX(Berekening_impact[Jaarlijkse kosten (totaal) - incl. schatting],MATCH(B840,IF(Berekening_impact[Doelgroep]=C840,Berekening_impact[Digitale zorgtoepassing]),0))</f>
        <v>972941.83170620038</v>
      </c>
      <c r="R840" s="398" cm="1">
        <f t="array" ref="R840">(uitkomst_doelgroep[[#This Row],[Implementatiegraad t = T + 1]]-uitkomst_doelgroep[[#This Row],[Implementatiegraad t = T]])*INDEX(Berekening_impact[Initiële investering (totaal) - incl. schatting],MATCH(B840,IF(Berekening_impact[Doelgroep]=C840,Berekening_impact[Digitale zorgtoepassing]),0))</f>
        <v>0</v>
      </c>
      <c r="S840" s="398">
        <f>uitkomst_doelgroep[[#This Row],[Arbeidsbesparing (€)]]*uitkomst_doelgroep[[#This Row],[Percentage van patiëntaantallen in Wlz (overige is Zvw)]]</f>
        <v>0</v>
      </c>
      <c r="T840" s="398">
        <f>uitkomst_doelgroep[[#This Row],[Overige besparingen (€)]]*uitkomst_doelgroep[[#This Row],[Percentage van patiëntaantallen in Wlz (overige is Zvw)]]</f>
        <v>0</v>
      </c>
      <c r="U840" s="398">
        <f>uitkomst_doelgroep[[#This Row],[Kosten (€)]]*uitkomst_doelgroep[[#This Row],[Percentage van patiëntaantallen in Wlz (overige is Zvw)]]</f>
        <v>0</v>
      </c>
      <c r="V840" s="398">
        <f>uitkomst_doelgroep[[#This Row],[Investering (cash flow) (€)]]*uitkomst_doelgroep[[#This Row],[Percentage van patiëntaantallen in Wlz (overige is Zvw)]]</f>
        <v>0</v>
      </c>
    </row>
    <row r="841" spans="1:22" x14ac:dyDescent="0.5">
      <c r="A841" s="33" t="str">
        <f>INDEX(Technologieën[Veld],MATCH(B841,Technologieën[Digitale zorgtoepassing],0))</f>
        <v>Software - Diagnose</v>
      </c>
      <c r="B841" s="33" t="s">
        <v>472</v>
      </c>
      <c r="C841" s="33" t="s">
        <v>465</v>
      </c>
      <c r="D841" s="427" cm="1">
        <f t="array" ref="D841">INDEX(Berekening_patiëntaantal[Percentage van patiëntaantallen in Wlz (overige is Zvw)],MATCH(B841,IF(Berekening_patiëntaantal[Doelgroep (zoeksleutel)]=C841,Berekening_patiëntaantal[Digitale zorgtoepassing]),0))</f>
        <v>0</v>
      </c>
      <c r="E841" s="33" t="str" cm="1">
        <f t="array" ref="E841">INDEX(Berekening_patiëntaantal[Direct toepasbaar/extrapolatie/incidentie voor QALY],MATCH(B841,IF(Berekening_patiëntaantal[Doelgroep (zoeksleutel)]=C841,Berekening_patiëntaantal[Digitale zorgtoepassing]),0))</f>
        <v>Extrapolatie</v>
      </c>
      <c r="F841" s="33" t="s">
        <v>813</v>
      </c>
      <c r="G841" s="33" t="str">
        <f>CONCATENATE(uitkomst_doelgroep[[#This Row],[Digitale zorgtoepassing]],"_",uitkomst_doelgroep[[#This Row],[Doelgroep]],"_",uitkomst_doelgroep[[#This Row],[Uitgangssituatie/effect beleid]])</f>
        <v>AI om diagnoses te stellen (MRI)_MRI onderzoek_Overig_Uitgangssituatie</v>
      </c>
      <c r="H841" s="33">
        <v>2023</v>
      </c>
      <c r="I841" s="32">
        <v>1</v>
      </c>
      <c r="J841" s="406" cm="1">
        <f t="array" ref="J841">INDEX(implementatie[[2023]:[2034]],MATCH(G841, implementatie[Zoeksleutel],0),I841)</f>
        <v>0</v>
      </c>
      <c r="K841" s="406" cm="1">
        <f t="array" ref="K841">INDEX(implementatie[[2023]:[2034]],MATCH(G841,implementatie[Zoeksleutel],0),I841 + 1)</f>
        <v>0</v>
      </c>
      <c r="L84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841" s="398" cm="1">
        <f t="array" ref="M841">J841*INDEX(Berekening_impact[Totaal arbeidsbesparing (€/jaar)],MATCH(B841,IF(Berekening_impact[Doelgroep]=C841,Berekening_impact[Digitale zorgtoepassing]),0))</f>
        <v>0</v>
      </c>
      <c r="N841" s="397" cm="1">
        <f t="array" ref="N841">J841*INDEX(Berekening_impact[Totaal arbeidsbesparing (FTE/jaar)],MATCH(B841,IF(Berekening_impact[Doelgroep]=C841,Berekening_impact[Digitale zorgtoepassing]),0))</f>
        <v>0</v>
      </c>
      <c r="O841" s="398" cm="1">
        <f t="array" ref="O841">J841*INDEX(Berekening_impact[Overige kostenbesparing (totaal/jaar totaal potentieel)],MATCH(B841,IF(Berekening_impact[Doelgroep]=C841,Berekening_impact[Digitale zorgtoepassing]),0))</f>
        <v>0</v>
      </c>
      <c r="P841" s="398" cm="1">
        <f t="array" ref="P841">J841*INDEX(Berekening_impact[Opbrengsten door QALY''s],MATCH(B841,IF(Berekening_impact[Doelgroep]=C841,Berekening_impact[Digitale zorgtoepassing]),0))</f>
        <v>0</v>
      </c>
      <c r="Q841" s="398" cm="1">
        <f t="array" ref="Q841">J841*INDEX(Berekening_impact[Jaarlijkse kosten (totaal) - incl. schatting],MATCH(B841,IF(Berekening_impact[Doelgroep]=C841,Berekening_impact[Digitale zorgtoepassing]),0))</f>
        <v>0</v>
      </c>
      <c r="R841" s="398" cm="1">
        <f t="array" ref="R841">(uitkomst_doelgroep[[#This Row],[Implementatiegraad t = T + 1]]-uitkomst_doelgroep[[#This Row],[Implementatiegraad t = T]])*INDEX(Berekening_impact[Initiële investering (totaal) - incl. schatting],MATCH(B841,IF(Berekening_impact[Doelgroep]=C841,Berekening_impact[Digitale zorgtoepassing]),0))</f>
        <v>0</v>
      </c>
      <c r="S841" s="398">
        <f>uitkomst_doelgroep[[#This Row],[Arbeidsbesparing (€)]]*uitkomst_doelgroep[[#This Row],[Percentage van patiëntaantallen in Wlz (overige is Zvw)]]</f>
        <v>0</v>
      </c>
      <c r="T841" s="398">
        <f>uitkomst_doelgroep[[#This Row],[Overige besparingen (€)]]*uitkomst_doelgroep[[#This Row],[Percentage van patiëntaantallen in Wlz (overige is Zvw)]]</f>
        <v>0</v>
      </c>
      <c r="U841" s="398">
        <f>uitkomst_doelgroep[[#This Row],[Kosten (€)]]*uitkomst_doelgroep[[#This Row],[Percentage van patiëntaantallen in Wlz (overige is Zvw)]]</f>
        <v>0</v>
      </c>
      <c r="V841" s="398">
        <f>uitkomst_doelgroep[[#This Row],[Investering (cash flow) (€)]]*uitkomst_doelgroep[[#This Row],[Percentage van patiëntaantallen in Wlz (overige is Zvw)]]</f>
        <v>0</v>
      </c>
    </row>
    <row r="842" spans="1:22" x14ac:dyDescent="0.5">
      <c r="A842" s="33" t="str">
        <f>INDEX(Technologieën[Veld],MATCH(B842,Technologieën[Digitale zorgtoepassing],0))</f>
        <v>Software - Diagnose</v>
      </c>
      <c r="B842" s="33" t="s">
        <v>472</v>
      </c>
      <c r="C842" s="33" t="s">
        <v>442</v>
      </c>
      <c r="D842" s="427" cm="1">
        <f t="array" ref="D842">INDEX(Berekening_patiëntaantal[Percentage van patiëntaantallen in Wlz (overige is Zvw)],MATCH(B842,IF(Berekening_patiëntaantal[Doelgroep (zoeksleutel)]=C842,Berekening_patiëntaantal[Digitale zorgtoepassing]),0))</f>
        <v>0</v>
      </c>
      <c r="E842" s="33" t="str" cm="1">
        <f t="array" ref="E842">INDEX(Berekening_patiëntaantal[Direct toepasbaar/extrapolatie/incidentie voor QALY],MATCH(B842,IF(Berekening_patiëntaantal[Doelgroep (zoeksleutel)]=C842,Berekening_patiëntaantal[Digitale zorgtoepassing]),0))</f>
        <v>Huidige toepassing</v>
      </c>
      <c r="F842" s="33" t="s">
        <v>813</v>
      </c>
      <c r="G842" s="33" t="str">
        <f>CONCATENATE(uitkomst_doelgroep[[#This Row],[Digitale zorgtoepassing]],"_",uitkomst_doelgroep[[#This Row],[Doelgroep]],"_",uitkomst_doelgroep[[#This Row],[Uitgangssituatie/effect beleid]])</f>
        <v>AI om diagnoses te stellen (MRI)_MRI onderzoek_Prostaatkanker_Uitgangssituatie</v>
      </c>
      <c r="H842" s="33">
        <v>2023</v>
      </c>
      <c r="I842" s="32">
        <v>1</v>
      </c>
      <c r="J842" s="406" cm="1">
        <f t="array" ref="J842">INDEX(implementatie[[2023]:[2034]],MATCH(G842, implementatie[Zoeksleutel],0),I842)</f>
        <v>0.4</v>
      </c>
      <c r="K842" s="406" cm="1">
        <f t="array" ref="K842">INDEX(implementatie[[2023]:[2034]],MATCH(G842,implementatie[Zoeksleutel],0),I842 + 1)</f>
        <v>0.53800000000000003</v>
      </c>
      <c r="L84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10324.800000000001</v>
      </c>
      <c r="M842" s="398" cm="1">
        <f t="array" ref="M842">J842*INDEX(Berekening_impact[Totaal arbeidsbesparing (€/jaar)],MATCH(B842,IF(Berekening_impact[Doelgroep]=C842,Berekening_impact[Digitale zorgtoepassing]),0))</f>
        <v>235417.75262068969</v>
      </c>
      <c r="N842" s="397" cm="1">
        <f t="array" ref="N842">J842*INDEX(Berekening_impact[Totaal arbeidsbesparing (FTE/jaar)],MATCH(B842,IF(Berekening_impact[Doelgroep]=C842,Berekening_impact[Digitale zorgtoepassing]),0))</f>
        <v>1.2409615384615384</v>
      </c>
      <c r="O842" s="398" cm="1">
        <f t="array" ref="O842">J842*INDEX(Berekening_impact[Overige kostenbesparing (totaal/jaar totaal potentieel)],MATCH(B842,IF(Berekening_impact[Doelgroep]=C842,Berekening_impact[Digitale zorgtoepassing]),0))</f>
        <v>0</v>
      </c>
      <c r="P842" s="398" cm="1">
        <f t="array" ref="P842">J842*INDEX(Berekening_impact[Opbrengsten door QALY''s],MATCH(B842,IF(Berekening_impact[Doelgroep]=C842,Berekening_impact[Digitale zorgtoepassing]),0))</f>
        <v>0</v>
      </c>
      <c r="Q842" s="398" cm="1">
        <f t="array" ref="Q842">J842*INDEX(Berekening_impact[Jaarlijkse kosten (totaal) - incl. schatting],MATCH(B842,IF(Berekening_impact[Doelgroep]=C842,Berekening_impact[Digitale zorgtoepassing]),0))</f>
        <v>175521.6</v>
      </c>
      <c r="R842" s="398" cm="1">
        <f t="array" ref="R842">(uitkomst_doelgroep[[#This Row],[Implementatiegraad t = T + 1]]-uitkomst_doelgroep[[#This Row],[Implementatiegraad t = T]])*INDEX(Berekening_impact[Initiële investering (totaal) - incl. schatting],MATCH(B842,IF(Berekening_impact[Doelgroep]=C842,Berekening_impact[Digitale zorgtoepassing]),0))</f>
        <v>135600.00000000003</v>
      </c>
      <c r="S842" s="398">
        <f>uitkomst_doelgroep[[#This Row],[Arbeidsbesparing (€)]]*uitkomst_doelgroep[[#This Row],[Percentage van patiëntaantallen in Wlz (overige is Zvw)]]</f>
        <v>0</v>
      </c>
      <c r="T842" s="398">
        <f>uitkomst_doelgroep[[#This Row],[Overige besparingen (€)]]*uitkomst_doelgroep[[#This Row],[Percentage van patiëntaantallen in Wlz (overige is Zvw)]]</f>
        <v>0</v>
      </c>
      <c r="U842" s="398">
        <f>uitkomst_doelgroep[[#This Row],[Kosten (€)]]*uitkomst_doelgroep[[#This Row],[Percentage van patiëntaantallen in Wlz (overige is Zvw)]]</f>
        <v>0</v>
      </c>
      <c r="V842" s="398">
        <f>uitkomst_doelgroep[[#This Row],[Investering (cash flow) (€)]]*uitkomst_doelgroep[[#This Row],[Percentage van patiëntaantallen in Wlz (overige is Zvw)]]</f>
        <v>0</v>
      </c>
    </row>
    <row r="843" spans="1:22" x14ac:dyDescent="0.5">
      <c r="A843" s="33" t="str">
        <f>INDEX(Technologieën[Veld],MATCH(B843,Technologieën[Digitale zorgtoepassing],0))</f>
        <v>Software - Diagnose</v>
      </c>
      <c r="B843" s="33" t="s">
        <v>472</v>
      </c>
      <c r="C843" s="33" t="s">
        <v>465</v>
      </c>
      <c r="D843" s="427" cm="1">
        <f t="array" ref="D843">INDEX(Berekening_patiëntaantal[Percentage van patiëntaantallen in Wlz (overige is Zvw)],MATCH(B843,IF(Berekening_patiëntaantal[Doelgroep (zoeksleutel)]=C843,Berekening_patiëntaantal[Digitale zorgtoepassing]),0))</f>
        <v>0</v>
      </c>
      <c r="E843" s="33" t="str" cm="1">
        <f t="array" ref="E843">INDEX(Berekening_patiëntaantal[Direct toepasbaar/extrapolatie/incidentie voor QALY],MATCH(B843,IF(Berekening_patiëntaantal[Doelgroep (zoeksleutel)]=C843,Berekening_patiëntaantal[Digitale zorgtoepassing]),0))</f>
        <v>Extrapolatie</v>
      </c>
      <c r="F843" s="33" t="s">
        <v>813</v>
      </c>
      <c r="G843" s="33" t="str">
        <f>CONCATENATE(uitkomst_doelgroep[[#This Row],[Digitale zorgtoepassing]],"_",uitkomst_doelgroep[[#This Row],[Doelgroep]],"_",uitkomst_doelgroep[[#This Row],[Uitgangssituatie/effect beleid]])</f>
        <v>AI om diagnoses te stellen (MRI)_MRI onderzoek_Overig_Uitgangssituatie</v>
      </c>
      <c r="H843" s="33">
        <v>2024</v>
      </c>
      <c r="I843" s="32">
        <v>2</v>
      </c>
      <c r="J843" s="406" cm="1">
        <f t="array" ref="J843">INDEX(implementatie[[2023]:[2034]],MATCH(G843, implementatie[Zoeksleutel],0),I843)</f>
        <v>0</v>
      </c>
      <c r="K843" s="406" cm="1">
        <f t="array" ref="K843">INDEX(implementatie[[2023]:[2034]],MATCH(G843,implementatie[Zoeksleutel],0),I843 + 1)</f>
        <v>0</v>
      </c>
      <c r="L84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843" s="398" cm="1">
        <f t="array" ref="M843">J843*INDEX(Berekening_impact[Totaal arbeidsbesparing (€/jaar)],MATCH(B843,IF(Berekening_impact[Doelgroep]=C843,Berekening_impact[Digitale zorgtoepassing]),0))</f>
        <v>0</v>
      </c>
      <c r="N843" s="397" cm="1">
        <f t="array" ref="N843">J843*INDEX(Berekening_impact[Totaal arbeidsbesparing (FTE/jaar)],MATCH(B843,IF(Berekening_impact[Doelgroep]=C843,Berekening_impact[Digitale zorgtoepassing]),0))</f>
        <v>0</v>
      </c>
      <c r="O843" s="398" cm="1">
        <f t="array" ref="O843">J843*INDEX(Berekening_impact[Overige kostenbesparing (totaal/jaar totaal potentieel)],MATCH(B843,IF(Berekening_impact[Doelgroep]=C843,Berekening_impact[Digitale zorgtoepassing]),0))</f>
        <v>0</v>
      </c>
      <c r="P843" s="398" cm="1">
        <f t="array" ref="P843">J843*INDEX(Berekening_impact[Opbrengsten door QALY''s],MATCH(B843,IF(Berekening_impact[Doelgroep]=C843,Berekening_impact[Digitale zorgtoepassing]),0))</f>
        <v>0</v>
      </c>
      <c r="Q843" s="398" cm="1">
        <f t="array" ref="Q843">J843*INDEX(Berekening_impact[Jaarlijkse kosten (totaal) - incl. schatting],MATCH(B843,IF(Berekening_impact[Doelgroep]=C843,Berekening_impact[Digitale zorgtoepassing]),0))</f>
        <v>0</v>
      </c>
      <c r="R843" s="398" cm="1">
        <f t="array" ref="R843">(uitkomst_doelgroep[[#This Row],[Implementatiegraad t = T + 1]]-uitkomst_doelgroep[[#This Row],[Implementatiegraad t = T]])*INDEX(Berekening_impact[Initiële investering (totaal) - incl. schatting],MATCH(B843,IF(Berekening_impact[Doelgroep]=C843,Berekening_impact[Digitale zorgtoepassing]),0))</f>
        <v>0</v>
      </c>
      <c r="S843" s="398">
        <f>uitkomst_doelgroep[[#This Row],[Arbeidsbesparing (€)]]*uitkomst_doelgroep[[#This Row],[Percentage van patiëntaantallen in Wlz (overige is Zvw)]]</f>
        <v>0</v>
      </c>
      <c r="T843" s="398">
        <f>uitkomst_doelgroep[[#This Row],[Overige besparingen (€)]]*uitkomst_doelgroep[[#This Row],[Percentage van patiëntaantallen in Wlz (overige is Zvw)]]</f>
        <v>0</v>
      </c>
      <c r="U843" s="398">
        <f>uitkomst_doelgroep[[#This Row],[Kosten (€)]]*uitkomst_doelgroep[[#This Row],[Percentage van patiëntaantallen in Wlz (overige is Zvw)]]</f>
        <v>0</v>
      </c>
      <c r="V843" s="398">
        <f>uitkomst_doelgroep[[#This Row],[Investering (cash flow) (€)]]*uitkomst_doelgroep[[#This Row],[Percentage van patiëntaantallen in Wlz (overige is Zvw)]]</f>
        <v>0</v>
      </c>
    </row>
    <row r="844" spans="1:22" x14ac:dyDescent="0.5">
      <c r="A844" s="33" t="str">
        <f>INDEX(Technologieën[Veld],MATCH(B844,Technologieën[Digitale zorgtoepassing],0))</f>
        <v>Software - Diagnose</v>
      </c>
      <c r="B844" s="33" t="s">
        <v>472</v>
      </c>
      <c r="C844" s="33" t="s">
        <v>442</v>
      </c>
      <c r="D844" s="427" cm="1">
        <f t="array" ref="D844">INDEX(Berekening_patiëntaantal[Percentage van patiëntaantallen in Wlz (overige is Zvw)],MATCH(B844,IF(Berekening_patiëntaantal[Doelgroep (zoeksleutel)]=C844,Berekening_patiëntaantal[Digitale zorgtoepassing]),0))</f>
        <v>0</v>
      </c>
      <c r="E844" s="33" t="str" cm="1">
        <f t="array" ref="E844">INDEX(Berekening_patiëntaantal[Direct toepasbaar/extrapolatie/incidentie voor QALY],MATCH(B844,IF(Berekening_patiëntaantal[Doelgroep (zoeksleutel)]=C844,Berekening_patiëntaantal[Digitale zorgtoepassing]),0))</f>
        <v>Huidige toepassing</v>
      </c>
      <c r="F844" s="33" t="s">
        <v>813</v>
      </c>
      <c r="G844" s="33" t="str">
        <f>CONCATENATE(uitkomst_doelgroep[[#This Row],[Digitale zorgtoepassing]],"_",uitkomst_doelgroep[[#This Row],[Doelgroep]],"_",uitkomst_doelgroep[[#This Row],[Uitgangssituatie/effect beleid]])</f>
        <v>AI om diagnoses te stellen (MRI)_MRI onderzoek_Prostaatkanker_Uitgangssituatie</v>
      </c>
      <c r="H844" s="33">
        <v>2024</v>
      </c>
      <c r="I844" s="32">
        <v>2</v>
      </c>
      <c r="J844" s="406" cm="1">
        <f t="array" ref="J844">INDEX(implementatie[[2023]:[2034]],MATCH(G844, implementatie[Zoeksleutel],0),I844)</f>
        <v>0.53800000000000003</v>
      </c>
      <c r="K844" s="406" cm="1">
        <f t="array" ref="K844">INDEX(implementatie[[2023]:[2034]],MATCH(G844,implementatie[Zoeksleutel],0),I844 + 1)</f>
        <v>0.67613800000000002</v>
      </c>
      <c r="L84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13886.856000000002</v>
      </c>
      <c r="M844" s="398" cm="1">
        <f t="array" ref="M844">J844*INDEX(Berekening_impact[Totaal arbeidsbesparing (€/jaar)],MATCH(B844,IF(Berekening_impact[Doelgroep]=C844,Berekening_impact[Digitale zorgtoepassing]),0))</f>
        <v>316636.87727482762</v>
      </c>
      <c r="N844" s="397" cm="1">
        <f t="array" ref="N844">J844*INDEX(Berekening_impact[Totaal arbeidsbesparing (FTE/jaar)],MATCH(B844,IF(Berekening_impact[Doelgroep]=C844,Berekening_impact[Digitale zorgtoepassing]),0))</f>
        <v>1.6690932692307692</v>
      </c>
      <c r="O844" s="398" cm="1">
        <f t="array" ref="O844">J844*INDEX(Berekening_impact[Overige kostenbesparing (totaal/jaar totaal potentieel)],MATCH(B844,IF(Berekening_impact[Doelgroep]=C844,Berekening_impact[Digitale zorgtoepassing]),0))</f>
        <v>0</v>
      </c>
      <c r="P844" s="398" cm="1">
        <f t="array" ref="P844">J844*INDEX(Berekening_impact[Opbrengsten door QALY''s],MATCH(B844,IF(Berekening_impact[Doelgroep]=C844,Berekening_impact[Digitale zorgtoepassing]),0))</f>
        <v>0</v>
      </c>
      <c r="Q844" s="398" cm="1">
        <f t="array" ref="Q844">J844*INDEX(Berekening_impact[Jaarlijkse kosten (totaal) - incl. schatting],MATCH(B844,IF(Berekening_impact[Doelgroep]=C844,Berekening_impact[Digitale zorgtoepassing]),0))</f>
        <v>236076.55200000003</v>
      </c>
      <c r="R844" s="398" cm="1">
        <f t="array" ref="R844">(uitkomst_doelgroep[[#This Row],[Implementatiegraad t = T + 1]]-uitkomst_doelgroep[[#This Row],[Implementatiegraad t = T]])*INDEX(Berekening_impact[Initiële investering (totaal) - incl. schatting],MATCH(B844,IF(Berekening_impact[Doelgroep]=C844,Berekening_impact[Digitale zorgtoepassing]),0))</f>
        <v>135735.59999999998</v>
      </c>
      <c r="S844" s="398">
        <f>uitkomst_doelgroep[[#This Row],[Arbeidsbesparing (€)]]*uitkomst_doelgroep[[#This Row],[Percentage van patiëntaantallen in Wlz (overige is Zvw)]]</f>
        <v>0</v>
      </c>
      <c r="T844" s="398">
        <f>uitkomst_doelgroep[[#This Row],[Overige besparingen (€)]]*uitkomst_doelgroep[[#This Row],[Percentage van patiëntaantallen in Wlz (overige is Zvw)]]</f>
        <v>0</v>
      </c>
      <c r="U844" s="398">
        <f>uitkomst_doelgroep[[#This Row],[Kosten (€)]]*uitkomst_doelgroep[[#This Row],[Percentage van patiëntaantallen in Wlz (overige is Zvw)]]</f>
        <v>0</v>
      </c>
      <c r="V844" s="398">
        <f>uitkomst_doelgroep[[#This Row],[Investering (cash flow) (€)]]*uitkomst_doelgroep[[#This Row],[Percentage van patiëntaantallen in Wlz (overige is Zvw)]]</f>
        <v>0</v>
      </c>
    </row>
    <row r="845" spans="1:22" x14ac:dyDescent="0.5">
      <c r="A845" s="33" t="str">
        <f>INDEX(Technologieën[Veld],MATCH(B845,Technologieën[Digitale zorgtoepassing],0))</f>
        <v>Software - Diagnose</v>
      </c>
      <c r="B845" s="33" t="s">
        <v>472</v>
      </c>
      <c r="C845" s="33" t="s">
        <v>465</v>
      </c>
      <c r="D845" s="427" cm="1">
        <f t="array" ref="D845">INDEX(Berekening_patiëntaantal[Percentage van patiëntaantallen in Wlz (overige is Zvw)],MATCH(B845,IF(Berekening_patiëntaantal[Doelgroep (zoeksleutel)]=C845,Berekening_patiëntaantal[Digitale zorgtoepassing]),0))</f>
        <v>0</v>
      </c>
      <c r="E845" s="33" t="str" cm="1">
        <f t="array" ref="E845">INDEX(Berekening_patiëntaantal[Direct toepasbaar/extrapolatie/incidentie voor QALY],MATCH(B845,IF(Berekening_patiëntaantal[Doelgroep (zoeksleutel)]=C845,Berekening_patiëntaantal[Digitale zorgtoepassing]),0))</f>
        <v>Extrapolatie</v>
      </c>
      <c r="F845" s="33" t="s">
        <v>813</v>
      </c>
      <c r="G845" s="33" t="str">
        <f>CONCATENATE(uitkomst_doelgroep[[#This Row],[Digitale zorgtoepassing]],"_",uitkomst_doelgroep[[#This Row],[Doelgroep]],"_",uitkomst_doelgroep[[#This Row],[Uitgangssituatie/effect beleid]])</f>
        <v>AI om diagnoses te stellen (MRI)_MRI onderzoek_Overig_Uitgangssituatie</v>
      </c>
      <c r="H845" s="33">
        <v>2025</v>
      </c>
      <c r="I845" s="32">
        <v>3</v>
      </c>
      <c r="J845" s="406" cm="1">
        <f t="array" ref="J845">INDEX(implementatie[[2023]:[2034]],MATCH(G845, implementatie[Zoeksleutel],0),I845)</f>
        <v>0</v>
      </c>
      <c r="K845" s="406" cm="1">
        <f t="array" ref="K845">INDEX(implementatie[[2023]:[2034]],MATCH(G845,implementatie[Zoeksleutel],0),I845 + 1)</f>
        <v>0</v>
      </c>
      <c r="L84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845" s="398" cm="1">
        <f t="array" ref="M845">J845*INDEX(Berekening_impact[Totaal arbeidsbesparing (€/jaar)],MATCH(B845,IF(Berekening_impact[Doelgroep]=C845,Berekening_impact[Digitale zorgtoepassing]),0))</f>
        <v>0</v>
      </c>
      <c r="N845" s="397" cm="1">
        <f t="array" ref="N845">J845*INDEX(Berekening_impact[Totaal arbeidsbesparing (FTE/jaar)],MATCH(B845,IF(Berekening_impact[Doelgroep]=C845,Berekening_impact[Digitale zorgtoepassing]),0))</f>
        <v>0</v>
      </c>
      <c r="O845" s="398" cm="1">
        <f t="array" ref="O845">J845*INDEX(Berekening_impact[Overige kostenbesparing (totaal/jaar totaal potentieel)],MATCH(B845,IF(Berekening_impact[Doelgroep]=C845,Berekening_impact[Digitale zorgtoepassing]),0))</f>
        <v>0</v>
      </c>
      <c r="P845" s="398" cm="1">
        <f t="array" ref="P845">J845*INDEX(Berekening_impact[Opbrengsten door QALY''s],MATCH(B845,IF(Berekening_impact[Doelgroep]=C845,Berekening_impact[Digitale zorgtoepassing]),0))</f>
        <v>0</v>
      </c>
      <c r="Q845" s="398" cm="1">
        <f t="array" ref="Q845">J845*INDEX(Berekening_impact[Jaarlijkse kosten (totaal) - incl. schatting],MATCH(B845,IF(Berekening_impact[Doelgroep]=C845,Berekening_impact[Digitale zorgtoepassing]),0))</f>
        <v>0</v>
      </c>
      <c r="R845" s="398" cm="1">
        <f t="array" ref="R845">(uitkomst_doelgroep[[#This Row],[Implementatiegraad t = T + 1]]-uitkomst_doelgroep[[#This Row],[Implementatiegraad t = T]])*INDEX(Berekening_impact[Initiële investering (totaal) - incl. schatting],MATCH(B845,IF(Berekening_impact[Doelgroep]=C845,Berekening_impact[Digitale zorgtoepassing]),0))</f>
        <v>0</v>
      </c>
      <c r="S845" s="398">
        <f>uitkomst_doelgroep[[#This Row],[Arbeidsbesparing (€)]]*uitkomst_doelgroep[[#This Row],[Percentage van patiëntaantallen in Wlz (overige is Zvw)]]</f>
        <v>0</v>
      </c>
      <c r="T845" s="398">
        <f>uitkomst_doelgroep[[#This Row],[Overige besparingen (€)]]*uitkomst_doelgroep[[#This Row],[Percentage van patiëntaantallen in Wlz (overige is Zvw)]]</f>
        <v>0</v>
      </c>
      <c r="U845" s="398">
        <f>uitkomst_doelgroep[[#This Row],[Kosten (€)]]*uitkomst_doelgroep[[#This Row],[Percentage van patiëntaantallen in Wlz (overige is Zvw)]]</f>
        <v>0</v>
      </c>
      <c r="V845" s="398">
        <f>uitkomst_doelgroep[[#This Row],[Investering (cash flow) (€)]]*uitkomst_doelgroep[[#This Row],[Percentage van patiëntaantallen in Wlz (overige is Zvw)]]</f>
        <v>0</v>
      </c>
    </row>
    <row r="846" spans="1:22" x14ac:dyDescent="0.5">
      <c r="A846" s="33" t="str">
        <f>INDEX(Technologieën[Veld],MATCH(B846,Technologieën[Digitale zorgtoepassing],0))</f>
        <v>Software - Diagnose</v>
      </c>
      <c r="B846" s="33" t="s">
        <v>472</v>
      </c>
      <c r="C846" s="33" t="s">
        <v>442</v>
      </c>
      <c r="D846" s="427" cm="1">
        <f t="array" ref="D846">INDEX(Berekening_patiëntaantal[Percentage van patiëntaantallen in Wlz (overige is Zvw)],MATCH(B846,IF(Berekening_patiëntaantal[Doelgroep (zoeksleutel)]=C846,Berekening_patiëntaantal[Digitale zorgtoepassing]),0))</f>
        <v>0</v>
      </c>
      <c r="E846" s="33" t="str" cm="1">
        <f t="array" ref="E846">INDEX(Berekening_patiëntaantal[Direct toepasbaar/extrapolatie/incidentie voor QALY],MATCH(B846,IF(Berekening_patiëntaantal[Doelgroep (zoeksleutel)]=C846,Berekening_patiëntaantal[Digitale zorgtoepassing]),0))</f>
        <v>Huidige toepassing</v>
      </c>
      <c r="F846" s="33" t="s">
        <v>813</v>
      </c>
      <c r="G846" s="33" t="str">
        <f>CONCATENATE(uitkomst_doelgroep[[#This Row],[Digitale zorgtoepassing]],"_",uitkomst_doelgroep[[#This Row],[Doelgroep]],"_",uitkomst_doelgroep[[#This Row],[Uitgangssituatie/effect beleid]])</f>
        <v>AI om diagnoses te stellen (MRI)_MRI onderzoek_Prostaatkanker_Uitgangssituatie</v>
      </c>
      <c r="H846" s="33">
        <v>2025</v>
      </c>
      <c r="I846" s="32">
        <v>3</v>
      </c>
      <c r="J846" s="406" cm="1">
        <f t="array" ref="J846">INDEX(implementatie[[2023]:[2034]],MATCH(G846, implementatie[Zoeksleutel],0),I846)</f>
        <v>0.67613800000000002</v>
      </c>
      <c r="K846" s="406" cm="1">
        <f t="array" ref="K846">INDEX(implementatie[[2023]:[2034]],MATCH(G846,implementatie[Zoeksleutel],0),I846 + 1)</f>
        <v>0.79534156247800003</v>
      </c>
      <c r="L84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17452.474055999999</v>
      </c>
      <c r="M846" s="398" cm="1">
        <f t="array" ref="M846">J846*INDEX(Berekening_impact[Totaal arbeidsbesparing (€/jaar)],MATCH(B846,IF(Berekening_impact[Doelgroep]=C846,Berekening_impact[Digitale zorgtoepassing]),0))</f>
        <v>397937.22105361969</v>
      </c>
      <c r="N846" s="397" cm="1">
        <f t="array" ref="N846">J846*INDEX(Berekening_impact[Totaal arbeidsbesparing (FTE/jaar)],MATCH(B846,IF(Berekening_impact[Doelgroep]=C846,Berekening_impact[Digitale zorgtoepassing]),0))</f>
        <v>2.0976531317307692</v>
      </c>
      <c r="O846" s="398" cm="1">
        <f t="array" ref="O846">J846*INDEX(Berekening_impact[Overige kostenbesparing (totaal/jaar totaal potentieel)],MATCH(B846,IF(Berekening_impact[Doelgroep]=C846,Berekening_impact[Digitale zorgtoepassing]),0))</f>
        <v>0</v>
      </c>
      <c r="P846" s="398" cm="1">
        <f t="array" ref="P846">J846*INDEX(Berekening_impact[Opbrengsten door QALY''s],MATCH(B846,IF(Berekening_impact[Doelgroep]=C846,Berekening_impact[Digitale zorgtoepassing]),0))</f>
        <v>0</v>
      </c>
      <c r="Q846" s="398" cm="1">
        <f t="array" ref="Q846">J846*INDEX(Berekening_impact[Jaarlijkse kosten (totaal) - incl. schatting],MATCH(B846,IF(Berekening_impact[Doelgroep]=C846,Berekening_impact[Digitale zorgtoepassing]),0))</f>
        <v>296692.05895199999</v>
      </c>
      <c r="R846" s="398" cm="1">
        <f t="array" ref="R846">(uitkomst_doelgroep[[#This Row],[Implementatiegraad t = T + 1]]-uitkomst_doelgroep[[#This Row],[Implementatiegraad t = T]])*INDEX(Berekening_impact[Initiële investering (totaal) - incl. schatting],MATCH(B846,IF(Berekening_impact[Doelgroep]=C846,Berekening_impact[Digitale zorgtoepassing]),0))</f>
        <v>117130.45704360002</v>
      </c>
      <c r="S846" s="398">
        <f>uitkomst_doelgroep[[#This Row],[Arbeidsbesparing (€)]]*uitkomst_doelgroep[[#This Row],[Percentage van patiëntaantallen in Wlz (overige is Zvw)]]</f>
        <v>0</v>
      </c>
      <c r="T846" s="398">
        <f>uitkomst_doelgroep[[#This Row],[Overige besparingen (€)]]*uitkomst_doelgroep[[#This Row],[Percentage van patiëntaantallen in Wlz (overige is Zvw)]]</f>
        <v>0</v>
      </c>
      <c r="U846" s="398">
        <f>uitkomst_doelgroep[[#This Row],[Kosten (€)]]*uitkomst_doelgroep[[#This Row],[Percentage van patiëntaantallen in Wlz (overige is Zvw)]]</f>
        <v>0</v>
      </c>
      <c r="V846" s="398">
        <f>uitkomst_doelgroep[[#This Row],[Investering (cash flow) (€)]]*uitkomst_doelgroep[[#This Row],[Percentage van patiëntaantallen in Wlz (overige is Zvw)]]</f>
        <v>0</v>
      </c>
    </row>
    <row r="847" spans="1:22" x14ac:dyDescent="0.5">
      <c r="A847" s="33" t="str">
        <f>INDEX(Technologieën[Veld],MATCH(B847,Technologieën[Digitale zorgtoepassing],0))</f>
        <v>Software - Diagnose</v>
      </c>
      <c r="B847" s="33" t="s">
        <v>472</v>
      </c>
      <c r="C847" s="33" t="s">
        <v>465</v>
      </c>
      <c r="D847" s="427" cm="1">
        <f t="array" ref="D847">INDEX(Berekening_patiëntaantal[Percentage van patiëntaantallen in Wlz (overige is Zvw)],MATCH(B847,IF(Berekening_patiëntaantal[Doelgroep (zoeksleutel)]=C847,Berekening_patiëntaantal[Digitale zorgtoepassing]),0))</f>
        <v>0</v>
      </c>
      <c r="E847" s="33" t="str" cm="1">
        <f t="array" ref="E847">INDEX(Berekening_patiëntaantal[Direct toepasbaar/extrapolatie/incidentie voor QALY],MATCH(B847,IF(Berekening_patiëntaantal[Doelgroep (zoeksleutel)]=C847,Berekening_patiëntaantal[Digitale zorgtoepassing]),0))</f>
        <v>Extrapolatie</v>
      </c>
      <c r="F847" s="33" t="s">
        <v>813</v>
      </c>
      <c r="G847" s="33" t="str">
        <f>CONCATENATE(uitkomst_doelgroep[[#This Row],[Digitale zorgtoepassing]],"_",uitkomst_doelgroep[[#This Row],[Doelgroep]],"_",uitkomst_doelgroep[[#This Row],[Uitgangssituatie/effect beleid]])</f>
        <v>AI om diagnoses te stellen (MRI)_MRI onderzoek_Overig_Uitgangssituatie</v>
      </c>
      <c r="H847" s="33">
        <v>2026</v>
      </c>
      <c r="I847" s="32">
        <v>4</v>
      </c>
      <c r="J847" s="406" cm="1">
        <f t="array" ref="J847">INDEX(implementatie[[2023]:[2034]],MATCH(G847, implementatie[Zoeksleutel],0),I847)</f>
        <v>0</v>
      </c>
      <c r="K847" s="406" cm="1">
        <f t="array" ref="K847">INDEX(implementatie[[2023]:[2034]],MATCH(G847,implementatie[Zoeksleutel],0),I847 + 1)</f>
        <v>0.03</v>
      </c>
      <c r="L84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847" s="398" cm="1">
        <f t="array" ref="M847">J847*INDEX(Berekening_impact[Totaal arbeidsbesparing (€/jaar)],MATCH(B847,IF(Berekening_impact[Doelgroep]=C847,Berekening_impact[Digitale zorgtoepassing]),0))</f>
        <v>0</v>
      </c>
      <c r="N847" s="397" cm="1">
        <f t="array" ref="N847">J847*INDEX(Berekening_impact[Totaal arbeidsbesparing (FTE/jaar)],MATCH(B847,IF(Berekening_impact[Doelgroep]=C847,Berekening_impact[Digitale zorgtoepassing]),0))</f>
        <v>0</v>
      </c>
      <c r="O847" s="398" cm="1">
        <f t="array" ref="O847">J847*INDEX(Berekening_impact[Overige kostenbesparing (totaal/jaar totaal potentieel)],MATCH(B847,IF(Berekening_impact[Doelgroep]=C847,Berekening_impact[Digitale zorgtoepassing]),0))</f>
        <v>0</v>
      </c>
      <c r="P847" s="398" cm="1">
        <f t="array" ref="P847">J847*INDEX(Berekening_impact[Opbrengsten door QALY''s],MATCH(B847,IF(Berekening_impact[Doelgroep]=C847,Berekening_impact[Digitale zorgtoepassing]),0))</f>
        <v>0</v>
      </c>
      <c r="Q847" s="398" cm="1">
        <f t="array" ref="Q847">J847*INDEX(Berekening_impact[Jaarlijkse kosten (totaal) - incl. schatting],MATCH(B847,IF(Berekening_impact[Doelgroep]=C847,Berekening_impact[Digitale zorgtoepassing]),0))</f>
        <v>0</v>
      </c>
      <c r="R847" s="398" cm="1">
        <f t="array" ref="R847">(uitkomst_doelgroep[[#This Row],[Implementatiegraad t = T + 1]]-uitkomst_doelgroep[[#This Row],[Implementatiegraad t = T]])*INDEX(Berekening_impact[Initiële investering (totaal) - incl. schatting],MATCH(B847,IF(Berekening_impact[Doelgroep]=C847,Berekening_impact[Digitale zorgtoepassing]),0))</f>
        <v>0</v>
      </c>
      <c r="S847" s="398">
        <f>uitkomst_doelgroep[[#This Row],[Arbeidsbesparing (€)]]*uitkomst_doelgroep[[#This Row],[Percentage van patiëntaantallen in Wlz (overige is Zvw)]]</f>
        <v>0</v>
      </c>
      <c r="T847" s="398">
        <f>uitkomst_doelgroep[[#This Row],[Overige besparingen (€)]]*uitkomst_doelgroep[[#This Row],[Percentage van patiëntaantallen in Wlz (overige is Zvw)]]</f>
        <v>0</v>
      </c>
      <c r="U847" s="398">
        <f>uitkomst_doelgroep[[#This Row],[Kosten (€)]]*uitkomst_doelgroep[[#This Row],[Percentage van patiëntaantallen in Wlz (overige is Zvw)]]</f>
        <v>0</v>
      </c>
      <c r="V847" s="398">
        <f>uitkomst_doelgroep[[#This Row],[Investering (cash flow) (€)]]*uitkomst_doelgroep[[#This Row],[Percentage van patiëntaantallen in Wlz (overige is Zvw)]]</f>
        <v>0</v>
      </c>
    </row>
    <row r="848" spans="1:22" x14ac:dyDescent="0.5">
      <c r="A848" s="33" t="str">
        <f>INDEX(Technologieën[Veld],MATCH(B848,Technologieën[Digitale zorgtoepassing],0))</f>
        <v>Software - Diagnose</v>
      </c>
      <c r="B848" s="33" t="s">
        <v>472</v>
      </c>
      <c r="C848" s="33" t="s">
        <v>442</v>
      </c>
      <c r="D848" s="427" cm="1">
        <f t="array" ref="D848">INDEX(Berekening_patiëntaantal[Percentage van patiëntaantallen in Wlz (overige is Zvw)],MATCH(B848,IF(Berekening_patiëntaantal[Doelgroep (zoeksleutel)]=C848,Berekening_patiëntaantal[Digitale zorgtoepassing]),0))</f>
        <v>0</v>
      </c>
      <c r="E848" s="33" t="str" cm="1">
        <f t="array" ref="E848">INDEX(Berekening_patiëntaantal[Direct toepasbaar/extrapolatie/incidentie voor QALY],MATCH(B848,IF(Berekening_patiëntaantal[Doelgroep (zoeksleutel)]=C848,Berekening_patiëntaantal[Digitale zorgtoepassing]),0))</f>
        <v>Huidige toepassing</v>
      </c>
      <c r="F848" s="33" t="s">
        <v>813</v>
      </c>
      <c r="G848" s="33" t="str">
        <f>CONCATENATE(uitkomst_doelgroep[[#This Row],[Digitale zorgtoepassing]],"_",uitkomst_doelgroep[[#This Row],[Doelgroep]],"_",uitkomst_doelgroep[[#This Row],[Uitgangssituatie/effect beleid]])</f>
        <v>AI om diagnoses te stellen (MRI)_MRI onderzoek_Prostaatkanker_Uitgangssituatie</v>
      </c>
      <c r="H848" s="33">
        <v>2026</v>
      </c>
      <c r="I848" s="32">
        <v>4</v>
      </c>
      <c r="J848" s="406" cm="1">
        <f t="array" ref="J848">INDEX(implementatie[[2023]:[2034]],MATCH(G848, implementatie[Zoeksleutel],0),I848)</f>
        <v>0.79534156247800003</v>
      </c>
      <c r="K848" s="406" cm="1">
        <f t="array" ref="K848">INDEX(implementatie[[2023]:[2034]],MATCH(G848,implementatie[Zoeksleutel],0),I848 + 1)</f>
        <v>0.88286799634018676</v>
      </c>
      <c r="L84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20529.356410682136</v>
      </c>
      <c r="M848" s="398" cm="1">
        <f t="array" ref="M848">J848*INDEX(Berekening_impact[Totaal arbeidsbesparing (€/jaar)],MATCH(B848,IF(Berekening_impact[Doelgroep]=C848,Berekening_impact[Digitale zorgtoepassing]),0))</f>
        <v>468093.80801099649</v>
      </c>
      <c r="N848" s="397" cm="1">
        <f t="array" ref="N848">J848*INDEX(Berekening_impact[Totaal arbeidsbesparing (FTE/jaar)],MATCH(B848,IF(Berekening_impact[Doelgroep]=C848,Berekening_impact[Digitale zorgtoepassing]),0))</f>
        <v>2.4674707224377568</v>
      </c>
      <c r="O848" s="398" cm="1">
        <f t="array" ref="O848">J848*INDEX(Berekening_impact[Overige kostenbesparing (totaal/jaar totaal potentieel)],MATCH(B848,IF(Berekening_impact[Doelgroep]=C848,Berekening_impact[Digitale zorgtoepassing]),0))</f>
        <v>0</v>
      </c>
      <c r="P848" s="398" cm="1">
        <f t="array" ref="P848">J848*INDEX(Berekening_impact[Opbrengsten door QALY''s],MATCH(B848,IF(Berekening_impact[Doelgroep]=C848,Berekening_impact[Digitale zorgtoepassing]),0))</f>
        <v>0</v>
      </c>
      <c r="Q848" s="398" cm="1">
        <f t="array" ref="Q848">J848*INDEX(Berekening_impact[Jaarlijkse kosten (totaal) - incl. schatting],MATCH(B848,IF(Berekening_impact[Doelgroep]=C848,Berekening_impact[Digitale zorgtoepassing]),0))</f>
        <v>348999.05898159632</v>
      </c>
      <c r="R848" s="398" cm="1">
        <f t="array" ref="R848">(uitkomst_doelgroep[[#This Row],[Implementatiegraad t = T + 1]]-uitkomst_doelgroep[[#This Row],[Implementatiegraad t = T]])*INDEX(Berekening_impact[Initiële investering (totaal) - incl. schatting],MATCH(B848,IF(Berekening_impact[Doelgroep]=C848,Berekening_impact[Digitale zorgtoepassing]),0))</f>
        <v>86004.235012409568</v>
      </c>
      <c r="S848" s="398">
        <f>uitkomst_doelgroep[[#This Row],[Arbeidsbesparing (€)]]*uitkomst_doelgroep[[#This Row],[Percentage van patiëntaantallen in Wlz (overige is Zvw)]]</f>
        <v>0</v>
      </c>
      <c r="T848" s="398">
        <f>uitkomst_doelgroep[[#This Row],[Overige besparingen (€)]]*uitkomst_doelgroep[[#This Row],[Percentage van patiëntaantallen in Wlz (overige is Zvw)]]</f>
        <v>0</v>
      </c>
      <c r="U848" s="398">
        <f>uitkomst_doelgroep[[#This Row],[Kosten (€)]]*uitkomst_doelgroep[[#This Row],[Percentage van patiëntaantallen in Wlz (overige is Zvw)]]</f>
        <v>0</v>
      </c>
      <c r="V848" s="398">
        <f>uitkomst_doelgroep[[#This Row],[Investering (cash flow) (€)]]*uitkomst_doelgroep[[#This Row],[Percentage van patiëntaantallen in Wlz (overige is Zvw)]]</f>
        <v>0</v>
      </c>
    </row>
    <row r="849" spans="1:22" x14ac:dyDescent="0.5">
      <c r="A849" s="33" t="str">
        <f>INDEX(Technologieën[Veld],MATCH(B849,Technologieën[Digitale zorgtoepassing],0))</f>
        <v>Software - Diagnose</v>
      </c>
      <c r="B849" s="33" t="s">
        <v>472</v>
      </c>
      <c r="C849" s="33" t="s">
        <v>465</v>
      </c>
      <c r="D849" s="427" cm="1">
        <f t="array" ref="D849">INDEX(Berekening_patiëntaantal[Percentage van patiëntaantallen in Wlz (overige is Zvw)],MATCH(B849,IF(Berekening_patiëntaantal[Doelgroep (zoeksleutel)]=C849,Berekening_patiëntaantal[Digitale zorgtoepassing]),0))</f>
        <v>0</v>
      </c>
      <c r="E849" s="33" t="str" cm="1">
        <f t="array" ref="E849">INDEX(Berekening_patiëntaantal[Direct toepasbaar/extrapolatie/incidentie voor QALY],MATCH(B849,IF(Berekening_patiëntaantal[Doelgroep (zoeksleutel)]=C849,Berekening_patiëntaantal[Digitale zorgtoepassing]),0))</f>
        <v>Extrapolatie</v>
      </c>
      <c r="F849" s="33" t="s">
        <v>813</v>
      </c>
      <c r="G849" s="33" t="str">
        <f>CONCATENATE(uitkomst_doelgroep[[#This Row],[Digitale zorgtoepassing]],"_",uitkomst_doelgroep[[#This Row],[Doelgroep]],"_",uitkomst_doelgroep[[#This Row],[Uitgangssituatie/effect beleid]])</f>
        <v>AI om diagnoses te stellen (MRI)_MRI onderzoek_Overig_Uitgangssituatie</v>
      </c>
      <c r="H849" s="33">
        <v>2027</v>
      </c>
      <c r="I849" s="32">
        <v>5</v>
      </c>
      <c r="J849" s="406" cm="1">
        <f t="array" ref="J849">INDEX(implementatie[[2023]:[2034]],MATCH(G849, implementatie[Zoeksleutel],0),I849)</f>
        <v>0.03</v>
      </c>
      <c r="K849" s="406" cm="1">
        <f t="array" ref="K849">INDEX(implementatie[[2023]:[2034]],MATCH(G849,implementatie[Zoeksleutel],0),I849 + 1)</f>
        <v>7.3649999999999993E-2</v>
      </c>
      <c r="L84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29225.64</v>
      </c>
      <c r="M849" s="398" cm="1">
        <f t="array" ref="M849">J849*INDEX(Berekening_impact[Totaal arbeidsbesparing (€/jaar)],MATCH(B849,IF(Berekening_impact[Doelgroep]=C849,Berekening_impact[Digitale zorgtoepassing]),0))</f>
        <v>666379.44441551738</v>
      </c>
      <c r="N849" s="397" cm="1">
        <f t="array" ref="N849">J849*INDEX(Berekening_impact[Totaal arbeidsbesparing (FTE/jaar)],MATCH(B849,IF(Berekening_impact[Doelgroep]=C849,Berekening_impact[Digitale zorgtoepassing]),0))</f>
        <v>3.5126971153846158</v>
      </c>
      <c r="O849" s="398" cm="1">
        <f t="array" ref="O849">J849*INDEX(Berekening_impact[Overige kostenbesparing (totaal/jaar totaal potentieel)],MATCH(B849,IF(Berekening_impact[Doelgroep]=C849,Berekening_impact[Digitale zorgtoepassing]),0))</f>
        <v>0</v>
      </c>
      <c r="P849" s="398" cm="1">
        <f t="array" ref="P849">J849*INDEX(Berekening_impact[Opbrengsten door QALY''s],MATCH(B849,IF(Berekening_impact[Doelgroep]=C849,Berekening_impact[Digitale zorgtoepassing]),0))</f>
        <v>0</v>
      </c>
      <c r="Q849" s="398" cm="1">
        <f t="array" ref="Q849">J849*INDEX(Berekening_impact[Jaarlijkse kosten (totaal) - incl. schatting],MATCH(B849,IF(Berekening_impact[Doelgroep]=C849,Berekening_impact[Digitale zorgtoepassing]),0))</f>
        <v>496835.88</v>
      </c>
      <c r="R849" s="398" cm="1">
        <f t="array" ref="R849">(uitkomst_doelgroep[[#This Row],[Implementatiegraad t = T + 1]]-uitkomst_doelgroep[[#This Row],[Implementatiegraad t = T]])*INDEX(Berekening_impact[Initiële investering (totaal) - incl. schatting],MATCH(B849,IF(Berekening_impact[Doelgroep]=C849,Berekening_impact[Digitale zorgtoepassing]),0))</f>
        <v>0</v>
      </c>
      <c r="S849" s="398">
        <f>uitkomst_doelgroep[[#This Row],[Arbeidsbesparing (€)]]*uitkomst_doelgroep[[#This Row],[Percentage van patiëntaantallen in Wlz (overige is Zvw)]]</f>
        <v>0</v>
      </c>
      <c r="T849" s="398">
        <f>uitkomst_doelgroep[[#This Row],[Overige besparingen (€)]]*uitkomst_doelgroep[[#This Row],[Percentage van patiëntaantallen in Wlz (overige is Zvw)]]</f>
        <v>0</v>
      </c>
      <c r="U849" s="398">
        <f>uitkomst_doelgroep[[#This Row],[Kosten (€)]]*uitkomst_doelgroep[[#This Row],[Percentage van patiëntaantallen in Wlz (overige is Zvw)]]</f>
        <v>0</v>
      </c>
      <c r="V849" s="398">
        <f>uitkomst_doelgroep[[#This Row],[Investering (cash flow) (€)]]*uitkomst_doelgroep[[#This Row],[Percentage van patiëntaantallen in Wlz (overige is Zvw)]]</f>
        <v>0</v>
      </c>
    </row>
    <row r="850" spans="1:22" x14ac:dyDescent="0.5">
      <c r="A850" s="33" t="str">
        <f>INDEX(Technologieën[Veld],MATCH(B850,Technologieën[Digitale zorgtoepassing],0))</f>
        <v>Software - Diagnose</v>
      </c>
      <c r="B850" s="33" t="s">
        <v>472</v>
      </c>
      <c r="C850" s="33" t="s">
        <v>442</v>
      </c>
      <c r="D850" s="427" cm="1">
        <f t="array" ref="D850">INDEX(Berekening_patiëntaantal[Percentage van patiëntaantallen in Wlz (overige is Zvw)],MATCH(B850,IF(Berekening_patiëntaantal[Doelgroep (zoeksleutel)]=C850,Berekening_patiëntaantal[Digitale zorgtoepassing]),0))</f>
        <v>0</v>
      </c>
      <c r="E850" s="33" t="str" cm="1">
        <f t="array" ref="E850">INDEX(Berekening_patiëntaantal[Direct toepasbaar/extrapolatie/incidentie voor QALY],MATCH(B850,IF(Berekening_patiëntaantal[Doelgroep (zoeksleutel)]=C850,Berekening_patiëntaantal[Digitale zorgtoepassing]),0))</f>
        <v>Huidige toepassing</v>
      </c>
      <c r="F850" s="33" t="s">
        <v>813</v>
      </c>
      <c r="G850" s="33" t="str">
        <f>CONCATENATE(uitkomst_doelgroep[[#This Row],[Digitale zorgtoepassing]],"_",uitkomst_doelgroep[[#This Row],[Doelgroep]],"_",uitkomst_doelgroep[[#This Row],[Uitgangssituatie/effect beleid]])</f>
        <v>AI om diagnoses te stellen (MRI)_MRI onderzoek_Prostaatkanker_Uitgangssituatie</v>
      </c>
      <c r="H850" s="33">
        <v>2027</v>
      </c>
      <c r="I850" s="32">
        <v>5</v>
      </c>
      <c r="J850" s="406" cm="1">
        <f t="array" ref="J850">INDEX(implementatie[[2023]:[2034]],MATCH(G850, implementatie[Zoeksleutel],0),I850)</f>
        <v>0.88286799634018676</v>
      </c>
      <c r="K850" s="406" cm="1">
        <f t="array" ref="K850">INDEX(implementatie[[2023]:[2034]],MATCH(G850,implementatie[Zoeksleutel],0),I850 + 1)</f>
        <v>0.93808800513920654</v>
      </c>
      <c r="L85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22788.588721532902</v>
      </c>
      <c r="M850" s="398" cm="1">
        <f t="array" ref="M850">J850*INDEX(Berekening_impact[Totaal arbeidsbesparing (€/jaar)],MATCH(B850,IF(Berekening_impact[Doelgroep]=C850,Berekening_impact[Digitale zorgtoepassing]),0))</f>
        <v>519606.9988978451</v>
      </c>
      <c r="N850" s="397" cm="1">
        <f t="array" ref="N850">J850*INDEX(Berekening_impact[Totaal arbeidsbesparing (FTE/jaar)],MATCH(B850,IF(Berekening_impact[Doelgroep]=C850,Berekening_impact[Digitale zorgtoepassing]),0))</f>
        <v>2.7390130674919351</v>
      </c>
      <c r="O850" s="398" cm="1">
        <f t="array" ref="O850">J850*INDEX(Berekening_impact[Overige kostenbesparing (totaal/jaar totaal potentieel)],MATCH(B850,IF(Berekening_impact[Doelgroep]=C850,Berekening_impact[Digitale zorgtoepassing]),0))</f>
        <v>0</v>
      </c>
      <c r="P850" s="398" cm="1">
        <f t="array" ref="P850">J850*INDEX(Berekening_impact[Opbrengsten door QALY''s],MATCH(B850,IF(Berekening_impact[Doelgroep]=C850,Berekening_impact[Digitale zorgtoepassing]),0))</f>
        <v>0</v>
      </c>
      <c r="Q850" s="398" cm="1">
        <f t="array" ref="Q850">J850*INDEX(Berekening_impact[Jaarlijkse kosten (totaal) - incl. schatting],MATCH(B850,IF(Berekening_impact[Doelgroep]=C850,Berekening_impact[Digitale zorgtoepassing]),0))</f>
        <v>387406.00826605933</v>
      </c>
      <c r="R850" s="398" cm="1">
        <f t="array" ref="R850">(uitkomst_doelgroep[[#This Row],[Implementatiegraad t = T + 1]]-uitkomst_doelgroep[[#This Row],[Implementatiegraad t = T]])*INDEX(Berekening_impact[Initiële investering (totaal) - incl. schatting],MATCH(B850,IF(Berekening_impact[Doelgroep]=C850,Berekening_impact[Digitale zorgtoepassing]),0))</f>
        <v>54259.660819906399</v>
      </c>
      <c r="S850" s="398">
        <f>uitkomst_doelgroep[[#This Row],[Arbeidsbesparing (€)]]*uitkomst_doelgroep[[#This Row],[Percentage van patiëntaantallen in Wlz (overige is Zvw)]]</f>
        <v>0</v>
      </c>
      <c r="T850" s="398">
        <f>uitkomst_doelgroep[[#This Row],[Overige besparingen (€)]]*uitkomst_doelgroep[[#This Row],[Percentage van patiëntaantallen in Wlz (overige is Zvw)]]</f>
        <v>0</v>
      </c>
      <c r="U850" s="398">
        <f>uitkomst_doelgroep[[#This Row],[Kosten (€)]]*uitkomst_doelgroep[[#This Row],[Percentage van patiëntaantallen in Wlz (overige is Zvw)]]</f>
        <v>0</v>
      </c>
      <c r="V850" s="398">
        <f>uitkomst_doelgroep[[#This Row],[Investering (cash flow) (€)]]*uitkomst_doelgroep[[#This Row],[Percentage van patiëntaantallen in Wlz (overige is Zvw)]]</f>
        <v>0</v>
      </c>
    </row>
    <row r="851" spans="1:22" x14ac:dyDescent="0.5">
      <c r="A851" s="33" t="str">
        <f>INDEX(Technologieën[Veld],MATCH(B851,Technologieën[Digitale zorgtoepassing],0))</f>
        <v>Software - Diagnose</v>
      </c>
      <c r="B851" s="33" t="s">
        <v>472</v>
      </c>
      <c r="C851" s="33" t="s">
        <v>465</v>
      </c>
      <c r="D851" s="427" cm="1">
        <f t="array" ref="D851">INDEX(Berekening_patiëntaantal[Percentage van patiëntaantallen in Wlz (overige is Zvw)],MATCH(B851,IF(Berekening_patiëntaantal[Doelgroep (zoeksleutel)]=C851,Berekening_patiëntaantal[Digitale zorgtoepassing]),0))</f>
        <v>0</v>
      </c>
      <c r="E851" s="33" t="str" cm="1">
        <f t="array" ref="E851">INDEX(Berekening_patiëntaantal[Direct toepasbaar/extrapolatie/incidentie voor QALY],MATCH(B851,IF(Berekening_patiëntaantal[Doelgroep (zoeksleutel)]=C851,Berekening_patiëntaantal[Digitale zorgtoepassing]),0))</f>
        <v>Extrapolatie</v>
      </c>
      <c r="F851" s="33" t="s">
        <v>813</v>
      </c>
      <c r="G851" s="33" t="str">
        <f>CONCATENATE(uitkomst_doelgroep[[#This Row],[Digitale zorgtoepassing]],"_",uitkomst_doelgroep[[#This Row],[Doelgroep]],"_",uitkomst_doelgroep[[#This Row],[Uitgangssituatie/effect beleid]])</f>
        <v>AI om diagnoses te stellen (MRI)_MRI onderzoek_Overig_Uitgangssituatie</v>
      </c>
      <c r="H851" s="33">
        <v>2028</v>
      </c>
      <c r="I851" s="32">
        <v>6</v>
      </c>
      <c r="J851" s="406" cm="1">
        <f t="array" ref="J851">INDEX(implementatie[[2023]:[2034]],MATCH(G851, implementatie[Zoeksleutel],0),I851)</f>
        <v>7.3649999999999993E-2</v>
      </c>
      <c r="K851" s="406" cm="1">
        <f t="array" ref="K851">INDEX(implementatie[[2023]:[2034]],MATCH(G851,implementatie[Zoeksleutel],0),I851 + 1)</f>
        <v>0.13555333874999997</v>
      </c>
      <c r="L85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71748.946199999991</v>
      </c>
      <c r="M851" s="398" cm="1">
        <f t="array" ref="M851">J851*INDEX(Berekening_impact[Totaal arbeidsbesparing (€/jaar)],MATCH(B851,IF(Berekening_impact[Doelgroep]=C851,Berekening_impact[Digitale zorgtoepassing]),0))</f>
        <v>1635961.5360400951</v>
      </c>
      <c r="N851" s="397" cm="1">
        <f t="array" ref="N851">J851*INDEX(Berekening_impact[Totaal arbeidsbesparing (FTE/jaar)],MATCH(B851,IF(Berekening_impact[Doelgroep]=C851,Berekening_impact[Digitale zorgtoepassing]),0))</f>
        <v>8.6236714182692307</v>
      </c>
      <c r="O851" s="398" cm="1">
        <f t="array" ref="O851">J851*INDEX(Berekening_impact[Overige kostenbesparing (totaal/jaar totaal potentieel)],MATCH(B851,IF(Berekening_impact[Doelgroep]=C851,Berekening_impact[Digitale zorgtoepassing]),0))</f>
        <v>0</v>
      </c>
      <c r="P851" s="398" cm="1">
        <f t="array" ref="P851">J851*INDEX(Berekening_impact[Opbrengsten door QALY''s],MATCH(B851,IF(Berekening_impact[Doelgroep]=C851,Berekening_impact[Digitale zorgtoepassing]),0))</f>
        <v>0</v>
      </c>
      <c r="Q851" s="398" cm="1">
        <f t="array" ref="Q851">J851*INDEX(Berekening_impact[Jaarlijkse kosten (totaal) - incl. schatting],MATCH(B851,IF(Berekening_impact[Doelgroep]=C851,Berekening_impact[Digitale zorgtoepassing]),0))</f>
        <v>1219732.0854</v>
      </c>
      <c r="R851" s="398" cm="1">
        <f t="array" ref="R851">(uitkomst_doelgroep[[#This Row],[Implementatiegraad t = T + 1]]-uitkomst_doelgroep[[#This Row],[Implementatiegraad t = T]])*INDEX(Berekening_impact[Initiële investering (totaal) - incl. schatting],MATCH(B851,IF(Berekening_impact[Doelgroep]=C851,Berekening_impact[Digitale zorgtoepassing]),0))</f>
        <v>0</v>
      </c>
      <c r="S851" s="398">
        <f>uitkomst_doelgroep[[#This Row],[Arbeidsbesparing (€)]]*uitkomst_doelgroep[[#This Row],[Percentage van patiëntaantallen in Wlz (overige is Zvw)]]</f>
        <v>0</v>
      </c>
      <c r="T851" s="398">
        <f>uitkomst_doelgroep[[#This Row],[Overige besparingen (€)]]*uitkomst_doelgroep[[#This Row],[Percentage van patiëntaantallen in Wlz (overige is Zvw)]]</f>
        <v>0</v>
      </c>
      <c r="U851" s="398">
        <f>uitkomst_doelgroep[[#This Row],[Kosten (€)]]*uitkomst_doelgroep[[#This Row],[Percentage van patiëntaantallen in Wlz (overige is Zvw)]]</f>
        <v>0</v>
      </c>
      <c r="V851" s="398">
        <f>uitkomst_doelgroep[[#This Row],[Investering (cash flow) (€)]]*uitkomst_doelgroep[[#This Row],[Percentage van patiëntaantallen in Wlz (overige is Zvw)]]</f>
        <v>0</v>
      </c>
    </row>
    <row r="852" spans="1:22" x14ac:dyDescent="0.5">
      <c r="A852" s="33" t="str">
        <f>INDEX(Technologieën[Veld],MATCH(B852,Technologieën[Digitale zorgtoepassing],0))</f>
        <v>Software - Diagnose</v>
      </c>
      <c r="B852" s="33" t="s">
        <v>472</v>
      </c>
      <c r="C852" s="33" t="s">
        <v>442</v>
      </c>
      <c r="D852" s="427" cm="1">
        <f t="array" ref="D852">INDEX(Berekening_patiëntaantal[Percentage van patiëntaantallen in Wlz (overige is Zvw)],MATCH(B852,IF(Berekening_patiëntaantal[Doelgroep (zoeksleutel)]=C852,Berekening_patiëntaantal[Digitale zorgtoepassing]),0))</f>
        <v>0</v>
      </c>
      <c r="E852" s="33" t="str" cm="1">
        <f t="array" ref="E852">INDEX(Berekening_patiëntaantal[Direct toepasbaar/extrapolatie/incidentie voor QALY],MATCH(B852,IF(Berekening_patiëntaantal[Doelgroep (zoeksleutel)]=C852,Berekening_patiëntaantal[Digitale zorgtoepassing]),0))</f>
        <v>Huidige toepassing</v>
      </c>
      <c r="F852" s="33" t="s">
        <v>813</v>
      </c>
      <c r="G852" s="33" t="str">
        <f>CONCATENATE(uitkomst_doelgroep[[#This Row],[Digitale zorgtoepassing]],"_",uitkomst_doelgroep[[#This Row],[Doelgroep]],"_",uitkomst_doelgroep[[#This Row],[Uitgangssituatie/effect beleid]])</f>
        <v>AI om diagnoses te stellen (MRI)_MRI onderzoek_Prostaatkanker_Uitgangssituatie</v>
      </c>
      <c r="H852" s="33">
        <v>2028</v>
      </c>
      <c r="I852" s="32">
        <v>6</v>
      </c>
      <c r="J852" s="406" cm="1">
        <f t="array" ref="J852">INDEX(implementatie[[2023]:[2034]],MATCH(G852, implementatie[Zoeksleutel],0),I852)</f>
        <v>0.93808800513920654</v>
      </c>
      <c r="K852" s="406" cm="1">
        <f t="array" ref="K852">INDEX(implementatie[[2023]:[2034]],MATCH(G852,implementatie[Zoeksleutel],0),I852 + 1)</f>
        <v>0.96898481486160559</v>
      </c>
      <c r="L85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24213.927588653198</v>
      </c>
      <c r="M852" s="398" cm="1">
        <f t="array" ref="M852">J852*INDEX(Berekening_impact[Totaal arbeidsbesparing (€/jaar)],MATCH(B852,IF(Berekening_impact[Doelgroep]=C852,Berekening_impact[Digitale zorgtoepassing]),0))</f>
        <v>552106.42482574494</v>
      </c>
      <c r="N852" s="397" cm="1">
        <f t="array" ref="N852">J852*INDEX(Berekening_impact[Totaal arbeidsbesparing (FTE/jaar)],MATCH(B852,IF(Berekening_impact[Doelgroep]=C852,Berekening_impact[Digitale zorgtoepassing]),0))</f>
        <v>2.9103278351746633</v>
      </c>
      <c r="O852" s="398" cm="1">
        <f t="array" ref="O852">J852*INDEX(Berekening_impact[Overige kostenbesparing (totaal/jaar totaal potentieel)],MATCH(B852,IF(Berekening_impact[Doelgroep]=C852,Berekening_impact[Digitale zorgtoepassing]),0))</f>
        <v>0</v>
      </c>
      <c r="P852" s="398" cm="1">
        <f t="array" ref="P852">J852*INDEX(Berekening_impact[Opbrengsten door QALY''s],MATCH(B852,IF(Berekening_impact[Doelgroep]=C852,Berekening_impact[Digitale zorgtoepassing]),0))</f>
        <v>0</v>
      </c>
      <c r="Q852" s="398" cm="1">
        <f t="array" ref="Q852">J852*INDEX(Berekening_impact[Jaarlijkse kosten (totaal) - incl. schatting],MATCH(B852,IF(Berekening_impact[Doelgroep]=C852,Berekening_impact[Digitale zorgtoepassing]),0))</f>
        <v>411636.76900710439</v>
      </c>
      <c r="R852" s="398" cm="1">
        <f t="array" ref="R852">(uitkomst_doelgroep[[#This Row],[Implementatiegraad t = T + 1]]-uitkomst_doelgroep[[#This Row],[Implementatiegraad t = T]])*INDEX(Berekening_impact[Initiële investering (totaal) - incl. schatting],MATCH(B852,IF(Berekening_impact[Doelgroep]=C852,Berekening_impact[Digitale zorgtoepassing]),0))</f>
        <v>30359.473901139943</v>
      </c>
      <c r="S852" s="398">
        <f>uitkomst_doelgroep[[#This Row],[Arbeidsbesparing (€)]]*uitkomst_doelgroep[[#This Row],[Percentage van patiëntaantallen in Wlz (overige is Zvw)]]</f>
        <v>0</v>
      </c>
      <c r="T852" s="398">
        <f>uitkomst_doelgroep[[#This Row],[Overige besparingen (€)]]*uitkomst_doelgroep[[#This Row],[Percentage van patiëntaantallen in Wlz (overige is Zvw)]]</f>
        <v>0</v>
      </c>
      <c r="U852" s="398">
        <f>uitkomst_doelgroep[[#This Row],[Kosten (€)]]*uitkomst_doelgroep[[#This Row],[Percentage van patiëntaantallen in Wlz (overige is Zvw)]]</f>
        <v>0</v>
      </c>
      <c r="V852" s="398">
        <f>uitkomst_doelgroep[[#This Row],[Investering (cash flow) (€)]]*uitkomst_doelgroep[[#This Row],[Percentage van patiëntaantallen in Wlz (overige is Zvw)]]</f>
        <v>0</v>
      </c>
    </row>
    <row r="853" spans="1:22" x14ac:dyDescent="0.5">
      <c r="A853" s="33" t="str">
        <f>INDEX(Technologieën[Veld],MATCH(B853,Technologieën[Digitale zorgtoepassing],0))</f>
        <v>Software - Diagnose</v>
      </c>
      <c r="B853" s="33" t="s">
        <v>472</v>
      </c>
      <c r="C853" s="33" t="s">
        <v>465</v>
      </c>
      <c r="D853" s="427" cm="1">
        <f t="array" ref="D853">INDEX(Berekening_patiëntaantal[Percentage van patiëntaantallen in Wlz (overige is Zvw)],MATCH(B853,IF(Berekening_patiëntaantal[Doelgroep (zoeksleutel)]=C853,Berekening_patiëntaantal[Digitale zorgtoepassing]),0))</f>
        <v>0</v>
      </c>
      <c r="E853" s="33" t="str" cm="1">
        <f t="array" ref="E853">INDEX(Berekening_patiëntaantal[Direct toepasbaar/extrapolatie/incidentie voor QALY],MATCH(B853,IF(Berekening_patiëntaantal[Doelgroep (zoeksleutel)]=C853,Berekening_patiëntaantal[Digitale zorgtoepassing]),0))</f>
        <v>Extrapolatie</v>
      </c>
      <c r="F853" s="33" t="s">
        <v>813</v>
      </c>
      <c r="G853" s="33" t="str">
        <f>CONCATENATE(uitkomst_doelgroep[[#This Row],[Digitale zorgtoepassing]],"_",uitkomst_doelgroep[[#This Row],[Doelgroep]],"_",uitkomst_doelgroep[[#This Row],[Uitgangssituatie/effect beleid]])</f>
        <v>AI om diagnoses te stellen (MRI)_MRI onderzoek_Overig_Uitgangssituatie</v>
      </c>
      <c r="H853" s="33">
        <v>2029</v>
      </c>
      <c r="I853" s="32">
        <v>7</v>
      </c>
      <c r="J853" s="406" cm="1">
        <f t="array" ref="J853">INDEX(implementatie[[2023]:[2034]],MATCH(G853, implementatie[Zoeksleutel],0),I853)</f>
        <v>0.13555333874999997</v>
      </c>
      <c r="K853" s="406" cm="1">
        <f t="array" ref="K853">INDEX(implementatie[[2023]:[2034]],MATCH(G853,implementatie[Zoeksleutel],0),I853 + 1)</f>
        <v>0.22007605413936385</v>
      </c>
      <c r="L85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132054.43597018498</v>
      </c>
      <c r="M853" s="398" cm="1">
        <f t="array" ref="M853">J853*INDEX(Berekening_impact[Totaal arbeidsbesparing (€/jaar)],MATCH(B853,IF(Berekening_impact[Doelgroep]=C853,Berekening_impact[Digitale zorgtoepassing]),0))</f>
        <v>3010998.6188297803</v>
      </c>
      <c r="N853" s="397" cm="1">
        <f t="array" ref="N853">J853*INDEX(Berekening_impact[Totaal arbeidsbesparing (FTE/jaar)],MATCH(B853,IF(Berekening_impact[Doelgroep]=C853,Berekening_impact[Digitale zorgtoepassing]),0))</f>
        <v>15.871927400262619</v>
      </c>
      <c r="O853" s="398" cm="1">
        <f t="array" ref="O853">J853*INDEX(Berekening_impact[Overige kostenbesparing (totaal/jaar totaal potentieel)],MATCH(B853,IF(Berekening_impact[Doelgroep]=C853,Berekening_impact[Digitale zorgtoepassing]),0))</f>
        <v>0</v>
      </c>
      <c r="P853" s="398" cm="1">
        <f t="array" ref="P853">J853*INDEX(Berekening_impact[Opbrengsten door QALY''s],MATCH(B853,IF(Berekening_impact[Doelgroep]=C853,Berekening_impact[Digitale zorgtoepassing]),0))</f>
        <v>0</v>
      </c>
      <c r="Q853" s="398" cm="1">
        <f t="array" ref="Q853">J853*INDEX(Berekening_impact[Jaarlijkse kosten (totaal) - incl. schatting],MATCH(B853,IF(Berekening_impact[Doelgroep]=C853,Berekening_impact[Digitale zorgtoepassing]),0))</f>
        <v>2244925.4114931445</v>
      </c>
      <c r="R853" s="398" cm="1">
        <f t="array" ref="R853">(uitkomst_doelgroep[[#This Row],[Implementatiegraad t = T + 1]]-uitkomst_doelgroep[[#This Row],[Implementatiegraad t = T]])*INDEX(Berekening_impact[Initiële investering (totaal) - incl. schatting],MATCH(B853,IF(Berekening_impact[Doelgroep]=C853,Berekening_impact[Digitale zorgtoepassing]),0))</f>
        <v>0</v>
      </c>
      <c r="S853" s="398">
        <f>uitkomst_doelgroep[[#This Row],[Arbeidsbesparing (€)]]*uitkomst_doelgroep[[#This Row],[Percentage van patiëntaantallen in Wlz (overige is Zvw)]]</f>
        <v>0</v>
      </c>
      <c r="T853" s="398">
        <f>uitkomst_doelgroep[[#This Row],[Overige besparingen (€)]]*uitkomst_doelgroep[[#This Row],[Percentage van patiëntaantallen in Wlz (overige is Zvw)]]</f>
        <v>0</v>
      </c>
      <c r="U853" s="398">
        <f>uitkomst_doelgroep[[#This Row],[Kosten (€)]]*uitkomst_doelgroep[[#This Row],[Percentage van patiëntaantallen in Wlz (overige is Zvw)]]</f>
        <v>0</v>
      </c>
      <c r="V853" s="398">
        <f>uitkomst_doelgroep[[#This Row],[Investering (cash flow) (€)]]*uitkomst_doelgroep[[#This Row],[Percentage van patiëntaantallen in Wlz (overige is Zvw)]]</f>
        <v>0</v>
      </c>
    </row>
    <row r="854" spans="1:22" x14ac:dyDescent="0.5">
      <c r="A854" s="33" t="str">
        <f>INDEX(Technologieën[Veld],MATCH(B854,Technologieën[Digitale zorgtoepassing],0))</f>
        <v>Software - Diagnose</v>
      </c>
      <c r="B854" s="33" t="s">
        <v>472</v>
      </c>
      <c r="C854" s="33" t="s">
        <v>442</v>
      </c>
      <c r="D854" s="427" cm="1">
        <f t="array" ref="D854">INDEX(Berekening_patiëntaantal[Percentage van patiëntaantallen in Wlz (overige is Zvw)],MATCH(B854,IF(Berekening_patiëntaantal[Doelgroep (zoeksleutel)]=C854,Berekening_patiëntaantal[Digitale zorgtoepassing]),0))</f>
        <v>0</v>
      </c>
      <c r="E854" s="33" t="str" cm="1">
        <f t="array" ref="E854">INDEX(Berekening_patiëntaantal[Direct toepasbaar/extrapolatie/incidentie voor QALY],MATCH(B854,IF(Berekening_patiëntaantal[Doelgroep (zoeksleutel)]=C854,Berekening_patiëntaantal[Digitale zorgtoepassing]),0))</f>
        <v>Huidige toepassing</v>
      </c>
      <c r="F854" s="33" t="s">
        <v>813</v>
      </c>
      <c r="G854" s="33" t="str">
        <f>CONCATENATE(uitkomst_doelgroep[[#This Row],[Digitale zorgtoepassing]],"_",uitkomst_doelgroep[[#This Row],[Doelgroep]],"_",uitkomst_doelgroep[[#This Row],[Uitgangssituatie/effect beleid]])</f>
        <v>AI om diagnoses te stellen (MRI)_MRI onderzoek_Prostaatkanker_Uitgangssituatie</v>
      </c>
      <c r="H854" s="33">
        <v>2029</v>
      </c>
      <c r="I854" s="32">
        <v>7</v>
      </c>
      <c r="J854" s="406" cm="1">
        <f t="array" ref="J854">INDEX(implementatie[[2023]:[2034]],MATCH(G854, implementatie[Zoeksleutel],0),I854)</f>
        <v>0.96898481486160559</v>
      </c>
      <c r="K854" s="406" cm="1">
        <f t="array" ref="K854">INDEX(implementatie[[2023]:[2034]],MATCH(G854,implementatie[Zoeksleutel],0),I854 + 1)</f>
        <v>0.9849418921303702</v>
      </c>
      <c r="L85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25011.436041207762</v>
      </c>
      <c r="M854" s="398" cm="1">
        <f t="array" ref="M854">J854*INDEX(Berekening_impact[Totaal arbeidsbesparing (€/jaar)],MATCH(B854,IF(Berekening_impact[Doelgroep]=C854,Berekening_impact[Digitale zorgtoepassing]),0))</f>
        <v>570290.56859573559</v>
      </c>
      <c r="N854" s="397" cm="1">
        <f t="array" ref="N854">J854*INDEX(Berekening_impact[Totaal arbeidsbesparing (FTE/jaar)],MATCH(B854,IF(Berekening_impact[Doelgroep]=C854,Berekening_impact[Digitale zorgtoepassing]),0))</f>
        <v>3.0061822164913177</v>
      </c>
      <c r="O854" s="398" cm="1">
        <f t="array" ref="O854">J854*INDEX(Berekening_impact[Overige kostenbesparing (totaal/jaar totaal potentieel)],MATCH(B854,IF(Berekening_impact[Doelgroep]=C854,Berekening_impact[Digitale zorgtoepassing]),0))</f>
        <v>0</v>
      </c>
      <c r="P854" s="398" cm="1">
        <f t="array" ref="P854">J854*INDEX(Berekening_impact[Opbrengsten door QALY''s],MATCH(B854,IF(Berekening_impact[Doelgroep]=C854,Berekening_impact[Digitale zorgtoepassing]),0))</f>
        <v>0</v>
      </c>
      <c r="Q854" s="398" cm="1">
        <f t="array" ref="Q854">J854*INDEX(Berekening_impact[Jaarlijkse kosten (totaal) - incl. schatting],MATCH(B854,IF(Berekening_impact[Doelgroep]=C854,Berekening_impact[Digitale zorgtoepassing]),0))</f>
        <v>425194.412700532</v>
      </c>
      <c r="R854" s="398" cm="1">
        <f t="array" ref="R854">(uitkomst_doelgroep[[#This Row],[Implementatiegraad t = T + 1]]-uitkomst_doelgroep[[#This Row],[Implementatiegraad t = T]])*INDEX(Berekening_impact[Initiële investering (totaal) - incl. schatting],MATCH(B854,IF(Berekening_impact[Doelgroep]=C854,Berekening_impact[Digitale zorgtoepassing]),0))</f>
        <v>15679.562881481746</v>
      </c>
      <c r="S854" s="398">
        <f>uitkomst_doelgroep[[#This Row],[Arbeidsbesparing (€)]]*uitkomst_doelgroep[[#This Row],[Percentage van patiëntaantallen in Wlz (overige is Zvw)]]</f>
        <v>0</v>
      </c>
      <c r="T854" s="398">
        <f>uitkomst_doelgroep[[#This Row],[Overige besparingen (€)]]*uitkomst_doelgroep[[#This Row],[Percentage van patiëntaantallen in Wlz (overige is Zvw)]]</f>
        <v>0</v>
      </c>
      <c r="U854" s="398">
        <f>uitkomst_doelgroep[[#This Row],[Kosten (€)]]*uitkomst_doelgroep[[#This Row],[Percentage van patiëntaantallen in Wlz (overige is Zvw)]]</f>
        <v>0</v>
      </c>
      <c r="V854" s="398">
        <f>uitkomst_doelgroep[[#This Row],[Investering (cash flow) (€)]]*uitkomst_doelgroep[[#This Row],[Percentage van patiëntaantallen in Wlz (overige is Zvw)]]</f>
        <v>0</v>
      </c>
    </row>
    <row r="855" spans="1:22" x14ac:dyDescent="0.5">
      <c r="A855" s="33" t="str">
        <f>INDEX(Technologieën[Veld],MATCH(B855,Technologieën[Digitale zorgtoepassing],0))</f>
        <v>Software - Diagnose</v>
      </c>
      <c r="B855" s="33" t="s">
        <v>472</v>
      </c>
      <c r="C855" s="33" t="s">
        <v>465</v>
      </c>
      <c r="D855" s="427" cm="1">
        <f t="array" ref="D855">INDEX(Berekening_patiëntaantal[Percentage van patiëntaantallen in Wlz (overige is Zvw)],MATCH(B855,IF(Berekening_patiëntaantal[Doelgroep (zoeksleutel)]=C855,Berekening_patiëntaantal[Digitale zorgtoepassing]),0))</f>
        <v>0</v>
      </c>
      <c r="E855" s="33" t="str" cm="1">
        <f t="array" ref="E855">INDEX(Berekening_patiëntaantal[Direct toepasbaar/extrapolatie/incidentie voor QALY],MATCH(B855,IF(Berekening_patiëntaantal[Doelgroep (zoeksleutel)]=C855,Berekening_patiëntaantal[Digitale zorgtoepassing]),0))</f>
        <v>Extrapolatie</v>
      </c>
      <c r="F855" s="33" t="s">
        <v>813</v>
      </c>
      <c r="G855" s="33" t="str">
        <f>CONCATENATE(uitkomst_doelgroep[[#This Row],[Digitale zorgtoepassing]],"_",uitkomst_doelgroep[[#This Row],[Doelgroep]],"_",uitkomst_doelgroep[[#This Row],[Uitgangssituatie/effect beleid]])</f>
        <v>AI om diagnoses te stellen (MRI)_MRI onderzoek_Overig_Uitgangssituatie</v>
      </c>
      <c r="H855" s="33">
        <v>2030</v>
      </c>
      <c r="I855" s="32">
        <v>8</v>
      </c>
      <c r="J855" s="406" cm="1">
        <f t="array" ref="J855">INDEX(implementatie[[2023]:[2034]],MATCH(G855, implementatie[Zoeksleutel],0),I855)</f>
        <v>0.22007605413936385</v>
      </c>
      <c r="K855" s="406" cm="1">
        <f t="array" ref="K855">INDEX(implementatie[[2023]:[2034]],MATCH(G855,implementatie[Zoeksleutel],0),I855 + 1)</f>
        <v>0.32929506478208875</v>
      </c>
      <c r="L85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214395.45102991859</v>
      </c>
      <c r="M855" s="398" cm="1">
        <f t="array" ref="M855">J855*INDEX(Berekening_impact[Totaal arbeidsbesparing (€/jaar)],MATCH(B855,IF(Berekening_impact[Doelgroep]=C855,Berekening_impact[Digitale zorgtoepassing]),0))</f>
        <v>4888471.9562182873</v>
      </c>
      <c r="N855" s="397" cm="1">
        <f t="array" ref="N855">J855*INDEX(Berekening_impact[Totaal arbeidsbesparing (FTE/jaar)],MATCH(B855,IF(Berekening_impact[Doelgroep]=C855,Berekening_impact[Digitale zorgtoepassing]),0))</f>
        <v>25.768684018019062</v>
      </c>
      <c r="O855" s="398" cm="1">
        <f t="array" ref="O855">J855*INDEX(Berekening_impact[Overige kostenbesparing (totaal/jaar totaal potentieel)],MATCH(B855,IF(Berekening_impact[Doelgroep]=C855,Berekening_impact[Digitale zorgtoepassing]),0))</f>
        <v>0</v>
      </c>
      <c r="P855" s="398" cm="1">
        <f t="array" ref="P855">J855*INDEX(Berekening_impact[Opbrengsten door QALY''s],MATCH(B855,IF(Berekening_impact[Doelgroep]=C855,Berekening_impact[Digitale zorgtoepassing]),0))</f>
        <v>0</v>
      </c>
      <c r="Q855" s="398" cm="1">
        <f t="array" ref="Q855">J855*INDEX(Berekening_impact[Jaarlijkse kosten (totaal) - incl. schatting],MATCH(B855,IF(Berekening_impact[Doelgroep]=C855,Berekening_impact[Digitale zorgtoepassing]),0))</f>
        <v>3644722.6675086161</v>
      </c>
      <c r="R855" s="398" cm="1">
        <f t="array" ref="R855">(uitkomst_doelgroep[[#This Row],[Implementatiegraad t = T + 1]]-uitkomst_doelgroep[[#This Row],[Implementatiegraad t = T]])*INDEX(Berekening_impact[Initiële investering (totaal) - incl. schatting],MATCH(B855,IF(Berekening_impact[Doelgroep]=C855,Berekening_impact[Digitale zorgtoepassing]),0))</f>
        <v>0</v>
      </c>
      <c r="S855" s="398">
        <f>uitkomst_doelgroep[[#This Row],[Arbeidsbesparing (€)]]*uitkomst_doelgroep[[#This Row],[Percentage van patiëntaantallen in Wlz (overige is Zvw)]]</f>
        <v>0</v>
      </c>
      <c r="T855" s="398">
        <f>uitkomst_doelgroep[[#This Row],[Overige besparingen (€)]]*uitkomst_doelgroep[[#This Row],[Percentage van patiëntaantallen in Wlz (overige is Zvw)]]</f>
        <v>0</v>
      </c>
      <c r="U855" s="398">
        <f>uitkomst_doelgroep[[#This Row],[Kosten (€)]]*uitkomst_doelgroep[[#This Row],[Percentage van patiëntaantallen in Wlz (overige is Zvw)]]</f>
        <v>0</v>
      </c>
      <c r="V855" s="398">
        <f>uitkomst_doelgroep[[#This Row],[Investering (cash flow) (€)]]*uitkomst_doelgroep[[#This Row],[Percentage van patiëntaantallen in Wlz (overige is Zvw)]]</f>
        <v>0</v>
      </c>
    </row>
    <row r="856" spans="1:22" x14ac:dyDescent="0.5">
      <c r="A856" s="33" t="str">
        <f>INDEX(Technologieën[Veld],MATCH(B856,Technologieën[Digitale zorgtoepassing],0))</f>
        <v>Software - Diagnose</v>
      </c>
      <c r="B856" s="33" t="s">
        <v>472</v>
      </c>
      <c r="C856" s="33" t="s">
        <v>442</v>
      </c>
      <c r="D856" s="427" cm="1">
        <f t="array" ref="D856">INDEX(Berekening_patiëntaantal[Percentage van patiëntaantallen in Wlz (overige is Zvw)],MATCH(B856,IF(Berekening_patiëntaantal[Doelgroep (zoeksleutel)]=C856,Berekening_patiëntaantal[Digitale zorgtoepassing]),0))</f>
        <v>0</v>
      </c>
      <c r="E856" s="33" t="str" cm="1">
        <f t="array" ref="E856">INDEX(Berekening_patiëntaantal[Direct toepasbaar/extrapolatie/incidentie voor QALY],MATCH(B856,IF(Berekening_patiëntaantal[Doelgroep (zoeksleutel)]=C856,Berekening_patiëntaantal[Digitale zorgtoepassing]),0))</f>
        <v>Huidige toepassing</v>
      </c>
      <c r="F856" s="33" t="s">
        <v>813</v>
      </c>
      <c r="G856" s="33" t="str">
        <f>CONCATENATE(uitkomst_doelgroep[[#This Row],[Digitale zorgtoepassing]],"_",uitkomst_doelgroep[[#This Row],[Doelgroep]],"_",uitkomst_doelgroep[[#This Row],[Uitgangssituatie/effect beleid]])</f>
        <v>AI om diagnoses te stellen (MRI)_MRI onderzoek_Prostaatkanker_Uitgangssituatie</v>
      </c>
      <c r="H856" s="33">
        <v>2030</v>
      </c>
      <c r="I856" s="32">
        <v>8</v>
      </c>
      <c r="J856" s="406" cm="1">
        <f t="array" ref="J856">INDEX(implementatie[[2023]:[2034]],MATCH(G856, implementatie[Zoeksleutel],0),I856)</f>
        <v>0.9849418921303702</v>
      </c>
      <c r="K856" s="406" cm="1">
        <f t="array" ref="K856">INDEX(implementatie[[2023]:[2034]],MATCH(G856,implementatie[Zoeksleutel],0),I856 + 1)</f>
        <v>0.99280931599496725</v>
      </c>
      <c r="L85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25423.320119669115</v>
      </c>
      <c r="M856" s="398" cm="1">
        <f t="array" ref="M856">J856*INDEX(Berekening_impact[Totaal arbeidsbesparing (€/jaar)],MATCH(B856,IF(Berekening_impact[Doelgroep]=C856,Berekening_impact[Digitale zorgtoepassing]),0))</f>
        <v>579682.01676825376</v>
      </c>
      <c r="N856" s="397" cm="1">
        <f t="array" ref="N856">J856*INDEX(Berekening_impact[Totaal arbeidsbesparing (FTE/jaar)],MATCH(B856,IF(Berekening_impact[Doelgroep]=C856,Berekening_impact[Digitale zorgtoepassing]),0))</f>
        <v>3.0556875143833069</v>
      </c>
      <c r="O856" s="398" cm="1">
        <f t="array" ref="O856">J856*INDEX(Berekening_impact[Overige kostenbesparing (totaal/jaar totaal potentieel)],MATCH(B856,IF(Berekening_impact[Doelgroep]=C856,Berekening_impact[Digitale zorgtoepassing]),0))</f>
        <v>0</v>
      </c>
      <c r="P856" s="398" cm="1">
        <f t="array" ref="P856">J856*INDEX(Berekening_impact[Opbrengsten door QALY''s],MATCH(B856,IF(Berekening_impact[Doelgroep]=C856,Berekening_impact[Digitale zorgtoepassing]),0))</f>
        <v>0</v>
      </c>
      <c r="Q856" s="398" cm="1">
        <f t="array" ref="Q856">J856*INDEX(Berekening_impact[Jaarlijkse kosten (totaal) - incl. schatting],MATCH(B856,IF(Berekening_impact[Doelgroep]=C856,Berekening_impact[Digitale zorgtoepassing]),0))</f>
        <v>432196.44203437498</v>
      </c>
      <c r="R856" s="398" cm="1">
        <f t="array" ref="R856">(uitkomst_doelgroep[[#This Row],[Implementatiegraad t = T + 1]]-uitkomst_doelgroep[[#This Row],[Implementatiegraad t = T]])*INDEX(Berekening_impact[Initiële investering (totaal) - incl. schatting],MATCH(B856,IF(Berekening_impact[Doelgroep]=C856,Berekening_impact[Digitale zorgtoepassing]),0))</f>
        <v>7730.5991017344877</v>
      </c>
      <c r="S856" s="398">
        <f>uitkomst_doelgroep[[#This Row],[Arbeidsbesparing (€)]]*uitkomst_doelgroep[[#This Row],[Percentage van patiëntaantallen in Wlz (overige is Zvw)]]</f>
        <v>0</v>
      </c>
      <c r="T856" s="398">
        <f>uitkomst_doelgroep[[#This Row],[Overige besparingen (€)]]*uitkomst_doelgroep[[#This Row],[Percentage van patiëntaantallen in Wlz (overige is Zvw)]]</f>
        <v>0</v>
      </c>
      <c r="U856" s="398">
        <f>uitkomst_doelgroep[[#This Row],[Kosten (€)]]*uitkomst_doelgroep[[#This Row],[Percentage van patiëntaantallen in Wlz (overige is Zvw)]]</f>
        <v>0</v>
      </c>
      <c r="V856" s="398">
        <f>uitkomst_doelgroep[[#This Row],[Investering (cash flow) (€)]]*uitkomst_doelgroep[[#This Row],[Percentage van patiëntaantallen in Wlz (overige is Zvw)]]</f>
        <v>0</v>
      </c>
    </row>
    <row r="857" spans="1:22" x14ac:dyDescent="0.5">
      <c r="A857" s="33" t="str">
        <f>INDEX(Technologieën[Veld],MATCH(B857,Technologieën[Digitale zorgtoepassing],0))</f>
        <v>Software - Diagnose</v>
      </c>
      <c r="B857" s="33" t="s">
        <v>472</v>
      </c>
      <c r="C857" s="33" t="s">
        <v>465</v>
      </c>
      <c r="D857" s="427" cm="1">
        <f t="array" ref="D857">INDEX(Berekening_patiëntaantal[Percentage van patiëntaantallen in Wlz (overige is Zvw)],MATCH(B857,IF(Berekening_patiëntaantal[Doelgroep (zoeksleutel)]=C857,Berekening_patiëntaantal[Digitale zorgtoepassing]),0))</f>
        <v>0</v>
      </c>
      <c r="E857" s="33" t="str" cm="1">
        <f t="array" ref="E857">INDEX(Berekening_patiëntaantal[Direct toepasbaar/extrapolatie/incidentie voor QALY],MATCH(B857,IF(Berekening_patiëntaantal[Doelgroep (zoeksleutel)]=C857,Berekening_patiëntaantal[Digitale zorgtoepassing]),0))</f>
        <v>Extrapolatie</v>
      </c>
      <c r="F857" s="33" t="s">
        <v>813</v>
      </c>
      <c r="G857" s="33" t="str">
        <f>CONCATENATE(uitkomst_doelgroep[[#This Row],[Digitale zorgtoepassing]],"_",uitkomst_doelgroep[[#This Row],[Doelgroep]],"_",uitkomst_doelgroep[[#This Row],[Uitgangssituatie/effect beleid]])</f>
        <v>AI om diagnoses te stellen (MRI)_MRI onderzoek_Overig_Uitgangssituatie</v>
      </c>
      <c r="H857" s="33">
        <v>2031</v>
      </c>
      <c r="I857" s="32">
        <v>9</v>
      </c>
      <c r="J857" s="406" cm="1">
        <f t="array" ref="J857">INDEX(implementatie[[2023]:[2034]],MATCH(G857, implementatie[Zoeksleutel],0),I857)</f>
        <v>0.32929506478208875</v>
      </c>
      <c r="K857" s="406" cm="1">
        <f t="array" ref="K857">INDEX(implementatie[[2023]:[2034]],MATCH(G857,implementatie[Zoeksleutel],0),I857 + 1)</f>
        <v>0.4598461253847505</v>
      </c>
      <c r="L85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320795.30056993349</v>
      </c>
      <c r="M857" s="398" cm="1">
        <f t="array" ref="M857">J857*INDEX(Berekening_impact[Totaal arbeidsbesparing (€/jaar)],MATCH(B857,IF(Berekening_impact[Doelgroep]=C857,Berekening_impact[Digitale zorgtoepassing]),0))</f>
        <v>7314515.4106086707</v>
      </c>
      <c r="N857" s="397" cm="1">
        <f t="array" ref="N857">J857*INDEX(Berekening_impact[Totaal arbeidsbesparing (FTE/jaar)],MATCH(B857,IF(Berekening_impact[Doelgroep]=C857,Berekening_impact[Digitale zorgtoepassing]),0))</f>
        <v>38.55712747234778</v>
      </c>
      <c r="O857" s="398" cm="1">
        <f t="array" ref="O857">J857*INDEX(Berekening_impact[Overige kostenbesparing (totaal/jaar totaal potentieel)],MATCH(B857,IF(Berekening_impact[Doelgroep]=C857,Berekening_impact[Digitale zorgtoepassing]),0))</f>
        <v>0</v>
      </c>
      <c r="P857" s="398" cm="1">
        <f t="array" ref="P857">J857*INDEX(Berekening_impact[Opbrengsten door QALY''s],MATCH(B857,IF(Berekening_impact[Doelgroep]=C857,Berekening_impact[Digitale zorgtoepassing]),0))</f>
        <v>0</v>
      </c>
      <c r="Q857" s="398" cm="1">
        <f t="array" ref="Q857">J857*INDEX(Berekening_impact[Jaarlijkse kosten (totaal) - incl. schatting],MATCH(B857,IF(Berekening_impact[Doelgroep]=C857,Berekening_impact[Digitale zorgtoepassing]),0))</f>
        <v>5453520.1096888687</v>
      </c>
      <c r="R857" s="398" cm="1">
        <f t="array" ref="R857">(uitkomst_doelgroep[[#This Row],[Implementatiegraad t = T + 1]]-uitkomst_doelgroep[[#This Row],[Implementatiegraad t = T]])*INDEX(Berekening_impact[Initiële investering (totaal) - incl. schatting],MATCH(B857,IF(Berekening_impact[Doelgroep]=C857,Berekening_impact[Digitale zorgtoepassing]),0))</f>
        <v>0</v>
      </c>
      <c r="S857" s="398">
        <f>uitkomst_doelgroep[[#This Row],[Arbeidsbesparing (€)]]*uitkomst_doelgroep[[#This Row],[Percentage van patiëntaantallen in Wlz (overige is Zvw)]]</f>
        <v>0</v>
      </c>
      <c r="T857" s="398">
        <f>uitkomst_doelgroep[[#This Row],[Overige besparingen (€)]]*uitkomst_doelgroep[[#This Row],[Percentage van patiëntaantallen in Wlz (overige is Zvw)]]</f>
        <v>0</v>
      </c>
      <c r="U857" s="398">
        <f>uitkomst_doelgroep[[#This Row],[Kosten (€)]]*uitkomst_doelgroep[[#This Row],[Percentage van patiëntaantallen in Wlz (overige is Zvw)]]</f>
        <v>0</v>
      </c>
      <c r="V857" s="398">
        <f>uitkomst_doelgroep[[#This Row],[Investering (cash flow) (€)]]*uitkomst_doelgroep[[#This Row],[Percentage van patiëntaantallen in Wlz (overige is Zvw)]]</f>
        <v>0</v>
      </c>
    </row>
    <row r="858" spans="1:22" x14ac:dyDescent="0.5">
      <c r="A858" s="33" t="str">
        <f>INDEX(Technologieën[Veld],MATCH(B858,Technologieën[Digitale zorgtoepassing],0))</f>
        <v>Software - Diagnose</v>
      </c>
      <c r="B858" s="33" t="s">
        <v>472</v>
      </c>
      <c r="C858" s="33" t="s">
        <v>442</v>
      </c>
      <c r="D858" s="427" cm="1">
        <f t="array" ref="D858">INDEX(Berekening_patiëntaantal[Percentage van patiëntaantallen in Wlz (overige is Zvw)],MATCH(B858,IF(Berekening_patiëntaantal[Doelgroep (zoeksleutel)]=C858,Berekening_patiëntaantal[Digitale zorgtoepassing]),0))</f>
        <v>0</v>
      </c>
      <c r="E858" s="33" t="str" cm="1">
        <f t="array" ref="E858">INDEX(Berekening_patiëntaantal[Direct toepasbaar/extrapolatie/incidentie voor QALY],MATCH(B858,IF(Berekening_patiëntaantal[Doelgroep (zoeksleutel)]=C858,Berekening_patiëntaantal[Digitale zorgtoepassing]),0))</f>
        <v>Huidige toepassing</v>
      </c>
      <c r="F858" s="33" t="s">
        <v>813</v>
      </c>
      <c r="G858" s="33" t="str">
        <f>CONCATENATE(uitkomst_doelgroep[[#This Row],[Digitale zorgtoepassing]],"_",uitkomst_doelgroep[[#This Row],[Doelgroep]],"_",uitkomst_doelgroep[[#This Row],[Uitgangssituatie/effect beleid]])</f>
        <v>AI om diagnoses te stellen (MRI)_MRI onderzoek_Prostaatkanker_Uitgangssituatie</v>
      </c>
      <c r="H858" s="33">
        <v>2031</v>
      </c>
      <c r="I858" s="32">
        <v>9</v>
      </c>
      <c r="J858" s="406" cm="1">
        <f t="array" ref="J858">INDEX(implementatie[[2023]:[2034]],MATCH(G858, implementatie[Zoeksleutel],0),I858)</f>
        <v>0.99280931599496725</v>
      </c>
      <c r="K858" s="406" cm="1">
        <f t="array" ref="K858">INDEX(implementatie[[2023]:[2034]],MATCH(G858,implementatie[Zoeksleutel],0),I858 + 1)</f>
        <v>0.99659452554940442</v>
      </c>
      <c r="L85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25626.394064462096</v>
      </c>
      <c r="M858" s="398" cm="1">
        <f t="array" ref="M858">J858*INDEX(Berekening_impact[Totaal arbeidsbesparing (€/jaar)],MATCH(B858,IF(Berekening_impact[Doelgroep]=C858,Berekening_impact[Digitale zorgtoepassing]),0))</f>
        <v>584312.34488104831</v>
      </c>
      <c r="N858" s="397" cm="1">
        <f t="array" ref="N858">J858*INDEX(Berekening_impact[Totaal arbeidsbesparing (FTE/jaar)],MATCH(B858,IF(Berekening_impact[Doelgroep]=C858,Berekening_impact[Digitale zorgtoepassing]),0))</f>
        <v>3.0800954404401555</v>
      </c>
      <c r="O858" s="398" cm="1">
        <f t="array" ref="O858">J858*INDEX(Berekening_impact[Overige kostenbesparing (totaal/jaar totaal potentieel)],MATCH(B858,IF(Berekening_impact[Doelgroep]=C858,Berekening_impact[Digitale zorgtoepassing]),0))</f>
        <v>0</v>
      </c>
      <c r="P858" s="398" cm="1">
        <f t="array" ref="P858">J858*INDEX(Berekening_impact[Opbrengsten door QALY''s],MATCH(B858,IF(Berekening_impact[Doelgroep]=C858,Berekening_impact[Digitale zorgtoepassing]),0))</f>
        <v>0</v>
      </c>
      <c r="Q858" s="398" cm="1">
        <f t="array" ref="Q858">J858*INDEX(Berekening_impact[Jaarlijkse kosten (totaal) - incl. schatting],MATCH(B858,IF(Berekening_impact[Doelgroep]=C858,Berekening_impact[Digitale zorgtoepassing]),0))</f>
        <v>435648.69909585558</v>
      </c>
      <c r="R858" s="398" cm="1">
        <f t="array" ref="R858">(uitkomst_doelgroep[[#This Row],[Implementatiegraad t = T + 1]]-uitkomst_doelgroep[[#This Row],[Implementatiegraad t = T]])*INDEX(Berekening_impact[Initiële investering (totaal) - incl. schatting],MATCH(B858,IF(Berekening_impact[Doelgroep]=C858,Berekening_impact[Digitale zorgtoepassing]),0))</f>
        <v>3719.3798230556586</v>
      </c>
      <c r="S858" s="398">
        <f>uitkomst_doelgroep[[#This Row],[Arbeidsbesparing (€)]]*uitkomst_doelgroep[[#This Row],[Percentage van patiëntaantallen in Wlz (overige is Zvw)]]</f>
        <v>0</v>
      </c>
      <c r="T858" s="398">
        <f>uitkomst_doelgroep[[#This Row],[Overige besparingen (€)]]*uitkomst_doelgroep[[#This Row],[Percentage van patiëntaantallen in Wlz (overige is Zvw)]]</f>
        <v>0</v>
      </c>
      <c r="U858" s="398">
        <f>uitkomst_doelgroep[[#This Row],[Kosten (€)]]*uitkomst_doelgroep[[#This Row],[Percentage van patiëntaantallen in Wlz (overige is Zvw)]]</f>
        <v>0</v>
      </c>
      <c r="V858" s="398">
        <f>uitkomst_doelgroep[[#This Row],[Investering (cash flow) (€)]]*uitkomst_doelgroep[[#This Row],[Percentage van patiëntaantallen in Wlz (overige is Zvw)]]</f>
        <v>0</v>
      </c>
    </row>
    <row r="859" spans="1:22" x14ac:dyDescent="0.5">
      <c r="A859" s="33" t="str">
        <f>INDEX(Technologieën[Veld],MATCH(B859,Technologieën[Digitale zorgtoepassing],0))</f>
        <v>Software - Diagnose</v>
      </c>
      <c r="B859" s="33" t="s">
        <v>472</v>
      </c>
      <c r="C859" s="33" t="s">
        <v>465</v>
      </c>
      <c r="D859" s="427" cm="1">
        <f t="array" ref="D859">INDEX(Berekening_patiëntaantal[Percentage van patiëntaantallen in Wlz (overige is Zvw)],MATCH(B859,IF(Berekening_patiëntaantal[Doelgroep (zoeksleutel)]=C859,Berekening_patiëntaantal[Digitale zorgtoepassing]),0))</f>
        <v>0</v>
      </c>
      <c r="E859" s="33" t="str" cm="1">
        <f t="array" ref="E859">INDEX(Berekening_patiëntaantal[Direct toepasbaar/extrapolatie/incidentie voor QALY],MATCH(B859,IF(Berekening_patiëntaantal[Doelgroep (zoeksleutel)]=C859,Berekening_patiëntaantal[Digitale zorgtoepassing]),0))</f>
        <v>Extrapolatie</v>
      </c>
      <c r="F859" s="33" t="s">
        <v>813</v>
      </c>
      <c r="G859" s="33" t="str">
        <f>CONCATENATE(uitkomst_doelgroep[[#This Row],[Digitale zorgtoepassing]],"_",uitkomst_doelgroep[[#This Row],[Doelgroep]],"_",uitkomst_doelgroep[[#This Row],[Uitgangssituatie/effect beleid]])</f>
        <v>AI om diagnoses te stellen (MRI)_MRI onderzoek_Overig_Uitgangssituatie</v>
      </c>
      <c r="H859" s="33">
        <v>2032</v>
      </c>
      <c r="I859" s="32">
        <v>10</v>
      </c>
      <c r="J859" s="406" cm="1">
        <f t="array" ref="J859">INDEX(implementatie[[2023]:[2034]],MATCH(G859, implementatie[Zoeksleutel],0),I859)</f>
        <v>0.4598461253847505</v>
      </c>
      <c r="K859" s="406" cm="1">
        <f t="array" ref="K859">INDEX(implementatie[[2023]:[2034]],MATCH(G859,implementatie[Zoeksleutel],0),I859 + 1)</f>
        <v>0.60024457479989934</v>
      </c>
      <c r="L85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447976.5771963193</v>
      </c>
      <c r="M859" s="398" cm="1">
        <f t="array" ref="M859">J859*INDEX(Berekening_impact[Totaal arbeidsbesparing (€/jaar)],MATCH(B859,IF(Berekening_impact[Doelgroep]=C859,Berekening_impact[Digitale zorgtoepassing]),0))</f>
        <v>10214400.18501728</v>
      </c>
      <c r="N859" s="397" cm="1">
        <f t="array" ref="N859">J859*INDEX(Berekening_impact[Totaal arbeidsbesparing (FTE/jaar)],MATCH(B859,IF(Berekening_impact[Doelgroep]=C859,Berekening_impact[Digitale zorgtoepassing]),0))</f>
        <v>53.843338605326849</v>
      </c>
      <c r="O859" s="398" cm="1">
        <f t="array" ref="O859">J859*INDEX(Berekening_impact[Overige kostenbesparing (totaal/jaar totaal potentieel)],MATCH(B859,IF(Berekening_impact[Doelgroep]=C859,Berekening_impact[Digitale zorgtoepassing]),0))</f>
        <v>0</v>
      </c>
      <c r="P859" s="398" cm="1">
        <f t="array" ref="P859">J859*INDEX(Berekening_impact[Opbrengsten door QALY''s],MATCH(B859,IF(Berekening_impact[Doelgroep]=C859,Berekening_impact[Digitale zorgtoepassing]),0))</f>
        <v>0</v>
      </c>
      <c r="Q859" s="398" cm="1">
        <f t="array" ref="Q859">J859*INDEX(Berekening_impact[Jaarlijkse kosten (totaal) - incl. schatting],MATCH(B859,IF(Berekening_impact[Doelgroep]=C859,Berekening_impact[Digitale zorgtoepassing]),0))</f>
        <v>7615601.8123374283</v>
      </c>
      <c r="R859" s="398" cm="1">
        <f t="array" ref="R859">(uitkomst_doelgroep[[#This Row],[Implementatiegraad t = T + 1]]-uitkomst_doelgroep[[#This Row],[Implementatiegraad t = T]])*INDEX(Berekening_impact[Initiële investering (totaal) - incl. schatting],MATCH(B859,IF(Berekening_impact[Doelgroep]=C859,Berekening_impact[Digitale zorgtoepassing]),0))</f>
        <v>0</v>
      </c>
      <c r="S859" s="398">
        <f>uitkomst_doelgroep[[#This Row],[Arbeidsbesparing (€)]]*uitkomst_doelgroep[[#This Row],[Percentage van patiëntaantallen in Wlz (overige is Zvw)]]</f>
        <v>0</v>
      </c>
      <c r="T859" s="398">
        <f>uitkomst_doelgroep[[#This Row],[Overige besparingen (€)]]*uitkomst_doelgroep[[#This Row],[Percentage van patiëntaantallen in Wlz (overige is Zvw)]]</f>
        <v>0</v>
      </c>
      <c r="U859" s="398">
        <f>uitkomst_doelgroep[[#This Row],[Kosten (€)]]*uitkomst_doelgroep[[#This Row],[Percentage van patiëntaantallen in Wlz (overige is Zvw)]]</f>
        <v>0</v>
      </c>
      <c r="V859" s="398">
        <f>uitkomst_doelgroep[[#This Row],[Investering (cash flow) (€)]]*uitkomst_doelgroep[[#This Row],[Percentage van patiëntaantallen in Wlz (overige is Zvw)]]</f>
        <v>0</v>
      </c>
    </row>
    <row r="860" spans="1:22" x14ac:dyDescent="0.5">
      <c r="A860" s="33" t="str">
        <f>INDEX(Technologieën[Veld],MATCH(B860,Technologieën[Digitale zorgtoepassing],0))</f>
        <v>Software - Diagnose</v>
      </c>
      <c r="B860" s="33" t="s">
        <v>472</v>
      </c>
      <c r="C860" s="33" t="s">
        <v>442</v>
      </c>
      <c r="D860" s="427" cm="1">
        <f t="array" ref="D860">INDEX(Berekening_patiëntaantal[Percentage van patiëntaantallen in Wlz (overige is Zvw)],MATCH(B860,IF(Berekening_patiëntaantal[Doelgroep (zoeksleutel)]=C860,Berekening_patiëntaantal[Digitale zorgtoepassing]),0))</f>
        <v>0</v>
      </c>
      <c r="E860" s="33" t="str" cm="1">
        <f t="array" ref="E860">INDEX(Berekening_patiëntaantal[Direct toepasbaar/extrapolatie/incidentie voor QALY],MATCH(B860,IF(Berekening_patiëntaantal[Doelgroep (zoeksleutel)]=C860,Berekening_patiëntaantal[Digitale zorgtoepassing]),0))</f>
        <v>Huidige toepassing</v>
      </c>
      <c r="F860" s="33" t="s">
        <v>813</v>
      </c>
      <c r="G860" s="33" t="str">
        <f>CONCATENATE(uitkomst_doelgroep[[#This Row],[Digitale zorgtoepassing]],"_",uitkomst_doelgroep[[#This Row],[Doelgroep]],"_",uitkomst_doelgroep[[#This Row],[Uitgangssituatie/effect beleid]])</f>
        <v>AI om diagnoses te stellen (MRI)_MRI onderzoek_Prostaatkanker_Uitgangssituatie</v>
      </c>
      <c r="H860" s="33">
        <v>2032</v>
      </c>
      <c r="I860" s="32">
        <v>10</v>
      </c>
      <c r="J860" s="406" cm="1">
        <f t="array" ref="J860">INDEX(implementatie[[2023]:[2034]],MATCH(G860, implementatie[Zoeksleutel],0),I860)</f>
        <v>0.99659452554940442</v>
      </c>
      <c r="K860" s="406" cm="1">
        <f t="array" ref="K860">INDEX(implementatie[[2023]:[2034]],MATCH(G860,implementatie[Zoeksleutel],0),I860 + 1)</f>
        <v>0.99839362838010326</v>
      </c>
      <c r="L86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25724.097893481226</v>
      </c>
      <c r="M860" s="398" cm="1">
        <f t="array" ref="M860">J860*INDEX(Berekening_impact[Totaal arbeidsbesparing (€/jaar)],MATCH(B860,IF(Berekening_impact[Doelgroep]=C860,Berekening_impact[Digitale zorgtoepassing]),0))</f>
        <v>586540.10869730823</v>
      </c>
      <c r="N860" s="397" cm="1">
        <f t="array" ref="N860">J860*INDEX(Berekening_impact[Totaal arbeidsbesparing (FTE/jaar)],MATCH(B860,IF(Berekening_impact[Doelgroep]=C860,Berekening_impact[Digitale zorgtoepassing]),0))</f>
        <v>3.0918386891203395</v>
      </c>
      <c r="O860" s="398" cm="1">
        <f t="array" ref="O860">J860*INDEX(Berekening_impact[Overige kostenbesparing (totaal/jaar totaal potentieel)],MATCH(B860,IF(Berekening_impact[Doelgroep]=C860,Berekening_impact[Digitale zorgtoepassing]),0))</f>
        <v>0</v>
      </c>
      <c r="P860" s="398" cm="1">
        <f t="array" ref="P860">J860*INDEX(Berekening_impact[Opbrengsten door QALY''s],MATCH(B860,IF(Berekening_impact[Doelgroep]=C860,Berekening_impact[Digitale zorgtoepassing]),0))</f>
        <v>0</v>
      </c>
      <c r="Q860" s="398" cm="1">
        <f t="array" ref="Q860">J860*INDEX(Berekening_impact[Jaarlijkse kosten (totaal) - incl. schatting],MATCH(B860,IF(Berekening_impact[Doelgroep]=C860,Berekening_impact[Digitale zorgtoepassing]),0))</f>
        <v>437309.66418918088</v>
      </c>
      <c r="R860" s="398" cm="1">
        <f t="array" ref="R860">(uitkomst_doelgroep[[#This Row],[Implementatiegraad t = T + 1]]-uitkomst_doelgroep[[#This Row],[Implementatiegraad t = T]])*INDEX(Berekening_impact[Initiële investering (totaal) - incl. schatting],MATCH(B860,IF(Berekening_impact[Doelgroep]=C860,Berekening_impact[Digitale zorgtoepassing]),0))</f>
        <v>1767.8140858171209</v>
      </c>
      <c r="S860" s="398">
        <f>uitkomst_doelgroep[[#This Row],[Arbeidsbesparing (€)]]*uitkomst_doelgroep[[#This Row],[Percentage van patiëntaantallen in Wlz (overige is Zvw)]]</f>
        <v>0</v>
      </c>
      <c r="T860" s="398">
        <f>uitkomst_doelgroep[[#This Row],[Overige besparingen (€)]]*uitkomst_doelgroep[[#This Row],[Percentage van patiëntaantallen in Wlz (overige is Zvw)]]</f>
        <v>0</v>
      </c>
      <c r="U860" s="398">
        <f>uitkomst_doelgroep[[#This Row],[Kosten (€)]]*uitkomst_doelgroep[[#This Row],[Percentage van patiëntaantallen in Wlz (overige is Zvw)]]</f>
        <v>0</v>
      </c>
      <c r="V860" s="398">
        <f>uitkomst_doelgroep[[#This Row],[Investering (cash flow) (€)]]*uitkomst_doelgroep[[#This Row],[Percentage van patiëntaantallen in Wlz (overige is Zvw)]]</f>
        <v>0</v>
      </c>
    </row>
    <row r="861" spans="1:22" x14ac:dyDescent="0.5">
      <c r="A861" s="33" t="str">
        <f>INDEX(Technologieën[Veld],MATCH(B861,Technologieën[Digitale zorgtoepassing],0))</f>
        <v>Software - Diagnose</v>
      </c>
      <c r="B861" s="33" t="s">
        <v>472</v>
      </c>
      <c r="C861" s="33" t="s">
        <v>465</v>
      </c>
      <c r="D861" s="427" cm="1">
        <f t="array" ref="D861">INDEX(Berekening_patiëntaantal[Percentage van patiëntaantallen in Wlz (overige is Zvw)],MATCH(B861,IF(Berekening_patiëntaantal[Doelgroep (zoeksleutel)]=C861,Berekening_patiëntaantal[Digitale zorgtoepassing]),0))</f>
        <v>0</v>
      </c>
      <c r="E861" s="33" t="str" cm="1">
        <f t="array" ref="E861">INDEX(Berekening_patiëntaantal[Direct toepasbaar/extrapolatie/incidentie voor QALY],MATCH(B861,IF(Berekening_patiëntaantal[Doelgroep (zoeksleutel)]=C861,Berekening_patiëntaantal[Digitale zorgtoepassing]),0))</f>
        <v>Extrapolatie</v>
      </c>
      <c r="F861" s="33" t="s">
        <v>813</v>
      </c>
      <c r="G861" s="33" t="str">
        <f>CONCATENATE(uitkomst_doelgroep[[#This Row],[Digitale zorgtoepassing]],"_",uitkomst_doelgroep[[#This Row],[Doelgroep]],"_",uitkomst_doelgroep[[#This Row],[Uitgangssituatie/effect beleid]])</f>
        <v>AI om diagnoses te stellen (MRI)_MRI onderzoek_Overig_Uitgangssituatie</v>
      </c>
      <c r="H861" s="33">
        <v>2033</v>
      </c>
      <c r="I861" s="32">
        <v>11</v>
      </c>
      <c r="J861" s="406" cm="1">
        <f t="array" ref="J861">INDEX(implementatie[[2023]:[2034]],MATCH(G861, implementatie[Zoeksleutel],0),I861)</f>
        <v>0.60024457479989934</v>
      </c>
      <c r="K861" s="406" cm="1">
        <f t="array" ref="K861">INDEX(implementatie[[2023]:[2034]],MATCH(G861,implementatie[Zoeksleutel],0),I861 + 1)</f>
        <v>0.73221275016749598</v>
      </c>
      <c r="L86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584751.06183516432</v>
      </c>
      <c r="M861" s="398" cm="1">
        <f t="array" ref="M861">J861*INDEX(Berekening_impact[Totaal arbeidsbesparing (€/jaar)],MATCH(B861,IF(Berekening_impact[Doelgroep]=C861,Berekening_impact[Digitale zorgtoepassing]),0))</f>
        <v>13333021.54228618</v>
      </c>
      <c r="N861" s="397" cm="1">
        <f t="array" ref="N861">J861*INDEX(Berekening_impact[Totaal arbeidsbesparing (FTE/jaar)],MATCH(B861,IF(Berekening_impact[Doelgroep]=C861,Berekening_impact[Digitale zorgtoepassing]),0))</f>
        <v>70.282579547495729</v>
      </c>
      <c r="O861" s="398" cm="1">
        <f t="array" ref="O861">J861*INDEX(Berekening_impact[Overige kostenbesparing (totaal/jaar totaal potentieel)],MATCH(B861,IF(Berekening_impact[Doelgroep]=C861,Berekening_impact[Digitale zorgtoepassing]),0))</f>
        <v>0</v>
      </c>
      <c r="P861" s="398" cm="1">
        <f t="array" ref="P861">J861*INDEX(Berekening_impact[Opbrengsten door QALY''s],MATCH(B861,IF(Berekening_impact[Doelgroep]=C861,Berekening_impact[Digitale zorgtoepassing]),0))</f>
        <v>0</v>
      </c>
      <c r="Q861" s="398" cm="1">
        <f t="array" ref="Q861">J861*INDEX(Berekening_impact[Jaarlijkse kosten (totaal) - incl. schatting],MATCH(B861,IF(Berekening_impact[Doelgroep]=C861,Berekening_impact[Digitale zorgtoepassing]),0))</f>
        <v>9940768.0511977933</v>
      </c>
      <c r="R861" s="398" cm="1">
        <f t="array" ref="R861">(uitkomst_doelgroep[[#This Row],[Implementatiegraad t = T + 1]]-uitkomst_doelgroep[[#This Row],[Implementatiegraad t = T]])*INDEX(Berekening_impact[Initiële investering (totaal) - incl. schatting],MATCH(B861,IF(Berekening_impact[Doelgroep]=C861,Berekening_impact[Digitale zorgtoepassing]),0))</f>
        <v>0</v>
      </c>
      <c r="S861" s="398">
        <f>uitkomst_doelgroep[[#This Row],[Arbeidsbesparing (€)]]*uitkomst_doelgroep[[#This Row],[Percentage van patiëntaantallen in Wlz (overige is Zvw)]]</f>
        <v>0</v>
      </c>
      <c r="T861" s="398">
        <f>uitkomst_doelgroep[[#This Row],[Overige besparingen (€)]]*uitkomst_doelgroep[[#This Row],[Percentage van patiëntaantallen in Wlz (overige is Zvw)]]</f>
        <v>0</v>
      </c>
      <c r="U861" s="398">
        <f>uitkomst_doelgroep[[#This Row],[Kosten (€)]]*uitkomst_doelgroep[[#This Row],[Percentage van patiëntaantallen in Wlz (overige is Zvw)]]</f>
        <v>0</v>
      </c>
      <c r="V861" s="398">
        <f>uitkomst_doelgroep[[#This Row],[Investering (cash flow) (€)]]*uitkomst_doelgroep[[#This Row],[Percentage van patiëntaantallen in Wlz (overige is Zvw)]]</f>
        <v>0</v>
      </c>
    </row>
    <row r="862" spans="1:22" x14ac:dyDescent="0.5">
      <c r="A862" s="33" t="str">
        <f>INDEX(Technologieën[Veld],MATCH(B862,Technologieën[Digitale zorgtoepassing],0))</f>
        <v>Software - Diagnose</v>
      </c>
      <c r="B862" s="33" t="s">
        <v>472</v>
      </c>
      <c r="C862" s="33" t="s">
        <v>442</v>
      </c>
      <c r="D862" s="427" cm="1">
        <f t="array" ref="D862">INDEX(Berekening_patiëntaantal[Percentage van patiëntaantallen in Wlz (overige is Zvw)],MATCH(B862,IF(Berekening_patiëntaantal[Doelgroep (zoeksleutel)]=C862,Berekening_patiëntaantal[Digitale zorgtoepassing]),0))</f>
        <v>0</v>
      </c>
      <c r="E862" s="33" t="str" cm="1">
        <f t="array" ref="E862">INDEX(Berekening_patiëntaantal[Direct toepasbaar/extrapolatie/incidentie voor QALY],MATCH(B862,IF(Berekening_patiëntaantal[Doelgroep (zoeksleutel)]=C862,Berekening_patiëntaantal[Digitale zorgtoepassing]),0))</f>
        <v>Huidige toepassing</v>
      </c>
      <c r="F862" s="33" t="s">
        <v>813</v>
      </c>
      <c r="G862" s="33" t="str">
        <f>CONCATENATE(uitkomst_doelgroep[[#This Row],[Digitale zorgtoepassing]],"_",uitkomst_doelgroep[[#This Row],[Doelgroep]],"_",uitkomst_doelgroep[[#This Row],[Uitgangssituatie/effect beleid]])</f>
        <v>AI om diagnoses te stellen (MRI)_MRI onderzoek_Prostaatkanker_Uitgangssituatie</v>
      </c>
      <c r="H862" s="33">
        <v>2033</v>
      </c>
      <c r="I862" s="32">
        <v>11</v>
      </c>
      <c r="J862" s="406" cm="1">
        <f t="array" ref="J862">INDEX(implementatie[[2023]:[2034]],MATCH(G862, implementatie[Zoeksleutel],0),I862)</f>
        <v>0.99839362838010326</v>
      </c>
      <c r="K862" s="406" cm="1">
        <f t="array" ref="K862">INDEX(implementatie[[2023]:[2034]],MATCH(G862,implementatie[Zoeksleutel],0),I862 + 1)</f>
        <v>0.99924371512375787</v>
      </c>
      <c r="L86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25770.536335747227</v>
      </c>
      <c r="M862" s="398" cm="1">
        <f t="array" ref="M862">J862*INDEX(Berekening_impact[Totaal arbeidsbesparing (€/jaar)],MATCH(B862,IF(Berekening_impact[Doelgroep]=C862,Berekening_impact[Digitale zorgtoepassing]),0))</f>
        <v>587598.96056014975</v>
      </c>
      <c r="N862" s="397" cm="1">
        <f t="array" ref="N862">J862*INDEX(Berekening_impact[Totaal arbeidsbesparing (FTE/jaar)],MATCH(B862,IF(Berekening_impact[Doelgroep]=C862,Berekening_impact[Digitale zorgtoepassing]),0))</f>
        <v>3.0974202326619258</v>
      </c>
      <c r="O862" s="398" cm="1">
        <f t="array" ref="O862">J862*INDEX(Berekening_impact[Overige kostenbesparing (totaal/jaar totaal potentieel)],MATCH(B862,IF(Berekening_impact[Doelgroep]=C862,Berekening_impact[Digitale zorgtoepassing]),0))</f>
        <v>0</v>
      </c>
      <c r="P862" s="398" cm="1">
        <f t="array" ref="P862">J862*INDEX(Berekening_impact[Opbrengsten door QALY''s],MATCH(B862,IF(Berekening_impact[Doelgroep]=C862,Berekening_impact[Digitale zorgtoepassing]),0))</f>
        <v>0</v>
      </c>
      <c r="Q862" s="398" cm="1">
        <f t="array" ref="Q862">J862*INDEX(Berekening_impact[Jaarlijkse kosten (totaal) - incl. schatting],MATCH(B862,IF(Berekening_impact[Doelgroep]=C862,Berekening_impact[Digitale zorgtoepassing]),0))</f>
        <v>438099.11770770286</v>
      </c>
      <c r="R862" s="398" cm="1">
        <f t="array" ref="R862">(uitkomst_doelgroep[[#This Row],[Implementatiegraad t = T + 1]]-uitkomst_doelgroep[[#This Row],[Implementatiegraad t = T]])*INDEX(Berekening_impact[Initiële investering (totaal) - incl. schatting],MATCH(B862,IF(Berekening_impact[Doelgroep]=C862,Berekening_impact[Digitale zorgtoepassing]),0))</f>
        <v>835.30262637366025</v>
      </c>
      <c r="S862" s="398">
        <f>uitkomst_doelgroep[[#This Row],[Arbeidsbesparing (€)]]*uitkomst_doelgroep[[#This Row],[Percentage van patiëntaantallen in Wlz (overige is Zvw)]]</f>
        <v>0</v>
      </c>
      <c r="T862" s="398">
        <f>uitkomst_doelgroep[[#This Row],[Overige besparingen (€)]]*uitkomst_doelgroep[[#This Row],[Percentage van patiëntaantallen in Wlz (overige is Zvw)]]</f>
        <v>0</v>
      </c>
      <c r="U862" s="398">
        <f>uitkomst_doelgroep[[#This Row],[Kosten (€)]]*uitkomst_doelgroep[[#This Row],[Percentage van patiëntaantallen in Wlz (overige is Zvw)]]</f>
        <v>0</v>
      </c>
      <c r="V862" s="398">
        <f>uitkomst_doelgroep[[#This Row],[Investering (cash flow) (€)]]*uitkomst_doelgroep[[#This Row],[Percentage van patiëntaantallen in Wlz (overige is Zvw)]]</f>
        <v>0</v>
      </c>
    </row>
    <row r="863" spans="1:22" x14ac:dyDescent="0.5">
      <c r="A863" s="33" t="str">
        <f>INDEX(Technologieën[Veld],MATCH(B863,Technologieën[Digitale zorgtoepassing],0))</f>
        <v>Software - Diagnose</v>
      </c>
      <c r="B863" s="33" t="s">
        <v>475</v>
      </c>
      <c r="C863" s="33" t="s">
        <v>492</v>
      </c>
      <c r="D863" s="427" cm="1">
        <f t="array" ref="D863">INDEX(Berekening_patiëntaantal[Percentage van patiëntaantallen in Wlz (overige is Zvw)],MATCH(B863,IF(Berekening_patiëntaantal[Doelgroep (zoeksleutel)]=C863,Berekening_patiëntaantal[Digitale zorgtoepassing]),0))</f>
        <v>0</v>
      </c>
      <c r="E863" s="33" t="str" cm="1">
        <f t="array" ref="E863">INDEX(Berekening_patiëntaantal[Direct toepasbaar/extrapolatie/incidentie voor QALY],MATCH(B863,IF(Berekening_patiëntaantal[Doelgroep (zoeksleutel)]=C863,Berekening_patiëntaantal[Digitale zorgtoepassing]),0))</f>
        <v>Extrapolatie</v>
      </c>
      <c r="F863" s="33" t="s">
        <v>813</v>
      </c>
      <c r="G863" s="33" t="str">
        <f>CONCATENATE(uitkomst_doelgroep[[#This Row],[Digitale zorgtoepassing]],"_",uitkomst_doelgroep[[#This Row],[Doelgroep]],"_",uitkomst_doelgroep[[#This Row],[Uitgangssituatie/effect beleid]])</f>
        <v>AI om diagnoses te stellen (röntgen)_Röntgenscan_Overig_Uitgangssituatie</v>
      </c>
      <c r="H863" s="33">
        <v>2023</v>
      </c>
      <c r="I863" s="32">
        <v>1</v>
      </c>
      <c r="J863" s="406" cm="1">
        <f t="array" ref="J863">INDEX(implementatie[[2023]:[2034]],MATCH(G863, implementatie[Zoeksleutel],0),I863)</f>
        <v>0</v>
      </c>
      <c r="K863" s="406" cm="1">
        <f t="array" ref="K863">INDEX(implementatie[[2023]:[2034]],MATCH(G863,implementatie[Zoeksleutel],0),I863 + 1)</f>
        <v>0</v>
      </c>
      <c r="L86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863" s="398" cm="1">
        <f t="array" ref="M863">J863*INDEX(Berekening_impact[Totaal arbeidsbesparing (€/jaar)],MATCH(B863,IF(Berekening_impact[Doelgroep]=C863,Berekening_impact[Digitale zorgtoepassing]),0))</f>
        <v>0</v>
      </c>
      <c r="N863" s="397" cm="1">
        <f t="array" ref="N863">J863*INDEX(Berekening_impact[Totaal arbeidsbesparing (FTE/jaar)],MATCH(B863,IF(Berekening_impact[Doelgroep]=C863,Berekening_impact[Digitale zorgtoepassing]),0))</f>
        <v>0</v>
      </c>
      <c r="O863" s="398" cm="1">
        <f t="array" ref="O863">J863*INDEX(Berekening_impact[Overige kostenbesparing (totaal/jaar totaal potentieel)],MATCH(B863,IF(Berekening_impact[Doelgroep]=C863,Berekening_impact[Digitale zorgtoepassing]),0))</f>
        <v>0</v>
      </c>
      <c r="P863" s="398" cm="1">
        <f t="array" ref="P863">J863*INDEX(Berekening_impact[Opbrengsten door QALY''s],MATCH(B863,IF(Berekening_impact[Doelgroep]=C863,Berekening_impact[Digitale zorgtoepassing]),0))</f>
        <v>0</v>
      </c>
      <c r="Q863" s="398" cm="1">
        <f t="array" ref="Q863">J863*INDEX(Berekening_impact[Jaarlijkse kosten (totaal) - incl. schatting],MATCH(B863,IF(Berekening_impact[Doelgroep]=C863,Berekening_impact[Digitale zorgtoepassing]),0))</f>
        <v>0</v>
      </c>
      <c r="R863" s="398" cm="1">
        <f t="array" ref="R863">(uitkomst_doelgroep[[#This Row],[Implementatiegraad t = T + 1]]-uitkomst_doelgroep[[#This Row],[Implementatiegraad t = T]])*INDEX(Berekening_impact[Initiële investering (totaal) - incl. schatting],MATCH(B863,IF(Berekening_impact[Doelgroep]=C863,Berekening_impact[Digitale zorgtoepassing]),0))</f>
        <v>0</v>
      </c>
      <c r="S863" s="398">
        <f>uitkomst_doelgroep[[#This Row],[Arbeidsbesparing (€)]]*uitkomst_doelgroep[[#This Row],[Percentage van patiëntaantallen in Wlz (overige is Zvw)]]</f>
        <v>0</v>
      </c>
      <c r="T863" s="398">
        <f>uitkomst_doelgroep[[#This Row],[Overige besparingen (€)]]*uitkomst_doelgroep[[#This Row],[Percentage van patiëntaantallen in Wlz (overige is Zvw)]]</f>
        <v>0</v>
      </c>
      <c r="U863" s="398">
        <f>uitkomst_doelgroep[[#This Row],[Kosten (€)]]*uitkomst_doelgroep[[#This Row],[Percentage van patiëntaantallen in Wlz (overige is Zvw)]]</f>
        <v>0</v>
      </c>
      <c r="V863" s="398">
        <f>uitkomst_doelgroep[[#This Row],[Investering (cash flow) (€)]]*uitkomst_doelgroep[[#This Row],[Percentage van patiëntaantallen in Wlz (overige is Zvw)]]</f>
        <v>0</v>
      </c>
    </row>
    <row r="864" spans="1:22" x14ac:dyDescent="0.5">
      <c r="A864" s="33" t="str">
        <f>INDEX(Technologieën[Veld],MATCH(B864,Technologieën[Digitale zorgtoepassing],0))</f>
        <v>Software - Diagnose</v>
      </c>
      <c r="B864" s="33" t="s">
        <v>475</v>
      </c>
      <c r="C864" s="33" t="s">
        <v>460</v>
      </c>
      <c r="D864" s="427" cm="1">
        <f t="array" ref="D864">INDEX(Berekening_patiëntaantal[Percentage van patiëntaantallen in Wlz (overige is Zvw)],MATCH(B864,IF(Berekening_patiëntaantal[Doelgroep (zoeksleutel)]=C864,Berekening_patiëntaantal[Digitale zorgtoepassing]),0))</f>
        <v>0</v>
      </c>
      <c r="E864" s="33" t="str" cm="1">
        <f t="array" ref="E864">INDEX(Berekening_patiëntaantal[Direct toepasbaar/extrapolatie/incidentie voor QALY],MATCH(B864,IF(Berekening_patiëntaantal[Doelgroep (zoeksleutel)]=C864,Berekening_patiëntaantal[Digitale zorgtoepassing]),0))</f>
        <v>Huidige toepassing</v>
      </c>
      <c r="F864" s="33" t="s">
        <v>813</v>
      </c>
      <c r="G864" s="33" t="str">
        <f>CONCATENATE(uitkomst_doelgroep[[#This Row],[Digitale zorgtoepassing]],"_",uitkomst_doelgroep[[#This Row],[Doelgroep]],"_",uitkomst_doelgroep[[#This Row],[Uitgangssituatie/effect beleid]])</f>
        <v>AI om diagnoses te stellen (röntgen)_Röntgenscan_Botbreuk_Uitgangssituatie</v>
      </c>
      <c r="H864" s="33">
        <v>2023</v>
      </c>
      <c r="I864" s="32">
        <v>1</v>
      </c>
      <c r="J864" s="406" cm="1">
        <f t="array" ref="J864">INDEX(implementatie[[2023]:[2034]],MATCH(G864, implementatie[Zoeksleutel],0),I864)</f>
        <v>0.2</v>
      </c>
      <c r="K864" s="406" cm="1">
        <f t="array" ref="K864">INDEX(implementatie[[2023]:[2034]],MATCH(G864,implementatie[Zoeksleutel],0),I864 + 1)</f>
        <v>0.29200000000000004</v>
      </c>
      <c r="L86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80397.200000000012</v>
      </c>
      <c r="M864" s="398" cm="1">
        <f t="array" ref="M864">J864*INDEX(Berekening_impact[Totaal arbeidsbesparing (€/jaar)],MATCH(B864,IF(Berekening_impact[Doelgroep]=C864,Berekening_impact[Digitale zorgtoepassing]),0))</f>
        <v>20368.355955236268</v>
      </c>
      <c r="N864" s="397" cm="1">
        <f t="array" ref="N864">J864*INDEX(Berekening_impact[Totaal arbeidsbesparing (FTE/jaar)],MATCH(B864,IF(Berekening_impact[Doelgroep]=C864,Berekening_impact[Digitale zorgtoepassing]),0))</f>
        <v>0.10736805555555554</v>
      </c>
      <c r="O864" s="398" cm="1">
        <f t="array" ref="O864">J864*INDEX(Berekening_impact[Overige kostenbesparing (totaal/jaar totaal potentieel)],MATCH(B864,IF(Berekening_impact[Doelgroep]=C864,Berekening_impact[Digitale zorgtoepassing]),0))</f>
        <v>0</v>
      </c>
      <c r="P864" s="398" cm="1">
        <f t="array" ref="P864">J864*INDEX(Berekening_impact[Opbrengsten door QALY''s],MATCH(B864,IF(Berekening_impact[Doelgroep]=C864,Berekening_impact[Digitale zorgtoepassing]),0))</f>
        <v>0</v>
      </c>
      <c r="Q864" s="398" cm="1">
        <f t="array" ref="Q864">J864*INDEX(Berekening_impact[Jaarlijkse kosten (totaal) - incl. schatting],MATCH(B864,IF(Berekening_impact[Doelgroep]=C864,Berekening_impact[Digitale zorgtoepassing]),0))</f>
        <v>17309.674764613756</v>
      </c>
      <c r="R864" s="398" cm="1">
        <f t="array" ref="R864">(uitkomst_doelgroep[[#This Row],[Implementatiegraad t = T + 1]]-uitkomst_doelgroep[[#This Row],[Implementatiegraad t = T]])*INDEX(Berekening_impact[Initiële investering (totaal) - incl. schatting],MATCH(B864,IF(Berekening_impact[Doelgroep]=C864,Berekening_impact[Digitale zorgtoepassing]),0))</f>
        <v>0</v>
      </c>
      <c r="S864" s="398">
        <f>uitkomst_doelgroep[[#This Row],[Arbeidsbesparing (€)]]*uitkomst_doelgroep[[#This Row],[Percentage van patiëntaantallen in Wlz (overige is Zvw)]]</f>
        <v>0</v>
      </c>
      <c r="T864" s="398">
        <f>uitkomst_doelgroep[[#This Row],[Overige besparingen (€)]]*uitkomst_doelgroep[[#This Row],[Percentage van patiëntaantallen in Wlz (overige is Zvw)]]</f>
        <v>0</v>
      </c>
      <c r="U864" s="398">
        <f>uitkomst_doelgroep[[#This Row],[Kosten (€)]]*uitkomst_doelgroep[[#This Row],[Percentage van patiëntaantallen in Wlz (overige is Zvw)]]</f>
        <v>0</v>
      </c>
      <c r="V864" s="398">
        <f>uitkomst_doelgroep[[#This Row],[Investering (cash flow) (€)]]*uitkomst_doelgroep[[#This Row],[Percentage van patiëntaantallen in Wlz (overige is Zvw)]]</f>
        <v>0</v>
      </c>
    </row>
    <row r="865" spans="1:22" x14ac:dyDescent="0.5">
      <c r="A865" s="33" t="str">
        <f>INDEX(Technologieën[Veld],MATCH(B865,Technologieën[Digitale zorgtoepassing],0))</f>
        <v>Software - Diagnose</v>
      </c>
      <c r="B865" s="33" t="s">
        <v>475</v>
      </c>
      <c r="C865" s="33" t="s">
        <v>492</v>
      </c>
      <c r="D865" s="427" cm="1">
        <f t="array" ref="D865">INDEX(Berekening_patiëntaantal[Percentage van patiëntaantallen in Wlz (overige is Zvw)],MATCH(B865,IF(Berekening_patiëntaantal[Doelgroep (zoeksleutel)]=C865,Berekening_patiëntaantal[Digitale zorgtoepassing]),0))</f>
        <v>0</v>
      </c>
      <c r="E865" s="33" t="str" cm="1">
        <f t="array" ref="E865">INDEX(Berekening_patiëntaantal[Direct toepasbaar/extrapolatie/incidentie voor QALY],MATCH(B865,IF(Berekening_patiëntaantal[Doelgroep (zoeksleutel)]=C865,Berekening_patiëntaantal[Digitale zorgtoepassing]),0))</f>
        <v>Extrapolatie</v>
      </c>
      <c r="F865" s="33" t="s">
        <v>813</v>
      </c>
      <c r="G865" s="33" t="str">
        <f>CONCATENATE(uitkomst_doelgroep[[#This Row],[Digitale zorgtoepassing]],"_",uitkomst_doelgroep[[#This Row],[Doelgroep]],"_",uitkomst_doelgroep[[#This Row],[Uitgangssituatie/effect beleid]])</f>
        <v>AI om diagnoses te stellen (röntgen)_Röntgenscan_Overig_Uitgangssituatie</v>
      </c>
      <c r="H865" s="33">
        <v>2024</v>
      </c>
      <c r="I865" s="32">
        <v>2</v>
      </c>
      <c r="J865" s="406" cm="1">
        <f t="array" ref="J865">INDEX(implementatie[[2023]:[2034]],MATCH(G865, implementatie[Zoeksleutel],0),I865)</f>
        <v>0</v>
      </c>
      <c r="K865" s="406" cm="1">
        <f t="array" ref="K865">INDEX(implementatie[[2023]:[2034]],MATCH(G865,implementatie[Zoeksleutel],0),I865 + 1)</f>
        <v>0</v>
      </c>
      <c r="L86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865" s="398" cm="1">
        <f t="array" ref="M865">J865*INDEX(Berekening_impact[Totaal arbeidsbesparing (€/jaar)],MATCH(B865,IF(Berekening_impact[Doelgroep]=C865,Berekening_impact[Digitale zorgtoepassing]),0))</f>
        <v>0</v>
      </c>
      <c r="N865" s="397" cm="1">
        <f t="array" ref="N865">J865*INDEX(Berekening_impact[Totaal arbeidsbesparing (FTE/jaar)],MATCH(B865,IF(Berekening_impact[Doelgroep]=C865,Berekening_impact[Digitale zorgtoepassing]),0))</f>
        <v>0</v>
      </c>
      <c r="O865" s="398" cm="1">
        <f t="array" ref="O865">J865*INDEX(Berekening_impact[Overige kostenbesparing (totaal/jaar totaal potentieel)],MATCH(B865,IF(Berekening_impact[Doelgroep]=C865,Berekening_impact[Digitale zorgtoepassing]),0))</f>
        <v>0</v>
      </c>
      <c r="P865" s="398" cm="1">
        <f t="array" ref="P865">J865*INDEX(Berekening_impact[Opbrengsten door QALY''s],MATCH(B865,IF(Berekening_impact[Doelgroep]=C865,Berekening_impact[Digitale zorgtoepassing]),0))</f>
        <v>0</v>
      </c>
      <c r="Q865" s="398" cm="1">
        <f t="array" ref="Q865">J865*INDEX(Berekening_impact[Jaarlijkse kosten (totaal) - incl. schatting],MATCH(B865,IF(Berekening_impact[Doelgroep]=C865,Berekening_impact[Digitale zorgtoepassing]),0))</f>
        <v>0</v>
      </c>
      <c r="R865" s="398" cm="1">
        <f t="array" ref="R865">(uitkomst_doelgroep[[#This Row],[Implementatiegraad t = T + 1]]-uitkomst_doelgroep[[#This Row],[Implementatiegraad t = T]])*INDEX(Berekening_impact[Initiële investering (totaal) - incl. schatting],MATCH(B865,IF(Berekening_impact[Doelgroep]=C865,Berekening_impact[Digitale zorgtoepassing]),0))</f>
        <v>0</v>
      </c>
      <c r="S865" s="398">
        <f>uitkomst_doelgroep[[#This Row],[Arbeidsbesparing (€)]]*uitkomst_doelgroep[[#This Row],[Percentage van patiëntaantallen in Wlz (overige is Zvw)]]</f>
        <v>0</v>
      </c>
      <c r="T865" s="398">
        <f>uitkomst_doelgroep[[#This Row],[Overige besparingen (€)]]*uitkomst_doelgroep[[#This Row],[Percentage van patiëntaantallen in Wlz (overige is Zvw)]]</f>
        <v>0</v>
      </c>
      <c r="U865" s="398">
        <f>uitkomst_doelgroep[[#This Row],[Kosten (€)]]*uitkomst_doelgroep[[#This Row],[Percentage van patiëntaantallen in Wlz (overige is Zvw)]]</f>
        <v>0</v>
      </c>
      <c r="V865" s="398">
        <f>uitkomst_doelgroep[[#This Row],[Investering (cash flow) (€)]]*uitkomst_doelgroep[[#This Row],[Percentage van patiëntaantallen in Wlz (overige is Zvw)]]</f>
        <v>0</v>
      </c>
    </row>
    <row r="866" spans="1:22" x14ac:dyDescent="0.5">
      <c r="A866" s="33" t="str">
        <f>INDEX(Technologieën[Veld],MATCH(B866,Technologieën[Digitale zorgtoepassing],0))</f>
        <v>Software - Diagnose</v>
      </c>
      <c r="B866" s="33" t="s">
        <v>475</v>
      </c>
      <c r="C866" s="33" t="s">
        <v>460</v>
      </c>
      <c r="D866" s="427" cm="1">
        <f t="array" ref="D866">INDEX(Berekening_patiëntaantal[Percentage van patiëntaantallen in Wlz (overige is Zvw)],MATCH(B866,IF(Berekening_patiëntaantal[Doelgroep (zoeksleutel)]=C866,Berekening_patiëntaantal[Digitale zorgtoepassing]),0))</f>
        <v>0</v>
      </c>
      <c r="E866" s="33" t="str" cm="1">
        <f t="array" ref="E866">INDEX(Berekening_patiëntaantal[Direct toepasbaar/extrapolatie/incidentie voor QALY],MATCH(B866,IF(Berekening_patiëntaantal[Doelgroep (zoeksleutel)]=C866,Berekening_patiëntaantal[Digitale zorgtoepassing]),0))</f>
        <v>Huidige toepassing</v>
      </c>
      <c r="F866" s="33" t="s">
        <v>813</v>
      </c>
      <c r="G866" s="33" t="str">
        <f>CONCATENATE(uitkomst_doelgroep[[#This Row],[Digitale zorgtoepassing]],"_",uitkomst_doelgroep[[#This Row],[Doelgroep]],"_",uitkomst_doelgroep[[#This Row],[Uitgangssituatie/effect beleid]])</f>
        <v>AI om diagnoses te stellen (röntgen)_Röntgenscan_Botbreuk_Uitgangssituatie</v>
      </c>
      <c r="H866" s="33">
        <v>2024</v>
      </c>
      <c r="I866" s="32">
        <v>2</v>
      </c>
      <c r="J866" s="406" cm="1">
        <f t="array" ref="J866">INDEX(implementatie[[2023]:[2034]],MATCH(G866, implementatie[Zoeksleutel],0),I866)</f>
        <v>0.29200000000000004</v>
      </c>
      <c r="K866" s="406" cm="1">
        <f t="array" ref="K866">INDEX(implementatie[[2023]:[2034]],MATCH(G866,implementatie[Zoeksleutel],0),I866 + 1)</f>
        <v>0.40273120000000007</v>
      </c>
      <c r="L86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117379.91200000001</v>
      </c>
      <c r="M866" s="398" cm="1">
        <f t="array" ref="M866">J866*INDEX(Berekening_impact[Totaal arbeidsbesparing (€/jaar)],MATCH(B866,IF(Berekening_impact[Doelgroep]=C866,Berekening_impact[Digitale zorgtoepassing]),0))</f>
        <v>29737.799694644953</v>
      </c>
      <c r="N866" s="397" cm="1">
        <f t="array" ref="N866">J866*INDEX(Berekening_impact[Totaal arbeidsbesparing (FTE/jaar)],MATCH(B866,IF(Berekening_impact[Doelgroep]=C866,Berekening_impact[Digitale zorgtoepassing]),0))</f>
        <v>0.1567573611111111</v>
      </c>
      <c r="O866" s="398" cm="1">
        <f t="array" ref="O866">J866*INDEX(Berekening_impact[Overige kostenbesparing (totaal/jaar totaal potentieel)],MATCH(B866,IF(Berekening_impact[Doelgroep]=C866,Berekening_impact[Digitale zorgtoepassing]),0))</f>
        <v>0</v>
      </c>
      <c r="P866" s="398" cm="1">
        <f t="array" ref="P866">J866*INDEX(Berekening_impact[Opbrengsten door QALY''s],MATCH(B866,IF(Berekening_impact[Doelgroep]=C866,Berekening_impact[Digitale zorgtoepassing]),0))</f>
        <v>0</v>
      </c>
      <c r="Q866" s="398" cm="1">
        <f t="array" ref="Q866">J866*INDEX(Berekening_impact[Jaarlijkse kosten (totaal) - incl. schatting],MATCH(B866,IF(Berekening_impact[Doelgroep]=C866,Berekening_impact[Digitale zorgtoepassing]),0))</f>
        <v>25272.125156336086</v>
      </c>
      <c r="R866" s="398" cm="1">
        <f t="array" ref="R866">(uitkomst_doelgroep[[#This Row],[Implementatiegraad t = T + 1]]-uitkomst_doelgroep[[#This Row],[Implementatiegraad t = T]])*INDEX(Berekening_impact[Initiële investering (totaal) - incl. schatting],MATCH(B866,IF(Berekening_impact[Doelgroep]=C866,Berekening_impact[Digitale zorgtoepassing]),0))</f>
        <v>0</v>
      </c>
      <c r="S866" s="398">
        <f>uitkomst_doelgroep[[#This Row],[Arbeidsbesparing (€)]]*uitkomst_doelgroep[[#This Row],[Percentage van patiëntaantallen in Wlz (overige is Zvw)]]</f>
        <v>0</v>
      </c>
      <c r="T866" s="398">
        <f>uitkomst_doelgroep[[#This Row],[Overige besparingen (€)]]*uitkomst_doelgroep[[#This Row],[Percentage van patiëntaantallen in Wlz (overige is Zvw)]]</f>
        <v>0</v>
      </c>
      <c r="U866" s="398">
        <f>uitkomst_doelgroep[[#This Row],[Kosten (€)]]*uitkomst_doelgroep[[#This Row],[Percentage van patiëntaantallen in Wlz (overige is Zvw)]]</f>
        <v>0</v>
      </c>
      <c r="V866" s="398">
        <f>uitkomst_doelgroep[[#This Row],[Investering (cash flow) (€)]]*uitkomst_doelgroep[[#This Row],[Percentage van patiëntaantallen in Wlz (overige is Zvw)]]</f>
        <v>0</v>
      </c>
    </row>
    <row r="867" spans="1:22" x14ac:dyDescent="0.5">
      <c r="A867" s="33" t="str">
        <f>INDEX(Technologieën[Veld],MATCH(B867,Technologieën[Digitale zorgtoepassing],0))</f>
        <v>Software - Diagnose</v>
      </c>
      <c r="B867" s="33" t="s">
        <v>475</v>
      </c>
      <c r="C867" s="33" t="s">
        <v>492</v>
      </c>
      <c r="D867" s="427" cm="1">
        <f t="array" ref="D867">INDEX(Berekening_patiëntaantal[Percentage van patiëntaantallen in Wlz (overige is Zvw)],MATCH(B867,IF(Berekening_patiëntaantal[Doelgroep (zoeksleutel)]=C867,Berekening_patiëntaantal[Digitale zorgtoepassing]),0))</f>
        <v>0</v>
      </c>
      <c r="E867" s="33" t="str" cm="1">
        <f t="array" ref="E867">INDEX(Berekening_patiëntaantal[Direct toepasbaar/extrapolatie/incidentie voor QALY],MATCH(B867,IF(Berekening_patiëntaantal[Doelgroep (zoeksleutel)]=C867,Berekening_patiëntaantal[Digitale zorgtoepassing]),0))</f>
        <v>Extrapolatie</v>
      </c>
      <c r="F867" s="33" t="s">
        <v>813</v>
      </c>
      <c r="G867" s="33" t="str">
        <f>CONCATENATE(uitkomst_doelgroep[[#This Row],[Digitale zorgtoepassing]],"_",uitkomst_doelgroep[[#This Row],[Doelgroep]],"_",uitkomst_doelgroep[[#This Row],[Uitgangssituatie/effect beleid]])</f>
        <v>AI om diagnoses te stellen (röntgen)_Röntgenscan_Overig_Uitgangssituatie</v>
      </c>
      <c r="H867" s="33">
        <v>2025</v>
      </c>
      <c r="I867" s="32">
        <v>3</v>
      </c>
      <c r="J867" s="406" cm="1">
        <f t="array" ref="J867">INDEX(implementatie[[2023]:[2034]],MATCH(G867, implementatie[Zoeksleutel],0),I867)</f>
        <v>0</v>
      </c>
      <c r="K867" s="406" cm="1">
        <f t="array" ref="K867">INDEX(implementatie[[2023]:[2034]],MATCH(G867,implementatie[Zoeksleutel],0),I867 + 1)</f>
        <v>0</v>
      </c>
      <c r="L86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867" s="398" cm="1">
        <f t="array" ref="M867">J867*INDEX(Berekening_impact[Totaal arbeidsbesparing (€/jaar)],MATCH(B867,IF(Berekening_impact[Doelgroep]=C867,Berekening_impact[Digitale zorgtoepassing]),0))</f>
        <v>0</v>
      </c>
      <c r="N867" s="397" cm="1">
        <f t="array" ref="N867">J867*INDEX(Berekening_impact[Totaal arbeidsbesparing (FTE/jaar)],MATCH(B867,IF(Berekening_impact[Doelgroep]=C867,Berekening_impact[Digitale zorgtoepassing]),0))</f>
        <v>0</v>
      </c>
      <c r="O867" s="398" cm="1">
        <f t="array" ref="O867">J867*INDEX(Berekening_impact[Overige kostenbesparing (totaal/jaar totaal potentieel)],MATCH(B867,IF(Berekening_impact[Doelgroep]=C867,Berekening_impact[Digitale zorgtoepassing]),0))</f>
        <v>0</v>
      </c>
      <c r="P867" s="398" cm="1">
        <f t="array" ref="P867">J867*INDEX(Berekening_impact[Opbrengsten door QALY''s],MATCH(B867,IF(Berekening_impact[Doelgroep]=C867,Berekening_impact[Digitale zorgtoepassing]),0))</f>
        <v>0</v>
      </c>
      <c r="Q867" s="398" cm="1">
        <f t="array" ref="Q867">J867*INDEX(Berekening_impact[Jaarlijkse kosten (totaal) - incl. schatting],MATCH(B867,IF(Berekening_impact[Doelgroep]=C867,Berekening_impact[Digitale zorgtoepassing]),0))</f>
        <v>0</v>
      </c>
      <c r="R867" s="398" cm="1">
        <f t="array" ref="R867">(uitkomst_doelgroep[[#This Row],[Implementatiegraad t = T + 1]]-uitkomst_doelgroep[[#This Row],[Implementatiegraad t = T]])*INDEX(Berekening_impact[Initiële investering (totaal) - incl. schatting],MATCH(B867,IF(Berekening_impact[Doelgroep]=C867,Berekening_impact[Digitale zorgtoepassing]),0))</f>
        <v>0</v>
      </c>
      <c r="S867" s="398">
        <f>uitkomst_doelgroep[[#This Row],[Arbeidsbesparing (€)]]*uitkomst_doelgroep[[#This Row],[Percentage van patiëntaantallen in Wlz (overige is Zvw)]]</f>
        <v>0</v>
      </c>
      <c r="T867" s="398">
        <f>uitkomst_doelgroep[[#This Row],[Overige besparingen (€)]]*uitkomst_doelgroep[[#This Row],[Percentage van patiëntaantallen in Wlz (overige is Zvw)]]</f>
        <v>0</v>
      </c>
      <c r="U867" s="398">
        <f>uitkomst_doelgroep[[#This Row],[Kosten (€)]]*uitkomst_doelgroep[[#This Row],[Percentage van patiëntaantallen in Wlz (overige is Zvw)]]</f>
        <v>0</v>
      </c>
      <c r="V867" s="398">
        <f>uitkomst_doelgroep[[#This Row],[Investering (cash flow) (€)]]*uitkomst_doelgroep[[#This Row],[Percentage van patiëntaantallen in Wlz (overige is Zvw)]]</f>
        <v>0</v>
      </c>
    </row>
    <row r="868" spans="1:22" x14ac:dyDescent="0.5">
      <c r="A868" s="33" t="str">
        <f>INDEX(Technologieën[Veld],MATCH(B868,Technologieën[Digitale zorgtoepassing],0))</f>
        <v>Software - Diagnose</v>
      </c>
      <c r="B868" s="33" t="s">
        <v>475</v>
      </c>
      <c r="C868" s="33" t="s">
        <v>460</v>
      </c>
      <c r="D868" s="427" cm="1">
        <f t="array" ref="D868">INDEX(Berekening_patiëntaantal[Percentage van patiëntaantallen in Wlz (overige is Zvw)],MATCH(B868,IF(Berekening_patiëntaantal[Doelgroep (zoeksleutel)]=C868,Berekening_patiëntaantal[Digitale zorgtoepassing]),0))</f>
        <v>0</v>
      </c>
      <c r="E868" s="33" t="str" cm="1">
        <f t="array" ref="E868">INDEX(Berekening_patiëntaantal[Direct toepasbaar/extrapolatie/incidentie voor QALY],MATCH(B868,IF(Berekening_patiëntaantal[Doelgroep (zoeksleutel)]=C868,Berekening_patiëntaantal[Digitale zorgtoepassing]),0))</f>
        <v>Huidige toepassing</v>
      </c>
      <c r="F868" s="33" t="s">
        <v>813</v>
      </c>
      <c r="G868" s="33" t="str">
        <f>CONCATENATE(uitkomst_doelgroep[[#This Row],[Digitale zorgtoepassing]],"_",uitkomst_doelgroep[[#This Row],[Doelgroep]],"_",uitkomst_doelgroep[[#This Row],[Uitgangssituatie/effect beleid]])</f>
        <v>AI om diagnoses te stellen (röntgen)_Röntgenscan_Botbreuk_Uitgangssituatie</v>
      </c>
      <c r="H868" s="33">
        <v>2025</v>
      </c>
      <c r="I868" s="32">
        <v>3</v>
      </c>
      <c r="J868" s="406" cm="1">
        <f t="array" ref="J868">INDEX(implementatie[[2023]:[2034]],MATCH(G868, implementatie[Zoeksleutel],0),I868)</f>
        <v>0.40273120000000007</v>
      </c>
      <c r="K868" s="406" cm="1">
        <f t="array" ref="K868">INDEX(implementatie[[2023]:[2034]],MATCH(G868,implementatie[Zoeksleutel],0),I868 + 1)</f>
        <v>0.52590537124595205</v>
      </c>
      <c r="L86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161892.30416320002</v>
      </c>
      <c r="M868" s="398" cm="1">
        <f t="array" ref="M868">J868*INDEX(Berekening_impact[Totaal arbeidsbesparing (€/jaar)],MATCH(B868,IF(Berekening_impact[Doelgroep]=C868,Berekening_impact[Digitale zorgtoepassing]),0))</f>
        <v>41014.862179397242</v>
      </c>
      <c r="N868" s="397" cm="1">
        <f t="array" ref="N868">J868*INDEX(Berekening_impact[Totaal arbeidsbesparing (FTE/jaar)],MATCH(B868,IF(Berekening_impact[Doelgroep]=C868,Berekening_impact[Digitale zorgtoepassing]),0))</f>
        <v>0.21620232927777777</v>
      </c>
      <c r="O868" s="398" cm="1">
        <f t="array" ref="O868">J868*INDEX(Berekening_impact[Overige kostenbesparing (totaal/jaar totaal potentieel)],MATCH(B868,IF(Berekening_impact[Doelgroep]=C868,Berekening_impact[Digitale zorgtoepassing]),0))</f>
        <v>0</v>
      </c>
      <c r="P868" s="398" cm="1">
        <f t="array" ref="P868">J868*INDEX(Berekening_impact[Opbrengsten door QALY''s],MATCH(B868,IF(Berekening_impact[Doelgroep]=C868,Berekening_impact[Digitale zorgtoepassing]),0))</f>
        <v>0</v>
      </c>
      <c r="Q868" s="398" cm="1">
        <f t="array" ref="Q868">J868*INDEX(Berekening_impact[Jaarlijkse kosten (totaal) - incl. schatting],MATCH(B868,IF(Berekening_impact[Doelgroep]=C868,Berekening_impact[Digitale zorgtoepassing]),0))</f>
        <v>34855.730447813083</v>
      </c>
      <c r="R868" s="398" cm="1">
        <f t="array" ref="R868">(uitkomst_doelgroep[[#This Row],[Implementatiegraad t = T + 1]]-uitkomst_doelgroep[[#This Row],[Implementatiegraad t = T]])*INDEX(Berekening_impact[Initiële investering (totaal) - incl. schatting],MATCH(B868,IF(Berekening_impact[Doelgroep]=C868,Berekening_impact[Digitale zorgtoepassing]),0))</f>
        <v>0</v>
      </c>
      <c r="S868" s="398">
        <f>uitkomst_doelgroep[[#This Row],[Arbeidsbesparing (€)]]*uitkomst_doelgroep[[#This Row],[Percentage van patiëntaantallen in Wlz (overige is Zvw)]]</f>
        <v>0</v>
      </c>
      <c r="T868" s="398">
        <f>uitkomst_doelgroep[[#This Row],[Overige besparingen (€)]]*uitkomst_doelgroep[[#This Row],[Percentage van patiëntaantallen in Wlz (overige is Zvw)]]</f>
        <v>0</v>
      </c>
      <c r="U868" s="398">
        <f>uitkomst_doelgroep[[#This Row],[Kosten (€)]]*uitkomst_doelgroep[[#This Row],[Percentage van patiëntaantallen in Wlz (overige is Zvw)]]</f>
        <v>0</v>
      </c>
      <c r="V868" s="398">
        <f>uitkomst_doelgroep[[#This Row],[Investering (cash flow) (€)]]*uitkomst_doelgroep[[#This Row],[Percentage van patiëntaantallen in Wlz (overige is Zvw)]]</f>
        <v>0</v>
      </c>
    </row>
    <row r="869" spans="1:22" x14ac:dyDescent="0.5">
      <c r="A869" s="33" t="str">
        <f>INDEX(Technologieën[Veld],MATCH(B869,Technologieën[Digitale zorgtoepassing],0))</f>
        <v>Software - Diagnose</v>
      </c>
      <c r="B869" s="33" t="s">
        <v>475</v>
      </c>
      <c r="C869" s="33" t="s">
        <v>492</v>
      </c>
      <c r="D869" s="427" cm="1">
        <f t="array" ref="D869">INDEX(Berekening_patiëntaantal[Percentage van patiëntaantallen in Wlz (overige is Zvw)],MATCH(B869,IF(Berekening_patiëntaantal[Doelgroep (zoeksleutel)]=C869,Berekening_patiëntaantal[Digitale zorgtoepassing]),0))</f>
        <v>0</v>
      </c>
      <c r="E869" s="33" t="str" cm="1">
        <f t="array" ref="E869">INDEX(Berekening_patiëntaantal[Direct toepasbaar/extrapolatie/incidentie voor QALY],MATCH(B869,IF(Berekening_patiëntaantal[Doelgroep (zoeksleutel)]=C869,Berekening_patiëntaantal[Digitale zorgtoepassing]),0))</f>
        <v>Extrapolatie</v>
      </c>
      <c r="F869" s="33" t="s">
        <v>813</v>
      </c>
      <c r="G869" s="33" t="str">
        <f>CONCATENATE(uitkomst_doelgroep[[#This Row],[Digitale zorgtoepassing]],"_",uitkomst_doelgroep[[#This Row],[Doelgroep]],"_",uitkomst_doelgroep[[#This Row],[Uitgangssituatie/effect beleid]])</f>
        <v>AI om diagnoses te stellen (röntgen)_Röntgenscan_Overig_Uitgangssituatie</v>
      </c>
      <c r="H869" s="33">
        <v>2026</v>
      </c>
      <c r="I869" s="32">
        <v>4</v>
      </c>
      <c r="J869" s="406" cm="1">
        <f t="array" ref="J869">INDEX(implementatie[[2023]:[2034]],MATCH(G869, implementatie[Zoeksleutel],0),I869)</f>
        <v>0</v>
      </c>
      <c r="K869" s="406" cm="1">
        <f t="array" ref="K869">INDEX(implementatie[[2023]:[2034]],MATCH(G869,implementatie[Zoeksleutel],0),I869 + 1)</f>
        <v>2.5000000000000001E-2</v>
      </c>
      <c r="L86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869" s="398" cm="1">
        <f t="array" ref="M869">J869*INDEX(Berekening_impact[Totaal arbeidsbesparing (€/jaar)],MATCH(B869,IF(Berekening_impact[Doelgroep]=C869,Berekening_impact[Digitale zorgtoepassing]),0))</f>
        <v>0</v>
      </c>
      <c r="N869" s="397" cm="1">
        <f t="array" ref="N869">J869*INDEX(Berekening_impact[Totaal arbeidsbesparing (FTE/jaar)],MATCH(B869,IF(Berekening_impact[Doelgroep]=C869,Berekening_impact[Digitale zorgtoepassing]),0))</f>
        <v>0</v>
      </c>
      <c r="O869" s="398" cm="1">
        <f t="array" ref="O869">J869*INDEX(Berekening_impact[Overige kostenbesparing (totaal/jaar totaal potentieel)],MATCH(B869,IF(Berekening_impact[Doelgroep]=C869,Berekening_impact[Digitale zorgtoepassing]),0))</f>
        <v>0</v>
      </c>
      <c r="P869" s="398" cm="1">
        <f t="array" ref="P869">J869*INDEX(Berekening_impact[Opbrengsten door QALY''s],MATCH(B869,IF(Berekening_impact[Doelgroep]=C869,Berekening_impact[Digitale zorgtoepassing]),0))</f>
        <v>0</v>
      </c>
      <c r="Q869" s="398" cm="1">
        <f t="array" ref="Q869">J869*INDEX(Berekening_impact[Jaarlijkse kosten (totaal) - incl. schatting],MATCH(B869,IF(Berekening_impact[Doelgroep]=C869,Berekening_impact[Digitale zorgtoepassing]),0))</f>
        <v>0</v>
      </c>
      <c r="R869" s="398" cm="1">
        <f t="array" ref="R869">(uitkomst_doelgroep[[#This Row],[Implementatiegraad t = T + 1]]-uitkomst_doelgroep[[#This Row],[Implementatiegraad t = T]])*INDEX(Berekening_impact[Initiële investering (totaal) - incl. schatting],MATCH(B869,IF(Berekening_impact[Doelgroep]=C869,Berekening_impact[Digitale zorgtoepassing]),0))</f>
        <v>0</v>
      </c>
      <c r="S869" s="398">
        <f>uitkomst_doelgroep[[#This Row],[Arbeidsbesparing (€)]]*uitkomst_doelgroep[[#This Row],[Percentage van patiëntaantallen in Wlz (overige is Zvw)]]</f>
        <v>0</v>
      </c>
      <c r="T869" s="398">
        <f>uitkomst_doelgroep[[#This Row],[Overige besparingen (€)]]*uitkomst_doelgroep[[#This Row],[Percentage van patiëntaantallen in Wlz (overige is Zvw)]]</f>
        <v>0</v>
      </c>
      <c r="U869" s="398">
        <f>uitkomst_doelgroep[[#This Row],[Kosten (€)]]*uitkomst_doelgroep[[#This Row],[Percentage van patiëntaantallen in Wlz (overige is Zvw)]]</f>
        <v>0</v>
      </c>
      <c r="V869" s="398">
        <f>uitkomst_doelgroep[[#This Row],[Investering (cash flow) (€)]]*uitkomst_doelgroep[[#This Row],[Percentage van patiëntaantallen in Wlz (overige is Zvw)]]</f>
        <v>0</v>
      </c>
    </row>
    <row r="870" spans="1:22" x14ac:dyDescent="0.5">
      <c r="A870" s="33" t="str">
        <f>INDEX(Technologieën[Veld],MATCH(B870,Technologieën[Digitale zorgtoepassing],0))</f>
        <v>Software - Diagnose</v>
      </c>
      <c r="B870" s="33" t="s">
        <v>475</v>
      </c>
      <c r="C870" s="33" t="s">
        <v>460</v>
      </c>
      <c r="D870" s="427" cm="1">
        <f t="array" ref="D870">INDEX(Berekening_patiëntaantal[Percentage van patiëntaantallen in Wlz (overige is Zvw)],MATCH(B870,IF(Berekening_patiëntaantal[Doelgroep (zoeksleutel)]=C870,Berekening_patiëntaantal[Digitale zorgtoepassing]),0))</f>
        <v>0</v>
      </c>
      <c r="E870" s="33" t="str" cm="1">
        <f t="array" ref="E870">INDEX(Berekening_patiëntaantal[Direct toepasbaar/extrapolatie/incidentie voor QALY],MATCH(B870,IF(Berekening_patiëntaantal[Doelgroep (zoeksleutel)]=C870,Berekening_patiëntaantal[Digitale zorgtoepassing]),0))</f>
        <v>Huidige toepassing</v>
      </c>
      <c r="F870" s="33" t="s">
        <v>813</v>
      </c>
      <c r="G870" s="33" t="str">
        <f>CONCATENATE(uitkomst_doelgroep[[#This Row],[Digitale zorgtoepassing]],"_",uitkomst_doelgroep[[#This Row],[Doelgroep]],"_",uitkomst_doelgroep[[#This Row],[Uitgangssituatie/effect beleid]])</f>
        <v>AI om diagnoses te stellen (röntgen)_Röntgenscan_Botbreuk_Uitgangssituatie</v>
      </c>
      <c r="H870" s="33">
        <v>2026</v>
      </c>
      <c r="I870" s="32">
        <v>4</v>
      </c>
      <c r="J870" s="406" cm="1">
        <f t="array" ref="J870">INDEX(implementatie[[2023]:[2034]],MATCH(G870, implementatie[Zoeksleutel],0),I870)</f>
        <v>0.52590537124595205</v>
      </c>
      <c r="K870" s="406" cm="1">
        <f t="array" ref="K870">INDEX(implementatie[[2023]:[2034]],MATCH(G870,implementatie[Zoeksleutel],0),I870 + 1)</f>
        <v>0.64995574724807748</v>
      </c>
      <c r="L87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211406.59656567528</v>
      </c>
      <c r="M870" s="398" cm="1">
        <f t="array" ref="M870">J870*INDEX(Berekening_impact[Totaal arbeidsbesparing (€/jaar)],MATCH(B870,IF(Berekening_impact[Doelgroep]=C870,Berekening_impact[Digitale zorgtoepassing]),0))</f>
        <v>53559.139001541131</v>
      </c>
      <c r="N870" s="397" cm="1">
        <f t="array" ref="N870">J870*INDEX(Berekening_impact[Totaal arbeidsbesparing (FTE/jaar)],MATCH(B870,IF(Berekening_impact[Doelgroep]=C870,Berekening_impact[Digitale zorgtoepassing]),0))</f>
        <v>0.28232718558450215</v>
      </c>
      <c r="O870" s="398" cm="1">
        <f t="array" ref="O870">J870*INDEX(Berekening_impact[Overige kostenbesparing (totaal/jaar totaal potentieel)],MATCH(B870,IF(Berekening_impact[Doelgroep]=C870,Berekening_impact[Digitale zorgtoepassing]),0))</f>
        <v>0</v>
      </c>
      <c r="P870" s="398" cm="1">
        <f t="array" ref="P870">J870*INDEX(Berekening_impact[Opbrengsten door QALY''s],MATCH(B870,IF(Berekening_impact[Doelgroep]=C870,Berekening_impact[Digitale zorgtoepassing]),0))</f>
        <v>0</v>
      </c>
      <c r="Q870" s="398" cm="1">
        <f t="array" ref="Q870">J870*INDEX(Berekening_impact[Jaarlijkse kosten (totaal) - incl. schatting],MATCH(B870,IF(Berekening_impact[Doelgroep]=C870,Berekening_impact[Digitale zorgtoepassing]),0))</f>
        <v>45516.254666154418</v>
      </c>
      <c r="R870" s="398" cm="1">
        <f t="array" ref="R870">(uitkomst_doelgroep[[#This Row],[Implementatiegraad t = T + 1]]-uitkomst_doelgroep[[#This Row],[Implementatiegraad t = T]])*INDEX(Berekening_impact[Initiële investering (totaal) - incl. schatting],MATCH(B870,IF(Berekening_impact[Doelgroep]=C870,Berekening_impact[Digitale zorgtoepassing]),0))</f>
        <v>0</v>
      </c>
      <c r="S870" s="398">
        <f>uitkomst_doelgroep[[#This Row],[Arbeidsbesparing (€)]]*uitkomst_doelgroep[[#This Row],[Percentage van patiëntaantallen in Wlz (overige is Zvw)]]</f>
        <v>0</v>
      </c>
      <c r="T870" s="398">
        <f>uitkomst_doelgroep[[#This Row],[Overige besparingen (€)]]*uitkomst_doelgroep[[#This Row],[Percentage van patiëntaantallen in Wlz (overige is Zvw)]]</f>
        <v>0</v>
      </c>
      <c r="U870" s="398">
        <f>uitkomst_doelgroep[[#This Row],[Kosten (€)]]*uitkomst_doelgroep[[#This Row],[Percentage van patiëntaantallen in Wlz (overige is Zvw)]]</f>
        <v>0</v>
      </c>
      <c r="V870" s="398">
        <f>uitkomst_doelgroep[[#This Row],[Investering (cash flow) (€)]]*uitkomst_doelgroep[[#This Row],[Percentage van patiëntaantallen in Wlz (overige is Zvw)]]</f>
        <v>0</v>
      </c>
    </row>
    <row r="871" spans="1:22" x14ac:dyDescent="0.5">
      <c r="A871" s="33" t="str">
        <f>INDEX(Technologieën[Veld],MATCH(B871,Technologieën[Digitale zorgtoepassing],0))</f>
        <v>Software - Diagnose</v>
      </c>
      <c r="B871" s="33" t="s">
        <v>475</v>
      </c>
      <c r="C871" s="33" t="s">
        <v>492</v>
      </c>
      <c r="D871" s="427" cm="1">
        <f t="array" ref="D871">INDEX(Berekening_patiëntaantal[Percentage van patiëntaantallen in Wlz (overige is Zvw)],MATCH(B871,IF(Berekening_patiëntaantal[Doelgroep (zoeksleutel)]=C871,Berekening_patiëntaantal[Digitale zorgtoepassing]),0))</f>
        <v>0</v>
      </c>
      <c r="E871" s="33" t="str" cm="1">
        <f t="array" ref="E871">INDEX(Berekening_patiëntaantal[Direct toepasbaar/extrapolatie/incidentie voor QALY],MATCH(B871,IF(Berekening_patiëntaantal[Doelgroep (zoeksleutel)]=C871,Berekening_patiëntaantal[Digitale zorgtoepassing]),0))</f>
        <v>Extrapolatie</v>
      </c>
      <c r="F871" s="33" t="s">
        <v>813</v>
      </c>
      <c r="G871" s="33" t="str">
        <f>CONCATENATE(uitkomst_doelgroep[[#This Row],[Digitale zorgtoepassing]],"_",uitkomst_doelgroep[[#This Row],[Doelgroep]],"_",uitkomst_doelgroep[[#This Row],[Uitgangssituatie/effect beleid]])</f>
        <v>AI om diagnoses te stellen (röntgen)_Röntgenscan_Overig_Uitgangssituatie</v>
      </c>
      <c r="H871" s="33">
        <v>2027</v>
      </c>
      <c r="I871" s="32">
        <v>5</v>
      </c>
      <c r="J871" s="406" cm="1">
        <f t="array" ref="J871">INDEX(implementatie[[2023]:[2034]],MATCH(G871, implementatie[Zoeksleutel],0),I871)</f>
        <v>2.5000000000000001E-2</v>
      </c>
      <c r="K871" s="406" cm="1">
        <f t="array" ref="K871">INDEX(implementatie[[2023]:[2034]],MATCH(G871,implementatie[Zoeksleutel],0),I871 + 1)</f>
        <v>6.0343750000000002E-2</v>
      </c>
      <c r="L87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157450.35</v>
      </c>
      <c r="M871" s="398" cm="1">
        <f t="array" ref="M871">J871*INDEX(Berekening_impact[Totaal arbeidsbesparing (€/jaar)],MATCH(B871,IF(Berekening_impact[Doelgroep]=C871,Berekening_impact[Digitale zorgtoepassing]),0))</f>
        <v>39889.508267409008</v>
      </c>
      <c r="N871" s="397" cm="1">
        <f t="array" ref="N871">J871*INDEX(Berekening_impact[Totaal arbeidsbesparing (FTE/jaar)],MATCH(B871,IF(Berekening_impact[Doelgroep]=C871,Berekening_impact[Digitale zorgtoepassing]),0))</f>
        <v>0.21027023237179487</v>
      </c>
      <c r="O871" s="398" cm="1">
        <f t="array" ref="O871">J871*INDEX(Berekening_impact[Overige kostenbesparing (totaal/jaar totaal potentieel)],MATCH(B871,IF(Berekening_impact[Doelgroep]=C871,Berekening_impact[Digitale zorgtoepassing]),0))</f>
        <v>0</v>
      </c>
      <c r="P871" s="398" cm="1">
        <f t="array" ref="P871">J871*INDEX(Berekening_impact[Opbrengsten door QALY''s],MATCH(B871,IF(Berekening_impact[Doelgroep]=C871,Berekening_impact[Digitale zorgtoepassing]),0))</f>
        <v>0</v>
      </c>
      <c r="Q871" s="398" cm="1">
        <f t="array" ref="Q871">J871*INDEX(Berekening_impact[Jaarlijkse kosten (totaal) - incl. schatting],MATCH(B871,IF(Berekening_impact[Doelgroep]=C871,Berekening_impact[Digitale zorgtoepassing]),0))</f>
        <v>33899.369008803842</v>
      </c>
      <c r="R871" s="398" cm="1">
        <f t="array" ref="R871">(uitkomst_doelgroep[[#This Row],[Implementatiegraad t = T + 1]]-uitkomst_doelgroep[[#This Row],[Implementatiegraad t = T]])*INDEX(Berekening_impact[Initiële investering (totaal) - incl. schatting],MATCH(B871,IF(Berekening_impact[Doelgroep]=C871,Berekening_impact[Digitale zorgtoepassing]),0))</f>
        <v>0</v>
      </c>
      <c r="S871" s="398">
        <f>uitkomst_doelgroep[[#This Row],[Arbeidsbesparing (€)]]*uitkomst_doelgroep[[#This Row],[Percentage van patiëntaantallen in Wlz (overige is Zvw)]]</f>
        <v>0</v>
      </c>
      <c r="T871" s="398">
        <f>uitkomst_doelgroep[[#This Row],[Overige besparingen (€)]]*uitkomst_doelgroep[[#This Row],[Percentage van patiëntaantallen in Wlz (overige is Zvw)]]</f>
        <v>0</v>
      </c>
      <c r="U871" s="398">
        <f>uitkomst_doelgroep[[#This Row],[Kosten (€)]]*uitkomst_doelgroep[[#This Row],[Percentage van patiëntaantallen in Wlz (overige is Zvw)]]</f>
        <v>0</v>
      </c>
      <c r="V871" s="398">
        <f>uitkomst_doelgroep[[#This Row],[Investering (cash flow) (€)]]*uitkomst_doelgroep[[#This Row],[Percentage van patiëntaantallen in Wlz (overige is Zvw)]]</f>
        <v>0</v>
      </c>
    </row>
    <row r="872" spans="1:22" x14ac:dyDescent="0.5">
      <c r="A872" s="33" t="str">
        <f>INDEX(Technologieën[Veld],MATCH(B872,Technologieën[Digitale zorgtoepassing],0))</f>
        <v>Software - Diagnose</v>
      </c>
      <c r="B872" s="33" t="s">
        <v>475</v>
      </c>
      <c r="C872" s="33" t="s">
        <v>460</v>
      </c>
      <c r="D872" s="427" cm="1">
        <f t="array" ref="D872">INDEX(Berekening_patiëntaantal[Percentage van patiëntaantallen in Wlz (overige is Zvw)],MATCH(B872,IF(Berekening_patiëntaantal[Doelgroep (zoeksleutel)]=C872,Berekening_patiëntaantal[Digitale zorgtoepassing]),0))</f>
        <v>0</v>
      </c>
      <c r="E872" s="33" t="str" cm="1">
        <f t="array" ref="E872">INDEX(Berekening_patiëntaantal[Direct toepasbaar/extrapolatie/incidentie voor QALY],MATCH(B872,IF(Berekening_patiëntaantal[Doelgroep (zoeksleutel)]=C872,Berekening_patiëntaantal[Digitale zorgtoepassing]),0))</f>
        <v>Huidige toepassing</v>
      </c>
      <c r="F872" s="33" t="s">
        <v>813</v>
      </c>
      <c r="G872" s="33" t="str">
        <f>CONCATENATE(uitkomst_doelgroep[[#This Row],[Digitale zorgtoepassing]],"_",uitkomst_doelgroep[[#This Row],[Doelgroep]],"_",uitkomst_doelgroep[[#This Row],[Uitgangssituatie/effect beleid]])</f>
        <v>AI om diagnoses te stellen (röntgen)_Röntgenscan_Botbreuk_Uitgangssituatie</v>
      </c>
      <c r="H872" s="33">
        <v>2027</v>
      </c>
      <c r="I872" s="32">
        <v>5</v>
      </c>
      <c r="J872" s="406" cm="1">
        <f t="array" ref="J872">INDEX(implementatie[[2023]:[2034]],MATCH(G872, implementatie[Zoeksleutel],0),I872)</f>
        <v>0.64995574724807748</v>
      </c>
      <c r="K872" s="406" cm="1">
        <f t="array" ref="K872">INDEX(implementatie[[2023]:[2034]],MATCH(G872,implementatie[Zoeksleutel],0),I872 + 1)</f>
        <v>0.76108782680714737</v>
      </c>
      <c r="L87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261273.11101326568</v>
      </c>
      <c r="M872" s="398" cm="1">
        <f t="array" ref="M872">J872*INDEX(Berekening_impact[Totaal arbeidsbesparing (€/jaar)],MATCH(B872,IF(Berekening_impact[Doelgroep]=C872,Berekening_impact[Digitale zorgtoepassing]),0))</f>
        <v>66192.650075502082</v>
      </c>
      <c r="N872" s="397" cm="1">
        <f t="array" ref="N872">J872*INDEX(Berekening_impact[Totaal arbeidsbesparing (FTE/jaar)],MATCH(B872,IF(Berekening_impact[Doelgroep]=C872,Berekening_impact[Digitale zorgtoepassing]),0))</f>
        <v>0.34892242389592093</v>
      </c>
      <c r="O872" s="398" cm="1">
        <f t="array" ref="O872">J872*INDEX(Berekening_impact[Overige kostenbesparing (totaal/jaar totaal potentieel)],MATCH(B872,IF(Berekening_impact[Doelgroep]=C872,Berekening_impact[Digitale zorgtoepassing]),0))</f>
        <v>0</v>
      </c>
      <c r="P872" s="398" cm="1">
        <f t="array" ref="P872">J872*INDEX(Berekening_impact[Opbrengsten door QALY''s],MATCH(B872,IF(Berekening_impact[Doelgroep]=C872,Berekening_impact[Digitale zorgtoepassing]),0))</f>
        <v>0</v>
      </c>
      <c r="Q872" s="398" cm="1">
        <f t="array" ref="Q872">J872*INDEX(Berekening_impact[Jaarlijkse kosten (totaal) - incl. schatting],MATCH(B872,IF(Berekening_impact[Doelgroep]=C872,Berekening_impact[Digitale zorgtoepassing]),0))</f>
        <v>56252.612981278609</v>
      </c>
      <c r="R872" s="398" cm="1">
        <f t="array" ref="R872">(uitkomst_doelgroep[[#This Row],[Implementatiegraad t = T + 1]]-uitkomst_doelgroep[[#This Row],[Implementatiegraad t = T]])*INDEX(Berekening_impact[Initiële investering (totaal) - incl. schatting],MATCH(B872,IF(Berekening_impact[Doelgroep]=C872,Berekening_impact[Digitale zorgtoepassing]),0))</f>
        <v>0</v>
      </c>
      <c r="S872" s="398">
        <f>uitkomst_doelgroep[[#This Row],[Arbeidsbesparing (€)]]*uitkomst_doelgroep[[#This Row],[Percentage van patiëntaantallen in Wlz (overige is Zvw)]]</f>
        <v>0</v>
      </c>
      <c r="T872" s="398">
        <f>uitkomst_doelgroep[[#This Row],[Overige besparingen (€)]]*uitkomst_doelgroep[[#This Row],[Percentage van patiëntaantallen in Wlz (overige is Zvw)]]</f>
        <v>0</v>
      </c>
      <c r="U872" s="398">
        <f>uitkomst_doelgroep[[#This Row],[Kosten (€)]]*uitkomst_doelgroep[[#This Row],[Percentage van patiëntaantallen in Wlz (overige is Zvw)]]</f>
        <v>0</v>
      </c>
      <c r="V872" s="398">
        <f>uitkomst_doelgroep[[#This Row],[Investering (cash flow) (€)]]*uitkomst_doelgroep[[#This Row],[Percentage van patiëntaantallen in Wlz (overige is Zvw)]]</f>
        <v>0</v>
      </c>
    </row>
    <row r="873" spans="1:22" x14ac:dyDescent="0.5">
      <c r="A873" s="33" t="str">
        <f>INDEX(Technologieën[Veld],MATCH(B873,Technologieën[Digitale zorgtoepassing],0))</f>
        <v>Software - Diagnose</v>
      </c>
      <c r="B873" s="33" t="s">
        <v>475</v>
      </c>
      <c r="C873" s="33" t="s">
        <v>492</v>
      </c>
      <c r="D873" s="427" cm="1">
        <f t="array" ref="D873">INDEX(Berekening_patiëntaantal[Percentage van patiëntaantallen in Wlz (overige is Zvw)],MATCH(B873,IF(Berekening_patiëntaantal[Doelgroep (zoeksleutel)]=C873,Berekening_patiëntaantal[Digitale zorgtoepassing]),0))</f>
        <v>0</v>
      </c>
      <c r="E873" s="33" t="str" cm="1">
        <f t="array" ref="E873">INDEX(Berekening_patiëntaantal[Direct toepasbaar/extrapolatie/incidentie voor QALY],MATCH(B873,IF(Berekening_patiëntaantal[Doelgroep (zoeksleutel)]=C873,Berekening_patiëntaantal[Digitale zorgtoepassing]),0))</f>
        <v>Extrapolatie</v>
      </c>
      <c r="F873" s="33" t="s">
        <v>813</v>
      </c>
      <c r="G873" s="33" t="str">
        <f>CONCATENATE(uitkomst_doelgroep[[#This Row],[Digitale zorgtoepassing]],"_",uitkomst_doelgroep[[#This Row],[Doelgroep]],"_",uitkomst_doelgroep[[#This Row],[Uitgangssituatie/effect beleid]])</f>
        <v>AI om diagnoses te stellen (röntgen)_Röntgenscan_Overig_Uitgangssituatie</v>
      </c>
      <c r="H873" s="33">
        <v>2028</v>
      </c>
      <c r="I873" s="32">
        <v>6</v>
      </c>
      <c r="J873" s="406" cm="1">
        <f t="array" ref="J873">INDEX(implementatie[[2023]:[2034]],MATCH(G873, implementatie[Zoeksleutel],0),I873)</f>
        <v>6.0343750000000002E-2</v>
      </c>
      <c r="K873" s="406" cm="1">
        <f t="array" ref="K873">INDEX(implementatie[[2023]:[2034]],MATCH(G873,implementatie[Zoeksleutel],0),I873 + 1)</f>
        <v>0.10935122807617187</v>
      </c>
      <c r="L87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380045.7823125</v>
      </c>
      <c r="M873" s="398" cm="1">
        <f t="array" ref="M873">J873*INDEX(Berekening_impact[Totaal arbeidsbesparing (€/jaar)],MATCH(B873,IF(Berekening_impact[Doelgroep]=C873,Berekening_impact[Digitale zorgtoepassing]),0))</f>
        <v>96283.300580458483</v>
      </c>
      <c r="N873" s="397" cm="1">
        <f t="array" ref="N873">J873*INDEX(Berekening_impact[Totaal arbeidsbesparing (FTE/jaar)],MATCH(B873,IF(Berekening_impact[Doelgroep]=C873,Berekening_impact[Digitale zorgtoepassing]),0))</f>
        <v>0.50753977338741985</v>
      </c>
      <c r="O873" s="398" cm="1">
        <f t="array" ref="O873">J873*INDEX(Berekening_impact[Overige kostenbesparing (totaal/jaar totaal potentieel)],MATCH(B873,IF(Berekening_impact[Doelgroep]=C873,Berekening_impact[Digitale zorgtoepassing]),0))</f>
        <v>0</v>
      </c>
      <c r="P873" s="398" cm="1">
        <f t="array" ref="P873">J873*INDEX(Berekening_impact[Opbrengsten door QALY''s],MATCH(B873,IF(Berekening_impact[Doelgroep]=C873,Berekening_impact[Digitale zorgtoepassing]),0))</f>
        <v>0</v>
      </c>
      <c r="Q873" s="398" cm="1">
        <f t="array" ref="Q873">J873*INDEX(Berekening_impact[Jaarlijkse kosten (totaal) - incl. schatting],MATCH(B873,IF(Berekening_impact[Doelgroep]=C873,Berekening_impact[Digitale zorgtoepassing]),0))</f>
        <v>81824.601945000264</v>
      </c>
      <c r="R873" s="398" cm="1">
        <f t="array" ref="R873">(uitkomst_doelgroep[[#This Row],[Implementatiegraad t = T + 1]]-uitkomst_doelgroep[[#This Row],[Implementatiegraad t = T]])*INDEX(Berekening_impact[Initiële investering (totaal) - incl. schatting],MATCH(B873,IF(Berekening_impact[Doelgroep]=C873,Berekening_impact[Digitale zorgtoepassing]),0))</f>
        <v>0</v>
      </c>
      <c r="S873" s="398">
        <f>uitkomst_doelgroep[[#This Row],[Arbeidsbesparing (€)]]*uitkomst_doelgroep[[#This Row],[Percentage van patiëntaantallen in Wlz (overige is Zvw)]]</f>
        <v>0</v>
      </c>
      <c r="T873" s="398">
        <f>uitkomst_doelgroep[[#This Row],[Overige besparingen (€)]]*uitkomst_doelgroep[[#This Row],[Percentage van patiëntaantallen in Wlz (overige is Zvw)]]</f>
        <v>0</v>
      </c>
      <c r="U873" s="398">
        <f>uitkomst_doelgroep[[#This Row],[Kosten (€)]]*uitkomst_doelgroep[[#This Row],[Percentage van patiëntaantallen in Wlz (overige is Zvw)]]</f>
        <v>0</v>
      </c>
      <c r="V873" s="398">
        <f>uitkomst_doelgroep[[#This Row],[Investering (cash flow) (€)]]*uitkomst_doelgroep[[#This Row],[Percentage van patiëntaantallen in Wlz (overige is Zvw)]]</f>
        <v>0</v>
      </c>
    </row>
    <row r="874" spans="1:22" x14ac:dyDescent="0.5">
      <c r="A874" s="33" t="str">
        <f>INDEX(Technologieën[Veld],MATCH(B874,Technologieën[Digitale zorgtoepassing],0))</f>
        <v>Software - Diagnose</v>
      </c>
      <c r="B874" s="33" t="s">
        <v>475</v>
      </c>
      <c r="C874" s="33" t="s">
        <v>460</v>
      </c>
      <c r="D874" s="427" cm="1">
        <f t="array" ref="D874">INDEX(Berekening_patiëntaantal[Percentage van patiëntaantallen in Wlz (overige is Zvw)],MATCH(B874,IF(Berekening_patiëntaantal[Doelgroep (zoeksleutel)]=C874,Berekening_patiëntaantal[Digitale zorgtoepassing]),0))</f>
        <v>0</v>
      </c>
      <c r="E874" s="33" t="str" cm="1">
        <f t="array" ref="E874">INDEX(Berekening_patiëntaantal[Direct toepasbaar/extrapolatie/incidentie voor QALY],MATCH(B874,IF(Berekening_patiëntaantal[Doelgroep (zoeksleutel)]=C874,Berekening_patiëntaantal[Digitale zorgtoepassing]),0))</f>
        <v>Huidige toepassing</v>
      </c>
      <c r="F874" s="33" t="s">
        <v>813</v>
      </c>
      <c r="G874" s="33" t="str">
        <f>CONCATENATE(uitkomst_doelgroep[[#This Row],[Digitale zorgtoepassing]],"_",uitkomst_doelgroep[[#This Row],[Doelgroep]],"_",uitkomst_doelgroep[[#This Row],[Uitgangssituatie/effect beleid]])</f>
        <v>AI om diagnoses te stellen (röntgen)_Röntgenscan_Botbreuk_Uitgangssituatie</v>
      </c>
      <c r="H874" s="33">
        <v>2028</v>
      </c>
      <c r="I874" s="32">
        <v>6</v>
      </c>
      <c r="J874" s="406" cm="1">
        <f t="array" ref="J874">INDEX(implementatie[[2023]:[2034]],MATCH(G874, implementatie[Zoeksleutel],0),I874)</f>
        <v>0.76108782680714737</v>
      </c>
      <c r="K874" s="406" cm="1">
        <f t="array" ref="K874">INDEX(implementatie[[2023]:[2034]],MATCH(G874,implementatie[Zoeksleutel],0),I874 + 1)</f>
        <v>0.8488855471488731</v>
      </c>
      <c r="L87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305946.65114689793</v>
      </c>
      <c r="M874" s="398" cm="1">
        <f t="array" ref="M874">J874*INDEX(Berekening_impact[Totaal arbeidsbesparing (€/jaar)],MATCH(B874,IF(Berekening_impact[Doelgroep]=C874,Berekening_impact[Digitale zorgtoepassing]),0))</f>
        <v>77510.538848025943</v>
      </c>
      <c r="N874" s="397" cm="1">
        <f t="array" ref="N874">J874*INDEX(Berekening_impact[Totaal arbeidsbesparing (FTE/jaar)],MATCH(B874,IF(Berekening_impact[Doelgroep]=C874,Berekening_impact[Digitale zorgtoepassing]),0))</f>
        <v>0.40858260035643412</v>
      </c>
      <c r="O874" s="398" cm="1">
        <f t="array" ref="O874">J874*INDEX(Berekening_impact[Overige kostenbesparing (totaal/jaar totaal potentieel)],MATCH(B874,IF(Berekening_impact[Doelgroep]=C874,Berekening_impact[Digitale zorgtoepassing]),0))</f>
        <v>0</v>
      </c>
      <c r="P874" s="398" cm="1">
        <f t="array" ref="P874">J874*INDEX(Berekening_impact[Opbrengsten door QALY''s],MATCH(B874,IF(Berekening_impact[Doelgroep]=C874,Berekening_impact[Digitale zorgtoepassing]),0))</f>
        <v>0</v>
      </c>
      <c r="Q874" s="398" cm="1">
        <f t="array" ref="Q874">J874*INDEX(Berekening_impact[Jaarlijkse kosten (totaal) - incl. schatting],MATCH(B874,IF(Berekening_impact[Doelgroep]=C874,Berekening_impact[Digitale zorgtoepassing]),0))</f>
        <v>65870.913746692007</v>
      </c>
      <c r="R874" s="398" cm="1">
        <f t="array" ref="R874">(uitkomst_doelgroep[[#This Row],[Implementatiegraad t = T + 1]]-uitkomst_doelgroep[[#This Row],[Implementatiegraad t = T]])*INDEX(Berekening_impact[Initiële investering (totaal) - incl. schatting],MATCH(B874,IF(Berekening_impact[Doelgroep]=C874,Berekening_impact[Digitale zorgtoepassing]),0))</f>
        <v>0</v>
      </c>
      <c r="S874" s="398">
        <f>uitkomst_doelgroep[[#This Row],[Arbeidsbesparing (€)]]*uitkomst_doelgroep[[#This Row],[Percentage van patiëntaantallen in Wlz (overige is Zvw)]]</f>
        <v>0</v>
      </c>
      <c r="T874" s="398">
        <f>uitkomst_doelgroep[[#This Row],[Overige besparingen (€)]]*uitkomst_doelgroep[[#This Row],[Percentage van patiëntaantallen in Wlz (overige is Zvw)]]</f>
        <v>0</v>
      </c>
      <c r="U874" s="398">
        <f>uitkomst_doelgroep[[#This Row],[Kosten (€)]]*uitkomst_doelgroep[[#This Row],[Percentage van patiëntaantallen in Wlz (overige is Zvw)]]</f>
        <v>0</v>
      </c>
      <c r="V874" s="398">
        <f>uitkomst_doelgroep[[#This Row],[Investering (cash flow) (€)]]*uitkomst_doelgroep[[#This Row],[Percentage van patiëntaantallen in Wlz (overige is Zvw)]]</f>
        <v>0</v>
      </c>
    </row>
    <row r="875" spans="1:22" x14ac:dyDescent="0.5">
      <c r="A875" s="33" t="str">
        <f>INDEX(Technologieën[Veld],MATCH(B875,Technologieën[Digitale zorgtoepassing],0))</f>
        <v>Software - Diagnose</v>
      </c>
      <c r="B875" s="33" t="s">
        <v>475</v>
      </c>
      <c r="C875" s="33" t="s">
        <v>492</v>
      </c>
      <c r="D875" s="427" cm="1">
        <f t="array" ref="D875">INDEX(Berekening_patiëntaantal[Percentage van patiëntaantallen in Wlz (overige is Zvw)],MATCH(B875,IF(Berekening_patiëntaantal[Doelgroep (zoeksleutel)]=C875,Berekening_patiëntaantal[Digitale zorgtoepassing]),0))</f>
        <v>0</v>
      </c>
      <c r="E875" s="33" t="str" cm="1">
        <f t="array" ref="E875">INDEX(Berekening_patiëntaantal[Direct toepasbaar/extrapolatie/incidentie voor QALY],MATCH(B875,IF(Berekening_patiëntaantal[Doelgroep (zoeksleutel)]=C875,Berekening_patiëntaantal[Digitale zorgtoepassing]),0))</f>
        <v>Extrapolatie</v>
      </c>
      <c r="F875" s="33" t="s">
        <v>813</v>
      </c>
      <c r="G875" s="33" t="str">
        <f>CONCATENATE(uitkomst_doelgroep[[#This Row],[Digitale zorgtoepassing]],"_",uitkomst_doelgroep[[#This Row],[Doelgroep]],"_",uitkomst_doelgroep[[#This Row],[Uitgangssituatie/effect beleid]])</f>
        <v>AI om diagnoses te stellen (röntgen)_Röntgenscan_Overig_Uitgangssituatie</v>
      </c>
      <c r="H875" s="33">
        <v>2029</v>
      </c>
      <c r="I875" s="32">
        <v>7</v>
      </c>
      <c r="J875" s="406" cm="1">
        <f t="array" ref="J875">INDEX(implementatie[[2023]:[2034]],MATCH(G875, implementatie[Zoeksleutel],0),I875)</f>
        <v>0.10935122807617187</v>
      </c>
      <c r="K875" s="406" cm="1">
        <f t="array" ref="K875">INDEX(implementatie[[2023]:[2034]],MATCH(G875,implementatie[Zoeksleutel],0),I875 + 1)</f>
        <v>0.17544453902174978</v>
      </c>
      <c r="L87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688695.56534092349</v>
      </c>
      <c r="M875" s="398" cm="1">
        <f t="array" ref="M875">J875*INDEX(Berekening_impact[Totaal arbeidsbesparing (€/jaar)],MATCH(B875,IF(Berekening_impact[Doelgroep]=C875,Berekening_impact[Digitale zorgtoepassing]),0))</f>
        <v>174478.66865583142</v>
      </c>
      <c r="N875" s="397" cm="1">
        <f t="array" ref="N875">J875*INDEX(Berekening_impact[Totaal arbeidsbesparing (FTE/jaar)],MATCH(B875,IF(Berekening_impact[Doelgroep]=C875,Berekening_impact[Digitale zorgtoepassing]),0))</f>
        <v>0.91973232550871198</v>
      </c>
      <c r="O875" s="398" cm="1">
        <f t="array" ref="O875">J875*INDEX(Berekening_impact[Overige kostenbesparing (totaal/jaar totaal potentieel)],MATCH(B875,IF(Berekening_impact[Doelgroep]=C875,Berekening_impact[Digitale zorgtoepassing]),0))</f>
        <v>0</v>
      </c>
      <c r="P875" s="398" cm="1">
        <f t="array" ref="P875">J875*INDEX(Berekening_impact[Opbrengsten door QALY''s],MATCH(B875,IF(Berekening_impact[Doelgroep]=C875,Berekening_impact[Digitale zorgtoepassing]),0))</f>
        <v>0</v>
      </c>
      <c r="Q875" s="398" cm="1">
        <f t="array" ref="Q875">J875*INDEX(Berekening_impact[Jaarlijkse kosten (totaal) - incl. schatting],MATCH(B875,IF(Berekening_impact[Doelgroep]=C875,Berekening_impact[Digitale zorgtoepassing]),0))</f>
        <v>148277.50528480083</v>
      </c>
      <c r="R875" s="398" cm="1">
        <f t="array" ref="R875">(uitkomst_doelgroep[[#This Row],[Implementatiegraad t = T + 1]]-uitkomst_doelgroep[[#This Row],[Implementatiegraad t = T]])*INDEX(Berekening_impact[Initiële investering (totaal) - incl. schatting],MATCH(B875,IF(Berekening_impact[Doelgroep]=C875,Berekening_impact[Digitale zorgtoepassing]),0))</f>
        <v>0</v>
      </c>
      <c r="S875" s="398">
        <f>uitkomst_doelgroep[[#This Row],[Arbeidsbesparing (€)]]*uitkomst_doelgroep[[#This Row],[Percentage van patiëntaantallen in Wlz (overige is Zvw)]]</f>
        <v>0</v>
      </c>
      <c r="T875" s="398">
        <f>uitkomst_doelgroep[[#This Row],[Overige besparingen (€)]]*uitkomst_doelgroep[[#This Row],[Percentage van patiëntaantallen in Wlz (overige is Zvw)]]</f>
        <v>0</v>
      </c>
      <c r="U875" s="398">
        <f>uitkomst_doelgroep[[#This Row],[Kosten (€)]]*uitkomst_doelgroep[[#This Row],[Percentage van patiëntaantallen in Wlz (overige is Zvw)]]</f>
        <v>0</v>
      </c>
      <c r="V875" s="398">
        <f>uitkomst_doelgroep[[#This Row],[Investering (cash flow) (€)]]*uitkomst_doelgroep[[#This Row],[Percentage van patiëntaantallen in Wlz (overige is Zvw)]]</f>
        <v>0</v>
      </c>
    </row>
    <row r="876" spans="1:22" x14ac:dyDescent="0.5">
      <c r="A876" s="33" t="str">
        <f>INDEX(Technologieën[Veld],MATCH(B876,Technologieën[Digitale zorgtoepassing],0))</f>
        <v>Software - Diagnose</v>
      </c>
      <c r="B876" s="33" t="s">
        <v>475</v>
      </c>
      <c r="C876" s="33" t="s">
        <v>460</v>
      </c>
      <c r="D876" s="427" cm="1">
        <f t="array" ref="D876">INDEX(Berekening_patiëntaantal[Percentage van patiëntaantallen in Wlz (overige is Zvw)],MATCH(B876,IF(Berekening_patiëntaantal[Doelgroep (zoeksleutel)]=C876,Berekening_patiëntaantal[Digitale zorgtoepassing]),0))</f>
        <v>0</v>
      </c>
      <c r="E876" s="33" t="str" cm="1">
        <f t="array" ref="E876">INDEX(Berekening_patiëntaantal[Direct toepasbaar/extrapolatie/incidentie voor QALY],MATCH(B876,IF(Berekening_patiëntaantal[Doelgroep (zoeksleutel)]=C876,Berekening_patiëntaantal[Digitale zorgtoepassing]),0))</f>
        <v>Huidige toepassing</v>
      </c>
      <c r="F876" s="33" t="s">
        <v>813</v>
      </c>
      <c r="G876" s="33" t="str">
        <f>CONCATENATE(uitkomst_doelgroep[[#This Row],[Digitale zorgtoepassing]],"_",uitkomst_doelgroep[[#This Row],[Doelgroep]],"_",uitkomst_doelgroep[[#This Row],[Uitgangssituatie/effect beleid]])</f>
        <v>AI om diagnoses te stellen (röntgen)_Röntgenscan_Botbreuk_Uitgangssituatie</v>
      </c>
      <c r="H876" s="33">
        <v>2029</v>
      </c>
      <c r="I876" s="32">
        <v>7</v>
      </c>
      <c r="J876" s="406" cm="1">
        <f t="array" ref="J876">INDEX(implementatie[[2023]:[2034]],MATCH(G876, implementatie[Zoeksleutel],0),I876)</f>
        <v>0.8488855471488731</v>
      </c>
      <c r="K876" s="406" cm="1">
        <f t="array" ref="K876">INDEX(implementatie[[2023]:[2034]],MATCH(G876,implementatie[Zoeksleutel],0),I876 + 1)</f>
        <v>0.91038890221593549</v>
      </c>
      <c r="L87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341240.10555618693</v>
      </c>
      <c r="M876" s="398" cm="1">
        <f t="array" ref="M876">J876*INDEX(Berekening_impact[Totaal arbeidsbesparing (€/jaar)],MATCH(B876,IF(Berekening_impact[Doelgroep]=C876,Berekening_impact[Digitale zorgtoepassing]),0))</f>
        <v>86452.014947918724</v>
      </c>
      <c r="N876" s="397" cm="1">
        <f t="array" ref="N876">J876*INDEX(Berekening_impact[Totaal arbeidsbesparing (FTE/jaar)],MATCH(B876,IF(Berekening_impact[Doelgroep]=C876,Berekening_impact[Digitale zorgtoepassing]),0))</f>
        <v>0.45571595293294181</v>
      </c>
      <c r="O876" s="398" cm="1">
        <f t="array" ref="O876">J876*INDEX(Berekening_impact[Overige kostenbesparing (totaal/jaar totaal potentieel)],MATCH(B876,IF(Berekening_impact[Doelgroep]=C876,Berekening_impact[Digitale zorgtoepassing]),0))</f>
        <v>0</v>
      </c>
      <c r="P876" s="398" cm="1">
        <f t="array" ref="P876">J876*INDEX(Berekening_impact[Opbrengsten door QALY''s],MATCH(B876,IF(Berekening_impact[Doelgroep]=C876,Berekening_impact[Digitale zorgtoepassing]),0))</f>
        <v>0</v>
      </c>
      <c r="Q876" s="398" cm="1">
        <f t="array" ref="Q876">J876*INDEX(Berekening_impact[Jaarlijkse kosten (totaal) - incl. schatting],MATCH(B876,IF(Berekening_impact[Doelgroep]=C876,Berekening_impact[Digitale zorgtoepassing]),0))</f>
        <v>73469.66366764094</v>
      </c>
      <c r="R876" s="398" cm="1">
        <f t="array" ref="R876">(uitkomst_doelgroep[[#This Row],[Implementatiegraad t = T + 1]]-uitkomst_doelgroep[[#This Row],[Implementatiegraad t = T]])*INDEX(Berekening_impact[Initiële investering (totaal) - incl. schatting],MATCH(B876,IF(Berekening_impact[Doelgroep]=C876,Berekening_impact[Digitale zorgtoepassing]),0))</f>
        <v>0</v>
      </c>
      <c r="S876" s="398">
        <f>uitkomst_doelgroep[[#This Row],[Arbeidsbesparing (€)]]*uitkomst_doelgroep[[#This Row],[Percentage van patiëntaantallen in Wlz (overige is Zvw)]]</f>
        <v>0</v>
      </c>
      <c r="T876" s="398">
        <f>uitkomst_doelgroep[[#This Row],[Overige besparingen (€)]]*uitkomst_doelgroep[[#This Row],[Percentage van patiëntaantallen in Wlz (overige is Zvw)]]</f>
        <v>0</v>
      </c>
      <c r="U876" s="398">
        <f>uitkomst_doelgroep[[#This Row],[Kosten (€)]]*uitkomst_doelgroep[[#This Row],[Percentage van patiëntaantallen in Wlz (overige is Zvw)]]</f>
        <v>0</v>
      </c>
      <c r="V876" s="398">
        <f>uitkomst_doelgroep[[#This Row],[Investering (cash flow) (€)]]*uitkomst_doelgroep[[#This Row],[Percentage van patiëntaantallen in Wlz (overige is Zvw)]]</f>
        <v>0</v>
      </c>
    </row>
    <row r="877" spans="1:22" x14ac:dyDescent="0.5">
      <c r="A877" s="33" t="str">
        <f>INDEX(Technologieën[Veld],MATCH(B877,Technologieën[Digitale zorgtoepassing],0))</f>
        <v>Software - Diagnose</v>
      </c>
      <c r="B877" s="33" t="s">
        <v>475</v>
      </c>
      <c r="C877" s="33" t="s">
        <v>492</v>
      </c>
      <c r="D877" s="427" cm="1">
        <f t="array" ref="D877">INDEX(Berekening_patiëntaantal[Percentage van patiëntaantallen in Wlz (overige is Zvw)],MATCH(B877,IF(Berekening_patiëntaantal[Doelgroep (zoeksleutel)]=C877,Berekening_patiëntaantal[Digitale zorgtoepassing]),0))</f>
        <v>0</v>
      </c>
      <c r="E877" s="33" t="str" cm="1">
        <f t="array" ref="E877">INDEX(Berekening_patiëntaantal[Direct toepasbaar/extrapolatie/incidentie voor QALY],MATCH(B877,IF(Berekening_patiëntaantal[Doelgroep (zoeksleutel)]=C877,Berekening_patiëntaantal[Digitale zorgtoepassing]),0))</f>
        <v>Extrapolatie</v>
      </c>
      <c r="F877" s="33" t="s">
        <v>813</v>
      </c>
      <c r="G877" s="33" t="str">
        <f>CONCATENATE(uitkomst_doelgroep[[#This Row],[Digitale zorgtoepassing]],"_",uitkomst_doelgroep[[#This Row],[Doelgroep]],"_",uitkomst_doelgroep[[#This Row],[Uitgangssituatie/effect beleid]])</f>
        <v>AI om diagnoses te stellen (röntgen)_Röntgenscan_Overig_Uitgangssituatie</v>
      </c>
      <c r="H877" s="33">
        <v>2030</v>
      </c>
      <c r="I877" s="32">
        <v>8</v>
      </c>
      <c r="J877" s="406" cm="1">
        <f t="array" ref="J877">INDEX(implementatie[[2023]:[2034]],MATCH(G877, implementatie[Zoeksleutel],0),I877)</f>
        <v>0.17544453902174978</v>
      </c>
      <c r="K877" s="406" cm="1">
        <f t="array" ref="K877">INDEX(implementatie[[2023]:[2034]],MATCH(G877,implementatie[Zoeksleutel],0),I877 + 1)</f>
        <v>0.26115711428334398</v>
      </c>
      <c r="L87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1104952.1629825265</v>
      </c>
      <c r="M877" s="398" cm="1">
        <f t="array" ref="M877">J877*INDEX(Berekening_impact[Totaal arbeidsbesparing (€/jaar)],MATCH(B877,IF(Berekening_impact[Doelgroep]=C877,Berekening_impact[Digitale zorgtoepassing]),0))</f>
        <v>279935.85559119401</v>
      </c>
      <c r="N877" s="397" cm="1">
        <f t="array" ref="N877">J877*INDEX(Berekening_impact[Totaal arbeidsbesparing (FTE/jaar)],MATCH(B877,IF(Berekening_impact[Doelgroep]=C877,Berekening_impact[Digitale zorgtoepassing]),0))</f>
        <v>1.4756305595386303</v>
      </c>
      <c r="O877" s="398" cm="1">
        <f t="array" ref="O877">J877*INDEX(Berekening_impact[Overige kostenbesparing (totaal/jaar totaal potentieel)],MATCH(B877,IF(Berekening_impact[Doelgroep]=C877,Berekening_impact[Digitale zorgtoepassing]),0))</f>
        <v>0</v>
      </c>
      <c r="P877" s="398" cm="1">
        <f t="array" ref="P877">J877*INDEX(Berekening_impact[Opbrengsten door QALY''s],MATCH(B877,IF(Berekening_impact[Doelgroep]=C877,Berekening_impact[Digitale zorgtoepassing]),0))</f>
        <v>0</v>
      </c>
      <c r="Q877" s="398" cm="1">
        <f t="array" ref="Q877">J877*INDEX(Berekening_impact[Jaarlijkse kosten (totaal) - incl. schatting],MATCH(B877,IF(Berekening_impact[Doelgroep]=C877,Berekening_impact[Digitale zorgtoepassing]),0))</f>
        <v>237898.3667551112</v>
      </c>
      <c r="R877" s="398" cm="1">
        <f t="array" ref="R877">(uitkomst_doelgroep[[#This Row],[Implementatiegraad t = T + 1]]-uitkomst_doelgroep[[#This Row],[Implementatiegraad t = T]])*INDEX(Berekening_impact[Initiële investering (totaal) - incl. schatting],MATCH(B877,IF(Berekening_impact[Doelgroep]=C877,Berekening_impact[Digitale zorgtoepassing]),0))</f>
        <v>0</v>
      </c>
      <c r="S877" s="398">
        <f>uitkomst_doelgroep[[#This Row],[Arbeidsbesparing (€)]]*uitkomst_doelgroep[[#This Row],[Percentage van patiëntaantallen in Wlz (overige is Zvw)]]</f>
        <v>0</v>
      </c>
      <c r="T877" s="398">
        <f>uitkomst_doelgroep[[#This Row],[Overige besparingen (€)]]*uitkomst_doelgroep[[#This Row],[Percentage van patiëntaantallen in Wlz (overige is Zvw)]]</f>
        <v>0</v>
      </c>
      <c r="U877" s="398">
        <f>uitkomst_doelgroep[[#This Row],[Kosten (€)]]*uitkomst_doelgroep[[#This Row],[Percentage van patiëntaantallen in Wlz (overige is Zvw)]]</f>
        <v>0</v>
      </c>
      <c r="V877" s="398">
        <f>uitkomst_doelgroep[[#This Row],[Investering (cash flow) (€)]]*uitkomst_doelgroep[[#This Row],[Percentage van patiëntaantallen in Wlz (overige is Zvw)]]</f>
        <v>0</v>
      </c>
    </row>
    <row r="878" spans="1:22" x14ac:dyDescent="0.5">
      <c r="A878" s="33" t="str">
        <f>INDEX(Technologieën[Veld],MATCH(B878,Technologieën[Digitale zorgtoepassing],0))</f>
        <v>Software - Diagnose</v>
      </c>
      <c r="B878" s="33" t="s">
        <v>475</v>
      </c>
      <c r="C878" s="33" t="s">
        <v>460</v>
      </c>
      <c r="D878" s="427" cm="1">
        <f t="array" ref="D878">INDEX(Berekening_patiëntaantal[Percentage van patiëntaantallen in Wlz (overige is Zvw)],MATCH(B878,IF(Berekening_patiëntaantal[Doelgroep (zoeksleutel)]=C878,Berekening_patiëntaantal[Digitale zorgtoepassing]),0))</f>
        <v>0</v>
      </c>
      <c r="E878" s="33" t="str" cm="1">
        <f t="array" ref="E878">INDEX(Berekening_patiëntaantal[Direct toepasbaar/extrapolatie/incidentie voor QALY],MATCH(B878,IF(Berekening_patiëntaantal[Doelgroep (zoeksleutel)]=C878,Berekening_patiëntaantal[Digitale zorgtoepassing]),0))</f>
        <v>Huidige toepassing</v>
      </c>
      <c r="F878" s="33" t="s">
        <v>813</v>
      </c>
      <c r="G878" s="33" t="str">
        <f>CONCATENATE(uitkomst_doelgroep[[#This Row],[Digitale zorgtoepassing]],"_",uitkomst_doelgroep[[#This Row],[Doelgroep]],"_",uitkomst_doelgroep[[#This Row],[Uitgangssituatie/effect beleid]])</f>
        <v>AI om diagnoses te stellen (röntgen)_Röntgenscan_Botbreuk_Uitgangssituatie</v>
      </c>
      <c r="H878" s="33">
        <v>2030</v>
      </c>
      <c r="I878" s="32">
        <v>8</v>
      </c>
      <c r="J878" s="406" cm="1">
        <f t="array" ref="J878">INDEX(implementatie[[2023]:[2034]],MATCH(G878, implementatie[Zoeksleutel],0),I878)</f>
        <v>0.91038890221593549</v>
      </c>
      <c r="K878" s="406" cm="1">
        <f t="array" ref="K878">INDEX(implementatie[[2023]:[2034]],MATCH(G878,implementatie[Zoeksleutel],0),I878 + 1)</f>
        <v>0.94934060668263687</v>
      </c>
      <c r="L87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365963.59324617503</v>
      </c>
      <c r="M878" s="398" cm="1">
        <f t="array" ref="M878">J878*INDEX(Berekening_impact[Totaal arbeidsbesparing (€/jaar)],MATCH(B878,IF(Berekening_impact[Doelgroep]=C878,Berekening_impact[Digitale zorgtoepassing]),0))</f>
        <v>92715.626090154779</v>
      </c>
      <c r="N878" s="397" cm="1">
        <f t="array" ref="N878">J878*INDEX(Berekening_impact[Totaal arbeidsbesparing (FTE/jaar)],MATCH(B878,IF(Berekening_impact[Doelgroep]=C878,Berekening_impact[Digitale zorgtoepassing]),0))</f>
        <v>0.48873343115140888</v>
      </c>
      <c r="O878" s="398" cm="1">
        <f t="array" ref="O878">J878*INDEX(Berekening_impact[Overige kostenbesparing (totaal/jaar totaal potentieel)],MATCH(B878,IF(Berekening_impact[Doelgroep]=C878,Berekening_impact[Digitale zorgtoepassing]),0))</f>
        <v>0</v>
      </c>
      <c r="P878" s="398" cm="1">
        <f t="array" ref="P878">J878*INDEX(Berekening_impact[Opbrengsten door QALY''s],MATCH(B878,IF(Berekening_impact[Doelgroep]=C878,Berekening_impact[Digitale zorgtoepassing]),0))</f>
        <v>0</v>
      </c>
      <c r="Q878" s="398" cm="1">
        <f t="array" ref="Q878">J878*INDEX(Berekening_impact[Jaarlijkse kosten (totaal) - incl. schatting],MATCH(B878,IF(Berekening_impact[Doelgroep]=C878,Berekening_impact[Digitale zorgtoepassing]),0))</f>
        <v>78792.679033357985</v>
      </c>
      <c r="R878" s="398" cm="1">
        <f t="array" ref="R878">(uitkomst_doelgroep[[#This Row],[Implementatiegraad t = T + 1]]-uitkomst_doelgroep[[#This Row],[Implementatiegraad t = T]])*INDEX(Berekening_impact[Initiële investering (totaal) - incl. schatting],MATCH(B878,IF(Berekening_impact[Doelgroep]=C878,Berekening_impact[Digitale zorgtoepassing]),0))</f>
        <v>0</v>
      </c>
      <c r="S878" s="398">
        <f>uitkomst_doelgroep[[#This Row],[Arbeidsbesparing (€)]]*uitkomst_doelgroep[[#This Row],[Percentage van patiëntaantallen in Wlz (overige is Zvw)]]</f>
        <v>0</v>
      </c>
      <c r="T878" s="398">
        <f>uitkomst_doelgroep[[#This Row],[Overige besparingen (€)]]*uitkomst_doelgroep[[#This Row],[Percentage van patiëntaantallen in Wlz (overige is Zvw)]]</f>
        <v>0</v>
      </c>
      <c r="U878" s="398">
        <f>uitkomst_doelgroep[[#This Row],[Kosten (€)]]*uitkomst_doelgroep[[#This Row],[Percentage van patiëntaantallen in Wlz (overige is Zvw)]]</f>
        <v>0</v>
      </c>
      <c r="V878" s="398">
        <f>uitkomst_doelgroep[[#This Row],[Investering (cash flow) (€)]]*uitkomst_doelgroep[[#This Row],[Percentage van patiëntaantallen in Wlz (overige is Zvw)]]</f>
        <v>0</v>
      </c>
    </row>
    <row r="879" spans="1:22" x14ac:dyDescent="0.5">
      <c r="A879" s="33" t="str">
        <f>INDEX(Technologieën[Veld],MATCH(B879,Technologieën[Digitale zorgtoepassing],0))</f>
        <v>Software - Diagnose</v>
      </c>
      <c r="B879" s="33" t="s">
        <v>475</v>
      </c>
      <c r="C879" s="33" t="s">
        <v>492</v>
      </c>
      <c r="D879" s="427" cm="1">
        <f t="array" ref="D879">INDEX(Berekening_patiëntaantal[Percentage van patiëntaantallen in Wlz (overige is Zvw)],MATCH(B879,IF(Berekening_patiëntaantal[Doelgroep (zoeksleutel)]=C879,Berekening_patiëntaantal[Digitale zorgtoepassing]),0))</f>
        <v>0</v>
      </c>
      <c r="E879" s="33" t="str" cm="1">
        <f t="array" ref="E879">INDEX(Berekening_patiëntaantal[Direct toepasbaar/extrapolatie/incidentie voor QALY],MATCH(B879,IF(Berekening_patiëntaantal[Doelgroep (zoeksleutel)]=C879,Berekening_patiëntaantal[Digitale zorgtoepassing]),0))</f>
        <v>Extrapolatie</v>
      </c>
      <c r="F879" s="33" t="s">
        <v>813</v>
      </c>
      <c r="G879" s="33" t="str">
        <f>CONCATENATE(uitkomst_doelgroep[[#This Row],[Digitale zorgtoepassing]],"_",uitkomst_doelgroep[[#This Row],[Doelgroep]],"_",uitkomst_doelgroep[[#This Row],[Uitgangssituatie/effect beleid]])</f>
        <v>AI om diagnoses te stellen (röntgen)_Röntgenscan_Overig_Uitgangssituatie</v>
      </c>
      <c r="H879" s="33">
        <v>2031</v>
      </c>
      <c r="I879" s="32">
        <v>9</v>
      </c>
      <c r="J879" s="406" cm="1">
        <f t="array" ref="J879">INDEX(implementatie[[2023]:[2034]],MATCH(G879, implementatie[Zoeksleutel],0),I879)</f>
        <v>0.26115711428334398</v>
      </c>
      <c r="K879" s="406" cm="1">
        <f t="array" ref="K879">INDEX(implementatie[[2023]:[2034]],MATCH(G879,implementatie[Zoeksleutel],0),I879 + 1)</f>
        <v>0.36645752060040354</v>
      </c>
      <c r="L87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1644771.1619561003</v>
      </c>
      <c r="M879" s="398" cm="1">
        <f t="array" ref="M879">J879*INDEX(Berekening_impact[Totaal arbeidsbesparing (€/jaar)],MATCH(B879,IF(Berekening_impact[Doelgroep]=C879,Berekening_impact[Digitale zorgtoepassing]),0))</f>
        <v>416697.15477192512</v>
      </c>
      <c r="N879" s="397" cm="1">
        <f t="array" ref="N879">J879*INDEX(Berekening_impact[Totaal arbeidsbesparing (FTE/jaar)],MATCH(B879,IF(Berekening_impact[Doelgroep]=C879,Berekening_impact[Digitale zorgtoepassing]),0))</f>
        <v>2.196542684236245</v>
      </c>
      <c r="O879" s="398" cm="1">
        <f t="array" ref="O879">J879*INDEX(Berekening_impact[Overige kostenbesparing (totaal/jaar totaal potentieel)],MATCH(B879,IF(Berekening_impact[Doelgroep]=C879,Berekening_impact[Digitale zorgtoepassing]),0))</f>
        <v>0</v>
      </c>
      <c r="P879" s="398" cm="1">
        <f t="array" ref="P879">J879*INDEX(Berekening_impact[Opbrengsten door QALY''s],MATCH(B879,IF(Berekening_impact[Doelgroep]=C879,Berekening_impact[Digitale zorgtoepassing]),0))</f>
        <v>0</v>
      </c>
      <c r="Q879" s="398" cm="1">
        <f t="array" ref="Q879">J879*INDEX(Berekening_impact[Jaarlijkse kosten (totaal) - incl. schatting],MATCH(B879,IF(Berekening_impact[Doelgroep]=C879,Berekening_impact[Digitale zorgtoepassing]),0))</f>
        <v>354122.45545461733</v>
      </c>
      <c r="R879" s="398" cm="1">
        <f t="array" ref="R879">(uitkomst_doelgroep[[#This Row],[Implementatiegraad t = T + 1]]-uitkomst_doelgroep[[#This Row],[Implementatiegraad t = T]])*INDEX(Berekening_impact[Initiële investering (totaal) - incl. schatting],MATCH(B879,IF(Berekening_impact[Doelgroep]=C879,Berekening_impact[Digitale zorgtoepassing]),0))</f>
        <v>0</v>
      </c>
      <c r="S879" s="398">
        <f>uitkomst_doelgroep[[#This Row],[Arbeidsbesparing (€)]]*uitkomst_doelgroep[[#This Row],[Percentage van patiëntaantallen in Wlz (overige is Zvw)]]</f>
        <v>0</v>
      </c>
      <c r="T879" s="398">
        <f>uitkomst_doelgroep[[#This Row],[Overige besparingen (€)]]*uitkomst_doelgroep[[#This Row],[Percentage van patiëntaantallen in Wlz (overige is Zvw)]]</f>
        <v>0</v>
      </c>
      <c r="U879" s="398">
        <f>uitkomst_doelgroep[[#This Row],[Kosten (€)]]*uitkomst_doelgroep[[#This Row],[Percentage van patiëntaantallen in Wlz (overige is Zvw)]]</f>
        <v>0</v>
      </c>
      <c r="V879" s="398">
        <f>uitkomst_doelgroep[[#This Row],[Investering (cash flow) (€)]]*uitkomst_doelgroep[[#This Row],[Percentage van patiëntaantallen in Wlz (overige is Zvw)]]</f>
        <v>0</v>
      </c>
    </row>
    <row r="880" spans="1:22" x14ac:dyDescent="0.5">
      <c r="A880" s="33" t="str">
        <f>INDEX(Technologieën[Veld],MATCH(B880,Technologieën[Digitale zorgtoepassing],0))</f>
        <v>Software - Diagnose</v>
      </c>
      <c r="B880" s="33" t="s">
        <v>475</v>
      </c>
      <c r="C880" s="33" t="s">
        <v>460</v>
      </c>
      <c r="D880" s="427" cm="1">
        <f t="array" ref="D880">INDEX(Berekening_patiëntaantal[Percentage van patiëntaantallen in Wlz (overige is Zvw)],MATCH(B880,IF(Berekening_patiëntaantal[Doelgroep (zoeksleutel)]=C880,Berekening_patiëntaantal[Digitale zorgtoepassing]),0))</f>
        <v>0</v>
      </c>
      <c r="E880" s="33" t="str" cm="1">
        <f t="array" ref="E880">INDEX(Berekening_patiëntaantal[Direct toepasbaar/extrapolatie/incidentie voor QALY],MATCH(B880,IF(Berekening_patiëntaantal[Doelgroep (zoeksleutel)]=C880,Berekening_patiëntaantal[Digitale zorgtoepassing]),0))</f>
        <v>Huidige toepassing</v>
      </c>
      <c r="F880" s="33" t="s">
        <v>813</v>
      </c>
      <c r="G880" s="33" t="str">
        <f>CONCATENATE(uitkomst_doelgroep[[#This Row],[Digitale zorgtoepassing]],"_",uitkomst_doelgroep[[#This Row],[Doelgroep]],"_",uitkomst_doelgroep[[#This Row],[Uitgangssituatie/effect beleid]])</f>
        <v>AI om diagnoses te stellen (röntgen)_Röntgenscan_Botbreuk_Uitgangssituatie</v>
      </c>
      <c r="H880" s="33">
        <v>2031</v>
      </c>
      <c r="I880" s="32">
        <v>9</v>
      </c>
      <c r="J880" s="406" cm="1">
        <f t="array" ref="J880">INDEX(implementatie[[2023]:[2034]],MATCH(G880, implementatie[Zoeksleutel],0),I880)</f>
        <v>0.94934060668263687</v>
      </c>
      <c r="K880" s="406" cm="1">
        <f t="array" ref="K880">INDEX(implementatie[[2023]:[2034]],MATCH(G880,implementatie[Zoeksleutel],0),I880 + 1)</f>
        <v>0.9722489501493069</v>
      </c>
      <c r="L88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381621.63311792648</v>
      </c>
      <c r="M880" s="398" cm="1">
        <f t="array" ref="M880">J880*INDEX(Berekening_impact[Totaal arbeidsbesparing (€/jaar)],MATCH(B880,IF(Berekening_impact[Doelgroep]=C880,Berekening_impact[Digitale zorgtoepassing]),0))</f>
        <v>96682.536998359472</v>
      </c>
      <c r="N880" s="397" cm="1">
        <f t="array" ref="N880">J880*INDEX(Berekening_impact[Totaal arbeidsbesparing (FTE/jaar)],MATCH(B880,IF(Berekening_impact[Doelgroep]=C880,Berekening_impact[Digitale zorgtoepassing]),0))</f>
        <v>0.50964427499723075</v>
      </c>
      <c r="O880" s="398" cm="1">
        <f t="array" ref="O880">J880*INDEX(Berekening_impact[Overige kostenbesparing (totaal/jaar totaal potentieel)],MATCH(B880,IF(Berekening_impact[Doelgroep]=C880,Berekening_impact[Digitale zorgtoepassing]),0))</f>
        <v>0</v>
      </c>
      <c r="P880" s="398" cm="1">
        <f t="array" ref="P880">J880*INDEX(Berekening_impact[Opbrengsten door QALY''s],MATCH(B880,IF(Berekening_impact[Doelgroep]=C880,Berekening_impact[Digitale zorgtoepassing]),0))</f>
        <v>0</v>
      </c>
      <c r="Q880" s="398" cm="1">
        <f t="array" ref="Q880">J880*INDEX(Berekening_impact[Jaarlijkse kosten (totaal) - incl. schatting],MATCH(B880,IF(Berekening_impact[Doelgroep]=C880,Berekening_impact[Digitale zorgtoepassing]),0))</f>
        <v>82163.885712587755</v>
      </c>
      <c r="R880" s="398" cm="1">
        <f t="array" ref="R880">(uitkomst_doelgroep[[#This Row],[Implementatiegraad t = T + 1]]-uitkomst_doelgroep[[#This Row],[Implementatiegraad t = T]])*INDEX(Berekening_impact[Initiële investering (totaal) - incl. schatting],MATCH(B880,IF(Berekening_impact[Doelgroep]=C880,Berekening_impact[Digitale zorgtoepassing]),0))</f>
        <v>0</v>
      </c>
      <c r="S880" s="398">
        <f>uitkomst_doelgroep[[#This Row],[Arbeidsbesparing (€)]]*uitkomst_doelgroep[[#This Row],[Percentage van patiëntaantallen in Wlz (overige is Zvw)]]</f>
        <v>0</v>
      </c>
      <c r="T880" s="398">
        <f>uitkomst_doelgroep[[#This Row],[Overige besparingen (€)]]*uitkomst_doelgroep[[#This Row],[Percentage van patiëntaantallen in Wlz (overige is Zvw)]]</f>
        <v>0</v>
      </c>
      <c r="U880" s="398">
        <f>uitkomst_doelgroep[[#This Row],[Kosten (€)]]*uitkomst_doelgroep[[#This Row],[Percentage van patiëntaantallen in Wlz (overige is Zvw)]]</f>
        <v>0</v>
      </c>
      <c r="V880" s="398">
        <f>uitkomst_doelgroep[[#This Row],[Investering (cash flow) (€)]]*uitkomst_doelgroep[[#This Row],[Percentage van patiëntaantallen in Wlz (overige is Zvw)]]</f>
        <v>0</v>
      </c>
    </row>
    <row r="881" spans="1:22" x14ac:dyDescent="0.5">
      <c r="A881" s="33" t="str">
        <f>INDEX(Technologieën[Veld],MATCH(B881,Technologieën[Digitale zorgtoepassing],0))</f>
        <v>Software - Diagnose</v>
      </c>
      <c r="B881" s="33" t="s">
        <v>475</v>
      </c>
      <c r="C881" s="33" t="s">
        <v>492</v>
      </c>
      <c r="D881" s="427" cm="1">
        <f t="array" ref="D881">INDEX(Berekening_patiëntaantal[Percentage van patiëntaantallen in Wlz (overige is Zvw)],MATCH(B881,IF(Berekening_patiëntaantal[Doelgroep (zoeksleutel)]=C881,Berekening_patiëntaantal[Digitale zorgtoepassing]),0))</f>
        <v>0</v>
      </c>
      <c r="E881" s="33" t="str" cm="1">
        <f t="array" ref="E881">INDEX(Berekening_patiëntaantal[Direct toepasbaar/extrapolatie/incidentie voor QALY],MATCH(B881,IF(Berekening_patiëntaantal[Doelgroep (zoeksleutel)]=C881,Berekening_patiëntaantal[Digitale zorgtoepassing]),0))</f>
        <v>Extrapolatie</v>
      </c>
      <c r="F881" s="33" t="s">
        <v>813</v>
      </c>
      <c r="G881" s="33" t="str">
        <f>CONCATENATE(uitkomst_doelgroep[[#This Row],[Digitale zorgtoepassing]],"_",uitkomst_doelgroep[[#This Row],[Doelgroep]],"_",uitkomst_doelgroep[[#This Row],[Uitgangssituatie/effect beleid]])</f>
        <v>AI om diagnoses te stellen (röntgen)_Röntgenscan_Overig_Uitgangssituatie</v>
      </c>
      <c r="H881" s="33">
        <v>2032</v>
      </c>
      <c r="I881" s="32">
        <v>10</v>
      </c>
      <c r="J881" s="406" cm="1">
        <f t="array" ref="J881">INDEX(implementatie[[2023]:[2034]],MATCH(G881, implementatie[Zoeksleutel],0),I881)</f>
        <v>0.36645752060040354</v>
      </c>
      <c r="K881" s="406" cm="1">
        <f t="array" ref="K881">INDEX(implementatie[[2023]:[2034]],MATCH(G881,implementatie[Zoeksleutel],0),I881 + 1)</f>
        <v>0.48677096537350723</v>
      </c>
      <c r="L88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2307954.59514663</v>
      </c>
      <c r="M881" s="398" cm="1">
        <f t="array" ref="M881">J881*INDEX(Berekening_impact[Totaal arbeidsbesparing (€/jaar)],MATCH(B881,IF(Berekening_impact[Doelgroep]=C881,Berekening_impact[Digitale zorgtoepassing]),0))</f>
        <v>584712.41190576006</v>
      </c>
      <c r="N881" s="397" cm="1">
        <f t="array" ref="N881">J881*INDEX(Berekening_impact[Totaal arbeidsbesparing (FTE/jaar)],MATCH(B881,IF(Berekening_impact[Doelgroep]=C881,Berekening_impact[Digitale zorgtoepassing]),0))</f>
        <v>3.0822043204415466</v>
      </c>
      <c r="O881" s="398" cm="1">
        <f t="array" ref="O881">J881*INDEX(Berekening_impact[Overige kostenbesparing (totaal/jaar totaal potentieel)],MATCH(B881,IF(Berekening_impact[Doelgroep]=C881,Berekening_impact[Digitale zorgtoepassing]),0))</f>
        <v>0</v>
      </c>
      <c r="P881" s="398" cm="1">
        <f t="array" ref="P881">J881*INDEX(Berekening_impact[Opbrengsten door QALY''s],MATCH(B881,IF(Berekening_impact[Doelgroep]=C881,Berekening_impact[Digitale zorgtoepassing]),0))</f>
        <v>0</v>
      </c>
      <c r="Q881" s="398" cm="1">
        <f t="array" ref="Q881">J881*INDEX(Berekening_impact[Jaarlijkse kosten (totaal) - incl. schatting],MATCH(B881,IF(Berekening_impact[Doelgroep]=C881,Berekening_impact[Digitale zorgtoepassing]),0))</f>
        <v>496907.14867537655</v>
      </c>
      <c r="R881" s="398" cm="1">
        <f t="array" ref="R881">(uitkomst_doelgroep[[#This Row],[Implementatiegraad t = T + 1]]-uitkomst_doelgroep[[#This Row],[Implementatiegraad t = T]])*INDEX(Berekening_impact[Initiële investering (totaal) - incl. schatting],MATCH(B881,IF(Berekening_impact[Doelgroep]=C881,Berekening_impact[Digitale zorgtoepassing]),0))</f>
        <v>0</v>
      </c>
      <c r="S881" s="398">
        <f>uitkomst_doelgroep[[#This Row],[Arbeidsbesparing (€)]]*uitkomst_doelgroep[[#This Row],[Percentage van patiëntaantallen in Wlz (overige is Zvw)]]</f>
        <v>0</v>
      </c>
      <c r="T881" s="398">
        <f>uitkomst_doelgroep[[#This Row],[Overige besparingen (€)]]*uitkomst_doelgroep[[#This Row],[Percentage van patiëntaantallen in Wlz (overige is Zvw)]]</f>
        <v>0</v>
      </c>
      <c r="U881" s="398">
        <f>uitkomst_doelgroep[[#This Row],[Kosten (€)]]*uitkomst_doelgroep[[#This Row],[Percentage van patiëntaantallen in Wlz (overige is Zvw)]]</f>
        <v>0</v>
      </c>
      <c r="V881" s="398">
        <f>uitkomst_doelgroep[[#This Row],[Investering (cash flow) (€)]]*uitkomst_doelgroep[[#This Row],[Percentage van patiëntaantallen in Wlz (overige is Zvw)]]</f>
        <v>0</v>
      </c>
    </row>
    <row r="882" spans="1:22" x14ac:dyDescent="0.5">
      <c r="A882" s="33" t="str">
        <f>INDEX(Technologieën[Veld],MATCH(B882,Technologieën[Digitale zorgtoepassing],0))</f>
        <v>Software - Diagnose</v>
      </c>
      <c r="B882" s="33" t="s">
        <v>475</v>
      </c>
      <c r="C882" s="33" t="s">
        <v>460</v>
      </c>
      <c r="D882" s="427" cm="1">
        <f t="array" ref="D882">INDEX(Berekening_patiëntaantal[Percentage van patiëntaantallen in Wlz (overige is Zvw)],MATCH(B882,IF(Berekening_patiëntaantal[Doelgroep (zoeksleutel)]=C882,Berekening_patiëntaantal[Digitale zorgtoepassing]),0))</f>
        <v>0</v>
      </c>
      <c r="E882" s="33" t="str" cm="1">
        <f t="array" ref="E882">INDEX(Berekening_patiëntaantal[Direct toepasbaar/extrapolatie/incidentie voor QALY],MATCH(B882,IF(Berekening_patiëntaantal[Doelgroep (zoeksleutel)]=C882,Berekening_patiëntaantal[Digitale zorgtoepassing]),0))</f>
        <v>Huidige toepassing</v>
      </c>
      <c r="F882" s="33" t="s">
        <v>813</v>
      </c>
      <c r="G882" s="33" t="str">
        <f>CONCATENATE(uitkomst_doelgroep[[#This Row],[Digitale zorgtoepassing]],"_",uitkomst_doelgroep[[#This Row],[Doelgroep]],"_",uitkomst_doelgroep[[#This Row],[Uitgangssituatie/effect beleid]])</f>
        <v>AI om diagnoses te stellen (röntgen)_Röntgenscan_Botbreuk_Uitgangssituatie</v>
      </c>
      <c r="H882" s="33">
        <v>2032</v>
      </c>
      <c r="I882" s="32">
        <v>10</v>
      </c>
      <c r="J882" s="406" cm="1">
        <f t="array" ref="J882">INDEX(implementatie[[2023]:[2034]],MATCH(G882, implementatie[Zoeksleutel],0),I882)</f>
        <v>0.9722489501493069</v>
      </c>
      <c r="K882" s="406" cm="1">
        <f t="array" ref="K882">INDEX(implementatie[[2023]:[2034]],MATCH(G882,implementatie[Zoeksleutel],0),I882 + 1)</f>
        <v>0.98508414448286907</v>
      </c>
      <c r="L88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390830.46647471929</v>
      </c>
      <c r="M882" s="398" cm="1">
        <f t="array" ref="M882">J882*INDEX(Berekening_impact[Totaal arbeidsbesparing (€/jaar)],MATCH(B882,IF(Berekening_impact[Doelgroep]=C882,Berekening_impact[Digitale zorgtoepassing]),0))</f>
        <v>99015.563468729204</v>
      </c>
      <c r="N882" s="397" cm="1">
        <f t="array" ref="N882">J882*INDEX(Berekening_impact[Totaal arbeidsbesparing (FTE/jaar)],MATCH(B882,IF(Berekening_impact[Doelgroep]=C882,Berekening_impact[Digitale zorgtoepassing]),0))</f>
        <v>0.52194239646730667</v>
      </c>
      <c r="O882" s="398" cm="1">
        <f t="array" ref="O882">J882*INDEX(Berekening_impact[Overige kostenbesparing (totaal/jaar totaal potentieel)],MATCH(B882,IF(Berekening_impact[Doelgroep]=C882,Berekening_impact[Digitale zorgtoepassing]),0))</f>
        <v>0</v>
      </c>
      <c r="P882" s="398" cm="1">
        <f t="array" ref="P882">J882*INDEX(Berekening_impact[Opbrengsten door QALY''s],MATCH(B882,IF(Berekening_impact[Doelgroep]=C882,Berekening_impact[Digitale zorgtoepassing]),0))</f>
        <v>0</v>
      </c>
      <c r="Q882" s="398" cm="1">
        <f t="array" ref="Q882">J882*INDEX(Berekening_impact[Jaarlijkse kosten (totaal) - incl. schatting],MATCH(B882,IF(Berekening_impact[Doelgroep]=C882,Berekening_impact[Digitale zorgtoepassing]),0))</f>
        <v>84146.565586608369</v>
      </c>
      <c r="R882" s="398" cm="1">
        <f t="array" ref="R882">(uitkomst_doelgroep[[#This Row],[Implementatiegraad t = T + 1]]-uitkomst_doelgroep[[#This Row],[Implementatiegraad t = T]])*INDEX(Berekening_impact[Initiële investering (totaal) - incl. schatting],MATCH(B882,IF(Berekening_impact[Doelgroep]=C882,Berekening_impact[Digitale zorgtoepassing]),0))</f>
        <v>0</v>
      </c>
      <c r="S882" s="398">
        <f>uitkomst_doelgroep[[#This Row],[Arbeidsbesparing (€)]]*uitkomst_doelgroep[[#This Row],[Percentage van patiëntaantallen in Wlz (overige is Zvw)]]</f>
        <v>0</v>
      </c>
      <c r="T882" s="398">
        <f>uitkomst_doelgroep[[#This Row],[Overige besparingen (€)]]*uitkomst_doelgroep[[#This Row],[Percentage van patiëntaantallen in Wlz (overige is Zvw)]]</f>
        <v>0</v>
      </c>
      <c r="U882" s="398">
        <f>uitkomst_doelgroep[[#This Row],[Kosten (€)]]*uitkomst_doelgroep[[#This Row],[Percentage van patiëntaantallen in Wlz (overige is Zvw)]]</f>
        <v>0</v>
      </c>
      <c r="V882" s="398">
        <f>uitkomst_doelgroep[[#This Row],[Investering (cash flow) (€)]]*uitkomst_doelgroep[[#This Row],[Percentage van patiëntaantallen in Wlz (overige is Zvw)]]</f>
        <v>0</v>
      </c>
    </row>
    <row r="883" spans="1:22" x14ac:dyDescent="0.5">
      <c r="A883" s="33" t="str">
        <f>INDEX(Technologieën[Veld],MATCH(B883,Technologieën[Digitale zorgtoepassing],0))</f>
        <v>Software - Diagnose</v>
      </c>
      <c r="B883" s="33" t="s">
        <v>475</v>
      </c>
      <c r="C883" s="33" t="s">
        <v>492</v>
      </c>
      <c r="D883" s="427" cm="1">
        <f t="array" ref="D883">INDEX(Berekening_patiëntaantal[Percentage van patiëntaantallen in Wlz (overige is Zvw)],MATCH(B883,IF(Berekening_patiëntaantal[Doelgroep (zoeksleutel)]=C883,Berekening_patiëntaantal[Digitale zorgtoepassing]),0))</f>
        <v>0</v>
      </c>
      <c r="E883" s="33" t="str" cm="1">
        <f t="array" ref="E883">INDEX(Berekening_patiëntaantal[Direct toepasbaar/extrapolatie/incidentie voor QALY],MATCH(B883,IF(Berekening_patiëntaantal[Doelgroep (zoeksleutel)]=C883,Berekening_patiëntaantal[Digitale zorgtoepassing]),0))</f>
        <v>Extrapolatie</v>
      </c>
      <c r="F883" s="33" t="s">
        <v>813</v>
      </c>
      <c r="G883" s="33" t="str">
        <f>CONCATENATE(uitkomst_doelgroep[[#This Row],[Digitale zorgtoepassing]],"_",uitkomst_doelgroep[[#This Row],[Doelgroep]],"_",uitkomst_doelgroep[[#This Row],[Uitgangssituatie/effect beleid]])</f>
        <v>AI om diagnoses te stellen (röntgen)_Röntgenscan_Overig_Uitgangssituatie</v>
      </c>
      <c r="H883" s="33">
        <v>2033</v>
      </c>
      <c r="I883" s="32">
        <v>11</v>
      </c>
      <c r="J883" s="406" cm="1">
        <f t="array" ref="J883">INDEX(implementatie[[2023]:[2034]],MATCH(G883, implementatie[Zoeksleutel],0),I883)</f>
        <v>0.48677096537350723</v>
      </c>
      <c r="K883" s="406" cm="1">
        <f t="array" ref="K883">INDEX(implementatie[[2023]:[2034]],MATCH(G883,implementatie[Zoeksleutel],0),I883 + 1)</f>
        <v>0.61202293792845253</v>
      </c>
      <c r="L88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3065690.3547158637</v>
      </c>
      <c r="M883" s="398" cm="1">
        <f t="array" ref="M883">J883*INDEX(Berekening_impact[Totaal arbeidsbesparing (€/jaar)],MATCH(B883,IF(Berekening_impact[Doelgroep]=C883,Berekening_impact[Digitale zorgtoepassing]),0))</f>
        <v>776682.17790404719</v>
      </c>
      <c r="N883" s="397" cm="1">
        <f t="array" ref="N883">J883*INDEX(Berekening_impact[Totaal arbeidsbesparing (FTE/jaar)],MATCH(B883,IF(Berekening_impact[Doelgroep]=C883,Berekening_impact[Digitale zorgtoepassing]),0))</f>
        <v>4.0941377600372109</v>
      </c>
      <c r="O883" s="398" cm="1">
        <f t="array" ref="O883">J883*INDEX(Berekening_impact[Overige kostenbesparing (totaal/jaar totaal potentieel)],MATCH(B883,IF(Berekening_impact[Doelgroep]=C883,Berekening_impact[Digitale zorgtoepassing]),0))</f>
        <v>0</v>
      </c>
      <c r="P883" s="398" cm="1">
        <f t="array" ref="P883">J883*INDEX(Berekening_impact[Opbrengsten door QALY''s],MATCH(B883,IF(Berekening_impact[Doelgroep]=C883,Berekening_impact[Digitale zorgtoepassing]),0))</f>
        <v>0</v>
      </c>
      <c r="Q883" s="398" cm="1">
        <f t="array" ref="Q883">J883*INDEX(Berekening_impact[Jaarlijkse kosten (totaal) - incl. schatting],MATCH(B883,IF(Berekening_impact[Doelgroep]=C883,Berekening_impact[Digitale zorgtoepassing]),0))</f>
        <v>660049.14311872795</v>
      </c>
      <c r="R883" s="398" cm="1">
        <f t="array" ref="R883">(uitkomst_doelgroep[[#This Row],[Implementatiegraad t = T + 1]]-uitkomst_doelgroep[[#This Row],[Implementatiegraad t = T]])*INDEX(Berekening_impact[Initiële investering (totaal) - incl. schatting],MATCH(B883,IF(Berekening_impact[Doelgroep]=C883,Berekening_impact[Digitale zorgtoepassing]),0))</f>
        <v>0</v>
      </c>
      <c r="S883" s="398">
        <f>uitkomst_doelgroep[[#This Row],[Arbeidsbesparing (€)]]*uitkomst_doelgroep[[#This Row],[Percentage van patiëntaantallen in Wlz (overige is Zvw)]]</f>
        <v>0</v>
      </c>
      <c r="T883" s="398">
        <f>uitkomst_doelgroep[[#This Row],[Overige besparingen (€)]]*uitkomst_doelgroep[[#This Row],[Percentage van patiëntaantallen in Wlz (overige is Zvw)]]</f>
        <v>0</v>
      </c>
      <c r="U883" s="398">
        <f>uitkomst_doelgroep[[#This Row],[Kosten (€)]]*uitkomst_doelgroep[[#This Row],[Percentage van patiëntaantallen in Wlz (overige is Zvw)]]</f>
        <v>0</v>
      </c>
      <c r="V883" s="398">
        <f>uitkomst_doelgroep[[#This Row],[Investering (cash flow) (€)]]*uitkomst_doelgroep[[#This Row],[Percentage van patiëntaantallen in Wlz (overige is Zvw)]]</f>
        <v>0</v>
      </c>
    </row>
    <row r="884" spans="1:22" x14ac:dyDescent="0.5">
      <c r="A884" s="33" t="str">
        <f>INDEX(Technologieën[Veld],MATCH(B884,Technologieën[Digitale zorgtoepassing],0))</f>
        <v>Software - Diagnose</v>
      </c>
      <c r="B884" s="33" t="s">
        <v>475</v>
      </c>
      <c r="C884" s="33" t="s">
        <v>460</v>
      </c>
      <c r="D884" s="427" cm="1">
        <f t="array" ref="D884">INDEX(Berekening_patiëntaantal[Percentage van patiëntaantallen in Wlz (overige is Zvw)],MATCH(B884,IF(Berekening_patiëntaantal[Doelgroep (zoeksleutel)]=C884,Berekening_patiëntaantal[Digitale zorgtoepassing]),0))</f>
        <v>0</v>
      </c>
      <c r="E884" s="33" t="str" cm="1">
        <f t="array" ref="E884">INDEX(Berekening_patiëntaantal[Direct toepasbaar/extrapolatie/incidentie voor QALY],MATCH(B884,IF(Berekening_patiëntaantal[Doelgroep (zoeksleutel)]=C884,Berekening_patiëntaantal[Digitale zorgtoepassing]),0))</f>
        <v>Huidige toepassing</v>
      </c>
      <c r="F884" s="33" t="s">
        <v>813</v>
      </c>
      <c r="G884" s="33" t="str">
        <f>CONCATENATE(uitkomst_doelgroep[[#This Row],[Digitale zorgtoepassing]],"_",uitkomst_doelgroep[[#This Row],[Doelgroep]],"_",uitkomst_doelgroep[[#This Row],[Uitgangssituatie/effect beleid]])</f>
        <v>AI om diagnoses te stellen (röntgen)_Röntgenscan_Botbreuk_Uitgangssituatie</v>
      </c>
      <c r="H884" s="33">
        <v>2033</v>
      </c>
      <c r="I884" s="32">
        <v>11</v>
      </c>
      <c r="J884" s="406" cm="1">
        <f t="array" ref="J884">INDEX(implementatie[[2023]:[2034]],MATCH(G884, implementatie[Zoeksleutel],0),I884)</f>
        <v>0.98508414448286907</v>
      </c>
      <c r="K884" s="406" cm="1">
        <f t="array" ref="K884">INDEX(implementatie[[2023]:[2034]],MATCH(G884,implementatie[Zoeksleutel],0),I884 + 1)</f>
        <v>0.99206905861789263</v>
      </c>
      <c r="L88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395990.03490409063</v>
      </c>
      <c r="M884" s="398" cm="1">
        <f t="array" ref="M884">J884*INDEX(Berekening_impact[Totaal arbeidsbesparing (€/jaar)],MATCH(B884,IF(Berekening_impact[Doelgroep]=C884,Berekening_impact[Digitale zorgtoepassing]),0))</f>
        <v>100322.72250343233</v>
      </c>
      <c r="N884" s="397" cm="1">
        <f t="array" ref="N884">J884*INDEX(Berekening_impact[Totaal arbeidsbesparing (FTE/jaar)],MATCH(B884,IF(Berekening_impact[Doelgroep]=C884,Berekening_impact[Digitale zorgtoepassing]),0))</f>
        <v>0.52883284575866785</v>
      </c>
      <c r="O884" s="398" cm="1">
        <f t="array" ref="O884">J884*INDEX(Berekening_impact[Overige kostenbesparing (totaal/jaar totaal potentieel)],MATCH(B884,IF(Berekening_impact[Doelgroep]=C884,Berekening_impact[Digitale zorgtoepassing]),0))</f>
        <v>0</v>
      </c>
      <c r="P884" s="398" cm="1">
        <f t="array" ref="P884">J884*INDEX(Berekening_impact[Opbrengsten door QALY''s],MATCH(B884,IF(Berekening_impact[Doelgroep]=C884,Berekening_impact[Digitale zorgtoepassing]),0))</f>
        <v>0</v>
      </c>
      <c r="Q884" s="398" cm="1">
        <f t="array" ref="Q884">J884*INDEX(Berekening_impact[Jaarlijkse kosten (totaal) - incl. schatting],MATCH(B884,IF(Berekening_impact[Doelgroep]=C884,Berekening_impact[Digitale zorgtoepassing]),0))</f>
        <v>85257.430783881238</v>
      </c>
      <c r="R884" s="398" cm="1">
        <f t="array" ref="R884">(uitkomst_doelgroep[[#This Row],[Implementatiegraad t = T + 1]]-uitkomst_doelgroep[[#This Row],[Implementatiegraad t = T]])*INDEX(Berekening_impact[Initiële investering (totaal) - incl. schatting],MATCH(B884,IF(Berekening_impact[Doelgroep]=C884,Berekening_impact[Digitale zorgtoepassing]),0))</f>
        <v>0</v>
      </c>
      <c r="S884" s="398">
        <f>uitkomst_doelgroep[[#This Row],[Arbeidsbesparing (€)]]*uitkomst_doelgroep[[#This Row],[Percentage van patiëntaantallen in Wlz (overige is Zvw)]]</f>
        <v>0</v>
      </c>
      <c r="T884" s="398">
        <f>uitkomst_doelgroep[[#This Row],[Overige besparingen (€)]]*uitkomst_doelgroep[[#This Row],[Percentage van patiëntaantallen in Wlz (overige is Zvw)]]</f>
        <v>0</v>
      </c>
      <c r="U884" s="398">
        <f>uitkomst_doelgroep[[#This Row],[Kosten (€)]]*uitkomst_doelgroep[[#This Row],[Percentage van patiëntaantallen in Wlz (overige is Zvw)]]</f>
        <v>0</v>
      </c>
      <c r="V884" s="398">
        <f>uitkomst_doelgroep[[#This Row],[Investering (cash flow) (€)]]*uitkomst_doelgroep[[#This Row],[Percentage van patiëntaantallen in Wlz (overige is Zvw)]]</f>
        <v>0</v>
      </c>
    </row>
    <row r="885" spans="1:22" x14ac:dyDescent="0.5">
      <c r="A885" s="33" t="str">
        <f>INDEX(Technologieën[Veld],MATCH(B885,Technologieën[Digitale zorgtoepassing],0))</f>
        <v>Software - Behandeling</v>
      </c>
      <c r="B885" s="33" t="s">
        <v>716</v>
      </c>
      <c r="C885" s="33" t="s">
        <v>80</v>
      </c>
      <c r="D885" s="427" cm="1">
        <f t="array" ref="D885">INDEX(Berekening_patiëntaantal[Percentage van patiëntaantallen in Wlz (overige is Zvw)],MATCH(B885,IF(Berekening_patiëntaantal[Doelgroep (zoeksleutel)]=C885,Berekening_patiëntaantal[Digitale zorgtoepassing]),0))</f>
        <v>0</v>
      </c>
      <c r="E885" s="33" t="str" cm="1">
        <f t="array" ref="E885">INDEX(Berekening_patiëntaantal[Direct toepasbaar/extrapolatie/incidentie voor QALY],MATCH(B885,IF(Berekening_patiëntaantal[Doelgroep (zoeksleutel)]=C885,Berekening_patiëntaantal[Digitale zorgtoepassing]),0))</f>
        <v>Huidige toepassing</v>
      </c>
      <c r="F885" s="33" t="s">
        <v>813</v>
      </c>
      <c r="G885" s="33" t="str">
        <f>CONCATENATE(uitkomst_doelgroep[[#This Row],[Digitale zorgtoepassing]],"_",uitkomst_doelgroep[[#This Row],[Doelgroep]],"_",uitkomst_doelgroep[[#This Row],[Uitgangssituatie/effect beleid]])</f>
        <v>AI op de IC (ontslag beslissing)_IC_Uitgangssituatie</v>
      </c>
      <c r="H885" s="33">
        <v>2023</v>
      </c>
      <c r="I885" s="32">
        <v>1</v>
      </c>
      <c r="J885" s="406" cm="1">
        <f t="array" ref="J885">INDEX(implementatie[[2023]:[2034]],MATCH(G885, implementatie[Zoeksleutel],0),I885)</f>
        <v>0</v>
      </c>
      <c r="K885" s="406" cm="1">
        <f t="array" ref="K885">INDEX(implementatie[[2023]:[2034]],MATCH(G885,implementatie[Zoeksleutel],0),I885 + 1)</f>
        <v>0</v>
      </c>
      <c r="L88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885" s="398" cm="1">
        <f t="array" ref="M885">J885*INDEX(Berekening_impact[Totaal arbeidsbesparing (€/jaar)],MATCH(B885,IF(Berekening_impact[Doelgroep]=C885,Berekening_impact[Digitale zorgtoepassing]),0))</f>
        <v>0</v>
      </c>
      <c r="N885" s="397" cm="1">
        <f t="array" ref="N885">J885*INDEX(Berekening_impact[Totaal arbeidsbesparing (FTE/jaar)],MATCH(B885,IF(Berekening_impact[Doelgroep]=C885,Berekening_impact[Digitale zorgtoepassing]),0))</f>
        <v>0</v>
      </c>
      <c r="O885" s="398" cm="1">
        <f t="array" ref="O885">J885*INDEX(Berekening_impact[Overige kostenbesparing (totaal/jaar totaal potentieel)],MATCH(B885,IF(Berekening_impact[Doelgroep]=C885,Berekening_impact[Digitale zorgtoepassing]),0))</f>
        <v>0</v>
      </c>
      <c r="P885" s="398" cm="1">
        <f t="array" ref="P885">J885*INDEX(Berekening_impact[Opbrengsten door QALY''s],MATCH(B885,IF(Berekening_impact[Doelgroep]=C885,Berekening_impact[Digitale zorgtoepassing]),0))</f>
        <v>0</v>
      </c>
      <c r="Q885" s="398" cm="1">
        <f t="array" ref="Q885">J885*INDEX(Berekening_impact[Jaarlijkse kosten (totaal) - incl. schatting],MATCH(B885,IF(Berekening_impact[Doelgroep]=C885,Berekening_impact[Digitale zorgtoepassing]),0))</f>
        <v>0</v>
      </c>
      <c r="R885" s="398" cm="1">
        <f t="array" ref="R885">(uitkomst_doelgroep[[#This Row],[Implementatiegraad t = T + 1]]-uitkomst_doelgroep[[#This Row],[Implementatiegraad t = T]])*INDEX(Berekening_impact[Initiële investering (totaal) - incl. schatting],MATCH(B885,IF(Berekening_impact[Doelgroep]=C885,Berekening_impact[Digitale zorgtoepassing]),0))</f>
        <v>0</v>
      </c>
      <c r="S885" s="398">
        <f>uitkomst_doelgroep[[#This Row],[Arbeidsbesparing (€)]]*uitkomst_doelgroep[[#This Row],[Percentage van patiëntaantallen in Wlz (overige is Zvw)]]</f>
        <v>0</v>
      </c>
      <c r="T885" s="398">
        <f>uitkomst_doelgroep[[#This Row],[Overige besparingen (€)]]*uitkomst_doelgroep[[#This Row],[Percentage van patiëntaantallen in Wlz (overige is Zvw)]]</f>
        <v>0</v>
      </c>
      <c r="U885" s="398">
        <f>uitkomst_doelgroep[[#This Row],[Kosten (€)]]*uitkomst_doelgroep[[#This Row],[Percentage van patiëntaantallen in Wlz (overige is Zvw)]]</f>
        <v>0</v>
      </c>
      <c r="V885" s="398">
        <f>uitkomst_doelgroep[[#This Row],[Investering (cash flow) (€)]]*uitkomst_doelgroep[[#This Row],[Percentage van patiëntaantallen in Wlz (overige is Zvw)]]</f>
        <v>0</v>
      </c>
    </row>
    <row r="886" spans="1:22" x14ac:dyDescent="0.5">
      <c r="A886" s="33" t="str">
        <f>INDEX(Technologieën[Veld],MATCH(B886,Technologieën[Digitale zorgtoepassing],0))</f>
        <v>Software - Behandeling</v>
      </c>
      <c r="B886" s="33" t="s">
        <v>716</v>
      </c>
      <c r="C886" s="33" t="s">
        <v>80</v>
      </c>
      <c r="D886" s="427" cm="1">
        <f t="array" ref="D886">INDEX(Berekening_patiëntaantal[Percentage van patiëntaantallen in Wlz (overige is Zvw)],MATCH(B886,IF(Berekening_patiëntaantal[Doelgroep (zoeksleutel)]=C886,Berekening_patiëntaantal[Digitale zorgtoepassing]),0))</f>
        <v>0</v>
      </c>
      <c r="E886" s="33" t="str" cm="1">
        <f t="array" ref="E886">INDEX(Berekening_patiëntaantal[Direct toepasbaar/extrapolatie/incidentie voor QALY],MATCH(B886,IF(Berekening_patiëntaantal[Doelgroep (zoeksleutel)]=C886,Berekening_patiëntaantal[Digitale zorgtoepassing]),0))</f>
        <v>Huidige toepassing</v>
      </c>
      <c r="F886" s="33" t="s">
        <v>813</v>
      </c>
      <c r="G886" s="33" t="str">
        <f>CONCATENATE(uitkomst_doelgroep[[#This Row],[Digitale zorgtoepassing]],"_",uitkomst_doelgroep[[#This Row],[Doelgroep]],"_",uitkomst_doelgroep[[#This Row],[Uitgangssituatie/effect beleid]])</f>
        <v>AI op de IC (ontslag beslissing)_IC_Uitgangssituatie</v>
      </c>
      <c r="H886" s="33">
        <v>2024</v>
      </c>
      <c r="I886" s="32">
        <v>2</v>
      </c>
      <c r="J886" s="406" cm="1">
        <f t="array" ref="J886">INDEX(implementatie[[2023]:[2034]],MATCH(G886, implementatie[Zoeksleutel],0),I886)</f>
        <v>0</v>
      </c>
      <c r="K886" s="406" cm="1">
        <f t="array" ref="K886">INDEX(implementatie[[2023]:[2034]],MATCH(G886,implementatie[Zoeksleutel],0),I886 + 1)</f>
        <v>0</v>
      </c>
      <c r="L88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886" s="398" cm="1">
        <f t="array" ref="M886">J886*INDEX(Berekening_impact[Totaal arbeidsbesparing (€/jaar)],MATCH(B886,IF(Berekening_impact[Doelgroep]=C886,Berekening_impact[Digitale zorgtoepassing]),0))</f>
        <v>0</v>
      </c>
      <c r="N886" s="397" cm="1">
        <f t="array" ref="N886">J886*INDEX(Berekening_impact[Totaal arbeidsbesparing (FTE/jaar)],MATCH(B886,IF(Berekening_impact[Doelgroep]=C886,Berekening_impact[Digitale zorgtoepassing]),0))</f>
        <v>0</v>
      </c>
      <c r="O886" s="398" cm="1">
        <f t="array" ref="O886">J886*INDEX(Berekening_impact[Overige kostenbesparing (totaal/jaar totaal potentieel)],MATCH(B886,IF(Berekening_impact[Doelgroep]=C886,Berekening_impact[Digitale zorgtoepassing]),0))</f>
        <v>0</v>
      </c>
      <c r="P886" s="398" cm="1">
        <f t="array" ref="P886">J886*INDEX(Berekening_impact[Opbrengsten door QALY''s],MATCH(B886,IF(Berekening_impact[Doelgroep]=C886,Berekening_impact[Digitale zorgtoepassing]),0))</f>
        <v>0</v>
      </c>
      <c r="Q886" s="398" cm="1">
        <f t="array" ref="Q886">J886*INDEX(Berekening_impact[Jaarlijkse kosten (totaal) - incl. schatting],MATCH(B886,IF(Berekening_impact[Doelgroep]=C886,Berekening_impact[Digitale zorgtoepassing]),0))</f>
        <v>0</v>
      </c>
      <c r="R886" s="398" cm="1">
        <f t="array" ref="R886">(uitkomst_doelgroep[[#This Row],[Implementatiegraad t = T + 1]]-uitkomst_doelgroep[[#This Row],[Implementatiegraad t = T]])*INDEX(Berekening_impact[Initiële investering (totaal) - incl. schatting],MATCH(B886,IF(Berekening_impact[Doelgroep]=C886,Berekening_impact[Digitale zorgtoepassing]),0))</f>
        <v>0</v>
      </c>
      <c r="S886" s="398">
        <f>uitkomst_doelgroep[[#This Row],[Arbeidsbesparing (€)]]*uitkomst_doelgroep[[#This Row],[Percentage van patiëntaantallen in Wlz (overige is Zvw)]]</f>
        <v>0</v>
      </c>
      <c r="T886" s="398">
        <f>uitkomst_doelgroep[[#This Row],[Overige besparingen (€)]]*uitkomst_doelgroep[[#This Row],[Percentage van patiëntaantallen in Wlz (overige is Zvw)]]</f>
        <v>0</v>
      </c>
      <c r="U886" s="398">
        <f>uitkomst_doelgroep[[#This Row],[Kosten (€)]]*uitkomst_doelgroep[[#This Row],[Percentage van patiëntaantallen in Wlz (overige is Zvw)]]</f>
        <v>0</v>
      </c>
      <c r="V886" s="398">
        <f>uitkomst_doelgroep[[#This Row],[Investering (cash flow) (€)]]*uitkomst_doelgroep[[#This Row],[Percentage van patiëntaantallen in Wlz (overige is Zvw)]]</f>
        <v>0</v>
      </c>
    </row>
    <row r="887" spans="1:22" x14ac:dyDescent="0.5">
      <c r="A887" s="33" t="str">
        <f>INDEX(Technologieën[Veld],MATCH(B887,Technologieën[Digitale zorgtoepassing],0))</f>
        <v>Software - Behandeling</v>
      </c>
      <c r="B887" s="33" t="s">
        <v>716</v>
      </c>
      <c r="C887" s="33" t="s">
        <v>80</v>
      </c>
      <c r="D887" s="427" cm="1">
        <f t="array" ref="D887">INDEX(Berekening_patiëntaantal[Percentage van patiëntaantallen in Wlz (overige is Zvw)],MATCH(B887,IF(Berekening_patiëntaantal[Doelgroep (zoeksleutel)]=C887,Berekening_patiëntaantal[Digitale zorgtoepassing]),0))</f>
        <v>0</v>
      </c>
      <c r="E887" s="33" t="str" cm="1">
        <f t="array" ref="E887">INDEX(Berekening_patiëntaantal[Direct toepasbaar/extrapolatie/incidentie voor QALY],MATCH(B887,IF(Berekening_patiëntaantal[Doelgroep (zoeksleutel)]=C887,Berekening_patiëntaantal[Digitale zorgtoepassing]),0))</f>
        <v>Huidige toepassing</v>
      </c>
      <c r="F887" s="33" t="s">
        <v>813</v>
      </c>
      <c r="G887" s="33" t="str">
        <f>CONCATENATE(uitkomst_doelgroep[[#This Row],[Digitale zorgtoepassing]],"_",uitkomst_doelgroep[[#This Row],[Doelgroep]],"_",uitkomst_doelgroep[[#This Row],[Uitgangssituatie/effect beleid]])</f>
        <v>AI op de IC (ontslag beslissing)_IC_Uitgangssituatie</v>
      </c>
      <c r="H887" s="33">
        <v>2025</v>
      </c>
      <c r="I887" s="32">
        <v>3</v>
      </c>
      <c r="J887" s="406" cm="1">
        <f t="array" ref="J887">INDEX(implementatie[[2023]:[2034]],MATCH(G887, implementatie[Zoeksleutel],0),I887)</f>
        <v>0</v>
      </c>
      <c r="K887" s="406" cm="1">
        <f t="array" ref="K887">INDEX(implementatie[[2023]:[2034]],MATCH(G887,implementatie[Zoeksleutel],0),I887 + 1)</f>
        <v>0.02</v>
      </c>
      <c r="L88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887" s="398" cm="1">
        <f t="array" ref="M887">J887*INDEX(Berekening_impact[Totaal arbeidsbesparing (€/jaar)],MATCH(B887,IF(Berekening_impact[Doelgroep]=C887,Berekening_impact[Digitale zorgtoepassing]),0))</f>
        <v>0</v>
      </c>
      <c r="N887" s="397" cm="1">
        <f t="array" ref="N887">J887*INDEX(Berekening_impact[Totaal arbeidsbesparing (FTE/jaar)],MATCH(B887,IF(Berekening_impact[Doelgroep]=C887,Berekening_impact[Digitale zorgtoepassing]),0))</f>
        <v>0</v>
      </c>
      <c r="O887" s="398" cm="1">
        <f t="array" ref="O887">J887*INDEX(Berekening_impact[Overige kostenbesparing (totaal/jaar totaal potentieel)],MATCH(B887,IF(Berekening_impact[Doelgroep]=C887,Berekening_impact[Digitale zorgtoepassing]),0))</f>
        <v>0</v>
      </c>
      <c r="P887" s="398" cm="1">
        <f t="array" ref="P887">J887*INDEX(Berekening_impact[Opbrengsten door QALY''s],MATCH(B887,IF(Berekening_impact[Doelgroep]=C887,Berekening_impact[Digitale zorgtoepassing]),0))</f>
        <v>0</v>
      </c>
      <c r="Q887" s="398" cm="1">
        <f t="array" ref="Q887">J887*INDEX(Berekening_impact[Jaarlijkse kosten (totaal) - incl. schatting],MATCH(B887,IF(Berekening_impact[Doelgroep]=C887,Berekening_impact[Digitale zorgtoepassing]),0))</f>
        <v>0</v>
      </c>
      <c r="R887" s="398" cm="1">
        <f t="array" ref="R887">(uitkomst_doelgroep[[#This Row],[Implementatiegraad t = T + 1]]-uitkomst_doelgroep[[#This Row],[Implementatiegraad t = T]])*INDEX(Berekening_impact[Initiële investering (totaal) - incl. schatting],MATCH(B887,IF(Berekening_impact[Doelgroep]=C887,Berekening_impact[Digitale zorgtoepassing]),0))</f>
        <v>0</v>
      </c>
      <c r="S887" s="398">
        <f>uitkomst_doelgroep[[#This Row],[Arbeidsbesparing (€)]]*uitkomst_doelgroep[[#This Row],[Percentage van patiëntaantallen in Wlz (overige is Zvw)]]</f>
        <v>0</v>
      </c>
      <c r="T887" s="398">
        <f>uitkomst_doelgroep[[#This Row],[Overige besparingen (€)]]*uitkomst_doelgroep[[#This Row],[Percentage van patiëntaantallen in Wlz (overige is Zvw)]]</f>
        <v>0</v>
      </c>
      <c r="U887" s="398">
        <f>uitkomst_doelgroep[[#This Row],[Kosten (€)]]*uitkomst_doelgroep[[#This Row],[Percentage van patiëntaantallen in Wlz (overige is Zvw)]]</f>
        <v>0</v>
      </c>
      <c r="V887" s="398">
        <f>uitkomst_doelgroep[[#This Row],[Investering (cash flow) (€)]]*uitkomst_doelgroep[[#This Row],[Percentage van patiëntaantallen in Wlz (overige is Zvw)]]</f>
        <v>0</v>
      </c>
    </row>
    <row r="888" spans="1:22" ht="17.5" thickBot="1" x14ac:dyDescent="0.55000000000000004">
      <c r="A888" s="33" t="str">
        <f>INDEX(Technologieën[Veld],MATCH(B888,Technologieën[Digitale zorgtoepassing],0))</f>
        <v>Software - Behandeling</v>
      </c>
      <c r="B888" s="33" t="s">
        <v>716</v>
      </c>
      <c r="C888" s="40" t="s">
        <v>80</v>
      </c>
      <c r="D888" s="427" cm="1">
        <f t="array" ref="D888">INDEX(Berekening_patiëntaantal[Percentage van patiëntaantallen in Wlz (overige is Zvw)],MATCH(B888,IF(Berekening_patiëntaantal[Doelgroep (zoeksleutel)]=C888,Berekening_patiëntaantal[Digitale zorgtoepassing]),0))</f>
        <v>0</v>
      </c>
      <c r="E888" s="33" t="str" cm="1">
        <f t="array" ref="E888">INDEX(Berekening_patiëntaantal[Direct toepasbaar/extrapolatie/incidentie voor QALY],MATCH(B888,IF(Berekening_patiëntaantal[Doelgroep (zoeksleutel)]=C888,Berekening_patiëntaantal[Digitale zorgtoepassing]),0))</f>
        <v>Huidige toepassing</v>
      </c>
      <c r="F888" s="33" t="s">
        <v>813</v>
      </c>
      <c r="G888" s="33" t="str">
        <f>CONCATENATE(uitkomst_doelgroep[[#This Row],[Digitale zorgtoepassing]],"_",uitkomst_doelgroep[[#This Row],[Doelgroep]],"_",uitkomst_doelgroep[[#This Row],[Uitgangssituatie/effect beleid]])</f>
        <v>AI op de IC (ontslag beslissing)_IC_Uitgangssituatie</v>
      </c>
      <c r="H888" s="33">
        <v>2026</v>
      </c>
      <c r="I888" s="32">
        <v>4</v>
      </c>
      <c r="J888" s="406" cm="1">
        <f t="array" ref="J888">INDEX(implementatie[[2023]:[2034]],MATCH(G888, implementatie[Zoeksleutel],0),I888)</f>
        <v>0.02</v>
      </c>
      <c r="K888" s="406" cm="1">
        <f t="array" ref="K888">INDEX(implementatie[[2023]:[2034]],MATCH(G888,implementatie[Zoeksleutel],0),I888 + 1)</f>
        <v>4.7439999999999996E-2</v>
      </c>
      <c r="L88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1297.3600000000001</v>
      </c>
      <c r="M888" s="398" cm="1">
        <f t="array" ref="M888">J888*INDEX(Berekening_impact[Totaal arbeidsbesparing (€/jaar)],MATCH(B888,IF(Berekening_impact[Doelgroep]=C888,Berekening_impact[Digitale zorgtoepassing]),0))</f>
        <v>19530.457440000006</v>
      </c>
      <c r="N888" s="397" cm="1">
        <f t="array" ref="N888">J888*INDEX(Berekening_impact[Totaal arbeidsbesparing (FTE/jaar)],MATCH(B888,IF(Berekening_impact[Doelgroep]=C888,Berekening_impact[Digitale zorgtoepassing]),0))</f>
        <v>0.33848643908199577</v>
      </c>
      <c r="O888" s="398" cm="1">
        <f t="array" ref="O888">J888*INDEX(Berekening_impact[Overige kostenbesparing (totaal/jaar totaal potentieel)],MATCH(B888,IF(Berekening_impact[Doelgroep]=C888,Berekening_impact[Digitale zorgtoepassing]),0))</f>
        <v>13020.304960000003</v>
      </c>
      <c r="P888" s="398" cm="1">
        <f t="array" ref="P888">J888*INDEX(Berekening_impact[Opbrengsten door QALY''s],MATCH(B888,IF(Berekening_impact[Doelgroep]=C888,Berekening_impact[Digitale zorgtoepassing]),0))</f>
        <v>116762.40000000001</v>
      </c>
      <c r="Q888" s="398" cm="1">
        <f t="array" ref="Q888">J888*INDEX(Berekening_impact[Jaarlijkse kosten (totaal) - incl. schatting],MATCH(B888,IF(Berekening_impact[Doelgroep]=C888,Berekening_impact[Digitale zorgtoepassing]),0))</f>
        <v>77841.600000000006</v>
      </c>
      <c r="R888" s="398" cm="1">
        <f t="array" ref="R888">(uitkomst_doelgroep[[#This Row],[Implementatiegraad t = T + 1]]-uitkomst_doelgroep[[#This Row],[Implementatiegraad t = T]])*INDEX(Berekening_impact[Initiële investering (totaal) - incl. schatting],MATCH(B888,IF(Berekening_impact[Doelgroep]=C888,Berekening_impact[Digitale zorgtoepassing]),0))</f>
        <v>0</v>
      </c>
      <c r="S888" s="398">
        <f>uitkomst_doelgroep[[#This Row],[Arbeidsbesparing (€)]]*uitkomst_doelgroep[[#This Row],[Percentage van patiëntaantallen in Wlz (overige is Zvw)]]</f>
        <v>0</v>
      </c>
      <c r="T888" s="398">
        <f>uitkomst_doelgroep[[#This Row],[Overige besparingen (€)]]*uitkomst_doelgroep[[#This Row],[Percentage van patiëntaantallen in Wlz (overige is Zvw)]]</f>
        <v>0</v>
      </c>
      <c r="U888" s="398">
        <f>uitkomst_doelgroep[[#This Row],[Kosten (€)]]*uitkomst_doelgroep[[#This Row],[Percentage van patiëntaantallen in Wlz (overige is Zvw)]]</f>
        <v>0</v>
      </c>
      <c r="V888" s="398">
        <f>uitkomst_doelgroep[[#This Row],[Investering (cash flow) (€)]]*uitkomst_doelgroep[[#This Row],[Percentage van patiëntaantallen in Wlz (overige is Zvw)]]</f>
        <v>0</v>
      </c>
    </row>
    <row r="889" spans="1:22" x14ac:dyDescent="0.5">
      <c r="A889" s="33" t="str">
        <f>INDEX(Technologieën[Veld],MATCH(B889,Technologieën[Digitale zorgtoepassing],0))</f>
        <v>Software - Behandeling</v>
      </c>
      <c r="B889" s="33" t="s">
        <v>716</v>
      </c>
      <c r="C889" s="33" t="s">
        <v>80</v>
      </c>
      <c r="D889" s="427" cm="1">
        <f t="array" ref="D889">INDEX(Berekening_patiëntaantal[Percentage van patiëntaantallen in Wlz (overige is Zvw)],MATCH(B889,IF(Berekening_patiëntaantal[Doelgroep (zoeksleutel)]=C889,Berekening_patiëntaantal[Digitale zorgtoepassing]),0))</f>
        <v>0</v>
      </c>
      <c r="E889" s="33" t="str" cm="1">
        <f t="array" ref="E889">INDEX(Berekening_patiëntaantal[Direct toepasbaar/extrapolatie/incidentie voor QALY],MATCH(B889,IF(Berekening_patiëntaantal[Doelgroep (zoeksleutel)]=C889,Berekening_patiëntaantal[Digitale zorgtoepassing]),0))</f>
        <v>Huidige toepassing</v>
      </c>
      <c r="F889" s="33" t="s">
        <v>813</v>
      </c>
      <c r="G889" s="33" t="str">
        <f>CONCATENATE(uitkomst_doelgroep[[#This Row],[Digitale zorgtoepassing]],"_",uitkomst_doelgroep[[#This Row],[Doelgroep]],"_",uitkomst_doelgroep[[#This Row],[Uitgangssituatie/effect beleid]])</f>
        <v>AI op de IC (ontslag beslissing)_IC_Uitgangssituatie</v>
      </c>
      <c r="H889" s="33">
        <v>2027</v>
      </c>
      <c r="I889" s="32">
        <v>5</v>
      </c>
      <c r="J889" s="406" cm="1">
        <f t="array" ref="J889">INDEX(implementatie[[2023]:[2034]],MATCH(G889, implementatie[Zoeksleutel],0),I889)</f>
        <v>4.7439999999999996E-2</v>
      </c>
      <c r="K889" s="406" cm="1">
        <f t="array" ref="K889">INDEX(implementatie[[2023]:[2034]],MATCH(G889,implementatie[Zoeksleutel],0),I889 + 1)</f>
        <v>8.4566978560000006E-2</v>
      </c>
      <c r="L88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3077.3379199999999</v>
      </c>
      <c r="M889" s="398" cm="1">
        <f t="array" ref="M889">J889*INDEX(Berekening_impact[Totaal arbeidsbesparing (€/jaar)],MATCH(B889,IF(Berekening_impact[Doelgroep]=C889,Berekening_impact[Digitale zorgtoepassing]),0))</f>
        <v>46326.245047680008</v>
      </c>
      <c r="N889" s="397" cm="1">
        <f t="array" ref="N889">J889*INDEX(Berekening_impact[Totaal arbeidsbesparing (FTE/jaar)],MATCH(B889,IF(Berekening_impact[Doelgroep]=C889,Berekening_impact[Digitale zorgtoepassing]),0))</f>
        <v>0.80288983350249388</v>
      </c>
      <c r="O889" s="398" cm="1">
        <f t="array" ref="O889">J889*INDEX(Berekening_impact[Overige kostenbesparing (totaal/jaar totaal potentieel)],MATCH(B889,IF(Berekening_impact[Doelgroep]=C889,Berekening_impact[Digitale zorgtoepassing]),0))</f>
        <v>30884.163365120003</v>
      </c>
      <c r="P889" s="398" cm="1">
        <f t="array" ref="P889">J889*INDEX(Berekening_impact[Opbrengsten door QALY''s],MATCH(B889,IF(Berekening_impact[Doelgroep]=C889,Berekening_impact[Digitale zorgtoepassing]),0))</f>
        <v>276960.41279999999</v>
      </c>
      <c r="Q889" s="398" cm="1">
        <f t="array" ref="Q889">J889*INDEX(Berekening_impact[Jaarlijkse kosten (totaal) - incl. schatting],MATCH(B889,IF(Berekening_impact[Doelgroep]=C889,Berekening_impact[Digitale zorgtoepassing]),0))</f>
        <v>184640.27519999997</v>
      </c>
      <c r="R889" s="398" cm="1">
        <f t="array" ref="R889">(uitkomst_doelgroep[[#This Row],[Implementatiegraad t = T + 1]]-uitkomst_doelgroep[[#This Row],[Implementatiegraad t = T]])*INDEX(Berekening_impact[Initiële investering (totaal) - incl. schatting],MATCH(B889,IF(Berekening_impact[Doelgroep]=C889,Berekening_impact[Digitale zorgtoepassing]),0))</f>
        <v>0</v>
      </c>
      <c r="S889" s="398">
        <f>uitkomst_doelgroep[[#This Row],[Arbeidsbesparing (€)]]*uitkomst_doelgroep[[#This Row],[Percentage van patiëntaantallen in Wlz (overige is Zvw)]]</f>
        <v>0</v>
      </c>
      <c r="T889" s="398">
        <f>uitkomst_doelgroep[[#This Row],[Overige besparingen (€)]]*uitkomst_doelgroep[[#This Row],[Percentage van patiëntaantallen in Wlz (overige is Zvw)]]</f>
        <v>0</v>
      </c>
      <c r="U889" s="398">
        <f>uitkomst_doelgroep[[#This Row],[Kosten (€)]]*uitkomst_doelgroep[[#This Row],[Percentage van patiëntaantallen in Wlz (overige is Zvw)]]</f>
        <v>0</v>
      </c>
      <c r="V889" s="398">
        <f>uitkomst_doelgroep[[#This Row],[Investering (cash flow) (€)]]*uitkomst_doelgroep[[#This Row],[Percentage van patiëntaantallen in Wlz (overige is Zvw)]]</f>
        <v>0</v>
      </c>
    </row>
    <row r="890" spans="1:22" x14ac:dyDescent="0.5">
      <c r="A890" s="33" t="str">
        <f>INDEX(Technologieën[Veld],MATCH(B890,Technologieën[Digitale zorgtoepassing],0))</f>
        <v>Software - Behandeling</v>
      </c>
      <c r="B890" s="33" t="s">
        <v>716</v>
      </c>
      <c r="C890" s="33" t="s">
        <v>80</v>
      </c>
      <c r="D890" s="427" cm="1">
        <f t="array" ref="D890">INDEX(Berekening_patiëntaantal[Percentage van patiëntaantallen in Wlz (overige is Zvw)],MATCH(B890,IF(Berekening_patiëntaantal[Doelgroep (zoeksleutel)]=C890,Berekening_patiëntaantal[Digitale zorgtoepassing]),0))</f>
        <v>0</v>
      </c>
      <c r="E890" s="33" t="str" cm="1">
        <f t="array" ref="E890">INDEX(Berekening_patiëntaantal[Direct toepasbaar/extrapolatie/incidentie voor QALY],MATCH(B890,IF(Berekening_patiëntaantal[Doelgroep (zoeksleutel)]=C890,Berekening_patiëntaantal[Digitale zorgtoepassing]),0))</f>
        <v>Huidige toepassing</v>
      </c>
      <c r="F890" s="33" t="s">
        <v>813</v>
      </c>
      <c r="G890" s="33" t="str">
        <f>CONCATENATE(uitkomst_doelgroep[[#This Row],[Digitale zorgtoepassing]],"_",uitkomst_doelgroep[[#This Row],[Doelgroep]],"_",uitkomst_doelgroep[[#This Row],[Uitgangssituatie/effect beleid]])</f>
        <v>AI op de IC (ontslag beslissing)_IC_Uitgangssituatie</v>
      </c>
      <c r="H890" s="33">
        <v>2028</v>
      </c>
      <c r="I890" s="32">
        <v>6</v>
      </c>
      <c r="J890" s="406" cm="1">
        <f t="array" ref="J890">INDEX(implementatie[[2023]:[2034]],MATCH(G890, implementatie[Zoeksleutel],0),I890)</f>
        <v>8.4566978560000006E-2</v>
      </c>
      <c r="K890" s="406" cm="1">
        <f t="array" ref="K890">INDEX(implementatie[[2023]:[2034]],MATCH(G890,implementatie[Zoeksleutel],0),I890 + 1)</f>
        <v>0.13384180086769301</v>
      </c>
      <c r="L89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5485.6907652300806</v>
      </c>
      <c r="M890" s="398" cm="1">
        <f t="array" ref="M890">J890*INDEX(Berekening_impact[Totaal arbeidsbesparing (€/jaar)],MATCH(B890,IF(Berekening_impact[Doelgroep]=C890,Berekening_impact[Digitale zorgtoepassing]),0))</f>
        <v>82581.58877977365</v>
      </c>
      <c r="N890" s="397" cm="1">
        <f t="array" ref="N890">J890*INDEX(Berekening_impact[Totaal arbeidsbesparing (FTE/jaar)],MATCH(B890,IF(Berekening_impact[Doelgroep]=C890,Berekening_impact[Digitale zorgtoepassing]),0))</f>
        <v>1.4312387718348942</v>
      </c>
      <c r="O890" s="398" cm="1">
        <f t="array" ref="O890">J890*INDEX(Berekening_impact[Overige kostenbesparing (totaal/jaar totaal potentieel)],MATCH(B890,IF(Berekening_impact[Doelgroep]=C890,Berekening_impact[Digitale zorgtoepassing]),0))</f>
        <v>55054.392519849098</v>
      </c>
      <c r="P890" s="398" cm="1">
        <f t="array" ref="P890">J890*INDEX(Berekening_impact[Opbrengsten door QALY''s],MATCH(B890,IF(Berekening_impact[Doelgroep]=C890,Berekening_impact[Digitale zorgtoepassing]),0))</f>
        <v>493712.16887070722</v>
      </c>
      <c r="Q890" s="398" cm="1">
        <f t="array" ref="Q890">J890*INDEX(Berekening_impact[Jaarlijkse kosten (totaal) - incl. schatting],MATCH(B890,IF(Berekening_impact[Doelgroep]=C890,Berekening_impact[Digitale zorgtoepassing]),0))</f>
        <v>329141.44591380481</v>
      </c>
      <c r="R890" s="398" cm="1">
        <f t="array" ref="R890">(uitkomst_doelgroep[[#This Row],[Implementatiegraad t = T + 1]]-uitkomst_doelgroep[[#This Row],[Implementatiegraad t = T]])*INDEX(Berekening_impact[Initiële investering (totaal) - incl. schatting],MATCH(B890,IF(Berekening_impact[Doelgroep]=C890,Berekening_impact[Digitale zorgtoepassing]),0))</f>
        <v>0</v>
      </c>
      <c r="S890" s="398">
        <f>uitkomst_doelgroep[[#This Row],[Arbeidsbesparing (€)]]*uitkomst_doelgroep[[#This Row],[Percentage van patiëntaantallen in Wlz (overige is Zvw)]]</f>
        <v>0</v>
      </c>
      <c r="T890" s="398">
        <f>uitkomst_doelgroep[[#This Row],[Overige besparingen (€)]]*uitkomst_doelgroep[[#This Row],[Percentage van patiëntaantallen in Wlz (overige is Zvw)]]</f>
        <v>0</v>
      </c>
      <c r="U890" s="398">
        <f>uitkomst_doelgroep[[#This Row],[Kosten (€)]]*uitkomst_doelgroep[[#This Row],[Percentage van patiëntaantallen in Wlz (overige is Zvw)]]</f>
        <v>0</v>
      </c>
      <c r="V890" s="398">
        <f>uitkomst_doelgroep[[#This Row],[Investering (cash flow) (€)]]*uitkomst_doelgroep[[#This Row],[Percentage van patiëntaantallen in Wlz (overige is Zvw)]]</f>
        <v>0</v>
      </c>
    </row>
    <row r="891" spans="1:22" x14ac:dyDescent="0.5">
      <c r="A891" s="33" t="str">
        <f>INDEX(Technologieën[Veld],MATCH(B891,Technologieën[Digitale zorgtoepassing],0))</f>
        <v>Software - Behandeling</v>
      </c>
      <c r="B891" s="33" t="s">
        <v>716</v>
      </c>
      <c r="C891" s="33" t="s">
        <v>80</v>
      </c>
      <c r="D891" s="427" cm="1">
        <f t="array" ref="D891">INDEX(Berekening_patiëntaantal[Percentage van patiëntaantallen in Wlz (overige is Zvw)],MATCH(B891,IF(Berekening_patiëntaantal[Doelgroep (zoeksleutel)]=C891,Berekening_patiëntaantal[Digitale zorgtoepassing]),0))</f>
        <v>0</v>
      </c>
      <c r="E891" s="33" t="str" cm="1">
        <f t="array" ref="E891">INDEX(Berekening_patiëntaantal[Direct toepasbaar/extrapolatie/incidentie voor QALY],MATCH(B891,IF(Berekening_patiëntaantal[Doelgroep (zoeksleutel)]=C891,Berekening_patiëntaantal[Digitale zorgtoepassing]),0))</f>
        <v>Huidige toepassing</v>
      </c>
      <c r="F891" s="33" t="s">
        <v>813</v>
      </c>
      <c r="G891" s="33" t="str">
        <f>CONCATENATE(uitkomst_doelgroep[[#This Row],[Digitale zorgtoepassing]],"_",uitkomst_doelgroep[[#This Row],[Doelgroep]],"_",uitkomst_doelgroep[[#This Row],[Uitgangssituatie/effect beleid]])</f>
        <v>AI op de IC (ontslag beslissing)_IC_Uitgangssituatie</v>
      </c>
      <c r="H891" s="33">
        <v>2029</v>
      </c>
      <c r="I891" s="32">
        <v>7</v>
      </c>
      <c r="J891" s="406" cm="1">
        <f t="array" ref="J891">INDEX(implementatie[[2023]:[2034]],MATCH(G891, implementatie[Zoeksleutel],0),I891)</f>
        <v>0.13384180086769301</v>
      </c>
      <c r="K891" s="406" cm="1">
        <f t="array" ref="K891">INDEX(implementatie[[2023]:[2034]],MATCH(G891,implementatie[Zoeksleutel],0),I891 + 1)</f>
        <v>0.19753623413361349</v>
      </c>
      <c r="L89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8682.0499386855099</v>
      </c>
      <c r="M891" s="398" cm="1">
        <f t="array" ref="M891">J891*INDEX(Berekening_impact[Totaal arbeidsbesparing (€/jaar)],MATCH(B891,IF(Berekening_impact[Doelgroep]=C891,Berekening_impact[Digitale zorgtoepassing]),0))</f>
        <v>130699.5797769717</v>
      </c>
      <c r="N891" s="397" cm="1">
        <f t="array" ref="N891">J891*INDEX(Berekening_impact[Totaal arbeidsbesparing (FTE/jaar)],MATCH(B891,IF(Berekening_impact[Doelgroep]=C891,Berekening_impact[Digitale zorgtoepassing]),0))</f>
        <v>2.2651817288013492</v>
      </c>
      <c r="O891" s="398" cm="1">
        <f t="array" ref="O891">J891*INDEX(Berekening_impact[Overige kostenbesparing (totaal/jaar totaal potentieel)],MATCH(B891,IF(Berekening_impact[Doelgroep]=C891,Berekening_impact[Digitale zorgtoepassing]),0))</f>
        <v>87133.053184647797</v>
      </c>
      <c r="P891" s="398" cm="1">
        <f t="array" ref="P891">J891*INDEX(Berekening_impact[Opbrengsten door QALY''s],MATCH(B891,IF(Berekening_impact[Doelgroep]=C891,Berekening_impact[Digitale zorgtoepassing]),0))</f>
        <v>781384.49448169593</v>
      </c>
      <c r="Q891" s="398" cm="1">
        <f t="array" ref="Q891">J891*INDEX(Berekening_impact[Jaarlijkse kosten (totaal) - incl. schatting],MATCH(B891,IF(Berekening_impact[Doelgroep]=C891,Berekening_impact[Digitale zorgtoepassing]),0))</f>
        <v>520922.9963211306</v>
      </c>
      <c r="R891" s="398" cm="1">
        <f t="array" ref="R891">(uitkomst_doelgroep[[#This Row],[Implementatiegraad t = T + 1]]-uitkomst_doelgroep[[#This Row],[Implementatiegraad t = T]])*INDEX(Berekening_impact[Initiële investering (totaal) - incl. schatting],MATCH(B891,IF(Berekening_impact[Doelgroep]=C891,Berekening_impact[Digitale zorgtoepassing]),0))</f>
        <v>0</v>
      </c>
      <c r="S891" s="398">
        <f>uitkomst_doelgroep[[#This Row],[Arbeidsbesparing (€)]]*uitkomst_doelgroep[[#This Row],[Percentage van patiëntaantallen in Wlz (overige is Zvw)]]</f>
        <v>0</v>
      </c>
      <c r="T891" s="398">
        <f>uitkomst_doelgroep[[#This Row],[Overige besparingen (€)]]*uitkomst_doelgroep[[#This Row],[Percentage van patiëntaantallen in Wlz (overige is Zvw)]]</f>
        <v>0</v>
      </c>
      <c r="U891" s="398">
        <f>uitkomst_doelgroep[[#This Row],[Kosten (€)]]*uitkomst_doelgroep[[#This Row],[Percentage van patiëntaantallen in Wlz (overige is Zvw)]]</f>
        <v>0</v>
      </c>
      <c r="V891" s="398">
        <f>uitkomst_doelgroep[[#This Row],[Investering (cash flow) (€)]]*uitkomst_doelgroep[[#This Row],[Percentage van patiëntaantallen in Wlz (overige is Zvw)]]</f>
        <v>0</v>
      </c>
    </row>
    <row r="892" spans="1:22" x14ac:dyDescent="0.5">
      <c r="A892" s="33" t="str">
        <f>INDEX(Technologieën[Veld],MATCH(B892,Technologieën[Digitale zorgtoepassing],0))</f>
        <v>Software - Behandeling</v>
      </c>
      <c r="B892" s="33" t="s">
        <v>716</v>
      </c>
      <c r="C892" s="33" t="s">
        <v>80</v>
      </c>
      <c r="D892" s="427" cm="1">
        <f t="array" ref="D892">INDEX(Berekening_patiëntaantal[Percentage van patiëntaantallen in Wlz (overige is Zvw)],MATCH(B892,IF(Berekening_patiëntaantal[Doelgroep (zoeksleutel)]=C892,Berekening_patiëntaantal[Digitale zorgtoepassing]),0))</f>
        <v>0</v>
      </c>
      <c r="E892" s="33" t="str" cm="1">
        <f t="array" ref="E892">INDEX(Berekening_patiëntaantal[Direct toepasbaar/extrapolatie/incidentie voor QALY],MATCH(B892,IF(Berekening_patiëntaantal[Doelgroep (zoeksleutel)]=C892,Berekening_patiëntaantal[Digitale zorgtoepassing]),0))</f>
        <v>Huidige toepassing</v>
      </c>
      <c r="F892" s="33" t="s">
        <v>813</v>
      </c>
      <c r="G892" s="33" t="str">
        <f>CONCATENATE(uitkomst_doelgroep[[#This Row],[Digitale zorgtoepassing]],"_",uitkomst_doelgroep[[#This Row],[Doelgroep]],"_",uitkomst_doelgroep[[#This Row],[Uitgangssituatie/effect beleid]])</f>
        <v>AI op de IC (ontslag beslissing)_IC_Uitgangssituatie</v>
      </c>
      <c r="H892" s="33">
        <v>2030</v>
      </c>
      <c r="I892" s="32">
        <v>8</v>
      </c>
      <c r="J892" s="406" cm="1">
        <f t="array" ref="J892">INDEX(implementatie[[2023]:[2034]],MATCH(G892, implementatie[Zoeksleutel],0),I892)</f>
        <v>0.19753623413361349</v>
      </c>
      <c r="K892" s="406" cm="1">
        <f t="array" ref="K892">INDEX(implementatie[[2023]:[2034]],MATCH(G892,implementatie[Zoeksleutel],0),I892 + 1)</f>
        <v>0.27699177758611071</v>
      </c>
      <c r="L89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12813.780435779239</v>
      </c>
      <c r="M892" s="398" cm="1">
        <f t="array" ref="M892">J892*INDEX(Berekening_impact[Totaal arbeidsbesparing (€/jaar)],MATCH(B892,IF(Berekening_impact[Doelgroep]=C892,Berekening_impact[Digitale zorgtoepassing]),0))</f>
        <v>192898.65068022072</v>
      </c>
      <c r="N892" s="397" cm="1">
        <f t="array" ref="N892">J892*INDEX(Berekening_impact[Totaal arbeidsbesparing (FTE/jaar)],MATCH(B892,IF(Berekening_impact[Doelgroep]=C892,Berekening_impact[Digitale zorgtoepassing]),0))</f>
        <v>3.3431668240777106</v>
      </c>
      <c r="O892" s="398" cm="1">
        <f t="array" ref="O892">J892*INDEX(Berekening_impact[Overige kostenbesparing (totaal/jaar totaal potentieel)],MATCH(B892,IF(Berekening_impact[Doelgroep]=C892,Berekening_impact[Digitale zorgtoepassing]),0))</f>
        <v>128599.10045348048</v>
      </c>
      <c r="P892" s="398" cm="1">
        <f t="array" ref="P892">J892*INDEX(Berekening_impact[Opbrengsten door QALY''s],MATCH(B892,IF(Berekening_impact[Doelgroep]=C892,Berekening_impact[Digitale zorgtoepassing]),0))</f>
        <v>1153240.2392201317</v>
      </c>
      <c r="Q892" s="398" cm="1">
        <f t="array" ref="Q892">J892*INDEX(Berekening_impact[Jaarlijkse kosten (totaal) - incl. schatting],MATCH(B892,IF(Berekening_impact[Doelgroep]=C892,Berekening_impact[Digitale zorgtoepassing]),0))</f>
        <v>768826.82614675444</v>
      </c>
      <c r="R892" s="398" cm="1">
        <f t="array" ref="R892">(uitkomst_doelgroep[[#This Row],[Implementatiegraad t = T + 1]]-uitkomst_doelgroep[[#This Row],[Implementatiegraad t = T]])*INDEX(Berekening_impact[Initiële investering (totaal) - incl. schatting],MATCH(B892,IF(Berekening_impact[Doelgroep]=C892,Berekening_impact[Digitale zorgtoepassing]),0))</f>
        <v>0</v>
      </c>
      <c r="S892" s="398">
        <f>uitkomst_doelgroep[[#This Row],[Arbeidsbesparing (€)]]*uitkomst_doelgroep[[#This Row],[Percentage van patiëntaantallen in Wlz (overige is Zvw)]]</f>
        <v>0</v>
      </c>
      <c r="T892" s="398">
        <f>uitkomst_doelgroep[[#This Row],[Overige besparingen (€)]]*uitkomst_doelgroep[[#This Row],[Percentage van patiëntaantallen in Wlz (overige is Zvw)]]</f>
        <v>0</v>
      </c>
      <c r="U892" s="398">
        <f>uitkomst_doelgroep[[#This Row],[Kosten (€)]]*uitkomst_doelgroep[[#This Row],[Percentage van patiëntaantallen in Wlz (overige is Zvw)]]</f>
        <v>0</v>
      </c>
      <c r="V892" s="398">
        <f>uitkomst_doelgroep[[#This Row],[Investering (cash flow) (€)]]*uitkomst_doelgroep[[#This Row],[Percentage van patiëntaantallen in Wlz (overige is Zvw)]]</f>
        <v>0</v>
      </c>
    </row>
    <row r="893" spans="1:22" x14ac:dyDescent="0.5">
      <c r="A893" s="33" t="str">
        <f>INDEX(Technologieën[Veld],MATCH(B893,Technologieën[Digitale zorgtoepassing],0))</f>
        <v>Software - Behandeling</v>
      </c>
      <c r="B893" s="33" t="s">
        <v>716</v>
      </c>
      <c r="C893" s="33" t="s">
        <v>80</v>
      </c>
      <c r="D893" s="427" cm="1">
        <f t="array" ref="D893">INDEX(Berekening_patiëntaantal[Percentage van patiëntaantallen in Wlz (overige is Zvw)],MATCH(B893,IF(Berekening_patiëntaantal[Doelgroep (zoeksleutel)]=C893,Berekening_patiëntaantal[Digitale zorgtoepassing]),0))</f>
        <v>0</v>
      </c>
      <c r="E893" s="33" t="str" cm="1">
        <f t="array" ref="E893">INDEX(Berekening_patiëntaantal[Direct toepasbaar/extrapolatie/incidentie voor QALY],MATCH(B893,IF(Berekening_patiëntaantal[Doelgroep (zoeksleutel)]=C893,Berekening_patiëntaantal[Digitale zorgtoepassing]),0))</f>
        <v>Huidige toepassing</v>
      </c>
      <c r="F893" s="33" t="s">
        <v>813</v>
      </c>
      <c r="G893" s="33" t="str">
        <f>CONCATENATE(uitkomst_doelgroep[[#This Row],[Digitale zorgtoepassing]],"_",uitkomst_doelgroep[[#This Row],[Doelgroep]],"_",uitkomst_doelgroep[[#This Row],[Uitgangssituatie/effect beleid]])</f>
        <v>AI op de IC (ontslag beslissing)_IC_Uitgangssituatie</v>
      </c>
      <c r="H893" s="33">
        <v>2031</v>
      </c>
      <c r="I893" s="32">
        <v>9</v>
      </c>
      <c r="J893" s="406" cm="1">
        <f t="array" ref="J893">INDEX(implementatie[[2023]:[2034]],MATCH(G893, implementatie[Zoeksleutel],0),I893)</f>
        <v>0.27699177758611071</v>
      </c>
      <c r="K893" s="406" cm="1">
        <f t="array" ref="K893">INDEX(implementatie[[2023]:[2034]],MATCH(G893,implementatie[Zoeksleutel],0),I893 + 1)</f>
        <v>0.37155887512870744</v>
      </c>
      <c r="L89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17967.902628455831</v>
      </c>
      <c r="M893" s="398" cm="1">
        <f t="array" ref="M893">J893*INDEX(Berekening_impact[Totaal arbeidsbesparing (€/jaar)],MATCH(B893,IF(Berekening_impact[Doelgroep]=C893,Berekening_impact[Digitale zorgtoepassing]),0))</f>
        <v>270488.80616877414</v>
      </c>
      <c r="N893" s="397" cm="1">
        <f t="array" ref="N893">J893*INDEX(Berekening_impact[Totaal arbeidsbesparing (FTE/jaar)],MATCH(B893,IF(Berekening_impact[Doelgroep]=C893,Berekening_impact[Digitale zorgtoepassing]),0))</f>
        <v>4.6878980225057392</v>
      </c>
      <c r="O893" s="398" cm="1">
        <f t="array" ref="O893">J893*INDEX(Berekening_impact[Overige kostenbesparing (totaal/jaar totaal potentieel)],MATCH(B893,IF(Berekening_impact[Doelgroep]=C893,Berekening_impact[Digitale zorgtoepassing]),0))</f>
        <v>180325.87077918273</v>
      </c>
      <c r="P893" s="398" cm="1">
        <f t="array" ref="P893">J893*INDEX(Berekening_impact[Opbrengsten door QALY''s],MATCH(B893,IF(Berekening_impact[Doelgroep]=C893,Berekening_impact[Digitale zorgtoepassing]),0))</f>
        <v>1617111.2365610246</v>
      </c>
      <c r="Q893" s="398" cm="1">
        <f t="array" ref="Q893">J893*INDEX(Berekening_impact[Jaarlijkse kosten (totaal) - incl. schatting],MATCH(B893,IF(Berekening_impact[Doelgroep]=C893,Berekening_impact[Digitale zorgtoepassing]),0))</f>
        <v>1078074.1577073499</v>
      </c>
      <c r="R893" s="398" cm="1">
        <f t="array" ref="R893">(uitkomst_doelgroep[[#This Row],[Implementatiegraad t = T + 1]]-uitkomst_doelgroep[[#This Row],[Implementatiegraad t = T]])*INDEX(Berekening_impact[Initiële investering (totaal) - incl. schatting],MATCH(B893,IF(Berekening_impact[Doelgroep]=C893,Berekening_impact[Digitale zorgtoepassing]),0))</f>
        <v>0</v>
      </c>
      <c r="S893" s="398">
        <f>uitkomst_doelgroep[[#This Row],[Arbeidsbesparing (€)]]*uitkomst_doelgroep[[#This Row],[Percentage van patiëntaantallen in Wlz (overige is Zvw)]]</f>
        <v>0</v>
      </c>
      <c r="T893" s="398">
        <f>uitkomst_doelgroep[[#This Row],[Overige besparingen (€)]]*uitkomst_doelgroep[[#This Row],[Percentage van patiëntaantallen in Wlz (overige is Zvw)]]</f>
        <v>0</v>
      </c>
      <c r="U893" s="398">
        <f>uitkomst_doelgroep[[#This Row],[Kosten (€)]]*uitkomst_doelgroep[[#This Row],[Percentage van patiëntaantallen in Wlz (overige is Zvw)]]</f>
        <v>0</v>
      </c>
      <c r="V893" s="398">
        <f>uitkomst_doelgroep[[#This Row],[Investering (cash flow) (€)]]*uitkomst_doelgroep[[#This Row],[Percentage van patiëntaantallen in Wlz (overige is Zvw)]]</f>
        <v>0</v>
      </c>
    </row>
    <row r="894" spans="1:22" x14ac:dyDescent="0.5">
      <c r="A894" s="33" t="str">
        <f>INDEX(Technologieën[Veld],MATCH(B894,Technologieën[Digitale zorgtoepassing],0))</f>
        <v>Software - Behandeling</v>
      </c>
      <c r="B894" s="33" t="s">
        <v>716</v>
      </c>
      <c r="C894" s="33" t="s">
        <v>80</v>
      </c>
      <c r="D894" s="427" cm="1">
        <f t="array" ref="D894">INDEX(Berekening_patiëntaantal[Percentage van patiëntaantallen in Wlz (overige is Zvw)],MATCH(B894,IF(Berekening_patiëntaantal[Doelgroep (zoeksleutel)]=C894,Berekening_patiëntaantal[Digitale zorgtoepassing]),0))</f>
        <v>0</v>
      </c>
      <c r="E894" s="33" t="str" cm="1">
        <f t="array" ref="E894">INDEX(Berekening_patiëntaantal[Direct toepasbaar/extrapolatie/incidentie voor QALY],MATCH(B894,IF(Berekening_patiëntaantal[Doelgroep (zoeksleutel)]=C894,Berekening_patiëntaantal[Digitale zorgtoepassing]),0))</f>
        <v>Huidige toepassing</v>
      </c>
      <c r="F894" s="33" t="s">
        <v>813</v>
      </c>
      <c r="G894" s="33" t="str">
        <f>CONCATENATE(uitkomst_doelgroep[[#This Row],[Digitale zorgtoepassing]],"_",uitkomst_doelgroep[[#This Row],[Doelgroep]],"_",uitkomst_doelgroep[[#This Row],[Uitgangssituatie/effect beleid]])</f>
        <v>AI op de IC (ontslag beslissing)_IC_Uitgangssituatie</v>
      </c>
      <c r="H894" s="33">
        <v>2032</v>
      </c>
      <c r="I894" s="32">
        <v>10</v>
      </c>
      <c r="J894" s="406" cm="1">
        <f t="array" ref="J894">INDEX(implementatie[[2023]:[2034]],MATCH(G894, implementatie[Zoeksleutel],0),I894)</f>
        <v>0.37155887512870744</v>
      </c>
      <c r="K894" s="406" cm="1">
        <f t="array" ref="K894">INDEX(implementatie[[2023]:[2034]],MATCH(G894,implementatie[Zoeksleutel],0),I894 + 1)</f>
        <v>0.47752884860285211</v>
      </c>
      <c r="L89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24102.281111848995</v>
      </c>
      <c r="M894" s="398" cm="1">
        <f t="array" ref="M894">J894*INDEX(Berekening_impact[Totaal arbeidsbesparing (€/jaar)],MATCH(B894,IF(Berekening_impact[Doelgroep]=C894,Berekening_impact[Digitale zorgtoepassing]),0))</f>
        <v>362835.73985777487</v>
      </c>
      <c r="N894" s="397" cm="1">
        <f t="array" ref="N894">J894*INDEX(Berekening_impact[Totaal arbeidsbesparing (FTE/jaar)],MATCH(B894,IF(Berekening_impact[Doelgroep]=C894,Berekening_impact[Digitale zorgtoepassing]),0))</f>
        <v>6.2883820275814051</v>
      </c>
      <c r="O894" s="398" cm="1">
        <f t="array" ref="O894">J894*INDEX(Berekening_impact[Overige kostenbesparing (totaal/jaar totaal potentieel)],MATCH(B894,IF(Berekening_impact[Doelgroep]=C894,Berekening_impact[Digitale zorgtoepassing]),0))</f>
        <v>241890.49323851656</v>
      </c>
      <c r="P894" s="398" cm="1">
        <f t="array" ref="P894">J894*INDEX(Berekening_impact[Opbrengsten door QALY''s],MATCH(B894,IF(Berekening_impact[Doelgroep]=C894,Berekening_impact[Digitale zorgtoepassing]),0))</f>
        <v>2169205.3000664096</v>
      </c>
      <c r="Q894" s="398" cm="1">
        <f t="array" ref="Q894">J894*INDEX(Berekening_impact[Jaarlijkse kosten (totaal) - incl. schatting],MATCH(B894,IF(Berekening_impact[Doelgroep]=C894,Berekening_impact[Digitale zorgtoepassing]),0))</f>
        <v>1446136.8667109397</v>
      </c>
      <c r="R894" s="398" cm="1">
        <f t="array" ref="R894">(uitkomst_doelgroep[[#This Row],[Implementatiegraad t = T + 1]]-uitkomst_doelgroep[[#This Row],[Implementatiegraad t = T]])*INDEX(Berekening_impact[Initiële investering (totaal) - incl. schatting],MATCH(B894,IF(Berekening_impact[Doelgroep]=C894,Berekening_impact[Digitale zorgtoepassing]),0))</f>
        <v>0</v>
      </c>
      <c r="S894" s="398">
        <f>uitkomst_doelgroep[[#This Row],[Arbeidsbesparing (€)]]*uitkomst_doelgroep[[#This Row],[Percentage van patiëntaantallen in Wlz (overige is Zvw)]]</f>
        <v>0</v>
      </c>
      <c r="T894" s="398">
        <f>uitkomst_doelgroep[[#This Row],[Overige besparingen (€)]]*uitkomst_doelgroep[[#This Row],[Percentage van patiëntaantallen in Wlz (overige is Zvw)]]</f>
        <v>0</v>
      </c>
      <c r="U894" s="398">
        <f>uitkomst_doelgroep[[#This Row],[Kosten (€)]]*uitkomst_doelgroep[[#This Row],[Percentage van patiëntaantallen in Wlz (overige is Zvw)]]</f>
        <v>0</v>
      </c>
      <c r="V894" s="398">
        <f>uitkomst_doelgroep[[#This Row],[Investering (cash flow) (€)]]*uitkomst_doelgroep[[#This Row],[Percentage van patiëntaantallen in Wlz (overige is Zvw)]]</f>
        <v>0</v>
      </c>
    </row>
    <row r="895" spans="1:22" x14ac:dyDescent="0.5">
      <c r="A895" s="33" t="str">
        <f>INDEX(Technologieën[Veld],MATCH(B895,Technologieën[Digitale zorgtoepassing],0))</f>
        <v>Software - Behandeling</v>
      </c>
      <c r="B895" s="33" t="s">
        <v>716</v>
      </c>
      <c r="C895" s="33" t="s">
        <v>80</v>
      </c>
      <c r="D895" s="427" cm="1">
        <f t="array" ref="D895">INDEX(Berekening_patiëntaantal[Percentage van patiëntaantallen in Wlz (overige is Zvw)],MATCH(B895,IF(Berekening_patiëntaantal[Doelgroep (zoeksleutel)]=C895,Berekening_patiëntaantal[Digitale zorgtoepassing]),0))</f>
        <v>0</v>
      </c>
      <c r="E895" s="33" t="str" cm="1">
        <f t="array" ref="E895">INDEX(Berekening_patiëntaantal[Direct toepasbaar/extrapolatie/incidentie voor QALY],MATCH(B895,IF(Berekening_patiëntaantal[Doelgroep (zoeksleutel)]=C895,Berekening_patiëntaantal[Digitale zorgtoepassing]),0))</f>
        <v>Huidige toepassing</v>
      </c>
      <c r="F895" s="33" t="s">
        <v>813</v>
      </c>
      <c r="G895" s="33" t="str">
        <f>CONCATENATE(uitkomst_doelgroep[[#This Row],[Digitale zorgtoepassing]],"_",uitkomst_doelgroep[[#This Row],[Doelgroep]],"_",uitkomst_doelgroep[[#This Row],[Uitgangssituatie/effect beleid]])</f>
        <v>AI op de IC (ontslag beslissing)_IC_Uitgangssituatie</v>
      </c>
      <c r="H895" s="33">
        <v>2033</v>
      </c>
      <c r="I895" s="32">
        <v>11</v>
      </c>
      <c r="J895" s="406" cm="1">
        <f t="array" ref="J895">INDEX(implementatie[[2023]:[2034]],MATCH(G895, implementatie[Zoeksleutel],0),I895)</f>
        <v>0.47752884860285211</v>
      </c>
      <c r="K895" s="406" cm="1">
        <f t="array" ref="K895">INDEX(implementatie[[2023]:[2034]],MATCH(G895,implementatie[Zoeksleutel],0),I895 + 1)</f>
        <v>0.5877762905727496</v>
      </c>
      <c r="L89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30976.341351169809</v>
      </c>
      <c r="M895" s="398" cm="1">
        <f t="array" ref="M895">J895*INDEX(Berekening_impact[Totaal arbeidsbesparing (€/jaar)],MATCH(B895,IF(Berekening_impact[Doelgroep]=C895,Berekening_impact[Digitale zorgtoepassing]),0))</f>
        <v>466317.8427005104</v>
      </c>
      <c r="N895" s="397" cm="1">
        <f t="array" ref="N895">J895*INDEX(Berekening_impact[Totaal arbeidsbesparing (FTE/jaar)],MATCH(B895,IF(Berekening_impact[Doelgroep]=C895,Berekening_impact[Digitale zorgtoepassing]),0))</f>
        <v>8.0818519761252432</v>
      </c>
      <c r="O895" s="398" cm="1">
        <f t="array" ref="O895">J895*INDEX(Berekening_impact[Overige kostenbesparing (totaal/jaar totaal potentieel)],MATCH(B895,IF(Berekening_impact[Doelgroep]=C895,Berekening_impact[Digitale zorgtoepassing]),0))</f>
        <v>310878.56180034031</v>
      </c>
      <c r="P895" s="398" cm="1">
        <f t="array" ref="P895">J895*INDEX(Berekening_impact[Opbrengsten door QALY''s],MATCH(B895,IF(Berekening_impact[Doelgroep]=C895,Berekening_impact[Digitale zorgtoepassing]),0))</f>
        <v>2787870.7216052827</v>
      </c>
      <c r="Q895" s="398" cm="1">
        <f t="array" ref="Q895">J895*INDEX(Berekening_impact[Jaarlijkse kosten (totaal) - incl. schatting],MATCH(B895,IF(Berekening_impact[Doelgroep]=C895,Berekening_impact[Digitale zorgtoepassing]),0))</f>
        <v>1858580.4810701886</v>
      </c>
      <c r="R895" s="398" cm="1">
        <f t="array" ref="R895">(uitkomst_doelgroep[[#This Row],[Implementatiegraad t = T + 1]]-uitkomst_doelgroep[[#This Row],[Implementatiegraad t = T]])*INDEX(Berekening_impact[Initiële investering (totaal) - incl. schatting],MATCH(B895,IF(Berekening_impact[Doelgroep]=C895,Berekening_impact[Digitale zorgtoepassing]),0))</f>
        <v>0</v>
      </c>
      <c r="S895" s="398">
        <f>uitkomst_doelgroep[[#This Row],[Arbeidsbesparing (€)]]*uitkomst_doelgroep[[#This Row],[Percentage van patiëntaantallen in Wlz (overige is Zvw)]]</f>
        <v>0</v>
      </c>
      <c r="T895" s="398">
        <f>uitkomst_doelgroep[[#This Row],[Overige besparingen (€)]]*uitkomst_doelgroep[[#This Row],[Percentage van patiëntaantallen in Wlz (overige is Zvw)]]</f>
        <v>0</v>
      </c>
      <c r="U895" s="398">
        <f>uitkomst_doelgroep[[#This Row],[Kosten (€)]]*uitkomst_doelgroep[[#This Row],[Percentage van patiëntaantallen in Wlz (overige is Zvw)]]</f>
        <v>0</v>
      </c>
      <c r="V895" s="398">
        <f>uitkomst_doelgroep[[#This Row],[Investering (cash flow) (€)]]*uitkomst_doelgroep[[#This Row],[Percentage van patiëntaantallen in Wlz (overige is Zvw)]]</f>
        <v>0</v>
      </c>
    </row>
    <row r="896" spans="1:22" x14ac:dyDescent="0.5">
      <c r="A896" s="33" t="str">
        <f>INDEX(Technologieën[Veld],MATCH(B896,Technologieën[Digitale zorgtoepassing],0))</f>
        <v>Software - Diagnose</v>
      </c>
      <c r="B896" s="33" t="s">
        <v>66</v>
      </c>
      <c r="C896" s="33" t="s">
        <v>69</v>
      </c>
      <c r="D896" s="427" cm="1">
        <f t="array" ref="D896">INDEX(Berekening_patiëntaantal[Percentage van patiëntaantallen in Wlz (overige is Zvw)],MATCH(B896,IF(Berekening_patiëntaantal[Doelgroep (zoeksleutel)]=C896,Berekening_patiëntaantal[Digitale zorgtoepassing]),0))</f>
        <v>0</v>
      </c>
      <c r="E896" s="33" t="str" cm="1">
        <f t="array" ref="E896">INDEX(Berekening_patiëntaantal[Direct toepasbaar/extrapolatie/incidentie voor QALY],MATCH(B896,IF(Berekening_patiëntaantal[Doelgroep (zoeksleutel)]=C896,Berekening_patiëntaantal[Digitale zorgtoepassing]),0))</f>
        <v>Huidige toepassing</v>
      </c>
      <c r="F896" s="33" t="s">
        <v>813</v>
      </c>
      <c r="G896" s="33" t="str">
        <f>CONCATENATE(uitkomst_doelgroep[[#This Row],[Digitale zorgtoepassing]],"_",uitkomst_doelgroep[[#This Row],[Doelgroep]],"_",uitkomst_doelgroep[[#This Row],[Uitgangssituatie/effect beleid]])</f>
        <v>Apps voor cognitieve testen_Mild Cognitive Impairment_Uitgangssituatie</v>
      </c>
      <c r="H896" s="33">
        <v>2023</v>
      </c>
      <c r="I896" s="32">
        <v>1</v>
      </c>
      <c r="J896" s="406" cm="1">
        <f t="array" ref="J896">INDEX(implementatie[[2023]:[2034]],MATCH(G896, implementatie[Zoeksleutel],0),I896)</f>
        <v>0</v>
      </c>
      <c r="K896" s="406" cm="1">
        <f t="array" ref="K896">INDEX(implementatie[[2023]:[2034]],MATCH(G896,implementatie[Zoeksleutel],0),I896 + 1)</f>
        <v>0</v>
      </c>
      <c r="L89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896" s="398" cm="1">
        <f t="array" ref="M896">J896*INDEX(Berekening_impact[Totaal arbeidsbesparing (€/jaar)],MATCH(B896,IF(Berekening_impact[Doelgroep]=C896,Berekening_impact[Digitale zorgtoepassing]),0))</f>
        <v>0</v>
      </c>
      <c r="N896" s="397" cm="1">
        <f t="array" ref="N896">J896*INDEX(Berekening_impact[Totaal arbeidsbesparing (FTE/jaar)],MATCH(B896,IF(Berekening_impact[Doelgroep]=C896,Berekening_impact[Digitale zorgtoepassing]),0))</f>
        <v>0</v>
      </c>
      <c r="O896" s="398" cm="1">
        <f t="array" ref="O896">J896*INDEX(Berekening_impact[Overige kostenbesparing (totaal/jaar totaal potentieel)],MATCH(B896,IF(Berekening_impact[Doelgroep]=C896,Berekening_impact[Digitale zorgtoepassing]),0))</f>
        <v>0</v>
      </c>
      <c r="P896" s="398" cm="1">
        <f t="array" ref="P896">J896*INDEX(Berekening_impact[Opbrengsten door QALY''s],MATCH(B896,IF(Berekening_impact[Doelgroep]=C896,Berekening_impact[Digitale zorgtoepassing]),0))</f>
        <v>0</v>
      </c>
      <c r="Q896" s="398" cm="1">
        <f t="array" ref="Q896">J896*INDEX(Berekening_impact[Jaarlijkse kosten (totaal) - incl. schatting],MATCH(B896,IF(Berekening_impact[Doelgroep]=C896,Berekening_impact[Digitale zorgtoepassing]),0))</f>
        <v>0</v>
      </c>
      <c r="R896" s="398" cm="1">
        <f t="array" ref="R896">(uitkomst_doelgroep[[#This Row],[Implementatiegraad t = T + 1]]-uitkomst_doelgroep[[#This Row],[Implementatiegraad t = T]])*INDEX(Berekening_impact[Initiële investering (totaal) - incl. schatting],MATCH(B896,IF(Berekening_impact[Doelgroep]=C896,Berekening_impact[Digitale zorgtoepassing]),0))</f>
        <v>0</v>
      </c>
      <c r="S896" s="398">
        <f>uitkomst_doelgroep[[#This Row],[Arbeidsbesparing (€)]]*uitkomst_doelgroep[[#This Row],[Percentage van patiëntaantallen in Wlz (overige is Zvw)]]</f>
        <v>0</v>
      </c>
      <c r="T896" s="398">
        <f>uitkomst_doelgroep[[#This Row],[Overige besparingen (€)]]*uitkomst_doelgroep[[#This Row],[Percentage van patiëntaantallen in Wlz (overige is Zvw)]]</f>
        <v>0</v>
      </c>
      <c r="U896" s="398">
        <f>uitkomst_doelgroep[[#This Row],[Kosten (€)]]*uitkomst_doelgroep[[#This Row],[Percentage van patiëntaantallen in Wlz (overige is Zvw)]]</f>
        <v>0</v>
      </c>
      <c r="V896" s="398">
        <f>uitkomst_doelgroep[[#This Row],[Investering (cash flow) (€)]]*uitkomst_doelgroep[[#This Row],[Percentage van patiëntaantallen in Wlz (overige is Zvw)]]</f>
        <v>0</v>
      </c>
    </row>
    <row r="897" spans="1:22" x14ac:dyDescent="0.5">
      <c r="A897" s="33" t="str">
        <f>INDEX(Technologieën[Veld],MATCH(B897,Technologieën[Digitale zorgtoepassing],0))</f>
        <v>Software - Diagnose</v>
      </c>
      <c r="B897" s="33" t="s">
        <v>66</v>
      </c>
      <c r="C897" s="33" t="s">
        <v>67</v>
      </c>
      <c r="D897" s="427" cm="1">
        <f t="array" ref="D897">INDEX(Berekening_patiëntaantal[Percentage van patiëntaantallen in Wlz (overige is Zvw)],MATCH(B897,IF(Berekening_patiëntaantal[Doelgroep (zoeksleutel)]=C897,Berekening_patiëntaantal[Digitale zorgtoepassing]),0))</f>
        <v>0</v>
      </c>
      <c r="E897" s="33" t="str" cm="1">
        <f t="array" ref="E897">INDEX(Berekening_patiëntaantal[Direct toepasbaar/extrapolatie/incidentie voor QALY],MATCH(B897,IF(Berekening_patiëntaantal[Doelgroep (zoeksleutel)]=C897,Berekening_patiëntaantal[Digitale zorgtoepassing]),0))</f>
        <v>Huidige toepassing</v>
      </c>
      <c r="F897" s="33" t="s">
        <v>813</v>
      </c>
      <c r="G897" s="33" t="str">
        <f>CONCATENATE(uitkomst_doelgroep[[#This Row],[Digitale zorgtoepassing]],"_",uitkomst_doelgroep[[#This Row],[Doelgroep]],"_",uitkomst_doelgroep[[#This Row],[Uitgangssituatie/effect beleid]])</f>
        <v>Apps voor cognitieve testen_Multiple Sclerosis_Uitgangssituatie</v>
      </c>
      <c r="H897" s="33">
        <v>2023</v>
      </c>
      <c r="I897" s="32">
        <v>1</v>
      </c>
      <c r="J897" s="406" cm="1">
        <f t="array" ref="J897">INDEX(implementatie[[2023]:[2034]],MATCH(G897, implementatie[Zoeksleutel],0),I897)</f>
        <v>0</v>
      </c>
      <c r="K897" s="406" cm="1">
        <f t="array" ref="K897">INDEX(implementatie[[2023]:[2034]],MATCH(G897,implementatie[Zoeksleutel],0),I897 + 1)</f>
        <v>0</v>
      </c>
      <c r="L89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897" s="398" cm="1">
        <f t="array" ref="M897">J897*INDEX(Berekening_impact[Totaal arbeidsbesparing (€/jaar)],MATCH(B897,IF(Berekening_impact[Doelgroep]=C897,Berekening_impact[Digitale zorgtoepassing]),0))</f>
        <v>0</v>
      </c>
      <c r="N897" s="397" cm="1">
        <f t="array" ref="N897">J897*INDEX(Berekening_impact[Totaal arbeidsbesparing (FTE/jaar)],MATCH(B897,IF(Berekening_impact[Doelgroep]=C897,Berekening_impact[Digitale zorgtoepassing]),0))</f>
        <v>0</v>
      </c>
      <c r="O897" s="398" cm="1">
        <f t="array" ref="O897">J897*INDEX(Berekening_impact[Overige kostenbesparing (totaal/jaar totaal potentieel)],MATCH(B897,IF(Berekening_impact[Doelgroep]=C897,Berekening_impact[Digitale zorgtoepassing]),0))</f>
        <v>0</v>
      </c>
      <c r="P897" s="398" cm="1">
        <f t="array" ref="P897">J897*INDEX(Berekening_impact[Opbrengsten door QALY''s],MATCH(B897,IF(Berekening_impact[Doelgroep]=C897,Berekening_impact[Digitale zorgtoepassing]),0))</f>
        <v>0</v>
      </c>
      <c r="Q897" s="398" cm="1">
        <f t="array" ref="Q897">J897*INDEX(Berekening_impact[Jaarlijkse kosten (totaal) - incl. schatting],MATCH(B897,IF(Berekening_impact[Doelgroep]=C897,Berekening_impact[Digitale zorgtoepassing]),0))</f>
        <v>0</v>
      </c>
      <c r="R897" s="398" cm="1">
        <f t="array" ref="R897">(uitkomst_doelgroep[[#This Row],[Implementatiegraad t = T + 1]]-uitkomst_doelgroep[[#This Row],[Implementatiegraad t = T]])*INDEX(Berekening_impact[Initiële investering (totaal) - incl. schatting],MATCH(B897,IF(Berekening_impact[Doelgroep]=C897,Berekening_impact[Digitale zorgtoepassing]),0))</f>
        <v>0</v>
      </c>
      <c r="S897" s="398">
        <f>uitkomst_doelgroep[[#This Row],[Arbeidsbesparing (€)]]*uitkomst_doelgroep[[#This Row],[Percentage van patiëntaantallen in Wlz (overige is Zvw)]]</f>
        <v>0</v>
      </c>
      <c r="T897" s="398">
        <f>uitkomst_doelgroep[[#This Row],[Overige besparingen (€)]]*uitkomst_doelgroep[[#This Row],[Percentage van patiëntaantallen in Wlz (overige is Zvw)]]</f>
        <v>0</v>
      </c>
      <c r="U897" s="398">
        <f>uitkomst_doelgroep[[#This Row],[Kosten (€)]]*uitkomst_doelgroep[[#This Row],[Percentage van patiëntaantallen in Wlz (overige is Zvw)]]</f>
        <v>0</v>
      </c>
      <c r="V897" s="398">
        <f>uitkomst_doelgroep[[#This Row],[Investering (cash flow) (€)]]*uitkomst_doelgroep[[#This Row],[Percentage van patiëntaantallen in Wlz (overige is Zvw)]]</f>
        <v>0</v>
      </c>
    </row>
    <row r="898" spans="1:22" x14ac:dyDescent="0.5">
      <c r="A898" s="33" t="str">
        <f>INDEX(Technologieën[Veld],MATCH(B898,Technologieën[Digitale zorgtoepassing],0))</f>
        <v>Software - Diagnose</v>
      </c>
      <c r="B898" s="33" t="s">
        <v>66</v>
      </c>
      <c r="C898" s="33" t="s">
        <v>69</v>
      </c>
      <c r="D898" s="427" cm="1">
        <f t="array" ref="D898">INDEX(Berekening_patiëntaantal[Percentage van patiëntaantallen in Wlz (overige is Zvw)],MATCH(B898,IF(Berekening_patiëntaantal[Doelgroep (zoeksleutel)]=C898,Berekening_patiëntaantal[Digitale zorgtoepassing]),0))</f>
        <v>0</v>
      </c>
      <c r="E898" s="33" t="str" cm="1">
        <f t="array" ref="E898">INDEX(Berekening_patiëntaantal[Direct toepasbaar/extrapolatie/incidentie voor QALY],MATCH(B898,IF(Berekening_patiëntaantal[Doelgroep (zoeksleutel)]=C898,Berekening_patiëntaantal[Digitale zorgtoepassing]),0))</f>
        <v>Huidige toepassing</v>
      </c>
      <c r="F898" s="33" t="s">
        <v>813</v>
      </c>
      <c r="G898" s="33" t="str">
        <f>CONCATENATE(uitkomst_doelgroep[[#This Row],[Digitale zorgtoepassing]],"_",uitkomst_doelgroep[[#This Row],[Doelgroep]],"_",uitkomst_doelgroep[[#This Row],[Uitgangssituatie/effect beleid]])</f>
        <v>Apps voor cognitieve testen_Mild Cognitive Impairment_Uitgangssituatie</v>
      </c>
      <c r="H898" s="33">
        <v>2024</v>
      </c>
      <c r="I898" s="32">
        <v>2</v>
      </c>
      <c r="J898" s="406" cm="1">
        <f t="array" ref="J898">INDEX(implementatie[[2023]:[2034]],MATCH(G898, implementatie[Zoeksleutel],0),I898)</f>
        <v>0</v>
      </c>
      <c r="K898" s="406" cm="1">
        <f t="array" ref="K898">INDEX(implementatie[[2023]:[2034]],MATCH(G898,implementatie[Zoeksleutel],0),I898 + 1)</f>
        <v>0</v>
      </c>
      <c r="L89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898" s="398" cm="1">
        <f t="array" ref="M898">J898*INDEX(Berekening_impact[Totaal arbeidsbesparing (€/jaar)],MATCH(B898,IF(Berekening_impact[Doelgroep]=C898,Berekening_impact[Digitale zorgtoepassing]),0))</f>
        <v>0</v>
      </c>
      <c r="N898" s="397" cm="1">
        <f t="array" ref="N898">J898*INDEX(Berekening_impact[Totaal arbeidsbesparing (FTE/jaar)],MATCH(B898,IF(Berekening_impact[Doelgroep]=C898,Berekening_impact[Digitale zorgtoepassing]),0))</f>
        <v>0</v>
      </c>
      <c r="O898" s="398" cm="1">
        <f t="array" ref="O898">J898*INDEX(Berekening_impact[Overige kostenbesparing (totaal/jaar totaal potentieel)],MATCH(B898,IF(Berekening_impact[Doelgroep]=C898,Berekening_impact[Digitale zorgtoepassing]),0))</f>
        <v>0</v>
      </c>
      <c r="P898" s="398" cm="1">
        <f t="array" ref="P898">J898*INDEX(Berekening_impact[Opbrengsten door QALY''s],MATCH(B898,IF(Berekening_impact[Doelgroep]=C898,Berekening_impact[Digitale zorgtoepassing]),0))</f>
        <v>0</v>
      </c>
      <c r="Q898" s="398" cm="1">
        <f t="array" ref="Q898">J898*INDEX(Berekening_impact[Jaarlijkse kosten (totaal) - incl. schatting],MATCH(B898,IF(Berekening_impact[Doelgroep]=C898,Berekening_impact[Digitale zorgtoepassing]),0))</f>
        <v>0</v>
      </c>
      <c r="R898" s="398" cm="1">
        <f t="array" ref="R898">(uitkomst_doelgroep[[#This Row],[Implementatiegraad t = T + 1]]-uitkomst_doelgroep[[#This Row],[Implementatiegraad t = T]])*INDEX(Berekening_impact[Initiële investering (totaal) - incl. schatting],MATCH(B898,IF(Berekening_impact[Doelgroep]=C898,Berekening_impact[Digitale zorgtoepassing]),0))</f>
        <v>0</v>
      </c>
      <c r="S898" s="398">
        <f>uitkomst_doelgroep[[#This Row],[Arbeidsbesparing (€)]]*uitkomst_doelgroep[[#This Row],[Percentage van patiëntaantallen in Wlz (overige is Zvw)]]</f>
        <v>0</v>
      </c>
      <c r="T898" s="398">
        <f>uitkomst_doelgroep[[#This Row],[Overige besparingen (€)]]*uitkomst_doelgroep[[#This Row],[Percentage van patiëntaantallen in Wlz (overige is Zvw)]]</f>
        <v>0</v>
      </c>
      <c r="U898" s="398">
        <f>uitkomst_doelgroep[[#This Row],[Kosten (€)]]*uitkomst_doelgroep[[#This Row],[Percentage van patiëntaantallen in Wlz (overige is Zvw)]]</f>
        <v>0</v>
      </c>
      <c r="V898" s="398">
        <f>uitkomst_doelgroep[[#This Row],[Investering (cash flow) (€)]]*uitkomst_doelgroep[[#This Row],[Percentage van patiëntaantallen in Wlz (overige is Zvw)]]</f>
        <v>0</v>
      </c>
    </row>
    <row r="899" spans="1:22" x14ac:dyDescent="0.5">
      <c r="A899" s="33" t="str">
        <f>INDEX(Technologieën[Veld],MATCH(B899,Technologieën[Digitale zorgtoepassing],0))</f>
        <v>Software - Diagnose</v>
      </c>
      <c r="B899" s="33" t="s">
        <v>66</v>
      </c>
      <c r="C899" s="33" t="s">
        <v>67</v>
      </c>
      <c r="D899" s="427" cm="1">
        <f t="array" ref="D899">INDEX(Berekening_patiëntaantal[Percentage van patiëntaantallen in Wlz (overige is Zvw)],MATCH(B899,IF(Berekening_patiëntaantal[Doelgroep (zoeksleutel)]=C899,Berekening_patiëntaantal[Digitale zorgtoepassing]),0))</f>
        <v>0</v>
      </c>
      <c r="E899" s="33" t="str" cm="1">
        <f t="array" ref="E899">INDEX(Berekening_patiëntaantal[Direct toepasbaar/extrapolatie/incidentie voor QALY],MATCH(B899,IF(Berekening_patiëntaantal[Doelgroep (zoeksleutel)]=C899,Berekening_patiëntaantal[Digitale zorgtoepassing]),0))</f>
        <v>Huidige toepassing</v>
      </c>
      <c r="F899" s="33" t="s">
        <v>813</v>
      </c>
      <c r="G899" s="33" t="str">
        <f>CONCATENATE(uitkomst_doelgroep[[#This Row],[Digitale zorgtoepassing]],"_",uitkomst_doelgroep[[#This Row],[Doelgroep]],"_",uitkomst_doelgroep[[#This Row],[Uitgangssituatie/effect beleid]])</f>
        <v>Apps voor cognitieve testen_Multiple Sclerosis_Uitgangssituatie</v>
      </c>
      <c r="H899" s="33">
        <v>2024</v>
      </c>
      <c r="I899" s="32">
        <v>2</v>
      </c>
      <c r="J899" s="406" cm="1">
        <f t="array" ref="J899">INDEX(implementatie[[2023]:[2034]],MATCH(G899, implementatie[Zoeksleutel],0),I899)</f>
        <v>0</v>
      </c>
      <c r="K899" s="406" cm="1">
        <f t="array" ref="K899">INDEX(implementatie[[2023]:[2034]],MATCH(G899,implementatie[Zoeksleutel],0),I899 + 1)</f>
        <v>0</v>
      </c>
      <c r="L89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899" s="398" cm="1">
        <f t="array" ref="M899">J899*INDEX(Berekening_impact[Totaal arbeidsbesparing (€/jaar)],MATCH(B899,IF(Berekening_impact[Doelgroep]=C899,Berekening_impact[Digitale zorgtoepassing]),0))</f>
        <v>0</v>
      </c>
      <c r="N899" s="397" cm="1">
        <f t="array" ref="N899">J899*INDEX(Berekening_impact[Totaal arbeidsbesparing (FTE/jaar)],MATCH(B899,IF(Berekening_impact[Doelgroep]=C899,Berekening_impact[Digitale zorgtoepassing]),0))</f>
        <v>0</v>
      </c>
      <c r="O899" s="398" cm="1">
        <f t="array" ref="O899">J899*INDEX(Berekening_impact[Overige kostenbesparing (totaal/jaar totaal potentieel)],MATCH(B899,IF(Berekening_impact[Doelgroep]=C899,Berekening_impact[Digitale zorgtoepassing]),0))</f>
        <v>0</v>
      </c>
      <c r="P899" s="398" cm="1">
        <f t="array" ref="P899">J899*INDEX(Berekening_impact[Opbrengsten door QALY''s],MATCH(B899,IF(Berekening_impact[Doelgroep]=C899,Berekening_impact[Digitale zorgtoepassing]),0))</f>
        <v>0</v>
      </c>
      <c r="Q899" s="398" cm="1">
        <f t="array" ref="Q899">J899*INDEX(Berekening_impact[Jaarlijkse kosten (totaal) - incl. schatting],MATCH(B899,IF(Berekening_impact[Doelgroep]=C899,Berekening_impact[Digitale zorgtoepassing]),0))</f>
        <v>0</v>
      </c>
      <c r="R899" s="398" cm="1">
        <f t="array" ref="R899">(uitkomst_doelgroep[[#This Row],[Implementatiegraad t = T + 1]]-uitkomst_doelgroep[[#This Row],[Implementatiegraad t = T]])*INDEX(Berekening_impact[Initiële investering (totaal) - incl. schatting],MATCH(B899,IF(Berekening_impact[Doelgroep]=C899,Berekening_impact[Digitale zorgtoepassing]),0))</f>
        <v>0</v>
      </c>
      <c r="S899" s="398">
        <f>uitkomst_doelgroep[[#This Row],[Arbeidsbesparing (€)]]*uitkomst_doelgroep[[#This Row],[Percentage van patiëntaantallen in Wlz (overige is Zvw)]]</f>
        <v>0</v>
      </c>
      <c r="T899" s="398">
        <f>uitkomst_doelgroep[[#This Row],[Overige besparingen (€)]]*uitkomst_doelgroep[[#This Row],[Percentage van patiëntaantallen in Wlz (overige is Zvw)]]</f>
        <v>0</v>
      </c>
      <c r="U899" s="398">
        <f>uitkomst_doelgroep[[#This Row],[Kosten (€)]]*uitkomst_doelgroep[[#This Row],[Percentage van patiëntaantallen in Wlz (overige is Zvw)]]</f>
        <v>0</v>
      </c>
      <c r="V899" s="398">
        <f>uitkomst_doelgroep[[#This Row],[Investering (cash flow) (€)]]*uitkomst_doelgroep[[#This Row],[Percentage van patiëntaantallen in Wlz (overige is Zvw)]]</f>
        <v>0</v>
      </c>
    </row>
    <row r="900" spans="1:22" x14ac:dyDescent="0.5">
      <c r="A900" s="33" t="str">
        <f>INDEX(Technologieën[Veld],MATCH(B900,Technologieën[Digitale zorgtoepassing],0))</f>
        <v>Software - Diagnose</v>
      </c>
      <c r="B900" s="33" t="s">
        <v>66</v>
      </c>
      <c r="C900" s="33" t="s">
        <v>69</v>
      </c>
      <c r="D900" s="427" cm="1">
        <f t="array" ref="D900">INDEX(Berekening_patiëntaantal[Percentage van patiëntaantallen in Wlz (overige is Zvw)],MATCH(B900,IF(Berekening_patiëntaantal[Doelgroep (zoeksleutel)]=C900,Berekening_patiëntaantal[Digitale zorgtoepassing]),0))</f>
        <v>0</v>
      </c>
      <c r="E900" s="33" t="str" cm="1">
        <f t="array" ref="E900">INDEX(Berekening_patiëntaantal[Direct toepasbaar/extrapolatie/incidentie voor QALY],MATCH(B900,IF(Berekening_patiëntaantal[Doelgroep (zoeksleutel)]=C900,Berekening_patiëntaantal[Digitale zorgtoepassing]),0))</f>
        <v>Huidige toepassing</v>
      </c>
      <c r="F900" s="33" t="s">
        <v>813</v>
      </c>
      <c r="G900" s="33" t="str">
        <f>CONCATENATE(uitkomst_doelgroep[[#This Row],[Digitale zorgtoepassing]],"_",uitkomst_doelgroep[[#This Row],[Doelgroep]],"_",uitkomst_doelgroep[[#This Row],[Uitgangssituatie/effect beleid]])</f>
        <v>Apps voor cognitieve testen_Mild Cognitive Impairment_Uitgangssituatie</v>
      </c>
      <c r="H900" s="33">
        <v>2025</v>
      </c>
      <c r="I900" s="32">
        <v>3</v>
      </c>
      <c r="J900" s="406" cm="1">
        <f t="array" ref="J900">INDEX(implementatie[[2023]:[2034]],MATCH(G900, implementatie[Zoeksleutel],0),I900)</f>
        <v>0</v>
      </c>
      <c r="K900" s="406" cm="1">
        <f t="array" ref="K900">INDEX(implementatie[[2023]:[2034]],MATCH(G900,implementatie[Zoeksleutel],0),I900 + 1)</f>
        <v>0.02</v>
      </c>
      <c r="L90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900" s="398" cm="1">
        <f t="array" ref="M900">J900*INDEX(Berekening_impact[Totaal arbeidsbesparing (€/jaar)],MATCH(B900,IF(Berekening_impact[Doelgroep]=C900,Berekening_impact[Digitale zorgtoepassing]),0))</f>
        <v>0</v>
      </c>
      <c r="N900" s="397" cm="1">
        <f t="array" ref="N900">J900*INDEX(Berekening_impact[Totaal arbeidsbesparing (FTE/jaar)],MATCH(B900,IF(Berekening_impact[Doelgroep]=C900,Berekening_impact[Digitale zorgtoepassing]),0))</f>
        <v>0</v>
      </c>
      <c r="O900" s="398" cm="1">
        <f t="array" ref="O900">J900*INDEX(Berekening_impact[Overige kostenbesparing (totaal/jaar totaal potentieel)],MATCH(B900,IF(Berekening_impact[Doelgroep]=C900,Berekening_impact[Digitale zorgtoepassing]),0))</f>
        <v>0</v>
      </c>
      <c r="P900" s="398" cm="1">
        <f t="array" ref="P900">J900*INDEX(Berekening_impact[Opbrengsten door QALY''s],MATCH(B900,IF(Berekening_impact[Doelgroep]=C900,Berekening_impact[Digitale zorgtoepassing]),0))</f>
        <v>0</v>
      </c>
      <c r="Q900" s="398" cm="1">
        <f t="array" ref="Q900">J900*INDEX(Berekening_impact[Jaarlijkse kosten (totaal) - incl. schatting],MATCH(B900,IF(Berekening_impact[Doelgroep]=C900,Berekening_impact[Digitale zorgtoepassing]),0))</f>
        <v>0</v>
      </c>
      <c r="R900" s="398" cm="1">
        <f t="array" ref="R900">(uitkomst_doelgroep[[#This Row],[Implementatiegraad t = T + 1]]-uitkomst_doelgroep[[#This Row],[Implementatiegraad t = T]])*INDEX(Berekening_impact[Initiële investering (totaal) - incl. schatting],MATCH(B900,IF(Berekening_impact[Doelgroep]=C900,Berekening_impact[Digitale zorgtoepassing]),0))</f>
        <v>0</v>
      </c>
      <c r="S900" s="398">
        <f>uitkomst_doelgroep[[#This Row],[Arbeidsbesparing (€)]]*uitkomst_doelgroep[[#This Row],[Percentage van patiëntaantallen in Wlz (overige is Zvw)]]</f>
        <v>0</v>
      </c>
      <c r="T900" s="398">
        <f>uitkomst_doelgroep[[#This Row],[Overige besparingen (€)]]*uitkomst_doelgroep[[#This Row],[Percentage van patiëntaantallen in Wlz (overige is Zvw)]]</f>
        <v>0</v>
      </c>
      <c r="U900" s="398">
        <f>uitkomst_doelgroep[[#This Row],[Kosten (€)]]*uitkomst_doelgroep[[#This Row],[Percentage van patiëntaantallen in Wlz (overige is Zvw)]]</f>
        <v>0</v>
      </c>
      <c r="V900" s="398">
        <f>uitkomst_doelgroep[[#This Row],[Investering (cash flow) (€)]]*uitkomst_doelgroep[[#This Row],[Percentage van patiëntaantallen in Wlz (overige is Zvw)]]</f>
        <v>0</v>
      </c>
    </row>
    <row r="901" spans="1:22" x14ac:dyDescent="0.5">
      <c r="A901" s="33" t="str">
        <f>INDEX(Technologieën[Veld],MATCH(B901,Technologieën[Digitale zorgtoepassing],0))</f>
        <v>Software - Diagnose</v>
      </c>
      <c r="B901" s="33" t="s">
        <v>66</v>
      </c>
      <c r="C901" s="33" t="s">
        <v>67</v>
      </c>
      <c r="D901" s="427" cm="1">
        <f t="array" ref="D901">INDEX(Berekening_patiëntaantal[Percentage van patiëntaantallen in Wlz (overige is Zvw)],MATCH(B901,IF(Berekening_patiëntaantal[Doelgroep (zoeksleutel)]=C901,Berekening_patiëntaantal[Digitale zorgtoepassing]),0))</f>
        <v>0</v>
      </c>
      <c r="E901" s="33" t="str" cm="1">
        <f t="array" ref="E901">INDEX(Berekening_patiëntaantal[Direct toepasbaar/extrapolatie/incidentie voor QALY],MATCH(B901,IF(Berekening_patiëntaantal[Doelgroep (zoeksleutel)]=C901,Berekening_patiëntaantal[Digitale zorgtoepassing]),0))</f>
        <v>Huidige toepassing</v>
      </c>
      <c r="F901" s="33" t="s">
        <v>813</v>
      </c>
      <c r="G901" s="33" t="str">
        <f>CONCATENATE(uitkomst_doelgroep[[#This Row],[Digitale zorgtoepassing]],"_",uitkomst_doelgroep[[#This Row],[Doelgroep]],"_",uitkomst_doelgroep[[#This Row],[Uitgangssituatie/effect beleid]])</f>
        <v>Apps voor cognitieve testen_Multiple Sclerosis_Uitgangssituatie</v>
      </c>
      <c r="H901" s="33">
        <v>2025</v>
      </c>
      <c r="I901" s="32">
        <v>3</v>
      </c>
      <c r="J901" s="406" cm="1">
        <f t="array" ref="J901">INDEX(implementatie[[2023]:[2034]],MATCH(G901, implementatie[Zoeksleutel],0),I901)</f>
        <v>0</v>
      </c>
      <c r="K901" s="406" cm="1">
        <f t="array" ref="K901">INDEX(implementatie[[2023]:[2034]],MATCH(G901,implementatie[Zoeksleutel],0),I901 + 1)</f>
        <v>0.02</v>
      </c>
      <c r="L90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901" s="398" cm="1">
        <f t="array" ref="M901">J901*INDEX(Berekening_impact[Totaal arbeidsbesparing (€/jaar)],MATCH(B901,IF(Berekening_impact[Doelgroep]=C901,Berekening_impact[Digitale zorgtoepassing]),0))</f>
        <v>0</v>
      </c>
      <c r="N901" s="397" cm="1">
        <f t="array" ref="N901">J901*INDEX(Berekening_impact[Totaal arbeidsbesparing (FTE/jaar)],MATCH(B901,IF(Berekening_impact[Doelgroep]=C901,Berekening_impact[Digitale zorgtoepassing]),0))</f>
        <v>0</v>
      </c>
      <c r="O901" s="398" cm="1">
        <f t="array" ref="O901">J901*INDEX(Berekening_impact[Overige kostenbesparing (totaal/jaar totaal potentieel)],MATCH(B901,IF(Berekening_impact[Doelgroep]=C901,Berekening_impact[Digitale zorgtoepassing]),0))</f>
        <v>0</v>
      </c>
      <c r="P901" s="398" cm="1">
        <f t="array" ref="P901">J901*INDEX(Berekening_impact[Opbrengsten door QALY''s],MATCH(B901,IF(Berekening_impact[Doelgroep]=C901,Berekening_impact[Digitale zorgtoepassing]),0))</f>
        <v>0</v>
      </c>
      <c r="Q901" s="398" cm="1">
        <f t="array" ref="Q901">J901*INDEX(Berekening_impact[Jaarlijkse kosten (totaal) - incl. schatting],MATCH(B901,IF(Berekening_impact[Doelgroep]=C901,Berekening_impact[Digitale zorgtoepassing]),0))</f>
        <v>0</v>
      </c>
      <c r="R901" s="398" cm="1">
        <f t="array" ref="R901">(uitkomst_doelgroep[[#This Row],[Implementatiegraad t = T + 1]]-uitkomst_doelgroep[[#This Row],[Implementatiegraad t = T]])*INDEX(Berekening_impact[Initiële investering (totaal) - incl. schatting],MATCH(B901,IF(Berekening_impact[Doelgroep]=C901,Berekening_impact[Digitale zorgtoepassing]),0))</f>
        <v>0</v>
      </c>
      <c r="S901" s="398">
        <f>uitkomst_doelgroep[[#This Row],[Arbeidsbesparing (€)]]*uitkomst_doelgroep[[#This Row],[Percentage van patiëntaantallen in Wlz (overige is Zvw)]]</f>
        <v>0</v>
      </c>
      <c r="T901" s="398">
        <f>uitkomst_doelgroep[[#This Row],[Overige besparingen (€)]]*uitkomst_doelgroep[[#This Row],[Percentage van patiëntaantallen in Wlz (overige is Zvw)]]</f>
        <v>0</v>
      </c>
      <c r="U901" s="398">
        <f>uitkomst_doelgroep[[#This Row],[Kosten (€)]]*uitkomst_doelgroep[[#This Row],[Percentage van patiëntaantallen in Wlz (overige is Zvw)]]</f>
        <v>0</v>
      </c>
      <c r="V901" s="398">
        <f>uitkomst_doelgroep[[#This Row],[Investering (cash flow) (€)]]*uitkomst_doelgroep[[#This Row],[Percentage van patiëntaantallen in Wlz (overige is Zvw)]]</f>
        <v>0</v>
      </c>
    </row>
    <row r="902" spans="1:22" x14ac:dyDescent="0.5">
      <c r="A902" s="33" t="str">
        <f>INDEX(Technologieën[Veld],MATCH(B902,Technologieën[Digitale zorgtoepassing],0))</f>
        <v>Software - Diagnose</v>
      </c>
      <c r="B902" s="33" t="s">
        <v>66</v>
      </c>
      <c r="C902" s="33" t="s">
        <v>69</v>
      </c>
      <c r="D902" s="427" cm="1">
        <f t="array" ref="D902">INDEX(Berekening_patiëntaantal[Percentage van patiëntaantallen in Wlz (overige is Zvw)],MATCH(B902,IF(Berekening_patiëntaantal[Doelgroep (zoeksleutel)]=C902,Berekening_patiëntaantal[Digitale zorgtoepassing]),0))</f>
        <v>0</v>
      </c>
      <c r="E902" s="33" t="str" cm="1">
        <f t="array" ref="E902">INDEX(Berekening_patiëntaantal[Direct toepasbaar/extrapolatie/incidentie voor QALY],MATCH(B902,IF(Berekening_patiëntaantal[Doelgroep (zoeksleutel)]=C902,Berekening_patiëntaantal[Digitale zorgtoepassing]),0))</f>
        <v>Huidige toepassing</v>
      </c>
      <c r="F902" s="33" t="s">
        <v>813</v>
      </c>
      <c r="G902" s="33" t="str">
        <f>CONCATENATE(uitkomst_doelgroep[[#This Row],[Digitale zorgtoepassing]],"_",uitkomst_doelgroep[[#This Row],[Doelgroep]],"_",uitkomst_doelgroep[[#This Row],[Uitgangssituatie/effect beleid]])</f>
        <v>Apps voor cognitieve testen_Mild Cognitive Impairment_Uitgangssituatie</v>
      </c>
      <c r="H902" s="33">
        <v>2026</v>
      </c>
      <c r="I902" s="32">
        <v>4</v>
      </c>
      <c r="J902" s="406" cm="1">
        <f t="array" ref="J902">INDEX(implementatie[[2023]:[2034]],MATCH(G902, implementatie[Zoeksleutel],0),I902)</f>
        <v>0.02</v>
      </c>
      <c r="K902" s="406" cm="1">
        <f t="array" ref="K902">INDEX(implementatie[[2023]:[2034]],MATCH(G902,implementatie[Zoeksleutel],0),I902 + 1)</f>
        <v>4.7439999999999996E-2</v>
      </c>
      <c r="L90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2995.63375</v>
      </c>
      <c r="M902" s="398" cm="1">
        <f t="array" ref="M902">J902*INDEX(Berekening_impact[Totaal arbeidsbesparing (€/jaar)],MATCH(B902,IF(Berekening_impact[Doelgroep]=C902,Berekening_impact[Digitale zorgtoepassing]),0))</f>
        <v>90637.289259159486</v>
      </c>
      <c r="N902" s="397" cm="1">
        <f t="array" ref="N902">J902*INDEX(Berekening_impact[Totaal arbeidsbesparing (FTE/jaar)],MATCH(B902,IF(Berekening_impact[Doelgroep]=C902,Berekening_impact[Digitale zorgtoepassing]),0))</f>
        <v>1.0801564002403845</v>
      </c>
      <c r="O902" s="398" cm="1">
        <f t="array" ref="O902">J902*INDEX(Berekening_impact[Overige kostenbesparing (totaal/jaar totaal potentieel)],MATCH(B902,IF(Berekening_impact[Doelgroep]=C902,Berekening_impact[Digitale zorgtoepassing]),0))</f>
        <v>0</v>
      </c>
      <c r="P902" s="398" cm="1">
        <f t="array" ref="P902">J902*INDEX(Berekening_impact[Opbrengsten door QALY''s],MATCH(B902,IF(Berekening_impact[Doelgroep]=C902,Berekening_impact[Digitale zorgtoepassing]),0))</f>
        <v>0</v>
      </c>
      <c r="Q902" s="398" cm="1">
        <f t="array" ref="Q902">J902*INDEX(Berekening_impact[Jaarlijkse kosten (totaal) - incl. schatting],MATCH(B902,IF(Berekening_impact[Doelgroep]=C902,Berekening_impact[Digitale zorgtoepassing]),0))</f>
        <v>77026.442491002294</v>
      </c>
      <c r="R902" s="398" cm="1">
        <f t="array" ref="R902">(uitkomst_doelgroep[[#This Row],[Implementatiegraad t = T + 1]]-uitkomst_doelgroep[[#This Row],[Implementatiegraad t = T]])*INDEX(Berekening_impact[Initiële investering (totaal) - incl. schatting],MATCH(B902,IF(Berekening_impact[Doelgroep]=C902,Berekening_impact[Digitale zorgtoepassing]),0))</f>
        <v>0</v>
      </c>
      <c r="S902" s="398">
        <f>uitkomst_doelgroep[[#This Row],[Arbeidsbesparing (€)]]*uitkomst_doelgroep[[#This Row],[Percentage van patiëntaantallen in Wlz (overige is Zvw)]]</f>
        <v>0</v>
      </c>
      <c r="T902" s="398">
        <f>uitkomst_doelgroep[[#This Row],[Overige besparingen (€)]]*uitkomst_doelgroep[[#This Row],[Percentage van patiëntaantallen in Wlz (overige is Zvw)]]</f>
        <v>0</v>
      </c>
      <c r="U902" s="398">
        <f>uitkomst_doelgroep[[#This Row],[Kosten (€)]]*uitkomst_doelgroep[[#This Row],[Percentage van patiëntaantallen in Wlz (overige is Zvw)]]</f>
        <v>0</v>
      </c>
      <c r="V902" s="398">
        <f>uitkomst_doelgroep[[#This Row],[Investering (cash flow) (€)]]*uitkomst_doelgroep[[#This Row],[Percentage van patiëntaantallen in Wlz (overige is Zvw)]]</f>
        <v>0</v>
      </c>
    </row>
    <row r="903" spans="1:22" x14ac:dyDescent="0.5">
      <c r="A903" s="33" t="str">
        <f>INDEX(Technologieën[Veld],MATCH(B903,Technologieën[Digitale zorgtoepassing],0))</f>
        <v>Software - Diagnose</v>
      </c>
      <c r="B903" s="33" t="s">
        <v>66</v>
      </c>
      <c r="C903" s="33" t="s">
        <v>67</v>
      </c>
      <c r="D903" s="427" cm="1">
        <f t="array" ref="D903">INDEX(Berekening_patiëntaantal[Percentage van patiëntaantallen in Wlz (overige is Zvw)],MATCH(B903,IF(Berekening_patiëntaantal[Doelgroep (zoeksleutel)]=C903,Berekening_patiëntaantal[Digitale zorgtoepassing]),0))</f>
        <v>0</v>
      </c>
      <c r="E903" s="33" t="str" cm="1">
        <f t="array" ref="E903">INDEX(Berekening_patiëntaantal[Direct toepasbaar/extrapolatie/incidentie voor QALY],MATCH(B903,IF(Berekening_patiëntaantal[Doelgroep (zoeksleutel)]=C903,Berekening_patiëntaantal[Digitale zorgtoepassing]),0))</f>
        <v>Huidige toepassing</v>
      </c>
      <c r="F903" s="33" t="s">
        <v>813</v>
      </c>
      <c r="G903" s="33" t="str">
        <f>CONCATENATE(uitkomst_doelgroep[[#This Row],[Digitale zorgtoepassing]],"_",uitkomst_doelgroep[[#This Row],[Doelgroep]],"_",uitkomst_doelgroep[[#This Row],[Uitgangssituatie/effect beleid]])</f>
        <v>Apps voor cognitieve testen_Multiple Sclerosis_Uitgangssituatie</v>
      </c>
      <c r="H903" s="33">
        <v>2026</v>
      </c>
      <c r="I903" s="32">
        <v>4</v>
      </c>
      <c r="J903" s="406" cm="1">
        <f t="array" ref="J903">INDEX(implementatie[[2023]:[2034]],MATCH(G903, implementatie[Zoeksleutel],0),I903)</f>
        <v>0.02</v>
      </c>
      <c r="K903" s="406" cm="1">
        <f t="array" ref="K903">INDEX(implementatie[[2023]:[2034]],MATCH(G903,implementatie[Zoeksleutel],0),I903 + 1)</f>
        <v>4.7439999999999996E-2</v>
      </c>
      <c r="L90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476</v>
      </c>
      <c r="M903" s="398" cm="1">
        <f t="array" ref="M903">J903*INDEX(Berekening_impact[Totaal arbeidsbesparing (€/jaar)],MATCH(B903,IF(Berekening_impact[Doelgroep]=C903,Berekening_impact[Digitale zorgtoepassing]),0))</f>
        <v>4800.6925287356325</v>
      </c>
      <c r="N903" s="397" cm="1">
        <f t="array" ref="N903">J903*INDEX(Berekening_impact[Totaal arbeidsbesparing (FTE/jaar)],MATCH(B903,IF(Berekening_impact[Doelgroep]=C903,Berekening_impact[Digitale zorgtoepassing]),0))</f>
        <v>5.721153846153846E-2</v>
      </c>
      <c r="O903" s="398" cm="1">
        <f t="array" ref="O903">J903*INDEX(Berekening_impact[Overige kostenbesparing (totaal/jaar totaal potentieel)],MATCH(B903,IF(Berekening_impact[Doelgroep]=C903,Berekening_impact[Digitale zorgtoepassing]),0))</f>
        <v>0</v>
      </c>
      <c r="P903" s="398" cm="1">
        <f t="array" ref="P903">J903*INDEX(Berekening_impact[Opbrengsten door QALY''s],MATCH(B903,IF(Berekening_impact[Doelgroep]=C903,Berekening_impact[Digitale zorgtoepassing]),0))</f>
        <v>0</v>
      </c>
      <c r="Q903" s="398" cm="1">
        <f t="array" ref="Q903">J903*INDEX(Berekening_impact[Jaarlijkse kosten (totaal) - incl. schatting],MATCH(B903,IF(Berekening_impact[Doelgroep]=C903,Berekening_impact[Digitale zorgtoepassing]),0))</f>
        <v>4079.7807392973291</v>
      </c>
      <c r="R903" s="398" cm="1">
        <f t="array" ref="R903">(uitkomst_doelgroep[[#This Row],[Implementatiegraad t = T + 1]]-uitkomst_doelgroep[[#This Row],[Implementatiegraad t = T]])*INDEX(Berekening_impact[Initiële investering (totaal) - incl. schatting],MATCH(B903,IF(Berekening_impact[Doelgroep]=C903,Berekening_impact[Digitale zorgtoepassing]),0))</f>
        <v>0</v>
      </c>
      <c r="S903" s="398">
        <f>uitkomst_doelgroep[[#This Row],[Arbeidsbesparing (€)]]*uitkomst_doelgroep[[#This Row],[Percentage van patiëntaantallen in Wlz (overige is Zvw)]]</f>
        <v>0</v>
      </c>
      <c r="T903" s="398">
        <f>uitkomst_doelgroep[[#This Row],[Overige besparingen (€)]]*uitkomst_doelgroep[[#This Row],[Percentage van patiëntaantallen in Wlz (overige is Zvw)]]</f>
        <v>0</v>
      </c>
      <c r="U903" s="398">
        <f>uitkomst_doelgroep[[#This Row],[Kosten (€)]]*uitkomst_doelgroep[[#This Row],[Percentage van patiëntaantallen in Wlz (overige is Zvw)]]</f>
        <v>0</v>
      </c>
      <c r="V903" s="398">
        <f>uitkomst_doelgroep[[#This Row],[Investering (cash flow) (€)]]*uitkomst_doelgroep[[#This Row],[Percentage van patiëntaantallen in Wlz (overige is Zvw)]]</f>
        <v>0</v>
      </c>
    </row>
    <row r="904" spans="1:22" x14ac:dyDescent="0.5">
      <c r="A904" s="33" t="str">
        <f>INDEX(Technologieën[Veld],MATCH(B904,Technologieën[Digitale zorgtoepassing],0))</f>
        <v>Software - Diagnose</v>
      </c>
      <c r="B904" s="33" t="s">
        <v>66</v>
      </c>
      <c r="C904" s="33" t="s">
        <v>69</v>
      </c>
      <c r="D904" s="427" cm="1">
        <f t="array" ref="D904">INDEX(Berekening_patiëntaantal[Percentage van patiëntaantallen in Wlz (overige is Zvw)],MATCH(B904,IF(Berekening_patiëntaantal[Doelgroep (zoeksleutel)]=C904,Berekening_patiëntaantal[Digitale zorgtoepassing]),0))</f>
        <v>0</v>
      </c>
      <c r="E904" s="33" t="str" cm="1">
        <f t="array" ref="E904">INDEX(Berekening_patiëntaantal[Direct toepasbaar/extrapolatie/incidentie voor QALY],MATCH(B904,IF(Berekening_patiëntaantal[Doelgroep (zoeksleutel)]=C904,Berekening_patiëntaantal[Digitale zorgtoepassing]),0))</f>
        <v>Huidige toepassing</v>
      </c>
      <c r="F904" s="33" t="s">
        <v>813</v>
      </c>
      <c r="G904" s="33" t="str">
        <f>CONCATENATE(uitkomst_doelgroep[[#This Row],[Digitale zorgtoepassing]],"_",uitkomst_doelgroep[[#This Row],[Doelgroep]],"_",uitkomst_doelgroep[[#This Row],[Uitgangssituatie/effect beleid]])</f>
        <v>Apps voor cognitieve testen_Mild Cognitive Impairment_Uitgangssituatie</v>
      </c>
      <c r="H904" s="33">
        <v>2027</v>
      </c>
      <c r="I904" s="32">
        <v>5</v>
      </c>
      <c r="J904" s="406" cm="1">
        <f t="array" ref="J904">INDEX(implementatie[[2023]:[2034]],MATCH(G904, implementatie[Zoeksleutel],0),I904)</f>
        <v>4.7439999999999996E-2</v>
      </c>
      <c r="K904" s="406" cm="1">
        <f t="array" ref="K904">INDEX(implementatie[[2023]:[2034]],MATCH(G904,implementatie[Zoeksleutel],0),I904 + 1)</f>
        <v>8.4566978560000006E-2</v>
      </c>
      <c r="L90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7105.643254999999</v>
      </c>
      <c r="M904" s="398" cm="1">
        <f t="array" ref="M904">J904*INDEX(Berekening_impact[Totaal arbeidsbesparing (€/jaar)],MATCH(B904,IF(Berekening_impact[Doelgroep]=C904,Berekening_impact[Digitale zorgtoepassing]),0))</f>
        <v>214991.65012272631</v>
      </c>
      <c r="N904" s="397" cm="1">
        <f t="array" ref="N904">J904*INDEX(Berekening_impact[Totaal arbeidsbesparing (FTE/jaar)],MATCH(B904,IF(Berekening_impact[Doelgroep]=C904,Berekening_impact[Digitale zorgtoepassing]),0))</f>
        <v>2.5621309813701916</v>
      </c>
      <c r="O904" s="398" cm="1">
        <f t="array" ref="O904">J904*INDEX(Berekening_impact[Overige kostenbesparing (totaal/jaar totaal potentieel)],MATCH(B904,IF(Berekening_impact[Doelgroep]=C904,Berekening_impact[Digitale zorgtoepassing]),0))</f>
        <v>0</v>
      </c>
      <c r="P904" s="398" cm="1">
        <f t="array" ref="P904">J904*INDEX(Berekening_impact[Opbrengsten door QALY''s],MATCH(B904,IF(Berekening_impact[Doelgroep]=C904,Berekening_impact[Digitale zorgtoepassing]),0))</f>
        <v>0</v>
      </c>
      <c r="Q904" s="398" cm="1">
        <f t="array" ref="Q904">J904*INDEX(Berekening_impact[Jaarlijkse kosten (totaal) - incl. schatting],MATCH(B904,IF(Berekening_impact[Doelgroep]=C904,Berekening_impact[Digitale zorgtoepassing]),0))</f>
        <v>182706.72158865744</v>
      </c>
      <c r="R904" s="398" cm="1">
        <f t="array" ref="R904">(uitkomst_doelgroep[[#This Row],[Implementatiegraad t = T + 1]]-uitkomst_doelgroep[[#This Row],[Implementatiegraad t = T]])*INDEX(Berekening_impact[Initiële investering (totaal) - incl. schatting],MATCH(B904,IF(Berekening_impact[Doelgroep]=C904,Berekening_impact[Digitale zorgtoepassing]),0))</f>
        <v>0</v>
      </c>
      <c r="S904" s="398">
        <f>uitkomst_doelgroep[[#This Row],[Arbeidsbesparing (€)]]*uitkomst_doelgroep[[#This Row],[Percentage van patiëntaantallen in Wlz (overige is Zvw)]]</f>
        <v>0</v>
      </c>
      <c r="T904" s="398">
        <f>uitkomst_doelgroep[[#This Row],[Overige besparingen (€)]]*uitkomst_doelgroep[[#This Row],[Percentage van patiëntaantallen in Wlz (overige is Zvw)]]</f>
        <v>0</v>
      </c>
      <c r="U904" s="398">
        <f>uitkomst_doelgroep[[#This Row],[Kosten (€)]]*uitkomst_doelgroep[[#This Row],[Percentage van patiëntaantallen in Wlz (overige is Zvw)]]</f>
        <v>0</v>
      </c>
      <c r="V904" s="398">
        <f>uitkomst_doelgroep[[#This Row],[Investering (cash flow) (€)]]*uitkomst_doelgroep[[#This Row],[Percentage van patiëntaantallen in Wlz (overige is Zvw)]]</f>
        <v>0</v>
      </c>
    </row>
    <row r="905" spans="1:22" x14ac:dyDescent="0.5">
      <c r="A905" s="33" t="str">
        <f>INDEX(Technologieën[Veld],MATCH(B905,Technologieën[Digitale zorgtoepassing],0))</f>
        <v>Software - Diagnose</v>
      </c>
      <c r="B905" s="33" t="s">
        <v>66</v>
      </c>
      <c r="C905" s="33" t="s">
        <v>67</v>
      </c>
      <c r="D905" s="427" cm="1">
        <f t="array" ref="D905">INDEX(Berekening_patiëntaantal[Percentage van patiëntaantallen in Wlz (overige is Zvw)],MATCH(B905,IF(Berekening_patiëntaantal[Doelgroep (zoeksleutel)]=C905,Berekening_patiëntaantal[Digitale zorgtoepassing]),0))</f>
        <v>0</v>
      </c>
      <c r="E905" s="33" t="str" cm="1">
        <f t="array" ref="E905">INDEX(Berekening_patiëntaantal[Direct toepasbaar/extrapolatie/incidentie voor QALY],MATCH(B905,IF(Berekening_patiëntaantal[Doelgroep (zoeksleutel)]=C905,Berekening_patiëntaantal[Digitale zorgtoepassing]),0))</f>
        <v>Huidige toepassing</v>
      </c>
      <c r="F905" s="33" t="s">
        <v>813</v>
      </c>
      <c r="G905" s="33" t="str">
        <f>CONCATENATE(uitkomst_doelgroep[[#This Row],[Digitale zorgtoepassing]],"_",uitkomst_doelgroep[[#This Row],[Doelgroep]],"_",uitkomst_doelgroep[[#This Row],[Uitgangssituatie/effect beleid]])</f>
        <v>Apps voor cognitieve testen_Multiple Sclerosis_Uitgangssituatie</v>
      </c>
      <c r="H905" s="33">
        <v>2027</v>
      </c>
      <c r="I905" s="32">
        <v>5</v>
      </c>
      <c r="J905" s="406" cm="1">
        <f t="array" ref="J905">INDEX(implementatie[[2023]:[2034]],MATCH(G905, implementatie[Zoeksleutel],0),I905)</f>
        <v>4.7439999999999996E-2</v>
      </c>
      <c r="K905" s="406" cm="1">
        <f t="array" ref="K905">INDEX(implementatie[[2023]:[2034]],MATCH(G905,implementatie[Zoeksleutel],0),I905 + 1)</f>
        <v>8.4566978560000006E-2</v>
      </c>
      <c r="L90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1129.0719999999999</v>
      </c>
      <c r="M905" s="398" cm="1">
        <f t="array" ref="M905">J905*INDEX(Berekening_impact[Totaal arbeidsbesparing (€/jaar)],MATCH(B905,IF(Berekening_impact[Doelgroep]=C905,Berekening_impact[Digitale zorgtoepassing]),0))</f>
        <v>11387.242678160919</v>
      </c>
      <c r="N905" s="397" cm="1">
        <f t="array" ref="N905">J905*INDEX(Berekening_impact[Totaal arbeidsbesparing (FTE/jaar)],MATCH(B905,IF(Berekening_impact[Doelgroep]=C905,Berekening_impact[Digitale zorgtoepassing]),0))</f>
        <v>0.13570576923076921</v>
      </c>
      <c r="O905" s="398" cm="1">
        <f t="array" ref="O905">J905*INDEX(Berekening_impact[Overige kostenbesparing (totaal/jaar totaal potentieel)],MATCH(B905,IF(Berekening_impact[Doelgroep]=C905,Berekening_impact[Digitale zorgtoepassing]),0))</f>
        <v>0</v>
      </c>
      <c r="P905" s="398" cm="1">
        <f t="array" ref="P905">J905*INDEX(Berekening_impact[Opbrengsten door QALY''s],MATCH(B905,IF(Berekening_impact[Doelgroep]=C905,Berekening_impact[Digitale zorgtoepassing]),0))</f>
        <v>0</v>
      </c>
      <c r="Q905" s="398" cm="1">
        <f t="array" ref="Q905">J905*INDEX(Berekening_impact[Jaarlijkse kosten (totaal) - incl. schatting],MATCH(B905,IF(Berekening_impact[Doelgroep]=C905,Berekening_impact[Digitale zorgtoepassing]),0))</f>
        <v>9677.2399136132644</v>
      </c>
      <c r="R905" s="398" cm="1">
        <f t="array" ref="R905">(uitkomst_doelgroep[[#This Row],[Implementatiegraad t = T + 1]]-uitkomst_doelgroep[[#This Row],[Implementatiegraad t = T]])*INDEX(Berekening_impact[Initiële investering (totaal) - incl. schatting],MATCH(B905,IF(Berekening_impact[Doelgroep]=C905,Berekening_impact[Digitale zorgtoepassing]),0))</f>
        <v>0</v>
      </c>
      <c r="S905" s="398">
        <f>uitkomst_doelgroep[[#This Row],[Arbeidsbesparing (€)]]*uitkomst_doelgroep[[#This Row],[Percentage van patiëntaantallen in Wlz (overige is Zvw)]]</f>
        <v>0</v>
      </c>
      <c r="T905" s="398">
        <f>uitkomst_doelgroep[[#This Row],[Overige besparingen (€)]]*uitkomst_doelgroep[[#This Row],[Percentage van patiëntaantallen in Wlz (overige is Zvw)]]</f>
        <v>0</v>
      </c>
      <c r="U905" s="398">
        <f>uitkomst_doelgroep[[#This Row],[Kosten (€)]]*uitkomst_doelgroep[[#This Row],[Percentage van patiëntaantallen in Wlz (overige is Zvw)]]</f>
        <v>0</v>
      </c>
      <c r="V905" s="398">
        <f>uitkomst_doelgroep[[#This Row],[Investering (cash flow) (€)]]*uitkomst_doelgroep[[#This Row],[Percentage van patiëntaantallen in Wlz (overige is Zvw)]]</f>
        <v>0</v>
      </c>
    </row>
    <row r="906" spans="1:22" x14ac:dyDescent="0.5">
      <c r="A906" s="33" t="str">
        <f>INDEX(Technologieën[Veld],MATCH(B906,Technologieën[Digitale zorgtoepassing],0))</f>
        <v>Software - Diagnose</v>
      </c>
      <c r="B906" s="33" t="s">
        <v>66</v>
      </c>
      <c r="C906" s="33" t="s">
        <v>69</v>
      </c>
      <c r="D906" s="427" cm="1">
        <f t="array" ref="D906">INDEX(Berekening_patiëntaantal[Percentage van patiëntaantallen in Wlz (overige is Zvw)],MATCH(B906,IF(Berekening_patiëntaantal[Doelgroep (zoeksleutel)]=C906,Berekening_patiëntaantal[Digitale zorgtoepassing]),0))</f>
        <v>0</v>
      </c>
      <c r="E906" s="33" t="str" cm="1">
        <f t="array" ref="E906">INDEX(Berekening_patiëntaantal[Direct toepasbaar/extrapolatie/incidentie voor QALY],MATCH(B906,IF(Berekening_patiëntaantal[Doelgroep (zoeksleutel)]=C906,Berekening_patiëntaantal[Digitale zorgtoepassing]),0))</f>
        <v>Huidige toepassing</v>
      </c>
      <c r="F906" s="33" t="s">
        <v>813</v>
      </c>
      <c r="G906" s="33" t="str">
        <f>CONCATENATE(uitkomst_doelgroep[[#This Row],[Digitale zorgtoepassing]],"_",uitkomst_doelgroep[[#This Row],[Doelgroep]],"_",uitkomst_doelgroep[[#This Row],[Uitgangssituatie/effect beleid]])</f>
        <v>Apps voor cognitieve testen_Mild Cognitive Impairment_Uitgangssituatie</v>
      </c>
      <c r="H906" s="33">
        <v>2028</v>
      </c>
      <c r="I906" s="32">
        <v>6</v>
      </c>
      <c r="J906" s="406" cm="1">
        <f t="array" ref="J906">INDEX(implementatie[[2023]:[2034]],MATCH(G906, implementatie[Zoeksleutel],0),I906)</f>
        <v>8.4566978560000006E-2</v>
      </c>
      <c r="K906" s="406" cm="1">
        <f t="array" ref="K906">INDEX(implementatie[[2023]:[2034]],MATCH(G906,implementatie[Zoeksleutel],0),I906 + 1)</f>
        <v>0.13384180086769301</v>
      </c>
      <c r="L90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12666.584755493121</v>
      </c>
      <c r="M906" s="398" cm="1">
        <f t="array" ref="M906">J906*INDEX(Berekening_impact[Totaal arbeidsbesparing (€/jaar)],MATCH(B906,IF(Berekening_impact[Doelgroep]=C906,Berekening_impact[Digitale zorgtoepassing]),0))</f>
        <v>383246.08487579296</v>
      </c>
      <c r="N906" s="397" cm="1">
        <f t="array" ref="N906">J906*INDEX(Berekening_impact[Totaal arbeidsbesparing (FTE/jaar)],MATCH(B906,IF(Berekening_impact[Doelgroep]=C906,Berekening_impact[Digitale zorgtoepassing]),0))</f>
        <v>4.5672781570287686</v>
      </c>
      <c r="O906" s="398" cm="1">
        <f t="array" ref="O906">J906*INDEX(Berekening_impact[Overige kostenbesparing (totaal/jaar totaal potentieel)],MATCH(B906,IF(Berekening_impact[Doelgroep]=C906,Berekening_impact[Digitale zorgtoepassing]),0))</f>
        <v>0</v>
      </c>
      <c r="P906" s="398" cm="1">
        <f t="array" ref="P906">J906*INDEX(Berekening_impact[Opbrengsten door QALY''s],MATCH(B906,IF(Berekening_impact[Doelgroep]=C906,Berekening_impact[Digitale zorgtoepassing]),0))</f>
        <v>0</v>
      </c>
      <c r="Q906" s="398" cm="1">
        <f t="array" ref="Q906">J906*INDEX(Berekening_impact[Jaarlijkse kosten (totaal) - incl. schatting],MATCH(B906,IF(Berekening_impact[Doelgroep]=C906,Berekening_impact[Digitale zorgtoepassing]),0))</f>
        <v>325694.67553448322</v>
      </c>
      <c r="R906" s="398" cm="1">
        <f t="array" ref="R906">(uitkomst_doelgroep[[#This Row],[Implementatiegraad t = T + 1]]-uitkomst_doelgroep[[#This Row],[Implementatiegraad t = T]])*INDEX(Berekening_impact[Initiële investering (totaal) - incl. schatting],MATCH(B906,IF(Berekening_impact[Doelgroep]=C906,Berekening_impact[Digitale zorgtoepassing]),0))</f>
        <v>0</v>
      </c>
      <c r="S906" s="398">
        <f>uitkomst_doelgroep[[#This Row],[Arbeidsbesparing (€)]]*uitkomst_doelgroep[[#This Row],[Percentage van patiëntaantallen in Wlz (overige is Zvw)]]</f>
        <v>0</v>
      </c>
      <c r="T906" s="398">
        <f>uitkomst_doelgroep[[#This Row],[Overige besparingen (€)]]*uitkomst_doelgroep[[#This Row],[Percentage van patiëntaantallen in Wlz (overige is Zvw)]]</f>
        <v>0</v>
      </c>
      <c r="U906" s="398">
        <f>uitkomst_doelgroep[[#This Row],[Kosten (€)]]*uitkomst_doelgroep[[#This Row],[Percentage van patiëntaantallen in Wlz (overige is Zvw)]]</f>
        <v>0</v>
      </c>
      <c r="V906" s="398">
        <f>uitkomst_doelgroep[[#This Row],[Investering (cash flow) (€)]]*uitkomst_doelgroep[[#This Row],[Percentage van patiëntaantallen in Wlz (overige is Zvw)]]</f>
        <v>0</v>
      </c>
    </row>
    <row r="907" spans="1:22" x14ac:dyDescent="0.5">
      <c r="A907" s="33" t="str">
        <f>INDEX(Technologieën[Veld],MATCH(B907,Technologieën[Digitale zorgtoepassing],0))</f>
        <v>Software - Diagnose</v>
      </c>
      <c r="B907" s="33" t="s">
        <v>66</v>
      </c>
      <c r="C907" s="33" t="s">
        <v>67</v>
      </c>
      <c r="D907" s="427" cm="1">
        <f t="array" ref="D907">INDEX(Berekening_patiëntaantal[Percentage van patiëntaantallen in Wlz (overige is Zvw)],MATCH(B907,IF(Berekening_patiëntaantal[Doelgroep (zoeksleutel)]=C907,Berekening_patiëntaantal[Digitale zorgtoepassing]),0))</f>
        <v>0</v>
      </c>
      <c r="E907" s="33" t="str" cm="1">
        <f t="array" ref="E907">INDEX(Berekening_patiëntaantal[Direct toepasbaar/extrapolatie/incidentie voor QALY],MATCH(B907,IF(Berekening_patiëntaantal[Doelgroep (zoeksleutel)]=C907,Berekening_patiëntaantal[Digitale zorgtoepassing]),0))</f>
        <v>Huidige toepassing</v>
      </c>
      <c r="F907" s="33" t="s">
        <v>813</v>
      </c>
      <c r="G907" s="33" t="str">
        <f>CONCATENATE(uitkomst_doelgroep[[#This Row],[Digitale zorgtoepassing]],"_",uitkomst_doelgroep[[#This Row],[Doelgroep]],"_",uitkomst_doelgroep[[#This Row],[Uitgangssituatie/effect beleid]])</f>
        <v>Apps voor cognitieve testen_Multiple Sclerosis_Uitgangssituatie</v>
      </c>
      <c r="H907" s="33">
        <v>2028</v>
      </c>
      <c r="I907" s="32">
        <v>6</v>
      </c>
      <c r="J907" s="406" cm="1">
        <f t="array" ref="J907">INDEX(implementatie[[2023]:[2034]],MATCH(G907, implementatie[Zoeksleutel],0),I907)</f>
        <v>8.4566978560000006E-2</v>
      </c>
      <c r="K907" s="406" cm="1">
        <f t="array" ref="K907">INDEX(implementatie[[2023]:[2034]],MATCH(G907,implementatie[Zoeksleutel],0),I907 + 1)</f>
        <v>0.13384180086769301</v>
      </c>
      <c r="L90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2012.6940897280001</v>
      </c>
      <c r="M907" s="398" cm="1">
        <f t="array" ref="M907">J907*INDEX(Berekening_impact[Totaal arbeidsbesparing (€/jaar)],MATCH(B907,IF(Berekening_impact[Doelgroep]=C907,Berekening_impact[Digitale zorgtoepassing]),0))</f>
        <v>20299.003107536922</v>
      </c>
      <c r="N907" s="397" cm="1">
        <f t="array" ref="N907">J907*INDEX(Berekening_impact[Totaal arbeidsbesparing (FTE/jaar)],MATCH(B907,IF(Berekening_impact[Doelgroep]=C907,Berekening_impact[Digitale zorgtoepassing]),0))</f>
        <v>0.24191034732307692</v>
      </c>
      <c r="O907" s="398" cm="1">
        <f t="array" ref="O907">J907*INDEX(Berekening_impact[Overige kostenbesparing (totaal/jaar totaal potentieel)],MATCH(B907,IF(Berekening_impact[Doelgroep]=C907,Berekening_impact[Digitale zorgtoepassing]),0))</f>
        <v>0</v>
      </c>
      <c r="P907" s="398" cm="1">
        <f t="array" ref="P907">J907*INDEX(Berekening_impact[Opbrengsten door QALY''s],MATCH(B907,IF(Berekening_impact[Doelgroep]=C907,Berekening_impact[Digitale zorgtoepassing]),0))</f>
        <v>0</v>
      </c>
      <c r="Q907" s="398" cm="1">
        <f t="array" ref="Q907">J907*INDEX(Berekening_impact[Jaarlijkse kosten (totaal) - incl. schatting],MATCH(B907,IF(Berekening_impact[Doelgroep]=C907,Berekening_impact[Digitale zorgtoepassing]),0))</f>
        <v>17250.736515482909</v>
      </c>
      <c r="R907" s="398" cm="1">
        <f t="array" ref="R907">(uitkomst_doelgroep[[#This Row],[Implementatiegraad t = T + 1]]-uitkomst_doelgroep[[#This Row],[Implementatiegraad t = T]])*INDEX(Berekening_impact[Initiële investering (totaal) - incl. schatting],MATCH(B907,IF(Berekening_impact[Doelgroep]=C907,Berekening_impact[Digitale zorgtoepassing]),0))</f>
        <v>0</v>
      </c>
      <c r="S907" s="398">
        <f>uitkomst_doelgroep[[#This Row],[Arbeidsbesparing (€)]]*uitkomst_doelgroep[[#This Row],[Percentage van patiëntaantallen in Wlz (overige is Zvw)]]</f>
        <v>0</v>
      </c>
      <c r="T907" s="398">
        <f>uitkomst_doelgroep[[#This Row],[Overige besparingen (€)]]*uitkomst_doelgroep[[#This Row],[Percentage van patiëntaantallen in Wlz (overige is Zvw)]]</f>
        <v>0</v>
      </c>
      <c r="U907" s="398">
        <f>uitkomst_doelgroep[[#This Row],[Kosten (€)]]*uitkomst_doelgroep[[#This Row],[Percentage van patiëntaantallen in Wlz (overige is Zvw)]]</f>
        <v>0</v>
      </c>
      <c r="V907" s="398">
        <f>uitkomst_doelgroep[[#This Row],[Investering (cash flow) (€)]]*uitkomst_doelgroep[[#This Row],[Percentage van patiëntaantallen in Wlz (overige is Zvw)]]</f>
        <v>0</v>
      </c>
    </row>
    <row r="908" spans="1:22" x14ac:dyDescent="0.5">
      <c r="A908" s="33" t="str">
        <f>INDEX(Technologieën[Veld],MATCH(B908,Technologieën[Digitale zorgtoepassing],0))</f>
        <v>Software - Diagnose</v>
      </c>
      <c r="B908" s="33" t="s">
        <v>66</v>
      </c>
      <c r="C908" s="33" t="s">
        <v>69</v>
      </c>
      <c r="D908" s="427" cm="1">
        <f t="array" ref="D908">INDEX(Berekening_patiëntaantal[Percentage van patiëntaantallen in Wlz (overige is Zvw)],MATCH(B908,IF(Berekening_patiëntaantal[Doelgroep (zoeksleutel)]=C908,Berekening_patiëntaantal[Digitale zorgtoepassing]),0))</f>
        <v>0</v>
      </c>
      <c r="E908" s="33" t="str" cm="1">
        <f t="array" ref="E908">INDEX(Berekening_patiëntaantal[Direct toepasbaar/extrapolatie/incidentie voor QALY],MATCH(B908,IF(Berekening_patiëntaantal[Doelgroep (zoeksleutel)]=C908,Berekening_patiëntaantal[Digitale zorgtoepassing]),0))</f>
        <v>Huidige toepassing</v>
      </c>
      <c r="F908" s="33" t="s">
        <v>813</v>
      </c>
      <c r="G908" s="33" t="str">
        <f>CONCATENATE(uitkomst_doelgroep[[#This Row],[Digitale zorgtoepassing]],"_",uitkomst_doelgroep[[#This Row],[Doelgroep]],"_",uitkomst_doelgroep[[#This Row],[Uitgangssituatie/effect beleid]])</f>
        <v>Apps voor cognitieve testen_Mild Cognitive Impairment_Uitgangssituatie</v>
      </c>
      <c r="H908" s="33">
        <v>2029</v>
      </c>
      <c r="I908" s="32">
        <v>7</v>
      </c>
      <c r="J908" s="406" cm="1">
        <f t="array" ref="J908">INDEX(implementatie[[2023]:[2034]],MATCH(G908, implementatie[Zoeksleutel],0),I908)</f>
        <v>0.13384180086769301</v>
      </c>
      <c r="K908" s="406" cm="1">
        <f t="array" ref="K908">INDEX(implementatie[[2023]:[2034]],MATCH(G908,implementatie[Zoeksleutel],0),I908 + 1)</f>
        <v>0.19753623413361349</v>
      </c>
      <c r="L90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20047.050792002025</v>
      </c>
      <c r="M908" s="398" cm="1">
        <f t="array" ref="M908">J908*INDEX(Berekening_impact[Totaal arbeidsbesparing (€/jaar)],MATCH(B908,IF(Berekening_impact[Doelgroep]=C908,Berekening_impact[Digitale zorgtoepassing]),0))</f>
        <v>606552.90101059573</v>
      </c>
      <c r="N908" s="397" cm="1">
        <f t="array" ref="N908">J908*INDEX(Berekening_impact[Totaal arbeidsbesparing (FTE/jaar)],MATCH(B908,IF(Berekening_impact[Doelgroep]=C908,Berekening_impact[Digitale zorgtoepassing]),0))</f>
        <v>7.2285038913468824</v>
      </c>
      <c r="O908" s="398" cm="1">
        <f t="array" ref="O908">J908*INDEX(Berekening_impact[Overige kostenbesparing (totaal/jaar totaal potentieel)],MATCH(B908,IF(Berekening_impact[Doelgroep]=C908,Berekening_impact[Digitale zorgtoepassing]),0))</f>
        <v>0</v>
      </c>
      <c r="P908" s="398" cm="1">
        <f t="array" ref="P908">J908*INDEX(Berekening_impact[Opbrengsten door QALY''s],MATCH(B908,IF(Berekening_impact[Doelgroep]=C908,Berekening_impact[Digitale zorgtoepassing]),0))</f>
        <v>0</v>
      </c>
      <c r="Q908" s="398" cm="1">
        <f t="array" ref="Q908">J908*INDEX(Berekening_impact[Jaarlijkse kosten (totaal) - incl. schatting],MATCH(B908,IF(Berekening_impact[Doelgroep]=C908,Berekening_impact[Digitale zorgtoepassing]),0))</f>
        <v>515467.88887137687</v>
      </c>
      <c r="R908" s="398" cm="1">
        <f t="array" ref="R908">(uitkomst_doelgroep[[#This Row],[Implementatiegraad t = T + 1]]-uitkomst_doelgroep[[#This Row],[Implementatiegraad t = T]])*INDEX(Berekening_impact[Initiële investering (totaal) - incl. schatting],MATCH(B908,IF(Berekening_impact[Doelgroep]=C908,Berekening_impact[Digitale zorgtoepassing]),0))</f>
        <v>0</v>
      </c>
      <c r="S908" s="398">
        <f>uitkomst_doelgroep[[#This Row],[Arbeidsbesparing (€)]]*uitkomst_doelgroep[[#This Row],[Percentage van patiëntaantallen in Wlz (overige is Zvw)]]</f>
        <v>0</v>
      </c>
      <c r="T908" s="398">
        <f>uitkomst_doelgroep[[#This Row],[Overige besparingen (€)]]*uitkomst_doelgroep[[#This Row],[Percentage van patiëntaantallen in Wlz (overige is Zvw)]]</f>
        <v>0</v>
      </c>
      <c r="U908" s="398">
        <f>uitkomst_doelgroep[[#This Row],[Kosten (€)]]*uitkomst_doelgroep[[#This Row],[Percentage van patiëntaantallen in Wlz (overige is Zvw)]]</f>
        <v>0</v>
      </c>
      <c r="V908" s="398">
        <f>uitkomst_doelgroep[[#This Row],[Investering (cash flow) (€)]]*uitkomst_doelgroep[[#This Row],[Percentage van patiëntaantallen in Wlz (overige is Zvw)]]</f>
        <v>0</v>
      </c>
    </row>
    <row r="909" spans="1:22" x14ac:dyDescent="0.5">
      <c r="A909" s="33" t="str">
        <f>INDEX(Technologieën[Veld],MATCH(B909,Technologieën[Digitale zorgtoepassing],0))</f>
        <v>Software - Diagnose</v>
      </c>
      <c r="B909" s="33" t="s">
        <v>66</v>
      </c>
      <c r="C909" s="33" t="s">
        <v>67</v>
      </c>
      <c r="D909" s="427" cm="1">
        <f t="array" ref="D909">INDEX(Berekening_patiëntaantal[Percentage van patiëntaantallen in Wlz (overige is Zvw)],MATCH(B909,IF(Berekening_patiëntaantal[Doelgroep (zoeksleutel)]=C909,Berekening_patiëntaantal[Digitale zorgtoepassing]),0))</f>
        <v>0</v>
      </c>
      <c r="E909" s="33" t="str" cm="1">
        <f t="array" ref="E909">INDEX(Berekening_patiëntaantal[Direct toepasbaar/extrapolatie/incidentie voor QALY],MATCH(B909,IF(Berekening_patiëntaantal[Doelgroep (zoeksleutel)]=C909,Berekening_patiëntaantal[Digitale zorgtoepassing]),0))</f>
        <v>Huidige toepassing</v>
      </c>
      <c r="F909" s="33" t="s">
        <v>813</v>
      </c>
      <c r="G909" s="33" t="str">
        <f>CONCATENATE(uitkomst_doelgroep[[#This Row],[Digitale zorgtoepassing]],"_",uitkomst_doelgroep[[#This Row],[Doelgroep]],"_",uitkomst_doelgroep[[#This Row],[Uitgangssituatie/effect beleid]])</f>
        <v>Apps voor cognitieve testen_Multiple Sclerosis_Uitgangssituatie</v>
      </c>
      <c r="H909" s="33">
        <v>2029</v>
      </c>
      <c r="I909" s="32">
        <v>7</v>
      </c>
      <c r="J909" s="406" cm="1">
        <f t="array" ref="J909">INDEX(implementatie[[2023]:[2034]],MATCH(G909, implementatie[Zoeksleutel],0),I909)</f>
        <v>0.13384180086769301</v>
      </c>
      <c r="K909" s="406" cm="1">
        <f t="array" ref="K909">INDEX(implementatie[[2023]:[2034]],MATCH(G909,implementatie[Zoeksleutel],0),I909 + 1)</f>
        <v>0.19753623413361349</v>
      </c>
      <c r="L90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3185.4348606510935</v>
      </c>
      <c r="M909" s="398" cm="1">
        <f t="array" ref="M909">J909*INDEX(Berekening_impact[Totaal arbeidsbesparing (€/jaar)],MATCH(B909,IF(Berekening_impact[Doelgroep]=C909,Berekening_impact[Digitale zorgtoepassing]),0))</f>
        <v>32126.666672902807</v>
      </c>
      <c r="N909" s="397" cm="1">
        <f t="array" ref="N909">J909*INDEX(Berekening_impact[Totaal arbeidsbesparing (FTE/jaar)],MATCH(B909,IF(Berekening_impact[Doelgroep]=C909,Berekening_impact[Digitale zorgtoepassing]),0))</f>
        <v>0.38286476690517951</v>
      </c>
      <c r="O909" s="398" cm="1">
        <f t="array" ref="O909">J909*INDEX(Berekening_impact[Overige kostenbesparing (totaal/jaar totaal potentieel)],MATCH(B909,IF(Berekening_impact[Doelgroep]=C909,Berekening_impact[Digitale zorgtoepassing]),0))</f>
        <v>0</v>
      </c>
      <c r="P909" s="398" cm="1">
        <f t="array" ref="P909">J909*INDEX(Berekening_impact[Opbrengsten door QALY''s],MATCH(B909,IF(Berekening_impact[Doelgroep]=C909,Berekening_impact[Digitale zorgtoepassing]),0))</f>
        <v>0</v>
      </c>
      <c r="Q909" s="398" cm="1">
        <f t="array" ref="Q909">J909*INDEX(Berekening_impact[Jaarlijkse kosten (totaal) - incl. schatting],MATCH(B909,IF(Berekening_impact[Doelgroep]=C909,Berekening_impact[Digitale zorgtoepassing]),0))</f>
        <v>27302.260064644124</v>
      </c>
      <c r="R909" s="398" cm="1">
        <f t="array" ref="R909">(uitkomst_doelgroep[[#This Row],[Implementatiegraad t = T + 1]]-uitkomst_doelgroep[[#This Row],[Implementatiegraad t = T]])*INDEX(Berekening_impact[Initiële investering (totaal) - incl. schatting],MATCH(B909,IF(Berekening_impact[Doelgroep]=C909,Berekening_impact[Digitale zorgtoepassing]),0))</f>
        <v>0</v>
      </c>
      <c r="S909" s="398">
        <f>uitkomst_doelgroep[[#This Row],[Arbeidsbesparing (€)]]*uitkomst_doelgroep[[#This Row],[Percentage van patiëntaantallen in Wlz (overige is Zvw)]]</f>
        <v>0</v>
      </c>
      <c r="T909" s="398">
        <f>uitkomst_doelgroep[[#This Row],[Overige besparingen (€)]]*uitkomst_doelgroep[[#This Row],[Percentage van patiëntaantallen in Wlz (overige is Zvw)]]</f>
        <v>0</v>
      </c>
      <c r="U909" s="398">
        <f>uitkomst_doelgroep[[#This Row],[Kosten (€)]]*uitkomst_doelgroep[[#This Row],[Percentage van patiëntaantallen in Wlz (overige is Zvw)]]</f>
        <v>0</v>
      </c>
      <c r="V909" s="398">
        <f>uitkomst_doelgroep[[#This Row],[Investering (cash flow) (€)]]*uitkomst_doelgroep[[#This Row],[Percentage van patiëntaantallen in Wlz (overige is Zvw)]]</f>
        <v>0</v>
      </c>
    </row>
    <row r="910" spans="1:22" x14ac:dyDescent="0.5">
      <c r="A910" s="33" t="str">
        <f>INDEX(Technologieën[Veld],MATCH(B910,Technologieën[Digitale zorgtoepassing],0))</f>
        <v>Software - Diagnose</v>
      </c>
      <c r="B910" s="33" t="s">
        <v>66</v>
      </c>
      <c r="C910" s="33" t="s">
        <v>69</v>
      </c>
      <c r="D910" s="427" cm="1">
        <f t="array" ref="D910">INDEX(Berekening_patiëntaantal[Percentage van patiëntaantallen in Wlz (overige is Zvw)],MATCH(B910,IF(Berekening_patiëntaantal[Doelgroep (zoeksleutel)]=C910,Berekening_patiëntaantal[Digitale zorgtoepassing]),0))</f>
        <v>0</v>
      </c>
      <c r="E910" s="33" t="str" cm="1">
        <f t="array" ref="E910">INDEX(Berekening_patiëntaantal[Direct toepasbaar/extrapolatie/incidentie voor QALY],MATCH(B910,IF(Berekening_patiëntaantal[Doelgroep (zoeksleutel)]=C910,Berekening_patiëntaantal[Digitale zorgtoepassing]),0))</f>
        <v>Huidige toepassing</v>
      </c>
      <c r="F910" s="33" t="s">
        <v>813</v>
      </c>
      <c r="G910" s="33" t="str">
        <f>CONCATENATE(uitkomst_doelgroep[[#This Row],[Digitale zorgtoepassing]],"_",uitkomst_doelgroep[[#This Row],[Doelgroep]],"_",uitkomst_doelgroep[[#This Row],[Uitgangssituatie/effect beleid]])</f>
        <v>Apps voor cognitieve testen_Mild Cognitive Impairment_Uitgangssituatie</v>
      </c>
      <c r="H910" s="33">
        <v>2030</v>
      </c>
      <c r="I910" s="32">
        <v>8</v>
      </c>
      <c r="J910" s="406" cm="1">
        <f t="array" ref="J910">INDEX(implementatie[[2023]:[2034]],MATCH(G910, implementatie[Zoeksleutel],0),I910)</f>
        <v>0.19753623413361349</v>
      </c>
      <c r="K910" s="406" cm="1">
        <f t="array" ref="K910">INDEX(implementatie[[2023]:[2034]],MATCH(G910,implementatie[Zoeksleutel],0),I910 + 1)</f>
        <v>0.27699177758611071</v>
      </c>
      <c r="L91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29587.310490927728</v>
      </c>
      <c r="M910" s="398" cm="1">
        <f t="array" ref="M910">J910*INDEX(Berekening_impact[Totaal arbeidsbesparing (€/jaar)],MATCH(B910,IF(Berekening_impact[Doelgroep]=C910,Berekening_impact[Digitale zorgtoepassing]),0))</f>
        <v>895207.43961666897</v>
      </c>
      <c r="N910" s="397" cm="1">
        <f t="array" ref="N910">J910*INDEX(Berekening_impact[Totaal arbeidsbesparing (FTE/jaar)],MATCH(B910,IF(Berekening_impact[Doelgroep]=C910,Berekening_impact[Digitale zorgtoepassing]),0))</f>
        <v>10.668501378940284</v>
      </c>
      <c r="O910" s="398" cm="1">
        <f t="array" ref="O910">J910*INDEX(Berekening_impact[Overige kostenbesparing (totaal/jaar totaal potentieel)],MATCH(B910,IF(Berekening_impact[Doelgroep]=C910,Berekening_impact[Digitale zorgtoepassing]),0))</f>
        <v>0</v>
      </c>
      <c r="P910" s="398" cm="1">
        <f t="array" ref="P910">J910*INDEX(Berekening_impact[Opbrengsten door QALY''s],MATCH(B910,IF(Berekening_impact[Doelgroep]=C910,Berekening_impact[Digitale zorgtoepassing]),0))</f>
        <v>0</v>
      </c>
      <c r="Q910" s="398" cm="1">
        <f t="array" ref="Q910">J910*INDEX(Berekening_impact[Jaarlijkse kosten (totaal) - incl. schatting],MATCH(B910,IF(Berekening_impact[Doelgroep]=C910,Berekening_impact[Digitale zorgtoepassing]),0))</f>
        <v>760775.66891909717</v>
      </c>
      <c r="R910" s="398" cm="1">
        <f t="array" ref="R910">(uitkomst_doelgroep[[#This Row],[Implementatiegraad t = T + 1]]-uitkomst_doelgroep[[#This Row],[Implementatiegraad t = T]])*INDEX(Berekening_impact[Initiële investering (totaal) - incl. schatting],MATCH(B910,IF(Berekening_impact[Doelgroep]=C910,Berekening_impact[Digitale zorgtoepassing]),0))</f>
        <v>0</v>
      </c>
      <c r="S910" s="398">
        <f>uitkomst_doelgroep[[#This Row],[Arbeidsbesparing (€)]]*uitkomst_doelgroep[[#This Row],[Percentage van patiëntaantallen in Wlz (overige is Zvw)]]</f>
        <v>0</v>
      </c>
      <c r="T910" s="398">
        <f>uitkomst_doelgroep[[#This Row],[Overige besparingen (€)]]*uitkomst_doelgroep[[#This Row],[Percentage van patiëntaantallen in Wlz (overige is Zvw)]]</f>
        <v>0</v>
      </c>
      <c r="U910" s="398">
        <f>uitkomst_doelgroep[[#This Row],[Kosten (€)]]*uitkomst_doelgroep[[#This Row],[Percentage van patiëntaantallen in Wlz (overige is Zvw)]]</f>
        <v>0</v>
      </c>
      <c r="V910" s="398">
        <f>uitkomst_doelgroep[[#This Row],[Investering (cash flow) (€)]]*uitkomst_doelgroep[[#This Row],[Percentage van patiëntaantallen in Wlz (overige is Zvw)]]</f>
        <v>0</v>
      </c>
    </row>
    <row r="911" spans="1:22" x14ac:dyDescent="0.5">
      <c r="A911" s="33" t="str">
        <f>INDEX(Technologieën[Veld],MATCH(B911,Technologieën[Digitale zorgtoepassing],0))</f>
        <v>Software - Diagnose</v>
      </c>
      <c r="B911" s="33" t="s">
        <v>66</v>
      </c>
      <c r="C911" s="33" t="s">
        <v>67</v>
      </c>
      <c r="D911" s="427" cm="1">
        <f t="array" ref="D911">INDEX(Berekening_patiëntaantal[Percentage van patiëntaantallen in Wlz (overige is Zvw)],MATCH(B911,IF(Berekening_patiëntaantal[Doelgroep (zoeksleutel)]=C911,Berekening_patiëntaantal[Digitale zorgtoepassing]),0))</f>
        <v>0</v>
      </c>
      <c r="E911" s="33" t="str" cm="1">
        <f t="array" ref="E911">INDEX(Berekening_patiëntaantal[Direct toepasbaar/extrapolatie/incidentie voor QALY],MATCH(B911,IF(Berekening_patiëntaantal[Doelgroep (zoeksleutel)]=C911,Berekening_patiëntaantal[Digitale zorgtoepassing]),0))</f>
        <v>Huidige toepassing</v>
      </c>
      <c r="F911" s="33" t="s">
        <v>813</v>
      </c>
      <c r="G911" s="33" t="str">
        <f>CONCATENATE(uitkomst_doelgroep[[#This Row],[Digitale zorgtoepassing]],"_",uitkomst_doelgroep[[#This Row],[Doelgroep]],"_",uitkomst_doelgroep[[#This Row],[Uitgangssituatie/effect beleid]])</f>
        <v>Apps voor cognitieve testen_Multiple Sclerosis_Uitgangssituatie</v>
      </c>
      <c r="H911" s="33">
        <v>2030</v>
      </c>
      <c r="I911" s="32">
        <v>8</v>
      </c>
      <c r="J911" s="406" cm="1">
        <f t="array" ref="J911">INDEX(implementatie[[2023]:[2034]],MATCH(G911, implementatie[Zoeksleutel],0),I911)</f>
        <v>0.19753623413361349</v>
      </c>
      <c r="K911" s="406" cm="1">
        <f t="array" ref="K911">INDEX(implementatie[[2023]:[2034]],MATCH(G911,implementatie[Zoeksleutel],0),I911 + 1)</f>
        <v>0.27699177758611071</v>
      </c>
      <c r="L91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4701.362372380001</v>
      </c>
      <c r="M911" s="398" cm="1">
        <f t="array" ref="M911">J911*INDEX(Berekening_impact[Totaal arbeidsbesparing (€/jaar)],MATCH(B911,IF(Berekening_impact[Doelgroep]=C911,Berekening_impact[Digitale zorgtoepassing]),0))</f>
        <v>47415.536167990547</v>
      </c>
      <c r="N911" s="397" cm="1">
        <f t="array" ref="N911">J911*INDEX(Berekening_impact[Totaal arbeidsbesparing (FTE/jaar)],MATCH(B911,IF(Berekening_impact[Doelgroep]=C911,Berekening_impact[Digitale zorgtoepassing]),0))</f>
        <v>0.56506759283413466</v>
      </c>
      <c r="O911" s="398" cm="1">
        <f t="array" ref="O911">J911*INDEX(Berekening_impact[Overige kostenbesparing (totaal/jaar totaal potentieel)],MATCH(B911,IF(Berekening_impact[Doelgroep]=C911,Berekening_impact[Digitale zorgtoepassing]),0))</f>
        <v>0</v>
      </c>
      <c r="P911" s="398" cm="1">
        <f t="array" ref="P911">J911*INDEX(Berekening_impact[Opbrengsten door QALY''s],MATCH(B911,IF(Berekening_impact[Doelgroep]=C911,Berekening_impact[Digitale zorgtoepassing]),0))</f>
        <v>0</v>
      </c>
      <c r="Q911" s="398" cm="1">
        <f t="array" ref="Q911">J911*INDEX(Berekening_impact[Jaarlijkse kosten (totaal) - incl. schatting],MATCH(B911,IF(Berekening_impact[Doelgroep]=C911,Berekening_impact[Digitale zorgtoepassing]),0))</f>
        <v>40295.226166582193</v>
      </c>
      <c r="R911" s="398" cm="1">
        <f t="array" ref="R911">(uitkomst_doelgroep[[#This Row],[Implementatiegraad t = T + 1]]-uitkomst_doelgroep[[#This Row],[Implementatiegraad t = T]])*INDEX(Berekening_impact[Initiële investering (totaal) - incl. schatting],MATCH(B911,IF(Berekening_impact[Doelgroep]=C911,Berekening_impact[Digitale zorgtoepassing]),0))</f>
        <v>0</v>
      </c>
      <c r="S911" s="398">
        <f>uitkomst_doelgroep[[#This Row],[Arbeidsbesparing (€)]]*uitkomst_doelgroep[[#This Row],[Percentage van patiëntaantallen in Wlz (overige is Zvw)]]</f>
        <v>0</v>
      </c>
      <c r="T911" s="398">
        <f>uitkomst_doelgroep[[#This Row],[Overige besparingen (€)]]*uitkomst_doelgroep[[#This Row],[Percentage van patiëntaantallen in Wlz (overige is Zvw)]]</f>
        <v>0</v>
      </c>
      <c r="U911" s="398">
        <f>uitkomst_doelgroep[[#This Row],[Kosten (€)]]*uitkomst_doelgroep[[#This Row],[Percentage van patiëntaantallen in Wlz (overige is Zvw)]]</f>
        <v>0</v>
      </c>
      <c r="V911" s="398">
        <f>uitkomst_doelgroep[[#This Row],[Investering (cash flow) (€)]]*uitkomst_doelgroep[[#This Row],[Percentage van patiëntaantallen in Wlz (overige is Zvw)]]</f>
        <v>0</v>
      </c>
    </row>
    <row r="912" spans="1:22" x14ac:dyDescent="0.5">
      <c r="A912" s="33" t="str">
        <f>INDEX(Technologieën[Veld],MATCH(B912,Technologieën[Digitale zorgtoepassing],0))</f>
        <v>Software - Diagnose</v>
      </c>
      <c r="B912" s="33" t="s">
        <v>66</v>
      </c>
      <c r="C912" s="33" t="s">
        <v>69</v>
      </c>
      <c r="D912" s="427" cm="1">
        <f t="array" ref="D912">INDEX(Berekening_patiëntaantal[Percentage van patiëntaantallen in Wlz (overige is Zvw)],MATCH(B912,IF(Berekening_patiëntaantal[Doelgroep (zoeksleutel)]=C912,Berekening_patiëntaantal[Digitale zorgtoepassing]),0))</f>
        <v>0</v>
      </c>
      <c r="E912" s="33" t="str" cm="1">
        <f t="array" ref="E912">INDEX(Berekening_patiëntaantal[Direct toepasbaar/extrapolatie/incidentie voor QALY],MATCH(B912,IF(Berekening_patiëntaantal[Doelgroep (zoeksleutel)]=C912,Berekening_patiëntaantal[Digitale zorgtoepassing]),0))</f>
        <v>Huidige toepassing</v>
      </c>
      <c r="F912" s="33" t="s">
        <v>813</v>
      </c>
      <c r="G912" s="33" t="str">
        <f>CONCATENATE(uitkomst_doelgroep[[#This Row],[Digitale zorgtoepassing]],"_",uitkomst_doelgroep[[#This Row],[Doelgroep]],"_",uitkomst_doelgroep[[#This Row],[Uitgangssituatie/effect beleid]])</f>
        <v>Apps voor cognitieve testen_Mild Cognitive Impairment_Uitgangssituatie</v>
      </c>
      <c r="H912" s="33">
        <v>2031</v>
      </c>
      <c r="I912" s="32">
        <v>9</v>
      </c>
      <c r="J912" s="406" cm="1">
        <f t="array" ref="J912">INDEX(implementatie[[2023]:[2034]],MATCH(G912, implementatie[Zoeksleutel],0),I912)</f>
        <v>0.27699177758611071</v>
      </c>
      <c r="K912" s="406" cm="1">
        <f t="array" ref="K912">INDEX(implementatie[[2023]:[2034]],MATCH(G912,implementatie[Zoeksleutel],0),I912 + 1)</f>
        <v>0.37155887512870744</v>
      </c>
      <c r="L91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41488.295870472342</v>
      </c>
      <c r="M912" s="398" cm="1">
        <f t="array" ref="M912">J912*INDEX(Berekening_impact[Totaal arbeidsbesparing (€/jaar)],MATCH(B912,IF(Berekening_impact[Doelgroep]=C912,Berekening_impact[Digitale zorgtoepassing]),0))</f>
        <v>1255289.1933740543</v>
      </c>
      <c r="N912" s="397" cm="1">
        <f t="array" ref="N912">J912*INDEX(Berekening_impact[Totaal arbeidsbesparing (FTE/jaar)],MATCH(B912,IF(Berekening_impact[Doelgroep]=C912,Berekening_impact[Digitale zorgtoepassing]),0))</f>
        <v>14.959722068679929</v>
      </c>
      <c r="O912" s="398" cm="1">
        <f t="array" ref="O912">J912*INDEX(Berekening_impact[Overige kostenbesparing (totaal/jaar totaal potentieel)],MATCH(B912,IF(Berekening_impact[Doelgroep]=C912,Berekening_impact[Digitale zorgtoepassing]),0))</f>
        <v>0</v>
      </c>
      <c r="P912" s="398" cm="1">
        <f t="array" ref="P912">J912*INDEX(Berekening_impact[Opbrengsten door QALY''s],MATCH(B912,IF(Berekening_impact[Doelgroep]=C912,Berekening_impact[Digitale zorgtoepassing]),0))</f>
        <v>0</v>
      </c>
      <c r="Q912" s="398" cm="1">
        <f t="array" ref="Q912">J912*INDEX(Berekening_impact[Jaarlijkse kosten (totaal) - incl. schatting],MATCH(B912,IF(Berekening_impact[Doelgroep]=C912,Berekening_impact[Digitale zorgtoepassing]),0))</f>
        <v>1066784.5613358528</v>
      </c>
      <c r="R912" s="398" cm="1">
        <f t="array" ref="R912">(uitkomst_doelgroep[[#This Row],[Implementatiegraad t = T + 1]]-uitkomst_doelgroep[[#This Row],[Implementatiegraad t = T]])*INDEX(Berekening_impact[Initiële investering (totaal) - incl. schatting],MATCH(B912,IF(Berekening_impact[Doelgroep]=C912,Berekening_impact[Digitale zorgtoepassing]),0))</f>
        <v>0</v>
      </c>
      <c r="S912" s="398">
        <f>uitkomst_doelgroep[[#This Row],[Arbeidsbesparing (€)]]*uitkomst_doelgroep[[#This Row],[Percentage van patiëntaantallen in Wlz (overige is Zvw)]]</f>
        <v>0</v>
      </c>
      <c r="T912" s="398">
        <f>uitkomst_doelgroep[[#This Row],[Overige besparingen (€)]]*uitkomst_doelgroep[[#This Row],[Percentage van patiëntaantallen in Wlz (overige is Zvw)]]</f>
        <v>0</v>
      </c>
      <c r="U912" s="398">
        <f>uitkomst_doelgroep[[#This Row],[Kosten (€)]]*uitkomst_doelgroep[[#This Row],[Percentage van patiëntaantallen in Wlz (overige is Zvw)]]</f>
        <v>0</v>
      </c>
      <c r="V912" s="398">
        <f>uitkomst_doelgroep[[#This Row],[Investering (cash flow) (€)]]*uitkomst_doelgroep[[#This Row],[Percentage van patiëntaantallen in Wlz (overige is Zvw)]]</f>
        <v>0</v>
      </c>
    </row>
    <row r="913" spans="1:22" x14ac:dyDescent="0.5">
      <c r="A913" s="33" t="str">
        <f>INDEX(Technologieën[Veld],MATCH(B913,Technologieën[Digitale zorgtoepassing],0))</f>
        <v>Software - Diagnose</v>
      </c>
      <c r="B913" s="33" t="s">
        <v>66</v>
      </c>
      <c r="C913" s="33" t="s">
        <v>67</v>
      </c>
      <c r="D913" s="427" cm="1">
        <f t="array" ref="D913">INDEX(Berekening_patiëntaantal[Percentage van patiëntaantallen in Wlz (overige is Zvw)],MATCH(B913,IF(Berekening_patiëntaantal[Doelgroep (zoeksleutel)]=C913,Berekening_patiëntaantal[Digitale zorgtoepassing]),0))</f>
        <v>0</v>
      </c>
      <c r="E913" s="33" t="str" cm="1">
        <f t="array" ref="E913">INDEX(Berekening_patiëntaantal[Direct toepasbaar/extrapolatie/incidentie voor QALY],MATCH(B913,IF(Berekening_patiëntaantal[Doelgroep (zoeksleutel)]=C913,Berekening_patiëntaantal[Digitale zorgtoepassing]),0))</f>
        <v>Huidige toepassing</v>
      </c>
      <c r="F913" s="33" t="s">
        <v>813</v>
      </c>
      <c r="G913" s="33" t="str">
        <f>CONCATENATE(uitkomst_doelgroep[[#This Row],[Digitale zorgtoepassing]],"_",uitkomst_doelgroep[[#This Row],[Doelgroep]],"_",uitkomst_doelgroep[[#This Row],[Uitgangssituatie/effect beleid]])</f>
        <v>Apps voor cognitieve testen_Multiple Sclerosis_Uitgangssituatie</v>
      </c>
      <c r="H913" s="33">
        <v>2031</v>
      </c>
      <c r="I913" s="32">
        <v>9</v>
      </c>
      <c r="J913" s="406" cm="1">
        <f t="array" ref="J913">INDEX(implementatie[[2023]:[2034]],MATCH(G913, implementatie[Zoeksleutel],0),I913)</f>
        <v>0.27699177758611071</v>
      </c>
      <c r="K913" s="406" cm="1">
        <f t="array" ref="K913">INDEX(implementatie[[2023]:[2034]],MATCH(G913,implementatie[Zoeksleutel],0),I913 + 1)</f>
        <v>0.37155887512870744</v>
      </c>
      <c r="L91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6592.4043065494352</v>
      </c>
      <c r="M913" s="398" cm="1">
        <f t="array" ref="M913">J913*INDEX(Berekening_impact[Totaal arbeidsbesparing (€/jaar)],MATCH(B913,IF(Berekening_impact[Doelgroep]=C913,Berekening_impact[Digitale zorgtoepassing]),0))</f>
        <v>66487.617858942191</v>
      </c>
      <c r="N913" s="397" cm="1">
        <f t="array" ref="N913">J913*INDEX(Berekening_impact[Totaal arbeidsbesparing (FTE/jaar)],MATCH(B913,IF(Berekening_impact[Doelgroep]=C913,Berekening_impact[Digitale zorgtoepassing]),0))</f>
        <v>0.79235628684488391</v>
      </c>
      <c r="O913" s="398" cm="1">
        <f t="array" ref="O913">J913*INDEX(Berekening_impact[Overige kostenbesparing (totaal/jaar totaal potentieel)],MATCH(B913,IF(Berekening_impact[Doelgroep]=C913,Berekening_impact[Digitale zorgtoepassing]),0))</f>
        <v>0</v>
      </c>
      <c r="P913" s="398" cm="1">
        <f t="array" ref="P913">J913*INDEX(Berekening_impact[Opbrengsten door QALY''s],MATCH(B913,IF(Berekening_impact[Doelgroep]=C913,Berekening_impact[Digitale zorgtoepassing]),0))</f>
        <v>0</v>
      </c>
      <c r="Q913" s="398" cm="1">
        <f t="array" ref="Q913">J913*INDEX(Berekening_impact[Jaarlijkse kosten (totaal) - incl. schatting],MATCH(B913,IF(Berekening_impact[Doelgroep]=C913,Berekening_impact[Digitale zorgtoepassing]),0))</f>
        <v>56503.285956977204</v>
      </c>
      <c r="R913" s="398" cm="1">
        <f t="array" ref="R913">(uitkomst_doelgroep[[#This Row],[Implementatiegraad t = T + 1]]-uitkomst_doelgroep[[#This Row],[Implementatiegraad t = T]])*INDEX(Berekening_impact[Initiële investering (totaal) - incl. schatting],MATCH(B913,IF(Berekening_impact[Doelgroep]=C913,Berekening_impact[Digitale zorgtoepassing]),0))</f>
        <v>0</v>
      </c>
      <c r="S913" s="398">
        <f>uitkomst_doelgroep[[#This Row],[Arbeidsbesparing (€)]]*uitkomst_doelgroep[[#This Row],[Percentage van patiëntaantallen in Wlz (overige is Zvw)]]</f>
        <v>0</v>
      </c>
      <c r="T913" s="398">
        <f>uitkomst_doelgroep[[#This Row],[Overige besparingen (€)]]*uitkomst_doelgroep[[#This Row],[Percentage van patiëntaantallen in Wlz (overige is Zvw)]]</f>
        <v>0</v>
      </c>
      <c r="U913" s="398">
        <f>uitkomst_doelgroep[[#This Row],[Kosten (€)]]*uitkomst_doelgroep[[#This Row],[Percentage van patiëntaantallen in Wlz (overige is Zvw)]]</f>
        <v>0</v>
      </c>
      <c r="V913" s="398">
        <f>uitkomst_doelgroep[[#This Row],[Investering (cash flow) (€)]]*uitkomst_doelgroep[[#This Row],[Percentage van patiëntaantallen in Wlz (overige is Zvw)]]</f>
        <v>0</v>
      </c>
    </row>
    <row r="914" spans="1:22" x14ac:dyDescent="0.5">
      <c r="A914" s="33" t="str">
        <f>INDEX(Technologieën[Veld],MATCH(B914,Technologieën[Digitale zorgtoepassing],0))</f>
        <v>Software - Diagnose</v>
      </c>
      <c r="B914" s="33" t="s">
        <v>66</v>
      </c>
      <c r="C914" s="33" t="s">
        <v>69</v>
      </c>
      <c r="D914" s="427" cm="1">
        <f t="array" ref="D914">INDEX(Berekening_patiëntaantal[Percentage van patiëntaantallen in Wlz (overige is Zvw)],MATCH(B914,IF(Berekening_patiëntaantal[Doelgroep (zoeksleutel)]=C914,Berekening_patiëntaantal[Digitale zorgtoepassing]),0))</f>
        <v>0</v>
      </c>
      <c r="E914" s="33" t="str" cm="1">
        <f t="array" ref="E914">INDEX(Berekening_patiëntaantal[Direct toepasbaar/extrapolatie/incidentie voor QALY],MATCH(B914,IF(Berekening_patiëntaantal[Doelgroep (zoeksleutel)]=C914,Berekening_patiëntaantal[Digitale zorgtoepassing]),0))</f>
        <v>Huidige toepassing</v>
      </c>
      <c r="F914" s="33" t="s">
        <v>813</v>
      </c>
      <c r="G914" s="33" t="str">
        <f>CONCATENATE(uitkomst_doelgroep[[#This Row],[Digitale zorgtoepassing]],"_",uitkomst_doelgroep[[#This Row],[Doelgroep]],"_",uitkomst_doelgroep[[#This Row],[Uitgangssituatie/effect beleid]])</f>
        <v>Apps voor cognitieve testen_Mild Cognitive Impairment_Uitgangssituatie</v>
      </c>
      <c r="H914" s="33">
        <v>2032</v>
      </c>
      <c r="I914" s="32">
        <v>10</v>
      </c>
      <c r="J914" s="406" cm="1">
        <f t="array" ref="J914">INDEX(implementatie[[2023]:[2034]],MATCH(G914, implementatie[Zoeksleutel],0),I914)</f>
        <v>0.37155887512870744</v>
      </c>
      <c r="K914" s="406" cm="1">
        <f t="array" ref="K914">INDEX(implementatie[[2023]:[2034]],MATCH(G914,implementatie[Zoeksleutel],0),I914 + 1)</f>
        <v>0.47752884860285211</v>
      </c>
      <c r="L91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55652.715322379583</v>
      </c>
      <c r="M914" s="398" cm="1">
        <f t="array" ref="M914">J914*INDEX(Berekening_impact[Totaal arbeidsbesparing (€/jaar)],MATCH(B914,IF(Berekening_impact[Doelgroep]=C914,Berekening_impact[Digitale zorgtoepassing]),0))</f>
        <v>1683854.4620924289</v>
      </c>
      <c r="N914" s="397" cm="1">
        <f t="array" ref="N914">J914*INDEX(Berekening_impact[Totaal arbeidsbesparing (FTE/jaar)],MATCH(B914,IF(Berekening_impact[Doelgroep]=C914,Berekening_impact[Digitale zorgtoepassing]),0))</f>
        <v>20.067084851819558</v>
      </c>
      <c r="O914" s="398" cm="1">
        <f t="array" ref="O914">J914*INDEX(Berekening_impact[Overige kostenbesparing (totaal/jaar totaal potentieel)],MATCH(B914,IF(Berekening_impact[Doelgroep]=C914,Berekening_impact[Digitale zorgtoepassing]),0))</f>
        <v>0</v>
      </c>
      <c r="P914" s="398" cm="1">
        <f t="array" ref="P914">J914*INDEX(Berekening_impact[Opbrengsten door QALY''s],MATCH(B914,IF(Berekening_impact[Doelgroep]=C914,Berekening_impact[Digitale zorgtoepassing]),0))</f>
        <v>0</v>
      </c>
      <c r="Q914" s="398" cm="1">
        <f t="array" ref="Q914">J914*INDEX(Berekening_impact[Jaarlijkse kosten (totaal) - incl. schatting],MATCH(B914,IF(Berekening_impact[Doelgroep]=C914,Berekening_impact[Digitale zorgtoepassing]),0))</f>
        <v>1430992.9163561445</v>
      </c>
      <c r="R914" s="398" cm="1">
        <f t="array" ref="R914">(uitkomst_doelgroep[[#This Row],[Implementatiegraad t = T + 1]]-uitkomst_doelgroep[[#This Row],[Implementatiegraad t = T]])*INDEX(Berekening_impact[Initiële investering (totaal) - incl. schatting],MATCH(B914,IF(Berekening_impact[Doelgroep]=C914,Berekening_impact[Digitale zorgtoepassing]),0))</f>
        <v>0</v>
      </c>
      <c r="S914" s="398">
        <f>uitkomst_doelgroep[[#This Row],[Arbeidsbesparing (€)]]*uitkomst_doelgroep[[#This Row],[Percentage van patiëntaantallen in Wlz (overige is Zvw)]]</f>
        <v>0</v>
      </c>
      <c r="T914" s="398">
        <f>uitkomst_doelgroep[[#This Row],[Overige besparingen (€)]]*uitkomst_doelgroep[[#This Row],[Percentage van patiëntaantallen in Wlz (overige is Zvw)]]</f>
        <v>0</v>
      </c>
      <c r="U914" s="398">
        <f>uitkomst_doelgroep[[#This Row],[Kosten (€)]]*uitkomst_doelgroep[[#This Row],[Percentage van patiëntaantallen in Wlz (overige is Zvw)]]</f>
        <v>0</v>
      </c>
      <c r="V914" s="398">
        <f>uitkomst_doelgroep[[#This Row],[Investering (cash flow) (€)]]*uitkomst_doelgroep[[#This Row],[Percentage van patiëntaantallen in Wlz (overige is Zvw)]]</f>
        <v>0</v>
      </c>
    </row>
    <row r="915" spans="1:22" x14ac:dyDescent="0.5">
      <c r="A915" s="33" t="str">
        <f>INDEX(Technologieën[Veld],MATCH(B915,Technologieën[Digitale zorgtoepassing],0))</f>
        <v>Software - Diagnose</v>
      </c>
      <c r="B915" s="33" t="s">
        <v>66</v>
      </c>
      <c r="C915" s="33" t="s">
        <v>67</v>
      </c>
      <c r="D915" s="427" cm="1">
        <f t="array" ref="D915">INDEX(Berekening_patiëntaantal[Percentage van patiëntaantallen in Wlz (overige is Zvw)],MATCH(B915,IF(Berekening_patiëntaantal[Doelgroep (zoeksleutel)]=C915,Berekening_patiëntaantal[Digitale zorgtoepassing]),0))</f>
        <v>0</v>
      </c>
      <c r="E915" s="33" t="str" cm="1">
        <f t="array" ref="E915">INDEX(Berekening_patiëntaantal[Direct toepasbaar/extrapolatie/incidentie voor QALY],MATCH(B915,IF(Berekening_patiëntaantal[Doelgroep (zoeksleutel)]=C915,Berekening_patiëntaantal[Digitale zorgtoepassing]),0))</f>
        <v>Huidige toepassing</v>
      </c>
      <c r="F915" s="33" t="s">
        <v>813</v>
      </c>
      <c r="G915" s="33" t="str">
        <f>CONCATENATE(uitkomst_doelgroep[[#This Row],[Digitale zorgtoepassing]],"_",uitkomst_doelgroep[[#This Row],[Doelgroep]],"_",uitkomst_doelgroep[[#This Row],[Uitgangssituatie/effect beleid]])</f>
        <v>Apps voor cognitieve testen_Multiple Sclerosis_Uitgangssituatie</v>
      </c>
      <c r="H915" s="33">
        <v>2032</v>
      </c>
      <c r="I915" s="32">
        <v>10</v>
      </c>
      <c r="J915" s="406" cm="1">
        <f t="array" ref="J915">INDEX(implementatie[[2023]:[2034]],MATCH(G915, implementatie[Zoeksleutel],0),I915)</f>
        <v>0.37155887512870744</v>
      </c>
      <c r="K915" s="406" cm="1">
        <f t="array" ref="K915">INDEX(implementatie[[2023]:[2034]],MATCH(G915,implementatie[Zoeksleutel],0),I915 + 1)</f>
        <v>0.47752884860285211</v>
      </c>
      <c r="L91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8843.1012280632367</v>
      </c>
      <c r="M915" s="398" cm="1">
        <f t="array" ref="M915">J915*INDEX(Berekening_impact[Totaal arbeidsbesparing (€/jaar)],MATCH(B915,IF(Berekening_impact[Doelgroep]=C915,Berekening_impact[Digitale zorgtoepassing]),0))</f>
        <v>89186.995790790083</v>
      </c>
      <c r="N915" s="397" cm="1">
        <f t="array" ref="N915">J915*INDEX(Berekening_impact[Totaal arbeidsbesparing (FTE/jaar)],MATCH(B915,IF(Berekening_impact[Doelgroep]=C915,Berekening_impact[Digitale zorgtoepassing]),0))</f>
        <v>1.0628727437576007</v>
      </c>
      <c r="O915" s="398" cm="1">
        <f t="array" ref="O915">J915*INDEX(Berekening_impact[Overige kostenbesparing (totaal/jaar totaal potentieel)],MATCH(B915,IF(Berekening_impact[Doelgroep]=C915,Berekening_impact[Digitale zorgtoepassing]),0))</f>
        <v>0</v>
      </c>
      <c r="P915" s="398" cm="1">
        <f t="array" ref="P915">J915*INDEX(Berekening_impact[Opbrengsten door QALY''s],MATCH(B915,IF(Berekening_impact[Doelgroep]=C915,Berekening_impact[Digitale zorgtoepassing]),0))</f>
        <v>0</v>
      </c>
      <c r="Q915" s="398" cm="1">
        <f t="array" ref="Q915">J915*INDEX(Berekening_impact[Jaarlijkse kosten (totaal) - incl. schatting],MATCH(B915,IF(Berekening_impact[Doelgroep]=C915,Berekening_impact[Digitale zorgtoepassing]),0))</f>
        <v>75793.937113254098</v>
      </c>
      <c r="R915" s="398" cm="1">
        <f t="array" ref="R915">(uitkomst_doelgroep[[#This Row],[Implementatiegraad t = T + 1]]-uitkomst_doelgroep[[#This Row],[Implementatiegraad t = T]])*INDEX(Berekening_impact[Initiële investering (totaal) - incl. schatting],MATCH(B915,IF(Berekening_impact[Doelgroep]=C915,Berekening_impact[Digitale zorgtoepassing]),0))</f>
        <v>0</v>
      </c>
      <c r="S915" s="398">
        <f>uitkomst_doelgroep[[#This Row],[Arbeidsbesparing (€)]]*uitkomst_doelgroep[[#This Row],[Percentage van patiëntaantallen in Wlz (overige is Zvw)]]</f>
        <v>0</v>
      </c>
      <c r="T915" s="398">
        <f>uitkomst_doelgroep[[#This Row],[Overige besparingen (€)]]*uitkomst_doelgroep[[#This Row],[Percentage van patiëntaantallen in Wlz (overige is Zvw)]]</f>
        <v>0</v>
      </c>
      <c r="U915" s="398">
        <f>uitkomst_doelgroep[[#This Row],[Kosten (€)]]*uitkomst_doelgroep[[#This Row],[Percentage van patiëntaantallen in Wlz (overige is Zvw)]]</f>
        <v>0</v>
      </c>
      <c r="V915" s="398">
        <f>uitkomst_doelgroep[[#This Row],[Investering (cash flow) (€)]]*uitkomst_doelgroep[[#This Row],[Percentage van patiëntaantallen in Wlz (overige is Zvw)]]</f>
        <v>0</v>
      </c>
    </row>
    <row r="916" spans="1:22" x14ac:dyDescent="0.5">
      <c r="A916" s="33" t="str">
        <f>INDEX(Technologieën[Veld],MATCH(B916,Technologieën[Digitale zorgtoepassing],0))</f>
        <v>Software - Diagnose</v>
      </c>
      <c r="B916" s="33" t="s">
        <v>66</v>
      </c>
      <c r="C916" s="33" t="s">
        <v>69</v>
      </c>
      <c r="D916" s="427" cm="1">
        <f t="array" ref="D916">INDEX(Berekening_patiëntaantal[Percentage van patiëntaantallen in Wlz (overige is Zvw)],MATCH(B916,IF(Berekening_patiëntaantal[Doelgroep (zoeksleutel)]=C916,Berekening_patiëntaantal[Digitale zorgtoepassing]),0))</f>
        <v>0</v>
      </c>
      <c r="E916" s="33" t="str" cm="1">
        <f t="array" ref="E916">INDEX(Berekening_patiëntaantal[Direct toepasbaar/extrapolatie/incidentie voor QALY],MATCH(B916,IF(Berekening_patiëntaantal[Doelgroep (zoeksleutel)]=C916,Berekening_patiëntaantal[Digitale zorgtoepassing]),0))</f>
        <v>Huidige toepassing</v>
      </c>
      <c r="F916" s="33" t="s">
        <v>813</v>
      </c>
      <c r="G916" s="33" t="str">
        <f>CONCATENATE(uitkomst_doelgroep[[#This Row],[Digitale zorgtoepassing]],"_",uitkomst_doelgroep[[#This Row],[Doelgroep]],"_",uitkomst_doelgroep[[#This Row],[Uitgangssituatie/effect beleid]])</f>
        <v>Apps voor cognitieve testen_Mild Cognitive Impairment_Uitgangssituatie</v>
      </c>
      <c r="H916" s="33">
        <v>2033</v>
      </c>
      <c r="I916" s="32">
        <v>11</v>
      </c>
      <c r="J916" s="406" cm="1">
        <f t="array" ref="J916">INDEX(implementatie[[2023]:[2034]],MATCH(G916, implementatie[Zoeksleutel],0),I916)</f>
        <v>0.47752884860285211</v>
      </c>
      <c r="K916" s="406" cm="1">
        <f t="array" ref="K916">INDEX(implementatie[[2023]:[2034]],MATCH(G916,implementatie[Zoeksleutel],0),I916 + 1)</f>
        <v>0.5877762905727496</v>
      </c>
      <c r="L91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71525.076773667199</v>
      </c>
      <c r="M916" s="398" cm="1">
        <f t="array" ref="M916">J916*INDEX(Berekening_impact[Totaal arbeidsbesparing (€/jaar)],MATCH(B916,IF(Berekening_impact[Doelgroep]=C916,Berekening_impact[Digitale zorgtoepassing]),0))</f>
        <v>2164096.0190205043</v>
      </c>
      <c r="N916" s="397" cm="1">
        <f t="array" ref="N916">J916*INDEX(Berekening_impact[Totaal arbeidsbesparing (FTE/jaar)],MATCH(B916,IF(Berekening_impact[Doelgroep]=C916,Berekening_impact[Digitale zorgtoepassing]),0))</f>
        <v>25.790292105889613</v>
      </c>
      <c r="O916" s="398" cm="1">
        <f t="array" ref="O916">J916*INDEX(Berekening_impact[Overige kostenbesparing (totaal/jaar totaal potentieel)],MATCH(B916,IF(Berekening_impact[Doelgroep]=C916,Berekening_impact[Digitale zorgtoepassing]),0))</f>
        <v>0</v>
      </c>
      <c r="P916" s="398" cm="1">
        <f t="array" ref="P916">J916*INDEX(Berekening_impact[Opbrengsten door QALY''s],MATCH(B916,IF(Berekening_impact[Doelgroep]=C916,Berekening_impact[Digitale zorgtoepassing]),0))</f>
        <v>0</v>
      </c>
      <c r="Q916" s="398" cm="1">
        <f t="array" ref="Q916">J916*INDEX(Berekening_impact[Jaarlijkse kosten (totaal) - incl. schatting],MATCH(B916,IF(Berekening_impact[Doelgroep]=C916,Berekening_impact[Digitale zorgtoepassing]),0))</f>
        <v>1839117.4197351064</v>
      </c>
      <c r="R916" s="398" cm="1">
        <f t="array" ref="R916">(uitkomst_doelgroep[[#This Row],[Implementatiegraad t = T + 1]]-uitkomst_doelgroep[[#This Row],[Implementatiegraad t = T]])*INDEX(Berekening_impact[Initiële investering (totaal) - incl. schatting],MATCH(B916,IF(Berekening_impact[Doelgroep]=C916,Berekening_impact[Digitale zorgtoepassing]),0))</f>
        <v>0</v>
      </c>
      <c r="S916" s="398">
        <f>uitkomst_doelgroep[[#This Row],[Arbeidsbesparing (€)]]*uitkomst_doelgroep[[#This Row],[Percentage van patiëntaantallen in Wlz (overige is Zvw)]]</f>
        <v>0</v>
      </c>
      <c r="T916" s="398">
        <f>uitkomst_doelgroep[[#This Row],[Overige besparingen (€)]]*uitkomst_doelgroep[[#This Row],[Percentage van patiëntaantallen in Wlz (overige is Zvw)]]</f>
        <v>0</v>
      </c>
      <c r="U916" s="398">
        <f>uitkomst_doelgroep[[#This Row],[Kosten (€)]]*uitkomst_doelgroep[[#This Row],[Percentage van patiëntaantallen in Wlz (overige is Zvw)]]</f>
        <v>0</v>
      </c>
      <c r="V916" s="398">
        <f>uitkomst_doelgroep[[#This Row],[Investering (cash flow) (€)]]*uitkomst_doelgroep[[#This Row],[Percentage van patiëntaantallen in Wlz (overige is Zvw)]]</f>
        <v>0</v>
      </c>
    </row>
    <row r="917" spans="1:22" x14ac:dyDescent="0.5">
      <c r="A917" s="33" t="str">
        <f>INDEX(Technologieën[Veld],MATCH(B917,Technologieën[Digitale zorgtoepassing],0))</f>
        <v>Software - Diagnose</v>
      </c>
      <c r="B917" s="33" t="s">
        <v>66</v>
      </c>
      <c r="C917" s="33" t="s">
        <v>67</v>
      </c>
      <c r="D917" s="427" cm="1">
        <f t="array" ref="D917">INDEX(Berekening_patiëntaantal[Percentage van patiëntaantallen in Wlz (overige is Zvw)],MATCH(B917,IF(Berekening_patiëntaantal[Doelgroep (zoeksleutel)]=C917,Berekening_patiëntaantal[Digitale zorgtoepassing]),0))</f>
        <v>0</v>
      </c>
      <c r="E917" s="33" t="str" cm="1">
        <f t="array" ref="E917">INDEX(Berekening_patiëntaantal[Direct toepasbaar/extrapolatie/incidentie voor QALY],MATCH(B917,IF(Berekening_patiëntaantal[Doelgroep (zoeksleutel)]=C917,Berekening_patiëntaantal[Digitale zorgtoepassing]),0))</f>
        <v>Huidige toepassing</v>
      </c>
      <c r="F917" s="33" t="s">
        <v>813</v>
      </c>
      <c r="G917" s="33" t="str">
        <f>CONCATENATE(uitkomst_doelgroep[[#This Row],[Digitale zorgtoepassing]],"_",uitkomst_doelgroep[[#This Row],[Doelgroep]],"_",uitkomst_doelgroep[[#This Row],[Uitgangssituatie/effect beleid]])</f>
        <v>Apps voor cognitieve testen_Multiple Sclerosis_Uitgangssituatie</v>
      </c>
      <c r="H917" s="33">
        <v>2033</v>
      </c>
      <c r="I917" s="32">
        <v>11</v>
      </c>
      <c r="J917" s="406" cm="1">
        <f t="array" ref="J917">INDEX(implementatie[[2023]:[2034]],MATCH(G917, implementatie[Zoeksleutel],0),I917)</f>
        <v>0.47752884860285211</v>
      </c>
      <c r="K917" s="406" cm="1">
        <f t="array" ref="K917">INDEX(implementatie[[2023]:[2034]],MATCH(G917,implementatie[Zoeksleutel],0),I917 + 1)</f>
        <v>0.5877762905727496</v>
      </c>
      <c r="L91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11365.186596747881</v>
      </c>
      <c r="M917" s="398" cm="1">
        <f t="array" ref="M917">J917*INDEX(Berekening_impact[Totaal arbeidsbesparing (€/jaar)],MATCH(B917,IF(Berekening_impact[Doelgroep]=C917,Berekening_impact[Digitale zorgtoepassing]),0))</f>
        <v>114623.45878717206</v>
      </c>
      <c r="N917" s="397" cm="1">
        <f t="array" ref="N917">J917*INDEX(Berekening_impact[Totaal arbeidsbesparing (FTE/jaar)],MATCH(B917,IF(Berekening_impact[Doelgroep]=C917,Berekening_impact[Digitale zorgtoepassing]),0))</f>
        <v>1.3660080044168124</v>
      </c>
      <c r="O917" s="398" cm="1">
        <f t="array" ref="O917">J917*INDEX(Berekening_impact[Overige kostenbesparing (totaal/jaar totaal potentieel)],MATCH(B917,IF(Berekening_impact[Doelgroep]=C917,Berekening_impact[Digitale zorgtoepassing]),0))</f>
        <v>0</v>
      </c>
      <c r="P917" s="398" cm="1">
        <f t="array" ref="P917">J917*INDEX(Berekening_impact[Opbrengsten door QALY''s],MATCH(B917,IF(Berekening_impact[Doelgroep]=C917,Berekening_impact[Digitale zorgtoepassing]),0))</f>
        <v>0</v>
      </c>
      <c r="Q917" s="398" cm="1">
        <f t="array" ref="Q917">J917*INDEX(Berekening_impact[Jaarlijkse kosten (totaal) - incl. schatting],MATCH(B917,IF(Berekening_impact[Doelgroep]=C917,Berekening_impact[Digitale zorgtoepassing]),0))</f>
        <v>97410.649949437313</v>
      </c>
      <c r="R917" s="398" cm="1">
        <f t="array" ref="R917">(uitkomst_doelgroep[[#This Row],[Implementatiegraad t = T + 1]]-uitkomst_doelgroep[[#This Row],[Implementatiegraad t = T]])*INDEX(Berekening_impact[Initiële investering (totaal) - incl. schatting],MATCH(B917,IF(Berekening_impact[Doelgroep]=C917,Berekening_impact[Digitale zorgtoepassing]),0))</f>
        <v>0</v>
      </c>
      <c r="S917" s="398">
        <f>uitkomst_doelgroep[[#This Row],[Arbeidsbesparing (€)]]*uitkomst_doelgroep[[#This Row],[Percentage van patiëntaantallen in Wlz (overige is Zvw)]]</f>
        <v>0</v>
      </c>
      <c r="T917" s="398">
        <f>uitkomst_doelgroep[[#This Row],[Overige besparingen (€)]]*uitkomst_doelgroep[[#This Row],[Percentage van patiëntaantallen in Wlz (overige is Zvw)]]</f>
        <v>0</v>
      </c>
      <c r="U917" s="398">
        <f>uitkomst_doelgroep[[#This Row],[Kosten (€)]]*uitkomst_doelgroep[[#This Row],[Percentage van patiëntaantallen in Wlz (overige is Zvw)]]</f>
        <v>0</v>
      </c>
      <c r="V917" s="398">
        <f>uitkomst_doelgroep[[#This Row],[Investering (cash flow) (€)]]*uitkomst_doelgroep[[#This Row],[Percentage van patiëntaantallen in Wlz (overige is Zvw)]]</f>
        <v>0</v>
      </c>
    </row>
    <row r="918" spans="1:22" x14ac:dyDescent="0.5">
      <c r="A918" s="33" t="str">
        <f>INDEX(Technologieën[Veld],MATCH(B918,Technologieën[Digitale zorgtoepassing],0))</f>
        <v>Software - Diagnose</v>
      </c>
      <c r="B918" s="33" t="s">
        <v>76</v>
      </c>
      <c r="C918" s="33" t="s">
        <v>384</v>
      </c>
      <c r="D918" s="427" cm="1">
        <f t="array" ref="D918">INDEX(Berekening_patiëntaantal[Percentage van patiëntaantallen in Wlz (overige is Zvw)],MATCH(B918,IF(Berekening_patiëntaantal[Doelgroep (zoeksleutel)]=C918,Berekening_patiëntaantal[Digitale zorgtoepassing]),0))</f>
        <v>0</v>
      </c>
      <c r="E918" s="33" t="str" cm="1">
        <f t="array" ref="E918">INDEX(Berekening_patiëntaantal[Direct toepasbaar/extrapolatie/incidentie voor QALY],MATCH(B918,IF(Berekening_patiëntaantal[Doelgroep (zoeksleutel)]=C918,Berekening_patiëntaantal[Digitale zorgtoepassing]),0))</f>
        <v>Huidige toepassing</v>
      </c>
      <c r="F918" s="33" t="s">
        <v>813</v>
      </c>
      <c r="G918" s="33" t="str">
        <f>CONCATENATE(uitkomst_doelgroep[[#This Row],[Digitale zorgtoepassing]],"_",uitkomst_doelgroep[[#This Row],[Doelgroep]],"_",uitkomst_doelgroep[[#This Row],[Uitgangssituatie/effect beleid]])</f>
        <v>Deltascan voor delier opsporing_Ouderen ziekenhuis delier_Uitgangssituatie</v>
      </c>
      <c r="H918" s="33">
        <v>2023</v>
      </c>
      <c r="I918" s="32">
        <v>1</v>
      </c>
      <c r="J918" s="406" cm="1">
        <f t="array" ref="J918">INDEX(implementatie[[2023]:[2034]],MATCH(G918, implementatie[Zoeksleutel],0),I918)</f>
        <v>0.4</v>
      </c>
      <c r="K918" s="406" cm="1">
        <f t="array" ref="K918">INDEX(implementatie[[2023]:[2034]],MATCH(G918,implementatie[Zoeksleutel],0),I918 + 1)</f>
        <v>0.52300000000000002</v>
      </c>
      <c r="L91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48000</v>
      </c>
      <c r="M918" s="398" cm="1">
        <f t="array" ref="M918">J918*INDEX(Berekening_impact[Totaal arbeidsbesparing (€/jaar)],MATCH(B918,IF(Berekening_impact[Doelgroep]=C918,Berekening_impact[Digitale zorgtoepassing]),0))</f>
        <v>2930716.9011494266</v>
      </c>
      <c r="N918" s="397" cm="1">
        <f t="array" ref="N918">J918*INDEX(Berekening_impact[Totaal arbeidsbesparing (FTE/jaar)],MATCH(B918,IF(Berekening_impact[Doelgroep]=C918,Berekening_impact[Digitale zorgtoepassing]),0))</f>
        <v>49.923076923076934</v>
      </c>
      <c r="O918" s="398" cm="1">
        <f t="array" ref="O918">J918*INDEX(Berekening_impact[Overige kostenbesparing (totaal/jaar totaal potentieel)],MATCH(B918,IF(Berekening_impact[Doelgroep]=C918,Berekening_impact[Digitale zorgtoepassing]),0))</f>
        <v>0</v>
      </c>
      <c r="P918" s="398" cm="1">
        <f t="array" ref="P918">J918*INDEX(Berekening_impact[Opbrengsten door QALY''s],MATCH(B918,IF(Berekening_impact[Doelgroep]=C918,Berekening_impact[Digitale zorgtoepassing]),0))</f>
        <v>0</v>
      </c>
      <c r="Q918" s="398" cm="1">
        <f t="array" ref="Q918">J918*INDEX(Berekening_impact[Jaarlijkse kosten (totaal) - incl. schatting],MATCH(B918,IF(Berekening_impact[Doelgroep]=C918,Berekening_impact[Digitale zorgtoepassing]),0))</f>
        <v>2490616.1546637602</v>
      </c>
      <c r="R918" s="398" cm="1">
        <f t="array" ref="R918">(uitkomst_doelgroep[[#This Row],[Implementatiegraad t = T + 1]]-uitkomst_doelgroep[[#This Row],[Implementatiegraad t = T]])*INDEX(Berekening_impact[Initiële investering (totaal) - incl. schatting],MATCH(B918,IF(Berekening_impact[Doelgroep]=C918,Berekening_impact[Digitale zorgtoepassing]),0))</f>
        <v>0</v>
      </c>
      <c r="S918" s="398">
        <f>uitkomst_doelgroep[[#This Row],[Arbeidsbesparing (€)]]*uitkomst_doelgroep[[#This Row],[Percentage van patiëntaantallen in Wlz (overige is Zvw)]]</f>
        <v>0</v>
      </c>
      <c r="T918" s="398">
        <f>uitkomst_doelgroep[[#This Row],[Overige besparingen (€)]]*uitkomst_doelgroep[[#This Row],[Percentage van patiëntaantallen in Wlz (overige is Zvw)]]</f>
        <v>0</v>
      </c>
      <c r="U918" s="398">
        <f>uitkomst_doelgroep[[#This Row],[Kosten (€)]]*uitkomst_doelgroep[[#This Row],[Percentage van patiëntaantallen in Wlz (overige is Zvw)]]</f>
        <v>0</v>
      </c>
      <c r="V918" s="398">
        <f>uitkomst_doelgroep[[#This Row],[Investering (cash flow) (€)]]*uitkomst_doelgroep[[#This Row],[Percentage van patiëntaantallen in Wlz (overige is Zvw)]]</f>
        <v>0</v>
      </c>
    </row>
    <row r="919" spans="1:22" x14ac:dyDescent="0.5">
      <c r="A919" s="33" t="str">
        <f>INDEX(Technologieën[Veld],MATCH(B919,Technologieën[Digitale zorgtoepassing],0))</f>
        <v>Software - Diagnose</v>
      </c>
      <c r="B919" s="33" t="s">
        <v>76</v>
      </c>
      <c r="C919" s="33" t="s">
        <v>384</v>
      </c>
      <c r="D919" s="427" cm="1">
        <f t="array" ref="D919">INDEX(Berekening_patiëntaantal[Percentage van patiëntaantallen in Wlz (overige is Zvw)],MATCH(B919,IF(Berekening_patiëntaantal[Doelgroep (zoeksleutel)]=C919,Berekening_patiëntaantal[Digitale zorgtoepassing]),0))</f>
        <v>0</v>
      </c>
      <c r="E919" s="33" t="str" cm="1">
        <f t="array" ref="E919">INDEX(Berekening_patiëntaantal[Direct toepasbaar/extrapolatie/incidentie voor QALY],MATCH(B919,IF(Berekening_patiëntaantal[Doelgroep (zoeksleutel)]=C919,Berekening_patiëntaantal[Digitale zorgtoepassing]),0))</f>
        <v>Huidige toepassing</v>
      </c>
      <c r="F919" s="33" t="s">
        <v>813</v>
      </c>
      <c r="G919" s="33" t="str">
        <f>CONCATENATE(uitkomst_doelgroep[[#This Row],[Digitale zorgtoepassing]],"_",uitkomst_doelgroep[[#This Row],[Doelgroep]],"_",uitkomst_doelgroep[[#This Row],[Uitgangssituatie/effect beleid]])</f>
        <v>Deltascan voor delier opsporing_Ouderen ziekenhuis delier_Uitgangssituatie</v>
      </c>
      <c r="H919" s="33">
        <v>2024</v>
      </c>
      <c r="I919" s="32">
        <v>2</v>
      </c>
      <c r="J919" s="406" cm="1">
        <f t="array" ref="J919">INDEX(implementatie[[2023]:[2034]],MATCH(G919, implementatie[Zoeksleutel],0),I919)</f>
        <v>0.52300000000000002</v>
      </c>
      <c r="K919" s="406" cm="1">
        <f t="array" ref="K919">INDEX(implementatie[[2023]:[2034]],MATCH(G919,implementatie[Zoeksleutel],0),I919 + 1)</f>
        <v>0.64718695000000004</v>
      </c>
      <c r="L91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62760</v>
      </c>
      <c r="M919" s="398" cm="1">
        <f t="array" ref="M919">J919*INDEX(Berekening_impact[Totaal arbeidsbesparing (€/jaar)],MATCH(B919,IF(Berekening_impact[Doelgroep]=C919,Berekening_impact[Digitale zorgtoepassing]),0))</f>
        <v>3831912.3482528753</v>
      </c>
      <c r="N919" s="397" cm="1">
        <f t="array" ref="N919">J919*INDEX(Berekening_impact[Totaal arbeidsbesparing (FTE/jaar)],MATCH(B919,IF(Berekening_impact[Doelgroep]=C919,Berekening_impact[Digitale zorgtoepassing]),0))</f>
        <v>65.2744230769231</v>
      </c>
      <c r="O919" s="398" cm="1">
        <f t="array" ref="O919">J919*INDEX(Berekening_impact[Overige kostenbesparing (totaal/jaar totaal potentieel)],MATCH(B919,IF(Berekening_impact[Doelgroep]=C919,Berekening_impact[Digitale zorgtoepassing]),0))</f>
        <v>0</v>
      </c>
      <c r="P919" s="398" cm="1">
        <f t="array" ref="P919">J919*INDEX(Berekening_impact[Opbrengsten door QALY''s],MATCH(B919,IF(Berekening_impact[Doelgroep]=C919,Berekening_impact[Digitale zorgtoepassing]),0))</f>
        <v>0</v>
      </c>
      <c r="Q919" s="398" cm="1">
        <f t="array" ref="Q919">J919*INDEX(Berekening_impact[Jaarlijkse kosten (totaal) - incl. schatting],MATCH(B919,IF(Berekening_impact[Doelgroep]=C919,Berekening_impact[Digitale zorgtoepassing]),0))</f>
        <v>3256480.6222228664</v>
      </c>
      <c r="R919" s="398" cm="1">
        <f t="array" ref="R919">(uitkomst_doelgroep[[#This Row],[Implementatiegraad t = T + 1]]-uitkomst_doelgroep[[#This Row],[Implementatiegraad t = T]])*INDEX(Berekening_impact[Initiële investering (totaal) - incl. schatting],MATCH(B919,IF(Berekening_impact[Doelgroep]=C919,Berekening_impact[Digitale zorgtoepassing]),0))</f>
        <v>0</v>
      </c>
      <c r="S919" s="398">
        <f>uitkomst_doelgroep[[#This Row],[Arbeidsbesparing (€)]]*uitkomst_doelgroep[[#This Row],[Percentage van patiëntaantallen in Wlz (overige is Zvw)]]</f>
        <v>0</v>
      </c>
      <c r="T919" s="398">
        <f>uitkomst_doelgroep[[#This Row],[Overige besparingen (€)]]*uitkomst_doelgroep[[#This Row],[Percentage van patiëntaantallen in Wlz (overige is Zvw)]]</f>
        <v>0</v>
      </c>
      <c r="U919" s="398">
        <f>uitkomst_doelgroep[[#This Row],[Kosten (€)]]*uitkomst_doelgroep[[#This Row],[Percentage van patiëntaantallen in Wlz (overige is Zvw)]]</f>
        <v>0</v>
      </c>
      <c r="V919" s="398">
        <f>uitkomst_doelgroep[[#This Row],[Investering (cash flow) (€)]]*uitkomst_doelgroep[[#This Row],[Percentage van patiëntaantallen in Wlz (overige is Zvw)]]</f>
        <v>0</v>
      </c>
    </row>
    <row r="920" spans="1:22" x14ac:dyDescent="0.5">
      <c r="A920" s="33" t="str">
        <f>INDEX(Technologieën[Veld],MATCH(B920,Technologieën[Digitale zorgtoepassing],0))</f>
        <v>Software - Diagnose</v>
      </c>
      <c r="B920" s="33" t="s">
        <v>76</v>
      </c>
      <c r="C920" s="33" t="s">
        <v>384</v>
      </c>
      <c r="D920" s="427" cm="1">
        <f t="array" ref="D920">INDEX(Berekening_patiëntaantal[Percentage van patiëntaantallen in Wlz (overige is Zvw)],MATCH(B920,IF(Berekening_patiëntaantal[Doelgroep (zoeksleutel)]=C920,Berekening_patiëntaantal[Digitale zorgtoepassing]),0))</f>
        <v>0</v>
      </c>
      <c r="E920" s="33" t="str" cm="1">
        <f t="array" ref="E920">INDEX(Berekening_patiëntaantal[Direct toepasbaar/extrapolatie/incidentie voor QALY],MATCH(B920,IF(Berekening_patiëntaantal[Doelgroep (zoeksleutel)]=C920,Berekening_patiëntaantal[Digitale zorgtoepassing]),0))</f>
        <v>Huidige toepassing</v>
      </c>
      <c r="F920" s="33" t="s">
        <v>813</v>
      </c>
      <c r="G920" s="33" t="str">
        <f>CONCATENATE(uitkomst_doelgroep[[#This Row],[Digitale zorgtoepassing]],"_",uitkomst_doelgroep[[#This Row],[Doelgroep]],"_",uitkomst_doelgroep[[#This Row],[Uitgangssituatie/effect beleid]])</f>
        <v>Deltascan voor delier opsporing_Ouderen ziekenhuis delier_Uitgangssituatie</v>
      </c>
      <c r="H920" s="33">
        <v>2025</v>
      </c>
      <c r="I920" s="32">
        <v>3</v>
      </c>
      <c r="J920" s="406" cm="1">
        <f t="array" ref="J920">INDEX(implementatie[[2023]:[2034]],MATCH(G920, implementatie[Zoeksleutel],0),I920)</f>
        <v>0.64718695000000004</v>
      </c>
      <c r="K920" s="406" cm="1">
        <f t="array" ref="K920">INDEX(implementatie[[2023]:[2034]],MATCH(G920,implementatie[Zoeksleutel],0),I920 + 1)</f>
        <v>0.75875847703736388</v>
      </c>
      <c r="L92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77662.434000000008</v>
      </c>
      <c r="M920" s="398" cm="1">
        <f t="array" ref="M920">J920*INDEX(Berekening_impact[Totaal arbeidsbesparing (€/jaar)],MATCH(B920,IF(Berekening_impact[Doelgroep]=C920,Berekening_impact[Digitale zorgtoepassing]),0))</f>
        <v>4741804.3314208724</v>
      </c>
      <c r="N920" s="397" cm="1">
        <f t="array" ref="N920">J920*INDEX(Berekening_impact[Totaal arbeidsbesparing (FTE/jaar)],MATCH(B920,IF(Berekening_impact[Doelgroep]=C920,Berekening_impact[Digitale zorgtoepassing]),0))</f>
        <v>80.773909721153871</v>
      </c>
      <c r="O920" s="398" cm="1">
        <f t="array" ref="O920">J920*INDEX(Berekening_impact[Overige kostenbesparing (totaal/jaar totaal potentieel)],MATCH(B920,IF(Berekening_impact[Doelgroep]=C920,Berekening_impact[Digitale zorgtoepassing]),0))</f>
        <v>0</v>
      </c>
      <c r="P920" s="398" cm="1">
        <f t="array" ref="P920">J920*INDEX(Berekening_impact[Opbrengsten door QALY''s],MATCH(B920,IF(Berekening_impact[Doelgroep]=C920,Berekening_impact[Digitale zorgtoepassing]),0))</f>
        <v>0</v>
      </c>
      <c r="Q920" s="398" cm="1">
        <f t="array" ref="Q920">J920*INDEX(Berekening_impact[Jaarlijkse kosten (totaal) - incl. schatting],MATCH(B920,IF(Berekening_impact[Doelgroep]=C920,Berekening_impact[Digitale zorgtoepassing]),0))</f>
        <v>4029735.6818939182</v>
      </c>
      <c r="R920" s="398" cm="1">
        <f t="array" ref="R920">(uitkomst_doelgroep[[#This Row],[Implementatiegraad t = T + 1]]-uitkomst_doelgroep[[#This Row],[Implementatiegraad t = T]])*INDEX(Berekening_impact[Initiële investering (totaal) - incl. schatting],MATCH(B920,IF(Berekening_impact[Doelgroep]=C920,Berekening_impact[Digitale zorgtoepassing]),0))</f>
        <v>0</v>
      </c>
      <c r="S920" s="398">
        <f>uitkomst_doelgroep[[#This Row],[Arbeidsbesparing (€)]]*uitkomst_doelgroep[[#This Row],[Percentage van patiëntaantallen in Wlz (overige is Zvw)]]</f>
        <v>0</v>
      </c>
      <c r="T920" s="398">
        <f>uitkomst_doelgroep[[#This Row],[Overige besparingen (€)]]*uitkomst_doelgroep[[#This Row],[Percentage van patiëntaantallen in Wlz (overige is Zvw)]]</f>
        <v>0</v>
      </c>
      <c r="U920" s="398">
        <f>uitkomst_doelgroep[[#This Row],[Kosten (€)]]*uitkomst_doelgroep[[#This Row],[Percentage van patiëntaantallen in Wlz (overige is Zvw)]]</f>
        <v>0</v>
      </c>
      <c r="V920" s="398">
        <f>uitkomst_doelgroep[[#This Row],[Investering (cash flow) (€)]]*uitkomst_doelgroep[[#This Row],[Percentage van patiëntaantallen in Wlz (overige is Zvw)]]</f>
        <v>0</v>
      </c>
    </row>
    <row r="921" spans="1:22" x14ac:dyDescent="0.5">
      <c r="A921" s="33" t="str">
        <f>INDEX(Technologieën[Veld],MATCH(B921,Technologieën[Digitale zorgtoepassing],0))</f>
        <v>Software - Diagnose</v>
      </c>
      <c r="B921" s="33" t="s">
        <v>76</v>
      </c>
      <c r="C921" s="33" t="s">
        <v>384</v>
      </c>
      <c r="D921" s="427" cm="1">
        <f t="array" ref="D921">INDEX(Berekening_patiëntaantal[Percentage van patiëntaantallen in Wlz (overige is Zvw)],MATCH(B921,IF(Berekening_patiëntaantal[Doelgroep (zoeksleutel)]=C921,Berekening_patiëntaantal[Digitale zorgtoepassing]),0))</f>
        <v>0</v>
      </c>
      <c r="E921" s="33" t="str" cm="1">
        <f t="array" ref="E921">INDEX(Berekening_patiëntaantal[Direct toepasbaar/extrapolatie/incidentie voor QALY],MATCH(B921,IF(Berekening_patiëntaantal[Doelgroep (zoeksleutel)]=C921,Berekening_patiëntaantal[Digitale zorgtoepassing]),0))</f>
        <v>Huidige toepassing</v>
      </c>
      <c r="F921" s="33" t="s">
        <v>813</v>
      </c>
      <c r="G921" s="33" t="str">
        <f>CONCATENATE(uitkomst_doelgroep[[#This Row],[Digitale zorgtoepassing]],"_",uitkomst_doelgroep[[#This Row],[Doelgroep]],"_",uitkomst_doelgroep[[#This Row],[Uitgangssituatie/effect beleid]])</f>
        <v>Deltascan voor delier opsporing_Ouderen ziekenhuis delier_Uitgangssituatie</v>
      </c>
      <c r="H921" s="33">
        <v>2026</v>
      </c>
      <c r="I921" s="32">
        <v>4</v>
      </c>
      <c r="J921" s="406" cm="1">
        <f t="array" ref="J921">INDEX(implementatie[[2023]:[2034]],MATCH(G921, implementatie[Zoeksleutel],0),I921)</f>
        <v>0.75875847703736388</v>
      </c>
      <c r="K921" s="406" cm="1">
        <f t="array" ref="K921">INDEX(implementatie[[2023]:[2034]],MATCH(G921,implementatie[Zoeksleutel],0),I921 + 1)</f>
        <v>0.84715933786401665</v>
      </c>
      <c r="L92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91051.017244483664</v>
      </c>
      <c r="M921" s="398" cm="1">
        <f t="array" ref="M921">J921*INDEX(Berekening_impact[Totaal arbeidsbesparing (€/jaar)],MATCH(B921,IF(Berekening_impact[Doelgroep]=C921,Berekening_impact[Digitale zorgtoepassing]),0))</f>
        <v>5559265.7313595032</v>
      </c>
      <c r="N921" s="397" cm="1">
        <f t="array" ref="N921">J921*INDEX(Berekening_impact[Totaal arbeidsbesparing (FTE/jaar)],MATCH(B921,IF(Berekening_impact[Doelgroep]=C921,Berekening_impact[Digitale zorgtoepassing]),0))</f>
        <v>94.698894537932546</v>
      </c>
      <c r="O921" s="398" cm="1">
        <f t="array" ref="O921">J921*INDEX(Berekening_impact[Overige kostenbesparing (totaal/jaar totaal potentieel)],MATCH(B921,IF(Berekening_impact[Doelgroep]=C921,Berekening_impact[Digitale zorgtoepassing]),0))</f>
        <v>0</v>
      </c>
      <c r="P921" s="398" cm="1">
        <f t="array" ref="P921">J921*INDEX(Berekening_impact[Opbrengsten door QALY''s],MATCH(B921,IF(Berekening_impact[Doelgroep]=C921,Berekening_impact[Digitale zorgtoepassing]),0))</f>
        <v>0</v>
      </c>
      <c r="Q921" s="398" cm="1">
        <f t="array" ref="Q921">J921*INDEX(Berekening_impact[Jaarlijkse kosten (totaal) - incl. schatting],MATCH(B921,IF(Berekening_impact[Doelgroep]=C921,Berekening_impact[Digitale zorgtoepassing]),0))</f>
        <v>4724440.3009933252</v>
      </c>
      <c r="R921" s="398" cm="1">
        <f t="array" ref="R921">(uitkomst_doelgroep[[#This Row],[Implementatiegraad t = T + 1]]-uitkomst_doelgroep[[#This Row],[Implementatiegraad t = T]])*INDEX(Berekening_impact[Initiële investering (totaal) - incl. schatting],MATCH(B921,IF(Berekening_impact[Doelgroep]=C921,Berekening_impact[Digitale zorgtoepassing]),0))</f>
        <v>0</v>
      </c>
      <c r="S921" s="398">
        <f>uitkomst_doelgroep[[#This Row],[Arbeidsbesparing (€)]]*uitkomst_doelgroep[[#This Row],[Percentage van patiëntaantallen in Wlz (overige is Zvw)]]</f>
        <v>0</v>
      </c>
      <c r="T921" s="398">
        <f>uitkomst_doelgroep[[#This Row],[Overige besparingen (€)]]*uitkomst_doelgroep[[#This Row],[Percentage van patiëntaantallen in Wlz (overige is Zvw)]]</f>
        <v>0</v>
      </c>
      <c r="U921" s="398">
        <f>uitkomst_doelgroep[[#This Row],[Kosten (€)]]*uitkomst_doelgroep[[#This Row],[Percentage van patiëntaantallen in Wlz (overige is Zvw)]]</f>
        <v>0</v>
      </c>
      <c r="V921" s="398">
        <f>uitkomst_doelgroep[[#This Row],[Investering (cash flow) (€)]]*uitkomst_doelgroep[[#This Row],[Percentage van patiëntaantallen in Wlz (overige is Zvw)]]</f>
        <v>0</v>
      </c>
    </row>
    <row r="922" spans="1:22" x14ac:dyDescent="0.5">
      <c r="A922" s="33" t="str">
        <f>INDEX(Technologieën[Veld],MATCH(B922,Technologieën[Digitale zorgtoepassing],0))</f>
        <v>Software - Diagnose</v>
      </c>
      <c r="B922" s="33" t="s">
        <v>76</v>
      </c>
      <c r="C922" s="33" t="s">
        <v>384</v>
      </c>
      <c r="D922" s="427" cm="1">
        <f t="array" ref="D922">INDEX(Berekening_patiëntaantal[Percentage van patiëntaantallen in Wlz (overige is Zvw)],MATCH(B922,IF(Berekening_patiëntaantal[Doelgroep (zoeksleutel)]=C922,Berekening_patiëntaantal[Digitale zorgtoepassing]),0))</f>
        <v>0</v>
      </c>
      <c r="E922" s="33" t="str" cm="1">
        <f t="array" ref="E922">INDEX(Berekening_patiëntaantal[Direct toepasbaar/extrapolatie/incidentie voor QALY],MATCH(B922,IF(Berekening_patiëntaantal[Doelgroep (zoeksleutel)]=C922,Berekening_patiëntaantal[Digitale zorgtoepassing]),0))</f>
        <v>Huidige toepassing</v>
      </c>
      <c r="F922" s="33" t="s">
        <v>813</v>
      </c>
      <c r="G922" s="33" t="str">
        <f>CONCATENATE(uitkomst_doelgroep[[#This Row],[Digitale zorgtoepassing]],"_",uitkomst_doelgroep[[#This Row],[Doelgroep]],"_",uitkomst_doelgroep[[#This Row],[Uitgangssituatie/effect beleid]])</f>
        <v>Deltascan voor delier opsporing_Ouderen ziekenhuis delier_Uitgangssituatie</v>
      </c>
      <c r="H922" s="33">
        <v>2027</v>
      </c>
      <c r="I922" s="32">
        <v>5</v>
      </c>
      <c r="J922" s="406" cm="1">
        <f t="array" ref="J922">INDEX(implementatie[[2023]:[2034]],MATCH(G922, implementatie[Zoeksleutel],0),I922)</f>
        <v>0.84715933786401665</v>
      </c>
      <c r="K922" s="406" cm="1">
        <f t="array" ref="K922">INDEX(implementatie[[2023]:[2034]],MATCH(G922,implementatie[Zoeksleutel],0),I922 + 1)</f>
        <v>0.90924653177763415</v>
      </c>
      <c r="L92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101659.120543682</v>
      </c>
      <c r="M922" s="398" cm="1">
        <f t="array" ref="M922">J922*INDEX(Berekening_impact[Totaal arbeidsbesparing (€/jaar)],MATCH(B922,IF(Berekening_impact[Doelgroep]=C922,Berekening_impact[Digitale zorgtoepassing]),0))</f>
        <v>6206960.4736115774</v>
      </c>
      <c r="N922" s="397" cm="1">
        <f t="array" ref="N922">J922*INDEX(Berekening_impact[Totaal arbeidsbesparing (FTE/jaar)],MATCH(B922,IF(Berekening_impact[Doelgroep]=C922,Berekening_impact[Digitale zorgtoepassing]),0))</f>
        <v>105.73200197572056</v>
      </c>
      <c r="O922" s="398" cm="1">
        <f t="array" ref="O922">J922*INDEX(Berekening_impact[Overige kostenbesparing (totaal/jaar totaal potentieel)],MATCH(B922,IF(Berekening_impact[Doelgroep]=C922,Berekening_impact[Digitale zorgtoepassing]),0))</f>
        <v>0</v>
      </c>
      <c r="P922" s="398" cm="1">
        <f t="array" ref="P922">J922*INDEX(Berekening_impact[Opbrengsten door QALY''s],MATCH(B922,IF(Berekening_impact[Doelgroep]=C922,Berekening_impact[Digitale zorgtoepassing]),0))</f>
        <v>0</v>
      </c>
      <c r="Q922" s="398" cm="1">
        <f t="array" ref="Q922">J922*INDEX(Berekening_impact[Jaarlijkse kosten (totaal) - incl. schatting],MATCH(B922,IF(Berekening_impact[Doelgroep]=C922,Berekening_impact[Digitale zorgtoepassing]),0))</f>
        <v>5274871.8311459357</v>
      </c>
      <c r="R922" s="398" cm="1">
        <f t="array" ref="R922">(uitkomst_doelgroep[[#This Row],[Implementatiegraad t = T + 1]]-uitkomst_doelgroep[[#This Row],[Implementatiegraad t = T]])*INDEX(Berekening_impact[Initiële investering (totaal) - incl. schatting],MATCH(B922,IF(Berekening_impact[Doelgroep]=C922,Berekening_impact[Digitale zorgtoepassing]),0))</f>
        <v>0</v>
      </c>
      <c r="S922" s="398">
        <f>uitkomst_doelgroep[[#This Row],[Arbeidsbesparing (€)]]*uitkomst_doelgroep[[#This Row],[Percentage van patiëntaantallen in Wlz (overige is Zvw)]]</f>
        <v>0</v>
      </c>
      <c r="T922" s="398">
        <f>uitkomst_doelgroep[[#This Row],[Overige besparingen (€)]]*uitkomst_doelgroep[[#This Row],[Percentage van patiëntaantallen in Wlz (overige is Zvw)]]</f>
        <v>0</v>
      </c>
      <c r="U922" s="398">
        <f>uitkomst_doelgroep[[#This Row],[Kosten (€)]]*uitkomst_doelgroep[[#This Row],[Percentage van patiëntaantallen in Wlz (overige is Zvw)]]</f>
        <v>0</v>
      </c>
      <c r="V922" s="398">
        <f>uitkomst_doelgroep[[#This Row],[Investering (cash flow) (€)]]*uitkomst_doelgroep[[#This Row],[Percentage van patiëntaantallen in Wlz (overige is Zvw)]]</f>
        <v>0</v>
      </c>
    </row>
    <row r="923" spans="1:22" x14ac:dyDescent="0.5">
      <c r="A923" s="33" t="str">
        <f>INDEX(Technologieën[Veld],MATCH(B923,Technologieën[Digitale zorgtoepassing],0))</f>
        <v>Software - Diagnose</v>
      </c>
      <c r="B923" s="33" t="s">
        <v>76</v>
      </c>
      <c r="C923" s="33" t="s">
        <v>384</v>
      </c>
      <c r="D923" s="427" cm="1">
        <f t="array" ref="D923">INDEX(Berekening_patiëntaantal[Percentage van patiëntaantallen in Wlz (overige is Zvw)],MATCH(B923,IF(Berekening_patiëntaantal[Doelgroep (zoeksleutel)]=C923,Berekening_patiëntaantal[Digitale zorgtoepassing]),0))</f>
        <v>0</v>
      </c>
      <c r="E923" s="33" t="str" cm="1">
        <f t="array" ref="E923">INDEX(Berekening_patiëntaantal[Direct toepasbaar/extrapolatie/incidentie voor QALY],MATCH(B923,IF(Berekening_patiëntaantal[Doelgroep (zoeksleutel)]=C923,Berekening_patiëntaantal[Digitale zorgtoepassing]),0))</f>
        <v>Huidige toepassing</v>
      </c>
      <c r="F923" s="33" t="s">
        <v>813</v>
      </c>
      <c r="G923" s="33" t="str">
        <f>CONCATENATE(uitkomst_doelgroep[[#This Row],[Digitale zorgtoepassing]],"_",uitkomst_doelgroep[[#This Row],[Doelgroep]],"_",uitkomst_doelgroep[[#This Row],[Uitgangssituatie/effect beleid]])</f>
        <v>Deltascan voor delier opsporing_Ouderen ziekenhuis delier_Uitgangssituatie</v>
      </c>
      <c r="H923" s="33">
        <v>2028</v>
      </c>
      <c r="I923" s="32">
        <v>6</v>
      </c>
      <c r="J923" s="406" cm="1">
        <f t="array" ref="J923">INDEX(implementatie[[2023]:[2034]],MATCH(G923, implementatie[Zoeksleutel],0),I923)</f>
        <v>0.90924653177763415</v>
      </c>
      <c r="K923" s="406" cm="1">
        <f t="array" ref="K923">INDEX(implementatie[[2023]:[2034]],MATCH(G923,implementatie[Zoeksleutel],0),I923 + 1)</f>
        <v>0.94864814278578335</v>
      </c>
      <c r="L92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109109.5838133161</v>
      </c>
      <c r="M923" s="398" cm="1">
        <f t="array" ref="M923">J923*INDEX(Berekening_impact[Totaal arbeidsbesparing (€/jaar)],MATCH(B923,IF(Berekening_impact[Doelgroep]=C923,Berekening_impact[Digitale zorgtoepassing]),0))</f>
        <v>6661860.4449805282</v>
      </c>
      <c r="N923" s="397" cm="1">
        <f t="array" ref="N923">J923*INDEX(Berekening_impact[Totaal arbeidsbesparing (FTE/jaar)],MATCH(B923,IF(Berekening_impact[Doelgroep]=C923,Berekening_impact[Digitale zorgtoepassing]),0))</f>
        <v>113.48096136993937</v>
      </c>
      <c r="O923" s="398" cm="1">
        <f t="array" ref="O923">J923*INDEX(Berekening_impact[Overige kostenbesparing (totaal/jaar totaal potentieel)],MATCH(B923,IF(Berekening_impact[Doelgroep]=C923,Berekening_impact[Digitale zorgtoepassing]),0))</f>
        <v>0</v>
      </c>
      <c r="P923" s="398" cm="1">
        <f t="array" ref="P923">J923*INDEX(Berekening_impact[Opbrengsten door QALY''s],MATCH(B923,IF(Berekening_impact[Doelgroep]=C923,Berekening_impact[Digitale zorgtoepassing]),0))</f>
        <v>0</v>
      </c>
      <c r="Q923" s="398" cm="1">
        <f t="array" ref="Q923">J923*INDEX(Berekening_impact[Jaarlijkse kosten (totaal) - incl. schatting],MATCH(B923,IF(Berekening_impact[Doelgroep]=C923,Berekening_impact[Digitale zorgtoepassing]),0))</f>
        <v>5661460.2515434287</v>
      </c>
      <c r="R923" s="398" cm="1">
        <f t="array" ref="R923">(uitkomst_doelgroep[[#This Row],[Implementatiegraad t = T + 1]]-uitkomst_doelgroep[[#This Row],[Implementatiegraad t = T]])*INDEX(Berekening_impact[Initiële investering (totaal) - incl. schatting],MATCH(B923,IF(Berekening_impact[Doelgroep]=C923,Berekening_impact[Digitale zorgtoepassing]),0))</f>
        <v>0</v>
      </c>
      <c r="S923" s="398">
        <f>uitkomst_doelgroep[[#This Row],[Arbeidsbesparing (€)]]*uitkomst_doelgroep[[#This Row],[Percentage van patiëntaantallen in Wlz (overige is Zvw)]]</f>
        <v>0</v>
      </c>
      <c r="T923" s="398">
        <f>uitkomst_doelgroep[[#This Row],[Overige besparingen (€)]]*uitkomst_doelgroep[[#This Row],[Percentage van patiëntaantallen in Wlz (overige is Zvw)]]</f>
        <v>0</v>
      </c>
      <c r="U923" s="398">
        <f>uitkomst_doelgroep[[#This Row],[Kosten (€)]]*uitkomst_doelgroep[[#This Row],[Percentage van patiëntaantallen in Wlz (overige is Zvw)]]</f>
        <v>0</v>
      </c>
      <c r="V923" s="398">
        <f>uitkomst_doelgroep[[#This Row],[Investering (cash flow) (€)]]*uitkomst_doelgroep[[#This Row],[Percentage van patiëntaantallen in Wlz (overige is Zvw)]]</f>
        <v>0</v>
      </c>
    </row>
    <row r="924" spans="1:22" x14ac:dyDescent="0.5">
      <c r="A924" s="33" t="str">
        <f>INDEX(Technologieën[Veld],MATCH(B924,Technologieën[Digitale zorgtoepassing],0))</f>
        <v>Software - Diagnose</v>
      </c>
      <c r="B924" s="33" t="s">
        <v>76</v>
      </c>
      <c r="C924" s="33" t="s">
        <v>384</v>
      </c>
      <c r="D924" s="427" cm="1">
        <f t="array" ref="D924">INDEX(Berekening_patiëntaantal[Percentage van patiëntaantallen in Wlz (overige is Zvw)],MATCH(B924,IF(Berekening_patiëntaantal[Doelgroep (zoeksleutel)]=C924,Berekening_patiëntaantal[Digitale zorgtoepassing]),0))</f>
        <v>0</v>
      </c>
      <c r="E924" s="33" t="str" cm="1">
        <f t="array" ref="E924">INDEX(Berekening_patiëntaantal[Direct toepasbaar/extrapolatie/incidentie voor QALY],MATCH(B924,IF(Berekening_patiëntaantal[Doelgroep (zoeksleutel)]=C924,Berekening_patiëntaantal[Digitale zorgtoepassing]),0))</f>
        <v>Huidige toepassing</v>
      </c>
      <c r="F924" s="33" t="s">
        <v>813</v>
      </c>
      <c r="G924" s="33" t="str">
        <f>CONCATENATE(uitkomst_doelgroep[[#This Row],[Digitale zorgtoepassing]],"_",uitkomst_doelgroep[[#This Row],[Doelgroep]],"_",uitkomst_doelgroep[[#This Row],[Uitgangssituatie/effect beleid]])</f>
        <v>Deltascan voor delier opsporing_Ouderen ziekenhuis delier_Uitgangssituatie</v>
      </c>
      <c r="H924" s="33">
        <v>2029</v>
      </c>
      <c r="I924" s="32">
        <v>7</v>
      </c>
      <c r="J924" s="406" cm="1">
        <f t="array" ref="J924">INDEX(implementatie[[2023]:[2034]],MATCH(G924, implementatie[Zoeksleutel],0),I924)</f>
        <v>0.94864814278578335</v>
      </c>
      <c r="K924" s="406" cm="1">
        <f t="array" ref="K924">INDEX(implementatie[[2023]:[2034]],MATCH(G924,implementatie[Zoeksleutel],0),I924 + 1)</f>
        <v>0.97185361900482903</v>
      </c>
      <c r="L92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113837.777134294</v>
      </c>
      <c r="M924" s="398" cm="1">
        <f t="array" ref="M924">J924*INDEX(Berekening_impact[Totaal arbeidsbesparing (€/jaar)],MATCH(B924,IF(Berekening_impact[Doelgroep]=C924,Berekening_impact[Digitale zorgtoepassing]),0))</f>
        <v>6950547.8632657742</v>
      </c>
      <c r="N924" s="397" cm="1">
        <f t="array" ref="N924">J924*INDEX(Berekening_impact[Totaal arbeidsbesparing (FTE/jaar)],MATCH(B924,IF(Berekening_impact[Doelgroep]=C924,Berekening_impact[Digitale zorgtoepassing]),0))</f>
        <v>118.39858551307184</v>
      </c>
      <c r="O924" s="398" cm="1">
        <f t="array" ref="O924">J924*INDEX(Berekening_impact[Overige kostenbesparing (totaal/jaar totaal potentieel)],MATCH(B924,IF(Berekening_impact[Doelgroep]=C924,Berekening_impact[Digitale zorgtoepassing]),0))</f>
        <v>0</v>
      </c>
      <c r="P924" s="398" cm="1">
        <f t="array" ref="P924">J924*INDEX(Berekening_impact[Opbrengsten door QALY''s],MATCH(B924,IF(Berekening_impact[Doelgroep]=C924,Berekening_impact[Digitale zorgtoepassing]),0))</f>
        <v>0</v>
      </c>
      <c r="Q924" s="398" cm="1">
        <f t="array" ref="Q924">J924*INDEX(Berekening_impact[Jaarlijkse kosten (totaal) - incl. schatting],MATCH(B924,IF(Berekening_impact[Doelgroep]=C924,Berekening_impact[Digitale zorgtoepassing]),0))</f>
        <v>5906795.9737851135</v>
      </c>
      <c r="R924" s="398" cm="1">
        <f t="array" ref="R924">(uitkomst_doelgroep[[#This Row],[Implementatiegraad t = T + 1]]-uitkomst_doelgroep[[#This Row],[Implementatiegraad t = T]])*INDEX(Berekening_impact[Initiële investering (totaal) - incl. schatting],MATCH(B924,IF(Berekening_impact[Doelgroep]=C924,Berekening_impact[Digitale zorgtoepassing]),0))</f>
        <v>0</v>
      </c>
      <c r="S924" s="398">
        <f>uitkomst_doelgroep[[#This Row],[Arbeidsbesparing (€)]]*uitkomst_doelgroep[[#This Row],[Percentage van patiëntaantallen in Wlz (overige is Zvw)]]</f>
        <v>0</v>
      </c>
      <c r="T924" s="398">
        <f>uitkomst_doelgroep[[#This Row],[Overige besparingen (€)]]*uitkomst_doelgroep[[#This Row],[Percentage van patiëntaantallen in Wlz (overige is Zvw)]]</f>
        <v>0</v>
      </c>
      <c r="U924" s="398">
        <f>uitkomst_doelgroep[[#This Row],[Kosten (€)]]*uitkomst_doelgroep[[#This Row],[Percentage van patiëntaantallen in Wlz (overige is Zvw)]]</f>
        <v>0</v>
      </c>
      <c r="V924" s="398">
        <f>uitkomst_doelgroep[[#This Row],[Investering (cash flow) (€)]]*uitkomst_doelgroep[[#This Row],[Percentage van patiëntaantallen in Wlz (overige is Zvw)]]</f>
        <v>0</v>
      </c>
    </row>
    <row r="925" spans="1:22" x14ac:dyDescent="0.5">
      <c r="A925" s="33" t="str">
        <f>INDEX(Technologieën[Veld],MATCH(B925,Technologieën[Digitale zorgtoepassing],0))</f>
        <v>Software - Diagnose</v>
      </c>
      <c r="B925" s="33" t="s">
        <v>76</v>
      </c>
      <c r="C925" s="33" t="s">
        <v>384</v>
      </c>
      <c r="D925" s="427" cm="1">
        <f t="array" ref="D925">INDEX(Berekening_patiëntaantal[Percentage van patiëntaantallen in Wlz (overige is Zvw)],MATCH(B925,IF(Berekening_patiëntaantal[Doelgroep (zoeksleutel)]=C925,Berekening_patiëntaantal[Digitale zorgtoepassing]),0))</f>
        <v>0</v>
      </c>
      <c r="E925" s="33" t="str" cm="1">
        <f t="array" ref="E925">INDEX(Berekening_patiëntaantal[Direct toepasbaar/extrapolatie/incidentie voor QALY],MATCH(B925,IF(Berekening_patiëntaantal[Doelgroep (zoeksleutel)]=C925,Berekening_patiëntaantal[Digitale zorgtoepassing]),0))</f>
        <v>Huidige toepassing</v>
      </c>
      <c r="F925" s="33" t="s">
        <v>813</v>
      </c>
      <c r="G925" s="33" t="str">
        <f>CONCATENATE(uitkomst_doelgroep[[#This Row],[Digitale zorgtoepassing]],"_",uitkomst_doelgroep[[#This Row],[Doelgroep]],"_",uitkomst_doelgroep[[#This Row],[Uitgangssituatie/effect beleid]])</f>
        <v>Deltascan voor delier opsporing_Ouderen ziekenhuis delier_Uitgangssituatie</v>
      </c>
      <c r="H925" s="33">
        <v>2030</v>
      </c>
      <c r="I925" s="32">
        <v>8</v>
      </c>
      <c r="J925" s="406" cm="1">
        <f t="array" ref="J925">INDEX(implementatie[[2023]:[2034]],MATCH(G925, implementatie[Zoeksleutel],0),I925)</f>
        <v>0.97185361900482903</v>
      </c>
      <c r="K925" s="406" cm="1">
        <f t="array" ref="K925">INDEX(implementatie[[2023]:[2034]],MATCH(G925,implementatie[Zoeksleutel],0),I925 + 1)</f>
        <v>0.98486665153412889</v>
      </c>
      <c r="L92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116622.43428057949</v>
      </c>
      <c r="M925" s="398" cm="1">
        <f t="array" ref="M925">J925*INDEX(Berekening_impact[Totaal arbeidsbesparing (€/jaar)],MATCH(B925,IF(Berekening_impact[Doelgroep]=C925,Berekening_impact[Digitale zorgtoepassing]),0))</f>
        <v>7120569.5666517196</v>
      </c>
      <c r="N925" s="397" cm="1">
        <f t="array" ref="N925">J925*INDEX(Berekening_impact[Totaal arbeidsbesparing (FTE/jaar)],MATCH(B925,IF(Berekening_impact[Doelgroep]=C925,Berekening_impact[Digitale zorgtoepassing]),0))</f>
        <v>121.29480744887196</v>
      </c>
      <c r="O925" s="398" cm="1">
        <f t="array" ref="O925">J925*INDEX(Berekening_impact[Overige kostenbesparing (totaal/jaar totaal potentieel)],MATCH(B925,IF(Berekening_impact[Doelgroep]=C925,Berekening_impact[Digitale zorgtoepassing]),0))</f>
        <v>0</v>
      </c>
      <c r="P925" s="398" cm="1">
        <f t="array" ref="P925">J925*INDEX(Berekening_impact[Opbrengsten door QALY''s],MATCH(B925,IF(Berekening_impact[Doelgroep]=C925,Berekening_impact[Digitale zorgtoepassing]),0))</f>
        <v>0</v>
      </c>
      <c r="Q925" s="398" cm="1">
        <f t="array" ref="Q925">J925*INDEX(Berekening_impact[Jaarlijkse kosten (totaal) - incl. schatting],MATCH(B925,IF(Berekening_impact[Doelgroep]=C925,Berekening_impact[Digitale zorgtoepassing]),0))</f>
        <v>6051285.8086546659</v>
      </c>
      <c r="R925" s="398" cm="1">
        <f t="array" ref="R925">(uitkomst_doelgroep[[#This Row],[Implementatiegraad t = T + 1]]-uitkomst_doelgroep[[#This Row],[Implementatiegraad t = T]])*INDEX(Berekening_impact[Initiële investering (totaal) - incl. schatting],MATCH(B925,IF(Berekening_impact[Doelgroep]=C925,Berekening_impact[Digitale zorgtoepassing]),0))</f>
        <v>0</v>
      </c>
      <c r="S925" s="398">
        <f>uitkomst_doelgroep[[#This Row],[Arbeidsbesparing (€)]]*uitkomst_doelgroep[[#This Row],[Percentage van patiëntaantallen in Wlz (overige is Zvw)]]</f>
        <v>0</v>
      </c>
      <c r="T925" s="398">
        <f>uitkomst_doelgroep[[#This Row],[Overige besparingen (€)]]*uitkomst_doelgroep[[#This Row],[Percentage van patiëntaantallen in Wlz (overige is Zvw)]]</f>
        <v>0</v>
      </c>
      <c r="U925" s="398">
        <f>uitkomst_doelgroep[[#This Row],[Kosten (€)]]*uitkomst_doelgroep[[#This Row],[Percentage van patiëntaantallen in Wlz (overige is Zvw)]]</f>
        <v>0</v>
      </c>
      <c r="V925" s="398">
        <f>uitkomst_doelgroep[[#This Row],[Investering (cash flow) (€)]]*uitkomst_doelgroep[[#This Row],[Percentage van patiëntaantallen in Wlz (overige is Zvw)]]</f>
        <v>0</v>
      </c>
    </row>
    <row r="926" spans="1:22" x14ac:dyDescent="0.5">
      <c r="A926" s="33" t="str">
        <f>INDEX(Technologieën[Veld],MATCH(B926,Technologieën[Digitale zorgtoepassing],0))</f>
        <v>Software - Diagnose</v>
      </c>
      <c r="B926" s="33" t="s">
        <v>76</v>
      </c>
      <c r="C926" s="33" t="s">
        <v>384</v>
      </c>
      <c r="D926" s="427" cm="1">
        <f t="array" ref="D926">INDEX(Berekening_patiëntaantal[Percentage van patiëntaantallen in Wlz (overige is Zvw)],MATCH(B926,IF(Berekening_patiëntaantal[Doelgroep (zoeksleutel)]=C926,Berekening_patiëntaantal[Digitale zorgtoepassing]),0))</f>
        <v>0</v>
      </c>
      <c r="E926" s="33" t="str" cm="1">
        <f t="array" ref="E926">INDEX(Berekening_patiëntaantal[Direct toepasbaar/extrapolatie/incidentie voor QALY],MATCH(B926,IF(Berekening_patiëntaantal[Doelgroep (zoeksleutel)]=C926,Berekening_patiëntaantal[Digitale zorgtoepassing]),0))</f>
        <v>Huidige toepassing</v>
      </c>
      <c r="F926" s="33" t="s">
        <v>813</v>
      </c>
      <c r="G926" s="33" t="str">
        <f>CONCATENATE(uitkomst_doelgroep[[#This Row],[Digitale zorgtoepassing]],"_",uitkomst_doelgroep[[#This Row],[Doelgroep]],"_",uitkomst_doelgroep[[#This Row],[Uitgangssituatie/effect beleid]])</f>
        <v>Deltascan voor delier opsporing_Ouderen ziekenhuis delier_Uitgangssituatie</v>
      </c>
      <c r="H926" s="33">
        <v>2031</v>
      </c>
      <c r="I926" s="32">
        <v>9</v>
      </c>
      <c r="J926" s="406" cm="1">
        <f t="array" ref="J926">INDEX(implementatie[[2023]:[2034]],MATCH(G926, implementatie[Zoeksleutel],0),I926)</f>
        <v>0.98486665153412889</v>
      </c>
      <c r="K926" s="406" cm="1">
        <f t="array" ref="K926">INDEX(implementatie[[2023]:[2034]],MATCH(G926,implementatie[Zoeksleutel],0),I926 + 1)</f>
        <v>0.99195193384931235</v>
      </c>
      <c r="L92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118183.99818409547</v>
      </c>
      <c r="M926" s="398" cm="1">
        <f t="array" ref="M926">J926*INDEX(Berekening_impact[Totaal arbeidsbesparing (€/jaar)],MATCH(B926,IF(Berekening_impact[Doelgroep]=C926,Berekening_impact[Digitale zorgtoepassing]),0))</f>
        <v>7215913.3525737859</v>
      </c>
      <c r="N926" s="397" cm="1">
        <f t="array" ref="N926">J926*INDEX(Berekening_impact[Totaal arbeidsbesparing (FTE/jaar)],MATCH(B926,IF(Berekening_impact[Doelgroep]=C926,Berekening_impact[Digitale zorgtoepassing]),0))</f>
        <v>122.91893400877881</v>
      </c>
      <c r="O926" s="398" cm="1">
        <f t="array" ref="O926">J926*INDEX(Berekening_impact[Overige kostenbesparing (totaal/jaar totaal potentieel)],MATCH(B926,IF(Berekening_impact[Doelgroep]=C926,Berekening_impact[Digitale zorgtoepassing]),0))</f>
        <v>0</v>
      </c>
      <c r="P926" s="398" cm="1">
        <f t="array" ref="P926">J926*INDEX(Berekening_impact[Opbrengsten door QALY''s],MATCH(B926,IF(Berekening_impact[Doelgroep]=C926,Berekening_impact[Digitale zorgtoepassing]),0))</f>
        <v>0</v>
      </c>
      <c r="Q926" s="398" cm="1">
        <f t="array" ref="Q926">J926*INDEX(Berekening_impact[Jaarlijkse kosten (totaal) - incl. schatting],MATCH(B926,IF(Berekening_impact[Doelgroep]=C926,Berekening_impact[Digitale zorgtoepassing]),0))</f>
        <v>6132311.981251264</v>
      </c>
      <c r="R926" s="398" cm="1">
        <f t="array" ref="R926">(uitkomst_doelgroep[[#This Row],[Implementatiegraad t = T + 1]]-uitkomst_doelgroep[[#This Row],[Implementatiegraad t = T]])*INDEX(Berekening_impact[Initiële investering (totaal) - incl. schatting],MATCH(B926,IF(Berekening_impact[Doelgroep]=C926,Berekening_impact[Digitale zorgtoepassing]),0))</f>
        <v>0</v>
      </c>
      <c r="S926" s="398">
        <f>uitkomst_doelgroep[[#This Row],[Arbeidsbesparing (€)]]*uitkomst_doelgroep[[#This Row],[Percentage van patiëntaantallen in Wlz (overige is Zvw)]]</f>
        <v>0</v>
      </c>
      <c r="T926" s="398">
        <f>uitkomst_doelgroep[[#This Row],[Overige besparingen (€)]]*uitkomst_doelgroep[[#This Row],[Percentage van patiëntaantallen in Wlz (overige is Zvw)]]</f>
        <v>0</v>
      </c>
      <c r="U926" s="398">
        <f>uitkomst_doelgroep[[#This Row],[Kosten (€)]]*uitkomst_doelgroep[[#This Row],[Percentage van patiëntaantallen in Wlz (overige is Zvw)]]</f>
        <v>0</v>
      </c>
      <c r="V926" s="398">
        <f>uitkomst_doelgroep[[#This Row],[Investering (cash flow) (€)]]*uitkomst_doelgroep[[#This Row],[Percentage van patiëntaantallen in Wlz (overige is Zvw)]]</f>
        <v>0</v>
      </c>
    </row>
    <row r="927" spans="1:22" x14ac:dyDescent="0.5">
      <c r="A927" s="33" t="str">
        <f>INDEX(Technologieën[Veld],MATCH(B927,Technologieën[Digitale zorgtoepassing],0))</f>
        <v>Software - Diagnose</v>
      </c>
      <c r="B927" s="33" t="s">
        <v>76</v>
      </c>
      <c r="C927" s="33" t="s">
        <v>384</v>
      </c>
      <c r="D927" s="427" cm="1">
        <f t="array" ref="D927">INDEX(Berekening_patiëntaantal[Percentage van patiëntaantallen in Wlz (overige is Zvw)],MATCH(B927,IF(Berekening_patiëntaantal[Doelgroep (zoeksleutel)]=C927,Berekening_patiëntaantal[Digitale zorgtoepassing]),0))</f>
        <v>0</v>
      </c>
      <c r="E927" s="33" t="str" cm="1">
        <f t="array" ref="E927">INDEX(Berekening_patiëntaantal[Direct toepasbaar/extrapolatie/incidentie voor QALY],MATCH(B927,IF(Berekening_patiëntaantal[Doelgroep (zoeksleutel)]=C927,Berekening_patiëntaantal[Digitale zorgtoepassing]),0))</f>
        <v>Huidige toepassing</v>
      </c>
      <c r="F927" s="33" t="s">
        <v>813</v>
      </c>
      <c r="G927" s="33" t="str">
        <f>CONCATENATE(uitkomst_doelgroep[[#This Row],[Digitale zorgtoepassing]],"_",uitkomst_doelgroep[[#This Row],[Doelgroep]],"_",uitkomst_doelgroep[[#This Row],[Uitgangssituatie/effect beleid]])</f>
        <v>Deltascan voor delier opsporing_Ouderen ziekenhuis delier_Uitgangssituatie</v>
      </c>
      <c r="H927" s="33">
        <v>2032</v>
      </c>
      <c r="I927" s="32">
        <v>10</v>
      </c>
      <c r="J927" s="406" cm="1">
        <f t="array" ref="J927">INDEX(implementatie[[2023]:[2034]],MATCH(G927, implementatie[Zoeksleutel],0),I927)</f>
        <v>0.99195193384931235</v>
      </c>
      <c r="K927" s="406" cm="1">
        <f t="array" ref="K927">INDEX(implementatie[[2023]:[2034]],MATCH(G927,implementatie[Zoeksleutel],0),I927 + 1)</f>
        <v>0.99574561815494433</v>
      </c>
      <c r="L92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119034.23206191749</v>
      </c>
      <c r="M927" s="398" cm="1">
        <f t="array" ref="M927">J927*INDEX(Berekening_impact[Totaal arbeidsbesparing (€/jaar)],MATCH(B927,IF(Berekening_impact[Doelgroep]=C927,Berekening_impact[Digitale zorgtoepassing]),0))</f>
        <v>7267825.7441500938</v>
      </c>
      <c r="N927" s="397" cm="1">
        <f t="array" ref="N927">J927*INDEX(Berekening_impact[Totaal arbeidsbesparing (FTE/jaar)],MATCH(B927,IF(Berekening_impact[Doelgroep]=C927,Berekening_impact[Digitale zorgtoepassing]),0))</f>
        <v>123.80323174388536</v>
      </c>
      <c r="O927" s="398" cm="1">
        <f t="array" ref="O927">J927*INDEX(Berekening_impact[Overige kostenbesparing (totaal/jaar totaal potentieel)],MATCH(B927,IF(Berekening_impact[Doelgroep]=C927,Berekening_impact[Digitale zorgtoepassing]),0))</f>
        <v>0</v>
      </c>
      <c r="P927" s="398" cm="1">
        <f t="array" ref="P927">J927*INDEX(Berekening_impact[Opbrengsten door QALY''s],MATCH(B927,IF(Berekening_impact[Doelgroep]=C927,Berekening_impact[Digitale zorgtoepassing]),0))</f>
        <v>0</v>
      </c>
      <c r="Q927" s="398" cm="1">
        <f t="array" ref="Q927">J927*INDEX(Berekening_impact[Jaarlijkse kosten (totaal) - incl. schatting],MATCH(B927,IF(Berekening_impact[Doelgroep]=C927,Berekening_impact[Digitale zorgtoepassing]),0))</f>
        <v>6176428.7777376371</v>
      </c>
      <c r="R927" s="398" cm="1">
        <f t="array" ref="R927">(uitkomst_doelgroep[[#This Row],[Implementatiegraad t = T + 1]]-uitkomst_doelgroep[[#This Row],[Implementatiegraad t = T]])*INDEX(Berekening_impact[Initiële investering (totaal) - incl. schatting],MATCH(B927,IF(Berekening_impact[Doelgroep]=C927,Berekening_impact[Digitale zorgtoepassing]),0))</f>
        <v>0</v>
      </c>
      <c r="S927" s="398">
        <f>uitkomst_doelgroep[[#This Row],[Arbeidsbesparing (€)]]*uitkomst_doelgroep[[#This Row],[Percentage van patiëntaantallen in Wlz (overige is Zvw)]]</f>
        <v>0</v>
      </c>
      <c r="T927" s="398">
        <f>uitkomst_doelgroep[[#This Row],[Overige besparingen (€)]]*uitkomst_doelgroep[[#This Row],[Percentage van patiëntaantallen in Wlz (overige is Zvw)]]</f>
        <v>0</v>
      </c>
      <c r="U927" s="398">
        <f>uitkomst_doelgroep[[#This Row],[Kosten (€)]]*uitkomst_doelgroep[[#This Row],[Percentage van patiëntaantallen in Wlz (overige is Zvw)]]</f>
        <v>0</v>
      </c>
      <c r="V927" s="398">
        <f>uitkomst_doelgroep[[#This Row],[Investering (cash flow) (€)]]*uitkomst_doelgroep[[#This Row],[Percentage van patiëntaantallen in Wlz (overige is Zvw)]]</f>
        <v>0</v>
      </c>
    </row>
    <row r="928" spans="1:22" x14ac:dyDescent="0.5">
      <c r="A928" s="33" t="str">
        <f>INDEX(Technologieën[Veld],MATCH(B928,Technologieën[Digitale zorgtoepassing],0))</f>
        <v>Software - Diagnose</v>
      </c>
      <c r="B928" s="33" t="s">
        <v>76</v>
      </c>
      <c r="C928" s="33" t="s">
        <v>384</v>
      </c>
      <c r="D928" s="427" cm="1">
        <f t="array" ref="D928">INDEX(Berekening_patiëntaantal[Percentage van patiëntaantallen in Wlz (overige is Zvw)],MATCH(B928,IF(Berekening_patiëntaantal[Doelgroep (zoeksleutel)]=C928,Berekening_patiëntaantal[Digitale zorgtoepassing]),0))</f>
        <v>0</v>
      </c>
      <c r="E928" s="33" t="str" cm="1">
        <f t="array" ref="E928">INDEX(Berekening_patiëntaantal[Direct toepasbaar/extrapolatie/incidentie voor QALY],MATCH(B928,IF(Berekening_patiëntaantal[Doelgroep (zoeksleutel)]=C928,Berekening_patiëntaantal[Digitale zorgtoepassing]),0))</f>
        <v>Huidige toepassing</v>
      </c>
      <c r="F928" s="33" t="s">
        <v>813</v>
      </c>
      <c r="G928" s="33" t="str">
        <f>CONCATENATE(uitkomst_doelgroep[[#This Row],[Digitale zorgtoepassing]],"_",uitkomst_doelgroep[[#This Row],[Doelgroep]],"_",uitkomst_doelgroep[[#This Row],[Uitgangssituatie/effect beleid]])</f>
        <v>Deltascan voor delier opsporing_Ouderen ziekenhuis delier_Uitgangssituatie</v>
      </c>
      <c r="H928" s="33">
        <v>2033</v>
      </c>
      <c r="I928" s="32">
        <v>11</v>
      </c>
      <c r="J928" s="406" cm="1">
        <f t="array" ref="J928">INDEX(implementatie[[2023]:[2034]],MATCH(G928, implementatie[Zoeksleutel],0),I928)</f>
        <v>0.99574561815494433</v>
      </c>
      <c r="K928" s="406" cm="1">
        <f t="array" ref="K928">INDEX(implementatie[[2023]:[2034]],MATCH(G928,implementatie[Zoeksleutel],0),I928 + 1)</f>
        <v>0.99775830463714821</v>
      </c>
      <c r="L92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119489.47417859331</v>
      </c>
      <c r="M928" s="398" cm="1">
        <f t="array" ref="M928">J928*INDEX(Berekening_impact[Totaal arbeidsbesparing (€/jaar)],MATCH(B928,IF(Berekening_impact[Doelgroep]=C928,Berekening_impact[Digitale zorgtoepassing]),0))</f>
        <v>7295621.2809304465</v>
      </c>
      <c r="N928" s="397" cm="1">
        <f t="array" ref="N928">J928*INDEX(Berekening_impact[Totaal arbeidsbesparing (FTE/jaar)],MATCH(B928,IF(Berekening_impact[Doelgroep]=C928,Berekening_impact[Digitale zorgtoepassing]),0))</f>
        <v>124.2767127274152</v>
      </c>
      <c r="O928" s="398" cm="1">
        <f t="array" ref="O928">J928*INDEX(Berekening_impact[Overige kostenbesparing (totaal/jaar totaal potentieel)],MATCH(B928,IF(Berekening_impact[Doelgroep]=C928,Berekening_impact[Digitale zorgtoepassing]),0))</f>
        <v>0</v>
      </c>
      <c r="P928" s="398" cm="1">
        <f t="array" ref="P928">J928*INDEX(Berekening_impact[Opbrengsten door QALY''s],MATCH(B928,IF(Berekening_impact[Doelgroep]=C928,Berekening_impact[Digitale zorgtoepassing]),0))</f>
        <v>0</v>
      </c>
      <c r="Q928" s="398" cm="1">
        <f t="array" ref="Q928">J928*INDEX(Berekening_impact[Jaarlijkse kosten (totaal) - incl. schatting],MATCH(B928,IF(Berekening_impact[Doelgroep]=C928,Berekening_impact[Digitale zorgtoepassing]),0))</f>
        <v>6200050.3062808905</v>
      </c>
      <c r="R928" s="398" cm="1">
        <f t="array" ref="R928">(uitkomst_doelgroep[[#This Row],[Implementatiegraad t = T + 1]]-uitkomst_doelgroep[[#This Row],[Implementatiegraad t = T]])*INDEX(Berekening_impact[Initiële investering (totaal) - incl. schatting],MATCH(B928,IF(Berekening_impact[Doelgroep]=C928,Berekening_impact[Digitale zorgtoepassing]),0))</f>
        <v>0</v>
      </c>
      <c r="S928" s="398">
        <f>uitkomst_doelgroep[[#This Row],[Arbeidsbesparing (€)]]*uitkomst_doelgroep[[#This Row],[Percentage van patiëntaantallen in Wlz (overige is Zvw)]]</f>
        <v>0</v>
      </c>
      <c r="T928" s="398">
        <f>uitkomst_doelgroep[[#This Row],[Overige besparingen (€)]]*uitkomst_doelgroep[[#This Row],[Percentage van patiëntaantallen in Wlz (overige is Zvw)]]</f>
        <v>0</v>
      </c>
      <c r="U928" s="398">
        <f>uitkomst_doelgroep[[#This Row],[Kosten (€)]]*uitkomst_doelgroep[[#This Row],[Percentage van patiëntaantallen in Wlz (overige is Zvw)]]</f>
        <v>0</v>
      </c>
      <c r="V928" s="398">
        <f>uitkomst_doelgroep[[#This Row],[Investering (cash flow) (€)]]*uitkomst_doelgroep[[#This Row],[Percentage van patiëntaantallen in Wlz (overige is Zvw)]]</f>
        <v>0</v>
      </c>
    </row>
    <row r="929" spans="1:22" x14ac:dyDescent="0.5">
      <c r="A929" s="33" t="str">
        <f>INDEX(Technologieën[Veld],MATCH(B929,Technologieën[Digitale zorgtoepassing],0))</f>
        <v>Software - Behandeling</v>
      </c>
      <c r="B929" s="33" t="s">
        <v>578</v>
      </c>
      <c r="C929" s="33" t="s">
        <v>577</v>
      </c>
      <c r="D929" s="427" cm="1">
        <f t="array" ref="D929">INDEX(Berekening_patiëntaantal[Percentage van patiëntaantallen in Wlz (overige is Zvw)],MATCH(B929,IF(Berekening_patiëntaantal[Doelgroep (zoeksleutel)]=C929,Berekening_patiëntaantal[Digitale zorgtoepassing]),0))</f>
        <v>0</v>
      </c>
      <c r="E929" s="33" t="str" cm="1">
        <f t="array" ref="E929">INDEX(Berekening_patiëntaantal[Direct toepasbaar/extrapolatie/incidentie voor QALY],MATCH(B929,IF(Berekening_patiëntaantal[Doelgroep (zoeksleutel)]=C929,Berekening_patiëntaantal[Digitale zorgtoepassing]),0))</f>
        <v>Huidige toepassing</v>
      </c>
      <c r="F929" s="33" t="s">
        <v>813</v>
      </c>
      <c r="G929" s="33" t="str">
        <f>CONCATENATE(uitkomst_doelgroep[[#This Row],[Digitale zorgtoepassing]],"_",uitkomst_doelgroep[[#This Row],[Doelgroep]],"_",uitkomst_doelgroep[[#This Row],[Uitgangssituatie/effect beleid]])</f>
        <v>Digitale exposure therapie_PTSS_Uitgangssituatie</v>
      </c>
      <c r="H929" s="33">
        <v>2023</v>
      </c>
      <c r="I929" s="32">
        <v>1</v>
      </c>
      <c r="J929" s="406" cm="1">
        <f t="array" ref="J929">INDEX(implementatie[[2023]:[2034]],MATCH(G929, implementatie[Zoeksleutel],0),I929)</f>
        <v>0.2</v>
      </c>
      <c r="K929" s="406" cm="1">
        <f t="array" ref="K929">INDEX(implementatie[[2023]:[2034]],MATCH(G929,implementatie[Zoeksleutel],0),I929 + 1)</f>
        <v>0.26800000000000002</v>
      </c>
      <c r="L92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7200</v>
      </c>
      <c r="M929" s="398" cm="1">
        <f t="array" ref="M929">J929*INDEX(Berekening_impact[Totaal arbeidsbesparing (€/jaar)],MATCH(B929,IF(Berekening_impact[Doelgroep]=C929,Berekening_impact[Digitale zorgtoepassing]),0))</f>
        <v>2776236.455172414</v>
      </c>
      <c r="N929" s="397" cm="1">
        <f t="array" ref="N929">J929*INDEX(Berekening_impact[Totaal arbeidsbesparing (FTE/jaar)],MATCH(B929,IF(Berekening_impact[Doelgroep]=C929,Berekening_impact[Digitale zorgtoepassing]),0))</f>
        <v>33.085384615384612</v>
      </c>
      <c r="O929" s="398" cm="1">
        <f t="array" ref="O929">J929*INDEX(Berekening_impact[Overige kostenbesparing (totaal/jaar totaal potentieel)],MATCH(B929,IF(Berekening_impact[Doelgroep]=C929,Berekening_impact[Digitale zorgtoepassing]),0))</f>
        <v>0</v>
      </c>
      <c r="P929" s="398" cm="1">
        <f t="array" ref="P929">J929*INDEX(Berekening_impact[Opbrengsten door QALY''s],MATCH(B929,IF(Berekening_impact[Doelgroep]=C929,Berekening_impact[Digitale zorgtoepassing]),0))</f>
        <v>0</v>
      </c>
      <c r="Q929" s="398" cm="1">
        <f t="array" ref="Q929">J929*INDEX(Berekening_impact[Jaarlijkse kosten (totaal) - incl. schatting],MATCH(B929,IF(Berekening_impact[Doelgroep]=C929,Berekening_impact[Digitale zorgtoepassing]),0))</f>
        <v>1521573.4005066629</v>
      </c>
      <c r="R929" s="398" cm="1">
        <f t="array" ref="R929">(uitkomst_doelgroep[[#This Row],[Implementatiegraad t = T + 1]]-uitkomst_doelgroep[[#This Row],[Implementatiegraad t = T]])*INDEX(Berekening_impact[Initiële investering (totaal) - incl. schatting],MATCH(B929,IF(Berekening_impact[Doelgroep]=C929,Berekening_impact[Digitale zorgtoepassing]),0))</f>
        <v>0</v>
      </c>
      <c r="S929" s="398">
        <f>uitkomst_doelgroep[[#This Row],[Arbeidsbesparing (€)]]*uitkomst_doelgroep[[#This Row],[Percentage van patiëntaantallen in Wlz (overige is Zvw)]]</f>
        <v>0</v>
      </c>
      <c r="T929" s="398">
        <f>uitkomst_doelgroep[[#This Row],[Overige besparingen (€)]]*uitkomst_doelgroep[[#This Row],[Percentage van patiëntaantallen in Wlz (overige is Zvw)]]</f>
        <v>0</v>
      </c>
      <c r="U929" s="398">
        <f>uitkomst_doelgroep[[#This Row],[Kosten (€)]]*uitkomst_doelgroep[[#This Row],[Percentage van patiëntaantallen in Wlz (overige is Zvw)]]</f>
        <v>0</v>
      </c>
      <c r="V929" s="398">
        <f>uitkomst_doelgroep[[#This Row],[Investering (cash flow) (€)]]*uitkomst_doelgroep[[#This Row],[Percentage van patiëntaantallen in Wlz (overige is Zvw)]]</f>
        <v>0</v>
      </c>
    </row>
    <row r="930" spans="1:22" x14ac:dyDescent="0.5">
      <c r="A930" s="33" t="str">
        <f>INDEX(Technologieën[Veld],MATCH(B930,Technologieën[Digitale zorgtoepassing],0))</f>
        <v>Software - Behandeling</v>
      </c>
      <c r="B930" s="33" t="s">
        <v>578</v>
      </c>
      <c r="C930" s="33" t="s">
        <v>577</v>
      </c>
      <c r="D930" s="427" cm="1">
        <f t="array" ref="D930">INDEX(Berekening_patiëntaantal[Percentage van patiëntaantallen in Wlz (overige is Zvw)],MATCH(B930,IF(Berekening_patiëntaantal[Doelgroep (zoeksleutel)]=C930,Berekening_patiëntaantal[Digitale zorgtoepassing]),0))</f>
        <v>0</v>
      </c>
      <c r="E930" s="33" t="str" cm="1">
        <f t="array" ref="E930">INDEX(Berekening_patiëntaantal[Direct toepasbaar/extrapolatie/incidentie voor QALY],MATCH(B930,IF(Berekening_patiëntaantal[Doelgroep (zoeksleutel)]=C930,Berekening_patiëntaantal[Digitale zorgtoepassing]),0))</f>
        <v>Huidige toepassing</v>
      </c>
      <c r="F930" s="33" t="s">
        <v>813</v>
      </c>
      <c r="G930" s="33" t="str">
        <f>CONCATENATE(uitkomst_doelgroep[[#This Row],[Digitale zorgtoepassing]],"_",uitkomst_doelgroep[[#This Row],[Doelgroep]],"_",uitkomst_doelgroep[[#This Row],[Uitgangssituatie/effect beleid]])</f>
        <v>Digitale exposure therapie_PTSS_Uitgangssituatie</v>
      </c>
      <c r="H930" s="33">
        <v>2024</v>
      </c>
      <c r="I930" s="32">
        <v>2</v>
      </c>
      <c r="J930" s="406" cm="1">
        <f t="array" ref="J930">INDEX(implementatie[[2023]:[2034]],MATCH(G930, implementatie[Zoeksleutel],0),I930)</f>
        <v>0.26800000000000002</v>
      </c>
      <c r="K930" s="406" cm="1">
        <f t="array" ref="K930">INDEX(implementatie[[2023]:[2034]],MATCH(G930,implementatie[Zoeksleutel],0),I930 + 1)</f>
        <v>0.3476416</v>
      </c>
      <c r="L93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9648</v>
      </c>
      <c r="M930" s="398" cm="1">
        <f t="array" ref="M930">J930*INDEX(Berekening_impact[Totaal arbeidsbesparing (€/jaar)],MATCH(B930,IF(Berekening_impact[Doelgroep]=C930,Berekening_impact[Digitale zorgtoepassing]),0))</f>
        <v>3720156.8499310347</v>
      </c>
      <c r="N930" s="397" cm="1">
        <f t="array" ref="N930">J930*INDEX(Berekening_impact[Totaal arbeidsbesparing (FTE/jaar)],MATCH(B930,IF(Berekening_impact[Doelgroep]=C930,Berekening_impact[Digitale zorgtoepassing]),0))</f>
        <v>44.334415384615383</v>
      </c>
      <c r="O930" s="398" cm="1">
        <f t="array" ref="O930">J930*INDEX(Berekening_impact[Overige kostenbesparing (totaal/jaar totaal potentieel)],MATCH(B930,IF(Berekening_impact[Doelgroep]=C930,Berekening_impact[Digitale zorgtoepassing]),0))</f>
        <v>0</v>
      </c>
      <c r="P930" s="398" cm="1">
        <f t="array" ref="P930">J930*INDEX(Berekening_impact[Opbrengsten door QALY''s],MATCH(B930,IF(Berekening_impact[Doelgroep]=C930,Berekening_impact[Digitale zorgtoepassing]),0))</f>
        <v>0</v>
      </c>
      <c r="Q930" s="398" cm="1">
        <f t="array" ref="Q930">J930*INDEX(Berekening_impact[Jaarlijkse kosten (totaal) - incl. schatting],MATCH(B930,IF(Berekening_impact[Doelgroep]=C930,Berekening_impact[Digitale zorgtoepassing]),0))</f>
        <v>2038908.3566789282</v>
      </c>
      <c r="R930" s="398" cm="1">
        <f t="array" ref="R930">(uitkomst_doelgroep[[#This Row],[Implementatiegraad t = T + 1]]-uitkomst_doelgroep[[#This Row],[Implementatiegraad t = T]])*INDEX(Berekening_impact[Initiële investering (totaal) - incl. schatting],MATCH(B930,IF(Berekening_impact[Doelgroep]=C930,Berekening_impact[Digitale zorgtoepassing]),0))</f>
        <v>0</v>
      </c>
      <c r="S930" s="398">
        <f>uitkomst_doelgroep[[#This Row],[Arbeidsbesparing (€)]]*uitkomst_doelgroep[[#This Row],[Percentage van patiëntaantallen in Wlz (overige is Zvw)]]</f>
        <v>0</v>
      </c>
      <c r="T930" s="398">
        <f>uitkomst_doelgroep[[#This Row],[Overige besparingen (€)]]*uitkomst_doelgroep[[#This Row],[Percentage van patiëntaantallen in Wlz (overige is Zvw)]]</f>
        <v>0</v>
      </c>
      <c r="U930" s="398">
        <f>uitkomst_doelgroep[[#This Row],[Kosten (€)]]*uitkomst_doelgroep[[#This Row],[Percentage van patiëntaantallen in Wlz (overige is Zvw)]]</f>
        <v>0</v>
      </c>
      <c r="V930" s="398">
        <f>uitkomst_doelgroep[[#This Row],[Investering (cash flow) (€)]]*uitkomst_doelgroep[[#This Row],[Percentage van patiëntaantallen in Wlz (overige is Zvw)]]</f>
        <v>0</v>
      </c>
    </row>
    <row r="931" spans="1:22" x14ac:dyDescent="0.5">
      <c r="A931" s="33" t="str">
        <f>INDEX(Technologieën[Veld],MATCH(B931,Technologieën[Digitale zorgtoepassing],0))</f>
        <v>Software - Behandeling</v>
      </c>
      <c r="B931" s="33" t="s">
        <v>578</v>
      </c>
      <c r="C931" s="33" t="s">
        <v>577</v>
      </c>
      <c r="D931" s="427" cm="1">
        <f t="array" ref="D931">INDEX(Berekening_patiëntaantal[Percentage van patiëntaantallen in Wlz (overige is Zvw)],MATCH(B931,IF(Berekening_patiëntaantal[Doelgroep (zoeksleutel)]=C931,Berekening_patiëntaantal[Digitale zorgtoepassing]),0))</f>
        <v>0</v>
      </c>
      <c r="E931" s="33" t="str" cm="1">
        <f t="array" ref="E931">INDEX(Berekening_patiëntaantal[Direct toepasbaar/extrapolatie/incidentie voor QALY],MATCH(B931,IF(Berekening_patiëntaantal[Doelgroep (zoeksleutel)]=C931,Berekening_patiëntaantal[Digitale zorgtoepassing]),0))</f>
        <v>Huidige toepassing</v>
      </c>
      <c r="F931" s="33" t="s">
        <v>813</v>
      </c>
      <c r="G931" s="33" t="str">
        <f>CONCATENATE(uitkomst_doelgroep[[#This Row],[Digitale zorgtoepassing]],"_",uitkomst_doelgroep[[#This Row],[Doelgroep]],"_",uitkomst_doelgroep[[#This Row],[Uitgangssituatie/effect beleid]])</f>
        <v>Digitale exposure therapie_PTSS_Uitgangssituatie</v>
      </c>
      <c r="H931" s="33">
        <v>2025</v>
      </c>
      <c r="I931" s="32">
        <v>3</v>
      </c>
      <c r="J931" s="406" cm="1">
        <f t="array" ref="J931">INDEX(implementatie[[2023]:[2034]],MATCH(G931, implementatie[Zoeksleutel],0),I931)</f>
        <v>0.3476416</v>
      </c>
      <c r="K931" s="406" cm="1">
        <f t="array" ref="K931">INDEX(implementatie[[2023]:[2034]],MATCH(G931,implementatie[Zoeksleutel],0),I931 + 1)</f>
        <v>0.43680239728230397</v>
      </c>
      <c r="L93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12515.097599999999</v>
      </c>
      <c r="M931" s="398" cm="1">
        <f t="array" ref="M931">J931*INDEX(Berekening_impact[Totaal arbeidsbesparing (€/jaar)],MATCH(B931,IF(Berekening_impact[Doelgroep]=C931,Berekening_impact[Digitale zorgtoepassing]),0))</f>
        <v>4825676.416272331</v>
      </c>
      <c r="N931" s="397" cm="1">
        <f t="array" ref="N931">J931*INDEX(Berekening_impact[Totaal arbeidsbesparing (FTE/jaar)],MATCH(B931,IF(Berekening_impact[Doelgroep]=C931,Berekening_impact[Digitale zorgtoepassing]),0))</f>
        <v>57.509280221538454</v>
      </c>
      <c r="O931" s="398" cm="1">
        <f t="array" ref="O931">J931*INDEX(Berekening_impact[Overige kostenbesparing (totaal/jaar totaal potentieel)],MATCH(B931,IF(Berekening_impact[Doelgroep]=C931,Berekening_impact[Digitale zorgtoepassing]),0))</f>
        <v>0</v>
      </c>
      <c r="P931" s="398" cm="1">
        <f t="array" ref="P931">J931*INDEX(Berekening_impact[Opbrengsten door QALY''s],MATCH(B931,IF(Berekening_impact[Doelgroep]=C931,Berekening_impact[Digitale zorgtoepassing]),0))</f>
        <v>0</v>
      </c>
      <c r="Q931" s="398" cm="1">
        <f t="array" ref="Q931">J931*INDEX(Berekening_impact[Jaarlijkse kosten (totaal) - incl. schatting],MATCH(B931,IF(Berekening_impact[Doelgroep]=C931,Berekening_impact[Digitale zorgtoepassing]),0))</f>
        <v>2644811.0573478853</v>
      </c>
      <c r="R931" s="398" cm="1">
        <f t="array" ref="R931">(uitkomst_doelgroep[[#This Row],[Implementatiegraad t = T + 1]]-uitkomst_doelgroep[[#This Row],[Implementatiegraad t = T]])*INDEX(Berekening_impact[Initiële investering (totaal) - incl. schatting],MATCH(B931,IF(Berekening_impact[Doelgroep]=C931,Berekening_impact[Digitale zorgtoepassing]),0))</f>
        <v>0</v>
      </c>
      <c r="S931" s="398">
        <f>uitkomst_doelgroep[[#This Row],[Arbeidsbesparing (€)]]*uitkomst_doelgroep[[#This Row],[Percentage van patiëntaantallen in Wlz (overige is Zvw)]]</f>
        <v>0</v>
      </c>
      <c r="T931" s="398">
        <f>uitkomst_doelgroep[[#This Row],[Overige besparingen (€)]]*uitkomst_doelgroep[[#This Row],[Percentage van patiëntaantallen in Wlz (overige is Zvw)]]</f>
        <v>0</v>
      </c>
      <c r="U931" s="398">
        <f>uitkomst_doelgroep[[#This Row],[Kosten (€)]]*uitkomst_doelgroep[[#This Row],[Percentage van patiëntaantallen in Wlz (overige is Zvw)]]</f>
        <v>0</v>
      </c>
      <c r="V931" s="398">
        <f>uitkomst_doelgroep[[#This Row],[Investering (cash flow) (€)]]*uitkomst_doelgroep[[#This Row],[Percentage van patiëntaantallen in Wlz (overige is Zvw)]]</f>
        <v>0</v>
      </c>
    </row>
    <row r="932" spans="1:22" x14ac:dyDescent="0.5">
      <c r="A932" s="33" t="str">
        <f>INDEX(Technologieën[Veld],MATCH(B932,Technologieën[Digitale zorgtoepassing],0))</f>
        <v>Software - Behandeling</v>
      </c>
      <c r="B932" s="33" t="s">
        <v>578</v>
      </c>
      <c r="C932" s="33" t="s">
        <v>577</v>
      </c>
      <c r="D932" s="427" cm="1">
        <f t="array" ref="D932">INDEX(Berekening_patiëntaantal[Percentage van patiëntaantallen in Wlz (overige is Zvw)],MATCH(B932,IF(Berekening_patiëntaantal[Doelgroep (zoeksleutel)]=C932,Berekening_patiëntaantal[Digitale zorgtoepassing]),0))</f>
        <v>0</v>
      </c>
      <c r="E932" s="33" t="str" cm="1">
        <f t="array" ref="E932">INDEX(Berekening_patiëntaantal[Direct toepasbaar/extrapolatie/incidentie voor QALY],MATCH(B932,IF(Berekening_patiëntaantal[Doelgroep (zoeksleutel)]=C932,Berekening_patiëntaantal[Digitale zorgtoepassing]),0))</f>
        <v>Huidige toepassing</v>
      </c>
      <c r="F932" s="33" t="s">
        <v>813</v>
      </c>
      <c r="G932" s="33" t="str">
        <f>CONCATENATE(uitkomst_doelgroep[[#This Row],[Digitale zorgtoepassing]],"_",uitkomst_doelgroep[[#This Row],[Doelgroep]],"_",uitkomst_doelgroep[[#This Row],[Uitgangssituatie/effect beleid]])</f>
        <v>Digitale exposure therapie_PTSS_Uitgangssituatie</v>
      </c>
      <c r="H932" s="33">
        <v>2026</v>
      </c>
      <c r="I932" s="32">
        <v>4</v>
      </c>
      <c r="J932" s="406" cm="1">
        <f t="array" ref="J932">INDEX(implementatie[[2023]:[2034]],MATCH(G932, implementatie[Zoeksleutel],0),I932)</f>
        <v>0.43680239728230397</v>
      </c>
      <c r="K932" s="406" cm="1">
        <f t="array" ref="K932">INDEX(implementatie[[2023]:[2034]],MATCH(G932,implementatie[Zoeksleutel],0),I932 + 1)</f>
        <v>0.53135248337682706</v>
      </c>
      <c r="L93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15724.886302162942</v>
      </c>
      <c r="M932" s="398" cm="1">
        <f t="array" ref="M932">J932*INDEX(Berekening_impact[Totaal arbeidsbesparing (€/jaar)],MATCH(B932,IF(Berekening_impact[Doelgroep]=C932,Berekening_impact[Digitale zorgtoepassing]),0))</f>
        <v>6063333.69520918</v>
      </c>
      <c r="N932" s="397" cm="1">
        <f t="array" ref="N932">J932*INDEX(Berekening_impact[Totaal arbeidsbesparing (FTE/jaar)],MATCH(B932,IF(Berekening_impact[Doelgroep]=C932,Berekening_impact[Digitale zorgtoepassing]),0))</f>
        <v>72.258876575035288</v>
      </c>
      <c r="O932" s="398" cm="1">
        <f t="array" ref="O932">J932*INDEX(Berekening_impact[Overige kostenbesparing (totaal/jaar totaal potentieel)],MATCH(B932,IF(Berekening_impact[Doelgroep]=C932,Berekening_impact[Digitale zorgtoepassing]),0))</f>
        <v>0</v>
      </c>
      <c r="P932" s="398" cm="1">
        <f t="array" ref="P932">J932*INDEX(Berekening_impact[Opbrengsten door QALY''s],MATCH(B932,IF(Berekening_impact[Doelgroep]=C932,Berekening_impact[Digitale zorgtoepassing]),0))</f>
        <v>0</v>
      </c>
      <c r="Q932" s="398" cm="1">
        <f t="array" ref="Q932">J932*INDEX(Berekening_impact[Jaarlijkse kosten (totaal) - incl. schatting],MATCH(B932,IF(Berekening_impact[Doelgroep]=C932,Berekening_impact[Digitale zorgtoepassing]),0))</f>
        <v>3323134.5449114875</v>
      </c>
      <c r="R932" s="398" cm="1">
        <f t="array" ref="R932">(uitkomst_doelgroep[[#This Row],[Implementatiegraad t = T + 1]]-uitkomst_doelgroep[[#This Row],[Implementatiegraad t = T]])*INDEX(Berekening_impact[Initiële investering (totaal) - incl. schatting],MATCH(B932,IF(Berekening_impact[Doelgroep]=C932,Berekening_impact[Digitale zorgtoepassing]),0))</f>
        <v>0</v>
      </c>
      <c r="S932" s="398">
        <f>uitkomst_doelgroep[[#This Row],[Arbeidsbesparing (€)]]*uitkomst_doelgroep[[#This Row],[Percentage van patiëntaantallen in Wlz (overige is Zvw)]]</f>
        <v>0</v>
      </c>
      <c r="T932" s="398">
        <f>uitkomst_doelgroep[[#This Row],[Overige besparingen (€)]]*uitkomst_doelgroep[[#This Row],[Percentage van patiëntaantallen in Wlz (overige is Zvw)]]</f>
        <v>0</v>
      </c>
      <c r="U932" s="398">
        <f>uitkomst_doelgroep[[#This Row],[Kosten (€)]]*uitkomst_doelgroep[[#This Row],[Percentage van patiëntaantallen in Wlz (overige is Zvw)]]</f>
        <v>0</v>
      </c>
      <c r="V932" s="398">
        <f>uitkomst_doelgroep[[#This Row],[Investering (cash flow) (€)]]*uitkomst_doelgroep[[#This Row],[Percentage van patiëntaantallen in Wlz (overige is Zvw)]]</f>
        <v>0</v>
      </c>
    </row>
    <row r="933" spans="1:22" x14ac:dyDescent="0.5">
      <c r="A933" s="33" t="str">
        <f>INDEX(Technologieën[Veld],MATCH(B933,Technologieën[Digitale zorgtoepassing],0))</f>
        <v>Software - Behandeling</v>
      </c>
      <c r="B933" s="33" t="s">
        <v>578</v>
      </c>
      <c r="C933" s="33" t="s">
        <v>577</v>
      </c>
      <c r="D933" s="427" cm="1">
        <f t="array" ref="D933">INDEX(Berekening_patiëntaantal[Percentage van patiëntaantallen in Wlz (overige is Zvw)],MATCH(B933,IF(Berekening_patiëntaantal[Doelgroep (zoeksleutel)]=C933,Berekening_patiëntaantal[Digitale zorgtoepassing]),0))</f>
        <v>0</v>
      </c>
      <c r="E933" s="33" t="str" cm="1">
        <f t="array" ref="E933">INDEX(Berekening_patiëntaantal[Direct toepasbaar/extrapolatie/incidentie voor QALY],MATCH(B933,IF(Berekening_patiëntaantal[Doelgroep (zoeksleutel)]=C933,Berekening_patiëntaantal[Digitale zorgtoepassing]),0))</f>
        <v>Huidige toepassing</v>
      </c>
      <c r="F933" s="33" t="s">
        <v>813</v>
      </c>
      <c r="G933" s="33" t="str">
        <f>CONCATENATE(uitkomst_doelgroep[[#This Row],[Digitale zorgtoepassing]],"_",uitkomst_doelgroep[[#This Row],[Doelgroep]],"_",uitkomst_doelgroep[[#This Row],[Uitgangssituatie/effect beleid]])</f>
        <v>Digitale exposure therapie_PTSS_Uitgangssituatie</v>
      </c>
      <c r="H933" s="33">
        <v>2027</v>
      </c>
      <c r="I933" s="32">
        <v>5</v>
      </c>
      <c r="J933" s="406" cm="1">
        <f t="array" ref="J933">INDEX(implementatie[[2023]:[2034]],MATCH(G933, implementatie[Zoeksleutel],0),I933)</f>
        <v>0.53135248337682706</v>
      </c>
      <c r="K933" s="406" cm="1">
        <f t="array" ref="K933">INDEX(implementatie[[2023]:[2034]],MATCH(G933,implementatie[Zoeksleutel],0),I933 + 1)</f>
        <v>0.62553815375131172</v>
      </c>
      <c r="L93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19128.689401565774</v>
      </c>
      <c r="M933" s="398" cm="1">
        <f t="array" ref="M933">J933*INDEX(Berekening_impact[Totaal arbeidsbesparing (€/jaar)],MATCH(B933,IF(Berekening_impact[Doelgroep]=C933,Berekening_impact[Digitale zorgtoepassing]),0))</f>
        <v>7375800.6744857067</v>
      </c>
      <c r="N933" s="397" cm="1">
        <f t="array" ref="N933">J933*INDEX(Berekening_impact[Totaal arbeidsbesparing (FTE/jaar)],MATCH(B933,IF(Berekening_impact[Doelgroep]=C933,Berekening_impact[Digitale zorgtoepassing]),0))</f>
        <v>87.90000639431041</v>
      </c>
      <c r="O933" s="398" cm="1">
        <f t="array" ref="O933">J933*INDEX(Berekening_impact[Overige kostenbesparing (totaal/jaar totaal potentieel)],MATCH(B933,IF(Berekening_impact[Doelgroep]=C933,Berekening_impact[Digitale zorgtoepassing]),0))</f>
        <v>0</v>
      </c>
      <c r="P933" s="398" cm="1">
        <f t="array" ref="P933">J933*INDEX(Berekening_impact[Opbrengsten door QALY''s],MATCH(B933,IF(Berekening_impact[Doelgroep]=C933,Berekening_impact[Digitale zorgtoepassing]),0))</f>
        <v>0</v>
      </c>
      <c r="Q933" s="398" cm="1">
        <f t="array" ref="Q933">J933*INDEX(Berekening_impact[Jaarlijkse kosten (totaal) - incl. schatting],MATCH(B933,IF(Berekening_impact[Doelgroep]=C933,Berekening_impact[Digitale zorgtoepassing]),0))</f>
        <v>4042459.0249966937</v>
      </c>
      <c r="R933" s="398" cm="1">
        <f t="array" ref="R933">(uitkomst_doelgroep[[#This Row],[Implementatiegraad t = T + 1]]-uitkomst_doelgroep[[#This Row],[Implementatiegraad t = T]])*INDEX(Berekening_impact[Initiële investering (totaal) - incl. schatting],MATCH(B933,IF(Berekening_impact[Doelgroep]=C933,Berekening_impact[Digitale zorgtoepassing]),0))</f>
        <v>0</v>
      </c>
      <c r="S933" s="398">
        <f>uitkomst_doelgroep[[#This Row],[Arbeidsbesparing (€)]]*uitkomst_doelgroep[[#This Row],[Percentage van patiëntaantallen in Wlz (overige is Zvw)]]</f>
        <v>0</v>
      </c>
      <c r="T933" s="398">
        <f>uitkomst_doelgroep[[#This Row],[Overige besparingen (€)]]*uitkomst_doelgroep[[#This Row],[Percentage van patiëntaantallen in Wlz (overige is Zvw)]]</f>
        <v>0</v>
      </c>
      <c r="U933" s="398">
        <f>uitkomst_doelgroep[[#This Row],[Kosten (€)]]*uitkomst_doelgroep[[#This Row],[Percentage van patiëntaantallen in Wlz (overige is Zvw)]]</f>
        <v>0</v>
      </c>
      <c r="V933" s="398">
        <f>uitkomst_doelgroep[[#This Row],[Investering (cash flow) (€)]]*uitkomst_doelgroep[[#This Row],[Percentage van patiëntaantallen in Wlz (overige is Zvw)]]</f>
        <v>0</v>
      </c>
    </row>
    <row r="934" spans="1:22" x14ac:dyDescent="0.5">
      <c r="A934" s="33" t="str">
        <f>INDEX(Technologieën[Veld],MATCH(B934,Technologieën[Digitale zorgtoepassing],0))</f>
        <v>Software - Behandeling</v>
      </c>
      <c r="B934" s="33" t="s">
        <v>578</v>
      </c>
      <c r="C934" s="33" t="s">
        <v>577</v>
      </c>
      <c r="D934" s="427" cm="1">
        <f t="array" ref="D934">INDEX(Berekening_patiëntaantal[Percentage van patiëntaantallen in Wlz (overige is Zvw)],MATCH(B934,IF(Berekening_patiëntaantal[Doelgroep (zoeksleutel)]=C934,Berekening_patiëntaantal[Digitale zorgtoepassing]),0))</f>
        <v>0</v>
      </c>
      <c r="E934" s="33" t="str" cm="1">
        <f t="array" ref="E934">INDEX(Berekening_patiëntaantal[Direct toepasbaar/extrapolatie/incidentie voor QALY],MATCH(B934,IF(Berekening_patiëntaantal[Doelgroep (zoeksleutel)]=C934,Berekening_patiëntaantal[Digitale zorgtoepassing]),0))</f>
        <v>Huidige toepassing</v>
      </c>
      <c r="F934" s="33" t="s">
        <v>813</v>
      </c>
      <c r="G934" s="33" t="str">
        <f>CONCATENATE(uitkomst_doelgroep[[#This Row],[Digitale zorgtoepassing]],"_",uitkomst_doelgroep[[#This Row],[Doelgroep]],"_",uitkomst_doelgroep[[#This Row],[Uitgangssituatie/effect beleid]])</f>
        <v>Digitale exposure therapie_PTSS_Uitgangssituatie</v>
      </c>
      <c r="H934" s="33">
        <v>2028</v>
      </c>
      <c r="I934" s="32">
        <v>6</v>
      </c>
      <c r="J934" s="406" cm="1">
        <f t="array" ref="J934">INDEX(implementatie[[2023]:[2034]],MATCH(G934, implementatie[Zoeksleutel],0),I934)</f>
        <v>0.62553815375131172</v>
      </c>
      <c r="K934" s="406" cm="1">
        <f t="array" ref="K934">INDEX(implementatie[[2023]:[2034]],MATCH(G934,implementatie[Zoeksleutel],0),I934 + 1)</f>
        <v>0.71313914162849124</v>
      </c>
      <c r="L93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22519.373535047223</v>
      </c>
      <c r="M934" s="398" cm="1">
        <f t="array" ref="M934">J934*INDEX(Berekening_impact[Totaal arbeidsbesparing (€/jaar)],MATCH(B934,IF(Berekening_impact[Doelgroep]=C934,Berekening_impact[Digitale zorgtoepassing]),0))</f>
        <v>8683209.1327281911</v>
      </c>
      <c r="N934" s="397" cm="1">
        <f t="array" ref="N934">J934*INDEX(Berekening_impact[Totaal arbeidsbesparing (FTE/jaar)],MATCH(B934,IF(Berekening_impact[Doelgroep]=C934,Berekening_impact[Digitale zorgtoepassing]),0))</f>
        <v>103.48085204229871</v>
      </c>
      <c r="O934" s="398" cm="1">
        <f t="array" ref="O934">J934*INDEX(Berekening_impact[Overige kostenbesparing (totaal/jaar totaal potentieel)],MATCH(B934,IF(Berekening_impact[Doelgroep]=C934,Berekening_impact[Digitale zorgtoepassing]),0))</f>
        <v>0</v>
      </c>
      <c r="P934" s="398" cm="1">
        <f t="array" ref="P934">J934*INDEX(Berekening_impact[Opbrengsten door QALY''s],MATCH(B934,IF(Berekening_impact[Doelgroep]=C934,Berekening_impact[Digitale zorgtoepassing]),0))</f>
        <v>0</v>
      </c>
      <c r="Q934" s="398" cm="1">
        <f t="array" ref="Q934">J934*INDEX(Berekening_impact[Jaarlijkse kosten (totaal) - incl. schatting],MATCH(B934,IF(Berekening_impact[Doelgroep]=C934,Berekening_impact[Digitale zorgtoepassing]),0))</f>
        <v>4759011.0787502155</v>
      </c>
      <c r="R934" s="398" cm="1">
        <f t="array" ref="R934">(uitkomst_doelgroep[[#This Row],[Implementatiegraad t = T + 1]]-uitkomst_doelgroep[[#This Row],[Implementatiegraad t = T]])*INDEX(Berekening_impact[Initiële investering (totaal) - incl. schatting],MATCH(B934,IF(Berekening_impact[Doelgroep]=C934,Berekening_impact[Digitale zorgtoepassing]),0))</f>
        <v>0</v>
      </c>
      <c r="S934" s="398">
        <f>uitkomst_doelgroep[[#This Row],[Arbeidsbesparing (€)]]*uitkomst_doelgroep[[#This Row],[Percentage van patiëntaantallen in Wlz (overige is Zvw)]]</f>
        <v>0</v>
      </c>
      <c r="T934" s="398">
        <f>uitkomst_doelgroep[[#This Row],[Overige besparingen (€)]]*uitkomst_doelgroep[[#This Row],[Percentage van patiëntaantallen in Wlz (overige is Zvw)]]</f>
        <v>0</v>
      </c>
      <c r="U934" s="398">
        <f>uitkomst_doelgroep[[#This Row],[Kosten (€)]]*uitkomst_doelgroep[[#This Row],[Percentage van patiëntaantallen in Wlz (overige is Zvw)]]</f>
        <v>0</v>
      </c>
      <c r="V934" s="398">
        <f>uitkomst_doelgroep[[#This Row],[Investering (cash flow) (€)]]*uitkomst_doelgroep[[#This Row],[Percentage van patiëntaantallen in Wlz (overige is Zvw)]]</f>
        <v>0</v>
      </c>
    </row>
    <row r="935" spans="1:22" x14ac:dyDescent="0.5">
      <c r="A935" s="33" t="str">
        <f>INDEX(Technologieën[Veld],MATCH(B935,Technologieën[Digitale zorgtoepassing],0))</f>
        <v>Software - Behandeling</v>
      </c>
      <c r="B935" s="33" t="s">
        <v>578</v>
      </c>
      <c r="C935" s="33" t="s">
        <v>577</v>
      </c>
      <c r="D935" s="427" cm="1">
        <f t="array" ref="D935">INDEX(Berekening_patiëntaantal[Percentage van patiëntaantallen in Wlz (overige is Zvw)],MATCH(B935,IF(Berekening_patiëntaantal[Doelgroep (zoeksleutel)]=C935,Berekening_patiëntaantal[Digitale zorgtoepassing]),0))</f>
        <v>0</v>
      </c>
      <c r="E935" s="33" t="str" cm="1">
        <f t="array" ref="E935">INDEX(Berekening_patiëntaantal[Direct toepasbaar/extrapolatie/incidentie voor QALY],MATCH(B935,IF(Berekening_patiëntaantal[Doelgroep (zoeksleutel)]=C935,Berekening_patiëntaantal[Digitale zorgtoepassing]),0))</f>
        <v>Huidige toepassing</v>
      </c>
      <c r="F935" s="33" t="s">
        <v>813</v>
      </c>
      <c r="G935" s="33" t="str">
        <f>CONCATENATE(uitkomst_doelgroep[[#This Row],[Digitale zorgtoepassing]],"_",uitkomst_doelgroep[[#This Row],[Doelgroep]],"_",uitkomst_doelgroep[[#This Row],[Uitgangssituatie/effect beleid]])</f>
        <v>Digitale exposure therapie_PTSS_Uitgangssituatie</v>
      </c>
      <c r="H935" s="33">
        <v>2029</v>
      </c>
      <c r="I935" s="32">
        <v>7</v>
      </c>
      <c r="J935" s="406" cm="1">
        <f t="array" ref="J935">INDEX(implementatie[[2023]:[2034]],MATCH(G935, implementatie[Zoeksleutel],0),I935)</f>
        <v>0.71313914162849124</v>
      </c>
      <c r="K935" s="406" cm="1">
        <f t="array" ref="K935">INDEX(implementatie[[2023]:[2034]],MATCH(G935,implementatie[Zoeksleutel],0),I935 + 1)</f>
        <v>0.78904215171111836</v>
      </c>
      <c r="L93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25673.009098625684</v>
      </c>
      <c r="M935" s="398" cm="1">
        <f t="array" ref="M935">J935*INDEX(Berekening_impact[Totaal arbeidsbesparing (€/jaar)],MATCH(B935,IF(Berekening_impact[Doelgroep]=C935,Berekening_impact[Digitale zorgtoepassing]),0))</f>
        <v>9899214.4129969031</v>
      </c>
      <c r="N935" s="397" cm="1">
        <f t="array" ref="N935">J935*INDEX(Berekening_impact[Totaal arbeidsbesparing (FTE/jaar)],MATCH(B935,IF(Berekening_impact[Doelgroep]=C935,Berekening_impact[Digitale zorgtoepassing]),0))</f>
        <v>117.97241392531936</v>
      </c>
      <c r="O935" s="398" cm="1">
        <f t="array" ref="O935">J935*INDEX(Berekening_impact[Overige kostenbesparing (totaal/jaar totaal potentieel)],MATCH(B935,IF(Berekening_impact[Doelgroep]=C935,Berekening_impact[Digitale zorgtoepassing]),0))</f>
        <v>0</v>
      </c>
      <c r="P935" s="398" cm="1">
        <f t="array" ref="P935">J935*INDEX(Berekening_impact[Opbrengsten door QALY''s],MATCH(B935,IF(Berekening_impact[Doelgroep]=C935,Berekening_impact[Digitale zorgtoepassing]),0))</f>
        <v>0</v>
      </c>
      <c r="Q935" s="398" cm="1">
        <f t="array" ref="Q935">J935*INDEX(Berekening_impact[Jaarlijkse kosten (totaal) - incl. schatting],MATCH(B935,IF(Berekening_impact[Doelgroep]=C935,Berekening_impact[Digitale zorgtoepassing]),0))</f>
        <v>5425467.7438103296</v>
      </c>
      <c r="R935" s="398" cm="1">
        <f t="array" ref="R935">(uitkomst_doelgroep[[#This Row],[Implementatiegraad t = T + 1]]-uitkomst_doelgroep[[#This Row],[Implementatiegraad t = T]])*INDEX(Berekening_impact[Initiële investering (totaal) - incl. schatting],MATCH(B935,IF(Berekening_impact[Doelgroep]=C935,Berekening_impact[Digitale zorgtoepassing]),0))</f>
        <v>0</v>
      </c>
      <c r="S935" s="398">
        <f>uitkomst_doelgroep[[#This Row],[Arbeidsbesparing (€)]]*uitkomst_doelgroep[[#This Row],[Percentage van patiëntaantallen in Wlz (overige is Zvw)]]</f>
        <v>0</v>
      </c>
      <c r="T935" s="398">
        <f>uitkomst_doelgroep[[#This Row],[Overige besparingen (€)]]*uitkomst_doelgroep[[#This Row],[Percentage van patiëntaantallen in Wlz (overige is Zvw)]]</f>
        <v>0</v>
      </c>
      <c r="U935" s="398">
        <f>uitkomst_doelgroep[[#This Row],[Kosten (€)]]*uitkomst_doelgroep[[#This Row],[Percentage van patiëntaantallen in Wlz (overige is Zvw)]]</f>
        <v>0</v>
      </c>
      <c r="V935" s="398">
        <f>uitkomst_doelgroep[[#This Row],[Investering (cash flow) (€)]]*uitkomst_doelgroep[[#This Row],[Percentage van patiëntaantallen in Wlz (overige is Zvw)]]</f>
        <v>0</v>
      </c>
    </row>
    <row r="936" spans="1:22" x14ac:dyDescent="0.5">
      <c r="A936" s="33" t="str">
        <f>INDEX(Technologieën[Veld],MATCH(B936,Technologieën[Digitale zorgtoepassing],0))</f>
        <v>Software - Behandeling</v>
      </c>
      <c r="B936" s="33" t="s">
        <v>578</v>
      </c>
      <c r="C936" s="33" t="s">
        <v>577</v>
      </c>
      <c r="D936" s="427" cm="1">
        <f t="array" ref="D936">INDEX(Berekening_patiëntaantal[Percentage van patiëntaantallen in Wlz (overige is Zvw)],MATCH(B936,IF(Berekening_patiëntaantal[Doelgroep (zoeksleutel)]=C936,Berekening_patiëntaantal[Digitale zorgtoepassing]),0))</f>
        <v>0</v>
      </c>
      <c r="E936" s="33" t="str" cm="1">
        <f t="array" ref="E936">INDEX(Berekening_patiëntaantal[Direct toepasbaar/extrapolatie/incidentie voor QALY],MATCH(B936,IF(Berekening_patiëntaantal[Doelgroep (zoeksleutel)]=C936,Berekening_patiëntaantal[Digitale zorgtoepassing]),0))</f>
        <v>Huidige toepassing</v>
      </c>
      <c r="F936" s="33" t="s">
        <v>813</v>
      </c>
      <c r="G936" s="33" t="str">
        <f>CONCATENATE(uitkomst_doelgroep[[#This Row],[Digitale zorgtoepassing]],"_",uitkomst_doelgroep[[#This Row],[Doelgroep]],"_",uitkomst_doelgroep[[#This Row],[Uitgangssituatie/effect beleid]])</f>
        <v>Digitale exposure therapie_PTSS_Uitgangssituatie</v>
      </c>
      <c r="H936" s="33">
        <v>2030</v>
      </c>
      <c r="I936" s="32">
        <v>8</v>
      </c>
      <c r="J936" s="406" cm="1">
        <f t="array" ref="J936">INDEX(implementatie[[2023]:[2034]],MATCH(G936, implementatie[Zoeksleutel],0),I936)</f>
        <v>0.78904215171111836</v>
      </c>
      <c r="K936" s="406" cm="1">
        <f t="array" ref="K936">INDEX(implementatie[[2023]:[2034]],MATCH(G936,implementatie[Zoeksleutel],0),I936 + 1)</f>
        <v>0.85046564152242399</v>
      </c>
      <c r="L93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28405.517461600262</v>
      </c>
      <c r="M936" s="398" cm="1">
        <f t="array" ref="M936">J936*INDEX(Berekening_impact[Totaal arbeidsbesparing (€/jaar)],MATCH(B936,IF(Berekening_impact[Doelgroep]=C936,Berekening_impact[Digitale zorgtoepassing]),0))</f>
        <v>10952837.931240447</v>
      </c>
      <c r="N936" s="397" cm="1">
        <f t="array" ref="N936">J936*INDEX(Berekening_impact[Totaal arbeidsbesparing (FTE/jaar)],MATCH(B936,IF(Berekening_impact[Doelgroep]=C936,Berekening_impact[Digitale zorgtoepassing]),0))</f>
        <v>130.52881533556504</v>
      </c>
      <c r="O936" s="398" cm="1">
        <f t="array" ref="O936">J936*INDEX(Berekening_impact[Overige kostenbesparing (totaal/jaar totaal potentieel)],MATCH(B936,IF(Berekening_impact[Doelgroep]=C936,Berekening_impact[Digitale zorgtoepassing]),0))</f>
        <v>0</v>
      </c>
      <c r="P936" s="398" cm="1">
        <f t="array" ref="P936">J936*INDEX(Berekening_impact[Opbrengsten door QALY''s],MATCH(B936,IF(Berekening_impact[Doelgroep]=C936,Berekening_impact[Digitale zorgtoepassing]),0))</f>
        <v>0</v>
      </c>
      <c r="Q936" s="398" cm="1">
        <f t="array" ref="Q936">J936*INDEX(Berekening_impact[Jaarlijkse kosten (totaal) - incl. schatting],MATCH(B936,IF(Berekening_impact[Doelgroep]=C936,Berekening_impact[Digitale zorgtoepassing]),0))</f>
        <v>6002927.7496109018</v>
      </c>
      <c r="R936" s="398" cm="1">
        <f t="array" ref="R936">(uitkomst_doelgroep[[#This Row],[Implementatiegraad t = T + 1]]-uitkomst_doelgroep[[#This Row],[Implementatiegraad t = T]])*INDEX(Berekening_impact[Initiële investering (totaal) - incl. schatting],MATCH(B936,IF(Berekening_impact[Doelgroep]=C936,Berekening_impact[Digitale zorgtoepassing]),0))</f>
        <v>0</v>
      </c>
      <c r="S936" s="398">
        <f>uitkomst_doelgroep[[#This Row],[Arbeidsbesparing (€)]]*uitkomst_doelgroep[[#This Row],[Percentage van patiëntaantallen in Wlz (overige is Zvw)]]</f>
        <v>0</v>
      </c>
      <c r="T936" s="398">
        <f>uitkomst_doelgroep[[#This Row],[Overige besparingen (€)]]*uitkomst_doelgroep[[#This Row],[Percentage van patiëntaantallen in Wlz (overige is Zvw)]]</f>
        <v>0</v>
      </c>
      <c r="U936" s="398">
        <f>uitkomst_doelgroep[[#This Row],[Kosten (€)]]*uitkomst_doelgroep[[#This Row],[Percentage van patiëntaantallen in Wlz (overige is Zvw)]]</f>
        <v>0</v>
      </c>
      <c r="V936" s="398">
        <f>uitkomst_doelgroep[[#This Row],[Investering (cash flow) (€)]]*uitkomst_doelgroep[[#This Row],[Percentage van patiëntaantallen in Wlz (overige is Zvw)]]</f>
        <v>0</v>
      </c>
    </row>
    <row r="937" spans="1:22" x14ac:dyDescent="0.5">
      <c r="A937" s="33" t="str">
        <f>INDEX(Technologieën[Veld],MATCH(B937,Technologieën[Digitale zorgtoepassing],0))</f>
        <v>Software - Behandeling</v>
      </c>
      <c r="B937" s="33" t="s">
        <v>578</v>
      </c>
      <c r="C937" s="33" t="s">
        <v>577</v>
      </c>
      <c r="D937" s="427" cm="1">
        <f t="array" ref="D937">INDEX(Berekening_patiëntaantal[Percentage van patiëntaantallen in Wlz (overige is Zvw)],MATCH(B937,IF(Berekening_patiëntaantal[Doelgroep (zoeksleutel)]=C937,Berekening_patiëntaantal[Digitale zorgtoepassing]),0))</f>
        <v>0</v>
      </c>
      <c r="E937" s="33" t="str" cm="1">
        <f t="array" ref="E937">INDEX(Berekening_patiëntaantal[Direct toepasbaar/extrapolatie/incidentie voor QALY],MATCH(B937,IF(Berekening_patiëntaantal[Doelgroep (zoeksleutel)]=C937,Berekening_patiëntaantal[Digitale zorgtoepassing]),0))</f>
        <v>Huidige toepassing</v>
      </c>
      <c r="F937" s="33" t="s">
        <v>813</v>
      </c>
      <c r="G937" s="33" t="str">
        <f>CONCATENATE(uitkomst_doelgroep[[#This Row],[Digitale zorgtoepassing]],"_",uitkomst_doelgroep[[#This Row],[Doelgroep]],"_",uitkomst_doelgroep[[#This Row],[Uitgangssituatie/effect beleid]])</f>
        <v>Digitale exposure therapie_PTSS_Uitgangssituatie</v>
      </c>
      <c r="H937" s="33">
        <v>2031</v>
      </c>
      <c r="I937" s="32">
        <v>9</v>
      </c>
      <c r="J937" s="406" cm="1">
        <f t="array" ref="J937">INDEX(implementatie[[2023]:[2034]],MATCH(G937, implementatie[Zoeksleutel],0),I937)</f>
        <v>0.85046564152242399</v>
      </c>
      <c r="K937" s="406" cm="1">
        <f t="array" ref="K937">INDEX(implementatie[[2023]:[2034]],MATCH(G937,implementatie[Zoeksleutel],0),I937 + 1)</f>
        <v>0.89721949883888419</v>
      </c>
      <c r="L93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30616.763094807262</v>
      </c>
      <c r="M937" s="398" cm="1">
        <f t="array" ref="M937">J937*INDEX(Berekening_impact[Totaal arbeidsbesparing (€/jaar)],MATCH(B937,IF(Berekening_impact[Doelgroep]=C937,Berekening_impact[Digitale zorgtoepassing]),0))</f>
        <v>11805468.589330737</v>
      </c>
      <c r="N937" s="397" cm="1">
        <f t="array" ref="N937">J937*INDEX(Berekening_impact[Totaal arbeidsbesparing (FTE/jaar)],MATCH(B937,IF(Berekening_impact[Doelgroep]=C937,Berekening_impact[Digitale zorgtoepassing]),0))</f>
        <v>140.68991425969605</v>
      </c>
      <c r="O937" s="398" cm="1">
        <f t="array" ref="O937">J937*INDEX(Berekening_impact[Overige kostenbesparing (totaal/jaar totaal potentieel)],MATCH(B937,IF(Berekening_impact[Doelgroep]=C937,Berekening_impact[Digitale zorgtoepassing]),0))</f>
        <v>0</v>
      </c>
      <c r="P937" s="398" cm="1">
        <f t="array" ref="P937">J937*INDEX(Berekening_impact[Opbrengsten door QALY''s],MATCH(B937,IF(Berekening_impact[Doelgroep]=C937,Berekening_impact[Digitale zorgtoepassing]),0))</f>
        <v>0</v>
      </c>
      <c r="Q937" s="398" cm="1">
        <f t="array" ref="Q937">J937*INDEX(Berekening_impact[Jaarlijkse kosten (totaal) - incl. schatting],MATCH(B937,IF(Berekening_impact[Doelgroep]=C937,Berekening_impact[Digitale zorgtoepassing]),0))</f>
        <v>6470229.4909267752</v>
      </c>
      <c r="R937" s="398" cm="1">
        <f t="array" ref="R937">(uitkomst_doelgroep[[#This Row],[Implementatiegraad t = T + 1]]-uitkomst_doelgroep[[#This Row],[Implementatiegraad t = T]])*INDEX(Berekening_impact[Initiële investering (totaal) - incl. schatting],MATCH(B937,IF(Berekening_impact[Doelgroep]=C937,Berekening_impact[Digitale zorgtoepassing]),0))</f>
        <v>0</v>
      </c>
      <c r="S937" s="398">
        <f>uitkomst_doelgroep[[#This Row],[Arbeidsbesparing (€)]]*uitkomst_doelgroep[[#This Row],[Percentage van patiëntaantallen in Wlz (overige is Zvw)]]</f>
        <v>0</v>
      </c>
      <c r="T937" s="398">
        <f>uitkomst_doelgroep[[#This Row],[Overige besparingen (€)]]*uitkomst_doelgroep[[#This Row],[Percentage van patiëntaantallen in Wlz (overige is Zvw)]]</f>
        <v>0</v>
      </c>
      <c r="U937" s="398">
        <f>uitkomst_doelgroep[[#This Row],[Kosten (€)]]*uitkomst_doelgroep[[#This Row],[Percentage van patiëntaantallen in Wlz (overige is Zvw)]]</f>
        <v>0</v>
      </c>
      <c r="V937" s="398">
        <f>uitkomst_doelgroep[[#This Row],[Investering (cash flow) (€)]]*uitkomst_doelgroep[[#This Row],[Percentage van patiëntaantallen in Wlz (overige is Zvw)]]</f>
        <v>0</v>
      </c>
    </row>
    <row r="938" spans="1:22" x14ac:dyDescent="0.5">
      <c r="A938" s="33" t="str">
        <f>INDEX(Technologieën[Veld],MATCH(B938,Technologieën[Digitale zorgtoepassing],0))</f>
        <v>Software - Behandeling</v>
      </c>
      <c r="B938" s="33" t="s">
        <v>578</v>
      </c>
      <c r="C938" s="33" t="s">
        <v>577</v>
      </c>
      <c r="D938" s="427" cm="1">
        <f t="array" ref="D938">INDEX(Berekening_patiëntaantal[Percentage van patiëntaantallen in Wlz (overige is Zvw)],MATCH(B938,IF(Berekening_patiëntaantal[Doelgroep (zoeksleutel)]=C938,Berekening_patiëntaantal[Digitale zorgtoepassing]),0))</f>
        <v>0</v>
      </c>
      <c r="E938" s="33" t="str" cm="1">
        <f t="array" ref="E938">INDEX(Berekening_patiëntaantal[Direct toepasbaar/extrapolatie/incidentie voor QALY],MATCH(B938,IF(Berekening_patiëntaantal[Doelgroep (zoeksleutel)]=C938,Berekening_patiëntaantal[Digitale zorgtoepassing]),0))</f>
        <v>Huidige toepassing</v>
      </c>
      <c r="F938" s="33" t="s">
        <v>813</v>
      </c>
      <c r="G938" s="33" t="str">
        <f>CONCATENATE(uitkomst_doelgroep[[#This Row],[Digitale zorgtoepassing]],"_",uitkomst_doelgroep[[#This Row],[Doelgroep]],"_",uitkomst_doelgroep[[#This Row],[Uitgangssituatie/effect beleid]])</f>
        <v>Digitale exposure therapie_PTSS_Uitgangssituatie</v>
      </c>
      <c r="H938" s="33">
        <v>2032</v>
      </c>
      <c r="I938" s="32">
        <v>10</v>
      </c>
      <c r="J938" s="406" cm="1">
        <f t="array" ref="J938">INDEX(implementatie[[2023]:[2034]],MATCH(G938, implementatie[Zoeksleutel],0),I938)</f>
        <v>0.89721949883888419</v>
      </c>
      <c r="K938" s="406" cm="1">
        <f t="array" ref="K938">INDEX(implementatie[[2023]:[2034]],MATCH(G938,implementatie[Zoeksleutel],0),I938 + 1)</f>
        <v>0.93103704076606597</v>
      </c>
      <c r="L93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32299.901958199829</v>
      </c>
      <c r="M938" s="398" cm="1">
        <f t="array" ref="M938">J938*INDEX(Berekening_impact[Totaal arbeidsbesparing (€/jaar)],MATCH(B938,IF(Berekening_impact[Doelgroep]=C938,Berekening_impact[Digitale zorgtoepassing]),0))</f>
        <v>12454467.404840168</v>
      </c>
      <c r="N938" s="397" cm="1">
        <f t="array" ref="N938">J938*INDEX(Berekening_impact[Totaal arbeidsbesparing (FTE/jaar)],MATCH(B938,IF(Berekening_impact[Doelgroep]=C938,Berekening_impact[Digitale zorgtoepassing]),0))</f>
        <v>148.42426101753554</v>
      </c>
      <c r="O938" s="398" cm="1">
        <f t="array" ref="O938">J938*INDEX(Berekening_impact[Overige kostenbesparing (totaal/jaar totaal potentieel)],MATCH(B938,IF(Berekening_impact[Doelgroep]=C938,Berekening_impact[Digitale zorgtoepassing]),0))</f>
        <v>0</v>
      </c>
      <c r="P938" s="398" cm="1">
        <f t="array" ref="P938">J938*INDEX(Berekening_impact[Opbrengsten door QALY''s],MATCH(B938,IF(Berekening_impact[Doelgroep]=C938,Berekening_impact[Digitale zorgtoepassing]),0))</f>
        <v>0</v>
      </c>
      <c r="Q938" s="398" cm="1">
        <f t="array" ref="Q938">J938*INDEX(Berekening_impact[Jaarlijkse kosten (totaal) - incl. schatting],MATCH(B938,IF(Berekening_impact[Doelgroep]=C938,Berekening_impact[Digitale zorgtoepassing]),0))</f>
        <v>6825926.6192458235</v>
      </c>
      <c r="R938" s="398" cm="1">
        <f t="array" ref="R938">(uitkomst_doelgroep[[#This Row],[Implementatiegraad t = T + 1]]-uitkomst_doelgroep[[#This Row],[Implementatiegraad t = T]])*INDEX(Berekening_impact[Initiële investering (totaal) - incl. schatting],MATCH(B938,IF(Berekening_impact[Doelgroep]=C938,Berekening_impact[Digitale zorgtoepassing]),0))</f>
        <v>0</v>
      </c>
      <c r="S938" s="398">
        <f>uitkomst_doelgroep[[#This Row],[Arbeidsbesparing (€)]]*uitkomst_doelgroep[[#This Row],[Percentage van patiëntaantallen in Wlz (overige is Zvw)]]</f>
        <v>0</v>
      </c>
      <c r="T938" s="398">
        <f>uitkomst_doelgroep[[#This Row],[Overige besparingen (€)]]*uitkomst_doelgroep[[#This Row],[Percentage van patiëntaantallen in Wlz (overige is Zvw)]]</f>
        <v>0</v>
      </c>
      <c r="U938" s="398">
        <f>uitkomst_doelgroep[[#This Row],[Kosten (€)]]*uitkomst_doelgroep[[#This Row],[Percentage van patiëntaantallen in Wlz (overige is Zvw)]]</f>
        <v>0</v>
      </c>
      <c r="V938" s="398">
        <f>uitkomst_doelgroep[[#This Row],[Investering (cash flow) (€)]]*uitkomst_doelgroep[[#This Row],[Percentage van patiëntaantallen in Wlz (overige is Zvw)]]</f>
        <v>0</v>
      </c>
    </row>
    <row r="939" spans="1:22" x14ac:dyDescent="0.5">
      <c r="A939" s="33" t="str">
        <f>INDEX(Technologieën[Veld],MATCH(B939,Technologieën[Digitale zorgtoepassing],0))</f>
        <v>Software - Behandeling</v>
      </c>
      <c r="B939" s="33" t="s">
        <v>578</v>
      </c>
      <c r="C939" s="33" t="s">
        <v>577</v>
      </c>
      <c r="D939" s="427" cm="1">
        <f t="array" ref="D939">INDEX(Berekening_patiëntaantal[Percentage van patiëntaantallen in Wlz (overige is Zvw)],MATCH(B939,IF(Berekening_patiëntaantal[Doelgroep (zoeksleutel)]=C939,Berekening_patiëntaantal[Digitale zorgtoepassing]),0))</f>
        <v>0</v>
      </c>
      <c r="E939" s="33" t="str" cm="1">
        <f t="array" ref="E939">INDEX(Berekening_patiëntaantal[Direct toepasbaar/extrapolatie/incidentie voor QALY],MATCH(B939,IF(Berekening_patiëntaantal[Doelgroep (zoeksleutel)]=C939,Berekening_patiëntaantal[Digitale zorgtoepassing]),0))</f>
        <v>Huidige toepassing</v>
      </c>
      <c r="F939" s="33" t="s">
        <v>813</v>
      </c>
      <c r="G939" s="33" t="str">
        <f>CONCATENATE(uitkomst_doelgroep[[#This Row],[Digitale zorgtoepassing]],"_",uitkomst_doelgroep[[#This Row],[Doelgroep]],"_",uitkomst_doelgroep[[#This Row],[Uitgangssituatie/effect beleid]])</f>
        <v>Digitale exposure therapie_PTSS_Uitgangssituatie</v>
      </c>
      <c r="H939" s="33">
        <v>2033</v>
      </c>
      <c r="I939" s="32">
        <v>11</v>
      </c>
      <c r="J939" s="406" cm="1">
        <f t="array" ref="J939">INDEX(implementatie[[2023]:[2034]],MATCH(G939, implementatie[Zoeksleutel],0),I939)</f>
        <v>0.93103704076606597</v>
      </c>
      <c r="K939" s="406" cm="1">
        <f t="array" ref="K939">INDEX(implementatie[[2023]:[2034]],MATCH(G939,implementatie[Zoeksleutel],0),I939 + 1)</f>
        <v>0.9545439594752464</v>
      </c>
      <c r="L93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33517.333467578377</v>
      </c>
      <c r="M939" s="398" cm="1">
        <f t="array" ref="M939">J939*INDEX(Berekening_impact[Totaal arbeidsbesparing (€/jaar)],MATCH(B939,IF(Berekening_impact[Doelgroep]=C939,Berekening_impact[Digitale zorgtoepassing]),0))</f>
        <v>12923894.868452987</v>
      </c>
      <c r="N939" s="397" cm="1">
        <f t="array" ref="N939">J939*INDEX(Berekening_impact[Totaal arbeidsbesparing (FTE/jaar)],MATCH(B939,IF(Berekening_impact[Doelgroep]=C939,Berekening_impact[Digitale zorgtoepassing]),0))</f>
        <v>154.01859292457408</v>
      </c>
      <c r="O939" s="398" cm="1">
        <f t="array" ref="O939">J939*INDEX(Berekening_impact[Overige kostenbesparing (totaal/jaar totaal potentieel)],MATCH(B939,IF(Berekening_impact[Doelgroep]=C939,Berekening_impact[Digitale zorgtoepassing]),0))</f>
        <v>0</v>
      </c>
      <c r="P939" s="398" cm="1">
        <f t="array" ref="P939">J939*INDEX(Berekening_impact[Opbrengsten door QALY''s],MATCH(B939,IF(Berekening_impact[Doelgroep]=C939,Berekening_impact[Digitale zorgtoepassing]),0))</f>
        <v>0</v>
      </c>
      <c r="Q939" s="398" cm="1">
        <f t="array" ref="Q939">J939*INDEX(Berekening_impact[Jaarlijkse kosten (totaal) - incl. schatting],MATCH(B939,IF(Berekening_impact[Doelgroep]=C939,Berekening_impact[Digitale zorgtoepassing]),0))</f>
        <v>7083205.9805804174</v>
      </c>
      <c r="R939" s="398" cm="1">
        <f t="array" ref="R939">(uitkomst_doelgroep[[#This Row],[Implementatiegraad t = T + 1]]-uitkomst_doelgroep[[#This Row],[Implementatiegraad t = T]])*INDEX(Berekening_impact[Initiële investering (totaal) - incl. schatting],MATCH(B939,IF(Berekening_impact[Doelgroep]=C939,Berekening_impact[Digitale zorgtoepassing]),0))</f>
        <v>0</v>
      </c>
      <c r="S939" s="398">
        <f>uitkomst_doelgroep[[#This Row],[Arbeidsbesparing (€)]]*uitkomst_doelgroep[[#This Row],[Percentage van patiëntaantallen in Wlz (overige is Zvw)]]</f>
        <v>0</v>
      </c>
      <c r="T939" s="398">
        <f>uitkomst_doelgroep[[#This Row],[Overige besparingen (€)]]*uitkomst_doelgroep[[#This Row],[Percentage van patiëntaantallen in Wlz (overige is Zvw)]]</f>
        <v>0</v>
      </c>
      <c r="U939" s="398">
        <f>uitkomst_doelgroep[[#This Row],[Kosten (€)]]*uitkomst_doelgroep[[#This Row],[Percentage van patiëntaantallen in Wlz (overige is Zvw)]]</f>
        <v>0</v>
      </c>
      <c r="V939" s="398">
        <f>uitkomst_doelgroep[[#This Row],[Investering (cash flow) (€)]]*uitkomst_doelgroep[[#This Row],[Percentage van patiëntaantallen in Wlz (overige is Zvw)]]</f>
        <v>0</v>
      </c>
    </row>
    <row r="940" spans="1:22" x14ac:dyDescent="0.5">
      <c r="A940" s="33" t="str">
        <f>INDEX(Technologieën[Veld],MATCH(B940,Technologieën[Digitale zorgtoepassing],0))</f>
        <v>Software - Diagnose</v>
      </c>
      <c r="B940" s="33" t="s">
        <v>139</v>
      </c>
      <c r="C940" s="33" t="s">
        <v>106</v>
      </c>
      <c r="D940" s="427" cm="1">
        <f t="array" ref="D940">INDEX(Berekening_patiëntaantal[Percentage van patiëntaantallen in Wlz (overige is Zvw)],MATCH(B940,IF(Berekening_patiëntaantal[Doelgroep (zoeksleutel)]=C940,Berekening_patiëntaantal[Digitale zorgtoepassing]),0))</f>
        <v>0</v>
      </c>
      <c r="E940" s="33" t="str" cm="1">
        <f t="array" ref="E940">INDEX(Berekening_patiëntaantal[Direct toepasbaar/extrapolatie/incidentie voor QALY],MATCH(B940,IF(Berekening_patiëntaantal[Doelgroep (zoeksleutel)]=C940,Berekening_patiëntaantal[Digitale zorgtoepassing]),0))</f>
        <v>Huidige toepassing</v>
      </c>
      <c r="F940" s="33" t="s">
        <v>813</v>
      </c>
      <c r="G940" s="33" t="str">
        <f>CONCATENATE(uitkomst_doelgroep[[#This Row],[Digitale zorgtoepassing]],"_",uitkomst_doelgroep[[#This Row],[Doelgroep]],"_",uitkomst_doelgroep[[#This Row],[Uitgangssituatie/effect beleid]])</f>
        <v>Digitale pathologie_NVT_Uitgangssituatie</v>
      </c>
      <c r="H940" s="33">
        <v>2023</v>
      </c>
      <c r="I940" s="32">
        <v>1</v>
      </c>
      <c r="J940" s="406" cm="1">
        <f t="array" ref="J940">INDEX(implementatie[[2023]:[2034]],MATCH(G940, implementatie[Zoeksleutel],0),I940)</f>
        <v>0.8</v>
      </c>
      <c r="K940" s="406" cm="1">
        <f t="array" ref="K940">INDEX(implementatie[[2023]:[2034]],MATCH(G940,implementatie[Zoeksleutel],0),I940 + 1)</f>
        <v>0.877</v>
      </c>
      <c r="L94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799999.20000000007</v>
      </c>
      <c r="M940" s="398" cm="1">
        <f t="array" ref="M940">J940*INDEX(Berekening_impact[Totaal arbeidsbesparing (€/jaar)],MATCH(B940,IF(Berekening_impact[Doelgroep]=C940,Berekening_impact[Digitale zorgtoepassing]),0))</f>
        <v>9409413.7232183926</v>
      </c>
      <c r="N940" s="397" cm="1">
        <f t="array" ref="N940">J940*INDEX(Berekening_impact[Totaal arbeidsbesparing (FTE/jaar)],MATCH(B940,IF(Berekening_impact[Doelgroep]=C940,Berekening_impact[Digitale zorgtoepassing]),0))</f>
        <v>49.6</v>
      </c>
      <c r="O940" s="398" cm="1">
        <f t="array" ref="O940">J940*INDEX(Berekening_impact[Overige kostenbesparing (totaal/jaar totaal potentieel)],MATCH(B940,IF(Berekening_impact[Doelgroep]=C940,Berekening_impact[Digitale zorgtoepassing]),0))</f>
        <v>0</v>
      </c>
      <c r="P940" s="398" cm="1">
        <f t="array" ref="P940">J940*INDEX(Berekening_impact[Opbrengsten door QALY''s],MATCH(B940,IF(Berekening_impact[Doelgroep]=C940,Berekening_impact[Digitale zorgtoepassing]),0))</f>
        <v>0</v>
      </c>
      <c r="Q940" s="398" cm="1">
        <f t="array" ref="Q940">J940*INDEX(Berekening_impact[Jaarlijkse kosten (totaal) - incl. schatting],MATCH(B940,IF(Berekening_impact[Doelgroep]=C940,Berekening_impact[Digitale zorgtoepassing]),0))</f>
        <v>7996418.1513988301</v>
      </c>
      <c r="R940" s="398" cm="1">
        <f t="array" ref="R940">(uitkomst_doelgroep[[#This Row],[Implementatiegraad t = T + 1]]-uitkomst_doelgroep[[#This Row],[Implementatiegraad t = T]])*INDEX(Berekening_impact[Initiële investering (totaal) - incl. schatting],MATCH(B940,IF(Berekening_impact[Doelgroep]=C940,Berekening_impact[Digitale zorgtoepassing]),0))</f>
        <v>0</v>
      </c>
      <c r="S940" s="398">
        <f>uitkomst_doelgroep[[#This Row],[Arbeidsbesparing (€)]]*uitkomst_doelgroep[[#This Row],[Percentage van patiëntaantallen in Wlz (overige is Zvw)]]</f>
        <v>0</v>
      </c>
      <c r="T940" s="398">
        <f>uitkomst_doelgroep[[#This Row],[Overige besparingen (€)]]*uitkomst_doelgroep[[#This Row],[Percentage van patiëntaantallen in Wlz (overige is Zvw)]]</f>
        <v>0</v>
      </c>
      <c r="U940" s="398">
        <f>uitkomst_doelgroep[[#This Row],[Kosten (€)]]*uitkomst_doelgroep[[#This Row],[Percentage van patiëntaantallen in Wlz (overige is Zvw)]]</f>
        <v>0</v>
      </c>
      <c r="V940" s="398">
        <f>uitkomst_doelgroep[[#This Row],[Investering (cash flow) (€)]]*uitkomst_doelgroep[[#This Row],[Percentage van patiëntaantallen in Wlz (overige is Zvw)]]</f>
        <v>0</v>
      </c>
    </row>
    <row r="941" spans="1:22" x14ac:dyDescent="0.5">
      <c r="A941" s="33" t="str">
        <f>INDEX(Technologieën[Veld],MATCH(B941,Technologieën[Digitale zorgtoepassing],0))</f>
        <v>Software - Diagnose</v>
      </c>
      <c r="B941" s="33" t="s">
        <v>139</v>
      </c>
      <c r="C941" s="33" t="s">
        <v>106</v>
      </c>
      <c r="D941" s="427" cm="1">
        <f t="array" ref="D941">INDEX(Berekening_patiëntaantal[Percentage van patiëntaantallen in Wlz (overige is Zvw)],MATCH(B941,IF(Berekening_patiëntaantal[Doelgroep (zoeksleutel)]=C941,Berekening_patiëntaantal[Digitale zorgtoepassing]),0))</f>
        <v>0</v>
      </c>
      <c r="E941" s="33" t="str" cm="1">
        <f t="array" ref="E941">INDEX(Berekening_patiëntaantal[Direct toepasbaar/extrapolatie/incidentie voor QALY],MATCH(B941,IF(Berekening_patiëntaantal[Doelgroep (zoeksleutel)]=C941,Berekening_patiëntaantal[Digitale zorgtoepassing]),0))</f>
        <v>Huidige toepassing</v>
      </c>
      <c r="F941" s="33" t="s">
        <v>813</v>
      </c>
      <c r="G941" s="33" t="str">
        <f>CONCATENATE(uitkomst_doelgroep[[#This Row],[Digitale zorgtoepassing]],"_",uitkomst_doelgroep[[#This Row],[Doelgroep]],"_",uitkomst_doelgroep[[#This Row],[Uitgangssituatie/effect beleid]])</f>
        <v>Digitale pathologie_NVT_Uitgangssituatie</v>
      </c>
      <c r="H941" s="33">
        <v>2024</v>
      </c>
      <c r="I941" s="32">
        <v>2</v>
      </c>
      <c r="J941" s="406" cm="1">
        <f t="array" ref="J941">INDEX(implementatie[[2023]:[2034]],MATCH(G941, implementatie[Zoeksleutel],0),I941)</f>
        <v>0.877</v>
      </c>
      <c r="K941" s="406" cm="1">
        <f t="array" ref="K941">INDEX(implementatie[[2023]:[2034]],MATCH(G941,implementatie[Zoeksleutel],0),I941 + 1)</f>
        <v>0.92861695000000011</v>
      </c>
      <c r="L94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876999.12300000002</v>
      </c>
      <c r="M941" s="398" cm="1">
        <f t="array" ref="M941">J941*INDEX(Berekening_impact[Totaal arbeidsbesparing (€/jaar)],MATCH(B941,IF(Berekening_impact[Doelgroep]=C941,Berekening_impact[Digitale zorgtoepassing]),0))</f>
        <v>10315069.794078162</v>
      </c>
      <c r="N941" s="397" cm="1">
        <f t="array" ref="N941">J941*INDEX(Berekening_impact[Totaal arbeidsbesparing (FTE/jaar)],MATCH(B941,IF(Berekening_impact[Doelgroep]=C941,Berekening_impact[Digitale zorgtoepassing]),0))</f>
        <v>54.374000000000002</v>
      </c>
      <c r="O941" s="398" cm="1">
        <f t="array" ref="O941">J941*INDEX(Berekening_impact[Overige kostenbesparing (totaal/jaar totaal potentieel)],MATCH(B941,IF(Berekening_impact[Doelgroep]=C941,Berekening_impact[Digitale zorgtoepassing]),0))</f>
        <v>0</v>
      </c>
      <c r="P941" s="398" cm="1">
        <f t="array" ref="P941">J941*INDEX(Berekening_impact[Opbrengsten door QALY''s],MATCH(B941,IF(Berekening_impact[Doelgroep]=C941,Berekening_impact[Digitale zorgtoepassing]),0))</f>
        <v>0</v>
      </c>
      <c r="Q941" s="398" cm="1">
        <f t="array" ref="Q941">J941*INDEX(Berekening_impact[Jaarlijkse kosten (totaal) - incl. schatting],MATCH(B941,IF(Berekening_impact[Doelgroep]=C941,Berekening_impact[Digitale zorgtoepassing]),0))</f>
        <v>8766073.398470968</v>
      </c>
      <c r="R941" s="398" cm="1">
        <f t="array" ref="R941">(uitkomst_doelgroep[[#This Row],[Implementatiegraad t = T + 1]]-uitkomst_doelgroep[[#This Row],[Implementatiegraad t = T]])*INDEX(Berekening_impact[Initiële investering (totaal) - incl. schatting],MATCH(B941,IF(Berekening_impact[Doelgroep]=C941,Berekening_impact[Digitale zorgtoepassing]),0))</f>
        <v>0</v>
      </c>
      <c r="S941" s="398">
        <f>uitkomst_doelgroep[[#This Row],[Arbeidsbesparing (€)]]*uitkomst_doelgroep[[#This Row],[Percentage van patiëntaantallen in Wlz (overige is Zvw)]]</f>
        <v>0</v>
      </c>
      <c r="T941" s="398">
        <f>uitkomst_doelgroep[[#This Row],[Overige besparingen (€)]]*uitkomst_doelgroep[[#This Row],[Percentage van patiëntaantallen in Wlz (overige is Zvw)]]</f>
        <v>0</v>
      </c>
      <c r="U941" s="398">
        <f>uitkomst_doelgroep[[#This Row],[Kosten (€)]]*uitkomst_doelgroep[[#This Row],[Percentage van patiëntaantallen in Wlz (overige is Zvw)]]</f>
        <v>0</v>
      </c>
      <c r="V941" s="398">
        <f>uitkomst_doelgroep[[#This Row],[Investering (cash flow) (€)]]*uitkomst_doelgroep[[#This Row],[Percentage van patiëntaantallen in Wlz (overige is Zvw)]]</f>
        <v>0</v>
      </c>
    </row>
    <row r="942" spans="1:22" x14ac:dyDescent="0.5">
      <c r="A942" s="33" t="str">
        <f>INDEX(Technologieën[Veld],MATCH(B942,Technologieën[Digitale zorgtoepassing],0))</f>
        <v>Software - Diagnose</v>
      </c>
      <c r="B942" s="33" t="s">
        <v>139</v>
      </c>
      <c r="C942" s="33" t="s">
        <v>106</v>
      </c>
      <c r="D942" s="427" cm="1">
        <f t="array" ref="D942">INDEX(Berekening_patiëntaantal[Percentage van patiëntaantallen in Wlz (overige is Zvw)],MATCH(B942,IF(Berekening_patiëntaantal[Doelgroep (zoeksleutel)]=C942,Berekening_patiëntaantal[Digitale zorgtoepassing]),0))</f>
        <v>0</v>
      </c>
      <c r="E942" s="33" t="str" cm="1">
        <f t="array" ref="E942">INDEX(Berekening_patiëntaantal[Direct toepasbaar/extrapolatie/incidentie voor QALY],MATCH(B942,IF(Berekening_patiëntaantal[Doelgroep (zoeksleutel)]=C942,Berekening_patiëntaantal[Digitale zorgtoepassing]),0))</f>
        <v>Huidige toepassing</v>
      </c>
      <c r="F942" s="33" t="s">
        <v>813</v>
      </c>
      <c r="G942" s="33" t="str">
        <f>CONCATENATE(uitkomst_doelgroep[[#This Row],[Digitale zorgtoepassing]],"_",uitkomst_doelgroep[[#This Row],[Doelgroep]],"_",uitkomst_doelgroep[[#This Row],[Uitgangssituatie/effect beleid]])</f>
        <v>Digitale pathologie_NVT_Uitgangssituatie</v>
      </c>
      <c r="H942" s="33">
        <v>2025</v>
      </c>
      <c r="I942" s="32">
        <v>3</v>
      </c>
      <c r="J942" s="406" cm="1">
        <f t="array" ref="J942">INDEX(implementatie[[2023]:[2034]],MATCH(G942, implementatie[Zoeksleutel],0),I942)</f>
        <v>0.92861695000000011</v>
      </c>
      <c r="K942" s="406" cm="1">
        <f t="array" ref="K942">INDEX(implementatie[[2023]:[2034]],MATCH(G942,implementatie[Zoeksleutel],0),I942 + 1)</f>
        <v>0.96023090582771387</v>
      </c>
      <c r="L94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928616.02138305013</v>
      </c>
      <c r="M942" s="398" cm="1">
        <f t="array" ref="M942">J942*INDEX(Berekening_impact[Totaal arbeidsbesparing (€/jaar)],MATCH(B942,IF(Berekening_impact[Doelgroep]=C942,Berekening_impact[Digitale zorgtoepassing]),0))</f>
        <v>10922176.34117901</v>
      </c>
      <c r="N942" s="397" cm="1">
        <f t="array" ref="N942">J942*INDEX(Berekening_impact[Totaal arbeidsbesparing (FTE/jaar)],MATCH(B942,IF(Berekening_impact[Doelgroep]=C942,Berekening_impact[Digitale zorgtoepassing]),0))</f>
        <v>57.57425090000001</v>
      </c>
      <c r="O942" s="398" cm="1">
        <f t="array" ref="O942">J942*INDEX(Berekening_impact[Overige kostenbesparing (totaal/jaar totaal potentieel)],MATCH(B942,IF(Berekening_impact[Doelgroep]=C942,Berekening_impact[Digitale zorgtoepassing]),0))</f>
        <v>0</v>
      </c>
      <c r="P942" s="398" cm="1">
        <f t="array" ref="P942">J942*INDEX(Berekening_impact[Opbrengsten door QALY''s],MATCH(B942,IF(Berekening_impact[Doelgroep]=C942,Berekening_impact[Digitale zorgtoepassing]),0))</f>
        <v>0</v>
      </c>
      <c r="Q942" s="398" cm="1">
        <f t="array" ref="Q942">J942*INDEX(Berekening_impact[Jaarlijkse kosten (totaal) - incl. schatting],MATCH(B942,IF(Berekening_impact[Doelgroep]=C942,Berekening_impact[Digitale zorgtoepassing]),0))</f>
        <v>9282011.7933457755</v>
      </c>
      <c r="R942" s="398" cm="1">
        <f t="array" ref="R942">(uitkomst_doelgroep[[#This Row],[Implementatiegraad t = T + 1]]-uitkomst_doelgroep[[#This Row],[Implementatiegraad t = T]])*INDEX(Berekening_impact[Initiële investering (totaal) - incl. schatting],MATCH(B942,IF(Berekening_impact[Doelgroep]=C942,Berekening_impact[Digitale zorgtoepassing]),0))</f>
        <v>0</v>
      </c>
      <c r="S942" s="398">
        <f>uitkomst_doelgroep[[#This Row],[Arbeidsbesparing (€)]]*uitkomst_doelgroep[[#This Row],[Percentage van patiëntaantallen in Wlz (overige is Zvw)]]</f>
        <v>0</v>
      </c>
      <c r="T942" s="398">
        <f>uitkomst_doelgroep[[#This Row],[Overige besparingen (€)]]*uitkomst_doelgroep[[#This Row],[Percentage van patiëntaantallen in Wlz (overige is Zvw)]]</f>
        <v>0</v>
      </c>
      <c r="U942" s="398">
        <f>uitkomst_doelgroep[[#This Row],[Kosten (€)]]*uitkomst_doelgroep[[#This Row],[Percentage van patiëntaantallen in Wlz (overige is Zvw)]]</f>
        <v>0</v>
      </c>
      <c r="V942" s="398">
        <f>uitkomst_doelgroep[[#This Row],[Investering (cash flow) (€)]]*uitkomst_doelgroep[[#This Row],[Percentage van patiëntaantallen in Wlz (overige is Zvw)]]</f>
        <v>0</v>
      </c>
    </row>
    <row r="943" spans="1:22" x14ac:dyDescent="0.5">
      <c r="A943" s="33" t="str">
        <f>INDEX(Technologieën[Veld],MATCH(B943,Technologieën[Digitale zorgtoepassing],0))</f>
        <v>Software - Diagnose</v>
      </c>
      <c r="B943" s="33" t="s">
        <v>139</v>
      </c>
      <c r="C943" s="33" t="s">
        <v>106</v>
      </c>
      <c r="D943" s="427" cm="1">
        <f t="array" ref="D943">INDEX(Berekening_patiëntaantal[Percentage van patiëntaantallen in Wlz (overige is Zvw)],MATCH(B943,IF(Berekening_patiëntaantal[Doelgroep (zoeksleutel)]=C943,Berekening_patiëntaantal[Digitale zorgtoepassing]),0))</f>
        <v>0</v>
      </c>
      <c r="E943" s="33" t="str" cm="1">
        <f t="array" ref="E943">INDEX(Berekening_patiëntaantal[Direct toepasbaar/extrapolatie/incidentie voor QALY],MATCH(B943,IF(Berekening_patiëntaantal[Doelgroep (zoeksleutel)]=C943,Berekening_patiëntaantal[Digitale zorgtoepassing]),0))</f>
        <v>Huidige toepassing</v>
      </c>
      <c r="F943" s="33" t="s">
        <v>813</v>
      </c>
      <c r="G943" s="33" t="str">
        <f>CONCATENATE(uitkomst_doelgroep[[#This Row],[Digitale zorgtoepassing]],"_",uitkomst_doelgroep[[#This Row],[Doelgroep]],"_",uitkomst_doelgroep[[#This Row],[Uitgangssituatie/effect beleid]])</f>
        <v>Digitale pathologie_NVT_Uitgangssituatie</v>
      </c>
      <c r="H943" s="33">
        <v>2026</v>
      </c>
      <c r="I943" s="32">
        <v>4</v>
      </c>
      <c r="J943" s="406" cm="1">
        <f t="array" ref="J943">INDEX(implementatie[[2023]:[2034]],MATCH(G943, implementatie[Zoeksleutel],0),I943)</f>
        <v>0.96023090582771387</v>
      </c>
      <c r="K943" s="406" cm="1">
        <f t="array" ref="K943">INDEX(implementatie[[2023]:[2034]],MATCH(G943,implementatie[Zoeksleutel],0),I943 + 1)</f>
        <v>0.97840951417647182</v>
      </c>
      <c r="L94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960229.94559680799</v>
      </c>
      <c r="M943" s="398" cm="1">
        <f t="array" ref="M943">J943*INDEX(Berekening_impact[Totaal arbeidsbesparing (€/jaar)],MATCH(B943,IF(Berekening_impact[Doelgroep]=C943,Berekening_impact[Digitale zorgtoepassing]),0))</f>
        <v>11294012.328442147</v>
      </c>
      <c r="N943" s="397" cm="1">
        <f t="array" ref="N943">J943*INDEX(Berekening_impact[Totaal arbeidsbesparing (FTE/jaar)],MATCH(B943,IF(Berekening_impact[Doelgroep]=C943,Berekening_impact[Digitale zorgtoepassing]),0))</f>
        <v>59.534316161318259</v>
      </c>
      <c r="O943" s="398" cm="1">
        <f t="array" ref="O943">J943*INDEX(Berekening_impact[Overige kostenbesparing (totaal/jaar totaal potentieel)],MATCH(B943,IF(Berekening_impact[Doelgroep]=C943,Berekening_impact[Digitale zorgtoepassing]),0))</f>
        <v>0</v>
      </c>
      <c r="P943" s="398" cm="1">
        <f t="array" ref="P943">J943*INDEX(Berekening_impact[Opbrengsten door QALY''s],MATCH(B943,IF(Berekening_impact[Doelgroep]=C943,Berekening_impact[Digitale zorgtoepassing]),0))</f>
        <v>0</v>
      </c>
      <c r="Q943" s="398" cm="1">
        <f t="array" ref="Q943">J943*INDEX(Berekening_impact[Jaarlijkse kosten (totaal) - incl. schatting],MATCH(B943,IF(Berekening_impact[Doelgroep]=C943,Berekening_impact[Digitale zorgtoepassing]),0))</f>
        <v>9598009.8061185889</v>
      </c>
      <c r="R943" s="398" cm="1">
        <f t="array" ref="R943">(uitkomst_doelgroep[[#This Row],[Implementatiegraad t = T + 1]]-uitkomst_doelgroep[[#This Row],[Implementatiegraad t = T]])*INDEX(Berekening_impact[Initiële investering (totaal) - incl. schatting],MATCH(B943,IF(Berekening_impact[Doelgroep]=C943,Berekening_impact[Digitale zorgtoepassing]),0))</f>
        <v>0</v>
      </c>
      <c r="S943" s="398">
        <f>uitkomst_doelgroep[[#This Row],[Arbeidsbesparing (€)]]*uitkomst_doelgroep[[#This Row],[Percentage van patiëntaantallen in Wlz (overige is Zvw)]]</f>
        <v>0</v>
      </c>
      <c r="T943" s="398">
        <f>uitkomst_doelgroep[[#This Row],[Overige besparingen (€)]]*uitkomst_doelgroep[[#This Row],[Percentage van patiëntaantallen in Wlz (overige is Zvw)]]</f>
        <v>0</v>
      </c>
      <c r="U943" s="398">
        <f>uitkomst_doelgroep[[#This Row],[Kosten (€)]]*uitkomst_doelgroep[[#This Row],[Percentage van patiëntaantallen in Wlz (overige is Zvw)]]</f>
        <v>0</v>
      </c>
      <c r="V943" s="398">
        <f>uitkomst_doelgroep[[#This Row],[Investering (cash flow) (€)]]*uitkomst_doelgroep[[#This Row],[Percentage van patiëntaantallen in Wlz (overige is Zvw)]]</f>
        <v>0</v>
      </c>
    </row>
    <row r="944" spans="1:22" x14ac:dyDescent="0.5">
      <c r="A944" s="33" t="str">
        <f>INDEX(Technologieën[Veld],MATCH(B944,Technologieën[Digitale zorgtoepassing],0))</f>
        <v>Software - Diagnose</v>
      </c>
      <c r="B944" s="33" t="s">
        <v>139</v>
      </c>
      <c r="C944" s="33" t="s">
        <v>106</v>
      </c>
      <c r="D944" s="427" cm="1">
        <f t="array" ref="D944">INDEX(Berekening_patiëntaantal[Percentage van patiëntaantallen in Wlz (overige is Zvw)],MATCH(B944,IF(Berekening_patiëntaantal[Doelgroep (zoeksleutel)]=C944,Berekening_patiëntaantal[Digitale zorgtoepassing]),0))</f>
        <v>0</v>
      </c>
      <c r="E944" s="33" t="str" cm="1">
        <f t="array" ref="E944">INDEX(Berekening_patiëntaantal[Direct toepasbaar/extrapolatie/incidentie voor QALY],MATCH(B944,IF(Berekening_patiëntaantal[Doelgroep (zoeksleutel)]=C944,Berekening_patiëntaantal[Digitale zorgtoepassing]),0))</f>
        <v>Huidige toepassing</v>
      </c>
      <c r="F944" s="33" t="s">
        <v>813</v>
      </c>
      <c r="G944" s="33" t="str">
        <f>CONCATENATE(uitkomst_doelgroep[[#This Row],[Digitale zorgtoepassing]],"_",uitkomst_doelgroep[[#This Row],[Doelgroep]],"_",uitkomst_doelgroep[[#This Row],[Uitgangssituatie/effect beleid]])</f>
        <v>Digitale pathologie_NVT_Uitgangssituatie</v>
      </c>
      <c r="H944" s="33">
        <v>2027</v>
      </c>
      <c r="I944" s="32">
        <v>5</v>
      </c>
      <c r="J944" s="406" cm="1">
        <f t="array" ref="J944">INDEX(implementatie[[2023]:[2034]],MATCH(G944, implementatie[Zoeksleutel],0),I944)</f>
        <v>0.97840951417647182</v>
      </c>
      <c r="K944" s="406" cm="1">
        <f t="array" ref="K944">INDEX(implementatie[[2023]:[2034]],MATCH(G944,implementatie[Zoeksleutel],0),I944 + 1)</f>
        <v>0.9884552278575045</v>
      </c>
      <c r="L94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978408.53576695768</v>
      </c>
      <c r="M944" s="398" cm="1">
        <f t="array" ref="M944">J944*INDEX(Berekening_impact[Totaal arbeidsbesparing (€/jaar)],MATCH(B944,IF(Berekening_impact[Doelgroep]=C944,Berekening_impact[Digitale zorgtoepassing]),0))</f>
        <v>11507824.887024418</v>
      </c>
      <c r="N944" s="397" cm="1">
        <f t="array" ref="N944">J944*INDEX(Berekening_impact[Totaal arbeidsbesparing (FTE/jaar)],MATCH(B944,IF(Berekening_impact[Doelgroep]=C944,Berekening_impact[Digitale zorgtoepassing]),0))</f>
        <v>60.66138987894125</v>
      </c>
      <c r="O944" s="398" cm="1">
        <f t="array" ref="O944">J944*INDEX(Berekening_impact[Overige kostenbesparing (totaal/jaar totaal potentieel)],MATCH(B944,IF(Berekening_impact[Doelgroep]=C944,Berekening_impact[Digitale zorgtoepassing]),0))</f>
        <v>0</v>
      </c>
      <c r="P944" s="398" cm="1">
        <f t="array" ref="P944">J944*INDEX(Berekening_impact[Opbrengsten door QALY''s],MATCH(B944,IF(Berekening_impact[Doelgroep]=C944,Berekening_impact[Digitale zorgtoepassing]),0))</f>
        <v>0</v>
      </c>
      <c r="Q944" s="398" cm="1">
        <f t="array" ref="Q944">J944*INDEX(Berekening_impact[Jaarlijkse kosten (totaal) - incl. schatting],MATCH(B944,IF(Berekening_impact[Doelgroep]=C944,Berekening_impact[Digitale zorgtoepassing]),0))</f>
        <v>9779714.4983275626</v>
      </c>
      <c r="R944" s="398" cm="1">
        <f t="array" ref="R944">(uitkomst_doelgroep[[#This Row],[Implementatiegraad t = T + 1]]-uitkomst_doelgroep[[#This Row],[Implementatiegraad t = T]])*INDEX(Berekening_impact[Initiële investering (totaal) - incl. schatting],MATCH(B944,IF(Berekening_impact[Doelgroep]=C944,Berekening_impact[Digitale zorgtoepassing]),0))</f>
        <v>0</v>
      </c>
      <c r="S944" s="398">
        <f>uitkomst_doelgroep[[#This Row],[Arbeidsbesparing (€)]]*uitkomst_doelgroep[[#This Row],[Percentage van patiëntaantallen in Wlz (overige is Zvw)]]</f>
        <v>0</v>
      </c>
      <c r="T944" s="398">
        <f>uitkomst_doelgroep[[#This Row],[Overige besparingen (€)]]*uitkomst_doelgroep[[#This Row],[Percentage van patiëntaantallen in Wlz (overige is Zvw)]]</f>
        <v>0</v>
      </c>
      <c r="U944" s="398">
        <f>uitkomst_doelgroep[[#This Row],[Kosten (€)]]*uitkomst_doelgroep[[#This Row],[Percentage van patiëntaantallen in Wlz (overige is Zvw)]]</f>
        <v>0</v>
      </c>
      <c r="V944" s="398">
        <f>uitkomst_doelgroep[[#This Row],[Investering (cash flow) (€)]]*uitkomst_doelgroep[[#This Row],[Percentage van patiëntaantallen in Wlz (overige is Zvw)]]</f>
        <v>0</v>
      </c>
    </row>
    <row r="945" spans="1:22" x14ac:dyDescent="0.5">
      <c r="A945" s="33" t="str">
        <f>INDEX(Technologieën[Veld],MATCH(B945,Technologieën[Digitale zorgtoepassing],0))</f>
        <v>Software - Diagnose</v>
      </c>
      <c r="B945" s="33" t="s">
        <v>139</v>
      </c>
      <c r="C945" s="33" t="s">
        <v>106</v>
      </c>
      <c r="D945" s="427" cm="1">
        <f t="array" ref="D945">INDEX(Berekening_patiëntaantal[Percentage van patiëntaantallen in Wlz (overige is Zvw)],MATCH(B945,IF(Berekening_patiëntaantal[Doelgroep (zoeksleutel)]=C945,Berekening_patiëntaantal[Digitale zorgtoepassing]),0))</f>
        <v>0</v>
      </c>
      <c r="E945" s="33" t="str" cm="1">
        <f t="array" ref="E945">INDEX(Berekening_patiëntaantal[Direct toepasbaar/extrapolatie/incidentie voor QALY],MATCH(B945,IF(Berekening_patiëntaantal[Doelgroep (zoeksleutel)]=C945,Berekening_patiëntaantal[Digitale zorgtoepassing]),0))</f>
        <v>Huidige toepassing</v>
      </c>
      <c r="F945" s="33" t="s">
        <v>813</v>
      </c>
      <c r="G945" s="33" t="str">
        <f>CONCATENATE(uitkomst_doelgroep[[#This Row],[Digitale zorgtoepassing]],"_",uitkomst_doelgroep[[#This Row],[Doelgroep]],"_",uitkomst_doelgroep[[#This Row],[Uitgangssituatie/effect beleid]])</f>
        <v>Digitale pathologie_NVT_Uitgangssituatie</v>
      </c>
      <c r="H945" s="33">
        <v>2028</v>
      </c>
      <c r="I945" s="32">
        <v>6</v>
      </c>
      <c r="J945" s="406" cm="1">
        <f t="array" ref="J945">INDEX(implementatie[[2023]:[2034]],MATCH(G945, implementatie[Zoeksleutel],0),I945)</f>
        <v>0.9884552278575045</v>
      </c>
      <c r="K945" s="406" cm="1">
        <f t="array" ref="K945">INDEX(implementatie[[2023]:[2034]],MATCH(G945,implementatie[Zoeksleutel],0),I945 + 1)</f>
        <v>0.99387901783146992</v>
      </c>
      <c r="L94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988454.2394022767</v>
      </c>
      <c r="M945" s="398" cm="1">
        <f t="array" ref="M945">J945*INDEX(Berekening_impact[Totaal arbeidsbesparing (€/jaar)],MATCH(B945,IF(Berekening_impact[Doelgroep]=C945,Berekening_impact[Digitale zorgtoepassing]),0))</f>
        <v>11625980.232236706</v>
      </c>
      <c r="N945" s="397" cm="1">
        <f t="array" ref="N945">J945*INDEX(Berekening_impact[Totaal arbeidsbesparing (FTE/jaar)],MATCH(B945,IF(Berekening_impact[Doelgroep]=C945,Berekening_impact[Digitale zorgtoepassing]),0))</f>
        <v>61.284224127165281</v>
      </c>
      <c r="O945" s="398" cm="1">
        <f t="array" ref="O945">J945*INDEX(Berekening_impact[Overige kostenbesparing (totaal/jaar totaal potentieel)],MATCH(B945,IF(Berekening_impact[Doelgroep]=C945,Berekening_impact[Digitale zorgtoepassing]),0))</f>
        <v>0</v>
      </c>
      <c r="P945" s="398" cm="1">
        <f t="array" ref="P945">J945*INDEX(Berekening_impact[Opbrengsten door QALY''s],MATCH(B945,IF(Berekening_impact[Doelgroep]=C945,Berekening_impact[Digitale zorgtoepassing]),0))</f>
        <v>0</v>
      </c>
      <c r="Q945" s="398" cm="1">
        <f t="array" ref="Q945">J945*INDEX(Berekening_impact[Jaarlijkse kosten (totaal) - incl. schatting],MATCH(B945,IF(Berekening_impact[Doelgroep]=C945,Berekening_impact[Digitale zorgtoepassing]),0))</f>
        <v>9880126.6573560201</v>
      </c>
      <c r="R945" s="398" cm="1">
        <f t="array" ref="R945">(uitkomst_doelgroep[[#This Row],[Implementatiegraad t = T + 1]]-uitkomst_doelgroep[[#This Row],[Implementatiegraad t = T]])*INDEX(Berekening_impact[Initiële investering (totaal) - incl. schatting],MATCH(B945,IF(Berekening_impact[Doelgroep]=C945,Berekening_impact[Digitale zorgtoepassing]),0))</f>
        <v>0</v>
      </c>
      <c r="S945" s="398">
        <f>uitkomst_doelgroep[[#This Row],[Arbeidsbesparing (€)]]*uitkomst_doelgroep[[#This Row],[Percentage van patiëntaantallen in Wlz (overige is Zvw)]]</f>
        <v>0</v>
      </c>
      <c r="T945" s="398">
        <f>uitkomst_doelgroep[[#This Row],[Overige besparingen (€)]]*uitkomst_doelgroep[[#This Row],[Percentage van patiëntaantallen in Wlz (overige is Zvw)]]</f>
        <v>0</v>
      </c>
      <c r="U945" s="398">
        <f>uitkomst_doelgroep[[#This Row],[Kosten (€)]]*uitkomst_doelgroep[[#This Row],[Percentage van patiëntaantallen in Wlz (overige is Zvw)]]</f>
        <v>0</v>
      </c>
      <c r="V945" s="398">
        <f>uitkomst_doelgroep[[#This Row],[Investering (cash flow) (€)]]*uitkomst_doelgroep[[#This Row],[Percentage van patiëntaantallen in Wlz (overige is Zvw)]]</f>
        <v>0</v>
      </c>
    </row>
    <row r="946" spans="1:22" x14ac:dyDescent="0.5">
      <c r="A946" s="33" t="str">
        <f>INDEX(Technologieën[Veld],MATCH(B946,Technologieën[Digitale zorgtoepassing],0))</f>
        <v>Software - Diagnose</v>
      </c>
      <c r="B946" s="33" t="s">
        <v>139</v>
      </c>
      <c r="C946" s="33" t="s">
        <v>106</v>
      </c>
      <c r="D946" s="427" cm="1">
        <f t="array" ref="D946">INDEX(Berekening_patiëntaantal[Percentage van patiëntaantallen in Wlz (overige is Zvw)],MATCH(B946,IF(Berekening_patiëntaantal[Doelgroep (zoeksleutel)]=C946,Berekening_patiëntaantal[Digitale zorgtoepassing]),0))</f>
        <v>0</v>
      </c>
      <c r="E946" s="33" t="str" cm="1">
        <f t="array" ref="E946">INDEX(Berekening_patiëntaantal[Direct toepasbaar/extrapolatie/incidentie voor QALY],MATCH(B946,IF(Berekening_patiëntaantal[Doelgroep (zoeksleutel)]=C946,Berekening_patiëntaantal[Digitale zorgtoepassing]),0))</f>
        <v>Huidige toepassing</v>
      </c>
      <c r="F946" s="33" t="s">
        <v>813</v>
      </c>
      <c r="G946" s="33" t="str">
        <f>CONCATENATE(uitkomst_doelgroep[[#This Row],[Digitale zorgtoepassing]],"_",uitkomst_doelgroep[[#This Row],[Doelgroep]],"_",uitkomst_doelgroep[[#This Row],[Uitgangssituatie/effect beleid]])</f>
        <v>Digitale pathologie_NVT_Uitgangssituatie</v>
      </c>
      <c r="H946" s="33">
        <v>2029</v>
      </c>
      <c r="I946" s="32">
        <v>7</v>
      </c>
      <c r="J946" s="406" cm="1">
        <f t="array" ref="J946">INDEX(implementatie[[2023]:[2034]],MATCH(G946, implementatie[Zoeksleutel],0),I946)</f>
        <v>0.99387901783146992</v>
      </c>
      <c r="K946" s="406" cm="1">
        <f t="array" ref="K946">INDEX(implementatie[[2023]:[2034]],MATCH(G946,implementatie[Zoeksleutel],0),I946 + 1)</f>
        <v>0.99676962447130335</v>
      </c>
      <c r="L94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993878.02395245212</v>
      </c>
      <c r="M946" s="398" cm="1">
        <f t="array" ref="M946">J946*INDEX(Berekening_impact[Totaal arbeidsbesparing (€/jaar)],MATCH(B946,IF(Berekening_impact[Doelgroep]=C946,Berekening_impact[Digitale zorgtoepassing]),0))</f>
        <v>11689773.587002812</v>
      </c>
      <c r="N946" s="397" cm="1">
        <f t="array" ref="N946">J946*INDEX(Berekening_impact[Totaal arbeidsbesparing (FTE/jaar)],MATCH(B946,IF(Berekening_impact[Doelgroep]=C946,Berekening_impact[Digitale zorgtoepassing]),0))</f>
        <v>61.620499105551133</v>
      </c>
      <c r="O946" s="398" cm="1">
        <f t="array" ref="O946">J946*INDEX(Berekening_impact[Overige kostenbesparing (totaal/jaar totaal potentieel)],MATCH(B946,IF(Berekening_impact[Doelgroep]=C946,Berekening_impact[Digitale zorgtoepassing]),0))</f>
        <v>0</v>
      </c>
      <c r="P946" s="398" cm="1">
        <f t="array" ref="P946">J946*INDEX(Berekening_impact[Opbrengsten door QALY''s],MATCH(B946,IF(Berekening_impact[Doelgroep]=C946,Berekening_impact[Digitale zorgtoepassing]),0))</f>
        <v>0</v>
      </c>
      <c r="Q946" s="398" cm="1">
        <f t="array" ref="Q946">J946*INDEX(Berekening_impact[Jaarlijkse kosten (totaal) - incl. schatting],MATCH(B946,IF(Berekening_impact[Doelgroep]=C946,Berekening_impact[Digitale zorgtoepassing]),0))</f>
        <v>9934340.2731025089</v>
      </c>
      <c r="R946" s="398" cm="1">
        <f t="array" ref="R946">(uitkomst_doelgroep[[#This Row],[Implementatiegraad t = T + 1]]-uitkomst_doelgroep[[#This Row],[Implementatiegraad t = T]])*INDEX(Berekening_impact[Initiële investering (totaal) - incl. schatting],MATCH(B946,IF(Berekening_impact[Doelgroep]=C946,Berekening_impact[Digitale zorgtoepassing]),0))</f>
        <v>0</v>
      </c>
      <c r="S946" s="398">
        <f>uitkomst_doelgroep[[#This Row],[Arbeidsbesparing (€)]]*uitkomst_doelgroep[[#This Row],[Percentage van patiëntaantallen in Wlz (overige is Zvw)]]</f>
        <v>0</v>
      </c>
      <c r="T946" s="398">
        <f>uitkomst_doelgroep[[#This Row],[Overige besparingen (€)]]*uitkomst_doelgroep[[#This Row],[Percentage van patiëntaantallen in Wlz (overige is Zvw)]]</f>
        <v>0</v>
      </c>
      <c r="U946" s="398">
        <f>uitkomst_doelgroep[[#This Row],[Kosten (€)]]*uitkomst_doelgroep[[#This Row],[Percentage van patiëntaantallen in Wlz (overige is Zvw)]]</f>
        <v>0</v>
      </c>
      <c r="V946" s="398">
        <f>uitkomst_doelgroep[[#This Row],[Investering (cash flow) (€)]]*uitkomst_doelgroep[[#This Row],[Percentage van patiëntaantallen in Wlz (overige is Zvw)]]</f>
        <v>0</v>
      </c>
    </row>
    <row r="947" spans="1:22" x14ac:dyDescent="0.5">
      <c r="A947" s="33" t="str">
        <f>INDEX(Technologieën[Veld],MATCH(B947,Technologieën[Digitale zorgtoepassing],0))</f>
        <v>Software - Diagnose</v>
      </c>
      <c r="B947" s="33" t="s">
        <v>139</v>
      </c>
      <c r="C947" s="33" t="s">
        <v>106</v>
      </c>
      <c r="D947" s="427" cm="1">
        <f t="array" ref="D947">INDEX(Berekening_patiëntaantal[Percentage van patiëntaantallen in Wlz (overige is Zvw)],MATCH(B947,IF(Berekening_patiëntaantal[Doelgroep (zoeksleutel)]=C947,Berekening_patiëntaantal[Digitale zorgtoepassing]),0))</f>
        <v>0</v>
      </c>
      <c r="E947" s="33" t="str" cm="1">
        <f t="array" ref="E947">INDEX(Berekening_patiëntaantal[Direct toepasbaar/extrapolatie/incidentie voor QALY],MATCH(B947,IF(Berekening_patiëntaantal[Doelgroep (zoeksleutel)]=C947,Berekening_patiëntaantal[Digitale zorgtoepassing]),0))</f>
        <v>Huidige toepassing</v>
      </c>
      <c r="F947" s="33" t="s">
        <v>813</v>
      </c>
      <c r="G947" s="33" t="str">
        <f>CONCATENATE(uitkomst_doelgroep[[#This Row],[Digitale zorgtoepassing]],"_",uitkomst_doelgroep[[#This Row],[Doelgroep]],"_",uitkomst_doelgroep[[#This Row],[Uitgangssituatie/effect beleid]])</f>
        <v>Digitale pathologie_NVT_Uitgangssituatie</v>
      </c>
      <c r="H947" s="33">
        <v>2030</v>
      </c>
      <c r="I947" s="32">
        <v>8</v>
      </c>
      <c r="J947" s="406" cm="1">
        <f t="array" ref="J947">INDEX(implementatie[[2023]:[2034]],MATCH(G947, implementatie[Zoeksleutel],0),I947)</f>
        <v>0.99676962447130335</v>
      </c>
      <c r="K947" s="406" cm="1">
        <f t="array" ref="K947">INDEX(implementatie[[2023]:[2034]],MATCH(G947,implementatie[Zoeksleutel],0),I947 + 1)</f>
        <v>0.99829935695070882</v>
      </c>
      <c r="L94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996768.6277016789</v>
      </c>
      <c r="M947" s="398" cm="1">
        <f t="array" ref="M947">J947*INDEX(Berekening_impact[Totaal arbeidsbesparing (€/jaar)],MATCH(B947,IF(Berekening_impact[Doelgroep]=C947,Berekening_impact[Digitale zorgtoepassing]),0))</f>
        <v>11723772.229234407</v>
      </c>
      <c r="N947" s="397" cm="1">
        <f t="array" ref="N947">J947*INDEX(Berekening_impact[Totaal arbeidsbesparing (FTE/jaar)],MATCH(B947,IF(Berekening_impact[Doelgroep]=C947,Berekening_impact[Digitale zorgtoepassing]),0))</f>
        <v>61.799716717220811</v>
      </c>
      <c r="O947" s="398" cm="1">
        <f t="array" ref="O947">J947*INDEX(Berekening_impact[Overige kostenbesparing (totaal/jaar totaal potentieel)],MATCH(B947,IF(Berekening_impact[Doelgroep]=C947,Berekening_impact[Digitale zorgtoepassing]),0))</f>
        <v>0</v>
      </c>
      <c r="P947" s="398" cm="1">
        <f t="array" ref="P947">J947*INDEX(Berekening_impact[Opbrengsten door QALY''s],MATCH(B947,IF(Berekening_impact[Doelgroep]=C947,Berekening_impact[Digitale zorgtoepassing]),0))</f>
        <v>0</v>
      </c>
      <c r="Q947" s="398" cm="1">
        <f t="array" ref="Q947">J947*INDEX(Berekening_impact[Jaarlijkse kosten (totaal) - incl. schatting],MATCH(B947,IF(Berekening_impact[Doelgroep]=C947,Berekening_impact[Digitale zorgtoepassing]),0))</f>
        <v>9963233.3973566573</v>
      </c>
      <c r="R947" s="398" cm="1">
        <f t="array" ref="R947">(uitkomst_doelgroep[[#This Row],[Implementatiegraad t = T + 1]]-uitkomst_doelgroep[[#This Row],[Implementatiegraad t = T]])*INDEX(Berekening_impact[Initiële investering (totaal) - incl. schatting],MATCH(B947,IF(Berekening_impact[Doelgroep]=C947,Berekening_impact[Digitale zorgtoepassing]),0))</f>
        <v>0</v>
      </c>
      <c r="S947" s="398">
        <f>uitkomst_doelgroep[[#This Row],[Arbeidsbesparing (€)]]*uitkomst_doelgroep[[#This Row],[Percentage van patiëntaantallen in Wlz (overige is Zvw)]]</f>
        <v>0</v>
      </c>
      <c r="T947" s="398">
        <f>uitkomst_doelgroep[[#This Row],[Overige besparingen (€)]]*uitkomst_doelgroep[[#This Row],[Percentage van patiëntaantallen in Wlz (overige is Zvw)]]</f>
        <v>0</v>
      </c>
      <c r="U947" s="398">
        <f>uitkomst_doelgroep[[#This Row],[Kosten (€)]]*uitkomst_doelgroep[[#This Row],[Percentage van patiëntaantallen in Wlz (overige is Zvw)]]</f>
        <v>0</v>
      </c>
      <c r="V947" s="398">
        <f>uitkomst_doelgroep[[#This Row],[Investering (cash flow) (€)]]*uitkomst_doelgroep[[#This Row],[Percentage van patiëntaantallen in Wlz (overige is Zvw)]]</f>
        <v>0</v>
      </c>
    </row>
    <row r="948" spans="1:22" ht="17.5" thickBot="1" x14ac:dyDescent="0.55000000000000004">
      <c r="A948" s="33" t="str">
        <f>INDEX(Technologieën[Veld],MATCH(B948,Technologieën[Digitale zorgtoepassing],0))</f>
        <v>Software - Diagnose</v>
      </c>
      <c r="B948" s="40" t="s">
        <v>139</v>
      </c>
      <c r="C948" s="40" t="s">
        <v>106</v>
      </c>
      <c r="D948" s="427" cm="1">
        <f t="array" ref="D948">INDEX(Berekening_patiëntaantal[Percentage van patiëntaantallen in Wlz (overige is Zvw)],MATCH(B948,IF(Berekening_patiëntaantal[Doelgroep (zoeksleutel)]=C948,Berekening_patiëntaantal[Digitale zorgtoepassing]),0))</f>
        <v>0</v>
      </c>
      <c r="E948" s="33" t="str" cm="1">
        <f t="array" ref="E948">INDEX(Berekening_patiëntaantal[Direct toepasbaar/extrapolatie/incidentie voor QALY],MATCH(B948,IF(Berekening_patiëntaantal[Doelgroep (zoeksleutel)]=C948,Berekening_patiëntaantal[Digitale zorgtoepassing]),0))</f>
        <v>Huidige toepassing</v>
      </c>
      <c r="F948" s="33" t="s">
        <v>813</v>
      </c>
      <c r="G948" s="33" t="str">
        <f>CONCATENATE(uitkomst_doelgroep[[#This Row],[Digitale zorgtoepassing]],"_",uitkomst_doelgroep[[#This Row],[Doelgroep]],"_",uitkomst_doelgroep[[#This Row],[Uitgangssituatie/effect beleid]])</f>
        <v>Digitale pathologie_NVT_Uitgangssituatie</v>
      </c>
      <c r="H948" s="33">
        <v>2031</v>
      </c>
      <c r="I948" s="32">
        <v>9</v>
      </c>
      <c r="J948" s="406" cm="1">
        <f t="array" ref="J948">INDEX(implementatie[[2023]:[2034]],MATCH(G948, implementatie[Zoeksleutel],0),I948)</f>
        <v>0.99829935695070882</v>
      </c>
      <c r="K948" s="406" cm="1">
        <f t="array" ref="K948">INDEX(implementatie[[2023]:[2034]],MATCH(G948,implementatie[Zoeksleutel],0),I948 + 1)</f>
        <v>0.9991058609150707</v>
      </c>
      <c r="L94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998298.35865135188</v>
      </c>
      <c r="M948" s="398" cm="1">
        <f t="array" ref="M948">J948*INDEX(Berekening_impact[Totaal arbeidsbesparing (€/jaar)],MATCH(B948,IF(Berekening_impact[Doelgroep]=C948,Berekening_impact[Digitale zorgtoepassing]),0))</f>
        <v>11741764.586465118</v>
      </c>
      <c r="N948" s="397" cm="1">
        <f t="array" ref="N948">J948*INDEX(Berekening_impact[Totaal arbeidsbesparing (FTE/jaar)],MATCH(B948,IF(Berekening_impact[Doelgroep]=C948,Berekening_impact[Digitale zorgtoepassing]),0))</f>
        <v>61.894560130943944</v>
      </c>
      <c r="O948" s="398" cm="1">
        <f t="array" ref="O948">J948*INDEX(Berekening_impact[Overige kostenbesparing (totaal/jaar totaal potentieel)],MATCH(B948,IF(Berekening_impact[Doelgroep]=C948,Berekening_impact[Digitale zorgtoepassing]),0))</f>
        <v>0</v>
      </c>
      <c r="P948" s="398" cm="1">
        <f t="array" ref="P948">J948*INDEX(Berekening_impact[Opbrengsten door QALY''s],MATCH(B948,IF(Berekening_impact[Doelgroep]=C948,Berekening_impact[Digitale zorgtoepassing]),0))</f>
        <v>0</v>
      </c>
      <c r="Q948" s="398" cm="1">
        <f t="array" ref="Q948">J948*INDEX(Berekening_impact[Jaarlijkse kosten (totaal) - incl. schatting],MATCH(B948,IF(Berekening_impact[Doelgroep]=C948,Berekening_impact[Digitale zorgtoepassing]),0))</f>
        <v>9978523.8730630353</v>
      </c>
      <c r="R948" s="398" cm="1">
        <f t="array" ref="R948">(uitkomst_doelgroep[[#This Row],[Implementatiegraad t = T + 1]]-uitkomst_doelgroep[[#This Row],[Implementatiegraad t = T]])*INDEX(Berekening_impact[Initiële investering (totaal) - incl. schatting],MATCH(B948,IF(Berekening_impact[Doelgroep]=C948,Berekening_impact[Digitale zorgtoepassing]),0))</f>
        <v>0</v>
      </c>
      <c r="S948" s="398">
        <f>uitkomst_doelgroep[[#This Row],[Arbeidsbesparing (€)]]*uitkomst_doelgroep[[#This Row],[Percentage van patiëntaantallen in Wlz (overige is Zvw)]]</f>
        <v>0</v>
      </c>
      <c r="T948" s="398">
        <f>uitkomst_doelgroep[[#This Row],[Overige besparingen (€)]]*uitkomst_doelgroep[[#This Row],[Percentage van patiëntaantallen in Wlz (overige is Zvw)]]</f>
        <v>0</v>
      </c>
      <c r="U948" s="398">
        <f>uitkomst_doelgroep[[#This Row],[Kosten (€)]]*uitkomst_doelgroep[[#This Row],[Percentage van patiëntaantallen in Wlz (overige is Zvw)]]</f>
        <v>0</v>
      </c>
      <c r="V948" s="398">
        <f>uitkomst_doelgroep[[#This Row],[Investering (cash flow) (€)]]*uitkomst_doelgroep[[#This Row],[Percentage van patiëntaantallen in Wlz (overige is Zvw)]]</f>
        <v>0</v>
      </c>
    </row>
    <row r="949" spans="1:22" x14ac:dyDescent="0.5">
      <c r="A949" s="33" t="str">
        <f>INDEX(Technologieën[Veld],MATCH(B949,Technologieën[Digitale zorgtoepassing],0))</f>
        <v>Software - Diagnose</v>
      </c>
      <c r="B949" s="33" t="s">
        <v>139</v>
      </c>
      <c r="C949" s="33" t="s">
        <v>106</v>
      </c>
      <c r="D949" s="427" cm="1">
        <f t="array" ref="D949">INDEX(Berekening_patiëntaantal[Percentage van patiëntaantallen in Wlz (overige is Zvw)],MATCH(B949,IF(Berekening_patiëntaantal[Doelgroep (zoeksleutel)]=C949,Berekening_patiëntaantal[Digitale zorgtoepassing]),0))</f>
        <v>0</v>
      </c>
      <c r="E949" s="33" t="str" cm="1">
        <f t="array" ref="E949">INDEX(Berekening_patiëntaantal[Direct toepasbaar/extrapolatie/incidentie voor QALY],MATCH(B949,IF(Berekening_patiëntaantal[Doelgroep (zoeksleutel)]=C949,Berekening_patiëntaantal[Digitale zorgtoepassing]),0))</f>
        <v>Huidige toepassing</v>
      </c>
      <c r="F949" s="33" t="s">
        <v>813</v>
      </c>
      <c r="G949" s="33" t="str">
        <f>CONCATENATE(uitkomst_doelgroep[[#This Row],[Digitale zorgtoepassing]],"_",uitkomst_doelgroep[[#This Row],[Doelgroep]],"_",uitkomst_doelgroep[[#This Row],[Uitgangssituatie/effect beleid]])</f>
        <v>Digitale pathologie_NVT_Uitgangssituatie</v>
      </c>
      <c r="H949" s="33">
        <v>2032</v>
      </c>
      <c r="I949" s="32">
        <v>10</v>
      </c>
      <c r="J949" s="406" cm="1">
        <f t="array" ref="J949">INDEX(implementatie[[2023]:[2034]],MATCH(G949, implementatie[Zoeksleutel],0),I949)</f>
        <v>0.9991058609150707</v>
      </c>
      <c r="K949" s="406" cm="1">
        <f t="array" ref="K949">INDEX(implementatie[[2023]:[2034]],MATCH(G949,implementatie[Zoeksleutel],0),I949 + 1)</f>
        <v>0.99953021721229562</v>
      </c>
      <c r="L94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999104.8618092098</v>
      </c>
      <c r="M949" s="398" cm="1">
        <f t="array" ref="M949">J949*INDEX(Berekening_impact[Totaal arbeidsbesparing (€/jaar)],MATCH(B949,IF(Berekening_impact[Doelgroep]=C949,Berekening_impact[Digitale zorgtoepassing]),0))</f>
        <v>11751250.498302741</v>
      </c>
      <c r="N949" s="397" cm="1">
        <f t="array" ref="N949">J949*INDEX(Berekening_impact[Totaal arbeidsbesparing (FTE/jaar)],MATCH(B949,IF(Berekening_impact[Doelgroep]=C949,Berekening_impact[Digitale zorgtoepassing]),0))</f>
        <v>61.944563376734386</v>
      </c>
      <c r="O949" s="398" cm="1">
        <f t="array" ref="O949">J949*INDEX(Berekening_impact[Overige kostenbesparing (totaal/jaar totaal potentieel)],MATCH(B949,IF(Berekening_impact[Doelgroep]=C949,Berekening_impact[Digitale zorgtoepassing]),0))</f>
        <v>0</v>
      </c>
      <c r="P949" s="398" cm="1">
        <f t="array" ref="P949">J949*INDEX(Berekening_impact[Opbrengsten door QALY''s],MATCH(B949,IF(Berekening_impact[Doelgroep]=C949,Berekening_impact[Digitale zorgtoepassing]),0))</f>
        <v>0</v>
      </c>
      <c r="Q949" s="398" cm="1">
        <f t="array" ref="Q949">J949*INDEX(Berekening_impact[Jaarlijkse kosten (totaal) - incl. schatting],MATCH(B949,IF(Berekening_impact[Doelgroep]=C949,Berekening_impact[Digitale zorgtoepassing]),0))</f>
        <v>9986585.3017377835</v>
      </c>
      <c r="R949" s="398" cm="1">
        <f t="array" ref="R949">(uitkomst_doelgroep[[#This Row],[Implementatiegraad t = T + 1]]-uitkomst_doelgroep[[#This Row],[Implementatiegraad t = T]])*INDEX(Berekening_impact[Initiële investering (totaal) - incl. schatting],MATCH(B949,IF(Berekening_impact[Doelgroep]=C949,Berekening_impact[Digitale zorgtoepassing]),0))</f>
        <v>0</v>
      </c>
      <c r="S949" s="398">
        <f>uitkomst_doelgroep[[#This Row],[Arbeidsbesparing (€)]]*uitkomst_doelgroep[[#This Row],[Percentage van patiëntaantallen in Wlz (overige is Zvw)]]</f>
        <v>0</v>
      </c>
      <c r="T949" s="398">
        <f>uitkomst_doelgroep[[#This Row],[Overige besparingen (€)]]*uitkomst_doelgroep[[#This Row],[Percentage van patiëntaantallen in Wlz (overige is Zvw)]]</f>
        <v>0</v>
      </c>
      <c r="U949" s="398">
        <f>uitkomst_doelgroep[[#This Row],[Kosten (€)]]*uitkomst_doelgroep[[#This Row],[Percentage van patiëntaantallen in Wlz (overige is Zvw)]]</f>
        <v>0</v>
      </c>
      <c r="V949" s="398">
        <f>uitkomst_doelgroep[[#This Row],[Investering (cash flow) (€)]]*uitkomst_doelgroep[[#This Row],[Percentage van patiëntaantallen in Wlz (overige is Zvw)]]</f>
        <v>0</v>
      </c>
    </row>
    <row r="950" spans="1:22" x14ac:dyDescent="0.5">
      <c r="A950" s="33" t="str">
        <f>INDEX(Technologieën[Veld],MATCH(B950,Technologieën[Digitale zorgtoepassing],0))</f>
        <v>Software - Diagnose</v>
      </c>
      <c r="B950" s="33" t="s">
        <v>139</v>
      </c>
      <c r="C950" s="33" t="s">
        <v>106</v>
      </c>
      <c r="D950" s="427" cm="1">
        <f t="array" ref="D950">INDEX(Berekening_patiëntaantal[Percentage van patiëntaantallen in Wlz (overige is Zvw)],MATCH(B950,IF(Berekening_patiëntaantal[Doelgroep (zoeksleutel)]=C950,Berekening_patiëntaantal[Digitale zorgtoepassing]),0))</f>
        <v>0</v>
      </c>
      <c r="E950" s="33" t="str" cm="1">
        <f t="array" ref="E950">INDEX(Berekening_patiëntaantal[Direct toepasbaar/extrapolatie/incidentie voor QALY],MATCH(B950,IF(Berekening_patiëntaantal[Doelgroep (zoeksleutel)]=C950,Berekening_patiëntaantal[Digitale zorgtoepassing]),0))</f>
        <v>Huidige toepassing</v>
      </c>
      <c r="F950" s="33" t="s">
        <v>813</v>
      </c>
      <c r="G950" s="33" t="str">
        <f>CONCATENATE(uitkomst_doelgroep[[#This Row],[Digitale zorgtoepassing]],"_",uitkomst_doelgroep[[#This Row],[Doelgroep]],"_",uitkomst_doelgroep[[#This Row],[Uitgangssituatie/effect beleid]])</f>
        <v>Digitale pathologie_NVT_Uitgangssituatie</v>
      </c>
      <c r="H950" s="33">
        <v>2033</v>
      </c>
      <c r="I950" s="32">
        <v>11</v>
      </c>
      <c r="J950" s="406" cm="1">
        <f t="array" ref="J950">INDEX(implementatie[[2023]:[2034]],MATCH(G950, implementatie[Zoeksleutel],0),I950)</f>
        <v>0.99953021721229562</v>
      </c>
      <c r="K950" s="406" cm="1">
        <f t="array" ref="K950">INDEX(implementatie[[2023]:[2034]],MATCH(G950,implementatie[Zoeksleutel],0),I950 + 1)</f>
        <v>0.99975326472331483</v>
      </c>
      <c r="L95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999529.21768207836</v>
      </c>
      <c r="M950" s="398" cm="1">
        <f t="array" ref="M950">J950*INDEX(Berekening_impact[Totaal arbeidsbesparing (€/jaar)],MATCH(B950,IF(Berekening_impact[Doelgroep]=C950,Berekening_impact[Digitale zorgtoepassing]),0))</f>
        <v>11756241.678261044</v>
      </c>
      <c r="N950" s="397" cm="1">
        <f t="array" ref="N950">J950*INDEX(Berekening_impact[Totaal arbeidsbesparing (FTE/jaar)],MATCH(B950,IF(Berekening_impact[Doelgroep]=C950,Berekening_impact[Digitale zorgtoepassing]),0))</f>
        <v>61.970873467162328</v>
      </c>
      <c r="O950" s="398" cm="1">
        <f t="array" ref="O950">J950*INDEX(Berekening_impact[Overige kostenbesparing (totaal/jaar totaal potentieel)],MATCH(B950,IF(Berekening_impact[Doelgroep]=C950,Berekening_impact[Digitale zorgtoepassing]),0))</f>
        <v>0</v>
      </c>
      <c r="P950" s="398" cm="1">
        <f t="array" ref="P950">J950*INDEX(Berekening_impact[Opbrengsten door QALY''s],MATCH(B950,IF(Berekening_impact[Doelgroep]=C950,Berekening_impact[Digitale zorgtoepassing]),0))</f>
        <v>0</v>
      </c>
      <c r="Q950" s="398" cm="1">
        <f t="array" ref="Q950">J950*INDEX(Berekening_impact[Jaarlijkse kosten (totaal) - incl. schatting],MATCH(B950,IF(Berekening_impact[Doelgroep]=C950,Berekening_impact[Digitale zorgtoepassing]),0))</f>
        <v>9990826.96473502</v>
      </c>
      <c r="R950" s="398" cm="1">
        <f t="array" ref="R950">(uitkomst_doelgroep[[#This Row],[Implementatiegraad t = T + 1]]-uitkomst_doelgroep[[#This Row],[Implementatiegraad t = T]])*INDEX(Berekening_impact[Initiële investering (totaal) - incl. schatting],MATCH(B950,IF(Berekening_impact[Doelgroep]=C950,Berekening_impact[Digitale zorgtoepassing]),0))</f>
        <v>0</v>
      </c>
      <c r="S950" s="398">
        <f>uitkomst_doelgroep[[#This Row],[Arbeidsbesparing (€)]]*uitkomst_doelgroep[[#This Row],[Percentage van patiëntaantallen in Wlz (overige is Zvw)]]</f>
        <v>0</v>
      </c>
      <c r="T950" s="398">
        <f>uitkomst_doelgroep[[#This Row],[Overige besparingen (€)]]*uitkomst_doelgroep[[#This Row],[Percentage van patiëntaantallen in Wlz (overige is Zvw)]]</f>
        <v>0</v>
      </c>
      <c r="U950" s="398">
        <f>uitkomst_doelgroep[[#This Row],[Kosten (€)]]*uitkomst_doelgroep[[#This Row],[Percentage van patiëntaantallen in Wlz (overige is Zvw)]]</f>
        <v>0</v>
      </c>
      <c r="V950" s="398">
        <f>uitkomst_doelgroep[[#This Row],[Investering (cash flow) (€)]]*uitkomst_doelgroep[[#This Row],[Percentage van patiëntaantallen in Wlz (overige is Zvw)]]</f>
        <v>0</v>
      </c>
    </row>
    <row r="951" spans="1:22" x14ac:dyDescent="0.5">
      <c r="A951" s="33" t="str">
        <f>INDEX(Technologieën[Veld],MATCH(B951,Technologieën[Digitale zorgtoepassing],0))</f>
        <v>Software - Diagnose</v>
      </c>
      <c r="B951" s="33" t="s">
        <v>725</v>
      </c>
      <c r="C951" s="33" t="s">
        <v>99</v>
      </c>
      <c r="D951" s="427" cm="1">
        <f t="array" ref="D951">INDEX(Berekening_patiëntaantal[Percentage van patiëntaantallen in Wlz (overige is Zvw)],MATCH(B951,IF(Berekening_patiëntaantal[Doelgroep (zoeksleutel)]=C951,Berekening_patiëntaantal[Digitale zorgtoepassing]),0))</f>
        <v>0</v>
      </c>
      <c r="E951" s="33" t="str" cm="1">
        <f t="array" ref="E951">INDEX(Berekening_patiëntaantal[Direct toepasbaar/extrapolatie/incidentie voor QALY],MATCH(B951,IF(Berekening_patiëntaantal[Doelgroep (zoeksleutel)]=C951,Berekening_patiëntaantal[Digitale zorgtoepassing]),0))</f>
        <v>Huidige toepassing</v>
      </c>
      <c r="F951" s="33" t="s">
        <v>813</v>
      </c>
      <c r="G951" s="33" t="str">
        <f>CONCATENATE(uitkomst_doelgroep[[#This Row],[Digitale zorgtoepassing]],"_",uitkomst_doelgroep[[#This Row],[Doelgroep]],"_",uitkomst_doelgroep[[#This Row],[Uitgangssituatie/effect beleid]])</f>
        <v>Inzicht assistent digitale zelftriage dagpraktijk_Huisartscontacten__Uitgangssituatie</v>
      </c>
      <c r="H951" s="33">
        <v>2023</v>
      </c>
      <c r="I951" s="32">
        <v>1</v>
      </c>
      <c r="J951" s="406" cm="1">
        <f t="array" ref="J951">INDEX(implementatie[[2023]:[2034]],MATCH(G951, implementatie[Zoeksleutel],0),I951)</f>
        <v>0.2</v>
      </c>
      <c r="K951" s="406" cm="1">
        <f t="array" ref="K951">INDEX(implementatie[[2023]:[2034]],MATCH(G951,implementatie[Zoeksleutel],0),I951 + 1)</f>
        <v>0.26800000000000002</v>
      </c>
      <c r="L95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395421</v>
      </c>
      <c r="M951" s="398" cm="1">
        <f t="array" ref="M951">J951*INDEX(Berekening_impact[Totaal arbeidsbesparing (€/jaar)],MATCH(B951,IF(Berekening_impact[Doelgroep]=C951,Berekening_impact[Digitale zorgtoepassing]),0))</f>
        <v>183103.80354985641</v>
      </c>
      <c r="N951" s="397" cm="1">
        <f t="array" ref="N951">J951*INDEX(Berekening_impact[Totaal arbeidsbesparing (FTE/jaar)],MATCH(B951,IF(Berekening_impact[Doelgroep]=C951,Berekening_impact[Digitale zorgtoepassing]),0))</f>
        <v>4.2140218750000011</v>
      </c>
      <c r="O951" s="398" cm="1">
        <f t="array" ref="O951">J951*INDEX(Berekening_impact[Overige kostenbesparing (totaal/jaar totaal potentieel)],MATCH(B951,IF(Berekening_impact[Doelgroep]=C951,Berekening_impact[Digitale zorgtoepassing]),0))</f>
        <v>0</v>
      </c>
      <c r="P951" s="398" cm="1">
        <f t="array" ref="P951">J951*INDEX(Berekening_impact[Opbrengsten door QALY''s],MATCH(B951,IF(Berekening_impact[Doelgroep]=C951,Berekening_impact[Digitale zorgtoepassing]),0))</f>
        <v>0</v>
      </c>
      <c r="Q951" s="398" cm="1">
        <f t="array" ref="Q951">J951*INDEX(Berekening_impact[Jaarlijkse kosten (totaal) - incl. schatting],MATCH(B951,IF(Berekening_impact[Doelgroep]=C951,Berekening_impact[Digitale zorgtoepassing]),0))</f>
        <v>102868.79795500002</v>
      </c>
      <c r="R951" s="398" cm="1">
        <f t="array" ref="R951">(uitkomst_doelgroep[[#This Row],[Implementatiegraad t = T + 1]]-uitkomst_doelgroep[[#This Row],[Implementatiegraad t = T]])*INDEX(Berekening_impact[Initiële investering (totaal) - incl. schatting],MATCH(B951,IF(Berekening_impact[Doelgroep]=C951,Berekening_impact[Digitale zorgtoepassing]),0))</f>
        <v>13999.763125708576</v>
      </c>
      <c r="S951" s="398">
        <f>uitkomst_doelgroep[[#This Row],[Arbeidsbesparing (€)]]*uitkomst_doelgroep[[#This Row],[Percentage van patiëntaantallen in Wlz (overige is Zvw)]]</f>
        <v>0</v>
      </c>
      <c r="T951" s="398">
        <f>uitkomst_doelgroep[[#This Row],[Overige besparingen (€)]]*uitkomst_doelgroep[[#This Row],[Percentage van patiëntaantallen in Wlz (overige is Zvw)]]</f>
        <v>0</v>
      </c>
      <c r="U951" s="398">
        <f>uitkomst_doelgroep[[#This Row],[Kosten (€)]]*uitkomst_doelgroep[[#This Row],[Percentage van patiëntaantallen in Wlz (overige is Zvw)]]</f>
        <v>0</v>
      </c>
      <c r="V951" s="398">
        <f>uitkomst_doelgroep[[#This Row],[Investering (cash flow) (€)]]*uitkomst_doelgroep[[#This Row],[Percentage van patiëntaantallen in Wlz (overige is Zvw)]]</f>
        <v>0</v>
      </c>
    </row>
    <row r="952" spans="1:22" x14ac:dyDescent="0.5">
      <c r="A952" s="33" t="str">
        <f>INDEX(Technologieën[Veld],MATCH(B952,Technologieën[Digitale zorgtoepassing],0))</f>
        <v>Software - Diagnose</v>
      </c>
      <c r="B952" s="33" t="s">
        <v>725</v>
      </c>
      <c r="C952" s="33" t="s">
        <v>99</v>
      </c>
      <c r="D952" s="427" cm="1">
        <f t="array" ref="D952">INDEX(Berekening_patiëntaantal[Percentage van patiëntaantallen in Wlz (overige is Zvw)],MATCH(B952,IF(Berekening_patiëntaantal[Doelgroep (zoeksleutel)]=C952,Berekening_patiëntaantal[Digitale zorgtoepassing]),0))</f>
        <v>0</v>
      </c>
      <c r="E952" s="33" t="str" cm="1">
        <f t="array" ref="E952">INDEX(Berekening_patiëntaantal[Direct toepasbaar/extrapolatie/incidentie voor QALY],MATCH(B952,IF(Berekening_patiëntaantal[Doelgroep (zoeksleutel)]=C952,Berekening_patiëntaantal[Digitale zorgtoepassing]),0))</f>
        <v>Huidige toepassing</v>
      </c>
      <c r="F952" s="33" t="s">
        <v>813</v>
      </c>
      <c r="G952" s="33" t="str">
        <f>CONCATENATE(uitkomst_doelgroep[[#This Row],[Digitale zorgtoepassing]],"_",uitkomst_doelgroep[[#This Row],[Doelgroep]],"_",uitkomst_doelgroep[[#This Row],[Uitgangssituatie/effect beleid]])</f>
        <v>Inzicht assistent digitale zelftriage dagpraktijk_Huisartscontacten__Uitgangssituatie</v>
      </c>
      <c r="H952" s="33">
        <v>2024</v>
      </c>
      <c r="I952" s="32">
        <v>2</v>
      </c>
      <c r="J952" s="406" cm="1">
        <f t="array" ref="J952">INDEX(implementatie[[2023]:[2034]],MATCH(G952, implementatie[Zoeksleutel],0),I952)</f>
        <v>0.26800000000000002</v>
      </c>
      <c r="K952" s="406" cm="1">
        <f t="array" ref="K952">INDEX(implementatie[[2023]:[2034]],MATCH(G952,implementatie[Zoeksleutel],0),I952 + 1)</f>
        <v>0.3476416</v>
      </c>
      <c r="L95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529864.14</v>
      </c>
      <c r="M952" s="398" cm="1">
        <f t="array" ref="M952">J952*INDEX(Berekening_impact[Totaal arbeidsbesparing (€/jaar)],MATCH(B952,IF(Berekening_impact[Doelgroep]=C952,Berekening_impact[Digitale zorgtoepassing]),0))</f>
        <v>245359.09675680759</v>
      </c>
      <c r="N952" s="397" cm="1">
        <f t="array" ref="N952">J952*INDEX(Berekening_impact[Totaal arbeidsbesparing (FTE/jaar)],MATCH(B952,IF(Berekening_impact[Doelgroep]=C952,Berekening_impact[Digitale zorgtoepassing]),0))</f>
        <v>5.6467893125000019</v>
      </c>
      <c r="O952" s="398" cm="1">
        <f t="array" ref="O952">J952*INDEX(Berekening_impact[Overige kostenbesparing (totaal/jaar totaal potentieel)],MATCH(B952,IF(Berekening_impact[Doelgroep]=C952,Berekening_impact[Digitale zorgtoepassing]),0))</f>
        <v>0</v>
      </c>
      <c r="P952" s="398" cm="1">
        <f t="array" ref="P952">J952*INDEX(Berekening_impact[Opbrengsten door QALY''s],MATCH(B952,IF(Berekening_impact[Doelgroep]=C952,Berekening_impact[Digitale zorgtoepassing]),0))</f>
        <v>0</v>
      </c>
      <c r="Q952" s="398" cm="1">
        <f t="array" ref="Q952">J952*INDEX(Berekening_impact[Jaarlijkse kosten (totaal) - incl. schatting],MATCH(B952,IF(Berekening_impact[Doelgroep]=C952,Berekening_impact[Digitale zorgtoepassing]),0))</f>
        <v>137844.18925970001</v>
      </c>
      <c r="R952" s="398" cm="1">
        <f t="array" ref="R952">(uitkomst_doelgroep[[#This Row],[Implementatiegraad t = T + 1]]-uitkomst_doelgroep[[#This Row],[Implementatiegraad t = T]])*INDEX(Berekening_impact[Initiële investering (totaal) - incl. schatting],MATCH(B952,IF(Berekening_impact[Doelgroep]=C952,Berekening_impact[Digitale zorgtoepassing]),0))</f>
        <v>16396.522572829879</v>
      </c>
      <c r="S952" s="398">
        <f>uitkomst_doelgroep[[#This Row],[Arbeidsbesparing (€)]]*uitkomst_doelgroep[[#This Row],[Percentage van patiëntaantallen in Wlz (overige is Zvw)]]</f>
        <v>0</v>
      </c>
      <c r="T952" s="398">
        <f>uitkomst_doelgroep[[#This Row],[Overige besparingen (€)]]*uitkomst_doelgroep[[#This Row],[Percentage van patiëntaantallen in Wlz (overige is Zvw)]]</f>
        <v>0</v>
      </c>
      <c r="U952" s="398">
        <f>uitkomst_doelgroep[[#This Row],[Kosten (€)]]*uitkomst_doelgroep[[#This Row],[Percentage van patiëntaantallen in Wlz (overige is Zvw)]]</f>
        <v>0</v>
      </c>
      <c r="V952" s="398">
        <f>uitkomst_doelgroep[[#This Row],[Investering (cash flow) (€)]]*uitkomst_doelgroep[[#This Row],[Percentage van patiëntaantallen in Wlz (overige is Zvw)]]</f>
        <v>0</v>
      </c>
    </row>
    <row r="953" spans="1:22" x14ac:dyDescent="0.5">
      <c r="A953" s="33" t="str">
        <f>INDEX(Technologieën[Veld],MATCH(B953,Technologieën[Digitale zorgtoepassing],0))</f>
        <v>Software - Diagnose</v>
      </c>
      <c r="B953" s="33" t="s">
        <v>725</v>
      </c>
      <c r="C953" s="33" t="s">
        <v>99</v>
      </c>
      <c r="D953" s="427" cm="1">
        <f t="array" ref="D953">INDEX(Berekening_patiëntaantal[Percentage van patiëntaantallen in Wlz (overige is Zvw)],MATCH(B953,IF(Berekening_patiëntaantal[Doelgroep (zoeksleutel)]=C953,Berekening_patiëntaantal[Digitale zorgtoepassing]),0))</f>
        <v>0</v>
      </c>
      <c r="E953" s="33" t="str" cm="1">
        <f t="array" ref="E953">INDEX(Berekening_patiëntaantal[Direct toepasbaar/extrapolatie/incidentie voor QALY],MATCH(B953,IF(Berekening_patiëntaantal[Doelgroep (zoeksleutel)]=C953,Berekening_patiëntaantal[Digitale zorgtoepassing]),0))</f>
        <v>Huidige toepassing</v>
      </c>
      <c r="F953" s="33" t="s">
        <v>813</v>
      </c>
      <c r="G953" s="33" t="str">
        <f>CONCATENATE(uitkomst_doelgroep[[#This Row],[Digitale zorgtoepassing]],"_",uitkomst_doelgroep[[#This Row],[Doelgroep]],"_",uitkomst_doelgroep[[#This Row],[Uitgangssituatie/effect beleid]])</f>
        <v>Inzicht assistent digitale zelftriage dagpraktijk_Huisartscontacten__Uitgangssituatie</v>
      </c>
      <c r="H953" s="33">
        <v>2025</v>
      </c>
      <c r="I953" s="32">
        <v>3</v>
      </c>
      <c r="J953" s="406" cm="1">
        <f t="array" ref="J953">INDEX(implementatie[[2023]:[2034]],MATCH(G953, implementatie[Zoeksleutel],0),I953)</f>
        <v>0.3476416</v>
      </c>
      <c r="K953" s="406" cm="1">
        <f t="array" ref="K953">INDEX(implementatie[[2023]:[2034]],MATCH(G953,implementatie[Zoeksleutel],0),I953 + 1)</f>
        <v>0.43680239728230397</v>
      </c>
      <c r="L95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687323.94556799997</v>
      </c>
      <c r="M953" s="398" cm="1">
        <f t="array" ref="M953">J953*INDEX(Berekening_impact[Totaal arbeidsbesparing (€/jaar)],MATCH(B953,IF(Berekening_impact[Doelgroep]=C953,Berekening_impact[Digitale zorgtoepassing]),0))</f>
        <v>318272.49616078875</v>
      </c>
      <c r="N953" s="397" cm="1">
        <f t="array" ref="N953">J953*INDEX(Berekening_impact[Totaal arbeidsbesparing (FTE/jaar)],MATCH(B953,IF(Berekening_impact[Doelgroep]=C953,Berekening_impact[Digitale zorgtoepassing]),0))</f>
        <v>7.3248465353000016</v>
      </c>
      <c r="O953" s="398" cm="1">
        <f t="array" ref="O953">J953*INDEX(Berekening_impact[Overige kostenbesparing (totaal/jaar totaal potentieel)],MATCH(B953,IF(Berekening_impact[Doelgroep]=C953,Berekening_impact[Digitale zorgtoepassing]),0))</f>
        <v>0</v>
      </c>
      <c r="P953" s="398" cm="1">
        <f t="array" ref="P953">J953*INDEX(Berekening_impact[Opbrengsten door QALY''s],MATCH(B953,IF(Berekening_impact[Doelgroep]=C953,Berekening_impact[Digitale zorgtoepassing]),0))</f>
        <v>0</v>
      </c>
      <c r="Q953" s="398" cm="1">
        <f t="array" ref="Q953">J953*INDEX(Berekening_impact[Jaarlijkse kosten (totaal) - incl. schatting],MATCH(B953,IF(Berekening_impact[Doelgroep]=C953,Berekening_impact[Digitale zorgtoepassing]),0))</f>
        <v>178807.36755576465</v>
      </c>
      <c r="R953" s="398" cm="1">
        <f t="array" ref="R953">(uitkomst_doelgroep[[#This Row],[Implementatiegraad t = T + 1]]-uitkomst_doelgroep[[#This Row],[Implementatiegraad t = T]])*INDEX(Berekening_impact[Initiële investering (totaal) - incl. schatting],MATCH(B953,IF(Berekening_impact[Doelgroep]=C953,Berekening_impact[Digitale zorgtoepassing]),0))</f>
        <v>18356.3241478173</v>
      </c>
      <c r="S953" s="398">
        <f>uitkomst_doelgroep[[#This Row],[Arbeidsbesparing (€)]]*uitkomst_doelgroep[[#This Row],[Percentage van patiëntaantallen in Wlz (overige is Zvw)]]</f>
        <v>0</v>
      </c>
      <c r="T953" s="398">
        <f>uitkomst_doelgroep[[#This Row],[Overige besparingen (€)]]*uitkomst_doelgroep[[#This Row],[Percentage van patiëntaantallen in Wlz (overige is Zvw)]]</f>
        <v>0</v>
      </c>
      <c r="U953" s="398">
        <f>uitkomst_doelgroep[[#This Row],[Kosten (€)]]*uitkomst_doelgroep[[#This Row],[Percentage van patiëntaantallen in Wlz (overige is Zvw)]]</f>
        <v>0</v>
      </c>
      <c r="V953" s="398">
        <f>uitkomst_doelgroep[[#This Row],[Investering (cash flow) (€)]]*uitkomst_doelgroep[[#This Row],[Percentage van patiëntaantallen in Wlz (overige is Zvw)]]</f>
        <v>0</v>
      </c>
    </row>
    <row r="954" spans="1:22" x14ac:dyDescent="0.5">
      <c r="A954" s="33" t="str">
        <f>INDEX(Technologieën[Veld],MATCH(B954,Technologieën[Digitale zorgtoepassing],0))</f>
        <v>Software - Diagnose</v>
      </c>
      <c r="B954" s="33" t="s">
        <v>725</v>
      </c>
      <c r="C954" s="33" t="s">
        <v>99</v>
      </c>
      <c r="D954" s="427" cm="1">
        <f t="array" ref="D954">INDEX(Berekening_patiëntaantal[Percentage van patiëntaantallen in Wlz (overige is Zvw)],MATCH(B954,IF(Berekening_patiëntaantal[Doelgroep (zoeksleutel)]=C954,Berekening_patiëntaantal[Digitale zorgtoepassing]),0))</f>
        <v>0</v>
      </c>
      <c r="E954" s="33" t="str" cm="1">
        <f t="array" ref="E954">INDEX(Berekening_patiëntaantal[Direct toepasbaar/extrapolatie/incidentie voor QALY],MATCH(B954,IF(Berekening_patiëntaantal[Doelgroep (zoeksleutel)]=C954,Berekening_patiëntaantal[Digitale zorgtoepassing]),0))</f>
        <v>Huidige toepassing</v>
      </c>
      <c r="F954" s="33" t="s">
        <v>813</v>
      </c>
      <c r="G954" s="33" t="str">
        <f>CONCATENATE(uitkomst_doelgroep[[#This Row],[Digitale zorgtoepassing]],"_",uitkomst_doelgroep[[#This Row],[Doelgroep]],"_",uitkomst_doelgroep[[#This Row],[Uitgangssituatie/effect beleid]])</f>
        <v>Inzicht assistent digitale zelftriage dagpraktijk_Huisartscontacten__Uitgangssituatie</v>
      </c>
      <c r="H954" s="33">
        <v>2026</v>
      </c>
      <c r="I954" s="32">
        <v>4</v>
      </c>
      <c r="J954" s="406" cm="1">
        <f t="array" ref="J954">INDEX(implementatie[[2023]:[2034]],MATCH(G954, implementatie[Zoeksleutel],0),I954)</f>
        <v>0.43680239728230397</v>
      </c>
      <c r="K954" s="406" cm="1">
        <f t="array" ref="K954">INDEX(implementatie[[2023]:[2034]],MATCH(G954,implementatie[Zoeksleutel],0),I954 + 1)</f>
        <v>0.53135248337682706</v>
      </c>
      <c r="L95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863604.2036788296</v>
      </c>
      <c r="M954" s="398" cm="1">
        <f t="array" ref="M954">J954*INDEX(Berekening_impact[Totaal arbeidsbesparing (€/jaar)],MATCH(B954,IF(Berekening_impact[Doelgroep]=C954,Berekening_impact[Digitale zorgtoepassing]),0))</f>
        <v>399900.90171042655</v>
      </c>
      <c r="N954" s="397" cm="1">
        <f t="array" ref="N954">J954*INDEX(Berekening_impact[Totaal arbeidsbesparing (FTE/jaar)],MATCH(B954,IF(Berekening_impact[Doelgroep]=C954,Berekening_impact[Digitale zorgtoepassing]),0))</f>
        <v>9.2034742860003487</v>
      </c>
      <c r="O954" s="398" cm="1">
        <f t="array" ref="O954">J954*INDEX(Berekening_impact[Overige kostenbesparing (totaal/jaar totaal potentieel)],MATCH(B954,IF(Berekening_impact[Doelgroep]=C954,Berekening_impact[Digitale zorgtoepassing]),0))</f>
        <v>0</v>
      </c>
      <c r="P954" s="398" cm="1">
        <f t="array" ref="P954">J954*INDEX(Berekening_impact[Opbrengsten door QALY''s],MATCH(B954,IF(Berekening_impact[Doelgroep]=C954,Berekening_impact[Digitale zorgtoepassing]),0))</f>
        <v>0</v>
      </c>
      <c r="Q954" s="398" cm="1">
        <f t="array" ref="Q954">J954*INDEX(Berekening_impact[Jaarlijkse kosten (totaal) - incl. schatting],MATCH(B954,IF(Berekening_impact[Doelgroep]=C954,Berekening_impact[Digitale zorgtoepassing]),0))</f>
        <v>224666.68776146485</v>
      </c>
      <c r="R954" s="398" cm="1">
        <f t="array" ref="R954">(uitkomst_doelgroep[[#This Row],[Implementatiegraad t = T + 1]]-uitkomst_doelgroep[[#This Row],[Implementatiegraad t = T]])*INDEX(Berekening_impact[Initiële investering (totaal) - incl. schatting],MATCH(B954,IF(Berekening_impact[Doelgroep]=C954,Berekening_impact[Digitale zorgtoepassing]),0))</f>
        <v>19465.864835862874</v>
      </c>
      <c r="S954" s="398">
        <f>uitkomst_doelgroep[[#This Row],[Arbeidsbesparing (€)]]*uitkomst_doelgroep[[#This Row],[Percentage van patiëntaantallen in Wlz (overige is Zvw)]]</f>
        <v>0</v>
      </c>
      <c r="T954" s="398">
        <f>uitkomst_doelgroep[[#This Row],[Overige besparingen (€)]]*uitkomst_doelgroep[[#This Row],[Percentage van patiëntaantallen in Wlz (overige is Zvw)]]</f>
        <v>0</v>
      </c>
      <c r="U954" s="398">
        <f>uitkomst_doelgroep[[#This Row],[Kosten (€)]]*uitkomst_doelgroep[[#This Row],[Percentage van patiëntaantallen in Wlz (overige is Zvw)]]</f>
        <v>0</v>
      </c>
      <c r="V954" s="398">
        <f>uitkomst_doelgroep[[#This Row],[Investering (cash flow) (€)]]*uitkomst_doelgroep[[#This Row],[Percentage van patiëntaantallen in Wlz (overige is Zvw)]]</f>
        <v>0</v>
      </c>
    </row>
    <row r="955" spans="1:22" x14ac:dyDescent="0.5">
      <c r="A955" s="33" t="str">
        <f>INDEX(Technologieën[Veld],MATCH(B955,Technologieën[Digitale zorgtoepassing],0))</f>
        <v>Software - Diagnose</v>
      </c>
      <c r="B955" s="33" t="s">
        <v>725</v>
      </c>
      <c r="C955" s="33" t="s">
        <v>99</v>
      </c>
      <c r="D955" s="427" cm="1">
        <f t="array" ref="D955">INDEX(Berekening_patiëntaantal[Percentage van patiëntaantallen in Wlz (overige is Zvw)],MATCH(B955,IF(Berekening_patiëntaantal[Doelgroep (zoeksleutel)]=C955,Berekening_patiëntaantal[Digitale zorgtoepassing]),0))</f>
        <v>0</v>
      </c>
      <c r="E955" s="33" t="str" cm="1">
        <f t="array" ref="E955">INDEX(Berekening_patiëntaantal[Direct toepasbaar/extrapolatie/incidentie voor QALY],MATCH(B955,IF(Berekening_patiëntaantal[Doelgroep (zoeksleutel)]=C955,Berekening_patiëntaantal[Digitale zorgtoepassing]),0))</f>
        <v>Huidige toepassing</v>
      </c>
      <c r="F955" s="33" t="s">
        <v>813</v>
      </c>
      <c r="G955" s="33" t="str">
        <f>CONCATENATE(uitkomst_doelgroep[[#This Row],[Digitale zorgtoepassing]],"_",uitkomst_doelgroep[[#This Row],[Doelgroep]],"_",uitkomst_doelgroep[[#This Row],[Uitgangssituatie/effect beleid]])</f>
        <v>Inzicht assistent digitale zelftriage dagpraktijk_Huisartscontacten__Uitgangssituatie</v>
      </c>
      <c r="H955" s="33">
        <v>2027</v>
      </c>
      <c r="I955" s="32">
        <v>5</v>
      </c>
      <c r="J955" s="406" cm="1">
        <f t="array" ref="J955">INDEX(implementatie[[2023]:[2034]],MATCH(G955, implementatie[Zoeksleutel],0),I955)</f>
        <v>0.53135248337682706</v>
      </c>
      <c r="K955" s="406" cm="1">
        <f t="array" ref="K955">INDEX(implementatie[[2023]:[2034]],MATCH(G955,implementatie[Zoeksleutel],0),I955 + 1)</f>
        <v>0.62553815375131172</v>
      </c>
      <c r="L95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1050539.6516467417</v>
      </c>
      <c r="M955" s="398" cm="1">
        <f t="array" ref="M955">J955*INDEX(Berekening_impact[Totaal arbeidsbesparing (€/jaar)],MATCH(B955,IF(Berekening_impact[Doelgroep]=C955,Berekening_impact[Digitale zorgtoepassing]),0))</f>
        <v>486463.30365979439</v>
      </c>
      <c r="N955" s="397" cm="1">
        <f t="array" ref="N955">J955*INDEX(Berekening_impact[Totaal arbeidsbesparing (FTE/jaar)],MATCH(B955,IF(Berekening_impact[Doelgroep]=C955,Berekening_impact[Digitale zorgtoepassing]),0))</f>
        <v>11.195654941427618</v>
      </c>
      <c r="O955" s="398" cm="1">
        <f t="array" ref="O955">J955*INDEX(Berekening_impact[Overige kostenbesparing (totaal/jaar totaal potentieel)],MATCH(B955,IF(Berekening_impact[Doelgroep]=C955,Berekening_impact[Digitale zorgtoepassing]),0))</f>
        <v>0</v>
      </c>
      <c r="P955" s="398" cm="1">
        <f t="array" ref="P955">J955*INDEX(Berekening_impact[Opbrengsten door QALY''s],MATCH(B955,IF(Berekening_impact[Doelgroep]=C955,Berekening_impact[Digitale zorgtoepassing]),0))</f>
        <v>0</v>
      </c>
      <c r="Q955" s="398" cm="1">
        <f t="array" ref="Q955">J955*INDEX(Berekening_impact[Jaarlijkse kosten (totaal) - incl. schatting],MATCH(B955,IF(Berekening_impact[Doelgroep]=C955,Berekening_impact[Digitale zorgtoepassing]),0))</f>
        <v>273297.95627689158</v>
      </c>
      <c r="R955" s="398" cm="1">
        <f t="array" ref="R955">(uitkomst_doelgroep[[#This Row],[Implementatiegraad t = T + 1]]-uitkomst_doelgroep[[#This Row],[Implementatiegraad t = T]])*INDEX(Berekening_impact[Initiële investering (totaal) - incl. schatting],MATCH(B955,IF(Berekening_impact[Doelgroep]=C955,Berekening_impact[Digitale zorgtoepassing]),0))</f>
        <v>19390.839339394897</v>
      </c>
      <c r="S955" s="398">
        <f>uitkomst_doelgroep[[#This Row],[Arbeidsbesparing (€)]]*uitkomst_doelgroep[[#This Row],[Percentage van patiëntaantallen in Wlz (overige is Zvw)]]</f>
        <v>0</v>
      </c>
      <c r="T955" s="398">
        <f>uitkomst_doelgroep[[#This Row],[Overige besparingen (€)]]*uitkomst_doelgroep[[#This Row],[Percentage van patiëntaantallen in Wlz (overige is Zvw)]]</f>
        <v>0</v>
      </c>
      <c r="U955" s="398">
        <f>uitkomst_doelgroep[[#This Row],[Kosten (€)]]*uitkomst_doelgroep[[#This Row],[Percentage van patiëntaantallen in Wlz (overige is Zvw)]]</f>
        <v>0</v>
      </c>
      <c r="V955" s="398">
        <f>uitkomst_doelgroep[[#This Row],[Investering (cash flow) (€)]]*uitkomst_doelgroep[[#This Row],[Percentage van patiëntaantallen in Wlz (overige is Zvw)]]</f>
        <v>0</v>
      </c>
    </row>
    <row r="956" spans="1:22" x14ac:dyDescent="0.5">
      <c r="A956" s="33" t="str">
        <f>INDEX(Technologieën[Veld],MATCH(B956,Technologieën[Digitale zorgtoepassing],0))</f>
        <v>Software - Diagnose</v>
      </c>
      <c r="B956" s="33" t="s">
        <v>725</v>
      </c>
      <c r="C956" s="33" t="s">
        <v>99</v>
      </c>
      <c r="D956" s="427" cm="1">
        <f t="array" ref="D956">INDEX(Berekening_patiëntaantal[Percentage van patiëntaantallen in Wlz (overige is Zvw)],MATCH(B956,IF(Berekening_patiëntaantal[Doelgroep (zoeksleutel)]=C956,Berekening_patiëntaantal[Digitale zorgtoepassing]),0))</f>
        <v>0</v>
      </c>
      <c r="E956" s="33" t="str" cm="1">
        <f t="array" ref="E956">INDEX(Berekening_patiëntaantal[Direct toepasbaar/extrapolatie/incidentie voor QALY],MATCH(B956,IF(Berekening_patiëntaantal[Doelgroep (zoeksleutel)]=C956,Berekening_patiëntaantal[Digitale zorgtoepassing]),0))</f>
        <v>Huidige toepassing</v>
      </c>
      <c r="F956" s="33" t="s">
        <v>813</v>
      </c>
      <c r="G956" s="33" t="str">
        <f>CONCATENATE(uitkomst_doelgroep[[#This Row],[Digitale zorgtoepassing]],"_",uitkomst_doelgroep[[#This Row],[Doelgroep]],"_",uitkomst_doelgroep[[#This Row],[Uitgangssituatie/effect beleid]])</f>
        <v>Inzicht assistent digitale zelftriage dagpraktijk_Huisartscontacten__Uitgangssituatie</v>
      </c>
      <c r="H956" s="33">
        <v>2028</v>
      </c>
      <c r="I956" s="32">
        <v>6</v>
      </c>
      <c r="J956" s="406" cm="1">
        <f t="array" ref="J956">INDEX(implementatie[[2023]:[2034]],MATCH(G956, implementatie[Zoeksleutel],0),I956)</f>
        <v>0.62553815375131172</v>
      </c>
      <c r="K956" s="406" cm="1">
        <f t="array" ref="K956">INDEX(implementatie[[2023]:[2034]],MATCH(G956,implementatie[Zoeksleutel],0),I956 + 1)</f>
        <v>0.71313914162849124</v>
      </c>
      <c r="L95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1236754.6114724872</v>
      </c>
      <c r="M956" s="398" cm="1">
        <f t="array" ref="M956">J956*INDEX(Berekening_impact[Totaal arbeidsbesparing (€/jaar)],MATCH(B956,IF(Berekening_impact[Doelgroep]=C956,Berekening_impact[Digitale zorgtoepassing]),0))</f>
        <v>572692.0760871002</v>
      </c>
      <c r="N956" s="397" cm="1">
        <f t="array" ref="N956">J956*INDEX(Berekening_impact[Totaal arbeidsbesparing (FTE/jaar)],MATCH(B956,IF(Berekening_impact[Doelgroep]=C956,Berekening_impact[Digitale zorgtoepassing]),0))</f>
        <v>13.180157317775707</v>
      </c>
      <c r="O956" s="398" cm="1">
        <f t="array" ref="O956">J956*INDEX(Berekening_impact[Overige kostenbesparing (totaal/jaar totaal potentieel)],MATCH(B956,IF(Berekening_impact[Doelgroep]=C956,Berekening_impact[Digitale zorgtoepassing]),0))</f>
        <v>0</v>
      </c>
      <c r="P956" s="398" cm="1">
        <f t="array" ref="P956">J956*INDEX(Berekening_impact[Opbrengsten door QALY''s],MATCH(B956,IF(Berekening_impact[Doelgroep]=C956,Berekening_impact[Digitale zorgtoepassing]),0))</f>
        <v>0</v>
      </c>
      <c r="Q956" s="398" cm="1">
        <f t="array" ref="Q956">J956*INDEX(Berekening_impact[Jaarlijkse kosten (totaal) - incl. schatting],MATCH(B956,IF(Berekening_impact[Doelgroep]=C956,Berekening_impact[Digitale zorgtoepassing]),0))</f>
        <v>321741.78975693707</v>
      </c>
      <c r="R956" s="398" cm="1">
        <f t="array" ref="R956">(uitkomst_doelgroep[[#This Row],[Implementatiegraad t = T + 1]]-uitkomst_doelgroep[[#This Row],[Implementatiegraad t = T]])*INDEX(Berekening_impact[Initiële investering (totaal) - incl. schatting],MATCH(B956,IF(Berekening_impact[Doelgroep]=C956,Berekening_impact[Digitale zorgtoepassing]),0))</f>
        <v>18035.192350861496</v>
      </c>
      <c r="S956" s="398">
        <f>uitkomst_doelgroep[[#This Row],[Arbeidsbesparing (€)]]*uitkomst_doelgroep[[#This Row],[Percentage van patiëntaantallen in Wlz (overige is Zvw)]]</f>
        <v>0</v>
      </c>
      <c r="T956" s="398">
        <f>uitkomst_doelgroep[[#This Row],[Overige besparingen (€)]]*uitkomst_doelgroep[[#This Row],[Percentage van patiëntaantallen in Wlz (overige is Zvw)]]</f>
        <v>0</v>
      </c>
      <c r="U956" s="398">
        <f>uitkomst_doelgroep[[#This Row],[Kosten (€)]]*uitkomst_doelgroep[[#This Row],[Percentage van patiëntaantallen in Wlz (overige is Zvw)]]</f>
        <v>0</v>
      </c>
      <c r="V956" s="398">
        <f>uitkomst_doelgroep[[#This Row],[Investering (cash flow) (€)]]*uitkomst_doelgroep[[#This Row],[Percentage van patiëntaantallen in Wlz (overige is Zvw)]]</f>
        <v>0</v>
      </c>
    </row>
    <row r="957" spans="1:22" x14ac:dyDescent="0.5">
      <c r="A957" s="33" t="str">
        <f>INDEX(Technologieën[Veld],MATCH(B957,Technologieën[Digitale zorgtoepassing],0))</f>
        <v>Software - Diagnose</v>
      </c>
      <c r="B957" s="33" t="s">
        <v>725</v>
      </c>
      <c r="C957" s="33" t="s">
        <v>99</v>
      </c>
      <c r="D957" s="427" cm="1">
        <f t="array" ref="D957">INDEX(Berekening_patiëntaantal[Percentage van patiëntaantallen in Wlz (overige is Zvw)],MATCH(B957,IF(Berekening_patiëntaantal[Doelgroep (zoeksleutel)]=C957,Berekening_patiëntaantal[Digitale zorgtoepassing]),0))</f>
        <v>0</v>
      </c>
      <c r="E957" s="33" t="str" cm="1">
        <f t="array" ref="E957">INDEX(Berekening_patiëntaantal[Direct toepasbaar/extrapolatie/incidentie voor QALY],MATCH(B957,IF(Berekening_patiëntaantal[Doelgroep (zoeksleutel)]=C957,Berekening_patiëntaantal[Digitale zorgtoepassing]),0))</f>
        <v>Huidige toepassing</v>
      </c>
      <c r="F957" s="33" t="s">
        <v>813</v>
      </c>
      <c r="G957" s="33" t="str">
        <f>CONCATENATE(uitkomst_doelgroep[[#This Row],[Digitale zorgtoepassing]],"_",uitkomst_doelgroep[[#This Row],[Doelgroep]],"_",uitkomst_doelgroep[[#This Row],[Uitgangssituatie/effect beleid]])</f>
        <v>Inzicht assistent digitale zelftriage dagpraktijk_Huisartscontacten__Uitgangssituatie</v>
      </c>
      <c r="H957" s="33">
        <v>2029</v>
      </c>
      <c r="I957" s="32">
        <v>7</v>
      </c>
      <c r="J957" s="406" cm="1">
        <f t="array" ref="J957">INDEX(implementatie[[2023]:[2034]],MATCH(G957, implementatie[Zoeksleutel],0),I957)</f>
        <v>0.71313914162849124</v>
      </c>
      <c r="K957" s="406" cm="1">
        <f t="array" ref="K957">INDEX(implementatie[[2023]:[2034]],MATCH(G957,implementatie[Zoeksleutel],0),I957 + 1)</f>
        <v>0.78904215171111836</v>
      </c>
      <c r="L95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1409950.9626093982</v>
      </c>
      <c r="M957" s="398" cm="1">
        <f t="array" ref="M957">J957*INDEX(Berekening_impact[Totaal arbeidsbesparing (€/jaar)],MATCH(B957,IF(Berekening_impact[Doelgroep]=C957,Berekening_impact[Digitale zorgtoepassing]),0))</f>
        <v>652892.44646228233</v>
      </c>
      <c r="N957" s="397" cm="1">
        <f t="array" ref="N957">J957*INDEX(Berekening_impact[Totaal arbeidsbesparing (FTE/jaar)],MATCH(B957,IF(Berekening_impact[Doelgroep]=C957,Berekening_impact[Digitale zorgtoepassing]),0))</f>
        <v>15.02591971370593</v>
      </c>
      <c r="O957" s="398" cm="1">
        <f t="array" ref="O957">J957*INDEX(Berekening_impact[Overige kostenbesparing (totaal/jaar totaal potentieel)],MATCH(B957,IF(Berekening_impact[Doelgroep]=C957,Berekening_impact[Digitale zorgtoepassing]),0))</f>
        <v>0</v>
      </c>
      <c r="P957" s="398" cm="1">
        <f t="array" ref="P957">J957*INDEX(Berekening_impact[Opbrengsten door QALY''s],MATCH(B957,IF(Berekening_impact[Doelgroep]=C957,Berekening_impact[Digitale zorgtoepassing]),0))</f>
        <v>0</v>
      </c>
      <c r="Q957" s="398" cm="1">
        <f t="array" ref="Q957">J957*INDEX(Berekening_impact[Jaarlijkse kosten (totaal) - incl. schatting],MATCH(B957,IF(Berekening_impact[Doelgroep]=C957,Berekening_impact[Digitale zorgtoepassing]),0))</f>
        <v>366798.83136991697</v>
      </c>
      <c r="R957" s="398" cm="1">
        <f t="array" ref="R957">(uitkomst_doelgroep[[#This Row],[Implementatiegraad t = T + 1]]-uitkomst_doelgroep[[#This Row],[Implementatiegraad t = T]])*INDEX(Berekening_impact[Initiële investering (totaal) - incl. schatting],MATCH(B957,IF(Berekening_impact[Doelgroep]=C957,Berekening_impact[Digitale zorgtoepassing]),0))</f>
        <v>15626.825907133079</v>
      </c>
      <c r="S957" s="398">
        <f>uitkomst_doelgroep[[#This Row],[Arbeidsbesparing (€)]]*uitkomst_doelgroep[[#This Row],[Percentage van patiëntaantallen in Wlz (overige is Zvw)]]</f>
        <v>0</v>
      </c>
      <c r="T957" s="398">
        <f>uitkomst_doelgroep[[#This Row],[Overige besparingen (€)]]*uitkomst_doelgroep[[#This Row],[Percentage van patiëntaantallen in Wlz (overige is Zvw)]]</f>
        <v>0</v>
      </c>
      <c r="U957" s="398">
        <f>uitkomst_doelgroep[[#This Row],[Kosten (€)]]*uitkomst_doelgroep[[#This Row],[Percentage van patiëntaantallen in Wlz (overige is Zvw)]]</f>
        <v>0</v>
      </c>
      <c r="V957" s="398">
        <f>uitkomst_doelgroep[[#This Row],[Investering (cash flow) (€)]]*uitkomst_doelgroep[[#This Row],[Percentage van patiëntaantallen in Wlz (overige is Zvw)]]</f>
        <v>0</v>
      </c>
    </row>
    <row r="958" spans="1:22" x14ac:dyDescent="0.5">
      <c r="A958" s="33" t="str">
        <f>INDEX(Technologieën[Veld],MATCH(B958,Technologieën[Digitale zorgtoepassing],0))</f>
        <v>Software - Diagnose</v>
      </c>
      <c r="B958" s="33" t="s">
        <v>725</v>
      </c>
      <c r="C958" s="33" t="s">
        <v>99</v>
      </c>
      <c r="D958" s="427" cm="1">
        <f t="array" ref="D958">INDEX(Berekening_patiëntaantal[Percentage van patiëntaantallen in Wlz (overige is Zvw)],MATCH(B958,IF(Berekening_patiëntaantal[Doelgroep (zoeksleutel)]=C958,Berekening_patiëntaantal[Digitale zorgtoepassing]),0))</f>
        <v>0</v>
      </c>
      <c r="E958" s="33" t="str" cm="1">
        <f t="array" ref="E958">INDEX(Berekening_patiëntaantal[Direct toepasbaar/extrapolatie/incidentie voor QALY],MATCH(B958,IF(Berekening_patiëntaantal[Doelgroep (zoeksleutel)]=C958,Berekening_patiëntaantal[Digitale zorgtoepassing]),0))</f>
        <v>Huidige toepassing</v>
      </c>
      <c r="F958" s="33" t="s">
        <v>813</v>
      </c>
      <c r="G958" s="33" t="str">
        <f>CONCATENATE(uitkomst_doelgroep[[#This Row],[Digitale zorgtoepassing]],"_",uitkomst_doelgroep[[#This Row],[Doelgroep]],"_",uitkomst_doelgroep[[#This Row],[Uitgangssituatie/effect beleid]])</f>
        <v>Inzicht assistent digitale zelftriage dagpraktijk_Huisartscontacten__Uitgangssituatie</v>
      </c>
      <c r="H958" s="33">
        <v>2030</v>
      </c>
      <c r="I958" s="32">
        <v>8</v>
      </c>
      <c r="J958" s="406" cm="1">
        <f t="array" ref="J958">INDEX(implementatie[[2023]:[2034]],MATCH(G958, implementatie[Zoeksleutel],0),I958)</f>
        <v>0.78904215171111836</v>
      </c>
      <c r="K958" s="406" cm="1">
        <f t="array" ref="K958">INDEX(implementatie[[2023]:[2034]],MATCH(G958,implementatie[Zoeksleutel],0),I958 + 1)</f>
        <v>0.85046564152242399</v>
      </c>
      <c r="L95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1560019.1833588106</v>
      </c>
      <c r="M958" s="398" cm="1">
        <f t="array" ref="M958">J958*INDEX(Berekening_impact[Totaal arbeidsbesparing (€/jaar)],MATCH(B958,IF(Berekening_impact[Doelgroep]=C958,Berekening_impact[Digitale zorgtoepassing]),0))</f>
        <v>722383.095697343</v>
      </c>
      <c r="N958" s="397" cm="1">
        <f t="array" ref="N958">J958*INDEX(Berekening_impact[Totaal arbeidsbesparing (FTE/jaar)],MATCH(B958,IF(Berekening_impact[Doelgroep]=C958,Berekening_impact[Digitale zorgtoepassing]),0))</f>
        <v>16.625204438038612</v>
      </c>
      <c r="O958" s="398" cm="1">
        <f t="array" ref="O958">J958*INDEX(Berekening_impact[Overige kostenbesparing (totaal/jaar totaal potentieel)],MATCH(B958,IF(Berekening_impact[Doelgroep]=C958,Berekening_impact[Digitale zorgtoepassing]),0))</f>
        <v>0</v>
      </c>
      <c r="P958" s="398" cm="1">
        <f t="array" ref="P958">J958*INDEX(Berekening_impact[Opbrengsten door QALY''s],MATCH(B958,IF(Berekening_impact[Doelgroep]=C958,Berekening_impact[Digitale zorgtoepassing]),0))</f>
        <v>0</v>
      </c>
      <c r="Q958" s="398" cm="1">
        <f t="array" ref="Q958">J958*INDEX(Berekening_impact[Jaarlijkse kosten (totaal) - incl. schatting],MATCH(B958,IF(Berekening_impact[Doelgroep]=C958,Berekening_impact[Digitale zorgtoepassing]),0))</f>
        <v>405839.08841174748</v>
      </c>
      <c r="R958" s="398" cm="1">
        <f t="array" ref="R958">(uitkomst_doelgroep[[#This Row],[Implementatiegraad t = T + 1]]-uitkomst_doelgroep[[#This Row],[Implementatiegraad t = T]])*INDEX(Berekening_impact[Initiële investering (totaal) - incl. schatting],MATCH(B958,IF(Berekening_impact[Doelgroep]=C958,Berekening_impact[Digitale zorgtoepassing]),0))</f>
        <v>12645.798642833131</v>
      </c>
      <c r="S958" s="398">
        <f>uitkomst_doelgroep[[#This Row],[Arbeidsbesparing (€)]]*uitkomst_doelgroep[[#This Row],[Percentage van patiëntaantallen in Wlz (overige is Zvw)]]</f>
        <v>0</v>
      </c>
      <c r="T958" s="398">
        <f>uitkomst_doelgroep[[#This Row],[Overige besparingen (€)]]*uitkomst_doelgroep[[#This Row],[Percentage van patiëntaantallen in Wlz (overige is Zvw)]]</f>
        <v>0</v>
      </c>
      <c r="U958" s="398">
        <f>uitkomst_doelgroep[[#This Row],[Kosten (€)]]*uitkomst_doelgroep[[#This Row],[Percentage van patiëntaantallen in Wlz (overige is Zvw)]]</f>
        <v>0</v>
      </c>
      <c r="V958" s="398">
        <f>uitkomst_doelgroep[[#This Row],[Investering (cash flow) (€)]]*uitkomst_doelgroep[[#This Row],[Percentage van patiëntaantallen in Wlz (overige is Zvw)]]</f>
        <v>0</v>
      </c>
    </row>
    <row r="959" spans="1:22" x14ac:dyDescent="0.5">
      <c r="A959" s="33" t="str">
        <f>INDEX(Technologieën[Veld],MATCH(B959,Technologieën[Digitale zorgtoepassing],0))</f>
        <v>Software - Diagnose</v>
      </c>
      <c r="B959" s="33" t="s">
        <v>725</v>
      </c>
      <c r="C959" s="33" t="s">
        <v>99</v>
      </c>
      <c r="D959" s="427" cm="1">
        <f t="array" ref="D959">INDEX(Berekening_patiëntaantal[Percentage van patiëntaantallen in Wlz (overige is Zvw)],MATCH(B959,IF(Berekening_patiëntaantal[Doelgroep (zoeksleutel)]=C959,Berekening_patiëntaantal[Digitale zorgtoepassing]),0))</f>
        <v>0</v>
      </c>
      <c r="E959" s="33" t="str" cm="1">
        <f t="array" ref="E959">INDEX(Berekening_patiëntaantal[Direct toepasbaar/extrapolatie/incidentie voor QALY],MATCH(B959,IF(Berekening_patiëntaantal[Doelgroep (zoeksleutel)]=C959,Berekening_patiëntaantal[Digitale zorgtoepassing]),0))</f>
        <v>Huidige toepassing</v>
      </c>
      <c r="F959" s="33" t="s">
        <v>813</v>
      </c>
      <c r="G959" s="33" t="str">
        <f>CONCATENATE(uitkomst_doelgroep[[#This Row],[Digitale zorgtoepassing]],"_",uitkomst_doelgroep[[#This Row],[Doelgroep]],"_",uitkomst_doelgroep[[#This Row],[Uitgangssituatie/effect beleid]])</f>
        <v>Inzicht assistent digitale zelftriage dagpraktijk_Huisartscontacten__Uitgangssituatie</v>
      </c>
      <c r="H959" s="33">
        <v>2031</v>
      </c>
      <c r="I959" s="32">
        <v>9</v>
      </c>
      <c r="J959" s="406" cm="1">
        <f t="array" ref="J959">INDEX(implementatie[[2023]:[2034]],MATCH(G959, implementatie[Zoeksleutel],0),I959)</f>
        <v>0.85046564152242399</v>
      </c>
      <c r="K959" s="406" cm="1">
        <f t="array" ref="K959">INDEX(implementatie[[2023]:[2034]],MATCH(G959,implementatie[Zoeksleutel],0),I959 + 1)</f>
        <v>0.89721949883888419</v>
      </c>
      <c r="L95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1681459.872182192</v>
      </c>
      <c r="M959" s="398" cm="1">
        <f t="array" ref="M959">J959*INDEX(Berekening_impact[Totaal arbeidsbesparing (€/jaar)],MATCH(B959,IF(Berekening_impact[Doelgroep]=C959,Berekening_impact[Digitale zorgtoepassing]),0))</f>
        <v>778617.46875612251</v>
      </c>
      <c r="N959" s="397" cm="1">
        <f t="array" ref="N959">J959*INDEX(Berekening_impact[Totaal arbeidsbesparing (FTE/jaar)],MATCH(B959,IF(Berekening_impact[Doelgroep]=C959,Berekening_impact[Digitale zorgtoepassing]),0))</f>
        <v>17.919404086557019</v>
      </c>
      <c r="O959" s="398" cm="1">
        <f t="array" ref="O959">J959*INDEX(Berekening_impact[Overige kostenbesparing (totaal/jaar totaal potentieel)],MATCH(B959,IF(Berekening_impact[Doelgroep]=C959,Berekening_impact[Digitale zorgtoepassing]),0))</f>
        <v>0</v>
      </c>
      <c r="P959" s="398" cm="1">
        <f t="array" ref="P959">J959*INDEX(Berekening_impact[Opbrengsten door QALY''s],MATCH(B959,IF(Berekening_impact[Doelgroep]=C959,Berekening_impact[Digitale zorgtoepassing]),0))</f>
        <v>0</v>
      </c>
      <c r="Q959" s="398" cm="1">
        <f t="array" ref="Q959">J959*INDEX(Berekening_impact[Jaarlijkse kosten (totaal) - incl. schatting],MATCH(B959,IF(Berekening_impact[Doelgroep]=C959,Berekening_impact[Digitale zorgtoepassing]),0))</f>
        <v>437431.89122719847</v>
      </c>
      <c r="R959" s="398" cm="1">
        <f t="array" ref="R959">(uitkomst_doelgroep[[#This Row],[Implementatiegraad t = T + 1]]-uitkomst_doelgroep[[#This Row],[Implementatiegraad t = T]])*INDEX(Berekening_impact[Initiële investering (totaal) - incl. schatting],MATCH(B959,IF(Berekening_impact[Doelgroep]=C959,Berekening_impact[Digitale zorgtoepassing]),0))</f>
        <v>9625.6312888767588</v>
      </c>
      <c r="S959" s="398">
        <f>uitkomst_doelgroep[[#This Row],[Arbeidsbesparing (€)]]*uitkomst_doelgroep[[#This Row],[Percentage van patiëntaantallen in Wlz (overige is Zvw)]]</f>
        <v>0</v>
      </c>
      <c r="T959" s="398">
        <f>uitkomst_doelgroep[[#This Row],[Overige besparingen (€)]]*uitkomst_doelgroep[[#This Row],[Percentage van patiëntaantallen in Wlz (overige is Zvw)]]</f>
        <v>0</v>
      </c>
      <c r="U959" s="398">
        <f>uitkomst_doelgroep[[#This Row],[Kosten (€)]]*uitkomst_doelgroep[[#This Row],[Percentage van patiëntaantallen in Wlz (overige is Zvw)]]</f>
        <v>0</v>
      </c>
      <c r="V959" s="398">
        <f>uitkomst_doelgroep[[#This Row],[Investering (cash flow) (€)]]*uitkomst_doelgroep[[#This Row],[Percentage van patiëntaantallen in Wlz (overige is Zvw)]]</f>
        <v>0</v>
      </c>
    </row>
    <row r="960" spans="1:22" x14ac:dyDescent="0.5">
      <c r="A960" s="33" t="str">
        <f>INDEX(Technologieën[Veld],MATCH(B960,Technologieën[Digitale zorgtoepassing],0))</f>
        <v>Software - Diagnose</v>
      </c>
      <c r="B960" s="33" t="s">
        <v>725</v>
      </c>
      <c r="C960" s="33" t="s">
        <v>99</v>
      </c>
      <c r="D960" s="427" cm="1">
        <f t="array" ref="D960">INDEX(Berekening_patiëntaantal[Percentage van patiëntaantallen in Wlz (overige is Zvw)],MATCH(B960,IF(Berekening_patiëntaantal[Doelgroep (zoeksleutel)]=C960,Berekening_patiëntaantal[Digitale zorgtoepassing]),0))</f>
        <v>0</v>
      </c>
      <c r="E960" s="33" t="str" cm="1">
        <f t="array" ref="E960">INDEX(Berekening_patiëntaantal[Direct toepasbaar/extrapolatie/incidentie voor QALY],MATCH(B960,IF(Berekening_patiëntaantal[Doelgroep (zoeksleutel)]=C960,Berekening_patiëntaantal[Digitale zorgtoepassing]),0))</f>
        <v>Huidige toepassing</v>
      </c>
      <c r="F960" s="33" t="s">
        <v>813</v>
      </c>
      <c r="G960" s="33" t="str">
        <f>CONCATENATE(uitkomst_doelgroep[[#This Row],[Digitale zorgtoepassing]],"_",uitkomst_doelgroep[[#This Row],[Doelgroep]],"_",uitkomst_doelgroep[[#This Row],[Uitgangssituatie/effect beleid]])</f>
        <v>Inzicht assistent digitale zelftriage dagpraktijk_Huisartscontacten__Uitgangssituatie</v>
      </c>
      <c r="H960" s="33">
        <v>2032</v>
      </c>
      <c r="I960" s="32">
        <v>10</v>
      </c>
      <c r="J960" s="406" cm="1">
        <f t="array" ref="J960">INDEX(implementatie[[2023]:[2034]],MATCH(G960, implementatie[Zoeksleutel],0),I960)</f>
        <v>0.89721949883888419</v>
      </c>
      <c r="K960" s="406" cm="1">
        <f t="array" ref="K960">INDEX(implementatie[[2023]:[2034]],MATCH(G960,implementatie[Zoeksleutel],0),I960 + 1)</f>
        <v>0.93103704076606597</v>
      </c>
      <c r="L96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1773897.1572518521</v>
      </c>
      <c r="M960" s="398" cm="1">
        <f t="array" ref="M960">J960*INDEX(Berekening_impact[Totaal arbeidsbesparing (€/jaar)],MATCH(B960,IF(Berekening_impact[Doelgroep]=C960,Berekening_impact[Digitale zorgtoepassing]),0))</f>
        <v>821421.51428247825</v>
      </c>
      <c r="N960" s="397" cm="1">
        <f t="array" ref="N960">J960*INDEX(Berekening_impact[Totaal arbeidsbesparing (FTE/jaar)],MATCH(B960,IF(Berekening_impact[Doelgroep]=C960,Berekening_impact[Digitale zorgtoepassing]),0))</f>
        <v>18.904512973917981</v>
      </c>
      <c r="O960" s="398" cm="1">
        <f t="array" ref="O960">J960*INDEX(Berekening_impact[Overige kostenbesparing (totaal/jaar totaal potentieel)],MATCH(B960,IF(Berekening_impact[Doelgroep]=C960,Berekening_impact[Digitale zorgtoepassing]),0))</f>
        <v>0</v>
      </c>
      <c r="P960" s="398" cm="1">
        <f t="array" ref="P960">J960*INDEX(Berekening_impact[Opbrengsten door QALY''s],MATCH(B960,IF(Berekening_impact[Doelgroep]=C960,Berekening_impact[Digitale zorgtoepassing]),0))</f>
        <v>0</v>
      </c>
      <c r="Q960" s="398" cm="1">
        <f t="array" ref="Q960">J960*INDEX(Berekening_impact[Jaarlijkse kosten (totaal) - incl. schatting],MATCH(B960,IF(Berekening_impact[Doelgroep]=C960,Berekening_impact[Digitale zorgtoepassing]),0))</f>
        <v>461479.45673671772</v>
      </c>
      <c r="R960" s="398" cm="1">
        <f t="array" ref="R960">(uitkomst_doelgroep[[#This Row],[Implementatiegraad t = T + 1]]-uitkomst_doelgroep[[#This Row],[Implementatiegraad t = T]])*INDEX(Berekening_impact[Initiële investering (totaal) - incl. schatting],MATCH(B960,IF(Berekening_impact[Doelgroep]=C960,Berekening_impact[Digitale zorgtoepassing]),0))</f>
        <v>6962.3173010921064</v>
      </c>
      <c r="S960" s="398">
        <f>uitkomst_doelgroep[[#This Row],[Arbeidsbesparing (€)]]*uitkomst_doelgroep[[#This Row],[Percentage van patiëntaantallen in Wlz (overige is Zvw)]]</f>
        <v>0</v>
      </c>
      <c r="T960" s="398">
        <f>uitkomst_doelgroep[[#This Row],[Overige besparingen (€)]]*uitkomst_doelgroep[[#This Row],[Percentage van patiëntaantallen in Wlz (overige is Zvw)]]</f>
        <v>0</v>
      </c>
      <c r="U960" s="398">
        <f>uitkomst_doelgroep[[#This Row],[Kosten (€)]]*uitkomst_doelgroep[[#This Row],[Percentage van patiëntaantallen in Wlz (overige is Zvw)]]</f>
        <v>0</v>
      </c>
      <c r="V960" s="398">
        <f>uitkomst_doelgroep[[#This Row],[Investering (cash flow) (€)]]*uitkomst_doelgroep[[#This Row],[Percentage van patiëntaantallen in Wlz (overige is Zvw)]]</f>
        <v>0</v>
      </c>
    </row>
    <row r="961" spans="1:22" x14ac:dyDescent="0.5">
      <c r="A961" s="33" t="str">
        <f>INDEX(Technologieën[Veld],MATCH(B961,Technologieën[Digitale zorgtoepassing],0))</f>
        <v>Software - Diagnose</v>
      </c>
      <c r="B961" s="33" t="s">
        <v>725</v>
      </c>
      <c r="C961" s="33" t="s">
        <v>99</v>
      </c>
      <c r="D961" s="427" cm="1">
        <f t="array" ref="D961">INDEX(Berekening_patiëntaantal[Percentage van patiëntaantallen in Wlz (overige is Zvw)],MATCH(B961,IF(Berekening_patiëntaantal[Doelgroep (zoeksleutel)]=C961,Berekening_patiëntaantal[Digitale zorgtoepassing]),0))</f>
        <v>0</v>
      </c>
      <c r="E961" s="33" t="str" cm="1">
        <f t="array" ref="E961">INDEX(Berekening_patiëntaantal[Direct toepasbaar/extrapolatie/incidentie voor QALY],MATCH(B961,IF(Berekening_patiëntaantal[Doelgroep (zoeksleutel)]=C961,Berekening_patiëntaantal[Digitale zorgtoepassing]),0))</f>
        <v>Huidige toepassing</v>
      </c>
      <c r="F961" s="33" t="s">
        <v>813</v>
      </c>
      <c r="G961" s="33" t="str">
        <f>CONCATENATE(uitkomst_doelgroep[[#This Row],[Digitale zorgtoepassing]],"_",uitkomst_doelgroep[[#This Row],[Doelgroep]],"_",uitkomst_doelgroep[[#This Row],[Uitgangssituatie/effect beleid]])</f>
        <v>Inzicht assistent digitale zelftriage dagpraktijk_Huisartscontacten__Uitgangssituatie</v>
      </c>
      <c r="H961" s="33">
        <v>2033</v>
      </c>
      <c r="I961" s="32">
        <v>11</v>
      </c>
      <c r="J961" s="406" cm="1">
        <f t="array" ref="J961">INDEX(implementatie[[2023]:[2034]],MATCH(G961, implementatie[Zoeksleutel],0),I961)</f>
        <v>0.93103704076606597</v>
      </c>
      <c r="K961" s="406" cm="1">
        <f t="array" ref="K961">INDEX(implementatie[[2023]:[2034]],MATCH(G961,implementatie[Zoeksleutel],0),I961 + 1)</f>
        <v>0.9545439594752464</v>
      </c>
      <c r="L96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1840757.9884837929</v>
      </c>
      <c r="M961" s="398" cm="1">
        <f t="array" ref="M961">J961*INDEX(Berekening_impact[Totaal arbeidsbesparing (€/jaar)],MATCH(B961,IF(Berekening_impact[Doelgroep]=C961,Berekening_impact[Digitale zorgtoepassing]),0))</f>
        <v>852382.11705034692</v>
      </c>
      <c r="N961" s="397" cm="1">
        <f t="array" ref="N961">J961*INDEX(Berekening_impact[Totaal arbeidsbesparing (FTE/jaar)],MATCH(B961,IF(Berekening_impact[Doelgroep]=C961,Berekening_impact[Digitale zorgtoepassing]),0))</f>
        <v>19.617052281117349</v>
      </c>
      <c r="O961" s="398" cm="1">
        <f t="array" ref="O961">J961*INDEX(Berekening_impact[Overige kostenbesparing (totaal/jaar totaal potentieel)],MATCH(B961,IF(Berekening_impact[Doelgroep]=C961,Berekening_impact[Digitale zorgtoepassing]),0))</f>
        <v>0</v>
      </c>
      <c r="P961" s="398" cm="1">
        <f t="array" ref="P961">J961*INDEX(Berekening_impact[Opbrengsten door QALY''s],MATCH(B961,IF(Berekening_impact[Doelgroep]=C961,Berekening_impact[Digitale zorgtoepassing]),0))</f>
        <v>0</v>
      </c>
      <c r="Q961" s="398" cm="1">
        <f t="array" ref="Q961">J961*INDEX(Berekening_impact[Jaarlijkse kosten (totaal) - incl. schatting],MATCH(B961,IF(Berekening_impact[Doelgroep]=C961,Berekening_impact[Digitale zorgtoepassing]),0))</f>
        <v>478873.30617592769</v>
      </c>
      <c r="R961" s="398" cm="1">
        <f t="array" ref="R961">(uitkomst_doelgroep[[#This Row],[Implementatiegraad t = T + 1]]-uitkomst_doelgroep[[#This Row],[Implementatiegraad t = T]])*INDEX(Berekening_impact[Initiële investering (totaal) - incl. schatting],MATCH(B961,IF(Berekening_impact[Doelgroep]=C961,Berekening_impact[Digitale zorgtoepassing]),0))</f>
        <v>4839.5778491737228</v>
      </c>
      <c r="S961" s="398">
        <f>uitkomst_doelgroep[[#This Row],[Arbeidsbesparing (€)]]*uitkomst_doelgroep[[#This Row],[Percentage van patiëntaantallen in Wlz (overige is Zvw)]]</f>
        <v>0</v>
      </c>
      <c r="T961" s="398">
        <f>uitkomst_doelgroep[[#This Row],[Overige besparingen (€)]]*uitkomst_doelgroep[[#This Row],[Percentage van patiëntaantallen in Wlz (overige is Zvw)]]</f>
        <v>0</v>
      </c>
      <c r="U961" s="398">
        <f>uitkomst_doelgroep[[#This Row],[Kosten (€)]]*uitkomst_doelgroep[[#This Row],[Percentage van patiëntaantallen in Wlz (overige is Zvw)]]</f>
        <v>0</v>
      </c>
      <c r="V961" s="398">
        <f>uitkomst_doelgroep[[#This Row],[Investering (cash flow) (€)]]*uitkomst_doelgroep[[#This Row],[Percentage van patiëntaantallen in Wlz (overige is Zvw)]]</f>
        <v>0</v>
      </c>
    </row>
    <row r="962" spans="1:22" x14ac:dyDescent="0.5">
      <c r="A962" s="33" t="str">
        <f>INDEX(Technologieën[Veld],MATCH(B962,Technologieën[Digitale zorgtoepassing],0))</f>
        <v>Software - Diagnose</v>
      </c>
      <c r="B962" s="33" t="s">
        <v>720</v>
      </c>
      <c r="C962" s="33" t="s">
        <v>73</v>
      </c>
      <c r="D962" s="427" cm="1">
        <f t="array" ref="D962">INDEX(Berekening_patiëntaantal[Percentage van patiëntaantallen in Wlz (overige is Zvw)],MATCH(B962,IF(Berekening_patiëntaantal[Doelgroep (zoeksleutel)]=C962,Berekening_patiëntaantal[Digitale zorgtoepassing]),0))</f>
        <v>0</v>
      </c>
      <c r="E962" s="33" t="str" cm="1">
        <f t="array" ref="E962">INDEX(Berekening_patiëntaantal[Direct toepasbaar/extrapolatie/incidentie voor QALY],MATCH(B962,IF(Berekening_patiëntaantal[Doelgroep (zoeksleutel)]=C962,Berekening_patiëntaantal[Digitale zorgtoepassing]),0))</f>
        <v>Huidige toepassing</v>
      </c>
      <c r="F962" s="33" t="s">
        <v>813</v>
      </c>
      <c r="G962" s="33" t="str">
        <f>CONCATENATE(uitkomst_doelgroep[[#This Row],[Digitale zorgtoepassing]],"_",uitkomst_doelgroep[[#This Row],[Doelgroep]],"_",uitkomst_doelgroep[[#This Row],[Uitgangssituatie/effect beleid]])</f>
        <v>Inzicht triagist digitale zelftriage HAP_HAP triageconsulten_U4/U5_Uitgangssituatie</v>
      </c>
      <c r="H962" s="33">
        <v>2023</v>
      </c>
      <c r="I962" s="32">
        <v>1</v>
      </c>
      <c r="J962" s="406" cm="1">
        <f t="array" ref="J962">INDEX(implementatie[[2023]:[2034]],MATCH(G962, implementatie[Zoeksleutel],0),I962)</f>
        <v>0.2</v>
      </c>
      <c r="K962" s="406" cm="1">
        <f t="array" ref="K962">INDEX(implementatie[[2023]:[2034]],MATCH(G962,implementatie[Zoeksleutel],0),I962 + 1)</f>
        <v>0.26800000000000002</v>
      </c>
      <c r="L96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286580</v>
      </c>
      <c r="M962" s="398" cm="1">
        <f t="array" ref="M962">J962*INDEX(Berekening_impact[Totaal arbeidsbesparing (€/jaar)],MATCH(B962,IF(Berekening_impact[Doelgroep]=C962,Berekening_impact[Digitale zorgtoepassing]),0))</f>
        <v>124721.66103927205</v>
      </c>
      <c r="N962" s="397" cm="1">
        <f t="array" ref="N962">J962*INDEX(Berekening_impact[Totaal arbeidsbesparing (FTE/jaar)],MATCH(B962,IF(Berekening_impact[Doelgroep]=C962,Berekening_impact[Digitale zorgtoepassing]),0))</f>
        <v>2.8703926282051282</v>
      </c>
      <c r="O962" s="398" cm="1">
        <f t="array" ref="O962">J962*INDEX(Berekening_impact[Overige kostenbesparing (totaal/jaar totaal potentieel)],MATCH(B962,IF(Berekening_impact[Doelgroep]=C962,Berekening_impact[Digitale zorgtoepassing]),0))</f>
        <v>0</v>
      </c>
      <c r="P962" s="398" cm="1">
        <f t="array" ref="P962">J962*INDEX(Berekening_impact[Opbrengsten door QALY''s],MATCH(B962,IF(Berekening_impact[Doelgroep]=C962,Berekening_impact[Digitale zorgtoepassing]),0))</f>
        <v>0</v>
      </c>
      <c r="Q962" s="398" cm="1">
        <f t="array" ref="Q962">J962*INDEX(Berekening_impact[Jaarlijkse kosten (totaal) - incl. schatting],MATCH(B962,IF(Berekening_impact[Doelgroep]=C962,Berekening_impact[Digitale zorgtoepassing]),0))</f>
        <v>136000</v>
      </c>
      <c r="R962" s="398" cm="1">
        <f t="array" ref="R962">(uitkomst_doelgroep[[#This Row],[Implementatiegraad t = T + 1]]-uitkomst_doelgroep[[#This Row],[Implementatiegraad t = T]])*INDEX(Berekening_impact[Initiële investering (totaal) - incl. schatting],MATCH(B962,IF(Berekening_impact[Doelgroep]=C962,Berekening_impact[Digitale zorgtoepassing]),0))</f>
        <v>54570.000000000007</v>
      </c>
      <c r="S962" s="398">
        <f>uitkomst_doelgroep[[#This Row],[Arbeidsbesparing (€)]]*uitkomst_doelgroep[[#This Row],[Percentage van patiëntaantallen in Wlz (overige is Zvw)]]</f>
        <v>0</v>
      </c>
      <c r="T962" s="398">
        <f>uitkomst_doelgroep[[#This Row],[Overige besparingen (€)]]*uitkomst_doelgroep[[#This Row],[Percentage van patiëntaantallen in Wlz (overige is Zvw)]]</f>
        <v>0</v>
      </c>
      <c r="U962" s="398">
        <f>uitkomst_doelgroep[[#This Row],[Kosten (€)]]*uitkomst_doelgroep[[#This Row],[Percentage van patiëntaantallen in Wlz (overige is Zvw)]]</f>
        <v>0</v>
      </c>
      <c r="V962" s="398">
        <f>uitkomst_doelgroep[[#This Row],[Investering (cash flow) (€)]]*uitkomst_doelgroep[[#This Row],[Percentage van patiëntaantallen in Wlz (overige is Zvw)]]</f>
        <v>0</v>
      </c>
    </row>
    <row r="963" spans="1:22" x14ac:dyDescent="0.5">
      <c r="A963" s="33" t="str">
        <f>INDEX(Technologieën[Veld],MATCH(B963,Technologieën[Digitale zorgtoepassing],0))</f>
        <v>Software - Diagnose</v>
      </c>
      <c r="B963" s="33" t="s">
        <v>720</v>
      </c>
      <c r="C963" s="33" t="s">
        <v>73</v>
      </c>
      <c r="D963" s="427" cm="1">
        <f t="array" ref="D963">INDEX(Berekening_patiëntaantal[Percentage van patiëntaantallen in Wlz (overige is Zvw)],MATCH(B963,IF(Berekening_patiëntaantal[Doelgroep (zoeksleutel)]=C963,Berekening_patiëntaantal[Digitale zorgtoepassing]),0))</f>
        <v>0</v>
      </c>
      <c r="E963" s="33" t="str" cm="1">
        <f t="array" ref="E963">INDEX(Berekening_patiëntaantal[Direct toepasbaar/extrapolatie/incidentie voor QALY],MATCH(B963,IF(Berekening_patiëntaantal[Doelgroep (zoeksleutel)]=C963,Berekening_patiëntaantal[Digitale zorgtoepassing]),0))</f>
        <v>Huidige toepassing</v>
      </c>
      <c r="F963" s="33" t="s">
        <v>813</v>
      </c>
      <c r="G963" s="33" t="str">
        <f>CONCATENATE(uitkomst_doelgroep[[#This Row],[Digitale zorgtoepassing]],"_",uitkomst_doelgroep[[#This Row],[Doelgroep]],"_",uitkomst_doelgroep[[#This Row],[Uitgangssituatie/effect beleid]])</f>
        <v>Inzicht triagist digitale zelftriage HAP_HAP triageconsulten_U4/U5_Uitgangssituatie</v>
      </c>
      <c r="H963" s="33">
        <v>2024</v>
      </c>
      <c r="I963" s="32">
        <v>2</v>
      </c>
      <c r="J963" s="406" cm="1">
        <f t="array" ref="J963">INDEX(implementatie[[2023]:[2034]],MATCH(G963, implementatie[Zoeksleutel],0),I963)</f>
        <v>0.26800000000000002</v>
      </c>
      <c r="K963" s="406" cm="1">
        <f t="array" ref="K963">INDEX(implementatie[[2023]:[2034]],MATCH(G963,implementatie[Zoeksleutel],0),I963 + 1)</f>
        <v>0.3476416</v>
      </c>
      <c r="L96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384017.2</v>
      </c>
      <c r="M963" s="398" cm="1">
        <f t="array" ref="M963">J963*INDEX(Berekening_impact[Totaal arbeidsbesparing (€/jaar)],MATCH(B963,IF(Berekening_impact[Doelgroep]=C963,Berekening_impact[Digitale zorgtoepassing]),0))</f>
        <v>167127.02579262454</v>
      </c>
      <c r="N963" s="397" cm="1">
        <f t="array" ref="N963">J963*INDEX(Berekening_impact[Totaal arbeidsbesparing (FTE/jaar)],MATCH(B963,IF(Berekening_impact[Doelgroep]=C963,Berekening_impact[Digitale zorgtoepassing]),0))</f>
        <v>3.8463261217948719</v>
      </c>
      <c r="O963" s="398" cm="1">
        <f t="array" ref="O963">J963*INDEX(Berekening_impact[Overige kostenbesparing (totaal/jaar totaal potentieel)],MATCH(B963,IF(Berekening_impact[Doelgroep]=C963,Berekening_impact[Digitale zorgtoepassing]),0))</f>
        <v>0</v>
      </c>
      <c r="P963" s="398" cm="1">
        <f t="array" ref="P963">J963*INDEX(Berekening_impact[Opbrengsten door QALY''s],MATCH(B963,IF(Berekening_impact[Doelgroep]=C963,Berekening_impact[Digitale zorgtoepassing]),0))</f>
        <v>0</v>
      </c>
      <c r="Q963" s="398" cm="1">
        <f t="array" ref="Q963">J963*INDEX(Berekening_impact[Jaarlijkse kosten (totaal) - incl. schatting],MATCH(B963,IF(Berekening_impact[Doelgroep]=C963,Berekening_impact[Digitale zorgtoepassing]),0))</f>
        <v>182240</v>
      </c>
      <c r="R963" s="398" cm="1">
        <f t="array" ref="R963">(uitkomst_doelgroep[[#This Row],[Implementatiegraad t = T + 1]]-uitkomst_doelgroep[[#This Row],[Implementatiegraad t = T]])*INDEX(Berekening_impact[Initiële investering (totaal) - incl. schatting],MATCH(B963,IF(Berekening_impact[Doelgroep]=C963,Berekening_impact[Digitale zorgtoepassing]),0))</f>
        <v>63912.383999999984</v>
      </c>
      <c r="S963" s="398">
        <f>uitkomst_doelgroep[[#This Row],[Arbeidsbesparing (€)]]*uitkomst_doelgroep[[#This Row],[Percentage van patiëntaantallen in Wlz (overige is Zvw)]]</f>
        <v>0</v>
      </c>
      <c r="T963" s="398">
        <f>uitkomst_doelgroep[[#This Row],[Overige besparingen (€)]]*uitkomst_doelgroep[[#This Row],[Percentage van patiëntaantallen in Wlz (overige is Zvw)]]</f>
        <v>0</v>
      </c>
      <c r="U963" s="398">
        <f>uitkomst_doelgroep[[#This Row],[Kosten (€)]]*uitkomst_doelgroep[[#This Row],[Percentage van patiëntaantallen in Wlz (overige is Zvw)]]</f>
        <v>0</v>
      </c>
      <c r="V963" s="398">
        <f>uitkomst_doelgroep[[#This Row],[Investering (cash flow) (€)]]*uitkomst_doelgroep[[#This Row],[Percentage van patiëntaantallen in Wlz (overige is Zvw)]]</f>
        <v>0</v>
      </c>
    </row>
    <row r="964" spans="1:22" x14ac:dyDescent="0.5">
      <c r="A964" s="33" t="str">
        <f>INDEX(Technologieën[Veld],MATCH(B964,Technologieën[Digitale zorgtoepassing],0))</f>
        <v>Software - Diagnose</v>
      </c>
      <c r="B964" s="33" t="s">
        <v>720</v>
      </c>
      <c r="C964" s="33" t="s">
        <v>73</v>
      </c>
      <c r="D964" s="427" cm="1">
        <f t="array" ref="D964">INDEX(Berekening_patiëntaantal[Percentage van patiëntaantallen in Wlz (overige is Zvw)],MATCH(B964,IF(Berekening_patiëntaantal[Doelgroep (zoeksleutel)]=C964,Berekening_patiëntaantal[Digitale zorgtoepassing]),0))</f>
        <v>0</v>
      </c>
      <c r="E964" s="33" t="str" cm="1">
        <f t="array" ref="E964">INDEX(Berekening_patiëntaantal[Direct toepasbaar/extrapolatie/incidentie voor QALY],MATCH(B964,IF(Berekening_patiëntaantal[Doelgroep (zoeksleutel)]=C964,Berekening_patiëntaantal[Digitale zorgtoepassing]),0))</f>
        <v>Huidige toepassing</v>
      </c>
      <c r="F964" s="33" t="s">
        <v>813</v>
      </c>
      <c r="G964" s="33" t="str">
        <f>CONCATENATE(uitkomst_doelgroep[[#This Row],[Digitale zorgtoepassing]],"_",uitkomst_doelgroep[[#This Row],[Doelgroep]],"_",uitkomst_doelgroep[[#This Row],[Uitgangssituatie/effect beleid]])</f>
        <v>Inzicht triagist digitale zelftriage HAP_HAP triageconsulten_U4/U5_Uitgangssituatie</v>
      </c>
      <c r="H964" s="33">
        <v>2025</v>
      </c>
      <c r="I964" s="32">
        <v>3</v>
      </c>
      <c r="J964" s="406" cm="1">
        <f t="array" ref="J964">INDEX(implementatie[[2023]:[2034]],MATCH(G964, implementatie[Zoeksleutel],0),I964)</f>
        <v>0.3476416</v>
      </c>
      <c r="K964" s="406" cm="1">
        <f t="array" ref="K964">INDEX(implementatie[[2023]:[2034]],MATCH(G964,implementatie[Zoeksleutel],0),I964 + 1)</f>
        <v>0.43680239728230397</v>
      </c>
      <c r="L96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498135.64863999997</v>
      </c>
      <c r="M964" s="398" cm="1">
        <f t="array" ref="M964">J964*INDEX(Berekening_impact[Totaal arbeidsbesparing (€/jaar)],MATCH(B964,IF(Berekening_impact[Doelgroep]=C964,Berekening_impact[Digitale zorgtoepassing]),0))</f>
        <v>216792.18899175097</v>
      </c>
      <c r="N964" s="397" cm="1">
        <f t="array" ref="N964">J964*INDEX(Berekening_impact[Totaal arbeidsbesparing (FTE/jaar)],MATCH(B964,IF(Berekening_impact[Doelgroep]=C964,Berekening_impact[Digitale zorgtoepassing]),0))</f>
        <v>4.9893394294871793</v>
      </c>
      <c r="O964" s="398" cm="1">
        <f t="array" ref="O964">J964*INDEX(Berekening_impact[Overige kostenbesparing (totaal/jaar totaal potentieel)],MATCH(B964,IF(Berekening_impact[Doelgroep]=C964,Berekening_impact[Digitale zorgtoepassing]),0))</f>
        <v>0</v>
      </c>
      <c r="P964" s="398" cm="1">
        <f t="array" ref="P964">J964*INDEX(Berekening_impact[Opbrengsten door QALY''s],MATCH(B964,IF(Berekening_impact[Doelgroep]=C964,Berekening_impact[Digitale zorgtoepassing]),0))</f>
        <v>0</v>
      </c>
      <c r="Q964" s="398" cm="1">
        <f t="array" ref="Q964">J964*INDEX(Berekening_impact[Jaarlijkse kosten (totaal) - incl. schatting],MATCH(B964,IF(Berekening_impact[Doelgroep]=C964,Berekening_impact[Digitale zorgtoepassing]),0))</f>
        <v>236396.288</v>
      </c>
      <c r="R964" s="398" cm="1">
        <f t="array" ref="R964">(uitkomst_doelgroep[[#This Row],[Implementatiegraad t = T + 1]]-uitkomst_doelgroep[[#This Row],[Implementatiegraad t = T]])*INDEX(Berekening_impact[Initiële investering (totaal) - incl. schatting],MATCH(B964,IF(Berekening_impact[Doelgroep]=C964,Berekening_impact[Digitale zorgtoepassing]),0))</f>
        <v>71551.539819048936</v>
      </c>
      <c r="S964" s="398">
        <f>uitkomst_doelgroep[[#This Row],[Arbeidsbesparing (€)]]*uitkomst_doelgroep[[#This Row],[Percentage van patiëntaantallen in Wlz (overige is Zvw)]]</f>
        <v>0</v>
      </c>
      <c r="T964" s="398">
        <f>uitkomst_doelgroep[[#This Row],[Overige besparingen (€)]]*uitkomst_doelgroep[[#This Row],[Percentage van patiëntaantallen in Wlz (overige is Zvw)]]</f>
        <v>0</v>
      </c>
      <c r="U964" s="398">
        <f>uitkomst_doelgroep[[#This Row],[Kosten (€)]]*uitkomst_doelgroep[[#This Row],[Percentage van patiëntaantallen in Wlz (overige is Zvw)]]</f>
        <v>0</v>
      </c>
      <c r="V964" s="398">
        <f>uitkomst_doelgroep[[#This Row],[Investering (cash flow) (€)]]*uitkomst_doelgroep[[#This Row],[Percentage van patiëntaantallen in Wlz (overige is Zvw)]]</f>
        <v>0</v>
      </c>
    </row>
    <row r="965" spans="1:22" x14ac:dyDescent="0.5">
      <c r="A965" s="33" t="str">
        <f>INDEX(Technologieën[Veld],MATCH(B965,Technologieën[Digitale zorgtoepassing],0))</f>
        <v>Software - Diagnose</v>
      </c>
      <c r="B965" s="33" t="s">
        <v>720</v>
      </c>
      <c r="C965" s="33" t="s">
        <v>73</v>
      </c>
      <c r="D965" s="427" cm="1">
        <f t="array" ref="D965">INDEX(Berekening_patiëntaantal[Percentage van patiëntaantallen in Wlz (overige is Zvw)],MATCH(B965,IF(Berekening_patiëntaantal[Doelgroep (zoeksleutel)]=C965,Berekening_patiëntaantal[Digitale zorgtoepassing]),0))</f>
        <v>0</v>
      </c>
      <c r="E965" s="33" t="str" cm="1">
        <f t="array" ref="E965">INDEX(Berekening_patiëntaantal[Direct toepasbaar/extrapolatie/incidentie voor QALY],MATCH(B965,IF(Berekening_patiëntaantal[Doelgroep (zoeksleutel)]=C965,Berekening_patiëntaantal[Digitale zorgtoepassing]),0))</f>
        <v>Huidige toepassing</v>
      </c>
      <c r="F965" s="33" t="s">
        <v>813</v>
      </c>
      <c r="G965" s="33" t="str">
        <f>CONCATENATE(uitkomst_doelgroep[[#This Row],[Digitale zorgtoepassing]],"_",uitkomst_doelgroep[[#This Row],[Doelgroep]],"_",uitkomst_doelgroep[[#This Row],[Uitgangssituatie/effect beleid]])</f>
        <v>Inzicht triagist digitale zelftriage HAP_HAP triageconsulten_U4/U5_Uitgangssituatie</v>
      </c>
      <c r="H965" s="33">
        <v>2026</v>
      </c>
      <c r="I965" s="32">
        <v>4</v>
      </c>
      <c r="J965" s="406" cm="1">
        <f t="array" ref="J965">INDEX(implementatie[[2023]:[2034]],MATCH(G965, implementatie[Zoeksleutel],0),I965)</f>
        <v>0.43680239728230397</v>
      </c>
      <c r="K965" s="406" cm="1">
        <f t="array" ref="K965">INDEX(implementatie[[2023]:[2034]],MATCH(G965,implementatie[Zoeksleutel],0),I965 + 1)</f>
        <v>0.53135248337682706</v>
      </c>
      <c r="L96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625894.15506581333</v>
      </c>
      <c r="M965" s="398" cm="1">
        <f t="array" ref="M965">J965*INDEX(Berekening_impact[Totaal arbeidsbesparing (€/jaar)],MATCH(B965,IF(Berekening_impact[Doelgroep]=C965,Berekening_impact[Digitale zorgtoepassing]),0))</f>
        <v>272393.60267492483</v>
      </c>
      <c r="N965" s="397" cm="1">
        <f t="array" ref="N965">J965*INDEX(Berekening_impact[Totaal arbeidsbesparing (FTE/jaar)],MATCH(B965,IF(Berekening_impact[Doelgroep]=C965,Berekening_impact[Digitale zorgtoepassing]),0))</f>
        <v>6.2689719057072653</v>
      </c>
      <c r="O965" s="398" cm="1">
        <f t="array" ref="O965">J965*INDEX(Berekening_impact[Overige kostenbesparing (totaal/jaar totaal potentieel)],MATCH(B965,IF(Berekening_impact[Doelgroep]=C965,Berekening_impact[Digitale zorgtoepassing]),0))</f>
        <v>0</v>
      </c>
      <c r="P965" s="398" cm="1">
        <f t="array" ref="P965">J965*INDEX(Berekening_impact[Opbrengsten door QALY''s],MATCH(B965,IF(Berekening_impact[Doelgroep]=C965,Berekening_impact[Digitale zorgtoepassing]),0))</f>
        <v>0</v>
      </c>
      <c r="Q965" s="398" cm="1">
        <f t="array" ref="Q965">J965*INDEX(Berekening_impact[Jaarlijkse kosten (totaal) - incl. schatting],MATCH(B965,IF(Berekening_impact[Doelgroep]=C965,Berekening_impact[Digitale zorgtoepassing]),0))</f>
        <v>297025.6301519667</v>
      </c>
      <c r="R965" s="398" cm="1">
        <f t="array" ref="R965">(uitkomst_doelgroep[[#This Row],[Implementatiegraad t = T + 1]]-uitkomst_doelgroep[[#This Row],[Implementatiegraad t = T]])*INDEX(Berekening_impact[Initiële investering (totaal) - incl. schatting],MATCH(B965,IF(Berekening_impact[Doelgroep]=C965,Berekening_impact[Digitale zorgtoepassing]),0))</f>
        <v>75876.444090854784</v>
      </c>
      <c r="S965" s="398">
        <f>uitkomst_doelgroep[[#This Row],[Arbeidsbesparing (€)]]*uitkomst_doelgroep[[#This Row],[Percentage van patiëntaantallen in Wlz (overige is Zvw)]]</f>
        <v>0</v>
      </c>
      <c r="T965" s="398">
        <f>uitkomst_doelgroep[[#This Row],[Overige besparingen (€)]]*uitkomst_doelgroep[[#This Row],[Percentage van patiëntaantallen in Wlz (overige is Zvw)]]</f>
        <v>0</v>
      </c>
      <c r="U965" s="398">
        <f>uitkomst_doelgroep[[#This Row],[Kosten (€)]]*uitkomst_doelgroep[[#This Row],[Percentage van patiëntaantallen in Wlz (overige is Zvw)]]</f>
        <v>0</v>
      </c>
      <c r="V965" s="398">
        <f>uitkomst_doelgroep[[#This Row],[Investering (cash flow) (€)]]*uitkomst_doelgroep[[#This Row],[Percentage van patiëntaantallen in Wlz (overige is Zvw)]]</f>
        <v>0</v>
      </c>
    </row>
    <row r="966" spans="1:22" x14ac:dyDescent="0.5">
      <c r="A966" s="33" t="str">
        <f>INDEX(Technologieën[Veld],MATCH(B966,Technologieën[Digitale zorgtoepassing],0))</f>
        <v>Software - Diagnose</v>
      </c>
      <c r="B966" s="33" t="s">
        <v>720</v>
      </c>
      <c r="C966" s="33" t="s">
        <v>73</v>
      </c>
      <c r="D966" s="427" cm="1">
        <f t="array" ref="D966">INDEX(Berekening_patiëntaantal[Percentage van patiëntaantallen in Wlz (overige is Zvw)],MATCH(B966,IF(Berekening_patiëntaantal[Doelgroep (zoeksleutel)]=C966,Berekening_patiëntaantal[Digitale zorgtoepassing]),0))</f>
        <v>0</v>
      </c>
      <c r="E966" s="33" t="str" cm="1">
        <f t="array" ref="E966">INDEX(Berekening_patiëntaantal[Direct toepasbaar/extrapolatie/incidentie voor QALY],MATCH(B966,IF(Berekening_patiëntaantal[Doelgroep (zoeksleutel)]=C966,Berekening_patiëntaantal[Digitale zorgtoepassing]),0))</f>
        <v>Huidige toepassing</v>
      </c>
      <c r="F966" s="33" t="s">
        <v>813</v>
      </c>
      <c r="G966" s="33" t="str">
        <f>CONCATENATE(uitkomst_doelgroep[[#This Row],[Digitale zorgtoepassing]],"_",uitkomst_doelgroep[[#This Row],[Doelgroep]],"_",uitkomst_doelgroep[[#This Row],[Uitgangssituatie/effect beleid]])</f>
        <v>Inzicht triagist digitale zelftriage HAP_HAP triageconsulten_U4/U5_Uitgangssituatie</v>
      </c>
      <c r="H966" s="33">
        <v>2027</v>
      </c>
      <c r="I966" s="32">
        <v>5</v>
      </c>
      <c r="J966" s="406" cm="1">
        <f t="array" ref="J966">INDEX(implementatie[[2023]:[2034]],MATCH(G966, implementatie[Zoeksleutel],0),I966)</f>
        <v>0.53135248337682706</v>
      </c>
      <c r="K966" s="406" cm="1">
        <f t="array" ref="K966">INDEX(implementatie[[2023]:[2034]],MATCH(G966,implementatie[Zoeksleutel],0),I966 + 1)</f>
        <v>0.62553815375131172</v>
      </c>
      <c r="L96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761374.97343065543</v>
      </c>
      <c r="M966" s="398" cm="1">
        <f t="array" ref="M966">J966*INDEX(Berekening_impact[Totaal arbeidsbesparing (€/jaar)],MATCH(B966,IF(Berekening_impact[Doelgroep]=C966,Berekening_impact[Digitale zorgtoepassing]),0))</f>
        <v>331355.8216205003</v>
      </c>
      <c r="N966" s="397" cm="1">
        <f t="array" ref="N966">J966*INDEX(Berekening_impact[Totaal arbeidsbesparing (FTE/jaar)],MATCH(B966,IF(Berekening_impact[Doelgroep]=C966,Berekening_impact[Digitale zorgtoepassing]),0))</f>
        <v>7.6259512563166609</v>
      </c>
      <c r="O966" s="398" cm="1">
        <f t="array" ref="O966">J966*INDEX(Berekening_impact[Overige kostenbesparing (totaal/jaar totaal potentieel)],MATCH(B966,IF(Berekening_impact[Doelgroep]=C966,Berekening_impact[Digitale zorgtoepassing]),0))</f>
        <v>0</v>
      </c>
      <c r="P966" s="398" cm="1">
        <f t="array" ref="P966">J966*INDEX(Berekening_impact[Opbrengsten door QALY''s],MATCH(B966,IF(Berekening_impact[Doelgroep]=C966,Berekening_impact[Digitale zorgtoepassing]),0))</f>
        <v>0</v>
      </c>
      <c r="Q966" s="398" cm="1">
        <f t="array" ref="Q966">J966*INDEX(Berekening_impact[Jaarlijkse kosten (totaal) - incl. schatting],MATCH(B966,IF(Berekening_impact[Doelgroep]=C966,Berekening_impact[Digitale zorgtoepassing]),0))</f>
        <v>361319.6886962424</v>
      </c>
      <c r="R966" s="398" cm="1">
        <f t="array" ref="R966">(uitkomst_doelgroep[[#This Row],[Implementatiegraad t = T + 1]]-uitkomst_doelgroep[[#This Row],[Implementatiegraad t = T]])*INDEX(Berekening_impact[Initiële investering (totaal) - incl. schatting],MATCH(B966,IF(Berekening_impact[Doelgroep]=C966,Berekening_impact[Digitale zorgtoepassing]),0))</f>
        <v>75584.00047552395</v>
      </c>
      <c r="S966" s="398">
        <f>uitkomst_doelgroep[[#This Row],[Arbeidsbesparing (€)]]*uitkomst_doelgroep[[#This Row],[Percentage van patiëntaantallen in Wlz (overige is Zvw)]]</f>
        <v>0</v>
      </c>
      <c r="T966" s="398">
        <f>uitkomst_doelgroep[[#This Row],[Overige besparingen (€)]]*uitkomst_doelgroep[[#This Row],[Percentage van patiëntaantallen in Wlz (overige is Zvw)]]</f>
        <v>0</v>
      </c>
      <c r="U966" s="398">
        <f>uitkomst_doelgroep[[#This Row],[Kosten (€)]]*uitkomst_doelgroep[[#This Row],[Percentage van patiëntaantallen in Wlz (overige is Zvw)]]</f>
        <v>0</v>
      </c>
      <c r="V966" s="398">
        <f>uitkomst_doelgroep[[#This Row],[Investering (cash flow) (€)]]*uitkomst_doelgroep[[#This Row],[Percentage van patiëntaantallen in Wlz (overige is Zvw)]]</f>
        <v>0</v>
      </c>
    </row>
    <row r="967" spans="1:22" x14ac:dyDescent="0.5">
      <c r="A967" s="33" t="str">
        <f>INDEX(Technologieën[Veld],MATCH(B967,Technologieën[Digitale zorgtoepassing],0))</f>
        <v>Software - Diagnose</v>
      </c>
      <c r="B967" s="33" t="s">
        <v>720</v>
      </c>
      <c r="C967" s="33" t="s">
        <v>73</v>
      </c>
      <c r="D967" s="427" cm="1">
        <f t="array" ref="D967">INDEX(Berekening_patiëntaantal[Percentage van patiëntaantallen in Wlz (overige is Zvw)],MATCH(B967,IF(Berekening_patiëntaantal[Doelgroep (zoeksleutel)]=C967,Berekening_patiëntaantal[Digitale zorgtoepassing]),0))</f>
        <v>0</v>
      </c>
      <c r="E967" s="33" t="str" cm="1">
        <f t="array" ref="E967">INDEX(Berekening_patiëntaantal[Direct toepasbaar/extrapolatie/incidentie voor QALY],MATCH(B967,IF(Berekening_patiëntaantal[Doelgroep (zoeksleutel)]=C967,Berekening_patiëntaantal[Digitale zorgtoepassing]),0))</f>
        <v>Huidige toepassing</v>
      </c>
      <c r="F967" s="33" t="s">
        <v>813</v>
      </c>
      <c r="G967" s="33" t="str">
        <f>CONCATENATE(uitkomst_doelgroep[[#This Row],[Digitale zorgtoepassing]],"_",uitkomst_doelgroep[[#This Row],[Doelgroep]],"_",uitkomst_doelgroep[[#This Row],[Uitgangssituatie/effect beleid]])</f>
        <v>Inzicht triagist digitale zelftriage HAP_HAP triageconsulten_U4/U5_Uitgangssituatie</v>
      </c>
      <c r="H967" s="33">
        <v>2028</v>
      </c>
      <c r="I967" s="32">
        <v>6</v>
      </c>
      <c r="J967" s="406" cm="1">
        <f t="array" ref="J967">INDEX(implementatie[[2023]:[2034]],MATCH(G967, implementatie[Zoeksleutel],0),I967)</f>
        <v>0.62553815375131172</v>
      </c>
      <c r="K967" s="406" cm="1">
        <f t="array" ref="K967">INDEX(implementatie[[2023]:[2034]],MATCH(G967,implementatie[Zoeksleutel],0),I967 + 1)</f>
        <v>0.71313914162849124</v>
      </c>
      <c r="L96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896333.62051025452</v>
      </c>
      <c r="M967" s="398" cm="1">
        <f t="array" ref="M967">J967*INDEX(Berekening_impact[Totaal arbeidsbesparing (€/jaar)],MATCH(B967,IF(Berekening_impact[Doelgroep]=C967,Berekening_impact[Digitale zorgtoepassing]),0))</f>
        <v>390090.78789651569</v>
      </c>
      <c r="N967" s="397" cm="1">
        <f t="array" ref="N967">J967*INDEX(Berekening_impact[Totaal arbeidsbesparing (FTE/jaar)],MATCH(B967,IF(Berekening_impact[Doelgroep]=C967,Berekening_impact[Digitale zorgtoepassing]),0))</f>
        <v>8.977700525944055</v>
      </c>
      <c r="O967" s="398" cm="1">
        <f t="array" ref="O967">J967*INDEX(Berekening_impact[Overige kostenbesparing (totaal/jaar totaal potentieel)],MATCH(B967,IF(Berekening_impact[Doelgroep]=C967,Berekening_impact[Digitale zorgtoepassing]),0))</f>
        <v>0</v>
      </c>
      <c r="P967" s="398" cm="1">
        <f t="array" ref="P967">J967*INDEX(Berekening_impact[Opbrengsten door QALY''s],MATCH(B967,IF(Berekening_impact[Doelgroep]=C967,Berekening_impact[Digitale zorgtoepassing]),0))</f>
        <v>0</v>
      </c>
      <c r="Q967" s="398" cm="1">
        <f t="array" ref="Q967">J967*INDEX(Berekening_impact[Jaarlijkse kosten (totaal) - incl. schatting],MATCH(B967,IF(Berekening_impact[Doelgroep]=C967,Berekening_impact[Digitale zorgtoepassing]),0))</f>
        <v>425365.94455089199</v>
      </c>
      <c r="R967" s="398" cm="1">
        <f t="array" ref="R967">(uitkomst_doelgroep[[#This Row],[Implementatiegraad t = T + 1]]-uitkomst_doelgroep[[#This Row],[Implementatiegraad t = T]])*INDEX(Berekening_impact[Initiële investering (totaal) - incl. schatting],MATCH(B967,IF(Berekening_impact[Doelgroep]=C967,Berekening_impact[Digitale zorgtoepassing]),0))</f>
        <v>70299.792771436565</v>
      </c>
      <c r="S967" s="398">
        <f>uitkomst_doelgroep[[#This Row],[Arbeidsbesparing (€)]]*uitkomst_doelgroep[[#This Row],[Percentage van patiëntaantallen in Wlz (overige is Zvw)]]</f>
        <v>0</v>
      </c>
      <c r="T967" s="398">
        <f>uitkomst_doelgroep[[#This Row],[Overige besparingen (€)]]*uitkomst_doelgroep[[#This Row],[Percentage van patiëntaantallen in Wlz (overige is Zvw)]]</f>
        <v>0</v>
      </c>
      <c r="U967" s="398">
        <f>uitkomst_doelgroep[[#This Row],[Kosten (€)]]*uitkomst_doelgroep[[#This Row],[Percentage van patiëntaantallen in Wlz (overige is Zvw)]]</f>
        <v>0</v>
      </c>
      <c r="V967" s="398">
        <f>uitkomst_doelgroep[[#This Row],[Investering (cash flow) (€)]]*uitkomst_doelgroep[[#This Row],[Percentage van patiëntaantallen in Wlz (overige is Zvw)]]</f>
        <v>0</v>
      </c>
    </row>
    <row r="968" spans="1:22" x14ac:dyDescent="0.5">
      <c r="A968" s="33" t="str">
        <f>INDEX(Technologieën[Veld],MATCH(B968,Technologieën[Digitale zorgtoepassing],0))</f>
        <v>Software - Diagnose</v>
      </c>
      <c r="B968" s="33" t="s">
        <v>720</v>
      </c>
      <c r="C968" s="33" t="s">
        <v>73</v>
      </c>
      <c r="D968" s="427" cm="1">
        <f t="array" ref="D968">INDEX(Berekening_patiëntaantal[Percentage van patiëntaantallen in Wlz (overige is Zvw)],MATCH(B968,IF(Berekening_patiëntaantal[Doelgroep (zoeksleutel)]=C968,Berekening_patiëntaantal[Digitale zorgtoepassing]),0))</f>
        <v>0</v>
      </c>
      <c r="E968" s="33" t="str" cm="1">
        <f t="array" ref="E968">INDEX(Berekening_patiëntaantal[Direct toepasbaar/extrapolatie/incidentie voor QALY],MATCH(B968,IF(Berekening_patiëntaantal[Doelgroep (zoeksleutel)]=C968,Berekening_patiëntaantal[Digitale zorgtoepassing]),0))</f>
        <v>Huidige toepassing</v>
      </c>
      <c r="F968" s="33" t="s">
        <v>813</v>
      </c>
      <c r="G968" s="33" t="str">
        <f>CONCATENATE(uitkomst_doelgroep[[#This Row],[Digitale zorgtoepassing]],"_",uitkomst_doelgroep[[#This Row],[Doelgroep]],"_",uitkomst_doelgroep[[#This Row],[Uitgangssituatie/effect beleid]])</f>
        <v>Inzicht triagist digitale zelftriage HAP_HAP triageconsulten_U4/U5_Uitgangssituatie</v>
      </c>
      <c r="H968" s="33">
        <v>2029</v>
      </c>
      <c r="I968" s="32">
        <v>7</v>
      </c>
      <c r="J968" s="406" cm="1">
        <f t="array" ref="J968">INDEX(implementatie[[2023]:[2034]],MATCH(G968, implementatie[Zoeksleutel],0),I968)</f>
        <v>0.71313914162849124</v>
      </c>
      <c r="K968" s="406" cm="1">
        <f t="array" ref="K968">INDEX(implementatie[[2023]:[2034]],MATCH(G968,implementatie[Zoeksleutel],0),I968 + 1)</f>
        <v>0.78904215171111836</v>
      </c>
      <c r="L96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1021857.0760394651</v>
      </c>
      <c r="M968" s="398" cm="1">
        <f t="array" ref="M968">J968*INDEX(Berekening_impact[Totaal arbeidsbesparing (€/jaar)],MATCH(B968,IF(Berekening_impact[Doelgroep]=C968,Berekening_impact[Digitale zorgtoepassing]),0))</f>
        <v>444719.49148013053</v>
      </c>
      <c r="N968" s="397" cm="1">
        <f t="array" ref="N968">J968*INDEX(Berekening_impact[Totaal arbeidsbesparing (FTE/jaar)],MATCH(B968,IF(Berekening_impact[Doelgroep]=C968,Berekening_impact[Digitale zorgtoepassing]),0))</f>
        <v>10.23494667507477</v>
      </c>
      <c r="O968" s="398" cm="1">
        <f t="array" ref="O968">J968*INDEX(Berekening_impact[Overige kostenbesparing (totaal/jaar totaal potentieel)],MATCH(B968,IF(Berekening_impact[Doelgroep]=C968,Berekening_impact[Digitale zorgtoepassing]),0))</f>
        <v>0</v>
      </c>
      <c r="P968" s="398" cm="1">
        <f t="array" ref="P968">J968*INDEX(Berekening_impact[Opbrengsten door QALY''s],MATCH(B968,IF(Berekening_impact[Doelgroep]=C968,Berekening_impact[Digitale zorgtoepassing]),0))</f>
        <v>0</v>
      </c>
      <c r="Q968" s="398" cm="1">
        <f t="array" ref="Q968">J968*INDEX(Berekening_impact[Jaarlijkse kosten (totaal) - incl. schatting],MATCH(B968,IF(Berekening_impact[Doelgroep]=C968,Berekening_impact[Digitale zorgtoepassing]),0))</f>
        <v>484934.61630737403</v>
      </c>
      <c r="R968" s="398" cm="1">
        <f t="array" ref="R968">(uitkomst_doelgroep[[#This Row],[Implementatiegraad t = T + 1]]-uitkomst_doelgroep[[#This Row],[Implementatiegraad t = T]])*INDEX(Berekening_impact[Initiële investering (totaal) - incl. schatting],MATCH(B968,IF(Berekening_impact[Doelgroep]=C968,Berekening_impact[Digitale zorgtoepassing]),0))</f>
        <v>60912.165591308265</v>
      </c>
      <c r="S968" s="398">
        <f>uitkomst_doelgroep[[#This Row],[Arbeidsbesparing (€)]]*uitkomst_doelgroep[[#This Row],[Percentage van patiëntaantallen in Wlz (overige is Zvw)]]</f>
        <v>0</v>
      </c>
      <c r="T968" s="398">
        <f>uitkomst_doelgroep[[#This Row],[Overige besparingen (€)]]*uitkomst_doelgroep[[#This Row],[Percentage van patiëntaantallen in Wlz (overige is Zvw)]]</f>
        <v>0</v>
      </c>
      <c r="U968" s="398">
        <f>uitkomst_doelgroep[[#This Row],[Kosten (€)]]*uitkomst_doelgroep[[#This Row],[Percentage van patiëntaantallen in Wlz (overige is Zvw)]]</f>
        <v>0</v>
      </c>
      <c r="V968" s="398">
        <f>uitkomst_doelgroep[[#This Row],[Investering (cash flow) (€)]]*uitkomst_doelgroep[[#This Row],[Percentage van patiëntaantallen in Wlz (overige is Zvw)]]</f>
        <v>0</v>
      </c>
    </row>
    <row r="969" spans="1:22" x14ac:dyDescent="0.5">
      <c r="A969" s="33" t="str">
        <f>INDEX(Technologieën[Veld],MATCH(B969,Technologieën[Digitale zorgtoepassing],0))</f>
        <v>Software - Diagnose</v>
      </c>
      <c r="B969" s="33" t="s">
        <v>720</v>
      </c>
      <c r="C969" s="33" t="s">
        <v>73</v>
      </c>
      <c r="D969" s="427" cm="1">
        <f t="array" ref="D969">INDEX(Berekening_patiëntaantal[Percentage van patiëntaantallen in Wlz (overige is Zvw)],MATCH(B969,IF(Berekening_patiëntaantal[Doelgroep (zoeksleutel)]=C969,Berekening_patiëntaantal[Digitale zorgtoepassing]),0))</f>
        <v>0</v>
      </c>
      <c r="E969" s="33" t="str" cm="1">
        <f t="array" ref="E969">INDEX(Berekening_patiëntaantal[Direct toepasbaar/extrapolatie/incidentie voor QALY],MATCH(B969,IF(Berekening_patiëntaantal[Doelgroep (zoeksleutel)]=C969,Berekening_patiëntaantal[Digitale zorgtoepassing]),0))</f>
        <v>Huidige toepassing</v>
      </c>
      <c r="F969" s="33" t="s">
        <v>813</v>
      </c>
      <c r="G969" s="33" t="str">
        <f>CONCATENATE(uitkomst_doelgroep[[#This Row],[Digitale zorgtoepassing]],"_",uitkomst_doelgroep[[#This Row],[Doelgroep]],"_",uitkomst_doelgroep[[#This Row],[Uitgangssituatie/effect beleid]])</f>
        <v>Inzicht triagist digitale zelftriage HAP_HAP triageconsulten_U4/U5_Uitgangssituatie</v>
      </c>
      <c r="H969" s="33">
        <v>2030</v>
      </c>
      <c r="I969" s="32">
        <v>8</v>
      </c>
      <c r="J969" s="406" cm="1">
        <f t="array" ref="J969">INDEX(implementatie[[2023]:[2034]],MATCH(G969, implementatie[Zoeksleutel],0),I969)</f>
        <v>0.78904215171111836</v>
      </c>
      <c r="K969" s="406" cm="1">
        <f t="array" ref="K969">INDEX(implementatie[[2023]:[2034]],MATCH(G969,implementatie[Zoeksleutel],0),I969 + 1)</f>
        <v>0.85046564152242399</v>
      </c>
      <c r="L96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1130618.4991868616</v>
      </c>
      <c r="M969" s="398" cm="1">
        <f t="array" ref="M969">J969*INDEX(Berekening_impact[Totaal arbeidsbesparing (€/jaar)],MATCH(B969,IF(Berekening_impact[Doelgroep]=C969,Berekening_impact[Digitale zorgtoepassing]),0))</f>
        <v>492053.23895705986</v>
      </c>
      <c r="N969" s="397" cm="1">
        <f t="array" ref="N969">J969*INDEX(Berekening_impact[Totaal arbeidsbesparing (FTE/jaar)],MATCH(B969,IF(Berekening_impact[Doelgroep]=C969,Berekening_impact[Digitale zorgtoepassing]),0))</f>
        <v>11.324303878073533</v>
      </c>
      <c r="O969" s="398" cm="1">
        <f t="array" ref="O969">J969*INDEX(Berekening_impact[Overige kostenbesparing (totaal/jaar totaal potentieel)],MATCH(B969,IF(Berekening_impact[Doelgroep]=C969,Berekening_impact[Digitale zorgtoepassing]),0))</f>
        <v>0</v>
      </c>
      <c r="P969" s="398" cm="1">
        <f t="array" ref="P969">J969*INDEX(Berekening_impact[Opbrengsten door QALY''s],MATCH(B969,IF(Berekening_impact[Doelgroep]=C969,Berekening_impact[Digitale zorgtoepassing]),0))</f>
        <v>0</v>
      </c>
      <c r="Q969" s="398" cm="1">
        <f t="array" ref="Q969">J969*INDEX(Berekening_impact[Jaarlijkse kosten (totaal) - incl. schatting],MATCH(B969,IF(Berekening_impact[Doelgroep]=C969,Berekening_impact[Digitale zorgtoepassing]),0))</f>
        <v>536548.66316356044</v>
      </c>
      <c r="R969" s="398" cm="1">
        <f t="array" ref="R969">(uitkomst_doelgroep[[#This Row],[Implementatiegraad t = T + 1]]-uitkomst_doelgroep[[#This Row],[Implementatiegraad t = T]])*INDEX(Berekening_impact[Initiële investering (totaal) - incl. schatting],MATCH(B969,IF(Berekening_impact[Doelgroep]=C969,Berekening_impact[Digitale zorgtoepassing]),0))</f>
        <v>49292.350573572767</v>
      </c>
      <c r="S969" s="398">
        <f>uitkomst_doelgroep[[#This Row],[Arbeidsbesparing (€)]]*uitkomst_doelgroep[[#This Row],[Percentage van patiëntaantallen in Wlz (overige is Zvw)]]</f>
        <v>0</v>
      </c>
      <c r="T969" s="398">
        <f>uitkomst_doelgroep[[#This Row],[Overige besparingen (€)]]*uitkomst_doelgroep[[#This Row],[Percentage van patiëntaantallen in Wlz (overige is Zvw)]]</f>
        <v>0</v>
      </c>
      <c r="U969" s="398">
        <f>uitkomst_doelgroep[[#This Row],[Kosten (€)]]*uitkomst_doelgroep[[#This Row],[Percentage van patiëntaantallen in Wlz (overige is Zvw)]]</f>
        <v>0</v>
      </c>
      <c r="V969" s="398">
        <f>uitkomst_doelgroep[[#This Row],[Investering (cash flow) (€)]]*uitkomst_doelgroep[[#This Row],[Percentage van patiëntaantallen in Wlz (overige is Zvw)]]</f>
        <v>0</v>
      </c>
    </row>
    <row r="970" spans="1:22" x14ac:dyDescent="0.5">
      <c r="A970" s="33" t="str">
        <f>INDEX(Technologieën[Veld],MATCH(B970,Technologieën[Digitale zorgtoepassing],0))</f>
        <v>Software - Diagnose</v>
      </c>
      <c r="B970" s="33" t="s">
        <v>720</v>
      </c>
      <c r="C970" s="33" t="s">
        <v>73</v>
      </c>
      <c r="D970" s="427" cm="1">
        <f t="array" ref="D970">INDEX(Berekening_patiëntaantal[Percentage van patiëntaantallen in Wlz (overige is Zvw)],MATCH(B970,IF(Berekening_patiëntaantal[Doelgroep (zoeksleutel)]=C970,Berekening_patiëntaantal[Digitale zorgtoepassing]),0))</f>
        <v>0</v>
      </c>
      <c r="E970" s="33" t="str" cm="1">
        <f t="array" ref="E970">INDEX(Berekening_patiëntaantal[Direct toepasbaar/extrapolatie/incidentie voor QALY],MATCH(B970,IF(Berekening_patiëntaantal[Doelgroep (zoeksleutel)]=C970,Berekening_patiëntaantal[Digitale zorgtoepassing]),0))</f>
        <v>Huidige toepassing</v>
      </c>
      <c r="F970" s="33" t="s">
        <v>813</v>
      </c>
      <c r="G970" s="33" t="str">
        <f>CONCATENATE(uitkomst_doelgroep[[#This Row],[Digitale zorgtoepassing]],"_",uitkomst_doelgroep[[#This Row],[Doelgroep]],"_",uitkomst_doelgroep[[#This Row],[Uitgangssituatie/effect beleid]])</f>
        <v>Inzicht triagist digitale zelftriage HAP_HAP triageconsulten_U4/U5_Uitgangssituatie</v>
      </c>
      <c r="H970" s="33">
        <v>2031</v>
      </c>
      <c r="I970" s="32">
        <v>9</v>
      </c>
      <c r="J970" s="406" cm="1">
        <f t="array" ref="J970">INDEX(implementatie[[2023]:[2034]],MATCH(G970, implementatie[Zoeksleutel],0),I970)</f>
        <v>0.85046564152242399</v>
      </c>
      <c r="K970" s="406" cm="1">
        <f t="array" ref="K970">INDEX(implementatie[[2023]:[2034]],MATCH(G970,implementatie[Zoeksleutel],0),I970 + 1)</f>
        <v>0.89721949883888419</v>
      </c>
      <c r="L97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1218632.2177374812</v>
      </c>
      <c r="M970" s="398" cm="1">
        <f t="array" ref="M970">J970*INDEX(Berekening_impact[Totaal arbeidsbesparing (€/jaar)],MATCH(B970,IF(Berekening_impact[Doelgroep]=C970,Berekening_impact[Digitale zorgtoepassing]),0))</f>
        <v>530357.43733753404</v>
      </c>
      <c r="N970" s="397" cm="1">
        <f t="array" ref="N970">J970*INDEX(Berekening_impact[Totaal arbeidsbesparing (FTE/jaar)],MATCH(B970,IF(Berekening_impact[Doelgroep]=C970,Berekening_impact[Digitale zorgtoepassing]),0))</f>
        <v>12.205851539838555</v>
      </c>
      <c r="O970" s="398" cm="1">
        <f t="array" ref="O970">J970*INDEX(Berekening_impact[Overige kostenbesparing (totaal/jaar totaal potentieel)],MATCH(B970,IF(Berekening_impact[Doelgroep]=C970,Berekening_impact[Digitale zorgtoepassing]),0))</f>
        <v>0</v>
      </c>
      <c r="P970" s="398" cm="1">
        <f t="array" ref="P970">J970*INDEX(Berekening_impact[Opbrengsten door QALY''s],MATCH(B970,IF(Berekening_impact[Doelgroep]=C970,Berekening_impact[Digitale zorgtoepassing]),0))</f>
        <v>0</v>
      </c>
      <c r="Q970" s="398" cm="1">
        <f t="array" ref="Q970">J970*INDEX(Berekening_impact[Jaarlijkse kosten (totaal) - incl. schatting],MATCH(B970,IF(Berekening_impact[Doelgroep]=C970,Berekening_impact[Digitale zorgtoepassing]),0))</f>
        <v>578316.6362352483</v>
      </c>
      <c r="R970" s="398" cm="1">
        <f t="array" ref="R970">(uitkomst_doelgroep[[#This Row],[Implementatiegraad t = T + 1]]-uitkomst_doelgroep[[#This Row],[Implementatiegraad t = T]])*INDEX(Berekening_impact[Initiële investering (totaal) - incl. schatting],MATCH(B970,IF(Berekening_impact[Doelgroep]=C970,Berekening_impact[Digitale zorgtoepassing]),0))</f>
        <v>37519.970496459311</v>
      </c>
      <c r="S970" s="398">
        <f>uitkomst_doelgroep[[#This Row],[Arbeidsbesparing (€)]]*uitkomst_doelgroep[[#This Row],[Percentage van patiëntaantallen in Wlz (overige is Zvw)]]</f>
        <v>0</v>
      </c>
      <c r="T970" s="398">
        <f>uitkomst_doelgroep[[#This Row],[Overige besparingen (€)]]*uitkomst_doelgroep[[#This Row],[Percentage van patiëntaantallen in Wlz (overige is Zvw)]]</f>
        <v>0</v>
      </c>
      <c r="U970" s="398">
        <f>uitkomst_doelgroep[[#This Row],[Kosten (€)]]*uitkomst_doelgroep[[#This Row],[Percentage van patiëntaantallen in Wlz (overige is Zvw)]]</f>
        <v>0</v>
      </c>
      <c r="V970" s="398">
        <f>uitkomst_doelgroep[[#This Row],[Investering (cash flow) (€)]]*uitkomst_doelgroep[[#This Row],[Percentage van patiëntaantallen in Wlz (overige is Zvw)]]</f>
        <v>0</v>
      </c>
    </row>
    <row r="971" spans="1:22" x14ac:dyDescent="0.5">
      <c r="A971" s="33" t="str">
        <f>INDEX(Technologieën[Veld],MATCH(B971,Technologieën[Digitale zorgtoepassing],0))</f>
        <v>Software - Diagnose</v>
      </c>
      <c r="B971" s="33" t="s">
        <v>720</v>
      </c>
      <c r="C971" s="33" t="s">
        <v>73</v>
      </c>
      <c r="D971" s="427" cm="1">
        <f t="array" ref="D971">INDEX(Berekening_patiëntaantal[Percentage van patiëntaantallen in Wlz (overige is Zvw)],MATCH(B971,IF(Berekening_patiëntaantal[Doelgroep (zoeksleutel)]=C971,Berekening_patiëntaantal[Digitale zorgtoepassing]),0))</f>
        <v>0</v>
      </c>
      <c r="E971" s="33" t="str" cm="1">
        <f t="array" ref="E971">INDEX(Berekening_patiëntaantal[Direct toepasbaar/extrapolatie/incidentie voor QALY],MATCH(B971,IF(Berekening_patiëntaantal[Doelgroep (zoeksleutel)]=C971,Berekening_patiëntaantal[Digitale zorgtoepassing]),0))</f>
        <v>Huidige toepassing</v>
      </c>
      <c r="F971" s="33" t="s">
        <v>813</v>
      </c>
      <c r="G971" s="33" t="str">
        <f>CONCATENATE(uitkomst_doelgroep[[#This Row],[Digitale zorgtoepassing]],"_",uitkomst_doelgroep[[#This Row],[Doelgroep]],"_",uitkomst_doelgroep[[#This Row],[Uitgangssituatie/effect beleid]])</f>
        <v>Inzicht triagist digitale zelftriage HAP_HAP triageconsulten_U4/U5_Uitgangssituatie</v>
      </c>
      <c r="H971" s="33">
        <v>2032</v>
      </c>
      <c r="I971" s="32">
        <v>10</v>
      </c>
      <c r="J971" s="406" cm="1">
        <f t="array" ref="J971">INDEX(implementatie[[2023]:[2034]],MATCH(G971, implementatie[Zoeksleutel],0),I971)</f>
        <v>0.89721949883888419</v>
      </c>
      <c r="K971" s="406" cm="1">
        <f t="array" ref="K971">INDEX(implementatie[[2023]:[2034]],MATCH(G971,implementatie[Zoeksleutel],0),I971 + 1)</f>
        <v>0.93103704076606597</v>
      </c>
      <c r="L97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1285625.8198862372</v>
      </c>
      <c r="M971" s="398" cm="1">
        <f t="array" ref="M971">J971*INDEX(Berekening_impact[Totaal arbeidsbesparing (€/jaar)],MATCH(B971,IF(Berekening_impact[Doelgroep]=C971,Berekening_impact[Digitale zorgtoepassing]),0))</f>
        <v>559513.5310600443</v>
      </c>
      <c r="N971" s="397" cm="1">
        <f t="array" ref="N971">J971*INDEX(Berekening_impact[Totaal arbeidsbesparing (FTE/jaar)],MATCH(B971,IF(Berekening_impact[Doelgroep]=C971,Berekening_impact[Digitale zorgtoepassing]),0))</f>
        <v>12.876861176745164</v>
      </c>
      <c r="O971" s="398" cm="1">
        <f t="array" ref="O971">J971*INDEX(Berekening_impact[Overige kostenbesparing (totaal/jaar totaal potentieel)],MATCH(B971,IF(Berekening_impact[Doelgroep]=C971,Berekening_impact[Digitale zorgtoepassing]),0))</f>
        <v>0</v>
      </c>
      <c r="P971" s="398" cm="1">
        <f t="array" ref="P971">J971*INDEX(Berekening_impact[Opbrengsten door QALY''s],MATCH(B971,IF(Berekening_impact[Doelgroep]=C971,Berekening_impact[Digitale zorgtoepassing]),0))</f>
        <v>0</v>
      </c>
      <c r="Q971" s="398" cm="1">
        <f t="array" ref="Q971">J971*INDEX(Berekening_impact[Jaarlijkse kosten (totaal) - incl. schatting],MATCH(B971,IF(Berekening_impact[Doelgroep]=C971,Berekening_impact[Digitale zorgtoepassing]),0))</f>
        <v>610109.25921044126</v>
      </c>
      <c r="R971" s="398" cm="1">
        <f t="array" ref="R971">(uitkomst_doelgroep[[#This Row],[Implementatiegraad t = T + 1]]-uitkomst_doelgroep[[#This Row],[Implementatiegraad t = T]])*INDEX(Berekening_impact[Initiële investering (totaal) - incl. schatting],MATCH(B971,IF(Berekening_impact[Doelgroep]=C971,Berekening_impact[Digitale zorgtoepassing]),0))</f>
        <v>27138.577396563382</v>
      </c>
      <c r="S971" s="398">
        <f>uitkomst_doelgroep[[#This Row],[Arbeidsbesparing (€)]]*uitkomst_doelgroep[[#This Row],[Percentage van patiëntaantallen in Wlz (overige is Zvw)]]</f>
        <v>0</v>
      </c>
      <c r="T971" s="398">
        <f>uitkomst_doelgroep[[#This Row],[Overige besparingen (€)]]*uitkomst_doelgroep[[#This Row],[Percentage van patiëntaantallen in Wlz (overige is Zvw)]]</f>
        <v>0</v>
      </c>
      <c r="U971" s="398">
        <f>uitkomst_doelgroep[[#This Row],[Kosten (€)]]*uitkomst_doelgroep[[#This Row],[Percentage van patiëntaantallen in Wlz (overige is Zvw)]]</f>
        <v>0</v>
      </c>
      <c r="V971" s="398">
        <f>uitkomst_doelgroep[[#This Row],[Investering (cash flow) (€)]]*uitkomst_doelgroep[[#This Row],[Percentage van patiëntaantallen in Wlz (overige is Zvw)]]</f>
        <v>0</v>
      </c>
    </row>
    <row r="972" spans="1:22" x14ac:dyDescent="0.5">
      <c r="A972" s="33" t="str">
        <f>INDEX(Technologieën[Veld],MATCH(B972,Technologieën[Digitale zorgtoepassing],0))</f>
        <v>Software - Diagnose</v>
      </c>
      <c r="B972" s="33" t="s">
        <v>720</v>
      </c>
      <c r="C972" s="33" t="s">
        <v>73</v>
      </c>
      <c r="D972" s="427" cm="1">
        <f t="array" ref="D972">INDEX(Berekening_patiëntaantal[Percentage van patiëntaantallen in Wlz (overige is Zvw)],MATCH(B972,IF(Berekening_patiëntaantal[Doelgroep (zoeksleutel)]=C972,Berekening_patiëntaantal[Digitale zorgtoepassing]),0))</f>
        <v>0</v>
      </c>
      <c r="E972" s="33" t="str" cm="1">
        <f t="array" ref="E972">INDEX(Berekening_patiëntaantal[Direct toepasbaar/extrapolatie/incidentie voor QALY],MATCH(B972,IF(Berekening_patiëntaantal[Doelgroep (zoeksleutel)]=C972,Berekening_patiëntaantal[Digitale zorgtoepassing]),0))</f>
        <v>Huidige toepassing</v>
      </c>
      <c r="F972" s="33" t="s">
        <v>813</v>
      </c>
      <c r="G972" s="33" t="str">
        <f>CONCATENATE(uitkomst_doelgroep[[#This Row],[Digitale zorgtoepassing]],"_",uitkomst_doelgroep[[#This Row],[Doelgroep]],"_",uitkomst_doelgroep[[#This Row],[Uitgangssituatie/effect beleid]])</f>
        <v>Inzicht triagist digitale zelftriage HAP_HAP triageconsulten_U4/U5_Uitgangssituatie</v>
      </c>
      <c r="H972" s="33">
        <v>2033</v>
      </c>
      <c r="I972" s="32">
        <v>11</v>
      </c>
      <c r="J972" s="406" cm="1">
        <f t="array" ref="J972">INDEX(implementatie[[2023]:[2034]],MATCH(G972, implementatie[Zoeksleutel],0),I972)</f>
        <v>0.93103704076606597</v>
      </c>
      <c r="K972" s="406" cm="1">
        <f t="array" ref="K972">INDEX(implementatie[[2023]:[2034]],MATCH(G972,implementatie[Zoeksleutel],0),I972 + 1)</f>
        <v>0.9545439594752464</v>
      </c>
      <c r="L97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1334082.9757136959</v>
      </c>
      <c r="M972" s="398" cm="1">
        <f t="array" ref="M972">J972*INDEX(Berekening_impact[Totaal arbeidsbesparing (€/jaar)],MATCH(B972,IF(Berekening_impact[Doelgroep]=C972,Berekening_impact[Digitale zorgtoepassing]),0))</f>
        <v>580602.43106716091</v>
      </c>
      <c r="N972" s="397" cm="1">
        <f t="array" ref="N972">J972*INDEX(Berekening_impact[Totaal arbeidsbesparing (FTE/jaar)],MATCH(B972,IF(Berekening_impact[Doelgroep]=C972,Berekening_impact[Digitale zorgtoepassing]),0))</f>
        <v>13.362209292004165</v>
      </c>
      <c r="O972" s="398" cm="1">
        <f t="array" ref="O972">J972*INDEX(Berekening_impact[Overige kostenbesparing (totaal/jaar totaal potentieel)],MATCH(B972,IF(Berekening_impact[Doelgroep]=C972,Berekening_impact[Digitale zorgtoepassing]),0))</f>
        <v>0</v>
      </c>
      <c r="P972" s="398" cm="1">
        <f t="array" ref="P972">J972*INDEX(Berekening_impact[Opbrengsten door QALY''s],MATCH(B972,IF(Berekening_impact[Doelgroep]=C972,Berekening_impact[Digitale zorgtoepassing]),0))</f>
        <v>0</v>
      </c>
      <c r="Q972" s="398" cm="1">
        <f t="array" ref="Q972">J972*INDEX(Berekening_impact[Jaarlijkse kosten (totaal) - incl. schatting],MATCH(B972,IF(Berekening_impact[Doelgroep]=C972,Berekening_impact[Digitale zorgtoepassing]),0))</f>
        <v>633105.18772092485</v>
      </c>
      <c r="R972" s="398" cm="1">
        <f t="array" ref="R972">(uitkomst_doelgroep[[#This Row],[Implementatiegraad t = T + 1]]-uitkomst_doelgroep[[#This Row],[Implementatiegraad t = T]])*INDEX(Berekening_impact[Initiële investering (totaal) - incl. schatting],MATCH(B972,IF(Berekening_impact[Doelgroep]=C972,Berekening_impact[Digitale zorgtoepassing]),0))</f>
        <v>18864.30226411729</v>
      </c>
      <c r="S972" s="398">
        <f>uitkomst_doelgroep[[#This Row],[Arbeidsbesparing (€)]]*uitkomst_doelgroep[[#This Row],[Percentage van patiëntaantallen in Wlz (overige is Zvw)]]</f>
        <v>0</v>
      </c>
      <c r="T972" s="398">
        <f>uitkomst_doelgroep[[#This Row],[Overige besparingen (€)]]*uitkomst_doelgroep[[#This Row],[Percentage van patiëntaantallen in Wlz (overige is Zvw)]]</f>
        <v>0</v>
      </c>
      <c r="U972" s="398">
        <f>uitkomst_doelgroep[[#This Row],[Kosten (€)]]*uitkomst_doelgroep[[#This Row],[Percentage van patiëntaantallen in Wlz (overige is Zvw)]]</f>
        <v>0</v>
      </c>
      <c r="V972" s="398">
        <f>uitkomst_doelgroep[[#This Row],[Investering (cash flow) (€)]]*uitkomst_doelgroep[[#This Row],[Percentage van patiëntaantallen in Wlz (overige is Zvw)]]</f>
        <v>0</v>
      </c>
    </row>
    <row r="973" spans="1:22" x14ac:dyDescent="0.5">
      <c r="A973" s="33" t="str">
        <f>INDEX(Technologieën[Veld],MATCH(B973,Technologieën[Digitale zorgtoepassing],0))</f>
        <v>Software - Behandeling</v>
      </c>
      <c r="B973" s="33" t="s">
        <v>585</v>
      </c>
      <c r="C973" s="33" t="s">
        <v>107</v>
      </c>
      <c r="D973" s="427" cm="1">
        <f t="array" ref="D973">INDEX(Berekening_patiëntaantal[Percentage van patiëntaantallen in Wlz (overige is Zvw)],MATCH(B973,IF(Berekening_patiëntaantal[Doelgroep (zoeksleutel)]=C973,Berekening_patiëntaantal[Digitale zorgtoepassing]),0))</f>
        <v>0</v>
      </c>
      <c r="E973" s="33" t="str" cm="1">
        <f t="array" ref="E973">INDEX(Berekening_patiëntaantal[Direct toepasbaar/extrapolatie/incidentie voor QALY],MATCH(B973,IF(Berekening_patiëntaantal[Doelgroep (zoeksleutel)]=C973,Berekening_patiëntaantal[Digitale zorgtoepassing]),0))</f>
        <v>Huidige toepassing</v>
      </c>
      <c r="F973" s="33" t="s">
        <v>813</v>
      </c>
      <c r="G973" s="33" t="str">
        <f>CONCATENATE(uitkomst_doelgroep[[#This Row],[Digitale zorgtoepassing]],"_",uitkomst_doelgroep[[#This Row],[Doelgroep]],"_",uitkomst_doelgroep[[#This Row],[Uitgangssituatie/effect beleid]])</f>
        <v>Digitale/slimme vervolgzorg_Simpele botbreuken_Uitgangssituatie</v>
      </c>
      <c r="H973" s="33">
        <v>2023</v>
      </c>
      <c r="I973" s="32">
        <v>1</v>
      </c>
      <c r="J973" s="406" cm="1">
        <f t="array" ref="J973">INDEX(implementatie[[2023]:[2034]],MATCH(G973, implementatie[Zoeksleutel],0),I973)</f>
        <v>0.4</v>
      </c>
      <c r="K973" s="406" cm="1">
        <f t="array" ref="K973">INDEX(implementatie[[2023]:[2034]],MATCH(G973,implementatie[Zoeksleutel],0),I973 + 1)</f>
        <v>0.52300000000000002</v>
      </c>
      <c r="L97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23100</v>
      </c>
      <c r="M973" s="398" cm="1">
        <f t="array" ref="M973">J973*INDEX(Berekening_impact[Totaal arbeidsbesparing (€/jaar)],MATCH(B973,IF(Berekening_impact[Doelgroep]=C973,Berekening_impact[Digitale zorgtoepassing]),0))</f>
        <v>2328480.0000000005</v>
      </c>
      <c r="N973" s="397" cm="1">
        <f t="array" ref="N973">J973*INDEX(Berekening_impact[Totaal arbeidsbesparing (FTE/jaar)],MATCH(B973,IF(Berekening_impact[Doelgroep]=C973,Berekening_impact[Digitale zorgtoepassing]),0))</f>
        <v>12.274155584743168</v>
      </c>
      <c r="O973" s="398" cm="1">
        <f t="array" ref="O973">J973*INDEX(Berekening_impact[Overige kostenbesparing (totaal/jaar totaal potentieel)],MATCH(B973,IF(Berekening_impact[Doelgroep]=C973,Berekening_impact[Digitale zorgtoepassing]),0))</f>
        <v>1552320</v>
      </c>
      <c r="P973" s="398" cm="1">
        <f t="array" ref="P973">J973*INDEX(Berekening_impact[Opbrengsten door QALY''s],MATCH(B973,IF(Berekening_impact[Doelgroep]=C973,Berekening_impact[Digitale zorgtoepassing]),0))</f>
        <v>0</v>
      </c>
      <c r="Q973" s="398" cm="1">
        <f t="array" ref="Q973">J973*INDEX(Berekening_impact[Jaarlijkse kosten (totaal) - incl. schatting],MATCH(B973,IF(Berekening_impact[Doelgroep]=C973,Berekening_impact[Digitale zorgtoepassing]),0))</f>
        <v>0</v>
      </c>
      <c r="R973" s="398" cm="1">
        <f t="array" ref="R973">(uitkomst_doelgroep[[#This Row],[Implementatiegraad t = T + 1]]-uitkomst_doelgroep[[#This Row],[Implementatiegraad t = T]])*INDEX(Berekening_impact[Initiële investering (totaal) - incl. schatting],MATCH(B973,IF(Berekening_impact[Doelgroep]=C973,Berekening_impact[Digitale zorgtoepassing]),0))</f>
        <v>0</v>
      </c>
      <c r="S973" s="398">
        <f>uitkomst_doelgroep[[#This Row],[Arbeidsbesparing (€)]]*uitkomst_doelgroep[[#This Row],[Percentage van patiëntaantallen in Wlz (overige is Zvw)]]</f>
        <v>0</v>
      </c>
      <c r="T973" s="398">
        <f>uitkomst_doelgroep[[#This Row],[Overige besparingen (€)]]*uitkomst_doelgroep[[#This Row],[Percentage van patiëntaantallen in Wlz (overige is Zvw)]]</f>
        <v>0</v>
      </c>
      <c r="U973" s="398">
        <f>uitkomst_doelgroep[[#This Row],[Kosten (€)]]*uitkomst_doelgroep[[#This Row],[Percentage van patiëntaantallen in Wlz (overige is Zvw)]]</f>
        <v>0</v>
      </c>
      <c r="V973" s="398">
        <f>uitkomst_doelgroep[[#This Row],[Investering (cash flow) (€)]]*uitkomst_doelgroep[[#This Row],[Percentage van patiëntaantallen in Wlz (overige is Zvw)]]</f>
        <v>0</v>
      </c>
    </row>
    <row r="974" spans="1:22" x14ac:dyDescent="0.5">
      <c r="A974" s="33" t="str">
        <f>INDEX(Technologieën[Veld],MATCH(B974,Technologieën[Digitale zorgtoepassing],0))</f>
        <v>Software - Behandeling</v>
      </c>
      <c r="B974" s="33" t="s">
        <v>585</v>
      </c>
      <c r="C974" s="33" t="s">
        <v>107</v>
      </c>
      <c r="D974" s="427" cm="1">
        <f t="array" ref="D974">INDEX(Berekening_patiëntaantal[Percentage van patiëntaantallen in Wlz (overige is Zvw)],MATCH(B974,IF(Berekening_patiëntaantal[Doelgroep (zoeksleutel)]=C974,Berekening_patiëntaantal[Digitale zorgtoepassing]),0))</f>
        <v>0</v>
      </c>
      <c r="E974" s="33" t="str" cm="1">
        <f t="array" ref="E974">INDEX(Berekening_patiëntaantal[Direct toepasbaar/extrapolatie/incidentie voor QALY],MATCH(B974,IF(Berekening_patiëntaantal[Doelgroep (zoeksleutel)]=C974,Berekening_patiëntaantal[Digitale zorgtoepassing]),0))</f>
        <v>Huidige toepassing</v>
      </c>
      <c r="F974" s="33" t="s">
        <v>813</v>
      </c>
      <c r="G974" s="33" t="str">
        <f>CONCATENATE(uitkomst_doelgroep[[#This Row],[Digitale zorgtoepassing]],"_",uitkomst_doelgroep[[#This Row],[Doelgroep]],"_",uitkomst_doelgroep[[#This Row],[Uitgangssituatie/effect beleid]])</f>
        <v>Digitale/slimme vervolgzorg_Simpele botbreuken_Uitgangssituatie</v>
      </c>
      <c r="H974" s="33">
        <v>2024</v>
      </c>
      <c r="I974" s="32">
        <v>2</v>
      </c>
      <c r="J974" s="406" cm="1">
        <f t="array" ref="J974">INDEX(implementatie[[2023]:[2034]],MATCH(G974, implementatie[Zoeksleutel],0),I974)</f>
        <v>0.52300000000000002</v>
      </c>
      <c r="K974" s="406" cm="1">
        <f t="array" ref="K974">INDEX(implementatie[[2023]:[2034]],MATCH(G974,implementatie[Zoeksleutel],0),I974 + 1)</f>
        <v>0.64718695000000004</v>
      </c>
      <c r="L97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30203.25</v>
      </c>
      <c r="M974" s="398" cm="1">
        <f t="array" ref="M974">J974*INDEX(Berekening_impact[Totaal arbeidsbesparing (€/jaar)],MATCH(B974,IF(Berekening_impact[Doelgroep]=C974,Berekening_impact[Digitale zorgtoepassing]),0))</f>
        <v>3044487.6000000006</v>
      </c>
      <c r="N974" s="397" cm="1">
        <f t="array" ref="N974">J974*INDEX(Berekening_impact[Totaal arbeidsbesparing (FTE/jaar)],MATCH(B974,IF(Berekening_impact[Doelgroep]=C974,Berekening_impact[Digitale zorgtoepassing]),0))</f>
        <v>16.048458427051692</v>
      </c>
      <c r="O974" s="398" cm="1">
        <f t="array" ref="O974">J974*INDEX(Berekening_impact[Overige kostenbesparing (totaal/jaar totaal potentieel)],MATCH(B974,IF(Berekening_impact[Doelgroep]=C974,Berekening_impact[Digitale zorgtoepassing]),0))</f>
        <v>2029658.4000000001</v>
      </c>
      <c r="P974" s="398" cm="1">
        <f t="array" ref="P974">J974*INDEX(Berekening_impact[Opbrengsten door QALY''s],MATCH(B974,IF(Berekening_impact[Doelgroep]=C974,Berekening_impact[Digitale zorgtoepassing]),0))</f>
        <v>0</v>
      </c>
      <c r="Q974" s="398" cm="1">
        <f t="array" ref="Q974">J974*INDEX(Berekening_impact[Jaarlijkse kosten (totaal) - incl. schatting],MATCH(B974,IF(Berekening_impact[Doelgroep]=C974,Berekening_impact[Digitale zorgtoepassing]),0))</f>
        <v>0</v>
      </c>
      <c r="R974" s="398" cm="1">
        <f t="array" ref="R974">(uitkomst_doelgroep[[#This Row],[Implementatiegraad t = T + 1]]-uitkomst_doelgroep[[#This Row],[Implementatiegraad t = T]])*INDEX(Berekening_impact[Initiële investering (totaal) - incl. schatting],MATCH(B974,IF(Berekening_impact[Doelgroep]=C974,Berekening_impact[Digitale zorgtoepassing]),0))</f>
        <v>0</v>
      </c>
      <c r="S974" s="398">
        <f>uitkomst_doelgroep[[#This Row],[Arbeidsbesparing (€)]]*uitkomst_doelgroep[[#This Row],[Percentage van patiëntaantallen in Wlz (overige is Zvw)]]</f>
        <v>0</v>
      </c>
      <c r="T974" s="398">
        <f>uitkomst_doelgroep[[#This Row],[Overige besparingen (€)]]*uitkomst_doelgroep[[#This Row],[Percentage van patiëntaantallen in Wlz (overige is Zvw)]]</f>
        <v>0</v>
      </c>
      <c r="U974" s="398">
        <f>uitkomst_doelgroep[[#This Row],[Kosten (€)]]*uitkomst_doelgroep[[#This Row],[Percentage van patiëntaantallen in Wlz (overige is Zvw)]]</f>
        <v>0</v>
      </c>
      <c r="V974" s="398">
        <f>uitkomst_doelgroep[[#This Row],[Investering (cash flow) (€)]]*uitkomst_doelgroep[[#This Row],[Percentage van patiëntaantallen in Wlz (overige is Zvw)]]</f>
        <v>0</v>
      </c>
    </row>
    <row r="975" spans="1:22" x14ac:dyDescent="0.5">
      <c r="A975" s="33" t="str">
        <f>INDEX(Technologieën[Veld],MATCH(B975,Technologieën[Digitale zorgtoepassing],0))</f>
        <v>Software - Behandeling</v>
      </c>
      <c r="B975" s="33" t="s">
        <v>585</v>
      </c>
      <c r="C975" s="33" t="s">
        <v>107</v>
      </c>
      <c r="D975" s="427" cm="1">
        <f t="array" ref="D975">INDEX(Berekening_patiëntaantal[Percentage van patiëntaantallen in Wlz (overige is Zvw)],MATCH(B975,IF(Berekening_patiëntaantal[Doelgroep (zoeksleutel)]=C975,Berekening_patiëntaantal[Digitale zorgtoepassing]),0))</f>
        <v>0</v>
      </c>
      <c r="E975" s="33" t="str" cm="1">
        <f t="array" ref="E975">INDEX(Berekening_patiëntaantal[Direct toepasbaar/extrapolatie/incidentie voor QALY],MATCH(B975,IF(Berekening_patiëntaantal[Doelgroep (zoeksleutel)]=C975,Berekening_patiëntaantal[Digitale zorgtoepassing]),0))</f>
        <v>Huidige toepassing</v>
      </c>
      <c r="F975" s="33" t="s">
        <v>813</v>
      </c>
      <c r="G975" s="33" t="str">
        <f>CONCATENATE(uitkomst_doelgroep[[#This Row],[Digitale zorgtoepassing]],"_",uitkomst_doelgroep[[#This Row],[Doelgroep]],"_",uitkomst_doelgroep[[#This Row],[Uitgangssituatie/effect beleid]])</f>
        <v>Digitale/slimme vervolgzorg_Simpele botbreuken_Uitgangssituatie</v>
      </c>
      <c r="H975" s="33">
        <v>2025</v>
      </c>
      <c r="I975" s="32">
        <v>3</v>
      </c>
      <c r="J975" s="406" cm="1">
        <f t="array" ref="J975">INDEX(implementatie[[2023]:[2034]],MATCH(G975, implementatie[Zoeksleutel],0),I975)</f>
        <v>0.64718695000000004</v>
      </c>
      <c r="K975" s="406" cm="1">
        <f t="array" ref="K975">INDEX(implementatie[[2023]:[2034]],MATCH(G975,implementatie[Zoeksleutel],0),I975 + 1)</f>
        <v>0.75875847703736388</v>
      </c>
      <c r="L97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37375.046362500005</v>
      </c>
      <c r="M975" s="398" cm="1">
        <f t="array" ref="M975">J975*INDEX(Berekening_impact[Totaal arbeidsbesparing (€/jaar)],MATCH(B975,IF(Berekening_impact[Doelgroep]=C975,Berekening_impact[Digitale zorgtoepassing]),0))</f>
        <v>3767404.6733400007</v>
      </c>
      <c r="N975" s="397" cm="1">
        <f t="array" ref="N975">J975*INDEX(Berekening_impact[Totaal arbeidsbesparing (FTE/jaar)],MATCH(B975,IF(Berekening_impact[Doelgroep]=C975,Berekening_impact[Digitale zorgtoepassing]),0))</f>
        <v>19.859183291788494</v>
      </c>
      <c r="O975" s="398" cm="1">
        <f t="array" ref="O975">J975*INDEX(Berekening_impact[Overige kostenbesparing (totaal/jaar totaal potentieel)],MATCH(B975,IF(Berekening_impact[Doelgroep]=C975,Berekening_impact[Digitale zorgtoepassing]),0))</f>
        <v>2511603.1155600003</v>
      </c>
      <c r="P975" s="398" cm="1">
        <f t="array" ref="P975">J975*INDEX(Berekening_impact[Opbrengsten door QALY''s],MATCH(B975,IF(Berekening_impact[Doelgroep]=C975,Berekening_impact[Digitale zorgtoepassing]),0))</f>
        <v>0</v>
      </c>
      <c r="Q975" s="398" cm="1">
        <f t="array" ref="Q975">J975*INDEX(Berekening_impact[Jaarlijkse kosten (totaal) - incl. schatting],MATCH(B975,IF(Berekening_impact[Doelgroep]=C975,Berekening_impact[Digitale zorgtoepassing]),0))</f>
        <v>0</v>
      </c>
      <c r="R975" s="398" cm="1">
        <f t="array" ref="R975">(uitkomst_doelgroep[[#This Row],[Implementatiegraad t = T + 1]]-uitkomst_doelgroep[[#This Row],[Implementatiegraad t = T]])*INDEX(Berekening_impact[Initiële investering (totaal) - incl. schatting],MATCH(B975,IF(Berekening_impact[Doelgroep]=C975,Berekening_impact[Digitale zorgtoepassing]),0))</f>
        <v>0</v>
      </c>
      <c r="S975" s="398">
        <f>uitkomst_doelgroep[[#This Row],[Arbeidsbesparing (€)]]*uitkomst_doelgroep[[#This Row],[Percentage van patiëntaantallen in Wlz (overige is Zvw)]]</f>
        <v>0</v>
      </c>
      <c r="T975" s="398">
        <f>uitkomst_doelgroep[[#This Row],[Overige besparingen (€)]]*uitkomst_doelgroep[[#This Row],[Percentage van patiëntaantallen in Wlz (overige is Zvw)]]</f>
        <v>0</v>
      </c>
      <c r="U975" s="398">
        <f>uitkomst_doelgroep[[#This Row],[Kosten (€)]]*uitkomst_doelgroep[[#This Row],[Percentage van patiëntaantallen in Wlz (overige is Zvw)]]</f>
        <v>0</v>
      </c>
      <c r="V975" s="398">
        <f>uitkomst_doelgroep[[#This Row],[Investering (cash flow) (€)]]*uitkomst_doelgroep[[#This Row],[Percentage van patiëntaantallen in Wlz (overige is Zvw)]]</f>
        <v>0</v>
      </c>
    </row>
    <row r="976" spans="1:22" x14ac:dyDescent="0.5">
      <c r="A976" s="33" t="str">
        <f>INDEX(Technologieën[Veld],MATCH(B976,Technologieën[Digitale zorgtoepassing],0))</f>
        <v>Software - Behandeling</v>
      </c>
      <c r="B976" s="33" t="s">
        <v>585</v>
      </c>
      <c r="C976" s="33" t="s">
        <v>107</v>
      </c>
      <c r="D976" s="427" cm="1">
        <f t="array" ref="D976">INDEX(Berekening_patiëntaantal[Percentage van patiëntaantallen in Wlz (overige is Zvw)],MATCH(B976,IF(Berekening_patiëntaantal[Doelgroep (zoeksleutel)]=C976,Berekening_patiëntaantal[Digitale zorgtoepassing]),0))</f>
        <v>0</v>
      </c>
      <c r="E976" s="33" t="str" cm="1">
        <f t="array" ref="E976">INDEX(Berekening_patiëntaantal[Direct toepasbaar/extrapolatie/incidentie voor QALY],MATCH(B976,IF(Berekening_patiëntaantal[Doelgroep (zoeksleutel)]=C976,Berekening_patiëntaantal[Digitale zorgtoepassing]),0))</f>
        <v>Huidige toepassing</v>
      </c>
      <c r="F976" s="33" t="s">
        <v>813</v>
      </c>
      <c r="G976" s="33" t="str">
        <f>CONCATENATE(uitkomst_doelgroep[[#This Row],[Digitale zorgtoepassing]],"_",uitkomst_doelgroep[[#This Row],[Doelgroep]],"_",uitkomst_doelgroep[[#This Row],[Uitgangssituatie/effect beleid]])</f>
        <v>Digitale/slimme vervolgzorg_Simpele botbreuken_Uitgangssituatie</v>
      </c>
      <c r="H976" s="33">
        <v>2026</v>
      </c>
      <c r="I976" s="32">
        <v>4</v>
      </c>
      <c r="J976" s="406" cm="1">
        <f t="array" ref="J976">INDEX(implementatie[[2023]:[2034]],MATCH(G976, implementatie[Zoeksleutel],0),I976)</f>
        <v>0.75875847703736388</v>
      </c>
      <c r="K976" s="406" cm="1">
        <f t="array" ref="K976">INDEX(implementatie[[2023]:[2034]],MATCH(G976,implementatie[Zoeksleutel],0),I976 + 1)</f>
        <v>0.84715933786401665</v>
      </c>
      <c r="L97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43818.302048907761</v>
      </c>
      <c r="M976" s="398" cm="1">
        <f t="array" ref="M976">J976*INDEX(Berekening_impact[Totaal arbeidsbesparing (€/jaar)],MATCH(B976,IF(Berekening_impact[Doelgroep]=C976,Berekening_impact[Digitale zorgtoepassing]),0))</f>
        <v>4416884.8465299029</v>
      </c>
      <c r="N976" s="397" cm="1">
        <f t="array" ref="N976">J976*INDEX(Berekening_impact[Totaal arbeidsbesparing (FTE/jaar)],MATCH(B976,IF(Berekening_impact[Doelgroep]=C976,Berekening_impact[Digitale zorgtoepassing]),0))</f>
        <v>23.282798995998448</v>
      </c>
      <c r="O976" s="398" cm="1">
        <f t="array" ref="O976">J976*INDEX(Berekening_impact[Overige kostenbesparing (totaal/jaar totaal potentieel)],MATCH(B976,IF(Berekening_impact[Doelgroep]=C976,Berekening_impact[Digitale zorgtoepassing]),0))</f>
        <v>2944589.8976866016</v>
      </c>
      <c r="P976" s="398" cm="1">
        <f t="array" ref="P976">J976*INDEX(Berekening_impact[Opbrengsten door QALY''s],MATCH(B976,IF(Berekening_impact[Doelgroep]=C976,Berekening_impact[Digitale zorgtoepassing]),0))</f>
        <v>0</v>
      </c>
      <c r="Q976" s="398" cm="1">
        <f t="array" ref="Q976">J976*INDEX(Berekening_impact[Jaarlijkse kosten (totaal) - incl. schatting],MATCH(B976,IF(Berekening_impact[Doelgroep]=C976,Berekening_impact[Digitale zorgtoepassing]),0))</f>
        <v>0</v>
      </c>
      <c r="R976" s="398" cm="1">
        <f t="array" ref="R976">(uitkomst_doelgroep[[#This Row],[Implementatiegraad t = T + 1]]-uitkomst_doelgroep[[#This Row],[Implementatiegraad t = T]])*INDEX(Berekening_impact[Initiële investering (totaal) - incl. schatting],MATCH(B976,IF(Berekening_impact[Doelgroep]=C976,Berekening_impact[Digitale zorgtoepassing]),0))</f>
        <v>0</v>
      </c>
      <c r="S976" s="398">
        <f>uitkomst_doelgroep[[#This Row],[Arbeidsbesparing (€)]]*uitkomst_doelgroep[[#This Row],[Percentage van patiëntaantallen in Wlz (overige is Zvw)]]</f>
        <v>0</v>
      </c>
      <c r="T976" s="398">
        <f>uitkomst_doelgroep[[#This Row],[Overige besparingen (€)]]*uitkomst_doelgroep[[#This Row],[Percentage van patiëntaantallen in Wlz (overige is Zvw)]]</f>
        <v>0</v>
      </c>
      <c r="U976" s="398">
        <f>uitkomst_doelgroep[[#This Row],[Kosten (€)]]*uitkomst_doelgroep[[#This Row],[Percentage van patiëntaantallen in Wlz (overige is Zvw)]]</f>
        <v>0</v>
      </c>
      <c r="V976" s="398">
        <f>uitkomst_doelgroep[[#This Row],[Investering (cash flow) (€)]]*uitkomst_doelgroep[[#This Row],[Percentage van patiëntaantallen in Wlz (overige is Zvw)]]</f>
        <v>0</v>
      </c>
    </row>
    <row r="977" spans="1:22" x14ac:dyDescent="0.5">
      <c r="A977" s="33" t="str">
        <f>INDEX(Technologieën[Veld],MATCH(B977,Technologieën[Digitale zorgtoepassing],0))</f>
        <v>Software - Behandeling</v>
      </c>
      <c r="B977" s="33" t="s">
        <v>585</v>
      </c>
      <c r="C977" s="33" t="s">
        <v>107</v>
      </c>
      <c r="D977" s="427" cm="1">
        <f t="array" ref="D977">INDEX(Berekening_patiëntaantal[Percentage van patiëntaantallen in Wlz (overige is Zvw)],MATCH(B977,IF(Berekening_patiëntaantal[Doelgroep (zoeksleutel)]=C977,Berekening_patiëntaantal[Digitale zorgtoepassing]),0))</f>
        <v>0</v>
      </c>
      <c r="E977" s="33" t="str" cm="1">
        <f t="array" ref="E977">INDEX(Berekening_patiëntaantal[Direct toepasbaar/extrapolatie/incidentie voor QALY],MATCH(B977,IF(Berekening_patiëntaantal[Doelgroep (zoeksleutel)]=C977,Berekening_patiëntaantal[Digitale zorgtoepassing]),0))</f>
        <v>Huidige toepassing</v>
      </c>
      <c r="F977" s="33" t="s">
        <v>813</v>
      </c>
      <c r="G977" s="33" t="str">
        <f>CONCATENATE(uitkomst_doelgroep[[#This Row],[Digitale zorgtoepassing]],"_",uitkomst_doelgroep[[#This Row],[Doelgroep]],"_",uitkomst_doelgroep[[#This Row],[Uitgangssituatie/effect beleid]])</f>
        <v>Digitale/slimme vervolgzorg_Simpele botbreuken_Uitgangssituatie</v>
      </c>
      <c r="H977" s="33">
        <v>2027</v>
      </c>
      <c r="I977" s="32">
        <v>5</v>
      </c>
      <c r="J977" s="406" cm="1">
        <f t="array" ref="J977">INDEX(implementatie[[2023]:[2034]],MATCH(G977, implementatie[Zoeksleutel],0),I977)</f>
        <v>0.84715933786401665</v>
      </c>
      <c r="K977" s="406" cm="1">
        <f t="array" ref="K977">INDEX(implementatie[[2023]:[2034]],MATCH(G977,implementatie[Zoeksleutel],0),I977 + 1)</f>
        <v>0.90924653177763415</v>
      </c>
      <c r="L97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48923.45176164696</v>
      </c>
      <c r="M977" s="398" cm="1">
        <f t="array" ref="M977">J977*INDEX(Berekening_impact[Totaal arbeidsbesparing (€/jaar)],MATCH(B977,IF(Berekening_impact[Doelgroep]=C977,Berekening_impact[Digitale zorgtoepassing]),0))</f>
        <v>4931483.9375740141</v>
      </c>
      <c r="N977" s="397" cm="1">
        <f t="array" ref="N977">J977*INDEX(Berekening_impact[Totaal arbeidsbesparing (FTE/jaar)],MATCH(B977,IF(Berekening_impact[Doelgroep]=C977,Berekening_impact[Digitale zorgtoepassing]),0))</f>
        <v>25.995413795027357</v>
      </c>
      <c r="O977" s="398" cm="1">
        <f t="array" ref="O977">J977*INDEX(Berekening_impact[Overige kostenbesparing (totaal/jaar totaal potentieel)],MATCH(B977,IF(Berekening_impact[Doelgroep]=C977,Berekening_impact[Digitale zorgtoepassing]),0))</f>
        <v>3287655.9583826759</v>
      </c>
      <c r="P977" s="398" cm="1">
        <f t="array" ref="P977">J977*INDEX(Berekening_impact[Opbrengsten door QALY''s],MATCH(B977,IF(Berekening_impact[Doelgroep]=C977,Berekening_impact[Digitale zorgtoepassing]),0))</f>
        <v>0</v>
      </c>
      <c r="Q977" s="398" cm="1">
        <f t="array" ref="Q977">J977*INDEX(Berekening_impact[Jaarlijkse kosten (totaal) - incl. schatting],MATCH(B977,IF(Berekening_impact[Doelgroep]=C977,Berekening_impact[Digitale zorgtoepassing]),0))</f>
        <v>0</v>
      </c>
      <c r="R977" s="398" cm="1">
        <f t="array" ref="R977">(uitkomst_doelgroep[[#This Row],[Implementatiegraad t = T + 1]]-uitkomst_doelgroep[[#This Row],[Implementatiegraad t = T]])*INDEX(Berekening_impact[Initiële investering (totaal) - incl. schatting],MATCH(B977,IF(Berekening_impact[Doelgroep]=C977,Berekening_impact[Digitale zorgtoepassing]),0))</f>
        <v>0</v>
      </c>
      <c r="S977" s="398">
        <f>uitkomst_doelgroep[[#This Row],[Arbeidsbesparing (€)]]*uitkomst_doelgroep[[#This Row],[Percentage van patiëntaantallen in Wlz (overige is Zvw)]]</f>
        <v>0</v>
      </c>
      <c r="T977" s="398">
        <f>uitkomst_doelgroep[[#This Row],[Overige besparingen (€)]]*uitkomst_doelgroep[[#This Row],[Percentage van patiëntaantallen in Wlz (overige is Zvw)]]</f>
        <v>0</v>
      </c>
      <c r="U977" s="398">
        <f>uitkomst_doelgroep[[#This Row],[Kosten (€)]]*uitkomst_doelgroep[[#This Row],[Percentage van patiëntaantallen in Wlz (overige is Zvw)]]</f>
        <v>0</v>
      </c>
      <c r="V977" s="398">
        <f>uitkomst_doelgroep[[#This Row],[Investering (cash flow) (€)]]*uitkomst_doelgroep[[#This Row],[Percentage van patiëntaantallen in Wlz (overige is Zvw)]]</f>
        <v>0</v>
      </c>
    </row>
    <row r="978" spans="1:22" x14ac:dyDescent="0.5">
      <c r="A978" s="33" t="str">
        <f>INDEX(Technologieën[Veld],MATCH(B978,Technologieën[Digitale zorgtoepassing],0))</f>
        <v>Software - Behandeling</v>
      </c>
      <c r="B978" s="33" t="s">
        <v>585</v>
      </c>
      <c r="C978" s="33" t="s">
        <v>107</v>
      </c>
      <c r="D978" s="427" cm="1">
        <f t="array" ref="D978">INDEX(Berekening_patiëntaantal[Percentage van patiëntaantallen in Wlz (overige is Zvw)],MATCH(B978,IF(Berekening_patiëntaantal[Doelgroep (zoeksleutel)]=C978,Berekening_patiëntaantal[Digitale zorgtoepassing]),0))</f>
        <v>0</v>
      </c>
      <c r="E978" s="33" t="str" cm="1">
        <f t="array" ref="E978">INDEX(Berekening_patiëntaantal[Direct toepasbaar/extrapolatie/incidentie voor QALY],MATCH(B978,IF(Berekening_patiëntaantal[Doelgroep (zoeksleutel)]=C978,Berekening_patiëntaantal[Digitale zorgtoepassing]),0))</f>
        <v>Huidige toepassing</v>
      </c>
      <c r="F978" s="33" t="s">
        <v>813</v>
      </c>
      <c r="G978" s="33" t="str">
        <f>CONCATENATE(uitkomst_doelgroep[[#This Row],[Digitale zorgtoepassing]],"_",uitkomst_doelgroep[[#This Row],[Doelgroep]],"_",uitkomst_doelgroep[[#This Row],[Uitgangssituatie/effect beleid]])</f>
        <v>Digitale/slimme vervolgzorg_Simpele botbreuken_Uitgangssituatie</v>
      </c>
      <c r="H978" s="33">
        <v>2028</v>
      </c>
      <c r="I978" s="32">
        <v>6</v>
      </c>
      <c r="J978" s="406" cm="1">
        <f t="array" ref="J978">INDEX(implementatie[[2023]:[2034]],MATCH(G978, implementatie[Zoeksleutel],0),I978)</f>
        <v>0.90924653177763415</v>
      </c>
      <c r="K978" s="406" cm="1">
        <f t="array" ref="K978">INDEX(implementatie[[2023]:[2034]],MATCH(G978,implementatie[Zoeksleutel],0),I978 + 1)</f>
        <v>0.94864814278578335</v>
      </c>
      <c r="L97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52508.987210158375</v>
      </c>
      <c r="M978" s="398" cm="1">
        <f t="array" ref="M978">J978*INDEX(Berekening_impact[Totaal arbeidsbesparing (€/jaar)],MATCH(B978,IF(Berekening_impact[Doelgroep]=C978,Berekening_impact[Digitale zorgtoepassing]),0))</f>
        <v>5292905.9107839651</v>
      </c>
      <c r="N978" s="397" cm="1">
        <f t="array" ref="N978">J978*INDEX(Berekening_impact[Totaal arbeidsbesparing (FTE/jaar)],MATCH(B978,IF(Berekening_impact[Doelgroep]=C978,Berekening_impact[Digitale zorgtoepassing]),0))</f>
        <v>27.900583489817009</v>
      </c>
      <c r="O978" s="398" cm="1">
        <f t="array" ref="O978">J978*INDEX(Berekening_impact[Overige kostenbesparing (totaal/jaar totaal potentieel)],MATCH(B978,IF(Berekening_impact[Doelgroep]=C978,Berekening_impact[Digitale zorgtoepassing]),0))</f>
        <v>3528603.9405226428</v>
      </c>
      <c r="P978" s="398" cm="1">
        <f t="array" ref="P978">J978*INDEX(Berekening_impact[Opbrengsten door QALY''s],MATCH(B978,IF(Berekening_impact[Doelgroep]=C978,Berekening_impact[Digitale zorgtoepassing]),0))</f>
        <v>0</v>
      </c>
      <c r="Q978" s="398" cm="1">
        <f t="array" ref="Q978">J978*INDEX(Berekening_impact[Jaarlijkse kosten (totaal) - incl. schatting],MATCH(B978,IF(Berekening_impact[Doelgroep]=C978,Berekening_impact[Digitale zorgtoepassing]),0))</f>
        <v>0</v>
      </c>
      <c r="R978" s="398" cm="1">
        <f t="array" ref="R978">(uitkomst_doelgroep[[#This Row],[Implementatiegraad t = T + 1]]-uitkomst_doelgroep[[#This Row],[Implementatiegraad t = T]])*INDEX(Berekening_impact[Initiële investering (totaal) - incl. schatting],MATCH(B978,IF(Berekening_impact[Doelgroep]=C978,Berekening_impact[Digitale zorgtoepassing]),0))</f>
        <v>0</v>
      </c>
      <c r="S978" s="398">
        <f>uitkomst_doelgroep[[#This Row],[Arbeidsbesparing (€)]]*uitkomst_doelgroep[[#This Row],[Percentage van patiëntaantallen in Wlz (overige is Zvw)]]</f>
        <v>0</v>
      </c>
      <c r="T978" s="398">
        <f>uitkomst_doelgroep[[#This Row],[Overige besparingen (€)]]*uitkomst_doelgroep[[#This Row],[Percentage van patiëntaantallen in Wlz (overige is Zvw)]]</f>
        <v>0</v>
      </c>
      <c r="U978" s="398">
        <f>uitkomst_doelgroep[[#This Row],[Kosten (€)]]*uitkomst_doelgroep[[#This Row],[Percentage van patiëntaantallen in Wlz (overige is Zvw)]]</f>
        <v>0</v>
      </c>
      <c r="V978" s="398">
        <f>uitkomst_doelgroep[[#This Row],[Investering (cash flow) (€)]]*uitkomst_doelgroep[[#This Row],[Percentage van patiëntaantallen in Wlz (overige is Zvw)]]</f>
        <v>0</v>
      </c>
    </row>
    <row r="979" spans="1:22" x14ac:dyDescent="0.5">
      <c r="A979" s="33" t="str">
        <f>INDEX(Technologieën[Veld],MATCH(B979,Technologieën[Digitale zorgtoepassing],0))</f>
        <v>Software - Behandeling</v>
      </c>
      <c r="B979" s="33" t="s">
        <v>585</v>
      </c>
      <c r="C979" s="33" t="s">
        <v>107</v>
      </c>
      <c r="D979" s="427" cm="1">
        <f t="array" ref="D979">INDEX(Berekening_patiëntaantal[Percentage van patiëntaantallen in Wlz (overige is Zvw)],MATCH(B979,IF(Berekening_patiëntaantal[Doelgroep (zoeksleutel)]=C979,Berekening_patiëntaantal[Digitale zorgtoepassing]),0))</f>
        <v>0</v>
      </c>
      <c r="E979" s="33" t="str" cm="1">
        <f t="array" ref="E979">INDEX(Berekening_patiëntaantal[Direct toepasbaar/extrapolatie/incidentie voor QALY],MATCH(B979,IF(Berekening_patiëntaantal[Doelgroep (zoeksleutel)]=C979,Berekening_patiëntaantal[Digitale zorgtoepassing]),0))</f>
        <v>Huidige toepassing</v>
      </c>
      <c r="F979" s="33" t="s">
        <v>813</v>
      </c>
      <c r="G979" s="33" t="str">
        <f>CONCATENATE(uitkomst_doelgroep[[#This Row],[Digitale zorgtoepassing]],"_",uitkomst_doelgroep[[#This Row],[Doelgroep]],"_",uitkomst_doelgroep[[#This Row],[Uitgangssituatie/effect beleid]])</f>
        <v>Digitale/slimme vervolgzorg_Simpele botbreuken_Uitgangssituatie</v>
      </c>
      <c r="H979" s="33">
        <v>2029</v>
      </c>
      <c r="I979" s="32">
        <v>7</v>
      </c>
      <c r="J979" s="406" cm="1">
        <f t="array" ref="J979">INDEX(implementatie[[2023]:[2034]],MATCH(G979, implementatie[Zoeksleutel],0),I979)</f>
        <v>0.94864814278578335</v>
      </c>
      <c r="K979" s="406" cm="1">
        <f t="array" ref="K979">INDEX(implementatie[[2023]:[2034]],MATCH(G979,implementatie[Zoeksleutel],0),I979 + 1)</f>
        <v>0.97185361900482903</v>
      </c>
      <c r="L97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54784.43024587899</v>
      </c>
      <c r="M979" s="398" cm="1">
        <f t="array" ref="M979">J979*INDEX(Berekening_impact[Totaal arbeidsbesparing (€/jaar)],MATCH(B979,IF(Berekening_impact[Doelgroep]=C979,Berekening_impact[Digitale zorgtoepassing]),0))</f>
        <v>5522270.5687846029</v>
      </c>
      <c r="N979" s="397" cm="1">
        <f t="array" ref="N979">J979*INDEX(Berekening_impact[Totaal arbeidsbesparing (FTE/jaar)],MATCH(B979,IF(Berekening_impact[Doelgroep]=C979,Berekening_impact[Digitale zorgtoepassing]),0))</f>
        <v>29.109637249325889</v>
      </c>
      <c r="O979" s="398" cm="1">
        <f t="array" ref="O979">J979*INDEX(Berekening_impact[Overige kostenbesparing (totaal/jaar totaal potentieel)],MATCH(B979,IF(Berekening_impact[Doelgroep]=C979,Berekening_impact[Digitale zorgtoepassing]),0))</f>
        <v>3681513.7125230678</v>
      </c>
      <c r="P979" s="398" cm="1">
        <f t="array" ref="P979">J979*INDEX(Berekening_impact[Opbrengsten door QALY''s],MATCH(B979,IF(Berekening_impact[Doelgroep]=C979,Berekening_impact[Digitale zorgtoepassing]),0))</f>
        <v>0</v>
      </c>
      <c r="Q979" s="398" cm="1">
        <f t="array" ref="Q979">J979*INDEX(Berekening_impact[Jaarlijkse kosten (totaal) - incl. schatting],MATCH(B979,IF(Berekening_impact[Doelgroep]=C979,Berekening_impact[Digitale zorgtoepassing]),0))</f>
        <v>0</v>
      </c>
      <c r="R979" s="398" cm="1">
        <f t="array" ref="R979">(uitkomst_doelgroep[[#This Row],[Implementatiegraad t = T + 1]]-uitkomst_doelgroep[[#This Row],[Implementatiegraad t = T]])*INDEX(Berekening_impact[Initiële investering (totaal) - incl. schatting],MATCH(B979,IF(Berekening_impact[Doelgroep]=C979,Berekening_impact[Digitale zorgtoepassing]),0))</f>
        <v>0</v>
      </c>
      <c r="S979" s="398">
        <f>uitkomst_doelgroep[[#This Row],[Arbeidsbesparing (€)]]*uitkomst_doelgroep[[#This Row],[Percentage van patiëntaantallen in Wlz (overige is Zvw)]]</f>
        <v>0</v>
      </c>
      <c r="T979" s="398">
        <f>uitkomst_doelgroep[[#This Row],[Overige besparingen (€)]]*uitkomst_doelgroep[[#This Row],[Percentage van patiëntaantallen in Wlz (overige is Zvw)]]</f>
        <v>0</v>
      </c>
      <c r="U979" s="398">
        <f>uitkomst_doelgroep[[#This Row],[Kosten (€)]]*uitkomst_doelgroep[[#This Row],[Percentage van patiëntaantallen in Wlz (overige is Zvw)]]</f>
        <v>0</v>
      </c>
      <c r="V979" s="398">
        <f>uitkomst_doelgroep[[#This Row],[Investering (cash flow) (€)]]*uitkomst_doelgroep[[#This Row],[Percentage van patiëntaantallen in Wlz (overige is Zvw)]]</f>
        <v>0</v>
      </c>
    </row>
    <row r="980" spans="1:22" x14ac:dyDescent="0.5">
      <c r="A980" s="33" t="str">
        <f>INDEX(Technologieën[Veld],MATCH(B980,Technologieën[Digitale zorgtoepassing],0))</f>
        <v>Software - Behandeling</v>
      </c>
      <c r="B980" s="33" t="s">
        <v>585</v>
      </c>
      <c r="C980" s="33" t="s">
        <v>107</v>
      </c>
      <c r="D980" s="427" cm="1">
        <f t="array" ref="D980">INDEX(Berekening_patiëntaantal[Percentage van patiëntaantallen in Wlz (overige is Zvw)],MATCH(B980,IF(Berekening_patiëntaantal[Doelgroep (zoeksleutel)]=C980,Berekening_patiëntaantal[Digitale zorgtoepassing]),0))</f>
        <v>0</v>
      </c>
      <c r="E980" s="33" t="str" cm="1">
        <f t="array" ref="E980">INDEX(Berekening_patiëntaantal[Direct toepasbaar/extrapolatie/incidentie voor QALY],MATCH(B980,IF(Berekening_patiëntaantal[Doelgroep (zoeksleutel)]=C980,Berekening_patiëntaantal[Digitale zorgtoepassing]),0))</f>
        <v>Huidige toepassing</v>
      </c>
      <c r="F980" s="33" t="s">
        <v>813</v>
      </c>
      <c r="G980" s="33" t="str">
        <f>CONCATENATE(uitkomst_doelgroep[[#This Row],[Digitale zorgtoepassing]],"_",uitkomst_doelgroep[[#This Row],[Doelgroep]],"_",uitkomst_doelgroep[[#This Row],[Uitgangssituatie/effect beleid]])</f>
        <v>Digitale/slimme vervolgzorg_Simpele botbreuken_Uitgangssituatie</v>
      </c>
      <c r="H980" s="33">
        <v>2030</v>
      </c>
      <c r="I980" s="32">
        <v>8</v>
      </c>
      <c r="J980" s="406" cm="1">
        <f t="array" ref="J980">INDEX(implementatie[[2023]:[2034]],MATCH(G980, implementatie[Zoeksleutel],0),I980)</f>
        <v>0.97185361900482903</v>
      </c>
      <c r="K980" s="406" cm="1">
        <f t="array" ref="K980">INDEX(implementatie[[2023]:[2034]],MATCH(G980,implementatie[Zoeksleutel],0),I980 + 1)</f>
        <v>0.98486665153412889</v>
      </c>
      <c r="L98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56124.546497528878</v>
      </c>
      <c r="M980" s="398" cm="1">
        <f t="array" ref="M980">J980*INDEX(Berekening_impact[Totaal arbeidsbesparing (€/jaar)],MATCH(B980,IF(Berekening_impact[Doelgroep]=C980,Berekening_impact[Digitale zorgtoepassing]),0))</f>
        <v>5657354.2869509114</v>
      </c>
      <c r="N980" s="397" cm="1">
        <f t="array" ref="N980">J980*INDEX(Berekening_impact[Totaal arbeidsbesparing (FTE/jaar)],MATCH(B980,IF(Berekening_impact[Doelgroep]=C980,Berekening_impact[Digitale zorgtoepassing]),0))</f>
        <v>29.82170631315245</v>
      </c>
      <c r="O980" s="398" cm="1">
        <f t="array" ref="O980">J980*INDEX(Berekening_impact[Overige kostenbesparing (totaal/jaar totaal potentieel)],MATCH(B980,IF(Berekening_impact[Doelgroep]=C980,Berekening_impact[Digitale zorgtoepassing]),0))</f>
        <v>3771569.5246339403</v>
      </c>
      <c r="P980" s="398" cm="1">
        <f t="array" ref="P980">J980*INDEX(Berekening_impact[Opbrengsten door QALY''s],MATCH(B980,IF(Berekening_impact[Doelgroep]=C980,Berekening_impact[Digitale zorgtoepassing]),0))</f>
        <v>0</v>
      </c>
      <c r="Q980" s="398" cm="1">
        <f t="array" ref="Q980">J980*INDEX(Berekening_impact[Jaarlijkse kosten (totaal) - incl. schatting],MATCH(B980,IF(Berekening_impact[Doelgroep]=C980,Berekening_impact[Digitale zorgtoepassing]),0))</f>
        <v>0</v>
      </c>
      <c r="R980" s="398" cm="1">
        <f t="array" ref="R980">(uitkomst_doelgroep[[#This Row],[Implementatiegraad t = T + 1]]-uitkomst_doelgroep[[#This Row],[Implementatiegraad t = T]])*INDEX(Berekening_impact[Initiële investering (totaal) - incl. schatting],MATCH(B980,IF(Berekening_impact[Doelgroep]=C980,Berekening_impact[Digitale zorgtoepassing]),0))</f>
        <v>0</v>
      </c>
      <c r="S980" s="398">
        <f>uitkomst_doelgroep[[#This Row],[Arbeidsbesparing (€)]]*uitkomst_doelgroep[[#This Row],[Percentage van patiëntaantallen in Wlz (overige is Zvw)]]</f>
        <v>0</v>
      </c>
      <c r="T980" s="398">
        <f>uitkomst_doelgroep[[#This Row],[Overige besparingen (€)]]*uitkomst_doelgroep[[#This Row],[Percentage van patiëntaantallen in Wlz (overige is Zvw)]]</f>
        <v>0</v>
      </c>
      <c r="U980" s="398">
        <f>uitkomst_doelgroep[[#This Row],[Kosten (€)]]*uitkomst_doelgroep[[#This Row],[Percentage van patiëntaantallen in Wlz (overige is Zvw)]]</f>
        <v>0</v>
      </c>
      <c r="V980" s="398">
        <f>uitkomst_doelgroep[[#This Row],[Investering (cash flow) (€)]]*uitkomst_doelgroep[[#This Row],[Percentage van patiëntaantallen in Wlz (overige is Zvw)]]</f>
        <v>0</v>
      </c>
    </row>
    <row r="981" spans="1:22" x14ac:dyDescent="0.5">
      <c r="A981" s="33" t="str">
        <f>INDEX(Technologieën[Veld],MATCH(B981,Technologieën[Digitale zorgtoepassing],0))</f>
        <v>Software - Behandeling</v>
      </c>
      <c r="B981" s="33" t="s">
        <v>585</v>
      </c>
      <c r="C981" s="33" t="s">
        <v>107</v>
      </c>
      <c r="D981" s="427" cm="1">
        <f t="array" ref="D981">INDEX(Berekening_patiëntaantal[Percentage van patiëntaantallen in Wlz (overige is Zvw)],MATCH(B981,IF(Berekening_patiëntaantal[Doelgroep (zoeksleutel)]=C981,Berekening_patiëntaantal[Digitale zorgtoepassing]),0))</f>
        <v>0</v>
      </c>
      <c r="E981" s="33" t="str" cm="1">
        <f t="array" ref="E981">INDEX(Berekening_patiëntaantal[Direct toepasbaar/extrapolatie/incidentie voor QALY],MATCH(B981,IF(Berekening_patiëntaantal[Doelgroep (zoeksleutel)]=C981,Berekening_patiëntaantal[Digitale zorgtoepassing]),0))</f>
        <v>Huidige toepassing</v>
      </c>
      <c r="F981" s="33" t="s">
        <v>813</v>
      </c>
      <c r="G981" s="33" t="str">
        <f>CONCATENATE(uitkomst_doelgroep[[#This Row],[Digitale zorgtoepassing]],"_",uitkomst_doelgroep[[#This Row],[Doelgroep]],"_",uitkomst_doelgroep[[#This Row],[Uitgangssituatie/effect beleid]])</f>
        <v>Digitale/slimme vervolgzorg_Simpele botbreuken_Uitgangssituatie</v>
      </c>
      <c r="H981" s="33">
        <v>2031</v>
      </c>
      <c r="I981" s="32">
        <v>9</v>
      </c>
      <c r="J981" s="406" cm="1">
        <f t="array" ref="J981">INDEX(implementatie[[2023]:[2034]],MATCH(G981, implementatie[Zoeksleutel],0),I981)</f>
        <v>0.98486665153412889</v>
      </c>
      <c r="K981" s="406" cm="1">
        <f t="array" ref="K981">INDEX(implementatie[[2023]:[2034]],MATCH(G981,implementatie[Zoeksleutel],0),I981 + 1)</f>
        <v>0.99195193384931235</v>
      </c>
      <c r="L98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56876.049126095946</v>
      </c>
      <c r="M981" s="398" cm="1">
        <f t="array" ref="M981">J981*INDEX(Berekening_impact[Totaal arbeidsbesparing (€/jaar)],MATCH(B981,IF(Berekening_impact[Doelgroep]=C981,Berekening_impact[Digitale zorgtoepassing]),0))</f>
        <v>5733105.7519104723</v>
      </c>
      <c r="N981" s="397" cm="1">
        <f t="array" ref="N981">J981*INDEX(Berekening_impact[Totaal arbeidsbesparing (FTE/jaar)],MATCH(B981,IF(Berekening_impact[Doelgroep]=C981,Berekening_impact[Digitale zorgtoepassing]),0))</f>
        <v>30.221016277887326</v>
      </c>
      <c r="O981" s="398" cm="1">
        <f t="array" ref="O981">J981*INDEX(Berekening_impact[Overige kostenbesparing (totaal/jaar totaal potentieel)],MATCH(B981,IF(Berekening_impact[Doelgroep]=C981,Berekening_impact[Digitale zorgtoepassing]),0))</f>
        <v>3822070.5012736474</v>
      </c>
      <c r="P981" s="398" cm="1">
        <f t="array" ref="P981">J981*INDEX(Berekening_impact[Opbrengsten door QALY''s],MATCH(B981,IF(Berekening_impact[Doelgroep]=C981,Berekening_impact[Digitale zorgtoepassing]),0))</f>
        <v>0</v>
      </c>
      <c r="Q981" s="398" cm="1">
        <f t="array" ref="Q981">J981*INDEX(Berekening_impact[Jaarlijkse kosten (totaal) - incl. schatting],MATCH(B981,IF(Berekening_impact[Doelgroep]=C981,Berekening_impact[Digitale zorgtoepassing]),0))</f>
        <v>0</v>
      </c>
      <c r="R981" s="398" cm="1">
        <f t="array" ref="R981">(uitkomst_doelgroep[[#This Row],[Implementatiegraad t = T + 1]]-uitkomst_doelgroep[[#This Row],[Implementatiegraad t = T]])*INDEX(Berekening_impact[Initiële investering (totaal) - incl. schatting],MATCH(B981,IF(Berekening_impact[Doelgroep]=C981,Berekening_impact[Digitale zorgtoepassing]),0))</f>
        <v>0</v>
      </c>
      <c r="S981" s="398">
        <f>uitkomst_doelgroep[[#This Row],[Arbeidsbesparing (€)]]*uitkomst_doelgroep[[#This Row],[Percentage van patiëntaantallen in Wlz (overige is Zvw)]]</f>
        <v>0</v>
      </c>
      <c r="T981" s="398">
        <f>uitkomst_doelgroep[[#This Row],[Overige besparingen (€)]]*uitkomst_doelgroep[[#This Row],[Percentage van patiëntaantallen in Wlz (overige is Zvw)]]</f>
        <v>0</v>
      </c>
      <c r="U981" s="398">
        <f>uitkomst_doelgroep[[#This Row],[Kosten (€)]]*uitkomst_doelgroep[[#This Row],[Percentage van patiëntaantallen in Wlz (overige is Zvw)]]</f>
        <v>0</v>
      </c>
      <c r="V981" s="398">
        <f>uitkomst_doelgroep[[#This Row],[Investering (cash flow) (€)]]*uitkomst_doelgroep[[#This Row],[Percentage van patiëntaantallen in Wlz (overige is Zvw)]]</f>
        <v>0</v>
      </c>
    </row>
    <row r="982" spans="1:22" x14ac:dyDescent="0.5">
      <c r="A982" s="33" t="str">
        <f>INDEX(Technologieën[Veld],MATCH(B982,Technologieën[Digitale zorgtoepassing],0))</f>
        <v>Software - Behandeling</v>
      </c>
      <c r="B982" s="33" t="s">
        <v>585</v>
      </c>
      <c r="C982" s="33" t="s">
        <v>107</v>
      </c>
      <c r="D982" s="427" cm="1">
        <f t="array" ref="D982">INDEX(Berekening_patiëntaantal[Percentage van patiëntaantallen in Wlz (overige is Zvw)],MATCH(B982,IF(Berekening_patiëntaantal[Doelgroep (zoeksleutel)]=C982,Berekening_patiëntaantal[Digitale zorgtoepassing]),0))</f>
        <v>0</v>
      </c>
      <c r="E982" s="33" t="str" cm="1">
        <f t="array" ref="E982">INDEX(Berekening_patiëntaantal[Direct toepasbaar/extrapolatie/incidentie voor QALY],MATCH(B982,IF(Berekening_patiëntaantal[Doelgroep (zoeksleutel)]=C982,Berekening_patiëntaantal[Digitale zorgtoepassing]),0))</f>
        <v>Huidige toepassing</v>
      </c>
      <c r="F982" s="33" t="s">
        <v>813</v>
      </c>
      <c r="G982" s="33" t="str">
        <f>CONCATENATE(uitkomst_doelgroep[[#This Row],[Digitale zorgtoepassing]],"_",uitkomst_doelgroep[[#This Row],[Doelgroep]],"_",uitkomst_doelgroep[[#This Row],[Uitgangssituatie/effect beleid]])</f>
        <v>Digitale/slimme vervolgzorg_Simpele botbreuken_Uitgangssituatie</v>
      </c>
      <c r="H982" s="33">
        <v>2032</v>
      </c>
      <c r="I982" s="32">
        <v>10</v>
      </c>
      <c r="J982" s="406" cm="1">
        <f t="array" ref="J982">INDEX(implementatie[[2023]:[2034]],MATCH(G982, implementatie[Zoeksleutel],0),I982)</f>
        <v>0.99195193384931235</v>
      </c>
      <c r="K982" s="406" cm="1">
        <f t="array" ref="K982">INDEX(implementatie[[2023]:[2034]],MATCH(G982,implementatie[Zoeksleutel],0),I982 + 1)</f>
        <v>0.99574561815494433</v>
      </c>
      <c r="L98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57285.224179797791</v>
      </c>
      <c r="M982" s="398" cm="1">
        <f t="array" ref="M982">J982*INDEX(Berekening_impact[Totaal arbeidsbesparing (€/jaar)],MATCH(B982,IF(Berekening_impact[Doelgroep]=C982,Berekening_impact[Digitale zorgtoepassing]),0))</f>
        <v>5774350.5973236179</v>
      </c>
      <c r="N982" s="397" cm="1">
        <f t="array" ref="N982">J982*INDEX(Berekening_impact[Totaal arbeidsbesparing (FTE/jaar)],MATCH(B982,IF(Berekening_impact[Doelgroep]=C982,Berekening_impact[Digitale zorgtoepassing]),0))</f>
        <v>30.438430921633305</v>
      </c>
      <c r="O982" s="398" cm="1">
        <f t="array" ref="O982">J982*INDEX(Berekening_impact[Overige kostenbesparing (totaal/jaar totaal potentieel)],MATCH(B982,IF(Berekening_impact[Doelgroep]=C982,Berekening_impact[Digitale zorgtoepassing]),0))</f>
        <v>3849567.0648824112</v>
      </c>
      <c r="P982" s="398" cm="1">
        <f t="array" ref="P982">J982*INDEX(Berekening_impact[Opbrengsten door QALY''s],MATCH(B982,IF(Berekening_impact[Doelgroep]=C982,Berekening_impact[Digitale zorgtoepassing]),0))</f>
        <v>0</v>
      </c>
      <c r="Q982" s="398" cm="1">
        <f t="array" ref="Q982">J982*INDEX(Berekening_impact[Jaarlijkse kosten (totaal) - incl. schatting],MATCH(B982,IF(Berekening_impact[Doelgroep]=C982,Berekening_impact[Digitale zorgtoepassing]),0))</f>
        <v>0</v>
      </c>
      <c r="R982" s="398" cm="1">
        <f t="array" ref="R982">(uitkomst_doelgroep[[#This Row],[Implementatiegraad t = T + 1]]-uitkomst_doelgroep[[#This Row],[Implementatiegraad t = T]])*INDEX(Berekening_impact[Initiële investering (totaal) - incl. schatting],MATCH(B982,IF(Berekening_impact[Doelgroep]=C982,Berekening_impact[Digitale zorgtoepassing]),0))</f>
        <v>0</v>
      </c>
      <c r="S982" s="398">
        <f>uitkomst_doelgroep[[#This Row],[Arbeidsbesparing (€)]]*uitkomst_doelgroep[[#This Row],[Percentage van patiëntaantallen in Wlz (overige is Zvw)]]</f>
        <v>0</v>
      </c>
      <c r="T982" s="398">
        <f>uitkomst_doelgroep[[#This Row],[Overige besparingen (€)]]*uitkomst_doelgroep[[#This Row],[Percentage van patiëntaantallen in Wlz (overige is Zvw)]]</f>
        <v>0</v>
      </c>
      <c r="U982" s="398">
        <f>uitkomst_doelgroep[[#This Row],[Kosten (€)]]*uitkomst_doelgroep[[#This Row],[Percentage van patiëntaantallen in Wlz (overige is Zvw)]]</f>
        <v>0</v>
      </c>
      <c r="V982" s="398">
        <f>uitkomst_doelgroep[[#This Row],[Investering (cash flow) (€)]]*uitkomst_doelgroep[[#This Row],[Percentage van patiëntaantallen in Wlz (overige is Zvw)]]</f>
        <v>0</v>
      </c>
    </row>
    <row r="983" spans="1:22" x14ac:dyDescent="0.5">
      <c r="A983" s="33" t="str">
        <f>INDEX(Technologieën[Veld],MATCH(B983,Technologieën[Digitale zorgtoepassing],0))</f>
        <v>Software - Behandeling</v>
      </c>
      <c r="B983" s="33" t="s">
        <v>585</v>
      </c>
      <c r="C983" s="33" t="s">
        <v>107</v>
      </c>
      <c r="D983" s="427" cm="1">
        <f t="array" ref="D983">INDEX(Berekening_patiëntaantal[Percentage van patiëntaantallen in Wlz (overige is Zvw)],MATCH(B983,IF(Berekening_patiëntaantal[Doelgroep (zoeksleutel)]=C983,Berekening_patiëntaantal[Digitale zorgtoepassing]),0))</f>
        <v>0</v>
      </c>
      <c r="E983" s="33" t="str" cm="1">
        <f t="array" ref="E983">INDEX(Berekening_patiëntaantal[Direct toepasbaar/extrapolatie/incidentie voor QALY],MATCH(B983,IF(Berekening_patiëntaantal[Doelgroep (zoeksleutel)]=C983,Berekening_patiëntaantal[Digitale zorgtoepassing]),0))</f>
        <v>Huidige toepassing</v>
      </c>
      <c r="F983" s="33" t="s">
        <v>813</v>
      </c>
      <c r="G983" s="33" t="str">
        <f>CONCATENATE(uitkomst_doelgroep[[#This Row],[Digitale zorgtoepassing]],"_",uitkomst_doelgroep[[#This Row],[Doelgroep]],"_",uitkomst_doelgroep[[#This Row],[Uitgangssituatie/effect beleid]])</f>
        <v>Digitale/slimme vervolgzorg_Simpele botbreuken_Uitgangssituatie</v>
      </c>
      <c r="H983" s="33">
        <v>2033</v>
      </c>
      <c r="I983" s="32">
        <v>11</v>
      </c>
      <c r="J983" s="406" cm="1">
        <f t="array" ref="J983">INDEX(implementatie[[2023]:[2034]],MATCH(G983, implementatie[Zoeksleutel],0),I983)</f>
        <v>0.99574561815494433</v>
      </c>
      <c r="K983" s="406" cm="1">
        <f t="array" ref="K983">INDEX(implementatie[[2023]:[2034]],MATCH(G983,implementatie[Zoeksleutel],0),I983 + 1)</f>
        <v>0.99775830463714821</v>
      </c>
      <c r="L98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57504.309448448039</v>
      </c>
      <c r="M983" s="398" cm="1">
        <f t="array" ref="M983">J983*INDEX(Berekening_impact[Totaal arbeidsbesparing (€/jaar)],MATCH(B983,IF(Berekening_impact[Doelgroep]=C983,Berekening_impact[Digitale zorgtoepassing]),0))</f>
        <v>5796434.3924035626</v>
      </c>
      <c r="N983" s="397" cm="1">
        <f t="array" ref="N983">J983*INDEX(Berekening_impact[Totaal arbeidsbesparing (FTE/jaar)],MATCH(B983,IF(Berekening_impact[Doelgroep]=C983,Berekening_impact[Digitale zorgtoepassing]),0))</f>
        <v>30.554841600150116</v>
      </c>
      <c r="O983" s="398" cm="1">
        <f t="array" ref="O983">J983*INDEX(Berekening_impact[Overige kostenbesparing (totaal/jaar totaal potentieel)],MATCH(B983,IF(Berekening_impact[Doelgroep]=C983,Berekening_impact[Digitale zorgtoepassing]),0))</f>
        <v>3864289.5949357077</v>
      </c>
      <c r="P983" s="398" cm="1">
        <f t="array" ref="P983">J983*INDEX(Berekening_impact[Opbrengsten door QALY''s],MATCH(B983,IF(Berekening_impact[Doelgroep]=C983,Berekening_impact[Digitale zorgtoepassing]),0))</f>
        <v>0</v>
      </c>
      <c r="Q983" s="398" cm="1">
        <f t="array" ref="Q983">J983*INDEX(Berekening_impact[Jaarlijkse kosten (totaal) - incl. schatting],MATCH(B983,IF(Berekening_impact[Doelgroep]=C983,Berekening_impact[Digitale zorgtoepassing]),0))</f>
        <v>0</v>
      </c>
      <c r="R983" s="398" cm="1">
        <f t="array" ref="R983">(uitkomst_doelgroep[[#This Row],[Implementatiegraad t = T + 1]]-uitkomst_doelgroep[[#This Row],[Implementatiegraad t = T]])*INDEX(Berekening_impact[Initiële investering (totaal) - incl. schatting],MATCH(B983,IF(Berekening_impact[Doelgroep]=C983,Berekening_impact[Digitale zorgtoepassing]),0))</f>
        <v>0</v>
      </c>
      <c r="S983" s="398">
        <f>uitkomst_doelgroep[[#This Row],[Arbeidsbesparing (€)]]*uitkomst_doelgroep[[#This Row],[Percentage van patiëntaantallen in Wlz (overige is Zvw)]]</f>
        <v>0</v>
      </c>
      <c r="T983" s="398">
        <f>uitkomst_doelgroep[[#This Row],[Overige besparingen (€)]]*uitkomst_doelgroep[[#This Row],[Percentage van patiëntaantallen in Wlz (overige is Zvw)]]</f>
        <v>0</v>
      </c>
      <c r="U983" s="398">
        <f>uitkomst_doelgroep[[#This Row],[Kosten (€)]]*uitkomst_doelgroep[[#This Row],[Percentage van patiëntaantallen in Wlz (overige is Zvw)]]</f>
        <v>0</v>
      </c>
      <c r="V983" s="398">
        <f>uitkomst_doelgroep[[#This Row],[Investering (cash flow) (€)]]*uitkomst_doelgroep[[#This Row],[Percentage van patiëntaantallen in Wlz (overige is Zvw)]]</f>
        <v>0</v>
      </c>
    </row>
    <row r="984" spans="1:22" x14ac:dyDescent="0.5">
      <c r="A984" s="33" t="str">
        <f>INDEX(Technologieën[Veld],MATCH(B984,Technologieën[Digitale zorgtoepassing],0))</f>
        <v>Software - Behandeling</v>
      </c>
      <c r="B984" s="33" t="s">
        <v>585</v>
      </c>
      <c r="C984" s="33" t="s">
        <v>583</v>
      </c>
      <c r="D984" s="427" cm="1">
        <f t="array" ref="D984">INDEX(Berekening_patiëntaantal[Percentage van patiëntaantallen in Wlz (overige is Zvw)],MATCH(B984,IF(Berekening_patiëntaantal[Doelgroep (zoeksleutel)]=C984,Berekening_patiëntaantal[Digitale zorgtoepassing]),0))</f>
        <v>0</v>
      </c>
      <c r="E984" s="33" t="str" cm="1">
        <f t="array" ref="E984">INDEX(Berekening_patiëntaantal[Direct toepasbaar/extrapolatie/incidentie voor QALY],MATCH(B984,IF(Berekening_patiëntaantal[Doelgroep (zoeksleutel)]=C984,Berekening_patiëntaantal[Digitale zorgtoepassing]),0))</f>
        <v>Huidige toepassing</v>
      </c>
      <c r="F984" s="33" t="s">
        <v>813</v>
      </c>
      <c r="G984" s="33" t="str">
        <f>CONCATENATE(uitkomst_doelgroep[[#This Row],[Digitale zorgtoepassing]],"_",uitkomst_doelgroep[[#This Row],[Doelgroep]],"_",uitkomst_doelgroep[[#This Row],[Uitgangssituatie/effect beleid]])</f>
        <v>Digitale/slimme vervolgzorg_Herhaalpoli's_Uitgangssituatie</v>
      </c>
      <c r="H984" s="33">
        <v>2023</v>
      </c>
      <c r="I984" s="32">
        <v>1</v>
      </c>
      <c r="J984" s="406" cm="1">
        <f t="array" ref="J984">INDEX(implementatie[[2023]:[2034]],MATCH(G984, implementatie[Zoeksleutel],0),I984)</f>
        <v>0</v>
      </c>
      <c r="K984" s="406" cm="1">
        <f t="array" ref="K984">INDEX(implementatie[[2023]:[2034]],MATCH(G984,implementatie[Zoeksleutel],0),I984 + 1)</f>
        <v>0.02</v>
      </c>
      <c r="L98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984" s="398" cm="1">
        <f t="array" ref="M984">J984*INDEX(Berekening_impact[Totaal arbeidsbesparing (€/jaar)],MATCH(B984,IF(Berekening_impact[Doelgroep]=C984,Berekening_impact[Digitale zorgtoepassing]),0))</f>
        <v>0</v>
      </c>
      <c r="N984" s="397" cm="1">
        <f t="array" ref="N984">J984*INDEX(Berekening_impact[Totaal arbeidsbesparing (FTE/jaar)],MATCH(B984,IF(Berekening_impact[Doelgroep]=C984,Berekening_impact[Digitale zorgtoepassing]),0))</f>
        <v>0</v>
      </c>
      <c r="O984" s="398" cm="1">
        <f t="array" ref="O984">J984*INDEX(Berekening_impact[Overige kostenbesparing (totaal/jaar totaal potentieel)],MATCH(B984,IF(Berekening_impact[Doelgroep]=C984,Berekening_impact[Digitale zorgtoepassing]),0))</f>
        <v>0</v>
      </c>
      <c r="P984" s="398" cm="1">
        <f t="array" ref="P984">J984*INDEX(Berekening_impact[Opbrengsten door QALY''s],MATCH(B984,IF(Berekening_impact[Doelgroep]=C984,Berekening_impact[Digitale zorgtoepassing]),0))</f>
        <v>0</v>
      </c>
      <c r="Q984" s="398" cm="1">
        <f t="array" ref="Q984">J984*INDEX(Berekening_impact[Jaarlijkse kosten (totaal) - incl. schatting],MATCH(B984,IF(Berekening_impact[Doelgroep]=C984,Berekening_impact[Digitale zorgtoepassing]),0))</f>
        <v>0</v>
      </c>
      <c r="R984" s="398" cm="1">
        <f t="array" ref="R984">(uitkomst_doelgroep[[#This Row],[Implementatiegraad t = T + 1]]-uitkomst_doelgroep[[#This Row],[Implementatiegraad t = T]])*INDEX(Berekening_impact[Initiële investering (totaal) - incl. schatting],MATCH(B984,IF(Berekening_impact[Doelgroep]=C984,Berekening_impact[Digitale zorgtoepassing]),0))</f>
        <v>0</v>
      </c>
      <c r="S984" s="398">
        <f>uitkomst_doelgroep[[#This Row],[Arbeidsbesparing (€)]]*uitkomst_doelgroep[[#This Row],[Percentage van patiëntaantallen in Wlz (overige is Zvw)]]</f>
        <v>0</v>
      </c>
      <c r="T984" s="398">
        <f>uitkomst_doelgroep[[#This Row],[Overige besparingen (€)]]*uitkomst_doelgroep[[#This Row],[Percentage van patiëntaantallen in Wlz (overige is Zvw)]]</f>
        <v>0</v>
      </c>
      <c r="U984" s="398">
        <f>uitkomst_doelgroep[[#This Row],[Kosten (€)]]*uitkomst_doelgroep[[#This Row],[Percentage van patiëntaantallen in Wlz (overige is Zvw)]]</f>
        <v>0</v>
      </c>
      <c r="V984" s="398">
        <f>uitkomst_doelgroep[[#This Row],[Investering (cash flow) (€)]]*uitkomst_doelgroep[[#This Row],[Percentage van patiëntaantallen in Wlz (overige is Zvw)]]</f>
        <v>0</v>
      </c>
    </row>
    <row r="985" spans="1:22" x14ac:dyDescent="0.5">
      <c r="A985" s="33" t="str">
        <f>INDEX(Technologieën[Veld],MATCH(B985,Technologieën[Digitale zorgtoepassing],0))</f>
        <v>Software - Behandeling</v>
      </c>
      <c r="B985" s="33" t="s">
        <v>585</v>
      </c>
      <c r="C985" s="33" t="s">
        <v>583</v>
      </c>
      <c r="D985" s="427" cm="1">
        <f t="array" ref="D985">INDEX(Berekening_patiëntaantal[Percentage van patiëntaantallen in Wlz (overige is Zvw)],MATCH(B985,IF(Berekening_patiëntaantal[Doelgroep (zoeksleutel)]=C985,Berekening_patiëntaantal[Digitale zorgtoepassing]),0))</f>
        <v>0</v>
      </c>
      <c r="E985" s="33" t="str" cm="1">
        <f t="array" ref="E985">INDEX(Berekening_patiëntaantal[Direct toepasbaar/extrapolatie/incidentie voor QALY],MATCH(B985,IF(Berekening_patiëntaantal[Doelgroep (zoeksleutel)]=C985,Berekening_patiëntaantal[Digitale zorgtoepassing]),0))</f>
        <v>Huidige toepassing</v>
      </c>
      <c r="F985" s="33" t="s">
        <v>813</v>
      </c>
      <c r="G985" s="33" t="str">
        <f>CONCATENATE(uitkomst_doelgroep[[#This Row],[Digitale zorgtoepassing]],"_",uitkomst_doelgroep[[#This Row],[Doelgroep]],"_",uitkomst_doelgroep[[#This Row],[Uitgangssituatie/effect beleid]])</f>
        <v>Digitale/slimme vervolgzorg_Herhaalpoli's_Uitgangssituatie</v>
      </c>
      <c r="H985" s="33">
        <v>2024</v>
      </c>
      <c r="I985" s="32">
        <v>2</v>
      </c>
      <c r="J985" s="406" cm="1">
        <f t="array" ref="J985">INDEX(implementatie[[2023]:[2034]],MATCH(G985, implementatie[Zoeksleutel],0),I985)</f>
        <v>0.02</v>
      </c>
      <c r="K985" s="406" cm="1">
        <f t="array" ref="K985">INDEX(implementatie[[2023]:[2034]],MATCH(G985,implementatie[Zoeksleutel],0),I985 + 1)</f>
        <v>4.7439999999999996E-2</v>
      </c>
      <c r="L98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110000</v>
      </c>
      <c r="M985" s="398" cm="1">
        <f t="array" ref="M985">J985*INDEX(Berekening_impact[Totaal arbeidsbesparing (€/jaar)],MATCH(B985,IF(Berekening_impact[Doelgroep]=C985,Berekening_impact[Digitale zorgtoepassing]),0))</f>
        <v>501626.23563218396</v>
      </c>
      <c r="N985" s="397" cm="1">
        <f t="array" ref="N985">J985*INDEX(Berekening_impact[Totaal arbeidsbesparing (FTE/jaar)],MATCH(B985,IF(Berekening_impact[Doelgroep]=C985,Berekening_impact[Digitale zorgtoepassing]),0))</f>
        <v>2.6442307692307692</v>
      </c>
      <c r="O985" s="398" cm="1">
        <f t="array" ref="O985">J985*INDEX(Berekening_impact[Overige kostenbesparing (totaal/jaar totaal potentieel)],MATCH(B985,IF(Berekening_impact[Doelgroep]=C985,Berekening_impact[Digitale zorgtoepassing]),0))</f>
        <v>0</v>
      </c>
      <c r="P985" s="398" cm="1">
        <f t="array" ref="P985">J985*INDEX(Berekening_impact[Opbrengsten door QALY''s],MATCH(B985,IF(Berekening_impact[Doelgroep]=C985,Berekening_impact[Digitale zorgtoepassing]),0))</f>
        <v>0</v>
      </c>
      <c r="Q985" s="398" cm="1">
        <f t="array" ref="Q985">J985*INDEX(Berekening_impact[Jaarlijkse kosten (totaal) - incl. schatting],MATCH(B985,IF(Berekening_impact[Doelgroep]=C985,Berekening_impact[Digitale zorgtoepassing]),0))</f>
        <v>274926.5595558997</v>
      </c>
      <c r="R985" s="398" cm="1">
        <f t="array" ref="R985">(uitkomst_doelgroep[[#This Row],[Implementatiegraad t = T + 1]]-uitkomst_doelgroep[[#This Row],[Implementatiegraad t = T]])*INDEX(Berekening_impact[Initiële investering (totaal) - incl. schatting],MATCH(B985,IF(Berekening_impact[Doelgroep]=C985,Berekening_impact[Digitale zorgtoepassing]),0))</f>
        <v>0</v>
      </c>
      <c r="S985" s="398">
        <f>uitkomst_doelgroep[[#This Row],[Arbeidsbesparing (€)]]*uitkomst_doelgroep[[#This Row],[Percentage van patiëntaantallen in Wlz (overige is Zvw)]]</f>
        <v>0</v>
      </c>
      <c r="T985" s="398">
        <f>uitkomst_doelgroep[[#This Row],[Overige besparingen (€)]]*uitkomst_doelgroep[[#This Row],[Percentage van patiëntaantallen in Wlz (overige is Zvw)]]</f>
        <v>0</v>
      </c>
      <c r="U985" s="398">
        <f>uitkomst_doelgroep[[#This Row],[Kosten (€)]]*uitkomst_doelgroep[[#This Row],[Percentage van patiëntaantallen in Wlz (overige is Zvw)]]</f>
        <v>0</v>
      </c>
      <c r="V985" s="398">
        <f>uitkomst_doelgroep[[#This Row],[Investering (cash flow) (€)]]*uitkomst_doelgroep[[#This Row],[Percentage van patiëntaantallen in Wlz (overige is Zvw)]]</f>
        <v>0</v>
      </c>
    </row>
    <row r="986" spans="1:22" x14ac:dyDescent="0.5">
      <c r="A986" s="33" t="str">
        <f>INDEX(Technologieën[Veld],MATCH(B986,Technologieën[Digitale zorgtoepassing],0))</f>
        <v>Software - Behandeling</v>
      </c>
      <c r="B986" s="33" t="s">
        <v>585</v>
      </c>
      <c r="C986" s="33" t="s">
        <v>583</v>
      </c>
      <c r="D986" s="427" cm="1">
        <f t="array" ref="D986">INDEX(Berekening_patiëntaantal[Percentage van patiëntaantallen in Wlz (overige is Zvw)],MATCH(B986,IF(Berekening_patiëntaantal[Doelgroep (zoeksleutel)]=C986,Berekening_patiëntaantal[Digitale zorgtoepassing]),0))</f>
        <v>0</v>
      </c>
      <c r="E986" s="33" t="str" cm="1">
        <f t="array" ref="E986">INDEX(Berekening_patiëntaantal[Direct toepasbaar/extrapolatie/incidentie voor QALY],MATCH(B986,IF(Berekening_patiëntaantal[Doelgroep (zoeksleutel)]=C986,Berekening_patiëntaantal[Digitale zorgtoepassing]),0))</f>
        <v>Huidige toepassing</v>
      </c>
      <c r="F986" s="33" t="s">
        <v>813</v>
      </c>
      <c r="G986" s="33" t="str">
        <f>CONCATENATE(uitkomst_doelgroep[[#This Row],[Digitale zorgtoepassing]],"_",uitkomst_doelgroep[[#This Row],[Doelgroep]],"_",uitkomst_doelgroep[[#This Row],[Uitgangssituatie/effect beleid]])</f>
        <v>Digitale/slimme vervolgzorg_Herhaalpoli's_Uitgangssituatie</v>
      </c>
      <c r="H986" s="33">
        <v>2025</v>
      </c>
      <c r="I986" s="32">
        <v>3</v>
      </c>
      <c r="J986" s="406" cm="1">
        <f t="array" ref="J986">INDEX(implementatie[[2023]:[2034]],MATCH(G986, implementatie[Zoeksleutel],0),I986)</f>
        <v>4.7439999999999996E-2</v>
      </c>
      <c r="K986" s="406" cm="1">
        <f t="array" ref="K986">INDEX(implementatie[[2023]:[2034]],MATCH(G986,implementatie[Zoeksleutel],0),I986 + 1)</f>
        <v>8.4566978560000006E-2</v>
      </c>
      <c r="L98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260919.99999999997</v>
      </c>
      <c r="M986" s="398" cm="1">
        <f t="array" ref="M986">J986*INDEX(Berekening_impact[Totaal arbeidsbesparing (€/jaar)],MATCH(B986,IF(Berekening_impact[Doelgroep]=C986,Berekening_impact[Digitale zorgtoepassing]),0))</f>
        <v>1189857.4309195401</v>
      </c>
      <c r="N986" s="397" cm="1">
        <f t="array" ref="N986">J986*INDEX(Berekening_impact[Totaal arbeidsbesparing (FTE/jaar)],MATCH(B986,IF(Berekening_impact[Doelgroep]=C986,Berekening_impact[Digitale zorgtoepassing]),0))</f>
        <v>6.2721153846153834</v>
      </c>
      <c r="O986" s="398" cm="1">
        <f t="array" ref="O986">J986*INDEX(Berekening_impact[Overige kostenbesparing (totaal/jaar totaal potentieel)],MATCH(B986,IF(Berekening_impact[Doelgroep]=C986,Berekening_impact[Digitale zorgtoepassing]),0))</f>
        <v>0</v>
      </c>
      <c r="P986" s="398" cm="1">
        <f t="array" ref="P986">J986*INDEX(Berekening_impact[Opbrengsten door QALY''s],MATCH(B986,IF(Berekening_impact[Doelgroep]=C986,Berekening_impact[Digitale zorgtoepassing]),0))</f>
        <v>0</v>
      </c>
      <c r="Q986" s="398" cm="1">
        <f t="array" ref="Q986">J986*INDEX(Berekening_impact[Jaarlijkse kosten (totaal) - incl. schatting],MATCH(B986,IF(Berekening_impact[Doelgroep]=C986,Berekening_impact[Digitale zorgtoepassing]),0))</f>
        <v>652125.79926659411</v>
      </c>
      <c r="R986" s="398" cm="1">
        <f t="array" ref="R986">(uitkomst_doelgroep[[#This Row],[Implementatiegraad t = T + 1]]-uitkomst_doelgroep[[#This Row],[Implementatiegraad t = T]])*INDEX(Berekening_impact[Initiële investering (totaal) - incl. schatting],MATCH(B986,IF(Berekening_impact[Doelgroep]=C986,Berekening_impact[Digitale zorgtoepassing]),0))</f>
        <v>0</v>
      </c>
      <c r="S986" s="398">
        <f>uitkomst_doelgroep[[#This Row],[Arbeidsbesparing (€)]]*uitkomst_doelgroep[[#This Row],[Percentage van patiëntaantallen in Wlz (overige is Zvw)]]</f>
        <v>0</v>
      </c>
      <c r="T986" s="398">
        <f>uitkomst_doelgroep[[#This Row],[Overige besparingen (€)]]*uitkomst_doelgroep[[#This Row],[Percentage van patiëntaantallen in Wlz (overige is Zvw)]]</f>
        <v>0</v>
      </c>
      <c r="U986" s="398">
        <f>uitkomst_doelgroep[[#This Row],[Kosten (€)]]*uitkomst_doelgroep[[#This Row],[Percentage van patiëntaantallen in Wlz (overige is Zvw)]]</f>
        <v>0</v>
      </c>
      <c r="V986" s="398">
        <f>uitkomst_doelgroep[[#This Row],[Investering (cash flow) (€)]]*uitkomst_doelgroep[[#This Row],[Percentage van patiëntaantallen in Wlz (overige is Zvw)]]</f>
        <v>0</v>
      </c>
    </row>
    <row r="987" spans="1:22" x14ac:dyDescent="0.5">
      <c r="A987" s="33" t="str">
        <f>INDEX(Technologieën[Veld],MATCH(B987,Technologieën[Digitale zorgtoepassing],0))</f>
        <v>Software - Behandeling</v>
      </c>
      <c r="B987" s="33" t="s">
        <v>585</v>
      </c>
      <c r="C987" s="33" t="s">
        <v>583</v>
      </c>
      <c r="D987" s="427" cm="1">
        <f t="array" ref="D987">INDEX(Berekening_patiëntaantal[Percentage van patiëntaantallen in Wlz (overige is Zvw)],MATCH(B987,IF(Berekening_patiëntaantal[Doelgroep (zoeksleutel)]=C987,Berekening_patiëntaantal[Digitale zorgtoepassing]),0))</f>
        <v>0</v>
      </c>
      <c r="E987" s="33" t="str" cm="1">
        <f t="array" ref="E987">INDEX(Berekening_patiëntaantal[Direct toepasbaar/extrapolatie/incidentie voor QALY],MATCH(B987,IF(Berekening_patiëntaantal[Doelgroep (zoeksleutel)]=C987,Berekening_patiëntaantal[Digitale zorgtoepassing]),0))</f>
        <v>Huidige toepassing</v>
      </c>
      <c r="F987" s="33" t="s">
        <v>813</v>
      </c>
      <c r="G987" s="33" t="str">
        <f>CONCATENATE(uitkomst_doelgroep[[#This Row],[Digitale zorgtoepassing]],"_",uitkomst_doelgroep[[#This Row],[Doelgroep]],"_",uitkomst_doelgroep[[#This Row],[Uitgangssituatie/effect beleid]])</f>
        <v>Digitale/slimme vervolgzorg_Herhaalpoli's_Uitgangssituatie</v>
      </c>
      <c r="H987" s="33">
        <v>2026</v>
      </c>
      <c r="I987" s="32">
        <v>4</v>
      </c>
      <c r="J987" s="406" cm="1">
        <f t="array" ref="J987">INDEX(implementatie[[2023]:[2034]],MATCH(G987, implementatie[Zoeksleutel],0),I987)</f>
        <v>8.4566978560000006E-2</v>
      </c>
      <c r="K987" s="406" cm="1">
        <f t="array" ref="K987">INDEX(implementatie[[2023]:[2034]],MATCH(G987,implementatie[Zoeksleutel],0),I987 + 1)</f>
        <v>0.13384180086769301</v>
      </c>
      <c r="L98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465118.38208000001</v>
      </c>
      <c r="M987" s="398" cm="1">
        <f t="array" ref="M987">J987*INDEX(Berekening_impact[Totaal arbeidsbesparing (€/jaar)],MATCH(B987,IF(Berekening_impact[Doelgroep]=C987,Berekening_impact[Digitale zorgtoepassing]),0))</f>
        <v>2121050.7556920205</v>
      </c>
      <c r="N987" s="397" cm="1">
        <f t="array" ref="N987">J987*INDEX(Berekening_impact[Totaal arbeidsbesparing (FTE/jaar)],MATCH(B987,IF(Berekening_impact[Doelgroep]=C987,Berekening_impact[Digitale zorgtoepassing]),0))</f>
        <v>11.180730338461538</v>
      </c>
      <c r="O987" s="398" cm="1">
        <f t="array" ref="O987">J987*INDEX(Berekening_impact[Overige kostenbesparing (totaal/jaar totaal potentieel)],MATCH(B987,IF(Berekening_impact[Doelgroep]=C987,Berekening_impact[Digitale zorgtoepassing]),0))</f>
        <v>0</v>
      </c>
      <c r="P987" s="398" cm="1">
        <f t="array" ref="P987">J987*INDEX(Berekening_impact[Opbrengsten door QALY''s],MATCH(B987,IF(Berekening_impact[Doelgroep]=C987,Berekening_impact[Digitale zorgtoepassing]),0))</f>
        <v>0</v>
      </c>
      <c r="Q987" s="398" cm="1">
        <f t="array" ref="Q987">J987*INDEX(Berekening_impact[Jaarlijkse kosten (totaal) - incl. schatting],MATCH(B987,IF(Berekening_impact[Doelgroep]=C987,Berekening_impact[Digitale zorgtoepassing]),0))</f>
        <v>1162485.4233769169</v>
      </c>
      <c r="R987" s="398" cm="1">
        <f t="array" ref="R987">(uitkomst_doelgroep[[#This Row],[Implementatiegraad t = T + 1]]-uitkomst_doelgroep[[#This Row],[Implementatiegraad t = T]])*INDEX(Berekening_impact[Initiële investering (totaal) - incl. schatting],MATCH(B987,IF(Berekening_impact[Doelgroep]=C987,Berekening_impact[Digitale zorgtoepassing]),0))</f>
        <v>0</v>
      </c>
      <c r="S987" s="398">
        <f>uitkomst_doelgroep[[#This Row],[Arbeidsbesparing (€)]]*uitkomst_doelgroep[[#This Row],[Percentage van patiëntaantallen in Wlz (overige is Zvw)]]</f>
        <v>0</v>
      </c>
      <c r="T987" s="398">
        <f>uitkomst_doelgroep[[#This Row],[Overige besparingen (€)]]*uitkomst_doelgroep[[#This Row],[Percentage van patiëntaantallen in Wlz (overige is Zvw)]]</f>
        <v>0</v>
      </c>
      <c r="U987" s="398">
        <f>uitkomst_doelgroep[[#This Row],[Kosten (€)]]*uitkomst_doelgroep[[#This Row],[Percentage van patiëntaantallen in Wlz (overige is Zvw)]]</f>
        <v>0</v>
      </c>
      <c r="V987" s="398">
        <f>uitkomst_doelgroep[[#This Row],[Investering (cash flow) (€)]]*uitkomst_doelgroep[[#This Row],[Percentage van patiëntaantallen in Wlz (overige is Zvw)]]</f>
        <v>0</v>
      </c>
    </row>
    <row r="988" spans="1:22" x14ac:dyDescent="0.5">
      <c r="A988" s="33" t="str">
        <f>INDEX(Technologieën[Veld],MATCH(B988,Technologieën[Digitale zorgtoepassing],0))</f>
        <v>Software - Behandeling</v>
      </c>
      <c r="B988" s="33" t="s">
        <v>585</v>
      </c>
      <c r="C988" s="33" t="s">
        <v>583</v>
      </c>
      <c r="D988" s="427" cm="1">
        <f t="array" ref="D988">INDEX(Berekening_patiëntaantal[Percentage van patiëntaantallen in Wlz (overige is Zvw)],MATCH(B988,IF(Berekening_patiëntaantal[Doelgroep (zoeksleutel)]=C988,Berekening_patiëntaantal[Digitale zorgtoepassing]),0))</f>
        <v>0</v>
      </c>
      <c r="E988" s="33" t="str" cm="1">
        <f t="array" ref="E988">INDEX(Berekening_patiëntaantal[Direct toepasbaar/extrapolatie/incidentie voor QALY],MATCH(B988,IF(Berekening_patiëntaantal[Doelgroep (zoeksleutel)]=C988,Berekening_patiëntaantal[Digitale zorgtoepassing]),0))</f>
        <v>Huidige toepassing</v>
      </c>
      <c r="F988" s="33" t="s">
        <v>813</v>
      </c>
      <c r="G988" s="33" t="str">
        <f>CONCATENATE(uitkomst_doelgroep[[#This Row],[Digitale zorgtoepassing]],"_",uitkomst_doelgroep[[#This Row],[Doelgroep]],"_",uitkomst_doelgroep[[#This Row],[Uitgangssituatie/effect beleid]])</f>
        <v>Digitale/slimme vervolgzorg_Herhaalpoli's_Uitgangssituatie</v>
      </c>
      <c r="H988" s="33">
        <v>2027</v>
      </c>
      <c r="I988" s="32">
        <v>5</v>
      </c>
      <c r="J988" s="406" cm="1">
        <f t="array" ref="J988">INDEX(implementatie[[2023]:[2034]],MATCH(G988, implementatie[Zoeksleutel],0),I988)</f>
        <v>0.13384180086769301</v>
      </c>
      <c r="K988" s="406" cm="1">
        <f t="array" ref="K988">INDEX(implementatie[[2023]:[2034]],MATCH(G988,implementatie[Zoeksleutel],0),I988 + 1)</f>
        <v>0.19753623413361349</v>
      </c>
      <c r="L98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736129.90477231157</v>
      </c>
      <c r="M988" s="398" cm="1">
        <f t="array" ref="M988">J988*INDEX(Berekening_impact[Totaal arbeidsbesparing (€/jaar)],MATCH(B988,IF(Berekening_impact[Doelgroep]=C988,Berekening_impact[Digitale zorgtoepassing]),0))</f>
        <v>3356927.9369746605</v>
      </c>
      <c r="N988" s="397" cm="1">
        <f t="array" ref="N988">J988*INDEX(Berekening_impact[Totaal arbeidsbesparing (FTE/jaar)],MATCH(B988,IF(Berekening_impact[Doelgroep]=C988,Berekening_impact[Digitale zorgtoepassing]),0))</f>
        <v>17.695430403180566</v>
      </c>
      <c r="O988" s="398" cm="1">
        <f t="array" ref="O988">J988*INDEX(Berekening_impact[Overige kostenbesparing (totaal/jaar totaal potentieel)],MATCH(B988,IF(Berekening_impact[Doelgroep]=C988,Berekening_impact[Digitale zorgtoepassing]),0))</f>
        <v>0</v>
      </c>
      <c r="P988" s="398" cm="1">
        <f t="array" ref="P988">J988*INDEX(Berekening_impact[Opbrengsten door QALY''s],MATCH(B988,IF(Berekening_impact[Doelgroep]=C988,Berekening_impact[Digitale zorgtoepassing]),0))</f>
        <v>0</v>
      </c>
      <c r="Q988" s="398" cm="1">
        <f t="array" ref="Q988">J988*INDEX(Berekening_impact[Jaarlijkse kosten (totaal) - incl. schatting],MATCH(B988,IF(Berekening_impact[Doelgroep]=C988,Berekening_impact[Digitale zorgtoepassing]),0))</f>
        <v>1839833.2918660338</v>
      </c>
      <c r="R988" s="398" cm="1">
        <f t="array" ref="R988">(uitkomst_doelgroep[[#This Row],[Implementatiegraad t = T + 1]]-uitkomst_doelgroep[[#This Row],[Implementatiegraad t = T]])*INDEX(Berekening_impact[Initiële investering (totaal) - incl. schatting],MATCH(B988,IF(Berekening_impact[Doelgroep]=C988,Berekening_impact[Digitale zorgtoepassing]),0))</f>
        <v>0</v>
      </c>
      <c r="S988" s="398">
        <f>uitkomst_doelgroep[[#This Row],[Arbeidsbesparing (€)]]*uitkomst_doelgroep[[#This Row],[Percentage van patiëntaantallen in Wlz (overige is Zvw)]]</f>
        <v>0</v>
      </c>
      <c r="T988" s="398">
        <f>uitkomst_doelgroep[[#This Row],[Overige besparingen (€)]]*uitkomst_doelgroep[[#This Row],[Percentage van patiëntaantallen in Wlz (overige is Zvw)]]</f>
        <v>0</v>
      </c>
      <c r="U988" s="398">
        <f>uitkomst_doelgroep[[#This Row],[Kosten (€)]]*uitkomst_doelgroep[[#This Row],[Percentage van patiëntaantallen in Wlz (overige is Zvw)]]</f>
        <v>0</v>
      </c>
      <c r="V988" s="398">
        <f>uitkomst_doelgroep[[#This Row],[Investering (cash flow) (€)]]*uitkomst_doelgroep[[#This Row],[Percentage van patiëntaantallen in Wlz (overige is Zvw)]]</f>
        <v>0</v>
      </c>
    </row>
    <row r="989" spans="1:22" x14ac:dyDescent="0.5">
      <c r="A989" s="33" t="str">
        <f>INDEX(Technologieën[Veld],MATCH(B989,Technologieën[Digitale zorgtoepassing],0))</f>
        <v>Software - Behandeling</v>
      </c>
      <c r="B989" s="33" t="s">
        <v>585</v>
      </c>
      <c r="C989" s="33" t="s">
        <v>583</v>
      </c>
      <c r="D989" s="427" cm="1">
        <f t="array" ref="D989">INDEX(Berekening_patiëntaantal[Percentage van patiëntaantallen in Wlz (overige is Zvw)],MATCH(B989,IF(Berekening_patiëntaantal[Doelgroep (zoeksleutel)]=C989,Berekening_patiëntaantal[Digitale zorgtoepassing]),0))</f>
        <v>0</v>
      </c>
      <c r="E989" s="33" t="str" cm="1">
        <f t="array" ref="E989">INDEX(Berekening_patiëntaantal[Direct toepasbaar/extrapolatie/incidentie voor QALY],MATCH(B989,IF(Berekening_patiëntaantal[Doelgroep (zoeksleutel)]=C989,Berekening_patiëntaantal[Digitale zorgtoepassing]),0))</f>
        <v>Huidige toepassing</v>
      </c>
      <c r="F989" s="33" t="s">
        <v>813</v>
      </c>
      <c r="G989" s="33" t="str">
        <f>CONCATENATE(uitkomst_doelgroep[[#This Row],[Digitale zorgtoepassing]],"_",uitkomst_doelgroep[[#This Row],[Doelgroep]],"_",uitkomst_doelgroep[[#This Row],[Uitgangssituatie/effect beleid]])</f>
        <v>Digitale/slimme vervolgzorg_Herhaalpoli's_Uitgangssituatie</v>
      </c>
      <c r="H989" s="33">
        <v>2028</v>
      </c>
      <c r="I989" s="32">
        <v>6</v>
      </c>
      <c r="J989" s="406" cm="1">
        <f t="array" ref="J989">INDEX(implementatie[[2023]:[2034]],MATCH(G989, implementatie[Zoeksleutel],0),I989)</f>
        <v>0.19753623413361349</v>
      </c>
      <c r="K989" s="406" cm="1">
        <f t="array" ref="K989">INDEX(implementatie[[2023]:[2034]],MATCH(G989,implementatie[Zoeksleutel],0),I989 + 1)</f>
        <v>0.27699177758611071</v>
      </c>
      <c r="L98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1086449.2877348743</v>
      </c>
      <c r="M989" s="398" cm="1">
        <f t="array" ref="M989">J989*INDEX(Berekening_impact[Totaal arbeidsbesparing (€/jaar)],MATCH(B989,IF(Berekening_impact[Doelgroep]=C989,Berekening_impact[Digitale zorgtoepassing]),0))</f>
        <v>4954467.8764701122</v>
      </c>
      <c r="N989" s="397" cm="1">
        <f t="array" ref="N989">J989*INDEX(Berekening_impact[Totaal arbeidsbesparing (FTE/jaar)],MATCH(B989,IF(Berekening_impact[Doelgroep]=C989,Berekening_impact[Digitale zorgtoepassing]),0))</f>
        <v>26.116569416703705</v>
      </c>
      <c r="O989" s="398" cm="1">
        <f t="array" ref="O989">J989*INDEX(Berekening_impact[Overige kostenbesparing (totaal/jaar totaal potentieel)],MATCH(B989,IF(Berekening_impact[Doelgroep]=C989,Berekening_impact[Digitale zorgtoepassing]),0))</f>
        <v>0</v>
      </c>
      <c r="P989" s="398" cm="1">
        <f t="array" ref="P989">J989*INDEX(Berekening_impact[Opbrengsten door QALY''s],MATCH(B989,IF(Berekening_impact[Doelgroep]=C989,Berekening_impact[Digitale zorgtoepassing]),0))</f>
        <v>0</v>
      </c>
      <c r="Q989" s="398" cm="1">
        <f t="array" ref="Q989">J989*INDEX(Berekening_impact[Jaarlijkse kosten (totaal) - incl. schatting],MATCH(B989,IF(Berekening_impact[Doelgroep]=C989,Berekening_impact[Digitale zorgtoepassing]),0))</f>
        <v>2715397.8618991519</v>
      </c>
      <c r="R989" s="398" cm="1">
        <f t="array" ref="R989">(uitkomst_doelgroep[[#This Row],[Implementatiegraad t = T + 1]]-uitkomst_doelgroep[[#This Row],[Implementatiegraad t = T]])*INDEX(Berekening_impact[Initiële investering (totaal) - incl. schatting],MATCH(B989,IF(Berekening_impact[Doelgroep]=C989,Berekening_impact[Digitale zorgtoepassing]),0))</f>
        <v>0</v>
      </c>
      <c r="S989" s="398">
        <f>uitkomst_doelgroep[[#This Row],[Arbeidsbesparing (€)]]*uitkomst_doelgroep[[#This Row],[Percentage van patiëntaantallen in Wlz (overige is Zvw)]]</f>
        <v>0</v>
      </c>
      <c r="T989" s="398">
        <f>uitkomst_doelgroep[[#This Row],[Overige besparingen (€)]]*uitkomst_doelgroep[[#This Row],[Percentage van patiëntaantallen in Wlz (overige is Zvw)]]</f>
        <v>0</v>
      </c>
      <c r="U989" s="398">
        <f>uitkomst_doelgroep[[#This Row],[Kosten (€)]]*uitkomst_doelgroep[[#This Row],[Percentage van patiëntaantallen in Wlz (overige is Zvw)]]</f>
        <v>0</v>
      </c>
      <c r="V989" s="398">
        <f>uitkomst_doelgroep[[#This Row],[Investering (cash flow) (€)]]*uitkomst_doelgroep[[#This Row],[Percentage van patiëntaantallen in Wlz (overige is Zvw)]]</f>
        <v>0</v>
      </c>
    </row>
    <row r="990" spans="1:22" x14ac:dyDescent="0.5">
      <c r="A990" s="33" t="str">
        <f>INDEX(Technologieën[Veld],MATCH(B990,Technologieën[Digitale zorgtoepassing],0))</f>
        <v>Software - Behandeling</v>
      </c>
      <c r="B990" s="33" t="s">
        <v>585</v>
      </c>
      <c r="C990" s="33" t="s">
        <v>583</v>
      </c>
      <c r="D990" s="427" cm="1">
        <f t="array" ref="D990">INDEX(Berekening_patiëntaantal[Percentage van patiëntaantallen in Wlz (overige is Zvw)],MATCH(B990,IF(Berekening_patiëntaantal[Doelgroep (zoeksleutel)]=C990,Berekening_patiëntaantal[Digitale zorgtoepassing]),0))</f>
        <v>0</v>
      </c>
      <c r="E990" s="33" t="str" cm="1">
        <f t="array" ref="E990">INDEX(Berekening_patiëntaantal[Direct toepasbaar/extrapolatie/incidentie voor QALY],MATCH(B990,IF(Berekening_patiëntaantal[Doelgroep (zoeksleutel)]=C990,Berekening_patiëntaantal[Digitale zorgtoepassing]),0))</f>
        <v>Huidige toepassing</v>
      </c>
      <c r="F990" s="33" t="s">
        <v>813</v>
      </c>
      <c r="G990" s="33" t="str">
        <f>CONCATENATE(uitkomst_doelgroep[[#This Row],[Digitale zorgtoepassing]],"_",uitkomst_doelgroep[[#This Row],[Doelgroep]],"_",uitkomst_doelgroep[[#This Row],[Uitgangssituatie/effect beleid]])</f>
        <v>Digitale/slimme vervolgzorg_Herhaalpoli's_Uitgangssituatie</v>
      </c>
      <c r="H990" s="33">
        <v>2029</v>
      </c>
      <c r="I990" s="32">
        <v>7</v>
      </c>
      <c r="J990" s="406" cm="1">
        <f t="array" ref="J990">INDEX(implementatie[[2023]:[2034]],MATCH(G990, implementatie[Zoeksleutel],0),I990)</f>
        <v>0.27699177758611071</v>
      </c>
      <c r="K990" s="406" cm="1">
        <f t="array" ref="K990">INDEX(implementatie[[2023]:[2034]],MATCH(G990,implementatie[Zoeksleutel],0),I990 + 1)</f>
        <v>0.37155887512870744</v>
      </c>
      <c r="L99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1523454.7767236088</v>
      </c>
      <c r="M990" s="398" cm="1">
        <f t="array" ref="M990">J990*INDEX(Berekening_impact[Totaal arbeidsbesparing (€/jaar)],MATCH(B990,IF(Berekening_impact[Doelgroep]=C990,Berekening_impact[Digitale zorgtoepassing]),0))</f>
        <v>6947317.1345793931</v>
      </c>
      <c r="N990" s="397" cm="1">
        <f t="array" ref="N990">J990*INDEX(Berekening_impact[Totaal arbeidsbesparing (FTE/jaar)],MATCH(B990,IF(Berekening_impact[Doelgroep]=C990,Berekening_impact[Digitale zorgtoepassing]),0))</f>
        <v>36.621509055855981</v>
      </c>
      <c r="O990" s="398" cm="1">
        <f t="array" ref="O990">J990*INDEX(Berekening_impact[Overige kostenbesparing (totaal/jaar totaal potentieel)],MATCH(B990,IF(Berekening_impact[Doelgroep]=C990,Berekening_impact[Digitale zorgtoepassing]),0))</f>
        <v>0</v>
      </c>
      <c r="P990" s="398" cm="1">
        <f t="array" ref="P990">J990*INDEX(Berekening_impact[Opbrengsten door QALY''s],MATCH(B990,IF(Berekening_impact[Doelgroep]=C990,Berekening_impact[Digitale zorgtoepassing]),0))</f>
        <v>0</v>
      </c>
      <c r="Q990" s="398" cm="1">
        <f t="array" ref="Q990">J990*INDEX(Berekening_impact[Jaarlijkse kosten (totaal) - incl. schatting],MATCH(B990,IF(Berekening_impact[Doelgroep]=C990,Berekening_impact[Digitale zorgtoepassing]),0))</f>
        <v>3807619.8218511199</v>
      </c>
      <c r="R990" s="398" cm="1">
        <f t="array" ref="R990">(uitkomst_doelgroep[[#This Row],[Implementatiegraad t = T + 1]]-uitkomst_doelgroep[[#This Row],[Implementatiegraad t = T]])*INDEX(Berekening_impact[Initiële investering (totaal) - incl. schatting],MATCH(B990,IF(Berekening_impact[Doelgroep]=C990,Berekening_impact[Digitale zorgtoepassing]),0))</f>
        <v>0</v>
      </c>
      <c r="S990" s="398">
        <f>uitkomst_doelgroep[[#This Row],[Arbeidsbesparing (€)]]*uitkomst_doelgroep[[#This Row],[Percentage van patiëntaantallen in Wlz (overige is Zvw)]]</f>
        <v>0</v>
      </c>
      <c r="T990" s="398">
        <f>uitkomst_doelgroep[[#This Row],[Overige besparingen (€)]]*uitkomst_doelgroep[[#This Row],[Percentage van patiëntaantallen in Wlz (overige is Zvw)]]</f>
        <v>0</v>
      </c>
      <c r="U990" s="398">
        <f>uitkomst_doelgroep[[#This Row],[Kosten (€)]]*uitkomst_doelgroep[[#This Row],[Percentage van patiëntaantallen in Wlz (overige is Zvw)]]</f>
        <v>0</v>
      </c>
      <c r="V990" s="398">
        <f>uitkomst_doelgroep[[#This Row],[Investering (cash flow) (€)]]*uitkomst_doelgroep[[#This Row],[Percentage van patiëntaantallen in Wlz (overige is Zvw)]]</f>
        <v>0</v>
      </c>
    </row>
    <row r="991" spans="1:22" x14ac:dyDescent="0.5">
      <c r="A991" s="33" t="str">
        <f>INDEX(Technologieën[Veld],MATCH(B991,Technologieën[Digitale zorgtoepassing],0))</f>
        <v>Software - Behandeling</v>
      </c>
      <c r="B991" s="33" t="s">
        <v>585</v>
      </c>
      <c r="C991" s="33" t="s">
        <v>583</v>
      </c>
      <c r="D991" s="427" cm="1">
        <f t="array" ref="D991">INDEX(Berekening_patiëntaantal[Percentage van patiëntaantallen in Wlz (overige is Zvw)],MATCH(B991,IF(Berekening_patiëntaantal[Doelgroep (zoeksleutel)]=C991,Berekening_patiëntaantal[Digitale zorgtoepassing]),0))</f>
        <v>0</v>
      </c>
      <c r="E991" s="33" t="str" cm="1">
        <f t="array" ref="E991">INDEX(Berekening_patiëntaantal[Direct toepasbaar/extrapolatie/incidentie voor QALY],MATCH(B991,IF(Berekening_patiëntaantal[Doelgroep (zoeksleutel)]=C991,Berekening_patiëntaantal[Digitale zorgtoepassing]),0))</f>
        <v>Huidige toepassing</v>
      </c>
      <c r="F991" s="33" t="s">
        <v>813</v>
      </c>
      <c r="G991" s="33" t="str">
        <f>CONCATENATE(uitkomst_doelgroep[[#This Row],[Digitale zorgtoepassing]],"_",uitkomst_doelgroep[[#This Row],[Doelgroep]],"_",uitkomst_doelgroep[[#This Row],[Uitgangssituatie/effect beleid]])</f>
        <v>Digitale/slimme vervolgzorg_Herhaalpoli's_Uitgangssituatie</v>
      </c>
      <c r="H991" s="33">
        <v>2030</v>
      </c>
      <c r="I991" s="32">
        <v>8</v>
      </c>
      <c r="J991" s="406" cm="1">
        <f t="array" ref="J991">INDEX(implementatie[[2023]:[2034]],MATCH(G991, implementatie[Zoeksleutel],0),I991)</f>
        <v>0.37155887512870744</v>
      </c>
      <c r="K991" s="406" cm="1">
        <f t="array" ref="K991">INDEX(implementatie[[2023]:[2034]],MATCH(G991,implementatie[Zoeksleutel],0),I991 + 1)</f>
        <v>0.47752884860285211</v>
      </c>
      <c r="L99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2043573.8132078908</v>
      </c>
      <c r="M991" s="398" cm="1">
        <f t="array" ref="M991">J991*INDEX(Berekening_impact[Totaal arbeidsbesparing (€/jaar)],MATCH(B991,IF(Berekening_impact[Doelgroep]=C991,Berekening_impact[Digitale zorgtoepassing]),0))</f>
        <v>9319183.9923271108</v>
      </c>
      <c r="N991" s="397" cm="1">
        <f t="array" ref="N991">J991*INDEX(Berekening_impact[Totaal arbeidsbesparing (FTE/jaar)],MATCH(B991,IF(Berekening_impact[Doelgroep]=C991,Berekening_impact[Digitale zorgtoepassing]),0))</f>
        <v>49.124370509805068</v>
      </c>
      <c r="O991" s="398" cm="1">
        <f t="array" ref="O991">J991*INDEX(Berekening_impact[Overige kostenbesparing (totaal/jaar totaal potentieel)],MATCH(B991,IF(Berekening_impact[Doelgroep]=C991,Berekening_impact[Digitale zorgtoepassing]),0))</f>
        <v>0</v>
      </c>
      <c r="P991" s="398" cm="1">
        <f t="array" ref="P991">J991*INDEX(Berekening_impact[Opbrengsten door QALY''s],MATCH(B991,IF(Berekening_impact[Doelgroep]=C991,Berekening_impact[Digitale zorgtoepassing]),0))</f>
        <v>0</v>
      </c>
      <c r="Q991" s="398" cm="1">
        <f t="array" ref="Q991">J991*INDEX(Berekening_impact[Jaarlijkse kosten (totaal) - incl. schatting],MATCH(B991,IF(Berekening_impact[Doelgroep]=C991,Berekening_impact[Digitale zorgtoepassing]),0))</f>
        <v>5107570.1605797848</v>
      </c>
      <c r="R991" s="398" cm="1">
        <f t="array" ref="R991">(uitkomst_doelgroep[[#This Row],[Implementatiegraad t = T + 1]]-uitkomst_doelgroep[[#This Row],[Implementatiegraad t = T]])*INDEX(Berekening_impact[Initiële investering (totaal) - incl. schatting],MATCH(B991,IF(Berekening_impact[Doelgroep]=C991,Berekening_impact[Digitale zorgtoepassing]),0))</f>
        <v>0</v>
      </c>
      <c r="S991" s="398">
        <f>uitkomst_doelgroep[[#This Row],[Arbeidsbesparing (€)]]*uitkomst_doelgroep[[#This Row],[Percentage van patiëntaantallen in Wlz (overige is Zvw)]]</f>
        <v>0</v>
      </c>
      <c r="T991" s="398">
        <f>uitkomst_doelgroep[[#This Row],[Overige besparingen (€)]]*uitkomst_doelgroep[[#This Row],[Percentage van patiëntaantallen in Wlz (overige is Zvw)]]</f>
        <v>0</v>
      </c>
      <c r="U991" s="398">
        <f>uitkomst_doelgroep[[#This Row],[Kosten (€)]]*uitkomst_doelgroep[[#This Row],[Percentage van patiëntaantallen in Wlz (overige is Zvw)]]</f>
        <v>0</v>
      </c>
      <c r="V991" s="398">
        <f>uitkomst_doelgroep[[#This Row],[Investering (cash flow) (€)]]*uitkomst_doelgroep[[#This Row],[Percentage van patiëntaantallen in Wlz (overige is Zvw)]]</f>
        <v>0</v>
      </c>
    </row>
    <row r="992" spans="1:22" x14ac:dyDescent="0.5">
      <c r="A992" s="33" t="str">
        <f>INDEX(Technologieën[Veld],MATCH(B992,Technologieën[Digitale zorgtoepassing],0))</f>
        <v>Software - Behandeling</v>
      </c>
      <c r="B992" s="33" t="s">
        <v>585</v>
      </c>
      <c r="C992" s="33" t="s">
        <v>583</v>
      </c>
      <c r="D992" s="427" cm="1">
        <f t="array" ref="D992">INDEX(Berekening_patiëntaantal[Percentage van patiëntaantallen in Wlz (overige is Zvw)],MATCH(B992,IF(Berekening_patiëntaantal[Doelgroep (zoeksleutel)]=C992,Berekening_patiëntaantal[Digitale zorgtoepassing]),0))</f>
        <v>0</v>
      </c>
      <c r="E992" s="33" t="str" cm="1">
        <f t="array" ref="E992">INDEX(Berekening_patiëntaantal[Direct toepasbaar/extrapolatie/incidentie voor QALY],MATCH(B992,IF(Berekening_patiëntaantal[Doelgroep (zoeksleutel)]=C992,Berekening_patiëntaantal[Digitale zorgtoepassing]),0))</f>
        <v>Huidige toepassing</v>
      </c>
      <c r="F992" s="33" t="s">
        <v>813</v>
      </c>
      <c r="G992" s="33" t="str">
        <f>CONCATENATE(uitkomst_doelgroep[[#This Row],[Digitale zorgtoepassing]],"_",uitkomst_doelgroep[[#This Row],[Doelgroep]],"_",uitkomst_doelgroep[[#This Row],[Uitgangssituatie/effect beleid]])</f>
        <v>Digitale/slimme vervolgzorg_Herhaalpoli's_Uitgangssituatie</v>
      </c>
      <c r="H992" s="33">
        <v>2031</v>
      </c>
      <c r="I992" s="32">
        <v>9</v>
      </c>
      <c r="J992" s="406" cm="1">
        <f t="array" ref="J992">INDEX(implementatie[[2023]:[2034]],MATCH(G992, implementatie[Zoeksleutel],0),I992)</f>
        <v>0.47752884860285211</v>
      </c>
      <c r="K992" s="406" cm="1">
        <f t="array" ref="K992">INDEX(implementatie[[2023]:[2034]],MATCH(G992,implementatie[Zoeksleutel],0),I992 + 1)</f>
        <v>0.5877762905727496</v>
      </c>
      <c r="L99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2626408.6673156866</v>
      </c>
      <c r="M992" s="398" cm="1">
        <f t="array" ref="M992">J992*INDEX(Berekening_impact[Totaal arbeidsbesparing (€/jaar)],MATCH(B992,IF(Berekening_impact[Doelgroep]=C992,Berekening_impact[Digitale zorgtoepassing]),0))</f>
        <v>11977049.936520988</v>
      </c>
      <c r="N992" s="397" cm="1">
        <f t="array" ref="N992">J992*INDEX(Berekening_impact[Totaal arbeidsbesparing (FTE/jaar)],MATCH(B992,IF(Berekening_impact[Doelgroep]=C992,Berekening_impact[Digitale zorgtoepassing]),0))</f>
        <v>63.134823733550157</v>
      </c>
      <c r="O992" s="398" cm="1">
        <f t="array" ref="O992">J992*INDEX(Berekening_impact[Overige kostenbesparing (totaal/jaar totaal potentieel)],MATCH(B992,IF(Berekening_impact[Doelgroep]=C992,Berekening_impact[Digitale zorgtoepassing]),0))</f>
        <v>0</v>
      </c>
      <c r="P992" s="398" cm="1">
        <f t="array" ref="P992">J992*INDEX(Berekening_impact[Opbrengsten door QALY''s],MATCH(B992,IF(Berekening_impact[Doelgroep]=C992,Berekening_impact[Digitale zorgtoepassing]),0))</f>
        <v>0</v>
      </c>
      <c r="Q992" s="398" cm="1">
        <f t="array" ref="Q992">J992*INDEX(Berekening_impact[Jaarlijkse kosten (totaal) - incl. schatting],MATCH(B992,IF(Berekening_impact[Doelgroep]=C992,Berekening_impact[Digitale zorgtoepassing]),0))</f>
        <v>6564268.1717536123</v>
      </c>
      <c r="R992" s="398" cm="1">
        <f t="array" ref="R992">(uitkomst_doelgroep[[#This Row],[Implementatiegraad t = T + 1]]-uitkomst_doelgroep[[#This Row],[Implementatiegraad t = T]])*INDEX(Berekening_impact[Initiële investering (totaal) - incl. schatting],MATCH(B992,IF(Berekening_impact[Doelgroep]=C992,Berekening_impact[Digitale zorgtoepassing]),0))</f>
        <v>0</v>
      </c>
      <c r="S992" s="398">
        <f>uitkomst_doelgroep[[#This Row],[Arbeidsbesparing (€)]]*uitkomst_doelgroep[[#This Row],[Percentage van patiëntaantallen in Wlz (overige is Zvw)]]</f>
        <v>0</v>
      </c>
      <c r="T992" s="398">
        <f>uitkomst_doelgroep[[#This Row],[Overige besparingen (€)]]*uitkomst_doelgroep[[#This Row],[Percentage van patiëntaantallen in Wlz (overige is Zvw)]]</f>
        <v>0</v>
      </c>
      <c r="U992" s="398">
        <f>uitkomst_doelgroep[[#This Row],[Kosten (€)]]*uitkomst_doelgroep[[#This Row],[Percentage van patiëntaantallen in Wlz (overige is Zvw)]]</f>
        <v>0</v>
      </c>
      <c r="V992" s="398">
        <f>uitkomst_doelgroep[[#This Row],[Investering (cash flow) (€)]]*uitkomst_doelgroep[[#This Row],[Percentage van patiëntaantallen in Wlz (overige is Zvw)]]</f>
        <v>0</v>
      </c>
    </row>
    <row r="993" spans="1:22" x14ac:dyDescent="0.5">
      <c r="A993" s="33" t="str">
        <f>INDEX(Technologieën[Veld],MATCH(B993,Technologieën[Digitale zorgtoepassing],0))</f>
        <v>Software - Behandeling</v>
      </c>
      <c r="B993" s="33" t="s">
        <v>585</v>
      </c>
      <c r="C993" s="33" t="s">
        <v>583</v>
      </c>
      <c r="D993" s="427" cm="1">
        <f t="array" ref="D993">INDEX(Berekening_patiëntaantal[Percentage van patiëntaantallen in Wlz (overige is Zvw)],MATCH(B993,IF(Berekening_patiëntaantal[Doelgroep (zoeksleutel)]=C993,Berekening_patiëntaantal[Digitale zorgtoepassing]),0))</f>
        <v>0</v>
      </c>
      <c r="E993" s="33" t="str" cm="1">
        <f t="array" ref="E993">INDEX(Berekening_patiëntaantal[Direct toepasbaar/extrapolatie/incidentie voor QALY],MATCH(B993,IF(Berekening_patiëntaantal[Doelgroep (zoeksleutel)]=C993,Berekening_patiëntaantal[Digitale zorgtoepassing]),0))</f>
        <v>Huidige toepassing</v>
      </c>
      <c r="F993" s="33" t="s">
        <v>813</v>
      </c>
      <c r="G993" s="33" t="str">
        <f>CONCATENATE(uitkomst_doelgroep[[#This Row],[Digitale zorgtoepassing]],"_",uitkomst_doelgroep[[#This Row],[Doelgroep]],"_",uitkomst_doelgroep[[#This Row],[Uitgangssituatie/effect beleid]])</f>
        <v>Digitale/slimme vervolgzorg_Herhaalpoli's_Uitgangssituatie</v>
      </c>
      <c r="H993" s="33">
        <v>2032</v>
      </c>
      <c r="I993" s="32">
        <v>10</v>
      </c>
      <c r="J993" s="406" cm="1">
        <f t="array" ref="J993">INDEX(implementatie[[2023]:[2034]],MATCH(G993, implementatie[Zoeksleutel],0),I993)</f>
        <v>0.5877762905727496</v>
      </c>
      <c r="K993" s="406" cm="1">
        <f t="array" ref="K993">INDEX(implementatie[[2023]:[2034]],MATCH(G993,implementatie[Zoeksleutel],0),I993 + 1)</f>
        <v>0.6929388938866099</v>
      </c>
      <c r="L99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3232769.5981501229</v>
      </c>
      <c r="M993" s="398" cm="1">
        <f t="array" ref="M993">J993*INDEX(Berekening_impact[Totaal arbeidsbesparing (€/jaar)],MATCH(B993,IF(Berekening_impact[Doelgroep]=C993,Berekening_impact[Digitale zorgtoepassing]),0))</f>
        <v>14742200.401692854</v>
      </c>
      <c r="N993" s="397" cm="1">
        <f t="array" ref="N993">J993*INDEX(Berekening_impact[Totaal arbeidsbesparing (FTE/jaar)],MATCH(B993,IF(Berekening_impact[Doelgroep]=C993,Berekening_impact[Digitale zorgtoepassing]),0))</f>
        <v>77.710807647839488</v>
      </c>
      <c r="O993" s="398" cm="1">
        <f t="array" ref="O993">J993*INDEX(Berekening_impact[Overige kostenbesparing (totaal/jaar totaal potentieel)],MATCH(B993,IF(Berekening_impact[Doelgroep]=C993,Berekening_impact[Digitale zorgtoepassing]),0))</f>
        <v>0</v>
      </c>
      <c r="P993" s="398" cm="1">
        <f t="array" ref="P993">J993*INDEX(Berekening_impact[Opbrengsten door QALY''s],MATCH(B993,IF(Berekening_impact[Doelgroep]=C993,Berekening_impact[Digitale zorgtoepassing]),0))</f>
        <v>0</v>
      </c>
      <c r="Q993" s="398" cm="1">
        <f t="array" ref="Q993">J993*INDEX(Berekening_impact[Jaarlijkse kosten (totaal) - incl. schatting],MATCH(B993,IF(Berekening_impact[Doelgroep]=C993,Berekening_impact[Digitale zorgtoepassing]),0))</f>
        <v>8079765.667784743</v>
      </c>
      <c r="R993" s="398" cm="1">
        <f t="array" ref="R993">(uitkomst_doelgroep[[#This Row],[Implementatiegraad t = T + 1]]-uitkomst_doelgroep[[#This Row],[Implementatiegraad t = T]])*INDEX(Berekening_impact[Initiële investering (totaal) - incl. schatting],MATCH(B993,IF(Berekening_impact[Doelgroep]=C993,Berekening_impact[Digitale zorgtoepassing]),0))</f>
        <v>0</v>
      </c>
      <c r="S993" s="398">
        <f>uitkomst_doelgroep[[#This Row],[Arbeidsbesparing (€)]]*uitkomst_doelgroep[[#This Row],[Percentage van patiëntaantallen in Wlz (overige is Zvw)]]</f>
        <v>0</v>
      </c>
      <c r="T993" s="398">
        <f>uitkomst_doelgroep[[#This Row],[Overige besparingen (€)]]*uitkomst_doelgroep[[#This Row],[Percentage van patiëntaantallen in Wlz (overige is Zvw)]]</f>
        <v>0</v>
      </c>
      <c r="U993" s="398">
        <f>uitkomst_doelgroep[[#This Row],[Kosten (€)]]*uitkomst_doelgroep[[#This Row],[Percentage van patiëntaantallen in Wlz (overige is Zvw)]]</f>
        <v>0</v>
      </c>
      <c r="V993" s="398">
        <f>uitkomst_doelgroep[[#This Row],[Investering (cash flow) (€)]]*uitkomst_doelgroep[[#This Row],[Percentage van patiëntaantallen in Wlz (overige is Zvw)]]</f>
        <v>0</v>
      </c>
    </row>
    <row r="994" spans="1:22" x14ac:dyDescent="0.5">
      <c r="A994" s="33" t="str">
        <f>INDEX(Technologieën[Veld],MATCH(B994,Technologieën[Digitale zorgtoepassing],0))</f>
        <v>Software - Behandeling</v>
      </c>
      <c r="B994" s="33" t="s">
        <v>585</v>
      </c>
      <c r="C994" s="33" t="s">
        <v>583</v>
      </c>
      <c r="D994" s="427" cm="1">
        <f t="array" ref="D994">INDEX(Berekening_patiëntaantal[Percentage van patiëntaantallen in Wlz (overige is Zvw)],MATCH(B994,IF(Berekening_patiëntaantal[Doelgroep (zoeksleutel)]=C994,Berekening_patiëntaantal[Digitale zorgtoepassing]),0))</f>
        <v>0</v>
      </c>
      <c r="E994" s="33" t="str" cm="1">
        <f t="array" ref="E994">INDEX(Berekening_patiëntaantal[Direct toepasbaar/extrapolatie/incidentie voor QALY],MATCH(B994,IF(Berekening_patiëntaantal[Doelgroep (zoeksleutel)]=C994,Berekening_patiëntaantal[Digitale zorgtoepassing]),0))</f>
        <v>Huidige toepassing</v>
      </c>
      <c r="F994" s="33" t="s">
        <v>813</v>
      </c>
      <c r="G994" s="33" t="str">
        <f>CONCATENATE(uitkomst_doelgroep[[#This Row],[Digitale zorgtoepassing]],"_",uitkomst_doelgroep[[#This Row],[Doelgroep]],"_",uitkomst_doelgroep[[#This Row],[Uitgangssituatie/effect beleid]])</f>
        <v>Digitale/slimme vervolgzorg_Herhaalpoli's_Uitgangssituatie</v>
      </c>
      <c r="H994" s="33">
        <v>2033</v>
      </c>
      <c r="I994" s="32">
        <v>11</v>
      </c>
      <c r="J994" s="406" cm="1">
        <f t="array" ref="J994">INDEX(implementatie[[2023]:[2034]],MATCH(G994, implementatie[Zoeksleutel],0),I994)</f>
        <v>0.6929388938866099</v>
      </c>
      <c r="K994" s="406" cm="1">
        <f t="array" ref="K994">INDEX(implementatie[[2023]:[2034]],MATCH(G994,implementatie[Zoeksleutel],0),I994 + 1)</f>
        <v>0.78418994929920227</v>
      </c>
      <c r="L99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3811163.9163763546</v>
      </c>
      <c r="M994" s="398" cm="1">
        <f t="array" ref="M994">J994*INDEX(Berekening_impact[Totaal arbeidsbesparing (€/jaar)],MATCH(B994,IF(Berekening_impact[Doelgroep]=C994,Berekening_impact[Digitale zorgtoepassing]),0))</f>
        <v>17379816.443173472</v>
      </c>
      <c r="N994" s="397" cm="1">
        <f t="array" ref="N994">J994*INDEX(Berekening_impact[Totaal arbeidsbesparing (FTE/jaar)],MATCH(B994,IF(Berekening_impact[Doelgroep]=C994,Berekening_impact[Digitale zorgtoepassing]),0))</f>
        <v>91.614517220585441</v>
      </c>
      <c r="O994" s="398" cm="1">
        <f t="array" ref="O994">J994*INDEX(Berekening_impact[Overige kostenbesparing (totaal/jaar totaal potentieel)],MATCH(B994,IF(Berekening_impact[Doelgroep]=C994,Berekening_impact[Digitale zorgtoepassing]),0))</f>
        <v>0</v>
      </c>
      <c r="P994" s="398" cm="1">
        <f t="array" ref="P994">J994*INDEX(Berekening_impact[Opbrengsten door QALY''s],MATCH(B994,IF(Berekening_impact[Doelgroep]=C994,Berekening_impact[Digitale zorgtoepassing]),0))</f>
        <v>0</v>
      </c>
      <c r="Q994" s="398" cm="1">
        <f t="array" ref="Q994">J994*INDEX(Berekening_impact[Jaarlijkse kosten (totaal) - incl. schatting],MATCH(B994,IF(Berekening_impact[Doelgroep]=C994,Berekening_impact[Digitale zorgtoepassing]),0))</f>
        <v>9525365.3039358165</v>
      </c>
      <c r="R994" s="398" cm="1">
        <f t="array" ref="R994">(uitkomst_doelgroep[[#This Row],[Implementatiegraad t = T + 1]]-uitkomst_doelgroep[[#This Row],[Implementatiegraad t = T]])*INDEX(Berekening_impact[Initiële investering (totaal) - incl. schatting],MATCH(B994,IF(Berekening_impact[Doelgroep]=C994,Berekening_impact[Digitale zorgtoepassing]),0))</f>
        <v>0</v>
      </c>
      <c r="S994" s="398">
        <f>uitkomst_doelgroep[[#This Row],[Arbeidsbesparing (€)]]*uitkomst_doelgroep[[#This Row],[Percentage van patiëntaantallen in Wlz (overige is Zvw)]]</f>
        <v>0</v>
      </c>
      <c r="T994" s="398">
        <f>uitkomst_doelgroep[[#This Row],[Overige besparingen (€)]]*uitkomst_doelgroep[[#This Row],[Percentage van patiëntaantallen in Wlz (overige is Zvw)]]</f>
        <v>0</v>
      </c>
      <c r="U994" s="398">
        <f>uitkomst_doelgroep[[#This Row],[Kosten (€)]]*uitkomst_doelgroep[[#This Row],[Percentage van patiëntaantallen in Wlz (overige is Zvw)]]</f>
        <v>0</v>
      </c>
      <c r="V994" s="398">
        <f>uitkomst_doelgroep[[#This Row],[Investering (cash flow) (€)]]*uitkomst_doelgroep[[#This Row],[Percentage van patiëntaantallen in Wlz (overige is Zvw)]]</f>
        <v>0</v>
      </c>
    </row>
    <row r="995" spans="1:22" x14ac:dyDescent="0.5">
      <c r="A995" s="33" t="str">
        <f>INDEX(Technologieën[Veld],MATCH(B995,Technologieën[Digitale zorgtoepassing],0))</f>
        <v>Digitale hulpmiddelen - Verpleging</v>
      </c>
      <c r="B995" s="33" t="s">
        <v>58</v>
      </c>
      <c r="C995" s="33" t="s">
        <v>59</v>
      </c>
      <c r="D995" s="427" cm="1">
        <f t="array" ref="D995">INDEX(Berekening_patiëntaantal[Percentage van patiëntaantallen in Wlz (overige is Zvw)],MATCH(B995,IF(Berekening_patiëntaantal[Doelgroep (zoeksleutel)]=C995,Berekening_patiëntaantal[Digitale zorgtoepassing]),0))</f>
        <v>0.45</v>
      </c>
      <c r="E995" s="33" t="str" cm="1">
        <f t="array" ref="E995">INDEX(Berekening_patiëntaantal[Direct toepasbaar/extrapolatie/incidentie voor QALY],MATCH(B995,IF(Berekening_patiëntaantal[Doelgroep (zoeksleutel)]=C995,Berekening_patiëntaantal[Digitale zorgtoepassing]),0))</f>
        <v>Huidige toepassing</v>
      </c>
      <c r="F995" s="33" t="s">
        <v>813</v>
      </c>
      <c r="G995" s="33" t="str">
        <f>CONCATENATE(uitkomst_doelgroep[[#This Row],[Digitale zorgtoepassing]],"_",uitkomst_doelgroep[[#This Row],[Doelgroep]],"_",uitkomst_doelgroep[[#This Row],[Uitgangssituatie/effect beleid]])</f>
        <v>Elektromechanisch toegangsbeheer_Alleenstaande thuiszorg cliënten_Uitgangssituatie</v>
      </c>
      <c r="H995" s="33">
        <v>2023</v>
      </c>
      <c r="I995" s="32">
        <v>1</v>
      </c>
      <c r="J995" s="406" cm="1">
        <f t="array" ref="J995">INDEX(implementatie[[2023]:[2034]],MATCH(G995, implementatie[Zoeksleutel],0),I995)</f>
        <v>0.4</v>
      </c>
      <c r="K995" s="406" cm="1">
        <f t="array" ref="K995">INDEX(implementatie[[2023]:[2034]],MATCH(G995,implementatie[Zoeksleutel],0),I995 + 1)</f>
        <v>0.52300000000000002</v>
      </c>
      <c r="L99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60000</v>
      </c>
      <c r="M995" s="398" cm="1">
        <f t="array" ref="M995">J995*INDEX(Berekening_impact[Totaal arbeidsbesparing (€/jaar)],MATCH(B995,IF(Berekening_impact[Doelgroep]=C995,Berekening_impact[Digitale zorgtoepassing]),0))</f>
        <v>7429470.1149425283</v>
      </c>
      <c r="N995" s="397" cm="1">
        <f t="array" ref="N995">J995*INDEX(Berekening_impact[Totaal arbeidsbesparing (FTE/jaar)],MATCH(B995,IF(Berekening_impact[Doelgroep]=C995,Berekening_impact[Digitale zorgtoepassing]),0))</f>
        <v>175</v>
      </c>
      <c r="O995" s="398" cm="1">
        <f t="array" ref="O995">J995*INDEX(Berekening_impact[Overige kostenbesparing (totaal/jaar totaal potentieel)],MATCH(B995,IF(Berekening_impact[Doelgroep]=C995,Berekening_impact[Digitale zorgtoepassing]),0))</f>
        <v>4542963.5409161095</v>
      </c>
      <c r="P995" s="398" cm="1">
        <f t="array" ref="P995">J995*INDEX(Berekening_impact[Opbrengsten door QALY''s],MATCH(B995,IF(Berekening_impact[Doelgroep]=C995,Berekening_impact[Digitale zorgtoepassing]),0))</f>
        <v>0</v>
      </c>
      <c r="Q995" s="398" cm="1">
        <f t="array" ref="Q995">J995*INDEX(Berekening_impact[Jaarlijkse kosten (totaal) - incl. schatting],MATCH(B995,IF(Berekening_impact[Doelgroep]=C995,Berekening_impact[Digitale zorgtoepassing]),0))</f>
        <v>11484000</v>
      </c>
      <c r="R995" s="398" cm="1">
        <f t="array" ref="R995">(uitkomst_doelgroep[[#This Row],[Implementatiegraad t = T + 1]]-uitkomst_doelgroep[[#This Row],[Implementatiegraad t = T]])*INDEX(Berekening_impact[Initiële investering (totaal) - incl. schatting],MATCH(B995,IF(Berekening_impact[Doelgroep]=C995,Berekening_impact[Digitale zorgtoepassing]),0))</f>
        <v>1475077.5</v>
      </c>
      <c r="S995" s="398">
        <f>uitkomst_doelgroep[[#This Row],[Arbeidsbesparing (€)]]*uitkomst_doelgroep[[#This Row],[Percentage van patiëntaantallen in Wlz (overige is Zvw)]]</f>
        <v>3343261.5517241377</v>
      </c>
      <c r="T995" s="398">
        <f>uitkomst_doelgroep[[#This Row],[Overige besparingen (€)]]*uitkomst_doelgroep[[#This Row],[Percentage van patiëntaantallen in Wlz (overige is Zvw)]]</f>
        <v>2044333.5934122493</v>
      </c>
      <c r="U995" s="398">
        <f>uitkomst_doelgroep[[#This Row],[Kosten (€)]]*uitkomst_doelgroep[[#This Row],[Percentage van patiëntaantallen in Wlz (overige is Zvw)]]</f>
        <v>5167800</v>
      </c>
      <c r="V995" s="398">
        <f>uitkomst_doelgroep[[#This Row],[Investering (cash flow) (€)]]*uitkomst_doelgroep[[#This Row],[Percentage van patiëntaantallen in Wlz (overige is Zvw)]]</f>
        <v>663784.875</v>
      </c>
    </row>
    <row r="996" spans="1:22" x14ac:dyDescent="0.5">
      <c r="A996" s="33" t="str">
        <f>INDEX(Technologieën[Veld],MATCH(B996,Technologieën[Digitale zorgtoepassing],0))</f>
        <v>Digitale hulpmiddelen - Verpleging</v>
      </c>
      <c r="B996" s="33" t="s">
        <v>58</v>
      </c>
      <c r="C996" s="33" t="s">
        <v>59</v>
      </c>
      <c r="D996" s="427" cm="1">
        <f t="array" ref="D996">INDEX(Berekening_patiëntaantal[Percentage van patiëntaantallen in Wlz (overige is Zvw)],MATCH(B996,IF(Berekening_patiëntaantal[Doelgroep (zoeksleutel)]=C996,Berekening_patiëntaantal[Digitale zorgtoepassing]),0))</f>
        <v>0.45</v>
      </c>
      <c r="E996" s="33" t="str" cm="1">
        <f t="array" ref="E996">INDEX(Berekening_patiëntaantal[Direct toepasbaar/extrapolatie/incidentie voor QALY],MATCH(B996,IF(Berekening_patiëntaantal[Doelgroep (zoeksleutel)]=C996,Berekening_patiëntaantal[Digitale zorgtoepassing]),0))</f>
        <v>Huidige toepassing</v>
      </c>
      <c r="F996" s="33" t="s">
        <v>813</v>
      </c>
      <c r="G996" s="33" t="str">
        <f>CONCATENATE(uitkomst_doelgroep[[#This Row],[Digitale zorgtoepassing]],"_",uitkomst_doelgroep[[#This Row],[Doelgroep]],"_",uitkomst_doelgroep[[#This Row],[Uitgangssituatie/effect beleid]])</f>
        <v>Elektromechanisch toegangsbeheer_Alleenstaande thuiszorg cliënten_Uitgangssituatie</v>
      </c>
      <c r="H996" s="33">
        <v>2024</v>
      </c>
      <c r="I996" s="32">
        <v>2</v>
      </c>
      <c r="J996" s="406" cm="1">
        <f t="array" ref="J996">INDEX(implementatie[[2023]:[2034]],MATCH(G996, implementatie[Zoeksleutel],0),I996)</f>
        <v>0.52300000000000002</v>
      </c>
      <c r="K996" s="406" cm="1">
        <f t="array" ref="K996">INDEX(implementatie[[2023]:[2034]],MATCH(G996,implementatie[Zoeksleutel],0),I996 + 1)</f>
        <v>0.64718695000000004</v>
      </c>
      <c r="L99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78450</v>
      </c>
      <c r="M996" s="398" cm="1">
        <f t="array" ref="M996">J996*INDEX(Berekening_impact[Totaal arbeidsbesparing (€/jaar)],MATCH(B996,IF(Berekening_impact[Doelgroep]=C996,Berekening_impact[Digitale zorgtoepassing]),0))</f>
        <v>9714032.1752873566</v>
      </c>
      <c r="N996" s="397" cm="1">
        <f t="array" ref="N996">J996*INDEX(Berekening_impact[Totaal arbeidsbesparing (FTE/jaar)],MATCH(B996,IF(Berekening_impact[Doelgroep]=C996,Berekening_impact[Digitale zorgtoepassing]),0))</f>
        <v>228.8125</v>
      </c>
      <c r="O996" s="398" cm="1">
        <f t="array" ref="O996">J996*INDEX(Berekening_impact[Overige kostenbesparing (totaal/jaar totaal potentieel)],MATCH(B996,IF(Berekening_impact[Doelgroep]=C996,Berekening_impact[Digitale zorgtoepassing]),0))</f>
        <v>5939924.8297478128</v>
      </c>
      <c r="P996" s="398" cm="1">
        <f t="array" ref="P996">J996*INDEX(Berekening_impact[Opbrengsten door QALY''s],MATCH(B996,IF(Berekening_impact[Doelgroep]=C996,Berekening_impact[Digitale zorgtoepassing]),0))</f>
        <v>0</v>
      </c>
      <c r="Q996" s="398" cm="1">
        <f t="array" ref="Q996">J996*INDEX(Berekening_impact[Jaarlijkse kosten (totaal) - incl. schatting],MATCH(B996,IF(Berekening_impact[Doelgroep]=C996,Berekening_impact[Digitale zorgtoepassing]),0))</f>
        <v>15015329.999999998</v>
      </c>
      <c r="R996" s="398" cm="1">
        <f t="array" ref="R996">(uitkomst_doelgroep[[#This Row],[Implementatiegraad t = T + 1]]-uitkomst_doelgroep[[#This Row],[Implementatiegraad t = T]])*INDEX(Berekening_impact[Initiële investering (totaal) - incl. schatting],MATCH(B996,IF(Berekening_impact[Doelgroep]=C996,Berekening_impact[Digitale zorgtoepassing]),0))</f>
        <v>1489311.9978750001</v>
      </c>
      <c r="S996" s="398">
        <f>uitkomst_doelgroep[[#This Row],[Arbeidsbesparing (€)]]*uitkomst_doelgroep[[#This Row],[Percentage van patiëntaantallen in Wlz (overige is Zvw)]]</f>
        <v>4371314.4788793102</v>
      </c>
      <c r="T996" s="398">
        <f>uitkomst_doelgroep[[#This Row],[Overige besparingen (€)]]*uitkomst_doelgroep[[#This Row],[Percentage van patiëntaantallen in Wlz (overige is Zvw)]]</f>
        <v>2672966.173386516</v>
      </c>
      <c r="U996" s="398">
        <f>uitkomst_doelgroep[[#This Row],[Kosten (€)]]*uitkomst_doelgroep[[#This Row],[Percentage van patiëntaantallen in Wlz (overige is Zvw)]]</f>
        <v>6756898.4999999991</v>
      </c>
      <c r="V996" s="398">
        <f>uitkomst_doelgroep[[#This Row],[Investering (cash flow) (€)]]*uitkomst_doelgroep[[#This Row],[Percentage van patiëntaantallen in Wlz (overige is Zvw)]]</f>
        <v>670190.39904375002</v>
      </c>
    </row>
    <row r="997" spans="1:22" x14ac:dyDescent="0.5">
      <c r="A997" s="33" t="str">
        <f>INDEX(Technologieën[Veld],MATCH(B997,Technologieën[Digitale zorgtoepassing],0))</f>
        <v>Digitale hulpmiddelen - Verpleging</v>
      </c>
      <c r="B997" s="33" t="s">
        <v>58</v>
      </c>
      <c r="C997" s="33" t="s">
        <v>59</v>
      </c>
      <c r="D997" s="427" cm="1">
        <f t="array" ref="D997">INDEX(Berekening_patiëntaantal[Percentage van patiëntaantallen in Wlz (overige is Zvw)],MATCH(B997,IF(Berekening_patiëntaantal[Doelgroep (zoeksleutel)]=C997,Berekening_patiëntaantal[Digitale zorgtoepassing]),0))</f>
        <v>0.45</v>
      </c>
      <c r="E997" s="33" t="str" cm="1">
        <f t="array" ref="E997">INDEX(Berekening_patiëntaantal[Direct toepasbaar/extrapolatie/incidentie voor QALY],MATCH(B997,IF(Berekening_patiëntaantal[Doelgroep (zoeksleutel)]=C997,Berekening_patiëntaantal[Digitale zorgtoepassing]),0))</f>
        <v>Huidige toepassing</v>
      </c>
      <c r="F997" s="33" t="s">
        <v>813</v>
      </c>
      <c r="G997" s="33" t="str">
        <f>CONCATENATE(uitkomst_doelgroep[[#This Row],[Digitale zorgtoepassing]],"_",uitkomst_doelgroep[[#This Row],[Doelgroep]],"_",uitkomst_doelgroep[[#This Row],[Uitgangssituatie/effect beleid]])</f>
        <v>Elektromechanisch toegangsbeheer_Alleenstaande thuiszorg cliënten_Uitgangssituatie</v>
      </c>
      <c r="H997" s="33">
        <v>2025</v>
      </c>
      <c r="I997" s="32">
        <v>3</v>
      </c>
      <c r="J997" s="406" cm="1">
        <f t="array" ref="J997">INDEX(implementatie[[2023]:[2034]],MATCH(G997, implementatie[Zoeksleutel],0),I997)</f>
        <v>0.64718695000000004</v>
      </c>
      <c r="K997" s="406" cm="1">
        <f t="array" ref="K997">INDEX(implementatie[[2023]:[2034]],MATCH(G997,implementatie[Zoeksleutel],0),I997 + 1)</f>
        <v>0.75875847703736388</v>
      </c>
      <c r="L99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97078.04250000001</v>
      </c>
      <c r="M997" s="398" cm="1">
        <f t="array" ref="M997">J997*INDEX(Berekening_impact[Totaal arbeidsbesparing (€/jaar)],MATCH(B997,IF(Berekening_impact[Doelgroep]=C997,Berekening_impact[Digitale zorgtoepassing]),0))</f>
        <v>12020640.259514511</v>
      </c>
      <c r="N997" s="397" cm="1">
        <f t="array" ref="N997">J997*INDEX(Berekening_impact[Totaal arbeidsbesparing (FTE/jaar)],MATCH(B997,IF(Berekening_impact[Doelgroep]=C997,Berekening_impact[Digitale zorgtoepassing]),0))</f>
        <v>283.144290625</v>
      </c>
      <c r="O997" s="398" cm="1">
        <f t="array" ref="O997">J997*INDEX(Berekening_impact[Overige kostenbesparing (totaal/jaar totaal potentieel)],MATCH(B997,IF(Berekening_impact[Doelgroep]=C997,Berekening_impact[Digitale zorgtoepassing]),0))</f>
        <v>7350366.7950167423</v>
      </c>
      <c r="P997" s="398" cm="1">
        <f t="array" ref="P997">J997*INDEX(Berekening_impact[Opbrengsten door QALY''s],MATCH(B997,IF(Berekening_impact[Doelgroep]=C997,Berekening_impact[Digitale zorgtoepassing]),0))</f>
        <v>0</v>
      </c>
      <c r="Q997" s="398" cm="1">
        <f t="array" ref="Q997">J997*INDEX(Berekening_impact[Jaarlijkse kosten (totaal) - incl. schatting],MATCH(B997,IF(Berekening_impact[Doelgroep]=C997,Berekening_impact[Digitale zorgtoepassing]),0))</f>
        <v>18580737.3345</v>
      </c>
      <c r="R997" s="398" cm="1">
        <f t="array" ref="R997">(uitkomst_doelgroep[[#This Row],[Implementatiegraad t = T + 1]]-uitkomst_doelgroep[[#This Row],[Implementatiegraad t = T]])*INDEX(Berekening_impact[Initiële investering (totaal) - incl. schatting],MATCH(B997,IF(Berekening_impact[Doelgroep]=C997,Berekening_impact[Digitale zorgtoepassing]),0))</f>
        <v>1338021.5379955859</v>
      </c>
      <c r="S997" s="398">
        <f>uitkomst_doelgroep[[#This Row],[Arbeidsbesparing (€)]]*uitkomst_doelgroep[[#This Row],[Percentage van patiëntaantallen in Wlz (overige is Zvw)]]</f>
        <v>5409288.11678153</v>
      </c>
      <c r="T997" s="398">
        <f>uitkomst_doelgroep[[#This Row],[Overige besparingen (€)]]*uitkomst_doelgroep[[#This Row],[Percentage van patiëntaantallen in Wlz (overige is Zvw)]]</f>
        <v>3307665.0577575341</v>
      </c>
      <c r="U997" s="398">
        <f>uitkomst_doelgroep[[#This Row],[Kosten (€)]]*uitkomst_doelgroep[[#This Row],[Percentage van patiëntaantallen in Wlz (overige is Zvw)]]</f>
        <v>8361331.8005250003</v>
      </c>
      <c r="V997" s="398">
        <f>uitkomst_doelgroep[[#This Row],[Investering (cash flow) (€)]]*uitkomst_doelgroep[[#This Row],[Percentage van patiëntaantallen in Wlz (overige is Zvw)]]</f>
        <v>602109.69209801371</v>
      </c>
    </row>
    <row r="998" spans="1:22" x14ac:dyDescent="0.5">
      <c r="A998" s="33" t="str">
        <f>INDEX(Technologieën[Veld],MATCH(B998,Technologieën[Digitale zorgtoepassing],0))</f>
        <v>Digitale hulpmiddelen - Verpleging</v>
      </c>
      <c r="B998" s="33" t="s">
        <v>58</v>
      </c>
      <c r="C998" s="33" t="s">
        <v>59</v>
      </c>
      <c r="D998" s="427" cm="1">
        <f t="array" ref="D998">INDEX(Berekening_patiëntaantal[Percentage van patiëntaantallen in Wlz (overige is Zvw)],MATCH(B998,IF(Berekening_patiëntaantal[Doelgroep (zoeksleutel)]=C998,Berekening_patiëntaantal[Digitale zorgtoepassing]),0))</f>
        <v>0.45</v>
      </c>
      <c r="E998" s="33" t="str" cm="1">
        <f t="array" ref="E998">INDEX(Berekening_patiëntaantal[Direct toepasbaar/extrapolatie/incidentie voor QALY],MATCH(B998,IF(Berekening_patiëntaantal[Doelgroep (zoeksleutel)]=C998,Berekening_patiëntaantal[Digitale zorgtoepassing]),0))</f>
        <v>Huidige toepassing</v>
      </c>
      <c r="F998" s="33" t="s">
        <v>813</v>
      </c>
      <c r="G998" s="33" t="str">
        <f>CONCATENATE(uitkomst_doelgroep[[#This Row],[Digitale zorgtoepassing]],"_",uitkomst_doelgroep[[#This Row],[Doelgroep]],"_",uitkomst_doelgroep[[#This Row],[Uitgangssituatie/effect beleid]])</f>
        <v>Elektromechanisch toegangsbeheer_Alleenstaande thuiszorg cliënten_Uitgangssituatie</v>
      </c>
      <c r="H998" s="33">
        <v>2026</v>
      </c>
      <c r="I998" s="32">
        <v>4</v>
      </c>
      <c r="J998" s="406" cm="1">
        <f t="array" ref="J998">INDEX(implementatie[[2023]:[2034]],MATCH(G998, implementatie[Zoeksleutel],0),I998)</f>
        <v>0.75875847703736388</v>
      </c>
      <c r="K998" s="406" cm="1">
        <f t="array" ref="K998">INDEX(implementatie[[2023]:[2034]],MATCH(G998,implementatie[Zoeksleutel],0),I998 + 1)</f>
        <v>0.84715933786401665</v>
      </c>
      <c r="L99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113813.77155560459</v>
      </c>
      <c r="M998" s="398" cm="1">
        <f t="array" ref="M998">J998*INDEX(Berekening_impact[Totaal arbeidsbesparing (€/jaar)],MATCH(B998,IF(Berekening_impact[Doelgroep]=C998,Berekening_impact[Digitale zorgtoepassing]),0))</f>
        <v>14092933.574021004</v>
      </c>
      <c r="N998" s="397" cm="1">
        <f t="array" ref="N998">J998*INDEX(Berekening_impact[Totaal arbeidsbesparing (FTE/jaar)],MATCH(B998,IF(Berekening_impact[Doelgroep]=C998,Berekening_impact[Digitale zorgtoepassing]),0))</f>
        <v>331.95683370384671</v>
      </c>
      <c r="O998" s="398" cm="1">
        <f t="array" ref="O998">J998*INDEX(Berekening_impact[Overige kostenbesparing (totaal/jaar totaal potentieel)],MATCH(B998,IF(Berekening_impact[Doelgroep]=C998,Berekening_impact[Digitale zorgtoepassing]),0))</f>
        <v>8617530.2438544426</v>
      </c>
      <c r="P998" s="398" cm="1">
        <f t="array" ref="P998">J998*INDEX(Berekening_impact[Opbrengsten door QALY''s],MATCH(B998,IF(Berekening_impact[Doelgroep]=C998,Berekening_impact[Digitale zorgtoepassing]),0))</f>
        <v>0</v>
      </c>
      <c r="Q998" s="398" cm="1">
        <f t="array" ref="Q998">J998*INDEX(Berekening_impact[Jaarlijkse kosten (totaal) - incl. schatting],MATCH(B998,IF(Berekening_impact[Doelgroep]=C998,Berekening_impact[Digitale zorgtoepassing]),0))</f>
        <v>21783955.875742715</v>
      </c>
      <c r="R998" s="398" cm="1">
        <f t="array" ref="R998">(uitkomst_doelgroep[[#This Row],[Implementatiegraad t = T + 1]]-uitkomst_doelgroep[[#This Row],[Implementatiegraad t = T]])*INDEX(Berekening_impact[Initiële investering (totaal) - incl. schatting],MATCH(B998,IF(Berekening_impact[Doelgroep]=C998,Berekening_impact[Digitale zorgtoepassing]),0))</f>
        <v>1060147.3234636334</v>
      </c>
      <c r="S998" s="398">
        <f>uitkomst_doelgroep[[#This Row],[Arbeidsbesparing (€)]]*uitkomst_doelgroep[[#This Row],[Percentage van patiëntaantallen in Wlz (overige is Zvw)]]</f>
        <v>6341820.1083094524</v>
      </c>
      <c r="T998" s="398">
        <f>uitkomst_doelgroep[[#This Row],[Overige besparingen (€)]]*uitkomst_doelgroep[[#This Row],[Percentage van patiëntaantallen in Wlz (overige is Zvw)]]</f>
        <v>3877888.6097344994</v>
      </c>
      <c r="U998" s="398">
        <f>uitkomst_doelgroep[[#This Row],[Kosten (€)]]*uitkomst_doelgroep[[#This Row],[Percentage van patiëntaantallen in Wlz (overige is Zvw)]]</f>
        <v>9802780.1440842226</v>
      </c>
      <c r="V998" s="398">
        <f>uitkomst_doelgroep[[#This Row],[Investering (cash flow) (€)]]*uitkomst_doelgroep[[#This Row],[Percentage van patiëntaantallen in Wlz (overige is Zvw)]]</f>
        <v>477066.29555863503</v>
      </c>
    </row>
    <row r="999" spans="1:22" x14ac:dyDescent="0.5">
      <c r="A999" s="33" t="str">
        <f>INDEX(Technologieën[Veld],MATCH(B999,Technologieën[Digitale zorgtoepassing],0))</f>
        <v>Digitale hulpmiddelen - Verpleging</v>
      </c>
      <c r="B999" s="33" t="s">
        <v>58</v>
      </c>
      <c r="C999" s="33" t="s">
        <v>59</v>
      </c>
      <c r="D999" s="427" cm="1">
        <f t="array" ref="D999">INDEX(Berekening_patiëntaantal[Percentage van patiëntaantallen in Wlz (overige is Zvw)],MATCH(B999,IF(Berekening_patiëntaantal[Doelgroep (zoeksleutel)]=C999,Berekening_patiëntaantal[Digitale zorgtoepassing]),0))</f>
        <v>0.45</v>
      </c>
      <c r="E999" s="33" t="str" cm="1">
        <f t="array" ref="E999">INDEX(Berekening_patiëntaantal[Direct toepasbaar/extrapolatie/incidentie voor QALY],MATCH(B999,IF(Berekening_patiëntaantal[Doelgroep (zoeksleutel)]=C999,Berekening_patiëntaantal[Digitale zorgtoepassing]),0))</f>
        <v>Huidige toepassing</v>
      </c>
      <c r="F999" s="33" t="s">
        <v>813</v>
      </c>
      <c r="G999" s="33" t="str">
        <f>CONCATENATE(uitkomst_doelgroep[[#This Row],[Digitale zorgtoepassing]],"_",uitkomst_doelgroep[[#This Row],[Doelgroep]],"_",uitkomst_doelgroep[[#This Row],[Uitgangssituatie/effect beleid]])</f>
        <v>Elektromechanisch toegangsbeheer_Alleenstaande thuiszorg cliënten_Uitgangssituatie</v>
      </c>
      <c r="H999" s="33">
        <v>2027</v>
      </c>
      <c r="I999" s="32">
        <v>5</v>
      </c>
      <c r="J999" s="406" cm="1">
        <f t="array" ref="J999">INDEX(implementatie[[2023]:[2034]],MATCH(G999, implementatie[Zoeksleutel],0),I999)</f>
        <v>0.84715933786401665</v>
      </c>
      <c r="K999" s="406" cm="1">
        <f t="array" ref="K999">INDEX(implementatie[[2023]:[2034]],MATCH(G999,implementatie[Zoeksleutel],0),I999 + 1)</f>
        <v>0.90924653177763415</v>
      </c>
      <c r="L99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127073.90067960249</v>
      </c>
      <c r="M999" s="398" cm="1">
        <f t="array" ref="M999">J999*INDEX(Berekening_impact[Totaal arbeidsbesparing (€/jaar)],MATCH(B999,IF(Berekening_impact[Doelgroep]=C999,Berekening_impact[Digitale zorgtoepassing]),0))</f>
        <v>15734862.45813803</v>
      </c>
      <c r="N999" s="397" cm="1">
        <f t="array" ref="N999">J999*INDEX(Berekening_impact[Totaal arbeidsbesparing (FTE/jaar)],MATCH(B999,IF(Berekening_impact[Doelgroep]=C999,Berekening_impact[Digitale zorgtoepassing]),0))</f>
        <v>370.63221031550728</v>
      </c>
      <c r="O999" s="398" cm="1">
        <f t="array" ref="O999">J999*INDEX(Berekening_impact[Overige kostenbesparing (totaal/jaar totaal potentieel)],MATCH(B999,IF(Berekening_impact[Doelgroep]=C999,Berekening_impact[Digitale zorgtoepassing]),0))</f>
        <v>9621534.963157149</v>
      </c>
      <c r="P999" s="398" cm="1">
        <f t="array" ref="P999">J999*INDEX(Berekening_impact[Opbrengsten door QALY''s],MATCH(B999,IF(Berekening_impact[Doelgroep]=C999,Berekening_impact[Digitale zorgtoepassing]),0))</f>
        <v>0</v>
      </c>
      <c r="Q999" s="398" cm="1">
        <f t="array" ref="Q999">J999*INDEX(Berekening_impact[Jaarlijkse kosten (totaal) - incl. schatting],MATCH(B999,IF(Berekening_impact[Doelgroep]=C999,Berekening_impact[Digitale zorgtoepassing]),0))</f>
        <v>24321944.590075914</v>
      </c>
      <c r="R999" s="398" cm="1">
        <f t="array" ref="R999">(uitkomst_doelgroep[[#This Row],[Implementatiegraad t = T + 1]]-uitkomst_doelgroep[[#This Row],[Implementatiegraad t = T]])*INDEX(Berekening_impact[Initiële investering (totaal) - incl. schatting],MATCH(B999,IF(Berekening_impact[Doelgroep]=C999,Berekening_impact[Digitale zorgtoepassing]),0))</f>
        <v>744580.67300905788</v>
      </c>
      <c r="S999" s="398">
        <f>uitkomst_doelgroep[[#This Row],[Arbeidsbesparing (€)]]*uitkomst_doelgroep[[#This Row],[Percentage van patiëntaantallen in Wlz (overige is Zvw)]]</f>
        <v>7080688.1061621141</v>
      </c>
      <c r="T999" s="398">
        <f>uitkomst_doelgroep[[#This Row],[Overige besparingen (€)]]*uitkomst_doelgroep[[#This Row],[Percentage van patiëntaantallen in Wlz (overige is Zvw)]]</f>
        <v>4329690.7334207175</v>
      </c>
      <c r="U999" s="398">
        <f>uitkomst_doelgroep[[#This Row],[Kosten (€)]]*uitkomst_doelgroep[[#This Row],[Percentage van patiëntaantallen in Wlz (overige is Zvw)]]</f>
        <v>10944875.065534161</v>
      </c>
      <c r="V999" s="398">
        <f>uitkomst_doelgroep[[#This Row],[Investering (cash flow) (€)]]*uitkomst_doelgroep[[#This Row],[Percentage van patiëntaantallen in Wlz (overige is Zvw)]]</f>
        <v>335061.30285407603</v>
      </c>
    </row>
    <row r="1000" spans="1:22" x14ac:dyDescent="0.5">
      <c r="A1000" s="33" t="str">
        <f>INDEX(Technologieën[Veld],MATCH(B1000,Technologieën[Digitale zorgtoepassing],0))</f>
        <v>Digitale hulpmiddelen - Verpleging</v>
      </c>
      <c r="B1000" s="33" t="s">
        <v>58</v>
      </c>
      <c r="C1000" s="33" t="s">
        <v>59</v>
      </c>
      <c r="D1000" s="427" cm="1">
        <f t="array" ref="D1000">INDEX(Berekening_patiëntaantal[Percentage van patiëntaantallen in Wlz (overige is Zvw)],MATCH(B1000,IF(Berekening_patiëntaantal[Doelgroep (zoeksleutel)]=C1000,Berekening_patiëntaantal[Digitale zorgtoepassing]),0))</f>
        <v>0.45</v>
      </c>
      <c r="E1000" s="33" t="str" cm="1">
        <f t="array" ref="E1000">INDEX(Berekening_patiëntaantal[Direct toepasbaar/extrapolatie/incidentie voor QALY],MATCH(B1000,IF(Berekening_patiëntaantal[Doelgroep (zoeksleutel)]=C1000,Berekening_patiëntaantal[Digitale zorgtoepassing]),0))</f>
        <v>Huidige toepassing</v>
      </c>
      <c r="F1000" s="33" t="s">
        <v>813</v>
      </c>
      <c r="G1000" s="33" t="str">
        <f>CONCATENATE(uitkomst_doelgroep[[#This Row],[Digitale zorgtoepassing]],"_",uitkomst_doelgroep[[#This Row],[Doelgroep]],"_",uitkomst_doelgroep[[#This Row],[Uitgangssituatie/effect beleid]])</f>
        <v>Elektromechanisch toegangsbeheer_Alleenstaande thuiszorg cliënten_Uitgangssituatie</v>
      </c>
      <c r="H1000" s="33">
        <v>2028</v>
      </c>
      <c r="I1000" s="32">
        <v>6</v>
      </c>
      <c r="J1000" s="406" cm="1">
        <f t="array" ref="J1000">INDEX(implementatie[[2023]:[2034]],MATCH(G1000, implementatie[Zoeksleutel],0),I1000)</f>
        <v>0.90924653177763415</v>
      </c>
      <c r="K1000" s="406" cm="1">
        <f t="array" ref="K1000">INDEX(implementatie[[2023]:[2034]],MATCH(G1000,implementatie[Zoeksleutel],0),I1000 + 1)</f>
        <v>0.94864814278578335</v>
      </c>
      <c r="L100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136386.97976664512</v>
      </c>
      <c r="M1000" s="398" cm="1">
        <f t="array" ref="M1000">J1000*INDEX(Berekening_impact[Totaal arbeidsbesparing (€/jaar)],MATCH(B1000,IF(Berekening_impact[Doelgroep]=C1000,Berekening_impact[Digitale zorgtoepassing]),0))</f>
        <v>16888049.837392688</v>
      </c>
      <c r="N1000" s="397" cm="1">
        <f t="array" ref="N1000">J1000*INDEX(Berekening_impact[Totaal arbeidsbesparing (FTE/jaar)],MATCH(B1000,IF(Berekening_impact[Doelgroep]=C1000,Berekening_impact[Digitale zorgtoepassing]),0))</f>
        <v>397.79535765271493</v>
      </c>
      <c r="O1000" s="398" cm="1">
        <f t="array" ref="O1000">J1000*INDEX(Berekening_impact[Overige kostenbesparing (totaal/jaar totaal potentieel)],MATCH(B1000,IF(Berekening_impact[Doelgroep]=C1000,Berekening_impact[Digitale zorgtoepassing]),0))</f>
        <v>10326684.608925531</v>
      </c>
      <c r="P1000" s="398" cm="1">
        <f t="array" ref="P1000">J1000*INDEX(Berekening_impact[Opbrengsten door QALY''s],MATCH(B1000,IF(Berekening_impact[Doelgroep]=C1000,Berekening_impact[Digitale zorgtoepassing]),0))</f>
        <v>0</v>
      </c>
      <c r="Q1000" s="398" cm="1">
        <f t="array" ref="Q1000">J1000*INDEX(Berekening_impact[Jaarlijkse kosten (totaal) - incl. schatting],MATCH(B1000,IF(Berekening_impact[Doelgroep]=C1000,Berekening_impact[Digitale zorgtoepassing]),0))</f>
        <v>26104467.927335873</v>
      </c>
      <c r="R1000" s="398" cm="1">
        <f t="array" ref="R1000">(uitkomst_doelgroep[[#This Row],[Implementatiegraad t = T + 1]]-uitkomst_doelgroep[[#This Row],[Implementatiegraad t = T]])*INDEX(Berekening_impact[Initiële investering (totaal) - incl. schatting],MATCH(B1000,IF(Berekening_impact[Doelgroep]=C1000,Berekening_impact[Digitale zorgtoepassing]),0))</f>
        <v>472523.82001522934</v>
      </c>
      <c r="S1000" s="398">
        <f>uitkomst_doelgroep[[#This Row],[Arbeidsbesparing (€)]]*uitkomst_doelgroep[[#This Row],[Percentage van patiëntaantallen in Wlz (overige is Zvw)]]</f>
        <v>7599622.4268267099</v>
      </c>
      <c r="T1000" s="398">
        <f>uitkomst_doelgroep[[#This Row],[Overige besparingen (€)]]*uitkomst_doelgroep[[#This Row],[Percentage van patiëntaantallen in Wlz (overige is Zvw)]]</f>
        <v>4647008.0740164891</v>
      </c>
      <c r="U1000" s="398">
        <f>uitkomst_doelgroep[[#This Row],[Kosten (€)]]*uitkomst_doelgroep[[#This Row],[Percentage van patiëntaantallen in Wlz (overige is Zvw)]]</f>
        <v>11747010.567301143</v>
      </c>
      <c r="V1000" s="398">
        <f>uitkomst_doelgroep[[#This Row],[Investering (cash flow) (€)]]*uitkomst_doelgroep[[#This Row],[Percentage van patiëntaantallen in Wlz (overige is Zvw)]]</f>
        <v>212635.71900685321</v>
      </c>
    </row>
    <row r="1001" spans="1:22" x14ac:dyDescent="0.5">
      <c r="A1001" s="33" t="str">
        <f>INDEX(Technologieën[Veld],MATCH(B1001,Technologieën[Digitale zorgtoepassing],0))</f>
        <v>Digitale hulpmiddelen - Verpleging</v>
      </c>
      <c r="B1001" s="33" t="s">
        <v>58</v>
      </c>
      <c r="C1001" s="33" t="s">
        <v>59</v>
      </c>
      <c r="D1001" s="427" cm="1">
        <f t="array" ref="D1001">INDEX(Berekening_patiëntaantal[Percentage van patiëntaantallen in Wlz (overige is Zvw)],MATCH(B1001,IF(Berekening_patiëntaantal[Doelgroep (zoeksleutel)]=C1001,Berekening_patiëntaantal[Digitale zorgtoepassing]),0))</f>
        <v>0.45</v>
      </c>
      <c r="E1001" s="33" t="str" cm="1">
        <f t="array" ref="E1001">INDEX(Berekening_patiëntaantal[Direct toepasbaar/extrapolatie/incidentie voor QALY],MATCH(B1001,IF(Berekening_patiëntaantal[Doelgroep (zoeksleutel)]=C1001,Berekening_patiëntaantal[Digitale zorgtoepassing]),0))</f>
        <v>Huidige toepassing</v>
      </c>
      <c r="F1001" s="33" t="s">
        <v>813</v>
      </c>
      <c r="G1001" s="33" t="str">
        <f>CONCATENATE(uitkomst_doelgroep[[#This Row],[Digitale zorgtoepassing]],"_",uitkomst_doelgroep[[#This Row],[Doelgroep]],"_",uitkomst_doelgroep[[#This Row],[Uitgangssituatie/effect beleid]])</f>
        <v>Elektromechanisch toegangsbeheer_Alleenstaande thuiszorg cliënten_Uitgangssituatie</v>
      </c>
      <c r="H1001" s="33">
        <v>2029</v>
      </c>
      <c r="I1001" s="32">
        <v>7</v>
      </c>
      <c r="J1001" s="406" cm="1">
        <f t="array" ref="J1001">INDEX(implementatie[[2023]:[2034]],MATCH(G1001, implementatie[Zoeksleutel],0),I1001)</f>
        <v>0.94864814278578335</v>
      </c>
      <c r="K1001" s="406" cm="1">
        <f t="array" ref="K1001">INDEX(implementatie[[2023]:[2034]],MATCH(G1001,implementatie[Zoeksleutel],0),I1001 + 1)</f>
        <v>0.97185361900482903</v>
      </c>
      <c r="L100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142297.22141786749</v>
      </c>
      <c r="M1001" s="398" cm="1">
        <f t="array" ref="M1001">J1001*INDEX(Berekening_impact[Totaal arbeidsbesparing (€/jaar)],MATCH(B1001,IF(Berekening_impact[Doelgroep]=C1001,Berekening_impact[Digitale zorgtoepassing]),0))</f>
        <v>17619882.566056773</v>
      </c>
      <c r="N1001" s="397" cm="1">
        <f t="array" ref="N1001">J1001*INDEX(Berekening_impact[Totaal arbeidsbesparing (FTE/jaar)],MATCH(B1001,IF(Berekening_impact[Doelgroep]=C1001,Berekening_impact[Digitale zorgtoepassing]),0))</f>
        <v>415.03356246878019</v>
      </c>
      <c r="O1001" s="398" cm="1">
        <f t="array" ref="O1001">J1001*INDEX(Berekening_impact[Overige kostenbesparing (totaal/jaar totaal potentieel)],MATCH(B1001,IF(Berekening_impact[Doelgroep]=C1001,Berekening_impact[Digitale zorgtoepassing]),0))</f>
        <v>10774184.814583983</v>
      </c>
      <c r="P1001" s="398" cm="1">
        <f t="array" ref="P1001">J1001*INDEX(Berekening_impact[Opbrengsten door QALY''s],MATCH(B1001,IF(Berekening_impact[Doelgroep]=C1001,Berekening_impact[Digitale zorgtoepassing]),0))</f>
        <v>0</v>
      </c>
      <c r="Q1001" s="398" cm="1">
        <f t="array" ref="Q1001">J1001*INDEX(Berekening_impact[Jaarlijkse kosten (totaal) - incl. schatting],MATCH(B1001,IF(Berekening_impact[Doelgroep]=C1001,Berekening_impact[Digitale zorgtoepassing]),0))</f>
        <v>27235688.179379836</v>
      </c>
      <c r="R1001" s="398" cm="1">
        <f t="array" ref="R1001">(uitkomst_doelgroep[[#This Row],[Implementatiegraad t = T + 1]]-uitkomst_doelgroep[[#This Row],[Implementatiegraad t = T]])*INDEX(Berekening_impact[Initiële investering (totaal) - incl. schatting],MATCH(B1001,IF(Berekening_impact[Doelgroep]=C1001,Berekening_impact[Digitale zorgtoepassing]),0))</f>
        <v>278291.67355690524</v>
      </c>
      <c r="S1001" s="398">
        <f>uitkomst_doelgroep[[#This Row],[Arbeidsbesparing (€)]]*uitkomst_doelgroep[[#This Row],[Percentage van patiëntaantallen in Wlz (overige is Zvw)]]</f>
        <v>7928947.1547255479</v>
      </c>
      <c r="T1001" s="398">
        <f>uitkomst_doelgroep[[#This Row],[Overige besparingen (€)]]*uitkomst_doelgroep[[#This Row],[Percentage van patiëntaantallen in Wlz (overige is Zvw)]]</f>
        <v>4848383.1665627928</v>
      </c>
      <c r="U1001" s="398">
        <f>uitkomst_doelgroep[[#This Row],[Kosten (€)]]*uitkomst_doelgroep[[#This Row],[Percentage van patiëntaantallen in Wlz (overige is Zvw)]]</f>
        <v>12256059.680720927</v>
      </c>
      <c r="V1001" s="398">
        <f>uitkomst_doelgroep[[#This Row],[Investering (cash flow) (€)]]*uitkomst_doelgroep[[#This Row],[Percentage van patiëntaantallen in Wlz (overige is Zvw)]]</f>
        <v>125231.25310060736</v>
      </c>
    </row>
    <row r="1002" spans="1:22" x14ac:dyDescent="0.5">
      <c r="A1002" s="33" t="str">
        <f>INDEX(Technologieën[Veld],MATCH(B1002,Technologieën[Digitale zorgtoepassing],0))</f>
        <v>Digitale hulpmiddelen - Verpleging</v>
      </c>
      <c r="B1002" s="33" t="s">
        <v>58</v>
      </c>
      <c r="C1002" s="33" t="s">
        <v>59</v>
      </c>
      <c r="D1002" s="427" cm="1">
        <f t="array" ref="D1002">INDEX(Berekening_patiëntaantal[Percentage van patiëntaantallen in Wlz (overige is Zvw)],MATCH(B1002,IF(Berekening_patiëntaantal[Doelgroep (zoeksleutel)]=C1002,Berekening_patiëntaantal[Digitale zorgtoepassing]),0))</f>
        <v>0.45</v>
      </c>
      <c r="E1002" s="33" t="str" cm="1">
        <f t="array" ref="E1002">INDEX(Berekening_patiëntaantal[Direct toepasbaar/extrapolatie/incidentie voor QALY],MATCH(B1002,IF(Berekening_patiëntaantal[Doelgroep (zoeksleutel)]=C1002,Berekening_patiëntaantal[Digitale zorgtoepassing]),0))</f>
        <v>Huidige toepassing</v>
      </c>
      <c r="F1002" s="33" t="s">
        <v>813</v>
      </c>
      <c r="G1002" s="33" t="str">
        <f>CONCATENATE(uitkomst_doelgroep[[#This Row],[Digitale zorgtoepassing]],"_",uitkomst_doelgroep[[#This Row],[Doelgroep]],"_",uitkomst_doelgroep[[#This Row],[Uitgangssituatie/effect beleid]])</f>
        <v>Elektromechanisch toegangsbeheer_Alleenstaande thuiszorg cliënten_Uitgangssituatie</v>
      </c>
      <c r="H1002" s="33">
        <v>2030</v>
      </c>
      <c r="I1002" s="32">
        <v>8</v>
      </c>
      <c r="J1002" s="406" cm="1">
        <f t="array" ref="J1002">INDEX(implementatie[[2023]:[2034]],MATCH(G1002, implementatie[Zoeksleutel],0),I1002)</f>
        <v>0.97185361900482903</v>
      </c>
      <c r="K1002" s="406" cm="1">
        <f t="array" ref="K1002">INDEX(implementatie[[2023]:[2034]],MATCH(G1002,implementatie[Zoeksleutel],0),I1002 + 1)</f>
        <v>0.98486665153412889</v>
      </c>
      <c r="L100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145778.04285072436</v>
      </c>
      <c r="M1002" s="398" cm="1">
        <f t="array" ref="M1002">J1002*INDEX(Berekening_impact[Totaal arbeidsbesparing (€/jaar)],MATCH(B1002,IF(Berekening_impact[Doelgroep]=C1002,Berekening_impact[Digitale zorgtoepassing]),0))</f>
        <v>18050893.546237797</v>
      </c>
      <c r="N1002" s="397" cm="1">
        <f t="array" ref="N1002">J1002*INDEX(Berekening_impact[Totaal arbeidsbesparing (FTE/jaar)],MATCH(B1002,IF(Berekening_impact[Doelgroep]=C1002,Berekening_impact[Digitale zorgtoepassing]),0))</f>
        <v>425.18595831461272</v>
      </c>
      <c r="O1002" s="398" cm="1">
        <f t="array" ref="O1002">J1002*INDEX(Berekening_impact[Overige kostenbesparing (totaal/jaar totaal potentieel)],MATCH(B1002,IF(Berekening_impact[Doelgroep]=C1002,Berekening_impact[Digitale zorgtoepassing]),0))</f>
        <v>11037738.895615783</v>
      </c>
      <c r="P1002" s="398" cm="1">
        <f t="array" ref="P1002">J1002*INDEX(Berekening_impact[Opbrengsten door QALY''s],MATCH(B1002,IF(Berekening_impact[Doelgroep]=C1002,Berekening_impact[Digitale zorgtoepassing]),0))</f>
        <v>0</v>
      </c>
      <c r="Q1002" s="398" cm="1">
        <f t="array" ref="Q1002">J1002*INDEX(Berekening_impact[Jaarlijkse kosten (totaal) - incl. schatting],MATCH(B1002,IF(Berekening_impact[Doelgroep]=C1002,Berekening_impact[Digitale zorgtoepassing]),0))</f>
        <v>27901917.40162864</v>
      </c>
      <c r="R1002" s="398" cm="1">
        <f t="array" ref="R1002">(uitkomst_doelgroep[[#This Row],[Implementatiegraad t = T + 1]]-uitkomst_doelgroep[[#This Row],[Implementatiegraad t = T]])*INDEX(Berekening_impact[Initiële investering (totaal) - incl. schatting],MATCH(B1002,IF(Berekening_impact[Doelgroep]=C1002,Berekening_impact[Digitale zorgtoepassing]),0))</f>
        <v>156058.79260762859</v>
      </c>
      <c r="S1002" s="398">
        <f>uitkomst_doelgroep[[#This Row],[Arbeidsbesparing (€)]]*uitkomst_doelgroep[[#This Row],[Percentage van patiëntaantallen in Wlz (overige is Zvw)]]</f>
        <v>8122902.0958070084</v>
      </c>
      <c r="T1002" s="398">
        <f>uitkomst_doelgroep[[#This Row],[Overige besparingen (€)]]*uitkomst_doelgroep[[#This Row],[Percentage van patiëntaantallen in Wlz (overige is Zvw)]]</f>
        <v>4966982.503027102</v>
      </c>
      <c r="U1002" s="398">
        <f>uitkomst_doelgroep[[#This Row],[Kosten (€)]]*uitkomst_doelgroep[[#This Row],[Percentage van patiëntaantallen in Wlz (overige is Zvw)]]</f>
        <v>12555862.830732888</v>
      </c>
      <c r="V1002" s="398">
        <f>uitkomst_doelgroep[[#This Row],[Investering (cash flow) (€)]]*uitkomst_doelgroep[[#This Row],[Percentage van patiëntaantallen in Wlz (overige is Zvw)]]</f>
        <v>70226.456673432869</v>
      </c>
    </row>
    <row r="1003" spans="1:22" x14ac:dyDescent="0.5">
      <c r="A1003" s="33" t="str">
        <f>INDEX(Technologieën[Veld],MATCH(B1003,Technologieën[Digitale zorgtoepassing],0))</f>
        <v>Digitale hulpmiddelen - Verpleging</v>
      </c>
      <c r="B1003" s="33" t="s">
        <v>58</v>
      </c>
      <c r="C1003" s="33" t="s">
        <v>59</v>
      </c>
      <c r="D1003" s="427" cm="1">
        <f t="array" ref="D1003">INDEX(Berekening_patiëntaantal[Percentage van patiëntaantallen in Wlz (overige is Zvw)],MATCH(B1003,IF(Berekening_patiëntaantal[Doelgroep (zoeksleutel)]=C1003,Berekening_patiëntaantal[Digitale zorgtoepassing]),0))</f>
        <v>0.45</v>
      </c>
      <c r="E1003" s="33" t="str" cm="1">
        <f t="array" ref="E1003">INDEX(Berekening_patiëntaantal[Direct toepasbaar/extrapolatie/incidentie voor QALY],MATCH(B1003,IF(Berekening_patiëntaantal[Doelgroep (zoeksleutel)]=C1003,Berekening_patiëntaantal[Digitale zorgtoepassing]),0))</f>
        <v>Huidige toepassing</v>
      </c>
      <c r="F1003" s="33" t="s">
        <v>813</v>
      </c>
      <c r="G1003" s="33" t="str">
        <f>CONCATENATE(uitkomst_doelgroep[[#This Row],[Digitale zorgtoepassing]],"_",uitkomst_doelgroep[[#This Row],[Doelgroep]],"_",uitkomst_doelgroep[[#This Row],[Uitgangssituatie/effect beleid]])</f>
        <v>Elektromechanisch toegangsbeheer_Alleenstaande thuiszorg cliënten_Uitgangssituatie</v>
      </c>
      <c r="H1003" s="33">
        <v>2031</v>
      </c>
      <c r="I1003" s="32">
        <v>9</v>
      </c>
      <c r="J1003" s="406" cm="1">
        <f t="array" ref="J1003">INDEX(implementatie[[2023]:[2034]],MATCH(G1003, implementatie[Zoeksleutel],0),I1003)</f>
        <v>0.98486665153412889</v>
      </c>
      <c r="K1003" s="406" cm="1">
        <f t="array" ref="K1003">INDEX(implementatie[[2023]:[2034]],MATCH(G1003,implementatie[Zoeksleutel],0),I1003 + 1)</f>
        <v>0.99195193384931235</v>
      </c>
      <c r="L100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147729.99773011933</v>
      </c>
      <c r="M1003" s="398" cm="1">
        <f t="array" ref="M1003">J1003*INDEX(Berekening_impact[Totaal arbeidsbesparing (€/jaar)],MATCH(B1003,IF(Berekening_impact[Doelgroep]=C1003,Berekening_impact[Digitale zorgtoepassing]),0))</f>
        <v>18292593.386940818</v>
      </c>
      <c r="N1003" s="397" cm="1">
        <f t="array" ref="N1003">J1003*INDEX(Berekening_impact[Totaal arbeidsbesparing (FTE/jaar)],MATCH(B1003,IF(Berekening_impact[Doelgroep]=C1003,Berekening_impact[Digitale zorgtoepassing]),0))</f>
        <v>430.87916004618137</v>
      </c>
      <c r="O1003" s="398" cm="1">
        <f t="array" ref="O1003">J1003*INDEX(Berekening_impact[Overige kostenbesparing (totaal/jaar totaal potentieel)],MATCH(B1003,IF(Berekening_impact[Doelgroep]=C1003,Berekening_impact[Digitale zorgtoepassing]),0))</f>
        <v>11185533.226459194</v>
      </c>
      <c r="P1003" s="398" cm="1">
        <f t="array" ref="P1003">J1003*INDEX(Berekening_impact[Opbrengsten door QALY''s],MATCH(B1003,IF(Berekening_impact[Doelgroep]=C1003,Berekening_impact[Digitale zorgtoepassing]),0))</f>
        <v>0</v>
      </c>
      <c r="Q1003" s="398" cm="1">
        <f t="array" ref="Q1003">J1003*INDEX(Berekening_impact[Jaarlijkse kosten (totaal) - incl. schatting],MATCH(B1003,IF(Berekening_impact[Doelgroep]=C1003,Berekening_impact[Digitale zorgtoepassing]),0))</f>
        <v>28275521.565544836</v>
      </c>
      <c r="R1003" s="398" cm="1">
        <f t="array" ref="R1003">(uitkomst_doelgroep[[#This Row],[Implementatiegraad t = T + 1]]-uitkomst_doelgroep[[#This Row],[Implementatiegraad t = T]])*INDEX(Berekening_impact[Initiële investering (totaal) - incl. schatting],MATCH(B1003,IF(Berekening_impact[Doelgroep]=C1003,Berekening_impact[Digitale zorgtoepassing]),0))</f>
        <v>84970.248164837656</v>
      </c>
      <c r="S1003" s="398">
        <f>uitkomst_doelgroep[[#This Row],[Arbeidsbesparing (€)]]*uitkomst_doelgroep[[#This Row],[Percentage van patiëntaantallen in Wlz (overige is Zvw)]]</f>
        <v>8231667.0241233688</v>
      </c>
      <c r="T1003" s="398">
        <f>uitkomst_doelgroep[[#This Row],[Overige besparingen (€)]]*uitkomst_doelgroep[[#This Row],[Percentage van patiëntaantallen in Wlz (overige is Zvw)]]</f>
        <v>5033489.9519066373</v>
      </c>
      <c r="U1003" s="398">
        <f>uitkomst_doelgroep[[#This Row],[Kosten (€)]]*uitkomst_doelgroep[[#This Row],[Percentage van patiëntaantallen in Wlz (overige is Zvw)]]</f>
        <v>12723984.704495177</v>
      </c>
      <c r="V1003" s="398">
        <f>uitkomst_doelgroep[[#This Row],[Investering (cash flow) (€)]]*uitkomst_doelgroep[[#This Row],[Percentage van patiëntaantallen in Wlz (overige is Zvw)]]</f>
        <v>38236.611674176944</v>
      </c>
    </row>
    <row r="1004" spans="1:22" x14ac:dyDescent="0.5">
      <c r="A1004" s="33" t="str">
        <f>INDEX(Technologieën[Veld],MATCH(B1004,Technologieën[Digitale zorgtoepassing],0))</f>
        <v>Digitale hulpmiddelen - Verpleging</v>
      </c>
      <c r="B1004" s="33" t="s">
        <v>58</v>
      </c>
      <c r="C1004" s="33" t="s">
        <v>59</v>
      </c>
      <c r="D1004" s="427" cm="1">
        <f t="array" ref="D1004">INDEX(Berekening_patiëntaantal[Percentage van patiëntaantallen in Wlz (overige is Zvw)],MATCH(B1004,IF(Berekening_patiëntaantal[Doelgroep (zoeksleutel)]=C1004,Berekening_patiëntaantal[Digitale zorgtoepassing]),0))</f>
        <v>0.45</v>
      </c>
      <c r="E1004" s="33" t="str" cm="1">
        <f t="array" ref="E1004">INDEX(Berekening_patiëntaantal[Direct toepasbaar/extrapolatie/incidentie voor QALY],MATCH(B1004,IF(Berekening_patiëntaantal[Doelgroep (zoeksleutel)]=C1004,Berekening_patiëntaantal[Digitale zorgtoepassing]),0))</f>
        <v>Huidige toepassing</v>
      </c>
      <c r="F1004" s="33" t="s">
        <v>813</v>
      </c>
      <c r="G1004" s="33" t="str">
        <f>CONCATENATE(uitkomst_doelgroep[[#This Row],[Digitale zorgtoepassing]],"_",uitkomst_doelgroep[[#This Row],[Doelgroep]],"_",uitkomst_doelgroep[[#This Row],[Uitgangssituatie/effect beleid]])</f>
        <v>Elektromechanisch toegangsbeheer_Alleenstaande thuiszorg cliënten_Uitgangssituatie</v>
      </c>
      <c r="H1004" s="33">
        <v>2032</v>
      </c>
      <c r="I1004" s="32">
        <v>10</v>
      </c>
      <c r="J1004" s="406" cm="1">
        <f t="array" ref="J1004">INDEX(implementatie[[2023]:[2034]],MATCH(G1004, implementatie[Zoeksleutel],0),I1004)</f>
        <v>0.99195193384931235</v>
      </c>
      <c r="K1004" s="406" cm="1">
        <f t="array" ref="K1004">INDEX(implementatie[[2023]:[2034]],MATCH(G1004,implementatie[Zoeksleutel],0),I1004 + 1)</f>
        <v>0.99574561815494433</v>
      </c>
      <c r="L100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148792.79007739684</v>
      </c>
      <c r="M1004" s="398" cm="1">
        <f t="array" ref="M1004">J1004*INDEX(Berekening_impact[Totaal arbeidsbesparing (€/jaar)],MATCH(B1004,IF(Berekening_impact[Doelgroep]=C1004,Berekening_impact[Digitale zorgtoepassing]),0))</f>
        <v>18424193.119982284</v>
      </c>
      <c r="N1004" s="397" cm="1">
        <f t="array" ref="N1004">J1004*INDEX(Berekening_impact[Totaal arbeidsbesparing (FTE/jaar)],MATCH(B1004,IF(Berekening_impact[Doelgroep]=C1004,Berekening_impact[Digitale zorgtoepassing]),0))</f>
        <v>433.97897105907413</v>
      </c>
      <c r="O1004" s="398" cm="1">
        <f t="array" ref="O1004">J1004*INDEX(Berekening_impact[Overige kostenbesparing (totaal/jaar totaal potentieel)],MATCH(B1004,IF(Berekening_impact[Doelgroep]=C1004,Berekening_impact[Digitale zorgtoepassing]),0))</f>
        <v>11266003.674546635</v>
      </c>
      <c r="P1004" s="398" cm="1">
        <f t="array" ref="P1004">J1004*INDEX(Berekening_impact[Opbrengsten door QALY''s],MATCH(B1004,IF(Berekening_impact[Doelgroep]=C1004,Berekening_impact[Digitale zorgtoepassing]),0))</f>
        <v>0</v>
      </c>
      <c r="Q1004" s="398" cm="1">
        <f t="array" ref="Q1004">J1004*INDEX(Berekening_impact[Jaarlijkse kosten (totaal) - incl. schatting],MATCH(B1004,IF(Berekening_impact[Doelgroep]=C1004,Berekening_impact[Digitale zorgtoepassing]),0))</f>
        <v>28478940.020813756</v>
      </c>
      <c r="R1004" s="398" cm="1">
        <f t="array" ref="R1004">(uitkomst_doelgroep[[#This Row],[Implementatiegraad t = T + 1]]-uitkomst_doelgroep[[#This Row],[Implementatiegraad t = T]])*INDEX(Berekening_impact[Initiële investering (totaal) - incl. schatting],MATCH(B1004,IF(Berekening_impact[Doelgroep]=C1004,Berekening_impact[Digitale zorgtoepassing]),0))</f>
        <v>45495.759035291565</v>
      </c>
      <c r="S1004" s="398">
        <f>uitkomst_doelgroep[[#This Row],[Arbeidsbesparing (€)]]*uitkomst_doelgroep[[#This Row],[Percentage van patiëntaantallen in Wlz (overige is Zvw)]]</f>
        <v>8290886.903992028</v>
      </c>
      <c r="T1004" s="398">
        <f>uitkomst_doelgroep[[#This Row],[Overige besparingen (€)]]*uitkomst_doelgroep[[#This Row],[Percentage van patiëntaantallen in Wlz (overige is Zvw)]]</f>
        <v>5069701.6535459859</v>
      </c>
      <c r="U1004" s="398">
        <f>uitkomst_doelgroep[[#This Row],[Kosten (€)]]*uitkomst_doelgroep[[#This Row],[Percentage van patiëntaantallen in Wlz (overige is Zvw)]]</f>
        <v>12815523.00936619</v>
      </c>
      <c r="V1004" s="398">
        <f>uitkomst_doelgroep[[#This Row],[Investering (cash flow) (€)]]*uitkomst_doelgroep[[#This Row],[Percentage van patiëntaantallen in Wlz (overige is Zvw)]]</f>
        <v>20473.091565881205</v>
      </c>
    </row>
    <row r="1005" spans="1:22" x14ac:dyDescent="0.5">
      <c r="A1005" s="33" t="str">
        <f>INDEX(Technologieën[Veld],MATCH(B1005,Technologieën[Digitale zorgtoepassing],0))</f>
        <v>Digitale hulpmiddelen - Verpleging</v>
      </c>
      <c r="B1005" s="33" t="s">
        <v>58</v>
      </c>
      <c r="C1005" s="33" t="s">
        <v>59</v>
      </c>
      <c r="D1005" s="427" cm="1">
        <f t="array" ref="D1005">INDEX(Berekening_patiëntaantal[Percentage van patiëntaantallen in Wlz (overige is Zvw)],MATCH(B1005,IF(Berekening_patiëntaantal[Doelgroep (zoeksleutel)]=C1005,Berekening_patiëntaantal[Digitale zorgtoepassing]),0))</f>
        <v>0.45</v>
      </c>
      <c r="E1005" s="33" t="str" cm="1">
        <f t="array" ref="E1005">INDEX(Berekening_patiëntaantal[Direct toepasbaar/extrapolatie/incidentie voor QALY],MATCH(B1005,IF(Berekening_patiëntaantal[Doelgroep (zoeksleutel)]=C1005,Berekening_patiëntaantal[Digitale zorgtoepassing]),0))</f>
        <v>Huidige toepassing</v>
      </c>
      <c r="F1005" s="33" t="s">
        <v>813</v>
      </c>
      <c r="G1005" s="33" t="str">
        <f>CONCATENATE(uitkomst_doelgroep[[#This Row],[Digitale zorgtoepassing]],"_",uitkomst_doelgroep[[#This Row],[Doelgroep]],"_",uitkomst_doelgroep[[#This Row],[Uitgangssituatie/effect beleid]])</f>
        <v>Elektromechanisch toegangsbeheer_Alleenstaande thuiszorg cliënten_Uitgangssituatie</v>
      </c>
      <c r="H1005" s="33">
        <v>2033</v>
      </c>
      <c r="I1005" s="32">
        <v>11</v>
      </c>
      <c r="J1005" s="406" cm="1">
        <f t="array" ref="J1005">INDEX(implementatie[[2023]:[2034]],MATCH(G1005, implementatie[Zoeksleutel],0),I1005)</f>
        <v>0.99574561815494433</v>
      </c>
      <c r="K1005" s="406" cm="1">
        <f t="array" ref="K1005">INDEX(implementatie[[2023]:[2034]],MATCH(G1005,implementatie[Zoeksleutel],0),I1005 + 1)</f>
        <v>0.99775830463714821</v>
      </c>
      <c r="L100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149361.84272324166</v>
      </c>
      <c r="M1005" s="398" cm="1">
        <f t="array" ref="M1005">J1005*INDEX(Berekening_impact[Totaal arbeidsbesparing (€/jaar)],MATCH(B1005,IF(Berekening_impact[Doelgroep]=C1005,Berekening_impact[Digitale zorgtoepassing]),0))</f>
        <v>18494655.780417833</v>
      </c>
      <c r="N1005" s="397" cm="1">
        <f t="array" ref="N1005">J1005*INDEX(Berekening_impact[Totaal arbeidsbesparing (FTE/jaar)],MATCH(B1005,IF(Berekening_impact[Doelgroep]=C1005,Berekening_impact[Digitale zorgtoepassing]),0))</f>
        <v>435.63870794278813</v>
      </c>
      <c r="O1005" s="398" cm="1">
        <f t="array" ref="O1005">J1005*INDEX(Berekening_impact[Overige kostenbesparing (totaal/jaar totaal potentieel)],MATCH(B1005,IF(Berekening_impact[Doelgroep]=C1005,Berekening_impact[Digitale zorgtoepassing]),0))</f>
        <v>11309090.098262215</v>
      </c>
      <c r="P1005" s="398" cm="1">
        <f t="array" ref="P1005">J1005*INDEX(Berekening_impact[Opbrengsten door QALY''s],MATCH(B1005,IF(Berekening_impact[Doelgroep]=C1005,Berekening_impact[Digitale zorgtoepassing]),0))</f>
        <v>0</v>
      </c>
      <c r="Q1005" s="398" cm="1">
        <f t="array" ref="Q1005">J1005*INDEX(Berekening_impact[Jaarlijkse kosten (totaal) - incl. schatting],MATCH(B1005,IF(Berekening_impact[Doelgroep]=C1005,Berekening_impact[Digitale zorgtoepassing]),0))</f>
        <v>28587856.697228447</v>
      </c>
      <c r="R1005" s="398" cm="1">
        <f t="array" ref="R1005">(uitkomst_doelgroep[[#This Row],[Implementatiegraad t = T + 1]]-uitkomst_doelgroep[[#This Row],[Implementatiegraad t = T]])*INDEX(Berekening_impact[Initiële investering (totaal) - incl. schatting],MATCH(B1005,IF(Berekening_impact[Doelgroep]=C1005,Berekening_impact[Digitale zorgtoepassing]),0))</f>
        <v>24137.142637829955</v>
      </c>
      <c r="S1005" s="398">
        <f>uitkomst_doelgroep[[#This Row],[Arbeidsbesparing (€)]]*uitkomst_doelgroep[[#This Row],[Percentage van patiëntaantallen in Wlz (overige is Zvw)]]</f>
        <v>8322595.1011880254</v>
      </c>
      <c r="T1005" s="398">
        <f>uitkomst_doelgroep[[#This Row],[Overige besparingen (€)]]*uitkomst_doelgroep[[#This Row],[Percentage van patiëntaantallen in Wlz (overige is Zvw)]]</f>
        <v>5089090.5442179972</v>
      </c>
      <c r="U1005" s="398">
        <f>uitkomst_doelgroep[[#This Row],[Kosten (€)]]*uitkomst_doelgroep[[#This Row],[Percentage van patiëntaantallen in Wlz (overige is Zvw)]]</f>
        <v>12864535.513752801</v>
      </c>
      <c r="V1005" s="398">
        <f>uitkomst_doelgroep[[#This Row],[Investering (cash flow) (€)]]*uitkomst_doelgroep[[#This Row],[Percentage van patiëntaantallen in Wlz (overige is Zvw)]]</f>
        <v>10861.714187023479</v>
      </c>
    </row>
    <row r="1006" spans="1:22" x14ac:dyDescent="0.5">
      <c r="A1006" s="33" t="str">
        <f>INDEX(Technologieën[Veld],MATCH(B1006,Technologieën[Digitale zorgtoepassing],0))</f>
        <v>Digitale hulpmiddelen - Verpleging</v>
      </c>
      <c r="B1006" s="33" t="s">
        <v>105</v>
      </c>
      <c r="C1006" s="33" t="s">
        <v>106</v>
      </c>
      <c r="D1006" s="427" cm="1">
        <f t="array" ref="D1006">INDEX(Berekening_patiëntaantal[Percentage van patiëntaantallen in Wlz (overige is Zvw)],MATCH(B1006,IF(Berekening_patiëntaantal[Doelgroep (zoeksleutel)]=C1006,Berekening_patiëntaantal[Digitale zorgtoepassing]),0))</f>
        <v>1</v>
      </c>
      <c r="E1006" s="33" t="str" cm="1">
        <f t="array" ref="E1006">INDEX(Berekening_patiëntaantal[Direct toepasbaar/extrapolatie/incidentie voor QALY],MATCH(B1006,IF(Berekening_patiëntaantal[Doelgroep (zoeksleutel)]=C1006,Berekening_patiëntaantal[Digitale zorgtoepassing]),0))</f>
        <v>Huidige toepassing</v>
      </c>
      <c r="F1006" s="33" t="s">
        <v>813</v>
      </c>
      <c r="G1006" s="33" t="str">
        <f>CONCATENATE(uitkomst_doelgroep[[#This Row],[Digitale zorgtoepassing]],"_",uitkomst_doelgroep[[#This Row],[Doelgroep]],"_",uitkomst_doelgroep[[#This Row],[Uitgangssituatie/effect beleid]])</f>
        <v>Exoskelet_NVT_Uitgangssituatie</v>
      </c>
      <c r="H1006" s="33">
        <v>2023</v>
      </c>
      <c r="I1006" s="32">
        <v>1</v>
      </c>
      <c r="J1006" s="406" cm="1">
        <f t="array" ref="J1006">INDEX(implementatie[[2023]:[2034]],MATCH(G1006, implementatie[Zoeksleutel],0),I1006)</f>
        <v>0</v>
      </c>
      <c r="K1006" s="406" cm="1">
        <f t="array" ref="K1006">INDEX(implementatie[[2023]:[2034]],MATCH(G1006,implementatie[Zoeksleutel],0),I1006 + 1)</f>
        <v>0</v>
      </c>
      <c r="L100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006" s="398" cm="1">
        <f t="array" ref="M1006">J1006*INDEX(Berekening_impact[Totaal arbeidsbesparing (€/jaar)],MATCH(B1006,IF(Berekening_impact[Doelgroep]=C1006,Berekening_impact[Digitale zorgtoepassing]),0))</f>
        <v>0</v>
      </c>
      <c r="N1006" s="397" cm="1">
        <f t="array" ref="N1006">J1006*INDEX(Berekening_impact[Totaal arbeidsbesparing (FTE/jaar)],MATCH(B1006,IF(Berekening_impact[Doelgroep]=C1006,Berekening_impact[Digitale zorgtoepassing]),0))</f>
        <v>0</v>
      </c>
      <c r="O1006" s="398" cm="1">
        <f t="array" ref="O1006">J1006*INDEX(Berekening_impact[Overige kostenbesparing (totaal/jaar totaal potentieel)],MATCH(B1006,IF(Berekening_impact[Doelgroep]=C1006,Berekening_impact[Digitale zorgtoepassing]),0))</f>
        <v>0</v>
      </c>
      <c r="P1006" s="398" cm="1">
        <f t="array" ref="P1006">J1006*INDEX(Berekening_impact[Opbrengsten door QALY''s],MATCH(B1006,IF(Berekening_impact[Doelgroep]=C1006,Berekening_impact[Digitale zorgtoepassing]),0))</f>
        <v>0</v>
      </c>
      <c r="Q1006" s="398" cm="1">
        <f t="array" ref="Q1006">J1006*INDEX(Berekening_impact[Jaarlijkse kosten (totaal) - incl. schatting],MATCH(B1006,IF(Berekening_impact[Doelgroep]=C1006,Berekening_impact[Digitale zorgtoepassing]),0))</f>
        <v>0</v>
      </c>
      <c r="R1006" s="398" cm="1">
        <f t="array" ref="R1006">(uitkomst_doelgroep[[#This Row],[Implementatiegraad t = T + 1]]-uitkomst_doelgroep[[#This Row],[Implementatiegraad t = T]])*INDEX(Berekening_impact[Initiële investering (totaal) - incl. schatting],MATCH(B1006,IF(Berekening_impact[Doelgroep]=C1006,Berekening_impact[Digitale zorgtoepassing]),0))</f>
        <v>0</v>
      </c>
      <c r="S1006" s="398">
        <f>uitkomst_doelgroep[[#This Row],[Arbeidsbesparing (€)]]*uitkomst_doelgroep[[#This Row],[Percentage van patiëntaantallen in Wlz (overige is Zvw)]]</f>
        <v>0</v>
      </c>
      <c r="T1006" s="398">
        <f>uitkomst_doelgroep[[#This Row],[Overige besparingen (€)]]*uitkomst_doelgroep[[#This Row],[Percentage van patiëntaantallen in Wlz (overige is Zvw)]]</f>
        <v>0</v>
      </c>
      <c r="U1006" s="398">
        <f>uitkomst_doelgroep[[#This Row],[Kosten (€)]]*uitkomst_doelgroep[[#This Row],[Percentage van patiëntaantallen in Wlz (overige is Zvw)]]</f>
        <v>0</v>
      </c>
      <c r="V1006" s="398">
        <f>uitkomst_doelgroep[[#This Row],[Investering (cash flow) (€)]]*uitkomst_doelgroep[[#This Row],[Percentage van patiëntaantallen in Wlz (overige is Zvw)]]</f>
        <v>0</v>
      </c>
    </row>
    <row r="1007" spans="1:22" x14ac:dyDescent="0.5">
      <c r="A1007" s="33" t="str">
        <f>INDEX(Technologieën[Veld],MATCH(B1007,Technologieën[Digitale zorgtoepassing],0))</f>
        <v>Digitale hulpmiddelen - Verpleging</v>
      </c>
      <c r="B1007" s="33" t="s">
        <v>105</v>
      </c>
      <c r="C1007" s="33" t="s">
        <v>106</v>
      </c>
      <c r="D1007" s="427" cm="1">
        <f t="array" ref="D1007">INDEX(Berekening_patiëntaantal[Percentage van patiëntaantallen in Wlz (overige is Zvw)],MATCH(B1007,IF(Berekening_patiëntaantal[Doelgroep (zoeksleutel)]=C1007,Berekening_patiëntaantal[Digitale zorgtoepassing]),0))</f>
        <v>1</v>
      </c>
      <c r="E1007" s="33" t="str" cm="1">
        <f t="array" ref="E1007">INDEX(Berekening_patiëntaantal[Direct toepasbaar/extrapolatie/incidentie voor QALY],MATCH(B1007,IF(Berekening_patiëntaantal[Doelgroep (zoeksleutel)]=C1007,Berekening_patiëntaantal[Digitale zorgtoepassing]),0))</f>
        <v>Huidige toepassing</v>
      </c>
      <c r="F1007" s="33" t="s">
        <v>813</v>
      </c>
      <c r="G1007" s="33" t="str">
        <f>CONCATENATE(uitkomst_doelgroep[[#This Row],[Digitale zorgtoepassing]],"_",uitkomst_doelgroep[[#This Row],[Doelgroep]],"_",uitkomst_doelgroep[[#This Row],[Uitgangssituatie/effect beleid]])</f>
        <v>Exoskelet_NVT_Uitgangssituatie</v>
      </c>
      <c r="H1007" s="33">
        <v>2024</v>
      </c>
      <c r="I1007" s="32">
        <v>2</v>
      </c>
      <c r="J1007" s="406" cm="1">
        <f t="array" ref="J1007">INDEX(implementatie[[2023]:[2034]],MATCH(G1007, implementatie[Zoeksleutel],0),I1007)</f>
        <v>0</v>
      </c>
      <c r="K1007" s="406" cm="1">
        <f t="array" ref="K1007">INDEX(implementatie[[2023]:[2034]],MATCH(G1007,implementatie[Zoeksleutel],0),I1007 + 1)</f>
        <v>0</v>
      </c>
      <c r="L100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007" s="398" cm="1">
        <f t="array" ref="M1007">J1007*INDEX(Berekening_impact[Totaal arbeidsbesparing (€/jaar)],MATCH(B1007,IF(Berekening_impact[Doelgroep]=C1007,Berekening_impact[Digitale zorgtoepassing]),0))</f>
        <v>0</v>
      </c>
      <c r="N1007" s="397" cm="1">
        <f t="array" ref="N1007">J1007*INDEX(Berekening_impact[Totaal arbeidsbesparing (FTE/jaar)],MATCH(B1007,IF(Berekening_impact[Doelgroep]=C1007,Berekening_impact[Digitale zorgtoepassing]),0))</f>
        <v>0</v>
      </c>
      <c r="O1007" s="398" cm="1">
        <f t="array" ref="O1007">J1007*INDEX(Berekening_impact[Overige kostenbesparing (totaal/jaar totaal potentieel)],MATCH(B1007,IF(Berekening_impact[Doelgroep]=C1007,Berekening_impact[Digitale zorgtoepassing]),0))</f>
        <v>0</v>
      </c>
      <c r="P1007" s="398" cm="1">
        <f t="array" ref="P1007">J1007*INDEX(Berekening_impact[Opbrengsten door QALY''s],MATCH(B1007,IF(Berekening_impact[Doelgroep]=C1007,Berekening_impact[Digitale zorgtoepassing]),0))</f>
        <v>0</v>
      </c>
      <c r="Q1007" s="398" cm="1">
        <f t="array" ref="Q1007">J1007*INDEX(Berekening_impact[Jaarlijkse kosten (totaal) - incl. schatting],MATCH(B1007,IF(Berekening_impact[Doelgroep]=C1007,Berekening_impact[Digitale zorgtoepassing]),0))</f>
        <v>0</v>
      </c>
      <c r="R1007" s="398" cm="1">
        <f t="array" ref="R1007">(uitkomst_doelgroep[[#This Row],[Implementatiegraad t = T + 1]]-uitkomst_doelgroep[[#This Row],[Implementatiegraad t = T]])*INDEX(Berekening_impact[Initiële investering (totaal) - incl. schatting],MATCH(B1007,IF(Berekening_impact[Doelgroep]=C1007,Berekening_impact[Digitale zorgtoepassing]),0))</f>
        <v>0</v>
      </c>
      <c r="S1007" s="398">
        <f>uitkomst_doelgroep[[#This Row],[Arbeidsbesparing (€)]]*uitkomst_doelgroep[[#This Row],[Percentage van patiëntaantallen in Wlz (overige is Zvw)]]</f>
        <v>0</v>
      </c>
      <c r="T1007" s="398">
        <f>uitkomst_doelgroep[[#This Row],[Overige besparingen (€)]]*uitkomst_doelgroep[[#This Row],[Percentage van patiëntaantallen in Wlz (overige is Zvw)]]</f>
        <v>0</v>
      </c>
      <c r="U1007" s="398">
        <f>uitkomst_doelgroep[[#This Row],[Kosten (€)]]*uitkomst_doelgroep[[#This Row],[Percentage van patiëntaantallen in Wlz (overige is Zvw)]]</f>
        <v>0</v>
      </c>
      <c r="V1007" s="398">
        <f>uitkomst_doelgroep[[#This Row],[Investering (cash flow) (€)]]*uitkomst_doelgroep[[#This Row],[Percentage van patiëntaantallen in Wlz (overige is Zvw)]]</f>
        <v>0</v>
      </c>
    </row>
    <row r="1008" spans="1:22" ht="17.5" thickBot="1" x14ac:dyDescent="0.55000000000000004">
      <c r="A1008" s="33" t="str">
        <f>INDEX(Technologieën[Veld],MATCH(B1008,Technologieën[Digitale zorgtoepassing],0))</f>
        <v>Digitale hulpmiddelen - Verpleging</v>
      </c>
      <c r="B1008" s="40" t="s">
        <v>105</v>
      </c>
      <c r="C1008" s="40" t="s">
        <v>106</v>
      </c>
      <c r="D1008" s="427" cm="1">
        <f t="array" ref="D1008">INDEX(Berekening_patiëntaantal[Percentage van patiëntaantallen in Wlz (overige is Zvw)],MATCH(B1008,IF(Berekening_patiëntaantal[Doelgroep (zoeksleutel)]=C1008,Berekening_patiëntaantal[Digitale zorgtoepassing]),0))</f>
        <v>1</v>
      </c>
      <c r="E1008" s="33" t="str" cm="1">
        <f t="array" ref="E1008">INDEX(Berekening_patiëntaantal[Direct toepasbaar/extrapolatie/incidentie voor QALY],MATCH(B1008,IF(Berekening_patiëntaantal[Doelgroep (zoeksleutel)]=C1008,Berekening_patiëntaantal[Digitale zorgtoepassing]),0))</f>
        <v>Huidige toepassing</v>
      </c>
      <c r="F1008" s="33" t="s">
        <v>813</v>
      </c>
      <c r="G1008" s="33" t="str">
        <f>CONCATENATE(uitkomst_doelgroep[[#This Row],[Digitale zorgtoepassing]],"_",uitkomst_doelgroep[[#This Row],[Doelgroep]],"_",uitkomst_doelgroep[[#This Row],[Uitgangssituatie/effect beleid]])</f>
        <v>Exoskelet_NVT_Uitgangssituatie</v>
      </c>
      <c r="H1008" s="33">
        <v>2025</v>
      </c>
      <c r="I1008" s="32">
        <v>3</v>
      </c>
      <c r="J1008" s="406" cm="1">
        <f t="array" ref="J1008">INDEX(implementatie[[2023]:[2034]],MATCH(G1008, implementatie[Zoeksleutel],0),I1008)</f>
        <v>0</v>
      </c>
      <c r="K1008" s="406" cm="1">
        <f t="array" ref="K1008">INDEX(implementatie[[2023]:[2034]],MATCH(G1008,implementatie[Zoeksleutel],0),I1008 + 1)</f>
        <v>1.4999999999999999E-2</v>
      </c>
      <c r="L100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008" s="398" cm="1">
        <f t="array" ref="M1008">J1008*INDEX(Berekening_impact[Totaal arbeidsbesparing (€/jaar)],MATCH(B1008,IF(Berekening_impact[Doelgroep]=C1008,Berekening_impact[Digitale zorgtoepassing]),0))</f>
        <v>0</v>
      </c>
      <c r="N1008" s="397" cm="1">
        <f t="array" ref="N1008">J1008*INDEX(Berekening_impact[Totaal arbeidsbesparing (FTE/jaar)],MATCH(B1008,IF(Berekening_impact[Doelgroep]=C1008,Berekening_impact[Digitale zorgtoepassing]),0))</f>
        <v>0</v>
      </c>
      <c r="O1008" s="398" cm="1">
        <f t="array" ref="O1008">J1008*INDEX(Berekening_impact[Overige kostenbesparing (totaal/jaar totaal potentieel)],MATCH(B1008,IF(Berekening_impact[Doelgroep]=C1008,Berekening_impact[Digitale zorgtoepassing]),0))</f>
        <v>0</v>
      </c>
      <c r="P1008" s="398" cm="1">
        <f t="array" ref="P1008">J1008*INDEX(Berekening_impact[Opbrengsten door QALY''s],MATCH(B1008,IF(Berekening_impact[Doelgroep]=C1008,Berekening_impact[Digitale zorgtoepassing]),0))</f>
        <v>0</v>
      </c>
      <c r="Q1008" s="398" cm="1">
        <f t="array" ref="Q1008">J1008*INDEX(Berekening_impact[Jaarlijkse kosten (totaal) - incl. schatting],MATCH(B1008,IF(Berekening_impact[Doelgroep]=C1008,Berekening_impact[Digitale zorgtoepassing]),0))</f>
        <v>0</v>
      </c>
      <c r="R1008" s="398" cm="1">
        <f t="array" ref="R1008">(uitkomst_doelgroep[[#This Row],[Implementatiegraad t = T + 1]]-uitkomst_doelgroep[[#This Row],[Implementatiegraad t = T]])*INDEX(Berekening_impact[Initiële investering (totaal) - incl. schatting],MATCH(B1008,IF(Berekening_impact[Doelgroep]=C1008,Berekening_impact[Digitale zorgtoepassing]),0))</f>
        <v>20853.450000000004</v>
      </c>
      <c r="S1008" s="398">
        <f>uitkomst_doelgroep[[#This Row],[Arbeidsbesparing (€)]]*uitkomst_doelgroep[[#This Row],[Percentage van patiëntaantallen in Wlz (overige is Zvw)]]</f>
        <v>0</v>
      </c>
      <c r="T1008" s="398">
        <f>uitkomst_doelgroep[[#This Row],[Overige besparingen (€)]]*uitkomst_doelgroep[[#This Row],[Percentage van patiëntaantallen in Wlz (overige is Zvw)]]</f>
        <v>0</v>
      </c>
      <c r="U1008" s="398">
        <f>uitkomst_doelgroep[[#This Row],[Kosten (€)]]*uitkomst_doelgroep[[#This Row],[Percentage van patiëntaantallen in Wlz (overige is Zvw)]]</f>
        <v>0</v>
      </c>
      <c r="V1008" s="398">
        <f>uitkomst_doelgroep[[#This Row],[Investering (cash flow) (€)]]*uitkomst_doelgroep[[#This Row],[Percentage van patiëntaantallen in Wlz (overige is Zvw)]]</f>
        <v>20853.450000000004</v>
      </c>
    </row>
    <row r="1009" spans="1:22" x14ac:dyDescent="0.5">
      <c r="A1009" s="33" t="str">
        <f>INDEX(Technologieën[Veld],MATCH(B1009,Technologieën[Digitale zorgtoepassing],0))</f>
        <v>Digitale hulpmiddelen - Verpleging</v>
      </c>
      <c r="B1009" s="33" t="s">
        <v>105</v>
      </c>
      <c r="C1009" s="33" t="s">
        <v>106</v>
      </c>
      <c r="D1009" s="427" cm="1">
        <f t="array" ref="D1009">INDEX(Berekening_patiëntaantal[Percentage van patiëntaantallen in Wlz (overige is Zvw)],MATCH(B1009,IF(Berekening_patiëntaantal[Doelgroep (zoeksleutel)]=C1009,Berekening_patiëntaantal[Digitale zorgtoepassing]),0))</f>
        <v>1</v>
      </c>
      <c r="E1009" s="33" t="str" cm="1">
        <f t="array" ref="E1009">INDEX(Berekening_patiëntaantal[Direct toepasbaar/extrapolatie/incidentie voor QALY],MATCH(B1009,IF(Berekening_patiëntaantal[Doelgroep (zoeksleutel)]=C1009,Berekening_patiëntaantal[Digitale zorgtoepassing]),0))</f>
        <v>Huidige toepassing</v>
      </c>
      <c r="F1009" s="33" t="s">
        <v>813</v>
      </c>
      <c r="G1009" s="33" t="str">
        <f>CONCATENATE(uitkomst_doelgroep[[#This Row],[Digitale zorgtoepassing]],"_",uitkomst_doelgroep[[#This Row],[Doelgroep]],"_",uitkomst_doelgroep[[#This Row],[Uitgangssituatie/effect beleid]])</f>
        <v>Exoskelet_NVT_Uitgangssituatie</v>
      </c>
      <c r="H1009" s="33">
        <v>2026</v>
      </c>
      <c r="I1009" s="32">
        <v>4</v>
      </c>
      <c r="J1009" s="406" cm="1">
        <f t="array" ref="J1009">INDEX(implementatie[[2023]:[2034]],MATCH(G1009, implementatie[Zoeksleutel],0),I1009)</f>
        <v>1.4999999999999999E-2</v>
      </c>
      <c r="K1009" s="406" cm="1">
        <f t="array" ref="K1009">INDEX(implementatie[[2023]:[2034]],MATCH(G1009,implementatie[Zoeksleutel],0),I1009 + 1)</f>
        <v>3.4946249999999998E-2</v>
      </c>
      <c r="L100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4.634100000000001</v>
      </c>
      <c r="M1009" s="398" cm="1">
        <f t="array" ref="M1009">J1009*INDEX(Berekening_impact[Totaal arbeidsbesparing (€/jaar)],MATCH(B1009,IF(Berekening_impact[Doelgroep]=C1009,Berekening_impact[Digitale zorgtoepassing]),0))</f>
        <v>79680.63871129656</v>
      </c>
      <c r="N1009" s="397" cm="1">
        <f t="array" ref="N1009">J1009*INDEX(Berekening_impact[Totaal arbeidsbesparing (FTE/jaar)],MATCH(B1009,IF(Berekening_impact[Doelgroep]=C1009,Berekening_impact[Digitale zorgtoepassing]),0))</f>
        <v>1.3809617999999999</v>
      </c>
      <c r="O1009" s="398" cm="1">
        <f t="array" ref="O1009">J1009*INDEX(Berekening_impact[Overige kostenbesparing (totaal/jaar totaal potentieel)],MATCH(B1009,IF(Berekening_impact[Doelgroep]=C1009,Berekening_impact[Digitale zorgtoepassing]),0))</f>
        <v>0</v>
      </c>
      <c r="P1009" s="398" cm="1">
        <f t="array" ref="P1009">J1009*INDEX(Berekening_impact[Opbrengsten door QALY''s],MATCH(B1009,IF(Berekening_impact[Doelgroep]=C1009,Berekening_impact[Digitale zorgtoepassing]),0))</f>
        <v>0</v>
      </c>
      <c r="Q1009" s="398" cm="1">
        <f t="array" ref="Q1009">J1009*INDEX(Berekening_impact[Jaarlijkse kosten (totaal) - incl. schatting],MATCH(B1009,IF(Berekening_impact[Doelgroep]=C1009,Berekening_impact[Digitale zorgtoepassing]),0))</f>
        <v>0</v>
      </c>
      <c r="R1009" s="398" cm="1">
        <f t="array" ref="R1009">(uitkomst_doelgroep[[#This Row],[Implementatiegraad t = T + 1]]-uitkomst_doelgroep[[#This Row],[Implementatiegraad t = T]])*INDEX(Berekening_impact[Initiële investering (totaal) - incl. schatting],MATCH(B1009,IF(Berekening_impact[Doelgroep]=C1009,Berekening_impact[Digitale zorgtoepassing]),0))</f>
        <v>27729.875137500003</v>
      </c>
      <c r="S1009" s="398">
        <f>uitkomst_doelgroep[[#This Row],[Arbeidsbesparing (€)]]*uitkomst_doelgroep[[#This Row],[Percentage van patiëntaantallen in Wlz (overige is Zvw)]]</f>
        <v>79680.63871129656</v>
      </c>
      <c r="T1009" s="398">
        <f>uitkomst_doelgroep[[#This Row],[Overige besparingen (€)]]*uitkomst_doelgroep[[#This Row],[Percentage van patiëntaantallen in Wlz (overige is Zvw)]]</f>
        <v>0</v>
      </c>
      <c r="U1009" s="398">
        <f>uitkomst_doelgroep[[#This Row],[Kosten (€)]]*uitkomst_doelgroep[[#This Row],[Percentage van patiëntaantallen in Wlz (overige is Zvw)]]</f>
        <v>0</v>
      </c>
      <c r="V1009" s="398">
        <f>uitkomst_doelgroep[[#This Row],[Investering (cash flow) (€)]]*uitkomst_doelgroep[[#This Row],[Percentage van patiëntaantallen in Wlz (overige is Zvw)]]</f>
        <v>27729.875137500003</v>
      </c>
    </row>
    <row r="1010" spans="1:22" x14ac:dyDescent="0.5">
      <c r="A1010" s="33" t="str">
        <f>INDEX(Technologieën[Veld],MATCH(B1010,Technologieën[Digitale zorgtoepassing],0))</f>
        <v>Digitale hulpmiddelen - Verpleging</v>
      </c>
      <c r="B1010" s="33" t="s">
        <v>105</v>
      </c>
      <c r="C1010" s="33" t="s">
        <v>106</v>
      </c>
      <c r="D1010" s="427" cm="1">
        <f t="array" ref="D1010">INDEX(Berekening_patiëntaantal[Percentage van patiëntaantallen in Wlz (overige is Zvw)],MATCH(B1010,IF(Berekening_patiëntaantal[Doelgroep (zoeksleutel)]=C1010,Berekening_patiëntaantal[Digitale zorgtoepassing]),0))</f>
        <v>1</v>
      </c>
      <c r="E1010" s="33" t="str" cm="1">
        <f t="array" ref="E1010">INDEX(Berekening_patiëntaantal[Direct toepasbaar/extrapolatie/incidentie voor QALY],MATCH(B1010,IF(Berekening_patiëntaantal[Doelgroep (zoeksleutel)]=C1010,Berekening_patiëntaantal[Digitale zorgtoepassing]),0))</f>
        <v>Huidige toepassing</v>
      </c>
      <c r="F1010" s="33" t="s">
        <v>813</v>
      </c>
      <c r="G1010" s="33" t="str">
        <f>CONCATENATE(uitkomst_doelgroep[[#This Row],[Digitale zorgtoepassing]],"_",uitkomst_doelgroep[[#This Row],[Doelgroep]],"_",uitkomst_doelgroep[[#This Row],[Uitgangssituatie/effect beleid]])</f>
        <v>Exoskelet_NVT_Uitgangssituatie</v>
      </c>
      <c r="H1010" s="33">
        <v>2027</v>
      </c>
      <c r="I1010" s="32">
        <v>5</v>
      </c>
      <c r="J1010" s="406" cm="1">
        <f t="array" ref="J1010">INDEX(implementatie[[2023]:[2034]],MATCH(G1010, implementatie[Zoeksleutel],0),I1010)</f>
        <v>3.4946249999999998E-2</v>
      </c>
      <c r="K1010" s="406" cm="1">
        <f t="array" ref="K1010">INDEX(implementatie[[2023]:[2034]],MATCH(G1010,implementatie[Zoeksleutel],0),I1010 + 1)</f>
        <v>6.1225809613828119E-2</v>
      </c>
      <c r="L101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10.796294475000002</v>
      </c>
      <c r="M1010" s="398" cm="1">
        <f t="array" ref="M1010">J1010*INDEX(Berekening_impact[Totaal arbeidsbesparing (€/jaar)],MATCH(B1010,IF(Berekening_impact[Doelgroep]=C1010,Berekening_impact[Digitale zorgtoepassing]),0))</f>
        <v>185635.96803764315</v>
      </c>
      <c r="N1010" s="397" cm="1">
        <f t="array" ref="N1010">J1010*INDEX(Berekening_impact[Totaal arbeidsbesparing (FTE/jaar)],MATCH(B1010,IF(Berekening_impact[Doelgroep]=C1010,Berekening_impact[Digitale zorgtoepassing]),0))</f>
        <v>3.2172957535499997</v>
      </c>
      <c r="O1010" s="398" cm="1">
        <f t="array" ref="O1010">J1010*INDEX(Berekening_impact[Overige kostenbesparing (totaal/jaar totaal potentieel)],MATCH(B1010,IF(Berekening_impact[Doelgroep]=C1010,Berekening_impact[Digitale zorgtoepassing]),0))</f>
        <v>0</v>
      </c>
      <c r="P1010" s="398" cm="1">
        <f t="array" ref="P1010">J1010*INDEX(Berekening_impact[Opbrengsten door QALY''s],MATCH(B1010,IF(Berekening_impact[Doelgroep]=C1010,Berekening_impact[Digitale zorgtoepassing]),0))</f>
        <v>0</v>
      </c>
      <c r="Q1010" s="398" cm="1">
        <f t="array" ref="Q1010">J1010*INDEX(Berekening_impact[Jaarlijkse kosten (totaal) - incl. schatting],MATCH(B1010,IF(Berekening_impact[Doelgroep]=C1010,Berekening_impact[Digitale zorgtoepassing]),0))</f>
        <v>0</v>
      </c>
      <c r="R1010" s="398" cm="1">
        <f t="array" ref="R1010">(uitkomst_doelgroep[[#This Row],[Implementatiegraad t = T + 1]]-uitkomst_doelgroep[[#This Row],[Implementatiegraad t = T]])*INDEX(Berekening_impact[Initiële investering (totaal) - incl. schatting],MATCH(B1010,IF(Berekening_impact[Doelgroep]=C1010,Berekening_impact[Digitale zorgtoepassing]),0))</f>
        <v>36534.632161932277</v>
      </c>
      <c r="S1010" s="398">
        <f>uitkomst_doelgroep[[#This Row],[Arbeidsbesparing (€)]]*uitkomst_doelgroep[[#This Row],[Percentage van patiëntaantallen in Wlz (overige is Zvw)]]</f>
        <v>185635.96803764315</v>
      </c>
      <c r="T1010" s="398">
        <f>uitkomst_doelgroep[[#This Row],[Overige besparingen (€)]]*uitkomst_doelgroep[[#This Row],[Percentage van patiëntaantallen in Wlz (overige is Zvw)]]</f>
        <v>0</v>
      </c>
      <c r="U1010" s="398">
        <f>uitkomst_doelgroep[[#This Row],[Kosten (€)]]*uitkomst_doelgroep[[#This Row],[Percentage van patiëntaantallen in Wlz (overige is Zvw)]]</f>
        <v>0</v>
      </c>
      <c r="V1010" s="398">
        <f>uitkomst_doelgroep[[#This Row],[Investering (cash flow) (€)]]*uitkomst_doelgroep[[#This Row],[Percentage van patiëntaantallen in Wlz (overige is Zvw)]]</f>
        <v>36534.632161932277</v>
      </c>
    </row>
    <row r="1011" spans="1:22" x14ac:dyDescent="0.5">
      <c r="A1011" s="33" t="str">
        <f>INDEX(Technologieën[Veld],MATCH(B1011,Technologieën[Digitale zorgtoepassing],0))</f>
        <v>Digitale hulpmiddelen - Verpleging</v>
      </c>
      <c r="B1011" s="33" t="s">
        <v>105</v>
      </c>
      <c r="C1011" s="33" t="s">
        <v>106</v>
      </c>
      <c r="D1011" s="427" cm="1">
        <f t="array" ref="D1011">INDEX(Berekening_patiëntaantal[Percentage van patiëntaantallen in Wlz (overige is Zvw)],MATCH(B1011,IF(Berekening_patiëntaantal[Doelgroep (zoeksleutel)]=C1011,Berekening_patiëntaantal[Digitale zorgtoepassing]),0))</f>
        <v>1</v>
      </c>
      <c r="E1011" s="33" t="str" cm="1">
        <f t="array" ref="E1011">INDEX(Berekening_patiëntaantal[Direct toepasbaar/extrapolatie/incidentie voor QALY],MATCH(B1011,IF(Berekening_patiëntaantal[Doelgroep (zoeksleutel)]=C1011,Berekening_patiëntaantal[Digitale zorgtoepassing]),0))</f>
        <v>Huidige toepassing</v>
      </c>
      <c r="F1011" s="33" t="s">
        <v>813</v>
      </c>
      <c r="G1011" s="33" t="str">
        <f>CONCATENATE(uitkomst_doelgroep[[#This Row],[Digitale zorgtoepassing]],"_",uitkomst_doelgroep[[#This Row],[Doelgroep]],"_",uitkomst_doelgroep[[#This Row],[Uitgangssituatie/effect beleid]])</f>
        <v>Exoskelet_NVT_Uitgangssituatie</v>
      </c>
      <c r="H1011" s="33">
        <v>2028</v>
      </c>
      <c r="I1011" s="32">
        <v>6</v>
      </c>
      <c r="J1011" s="406" cm="1">
        <f t="array" ref="J1011">INDEX(implementatie[[2023]:[2034]],MATCH(G1011, implementatie[Zoeksleutel],0),I1011)</f>
        <v>6.1225809613828119E-2</v>
      </c>
      <c r="K1011" s="406" cm="1">
        <f t="array" ref="K1011">INDEX(implementatie[[2023]:[2034]],MATCH(G1011,implementatie[Zoeksleutel],0),I1011 + 1)</f>
        <v>9.5424445917456496E-2</v>
      </c>
      <c r="L101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18.915101622096063</v>
      </c>
      <c r="M1011" s="398" cm="1">
        <f t="array" ref="M1011">J1011*INDEX(Berekening_impact[Totaal arbeidsbesparing (€/jaar)],MATCH(B1011,IF(Berekening_impact[Doelgroep]=C1011,Berekening_impact[Digitale zorgtoepassing]),0))</f>
        <v>325234.10770973773</v>
      </c>
      <c r="N1011" s="397" cm="1">
        <f t="array" ref="N1011">J1011*INDEX(Berekening_impact[Totaal arbeidsbesparing (FTE/jaar)],MATCH(B1011,IF(Berekening_impact[Doelgroep]=C1011,Berekening_impact[Digitale zorgtoepassing]),0))</f>
        <v>5.6367002833846254</v>
      </c>
      <c r="O1011" s="398" cm="1">
        <f t="array" ref="O1011">J1011*INDEX(Berekening_impact[Overige kostenbesparing (totaal/jaar totaal potentieel)],MATCH(B1011,IF(Berekening_impact[Doelgroep]=C1011,Berekening_impact[Digitale zorgtoepassing]),0))</f>
        <v>0</v>
      </c>
      <c r="P1011" s="398" cm="1">
        <f t="array" ref="P1011">J1011*INDEX(Berekening_impact[Opbrengsten door QALY''s],MATCH(B1011,IF(Berekening_impact[Doelgroep]=C1011,Berekening_impact[Digitale zorgtoepassing]),0))</f>
        <v>0</v>
      </c>
      <c r="Q1011" s="398" cm="1">
        <f t="array" ref="Q1011">J1011*INDEX(Berekening_impact[Jaarlijkse kosten (totaal) - incl. schatting],MATCH(B1011,IF(Berekening_impact[Doelgroep]=C1011,Berekening_impact[Digitale zorgtoepassing]),0))</f>
        <v>0</v>
      </c>
      <c r="R1011" s="398" cm="1">
        <f t="array" ref="R1011">(uitkomst_doelgroep[[#This Row],[Implementatiegraad t = T + 1]]-uitkomst_doelgroep[[#This Row],[Implementatiegraad t = T]])*INDEX(Berekening_impact[Initiële investering (totaal) - incl. schatting],MATCH(B1011,IF(Berekening_impact[Doelgroep]=C1011,Berekening_impact[Digitale zorgtoepassing]),0))</f>
        <v>47543.970148393288</v>
      </c>
      <c r="S1011" s="398">
        <f>uitkomst_doelgroep[[#This Row],[Arbeidsbesparing (€)]]*uitkomst_doelgroep[[#This Row],[Percentage van patiëntaantallen in Wlz (overige is Zvw)]]</f>
        <v>325234.10770973773</v>
      </c>
      <c r="T1011" s="398">
        <f>uitkomst_doelgroep[[#This Row],[Overige besparingen (€)]]*uitkomst_doelgroep[[#This Row],[Percentage van patiëntaantallen in Wlz (overige is Zvw)]]</f>
        <v>0</v>
      </c>
      <c r="U1011" s="398">
        <f>uitkomst_doelgroep[[#This Row],[Kosten (€)]]*uitkomst_doelgroep[[#This Row],[Percentage van patiëntaantallen in Wlz (overige is Zvw)]]</f>
        <v>0</v>
      </c>
      <c r="V1011" s="398">
        <f>uitkomst_doelgroep[[#This Row],[Investering (cash flow) (€)]]*uitkomst_doelgroep[[#This Row],[Percentage van patiëntaantallen in Wlz (overige is Zvw)]]</f>
        <v>47543.970148393288</v>
      </c>
    </row>
    <row r="1012" spans="1:22" x14ac:dyDescent="0.5">
      <c r="A1012" s="33" t="str">
        <f>INDEX(Technologieën[Veld],MATCH(B1012,Technologieën[Digitale zorgtoepassing],0))</f>
        <v>Digitale hulpmiddelen - Verpleging</v>
      </c>
      <c r="B1012" s="33" t="s">
        <v>105</v>
      </c>
      <c r="C1012" s="33" t="s">
        <v>106</v>
      </c>
      <c r="D1012" s="427" cm="1">
        <f t="array" ref="D1012">INDEX(Berekening_patiëntaantal[Percentage van patiëntaantallen in Wlz (overige is Zvw)],MATCH(B1012,IF(Berekening_patiëntaantal[Doelgroep (zoeksleutel)]=C1012,Berekening_patiëntaantal[Digitale zorgtoepassing]),0))</f>
        <v>1</v>
      </c>
      <c r="E1012" s="33" t="str" cm="1">
        <f t="array" ref="E1012">INDEX(Berekening_patiëntaantal[Direct toepasbaar/extrapolatie/incidentie voor QALY],MATCH(B1012,IF(Berekening_patiëntaantal[Doelgroep (zoeksleutel)]=C1012,Berekening_patiëntaantal[Digitale zorgtoepassing]),0))</f>
        <v>Huidige toepassing</v>
      </c>
      <c r="F1012" s="33" t="s">
        <v>813</v>
      </c>
      <c r="G1012" s="33" t="str">
        <f>CONCATENATE(uitkomst_doelgroep[[#This Row],[Digitale zorgtoepassing]],"_",uitkomst_doelgroep[[#This Row],[Doelgroep]],"_",uitkomst_doelgroep[[#This Row],[Uitgangssituatie/effect beleid]])</f>
        <v>Exoskelet_NVT_Uitgangssituatie</v>
      </c>
      <c r="H1012" s="33">
        <v>2029</v>
      </c>
      <c r="I1012" s="32">
        <v>7</v>
      </c>
      <c r="J1012" s="406" cm="1">
        <f t="array" ref="J1012">INDEX(implementatie[[2023]:[2034]],MATCH(G1012, implementatie[Zoeksleutel],0),I1012)</f>
        <v>9.5424445917456496E-2</v>
      </c>
      <c r="K1012" s="406" cm="1">
        <f t="array" ref="K1012">INDEX(implementatie[[2023]:[2034]],MATCH(G1012,implementatie[Zoeksleutel],0),I1012 + 1)</f>
        <v>0.13920459659227569</v>
      </c>
      <c r="L101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29.480428321739016</v>
      </c>
      <c r="M1012" s="398" cm="1">
        <f t="array" ref="M1012">J1012*INDEX(Berekening_impact[Totaal arbeidsbesparing (€/jaar)],MATCH(B1012,IF(Berekening_impact[Doelgroep]=C1012,Berekening_impact[Digitale zorgtoepassing]),0))</f>
        <v>506898.71995830059</v>
      </c>
      <c r="N1012" s="397" cm="1">
        <f t="array" ref="N1012">J1012*INDEX(Berekening_impact[Totaal arbeidsbesparing (FTE/jaar)],MATCH(B1012,IF(Berekening_impact[Doelgroep]=C1012,Berekening_impact[Digitale zorgtoepassing]),0))</f>
        <v>8.7851676398782246</v>
      </c>
      <c r="O1012" s="398" cm="1">
        <f t="array" ref="O1012">J1012*INDEX(Berekening_impact[Overige kostenbesparing (totaal/jaar totaal potentieel)],MATCH(B1012,IF(Berekening_impact[Doelgroep]=C1012,Berekening_impact[Digitale zorgtoepassing]),0))</f>
        <v>0</v>
      </c>
      <c r="P1012" s="398" cm="1">
        <f t="array" ref="P1012">J1012*INDEX(Berekening_impact[Opbrengsten door QALY''s],MATCH(B1012,IF(Berekening_impact[Doelgroep]=C1012,Berekening_impact[Digitale zorgtoepassing]),0))</f>
        <v>0</v>
      </c>
      <c r="Q1012" s="398" cm="1">
        <f t="array" ref="Q1012">J1012*INDEX(Berekening_impact[Jaarlijkse kosten (totaal) - incl. schatting],MATCH(B1012,IF(Berekening_impact[Doelgroep]=C1012,Berekening_impact[Digitale zorgtoepassing]),0))</f>
        <v>0</v>
      </c>
      <c r="R1012" s="398" cm="1">
        <f t="array" ref="R1012">(uitkomst_doelgroep[[#This Row],[Implementatiegraad t = T + 1]]-uitkomst_doelgroep[[#This Row],[Implementatiegraad t = T]])*INDEX(Berekening_impact[Initiële investering (totaal) - incl. schatting],MATCH(B1012,IF(Berekening_impact[Doelgroep]=C1012,Berekening_impact[Digitale zorgtoepassing]),0))</f>
        <v>60864.47887265389</v>
      </c>
      <c r="S1012" s="398">
        <f>uitkomst_doelgroep[[#This Row],[Arbeidsbesparing (€)]]*uitkomst_doelgroep[[#This Row],[Percentage van patiëntaantallen in Wlz (overige is Zvw)]]</f>
        <v>506898.71995830059</v>
      </c>
      <c r="T1012" s="398">
        <f>uitkomst_doelgroep[[#This Row],[Overige besparingen (€)]]*uitkomst_doelgroep[[#This Row],[Percentage van patiëntaantallen in Wlz (overige is Zvw)]]</f>
        <v>0</v>
      </c>
      <c r="U1012" s="398">
        <f>uitkomst_doelgroep[[#This Row],[Kosten (€)]]*uitkomst_doelgroep[[#This Row],[Percentage van patiëntaantallen in Wlz (overige is Zvw)]]</f>
        <v>0</v>
      </c>
      <c r="V1012" s="398">
        <f>uitkomst_doelgroep[[#This Row],[Investering (cash flow) (€)]]*uitkomst_doelgroep[[#This Row],[Percentage van patiëntaantallen in Wlz (overige is Zvw)]]</f>
        <v>60864.47887265389</v>
      </c>
    </row>
    <row r="1013" spans="1:22" x14ac:dyDescent="0.5">
      <c r="A1013" s="33" t="str">
        <f>INDEX(Technologieën[Veld],MATCH(B1013,Technologieën[Digitale zorgtoepassing],0))</f>
        <v>Digitale hulpmiddelen - Verpleging</v>
      </c>
      <c r="B1013" s="33" t="s">
        <v>105</v>
      </c>
      <c r="C1013" s="33" t="s">
        <v>106</v>
      </c>
      <c r="D1013" s="427" cm="1">
        <f t="array" ref="D1013">INDEX(Berekening_patiëntaantal[Percentage van patiëntaantallen in Wlz (overige is Zvw)],MATCH(B1013,IF(Berekening_patiëntaantal[Doelgroep (zoeksleutel)]=C1013,Berekening_patiëntaantal[Digitale zorgtoepassing]),0))</f>
        <v>1</v>
      </c>
      <c r="E1013" s="33" t="str" cm="1">
        <f t="array" ref="E1013">INDEX(Berekening_patiëntaantal[Direct toepasbaar/extrapolatie/incidentie voor QALY],MATCH(B1013,IF(Berekening_patiëntaantal[Doelgroep (zoeksleutel)]=C1013,Berekening_patiëntaantal[Digitale zorgtoepassing]),0))</f>
        <v>Huidige toepassing</v>
      </c>
      <c r="F1013" s="33" t="s">
        <v>813</v>
      </c>
      <c r="G1013" s="33" t="str">
        <f>CONCATENATE(uitkomst_doelgroep[[#This Row],[Digitale zorgtoepassing]],"_",uitkomst_doelgroep[[#This Row],[Doelgroep]],"_",uitkomst_doelgroep[[#This Row],[Uitgangssituatie/effect beleid]])</f>
        <v>Exoskelet_NVT_Uitgangssituatie</v>
      </c>
      <c r="H1013" s="33">
        <v>2030</v>
      </c>
      <c r="I1013" s="32">
        <v>8</v>
      </c>
      <c r="J1013" s="406" cm="1">
        <f t="array" ref="J1013">INDEX(implementatie[[2023]:[2034]],MATCH(G1013, implementatie[Zoeksleutel],0),I1013)</f>
        <v>0.13920459659227569</v>
      </c>
      <c r="K1013" s="406" cm="1">
        <f t="array" ref="K1013">INDEX(implementatie[[2023]:[2034]],MATCH(G1013,implementatie[Zoeksleutel],0),I1013 + 1)</f>
        <v>0.19405586455134166</v>
      </c>
      <c r="L101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43.005868071217655</v>
      </c>
      <c r="M1013" s="398" cm="1">
        <f t="array" ref="M1013">J1013*INDEX(Berekening_impact[Totaal arbeidsbesparing (€/jaar)],MATCH(B1013,IF(Berekening_impact[Doelgroep]=C1013,Berekening_impact[Digitale zorgtoepassing]),0))</f>
        <v>739460.74453472684</v>
      </c>
      <c r="N1013" s="397" cm="1">
        <f t="array" ref="N1013">J1013*INDEX(Berekening_impact[Totaal arbeidsbesparing (FTE/jaar)],MATCH(B1013,IF(Berekening_impact[Doelgroep]=C1013,Berekening_impact[Digitale zorgtoepassing]),0))</f>
        <v>12.815748685222861</v>
      </c>
      <c r="O1013" s="398" cm="1">
        <f t="array" ref="O1013">J1013*INDEX(Berekening_impact[Overige kostenbesparing (totaal/jaar totaal potentieel)],MATCH(B1013,IF(Berekening_impact[Doelgroep]=C1013,Berekening_impact[Digitale zorgtoepassing]),0))</f>
        <v>0</v>
      </c>
      <c r="P1013" s="398" cm="1">
        <f t="array" ref="P1013">J1013*INDEX(Berekening_impact[Opbrengsten door QALY''s],MATCH(B1013,IF(Berekening_impact[Doelgroep]=C1013,Berekening_impact[Digitale zorgtoepassing]),0))</f>
        <v>0</v>
      </c>
      <c r="Q1013" s="398" cm="1">
        <f t="array" ref="Q1013">J1013*INDEX(Berekening_impact[Jaarlijkse kosten (totaal) - incl. schatting],MATCH(B1013,IF(Berekening_impact[Doelgroep]=C1013,Berekening_impact[Digitale zorgtoepassing]),0))</f>
        <v>0</v>
      </c>
      <c r="R1013" s="398" cm="1">
        <f t="array" ref="R1013">(uitkomst_doelgroep[[#This Row],[Implementatiegraad t = T + 1]]-uitkomst_doelgroep[[#This Row],[Implementatiegraad t = T]])*INDEX(Berekening_impact[Initiële investering (totaal) - incl. schatting],MATCH(B1013,IF(Berekening_impact[Doelgroep]=C1013,Berekening_impact[Digitale zorgtoepassing]),0))</f>
        <v>76255.878254732306</v>
      </c>
      <c r="S1013" s="398">
        <f>uitkomst_doelgroep[[#This Row],[Arbeidsbesparing (€)]]*uitkomst_doelgroep[[#This Row],[Percentage van patiëntaantallen in Wlz (overige is Zvw)]]</f>
        <v>739460.74453472684</v>
      </c>
      <c r="T1013" s="398">
        <f>uitkomst_doelgroep[[#This Row],[Overige besparingen (€)]]*uitkomst_doelgroep[[#This Row],[Percentage van patiëntaantallen in Wlz (overige is Zvw)]]</f>
        <v>0</v>
      </c>
      <c r="U1013" s="398">
        <f>uitkomst_doelgroep[[#This Row],[Kosten (€)]]*uitkomst_doelgroep[[#This Row],[Percentage van patiëntaantallen in Wlz (overige is Zvw)]]</f>
        <v>0</v>
      </c>
      <c r="V1013" s="398">
        <f>uitkomst_doelgroep[[#This Row],[Investering (cash flow) (€)]]*uitkomst_doelgroep[[#This Row],[Percentage van patiëntaantallen in Wlz (overige is Zvw)]]</f>
        <v>76255.878254732306</v>
      </c>
    </row>
    <row r="1014" spans="1:22" x14ac:dyDescent="0.5">
      <c r="A1014" s="33" t="str">
        <f>INDEX(Technologieën[Veld],MATCH(B1014,Technologieën[Digitale zorgtoepassing],0))</f>
        <v>Digitale hulpmiddelen - Verpleging</v>
      </c>
      <c r="B1014" s="33" t="s">
        <v>105</v>
      </c>
      <c r="C1014" s="33" t="s">
        <v>106</v>
      </c>
      <c r="D1014" s="427" cm="1">
        <f t="array" ref="D1014">INDEX(Berekening_patiëntaantal[Percentage van patiëntaantallen in Wlz (overige is Zvw)],MATCH(B1014,IF(Berekening_patiëntaantal[Doelgroep (zoeksleutel)]=C1014,Berekening_patiëntaantal[Digitale zorgtoepassing]),0))</f>
        <v>1</v>
      </c>
      <c r="E1014" s="33" t="str" cm="1">
        <f t="array" ref="E1014">INDEX(Berekening_patiëntaantal[Direct toepasbaar/extrapolatie/incidentie voor QALY],MATCH(B1014,IF(Berekening_patiëntaantal[Doelgroep (zoeksleutel)]=C1014,Berekening_patiëntaantal[Digitale zorgtoepassing]),0))</f>
        <v>Huidige toepassing</v>
      </c>
      <c r="F1014" s="33" t="s">
        <v>813</v>
      </c>
      <c r="G1014" s="33" t="str">
        <f>CONCATENATE(uitkomst_doelgroep[[#This Row],[Digitale zorgtoepassing]],"_",uitkomst_doelgroep[[#This Row],[Doelgroep]],"_",uitkomst_doelgroep[[#This Row],[Uitgangssituatie/effect beleid]])</f>
        <v>Exoskelet_NVT_Uitgangssituatie</v>
      </c>
      <c r="H1014" s="33">
        <v>2031</v>
      </c>
      <c r="I1014" s="32">
        <v>9</v>
      </c>
      <c r="J1014" s="406" cm="1">
        <f t="array" ref="J1014">INDEX(implementatie[[2023]:[2034]],MATCH(G1014, implementatie[Zoeksleutel],0),I1014)</f>
        <v>0.19405586455134166</v>
      </c>
      <c r="K1014" s="406" cm="1">
        <f t="array" ref="K1014">INDEX(implementatie[[2023]:[2034]],MATCH(G1014,implementatie[Zoeksleutel],0),I1014 + 1)</f>
        <v>0.26088439167767208</v>
      </c>
      <c r="L101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59.951618794491502</v>
      </c>
      <c r="M1014" s="398" cm="1">
        <f t="array" ref="M1014">J1014*INDEX(Berekening_impact[Totaal arbeidsbesparing (€/jaar)],MATCH(B1014,IF(Berekening_impact[Doelgroep]=C1014,Berekening_impact[Digitale zorgtoepassing]),0))</f>
        <v>1030833.0155415838</v>
      </c>
      <c r="N1014" s="397" cm="1">
        <f t="array" ref="N1014">J1014*INDEX(Berekening_impact[Totaal arbeidsbesparing (FTE/jaar)],MATCH(B1014,IF(Berekening_impact[Doelgroep]=C1014,Berekening_impact[Digitale zorgtoepassing]),0))</f>
        <v>17.865582400758466</v>
      </c>
      <c r="O1014" s="398" cm="1">
        <f t="array" ref="O1014">J1014*INDEX(Berekening_impact[Overige kostenbesparing (totaal/jaar totaal potentieel)],MATCH(B1014,IF(Berekening_impact[Doelgroep]=C1014,Berekening_impact[Digitale zorgtoepassing]),0))</f>
        <v>0</v>
      </c>
      <c r="P1014" s="398" cm="1">
        <f t="array" ref="P1014">J1014*INDEX(Berekening_impact[Opbrengsten door QALY''s],MATCH(B1014,IF(Berekening_impact[Doelgroep]=C1014,Berekening_impact[Digitale zorgtoepassing]),0))</f>
        <v>0</v>
      </c>
      <c r="Q1014" s="398" cm="1">
        <f t="array" ref="Q1014">J1014*INDEX(Berekening_impact[Jaarlijkse kosten (totaal) - incl. schatting],MATCH(B1014,IF(Berekening_impact[Doelgroep]=C1014,Berekening_impact[Digitale zorgtoepassing]),0))</f>
        <v>0</v>
      </c>
      <c r="R1014" s="398" cm="1">
        <f t="array" ref="R1014">(uitkomst_doelgroep[[#This Row],[Implementatiegraad t = T + 1]]-uitkomst_doelgroep[[#This Row],[Implementatiegraad t = T]])*INDEX(Berekening_impact[Initiële investering (totaal) - incl. schatting],MATCH(B1014,IF(Berekening_impact[Doelgroep]=C1014,Berekening_impact[Digitale zorgtoepassing]),0))</f>
        <v>92907.023266838354</v>
      </c>
      <c r="S1014" s="398">
        <f>uitkomst_doelgroep[[#This Row],[Arbeidsbesparing (€)]]*uitkomst_doelgroep[[#This Row],[Percentage van patiëntaantallen in Wlz (overige is Zvw)]]</f>
        <v>1030833.0155415838</v>
      </c>
      <c r="T1014" s="398">
        <f>uitkomst_doelgroep[[#This Row],[Overige besparingen (€)]]*uitkomst_doelgroep[[#This Row],[Percentage van patiëntaantallen in Wlz (overige is Zvw)]]</f>
        <v>0</v>
      </c>
      <c r="U1014" s="398">
        <f>uitkomst_doelgroep[[#This Row],[Kosten (€)]]*uitkomst_doelgroep[[#This Row],[Percentage van patiëntaantallen in Wlz (overige is Zvw)]]</f>
        <v>0</v>
      </c>
      <c r="V1014" s="398">
        <f>uitkomst_doelgroep[[#This Row],[Investering (cash flow) (€)]]*uitkomst_doelgroep[[#This Row],[Percentage van patiëntaantallen in Wlz (overige is Zvw)]]</f>
        <v>92907.023266838354</v>
      </c>
    </row>
    <row r="1015" spans="1:22" x14ac:dyDescent="0.5">
      <c r="A1015" s="33" t="str">
        <f>INDEX(Technologieën[Veld],MATCH(B1015,Technologieën[Digitale zorgtoepassing],0))</f>
        <v>Digitale hulpmiddelen - Verpleging</v>
      </c>
      <c r="B1015" s="33" t="s">
        <v>105</v>
      </c>
      <c r="C1015" s="33" t="s">
        <v>106</v>
      </c>
      <c r="D1015" s="427" cm="1">
        <f t="array" ref="D1015">INDEX(Berekening_patiëntaantal[Percentage van patiëntaantallen in Wlz (overige is Zvw)],MATCH(B1015,IF(Berekening_patiëntaantal[Doelgroep (zoeksleutel)]=C1015,Berekening_patiëntaantal[Digitale zorgtoepassing]),0))</f>
        <v>1</v>
      </c>
      <c r="E1015" s="33" t="str" cm="1">
        <f t="array" ref="E1015">INDEX(Berekening_patiëntaantal[Direct toepasbaar/extrapolatie/incidentie voor QALY],MATCH(B1015,IF(Berekening_patiëntaantal[Doelgroep (zoeksleutel)]=C1015,Berekening_patiëntaantal[Digitale zorgtoepassing]),0))</f>
        <v>Huidige toepassing</v>
      </c>
      <c r="F1015" s="33" t="s">
        <v>813</v>
      </c>
      <c r="G1015" s="33" t="str">
        <f>CONCATENATE(uitkomst_doelgroep[[#This Row],[Digitale zorgtoepassing]],"_",uitkomst_doelgroep[[#This Row],[Doelgroep]],"_",uitkomst_doelgroep[[#This Row],[Uitgangssituatie/effect beleid]])</f>
        <v>Exoskelet_NVT_Uitgangssituatie</v>
      </c>
      <c r="H1015" s="33">
        <v>2032</v>
      </c>
      <c r="I1015" s="32">
        <v>10</v>
      </c>
      <c r="J1015" s="406" cm="1">
        <f t="array" ref="J1015">INDEX(implementatie[[2023]:[2034]],MATCH(G1015, implementatie[Zoeksleutel],0),I1015)</f>
        <v>0.26088439167767208</v>
      </c>
      <c r="K1015" s="406" cm="1">
        <f t="array" ref="K1015">INDEX(implementatie[[2023]:[2034]],MATCH(G1015,implementatie[Zoeksleutel],0),I1015 + 1)</f>
        <v>0.33945942985233207</v>
      </c>
      <c r="L101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80.597623964900023</v>
      </c>
      <c r="M1015" s="398" cm="1">
        <f t="array" ref="M1015">J1015*INDEX(Berekening_impact[Totaal arbeidsbesparing (€/jaar)],MATCH(B1015,IF(Berekening_impact[Doelgroep]=C1015,Berekening_impact[Digitale zorgtoepassing]),0))</f>
        <v>1385828.9972456647</v>
      </c>
      <c r="N1015" s="397" cm="1">
        <f t="array" ref="N1015">J1015*INDEX(Berekening_impact[Totaal arbeidsbesparing (FTE/jaar)],MATCH(B1015,IF(Berekening_impact[Doelgroep]=C1015,Berekening_impact[Digitale zorgtoepassing]),0))</f>
        <v>24.018091941540206</v>
      </c>
      <c r="O1015" s="398" cm="1">
        <f t="array" ref="O1015">J1015*INDEX(Berekening_impact[Overige kostenbesparing (totaal/jaar totaal potentieel)],MATCH(B1015,IF(Berekening_impact[Doelgroep]=C1015,Berekening_impact[Digitale zorgtoepassing]),0))</f>
        <v>0</v>
      </c>
      <c r="P1015" s="398" cm="1">
        <f t="array" ref="P1015">J1015*INDEX(Berekening_impact[Opbrengsten door QALY''s],MATCH(B1015,IF(Berekening_impact[Doelgroep]=C1015,Berekening_impact[Digitale zorgtoepassing]),0))</f>
        <v>0</v>
      </c>
      <c r="Q1015" s="398" cm="1">
        <f t="array" ref="Q1015">J1015*INDEX(Berekening_impact[Jaarlijkse kosten (totaal) - incl. schatting],MATCH(B1015,IF(Berekening_impact[Doelgroep]=C1015,Berekening_impact[Digitale zorgtoepassing]),0))</f>
        <v>0</v>
      </c>
      <c r="R1015" s="398" cm="1">
        <f t="array" ref="R1015">(uitkomst_doelgroep[[#This Row],[Implementatiegraad t = T + 1]]-uitkomst_doelgroep[[#This Row],[Implementatiegraad t = T]])*INDEX(Berekening_impact[Initiële investering (totaal) - incl. schatting],MATCH(B1015,IF(Berekening_impact[Doelgroep]=C1015,Berekening_impact[Digitale zorgtoepassing]),0))</f>
        <v>109237.37532155759</v>
      </c>
      <c r="S1015" s="398">
        <f>uitkomst_doelgroep[[#This Row],[Arbeidsbesparing (€)]]*uitkomst_doelgroep[[#This Row],[Percentage van patiëntaantallen in Wlz (overige is Zvw)]]</f>
        <v>1385828.9972456647</v>
      </c>
      <c r="T1015" s="398">
        <f>uitkomst_doelgroep[[#This Row],[Overige besparingen (€)]]*uitkomst_doelgroep[[#This Row],[Percentage van patiëntaantallen in Wlz (overige is Zvw)]]</f>
        <v>0</v>
      </c>
      <c r="U1015" s="398">
        <f>uitkomst_doelgroep[[#This Row],[Kosten (€)]]*uitkomst_doelgroep[[#This Row],[Percentage van patiëntaantallen in Wlz (overige is Zvw)]]</f>
        <v>0</v>
      </c>
      <c r="V1015" s="398">
        <f>uitkomst_doelgroep[[#This Row],[Investering (cash flow) (€)]]*uitkomst_doelgroep[[#This Row],[Percentage van patiëntaantallen in Wlz (overige is Zvw)]]</f>
        <v>109237.37532155759</v>
      </c>
    </row>
    <row r="1016" spans="1:22" x14ac:dyDescent="0.5">
      <c r="A1016" s="33" t="str">
        <f>INDEX(Technologieën[Veld],MATCH(B1016,Technologieën[Digitale zorgtoepassing],0))</f>
        <v>Digitale hulpmiddelen - Verpleging</v>
      </c>
      <c r="B1016" s="33" t="s">
        <v>105</v>
      </c>
      <c r="C1016" s="33" t="s">
        <v>106</v>
      </c>
      <c r="D1016" s="427" cm="1">
        <f t="array" ref="D1016">INDEX(Berekening_patiëntaantal[Percentage van patiëntaantallen in Wlz (overige is Zvw)],MATCH(B1016,IF(Berekening_patiëntaantal[Doelgroep (zoeksleutel)]=C1016,Berekening_patiëntaantal[Digitale zorgtoepassing]),0))</f>
        <v>1</v>
      </c>
      <c r="E1016" s="33" t="str" cm="1">
        <f t="array" ref="E1016">INDEX(Berekening_patiëntaantal[Direct toepasbaar/extrapolatie/incidentie voor QALY],MATCH(B1016,IF(Berekening_patiëntaantal[Doelgroep (zoeksleutel)]=C1016,Berekening_patiëntaantal[Digitale zorgtoepassing]),0))</f>
        <v>Huidige toepassing</v>
      </c>
      <c r="F1016" s="33" t="s">
        <v>813</v>
      </c>
      <c r="G1016" s="33" t="str">
        <f>CONCATENATE(uitkomst_doelgroep[[#This Row],[Digitale zorgtoepassing]],"_",uitkomst_doelgroep[[#This Row],[Doelgroep]],"_",uitkomst_doelgroep[[#This Row],[Uitgangssituatie/effect beleid]])</f>
        <v>Exoskelet_NVT_Uitgangssituatie</v>
      </c>
      <c r="H1016" s="33">
        <v>2033</v>
      </c>
      <c r="I1016" s="32">
        <v>11</v>
      </c>
      <c r="J1016" s="406" cm="1">
        <f t="array" ref="J1016">INDEX(implementatie[[2023]:[2034]],MATCH(G1016, implementatie[Zoeksleutel],0),I1016)</f>
        <v>0.33945942985233207</v>
      </c>
      <c r="K1016" s="406" cm="1">
        <f t="array" ref="K1016">INDEX(implementatie[[2023]:[2034]],MATCH(G1016,implementatie[Zoeksleutel],0),I1016 + 1)</f>
        <v>0.42784689227237871</v>
      </c>
      <c r="L101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104.87259625857949</v>
      </c>
      <c r="M1016" s="398" cm="1">
        <f t="array" ref="M1016">J1016*INDEX(Berekening_impact[Totaal arbeidsbesparing (€/jaar)],MATCH(B1016,IF(Berekening_impact[Doelgroep]=C1016,Berekening_impact[Digitale zorgtoepassing]),0))</f>
        <v>1803222.9458137592</v>
      </c>
      <c r="N1016" s="397" cm="1">
        <f t="array" ref="N1016">J1016*INDEX(Berekening_impact[Totaal arbeidsbesparing (FTE/jaar)],MATCH(B1016,IF(Berekening_impact[Doelgroep]=C1016,Berekening_impact[Digitale zorgtoepassing]),0))</f>
        <v>31.252033685056684</v>
      </c>
      <c r="O1016" s="398" cm="1">
        <f t="array" ref="O1016">J1016*INDEX(Berekening_impact[Overige kostenbesparing (totaal/jaar totaal potentieel)],MATCH(B1016,IF(Berekening_impact[Doelgroep]=C1016,Berekening_impact[Digitale zorgtoepassing]),0))</f>
        <v>0</v>
      </c>
      <c r="P1016" s="398" cm="1">
        <f t="array" ref="P1016">J1016*INDEX(Berekening_impact[Opbrengsten door QALY''s],MATCH(B1016,IF(Berekening_impact[Doelgroep]=C1016,Berekening_impact[Digitale zorgtoepassing]),0))</f>
        <v>0</v>
      </c>
      <c r="Q1016" s="398" cm="1">
        <f t="array" ref="Q1016">J1016*INDEX(Berekening_impact[Jaarlijkse kosten (totaal) - incl. schatting],MATCH(B1016,IF(Berekening_impact[Doelgroep]=C1016,Berekening_impact[Digitale zorgtoepassing]),0))</f>
        <v>0</v>
      </c>
      <c r="R1016" s="398" cm="1">
        <f t="array" ref="R1016">(uitkomst_doelgroep[[#This Row],[Implementatiegraad t = T + 1]]-uitkomst_doelgroep[[#This Row],[Implementatiegraad t = T]])*INDEX(Berekening_impact[Initiële investering (totaal) - incl. schatting],MATCH(B1016,IF(Berekening_impact[Doelgroep]=C1016,Berekening_impact[Digitale zorgtoepassing]),0))</f>
        <v>122878.90188022146</v>
      </c>
      <c r="S1016" s="398">
        <f>uitkomst_doelgroep[[#This Row],[Arbeidsbesparing (€)]]*uitkomst_doelgroep[[#This Row],[Percentage van patiëntaantallen in Wlz (overige is Zvw)]]</f>
        <v>1803222.9458137592</v>
      </c>
      <c r="T1016" s="398">
        <f>uitkomst_doelgroep[[#This Row],[Overige besparingen (€)]]*uitkomst_doelgroep[[#This Row],[Percentage van patiëntaantallen in Wlz (overige is Zvw)]]</f>
        <v>0</v>
      </c>
      <c r="U1016" s="398">
        <f>uitkomst_doelgroep[[#This Row],[Kosten (€)]]*uitkomst_doelgroep[[#This Row],[Percentage van patiëntaantallen in Wlz (overige is Zvw)]]</f>
        <v>0</v>
      </c>
      <c r="V1016" s="398">
        <f>uitkomst_doelgroep[[#This Row],[Investering (cash flow) (€)]]*uitkomst_doelgroep[[#This Row],[Percentage van patiëntaantallen in Wlz (overige is Zvw)]]</f>
        <v>122878.90188022146</v>
      </c>
    </row>
    <row r="1017" spans="1:22" x14ac:dyDescent="0.5">
      <c r="A1017" s="33" t="str">
        <f>INDEX(Technologieën[Veld],MATCH(B1017,Technologieën[Digitale zorgtoepassing],0))</f>
        <v>Digitale hulpmiddelen - Verpleging</v>
      </c>
      <c r="B1017" s="33" t="s">
        <v>32</v>
      </c>
      <c r="C1017" s="33" t="s">
        <v>33</v>
      </c>
      <c r="D1017" s="427" cm="1">
        <f t="array" ref="D1017">INDEX(Berekening_patiëntaantal[Percentage van patiëntaantallen in Wlz (overige is Zvw)],MATCH(B1017,IF(Berekening_patiëntaantal[Doelgroep (zoeksleutel)]=C1017,Berekening_patiëntaantal[Digitale zorgtoepassing]),0))</f>
        <v>1</v>
      </c>
      <c r="E1017" s="33" t="str" cm="1">
        <f t="array" ref="E1017">INDEX(Berekening_patiëntaantal[Direct toepasbaar/extrapolatie/incidentie voor QALY],MATCH(B1017,IF(Berekening_patiëntaantal[Doelgroep (zoeksleutel)]=C1017,Berekening_patiëntaantal[Digitale zorgtoepassing]),0))</f>
        <v>Huidige toepassing</v>
      </c>
      <c r="F1017" s="33" t="s">
        <v>813</v>
      </c>
      <c r="G1017" s="33" t="str">
        <f>CONCATENATE(uitkomst_doelgroep[[#This Row],[Digitale zorgtoepassing]],"_",uitkomst_doelgroep[[#This Row],[Doelgroep]],"_",uitkomst_doelgroep[[#This Row],[Uitgangssituatie/effect beleid]])</f>
        <v>Heupairbag_Ouderen in verpleeghuis_Uitgangssituatie</v>
      </c>
      <c r="H1017" s="33">
        <v>2023</v>
      </c>
      <c r="I1017" s="32">
        <v>1</v>
      </c>
      <c r="J1017" s="406" cm="1">
        <f t="array" ref="J1017">INDEX(implementatie[[2023]:[2034]],MATCH(G1017, implementatie[Zoeksleutel],0),I1017)</f>
        <v>0.4</v>
      </c>
      <c r="K1017" s="406" cm="1">
        <f t="array" ref="K1017">INDEX(implementatie[[2023]:[2034]],MATCH(G1017,implementatie[Zoeksleutel],0),I1017 + 1)</f>
        <v>0.50800000000000001</v>
      </c>
      <c r="L101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3680</v>
      </c>
      <c r="M1017" s="398" cm="1">
        <f t="array" ref="M1017">J1017*INDEX(Berekening_impact[Totaal arbeidsbesparing (€/jaar)],MATCH(B1017,IF(Berekening_impact[Doelgroep]=C1017,Berekening_impact[Digitale zorgtoepassing]),0))</f>
        <v>9364390.1219485495</v>
      </c>
      <c r="N1017" s="397" cm="1">
        <f t="array" ref="N1017">J1017*INDEX(Berekening_impact[Totaal arbeidsbesparing (FTE/jaar)],MATCH(B1017,IF(Berekening_impact[Doelgroep]=C1017,Berekening_impact[Digitale zorgtoepassing]),0))</f>
        <v>220.57673642767901</v>
      </c>
      <c r="O1017" s="398" cm="1">
        <f t="array" ref="O1017">J1017*INDEX(Berekening_impact[Overige kostenbesparing (totaal/jaar totaal potentieel)],MATCH(B1017,IF(Berekening_impact[Doelgroep]=C1017,Berekening_impact[Digitale zorgtoepassing]),0))</f>
        <v>3268752.2535267882</v>
      </c>
      <c r="P1017" s="398" cm="1">
        <f t="array" ref="P1017">J1017*INDEX(Berekening_impact[Opbrengsten door QALY''s],MATCH(B1017,IF(Berekening_impact[Doelgroep]=C1017,Berekening_impact[Digitale zorgtoepassing]),0))</f>
        <v>0</v>
      </c>
      <c r="Q1017" s="398" cm="1">
        <f t="array" ref="Q1017">J1017*INDEX(Berekening_impact[Jaarlijkse kosten (totaal) - incl. schatting],MATCH(B1017,IF(Berekening_impact[Doelgroep]=C1017,Berekening_impact[Digitale zorgtoepassing]),0))</f>
        <v>5256056.3809523806</v>
      </c>
      <c r="R1017" s="398" cm="1">
        <f t="array" ref="R1017">(uitkomst_doelgroep[[#This Row],[Implementatiegraad t = T + 1]]-uitkomst_doelgroep[[#This Row],[Implementatiegraad t = T]])*INDEX(Berekening_impact[Initiële investering (totaal) - incl. schatting],MATCH(B1017,IF(Berekening_impact[Doelgroep]=C1017,Berekening_impact[Digitale zorgtoepassing]),0))</f>
        <v>239150.84571428565</v>
      </c>
      <c r="S1017" s="398">
        <f>uitkomst_doelgroep[[#This Row],[Arbeidsbesparing (€)]]*uitkomst_doelgroep[[#This Row],[Percentage van patiëntaantallen in Wlz (overige is Zvw)]]</f>
        <v>9364390.1219485495</v>
      </c>
      <c r="T1017" s="398">
        <f>uitkomst_doelgroep[[#This Row],[Overige besparingen (€)]]*uitkomst_doelgroep[[#This Row],[Percentage van patiëntaantallen in Wlz (overige is Zvw)]]</f>
        <v>3268752.2535267882</v>
      </c>
      <c r="U1017" s="398">
        <f>uitkomst_doelgroep[[#This Row],[Kosten (€)]]*uitkomst_doelgroep[[#This Row],[Percentage van patiëntaantallen in Wlz (overige is Zvw)]]</f>
        <v>5256056.3809523806</v>
      </c>
      <c r="V1017" s="398">
        <f>uitkomst_doelgroep[[#This Row],[Investering (cash flow) (€)]]*uitkomst_doelgroep[[#This Row],[Percentage van patiëntaantallen in Wlz (overige is Zvw)]]</f>
        <v>239150.84571428565</v>
      </c>
    </row>
    <row r="1018" spans="1:22" x14ac:dyDescent="0.5">
      <c r="A1018" s="33" t="str">
        <f>INDEX(Technologieën[Veld],MATCH(B1018,Technologieën[Digitale zorgtoepassing],0))</f>
        <v>Digitale hulpmiddelen - Verpleging</v>
      </c>
      <c r="B1018" s="33" t="s">
        <v>32</v>
      </c>
      <c r="C1018" s="33" t="s">
        <v>33</v>
      </c>
      <c r="D1018" s="427" cm="1">
        <f t="array" ref="D1018">INDEX(Berekening_patiëntaantal[Percentage van patiëntaantallen in Wlz (overige is Zvw)],MATCH(B1018,IF(Berekening_patiëntaantal[Doelgroep (zoeksleutel)]=C1018,Berekening_patiëntaantal[Digitale zorgtoepassing]),0))</f>
        <v>1</v>
      </c>
      <c r="E1018" s="33" t="str" cm="1">
        <f t="array" ref="E1018">INDEX(Berekening_patiëntaantal[Direct toepasbaar/extrapolatie/incidentie voor QALY],MATCH(B1018,IF(Berekening_patiëntaantal[Doelgroep (zoeksleutel)]=C1018,Berekening_patiëntaantal[Digitale zorgtoepassing]),0))</f>
        <v>Huidige toepassing</v>
      </c>
      <c r="F1018" s="33" t="s">
        <v>813</v>
      </c>
      <c r="G1018" s="33" t="str">
        <f>CONCATENATE(uitkomst_doelgroep[[#This Row],[Digitale zorgtoepassing]],"_",uitkomst_doelgroep[[#This Row],[Doelgroep]],"_",uitkomst_doelgroep[[#This Row],[Uitgangssituatie/effect beleid]])</f>
        <v>Heupairbag_Ouderen in verpleeghuis_Uitgangssituatie</v>
      </c>
      <c r="H1018" s="33">
        <v>2024</v>
      </c>
      <c r="I1018" s="32">
        <v>2</v>
      </c>
      <c r="J1018" s="406" cm="1">
        <f t="array" ref="J1018">INDEX(implementatie[[2023]:[2034]],MATCH(G1018, implementatie[Zoeksleutel],0),I1018)</f>
        <v>0.50800000000000001</v>
      </c>
      <c r="K1018" s="406" cm="1">
        <f t="array" ref="K1018">INDEX(implementatie[[2023]:[2034]],MATCH(G1018,implementatie[Zoeksleutel],0),I1018 + 1)</f>
        <v>0.61781439999999999</v>
      </c>
      <c r="L101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4673.6000000000004</v>
      </c>
      <c r="M1018" s="398" cm="1">
        <f t="array" ref="M1018">J1018*INDEX(Berekening_impact[Totaal arbeidsbesparing (€/jaar)],MATCH(B1018,IF(Berekening_impact[Doelgroep]=C1018,Berekening_impact[Digitale zorgtoepassing]),0))</f>
        <v>11892775.454874657</v>
      </c>
      <c r="N1018" s="397" cm="1">
        <f t="array" ref="N1018">J1018*INDEX(Berekening_impact[Totaal arbeidsbesparing (FTE/jaar)],MATCH(B1018,IF(Berekening_impact[Doelgroep]=C1018,Berekening_impact[Digitale zorgtoepassing]),0))</f>
        <v>280.13245526315234</v>
      </c>
      <c r="O1018" s="398" cm="1">
        <f t="array" ref="O1018">J1018*INDEX(Berekening_impact[Overige kostenbesparing (totaal/jaar totaal potentieel)],MATCH(B1018,IF(Berekening_impact[Doelgroep]=C1018,Berekening_impact[Digitale zorgtoepassing]),0))</f>
        <v>4151315.3619790212</v>
      </c>
      <c r="P1018" s="398" cm="1">
        <f t="array" ref="P1018">J1018*INDEX(Berekening_impact[Opbrengsten door QALY''s],MATCH(B1018,IF(Berekening_impact[Doelgroep]=C1018,Berekening_impact[Digitale zorgtoepassing]),0))</f>
        <v>0</v>
      </c>
      <c r="Q1018" s="398" cm="1">
        <f t="array" ref="Q1018">J1018*INDEX(Berekening_impact[Jaarlijkse kosten (totaal) - incl. schatting],MATCH(B1018,IF(Berekening_impact[Doelgroep]=C1018,Berekening_impact[Digitale zorgtoepassing]),0))</f>
        <v>6675191.6038095234</v>
      </c>
      <c r="R1018" s="398" cm="1">
        <f t="array" ref="R1018">(uitkomst_doelgroep[[#This Row],[Implementatiegraad t = T + 1]]-uitkomst_doelgroep[[#This Row],[Implementatiegraad t = T]])*INDEX(Berekening_impact[Initiële investering (totaal) - incl. schatting],MATCH(B1018,IF(Berekening_impact[Doelgroep]=C1018,Berekening_impact[Digitale zorgtoepassing]),0))</f>
        <v>243168.57992228566</v>
      </c>
      <c r="S1018" s="398">
        <f>uitkomst_doelgroep[[#This Row],[Arbeidsbesparing (€)]]*uitkomst_doelgroep[[#This Row],[Percentage van patiëntaantallen in Wlz (overige is Zvw)]]</f>
        <v>11892775.454874657</v>
      </c>
      <c r="T1018" s="398">
        <f>uitkomst_doelgroep[[#This Row],[Overige besparingen (€)]]*uitkomst_doelgroep[[#This Row],[Percentage van patiëntaantallen in Wlz (overige is Zvw)]]</f>
        <v>4151315.3619790212</v>
      </c>
      <c r="U1018" s="398">
        <f>uitkomst_doelgroep[[#This Row],[Kosten (€)]]*uitkomst_doelgroep[[#This Row],[Percentage van patiëntaantallen in Wlz (overige is Zvw)]]</f>
        <v>6675191.6038095234</v>
      </c>
      <c r="V1018" s="398">
        <f>uitkomst_doelgroep[[#This Row],[Investering (cash flow) (€)]]*uitkomst_doelgroep[[#This Row],[Percentage van patiëntaantallen in Wlz (overige is Zvw)]]</f>
        <v>243168.57992228566</v>
      </c>
    </row>
    <row r="1019" spans="1:22" x14ac:dyDescent="0.5">
      <c r="A1019" s="33" t="str">
        <f>INDEX(Technologieën[Veld],MATCH(B1019,Technologieën[Digitale zorgtoepassing],0))</f>
        <v>Digitale hulpmiddelen - Verpleging</v>
      </c>
      <c r="B1019" s="33" t="s">
        <v>32</v>
      </c>
      <c r="C1019" s="33" t="s">
        <v>33</v>
      </c>
      <c r="D1019" s="427" cm="1">
        <f t="array" ref="D1019">INDEX(Berekening_patiëntaantal[Percentage van patiëntaantallen in Wlz (overige is Zvw)],MATCH(B1019,IF(Berekening_patiëntaantal[Doelgroep (zoeksleutel)]=C1019,Berekening_patiëntaantal[Digitale zorgtoepassing]),0))</f>
        <v>1</v>
      </c>
      <c r="E1019" s="33" t="str" cm="1">
        <f t="array" ref="E1019">INDEX(Berekening_patiëntaantal[Direct toepasbaar/extrapolatie/incidentie voor QALY],MATCH(B1019,IF(Berekening_patiëntaantal[Doelgroep (zoeksleutel)]=C1019,Berekening_patiëntaantal[Digitale zorgtoepassing]),0))</f>
        <v>Huidige toepassing</v>
      </c>
      <c r="F1019" s="33" t="s">
        <v>813</v>
      </c>
      <c r="G1019" s="33" t="str">
        <f>CONCATENATE(uitkomst_doelgroep[[#This Row],[Digitale zorgtoepassing]],"_",uitkomst_doelgroep[[#This Row],[Doelgroep]],"_",uitkomst_doelgroep[[#This Row],[Uitgangssituatie/effect beleid]])</f>
        <v>Heupairbag_Ouderen in verpleeghuis_Uitgangssituatie</v>
      </c>
      <c r="H1019" s="33">
        <v>2025</v>
      </c>
      <c r="I1019" s="32">
        <v>3</v>
      </c>
      <c r="J1019" s="406" cm="1">
        <f t="array" ref="J1019">INDEX(implementatie[[2023]:[2034]],MATCH(G1019, implementatie[Zoeksleutel],0),I1019)</f>
        <v>0.61781439999999999</v>
      </c>
      <c r="K1019" s="406" cm="1">
        <f t="array" ref="K1019">INDEX(implementatie[[2023]:[2034]],MATCH(G1019,implementatie[Zoeksleutel],0),I1019 + 1)</f>
        <v>0.71990601886105599</v>
      </c>
      <c r="L101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5683.8924799999995</v>
      </c>
      <c r="M1019" s="398" cm="1">
        <f t="array" ref="M1019">J1019*INDEX(Berekening_impact[Totaal arbeidsbesparing (€/jaar)],MATCH(B1019,IF(Berekening_impact[Doelgroep]=C1019,Berekening_impact[Digitale zorgtoepassing]),0))</f>
        <v>14463637.661393924</v>
      </c>
      <c r="N1019" s="397" cm="1">
        <f t="array" ref="N1019">J1019*INDEX(Berekening_impact[Totaal arbeidsbesparing (FTE/jaar)],MATCH(B1019,IF(Berekening_impact[Doelgroep]=C1019,Berekening_impact[Digitale zorgtoepassing]),0))</f>
        <v>340.6887101750616</v>
      </c>
      <c r="O1019" s="398" cm="1">
        <f t="array" ref="O1019">J1019*INDEX(Berekening_impact[Overige kostenbesparing (totaal/jaar totaal potentieel)],MATCH(B1019,IF(Berekening_impact[Doelgroep]=C1019,Berekening_impact[Digitale zorgtoepassing]),0))</f>
        <v>5048705.5306532513</v>
      </c>
      <c r="P1019" s="398" cm="1">
        <f t="array" ref="P1019">J1019*INDEX(Berekening_impact[Opbrengsten door QALY''s],MATCH(B1019,IF(Berekening_impact[Doelgroep]=C1019,Berekening_impact[Digitale zorgtoepassing]),0))</f>
        <v>0</v>
      </c>
      <c r="Q1019" s="398" cm="1">
        <f t="array" ref="Q1019">J1019*INDEX(Berekening_impact[Jaarlijkse kosten (totaal) - incl. schatting],MATCH(B1019,IF(Berekening_impact[Doelgroep]=C1019,Berekening_impact[Digitale zorgtoepassing]),0))</f>
        <v>8118168.2984106662</v>
      </c>
      <c r="R1019" s="398" cm="1">
        <f t="array" ref="R1019">(uitkomst_doelgroep[[#This Row],[Implementatiegraad t = T + 1]]-uitkomst_doelgroep[[#This Row],[Implementatiegraad t = T]])*INDEX(Berekening_impact[Initiële investering (totaal) - incl. schatting],MATCH(B1019,IF(Berekening_impact[Doelgroep]=C1019,Berekening_impact[Digitale zorgtoepassing]),0))</f>
        <v>226067.5647311302</v>
      </c>
      <c r="S1019" s="398">
        <f>uitkomst_doelgroep[[#This Row],[Arbeidsbesparing (€)]]*uitkomst_doelgroep[[#This Row],[Percentage van patiëntaantallen in Wlz (overige is Zvw)]]</f>
        <v>14463637.661393924</v>
      </c>
      <c r="T1019" s="398">
        <f>uitkomst_doelgroep[[#This Row],[Overige besparingen (€)]]*uitkomst_doelgroep[[#This Row],[Percentage van patiëntaantallen in Wlz (overige is Zvw)]]</f>
        <v>5048705.5306532513</v>
      </c>
      <c r="U1019" s="398">
        <f>uitkomst_doelgroep[[#This Row],[Kosten (€)]]*uitkomst_doelgroep[[#This Row],[Percentage van patiëntaantallen in Wlz (overige is Zvw)]]</f>
        <v>8118168.2984106662</v>
      </c>
      <c r="V1019" s="398">
        <f>uitkomst_doelgroep[[#This Row],[Investering (cash flow) (€)]]*uitkomst_doelgroep[[#This Row],[Percentage van patiëntaantallen in Wlz (overige is Zvw)]]</f>
        <v>226067.5647311302</v>
      </c>
    </row>
    <row r="1020" spans="1:22" x14ac:dyDescent="0.5">
      <c r="A1020" s="33" t="str">
        <f>INDEX(Technologieën[Veld],MATCH(B1020,Technologieën[Digitale zorgtoepassing],0))</f>
        <v>Digitale hulpmiddelen - Verpleging</v>
      </c>
      <c r="B1020" s="33" t="s">
        <v>32</v>
      </c>
      <c r="C1020" s="33" t="s">
        <v>33</v>
      </c>
      <c r="D1020" s="427" cm="1">
        <f t="array" ref="D1020">INDEX(Berekening_patiëntaantal[Percentage van patiëntaantallen in Wlz (overige is Zvw)],MATCH(B1020,IF(Berekening_patiëntaantal[Doelgroep (zoeksleutel)]=C1020,Berekening_patiëntaantal[Digitale zorgtoepassing]),0))</f>
        <v>1</v>
      </c>
      <c r="E1020" s="33" t="str" cm="1">
        <f t="array" ref="E1020">INDEX(Berekening_patiëntaantal[Direct toepasbaar/extrapolatie/incidentie voor QALY],MATCH(B1020,IF(Berekening_patiëntaantal[Doelgroep (zoeksleutel)]=C1020,Berekening_patiëntaantal[Digitale zorgtoepassing]),0))</f>
        <v>Huidige toepassing</v>
      </c>
      <c r="F1020" s="33" t="s">
        <v>813</v>
      </c>
      <c r="G1020" s="33" t="str">
        <f>CONCATENATE(uitkomst_doelgroep[[#This Row],[Digitale zorgtoepassing]],"_",uitkomst_doelgroep[[#This Row],[Doelgroep]],"_",uitkomst_doelgroep[[#This Row],[Uitgangssituatie/effect beleid]])</f>
        <v>Heupairbag_Ouderen in verpleeghuis_Uitgangssituatie</v>
      </c>
      <c r="H1020" s="33">
        <v>2026</v>
      </c>
      <c r="I1020" s="32">
        <v>4</v>
      </c>
      <c r="J1020" s="406" cm="1">
        <f t="array" ref="J1020">INDEX(implementatie[[2023]:[2034]],MATCH(G1020, implementatie[Zoeksleutel],0),I1020)</f>
        <v>0.71990601886105599</v>
      </c>
      <c r="K1020" s="406" cm="1">
        <f t="array" ref="K1020">INDEX(implementatie[[2023]:[2034]],MATCH(G1020,implementatie[Zoeksleutel],0),I1020 + 1)</f>
        <v>0.80616443563130724</v>
      </c>
      <c r="L102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6623.1353735217153</v>
      </c>
      <c r="M1020" s="398" cm="1">
        <f t="array" ref="M1020">J1020*INDEX(Berekening_impact[Totaal arbeidsbesparing (€/jaar)],MATCH(B1020,IF(Berekening_impact[Doelgroep]=C1020,Berekening_impact[Digitale zorgtoepassing]),0))</f>
        <v>16853702.029384445</v>
      </c>
      <c r="N1020" s="397" cm="1">
        <f t="array" ref="N1020">J1020*INDEX(Berekening_impact[Totaal arbeidsbesparing (FTE/jaar)],MATCH(B1020,IF(Berekening_impact[Doelgroep]=C1020,Berekening_impact[Digitale zorgtoepassing]),0))</f>
        <v>396.98630043753712</v>
      </c>
      <c r="O1020" s="398" cm="1">
        <f t="array" ref="O1020">J1020*INDEX(Berekening_impact[Overige kostenbesparing (totaal/jaar totaal potentieel)],MATCH(B1020,IF(Berekening_impact[Doelgroep]=C1020,Berekening_impact[Digitale zorgtoepassing]),0))</f>
        <v>5882986.0536989383</v>
      </c>
      <c r="P1020" s="398" cm="1">
        <f t="array" ref="P1020">J1020*INDEX(Berekening_impact[Opbrengsten door QALY''s],MATCH(B1020,IF(Berekening_impact[Doelgroep]=C1020,Berekening_impact[Digitale zorgtoepassing]),0))</f>
        <v>0</v>
      </c>
      <c r="Q1020" s="398" cm="1">
        <f t="array" ref="Q1020">J1020*INDEX(Berekening_impact[Jaarlijkse kosten (totaal) - incl. schatting],MATCH(B1020,IF(Berekening_impact[Doelgroep]=C1020,Berekening_impact[Digitale zorgtoepassing]),0))</f>
        <v>9459666.560301695</v>
      </c>
      <c r="R1020" s="398" cm="1">
        <f t="array" ref="R1020">(uitkomst_doelgroep[[#This Row],[Implementatiegraad t = T + 1]]-uitkomst_doelgroep[[#This Row],[Implementatiegraad t = T]])*INDEX(Berekening_impact[Initiële investering (totaal) - incl. schatting],MATCH(B1020,IF(Berekening_impact[Doelgroep]=C1020,Berekening_impact[Digitale zorgtoepassing]),0))</f>
        <v>191007.1603757492</v>
      </c>
      <c r="S1020" s="398">
        <f>uitkomst_doelgroep[[#This Row],[Arbeidsbesparing (€)]]*uitkomst_doelgroep[[#This Row],[Percentage van patiëntaantallen in Wlz (overige is Zvw)]]</f>
        <v>16853702.029384445</v>
      </c>
      <c r="T1020" s="398">
        <f>uitkomst_doelgroep[[#This Row],[Overige besparingen (€)]]*uitkomst_doelgroep[[#This Row],[Percentage van patiëntaantallen in Wlz (overige is Zvw)]]</f>
        <v>5882986.0536989383</v>
      </c>
      <c r="U1020" s="398">
        <f>uitkomst_doelgroep[[#This Row],[Kosten (€)]]*uitkomst_doelgroep[[#This Row],[Percentage van patiëntaantallen in Wlz (overige is Zvw)]]</f>
        <v>9459666.560301695</v>
      </c>
      <c r="V1020" s="398">
        <f>uitkomst_doelgroep[[#This Row],[Investering (cash flow) (€)]]*uitkomst_doelgroep[[#This Row],[Percentage van patiëntaantallen in Wlz (overige is Zvw)]]</f>
        <v>191007.1603757492</v>
      </c>
    </row>
    <row r="1021" spans="1:22" x14ac:dyDescent="0.5">
      <c r="A1021" s="33" t="str">
        <f>INDEX(Technologieën[Veld],MATCH(B1021,Technologieën[Digitale zorgtoepassing],0))</f>
        <v>Digitale hulpmiddelen - Verpleging</v>
      </c>
      <c r="B1021" s="33" t="s">
        <v>32</v>
      </c>
      <c r="C1021" s="33" t="s">
        <v>33</v>
      </c>
      <c r="D1021" s="427" cm="1">
        <f t="array" ref="D1021">INDEX(Berekening_patiëntaantal[Percentage van patiëntaantallen in Wlz (overige is Zvw)],MATCH(B1021,IF(Berekening_patiëntaantal[Doelgroep (zoeksleutel)]=C1021,Berekening_patiëntaantal[Digitale zorgtoepassing]),0))</f>
        <v>1</v>
      </c>
      <c r="E1021" s="33" t="str" cm="1">
        <f t="array" ref="E1021">INDEX(Berekening_patiëntaantal[Direct toepasbaar/extrapolatie/incidentie voor QALY],MATCH(B1021,IF(Berekening_patiëntaantal[Doelgroep (zoeksleutel)]=C1021,Berekening_patiëntaantal[Digitale zorgtoepassing]),0))</f>
        <v>Huidige toepassing</v>
      </c>
      <c r="F1021" s="33" t="s">
        <v>813</v>
      </c>
      <c r="G1021" s="33" t="str">
        <f>CONCATENATE(uitkomst_doelgroep[[#This Row],[Digitale zorgtoepassing]],"_",uitkomst_doelgroep[[#This Row],[Doelgroep]],"_",uitkomst_doelgroep[[#This Row],[Uitgangssituatie/effect beleid]])</f>
        <v>Heupairbag_Ouderen in verpleeghuis_Uitgangssituatie</v>
      </c>
      <c r="H1021" s="33">
        <v>2027</v>
      </c>
      <c r="I1021" s="32">
        <v>5</v>
      </c>
      <c r="J1021" s="406" cm="1">
        <f t="array" ref="J1021">INDEX(implementatie[[2023]:[2034]],MATCH(G1021, implementatie[Zoeksleutel],0),I1021)</f>
        <v>0.80616443563130724</v>
      </c>
      <c r="K1021" s="406" cm="1">
        <f t="array" ref="K1021">INDEX(implementatie[[2023]:[2034]],MATCH(G1021,implementatie[Zoeksleutel],0),I1021 + 1)</f>
        <v>0.87254648226050635</v>
      </c>
      <c r="L102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7416.7128078080268</v>
      </c>
      <c r="M1021" s="398" cm="1">
        <f t="array" ref="M1021">J1021*INDEX(Berekening_impact[Totaal arbeidsbesparing (€/jaar)],MATCH(B1021,IF(Berekening_impact[Doelgroep]=C1021,Berekening_impact[Digitale zorgtoepassing]),0))</f>
        <v>18873095.694230102</v>
      </c>
      <c r="N1021" s="397" cm="1">
        <f t="array" ref="N1021">J1021*INDEX(Berekening_impact[Totaal arbeidsbesparing (FTE/jaar)],MATCH(B1021,IF(Berekening_impact[Doelgroep]=C1021,Berekening_impact[Digitale zorgtoepassing]),0))</f>
        <v>444.55280058903861</v>
      </c>
      <c r="O1021" s="398" cm="1">
        <f t="array" ref="O1021">J1021*INDEX(Berekening_impact[Overige kostenbesparing (totaal/jaar totaal potentieel)],MATCH(B1021,IF(Berekening_impact[Doelgroep]=C1021,Berekening_impact[Digitale zorgtoepassing]),0))</f>
        <v>6587879.5392074678</v>
      </c>
      <c r="P1021" s="398" cm="1">
        <f t="array" ref="P1021">J1021*INDEX(Berekening_impact[Opbrengsten door QALY''s],MATCH(B1021,IF(Berekening_impact[Doelgroep]=C1021,Berekening_impact[Digitale zorgtoepassing]),0))</f>
        <v>0</v>
      </c>
      <c r="Q1021" s="398" cm="1">
        <f t="array" ref="Q1021">J1021*INDEX(Berekening_impact[Jaarlijkse kosten (totaal) - incl. schatting],MATCH(B1021,IF(Berekening_impact[Doelgroep]=C1021,Berekening_impact[Digitale zorgtoepassing]),0))</f>
        <v>10593114.314992018</v>
      </c>
      <c r="R1021" s="398" cm="1">
        <f t="array" ref="R1021">(uitkomst_doelgroep[[#This Row],[Implementatiegraad t = T + 1]]-uitkomst_doelgroep[[#This Row],[Implementatiegraad t = T]])*INDEX(Berekening_impact[Initiële investering (totaal) - incl. schatting],MATCH(B1021,IF(Berekening_impact[Doelgroep]=C1021,Berekening_impact[Digitale zorgtoepassing]),0))</f>
        <v>146993.72770016774</v>
      </c>
      <c r="S1021" s="398">
        <f>uitkomst_doelgroep[[#This Row],[Arbeidsbesparing (€)]]*uitkomst_doelgroep[[#This Row],[Percentage van patiëntaantallen in Wlz (overige is Zvw)]]</f>
        <v>18873095.694230102</v>
      </c>
      <c r="T1021" s="398">
        <f>uitkomst_doelgroep[[#This Row],[Overige besparingen (€)]]*uitkomst_doelgroep[[#This Row],[Percentage van patiëntaantallen in Wlz (overige is Zvw)]]</f>
        <v>6587879.5392074678</v>
      </c>
      <c r="U1021" s="398">
        <f>uitkomst_doelgroep[[#This Row],[Kosten (€)]]*uitkomst_doelgroep[[#This Row],[Percentage van patiëntaantallen in Wlz (overige is Zvw)]]</f>
        <v>10593114.314992018</v>
      </c>
      <c r="V1021" s="398">
        <f>uitkomst_doelgroep[[#This Row],[Investering (cash flow) (€)]]*uitkomst_doelgroep[[#This Row],[Percentage van patiëntaantallen in Wlz (overige is Zvw)]]</f>
        <v>146993.72770016774</v>
      </c>
    </row>
    <row r="1022" spans="1:22" x14ac:dyDescent="0.5">
      <c r="A1022" s="33" t="str">
        <f>INDEX(Technologieën[Veld],MATCH(B1022,Technologieën[Digitale zorgtoepassing],0))</f>
        <v>Digitale hulpmiddelen - Verpleging</v>
      </c>
      <c r="B1022" s="33" t="s">
        <v>32</v>
      </c>
      <c r="C1022" s="33" t="s">
        <v>33</v>
      </c>
      <c r="D1022" s="427" cm="1">
        <f t="array" ref="D1022">INDEX(Berekening_patiëntaantal[Percentage van patiëntaantallen in Wlz (overige is Zvw)],MATCH(B1022,IF(Berekening_patiëntaantal[Doelgroep (zoeksleutel)]=C1022,Berekening_patiëntaantal[Digitale zorgtoepassing]),0))</f>
        <v>1</v>
      </c>
      <c r="E1022" s="33" t="str" cm="1">
        <f t="array" ref="E1022">INDEX(Berekening_patiëntaantal[Direct toepasbaar/extrapolatie/incidentie voor QALY],MATCH(B1022,IF(Berekening_patiëntaantal[Doelgroep (zoeksleutel)]=C1022,Berekening_patiëntaantal[Digitale zorgtoepassing]),0))</f>
        <v>Huidige toepassing</v>
      </c>
      <c r="F1022" s="33" t="s">
        <v>813</v>
      </c>
      <c r="G1022" s="33" t="str">
        <f>CONCATENATE(uitkomst_doelgroep[[#This Row],[Digitale zorgtoepassing]],"_",uitkomst_doelgroep[[#This Row],[Doelgroep]],"_",uitkomst_doelgroep[[#This Row],[Uitgangssituatie/effect beleid]])</f>
        <v>Heupairbag_Ouderen in verpleeghuis_Uitgangssituatie</v>
      </c>
      <c r="H1022" s="33">
        <v>2028</v>
      </c>
      <c r="I1022" s="32">
        <v>6</v>
      </c>
      <c r="J1022" s="406" cm="1">
        <f t="array" ref="J1022">INDEX(implementatie[[2023]:[2034]],MATCH(G1022, implementatie[Zoeksleutel],0),I1022)</f>
        <v>0.87254648226050635</v>
      </c>
      <c r="K1022" s="406" cm="1">
        <f t="array" ref="K1022">INDEX(implementatie[[2023]:[2034]],MATCH(G1022,implementatie[Zoeksleutel],0),I1022 + 1)</f>
        <v>0.9195792000374251</v>
      </c>
      <c r="L102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8027.4276367966586</v>
      </c>
      <c r="M1022" s="398" cm="1">
        <f t="array" ref="M1022">J1022*INDEX(Berekening_impact[Totaal arbeidsbesparing (€/jaar)],MATCH(B1022,IF(Berekening_impact[Doelgroep]=C1022,Berekening_impact[Digitale zorgtoepassing]),0))</f>
        <v>20427164.148553103</v>
      </c>
      <c r="N1022" s="397" cm="1">
        <f t="array" ref="N1022">J1022*INDEX(Berekening_impact[Totaal arbeidsbesparing (FTE/jaar)],MATCH(B1022,IF(Berekening_impact[Doelgroep]=C1022,Berekening_impact[Digitale zorgtoepassing]),0))</f>
        <v>481.15863859618548</v>
      </c>
      <c r="O1022" s="398" cm="1">
        <f t="array" ref="O1022">J1022*INDEX(Berekening_impact[Overige kostenbesparing (totaal/jaar totaal potentieel)],MATCH(B1022,IF(Berekening_impact[Doelgroep]=C1022,Berekening_impact[Digitale zorgtoepassing]),0))</f>
        <v>7130345.7004897548</v>
      </c>
      <c r="P1022" s="398" cm="1">
        <f t="array" ref="P1022">J1022*INDEX(Berekening_impact[Opbrengsten door QALY''s],MATCH(B1022,IF(Berekening_impact[Doelgroep]=C1022,Berekening_impact[Digitale zorgtoepassing]),0))</f>
        <v>0</v>
      </c>
      <c r="Q1022" s="398" cm="1">
        <f t="array" ref="Q1022">J1022*INDEX(Berekening_impact[Jaarlijkse kosten (totaal) - incl. schatting],MATCH(B1022,IF(Berekening_impact[Doelgroep]=C1022,Berekening_impact[Digitale zorgtoepassing]),0))</f>
        <v>11465383.764407219</v>
      </c>
      <c r="R1022" s="398" cm="1">
        <f t="array" ref="R1022">(uitkomst_doelgroep[[#This Row],[Implementatiegraad t = T + 1]]-uitkomst_doelgroep[[#This Row],[Implementatiegraad t = T]])*INDEX(Berekening_impact[Initiële investering (totaal) - incl. schatting],MATCH(B1022,IF(Berekening_impact[Doelgroep]=C1022,Berekening_impact[Digitale zorgtoepassing]),0))</f>
        <v>104147.35400547629</v>
      </c>
      <c r="S1022" s="398">
        <f>uitkomst_doelgroep[[#This Row],[Arbeidsbesparing (€)]]*uitkomst_doelgroep[[#This Row],[Percentage van patiëntaantallen in Wlz (overige is Zvw)]]</f>
        <v>20427164.148553103</v>
      </c>
      <c r="T1022" s="398">
        <f>uitkomst_doelgroep[[#This Row],[Overige besparingen (€)]]*uitkomst_doelgroep[[#This Row],[Percentage van patiëntaantallen in Wlz (overige is Zvw)]]</f>
        <v>7130345.7004897548</v>
      </c>
      <c r="U1022" s="398">
        <f>uitkomst_doelgroep[[#This Row],[Kosten (€)]]*uitkomst_doelgroep[[#This Row],[Percentage van patiëntaantallen in Wlz (overige is Zvw)]]</f>
        <v>11465383.764407219</v>
      </c>
      <c r="V1022" s="398">
        <f>uitkomst_doelgroep[[#This Row],[Investering (cash flow) (€)]]*uitkomst_doelgroep[[#This Row],[Percentage van patiëntaantallen in Wlz (overige is Zvw)]]</f>
        <v>104147.35400547629</v>
      </c>
    </row>
    <row r="1023" spans="1:22" x14ac:dyDescent="0.5">
      <c r="A1023" s="33" t="str">
        <f>INDEX(Technologieën[Veld],MATCH(B1023,Technologieën[Digitale zorgtoepassing],0))</f>
        <v>Digitale hulpmiddelen - Verpleging</v>
      </c>
      <c r="B1023" s="33" t="s">
        <v>32</v>
      </c>
      <c r="C1023" s="33" t="s">
        <v>33</v>
      </c>
      <c r="D1023" s="427" cm="1">
        <f t="array" ref="D1023">INDEX(Berekening_patiëntaantal[Percentage van patiëntaantallen in Wlz (overige is Zvw)],MATCH(B1023,IF(Berekening_patiëntaantal[Doelgroep (zoeksleutel)]=C1023,Berekening_patiëntaantal[Digitale zorgtoepassing]),0))</f>
        <v>1</v>
      </c>
      <c r="E1023" s="33" t="str" cm="1">
        <f t="array" ref="E1023">INDEX(Berekening_patiëntaantal[Direct toepasbaar/extrapolatie/incidentie voor QALY],MATCH(B1023,IF(Berekening_patiëntaantal[Doelgroep (zoeksleutel)]=C1023,Berekening_patiëntaantal[Digitale zorgtoepassing]),0))</f>
        <v>Huidige toepassing</v>
      </c>
      <c r="F1023" s="33" t="s">
        <v>813</v>
      </c>
      <c r="G1023" s="33" t="str">
        <f>CONCATENATE(uitkomst_doelgroep[[#This Row],[Digitale zorgtoepassing]],"_",uitkomst_doelgroep[[#This Row],[Doelgroep]],"_",uitkomst_doelgroep[[#This Row],[Uitgangssituatie/effect beleid]])</f>
        <v>Heupairbag_Ouderen in verpleeghuis_Uitgangssituatie</v>
      </c>
      <c r="H1023" s="33">
        <v>2029</v>
      </c>
      <c r="I1023" s="32">
        <v>7</v>
      </c>
      <c r="J1023" s="406" cm="1">
        <f t="array" ref="J1023">INDEX(implementatie[[2023]:[2034]],MATCH(G1023, implementatie[Zoeksleutel],0),I1023)</f>
        <v>0.9195792000374251</v>
      </c>
      <c r="K1023" s="406" cm="1">
        <f t="array" ref="K1023">INDEX(implementatie[[2023]:[2034]],MATCH(G1023,implementatie[Zoeksleutel],0),I1023 + 1)</f>
        <v>0.95076893399505846</v>
      </c>
      <c r="L102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8460.1286403443119</v>
      </c>
      <c r="M1023" s="398" cm="1">
        <f t="array" ref="M1023">J1023*INDEX(Berekening_impact[Totaal arbeidsbesparing (€/jaar)],MATCH(B1023,IF(Berekening_impact[Doelgroep]=C1023,Berekening_impact[Digitale zorgtoepassing]),0))</f>
        <v>21528245.94294953</v>
      </c>
      <c r="N1023" s="397" cm="1">
        <f t="array" ref="N1023">J1023*INDEX(Berekening_impact[Totaal arbeidsbesparing (FTE/jaar)],MATCH(B1023,IF(Berekening_impact[Doelgroep]=C1023,Berekening_impact[Digitale zorgtoepassing]),0))</f>
        <v>507.09444707757757</v>
      </c>
      <c r="O1023" s="398" cm="1">
        <f t="array" ref="O1023">J1023*INDEX(Berekening_impact[Overige kostenbesparing (totaal/jaar totaal potentieel)],MATCH(B1023,IF(Berekening_impact[Doelgroep]=C1023,Berekening_impact[Digitale zorgtoepassing]),0))</f>
        <v>7514691.4560467359</v>
      </c>
      <c r="P1023" s="398" cm="1">
        <f t="array" ref="P1023">J1023*INDEX(Berekening_impact[Opbrengsten door QALY''s],MATCH(B1023,IF(Berekening_impact[Doelgroep]=C1023,Berekening_impact[Digitale zorgtoepassing]),0))</f>
        <v>0</v>
      </c>
      <c r="Q1023" s="398" cm="1">
        <f t="array" ref="Q1023">J1023*INDEX(Berekening_impact[Jaarlijkse kosten (totaal) - incl. schatting],MATCH(B1023,IF(Berekening_impact[Doelgroep]=C1023,Berekening_impact[Digitale zorgtoepassing]),0))</f>
        <v>12083400.305369485</v>
      </c>
      <c r="R1023" s="398" cm="1">
        <f t="array" ref="R1023">(uitkomst_doelgroep[[#This Row],[Implementatiegraad t = T + 1]]-uitkomst_doelgroep[[#This Row],[Implementatiegraad t = T]])*INDEX(Berekening_impact[Initiële investering (totaal) - incl. schatting],MATCH(B1023,IF(Berekening_impact[Doelgroep]=C1023,Berekening_impact[Digitale zorgtoepassing]),0))</f>
        <v>69065.289384922158</v>
      </c>
      <c r="S1023" s="398">
        <f>uitkomst_doelgroep[[#This Row],[Arbeidsbesparing (€)]]*uitkomst_doelgroep[[#This Row],[Percentage van patiëntaantallen in Wlz (overige is Zvw)]]</f>
        <v>21528245.94294953</v>
      </c>
      <c r="T1023" s="398">
        <f>uitkomst_doelgroep[[#This Row],[Overige besparingen (€)]]*uitkomst_doelgroep[[#This Row],[Percentage van patiëntaantallen in Wlz (overige is Zvw)]]</f>
        <v>7514691.4560467359</v>
      </c>
      <c r="U1023" s="398">
        <f>uitkomst_doelgroep[[#This Row],[Kosten (€)]]*uitkomst_doelgroep[[#This Row],[Percentage van patiëntaantallen in Wlz (overige is Zvw)]]</f>
        <v>12083400.305369485</v>
      </c>
      <c r="V1023" s="398">
        <f>uitkomst_doelgroep[[#This Row],[Investering (cash flow) (€)]]*uitkomst_doelgroep[[#This Row],[Percentage van patiëntaantallen in Wlz (overige is Zvw)]]</f>
        <v>69065.289384922158</v>
      </c>
    </row>
    <row r="1024" spans="1:22" x14ac:dyDescent="0.5">
      <c r="A1024" s="33" t="str">
        <f>INDEX(Technologieën[Veld],MATCH(B1024,Technologieën[Digitale zorgtoepassing],0))</f>
        <v>Digitale hulpmiddelen - Verpleging</v>
      </c>
      <c r="B1024" s="33" t="s">
        <v>32</v>
      </c>
      <c r="C1024" s="33" t="s">
        <v>33</v>
      </c>
      <c r="D1024" s="427" cm="1">
        <f t="array" ref="D1024">INDEX(Berekening_patiëntaantal[Percentage van patiëntaantallen in Wlz (overige is Zvw)],MATCH(B1024,IF(Berekening_patiëntaantal[Doelgroep (zoeksleutel)]=C1024,Berekening_patiëntaantal[Digitale zorgtoepassing]),0))</f>
        <v>1</v>
      </c>
      <c r="E1024" s="33" t="str" cm="1">
        <f t="array" ref="E1024">INDEX(Berekening_patiëntaantal[Direct toepasbaar/extrapolatie/incidentie voor QALY],MATCH(B1024,IF(Berekening_patiëntaantal[Doelgroep (zoeksleutel)]=C1024,Berekening_patiëntaantal[Digitale zorgtoepassing]),0))</f>
        <v>Huidige toepassing</v>
      </c>
      <c r="F1024" s="33" t="s">
        <v>813</v>
      </c>
      <c r="G1024" s="33" t="str">
        <f>CONCATENATE(uitkomst_doelgroep[[#This Row],[Digitale zorgtoepassing]],"_",uitkomst_doelgroep[[#This Row],[Doelgroep]],"_",uitkomst_doelgroep[[#This Row],[Uitgangssituatie/effect beleid]])</f>
        <v>Heupairbag_Ouderen in verpleeghuis_Uitgangssituatie</v>
      </c>
      <c r="H1024" s="33">
        <v>2030</v>
      </c>
      <c r="I1024" s="32">
        <v>8</v>
      </c>
      <c r="J1024" s="406" cm="1">
        <f t="array" ref="J1024">INDEX(implementatie[[2023]:[2034]],MATCH(G1024, implementatie[Zoeksleutel],0),I1024)</f>
        <v>0.95076893399505846</v>
      </c>
      <c r="K1024" s="406" cm="1">
        <f t="array" ref="K1024">INDEX(implementatie[[2023]:[2034]],MATCH(G1024,implementatie[Zoeksleutel],0),I1024 + 1)</f>
        <v>0.97047650257314066</v>
      </c>
      <c r="L102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8747.0741927545387</v>
      </c>
      <c r="M1024" s="398" cm="1">
        <f t="array" ref="M1024">J1024*INDEX(Berekening_impact[Totaal arbeidsbesparing (€/jaar)],MATCH(B1024,IF(Berekening_impact[Doelgroep]=C1024,Berekening_impact[Digitale zorgtoepassing]),0))</f>
        <v>22258428.034397192</v>
      </c>
      <c r="N1024" s="397" cm="1">
        <f t="array" ref="N1024">J1024*INDEX(Berekening_impact[Totaal arbeidsbesparing (FTE/jaar)],MATCH(B1024,IF(Berekening_impact[Doelgroep]=C1024,Berekening_impact[Digitale zorgtoepassing]),0))</f>
        <v>524.29377139363339</v>
      </c>
      <c r="O1024" s="398" cm="1">
        <f t="array" ref="O1024">J1024*INDEX(Berekening_impact[Overige kostenbesparing (totaal/jaar totaal potentieel)],MATCH(B1024,IF(Berekening_impact[Doelgroep]=C1024,Berekening_impact[Digitale zorgtoepassing]),0))</f>
        <v>7769570.2389490241</v>
      </c>
      <c r="P1024" s="398" cm="1">
        <f t="array" ref="P1024">J1024*INDEX(Berekening_impact[Opbrengsten door QALY''s],MATCH(B1024,IF(Berekening_impact[Doelgroep]=C1024,Berekening_impact[Digitale zorgtoepassing]),0))</f>
        <v>0</v>
      </c>
      <c r="Q1024" s="398" cm="1">
        <f t="array" ref="Q1024">J1024*INDEX(Berekening_impact[Jaarlijkse kosten (totaal) - incl. schatting],MATCH(B1024,IF(Berekening_impact[Doelgroep]=C1024,Berekening_impact[Digitale zorgtoepassing]),0))</f>
        <v>12493237.805840049</v>
      </c>
      <c r="R1024" s="398" cm="1">
        <f t="array" ref="R1024">(uitkomst_doelgroep[[#This Row],[Implementatiegraad t = T + 1]]-uitkomst_doelgroep[[#This Row],[Implementatiegraad t = T]])*INDEX(Berekening_impact[Initiële investering (totaal) - incl. schatting],MATCH(B1024,IF(Berekening_impact[Doelgroep]=C1024,Berekening_impact[Digitale zorgtoepassing]),0))</f>
        <v>43639.645300191121</v>
      </c>
      <c r="S1024" s="398">
        <f>uitkomst_doelgroep[[#This Row],[Arbeidsbesparing (€)]]*uitkomst_doelgroep[[#This Row],[Percentage van patiëntaantallen in Wlz (overige is Zvw)]]</f>
        <v>22258428.034397192</v>
      </c>
      <c r="T1024" s="398">
        <f>uitkomst_doelgroep[[#This Row],[Overige besparingen (€)]]*uitkomst_doelgroep[[#This Row],[Percentage van patiëntaantallen in Wlz (overige is Zvw)]]</f>
        <v>7769570.2389490241</v>
      </c>
      <c r="U1024" s="398">
        <f>uitkomst_doelgroep[[#This Row],[Kosten (€)]]*uitkomst_doelgroep[[#This Row],[Percentage van patiëntaantallen in Wlz (overige is Zvw)]]</f>
        <v>12493237.805840049</v>
      </c>
      <c r="V1024" s="398">
        <f>uitkomst_doelgroep[[#This Row],[Investering (cash flow) (€)]]*uitkomst_doelgroep[[#This Row],[Percentage van patiëntaantallen in Wlz (overige is Zvw)]]</f>
        <v>43639.645300191121</v>
      </c>
    </row>
    <row r="1025" spans="1:22" x14ac:dyDescent="0.5">
      <c r="A1025" s="33" t="str">
        <f>INDEX(Technologieën[Veld],MATCH(B1025,Technologieën[Digitale zorgtoepassing],0))</f>
        <v>Digitale hulpmiddelen - Verpleging</v>
      </c>
      <c r="B1025" s="33" t="s">
        <v>32</v>
      </c>
      <c r="C1025" s="33" t="s">
        <v>33</v>
      </c>
      <c r="D1025" s="427" cm="1">
        <f t="array" ref="D1025">INDEX(Berekening_patiëntaantal[Percentage van patiëntaantallen in Wlz (overige is Zvw)],MATCH(B1025,IF(Berekening_patiëntaantal[Doelgroep (zoeksleutel)]=C1025,Berekening_patiëntaantal[Digitale zorgtoepassing]),0))</f>
        <v>1</v>
      </c>
      <c r="E1025" s="33" t="str" cm="1">
        <f t="array" ref="E1025">INDEX(Berekening_patiëntaantal[Direct toepasbaar/extrapolatie/incidentie voor QALY],MATCH(B1025,IF(Berekening_patiëntaantal[Doelgroep (zoeksleutel)]=C1025,Berekening_patiëntaantal[Digitale zorgtoepassing]),0))</f>
        <v>Huidige toepassing</v>
      </c>
      <c r="F1025" s="33" t="s">
        <v>813</v>
      </c>
      <c r="G1025" s="33" t="str">
        <f>CONCATENATE(uitkomst_doelgroep[[#This Row],[Digitale zorgtoepassing]],"_",uitkomst_doelgroep[[#This Row],[Doelgroep]],"_",uitkomst_doelgroep[[#This Row],[Uitgangssituatie/effect beleid]])</f>
        <v>Heupairbag_Ouderen in verpleeghuis_Uitgangssituatie</v>
      </c>
      <c r="H1025" s="33">
        <v>2031</v>
      </c>
      <c r="I1025" s="32">
        <v>9</v>
      </c>
      <c r="J1025" s="406" cm="1">
        <f t="array" ref="J1025">INDEX(implementatie[[2023]:[2034]],MATCH(G1025, implementatie[Zoeksleutel],0),I1025)</f>
        <v>0.97047650257314066</v>
      </c>
      <c r="K1025" s="406" cm="1">
        <f t="array" ref="K1025">INDEX(implementatie[[2023]:[2034]],MATCH(G1025,implementatie[Zoeksleutel],0),I1025 + 1)</f>
        <v>0.98252771673229611</v>
      </c>
      <c r="L102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8928.3838236728934</v>
      </c>
      <c r="M1025" s="398" cm="1">
        <f t="array" ref="M1025">J1025*INDEX(Berekening_impact[Totaal arbeidsbesparing (€/jaar)],MATCH(B1025,IF(Berekening_impact[Doelgroep]=C1025,Berekening_impact[Digitale zorgtoepassing]),0))</f>
        <v>22719801.435697734</v>
      </c>
      <c r="N1025" s="397" cm="1">
        <f t="array" ref="N1025">J1025*INDEX(Berekening_impact[Totaal arbeidsbesparing (FTE/jaar)],MATCH(B1025,IF(Berekening_impact[Doelgroep]=C1025,Berekening_impact[Digitale zorgtoepassing]),0))</f>
        <v>535.1613492933285</v>
      </c>
      <c r="O1025" s="398" cm="1">
        <f t="array" ref="O1025">J1025*INDEX(Berekening_impact[Overige kostenbesparing (totaal/jaar totaal potentieel)],MATCH(B1025,IF(Berekening_impact[Doelgroep]=C1025,Berekening_impact[Digitale zorgtoepassing]),0))</f>
        <v>7930618.136951874</v>
      </c>
      <c r="P1025" s="398" cm="1">
        <f t="array" ref="P1025">J1025*INDEX(Berekening_impact[Opbrengsten door QALY''s],MATCH(B1025,IF(Berekening_impact[Doelgroep]=C1025,Berekening_impact[Digitale zorgtoepassing]),0))</f>
        <v>0</v>
      </c>
      <c r="Q1025" s="398" cm="1">
        <f t="array" ref="Q1025">J1025*INDEX(Berekening_impact[Jaarlijkse kosten (totaal) - incl. schatting],MATCH(B1025,IF(Berekening_impact[Doelgroep]=C1025,Berekening_impact[Digitale zorgtoepassing]),0))</f>
        <v>12752198.034784764</v>
      </c>
      <c r="R1025" s="398" cm="1">
        <f t="array" ref="R1025">(uitkomst_doelgroep[[#This Row],[Implementatiegraad t = T + 1]]-uitkomst_doelgroep[[#This Row],[Implementatiegraad t = T]])*INDEX(Berekening_impact[Initiële investering (totaal) - incl. schatting],MATCH(B1025,IF(Berekening_impact[Doelgroep]=C1025,Berekening_impact[Digitale zorgtoepassing]),0))</f>
        <v>26685.722759685174</v>
      </c>
      <c r="S1025" s="398">
        <f>uitkomst_doelgroep[[#This Row],[Arbeidsbesparing (€)]]*uitkomst_doelgroep[[#This Row],[Percentage van patiëntaantallen in Wlz (overige is Zvw)]]</f>
        <v>22719801.435697734</v>
      </c>
      <c r="T1025" s="398">
        <f>uitkomst_doelgroep[[#This Row],[Overige besparingen (€)]]*uitkomst_doelgroep[[#This Row],[Percentage van patiëntaantallen in Wlz (overige is Zvw)]]</f>
        <v>7930618.136951874</v>
      </c>
      <c r="U1025" s="398">
        <f>uitkomst_doelgroep[[#This Row],[Kosten (€)]]*uitkomst_doelgroep[[#This Row],[Percentage van patiëntaantallen in Wlz (overige is Zvw)]]</f>
        <v>12752198.034784764</v>
      </c>
      <c r="V1025" s="398">
        <f>uitkomst_doelgroep[[#This Row],[Investering (cash flow) (€)]]*uitkomst_doelgroep[[#This Row],[Percentage van patiëntaantallen in Wlz (overige is Zvw)]]</f>
        <v>26685.722759685174</v>
      </c>
    </row>
    <row r="1026" spans="1:22" x14ac:dyDescent="0.5">
      <c r="A1026" s="33" t="str">
        <f>INDEX(Technologieën[Veld],MATCH(B1026,Technologieën[Digitale zorgtoepassing],0))</f>
        <v>Digitale hulpmiddelen - Verpleging</v>
      </c>
      <c r="B1026" s="33" t="s">
        <v>32</v>
      </c>
      <c r="C1026" s="33" t="s">
        <v>33</v>
      </c>
      <c r="D1026" s="427" cm="1">
        <f t="array" ref="D1026">INDEX(Berekening_patiëntaantal[Percentage van patiëntaantallen in Wlz (overige is Zvw)],MATCH(B1026,IF(Berekening_patiëntaantal[Doelgroep (zoeksleutel)]=C1026,Berekening_patiëntaantal[Digitale zorgtoepassing]),0))</f>
        <v>1</v>
      </c>
      <c r="E1026" s="33" t="str" cm="1">
        <f t="array" ref="E1026">INDEX(Berekening_patiëntaantal[Direct toepasbaar/extrapolatie/incidentie voor QALY],MATCH(B1026,IF(Berekening_patiëntaantal[Doelgroep (zoeksleutel)]=C1026,Berekening_patiëntaantal[Digitale zorgtoepassing]),0))</f>
        <v>Huidige toepassing</v>
      </c>
      <c r="F1026" s="33" t="s">
        <v>813</v>
      </c>
      <c r="G1026" s="33" t="str">
        <f>CONCATENATE(uitkomst_doelgroep[[#This Row],[Digitale zorgtoepassing]],"_",uitkomst_doelgroep[[#This Row],[Doelgroep]],"_",uitkomst_doelgroep[[#This Row],[Uitgangssituatie/effect beleid]])</f>
        <v>Heupairbag_Ouderen in verpleeghuis_Uitgangssituatie</v>
      </c>
      <c r="H1026" s="33">
        <v>2032</v>
      </c>
      <c r="I1026" s="32">
        <v>10</v>
      </c>
      <c r="J1026" s="406" cm="1">
        <f t="array" ref="J1026">INDEX(implementatie[[2023]:[2034]],MATCH(G1026, implementatie[Zoeksleutel],0),I1026)</f>
        <v>0.98252771673229611</v>
      </c>
      <c r="K1026" s="406" cm="1">
        <f t="array" ref="K1026">INDEX(implementatie[[2023]:[2034]],MATCH(G1026,implementatie[Zoeksleutel],0),I1026 + 1)</f>
        <v>0.98974396343169702</v>
      </c>
      <c r="L102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9039.2549939371238</v>
      </c>
      <c r="M1026" s="398" cm="1">
        <f t="array" ref="M1026">J1026*INDEX(Berekening_impact[Totaal arbeidsbesparing (€/jaar)],MATCH(B1026,IF(Berekening_impact[Doelgroep]=C1026,Berekening_impact[Digitale zorgtoepassing]),0))</f>
        <v>23001932.11277144</v>
      </c>
      <c r="N1026" s="397" cm="1">
        <f t="array" ref="N1026">J1026*INDEX(Berekening_impact[Totaal arbeidsbesparing (FTE/jaar)],MATCH(B1026,IF(Berekening_impact[Doelgroep]=C1026,Berekening_impact[Digitale zorgtoepassing]),0))</f>
        <v>541.80689301637233</v>
      </c>
      <c r="O1026" s="398" cm="1">
        <f t="array" ref="O1026">J1026*INDEX(Berekening_impact[Overige kostenbesparing (totaal/jaar totaal potentieel)],MATCH(B1026,IF(Berekening_impact[Doelgroep]=C1026,Berekening_impact[Digitale zorgtoepassing]),0))</f>
        <v>8029099.2205530563</v>
      </c>
      <c r="P1026" s="398" cm="1">
        <f t="array" ref="P1026">J1026*INDEX(Berekening_impact[Opbrengsten door QALY''s],MATCH(B1026,IF(Berekening_impact[Doelgroep]=C1026,Berekening_impact[Digitale zorgtoepassing]),0))</f>
        <v>0</v>
      </c>
      <c r="Q1026" s="398" cm="1">
        <f t="array" ref="Q1026">J1026*INDEX(Berekening_impact[Jaarlijkse kosten (totaal) - incl. schatting],MATCH(B1026,IF(Berekening_impact[Doelgroep]=C1026,Berekening_impact[Digitale zorgtoepassing]),0))</f>
        <v>12910552.687483395</v>
      </c>
      <c r="R1026" s="398" cm="1">
        <f t="array" ref="R1026">(uitkomst_doelgroep[[#This Row],[Implementatiegraad t = T + 1]]-uitkomst_doelgroep[[#This Row],[Implementatiegraad t = T]])*INDEX(Berekening_impact[Initiële investering (totaal) - incl. schatting],MATCH(B1026,IF(Berekening_impact[Doelgroep]=C1026,Berekening_impact[Digitale zorgtoepassing]),0))</f>
        <v>15979.365750413424</v>
      </c>
      <c r="S1026" s="398">
        <f>uitkomst_doelgroep[[#This Row],[Arbeidsbesparing (€)]]*uitkomst_doelgroep[[#This Row],[Percentage van patiëntaantallen in Wlz (overige is Zvw)]]</f>
        <v>23001932.11277144</v>
      </c>
      <c r="T1026" s="398">
        <f>uitkomst_doelgroep[[#This Row],[Overige besparingen (€)]]*uitkomst_doelgroep[[#This Row],[Percentage van patiëntaantallen in Wlz (overige is Zvw)]]</f>
        <v>8029099.2205530563</v>
      </c>
      <c r="U1026" s="398">
        <f>uitkomst_doelgroep[[#This Row],[Kosten (€)]]*uitkomst_doelgroep[[#This Row],[Percentage van patiëntaantallen in Wlz (overige is Zvw)]]</f>
        <v>12910552.687483395</v>
      </c>
      <c r="V1026" s="398">
        <f>uitkomst_doelgroep[[#This Row],[Investering (cash flow) (€)]]*uitkomst_doelgroep[[#This Row],[Percentage van patiëntaantallen in Wlz (overige is Zvw)]]</f>
        <v>15979.365750413424</v>
      </c>
    </row>
    <row r="1027" spans="1:22" x14ac:dyDescent="0.5">
      <c r="A1027" s="33" t="str">
        <f>INDEX(Technologieën[Veld],MATCH(B1027,Technologieën[Digitale zorgtoepassing],0))</f>
        <v>Digitale hulpmiddelen - Verpleging</v>
      </c>
      <c r="B1027" s="33" t="s">
        <v>32</v>
      </c>
      <c r="C1027" s="33" t="s">
        <v>33</v>
      </c>
      <c r="D1027" s="427" cm="1">
        <f t="array" ref="D1027">INDEX(Berekening_patiëntaantal[Percentage van patiëntaantallen in Wlz (overige is Zvw)],MATCH(B1027,IF(Berekening_patiëntaantal[Doelgroep (zoeksleutel)]=C1027,Berekening_patiëntaantal[Digitale zorgtoepassing]),0))</f>
        <v>1</v>
      </c>
      <c r="E1027" s="33" t="str" cm="1">
        <f t="array" ref="E1027">INDEX(Berekening_patiëntaantal[Direct toepasbaar/extrapolatie/incidentie voor QALY],MATCH(B1027,IF(Berekening_patiëntaantal[Doelgroep (zoeksleutel)]=C1027,Berekening_patiëntaantal[Digitale zorgtoepassing]),0))</f>
        <v>Huidige toepassing</v>
      </c>
      <c r="F1027" s="33" t="s">
        <v>813</v>
      </c>
      <c r="G1027" s="33" t="str">
        <f>CONCATENATE(uitkomst_doelgroep[[#This Row],[Digitale zorgtoepassing]],"_",uitkomst_doelgroep[[#This Row],[Doelgroep]],"_",uitkomst_doelgroep[[#This Row],[Uitgangssituatie/effect beleid]])</f>
        <v>Heupairbag_Ouderen in verpleeghuis_Uitgangssituatie</v>
      </c>
      <c r="H1027" s="33">
        <v>2033</v>
      </c>
      <c r="I1027" s="32">
        <v>11</v>
      </c>
      <c r="J1027" s="406" cm="1">
        <f t="array" ref="J1027">INDEX(implementatie[[2023]:[2034]],MATCH(G1027, implementatie[Zoeksleutel],0),I1027)</f>
        <v>0.98974396343169702</v>
      </c>
      <c r="K1027" s="406" cm="1">
        <f t="array" ref="K1027">INDEX(implementatie[[2023]:[2034]],MATCH(G1027,implementatie[Zoeksleutel],0),I1027 + 1)</f>
        <v>0.99400942427594807</v>
      </c>
      <c r="L102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9105.6444635716125</v>
      </c>
      <c r="M1027" s="398" cm="1">
        <f t="array" ref="M1027">J1027*INDEX(Berekening_impact[Totaal arbeidsbesparing (€/jaar)],MATCH(B1027,IF(Berekening_impact[Doelgroep]=C1027,Berekening_impact[Digitale zorgtoepassing]),0))</f>
        <v>23170871.486044973</v>
      </c>
      <c r="N1027" s="397" cm="1">
        <f t="array" ref="N1027">J1027*INDEX(Berekening_impact[Totaal arbeidsbesparing (FTE/jaar)],MATCH(B1027,IF(Berekening_impact[Doelgroep]=C1027,Berekening_impact[Digitale zorgtoepassing]),0))</f>
        <v>545.78623338189948</v>
      </c>
      <c r="O1027" s="398" cm="1">
        <f t="array" ref="O1027">J1027*INDEX(Berekening_impact[Overige kostenbesparing (totaal/jaar totaal potentieel)],MATCH(B1027,IF(Berekening_impact[Doelgroep]=C1027,Berekening_impact[Digitale zorgtoepassing]),0))</f>
        <v>8088069.5272047371</v>
      </c>
      <c r="P1027" s="398" cm="1">
        <f t="array" ref="P1027">J1027*INDEX(Berekening_impact[Opbrengsten door QALY''s],MATCH(B1027,IF(Berekening_impact[Doelgroep]=C1027,Berekening_impact[Digitale zorgtoepassing]),0))</f>
        <v>0</v>
      </c>
      <c r="Q1027" s="398" cm="1">
        <f t="array" ref="Q1027">J1027*INDEX(Berekening_impact[Jaarlijkse kosten (totaal) - incl. schatting],MATCH(B1027,IF(Berekening_impact[Doelgroep]=C1027,Berekening_impact[Digitale zorgtoepassing]),0))</f>
        <v>13005375.186260676</v>
      </c>
      <c r="R1027" s="398" cm="1">
        <f t="array" ref="R1027">(uitkomst_doelgroep[[#This Row],[Implementatiegraad t = T + 1]]-uitkomst_doelgroep[[#This Row],[Implementatiegraad t = T]])*INDEX(Berekening_impact[Initiële investering (totaal) - incl. schatting],MATCH(B1027,IF(Berekening_impact[Doelgroep]=C1027,Berekening_impact[Digitale zorgtoepassing]),0))</f>
        <v>9445.2645209612147</v>
      </c>
      <c r="S1027" s="398">
        <f>uitkomst_doelgroep[[#This Row],[Arbeidsbesparing (€)]]*uitkomst_doelgroep[[#This Row],[Percentage van patiëntaantallen in Wlz (overige is Zvw)]]</f>
        <v>23170871.486044973</v>
      </c>
      <c r="T1027" s="398">
        <f>uitkomst_doelgroep[[#This Row],[Overige besparingen (€)]]*uitkomst_doelgroep[[#This Row],[Percentage van patiëntaantallen in Wlz (overige is Zvw)]]</f>
        <v>8088069.5272047371</v>
      </c>
      <c r="U1027" s="398">
        <f>uitkomst_doelgroep[[#This Row],[Kosten (€)]]*uitkomst_doelgroep[[#This Row],[Percentage van patiëntaantallen in Wlz (overige is Zvw)]]</f>
        <v>13005375.186260676</v>
      </c>
      <c r="V1027" s="398">
        <f>uitkomst_doelgroep[[#This Row],[Investering (cash flow) (€)]]*uitkomst_doelgroep[[#This Row],[Percentage van patiëntaantallen in Wlz (overige is Zvw)]]</f>
        <v>9445.2645209612147</v>
      </c>
    </row>
    <row r="1028" spans="1:22" x14ac:dyDescent="0.5">
      <c r="A1028" s="33" t="str">
        <f>INDEX(Technologieën[Veld],MATCH(B1028,Technologieën[Digitale zorgtoepassing],0))</f>
        <v>Sensoren - Verpleging</v>
      </c>
      <c r="B1028" s="33" t="s">
        <v>46</v>
      </c>
      <c r="C1028" s="33" t="s">
        <v>20</v>
      </c>
      <c r="D1028" s="427" cm="1">
        <f t="array" ref="D1028">INDEX(Berekening_patiëntaantal[Percentage van patiëntaantallen in Wlz (overige is Zvw)],MATCH(B1028,IF(Berekening_patiëntaantal[Doelgroep (zoeksleutel)]=C1028,Berekening_patiëntaantal[Digitale zorgtoepassing]),0))</f>
        <v>1</v>
      </c>
      <c r="E1028" s="33" t="str" cm="1">
        <f t="array" ref="E1028">INDEX(Berekening_patiëntaantal[Direct toepasbaar/extrapolatie/incidentie voor QALY],MATCH(B1028,IF(Berekening_patiëntaantal[Doelgroep (zoeksleutel)]=C1028,Berekening_patiëntaantal[Digitale zorgtoepassing]),0))</f>
        <v>Huidige toepassing</v>
      </c>
      <c r="F1028" s="33" t="s">
        <v>813</v>
      </c>
      <c r="G1028" s="33" t="str">
        <f>CONCATENATE(uitkomst_doelgroep[[#This Row],[Digitale zorgtoepassing]],"_",uitkomst_doelgroep[[#This Row],[Doelgroep]],"_",uitkomst_doelgroep[[#This Row],[Uitgangssituatie/effect beleid]])</f>
        <v>Leefcirkels_Dementie_Uitgangssituatie</v>
      </c>
      <c r="H1028" s="33">
        <v>2023</v>
      </c>
      <c r="I1028" s="32">
        <v>1</v>
      </c>
      <c r="J1028" s="406" cm="1">
        <f t="array" ref="J1028">INDEX(implementatie[[2023]:[2034]],MATCH(G1028, implementatie[Zoeksleutel],0),I1028)</f>
        <v>0.2</v>
      </c>
      <c r="K1028" s="406" cm="1">
        <f t="array" ref="K1028">INDEX(implementatie[[2023]:[2034]],MATCH(G1028,implementatie[Zoeksleutel],0),I1028 + 1)</f>
        <v>0.26800000000000002</v>
      </c>
      <c r="L102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15660</v>
      </c>
      <c r="M1028" s="398" cm="1">
        <f t="array" ref="M1028">J1028*INDEX(Berekening_impact[Totaal arbeidsbesparing (€/jaar)],MATCH(B1028,IF(Berekening_impact[Doelgroep]=C1028,Berekening_impact[Digitale zorgtoepassing]),0))</f>
        <v>8317241.2772727283</v>
      </c>
      <c r="N1028" s="397" cm="1">
        <f t="array" ref="N1028">J1028*INDEX(Berekening_impact[Totaal arbeidsbesparing (FTE/jaar)],MATCH(B1028,IF(Berekening_impact[Doelgroep]=C1028,Berekening_impact[Digitale zorgtoepassing]),0))</f>
        <v>195.91131009401556</v>
      </c>
      <c r="O1028" s="398" cm="1">
        <f t="array" ref="O1028">J1028*INDEX(Berekening_impact[Overige kostenbesparing (totaal/jaar totaal potentieel)],MATCH(B1028,IF(Berekening_impact[Doelgroep]=C1028,Berekening_impact[Digitale zorgtoepassing]),0))</f>
        <v>791423.81434426247</v>
      </c>
      <c r="P1028" s="398" cm="1">
        <f t="array" ref="P1028">J1028*INDEX(Berekening_impact[Opbrengsten door QALY''s],MATCH(B1028,IF(Berekening_impact[Doelgroep]=C1028,Berekening_impact[Digitale zorgtoepassing]),0))</f>
        <v>0</v>
      </c>
      <c r="Q1028" s="398" cm="1">
        <f t="array" ref="Q1028">J1028*INDEX(Berekening_impact[Jaarlijkse kosten (totaal) - incl. schatting],MATCH(B1028,IF(Berekening_impact[Doelgroep]=C1028,Berekening_impact[Digitale zorgtoepassing]),0))</f>
        <v>2231550</v>
      </c>
      <c r="R1028" s="398" cm="1">
        <f t="array" ref="R1028">(uitkomst_doelgroep[[#This Row],[Implementatiegraad t = T + 1]]-uitkomst_doelgroep[[#This Row],[Implementatiegraad t = T]])*INDEX(Berekening_impact[Initiële investering (totaal) - incl. schatting],MATCH(B1028,IF(Berekening_impact[Doelgroep]=C1028,Berekening_impact[Digitale zorgtoepassing]),0))</f>
        <v>2417646.9590000003</v>
      </c>
      <c r="S1028" s="398">
        <f>uitkomst_doelgroep[[#This Row],[Arbeidsbesparing (€)]]*uitkomst_doelgroep[[#This Row],[Percentage van patiëntaantallen in Wlz (overige is Zvw)]]</f>
        <v>8317241.2772727283</v>
      </c>
      <c r="T1028" s="398">
        <f>uitkomst_doelgroep[[#This Row],[Overige besparingen (€)]]*uitkomst_doelgroep[[#This Row],[Percentage van patiëntaantallen in Wlz (overige is Zvw)]]</f>
        <v>791423.81434426247</v>
      </c>
      <c r="U1028" s="398">
        <f>uitkomst_doelgroep[[#This Row],[Kosten (€)]]*uitkomst_doelgroep[[#This Row],[Percentage van patiëntaantallen in Wlz (overige is Zvw)]]</f>
        <v>2231550</v>
      </c>
      <c r="V1028" s="398">
        <f>uitkomst_doelgroep[[#This Row],[Investering (cash flow) (€)]]*uitkomst_doelgroep[[#This Row],[Percentage van patiëntaantallen in Wlz (overige is Zvw)]]</f>
        <v>2417646.9590000003</v>
      </c>
    </row>
    <row r="1029" spans="1:22" x14ac:dyDescent="0.5">
      <c r="A1029" s="33" t="str">
        <f>INDEX(Technologieën[Veld],MATCH(B1029,Technologieën[Digitale zorgtoepassing],0))</f>
        <v>Sensoren - Verpleging</v>
      </c>
      <c r="B1029" s="33" t="s">
        <v>46</v>
      </c>
      <c r="C1029" s="33" t="s">
        <v>20</v>
      </c>
      <c r="D1029" s="427" cm="1">
        <f t="array" ref="D1029">INDEX(Berekening_patiëntaantal[Percentage van patiëntaantallen in Wlz (overige is Zvw)],MATCH(B1029,IF(Berekening_patiëntaantal[Doelgroep (zoeksleutel)]=C1029,Berekening_patiëntaantal[Digitale zorgtoepassing]),0))</f>
        <v>1</v>
      </c>
      <c r="E1029" s="33" t="str" cm="1">
        <f t="array" ref="E1029">INDEX(Berekening_patiëntaantal[Direct toepasbaar/extrapolatie/incidentie voor QALY],MATCH(B1029,IF(Berekening_patiëntaantal[Doelgroep (zoeksleutel)]=C1029,Berekening_patiëntaantal[Digitale zorgtoepassing]),0))</f>
        <v>Huidige toepassing</v>
      </c>
      <c r="F1029" s="33" t="s">
        <v>813</v>
      </c>
      <c r="G1029" s="33" t="str">
        <f>CONCATENATE(uitkomst_doelgroep[[#This Row],[Digitale zorgtoepassing]],"_",uitkomst_doelgroep[[#This Row],[Doelgroep]],"_",uitkomst_doelgroep[[#This Row],[Uitgangssituatie/effect beleid]])</f>
        <v>Leefcirkels_Dementie_Uitgangssituatie</v>
      </c>
      <c r="H1029" s="33">
        <v>2024</v>
      </c>
      <c r="I1029" s="32">
        <v>2</v>
      </c>
      <c r="J1029" s="406" cm="1">
        <f t="array" ref="J1029">INDEX(implementatie[[2023]:[2034]],MATCH(G1029, implementatie[Zoeksleutel],0),I1029)</f>
        <v>0.26800000000000002</v>
      </c>
      <c r="K1029" s="406" cm="1">
        <f t="array" ref="K1029">INDEX(implementatie[[2023]:[2034]],MATCH(G1029,implementatie[Zoeksleutel],0),I1029 + 1)</f>
        <v>0.3476416</v>
      </c>
      <c r="L102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20984.400000000001</v>
      </c>
      <c r="M1029" s="398" cm="1">
        <f t="array" ref="M1029">J1029*INDEX(Berekening_impact[Totaal arbeidsbesparing (€/jaar)],MATCH(B1029,IF(Berekening_impact[Doelgroep]=C1029,Berekening_impact[Digitale zorgtoepassing]),0))</f>
        <v>11145103.311545456</v>
      </c>
      <c r="N1029" s="397" cm="1">
        <f t="array" ref="N1029">J1029*INDEX(Berekening_impact[Totaal arbeidsbesparing (FTE/jaar)],MATCH(B1029,IF(Berekening_impact[Doelgroep]=C1029,Berekening_impact[Digitale zorgtoepassing]),0))</f>
        <v>262.52115552598087</v>
      </c>
      <c r="O1029" s="398" cm="1">
        <f t="array" ref="O1029">J1029*INDEX(Berekening_impact[Overige kostenbesparing (totaal/jaar totaal potentieel)],MATCH(B1029,IF(Berekening_impact[Doelgroep]=C1029,Berekening_impact[Digitale zorgtoepassing]),0))</f>
        <v>1060507.9112213117</v>
      </c>
      <c r="P1029" s="398" cm="1">
        <f t="array" ref="P1029">J1029*INDEX(Berekening_impact[Opbrengsten door QALY''s],MATCH(B1029,IF(Berekening_impact[Doelgroep]=C1029,Berekening_impact[Digitale zorgtoepassing]),0))</f>
        <v>0</v>
      </c>
      <c r="Q1029" s="398" cm="1">
        <f t="array" ref="Q1029">J1029*INDEX(Berekening_impact[Jaarlijkse kosten (totaal) - incl. schatting],MATCH(B1029,IF(Berekening_impact[Doelgroep]=C1029,Berekening_impact[Digitale zorgtoepassing]),0))</f>
        <v>2990277</v>
      </c>
      <c r="R1029" s="398" cm="1">
        <f t="array" ref="R1029">(uitkomst_doelgroep[[#This Row],[Implementatiegraad t = T + 1]]-uitkomst_doelgroep[[#This Row],[Implementatiegraad t = T]])*INDEX(Berekening_impact[Initiële investering (totaal) - incl. schatting],MATCH(B1029,IF(Berekening_impact[Doelgroep]=C1029,Berekening_impact[Digitale zorgtoepassing]),0))</f>
        <v>2831548.1183807994</v>
      </c>
      <c r="S1029" s="398">
        <f>uitkomst_doelgroep[[#This Row],[Arbeidsbesparing (€)]]*uitkomst_doelgroep[[#This Row],[Percentage van patiëntaantallen in Wlz (overige is Zvw)]]</f>
        <v>11145103.311545456</v>
      </c>
      <c r="T1029" s="398">
        <f>uitkomst_doelgroep[[#This Row],[Overige besparingen (€)]]*uitkomst_doelgroep[[#This Row],[Percentage van patiëntaantallen in Wlz (overige is Zvw)]]</f>
        <v>1060507.9112213117</v>
      </c>
      <c r="U1029" s="398">
        <f>uitkomst_doelgroep[[#This Row],[Kosten (€)]]*uitkomst_doelgroep[[#This Row],[Percentage van patiëntaantallen in Wlz (overige is Zvw)]]</f>
        <v>2990277</v>
      </c>
      <c r="V1029" s="398">
        <f>uitkomst_doelgroep[[#This Row],[Investering (cash flow) (€)]]*uitkomst_doelgroep[[#This Row],[Percentage van patiëntaantallen in Wlz (overige is Zvw)]]</f>
        <v>2831548.1183807994</v>
      </c>
    </row>
    <row r="1030" spans="1:22" x14ac:dyDescent="0.5">
      <c r="A1030" s="33" t="str">
        <f>INDEX(Technologieën[Veld],MATCH(B1030,Technologieën[Digitale zorgtoepassing],0))</f>
        <v>Sensoren - Verpleging</v>
      </c>
      <c r="B1030" s="33" t="s">
        <v>46</v>
      </c>
      <c r="C1030" s="33" t="s">
        <v>20</v>
      </c>
      <c r="D1030" s="427" cm="1">
        <f t="array" ref="D1030">INDEX(Berekening_patiëntaantal[Percentage van patiëntaantallen in Wlz (overige is Zvw)],MATCH(B1030,IF(Berekening_patiëntaantal[Doelgroep (zoeksleutel)]=C1030,Berekening_patiëntaantal[Digitale zorgtoepassing]),0))</f>
        <v>1</v>
      </c>
      <c r="E1030" s="33" t="str" cm="1">
        <f t="array" ref="E1030">INDEX(Berekening_patiëntaantal[Direct toepasbaar/extrapolatie/incidentie voor QALY],MATCH(B1030,IF(Berekening_patiëntaantal[Doelgroep (zoeksleutel)]=C1030,Berekening_patiëntaantal[Digitale zorgtoepassing]),0))</f>
        <v>Huidige toepassing</v>
      </c>
      <c r="F1030" s="33" t="s">
        <v>813</v>
      </c>
      <c r="G1030" s="33" t="str">
        <f>CONCATENATE(uitkomst_doelgroep[[#This Row],[Digitale zorgtoepassing]],"_",uitkomst_doelgroep[[#This Row],[Doelgroep]],"_",uitkomst_doelgroep[[#This Row],[Uitgangssituatie/effect beleid]])</f>
        <v>Leefcirkels_Dementie_Uitgangssituatie</v>
      </c>
      <c r="H1030" s="33">
        <v>2025</v>
      </c>
      <c r="I1030" s="32">
        <v>3</v>
      </c>
      <c r="J1030" s="406" cm="1">
        <f t="array" ref="J1030">INDEX(implementatie[[2023]:[2034]],MATCH(G1030, implementatie[Zoeksleutel],0),I1030)</f>
        <v>0.3476416</v>
      </c>
      <c r="K1030" s="406" cm="1">
        <f t="array" ref="K1030">INDEX(implementatie[[2023]:[2034]],MATCH(G1030,implementatie[Zoeksleutel],0),I1030 + 1)</f>
        <v>0.43680239728230397</v>
      </c>
      <c r="L103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27220.33728</v>
      </c>
      <c r="M1030" s="398" cm="1">
        <f t="array" ref="M1030">J1030*INDEX(Berekening_impact[Totaal arbeidsbesparing (€/jaar)],MATCH(B1030,IF(Berekening_impact[Doelgroep]=C1030,Berekening_impact[Digitale zorgtoepassing]),0))</f>
        <v>14457095.326085674</v>
      </c>
      <c r="N1030" s="397" cm="1">
        <f t="array" ref="N1030">J1030*INDEX(Berekening_impact[Totaal arbeidsbesparing (FTE/jaar)],MATCH(B1030,IF(Berekening_impact[Doelgroep]=C1030,Berekening_impact[Digitale zorgtoepassing]),0))</f>
        <v>340.53460649589857</v>
      </c>
      <c r="O1030" s="398" cm="1">
        <f t="array" ref="O1030">J1030*INDEX(Berekening_impact[Overige kostenbesparing (totaal/jaar totaal potentieel)],MATCH(B1030,IF(Berekening_impact[Doelgroep]=C1030,Berekening_impact[Digitale zorgtoepassing]),0))</f>
        <v>1375659.2054837118</v>
      </c>
      <c r="P1030" s="398" cm="1">
        <f t="array" ref="P1030">J1030*INDEX(Berekening_impact[Opbrengsten door QALY''s],MATCH(B1030,IF(Berekening_impact[Doelgroep]=C1030,Berekening_impact[Digitale zorgtoepassing]),0))</f>
        <v>0</v>
      </c>
      <c r="Q1030" s="398" cm="1">
        <f t="array" ref="Q1030">J1030*INDEX(Berekening_impact[Jaarlijkse kosten (totaal) - incl. schatting],MATCH(B1030,IF(Berekening_impact[Doelgroep]=C1030,Berekening_impact[Digitale zorgtoepassing]),0))</f>
        <v>3878898.0624000002</v>
      </c>
      <c r="R1030" s="398" cm="1">
        <f t="array" ref="R1030">(uitkomst_doelgroep[[#This Row],[Implementatiegraad t = T + 1]]-uitkomst_doelgroep[[#This Row],[Implementatiegraad t = T]])*INDEX(Berekening_impact[Initiële investering (totaal) - incl. schatting],MATCH(B1030,IF(Berekening_impact[Doelgroep]=C1030,Berekening_impact[Digitale zorgtoepassing]),0))</f>
        <v>3169990.1531114364</v>
      </c>
      <c r="S1030" s="398">
        <f>uitkomst_doelgroep[[#This Row],[Arbeidsbesparing (€)]]*uitkomst_doelgroep[[#This Row],[Percentage van patiëntaantallen in Wlz (overige is Zvw)]]</f>
        <v>14457095.326085674</v>
      </c>
      <c r="T1030" s="398">
        <f>uitkomst_doelgroep[[#This Row],[Overige besparingen (€)]]*uitkomst_doelgroep[[#This Row],[Percentage van patiëntaantallen in Wlz (overige is Zvw)]]</f>
        <v>1375659.2054837118</v>
      </c>
      <c r="U1030" s="398">
        <f>uitkomst_doelgroep[[#This Row],[Kosten (€)]]*uitkomst_doelgroep[[#This Row],[Percentage van patiëntaantallen in Wlz (overige is Zvw)]]</f>
        <v>3878898.0624000002</v>
      </c>
      <c r="V1030" s="398">
        <f>uitkomst_doelgroep[[#This Row],[Investering (cash flow) (€)]]*uitkomst_doelgroep[[#This Row],[Percentage van patiëntaantallen in Wlz (overige is Zvw)]]</f>
        <v>3169990.1531114364</v>
      </c>
    </row>
    <row r="1031" spans="1:22" x14ac:dyDescent="0.5">
      <c r="A1031" s="33" t="str">
        <f>INDEX(Technologieën[Veld],MATCH(B1031,Technologieën[Digitale zorgtoepassing],0))</f>
        <v>Sensoren - Verpleging</v>
      </c>
      <c r="B1031" s="33" t="s">
        <v>46</v>
      </c>
      <c r="C1031" s="33" t="s">
        <v>20</v>
      </c>
      <c r="D1031" s="427" cm="1">
        <f t="array" ref="D1031">INDEX(Berekening_patiëntaantal[Percentage van patiëntaantallen in Wlz (overige is Zvw)],MATCH(B1031,IF(Berekening_patiëntaantal[Doelgroep (zoeksleutel)]=C1031,Berekening_patiëntaantal[Digitale zorgtoepassing]),0))</f>
        <v>1</v>
      </c>
      <c r="E1031" s="33" t="str" cm="1">
        <f t="array" ref="E1031">INDEX(Berekening_patiëntaantal[Direct toepasbaar/extrapolatie/incidentie voor QALY],MATCH(B1031,IF(Berekening_patiëntaantal[Doelgroep (zoeksleutel)]=C1031,Berekening_patiëntaantal[Digitale zorgtoepassing]),0))</f>
        <v>Huidige toepassing</v>
      </c>
      <c r="F1031" s="33" t="s">
        <v>813</v>
      </c>
      <c r="G1031" s="33" t="str">
        <f>CONCATENATE(uitkomst_doelgroep[[#This Row],[Digitale zorgtoepassing]],"_",uitkomst_doelgroep[[#This Row],[Doelgroep]],"_",uitkomst_doelgroep[[#This Row],[Uitgangssituatie/effect beleid]])</f>
        <v>Leefcirkels_Dementie_Uitgangssituatie</v>
      </c>
      <c r="H1031" s="33">
        <v>2026</v>
      </c>
      <c r="I1031" s="32">
        <v>4</v>
      </c>
      <c r="J1031" s="406" cm="1">
        <f t="array" ref="J1031">INDEX(implementatie[[2023]:[2034]],MATCH(G1031, implementatie[Zoeksleutel],0),I1031)</f>
        <v>0.43680239728230397</v>
      </c>
      <c r="K1031" s="406" cm="1">
        <f t="array" ref="K1031">INDEX(implementatie[[2023]:[2034]],MATCH(G1031,implementatie[Zoeksleutel],0),I1031 + 1)</f>
        <v>0.53135248337682706</v>
      </c>
      <c r="L103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34201.627707204403</v>
      </c>
      <c r="M1031" s="398" cm="1">
        <f t="array" ref="M1031">J1031*INDEX(Berekening_impact[Totaal arbeidsbesparing (€/jaar)],MATCH(B1031,IF(Berekening_impact[Doelgroep]=C1031,Berekening_impact[Digitale zorgtoepassing]),0))</f>
        <v>18164954.643440299</v>
      </c>
      <c r="N1031" s="397" cm="1">
        <f t="array" ref="N1031">J1031*INDEX(Berekening_impact[Totaal arbeidsbesparing (FTE/jaar)],MATCH(B1031,IF(Berekening_impact[Doelgroep]=C1031,Berekening_impact[Digitale zorgtoepassing]),0))</f>
        <v>427.87264951891416</v>
      </c>
      <c r="O1031" s="398" cm="1">
        <f t="array" ref="O1031">J1031*INDEX(Berekening_impact[Overige kostenbesparing (totaal/jaar totaal potentieel)],MATCH(B1031,IF(Berekening_impact[Doelgroep]=C1031,Berekening_impact[Digitale zorgtoepassing]),0))</f>
        <v>1728479.0968593946</v>
      </c>
      <c r="P1031" s="398" cm="1">
        <f t="array" ref="P1031">J1031*INDEX(Berekening_impact[Opbrengsten door QALY''s],MATCH(B1031,IF(Berekening_impact[Doelgroep]=C1031,Berekening_impact[Digitale zorgtoepassing]),0))</f>
        <v>0</v>
      </c>
      <c r="Q1031" s="398" cm="1">
        <f t="array" ref="Q1031">J1031*INDEX(Berekening_impact[Jaarlijkse kosten (totaal) - incl. schatting],MATCH(B1031,IF(Berekening_impact[Doelgroep]=C1031,Berekening_impact[Digitale zorgtoepassing]),0))</f>
        <v>4873731.9482766269</v>
      </c>
      <c r="R1031" s="398" cm="1">
        <f t="array" ref="R1031">(uitkomst_doelgroep[[#This Row],[Implementatiegraad t = T + 1]]-uitkomst_doelgroep[[#This Row],[Implementatiegraad t = T]])*INDEX(Berekening_impact[Initiële investering (totaal) - incl. schatting],MATCH(B1031,IF(Berekening_impact[Doelgroep]=C1031,Berekening_impact[Digitale zorgtoepassing]),0))</f>
        <v>3361598.9429354696</v>
      </c>
      <c r="S1031" s="398">
        <f>uitkomst_doelgroep[[#This Row],[Arbeidsbesparing (€)]]*uitkomst_doelgroep[[#This Row],[Percentage van patiëntaantallen in Wlz (overige is Zvw)]]</f>
        <v>18164954.643440299</v>
      </c>
      <c r="T1031" s="398">
        <f>uitkomst_doelgroep[[#This Row],[Overige besparingen (€)]]*uitkomst_doelgroep[[#This Row],[Percentage van patiëntaantallen in Wlz (overige is Zvw)]]</f>
        <v>1728479.0968593946</v>
      </c>
      <c r="U1031" s="398">
        <f>uitkomst_doelgroep[[#This Row],[Kosten (€)]]*uitkomst_doelgroep[[#This Row],[Percentage van patiëntaantallen in Wlz (overige is Zvw)]]</f>
        <v>4873731.9482766269</v>
      </c>
      <c r="V1031" s="398">
        <f>uitkomst_doelgroep[[#This Row],[Investering (cash flow) (€)]]*uitkomst_doelgroep[[#This Row],[Percentage van patiëntaantallen in Wlz (overige is Zvw)]]</f>
        <v>3361598.9429354696</v>
      </c>
    </row>
    <row r="1032" spans="1:22" x14ac:dyDescent="0.5">
      <c r="A1032" s="33" t="str">
        <f>INDEX(Technologieën[Veld],MATCH(B1032,Technologieën[Digitale zorgtoepassing],0))</f>
        <v>Sensoren - Verpleging</v>
      </c>
      <c r="B1032" s="33" t="s">
        <v>46</v>
      </c>
      <c r="C1032" s="33" t="s">
        <v>20</v>
      </c>
      <c r="D1032" s="427" cm="1">
        <f t="array" ref="D1032">INDEX(Berekening_patiëntaantal[Percentage van patiëntaantallen in Wlz (overige is Zvw)],MATCH(B1032,IF(Berekening_patiëntaantal[Doelgroep (zoeksleutel)]=C1032,Berekening_patiëntaantal[Digitale zorgtoepassing]),0))</f>
        <v>1</v>
      </c>
      <c r="E1032" s="33" t="str" cm="1">
        <f t="array" ref="E1032">INDEX(Berekening_patiëntaantal[Direct toepasbaar/extrapolatie/incidentie voor QALY],MATCH(B1032,IF(Berekening_patiëntaantal[Doelgroep (zoeksleutel)]=C1032,Berekening_patiëntaantal[Digitale zorgtoepassing]),0))</f>
        <v>Huidige toepassing</v>
      </c>
      <c r="F1032" s="33" t="s">
        <v>813</v>
      </c>
      <c r="G1032" s="33" t="str">
        <f>CONCATENATE(uitkomst_doelgroep[[#This Row],[Digitale zorgtoepassing]],"_",uitkomst_doelgroep[[#This Row],[Doelgroep]],"_",uitkomst_doelgroep[[#This Row],[Uitgangssituatie/effect beleid]])</f>
        <v>Leefcirkels_Dementie_Uitgangssituatie</v>
      </c>
      <c r="H1032" s="33">
        <v>2027</v>
      </c>
      <c r="I1032" s="32">
        <v>5</v>
      </c>
      <c r="J1032" s="406" cm="1">
        <f t="array" ref="J1032">INDEX(implementatie[[2023]:[2034]],MATCH(G1032, implementatie[Zoeksleutel],0),I1032)</f>
        <v>0.53135248337682706</v>
      </c>
      <c r="K1032" s="406" cm="1">
        <f t="array" ref="K1032">INDEX(implementatie[[2023]:[2034]],MATCH(G1032,implementatie[Zoeksleutel],0),I1032 + 1)</f>
        <v>0.62553815375131172</v>
      </c>
      <c r="L103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41604.899448405558</v>
      </c>
      <c r="M1032" s="398" cm="1">
        <f t="array" ref="M1032">J1032*INDEX(Berekening_impact[Totaal arbeidsbesparing (€/jaar)],MATCH(B1032,IF(Berekening_impact[Doelgroep]=C1032,Berekening_impact[Digitale zorgtoepassing]),0))</f>
        <v>22096934.037615586</v>
      </c>
      <c r="N1032" s="397" cm="1">
        <f t="array" ref="N1032">J1032*INDEX(Berekening_impact[Totaal arbeidsbesparing (FTE/jaar)],MATCH(B1032,IF(Berekening_impact[Doelgroep]=C1032,Berekening_impact[Digitale zorgtoepassing]),0))</f>
        <v>520.48980570031404</v>
      </c>
      <c r="O1032" s="398" cm="1">
        <f t="array" ref="O1032">J1032*INDEX(Berekening_impact[Overige kostenbesparing (totaal/jaar totaal potentieel)],MATCH(B1032,IF(Berekening_impact[Doelgroep]=C1032,Berekening_impact[Digitale zorgtoepassing]),0))</f>
        <v>2102625.0457769237</v>
      </c>
      <c r="P1032" s="398" cm="1">
        <f t="array" ref="P1032">J1032*INDEX(Berekening_impact[Opbrengsten door QALY''s],MATCH(B1032,IF(Berekening_impact[Doelgroep]=C1032,Berekening_impact[Digitale zorgtoepassing]),0))</f>
        <v>0</v>
      </c>
      <c r="Q1032" s="398" cm="1">
        <f t="array" ref="Q1032">J1032*INDEX(Berekening_impact[Jaarlijkse kosten (totaal) - incl. schatting],MATCH(B1032,IF(Berekening_impact[Doelgroep]=C1032,Berekening_impact[Digitale zorgtoepassing]),0))</f>
        <v>5928698.1713977922</v>
      </c>
      <c r="R1032" s="398" cm="1">
        <f t="array" ref="R1032">(uitkomst_doelgroep[[#This Row],[Implementatiegraad t = T + 1]]-uitkomst_doelgroep[[#This Row],[Implementatiegraad t = T]])*INDEX(Berekening_impact[Initiële investering (totaal) - incl. schatting],MATCH(B1032,IF(Berekening_impact[Doelgroep]=C1032,Berekening_impact[Digitale zorgtoepassing]),0))</f>
        <v>3348642.6406213124</v>
      </c>
      <c r="S1032" s="398">
        <f>uitkomst_doelgroep[[#This Row],[Arbeidsbesparing (€)]]*uitkomst_doelgroep[[#This Row],[Percentage van patiëntaantallen in Wlz (overige is Zvw)]]</f>
        <v>22096934.037615586</v>
      </c>
      <c r="T1032" s="398">
        <f>uitkomst_doelgroep[[#This Row],[Overige besparingen (€)]]*uitkomst_doelgroep[[#This Row],[Percentage van patiëntaantallen in Wlz (overige is Zvw)]]</f>
        <v>2102625.0457769237</v>
      </c>
      <c r="U1032" s="398">
        <f>uitkomst_doelgroep[[#This Row],[Kosten (€)]]*uitkomst_doelgroep[[#This Row],[Percentage van patiëntaantallen in Wlz (overige is Zvw)]]</f>
        <v>5928698.1713977922</v>
      </c>
      <c r="V1032" s="398">
        <f>uitkomst_doelgroep[[#This Row],[Investering (cash flow) (€)]]*uitkomst_doelgroep[[#This Row],[Percentage van patiëntaantallen in Wlz (overige is Zvw)]]</f>
        <v>3348642.6406213124</v>
      </c>
    </row>
    <row r="1033" spans="1:22" x14ac:dyDescent="0.5">
      <c r="A1033" s="33" t="str">
        <f>INDEX(Technologieën[Veld],MATCH(B1033,Technologieën[Digitale zorgtoepassing],0))</f>
        <v>Sensoren - Verpleging</v>
      </c>
      <c r="B1033" s="33" t="s">
        <v>46</v>
      </c>
      <c r="C1033" s="33" t="s">
        <v>20</v>
      </c>
      <c r="D1033" s="427" cm="1">
        <f t="array" ref="D1033">INDEX(Berekening_patiëntaantal[Percentage van patiëntaantallen in Wlz (overige is Zvw)],MATCH(B1033,IF(Berekening_patiëntaantal[Doelgroep (zoeksleutel)]=C1033,Berekening_patiëntaantal[Digitale zorgtoepassing]),0))</f>
        <v>1</v>
      </c>
      <c r="E1033" s="33" t="str" cm="1">
        <f t="array" ref="E1033">INDEX(Berekening_patiëntaantal[Direct toepasbaar/extrapolatie/incidentie voor QALY],MATCH(B1033,IF(Berekening_patiëntaantal[Doelgroep (zoeksleutel)]=C1033,Berekening_patiëntaantal[Digitale zorgtoepassing]),0))</f>
        <v>Huidige toepassing</v>
      </c>
      <c r="F1033" s="33" t="s">
        <v>813</v>
      </c>
      <c r="G1033" s="33" t="str">
        <f>CONCATENATE(uitkomst_doelgroep[[#This Row],[Digitale zorgtoepassing]],"_",uitkomst_doelgroep[[#This Row],[Doelgroep]],"_",uitkomst_doelgroep[[#This Row],[Uitgangssituatie/effect beleid]])</f>
        <v>Leefcirkels_Dementie_Uitgangssituatie</v>
      </c>
      <c r="H1033" s="33">
        <v>2028</v>
      </c>
      <c r="I1033" s="32">
        <v>6</v>
      </c>
      <c r="J1033" s="406" cm="1">
        <f t="array" ref="J1033">INDEX(implementatie[[2023]:[2034]],MATCH(G1033, implementatie[Zoeksleutel],0),I1033)</f>
        <v>0.62553815375131172</v>
      </c>
      <c r="K1033" s="406" cm="1">
        <f t="array" ref="K1033">INDEX(implementatie[[2023]:[2034]],MATCH(G1033,implementatie[Zoeksleutel],0),I1033 + 1)</f>
        <v>0.71313914162849124</v>
      </c>
      <c r="L103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48979.63743872771</v>
      </c>
      <c r="M1033" s="398" cm="1">
        <f t="array" ref="M1033">J1033*INDEX(Berekening_impact[Totaal arbeidsbesparing (€/jaar)],MATCH(B1033,IF(Berekening_impact[Doelgroep]=C1033,Berekening_impact[Digitale zorgtoepassing]),0))</f>
        <v>26013758.764446922</v>
      </c>
      <c r="N1033" s="397" cm="1">
        <f t="array" ref="N1033">J1033*INDEX(Berekening_impact[Totaal arbeidsbesparing (FTE/jaar)],MATCH(B1033,IF(Berekening_impact[Doelgroep]=C1033,Berekening_impact[Digitale zorgtoepassing]),0))</f>
        <v>612.74999607605605</v>
      </c>
      <c r="O1033" s="398" cm="1">
        <f t="array" ref="O1033">J1033*INDEX(Berekening_impact[Overige kostenbesparing (totaal/jaar totaal potentieel)],MATCH(B1033,IF(Berekening_impact[Doelgroep]=C1033,Berekening_impact[Digitale zorgtoepassing]),0))</f>
        <v>2475328.9582986538</v>
      </c>
      <c r="P1033" s="398" cm="1">
        <f t="array" ref="P1033">J1033*INDEX(Berekening_impact[Opbrengsten door QALY''s],MATCH(B1033,IF(Berekening_impact[Doelgroep]=C1033,Berekening_impact[Digitale zorgtoepassing]),0))</f>
        <v>0</v>
      </c>
      <c r="Q1033" s="398" cm="1">
        <f t="array" ref="Q1033">J1033*INDEX(Berekening_impact[Jaarlijkse kosten (totaal) - incl. schatting],MATCH(B1033,IF(Berekening_impact[Doelgroep]=C1033,Berekening_impact[Digitale zorgtoepassing]),0))</f>
        <v>6979598.3350186981</v>
      </c>
      <c r="R1033" s="398" cm="1">
        <f t="array" ref="R1033">(uitkomst_doelgroep[[#This Row],[Implementatiegraad t = T + 1]]-uitkomst_doelgroep[[#This Row],[Implementatiegraad t = T]])*INDEX(Berekening_impact[Initiële investering (totaal) - incl. schatting],MATCH(B1033,IF(Berekening_impact[Doelgroep]=C1033,Berekening_impact[Digitale zorgtoepassing]),0))</f>
        <v>3114533.2639214545</v>
      </c>
      <c r="S1033" s="398">
        <f>uitkomst_doelgroep[[#This Row],[Arbeidsbesparing (€)]]*uitkomst_doelgroep[[#This Row],[Percentage van patiëntaantallen in Wlz (overige is Zvw)]]</f>
        <v>26013758.764446922</v>
      </c>
      <c r="T1033" s="398">
        <f>uitkomst_doelgroep[[#This Row],[Overige besparingen (€)]]*uitkomst_doelgroep[[#This Row],[Percentage van patiëntaantallen in Wlz (overige is Zvw)]]</f>
        <v>2475328.9582986538</v>
      </c>
      <c r="U1033" s="398">
        <f>uitkomst_doelgroep[[#This Row],[Kosten (€)]]*uitkomst_doelgroep[[#This Row],[Percentage van patiëntaantallen in Wlz (overige is Zvw)]]</f>
        <v>6979598.3350186981</v>
      </c>
      <c r="V1033" s="398">
        <f>uitkomst_doelgroep[[#This Row],[Investering (cash flow) (€)]]*uitkomst_doelgroep[[#This Row],[Percentage van patiëntaantallen in Wlz (overige is Zvw)]]</f>
        <v>3114533.2639214545</v>
      </c>
    </row>
    <row r="1034" spans="1:22" x14ac:dyDescent="0.5">
      <c r="A1034" s="33" t="str">
        <f>INDEX(Technologieën[Veld],MATCH(B1034,Technologieën[Digitale zorgtoepassing],0))</f>
        <v>Sensoren - Verpleging</v>
      </c>
      <c r="B1034" s="33" t="s">
        <v>46</v>
      </c>
      <c r="C1034" s="33" t="s">
        <v>20</v>
      </c>
      <c r="D1034" s="427" cm="1">
        <f t="array" ref="D1034">INDEX(Berekening_patiëntaantal[Percentage van patiëntaantallen in Wlz (overige is Zvw)],MATCH(B1034,IF(Berekening_patiëntaantal[Doelgroep (zoeksleutel)]=C1034,Berekening_patiëntaantal[Digitale zorgtoepassing]),0))</f>
        <v>1</v>
      </c>
      <c r="E1034" s="33" t="str" cm="1">
        <f t="array" ref="E1034">INDEX(Berekening_patiëntaantal[Direct toepasbaar/extrapolatie/incidentie voor QALY],MATCH(B1034,IF(Berekening_patiëntaantal[Doelgroep (zoeksleutel)]=C1034,Berekening_patiëntaantal[Digitale zorgtoepassing]),0))</f>
        <v>Huidige toepassing</v>
      </c>
      <c r="F1034" s="33" t="s">
        <v>813</v>
      </c>
      <c r="G1034" s="33" t="str">
        <f>CONCATENATE(uitkomst_doelgroep[[#This Row],[Digitale zorgtoepassing]],"_",uitkomst_doelgroep[[#This Row],[Doelgroep]],"_",uitkomst_doelgroep[[#This Row],[Uitgangssituatie/effect beleid]])</f>
        <v>Leefcirkels_Dementie_Uitgangssituatie</v>
      </c>
      <c r="H1034" s="33">
        <v>2029</v>
      </c>
      <c r="I1034" s="32">
        <v>7</v>
      </c>
      <c r="J1034" s="406" cm="1">
        <f t="array" ref="J1034">INDEX(implementatie[[2023]:[2034]],MATCH(G1034, implementatie[Zoeksleutel],0),I1034)</f>
        <v>0.71313914162849124</v>
      </c>
      <c r="K1034" s="406" cm="1">
        <f t="array" ref="K1034">INDEX(implementatie[[2023]:[2034]],MATCH(G1034,implementatie[Zoeksleutel],0),I1034 + 1)</f>
        <v>0.78904215171111836</v>
      </c>
      <c r="L103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55838.794789510866</v>
      </c>
      <c r="M1034" s="398" cm="1">
        <f t="array" ref="M1034">J1034*INDEX(Berekening_impact[Totaal arbeidsbesparing (€/jaar)],MATCH(B1034,IF(Berekening_impact[Doelgroep]=C1034,Berekening_impact[Digitale zorgtoepassing]),0))</f>
        <v>29656751.525956646</v>
      </c>
      <c r="N1034" s="397" cm="1">
        <f t="array" ref="N1034">J1034*INDEX(Berekening_impact[Totaal arbeidsbesparing (FTE/jaar)],MATCH(B1034,IF(Berekening_impact[Doelgroep]=C1034,Berekening_impact[Digitale zorgtoepassing]),0))</f>
        <v>698.56011757879719</v>
      </c>
      <c r="O1034" s="398" cm="1">
        <f t="array" ref="O1034">J1034*INDEX(Berekening_impact[Overige kostenbesparing (totaal/jaar totaal potentieel)],MATCH(B1034,IF(Berekening_impact[Doelgroep]=C1034,Berekening_impact[Digitale zorgtoepassing]),0))</f>
        <v>2821976.4981290684</v>
      </c>
      <c r="P1034" s="398" cm="1">
        <f t="array" ref="P1034">J1034*INDEX(Berekening_impact[Opbrengsten door QALY''s],MATCH(B1034,IF(Berekening_impact[Doelgroep]=C1034,Berekening_impact[Digitale zorgtoepassing]),0))</f>
        <v>0</v>
      </c>
      <c r="Q1034" s="398" cm="1">
        <f t="array" ref="Q1034">J1034*INDEX(Berekening_impact[Jaarlijkse kosten (totaal) - incl. schatting],MATCH(B1034,IF(Berekening_impact[Doelgroep]=C1034,Berekening_impact[Digitale zorgtoepassing]),0))</f>
        <v>7957028.2575052977</v>
      </c>
      <c r="R1034" s="398" cm="1">
        <f t="array" ref="R1034">(uitkomst_doelgroep[[#This Row],[Implementatiegraad t = T + 1]]-uitkomst_doelgroep[[#This Row],[Implementatiegraad t = T]])*INDEX(Berekening_impact[Initiële investering (totaal) - incl. schatting],MATCH(B1034,IF(Berekening_impact[Doelgroep]=C1034,Berekening_impact[Digitale zorgtoepassing]),0))</f>
        <v>2698627.6691942615</v>
      </c>
      <c r="S1034" s="398">
        <f>uitkomst_doelgroep[[#This Row],[Arbeidsbesparing (€)]]*uitkomst_doelgroep[[#This Row],[Percentage van patiëntaantallen in Wlz (overige is Zvw)]]</f>
        <v>29656751.525956646</v>
      </c>
      <c r="T1034" s="398">
        <f>uitkomst_doelgroep[[#This Row],[Overige besparingen (€)]]*uitkomst_doelgroep[[#This Row],[Percentage van patiëntaantallen in Wlz (overige is Zvw)]]</f>
        <v>2821976.4981290684</v>
      </c>
      <c r="U1034" s="398">
        <f>uitkomst_doelgroep[[#This Row],[Kosten (€)]]*uitkomst_doelgroep[[#This Row],[Percentage van patiëntaantallen in Wlz (overige is Zvw)]]</f>
        <v>7957028.2575052977</v>
      </c>
      <c r="V1034" s="398">
        <f>uitkomst_doelgroep[[#This Row],[Investering (cash flow) (€)]]*uitkomst_doelgroep[[#This Row],[Percentage van patiëntaantallen in Wlz (overige is Zvw)]]</f>
        <v>2698627.6691942615</v>
      </c>
    </row>
    <row r="1035" spans="1:22" x14ac:dyDescent="0.5">
      <c r="A1035" s="33" t="str">
        <f>INDEX(Technologieën[Veld],MATCH(B1035,Technologieën[Digitale zorgtoepassing],0))</f>
        <v>Sensoren - Verpleging</v>
      </c>
      <c r="B1035" s="33" t="s">
        <v>46</v>
      </c>
      <c r="C1035" s="33" t="s">
        <v>20</v>
      </c>
      <c r="D1035" s="427" cm="1">
        <f t="array" ref="D1035">INDEX(Berekening_patiëntaantal[Percentage van patiëntaantallen in Wlz (overige is Zvw)],MATCH(B1035,IF(Berekening_patiëntaantal[Doelgroep (zoeksleutel)]=C1035,Berekening_patiëntaantal[Digitale zorgtoepassing]),0))</f>
        <v>1</v>
      </c>
      <c r="E1035" s="33" t="str" cm="1">
        <f t="array" ref="E1035">INDEX(Berekening_patiëntaantal[Direct toepasbaar/extrapolatie/incidentie voor QALY],MATCH(B1035,IF(Berekening_patiëntaantal[Doelgroep (zoeksleutel)]=C1035,Berekening_patiëntaantal[Digitale zorgtoepassing]),0))</f>
        <v>Huidige toepassing</v>
      </c>
      <c r="F1035" s="33" t="s">
        <v>813</v>
      </c>
      <c r="G1035" s="33" t="str">
        <f>CONCATENATE(uitkomst_doelgroep[[#This Row],[Digitale zorgtoepassing]],"_",uitkomst_doelgroep[[#This Row],[Doelgroep]],"_",uitkomst_doelgroep[[#This Row],[Uitgangssituatie/effect beleid]])</f>
        <v>Leefcirkels_Dementie_Uitgangssituatie</v>
      </c>
      <c r="H1035" s="33">
        <v>2030</v>
      </c>
      <c r="I1035" s="32">
        <v>8</v>
      </c>
      <c r="J1035" s="406" cm="1">
        <f t="array" ref="J1035">INDEX(implementatie[[2023]:[2034]],MATCH(G1035, implementatie[Zoeksleutel],0),I1035)</f>
        <v>0.78904215171111836</v>
      </c>
      <c r="K1035" s="406" cm="1">
        <f t="array" ref="K1035">INDEX(implementatie[[2023]:[2034]],MATCH(G1035,implementatie[Zoeksleutel],0),I1035 + 1)</f>
        <v>0.85046564152242399</v>
      </c>
      <c r="L103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61782.000478980568</v>
      </c>
      <c r="M1035" s="398" cm="1">
        <f t="array" ref="M1035">J1035*INDEX(Berekening_impact[Totaal arbeidsbesparing (€/jaar)],MATCH(B1035,IF(Berekening_impact[Doelgroep]=C1035,Berekening_impact[Digitale zorgtoepassing]),0))</f>
        <v>32813269.768599018</v>
      </c>
      <c r="N1035" s="397" cm="1">
        <f t="array" ref="N1035">J1035*INDEX(Berekening_impact[Totaal arbeidsbesparing (FTE/jaar)],MATCH(B1035,IF(Berekening_impact[Doelgroep]=C1035,Berekening_impact[Digitale zorgtoepassing]),0))</f>
        <v>772.91140830563086</v>
      </c>
      <c r="O1035" s="398" cm="1">
        <f t="array" ref="O1035">J1035*INDEX(Berekening_impact[Overige kostenbesparing (totaal/jaar totaal potentieel)],MATCH(B1035,IF(Berekening_impact[Doelgroep]=C1035,Berekening_impact[Digitale zorgtoepassing]),0))</f>
        <v>3122333.7469280874</v>
      </c>
      <c r="P1035" s="398" cm="1">
        <f t="array" ref="P1035">J1035*INDEX(Berekening_impact[Opbrengsten door QALY''s],MATCH(B1035,IF(Berekening_impact[Doelgroep]=C1035,Berekening_impact[Digitale zorgtoepassing]),0))</f>
        <v>0</v>
      </c>
      <c r="Q1035" s="398" cm="1">
        <f t="array" ref="Q1035">J1035*INDEX(Berekening_impact[Jaarlijkse kosten (totaal) - incl. schatting],MATCH(B1035,IF(Berekening_impact[Doelgroep]=C1035,Berekening_impact[Digitale zorgtoepassing]),0))</f>
        <v>8803935.0682547316</v>
      </c>
      <c r="R1035" s="398" cm="1">
        <f t="array" ref="R1035">(uitkomst_doelgroep[[#This Row],[Implementatiegraad t = T + 1]]-uitkomst_doelgroep[[#This Row],[Implementatiegraad t = T]])*INDEX(Berekening_impact[Initiële investering (totaal) - incl. schatting],MATCH(B1035,IF(Berekening_impact[Doelgroep]=C1035,Berekening_impact[Digitale zorgtoepassing]),0))</f>
        <v>2183828.1375510376</v>
      </c>
      <c r="S1035" s="398">
        <f>uitkomst_doelgroep[[#This Row],[Arbeidsbesparing (€)]]*uitkomst_doelgroep[[#This Row],[Percentage van patiëntaantallen in Wlz (overige is Zvw)]]</f>
        <v>32813269.768599018</v>
      </c>
      <c r="T1035" s="398">
        <f>uitkomst_doelgroep[[#This Row],[Overige besparingen (€)]]*uitkomst_doelgroep[[#This Row],[Percentage van patiëntaantallen in Wlz (overige is Zvw)]]</f>
        <v>3122333.7469280874</v>
      </c>
      <c r="U1035" s="398">
        <f>uitkomst_doelgroep[[#This Row],[Kosten (€)]]*uitkomst_doelgroep[[#This Row],[Percentage van patiëntaantallen in Wlz (overige is Zvw)]]</f>
        <v>8803935.0682547316</v>
      </c>
      <c r="V1035" s="398">
        <f>uitkomst_doelgroep[[#This Row],[Investering (cash flow) (€)]]*uitkomst_doelgroep[[#This Row],[Percentage van patiëntaantallen in Wlz (overige is Zvw)]]</f>
        <v>2183828.1375510376</v>
      </c>
    </row>
    <row r="1036" spans="1:22" x14ac:dyDescent="0.5">
      <c r="A1036" s="33" t="str">
        <f>INDEX(Technologieën[Veld],MATCH(B1036,Technologieën[Digitale zorgtoepassing],0))</f>
        <v>Sensoren - Verpleging</v>
      </c>
      <c r="B1036" s="33" t="s">
        <v>46</v>
      </c>
      <c r="C1036" s="33" t="s">
        <v>20</v>
      </c>
      <c r="D1036" s="427" cm="1">
        <f t="array" ref="D1036">INDEX(Berekening_patiëntaantal[Percentage van patiëntaantallen in Wlz (overige is Zvw)],MATCH(B1036,IF(Berekening_patiëntaantal[Doelgroep (zoeksleutel)]=C1036,Berekening_patiëntaantal[Digitale zorgtoepassing]),0))</f>
        <v>1</v>
      </c>
      <c r="E1036" s="33" t="str" cm="1">
        <f t="array" ref="E1036">INDEX(Berekening_patiëntaantal[Direct toepasbaar/extrapolatie/incidentie voor QALY],MATCH(B1036,IF(Berekening_patiëntaantal[Doelgroep (zoeksleutel)]=C1036,Berekening_patiëntaantal[Digitale zorgtoepassing]),0))</f>
        <v>Huidige toepassing</v>
      </c>
      <c r="F1036" s="33" t="s">
        <v>813</v>
      </c>
      <c r="G1036" s="33" t="str">
        <f>CONCATENATE(uitkomst_doelgroep[[#This Row],[Digitale zorgtoepassing]],"_",uitkomst_doelgroep[[#This Row],[Doelgroep]],"_",uitkomst_doelgroep[[#This Row],[Uitgangssituatie/effect beleid]])</f>
        <v>Leefcirkels_Dementie_Uitgangssituatie</v>
      </c>
      <c r="H1036" s="33">
        <v>2031</v>
      </c>
      <c r="I1036" s="32">
        <v>9</v>
      </c>
      <c r="J1036" s="406" cm="1">
        <f t="array" ref="J1036">INDEX(implementatie[[2023]:[2034]],MATCH(G1036, implementatie[Zoeksleutel],0),I1036)</f>
        <v>0.85046564152242399</v>
      </c>
      <c r="K1036" s="406" cm="1">
        <f t="array" ref="K1036">INDEX(implementatie[[2023]:[2034]],MATCH(G1036,implementatie[Zoeksleutel],0),I1036 + 1)</f>
        <v>0.89721949883888419</v>
      </c>
      <c r="L103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66591.459731205803</v>
      </c>
      <c r="M1036" s="398" cm="1">
        <f t="array" ref="M1036">J1036*INDEX(Berekening_impact[Totaal arbeidsbesparing (€/jaar)],MATCH(B1036,IF(Berekening_impact[Doelgroep]=C1036,Berekening_impact[Digitale zorgtoepassing]),0))</f>
        <v>35367639.692862682</v>
      </c>
      <c r="N1036" s="397" cm="1">
        <f t="array" ref="N1036">J1036*INDEX(Berekening_impact[Totaal arbeidsbesparing (FTE/jaar)],MATCH(B1036,IF(Berekening_impact[Doelgroep]=C1036,Berekening_impact[Digitale zorgtoepassing]),0))</f>
        <v>833.07919010302737</v>
      </c>
      <c r="O1036" s="398" cm="1">
        <f t="array" ref="O1036">J1036*INDEX(Berekening_impact[Overige kostenbesparing (totaal/jaar totaal potentieel)],MATCH(B1036,IF(Berekening_impact[Doelgroep]=C1036,Berekening_impact[Digitale zorgtoepassing]),0))</f>
        <v>3365393.8099120846</v>
      </c>
      <c r="P1036" s="398" cm="1">
        <f t="array" ref="P1036">J1036*INDEX(Berekening_impact[Opbrengsten door QALY''s],MATCH(B1036,IF(Berekening_impact[Doelgroep]=C1036,Berekening_impact[Digitale zorgtoepassing]),0))</f>
        <v>0</v>
      </c>
      <c r="Q1036" s="398" cm="1">
        <f t="array" ref="Q1036">J1036*INDEX(Berekening_impact[Jaarlijkse kosten (totaal) - incl. schatting],MATCH(B1036,IF(Berekening_impact[Doelgroep]=C1036,Berekening_impact[Digitale zorgtoepassing]),0))</f>
        <v>9489283.0116968267</v>
      </c>
      <c r="R1036" s="398" cm="1">
        <f t="array" ref="R1036">(uitkomst_doelgroep[[#This Row],[Implementatiegraad t = T + 1]]-uitkomst_doelgroep[[#This Row],[Implementatiegraad t = T]])*INDEX(Berekening_impact[Initiële investering (totaal) - incl. schatting],MATCH(B1036,IF(Berekening_impact[Doelgroep]=C1036,Berekening_impact[Digitale zorgtoepassing]),0))</f>
        <v>1662269.4259214692</v>
      </c>
      <c r="S1036" s="398">
        <f>uitkomst_doelgroep[[#This Row],[Arbeidsbesparing (€)]]*uitkomst_doelgroep[[#This Row],[Percentage van patiëntaantallen in Wlz (overige is Zvw)]]</f>
        <v>35367639.692862682</v>
      </c>
      <c r="T1036" s="398">
        <f>uitkomst_doelgroep[[#This Row],[Overige besparingen (€)]]*uitkomst_doelgroep[[#This Row],[Percentage van patiëntaantallen in Wlz (overige is Zvw)]]</f>
        <v>3365393.8099120846</v>
      </c>
      <c r="U1036" s="398">
        <f>uitkomst_doelgroep[[#This Row],[Kosten (€)]]*uitkomst_doelgroep[[#This Row],[Percentage van patiëntaantallen in Wlz (overige is Zvw)]]</f>
        <v>9489283.0116968267</v>
      </c>
      <c r="V1036" s="398">
        <f>uitkomst_doelgroep[[#This Row],[Investering (cash flow) (€)]]*uitkomst_doelgroep[[#This Row],[Percentage van patiëntaantallen in Wlz (overige is Zvw)]]</f>
        <v>1662269.4259214692</v>
      </c>
    </row>
    <row r="1037" spans="1:22" x14ac:dyDescent="0.5">
      <c r="A1037" s="33" t="str">
        <f>INDEX(Technologieën[Veld],MATCH(B1037,Technologieën[Digitale zorgtoepassing],0))</f>
        <v>Sensoren - Verpleging</v>
      </c>
      <c r="B1037" s="33" t="s">
        <v>46</v>
      </c>
      <c r="C1037" s="33" t="s">
        <v>20</v>
      </c>
      <c r="D1037" s="427" cm="1">
        <f t="array" ref="D1037">INDEX(Berekening_patiëntaantal[Percentage van patiëntaantallen in Wlz (overige is Zvw)],MATCH(B1037,IF(Berekening_patiëntaantal[Doelgroep (zoeksleutel)]=C1037,Berekening_patiëntaantal[Digitale zorgtoepassing]),0))</f>
        <v>1</v>
      </c>
      <c r="E1037" s="33" t="str" cm="1">
        <f t="array" ref="E1037">INDEX(Berekening_patiëntaantal[Direct toepasbaar/extrapolatie/incidentie voor QALY],MATCH(B1037,IF(Berekening_patiëntaantal[Doelgroep (zoeksleutel)]=C1037,Berekening_patiëntaantal[Digitale zorgtoepassing]),0))</f>
        <v>Huidige toepassing</v>
      </c>
      <c r="F1037" s="33" t="s">
        <v>813</v>
      </c>
      <c r="G1037" s="33" t="str">
        <f>CONCATENATE(uitkomst_doelgroep[[#This Row],[Digitale zorgtoepassing]],"_",uitkomst_doelgroep[[#This Row],[Doelgroep]],"_",uitkomst_doelgroep[[#This Row],[Uitgangssituatie/effect beleid]])</f>
        <v>Leefcirkels_Dementie_Uitgangssituatie</v>
      </c>
      <c r="H1037" s="33">
        <v>2032</v>
      </c>
      <c r="I1037" s="32">
        <v>10</v>
      </c>
      <c r="J1037" s="406" cm="1">
        <f t="array" ref="J1037">INDEX(implementatie[[2023]:[2034]],MATCH(G1037, implementatie[Zoeksleutel],0),I1037)</f>
        <v>0.89721949883888419</v>
      </c>
      <c r="K1037" s="406" cm="1">
        <f t="array" ref="K1037">INDEX(implementatie[[2023]:[2034]],MATCH(G1037,implementatie[Zoeksleutel],0),I1037 + 1)</f>
        <v>0.93103704076606597</v>
      </c>
      <c r="L103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70252.286759084629</v>
      </c>
      <c r="M1037" s="398" cm="1">
        <f t="array" ref="M1037">J1037*INDEX(Berekening_impact[Totaal arbeidsbesparing (€/jaar)],MATCH(B1037,IF(Berekening_impact[Doelgroep]=C1037,Berekening_impact[Digitale zorgtoepassing]),0))</f>
        <v>37311955.252583593</v>
      </c>
      <c r="N1037" s="397" cm="1">
        <f t="array" ref="N1037">J1037*INDEX(Berekening_impact[Totaal arbeidsbesparing (FTE/jaar)],MATCH(B1037,IF(Berekening_impact[Doelgroep]=C1037,Berekening_impact[Digitale zorgtoepassing]),0))</f>
        <v>878.87723729710933</v>
      </c>
      <c r="O1037" s="398" cm="1">
        <f t="array" ref="O1037">J1037*INDEX(Berekening_impact[Overige kostenbesparing (totaal/jaar totaal potentieel)],MATCH(B1037,IF(Berekening_impact[Doelgroep]=C1037,Berekening_impact[Digitale zorgtoepassing]),0))</f>
        <v>3550404.3903755862</v>
      </c>
      <c r="P1037" s="398" cm="1">
        <f t="array" ref="P1037">J1037*INDEX(Berekening_impact[Opbrengsten door QALY''s],MATCH(B1037,IF(Berekening_impact[Doelgroep]=C1037,Berekening_impact[Digitale zorgtoepassing]),0))</f>
        <v>0</v>
      </c>
      <c r="Q1037" s="398" cm="1">
        <f t="array" ref="Q1037">J1037*INDEX(Berekening_impact[Jaarlijkse kosten (totaal) - incl. schatting],MATCH(B1037,IF(Berekening_impact[Doelgroep]=C1037,Berekening_impact[Digitale zorgtoepassing]),0))</f>
        <v>10010950.86316956</v>
      </c>
      <c r="R1037" s="398" cm="1">
        <f t="array" ref="R1037">(uitkomst_doelgroep[[#This Row],[Implementatiegraad t = T + 1]]-uitkomst_doelgroep[[#This Row],[Implementatiegraad t = T]])*INDEX(Berekening_impact[Initiële investering (totaal) - incl. schatting],MATCH(B1037,IF(Berekening_impact[Doelgroep]=C1037,Berekening_impact[Digitale zorgtoepassing]),0))</f>
        <v>1202336.4323692063</v>
      </c>
      <c r="S1037" s="398">
        <f>uitkomst_doelgroep[[#This Row],[Arbeidsbesparing (€)]]*uitkomst_doelgroep[[#This Row],[Percentage van patiëntaantallen in Wlz (overige is Zvw)]]</f>
        <v>37311955.252583593</v>
      </c>
      <c r="T1037" s="398">
        <f>uitkomst_doelgroep[[#This Row],[Overige besparingen (€)]]*uitkomst_doelgroep[[#This Row],[Percentage van patiëntaantallen in Wlz (overige is Zvw)]]</f>
        <v>3550404.3903755862</v>
      </c>
      <c r="U1037" s="398">
        <f>uitkomst_doelgroep[[#This Row],[Kosten (€)]]*uitkomst_doelgroep[[#This Row],[Percentage van patiëntaantallen in Wlz (overige is Zvw)]]</f>
        <v>10010950.86316956</v>
      </c>
      <c r="V1037" s="398">
        <f>uitkomst_doelgroep[[#This Row],[Investering (cash flow) (€)]]*uitkomst_doelgroep[[#This Row],[Percentage van patiëntaantallen in Wlz (overige is Zvw)]]</f>
        <v>1202336.4323692063</v>
      </c>
    </row>
    <row r="1038" spans="1:22" x14ac:dyDescent="0.5">
      <c r="A1038" s="33" t="str">
        <f>INDEX(Technologieën[Veld],MATCH(B1038,Technologieën[Digitale zorgtoepassing],0))</f>
        <v>Sensoren - Verpleging</v>
      </c>
      <c r="B1038" s="33" t="s">
        <v>46</v>
      </c>
      <c r="C1038" s="33" t="s">
        <v>20</v>
      </c>
      <c r="D1038" s="427" cm="1">
        <f t="array" ref="D1038">INDEX(Berekening_patiëntaantal[Percentage van patiëntaantallen in Wlz (overige is Zvw)],MATCH(B1038,IF(Berekening_patiëntaantal[Doelgroep (zoeksleutel)]=C1038,Berekening_patiëntaantal[Digitale zorgtoepassing]),0))</f>
        <v>1</v>
      </c>
      <c r="E1038" s="33" t="str" cm="1">
        <f t="array" ref="E1038">INDEX(Berekening_patiëntaantal[Direct toepasbaar/extrapolatie/incidentie voor QALY],MATCH(B1038,IF(Berekening_patiëntaantal[Doelgroep (zoeksleutel)]=C1038,Berekening_patiëntaantal[Digitale zorgtoepassing]),0))</f>
        <v>Huidige toepassing</v>
      </c>
      <c r="F1038" s="33" t="s">
        <v>813</v>
      </c>
      <c r="G1038" s="33" t="str">
        <f>CONCATENATE(uitkomst_doelgroep[[#This Row],[Digitale zorgtoepassing]],"_",uitkomst_doelgroep[[#This Row],[Doelgroep]],"_",uitkomst_doelgroep[[#This Row],[Uitgangssituatie/effect beleid]])</f>
        <v>Leefcirkels_Dementie_Uitgangssituatie</v>
      </c>
      <c r="H1038" s="33">
        <v>2033</v>
      </c>
      <c r="I1038" s="32">
        <v>11</v>
      </c>
      <c r="J1038" s="406" cm="1">
        <f t="array" ref="J1038">INDEX(implementatie[[2023]:[2034]],MATCH(G1038, implementatie[Zoeksleutel],0),I1038)</f>
        <v>0.93103704076606597</v>
      </c>
      <c r="K1038" s="406" cm="1">
        <f t="array" ref="K1038">INDEX(implementatie[[2023]:[2034]],MATCH(G1038,implementatie[Zoeksleutel],0),I1038 + 1)</f>
        <v>0.9545439594752464</v>
      </c>
      <c r="L103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72900.200291982968</v>
      </c>
      <c r="M1038" s="398" cm="1">
        <f t="array" ref="M1038">J1038*INDEX(Berekening_impact[Totaal arbeidsbesparing (€/jaar)],MATCH(B1038,IF(Berekening_impact[Doelgroep]=C1038,Berekening_impact[Digitale zorgtoepassing]),0))</f>
        <v>38718298.530646876</v>
      </c>
      <c r="N1038" s="397" cm="1">
        <f t="array" ref="N1038">J1038*INDEX(Berekening_impact[Totaal arbeidsbesparing (FTE/jaar)],MATCH(B1038,IF(Berekening_impact[Doelgroep]=C1038,Berekening_impact[Digitale zorgtoepassing]),0))</f>
        <v>912.00343201267674</v>
      </c>
      <c r="O1038" s="398" cm="1">
        <f t="array" ref="O1038">J1038*INDEX(Berekening_impact[Overige kostenbesparing (totaal/jaar totaal potentieel)],MATCH(B1038,IF(Berekening_impact[Doelgroep]=C1038,Berekening_impact[Digitale zorgtoepassing]),0))</f>
        <v>3684224.4304943723</v>
      </c>
      <c r="P1038" s="398" cm="1">
        <f t="array" ref="P1038">J1038*INDEX(Berekening_impact[Opbrengsten door QALY''s],MATCH(B1038,IF(Berekening_impact[Doelgroep]=C1038,Berekening_impact[Digitale zorgtoepassing]),0))</f>
        <v>0</v>
      </c>
      <c r="Q1038" s="398" cm="1">
        <f t="array" ref="Q1038">J1038*INDEX(Berekening_impact[Jaarlijkse kosten (totaal) - incl. schatting],MATCH(B1038,IF(Berekening_impact[Doelgroep]=C1038,Berekening_impact[Digitale zorgtoepassing]),0))</f>
        <v>10388278.541607572</v>
      </c>
      <c r="R1038" s="398" cm="1">
        <f t="array" ref="R1038">(uitkomst_doelgroep[[#This Row],[Implementatiegraad t = T + 1]]-uitkomst_doelgroep[[#This Row],[Implementatiegraad t = T]])*INDEX(Berekening_impact[Initiële investering (totaal) - incl. schatting],MATCH(B1038,IF(Berekening_impact[Doelgroep]=C1038,Berekening_impact[Digitale zorgtoepassing]),0))</f>
        <v>835756.33136338613</v>
      </c>
      <c r="S1038" s="398">
        <f>uitkomst_doelgroep[[#This Row],[Arbeidsbesparing (€)]]*uitkomst_doelgroep[[#This Row],[Percentage van patiëntaantallen in Wlz (overige is Zvw)]]</f>
        <v>38718298.530646876</v>
      </c>
      <c r="T1038" s="398">
        <f>uitkomst_doelgroep[[#This Row],[Overige besparingen (€)]]*uitkomst_doelgroep[[#This Row],[Percentage van patiëntaantallen in Wlz (overige is Zvw)]]</f>
        <v>3684224.4304943723</v>
      </c>
      <c r="U1038" s="398">
        <f>uitkomst_doelgroep[[#This Row],[Kosten (€)]]*uitkomst_doelgroep[[#This Row],[Percentage van patiëntaantallen in Wlz (overige is Zvw)]]</f>
        <v>10388278.541607572</v>
      </c>
      <c r="V1038" s="398">
        <f>uitkomst_doelgroep[[#This Row],[Investering (cash flow) (€)]]*uitkomst_doelgroep[[#This Row],[Percentage van patiëntaantallen in Wlz (overige is Zvw)]]</f>
        <v>835756.33136338613</v>
      </c>
    </row>
    <row r="1039" spans="1:22" x14ac:dyDescent="0.5">
      <c r="A1039" s="33" t="str">
        <f>INDEX(Technologieën[Veld],MATCH(B1039,Technologieën[Digitale zorgtoepassing],0))</f>
        <v>Sensoren - Verpleging</v>
      </c>
      <c r="B1039" s="33" t="s">
        <v>36</v>
      </c>
      <c r="C1039" s="33" t="s">
        <v>24</v>
      </c>
      <c r="D1039" s="427" cm="1">
        <f t="array" ref="D1039">INDEX(Berekening_patiëntaantal[Percentage van patiëntaantallen in Wlz (overige is Zvw)],MATCH(B1039,IF(Berekening_patiëntaantal[Doelgroep (zoeksleutel)]=C1039,Berekening_patiëntaantal[Digitale zorgtoepassing]),0))</f>
        <v>0.45</v>
      </c>
      <c r="E1039" s="33" t="str" cm="1">
        <f t="array" ref="E1039">INDEX(Berekening_patiëntaantal[Direct toepasbaar/extrapolatie/incidentie voor QALY],MATCH(B1039,IF(Berekening_patiëntaantal[Doelgroep (zoeksleutel)]=C1039,Berekening_patiëntaantal[Digitale zorgtoepassing]),0))</f>
        <v>Extrapolatie</v>
      </c>
      <c r="F1039" s="33" t="s">
        <v>813</v>
      </c>
      <c r="G1039" s="33" t="str">
        <f>CONCATENATE(uitkomst_doelgroep[[#This Row],[Digitale zorgtoepassing]],"_",uitkomst_doelgroep[[#This Row],[Doelgroep]],"_",uitkomst_doelgroep[[#This Row],[Uitgangssituatie/effect beleid]])</f>
        <v>Leefstijlmonitoring_Cognitieve beperking_Uitgangssituatie</v>
      </c>
      <c r="H1039" s="33">
        <v>2023</v>
      </c>
      <c r="I1039" s="32">
        <v>1</v>
      </c>
      <c r="J1039" s="406" cm="1">
        <f t="array" ref="J1039">INDEX(implementatie[[2023]:[2034]],MATCH(G1039, implementatie[Zoeksleutel],0),I1039)</f>
        <v>0</v>
      </c>
      <c r="K1039" s="406" cm="1">
        <f t="array" ref="K1039">INDEX(implementatie[[2023]:[2034]],MATCH(G1039,implementatie[Zoeksleutel],0),I1039 + 1)</f>
        <v>0</v>
      </c>
      <c r="L103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039" s="398" cm="1">
        <f t="array" ref="M1039">J1039*INDEX(Berekening_impact[Totaal arbeidsbesparing (€/jaar)],MATCH(B1039,IF(Berekening_impact[Doelgroep]=C1039,Berekening_impact[Digitale zorgtoepassing]),0))</f>
        <v>0</v>
      </c>
      <c r="N1039" s="397" cm="1">
        <f t="array" ref="N1039">J1039*INDEX(Berekening_impact[Totaal arbeidsbesparing (FTE/jaar)],MATCH(B1039,IF(Berekening_impact[Doelgroep]=C1039,Berekening_impact[Digitale zorgtoepassing]),0))</f>
        <v>0</v>
      </c>
      <c r="O1039" s="398" cm="1">
        <f t="array" ref="O1039">J1039*INDEX(Berekening_impact[Overige kostenbesparing (totaal/jaar totaal potentieel)],MATCH(B1039,IF(Berekening_impact[Doelgroep]=C1039,Berekening_impact[Digitale zorgtoepassing]),0))</f>
        <v>0</v>
      </c>
      <c r="P1039" s="398" cm="1">
        <f t="array" ref="P1039">J1039*INDEX(Berekening_impact[Opbrengsten door QALY''s],MATCH(B1039,IF(Berekening_impact[Doelgroep]=C1039,Berekening_impact[Digitale zorgtoepassing]),0))</f>
        <v>0</v>
      </c>
      <c r="Q1039" s="398" cm="1">
        <f t="array" ref="Q1039">J1039*INDEX(Berekening_impact[Jaarlijkse kosten (totaal) - incl. schatting],MATCH(B1039,IF(Berekening_impact[Doelgroep]=C1039,Berekening_impact[Digitale zorgtoepassing]),0))</f>
        <v>0</v>
      </c>
      <c r="R1039" s="398" cm="1">
        <f t="array" ref="R1039">(uitkomst_doelgroep[[#This Row],[Implementatiegraad t = T + 1]]-uitkomst_doelgroep[[#This Row],[Implementatiegraad t = T]])*INDEX(Berekening_impact[Initiële investering (totaal) - incl. schatting],MATCH(B1039,IF(Berekening_impact[Doelgroep]=C1039,Berekening_impact[Digitale zorgtoepassing]),0))</f>
        <v>0</v>
      </c>
      <c r="S1039" s="398">
        <f>uitkomst_doelgroep[[#This Row],[Arbeidsbesparing (€)]]*uitkomst_doelgroep[[#This Row],[Percentage van patiëntaantallen in Wlz (overige is Zvw)]]</f>
        <v>0</v>
      </c>
      <c r="T1039" s="398">
        <f>uitkomst_doelgroep[[#This Row],[Overige besparingen (€)]]*uitkomst_doelgroep[[#This Row],[Percentage van patiëntaantallen in Wlz (overige is Zvw)]]</f>
        <v>0</v>
      </c>
      <c r="U1039" s="398">
        <f>uitkomst_doelgroep[[#This Row],[Kosten (€)]]*uitkomst_doelgroep[[#This Row],[Percentage van patiëntaantallen in Wlz (overige is Zvw)]]</f>
        <v>0</v>
      </c>
      <c r="V1039" s="398">
        <f>uitkomst_doelgroep[[#This Row],[Investering (cash flow) (€)]]*uitkomst_doelgroep[[#This Row],[Percentage van patiëntaantallen in Wlz (overige is Zvw)]]</f>
        <v>0</v>
      </c>
    </row>
    <row r="1040" spans="1:22" x14ac:dyDescent="0.5">
      <c r="A1040" s="33" t="str">
        <f>INDEX(Technologieën[Veld],MATCH(B1040,Technologieën[Digitale zorgtoepassing],0))</f>
        <v>Sensoren - Verpleging</v>
      </c>
      <c r="B1040" s="33" t="s">
        <v>36</v>
      </c>
      <c r="C1040" s="33" t="s">
        <v>40</v>
      </c>
      <c r="D1040" s="427" cm="1">
        <f t="array" ref="D1040">INDEX(Berekening_patiëntaantal[Percentage van patiëntaantallen in Wlz (overige is Zvw)],MATCH(B1040,IF(Berekening_patiëntaantal[Doelgroep (zoeksleutel)]=C1040,Berekening_patiëntaantal[Digitale zorgtoepassing]),0))</f>
        <v>0.45</v>
      </c>
      <c r="E1040" s="33" t="str" cm="1">
        <f t="array" ref="E1040">INDEX(Berekening_patiëntaantal[Direct toepasbaar/extrapolatie/incidentie voor QALY],MATCH(B1040,IF(Berekening_patiëntaantal[Doelgroep (zoeksleutel)]=C1040,Berekening_patiëntaantal[Digitale zorgtoepassing]),0))</f>
        <v>Extrapolatie</v>
      </c>
      <c r="F1040" s="33" t="s">
        <v>813</v>
      </c>
      <c r="G1040" s="33" t="str">
        <f>CONCATENATE(uitkomst_doelgroep[[#This Row],[Digitale zorgtoepassing]],"_",uitkomst_doelgroep[[#This Row],[Doelgroep]],"_",uitkomst_doelgroep[[#This Row],[Uitgangssituatie/effect beleid]])</f>
        <v>Leefstijlmonitoring_Kwetsbare ouderen_Uitgangssituatie</v>
      </c>
      <c r="H1040" s="33">
        <v>2023</v>
      </c>
      <c r="I1040" s="32">
        <v>1</v>
      </c>
      <c r="J1040" s="406" cm="1">
        <f t="array" ref="J1040">INDEX(implementatie[[2023]:[2034]],MATCH(G1040, implementatie[Zoeksleutel],0),I1040)</f>
        <v>0</v>
      </c>
      <c r="K1040" s="406" cm="1">
        <f t="array" ref="K1040">INDEX(implementatie[[2023]:[2034]],MATCH(G1040,implementatie[Zoeksleutel],0),I1040 + 1)</f>
        <v>0</v>
      </c>
      <c r="L104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040" s="398" cm="1">
        <f t="array" ref="M1040">J1040*INDEX(Berekening_impact[Totaal arbeidsbesparing (€/jaar)],MATCH(B1040,IF(Berekening_impact[Doelgroep]=C1040,Berekening_impact[Digitale zorgtoepassing]),0))</f>
        <v>0</v>
      </c>
      <c r="N1040" s="397" cm="1">
        <f t="array" ref="N1040">J1040*INDEX(Berekening_impact[Totaal arbeidsbesparing (FTE/jaar)],MATCH(B1040,IF(Berekening_impact[Doelgroep]=C1040,Berekening_impact[Digitale zorgtoepassing]),0))</f>
        <v>0</v>
      </c>
      <c r="O1040" s="398" cm="1">
        <f t="array" ref="O1040">J1040*INDEX(Berekening_impact[Overige kostenbesparing (totaal/jaar totaal potentieel)],MATCH(B1040,IF(Berekening_impact[Doelgroep]=C1040,Berekening_impact[Digitale zorgtoepassing]),0))</f>
        <v>0</v>
      </c>
      <c r="P1040" s="398" cm="1">
        <f t="array" ref="P1040">J1040*INDEX(Berekening_impact[Opbrengsten door QALY''s],MATCH(B1040,IF(Berekening_impact[Doelgroep]=C1040,Berekening_impact[Digitale zorgtoepassing]),0))</f>
        <v>0</v>
      </c>
      <c r="Q1040" s="398" cm="1">
        <f t="array" ref="Q1040">J1040*INDEX(Berekening_impact[Jaarlijkse kosten (totaal) - incl. schatting],MATCH(B1040,IF(Berekening_impact[Doelgroep]=C1040,Berekening_impact[Digitale zorgtoepassing]),0))</f>
        <v>0</v>
      </c>
      <c r="R1040" s="398" cm="1">
        <f t="array" ref="R1040">(uitkomst_doelgroep[[#This Row],[Implementatiegraad t = T + 1]]-uitkomst_doelgroep[[#This Row],[Implementatiegraad t = T]])*INDEX(Berekening_impact[Initiële investering (totaal) - incl. schatting],MATCH(B1040,IF(Berekening_impact[Doelgroep]=C1040,Berekening_impact[Digitale zorgtoepassing]),0))</f>
        <v>0</v>
      </c>
      <c r="S1040" s="398">
        <f>uitkomst_doelgroep[[#This Row],[Arbeidsbesparing (€)]]*uitkomst_doelgroep[[#This Row],[Percentage van patiëntaantallen in Wlz (overige is Zvw)]]</f>
        <v>0</v>
      </c>
      <c r="T1040" s="398">
        <f>uitkomst_doelgroep[[#This Row],[Overige besparingen (€)]]*uitkomst_doelgroep[[#This Row],[Percentage van patiëntaantallen in Wlz (overige is Zvw)]]</f>
        <v>0</v>
      </c>
      <c r="U1040" s="398">
        <f>uitkomst_doelgroep[[#This Row],[Kosten (€)]]*uitkomst_doelgroep[[#This Row],[Percentage van patiëntaantallen in Wlz (overige is Zvw)]]</f>
        <v>0</v>
      </c>
      <c r="V1040" s="398">
        <f>uitkomst_doelgroep[[#This Row],[Investering (cash flow) (€)]]*uitkomst_doelgroep[[#This Row],[Percentage van patiëntaantallen in Wlz (overige is Zvw)]]</f>
        <v>0</v>
      </c>
    </row>
    <row r="1041" spans="1:22" x14ac:dyDescent="0.5">
      <c r="A1041" s="33" t="str">
        <f>INDEX(Technologieën[Veld],MATCH(B1041,Technologieën[Digitale zorgtoepassing],0))</f>
        <v>Sensoren - Verpleging</v>
      </c>
      <c r="B1041" s="33" t="s">
        <v>36</v>
      </c>
      <c r="C1041" s="33" t="s">
        <v>27</v>
      </c>
      <c r="D1041" s="427" cm="1">
        <f t="array" ref="D1041">INDEX(Berekening_patiëntaantal[Percentage van patiëntaantallen in Wlz (overige is Zvw)],MATCH(B1041,IF(Berekening_patiëntaantal[Doelgroep (zoeksleutel)]=C1041,Berekening_patiëntaantal[Digitale zorgtoepassing]),0))</f>
        <v>0.45</v>
      </c>
      <c r="E1041" s="33" t="str" cm="1">
        <f t="array" ref="E1041">INDEX(Berekening_patiëntaantal[Direct toepasbaar/extrapolatie/incidentie voor QALY],MATCH(B1041,IF(Berekening_patiëntaantal[Doelgroep (zoeksleutel)]=C1041,Berekening_patiëntaantal[Digitale zorgtoepassing]),0))</f>
        <v>Extrapolatie</v>
      </c>
      <c r="F1041" s="33" t="s">
        <v>813</v>
      </c>
      <c r="G1041" s="33" t="str">
        <f>CONCATENATE(uitkomst_doelgroep[[#This Row],[Digitale zorgtoepassing]],"_",uitkomst_doelgroep[[#This Row],[Doelgroep]],"_",uitkomst_doelgroep[[#This Row],[Uitgangssituatie/effect beleid]])</f>
        <v>Leefstijlmonitoring_Parkinson_Uitgangssituatie</v>
      </c>
      <c r="H1041" s="33">
        <v>2023</v>
      </c>
      <c r="I1041" s="32">
        <v>1</v>
      </c>
      <c r="J1041" s="406" cm="1">
        <f t="array" ref="J1041">INDEX(implementatie[[2023]:[2034]],MATCH(G1041, implementatie[Zoeksleutel],0),I1041)</f>
        <v>0</v>
      </c>
      <c r="K1041" s="406" cm="1">
        <f t="array" ref="K1041">INDEX(implementatie[[2023]:[2034]],MATCH(G1041,implementatie[Zoeksleutel],0),I1041 + 1)</f>
        <v>0</v>
      </c>
      <c r="L104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041" s="398" cm="1">
        <f t="array" ref="M1041">J1041*INDEX(Berekening_impact[Totaal arbeidsbesparing (€/jaar)],MATCH(B1041,IF(Berekening_impact[Doelgroep]=C1041,Berekening_impact[Digitale zorgtoepassing]),0))</f>
        <v>0</v>
      </c>
      <c r="N1041" s="397" cm="1">
        <f t="array" ref="N1041">J1041*INDEX(Berekening_impact[Totaal arbeidsbesparing (FTE/jaar)],MATCH(B1041,IF(Berekening_impact[Doelgroep]=C1041,Berekening_impact[Digitale zorgtoepassing]),0))</f>
        <v>0</v>
      </c>
      <c r="O1041" s="398" cm="1">
        <f t="array" ref="O1041">J1041*INDEX(Berekening_impact[Overige kostenbesparing (totaal/jaar totaal potentieel)],MATCH(B1041,IF(Berekening_impact[Doelgroep]=C1041,Berekening_impact[Digitale zorgtoepassing]),0))</f>
        <v>0</v>
      </c>
      <c r="P1041" s="398" cm="1">
        <f t="array" ref="P1041">J1041*INDEX(Berekening_impact[Opbrengsten door QALY''s],MATCH(B1041,IF(Berekening_impact[Doelgroep]=C1041,Berekening_impact[Digitale zorgtoepassing]),0))</f>
        <v>0</v>
      </c>
      <c r="Q1041" s="398" cm="1">
        <f t="array" ref="Q1041">J1041*INDEX(Berekening_impact[Jaarlijkse kosten (totaal) - incl. schatting],MATCH(B1041,IF(Berekening_impact[Doelgroep]=C1041,Berekening_impact[Digitale zorgtoepassing]),0))</f>
        <v>0</v>
      </c>
      <c r="R1041" s="398" cm="1">
        <f t="array" ref="R1041">(uitkomst_doelgroep[[#This Row],[Implementatiegraad t = T + 1]]-uitkomst_doelgroep[[#This Row],[Implementatiegraad t = T]])*INDEX(Berekening_impact[Initiële investering (totaal) - incl. schatting],MATCH(B1041,IF(Berekening_impact[Doelgroep]=C1041,Berekening_impact[Digitale zorgtoepassing]),0))</f>
        <v>0</v>
      </c>
      <c r="S1041" s="398">
        <f>uitkomst_doelgroep[[#This Row],[Arbeidsbesparing (€)]]*uitkomst_doelgroep[[#This Row],[Percentage van patiëntaantallen in Wlz (overige is Zvw)]]</f>
        <v>0</v>
      </c>
      <c r="T1041" s="398">
        <f>uitkomst_doelgroep[[#This Row],[Overige besparingen (€)]]*uitkomst_doelgroep[[#This Row],[Percentage van patiëntaantallen in Wlz (overige is Zvw)]]</f>
        <v>0</v>
      </c>
      <c r="U1041" s="398">
        <f>uitkomst_doelgroep[[#This Row],[Kosten (€)]]*uitkomst_doelgroep[[#This Row],[Percentage van patiëntaantallen in Wlz (overige is Zvw)]]</f>
        <v>0</v>
      </c>
      <c r="V1041" s="398">
        <f>uitkomst_doelgroep[[#This Row],[Investering (cash flow) (€)]]*uitkomst_doelgroep[[#This Row],[Percentage van patiëntaantallen in Wlz (overige is Zvw)]]</f>
        <v>0</v>
      </c>
    </row>
    <row r="1042" spans="1:22" x14ac:dyDescent="0.5">
      <c r="A1042" s="33" t="str">
        <f>INDEX(Technologieën[Veld],MATCH(B1042,Technologieën[Digitale zorgtoepassing],0))</f>
        <v>Sensoren - Verpleging</v>
      </c>
      <c r="B1042" s="33" t="s">
        <v>36</v>
      </c>
      <c r="C1042" s="33" t="s">
        <v>20</v>
      </c>
      <c r="D1042" s="427" cm="1">
        <f t="array" ref="D1042">INDEX(Berekening_patiëntaantal[Percentage van patiëntaantallen in Wlz (overige is Zvw)],MATCH(B1042,IF(Berekening_patiëntaantal[Doelgroep (zoeksleutel)]=C1042,Berekening_patiëntaantal[Digitale zorgtoepassing]),0))</f>
        <v>0</v>
      </c>
      <c r="E1042" s="33" t="str" cm="1">
        <f t="array" ref="E1042">INDEX(Berekening_patiëntaantal[Direct toepasbaar/extrapolatie/incidentie voor QALY],MATCH(B1042,IF(Berekening_patiëntaantal[Doelgroep (zoeksleutel)]=C1042,Berekening_patiëntaantal[Digitale zorgtoepassing]),0))</f>
        <v>Huidige toepassing</v>
      </c>
      <c r="F1042" s="33" t="s">
        <v>813</v>
      </c>
      <c r="G1042" s="33" t="str">
        <f>CONCATENATE(uitkomst_doelgroep[[#This Row],[Digitale zorgtoepassing]],"_",uitkomst_doelgroep[[#This Row],[Doelgroep]],"_",uitkomst_doelgroep[[#This Row],[Uitgangssituatie/effect beleid]])</f>
        <v>Leefstijlmonitoring_Dementie_Uitgangssituatie</v>
      </c>
      <c r="H1042" s="33">
        <v>2023</v>
      </c>
      <c r="I1042" s="32">
        <v>1</v>
      </c>
      <c r="J1042" s="406" cm="1">
        <f t="array" ref="J1042">INDEX(implementatie[[2023]:[2034]],MATCH(G1042, implementatie[Zoeksleutel],0),I1042)</f>
        <v>0.2</v>
      </c>
      <c r="K1042" s="406" cm="1">
        <f t="array" ref="K1042">INDEX(implementatie[[2023]:[2034]],MATCH(G1042,implementatie[Zoeksleutel],0),I1042 + 1)</f>
        <v>0.28000000000000003</v>
      </c>
      <c r="L104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6612.87</v>
      </c>
      <c r="M1042" s="398" cm="1">
        <f t="array" ref="M1042">J1042*INDEX(Berekening_impact[Totaal arbeidsbesparing (€/jaar)],MATCH(B1042,IF(Berekening_impact[Doelgroep]=C1042,Berekening_impact[Digitale zorgtoepassing]),0))</f>
        <v>22810548.326879766</v>
      </c>
      <c r="N1042" s="397" cm="1">
        <f t="array" ref="N1042">J1042*INDEX(Berekening_impact[Totaal arbeidsbesparing (FTE/jaar)],MATCH(B1042,IF(Berekening_impact[Doelgroep]=C1042,Berekening_impact[Digitale zorgtoepassing]),0))</f>
        <v>537.29887804183431</v>
      </c>
      <c r="O1042" s="398" cm="1">
        <f t="array" ref="O1042">J1042*INDEX(Berekening_impact[Overige kostenbesparing (totaal/jaar totaal potentieel)],MATCH(B1042,IF(Berekening_impact[Doelgroep]=C1042,Berekening_impact[Digitale zorgtoepassing]),0))</f>
        <v>3137769.0271714278</v>
      </c>
      <c r="P1042" s="398" cm="1">
        <f t="array" ref="P1042">J1042*INDEX(Berekening_impact[Opbrengsten door QALY''s],MATCH(B1042,IF(Berekening_impact[Doelgroep]=C1042,Berekening_impact[Digitale zorgtoepassing]),0))</f>
        <v>0</v>
      </c>
      <c r="Q1042" s="398" cm="1">
        <f t="array" ref="Q1042">J1042*INDEX(Berekening_impact[Jaarlijkse kosten (totaal) - incl. schatting],MATCH(B1042,IF(Berekening_impact[Doelgroep]=C1042,Berekening_impact[Digitale zorgtoepassing]),0))</f>
        <v>12418969.859999999</v>
      </c>
      <c r="R1042" s="398" cm="1">
        <f t="array" ref="R1042">(uitkomst_doelgroep[[#This Row],[Implementatiegraad t = T + 1]]-uitkomst_doelgroep[[#This Row],[Implementatiegraad t = T]])*INDEX(Berekening_impact[Initiële investering (totaal) - incl. schatting],MATCH(B1042,IF(Berekening_impact[Doelgroep]=C1042,Berekening_impact[Digitale zorgtoepassing]),0))</f>
        <v>0</v>
      </c>
      <c r="S1042" s="398">
        <f>uitkomst_doelgroep[[#This Row],[Arbeidsbesparing (€)]]*uitkomst_doelgroep[[#This Row],[Percentage van patiëntaantallen in Wlz (overige is Zvw)]]</f>
        <v>0</v>
      </c>
      <c r="T1042" s="398">
        <f>uitkomst_doelgroep[[#This Row],[Overige besparingen (€)]]*uitkomst_doelgroep[[#This Row],[Percentage van patiëntaantallen in Wlz (overige is Zvw)]]</f>
        <v>0</v>
      </c>
      <c r="U1042" s="398">
        <f>uitkomst_doelgroep[[#This Row],[Kosten (€)]]*uitkomst_doelgroep[[#This Row],[Percentage van patiëntaantallen in Wlz (overige is Zvw)]]</f>
        <v>0</v>
      </c>
      <c r="V1042" s="398">
        <f>uitkomst_doelgroep[[#This Row],[Investering (cash flow) (€)]]*uitkomst_doelgroep[[#This Row],[Percentage van patiëntaantallen in Wlz (overige is Zvw)]]</f>
        <v>0</v>
      </c>
    </row>
    <row r="1043" spans="1:22" x14ac:dyDescent="0.5">
      <c r="A1043" s="33" t="str">
        <f>INDEX(Technologieën[Veld],MATCH(B1043,Technologieën[Digitale zorgtoepassing],0))</f>
        <v>Sensoren - Verpleging</v>
      </c>
      <c r="B1043" s="33" t="s">
        <v>36</v>
      </c>
      <c r="C1043" s="33" t="s">
        <v>24</v>
      </c>
      <c r="D1043" s="427" cm="1">
        <f t="array" ref="D1043">INDEX(Berekening_patiëntaantal[Percentage van patiëntaantallen in Wlz (overige is Zvw)],MATCH(B1043,IF(Berekening_patiëntaantal[Doelgroep (zoeksleutel)]=C1043,Berekening_patiëntaantal[Digitale zorgtoepassing]),0))</f>
        <v>0.45</v>
      </c>
      <c r="E1043" s="33" t="str" cm="1">
        <f t="array" ref="E1043">INDEX(Berekening_patiëntaantal[Direct toepasbaar/extrapolatie/incidentie voor QALY],MATCH(B1043,IF(Berekening_patiëntaantal[Doelgroep (zoeksleutel)]=C1043,Berekening_patiëntaantal[Digitale zorgtoepassing]),0))</f>
        <v>Extrapolatie</v>
      </c>
      <c r="F1043" s="33" t="s">
        <v>813</v>
      </c>
      <c r="G1043" s="33" t="str">
        <f>CONCATENATE(uitkomst_doelgroep[[#This Row],[Digitale zorgtoepassing]],"_",uitkomst_doelgroep[[#This Row],[Doelgroep]],"_",uitkomst_doelgroep[[#This Row],[Uitgangssituatie/effect beleid]])</f>
        <v>Leefstijlmonitoring_Cognitieve beperking_Uitgangssituatie</v>
      </c>
      <c r="H1043" s="33">
        <v>2024</v>
      </c>
      <c r="I1043" s="32">
        <v>2</v>
      </c>
      <c r="J1043" s="406" cm="1">
        <f t="array" ref="J1043">INDEX(implementatie[[2023]:[2034]],MATCH(G1043, implementatie[Zoeksleutel],0),I1043)</f>
        <v>0</v>
      </c>
      <c r="K1043" s="406" cm="1">
        <f t="array" ref="K1043">INDEX(implementatie[[2023]:[2034]],MATCH(G1043,implementatie[Zoeksleutel],0),I1043 + 1)</f>
        <v>0</v>
      </c>
      <c r="L104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043" s="398" cm="1">
        <f t="array" ref="M1043">J1043*INDEX(Berekening_impact[Totaal arbeidsbesparing (€/jaar)],MATCH(B1043,IF(Berekening_impact[Doelgroep]=C1043,Berekening_impact[Digitale zorgtoepassing]),0))</f>
        <v>0</v>
      </c>
      <c r="N1043" s="397" cm="1">
        <f t="array" ref="N1043">J1043*INDEX(Berekening_impact[Totaal arbeidsbesparing (FTE/jaar)],MATCH(B1043,IF(Berekening_impact[Doelgroep]=C1043,Berekening_impact[Digitale zorgtoepassing]),0))</f>
        <v>0</v>
      </c>
      <c r="O1043" s="398" cm="1">
        <f t="array" ref="O1043">J1043*INDEX(Berekening_impact[Overige kostenbesparing (totaal/jaar totaal potentieel)],MATCH(B1043,IF(Berekening_impact[Doelgroep]=C1043,Berekening_impact[Digitale zorgtoepassing]),0))</f>
        <v>0</v>
      </c>
      <c r="P1043" s="398" cm="1">
        <f t="array" ref="P1043">J1043*INDEX(Berekening_impact[Opbrengsten door QALY''s],MATCH(B1043,IF(Berekening_impact[Doelgroep]=C1043,Berekening_impact[Digitale zorgtoepassing]),0))</f>
        <v>0</v>
      </c>
      <c r="Q1043" s="398" cm="1">
        <f t="array" ref="Q1043">J1043*INDEX(Berekening_impact[Jaarlijkse kosten (totaal) - incl. schatting],MATCH(B1043,IF(Berekening_impact[Doelgroep]=C1043,Berekening_impact[Digitale zorgtoepassing]),0))</f>
        <v>0</v>
      </c>
      <c r="R1043" s="398" cm="1">
        <f t="array" ref="R1043">(uitkomst_doelgroep[[#This Row],[Implementatiegraad t = T + 1]]-uitkomst_doelgroep[[#This Row],[Implementatiegraad t = T]])*INDEX(Berekening_impact[Initiële investering (totaal) - incl. schatting],MATCH(B1043,IF(Berekening_impact[Doelgroep]=C1043,Berekening_impact[Digitale zorgtoepassing]),0))</f>
        <v>0</v>
      </c>
      <c r="S1043" s="398">
        <f>uitkomst_doelgroep[[#This Row],[Arbeidsbesparing (€)]]*uitkomst_doelgroep[[#This Row],[Percentage van patiëntaantallen in Wlz (overige is Zvw)]]</f>
        <v>0</v>
      </c>
      <c r="T1043" s="398">
        <f>uitkomst_doelgroep[[#This Row],[Overige besparingen (€)]]*uitkomst_doelgroep[[#This Row],[Percentage van patiëntaantallen in Wlz (overige is Zvw)]]</f>
        <v>0</v>
      </c>
      <c r="U1043" s="398">
        <f>uitkomst_doelgroep[[#This Row],[Kosten (€)]]*uitkomst_doelgroep[[#This Row],[Percentage van patiëntaantallen in Wlz (overige is Zvw)]]</f>
        <v>0</v>
      </c>
      <c r="V1043" s="398">
        <f>uitkomst_doelgroep[[#This Row],[Investering (cash flow) (€)]]*uitkomst_doelgroep[[#This Row],[Percentage van patiëntaantallen in Wlz (overige is Zvw)]]</f>
        <v>0</v>
      </c>
    </row>
    <row r="1044" spans="1:22" x14ac:dyDescent="0.5">
      <c r="A1044" s="33" t="str">
        <f>INDEX(Technologieën[Veld],MATCH(B1044,Technologieën[Digitale zorgtoepassing],0))</f>
        <v>Sensoren - Verpleging</v>
      </c>
      <c r="B1044" s="33" t="s">
        <v>36</v>
      </c>
      <c r="C1044" s="33" t="s">
        <v>40</v>
      </c>
      <c r="D1044" s="427" cm="1">
        <f t="array" ref="D1044">INDEX(Berekening_patiëntaantal[Percentage van patiëntaantallen in Wlz (overige is Zvw)],MATCH(B1044,IF(Berekening_patiëntaantal[Doelgroep (zoeksleutel)]=C1044,Berekening_patiëntaantal[Digitale zorgtoepassing]),0))</f>
        <v>0.45</v>
      </c>
      <c r="E1044" s="33" t="str" cm="1">
        <f t="array" ref="E1044">INDEX(Berekening_patiëntaantal[Direct toepasbaar/extrapolatie/incidentie voor QALY],MATCH(B1044,IF(Berekening_patiëntaantal[Doelgroep (zoeksleutel)]=C1044,Berekening_patiëntaantal[Digitale zorgtoepassing]),0))</f>
        <v>Extrapolatie</v>
      </c>
      <c r="F1044" s="33" t="s">
        <v>813</v>
      </c>
      <c r="G1044" s="33" t="str">
        <f>CONCATENATE(uitkomst_doelgroep[[#This Row],[Digitale zorgtoepassing]],"_",uitkomst_doelgroep[[#This Row],[Doelgroep]],"_",uitkomst_doelgroep[[#This Row],[Uitgangssituatie/effect beleid]])</f>
        <v>Leefstijlmonitoring_Kwetsbare ouderen_Uitgangssituatie</v>
      </c>
      <c r="H1044" s="33">
        <v>2024</v>
      </c>
      <c r="I1044" s="32">
        <v>2</v>
      </c>
      <c r="J1044" s="406" cm="1">
        <f t="array" ref="J1044">INDEX(implementatie[[2023]:[2034]],MATCH(G1044, implementatie[Zoeksleutel],0),I1044)</f>
        <v>0</v>
      </c>
      <c r="K1044" s="406" cm="1">
        <f t="array" ref="K1044">INDEX(implementatie[[2023]:[2034]],MATCH(G1044,implementatie[Zoeksleutel],0),I1044 + 1)</f>
        <v>0</v>
      </c>
      <c r="L104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044" s="398" cm="1">
        <f t="array" ref="M1044">J1044*INDEX(Berekening_impact[Totaal arbeidsbesparing (€/jaar)],MATCH(B1044,IF(Berekening_impact[Doelgroep]=C1044,Berekening_impact[Digitale zorgtoepassing]),0))</f>
        <v>0</v>
      </c>
      <c r="N1044" s="397" cm="1">
        <f t="array" ref="N1044">J1044*INDEX(Berekening_impact[Totaal arbeidsbesparing (FTE/jaar)],MATCH(B1044,IF(Berekening_impact[Doelgroep]=C1044,Berekening_impact[Digitale zorgtoepassing]),0))</f>
        <v>0</v>
      </c>
      <c r="O1044" s="398" cm="1">
        <f t="array" ref="O1044">J1044*INDEX(Berekening_impact[Overige kostenbesparing (totaal/jaar totaal potentieel)],MATCH(B1044,IF(Berekening_impact[Doelgroep]=C1044,Berekening_impact[Digitale zorgtoepassing]),0))</f>
        <v>0</v>
      </c>
      <c r="P1044" s="398" cm="1">
        <f t="array" ref="P1044">J1044*INDEX(Berekening_impact[Opbrengsten door QALY''s],MATCH(B1044,IF(Berekening_impact[Doelgroep]=C1044,Berekening_impact[Digitale zorgtoepassing]),0))</f>
        <v>0</v>
      </c>
      <c r="Q1044" s="398" cm="1">
        <f t="array" ref="Q1044">J1044*INDEX(Berekening_impact[Jaarlijkse kosten (totaal) - incl. schatting],MATCH(B1044,IF(Berekening_impact[Doelgroep]=C1044,Berekening_impact[Digitale zorgtoepassing]),0))</f>
        <v>0</v>
      </c>
      <c r="R1044" s="398" cm="1">
        <f t="array" ref="R1044">(uitkomst_doelgroep[[#This Row],[Implementatiegraad t = T + 1]]-uitkomst_doelgroep[[#This Row],[Implementatiegraad t = T]])*INDEX(Berekening_impact[Initiële investering (totaal) - incl. schatting],MATCH(B1044,IF(Berekening_impact[Doelgroep]=C1044,Berekening_impact[Digitale zorgtoepassing]),0))</f>
        <v>0</v>
      </c>
      <c r="S1044" s="398">
        <f>uitkomst_doelgroep[[#This Row],[Arbeidsbesparing (€)]]*uitkomst_doelgroep[[#This Row],[Percentage van patiëntaantallen in Wlz (overige is Zvw)]]</f>
        <v>0</v>
      </c>
      <c r="T1044" s="398">
        <f>uitkomst_doelgroep[[#This Row],[Overige besparingen (€)]]*uitkomst_doelgroep[[#This Row],[Percentage van patiëntaantallen in Wlz (overige is Zvw)]]</f>
        <v>0</v>
      </c>
      <c r="U1044" s="398">
        <f>uitkomst_doelgroep[[#This Row],[Kosten (€)]]*uitkomst_doelgroep[[#This Row],[Percentage van patiëntaantallen in Wlz (overige is Zvw)]]</f>
        <v>0</v>
      </c>
      <c r="V1044" s="398">
        <f>uitkomst_doelgroep[[#This Row],[Investering (cash flow) (€)]]*uitkomst_doelgroep[[#This Row],[Percentage van patiëntaantallen in Wlz (overige is Zvw)]]</f>
        <v>0</v>
      </c>
    </row>
    <row r="1045" spans="1:22" x14ac:dyDescent="0.5">
      <c r="A1045" s="33" t="str">
        <f>INDEX(Technologieën[Veld],MATCH(B1045,Technologieën[Digitale zorgtoepassing],0))</f>
        <v>Sensoren - Verpleging</v>
      </c>
      <c r="B1045" s="33" t="s">
        <v>36</v>
      </c>
      <c r="C1045" s="33" t="s">
        <v>27</v>
      </c>
      <c r="D1045" s="427" cm="1">
        <f t="array" ref="D1045">INDEX(Berekening_patiëntaantal[Percentage van patiëntaantallen in Wlz (overige is Zvw)],MATCH(B1045,IF(Berekening_patiëntaantal[Doelgroep (zoeksleutel)]=C1045,Berekening_patiëntaantal[Digitale zorgtoepassing]),0))</f>
        <v>0.45</v>
      </c>
      <c r="E1045" s="33" t="str" cm="1">
        <f t="array" ref="E1045">INDEX(Berekening_patiëntaantal[Direct toepasbaar/extrapolatie/incidentie voor QALY],MATCH(B1045,IF(Berekening_patiëntaantal[Doelgroep (zoeksleutel)]=C1045,Berekening_patiëntaantal[Digitale zorgtoepassing]),0))</f>
        <v>Extrapolatie</v>
      </c>
      <c r="F1045" s="33" t="s">
        <v>813</v>
      </c>
      <c r="G1045" s="33" t="str">
        <f>CONCATENATE(uitkomst_doelgroep[[#This Row],[Digitale zorgtoepassing]],"_",uitkomst_doelgroep[[#This Row],[Doelgroep]],"_",uitkomst_doelgroep[[#This Row],[Uitgangssituatie/effect beleid]])</f>
        <v>Leefstijlmonitoring_Parkinson_Uitgangssituatie</v>
      </c>
      <c r="H1045" s="33">
        <v>2024</v>
      </c>
      <c r="I1045" s="32">
        <v>2</v>
      </c>
      <c r="J1045" s="406" cm="1">
        <f t="array" ref="J1045">INDEX(implementatie[[2023]:[2034]],MATCH(G1045, implementatie[Zoeksleutel],0),I1045)</f>
        <v>0</v>
      </c>
      <c r="K1045" s="406" cm="1">
        <f t="array" ref="K1045">INDEX(implementatie[[2023]:[2034]],MATCH(G1045,implementatie[Zoeksleutel],0),I1045 + 1)</f>
        <v>0</v>
      </c>
      <c r="L104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045" s="398" cm="1">
        <f t="array" ref="M1045">J1045*INDEX(Berekening_impact[Totaal arbeidsbesparing (€/jaar)],MATCH(B1045,IF(Berekening_impact[Doelgroep]=C1045,Berekening_impact[Digitale zorgtoepassing]),0))</f>
        <v>0</v>
      </c>
      <c r="N1045" s="397" cm="1">
        <f t="array" ref="N1045">J1045*INDEX(Berekening_impact[Totaal arbeidsbesparing (FTE/jaar)],MATCH(B1045,IF(Berekening_impact[Doelgroep]=C1045,Berekening_impact[Digitale zorgtoepassing]),0))</f>
        <v>0</v>
      </c>
      <c r="O1045" s="398" cm="1">
        <f t="array" ref="O1045">J1045*INDEX(Berekening_impact[Overige kostenbesparing (totaal/jaar totaal potentieel)],MATCH(B1045,IF(Berekening_impact[Doelgroep]=C1045,Berekening_impact[Digitale zorgtoepassing]),0))</f>
        <v>0</v>
      </c>
      <c r="P1045" s="398" cm="1">
        <f t="array" ref="P1045">J1045*INDEX(Berekening_impact[Opbrengsten door QALY''s],MATCH(B1045,IF(Berekening_impact[Doelgroep]=C1045,Berekening_impact[Digitale zorgtoepassing]),0))</f>
        <v>0</v>
      </c>
      <c r="Q1045" s="398" cm="1">
        <f t="array" ref="Q1045">J1045*INDEX(Berekening_impact[Jaarlijkse kosten (totaal) - incl. schatting],MATCH(B1045,IF(Berekening_impact[Doelgroep]=C1045,Berekening_impact[Digitale zorgtoepassing]),0))</f>
        <v>0</v>
      </c>
      <c r="R1045" s="398" cm="1">
        <f t="array" ref="R1045">(uitkomst_doelgroep[[#This Row],[Implementatiegraad t = T + 1]]-uitkomst_doelgroep[[#This Row],[Implementatiegraad t = T]])*INDEX(Berekening_impact[Initiële investering (totaal) - incl. schatting],MATCH(B1045,IF(Berekening_impact[Doelgroep]=C1045,Berekening_impact[Digitale zorgtoepassing]),0))</f>
        <v>0</v>
      </c>
      <c r="S1045" s="398">
        <f>uitkomst_doelgroep[[#This Row],[Arbeidsbesparing (€)]]*uitkomst_doelgroep[[#This Row],[Percentage van patiëntaantallen in Wlz (overige is Zvw)]]</f>
        <v>0</v>
      </c>
      <c r="T1045" s="398">
        <f>uitkomst_doelgroep[[#This Row],[Overige besparingen (€)]]*uitkomst_doelgroep[[#This Row],[Percentage van patiëntaantallen in Wlz (overige is Zvw)]]</f>
        <v>0</v>
      </c>
      <c r="U1045" s="398">
        <f>uitkomst_doelgroep[[#This Row],[Kosten (€)]]*uitkomst_doelgroep[[#This Row],[Percentage van patiëntaantallen in Wlz (overige is Zvw)]]</f>
        <v>0</v>
      </c>
      <c r="V1045" s="398">
        <f>uitkomst_doelgroep[[#This Row],[Investering (cash flow) (€)]]*uitkomst_doelgroep[[#This Row],[Percentage van patiëntaantallen in Wlz (overige is Zvw)]]</f>
        <v>0</v>
      </c>
    </row>
    <row r="1046" spans="1:22" x14ac:dyDescent="0.5">
      <c r="A1046" s="33" t="str">
        <f>INDEX(Technologieën[Veld],MATCH(B1046,Technologieën[Digitale zorgtoepassing],0))</f>
        <v>Sensoren - Verpleging</v>
      </c>
      <c r="B1046" s="33" t="s">
        <v>36</v>
      </c>
      <c r="C1046" s="33" t="s">
        <v>20</v>
      </c>
      <c r="D1046" s="427" cm="1">
        <f t="array" ref="D1046">INDEX(Berekening_patiëntaantal[Percentage van patiëntaantallen in Wlz (overige is Zvw)],MATCH(B1046,IF(Berekening_patiëntaantal[Doelgroep (zoeksleutel)]=C1046,Berekening_patiëntaantal[Digitale zorgtoepassing]),0))</f>
        <v>0</v>
      </c>
      <c r="E1046" s="33" t="str" cm="1">
        <f t="array" ref="E1046">INDEX(Berekening_patiëntaantal[Direct toepasbaar/extrapolatie/incidentie voor QALY],MATCH(B1046,IF(Berekening_patiëntaantal[Doelgroep (zoeksleutel)]=C1046,Berekening_patiëntaantal[Digitale zorgtoepassing]),0))</f>
        <v>Huidige toepassing</v>
      </c>
      <c r="F1046" s="33" t="s">
        <v>813</v>
      </c>
      <c r="G1046" s="33" t="str">
        <f>CONCATENATE(uitkomst_doelgroep[[#This Row],[Digitale zorgtoepassing]],"_",uitkomst_doelgroep[[#This Row],[Doelgroep]],"_",uitkomst_doelgroep[[#This Row],[Uitgangssituatie/effect beleid]])</f>
        <v>Leefstijlmonitoring_Dementie_Uitgangssituatie</v>
      </c>
      <c r="H1046" s="33">
        <v>2024</v>
      </c>
      <c r="I1046" s="32">
        <v>2</v>
      </c>
      <c r="J1046" s="406" cm="1">
        <f t="array" ref="J1046">INDEX(implementatie[[2023]:[2034]],MATCH(G1046, implementatie[Zoeksleutel],0),I1046)</f>
        <v>0.28000000000000003</v>
      </c>
      <c r="K1046" s="406" cm="1">
        <f t="array" ref="K1046">INDEX(implementatie[[2023]:[2034]],MATCH(G1046,implementatie[Zoeksleutel],0),I1046 + 1)</f>
        <v>0.37504000000000004</v>
      </c>
      <c r="L104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9258.018</v>
      </c>
      <c r="M1046" s="398" cm="1">
        <f t="array" ref="M1046">J1046*INDEX(Berekening_impact[Totaal arbeidsbesparing (€/jaar)],MATCH(B1046,IF(Berekening_impact[Doelgroep]=C1046,Berekening_impact[Digitale zorgtoepassing]),0))</f>
        <v>31934767.657631673</v>
      </c>
      <c r="N1046" s="397" cm="1">
        <f t="array" ref="N1046">J1046*INDEX(Berekening_impact[Totaal arbeidsbesparing (FTE/jaar)],MATCH(B1046,IF(Berekening_impact[Doelgroep]=C1046,Berekening_impact[Digitale zorgtoepassing]),0))</f>
        <v>752.21842925856799</v>
      </c>
      <c r="O1046" s="398" cm="1">
        <f t="array" ref="O1046">J1046*INDEX(Berekening_impact[Overige kostenbesparing (totaal/jaar totaal potentieel)],MATCH(B1046,IF(Berekening_impact[Doelgroep]=C1046,Berekening_impact[Digitale zorgtoepassing]),0))</f>
        <v>4392876.6380399996</v>
      </c>
      <c r="P1046" s="398" cm="1">
        <f t="array" ref="P1046">J1046*INDEX(Berekening_impact[Opbrengsten door QALY''s],MATCH(B1046,IF(Berekening_impact[Doelgroep]=C1046,Berekening_impact[Digitale zorgtoepassing]),0))</f>
        <v>0</v>
      </c>
      <c r="Q1046" s="398" cm="1">
        <f t="array" ref="Q1046">J1046*INDEX(Berekening_impact[Jaarlijkse kosten (totaal) - incl. schatting],MATCH(B1046,IF(Berekening_impact[Doelgroep]=C1046,Berekening_impact[Digitale zorgtoepassing]),0))</f>
        <v>17386557.804000001</v>
      </c>
      <c r="R1046" s="398" cm="1">
        <f t="array" ref="R1046">(uitkomst_doelgroep[[#This Row],[Implementatiegraad t = T + 1]]-uitkomst_doelgroep[[#This Row],[Implementatiegraad t = T]])*INDEX(Berekening_impact[Initiële investering (totaal) - incl. schatting],MATCH(B1046,IF(Berekening_impact[Doelgroep]=C1046,Berekening_impact[Digitale zorgtoepassing]),0))</f>
        <v>0</v>
      </c>
      <c r="S1046" s="398">
        <f>uitkomst_doelgroep[[#This Row],[Arbeidsbesparing (€)]]*uitkomst_doelgroep[[#This Row],[Percentage van patiëntaantallen in Wlz (overige is Zvw)]]</f>
        <v>0</v>
      </c>
      <c r="T1046" s="398">
        <f>uitkomst_doelgroep[[#This Row],[Overige besparingen (€)]]*uitkomst_doelgroep[[#This Row],[Percentage van patiëntaantallen in Wlz (overige is Zvw)]]</f>
        <v>0</v>
      </c>
      <c r="U1046" s="398">
        <f>uitkomst_doelgroep[[#This Row],[Kosten (€)]]*uitkomst_doelgroep[[#This Row],[Percentage van patiëntaantallen in Wlz (overige is Zvw)]]</f>
        <v>0</v>
      </c>
      <c r="V1046" s="398">
        <f>uitkomst_doelgroep[[#This Row],[Investering (cash flow) (€)]]*uitkomst_doelgroep[[#This Row],[Percentage van patiëntaantallen in Wlz (overige is Zvw)]]</f>
        <v>0</v>
      </c>
    </row>
    <row r="1047" spans="1:22" x14ac:dyDescent="0.5">
      <c r="A1047" s="33" t="str">
        <f>INDEX(Technologieën[Veld],MATCH(B1047,Technologieën[Digitale zorgtoepassing],0))</f>
        <v>Sensoren - Verpleging</v>
      </c>
      <c r="B1047" s="33" t="s">
        <v>36</v>
      </c>
      <c r="C1047" s="33" t="s">
        <v>24</v>
      </c>
      <c r="D1047" s="427" cm="1">
        <f t="array" ref="D1047">INDEX(Berekening_patiëntaantal[Percentage van patiëntaantallen in Wlz (overige is Zvw)],MATCH(B1047,IF(Berekening_patiëntaantal[Doelgroep (zoeksleutel)]=C1047,Berekening_patiëntaantal[Digitale zorgtoepassing]),0))</f>
        <v>0.45</v>
      </c>
      <c r="E1047" s="33" t="str" cm="1">
        <f t="array" ref="E1047">INDEX(Berekening_patiëntaantal[Direct toepasbaar/extrapolatie/incidentie voor QALY],MATCH(B1047,IF(Berekening_patiëntaantal[Doelgroep (zoeksleutel)]=C1047,Berekening_patiëntaantal[Digitale zorgtoepassing]),0))</f>
        <v>Extrapolatie</v>
      </c>
      <c r="F1047" s="33" t="s">
        <v>813</v>
      </c>
      <c r="G1047" s="33" t="str">
        <f>CONCATENATE(uitkomst_doelgroep[[#This Row],[Digitale zorgtoepassing]],"_",uitkomst_doelgroep[[#This Row],[Doelgroep]],"_",uitkomst_doelgroep[[#This Row],[Uitgangssituatie/effect beleid]])</f>
        <v>Leefstijlmonitoring_Cognitieve beperking_Uitgangssituatie</v>
      </c>
      <c r="H1047" s="33">
        <v>2025</v>
      </c>
      <c r="I1047" s="32">
        <v>3</v>
      </c>
      <c r="J1047" s="406" cm="1">
        <f t="array" ref="J1047">INDEX(implementatie[[2023]:[2034]],MATCH(G1047, implementatie[Zoeksleutel],0),I1047)</f>
        <v>0</v>
      </c>
      <c r="K1047" s="406" cm="1">
        <f t="array" ref="K1047">INDEX(implementatie[[2023]:[2034]],MATCH(G1047,implementatie[Zoeksleutel],0),I1047 + 1)</f>
        <v>0.02</v>
      </c>
      <c r="L104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047" s="398" cm="1">
        <f t="array" ref="M1047">J1047*INDEX(Berekening_impact[Totaal arbeidsbesparing (€/jaar)],MATCH(B1047,IF(Berekening_impact[Doelgroep]=C1047,Berekening_impact[Digitale zorgtoepassing]),0))</f>
        <v>0</v>
      </c>
      <c r="N1047" s="397" cm="1">
        <f t="array" ref="N1047">J1047*INDEX(Berekening_impact[Totaal arbeidsbesparing (FTE/jaar)],MATCH(B1047,IF(Berekening_impact[Doelgroep]=C1047,Berekening_impact[Digitale zorgtoepassing]),0))</f>
        <v>0</v>
      </c>
      <c r="O1047" s="398" cm="1">
        <f t="array" ref="O1047">J1047*INDEX(Berekening_impact[Overige kostenbesparing (totaal/jaar totaal potentieel)],MATCH(B1047,IF(Berekening_impact[Doelgroep]=C1047,Berekening_impact[Digitale zorgtoepassing]),0))</f>
        <v>0</v>
      </c>
      <c r="P1047" s="398" cm="1">
        <f t="array" ref="P1047">J1047*INDEX(Berekening_impact[Opbrengsten door QALY''s],MATCH(B1047,IF(Berekening_impact[Doelgroep]=C1047,Berekening_impact[Digitale zorgtoepassing]),0))</f>
        <v>0</v>
      </c>
      <c r="Q1047" s="398" cm="1">
        <f t="array" ref="Q1047">J1047*INDEX(Berekening_impact[Jaarlijkse kosten (totaal) - incl. schatting],MATCH(B1047,IF(Berekening_impact[Doelgroep]=C1047,Berekening_impact[Digitale zorgtoepassing]),0))</f>
        <v>0</v>
      </c>
      <c r="R1047" s="398" cm="1">
        <f t="array" ref="R1047">(uitkomst_doelgroep[[#This Row],[Implementatiegraad t = T + 1]]-uitkomst_doelgroep[[#This Row],[Implementatiegraad t = T]])*INDEX(Berekening_impact[Initiële investering (totaal) - incl. schatting],MATCH(B1047,IF(Berekening_impact[Doelgroep]=C1047,Berekening_impact[Digitale zorgtoepassing]),0))</f>
        <v>0</v>
      </c>
      <c r="S1047" s="398">
        <f>uitkomst_doelgroep[[#This Row],[Arbeidsbesparing (€)]]*uitkomst_doelgroep[[#This Row],[Percentage van patiëntaantallen in Wlz (overige is Zvw)]]</f>
        <v>0</v>
      </c>
      <c r="T1047" s="398">
        <f>uitkomst_doelgroep[[#This Row],[Overige besparingen (€)]]*uitkomst_doelgroep[[#This Row],[Percentage van patiëntaantallen in Wlz (overige is Zvw)]]</f>
        <v>0</v>
      </c>
      <c r="U1047" s="398">
        <f>uitkomst_doelgroep[[#This Row],[Kosten (€)]]*uitkomst_doelgroep[[#This Row],[Percentage van patiëntaantallen in Wlz (overige is Zvw)]]</f>
        <v>0</v>
      </c>
      <c r="V1047" s="398">
        <f>uitkomst_doelgroep[[#This Row],[Investering (cash flow) (€)]]*uitkomst_doelgroep[[#This Row],[Percentage van patiëntaantallen in Wlz (overige is Zvw)]]</f>
        <v>0</v>
      </c>
    </row>
    <row r="1048" spans="1:22" x14ac:dyDescent="0.5">
      <c r="A1048" s="33" t="str">
        <f>INDEX(Technologieën[Veld],MATCH(B1048,Technologieën[Digitale zorgtoepassing],0))</f>
        <v>Sensoren - Verpleging</v>
      </c>
      <c r="B1048" s="33" t="s">
        <v>36</v>
      </c>
      <c r="C1048" s="33" t="s">
        <v>40</v>
      </c>
      <c r="D1048" s="427" cm="1">
        <f t="array" ref="D1048">INDEX(Berekening_patiëntaantal[Percentage van patiëntaantallen in Wlz (overige is Zvw)],MATCH(B1048,IF(Berekening_patiëntaantal[Doelgroep (zoeksleutel)]=C1048,Berekening_patiëntaantal[Digitale zorgtoepassing]),0))</f>
        <v>0.45</v>
      </c>
      <c r="E1048" s="33" t="str" cm="1">
        <f t="array" ref="E1048">INDEX(Berekening_patiëntaantal[Direct toepasbaar/extrapolatie/incidentie voor QALY],MATCH(B1048,IF(Berekening_patiëntaantal[Doelgroep (zoeksleutel)]=C1048,Berekening_patiëntaantal[Digitale zorgtoepassing]),0))</f>
        <v>Extrapolatie</v>
      </c>
      <c r="F1048" s="33" t="s">
        <v>813</v>
      </c>
      <c r="G1048" s="33" t="str">
        <f>CONCATENATE(uitkomst_doelgroep[[#This Row],[Digitale zorgtoepassing]],"_",uitkomst_doelgroep[[#This Row],[Doelgroep]],"_",uitkomst_doelgroep[[#This Row],[Uitgangssituatie/effect beleid]])</f>
        <v>Leefstijlmonitoring_Kwetsbare ouderen_Uitgangssituatie</v>
      </c>
      <c r="H1048" s="33">
        <v>2025</v>
      </c>
      <c r="I1048" s="32">
        <v>3</v>
      </c>
      <c r="J1048" s="406" cm="1">
        <f t="array" ref="J1048">INDEX(implementatie[[2023]:[2034]],MATCH(G1048, implementatie[Zoeksleutel],0),I1048)</f>
        <v>0</v>
      </c>
      <c r="K1048" s="406" cm="1">
        <f t="array" ref="K1048">INDEX(implementatie[[2023]:[2034]],MATCH(G1048,implementatie[Zoeksleutel],0),I1048 + 1)</f>
        <v>0.02</v>
      </c>
      <c r="L104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048" s="398" cm="1">
        <f t="array" ref="M1048">J1048*INDEX(Berekening_impact[Totaal arbeidsbesparing (€/jaar)],MATCH(B1048,IF(Berekening_impact[Doelgroep]=C1048,Berekening_impact[Digitale zorgtoepassing]),0))</f>
        <v>0</v>
      </c>
      <c r="N1048" s="397" cm="1">
        <f t="array" ref="N1048">J1048*INDEX(Berekening_impact[Totaal arbeidsbesparing (FTE/jaar)],MATCH(B1048,IF(Berekening_impact[Doelgroep]=C1048,Berekening_impact[Digitale zorgtoepassing]),0))</f>
        <v>0</v>
      </c>
      <c r="O1048" s="398" cm="1">
        <f t="array" ref="O1048">J1048*INDEX(Berekening_impact[Overige kostenbesparing (totaal/jaar totaal potentieel)],MATCH(B1048,IF(Berekening_impact[Doelgroep]=C1048,Berekening_impact[Digitale zorgtoepassing]),0))</f>
        <v>0</v>
      </c>
      <c r="P1048" s="398" cm="1">
        <f t="array" ref="P1048">J1048*INDEX(Berekening_impact[Opbrengsten door QALY''s],MATCH(B1048,IF(Berekening_impact[Doelgroep]=C1048,Berekening_impact[Digitale zorgtoepassing]),0))</f>
        <v>0</v>
      </c>
      <c r="Q1048" s="398" cm="1">
        <f t="array" ref="Q1048">J1048*INDEX(Berekening_impact[Jaarlijkse kosten (totaal) - incl. schatting],MATCH(B1048,IF(Berekening_impact[Doelgroep]=C1048,Berekening_impact[Digitale zorgtoepassing]),0))</f>
        <v>0</v>
      </c>
      <c r="R1048" s="398" cm="1">
        <f t="array" ref="R1048">(uitkomst_doelgroep[[#This Row],[Implementatiegraad t = T + 1]]-uitkomst_doelgroep[[#This Row],[Implementatiegraad t = T]])*INDEX(Berekening_impact[Initiële investering (totaal) - incl. schatting],MATCH(B1048,IF(Berekening_impact[Doelgroep]=C1048,Berekening_impact[Digitale zorgtoepassing]),0))</f>
        <v>0</v>
      </c>
      <c r="S1048" s="398">
        <f>uitkomst_doelgroep[[#This Row],[Arbeidsbesparing (€)]]*uitkomst_doelgroep[[#This Row],[Percentage van patiëntaantallen in Wlz (overige is Zvw)]]</f>
        <v>0</v>
      </c>
      <c r="T1048" s="398">
        <f>uitkomst_doelgroep[[#This Row],[Overige besparingen (€)]]*uitkomst_doelgroep[[#This Row],[Percentage van patiëntaantallen in Wlz (overige is Zvw)]]</f>
        <v>0</v>
      </c>
      <c r="U1048" s="398">
        <f>uitkomst_doelgroep[[#This Row],[Kosten (€)]]*uitkomst_doelgroep[[#This Row],[Percentage van patiëntaantallen in Wlz (overige is Zvw)]]</f>
        <v>0</v>
      </c>
      <c r="V1048" s="398">
        <f>uitkomst_doelgroep[[#This Row],[Investering (cash flow) (€)]]*uitkomst_doelgroep[[#This Row],[Percentage van patiëntaantallen in Wlz (overige is Zvw)]]</f>
        <v>0</v>
      </c>
    </row>
    <row r="1049" spans="1:22" x14ac:dyDescent="0.5">
      <c r="A1049" s="33" t="str">
        <f>INDEX(Technologieën[Veld],MATCH(B1049,Technologieën[Digitale zorgtoepassing],0))</f>
        <v>Sensoren - Verpleging</v>
      </c>
      <c r="B1049" s="33" t="s">
        <v>36</v>
      </c>
      <c r="C1049" s="33" t="s">
        <v>27</v>
      </c>
      <c r="D1049" s="427" cm="1">
        <f t="array" ref="D1049">INDEX(Berekening_patiëntaantal[Percentage van patiëntaantallen in Wlz (overige is Zvw)],MATCH(B1049,IF(Berekening_patiëntaantal[Doelgroep (zoeksleutel)]=C1049,Berekening_patiëntaantal[Digitale zorgtoepassing]),0))</f>
        <v>0.45</v>
      </c>
      <c r="E1049" s="33" t="str" cm="1">
        <f t="array" ref="E1049">INDEX(Berekening_patiëntaantal[Direct toepasbaar/extrapolatie/incidentie voor QALY],MATCH(B1049,IF(Berekening_patiëntaantal[Doelgroep (zoeksleutel)]=C1049,Berekening_patiëntaantal[Digitale zorgtoepassing]),0))</f>
        <v>Extrapolatie</v>
      </c>
      <c r="F1049" s="33" t="s">
        <v>813</v>
      </c>
      <c r="G1049" s="33" t="str">
        <f>CONCATENATE(uitkomst_doelgroep[[#This Row],[Digitale zorgtoepassing]],"_",uitkomst_doelgroep[[#This Row],[Doelgroep]],"_",uitkomst_doelgroep[[#This Row],[Uitgangssituatie/effect beleid]])</f>
        <v>Leefstijlmonitoring_Parkinson_Uitgangssituatie</v>
      </c>
      <c r="H1049" s="33">
        <v>2025</v>
      </c>
      <c r="I1049" s="32">
        <v>3</v>
      </c>
      <c r="J1049" s="406" cm="1">
        <f t="array" ref="J1049">INDEX(implementatie[[2023]:[2034]],MATCH(G1049, implementatie[Zoeksleutel],0),I1049)</f>
        <v>0</v>
      </c>
      <c r="K1049" s="406" cm="1">
        <f t="array" ref="K1049">INDEX(implementatie[[2023]:[2034]],MATCH(G1049,implementatie[Zoeksleutel],0),I1049 + 1)</f>
        <v>0.02</v>
      </c>
      <c r="L104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049" s="398" cm="1">
        <f t="array" ref="M1049">J1049*INDEX(Berekening_impact[Totaal arbeidsbesparing (€/jaar)],MATCH(B1049,IF(Berekening_impact[Doelgroep]=C1049,Berekening_impact[Digitale zorgtoepassing]),0))</f>
        <v>0</v>
      </c>
      <c r="N1049" s="397" cm="1">
        <f t="array" ref="N1049">J1049*INDEX(Berekening_impact[Totaal arbeidsbesparing (FTE/jaar)],MATCH(B1049,IF(Berekening_impact[Doelgroep]=C1049,Berekening_impact[Digitale zorgtoepassing]),0))</f>
        <v>0</v>
      </c>
      <c r="O1049" s="398" cm="1">
        <f t="array" ref="O1049">J1049*INDEX(Berekening_impact[Overige kostenbesparing (totaal/jaar totaal potentieel)],MATCH(B1049,IF(Berekening_impact[Doelgroep]=C1049,Berekening_impact[Digitale zorgtoepassing]),0))</f>
        <v>0</v>
      </c>
      <c r="P1049" s="398" cm="1">
        <f t="array" ref="P1049">J1049*INDEX(Berekening_impact[Opbrengsten door QALY''s],MATCH(B1049,IF(Berekening_impact[Doelgroep]=C1049,Berekening_impact[Digitale zorgtoepassing]),0))</f>
        <v>0</v>
      </c>
      <c r="Q1049" s="398" cm="1">
        <f t="array" ref="Q1049">J1049*INDEX(Berekening_impact[Jaarlijkse kosten (totaal) - incl. schatting],MATCH(B1049,IF(Berekening_impact[Doelgroep]=C1049,Berekening_impact[Digitale zorgtoepassing]),0))</f>
        <v>0</v>
      </c>
      <c r="R1049" s="398" cm="1">
        <f t="array" ref="R1049">(uitkomst_doelgroep[[#This Row],[Implementatiegraad t = T + 1]]-uitkomst_doelgroep[[#This Row],[Implementatiegraad t = T]])*INDEX(Berekening_impact[Initiële investering (totaal) - incl. schatting],MATCH(B1049,IF(Berekening_impact[Doelgroep]=C1049,Berekening_impact[Digitale zorgtoepassing]),0))</f>
        <v>0</v>
      </c>
      <c r="S1049" s="398">
        <f>uitkomst_doelgroep[[#This Row],[Arbeidsbesparing (€)]]*uitkomst_doelgroep[[#This Row],[Percentage van patiëntaantallen in Wlz (overige is Zvw)]]</f>
        <v>0</v>
      </c>
      <c r="T1049" s="398">
        <f>uitkomst_doelgroep[[#This Row],[Overige besparingen (€)]]*uitkomst_doelgroep[[#This Row],[Percentage van patiëntaantallen in Wlz (overige is Zvw)]]</f>
        <v>0</v>
      </c>
      <c r="U1049" s="398">
        <f>uitkomst_doelgroep[[#This Row],[Kosten (€)]]*uitkomst_doelgroep[[#This Row],[Percentage van patiëntaantallen in Wlz (overige is Zvw)]]</f>
        <v>0</v>
      </c>
      <c r="V1049" s="398">
        <f>uitkomst_doelgroep[[#This Row],[Investering (cash flow) (€)]]*uitkomst_doelgroep[[#This Row],[Percentage van patiëntaantallen in Wlz (overige is Zvw)]]</f>
        <v>0</v>
      </c>
    </row>
    <row r="1050" spans="1:22" x14ac:dyDescent="0.5">
      <c r="A1050" s="33" t="str">
        <f>INDEX(Technologieën[Veld],MATCH(B1050,Technologieën[Digitale zorgtoepassing],0))</f>
        <v>Sensoren - Verpleging</v>
      </c>
      <c r="B1050" s="33" t="s">
        <v>36</v>
      </c>
      <c r="C1050" s="33" t="s">
        <v>20</v>
      </c>
      <c r="D1050" s="427" cm="1">
        <f t="array" ref="D1050">INDEX(Berekening_patiëntaantal[Percentage van patiëntaantallen in Wlz (overige is Zvw)],MATCH(B1050,IF(Berekening_patiëntaantal[Doelgroep (zoeksleutel)]=C1050,Berekening_patiëntaantal[Digitale zorgtoepassing]),0))</f>
        <v>0</v>
      </c>
      <c r="E1050" s="33" t="str" cm="1">
        <f t="array" ref="E1050">INDEX(Berekening_patiëntaantal[Direct toepasbaar/extrapolatie/incidentie voor QALY],MATCH(B1050,IF(Berekening_patiëntaantal[Doelgroep (zoeksleutel)]=C1050,Berekening_patiëntaantal[Digitale zorgtoepassing]),0))</f>
        <v>Huidige toepassing</v>
      </c>
      <c r="F1050" s="33" t="s">
        <v>813</v>
      </c>
      <c r="G1050" s="33" t="str">
        <f>CONCATENATE(uitkomst_doelgroep[[#This Row],[Digitale zorgtoepassing]],"_",uitkomst_doelgroep[[#This Row],[Doelgroep]],"_",uitkomst_doelgroep[[#This Row],[Uitgangssituatie/effect beleid]])</f>
        <v>Leefstijlmonitoring_Dementie_Uitgangssituatie</v>
      </c>
      <c r="H1050" s="33">
        <v>2025</v>
      </c>
      <c r="I1050" s="32">
        <v>3</v>
      </c>
      <c r="J1050" s="406" cm="1">
        <f t="array" ref="J1050">INDEX(implementatie[[2023]:[2034]],MATCH(G1050, implementatie[Zoeksleutel],0),I1050)</f>
        <v>0.37504000000000004</v>
      </c>
      <c r="K1050" s="406" cm="1">
        <f t="array" ref="K1050">INDEX(implementatie[[2023]:[2034]],MATCH(G1050,implementatie[Zoeksleutel],0),I1050 + 1)</f>
        <v>0.48129319936000003</v>
      </c>
      <c r="L105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12400.453824</v>
      </c>
      <c r="M1050" s="398" cm="1">
        <f t="array" ref="M1050">J1050*INDEX(Berekening_impact[Totaal arbeidsbesparing (€/jaar)],MATCH(B1050,IF(Berekening_impact[Doelgroep]=C1050,Berekening_impact[Digitale zorgtoepassing]),0))</f>
        <v>42774340.222564936</v>
      </c>
      <c r="N1050" s="397" cm="1">
        <f t="array" ref="N1050">J1050*INDEX(Berekening_impact[Totaal arbeidsbesparing (FTE/jaar)],MATCH(B1050,IF(Berekening_impact[Doelgroep]=C1050,Berekening_impact[Digitale zorgtoepassing]),0))</f>
        <v>1007.5428561040477</v>
      </c>
      <c r="O1050" s="398" cm="1">
        <f t="array" ref="O1050">J1050*INDEX(Berekening_impact[Overige kostenbesparing (totaal/jaar totaal potentieel)],MATCH(B1050,IF(Berekening_impact[Doelgroep]=C1050,Berekening_impact[Digitale zorgtoepassing]),0))</f>
        <v>5883944.4797518617</v>
      </c>
      <c r="P1050" s="398" cm="1">
        <f t="array" ref="P1050">J1050*INDEX(Berekening_impact[Opbrengsten door QALY''s],MATCH(B1050,IF(Berekening_impact[Doelgroep]=C1050,Berekening_impact[Digitale zorgtoepassing]),0))</f>
        <v>0</v>
      </c>
      <c r="Q1050" s="398" cm="1">
        <f t="array" ref="Q1050">J1050*INDEX(Berekening_impact[Jaarlijkse kosten (totaal) - incl. schatting],MATCH(B1050,IF(Berekening_impact[Doelgroep]=C1050,Berekening_impact[Digitale zorgtoepassing]),0))</f>
        <v>23288052.281472001</v>
      </c>
      <c r="R1050" s="398" cm="1">
        <f t="array" ref="R1050">(uitkomst_doelgroep[[#This Row],[Implementatiegraad t = T + 1]]-uitkomst_doelgroep[[#This Row],[Implementatiegraad t = T]])*INDEX(Berekening_impact[Initiële investering (totaal) - incl. schatting],MATCH(B1050,IF(Berekening_impact[Doelgroep]=C1050,Berekening_impact[Digitale zorgtoepassing]),0))</f>
        <v>0</v>
      </c>
      <c r="S1050" s="398">
        <f>uitkomst_doelgroep[[#This Row],[Arbeidsbesparing (€)]]*uitkomst_doelgroep[[#This Row],[Percentage van patiëntaantallen in Wlz (overige is Zvw)]]</f>
        <v>0</v>
      </c>
      <c r="T1050" s="398">
        <f>uitkomst_doelgroep[[#This Row],[Overige besparingen (€)]]*uitkomst_doelgroep[[#This Row],[Percentage van patiëntaantallen in Wlz (overige is Zvw)]]</f>
        <v>0</v>
      </c>
      <c r="U1050" s="398">
        <f>uitkomst_doelgroep[[#This Row],[Kosten (€)]]*uitkomst_doelgroep[[#This Row],[Percentage van patiëntaantallen in Wlz (overige is Zvw)]]</f>
        <v>0</v>
      </c>
      <c r="V1050" s="398">
        <f>uitkomst_doelgroep[[#This Row],[Investering (cash flow) (€)]]*uitkomst_doelgroep[[#This Row],[Percentage van patiëntaantallen in Wlz (overige is Zvw)]]</f>
        <v>0</v>
      </c>
    </row>
    <row r="1051" spans="1:22" x14ac:dyDescent="0.5">
      <c r="A1051" s="33" t="str">
        <f>INDEX(Technologieën[Veld],MATCH(B1051,Technologieën[Digitale zorgtoepassing],0))</f>
        <v>Sensoren - Verpleging</v>
      </c>
      <c r="B1051" s="33" t="s">
        <v>36</v>
      </c>
      <c r="C1051" s="33" t="s">
        <v>24</v>
      </c>
      <c r="D1051" s="427" cm="1">
        <f t="array" ref="D1051">INDEX(Berekening_patiëntaantal[Percentage van patiëntaantallen in Wlz (overige is Zvw)],MATCH(B1051,IF(Berekening_patiëntaantal[Doelgroep (zoeksleutel)]=C1051,Berekening_patiëntaantal[Digitale zorgtoepassing]),0))</f>
        <v>0.45</v>
      </c>
      <c r="E1051" s="33" t="str" cm="1">
        <f t="array" ref="E1051">INDEX(Berekening_patiëntaantal[Direct toepasbaar/extrapolatie/incidentie voor QALY],MATCH(B1051,IF(Berekening_patiëntaantal[Doelgroep (zoeksleutel)]=C1051,Berekening_patiëntaantal[Digitale zorgtoepassing]),0))</f>
        <v>Extrapolatie</v>
      </c>
      <c r="F1051" s="33" t="s">
        <v>813</v>
      </c>
      <c r="G1051" s="33" t="str">
        <f>CONCATENATE(uitkomst_doelgroep[[#This Row],[Digitale zorgtoepassing]],"_",uitkomst_doelgroep[[#This Row],[Doelgroep]],"_",uitkomst_doelgroep[[#This Row],[Uitgangssituatie/effect beleid]])</f>
        <v>Leefstijlmonitoring_Cognitieve beperking_Uitgangssituatie</v>
      </c>
      <c r="H1051" s="33">
        <v>2026</v>
      </c>
      <c r="I1051" s="32">
        <v>4</v>
      </c>
      <c r="J1051" s="406" cm="1">
        <f t="array" ref="J1051">INDEX(implementatie[[2023]:[2034]],MATCH(G1051, implementatie[Zoeksleutel],0),I1051)</f>
        <v>0.02</v>
      </c>
      <c r="K1051" s="406" cm="1">
        <f t="array" ref="K1051">INDEX(implementatie[[2023]:[2034]],MATCH(G1051,implementatie[Zoeksleutel],0),I1051 + 1)</f>
        <v>4.7439999999999996E-2</v>
      </c>
      <c r="L105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64.078559999999996</v>
      </c>
      <c r="M1051" s="398" cm="1">
        <f t="array" ref="M1051">J1051*INDEX(Berekening_impact[Totaal arbeidsbesparing (€/jaar)],MATCH(B1051,IF(Berekening_impact[Doelgroep]=C1051,Berekening_impact[Digitale zorgtoepassing]),0))</f>
        <v>221033.6948400414</v>
      </c>
      <c r="N1051" s="397" cm="1">
        <f t="array" ref="N1051">J1051*INDEX(Berekening_impact[Totaal arbeidsbesparing (FTE/jaar)],MATCH(B1051,IF(Berekening_impact[Doelgroep]=C1051,Berekening_impact[Digitale zorgtoepassing]),0))</f>
        <v>5.2064139162778593</v>
      </c>
      <c r="O1051" s="398" cm="1">
        <f t="array" ref="O1051">J1051*INDEX(Berekening_impact[Overige kostenbesparing (totaal/jaar totaal potentieel)],MATCH(B1051,IF(Berekening_impact[Doelgroep]=C1051,Berekening_impact[Digitale zorgtoepassing]),0))</f>
        <v>30404.910556799994</v>
      </c>
      <c r="P1051" s="398" cm="1">
        <f t="array" ref="P1051">J1051*INDEX(Berekening_impact[Opbrengsten door QALY''s],MATCH(B1051,IF(Berekening_impact[Doelgroep]=C1051,Berekening_impact[Digitale zorgtoepassing]),0))</f>
        <v>0</v>
      </c>
      <c r="Q1051" s="398" cm="1">
        <f t="array" ref="Q1051">J1051*INDEX(Berekening_impact[Jaarlijkse kosten (totaal) - incl. schatting],MATCH(B1051,IF(Berekening_impact[Doelgroep]=C1051,Berekening_impact[Digitale zorgtoepassing]),0))</f>
        <v>120339.53568</v>
      </c>
      <c r="R1051" s="398" cm="1">
        <f t="array" ref="R1051">(uitkomst_doelgroep[[#This Row],[Implementatiegraad t = T + 1]]-uitkomst_doelgroep[[#This Row],[Implementatiegraad t = T]])*INDEX(Berekening_impact[Initiële investering (totaal) - incl. schatting],MATCH(B1051,IF(Berekening_impact[Doelgroep]=C1051,Berekening_impact[Digitale zorgtoepassing]),0))</f>
        <v>0</v>
      </c>
      <c r="S1051" s="398">
        <f>uitkomst_doelgroep[[#This Row],[Arbeidsbesparing (€)]]*uitkomst_doelgroep[[#This Row],[Percentage van patiëntaantallen in Wlz (overige is Zvw)]]</f>
        <v>99465.162678018634</v>
      </c>
      <c r="T1051" s="398">
        <f>uitkomst_doelgroep[[#This Row],[Overige besparingen (€)]]*uitkomst_doelgroep[[#This Row],[Percentage van patiëntaantallen in Wlz (overige is Zvw)]]</f>
        <v>13682.209750559998</v>
      </c>
      <c r="U1051" s="398">
        <f>uitkomst_doelgroep[[#This Row],[Kosten (€)]]*uitkomst_doelgroep[[#This Row],[Percentage van patiëntaantallen in Wlz (overige is Zvw)]]</f>
        <v>54152.791056000002</v>
      </c>
      <c r="V1051" s="398">
        <f>uitkomst_doelgroep[[#This Row],[Investering (cash flow) (€)]]*uitkomst_doelgroep[[#This Row],[Percentage van patiëntaantallen in Wlz (overige is Zvw)]]</f>
        <v>0</v>
      </c>
    </row>
    <row r="1052" spans="1:22" x14ac:dyDescent="0.5">
      <c r="A1052" s="33" t="str">
        <f>INDEX(Technologieën[Veld],MATCH(B1052,Technologieën[Digitale zorgtoepassing],0))</f>
        <v>Sensoren - Verpleging</v>
      </c>
      <c r="B1052" s="33" t="s">
        <v>36</v>
      </c>
      <c r="C1052" s="33" t="s">
        <v>40</v>
      </c>
      <c r="D1052" s="427" cm="1">
        <f t="array" ref="D1052">INDEX(Berekening_patiëntaantal[Percentage van patiëntaantallen in Wlz (overige is Zvw)],MATCH(B1052,IF(Berekening_patiëntaantal[Doelgroep (zoeksleutel)]=C1052,Berekening_patiëntaantal[Digitale zorgtoepassing]),0))</f>
        <v>0.45</v>
      </c>
      <c r="E1052" s="33" t="str" cm="1">
        <f t="array" ref="E1052">INDEX(Berekening_patiëntaantal[Direct toepasbaar/extrapolatie/incidentie voor QALY],MATCH(B1052,IF(Berekening_patiëntaantal[Doelgroep (zoeksleutel)]=C1052,Berekening_patiëntaantal[Digitale zorgtoepassing]),0))</f>
        <v>Extrapolatie</v>
      </c>
      <c r="F1052" s="33" t="s">
        <v>813</v>
      </c>
      <c r="G1052" s="33" t="str">
        <f>CONCATENATE(uitkomst_doelgroep[[#This Row],[Digitale zorgtoepassing]],"_",uitkomst_doelgroep[[#This Row],[Doelgroep]],"_",uitkomst_doelgroep[[#This Row],[Uitgangssituatie/effect beleid]])</f>
        <v>Leefstijlmonitoring_Kwetsbare ouderen_Uitgangssituatie</v>
      </c>
      <c r="H1052" s="33">
        <v>2026</v>
      </c>
      <c r="I1052" s="32">
        <v>4</v>
      </c>
      <c r="J1052" s="406" cm="1">
        <f t="array" ref="J1052">INDEX(implementatie[[2023]:[2034]],MATCH(G1052, implementatie[Zoeksleutel],0),I1052)</f>
        <v>0.02</v>
      </c>
      <c r="K1052" s="406" cm="1">
        <f t="array" ref="K1052">INDEX(implementatie[[2023]:[2034]],MATCH(G1052,implementatie[Zoeksleutel],0),I1052 + 1)</f>
        <v>4.7439999999999996E-2</v>
      </c>
      <c r="L105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410.62500000000006</v>
      </c>
      <c r="M1052" s="398" cm="1">
        <f t="array" ref="M1052">J1052*INDEX(Berekening_impact[Totaal arbeidsbesparing (€/jaar)],MATCH(B1052,IF(Berekening_impact[Doelgroep]=C1052,Berekening_impact[Digitale zorgtoepassing]),0))</f>
        <v>1416416.9878925497</v>
      </c>
      <c r="N1052" s="397" cm="1">
        <f t="array" ref="N1052">J1052*INDEX(Berekening_impact[Totaal arbeidsbesparing (FTE/jaar)],MATCH(B1052,IF(Berekening_impact[Doelgroep]=C1052,Berekening_impact[Digitale zorgtoepassing]),0))</f>
        <v>33.363479366134257</v>
      </c>
      <c r="O1052" s="398" cm="1">
        <f t="array" ref="O1052">J1052*INDEX(Berekening_impact[Overige kostenbesparing (totaal/jaar totaal potentieel)],MATCH(B1052,IF(Berekening_impact[Doelgroep]=C1052,Berekening_impact[Digitale zorgtoepassing]),0))</f>
        <v>194839.21607142859</v>
      </c>
      <c r="P1052" s="398" cm="1">
        <f t="array" ref="P1052">J1052*INDEX(Berekening_impact[Opbrengsten door QALY''s],MATCH(B1052,IF(Berekening_impact[Doelgroep]=C1052,Berekening_impact[Digitale zorgtoepassing]),0))</f>
        <v>0</v>
      </c>
      <c r="Q1052" s="398" cm="1">
        <f t="array" ref="Q1052">J1052*INDEX(Berekening_impact[Jaarlijkse kosten (totaal) - incl. schatting],MATCH(B1052,IF(Berekening_impact[Doelgroep]=C1052,Berekening_impact[Digitale zorgtoepassing]),0))</f>
        <v>771153.75000000012</v>
      </c>
      <c r="R1052" s="398" cm="1">
        <f t="array" ref="R1052">(uitkomst_doelgroep[[#This Row],[Implementatiegraad t = T + 1]]-uitkomst_doelgroep[[#This Row],[Implementatiegraad t = T]])*INDEX(Berekening_impact[Initiële investering (totaal) - incl. schatting],MATCH(B1052,IF(Berekening_impact[Doelgroep]=C1052,Berekening_impact[Digitale zorgtoepassing]),0))</f>
        <v>0</v>
      </c>
      <c r="S1052" s="398">
        <f>uitkomst_doelgroep[[#This Row],[Arbeidsbesparing (€)]]*uitkomst_doelgroep[[#This Row],[Percentage van patiëntaantallen in Wlz (overige is Zvw)]]</f>
        <v>637387.64455164736</v>
      </c>
      <c r="T1052" s="398">
        <f>uitkomst_doelgroep[[#This Row],[Overige besparingen (€)]]*uitkomst_doelgroep[[#This Row],[Percentage van patiëntaantallen in Wlz (overige is Zvw)]]</f>
        <v>87677.647232142859</v>
      </c>
      <c r="U1052" s="398">
        <f>uitkomst_doelgroep[[#This Row],[Kosten (€)]]*uitkomst_doelgroep[[#This Row],[Percentage van patiëntaantallen in Wlz (overige is Zvw)]]</f>
        <v>347019.18750000006</v>
      </c>
      <c r="V1052" s="398">
        <f>uitkomst_doelgroep[[#This Row],[Investering (cash flow) (€)]]*uitkomst_doelgroep[[#This Row],[Percentage van patiëntaantallen in Wlz (overige is Zvw)]]</f>
        <v>0</v>
      </c>
    </row>
    <row r="1053" spans="1:22" x14ac:dyDescent="0.5">
      <c r="A1053" s="33" t="str">
        <f>INDEX(Technologieën[Veld],MATCH(B1053,Technologieën[Digitale zorgtoepassing],0))</f>
        <v>Sensoren - Verpleging</v>
      </c>
      <c r="B1053" s="33" t="s">
        <v>36</v>
      </c>
      <c r="C1053" s="33" t="s">
        <v>27</v>
      </c>
      <c r="D1053" s="427" cm="1">
        <f t="array" ref="D1053">INDEX(Berekening_patiëntaantal[Percentage van patiëntaantallen in Wlz (overige is Zvw)],MATCH(B1053,IF(Berekening_patiëntaantal[Doelgroep (zoeksleutel)]=C1053,Berekening_patiëntaantal[Digitale zorgtoepassing]),0))</f>
        <v>0.45</v>
      </c>
      <c r="E1053" s="33" t="str" cm="1">
        <f t="array" ref="E1053">INDEX(Berekening_patiëntaantal[Direct toepasbaar/extrapolatie/incidentie voor QALY],MATCH(B1053,IF(Berekening_patiëntaantal[Doelgroep (zoeksleutel)]=C1053,Berekening_patiëntaantal[Digitale zorgtoepassing]),0))</f>
        <v>Extrapolatie</v>
      </c>
      <c r="F1053" s="33" t="s">
        <v>813</v>
      </c>
      <c r="G1053" s="33" t="str">
        <f>CONCATENATE(uitkomst_doelgroep[[#This Row],[Digitale zorgtoepassing]],"_",uitkomst_doelgroep[[#This Row],[Doelgroep]],"_",uitkomst_doelgroep[[#This Row],[Uitgangssituatie/effect beleid]])</f>
        <v>Leefstijlmonitoring_Parkinson_Uitgangssituatie</v>
      </c>
      <c r="H1053" s="33">
        <v>2026</v>
      </c>
      <c r="I1053" s="32">
        <v>4</v>
      </c>
      <c r="J1053" s="406" cm="1">
        <f t="array" ref="J1053">INDEX(implementatie[[2023]:[2034]],MATCH(G1053, implementatie[Zoeksleutel],0),I1053)</f>
        <v>0.02</v>
      </c>
      <c r="K1053" s="406" cm="1">
        <f t="array" ref="K1053">INDEX(implementatie[[2023]:[2034]],MATCH(G1053,implementatie[Zoeksleutel],0),I1053 + 1)</f>
        <v>4.7439999999999996E-2</v>
      </c>
      <c r="L105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190.43999999999997</v>
      </c>
      <c r="M1053" s="398" cm="1">
        <f t="array" ref="M1053">J1053*INDEX(Berekening_impact[Totaal arbeidsbesparing (€/jaar)],MATCH(B1053,IF(Berekening_impact[Doelgroep]=C1053,Berekening_impact[Digitale zorgtoepassing]),0))</f>
        <v>656907.03482315259</v>
      </c>
      <c r="N1053" s="397" cm="1">
        <f t="array" ref="N1053">J1053*INDEX(Berekening_impact[Totaal arbeidsbesparing (FTE/jaar)],MATCH(B1053,IF(Berekening_impact[Doelgroep]=C1053,Berekening_impact[Digitale zorgtoepassing]),0))</f>
        <v>15.473341882463576</v>
      </c>
      <c r="O1053" s="398" cm="1">
        <f t="array" ref="O1053">J1053*INDEX(Berekening_impact[Overige kostenbesparing (totaal/jaar totaal potentieel)],MATCH(B1053,IF(Berekening_impact[Doelgroep]=C1053,Berekening_impact[Digitale zorgtoepassing]),0))</f>
        <v>90362.691771428552</v>
      </c>
      <c r="P1053" s="398" cm="1">
        <f t="array" ref="P1053">J1053*INDEX(Berekening_impact[Opbrengsten door QALY''s],MATCH(B1053,IF(Berekening_impact[Doelgroep]=C1053,Berekening_impact[Digitale zorgtoepassing]),0))</f>
        <v>0</v>
      </c>
      <c r="Q1053" s="398" cm="1">
        <f t="array" ref="Q1053">J1053*INDEX(Berekening_impact[Jaarlijkse kosten (totaal) - incl. schatting],MATCH(B1053,IF(Berekening_impact[Doelgroep]=C1053,Berekening_impact[Digitale zorgtoepassing]),0))</f>
        <v>357646.31999999995</v>
      </c>
      <c r="R1053" s="398" cm="1">
        <f t="array" ref="R1053">(uitkomst_doelgroep[[#This Row],[Implementatiegraad t = T + 1]]-uitkomst_doelgroep[[#This Row],[Implementatiegraad t = T]])*INDEX(Berekening_impact[Initiële investering (totaal) - incl. schatting],MATCH(B1053,IF(Berekening_impact[Doelgroep]=C1053,Berekening_impact[Digitale zorgtoepassing]),0))</f>
        <v>0</v>
      </c>
      <c r="S1053" s="398">
        <f>uitkomst_doelgroep[[#This Row],[Arbeidsbesparing (€)]]*uitkomst_doelgroep[[#This Row],[Percentage van patiëntaantallen in Wlz (overige is Zvw)]]</f>
        <v>295608.16567041865</v>
      </c>
      <c r="T1053" s="398">
        <f>uitkomst_doelgroep[[#This Row],[Overige besparingen (€)]]*uitkomst_doelgroep[[#This Row],[Percentage van patiëntaantallen in Wlz (overige is Zvw)]]</f>
        <v>40663.211297142851</v>
      </c>
      <c r="U1053" s="398">
        <f>uitkomst_doelgroep[[#This Row],[Kosten (€)]]*uitkomst_doelgroep[[#This Row],[Percentage van patiëntaantallen in Wlz (overige is Zvw)]]</f>
        <v>160940.84399999998</v>
      </c>
      <c r="V1053" s="398">
        <f>uitkomst_doelgroep[[#This Row],[Investering (cash flow) (€)]]*uitkomst_doelgroep[[#This Row],[Percentage van patiëntaantallen in Wlz (overige is Zvw)]]</f>
        <v>0</v>
      </c>
    </row>
    <row r="1054" spans="1:22" x14ac:dyDescent="0.5">
      <c r="A1054" s="33" t="str">
        <f>INDEX(Technologieën[Veld],MATCH(B1054,Technologieën[Digitale zorgtoepassing],0))</f>
        <v>Sensoren - Verpleging</v>
      </c>
      <c r="B1054" s="33" t="s">
        <v>36</v>
      </c>
      <c r="C1054" s="33" t="s">
        <v>20</v>
      </c>
      <c r="D1054" s="427" cm="1">
        <f t="array" ref="D1054">INDEX(Berekening_patiëntaantal[Percentage van patiëntaantallen in Wlz (overige is Zvw)],MATCH(B1054,IF(Berekening_patiëntaantal[Doelgroep (zoeksleutel)]=C1054,Berekening_patiëntaantal[Digitale zorgtoepassing]),0))</f>
        <v>0</v>
      </c>
      <c r="E1054" s="33" t="str" cm="1">
        <f t="array" ref="E1054">INDEX(Berekening_patiëntaantal[Direct toepasbaar/extrapolatie/incidentie voor QALY],MATCH(B1054,IF(Berekening_patiëntaantal[Doelgroep (zoeksleutel)]=C1054,Berekening_patiëntaantal[Digitale zorgtoepassing]),0))</f>
        <v>Huidige toepassing</v>
      </c>
      <c r="F1054" s="33" t="s">
        <v>813</v>
      </c>
      <c r="G1054" s="33" t="str">
        <f>CONCATENATE(uitkomst_doelgroep[[#This Row],[Digitale zorgtoepassing]],"_",uitkomst_doelgroep[[#This Row],[Doelgroep]],"_",uitkomst_doelgroep[[#This Row],[Uitgangssituatie/effect beleid]])</f>
        <v>Leefstijlmonitoring_Dementie_Uitgangssituatie</v>
      </c>
      <c r="H1054" s="33">
        <v>2026</v>
      </c>
      <c r="I1054" s="32">
        <v>4</v>
      </c>
      <c r="J1054" s="406" cm="1">
        <f t="array" ref="J1054">INDEX(implementatie[[2023]:[2034]],MATCH(G1054, implementatie[Zoeksleutel],0),I1054)</f>
        <v>0.48129319936000003</v>
      </c>
      <c r="K1054" s="406" cm="1">
        <f t="array" ref="K1054">INDEX(implementatie[[2023]:[2034]],MATCH(G1054,implementatie[Zoeksleutel],0),I1054 + 1)</f>
        <v>0.59152735761672615</v>
      </c>
      <c r="L105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15913.646796258816</v>
      </c>
      <c r="M1054" s="398" cm="1">
        <f t="array" ref="M1054">J1054*INDEX(Berekening_impact[Totaal arbeidsbesparing (€/jaar)],MATCH(B1054,IF(Berekening_impact[Doelgroep]=C1054,Berekening_impact[Digitale zorgtoepassing]),0))</f>
        <v>54892808.916999288</v>
      </c>
      <c r="N1054" s="397" cm="1">
        <f t="array" ref="N1054">J1054*INDEX(Berekening_impact[Totaal arbeidsbesparing (FTE/jaar)],MATCH(B1054,IF(Berekening_impact[Doelgroep]=C1054,Berekening_impact[Digitale zorgtoepassing]),0))</f>
        <v>1292.9914801264645</v>
      </c>
      <c r="O1054" s="398" cm="1">
        <f t="array" ref="O1054">J1054*INDEX(Berekening_impact[Overige kostenbesparing (totaal/jaar totaal potentieel)],MATCH(B1054,IF(Berekening_impact[Doelgroep]=C1054,Berekening_impact[Digitale zorgtoepassing]),0))</f>
        <v>7550934.4697002564</v>
      </c>
      <c r="P1054" s="398" cm="1">
        <f t="array" ref="P1054">J1054*INDEX(Berekening_impact[Opbrengsten door QALY''s],MATCH(B1054,IF(Berekening_impact[Doelgroep]=C1054,Berekening_impact[Digitale zorgtoepassing]),0))</f>
        <v>0</v>
      </c>
      <c r="Q1054" s="398" cm="1">
        <f t="array" ref="Q1054">J1054*INDEX(Berekening_impact[Jaarlijkse kosten (totaal) - incl. schatting],MATCH(B1054,IF(Berekening_impact[Doelgroep]=C1054,Berekening_impact[Digitale zorgtoepassing]),0))</f>
        <v>29885828.683374058</v>
      </c>
      <c r="R1054" s="398" cm="1">
        <f t="array" ref="R1054">(uitkomst_doelgroep[[#This Row],[Implementatiegraad t = T + 1]]-uitkomst_doelgroep[[#This Row],[Implementatiegraad t = T]])*INDEX(Berekening_impact[Initiële investering (totaal) - incl. schatting],MATCH(B1054,IF(Berekening_impact[Doelgroep]=C1054,Berekening_impact[Digitale zorgtoepassing]),0))</f>
        <v>0</v>
      </c>
      <c r="S1054" s="398">
        <f>uitkomst_doelgroep[[#This Row],[Arbeidsbesparing (€)]]*uitkomst_doelgroep[[#This Row],[Percentage van patiëntaantallen in Wlz (overige is Zvw)]]</f>
        <v>0</v>
      </c>
      <c r="T1054" s="398">
        <f>uitkomst_doelgroep[[#This Row],[Overige besparingen (€)]]*uitkomst_doelgroep[[#This Row],[Percentage van patiëntaantallen in Wlz (overige is Zvw)]]</f>
        <v>0</v>
      </c>
      <c r="U1054" s="398">
        <f>uitkomst_doelgroep[[#This Row],[Kosten (€)]]*uitkomst_doelgroep[[#This Row],[Percentage van patiëntaantallen in Wlz (overige is Zvw)]]</f>
        <v>0</v>
      </c>
      <c r="V1054" s="398">
        <f>uitkomst_doelgroep[[#This Row],[Investering (cash flow) (€)]]*uitkomst_doelgroep[[#This Row],[Percentage van patiëntaantallen in Wlz (overige is Zvw)]]</f>
        <v>0</v>
      </c>
    </row>
    <row r="1055" spans="1:22" x14ac:dyDescent="0.5">
      <c r="A1055" s="33" t="str">
        <f>INDEX(Technologieën[Veld],MATCH(B1055,Technologieën[Digitale zorgtoepassing],0))</f>
        <v>Sensoren - Verpleging</v>
      </c>
      <c r="B1055" s="33" t="s">
        <v>36</v>
      </c>
      <c r="C1055" s="33" t="s">
        <v>24</v>
      </c>
      <c r="D1055" s="427" cm="1">
        <f t="array" ref="D1055">INDEX(Berekening_patiëntaantal[Percentage van patiëntaantallen in Wlz (overige is Zvw)],MATCH(B1055,IF(Berekening_patiëntaantal[Doelgroep (zoeksleutel)]=C1055,Berekening_patiëntaantal[Digitale zorgtoepassing]),0))</f>
        <v>0.45</v>
      </c>
      <c r="E1055" s="33" t="str" cm="1">
        <f t="array" ref="E1055">INDEX(Berekening_patiëntaantal[Direct toepasbaar/extrapolatie/incidentie voor QALY],MATCH(B1055,IF(Berekening_patiëntaantal[Doelgroep (zoeksleutel)]=C1055,Berekening_patiëntaantal[Digitale zorgtoepassing]),0))</f>
        <v>Extrapolatie</v>
      </c>
      <c r="F1055" s="33" t="s">
        <v>813</v>
      </c>
      <c r="G1055" s="33" t="str">
        <f>CONCATENATE(uitkomst_doelgroep[[#This Row],[Digitale zorgtoepassing]],"_",uitkomst_doelgroep[[#This Row],[Doelgroep]],"_",uitkomst_doelgroep[[#This Row],[Uitgangssituatie/effect beleid]])</f>
        <v>Leefstijlmonitoring_Cognitieve beperking_Uitgangssituatie</v>
      </c>
      <c r="H1055" s="33">
        <v>2027</v>
      </c>
      <c r="I1055" s="32">
        <v>5</v>
      </c>
      <c r="J1055" s="406" cm="1">
        <f t="array" ref="J1055">INDEX(implementatie[[2023]:[2034]],MATCH(G1055, implementatie[Zoeksleutel],0),I1055)</f>
        <v>4.7439999999999996E-2</v>
      </c>
      <c r="K1055" s="406" cm="1">
        <f t="array" ref="K1055">INDEX(implementatie[[2023]:[2034]],MATCH(G1055,implementatie[Zoeksleutel],0),I1055 + 1)</f>
        <v>8.4566978560000006E-2</v>
      </c>
      <c r="L105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151.99434431999998</v>
      </c>
      <c r="M1055" s="398" cm="1">
        <f t="array" ref="M1055">J1055*INDEX(Berekening_impact[Totaal arbeidsbesparing (€/jaar)],MATCH(B1055,IF(Berekening_impact[Doelgroep]=C1055,Berekening_impact[Digitale zorgtoepassing]),0))</f>
        <v>524291.92416057817</v>
      </c>
      <c r="N1055" s="397" cm="1">
        <f t="array" ref="N1055">J1055*INDEX(Berekening_impact[Totaal arbeidsbesparing (FTE/jaar)],MATCH(B1055,IF(Berekening_impact[Doelgroep]=C1055,Berekening_impact[Digitale zorgtoepassing]),0))</f>
        <v>12.34961380941108</v>
      </c>
      <c r="O1055" s="398" cm="1">
        <f t="array" ref="O1055">J1055*INDEX(Berekening_impact[Overige kostenbesparing (totaal/jaar totaal potentieel)],MATCH(B1055,IF(Berekening_impact[Doelgroep]=C1055,Berekening_impact[Digitale zorgtoepassing]),0))</f>
        <v>72120.447840729583</v>
      </c>
      <c r="P1055" s="398" cm="1">
        <f t="array" ref="P1055">J1055*INDEX(Berekening_impact[Opbrengsten door QALY''s],MATCH(B1055,IF(Berekening_impact[Doelgroep]=C1055,Berekening_impact[Digitale zorgtoepassing]),0))</f>
        <v>0</v>
      </c>
      <c r="Q1055" s="398" cm="1">
        <f t="array" ref="Q1055">J1055*INDEX(Berekening_impact[Jaarlijkse kosten (totaal) - incl. schatting],MATCH(B1055,IF(Berekening_impact[Doelgroep]=C1055,Berekening_impact[Digitale zorgtoepassing]),0))</f>
        <v>285445.37863295997</v>
      </c>
      <c r="R1055" s="398" cm="1">
        <f t="array" ref="R1055">(uitkomst_doelgroep[[#This Row],[Implementatiegraad t = T + 1]]-uitkomst_doelgroep[[#This Row],[Implementatiegraad t = T]])*INDEX(Berekening_impact[Initiële investering (totaal) - incl. schatting],MATCH(B1055,IF(Berekening_impact[Doelgroep]=C1055,Berekening_impact[Digitale zorgtoepassing]),0))</f>
        <v>0</v>
      </c>
      <c r="S1055" s="398">
        <f>uitkomst_doelgroep[[#This Row],[Arbeidsbesparing (€)]]*uitkomst_doelgroep[[#This Row],[Percentage van patiëntaantallen in Wlz (overige is Zvw)]]</f>
        <v>235931.36587226018</v>
      </c>
      <c r="T1055" s="398">
        <f>uitkomst_doelgroep[[#This Row],[Overige besparingen (€)]]*uitkomst_doelgroep[[#This Row],[Percentage van patiëntaantallen in Wlz (overige is Zvw)]]</f>
        <v>32454.201528328314</v>
      </c>
      <c r="U1055" s="398">
        <f>uitkomst_doelgroep[[#This Row],[Kosten (€)]]*uitkomst_doelgroep[[#This Row],[Percentage van patiëntaantallen in Wlz (overige is Zvw)]]</f>
        <v>128450.42038483199</v>
      </c>
      <c r="V1055" s="398">
        <f>uitkomst_doelgroep[[#This Row],[Investering (cash flow) (€)]]*uitkomst_doelgroep[[#This Row],[Percentage van patiëntaantallen in Wlz (overige is Zvw)]]</f>
        <v>0</v>
      </c>
    </row>
    <row r="1056" spans="1:22" x14ac:dyDescent="0.5">
      <c r="A1056" s="33" t="str">
        <f>INDEX(Technologieën[Veld],MATCH(B1056,Technologieën[Digitale zorgtoepassing],0))</f>
        <v>Sensoren - Verpleging</v>
      </c>
      <c r="B1056" s="33" t="s">
        <v>36</v>
      </c>
      <c r="C1056" s="33" t="s">
        <v>40</v>
      </c>
      <c r="D1056" s="427" cm="1">
        <f t="array" ref="D1056">INDEX(Berekening_patiëntaantal[Percentage van patiëntaantallen in Wlz (overige is Zvw)],MATCH(B1056,IF(Berekening_patiëntaantal[Doelgroep (zoeksleutel)]=C1056,Berekening_patiëntaantal[Digitale zorgtoepassing]),0))</f>
        <v>0.45</v>
      </c>
      <c r="E1056" s="33" t="str" cm="1">
        <f t="array" ref="E1056">INDEX(Berekening_patiëntaantal[Direct toepasbaar/extrapolatie/incidentie voor QALY],MATCH(B1056,IF(Berekening_patiëntaantal[Doelgroep (zoeksleutel)]=C1056,Berekening_patiëntaantal[Digitale zorgtoepassing]),0))</f>
        <v>Extrapolatie</v>
      </c>
      <c r="F1056" s="33" t="s">
        <v>813</v>
      </c>
      <c r="G1056" s="33" t="str">
        <f>CONCATENATE(uitkomst_doelgroep[[#This Row],[Digitale zorgtoepassing]],"_",uitkomst_doelgroep[[#This Row],[Doelgroep]],"_",uitkomst_doelgroep[[#This Row],[Uitgangssituatie/effect beleid]])</f>
        <v>Leefstijlmonitoring_Kwetsbare ouderen_Uitgangssituatie</v>
      </c>
      <c r="H1056" s="33">
        <v>2027</v>
      </c>
      <c r="I1056" s="32">
        <v>5</v>
      </c>
      <c r="J1056" s="406" cm="1">
        <f t="array" ref="J1056">INDEX(implementatie[[2023]:[2034]],MATCH(G1056, implementatie[Zoeksleutel],0),I1056)</f>
        <v>4.7439999999999996E-2</v>
      </c>
      <c r="K1056" s="406" cm="1">
        <f t="array" ref="K1056">INDEX(implementatie[[2023]:[2034]],MATCH(G1056,implementatie[Zoeksleutel],0),I1056 + 1)</f>
        <v>8.4566978560000006E-2</v>
      </c>
      <c r="L105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974.00250000000005</v>
      </c>
      <c r="M1056" s="398" cm="1">
        <f t="array" ref="M1056">J1056*INDEX(Berekening_impact[Totaal arbeidsbesparing (€/jaar)],MATCH(B1056,IF(Berekening_impact[Doelgroep]=C1056,Berekening_impact[Digitale zorgtoepassing]),0))</f>
        <v>3359741.0952811274</v>
      </c>
      <c r="N1056" s="397" cm="1">
        <f t="array" ref="N1056">J1056*INDEX(Berekening_impact[Totaal arbeidsbesparing (FTE/jaar)],MATCH(B1056,IF(Berekening_impact[Doelgroep]=C1056,Berekening_impact[Digitale zorgtoepassing]),0))</f>
        <v>79.13817305647045</v>
      </c>
      <c r="O1056" s="398" cm="1">
        <f t="array" ref="O1056">J1056*INDEX(Berekening_impact[Overige kostenbesparing (totaal/jaar totaal potentieel)],MATCH(B1056,IF(Berekening_impact[Doelgroep]=C1056,Berekening_impact[Digitale zorgtoepassing]),0))</f>
        <v>462158.62052142859</v>
      </c>
      <c r="P1056" s="398" cm="1">
        <f t="array" ref="P1056">J1056*INDEX(Berekening_impact[Opbrengsten door QALY''s],MATCH(B1056,IF(Berekening_impact[Doelgroep]=C1056,Berekening_impact[Digitale zorgtoepassing]),0))</f>
        <v>0</v>
      </c>
      <c r="Q1056" s="398" cm="1">
        <f t="array" ref="Q1056">J1056*INDEX(Berekening_impact[Jaarlijkse kosten (totaal) - incl. schatting],MATCH(B1056,IF(Berekening_impact[Doelgroep]=C1056,Berekening_impact[Digitale zorgtoepassing]),0))</f>
        <v>1829176.6950000003</v>
      </c>
      <c r="R1056" s="398" cm="1">
        <f t="array" ref="R1056">(uitkomst_doelgroep[[#This Row],[Implementatiegraad t = T + 1]]-uitkomst_doelgroep[[#This Row],[Implementatiegraad t = T]])*INDEX(Berekening_impact[Initiële investering (totaal) - incl. schatting],MATCH(B1056,IF(Berekening_impact[Doelgroep]=C1056,Berekening_impact[Digitale zorgtoepassing]),0))</f>
        <v>0</v>
      </c>
      <c r="S1056" s="398">
        <f>uitkomst_doelgroep[[#This Row],[Arbeidsbesparing (€)]]*uitkomst_doelgroep[[#This Row],[Percentage van patiëntaantallen in Wlz (overige is Zvw)]]</f>
        <v>1511883.4928765073</v>
      </c>
      <c r="T1056" s="398">
        <f>uitkomst_doelgroep[[#This Row],[Overige besparingen (€)]]*uitkomst_doelgroep[[#This Row],[Percentage van patiëntaantallen in Wlz (overige is Zvw)]]</f>
        <v>207971.37923464287</v>
      </c>
      <c r="U1056" s="398">
        <f>uitkomst_doelgroep[[#This Row],[Kosten (€)]]*uitkomst_doelgroep[[#This Row],[Percentage van patiëntaantallen in Wlz (overige is Zvw)]]</f>
        <v>823129.51275000011</v>
      </c>
      <c r="V1056" s="398">
        <f>uitkomst_doelgroep[[#This Row],[Investering (cash flow) (€)]]*uitkomst_doelgroep[[#This Row],[Percentage van patiëntaantallen in Wlz (overige is Zvw)]]</f>
        <v>0</v>
      </c>
    </row>
    <row r="1057" spans="1:22" x14ac:dyDescent="0.5">
      <c r="A1057" s="33" t="str">
        <f>INDEX(Technologieën[Veld],MATCH(B1057,Technologieën[Digitale zorgtoepassing],0))</f>
        <v>Sensoren - Verpleging</v>
      </c>
      <c r="B1057" s="33" t="s">
        <v>36</v>
      </c>
      <c r="C1057" s="33" t="s">
        <v>27</v>
      </c>
      <c r="D1057" s="427" cm="1">
        <f t="array" ref="D1057">INDEX(Berekening_patiëntaantal[Percentage van patiëntaantallen in Wlz (overige is Zvw)],MATCH(B1057,IF(Berekening_patiëntaantal[Doelgroep (zoeksleutel)]=C1057,Berekening_patiëntaantal[Digitale zorgtoepassing]),0))</f>
        <v>0.45</v>
      </c>
      <c r="E1057" s="33" t="str" cm="1">
        <f t="array" ref="E1057">INDEX(Berekening_patiëntaantal[Direct toepasbaar/extrapolatie/incidentie voor QALY],MATCH(B1057,IF(Berekening_patiëntaantal[Doelgroep (zoeksleutel)]=C1057,Berekening_patiëntaantal[Digitale zorgtoepassing]),0))</f>
        <v>Extrapolatie</v>
      </c>
      <c r="F1057" s="33" t="s">
        <v>813</v>
      </c>
      <c r="G1057" s="33" t="str">
        <f>CONCATENATE(uitkomst_doelgroep[[#This Row],[Digitale zorgtoepassing]],"_",uitkomst_doelgroep[[#This Row],[Doelgroep]],"_",uitkomst_doelgroep[[#This Row],[Uitgangssituatie/effect beleid]])</f>
        <v>Leefstijlmonitoring_Parkinson_Uitgangssituatie</v>
      </c>
      <c r="H1057" s="33">
        <v>2027</v>
      </c>
      <c r="I1057" s="32">
        <v>5</v>
      </c>
      <c r="J1057" s="406" cm="1">
        <f t="array" ref="J1057">INDEX(implementatie[[2023]:[2034]],MATCH(G1057, implementatie[Zoeksleutel],0),I1057)</f>
        <v>4.7439999999999996E-2</v>
      </c>
      <c r="K1057" s="406" cm="1">
        <f t="array" ref="K1057">INDEX(implementatie[[2023]:[2034]],MATCH(G1057,implementatie[Zoeksleutel],0),I1057 + 1)</f>
        <v>8.4566978560000006E-2</v>
      </c>
      <c r="L105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451.72367999999989</v>
      </c>
      <c r="M1057" s="398" cm="1">
        <f t="array" ref="M1057">J1057*INDEX(Berekening_impact[Totaal arbeidsbesparing (€/jaar)],MATCH(B1057,IF(Berekening_impact[Doelgroep]=C1057,Berekening_impact[Digitale zorgtoepassing]),0))</f>
        <v>1558183.4866005178</v>
      </c>
      <c r="N1057" s="397" cm="1">
        <f t="array" ref="N1057">J1057*INDEX(Berekening_impact[Totaal arbeidsbesparing (FTE/jaar)],MATCH(B1057,IF(Berekening_impact[Doelgroep]=C1057,Berekening_impact[Digitale zorgtoepassing]),0))</f>
        <v>36.702766945203599</v>
      </c>
      <c r="O1057" s="398" cm="1">
        <f t="array" ref="O1057">J1057*INDEX(Berekening_impact[Overige kostenbesparing (totaal/jaar totaal potentieel)],MATCH(B1057,IF(Berekening_impact[Doelgroep]=C1057,Berekening_impact[Digitale zorgtoepassing]),0))</f>
        <v>214340.30488182849</v>
      </c>
      <c r="P1057" s="398" cm="1">
        <f t="array" ref="P1057">J1057*INDEX(Berekening_impact[Opbrengsten door QALY''s],MATCH(B1057,IF(Berekening_impact[Doelgroep]=C1057,Berekening_impact[Digitale zorgtoepassing]),0))</f>
        <v>0</v>
      </c>
      <c r="Q1057" s="398" cm="1">
        <f t="array" ref="Q1057">J1057*INDEX(Berekening_impact[Jaarlijkse kosten (totaal) - incl. schatting],MATCH(B1057,IF(Berekening_impact[Doelgroep]=C1057,Berekening_impact[Digitale zorgtoepassing]),0))</f>
        <v>848337.07103999972</v>
      </c>
      <c r="R1057" s="398" cm="1">
        <f t="array" ref="R1057">(uitkomst_doelgroep[[#This Row],[Implementatiegraad t = T + 1]]-uitkomst_doelgroep[[#This Row],[Implementatiegraad t = T]])*INDEX(Berekening_impact[Initiële investering (totaal) - incl. schatting],MATCH(B1057,IF(Berekening_impact[Doelgroep]=C1057,Berekening_impact[Digitale zorgtoepassing]),0))</f>
        <v>0</v>
      </c>
      <c r="S1057" s="398">
        <f>uitkomst_doelgroep[[#This Row],[Arbeidsbesparing (€)]]*uitkomst_doelgroep[[#This Row],[Percentage van patiëntaantallen in Wlz (overige is Zvw)]]</f>
        <v>701182.56897023297</v>
      </c>
      <c r="T1057" s="398">
        <f>uitkomst_doelgroep[[#This Row],[Overige besparingen (€)]]*uitkomst_doelgroep[[#This Row],[Percentage van patiëntaantallen in Wlz (overige is Zvw)]]</f>
        <v>96453.13719682282</v>
      </c>
      <c r="U1057" s="398">
        <f>uitkomst_doelgroep[[#This Row],[Kosten (€)]]*uitkomst_doelgroep[[#This Row],[Percentage van patiëntaantallen in Wlz (overige is Zvw)]]</f>
        <v>381751.6819679999</v>
      </c>
      <c r="V1057" s="398">
        <f>uitkomst_doelgroep[[#This Row],[Investering (cash flow) (€)]]*uitkomst_doelgroep[[#This Row],[Percentage van patiëntaantallen in Wlz (overige is Zvw)]]</f>
        <v>0</v>
      </c>
    </row>
    <row r="1058" spans="1:22" x14ac:dyDescent="0.5">
      <c r="A1058" s="33" t="str">
        <f>INDEX(Technologieën[Veld],MATCH(B1058,Technologieën[Digitale zorgtoepassing],0))</f>
        <v>Sensoren - Verpleging</v>
      </c>
      <c r="B1058" s="33" t="s">
        <v>36</v>
      </c>
      <c r="C1058" s="33" t="s">
        <v>20</v>
      </c>
      <c r="D1058" s="427" cm="1">
        <f t="array" ref="D1058">INDEX(Berekening_patiëntaantal[Percentage van patiëntaantallen in Wlz (overige is Zvw)],MATCH(B1058,IF(Berekening_patiëntaantal[Doelgroep (zoeksleutel)]=C1058,Berekening_patiëntaantal[Digitale zorgtoepassing]),0))</f>
        <v>0</v>
      </c>
      <c r="E1058" s="33" t="str" cm="1">
        <f t="array" ref="E1058">INDEX(Berekening_patiëntaantal[Direct toepasbaar/extrapolatie/incidentie voor QALY],MATCH(B1058,IF(Berekening_patiëntaantal[Doelgroep (zoeksleutel)]=C1058,Berekening_patiëntaantal[Digitale zorgtoepassing]),0))</f>
        <v>Huidige toepassing</v>
      </c>
      <c r="F1058" s="33" t="s">
        <v>813</v>
      </c>
      <c r="G1058" s="33" t="str">
        <f>CONCATENATE(uitkomst_doelgroep[[#This Row],[Digitale zorgtoepassing]],"_",uitkomst_doelgroep[[#This Row],[Doelgroep]],"_",uitkomst_doelgroep[[#This Row],[Uitgangssituatie/effect beleid]])</f>
        <v>Leefstijlmonitoring_Dementie_Uitgangssituatie</v>
      </c>
      <c r="H1058" s="33">
        <v>2027</v>
      </c>
      <c r="I1058" s="32">
        <v>5</v>
      </c>
      <c r="J1058" s="406" cm="1">
        <f t="array" ref="J1058">INDEX(implementatie[[2023]:[2034]],MATCH(G1058, implementatie[Zoeksleutel],0),I1058)</f>
        <v>0.59152735761672615</v>
      </c>
      <c r="K1058" s="406" cm="1">
        <f t="array" ref="K1058">INDEX(implementatie[[2023]:[2034]],MATCH(G1058,implementatie[Zoeksleutel],0),I1058 + 1)</f>
        <v>0.69634590758747161</v>
      </c>
      <c r="L105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19558.467586814597</v>
      </c>
      <c r="M1058" s="398" cm="1">
        <f t="array" ref="M1058">J1058*INDEX(Berekening_impact[Totaal arbeidsbesparing (€/jaar)],MATCH(B1058,IF(Berekening_impact[Doelgroep]=C1058,Berekening_impact[Digitale zorgtoepassing]),0))</f>
        <v>67465316.887939095</v>
      </c>
      <c r="N1058" s="397" cm="1">
        <f t="array" ref="N1058">J1058*INDEX(Berekening_impact[Totaal arbeidsbesparing (FTE/jaar)],MATCH(B1058,IF(Berekening_impact[Doelgroep]=C1058,Berekening_impact[Digitale zorgtoepassing]),0))</f>
        <v>1589.1349278925891</v>
      </c>
      <c r="O1058" s="398" cm="1">
        <f t="array" ref="O1058">J1058*INDEX(Berekening_impact[Overige kostenbesparing (totaal/jaar totaal potentieel)],MATCH(B1058,IF(Berekening_impact[Doelgroep]=C1058,Berekening_impact[Digitale zorgtoepassing]),0))</f>
        <v>9280381.1072716005</v>
      </c>
      <c r="P1058" s="398" cm="1">
        <f t="array" ref="P1058">J1058*INDEX(Berekening_impact[Opbrengsten door QALY''s],MATCH(B1058,IF(Berekening_impact[Doelgroep]=C1058,Berekening_impact[Digitale zorgtoepassing]),0))</f>
        <v>0</v>
      </c>
      <c r="Q1058" s="398" cm="1">
        <f t="array" ref="Q1058">J1058*INDEX(Berekening_impact[Jaarlijkse kosten (totaal) - incl. schatting],MATCH(B1058,IF(Berekening_impact[Doelgroep]=C1058,Berekening_impact[Digitale zorgtoepassing]),0))</f>
        <v>36730802.128037818</v>
      </c>
      <c r="R1058" s="398" cm="1">
        <f t="array" ref="R1058">(uitkomst_doelgroep[[#This Row],[Implementatiegraad t = T + 1]]-uitkomst_doelgroep[[#This Row],[Implementatiegraad t = T]])*INDEX(Berekening_impact[Initiële investering (totaal) - incl. schatting],MATCH(B1058,IF(Berekening_impact[Doelgroep]=C1058,Berekening_impact[Digitale zorgtoepassing]),0))</f>
        <v>0</v>
      </c>
      <c r="S1058" s="398">
        <f>uitkomst_doelgroep[[#This Row],[Arbeidsbesparing (€)]]*uitkomst_doelgroep[[#This Row],[Percentage van patiëntaantallen in Wlz (overige is Zvw)]]</f>
        <v>0</v>
      </c>
      <c r="T1058" s="398">
        <f>uitkomst_doelgroep[[#This Row],[Overige besparingen (€)]]*uitkomst_doelgroep[[#This Row],[Percentage van patiëntaantallen in Wlz (overige is Zvw)]]</f>
        <v>0</v>
      </c>
      <c r="U1058" s="398">
        <f>uitkomst_doelgroep[[#This Row],[Kosten (€)]]*uitkomst_doelgroep[[#This Row],[Percentage van patiëntaantallen in Wlz (overige is Zvw)]]</f>
        <v>0</v>
      </c>
      <c r="V1058" s="398">
        <f>uitkomst_doelgroep[[#This Row],[Investering (cash flow) (€)]]*uitkomst_doelgroep[[#This Row],[Percentage van patiëntaantallen in Wlz (overige is Zvw)]]</f>
        <v>0</v>
      </c>
    </row>
    <row r="1059" spans="1:22" x14ac:dyDescent="0.5">
      <c r="A1059" s="33" t="str">
        <f>INDEX(Technologieën[Veld],MATCH(B1059,Technologieën[Digitale zorgtoepassing],0))</f>
        <v>Sensoren - Verpleging</v>
      </c>
      <c r="B1059" s="33" t="s">
        <v>36</v>
      </c>
      <c r="C1059" s="33" t="s">
        <v>24</v>
      </c>
      <c r="D1059" s="427" cm="1">
        <f t="array" ref="D1059">INDEX(Berekening_patiëntaantal[Percentage van patiëntaantallen in Wlz (overige is Zvw)],MATCH(B1059,IF(Berekening_patiëntaantal[Doelgroep (zoeksleutel)]=C1059,Berekening_patiëntaantal[Digitale zorgtoepassing]),0))</f>
        <v>0.45</v>
      </c>
      <c r="E1059" s="33" t="str" cm="1">
        <f t="array" ref="E1059">INDEX(Berekening_patiëntaantal[Direct toepasbaar/extrapolatie/incidentie voor QALY],MATCH(B1059,IF(Berekening_patiëntaantal[Doelgroep (zoeksleutel)]=C1059,Berekening_patiëntaantal[Digitale zorgtoepassing]),0))</f>
        <v>Extrapolatie</v>
      </c>
      <c r="F1059" s="33" t="s">
        <v>813</v>
      </c>
      <c r="G1059" s="33" t="str">
        <f>CONCATENATE(uitkomst_doelgroep[[#This Row],[Digitale zorgtoepassing]],"_",uitkomst_doelgroep[[#This Row],[Doelgroep]],"_",uitkomst_doelgroep[[#This Row],[Uitgangssituatie/effect beleid]])</f>
        <v>Leefstijlmonitoring_Cognitieve beperking_Uitgangssituatie</v>
      </c>
      <c r="H1059" s="33">
        <v>2028</v>
      </c>
      <c r="I1059" s="32">
        <v>6</v>
      </c>
      <c r="J1059" s="406" cm="1">
        <f t="array" ref="J1059">INDEX(implementatie[[2023]:[2034]],MATCH(G1059, implementatie[Zoeksleutel],0),I1059)</f>
        <v>8.4566978560000006E-2</v>
      </c>
      <c r="K1059" s="406" cm="1">
        <f t="array" ref="K1059">INDEX(implementatie[[2023]:[2034]],MATCH(G1059,implementatie[Zoeksleutel],0),I1059 + 1)</f>
        <v>0.13384180086769301</v>
      </c>
      <c r="L105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270.9465104837837</v>
      </c>
      <c r="M1059" s="398" cm="1">
        <f t="array" ref="M1059">J1059*INDEX(Berekening_impact[Totaal arbeidsbesparing (€/jaar)],MATCH(B1059,IF(Berekening_impact[Doelgroep]=C1059,Berekening_impact[Digitale zorgtoepassing]),0))</f>
        <v>934607.58662876824</v>
      </c>
      <c r="N1059" s="397" cm="1">
        <f t="array" ref="N1059">J1059*INDEX(Berekening_impact[Totaal arbeidsbesparing (FTE/jaar)],MATCH(B1059,IF(Berekening_impact[Doelgroep]=C1059,Berekening_impact[Digitale zorgtoepassing]),0))</f>
        <v>22.014534701617766</v>
      </c>
      <c r="O1059" s="398" cm="1">
        <f t="array" ref="O1059">J1059*INDEX(Berekening_impact[Overige kostenbesparing (totaal/jaar totaal potentieel)],MATCH(B1059,IF(Berekening_impact[Doelgroep]=C1059,Berekening_impact[Digitale zorgtoepassing]),0))</f>
        <v>128562.57095878114</v>
      </c>
      <c r="P1059" s="398" cm="1">
        <f t="array" ref="P1059">J1059*INDEX(Berekening_impact[Opbrengsten door QALY''s],MATCH(B1059,IF(Berekening_impact[Doelgroep]=C1059,Berekening_impact[Digitale zorgtoepassing]),0))</f>
        <v>0</v>
      </c>
      <c r="Q1059" s="398" cm="1">
        <f t="array" ref="Q1059">J1059*INDEX(Berekening_impact[Jaarlijkse kosten (totaal) - incl. schatting],MATCH(B1059,IF(Berekening_impact[Doelgroep]=C1059,Berekening_impact[Digitale zorgtoepassing]),0))</f>
        <v>508837.54668854579</v>
      </c>
      <c r="R1059" s="398" cm="1">
        <f t="array" ref="R1059">(uitkomst_doelgroep[[#This Row],[Implementatiegraad t = T + 1]]-uitkomst_doelgroep[[#This Row],[Implementatiegraad t = T]])*INDEX(Berekening_impact[Initiële investering (totaal) - incl. schatting],MATCH(B1059,IF(Berekening_impact[Doelgroep]=C1059,Berekening_impact[Digitale zorgtoepassing]),0))</f>
        <v>0</v>
      </c>
      <c r="S1059" s="398">
        <f>uitkomst_doelgroep[[#This Row],[Arbeidsbesparing (€)]]*uitkomst_doelgroep[[#This Row],[Percentage van patiëntaantallen in Wlz (overige is Zvw)]]</f>
        <v>420573.41398294573</v>
      </c>
      <c r="T1059" s="398">
        <f>uitkomst_doelgroep[[#This Row],[Overige besparingen (€)]]*uitkomst_doelgroep[[#This Row],[Percentage van patiëntaantallen in Wlz (overige is Zvw)]]</f>
        <v>57853.156931451515</v>
      </c>
      <c r="U1059" s="398">
        <f>uitkomst_doelgroep[[#This Row],[Kosten (€)]]*uitkomst_doelgroep[[#This Row],[Percentage van patiëntaantallen in Wlz (overige is Zvw)]]</f>
        <v>228976.8960098456</v>
      </c>
      <c r="V1059" s="398">
        <f>uitkomst_doelgroep[[#This Row],[Investering (cash flow) (€)]]*uitkomst_doelgroep[[#This Row],[Percentage van patiëntaantallen in Wlz (overige is Zvw)]]</f>
        <v>0</v>
      </c>
    </row>
    <row r="1060" spans="1:22" x14ac:dyDescent="0.5">
      <c r="A1060" s="33" t="str">
        <f>INDEX(Technologieën[Veld],MATCH(B1060,Technologieën[Digitale zorgtoepassing],0))</f>
        <v>Sensoren - Verpleging</v>
      </c>
      <c r="B1060" s="33" t="s">
        <v>36</v>
      </c>
      <c r="C1060" s="33" t="s">
        <v>40</v>
      </c>
      <c r="D1060" s="427" cm="1">
        <f t="array" ref="D1060">INDEX(Berekening_patiëntaantal[Percentage van patiëntaantallen in Wlz (overige is Zvw)],MATCH(B1060,IF(Berekening_patiëntaantal[Doelgroep (zoeksleutel)]=C1060,Berekening_patiëntaantal[Digitale zorgtoepassing]),0))</f>
        <v>0.45</v>
      </c>
      <c r="E1060" s="33" t="str" cm="1">
        <f t="array" ref="E1060">INDEX(Berekening_patiëntaantal[Direct toepasbaar/extrapolatie/incidentie voor QALY],MATCH(B1060,IF(Berekening_patiëntaantal[Doelgroep (zoeksleutel)]=C1060,Berekening_patiëntaantal[Digitale zorgtoepassing]),0))</f>
        <v>Extrapolatie</v>
      </c>
      <c r="F1060" s="33" t="s">
        <v>813</v>
      </c>
      <c r="G1060" s="33" t="str">
        <f>CONCATENATE(uitkomst_doelgroep[[#This Row],[Digitale zorgtoepassing]],"_",uitkomst_doelgroep[[#This Row],[Doelgroep]],"_",uitkomst_doelgroep[[#This Row],[Uitgangssituatie/effect beleid]])</f>
        <v>Leefstijlmonitoring_Kwetsbare ouderen_Uitgangssituatie</v>
      </c>
      <c r="H1060" s="33">
        <v>2028</v>
      </c>
      <c r="I1060" s="32">
        <v>6</v>
      </c>
      <c r="J1060" s="406" cm="1">
        <f t="array" ref="J1060">INDEX(implementatie[[2023]:[2034]],MATCH(G1060, implementatie[Zoeksleutel],0),I1060)</f>
        <v>8.4566978560000006E-2</v>
      </c>
      <c r="K1060" s="406" cm="1">
        <f t="array" ref="K1060">INDEX(implementatie[[2023]:[2034]],MATCH(G1060,implementatie[Zoeksleutel],0),I1060 + 1)</f>
        <v>0.13384180086769301</v>
      </c>
      <c r="L106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1736.2657785600004</v>
      </c>
      <c r="M1060" s="398" cm="1">
        <f t="array" ref="M1060">J1060*INDEX(Berekening_impact[Totaal arbeidsbesparing (€/jaar)],MATCH(B1060,IF(Berekening_impact[Doelgroep]=C1060,Berekening_impact[Digitale zorgtoepassing]),0))</f>
        <v>5989105.2523564519</v>
      </c>
      <c r="N1060" s="397" cm="1">
        <f t="array" ref="N1060">J1060*INDEX(Berekening_impact[Totaal arbeidsbesparing (FTE/jaar)],MATCH(B1060,IF(Berekening_impact[Doelgroep]=C1060,Berekening_impact[Digitale zorgtoepassing]),0))</f>
        <v>141.07243221214392</v>
      </c>
      <c r="O1060" s="398" cm="1">
        <f t="array" ref="O1060">J1060*INDEX(Berekening_impact[Overige kostenbesparing (totaal/jaar totaal potentieel)],MATCH(B1060,IF(Berekening_impact[Doelgroep]=C1060,Berekening_impact[Digitale zorgtoepassing]),0))</f>
        <v>823848.19040798547</v>
      </c>
      <c r="P1060" s="398" cm="1">
        <f t="array" ref="P1060">J1060*INDEX(Berekening_impact[Opbrengsten door QALY''s],MATCH(B1060,IF(Berekening_impact[Doelgroep]=C1060,Berekening_impact[Digitale zorgtoepassing]),0))</f>
        <v>0</v>
      </c>
      <c r="Q1060" s="398" cm="1">
        <f t="array" ref="Q1060">J1060*INDEX(Berekening_impact[Jaarlijkse kosten (totaal) - incl. schatting],MATCH(B1060,IF(Berekening_impact[Doelgroep]=C1060,Berekening_impact[Digitale zorgtoepassing]),0))</f>
        <v>3260707.1321356809</v>
      </c>
      <c r="R1060" s="398" cm="1">
        <f t="array" ref="R1060">(uitkomst_doelgroep[[#This Row],[Implementatiegraad t = T + 1]]-uitkomst_doelgroep[[#This Row],[Implementatiegraad t = T]])*INDEX(Berekening_impact[Initiële investering (totaal) - incl. schatting],MATCH(B1060,IF(Berekening_impact[Doelgroep]=C1060,Berekening_impact[Digitale zorgtoepassing]),0))</f>
        <v>0</v>
      </c>
      <c r="S1060" s="398">
        <f>uitkomst_doelgroep[[#This Row],[Arbeidsbesparing (€)]]*uitkomst_doelgroep[[#This Row],[Percentage van patiëntaantallen in Wlz (overige is Zvw)]]</f>
        <v>2695097.3635604032</v>
      </c>
      <c r="T1060" s="398">
        <f>uitkomst_doelgroep[[#This Row],[Overige besparingen (€)]]*uitkomst_doelgroep[[#This Row],[Percentage van patiëntaantallen in Wlz (overige is Zvw)]]</f>
        <v>370731.68568359344</v>
      </c>
      <c r="U1060" s="398">
        <f>uitkomst_doelgroep[[#This Row],[Kosten (€)]]*uitkomst_doelgroep[[#This Row],[Percentage van patiëntaantallen in Wlz (overige is Zvw)]]</f>
        <v>1467318.2094610564</v>
      </c>
      <c r="V1060" s="398">
        <f>uitkomst_doelgroep[[#This Row],[Investering (cash flow) (€)]]*uitkomst_doelgroep[[#This Row],[Percentage van patiëntaantallen in Wlz (overige is Zvw)]]</f>
        <v>0</v>
      </c>
    </row>
    <row r="1061" spans="1:22" x14ac:dyDescent="0.5">
      <c r="A1061" s="33" t="str">
        <f>INDEX(Technologieën[Veld],MATCH(B1061,Technologieën[Digitale zorgtoepassing],0))</f>
        <v>Sensoren - Verpleging</v>
      </c>
      <c r="B1061" s="33" t="s">
        <v>36</v>
      </c>
      <c r="C1061" s="33" t="s">
        <v>27</v>
      </c>
      <c r="D1061" s="427" cm="1">
        <f t="array" ref="D1061">INDEX(Berekening_patiëntaantal[Percentage van patiëntaantallen in Wlz (overige is Zvw)],MATCH(B1061,IF(Berekening_patiëntaantal[Doelgroep (zoeksleutel)]=C1061,Berekening_patiëntaantal[Digitale zorgtoepassing]),0))</f>
        <v>0.45</v>
      </c>
      <c r="E1061" s="33" t="str" cm="1">
        <f t="array" ref="E1061">INDEX(Berekening_patiëntaantal[Direct toepasbaar/extrapolatie/incidentie voor QALY],MATCH(B1061,IF(Berekening_patiëntaantal[Doelgroep (zoeksleutel)]=C1061,Berekening_patiëntaantal[Digitale zorgtoepassing]),0))</f>
        <v>Extrapolatie</v>
      </c>
      <c r="F1061" s="33" t="s">
        <v>813</v>
      </c>
      <c r="G1061" s="33" t="str">
        <f>CONCATENATE(uitkomst_doelgroep[[#This Row],[Digitale zorgtoepassing]],"_",uitkomst_doelgroep[[#This Row],[Doelgroep]],"_",uitkomst_doelgroep[[#This Row],[Uitgangssituatie/effect beleid]])</f>
        <v>Leefstijlmonitoring_Parkinson_Uitgangssituatie</v>
      </c>
      <c r="H1061" s="33">
        <v>2028</v>
      </c>
      <c r="I1061" s="32">
        <v>6</v>
      </c>
      <c r="J1061" s="406" cm="1">
        <f t="array" ref="J1061">INDEX(implementatie[[2023]:[2034]],MATCH(G1061, implementatie[Zoeksleutel],0),I1061)</f>
        <v>8.4566978560000006E-2</v>
      </c>
      <c r="K1061" s="406" cm="1">
        <f t="array" ref="K1061">INDEX(implementatie[[2023]:[2034]],MATCH(G1061,implementatie[Zoeksleutel],0),I1061 + 1)</f>
        <v>0.13384180086769301</v>
      </c>
      <c r="L106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805.2467698483199</v>
      </c>
      <c r="M1061" s="398" cm="1">
        <f t="array" ref="M1061">J1061*INDEX(Berekening_impact[Totaal arbeidsbesparing (€/jaar)],MATCH(B1061,IF(Berekening_impact[Doelgroep]=C1061,Berekening_impact[Digitale zorgtoepassing]),0))</f>
        <v>2777632.1564901359</v>
      </c>
      <c r="N1061" s="397" cm="1">
        <f t="array" ref="N1061">J1061*INDEX(Berekening_impact[Totaal arbeidsbesparing (FTE/jaar)],MATCH(B1061,IF(Berekening_impact[Doelgroep]=C1061,Berekening_impact[Digitale zorgtoepassing]),0))</f>
        <v>65.426688561292366</v>
      </c>
      <c r="O1061" s="398" cm="1">
        <f t="array" ref="O1061">J1061*INDEX(Berekening_impact[Overige kostenbesparing (totaal/jaar totaal potentieel)],MATCH(B1061,IF(Berekening_impact[Doelgroep]=C1061,Berekening_impact[Digitale zorgtoepassing]),0))</f>
        <v>382084.99088291434</v>
      </c>
      <c r="P1061" s="398" cm="1">
        <f t="array" ref="P1061">J1061*INDEX(Berekening_impact[Opbrengsten door QALY''s],MATCH(B1061,IF(Berekening_impact[Doelgroep]=C1061,Berekening_impact[Digitale zorgtoepassing]),0))</f>
        <v>0</v>
      </c>
      <c r="Q1061" s="398" cm="1">
        <f t="array" ref="Q1061">J1061*INDEX(Berekening_impact[Jaarlijkse kosten (totaal) - incl. schatting],MATCH(B1061,IF(Berekening_impact[Doelgroep]=C1061,Berekening_impact[Digitale zorgtoepassing]),0))</f>
        <v>1512253.4337751449</v>
      </c>
      <c r="R1061" s="398" cm="1">
        <f t="array" ref="R1061">(uitkomst_doelgroep[[#This Row],[Implementatiegraad t = T + 1]]-uitkomst_doelgroep[[#This Row],[Implementatiegraad t = T]])*INDEX(Berekening_impact[Initiële investering (totaal) - incl. schatting],MATCH(B1061,IF(Berekening_impact[Doelgroep]=C1061,Berekening_impact[Digitale zorgtoepassing]),0))</f>
        <v>0</v>
      </c>
      <c r="S1061" s="398">
        <f>uitkomst_doelgroep[[#This Row],[Arbeidsbesparing (€)]]*uitkomst_doelgroep[[#This Row],[Percentage van patiëntaantallen in Wlz (overige is Zvw)]]</f>
        <v>1249934.4704205613</v>
      </c>
      <c r="T1061" s="398">
        <f>uitkomst_doelgroep[[#This Row],[Overige besparingen (€)]]*uitkomst_doelgroep[[#This Row],[Percentage van patiëntaantallen in Wlz (overige is Zvw)]]</f>
        <v>171938.24589731146</v>
      </c>
      <c r="U1061" s="398">
        <f>uitkomst_doelgroep[[#This Row],[Kosten (€)]]*uitkomst_doelgroep[[#This Row],[Percentage van patiëntaantallen in Wlz (overige is Zvw)]]</f>
        <v>680514.04519881518</v>
      </c>
      <c r="V1061" s="398">
        <f>uitkomst_doelgroep[[#This Row],[Investering (cash flow) (€)]]*uitkomst_doelgroep[[#This Row],[Percentage van patiëntaantallen in Wlz (overige is Zvw)]]</f>
        <v>0</v>
      </c>
    </row>
    <row r="1062" spans="1:22" x14ac:dyDescent="0.5">
      <c r="A1062" s="33" t="str">
        <f>INDEX(Technologieën[Veld],MATCH(B1062,Technologieën[Digitale zorgtoepassing],0))</f>
        <v>Sensoren - Verpleging</v>
      </c>
      <c r="B1062" s="33" t="s">
        <v>36</v>
      </c>
      <c r="C1062" s="33" t="s">
        <v>20</v>
      </c>
      <c r="D1062" s="427" cm="1">
        <f t="array" ref="D1062">INDEX(Berekening_patiëntaantal[Percentage van patiëntaantallen in Wlz (overige is Zvw)],MATCH(B1062,IF(Berekening_patiëntaantal[Doelgroep (zoeksleutel)]=C1062,Berekening_patiëntaantal[Digitale zorgtoepassing]),0))</f>
        <v>0</v>
      </c>
      <c r="E1062" s="33" t="str" cm="1">
        <f t="array" ref="E1062">INDEX(Berekening_patiëntaantal[Direct toepasbaar/extrapolatie/incidentie voor QALY],MATCH(B1062,IF(Berekening_patiëntaantal[Doelgroep (zoeksleutel)]=C1062,Berekening_patiëntaantal[Digitale zorgtoepassing]),0))</f>
        <v>Huidige toepassing</v>
      </c>
      <c r="F1062" s="33" t="s">
        <v>813</v>
      </c>
      <c r="G1062" s="33" t="str">
        <f>CONCATENATE(uitkomst_doelgroep[[#This Row],[Digitale zorgtoepassing]],"_",uitkomst_doelgroep[[#This Row],[Doelgroep]],"_",uitkomst_doelgroep[[#This Row],[Uitgangssituatie/effect beleid]])</f>
        <v>Leefstijlmonitoring_Dementie_Uitgangssituatie</v>
      </c>
      <c r="H1062" s="33">
        <v>2028</v>
      </c>
      <c r="I1062" s="32">
        <v>6</v>
      </c>
      <c r="J1062" s="406" cm="1">
        <f t="array" ref="J1062">INDEX(implementatie[[2023]:[2034]],MATCH(G1062, implementatie[Zoeksleutel],0),I1062)</f>
        <v>0.69634590758747161</v>
      </c>
      <c r="K1062" s="406" cm="1">
        <f t="array" ref="K1062">INDEX(implementatie[[2023]:[2034]],MATCH(G1062,implementatie[Zoeksleutel],0),I1062 + 1)</f>
        <v>0.78699830326518305</v>
      </c>
      <c r="L106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23024.224809539817</v>
      </c>
      <c r="M1062" s="398" cm="1">
        <f t="array" ref="M1062">J1062*INDEX(Berekening_impact[Totaal arbeidsbesparing (€/jaar)],MATCH(B1062,IF(Berekening_impact[Doelgroep]=C1062,Berekening_impact[Digitale zorgtoepassing]),0))</f>
        <v>79420159.886244848</v>
      </c>
      <c r="N1062" s="397" cm="1">
        <f t="array" ref="N1062">J1062*INDEX(Berekening_impact[Totaal arbeidsbesparing (FTE/jaar)],MATCH(B1062,IF(Berekening_impact[Doelgroep]=C1062,Berekening_impact[Digitale zorgtoepassing]),0))</f>
        <v>1870.7293743788566</v>
      </c>
      <c r="O1062" s="398" cm="1">
        <f t="array" ref="O1062">J1062*INDEX(Berekening_impact[Overige kostenbesparing (totaal/jaar totaal potentieel)],MATCH(B1062,IF(Berekening_impact[Doelgroep]=C1062,Berekening_impact[Digitale zorgtoepassing]),0))</f>
        <v>10924863.105127729</v>
      </c>
      <c r="P1062" s="398" cm="1">
        <f t="array" ref="P1062">J1062*INDEX(Berekening_impact[Opbrengsten door QALY''s],MATCH(B1062,IF(Berekening_impact[Doelgroep]=C1062,Berekening_impact[Digitale zorgtoepassing]),0))</f>
        <v>0</v>
      </c>
      <c r="Q1062" s="398" cm="1">
        <f t="array" ref="Q1062">J1062*INDEX(Berekening_impact[Jaarlijkse kosten (totaal) - incl. schatting],MATCH(B1062,IF(Berekening_impact[Doelgroep]=C1062,Berekening_impact[Digitale zorgtoepassing]),0))</f>
        <v>43239494.192315772</v>
      </c>
      <c r="R1062" s="398" cm="1">
        <f t="array" ref="R1062">(uitkomst_doelgroep[[#This Row],[Implementatiegraad t = T + 1]]-uitkomst_doelgroep[[#This Row],[Implementatiegraad t = T]])*INDEX(Berekening_impact[Initiële investering (totaal) - incl. schatting],MATCH(B1062,IF(Berekening_impact[Doelgroep]=C1062,Berekening_impact[Digitale zorgtoepassing]),0))</f>
        <v>0</v>
      </c>
      <c r="S1062" s="398">
        <f>uitkomst_doelgroep[[#This Row],[Arbeidsbesparing (€)]]*uitkomst_doelgroep[[#This Row],[Percentage van patiëntaantallen in Wlz (overige is Zvw)]]</f>
        <v>0</v>
      </c>
      <c r="T1062" s="398">
        <f>uitkomst_doelgroep[[#This Row],[Overige besparingen (€)]]*uitkomst_doelgroep[[#This Row],[Percentage van patiëntaantallen in Wlz (overige is Zvw)]]</f>
        <v>0</v>
      </c>
      <c r="U1062" s="398">
        <f>uitkomst_doelgroep[[#This Row],[Kosten (€)]]*uitkomst_doelgroep[[#This Row],[Percentage van patiëntaantallen in Wlz (overige is Zvw)]]</f>
        <v>0</v>
      </c>
      <c r="V1062" s="398">
        <f>uitkomst_doelgroep[[#This Row],[Investering (cash flow) (€)]]*uitkomst_doelgroep[[#This Row],[Percentage van patiëntaantallen in Wlz (overige is Zvw)]]</f>
        <v>0</v>
      </c>
    </row>
    <row r="1063" spans="1:22" x14ac:dyDescent="0.5">
      <c r="A1063" s="33" t="str">
        <f>INDEX(Technologieën[Veld],MATCH(B1063,Technologieën[Digitale zorgtoepassing],0))</f>
        <v>Sensoren - Verpleging</v>
      </c>
      <c r="B1063" s="33" t="s">
        <v>36</v>
      </c>
      <c r="C1063" s="33" t="s">
        <v>24</v>
      </c>
      <c r="D1063" s="427" cm="1">
        <f t="array" ref="D1063">INDEX(Berekening_patiëntaantal[Percentage van patiëntaantallen in Wlz (overige is Zvw)],MATCH(B1063,IF(Berekening_patiëntaantal[Doelgroep (zoeksleutel)]=C1063,Berekening_patiëntaantal[Digitale zorgtoepassing]),0))</f>
        <v>0.45</v>
      </c>
      <c r="E1063" s="33" t="str" cm="1">
        <f t="array" ref="E1063">INDEX(Berekening_patiëntaantal[Direct toepasbaar/extrapolatie/incidentie voor QALY],MATCH(B1063,IF(Berekening_patiëntaantal[Doelgroep (zoeksleutel)]=C1063,Berekening_patiëntaantal[Digitale zorgtoepassing]),0))</f>
        <v>Extrapolatie</v>
      </c>
      <c r="F1063" s="33" t="s">
        <v>813</v>
      </c>
      <c r="G1063" s="33" t="str">
        <f>CONCATENATE(uitkomst_doelgroep[[#This Row],[Digitale zorgtoepassing]],"_",uitkomst_doelgroep[[#This Row],[Doelgroep]],"_",uitkomst_doelgroep[[#This Row],[Uitgangssituatie/effect beleid]])</f>
        <v>Leefstijlmonitoring_Cognitieve beperking_Uitgangssituatie</v>
      </c>
      <c r="H1063" s="33">
        <v>2029</v>
      </c>
      <c r="I1063" s="32">
        <v>7</v>
      </c>
      <c r="J1063" s="406" cm="1">
        <f t="array" ref="J1063">INDEX(implementatie[[2023]:[2034]],MATCH(G1063, implementatie[Zoeksleutel],0),I1063)</f>
        <v>0.13384180086769301</v>
      </c>
      <c r="K1063" s="406" cm="1">
        <f t="array" ref="K1063">INDEX(implementatie[[2023]:[2034]],MATCH(G1063,implementatie[Zoeksleutel],0),I1063 + 1)</f>
        <v>0.19753623413361349</v>
      </c>
      <c r="L106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428.8194933704259</v>
      </c>
      <c r="M1063" s="398" cm="1">
        <f t="array" ref="M1063">J1063*INDEX(Berekening_impact[Totaal arbeidsbesparing (€/jaar)],MATCH(B1063,IF(Berekening_impact[Doelgroep]=C1063,Berekening_impact[Digitale zorgtoepassing]),0))</f>
        <v>1479177.3884915623</v>
      </c>
      <c r="N1063" s="397" cm="1">
        <f t="array" ref="N1063">J1063*INDEX(Berekening_impact[Totaal arbeidsbesparing (FTE/jaar)],MATCH(B1063,IF(Berekening_impact[Doelgroep]=C1063,Berekening_impact[Digitale zorgtoepassing]),0))</f>
        <v>34.841790730862343</v>
      </c>
      <c r="O1063" s="398" cm="1">
        <f t="array" ref="O1063">J1063*INDEX(Berekening_impact[Overige kostenbesparing (totaal/jaar totaal potentieel)],MATCH(B1063,IF(Berekening_impact[Doelgroep]=C1063,Berekening_impact[Digitale zorgtoepassing]),0))</f>
        <v>203472.39920716209</v>
      </c>
      <c r="P1063" s="398" cm="1">
        <f t="array" ref="P1063">J1063*INDEX(Berekening_impact[Opbrengsten door QALY''s],MATCH(B1063,IF(Berekening_impact[Doelgroep]=C1063,Berekening_impact[Digitale zorgtoepassing]),0))</f>
        <v>0</v>
      </c>
      <c r="Q1063" s="398" cm="1">
        <f t="array" ref="Q1063">J1063*INDEX(Berekening_impact[Jaarlijkse kosten (totaal) - incl. schatting],MATCH(B1063,IF(Berekening_impact[Doelgroep]=C1063,Berekening_impact[Digitale zorgtoepassing]),0))</f>
        <v>805323.00854965986</v>
      </c>
      <c r="R1063" s="398" cm="1">
        <f t="array" ref="R1063">(uitkomst_doelgroep[[#This Row],[Implementatiegraad t = T + 1]]-uitkomst_doelgroep[[#This Row],[Implementatiegraad t = T]])*INDEX(Berekening_impact[Initiële investering (totaal) - incl. schatting],MATCH(B1063,IF(Berekening_impact[Doelgroep]=C1063,Berekening_impact[Digitale zorgtoepassing]),0))</f>
        <v>0</v>
      </c>
      <c r="S1063" s="398">
        <f>uitkomst_doelgroep[[#This Row],[Arbeidsbesparing (€)]]*uitkomst_doelgroep[[#This Row],[Percentage van patiëntaantallen in Wlz (overige is Zvw)]]</f>
        <v>665629.82482120302</v>
      </c>
      <c r="T1063" s="398">
        <f>uitkomst_doelgroep[[#This Row],[Overige besparingen (€)]]*uitkomst_doelgroep[[#This Row],[Percentage van patiëntaantallen in Wlz (overige is Zvw)]]</f>
        <v>91562.57964322294</v>
      </c>
      <c r="U1063" s="398">
        <f>uitkomst_doelgroep[[#This Row],[Kosten (€)]]*uitkomst_doelgroep[[#This Row],[Percentage van patiëntaantallen in Wlz (overige is Zvw)]]</f>
        <v>362395.35384734697</v>
      </c>
      <c r="V1063" s="398">
        <f>uitkomst_doelgroep[[#This Row],[Investering (cash flow) (€)]]*uitkomst_doelgroep[[#This Row],[Percentage van patiëntaantallen in Wlz (overige is Zvw)]]</f>
        <v>0</v>
      </c>
    </row>
    <row r="1064" spans="1:22" x14ac:dyDescent="0.5">
      <c r="A1064" s="33" t="str">
        <f>INDEX(Technologieën[Veld],MATCH(B1064,Technologieën[Digitale zorgtoepassing],0))</f>
        <v>Sensoren - Verpleging</v>
      </c>
      <c r="B1064" s="33" t="s">
        <v>36</v>
      </c>
      <c r="C1064" s="33" t="s">
        <v>40</v>
      </c>
      <c r="D1064" s="427" cm="1">
        <f t="array" ref="D1064">INDEX(Berekening_patiëntaantal[Percentage van patiëntaantallen in Wlz (overige is Zvw)],MATCH(B1064,IF(Berekening_patiëntaantal[Doelgroep (zoeksleutel)]=C1064,Berekening_patiëntaantal[Digitale zorgtoepassing]),0))</f>
        <v>0.45</v>
      </c>
      <c r="E1064" s="33" t="str" cm="1">
        <f t="array" ref="E1064">INDEX(Berekening_patiëntaantal[Direct toepasbaar/extrapolatie/incidentie voor QALY],MATCH(B1064,IF(Berekening_patiëntaantal[Doelgroep (zoeksleutel)]=C1064,Berekening_patiëntaantal[Digitale zorgtoepassing]),0))</f>
        <v>Extrapolatie</v>
      </c>
      <c r="F1064" s="33" t="s">
        <v>813</v>
      </c>
      <c r="G1064" s="33" t="str">
        <f>CONCATENATE(uitkomst_doelgroep[[#This Row],[Digitale zorgtoepassing]],"_",uitkomst_doelgroep[[#This Row],[Doelgroep]],"_",uitkomst_doelgroep[[#This Row],[Uitgangssituatie/effect beleid]])</f>
        <v>Leefstijlmonitoring_Kwetsbare ouderen_Uitgangssituatie</v>
      </c>
      <c r="H1064" s="33">
        <v>2029</v>
      </c>
      <c r="I1064" s="32">
        <v>7</v>
      </c>
      <c r="J1064" s="406" cm="1">
        <f t="array" ref="J1064">INDEX(implementatie[[2023]:[2034]],MATCH(G1064, implementatie[Zoeksleutel],0),I1064)</f>
        <v>0.13384180086769301</v>
      </c>
      <c r="K1064" s="406" cm="1">
        <f t="array" ref="K1064">INDEX(implementatie[[2023]:[2034]],MATCH(G1064,implementatie[Zoeksleutel],0),I1064 + 1)</f>
        <v>0.19753623413361349</v>
      </c>
      <c r="L106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2747.9394740648227</v>
      </c>
      <c r="M1064" s="398" cm="1">
        <f t="array" ref="M1064">J1064*INDEX(Berekening_impact[Totaal arbeidsbesparing (€/jaar)],MATCH(B1064,IF(Berekening_impact[Doelgroep]=C1064,Berekening_impact[Digitale zorgtoepassing]),0))</f>
        <v>9478790.0219566077</v>
      </c>
      <c r="N1064" s="397" cm="1">
        <f t="array" ref="N1064">J1064*INDEX(Berekening_impact[Totaal arbeidsbesparing (FTE/jaar)],MATCH(B1064,IF(Berekening_impact[Doelgroep]=C1064,Berekening_impact[Digitale zorgtoepassing]),0))</f>
        <v>223.27140807877629</v>
      </c>
      <c r="O1064" s="398" cm="1">
        <f t="array" ref="O1064">J1064*INDEX(Berekening_impact[Overige kostenbesparing (totaal/jaar totaal potentieel)],MATCH(B1064,IF(Berekening_impact[Doelgroep]=C1064,Berekening_impact[Digitale zorgtoepassing]),0))</f>
        <v>1303881.5779324777</v>
      </c>
      <c r="P1064" s="398" cm="1">
        <f t="array" ref="P1064">J1064*INDEX(Berekening_impact[Opbrengsten door QALY''s],MATCH(B1064,IF(Berekening_impact[Doelgroep]=C1064,Berekening_impact[Digitale zorgtoepassing]),0))</f>
        <v>0</v>
      </c>
      <c r="Q1064" s="398" cm="1">
        <f t="array" ref="Q1064">J1064*INDEX(Berekening_impact[Jaarlijkse kosten (totaal) - incl. schatting],MATCH(B1064,IF(Berekening_impact[Doelgroep]=C1064,Berekening_impact[Digitale zorgtoepassing]),0))</f>
        <v>5160630.3322937367</v>
      </c>
      <c r="R1064" s="398" cm="1">
        <f t="array" ref="R1064">(uitkomst_doelgroep[[#This Row],[Implementatiegraad t = T + 1]]-uitkomst_doelgroep[[#This Row],[Implementatiegraad t = T]])*INDEX(Berekening_impact[Initiële investering (totaal) - incl. schatting],MATCH(B1064,IF(Berekening_impact[Doelgroep]=C1064,Berekening_impact[Digitale zorgtoepassing]),0))</f>
        <v>0</v>
      </c>
      <c r="S1064" s="398">
        <f>uitkomst_doelgroep[[#This Row],[Arbeidsbesparing (€)]]*uitkomst_doelgroep[[#This Row],[Percentage van patiëntaantallen in Wlz (overige is Zvw)]]</f>
        <v>4265455.5098804738</v>
      </c>
      <c r="T1064" s="398">
        <f>uitkomst_doelgroep[[#This Row],[Overige besparingen (€)]]*uitkomst_doelgroep[[#This Row],[Percentage van patiëntaantallen in Wlz (overige is Zvw)]]</f>
        <v>586746.71006961493</v>
      </c>
      <c r="U1064" s="398">
        <f>uitkomst_doelgroep[[#This Row],[Kosten (€)]]*uitkomst_doelgroep[[#This Row],[Percentage van patiëntaantallen in Wlz (overige is Zvw)]]</f>
        <v>2322283.6495321817</v>
      </c>
      <c r="V1064" s="398">
        <f>uitkomst_doelgroep[[#This Row],[Investering (cash flow) (€)]]*uitkomst_doelgroep[[#This Row],[Percentage van patiëntaantallen in Wlz (overige is Zvw)]]</f>
        <v>0</v>
      </c>
    </row>
    <row r="1065" spans="1:22" x14ac:dyDescent="0.5">
      <c r="A1065" s="33" t="str">
        <f>INDEX(Technologieën[Veld],MATCH(B1065,Technologieën[Digitale zorgtoepassing],0))</f>
        <v>Sensoren - Verpleging</v>
      </c>
      <c r="B1065" s="33" t="s">
        <v>36</v>
      </c>
      <c r="C1065" s="33" t="s">
        <v>27</v>
      </c>
      <c r="D1065" s="427" cm="1">
        <f t="array" ref="D1065">INDEX(Berekening_patiëntaantal[Percentage van patiëntaantallen in Wlz (overige is Zvw)],MATCH(B1065,IF(Berekening_patiëntaantal[Doelgroep (zoeksleutel)]=C1065,Berekening_patiëntaantal[Digitale zorgtoepassing]),0))</f>
        <v>0.45</v>
      </c>
      <c r="E1065" s="33" t="str" cm="1">
        <f t="array" ref="E1065">INDEX(Berekening_patiëntaantal[Direct toepasbaar/extrapolatie/incidentie voor QALY],MATCH(B1065,IF(Berekening_patiëntaantal[Doelgroep (zoeksleutel)]=C1065,Berekening_patiëntaantal[Digitale zorgtoepassing]),0))</f>
        <v>Extrapolatie</v>
      </c>
      <c r="F1065" s="33" t="s">
        <v>813</v>
      </c>
      <c r="G1065" s="33" t="str">
        <f>CONCATENATE(uitkomst_doelgroep[[#This Row],[Digitale zorgtoepassing]],"_",uitkomst_doelgroep[[#This Row],[Doelgroep]],"_",uitkomst_doelgroep[[#This Row],[Uitgangssituatie/effect beleid]])</f>
        <v>Leefstijlmonitoring_Parkinson_Uitgangssituatie</v>
      </c>
      <c r="H1065" s="33">
        <v>2029</v>
      </c>
      <c r="I1065" s="32">
        <v>7</v>
      </c>
      <c r="J1065" s="406" cm="1">
        <f t="array" ref="J1065">INDEX(implementatie[[2023]:[2034]],MATCH(G1065, implementatie[Zoeksleutel],0),I1065)</f>
        <v>0.13384180086769301</v>
      </c>
      <c r="K1065" s="406" cm="1">
        <f t="array" ref="K1065">INDEX(implementatie[[2023]:[2034]],MATCH(G1065,implementatie[Zoeksleutel],0),I1065 + 1)</f>
        <v>0.19753623413361349</v>
      </c>
      <c r="L106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1274.4416278621727</v>
      </c>
      <c r="M1065" s="398" cm="1">
        <f t="array" ref="M1065">J1065*INDEX(Berekening_impact[Totaal arbeidsbesparing (€/jaar)],MATCH(B1065,IF(Berekening_impact[Doelgroep]=C1065,Berekening_impact[Digitale zorgtoepassing]),0))</f>
        <v>4396081.0271693533</v>
      </c>
      <c r="N1065" s="397" cm="1">
        <f t="array" ref="N1065">J1065*INDEX(Berekening_impact[Totaal arbeidsbesparing (FTE/jaar)],MATCH(B1065,IF(Berekening_impact[Doelgroep]=C1065,Berekening_impact[Digitale zorgtoepassing]),0))</f>
        <v>103.5489971495212</v>
      </c>
      <c r="O1065" s="398" cm="1">
        <f t="array" ref="O1065">J1065*INDEX(Berekening_impact[Overige kostenbesparing (totaal/jaar totaal potentieel)],MATCH(B1065,IF(Berekening_impact[Doelgroep]=C1065,Berekening_impact[Digitale zorgtoepassing]),0))</f>
        <v>604715.26989701309</v>
      </c>
      <c r="P1065" s="398" cm="1">
        <f t="array" ref="P1065">J1065*INDEX(Berekening_impact[Opbrengsten door QALY''s],MATCH(B1065,IF(Berekening_impact[Doelgroep]=C1065,Berekening_impact[Digitale zorgtoepassing]),0))</f>
        <v>0</v>
      </c>
      <c r="Q1065" s="398" cm="1">
        <f t="array" ref="Q1065">J1065*INDEX(Berekening_impact[Jaarlijkse kosten (totaal) - incl. schatting],MATCH(B1065,IF(Berekening_impact[Doelgroep]=C1065,Berekening_impact[Digitale zorgtoepassing]),0))</f>
        <v>2393401.3771251603</v>
      </c>
      <c r="R1065" s="398" cm="1">
        <f t="array" ref="R1065">(uitkomst_doelgroep[[#This Row],[Implementatiegraad t = T + 1]]-uitkomst_doelgroep[[#This Row],[Implementatiegraad t = T]])*INDEX(Berekening_impact[Initiële investering (totaal) - incl. schatting],MATCH(B1065,IF(Berekening_impact[Doelgroep]=C1065,Berekening_impact[Digitale zorgtoepassing]),0))</f>
        <v>0</v>
      </c>
      <c r="S1065" s="398">
        <f>uitkomst_doelgroep[[#This Row],[Arbeidsbesparing (€)]]*uitkomst_doelgroep[[#This Row],[Percentage van patiëntaantallen in Wlz (overige is Zvw)]]</f>
        <v>1978236.462226209</v>
      </c>
      <c r="T1065" s="398">
        <f>uitkomst_doelgroep[[#This Row],[Overige besparingen (€)]]*uitkomst_doelgroep[[#This Row],[Percentage van patiëntaantallen in Wlz (overige is Zvw)]]</f>
        <v>272121.87145365588</v>
      </c>
      <c r="U1065" s="398">
        <f>uitkomst_doelgroep[[#This Row],[Kosten (€)]]*uitkomst_doelgroep[[#This Row],[Percentage van patiëntaantallen in Wlz (overige is Zvw)]]</f>
        <v>1077030.6197063222</v>
      </c>
      <c r="V1065" s="398">
        <f>uitkomst_doelgroep[[#This Row],[Investering (cash flow) (€)]]*uitkomst_doelgroep[[#This Row],[Percentage van patiëntaantallen in Wlz (overige is Zvw)]]</f>
        <v>0</v>
      </c>
    </row>
    <row r="1066" spans="1:22" x14ac:dyDescent="0.5">
      <c r="A1066" s="33" t="str">
        <f>INDEX(Technologieën[Veld],MATCH(B1066,Technologieën[Digitale zorgtoepassing],0))</f>
        <v>Sensoren - Verpleging</v>
      </c>
      <c r="B1066" s="33" t="s">
        <v>36</v>
      </c>
      <c r="C1066" s="33" t="s">
        <v>20</v>
      </c>
      <c r="D1066" s="427" cm="1">
        <f t="array" ref="D1066">INDEX(Berekening_patiëntaantal[Percentage van patiëntaantallen in Wlz (overige is Zvw)],MATCH(B1066,IF(Berekening_patiëntaantal[Doelgroep (zoeksleutel)]=C1066,Berekening_patiëntaantal[Digitale zorgtoepassing]),0))</f>
        <v>0</v>
      </c>
      <c r="E1066" s="33" t="str" cm="1">
        <f t="array" ref="E1066">INDEX(Berekening_patiëntaantal[Direct toepasbaar/extrapolatie/incidentie voor QALY],MATCH(B1066,IF(Berekening_patiëntaantal[Doelgroep (zoeksleutel)]=C1066,Berekening_patiëntaantal[Digitale zorgtoepassing]),0))</f>
        <v>Huidige toepassing</v>
      </c>
      <c r="F1066" s="33" t="s">
        <v>813</v>
      </c>
      <c r="G1066" s="33" t="str">
        <f>CONCATENATE(uitkomst_doelgroep[[#This Row],[Digitale zorgtoepassing]],"_",uitkomst_doelgroep[[#This Row],[Doelgroep]],"_",uitkomst_doelgroep[[#This Row],[Uitgangssituatie/effect beleid]])</f>
        <v>Leefstijlmonitoring_Dementie_Uitgangssituatie</v>
      </c>
      <c r="H1066" s="33">
        <v>2029</v>
      </c>
      <c r="I1066" s="32">
        <v>7</v>
      </c>
      <c r="J1066" s="406" cm="1">
        <f t="array" ref="J1066">INDEX(implementatie[[2023]:[2034]],MATCH(G1066, implementatie[Zoeksleutel],0),I1066)</f>
        <v>0.78699830326518305</v>
      </c>
      <c r="K1066" s="406" cm="1">
        <f t="array" ref="K1066">INDEX(implementatie[[2023]:[2034]],MATCH(G1066,implementatie[Zoeksleutel],0),I1066 + 1)</f>
        <v>0.85831112676904175</v>
      </c>
      <c r="L106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26021.587348566154</v>
      </c>
      <c r="M1066" s="398" cm="1">
        <f t="array" ref="M1066">J1066*INDEX(Berekening_impact[Totaal arbeidsbesparing (€/jaar)],MATCH(B1066,IF(Berekening_impact[Doelgroep]=C1066,Berekening_impact[Digitale zorgtoepassing]),0))</f>
        <v>89759314.149014175</v>
      </c>
      <c r="N1066" s="397" cm="1">
        <f t="array" ref="N1066">J1066*INDEX(Berekening_impact[Totaal arbeidsbesparing (FTE/jaar)],MATCH(B1066,IF(Berekening_impact[Doelgroep]=C1066,Berekening_impact[Digitale zorgtoepassing]),0))</f>
        <v>2114.2665268260503</v>
      </c>
      <c r="O1066" s="398" cm="1">
        <f t="array" ref="O1066">J1066*INDEX(Berekening_impact[Overige kostenbesparing (totaal/jaar totaal potentieel)],MATCH(B1066,IF(Berekening_impact[Doelgroep]=C1066,Berekening_impact[Digitale zorgtoepassing]),0))</f>
        <v>12347094.502109788</v>
      </c>
      <c r="P1066" s="398" cm="1">
        <f t="array" ref="P1066">J1066*INDEX(Berekening_impact[Opbrengsten door QALY''s],MATCH(B1066,IF(Berekening_impact[Doelgroep]=C1066,Berekening_impact[Digitale zorgtoepassing]),0))</f>
        <v>0</v>
      </c>
      <c r="Q1066" s="398" cm="1">
        <f t="array" ref="Q1066">J1066*INDEX(Berekening_impact[Jaarlijkse kosten (totaal) - incl. schatting],MATCH(B1066,IF(Berekening_impact[Doelgroep]=C1066,Berekening_impact[Digitale zorgtoepassing]),0))</f>
        <v>48868541.040607236</v>
      </c>
      <c r="R1066" s="398" cm="1">
        <f t="array" ref="R1066">(uitkomst_doelgroep[[#This Row],[Implementatiegraad t = T + 1]]-uitkomst_doelgroep[[#This Row],[Implementatiegraad t = T]])*INDEX(Berekening_impact[Initiële investering (totaal) - incl. schatting],MATCH(B1066,IF(Berekening_impact[Doelgroep]=C1066,Berekening_impact[Digitale zorgtoepassing]),0))</f>
        <v>0</v>
      </c>
      <c r="S1066" s="398">
        <f>uitkomst_doelgroep[[#This Row],[Arbeidsbesparing (€)]]*uitkomst_doelgroep[[#This Row],[Percentage van patiëntaantallen in Wlz (overige is Zvw)]]</f>
        <v>0</v>
      </c>
      <c r="T1066" s="398">
        <f>uitkomst_doelgroep[[#This Row],[Overige besparingen (€)]]*uitkomst_doelgroep[[#This Row],[Percentage van patiëntaantallen in Wlz (overige is Zvw)]]</f>
        <v>0</v>
      </c>
      <c r="U1066" s="398">
        <f>uitkomst_doelgroep[[#This Row],[Kosten (€)]]*uitkomst_doelgroep[[#This Row],[Percentage van patiëntaantallen in Wlz (overige is Zvw)]]</f>
        <v>0</v>
      </c>
      <c r="V1066" s="398">
        <f>uitkomst_doelgroep[[#This Row],[Investering (cash flow) (€)]]*uitkomst_doelgroep[[#This Row],[Percentage van patiëntaantallen in Wlz (overige is Zvw)]]</f>
        <v>0</v>
      </c>
    </row>
    <row r="1067" spans="1:22" x14ac:dyDescent="0.5">
      <c r="A1067" s="33" t="str">
        <f>INDEX(Technologieën[Veld],MATCH(B1067,Technologieën[Digitale zorgtoepassing],0))</f>
        <v>Sensoren - Verpleging</v>
      </c>
      <c r="B1067" s="33" t="s">
        <v>36</v>
      </c>
      <c r="C1067" s="33" t="s">
        <v>24</v>
      </c>
      <c r="D1067" s="427" cm="1">
        <f t="array" ref="D1067">INDEX(Berekening_patiëntaantal[Percentage van patiëntaantallen in Wlz (overige is Zvw)],MATCH(B1067,IF(Berekening_patiëntaantal[Doelgroep (zoeksleutel)]=C1067,Berekening_patiëntaantal[Digitale zorgtoepassing]),0))</f>
        <v>0.45</v>
      </c>
      <c r="E1067" s="33" t="str" cm="1">
        <f t="array" ref="E1067">INDEX(Berekening_patiëntaantal[Direct toepasbaar/extrapolatie/incidentie voor QALY],MATCH(B1067,IF(Berekening_patiëntaantal[Doelgroep (zoeksleutel)]=C1067,Berekening_patiëntaantal[Digitale zorgtoepassing]),0))</f>
        <v>Extrapolatie</v>
      </c>
      <c r="F1067" s="33" t="s">
        <v>813</v>
      </c>
      <c r="G1067" s="33" t="str">
        <f>CONCATENATE(uitkomst_doelgroep[[#This Row],[Digitale zorgtoepassing]],"_",uitkomst_doelgroep[[#This Row],[Doelgroep]],"_",uitkomst_doelgroep[[#This Row],[Uitgangssituatie/effect beleid]])</f>
        <v>Leefstijlmonitoring_Cognitieve beperking_Uitgangssituatie</v>
      </c>
      <c r="H1067" s="33">
        <v>2030</v>
      </c>
      <c r="I1067" s="32">
        <v>8</v>
      </c>
      <c r="J1067" s="406" cm="1">
        <f t="array" ref="J1067">INDEX(implementatie[[2023]:[2034]],MATCH(G1067, implementatie[Zoeksleutel],0),I1067)</f>
        <v>0.19753623413361349</v>
      </c>
      <c r="K1067" s="406" cm="1">
        <f t="array" ref="K1067">INDEX(implementatie[[2023]:[2034]],MATCH(G1067,implementatie[Zoeksleutel],0),I1067 + 1)</f>
        <v>0.27699177758611071</v>
      </c>
      <c r="L106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632.89187155523996</v>
      </c>
      <c r="M1067" s="398" cm="1">
        <f t="array" ref="M1067">J1067*INDEX(Berekening_impact[Totaal arbeidsbesparing (€/jaar)],MATCH(B1067,IF(Berekening_impact[Doelgroep]=C1067,Berekening_impact[Digitale zorgtoepassing]),0))</f>
        <v>2183108.1847670046</v>
      </c>
      <c r="N1067" s="397" cm="1">
        <f t="array" ref="N1067">J1067*INDEX(Berekening_impact[Totaal arbeidsbesparing (FTE/jaar)],MATCH(B1067,IF(Berekening_impact[Doelgroep]=C1067,Berekening_impact[Digitale zorgtoepassing]),0))</f>
        <v>51.422769918118334</v>
      </c>
      <c r="O1067" s="398" cm="1">
        <f t="array" ref="O1067">J1067*INDEX(Berekening_impact[Overige kostenbesparing (totaal/jaar totaal potentieel)],MATCH(B1067,IF(Berekening_impact[Doelgroep]=C1067,Berekening_impact[Digitale zorgtoepassing]),0))</f>
        <v>300303.57652798097</v>
      </c>
      <c r="P1067" s="398" cm="1">
        <f t="array" ref="P1067">J1067*INDEX(Berekening_impact[Opbrengsten door QALY''s],MATCH(B1067,IF(Berekening_impact[Doelgroep]=C1067,Berekening_impact[Digitale zorgtoepassing]),0))</f>
        <v>0</v>
      </c>
      <c r="Q1067" s="398" cm="1">
        <f t="array" ref="Q1067">J1067*INDEX(Berekening_impact[Jaarlijkse kosten (totaal) - incl. schatting],MATCH(B1067,IF(Berekening_impact[Doelgroep]=C1067,Berekening_impact[Digitale zorgtoepassing]),0))</f>
        <v>1188570.9347807406</v>
      </c>
      <c r="R1067" s="398" cm="1">
        <f t="array" ref="R1067">(uitkomst_doelgroep[[#This Row],[Implementatiegraad t = T + 1]]-uitkomst_doelgroep[[#This Row],[Implementatiegraad t = T]])*INDEX(Berekening_impact[Initiële investering (totaal) - incl. schatting],MATCH(B1067,IF(Berekening_impact[Doelgroep]=C1067,Berekening_impact[Digitale zorgtoepassing]),0))</f>
        <v>0</v>
      </c>
      <c r="S1067" s="398">
        <f>uitkomst_doelgroep[[#This Row],[Arbeidsbesparing (€)]]*uitkomst_doelgroep[[#This Row],[Percentage van patiëntaantallen in Wlz (overige is Zvw)]]</f>
        <v>982398.68314515206</v>
      </c>
      <c r="T1067" s="398">
        <f>uitkomst_doelgroep[[#This Row],[Overige besparingen (€)]]*uitkomst_doelgroep[[#This Row],[Percentage van patiëntaantallen in Wlz (overige is Zvw)]]</f>
        <v>135136.60943759145</v>
      </c>
      <c r="U1067" s="398">
        <f>uitkomst_doelgroep[[#This Row],[Kosten (€)]]*uitkomst_doelgroep[[#This Row],[Percentage van patiëntaantallen in Wlz (overige is Zvw)]]</f>
        <v>534856.92065133329</v>
      </c>
      <c r="V1067" s="398">
        <f>uitkomst_doelgroep[[#This Row],[Investering (cash flow) (€)]]*uitkomst_doelgroep[[#This Row],[Percentage van patiëntaantallen in Wlz (overige is Zvw)]]</f>
        <v>0</v>
      </c>
    </row>
    <row r="1068" spans="1:22" ht="17.5" thickBot="1" x14ac:dyDescent="0.55000000000000004">
      <c r="A1068" s="33" t="str">
        <f>INDEX(Technologieën[Veld],MATCH(B1068,Technologieën[Digitale zorgtoepassing],0))</f>
        <v>Sensoren - Verpleging</v>
      </c>
      <c r="B1068" s="40" t="s">
        <v>36</v>
      </c>
      <c r="C1068" s="40" t="s">
        <v>40</v>
      </c>
      <c r="D1068" s="427" cm="1">
        <f t="array" ref="D1068">INDEX(Berekening_patiëntaantal[Percentage van patiëntaantallen in Wlz (overige is Zvw)],MATCH(B1068,IF(Berekening_patiëntaantal[Doelgroep (zoeksleutel)]=C1068,Berekening_patiëntaantal[Digitale zorgtoepassing]),0))</f>
        <v>0.45</v>
      </c>
      <c r="E1068" s="33" t="str" cm="1">
        <f t="array" ref="E1068">INDEX(Berekening_patiëntaantal[Direct toepasbaar/extrapolatie/incidentie voor QALY],MATCH(B1068,IF(Berekening_patiëntaantal[Doelgroep (zoeksleutel)]=C1068,Berekening_patiëntaantal[Digitale zorgtoepassing]),0))</f>
        <v>Extrapolatie</v>
      </c>
      <c r="F1068" s="33" t="s">
        <v>813</v>
      </c>
      <c r="G1068" s="33" t="str">
        <f>CONCATENATE(uitkomst_doelgroep[[#This Row],[Digitale zorgtoepassing]],"_",uitkomst_doelgroep[[#This Row],[Doelgroep]],"_",uitkomst_doelgroep[[#This Row],[Uitgangssituatie/effect beleid]])</f>
        <v>Leefstijlmonitoring_Kwetsbare ouderen_Uitgangssituatie</v>
      </c>
      <c r="H1068" s="33">
        <v>2030</v>
      </c>
      <c r="I1068" s="32">
        <v>8</v>
      </c>
      <c r="J1068" s="406" cm="1">
        <f t="array" ref="J1068">INDEX(implementatie[[2023]:[2034]],MATCH(G1068, implementatie[Zoeksleutel],0),I1068)</f>
        <v>0.19753623413361349</v>
      </c>
      <c r="K1068" s="406" cm="1">
        <f t="array" ref="K1068">INDEX(implementatie[[2023]:[2034]],MATCH(G1068,implementatie[Zoeksleutel],0),I1068 + 1)</f>
        <v>0.27699177758611071</v>
      </c>
      <c r="L106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4055.6658070557528</v>
      </c>
      <c r="M1068" s="398" cm="1">
        <f t="array" ref="M1068">J1068*INDEX(Berekening_impact[Totaal arbeidsbesparing (€/jaar)],MATCH(B1068,IF(Berekening_impact[Doelgroep]=C1068,Berekening_impact[Digitale zorgtoepassing]),0))</f>
        <v>13989683.887558512</v>
      </c>
      <c r="N1068" s="397" cm="1">
        <f t="array" ref="N1068">J1068*INDEX(Berekening_impact[Totaal arbeidsbesparing (FTE/jaar)],MATCH(B1068,IF(Berekening_impact[Doelgroep]=C1068,Berekening_impact[Digitale zorgtoepassing]),0))</f>
        <v>329.52480357903397</v>
      </c>
      <c r="O1068" s="398" cm="1">
        <f t="array" ref="O1068">J1068*INDEX(Berekening_impact[Overige kostenbesparing (totaal/jaar totaal potentieel)],MATCH(B1068,IF(Berekening_impact[Doelgroep]=C1068,Berekening_impact[Digitale zorgtoepassing]),0))</f>
        <v>1924390.2502147711</v>
      </c>
      <c r="P1068" s="398" cm="1">
        <f t="array" ref="P1068">J1068*INDEX(Berekening_impact[Opbrengsten door QALY''s],MATCH(B1068,IF(Berekening_impact[Doelgroep]=C1068,Berekening_impact[Digitale zorgtoepassing]),0))</f>
        <v>0</v>
      </c>
      <c r="Q1068" s="398" cm="1">
        <f t="array" ref="Q1068">J1068*INDEX(Berekening_impact[Jaarlijkse kosten (totaal) - incl. schatting],MATCH(B1068,IF(Berekening_impact[Doelgroep]=C1068,Berekening_impact[Digitale zorgtoepassing]),0))</f>
        <v>7616540.3856507037</v>
      </c>
      <c r="R1068" s="398" cm="1">
        <f t="array" ref="R1068">(uitkomst_doelgroep[[#This Row],[Implementatiegraad t = T + 1]]-uitkomst_doelgroep[[#This Row],[Implementatiegraad t = T]])*INDEX(Berekening_impact[Initiële investering (totaal) - incl. schatting],MATCH(B1068,IF(Berekening_impact[Doelgroep]=C1068,Berekening_impact[Digitale zorgtoepassing]),0))</f>
        <v>0</v>
      </c>
      <c r="S1068" s="398">
        <f>uitkomst_doelgroep[[#This Row],[Arbeidsbesparing (€)]]*uitkomst_doelgroep[[#This Row],[Percentage van patiëntaantallen in Wlz (overige is Zvw)]]</f>
        <v>6295357.7494013309</v>
      </c>
      <c r="T1068" s="398">
        <f>uitkomst_doelgroep[[#This Row],[Overige besparingen (€)]]*uitkomst_doelgroep[[#This Row],[Percentage van patiëntaantallen in Wlz (overige is Zvw)]]</f>
        <v>865975.612596647</v>
      </c>
      <c r="U1068" s="398">
        <f>uitkomst_doelgroep[[#This Row],[Kosten (€)]]*uitkomst_doelgroep[[#This Row],[Percentage van patiëntaantallen in Wlz (overige is Zvw)]]</f>
        <v>3427443.1735428167</v>
      </c>
      <c r="V1068" s="398">
        <f>uitkomst_doelgroep[[#This Row],[Investering (cash flow) (€)]]*uitkomst_doelgroep[[#This Row],[Percentage van patiëntaantallen in Wlz (overige is Zvw)]]</f>
        <v>0</v>
      </c>
    </row>
    <row r="1069" spans="1:22" x14ac:dyDescent="0.5">
      <c r="A1069" s="33" t="str">
        <f>INDEX(Technologieën[Veld],MATCH(B1069,Technologieën[Digitale zorgtoepassing],0))</f>
        <v>Sensoren - Verpleging</v>
      </c>
      <c r="B1069" s="33" t="s">
        <v>36</v>
      </c>
      <c r="C1069" s="33" t="s">
        <v>27</v>
      </c>
      <c r="D1069" s="427" cm="1">
        <f t="array" ref="D1069">INDEX(Berekening_patiëntaantal[Percentage van patiëntaantallen in Wlz (overige is Zvw)],MATCH(B1069,IF(Berekening_patiëntaantal[Doelgroep (zoeksleutel)]=C1069,Berekening_patiëntaantal[Digitale zorgtoepassing]),0))</f>
        <v>0.45</v>
      </c>
      <c r="E1069" s="33" t="str" cm="1">
        <f t="array" ref="E1069">INDEX(Berekening_patiëntaantal[Direct toepasbaar/extrapolatie/incidentie voor QALY],MATCH(B1069,IF(Berekening_patiëntaantal[Doelgroep (zoeksleutel)]=C1069,Berekening_patiëntaantal[Digitale zorgtoepassing]),0))</f>
        <v>Extrapolatie</v>
      </c>
      <c r="F1069" s="33" t="s">
        <v>813</v>
      </c>
      <c r="G1069" s="33" t="str">
        <f>CONCATENATE(uitkomst_doelgroep[[#This Row],[Digitale zorgtoepassing]],"_",uitkomst_doelgroep[[#This Row],[Doelgroep]],"_",uitkomst_doelgroep[[#This Row],[Uitgangssituatie/effect beleid]])</f>
        <v>Leefstijlmonitoring_Parkinson_Uitgangssituatie</v>
      </c>
      <c r="H1069" s="33">
        <v>2030</v>
      </c>
      <c r="I1069" s="32">
        <v>8</v>
      </c>
      <c r="J1069" s="406" cm="1">
        <f t="array" ref="J1069">INDEX(implementatie[[2023]:[2034]],MATCH(G1069, implementatie[Zoeksleutel],0),I1069)</f>
        <v>0.19753623413361349</v>
      </c>
      <c r="K1069" s="406" cm="1">
        <f t="array" ref="K1069">INDEX(implementatie[[2023]:[2034]],MATCH(G1069,implementatie[Zoeksleutel],0),I1069 + 1)</f>
        <v>0.27699177758611071</v>
      </c>
      <c r="L106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1880.9400214202672</v>
      </c>
      <c r="M1069" s="398" cm="1">
        <f t="array" ref="M1069">J1069*INDEX(Berekening_impact[Totaal arbeidsbesparing (€/jaar)],MATCH(B1069,IF(Berekening_impact[Doelgroep]=C1069,Berekening_impact[Digitale zorgtoepassing]),0))</f>
        <v>6488147.0917422026</v>
      </c>
      <c r="N1069" s="397" cm="1">
        <f t="array" ref="N1069">J1069*INDEX(Berekening_impact[Totaal arbeidsbesparing (FTE/jaar)],MATCH(B1069,IF(Berekening_impact[Doelgroep]=C1069,Berekening_impact[Digitale zorgtoepassing]),0))</f>
        <v>152.82728424618864</v>
      </c>
      <c r="O1069" s="398" cm="1">
        <f t="array" ref="O1069">J1069*INDEX(Berekening_impact[Overige kostenbesparing (totaal/jaar totaal potentieel)],MATCH(B1069,IF(Berekening_impact[Doelgroep]=C1069,Berekening_impact[Digitale zorgtoepassing]),0))</f>
        <v>892495.29193522292</v>
      </c>
      <c r="P1069" s="398" cm="1">
        <f t="array" ref="P1069">J1069*INDEX(Berekening_impact[Opbrengsten door QALY''s],MATCH(B1069,IF(Berekening_impact[Doelgroep]=C1069,Berekening_impact[Digitale zorgtoepassing]),0))</f>
        <v>0</v>
      </c>
      <c r="Q1069" s="398" cm="1">
        <f t="array" ref="Q1069">J1069*INDEX(Berekening_impact[Jaarlijkse kosten (totaal) - incl. schatting],MATCH(B1069,IF(Berekening_impact[Doelgroep]=C1069,Berekening_impact[Digitale zorgtoepassing]),0))</f>
        <v>3532405.3602272617</v>
      </c>
      <c r="R1069" s="398" cm="1">
        <f t="array" ref="R1069">(uitkomst_doelgroep[[#This Row],[Implementatiegraad t = T + 1]]-uitkomst_doelgroep[[#This Row],[Implementatiegraad t = T]])*INDEX(Berekening_impact[Initiële investering (totaal) - incl. schatting],MATCH(B1069,IF(Berekening_impact[Doelgroep]=C1069,Berekening_impact[Digitale zorgtoepassing]),0))</f>
        <v>0</v>
      </c>
      <c r="S1069" s="398">
        <f>uitkomst_doelgroep[[#This Row],[Arbeidsbesparing (€)]]*uitkomst_doelgroep[[#This Row],[Percentage van patiëntaantallen in Wlz (overige is Zvw)]]</f>
        <v>2919666.1912839911</v>
      </c>
      <c r="T1069" s="398">
        <f>uitkomst_doelgroep[[#This Row],[Overige besparingen (€)]]*uitkomst_doelgroep[[#This Row],[Percentage van patiëntaantallen in Wlz (overige is Zvw)]]</f>
        <v>401622.88137085031</v>
      </c>
      <c r="U1069" s="398">
        <f>uitkomst_doelgroep[[#This Row],[Kosten (€)]]*uitkomst_doelgroep[[#This Row],[Percentage van patiëntaantallen in Wlz (overige is Zvw)]]</f>
        <v>1589582.4121022678</v>
      </c>
      <c r="V1069" s="398">
        <f>uitkomst_doelgroep[[#This Row],[Investering (cash flow) (€)]]*uitkomst_doelgroep[[#This Row],[Percentage van patiëntaantallen in Wlz (overige is Zvw)]]</f>
        <v>0</v>
      </c>
    </row>
    <row r="1070" spans="1:22" x14ac:dyDescent="0.5">
      <c r="A1070" s="33" t="str">
        <f>INDEX(Technologieën[Veld],MATCH(B1070,Technologieën[Digitale zorgtoepassing],0))</f>
        <v>Sensoren - Verpleging</v>
      </c>
      <c r="B1070" s="33" t="s">
        <v>36</v>
      </c>
      <c r="C1070" s="33" t="s">
        <v>20</v>
      </c>
      <c r="D1070" s="427" cm="1">
        <f t="array" ref="D1070">INDEX(Berekening_patiëntaantal[Percentage van patiëntaantallen in Wlz (overige is Zvw)],MATCH(B1070,IF(Berekening_patiëntaantal[Doelgroep (zoeksleutel)]=C1070,Berekening_patiëntaantal[Digitale zorgtoepassing]),0))</f>
        <v>0</v>
      </c>
      <c r="E1070" s="33" t="str" cm="1">
        <f t="array" ref="E1070">INDEX(Berekening_patiëntaantal[Direct toepasbaar/extrapolatie/incidentie voor QALY],MATCH(B1070,IF(Berekening_patiëntaantal[Doelgroep (zoeksleutel)]=C1070,Berekening_patiëntaantal[Digitale zorgtoepassing]),0))</f>
        <v>Huidige toepassing</v>
      </c>
      <c r="F1070" s="33" t="s">
        <v>813</v>
      </c>
      <c r="G1070" s="33" t="str">
        <f>CONCATENATE(uitkomst_doelgroep[[#This Row],[Digitale zorgtoepassing]],"_",uitkomst_doelgroep[[#This Row],[Doelgroep]],"_",uitkomst_doelgroep[[#This Row],[Uitgangssituatie/effect beleid]])</f>
        <v>Leefstijlmonitoring_Dementie_Uitgangssituatie</v>
      </c>
      <c r="H1070" s="33">
        <v>2030</v>
      </c>
      <c r="I1070" s="32">
        <v>8</v>
      </c>
      <c r="J1070" s="406" cm="1">
        <f t="array" ref="J1070">INDEX(implementatie[[2023]:[2034]],MATCH(G1070, implementatie[Zoeksleutel],0),I1070)</f>
        <v>0.85831112676904175</v>
      </c>
      <c r="K1070" s="406" cm="1">
        <f t="array" ref="K1070">INDEX(implementatie[[2023]:[2034]],MATCH(G1070,implementatie[Zoeksleutel],0),I1070 + 1)</f>
        <v>0.90979015880706082</v>
      </c>
      <c r="L107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28379.499504385964</v>
      </c>
      <c r="M1070" s="398" cm="1">
        <f t="array" ref="M1070">J1070*INDEX(Berekening_impact[Totaal arbeidsbesparing (€/jaar)],MATCH(B1070,IF(Berekening_impact[Doelgroep]=C1070,Berekening_impact[Digitale zorgtoepassing]),0))</f>
        <v>97892737.183319256</v>
      </c>
      <c r="N1070" s="397" cm="1">
        <f t="array" ref="N1070">J1070*INDEX(Berekening_impact[Totaal arbeidsbesparing (FTE/jaar)],MATCH(B1070,IF(Berekening_impact[Doelgroep]=C1070,Berekening_impact[Digitale zorgtoepassing]),0))</f>
        <v>2305.8480271191438</v>
      </c>
      <c r="O1070" s="398" cm="1">
        <f t="array" ref="O1070">J1070*INDEX(Berekening_impact[Overige kostenbesparing (totaal/jaar totaal potentieel)],MATCH(B1070,IF(Berekening_impact[Doelgroep]=C1070,Berekening_impact[Digitale zorgtoepassing]),0))</f>
        <v>13465910.346262541</v>
      </c>
      <c r="P1070" s="398" cm="1">
        <f t="array" ref="P1070">J1070*INDEX(Berekening_impact[Opbrengsten door QALY''s],MATCH(B1070,IF(Berekening_impact[Doelgroep]=C1070,Berekening_impact[Digitale zorgtoepassing]),0))</f>
        <v>0</v>
      </c>
      <c r="Q1070" s="398" cm="1">
        <f t="array" ref="Q1070">J1070*INDEX(Berekening_impact[Jaarlijkse kosten (totaal) - incl. schatting],MATCH(B1070,IF(Berekening_impact[Doelgroep]=C1070,Berekening_impact[Digitale zorgtoepassing]),0))</f>
        <v>53296700.069236845</v>
      </c>
      <c r="R1070" s="398" cm="1">
        <f t="array" ref="R1070">(uitkomst_doelgroep[[#This Row],[Implementatiegraad t = T + 1]]-uitkomst_doelgroep[[#This Row],[Implementatiegraad t = T]])*INDEX(Berekening_impact[Initiële investering (totaal) - incl. schatting],MATCH(B1070,IF(Berekening_impact[Doelgroep]=C1070,Berekening_impact[Digitale zorgtoepassing]),0))</f>
        <v>0</v>
      </c>
      <c r="S1070" s="398">
        <f>uitkomst_doelgroep[[#This Row],[Arbeidsbesparing (€)]]*uitkomst_doelgroep[[#This Row],[Percentage van patiëntaantallen in Wlz (overige is Zvw)]]</f>
        <v>0</v>
      </c>
      <c r="T1070" s="398">
        <f>uitkomst_doelgroep[[#This Row],[Overige besparingen (€)]]*uitkomst_doelgroep[[#This Row],[Percentage van patiëntaantallen in Wlz (overige is Zvw)]]</f>
        <v>0</v>
      </c>
      <c r="U1070" s="398">
        <f>uitkomst_doelgroep[[#This Row],[Kosten (€)]]*uitkomst_doelgroep[[#This Row],[Percentage van patiëntaantallen in Wlz (overige is Zvw)]]</f>
        <v>0</v>
      </c>
      <c r="V1070" s="398">
        <f>uitkomst_doelgroep[[#This Row],[Investering (cash flow) (€)]]*uitkomst_doelgroep[[#This Row],[Percentage van patiëntaantallen in Wlz (overige is Zvw)]]</f>
        <v>0</v>
      </c>
    </row>
    <row r="1071" spans="1:22" x14ac:dyDescent="0.5">
      <c r="A1071" s="33" t="str">
        <f>INDEX(Technologieën[Veld],MATCH(B1071,Technologieën[Digitale zorgtoepassing],0))</f>
        <v>Sensoren - Verpleging</v>
      </c>
      <c r="B1071" s="33" t="s">
        <v>36</v>
      </c>
      <c r="C1071" s="33" t="s">
        <v>24</v>
      </c>
      <c r="D1071" s="427" cm="1">
        <f t="array" ref="D1071">INDEX(Berekening_patiëntaantal[Percentage van patiëntaantallen in Wlz (overige is Zvw)],MATCH(B1071,IF(Berekening_patiëntaantal[Doelgroep (zoeksleutel)]=C1071,Berekening_patiëntaantal[Digitale zorgtoepassing]),0))</f>
        <v>0.45</v>
      </c>
      <c r="E1071" s="33" t="str" cm="1">
        <f t="array" ref="E1071">INDEX(Berekening_patiëntaantal[Direct toepasbaar/extrapolatie/incidentie voor QALY],MATCH(B1071,IF(Berekening_patiëntaantal[Doelgroep (zoeksleutel)]=C1071,Berekening_patiëntaantal[Digitale zorgtoepassing]),0))</f>
        <v>Extrapolatie</v>
      </c>
      <c r="F1071" s="33" t="s">
        <v>813</v>
      </c>
      <c r="G1071" s="33" t="str">
        <f>CONCATENATE(uitkomst_doelgroep[[#This Row],[Digitale zorgtoepassing]],"_",uitkomst_doelgroep[[#This Row],[Doelgroep]],"_",uitkomst_doelgroep[[#This Row],[Uitgangssituatie/effect beleid]])</f>
        <v>Leefstijlmonitoring_Cognitieve beperking_Uitgangssituatie</v>
      </c>
      <c r="H1071" s="33">
        <v>2031</v>
      </c>
      <c r="I1071" s="32">
        <v>9</v>
      </c>
      <c r="J1071" s="406" cm="1">
        <f t="array" ref="J1071">INDEX(implementatie[[2023]:[2034]],MATCH(G1071, implementatie[Zoeksleutel],0),I1071)</f>
        <v>0.27699177758611071</v>
      </c>
      <c r="K1071" s="406" cm="1">
        <f t="array" ref="K1071">INDEX(implementatie[[2023]:[2034]],MATCH(G1071,implementatie[Zoeksleutel],0),I1071 + 1)</f>
        <v>0.37155887512870744</v>
      </c>
      <c r="L107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887.4617119779125</v>
      </c>
      <c r="M1071" s="398" cm="1">
        <f t="array" ref="M1071">J1071*INDEX(Berekening_impact[Totaal arbeidsbesparing (€/jaar)],MATCH(B1071,IF(Berekening_impact[Doelgroep]=C1071,Berekening_impact[Digitale zorgtoepassing]),0))</f>
        <v>3061225.8020084505</v>
      </c>
      <c r="N1071" s="397" cm="1">
        <f t="array" ref="N1071">J1071*INDEX(Berekening_impact[Totaal arbeidsbesparing (FTE/jaar)],MATCH(B1071,IF(Berekening_impact[Doelgroep]=C1071,Berekening_impact[Digitale zorgtoepassing]),0))</f>
        <v>72.106692275943416</v>
      </c>
      <c r="O1071" s="398" cm="1">
        <f t="array" ref="O1071">J1071*INDEX(Berekening_impact[Overige kostenbesparing (totaal/jaar totaal potentieel)],MATCH(B1071,IF(Berekening_impact[Doelgroep]=C1071,Berekening_impact[Digitale zorgtoepassing]),0))</f>
        <v>421095.51112373668</v>
      </c>
      <c r="P1071" s="398" cm="1">
        <f t="array" ref="P1071">J1071*INDEX(Berekening_impact[Opbrengsten door QALY''s],MATCH(B1071,IF(Berekening_impact[Doelgroep]=C1071,Berekening_impact[Digitale zorgtoepassing]),0))</f>
        <v>0</v>
      </c>
      <c r="Q1071" s="398" cm="1">
        <f t="array" ref="Q1071">J1071*INDEX(Berekening_impact[Jaarlijkse kosten (totaal) - incl. schatting],MATCH(B1071,IF(Berekening_impact[Doelgroep]=C1071,Berekening_impact[Digitale zorgtoepassing]),0))</f>
        <v>1666653.0950945197</v>
      </c>
      <c r="R1071" s="398" cm="1">
        <f t="array" ref="R1071">(uitkomst_doelgroep[[#This Row],[Implementatiegraad t = T + 1]]-uitkomst_doelgroep[[#This Row],[Implementatiegraad t = T]])*INDEX(Berekening_impact[Initiële investering (totaal) - incl. schatting],MATCH(B1071,IF(Berekening_impact[Doelgroep]=C1071,Berekening_impact[Digitale zorgtoepassing]),0))</f>
        <v>0</v>
      </c>
      <c r="S1071" s="398">
        <f>uitkomst_doelgroep[[#This Row],[Arbeidsbesparing (€)]]*uitkomst_doelgroep[[#This Row],[Percentage van patiëntaantallen in Wlz (overige is Zvw)]]</f>
        <v>1377551.6109038028</v>
      </c>
      <c r="T1071" s="398">
        <f>uitkomst_doelgroep[[#This Row],[Overige besparingen (€)]]*uitkomst_doelgroep[[#This Row],[Percentage van patiëntaantallen in Wlz (overige is Zvw)]]</f>
        <v>189492.98000568151</v>
      </c>
      <c r="U1071" s="398">
        <f>uitkomst_doelgroep[[#This Row],[Kosten (€)]]*uitkomst_doelgroep[[#This Row],[Percentage van patiëntaantallen in Wlz (overige is Zvw)]]</f>
        <v>749993.89279253385</v>
      </c>
      <c r="V1071" s="398">
        <f>uitkomst_doelgroep[[#This Row],[Investering (cash flow) (€)]]*uitkomst_doelgroep[[#This Row],[Percentage van patiëntaantallen in Wlz (overige is Zvw)]]</f>
        <v>0</v>
      </c>
    </row>
    <row r="1072" spans="1:22" x14ac:dyDescent="0.5">
      <c r="A1072" s="33" t="str">
        <f>INDEX(Technologieën[Veld],MATCH(B1072,Technologieën[Digitale zorgtoepassing],0))</f>
        <v>Sensoren - Verpleging</v>
      </c>
      <c r="B1072" s="33" t="s">
        <v>36</v>
      </c>
      <c r="C1072" s="33" t="s">
        <v>40</v>
      </c>
      <c r="D1072" s="427" cm="1">
        <f t="array" ref="D1072">INDEX(Berekening_patiëntaantal[Percentage van patiëntaantallen in Wlz (overige is Zvw)],MATCH(B1072,IF(Berekening_patiëntaantal[Doelgroep (zoeksleutel)]=C1072,Berekening_patiëntaantal[Digitale zorgtoepassing]),0))</f>
        <v>0.45</v>
      </c>
      <c r="E1072" s="33" t="str" cm="1">
        <f t="array" ref="E1072">INDEX(Berekening_patiëntaantal[Direct toepasbaar/extrapolatie/incidentie voor QALY],MATCH(B1072,IF(Berekening_patiëntaantal[Doelgroep (zoeksleutel)]=C1072,Berekening_patiëntaantal[Digitale zorgtoepassing]),0))</f>
        <v>Extrapolatie</v>
      </c>
      <c r="F1072" s="33" t="s">
        <v>813</v>
      </c>
      <c r="G1072" s="33" t="str">
        <f>CONCATENATE(uitkomst_doelgroep[[#This Row],[Digitale zorgtoepassing]],"_",uitkomst_doelgroep[[#This Row],[Doelgroep]],"_",uitkomst_doelgroep[[#This Row],[Uitgangssituatie/effect beleid]])</f>
        <v>Leefstijlmonitoring_Kwetsbare ouderen_Uitgangssituatie</v>
      </c>
      <c r="H1072" s="33">
        <v>2031</v>
      </c>
      <c r="I1072" s="32">
        <v>9</v>
      </c>
      <c r="J1072" s="406" cm="1">
        <f t="array" ref="J1072">INDEX(implementatie[[2023]:[2034]],MATCH(G1072, implementatie[Zoeksleutel],0),I1072)</f>
        <v>0.27699177758611071</v>
      </c>
      <c r="K1072" s="406" cm="1">
        <f t="array" ref="K1072">INDEX(implementatie[[2023]:[2034]],MATCH(G1072,implementatie[Zoeksleutel],0),I1072 + 1)</f>
        <v>0.37155887512870744</v>
      </c>
      <c r="L107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5686.9874335648365</v>
      </c>
      <c r="M1072" s="398" cm="1">
        <f t="array" ref="M1072">J1072*INDEX(Berekening_impact[Totaal arbeidsbesparing (€/jaar)],MATCH(B1072,IF(Berekening_impact[Doelgroep]=C1072,Berekening_impact[Digitale zorgtoepassing]),0))</f>
        <v>19616792.9639761</v>
      </c>
      <c r="N1072" s="397" cm="1">
        <f t="array" ref="N1072">J1072*INDEX(Berekening_impact[Totaal arbeidsbesparing (FTE/jaar)],MATCH(B1072,IF(Berekening_impact[Doelgroep]=C1072,Berekening_impact[Digitale zorgtoepassing]),0))</f>
        <v>462.0704728041527</v>
      </c>
      <c r="O1072" s="398" cm="1">
        <f t="array" ref="O1072">J1072*INDEX(Berekening_impact[Overige kostenbesparing (totaal/jaar totaal potentieel)],MATCH(B1072,IF(Berekening_impact[Doelgroep]=C1072,Berekening_impact[Digitale zorgtoepassing]),0))</f>
        <v>2698443.0401554657</v>
      </c>
      <c r="P1072" s="398" cm="1">
        <f t="array" ref="P1072">J1072*INDEX(Berekening_impact[Opbrengsten door QALY''s],MATCH(B1072,IF(Berekening_impact[Doelgroep]=C1072,Berekening_impact[Digitale zorgtoepassing]),0))</f>
        <v>0</v>
      </c>
      <c r="Q1072" s="398" cm="1">
        <f t="array" ref="Q1072">J1072*INDEX(Berekening_impact[Jaarlijkse kosten (totaal) - incl. schatting],MATCH(B1072,IF(Berekening_impact[Doelgroep]=C1072,Berekening_impact[Digitale zorgtoepassing]),0))</f>
        <v>10680162.400234763</v>
      </c>
      <c r="R1072" s="398" cm="1">
        <f t="array" ref="R1072">(uitkomst_doelgroep[[#This Row],[Implementatiegraad t = T + 1]]-uitkomst_doelgroep[[#This Row],[Implementatiegraad t = T]])*INDEX(Berekening_impact[Initiële investering (totaal) - incl. schatting],MATCH(B1072,IF(Berekening_impact[Doelgroep]=C1072,Berekening_impact[Digitale zorgtoepassing]),0))</f>
        <v>0</v>
      </c>
      <c r="S1072" s="398">
        <f>uitkomst_doelgroep[[#This Row],[Arbeidsbesparing (€)]]*uitkomst_doelgroep[[#This Row],[Percentage van patiëntaantallen in Wlz (overige is Zvw)]]</f>
        <v>8827556.8337892462</v>
      </c>
      <c r="T1072" s="398">
        <f>uitkomst_doelgroep[[#This Row],[Overige besparingen (€)]]*uitkomst_doelgroep[[#This Row],[Percentage van patiëntaantallen in Wlz (overige is Zvw)]]</f>
        <v>1214299.3680699596</v>
      </c>
      <c r="U1072" s="398">
        <f>uitkomst_doelgroep[[#This Row],[Kosten (€)]]*uitkomst_doelgroep[[#This Row],[Percentage van patiëntaantallen in Wlz (overige is Zvw)]]</f>
        <v>4806073.0801056437</v>
      </c>
      <c r="V1072" s="398">
        <f>uitkomst_doelgroep[[#This Row],[Investering (cash flow) (€)]]*uitkomst_doelgroep[[#This Row],[Percentage van patiëntaantallen in Wlz (overige is Zvw)]]</f>
        <v>0</v>
      </c>
    </row>
    <row r="1073" spans="1:22" x14ac:dyDescent="0.5">
      <c r="A1073" s="33" t="str">
        <f>INDEX(Technologieën[Veld],MATCH(B1073,Technologieën[Digitale zorgtoepassing],0))</f>
        <v>Sensoren - Verpleging</v>
      </c>
      <c r="B1073" s="33" t="s">
        <v>36</v>
      </c>
      <c r="C1073" s="33" t="s">
        <v>27</v>
      </c>
      <c r="D1073" s="427" cm="1">
        <f t="array" ref="D1073">INDEX(Berekening_patiëntaantal[Percentage van patiëntaantallen in Wlz (overige is Zvw)],MATCH(B1073,IF(Berekening_patiëntaantal[Doelgroep (zoeksleutel)]=C1073,Berekening_patiëntaantal[Digitale zorgtoepassing]),0))</f>
        <v>0.45</v>
      </c>
      <c r="E1073" s="33" t="str" cm="1">
        <f t="array" ref="E1073">INDEX(Berekening_patiëntaantal[Direct toepasbaar/extrapolatie/incidentie voor QALY],MATCH(B1073,IF(Berekening_patiëntaantal[Doelgroep (zoeksleutel)]=C1073,Berekening_patiëntaantal[Digitale zorgtoepassing]),0))</f>
        <v>Extrapolatie</v>
      </c>
      <c r="F1073" s="33" t="s">
        <v>813</v>
      </c>
      <c r="G1073" s="33" t="str">
        <f>CONCATENATE(uitkomst_doelgroep[[#This Row],[Digitale zorgtoepassing]],"_",uitkomst_doelgroep[[#This Row],[Doelgroep]],"_",uitkomst_doelgroep[[#This Row],[Uitgangssituatie/effect beleid]])</f>
        <v>Leefstijlmonitoring_Parkinson_Uitgangssituatie</v>
      </c>
      <c r="H1073" s="33">
        <v>2031</v>
      </c>
      <c r="I1073" s="32">
        <v>9</v>
      </c>
      <c r="J1073" s="406" cm="1">
        <f t="array" ref="J1073">INDEX(implementatie[[2023]:[2034]],MATCH(G1073, implementatie[Zoeksleutel],0),I1073)</f>
        <v>0.27699177758611071</v>
      </c>
      <c r="K1073" s="406" cm="1">
        <f t="array" ref="K1073">INDEX(implementatie[[2023]:[2034]],MATCH(G1073,implementatie[Zoeksleutel],0),I1073 + 1)</f>
        <v>0.37155887512870744</v>
      </c>
      <c r="L107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2637.5157061749455</v>
      </c>
      <c r="M1073" s="398" cm="1">
        <f t="array" ref="M1073">J1073*INDEX(Berekening_impact[Totaal arbeidsbesparing (€/jaar)],MATCH(B1073,IF(Berekening_impact[Doelgroep]=C1073,Berekening_impact[Digitale zorgtoepassing]),0))</f>
        <v>9097892.3642243072</v>
      </c>
      <c r="N1073" s="397" cm="1">
        <f t="array" ref="N1073">J1073*INDEX(Berekening_impact[Totaal arbeidsbesparing (FTE/jaar)],MATCH(B1073,IF(Berekening_impact[Doelgroep]=C1073,Berekening_impact[Digitale zorgtoepassing]),0))</f>
        <v>214.29942366106013</v>
      </c>
      <c r="O1073" s="398" cm="1">
        <f t="array" ref="O1073">J1073*INDEX(Berekening_impact[Overige kostenbesparing (totaal/jaar totaal potentieel)],MATCH(B1073,IF(Berekening_impact[Doelgroep]=C1073,Berekening_impact[Digitale zorgtoepassing]),0))</f>
        <v>1251486.1310616906</v>
      </c>
      <c r="P1073" s="398" cm="1">
        <f t="array" ref="P1073">J1073*INDEX(Berekening_impact[Opbrengsten door QALY''s],MATCH(B1073,IF(Berekening_impact[Doelgroep]=C1073,Berekening_impact[Digitale zorgtoepassing]),0))</f>
        <v>0</v>
      </c>
      <c r="Q1073" s="398" cm="1">
        <f t="array" ref="Q1073">J1073*INDEX(Berekening_impact[Jaarlijkse kosten (totaal) - incl. schatting],MATCH(B1073,IF(Berekening_impact[Doelgroep]=C1073,Berekening_impact[Digitale zorgtoepassing]),0))</f>
        <v>4953254.4961965475</v>
      </c>
      <c r="R1073" s="398" cm="1">
        <f t="array" ref="R1073">(uitkomst_doelgroep[[#This Row],[Implementatiegraad t = T + 1]]-uitkomst_doelgroep[[#This Row],[Implementatiegraad t = T]])*INDEX(Berekening_impact[Initiële investering (totaal) - incl. schatting],MATCH(B1073,IF(Berekening_impact[Doelgroep]=C1073,Berekening_impact[Digitale zorgtoepassing]),0))</f>
        <v>0</v>
      </c>
      <c r="S1073" s="398">
        <f>uitkomst_doelgroep[[#This Row],[Arbeidsbesparing (€)]]*uitkomst_doelgroep[[#This Row],[Percentage van patiëntaantallen in Wlz (overige is Zvw)]]</f>
        <v>4094051.5639009383</v>
      </c>
      <c r="T1073" s="398">
        <f>uitkomst_doelgroep[[#This Row],[Overige besparingen (€)]]*uitkomst_doelgroep[[#This Row],[Percentage van patiëntaantallen in Wlz (overige is Zvw)]]</f>
        <v>563168.75897776079</v>
      </c>
      <c r="U1073" s="398">
        <f>uitkomst_doelgroep[[#This Row],[Kosten (€)]]*uitkomst_doelgroep[[#This Row],[Percentage van patiëntaantallen in Wlz (overige is Zvw)]]</f>
        <v>2228964.5232884465</v>
      </c>
      <c r="V1073" s="398">
        <f>uitkomst_doelgroep[[#This Row],[Investering (cash flow) (€)]]*uitkomst_doelgroep[[#This Row],[Percentage van patiëntaantallen in Wlz (overige is Zvw)]]</f>
        <v>0</v>
      </c>
    </row>
    <row r="1074" spans="1:22" x14ac:dyDescent="0.5">
      <c r="A1074" s="33" t="str">
        <f>INDEX(Technologieën[Veld],MATCH(B1074,Technologieën[Digitale zorgtoepassing],0))</f>
        <v>Sensoren - Verpleging</v>
      </c>
      <c r="B1074" s="33" t="s">
        <v>36</v>
      </c>
      <c r="C1074" s="33" t="s">
        <v>20</v>
      </c>
      <c r="D1074" s="427" cm="1">
        <f t="array" ref="D1074">INDEX(Berekening_patiëntaantal[Percentage van patiëntaantallen in Wlz (overige is Zvw)],MATCH(B1074,IF(Berekening_patiëntaantal[Doelgroep (zoeksleutel)]=C1074,Berekening_patiëntaantal[Digitale zorgtoepassing]),0))</f>
        <v>0</v>
      </c>
      <c r="E1074" s="33" t="str" cm="1">
        <f t="array" ref="E1074">INDEX(Berekening_patiëntaantal[Direct toepasbaar/extrapolatie/incidentie voor QALY],MATCH(B1074,IF(Berekening_patiëntaantal[Doelgroep (zoeksleutel)]=C1074,Berekening_patiëntaantal[Digitale zorgtoepassing]),0))</f>
        <v>Huidige toepassing</v>
      </c>
      <c r="F1074" s="33" t="s">
        <v>813</v>
      </c>
      <c r="G1074" s="33" t="str">
        <f>CONCATENATE(uitkomst_doelgroep[[#This Row],[Digitale zorgtoepassing]],"_",uitkomst_doelgroep[[#This Row],[Doelgroep]],"_",uitkomst_doelgroep[[#This Row],[Uitgangssituatie/effect beleid]])</f>
        <v>Leefstijlmonitoring_Dementie_Uitgangssituatie</v>
      </c>
      <c r="H1074" s="33">
        <v>2031</v>
      </c>
      <c r="I1074" s="32">
        <v>9</v>
      </c>
      <c r="J1074" s="406" cm="1">
        <f t="array" ref="J1074">INDEX(implementatie[[2023]:[2034]],MATCH(G1074, implementatie[Zoeksleutel],0),I1074)</f>
        <v>0.90979015880706082</v>
      </c>
      <c r="K1074" s="406" cm="1">
        <f t="array" ref="K1074">INDEX(implementatie[[2023]:[2034]],MATCH(G1074,implementatie[Zoeksleutel],0),I1074 + 1)</f>
        <v>0.94442316592887321</v>
      </c>
      <c r="L107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30081.620237352239</v>
      </c>
      <c r="M1074" s="398" cm="1">
        <f t="array" ref="M1074">J1074*INDEX(Berekening_impact[Totaal arbeidsbesparing (€/jaar)],MATCH(B1074,IF(Berekening_impact[Doelgroep]=C1074,Berekening_impact[Digitale zorgtoepassing]),0))</f>
        <v>103764061.92394038</v>
      </c>
      <c r="N1074" s="397" cm="1">
        <f t="array" ref="N1074">J1074*INDEX(Berekening_impact[Totaal arbeidsbesparing (FTE/jaar)],MATCH(B1074,IF(Berekening_impact[Doelgroep]=C1074,Berekening_impact[Digitale zorgtoepassing]),0))</f>
        <v>2444.14615790268</v>
      </c>
      <c r="O1074" s="398" cm="1">
        <f t="array" ref="O1074">J1074*INDEX(Berekening_impact[Overige kostenbesparing (totaal/jaar totaal potentieel)],MATCH(B1074,IF(Berekening_impact[Doelgroep]=C1074,Berekening_impact[Digitale zorgtoepassing]),0))</f>
        <v>14273556.907650851</v>
      </c>
      <c r="P1074" s="398" cm="1">
        <f t="array" ref="P1074">J1074*INDEX(Berekening_impact[Opbrengsten door QALY''s],MATCH(B1074,IF(Berekening_impact[Doelgroep]=C1074,Berekening_impact[Digitale zorgtoepassing]),0))</f>
        <v>0</v>
      </c>
      <c r="Q1074" s="398" cm="1">
        <f t="array" ref="Q1074">J1074*INDEX(Berekening_impact[Jaarlijkse kosten (totaal) - incl. schatting],MATCH(B1074,IF(Berekening_impact[Doelgroep]=C1074,Berekening_impact[Digitale zorgtoepassing]),0))</f>
        <v>56493282.805747509</v>
      </c>
      <c r="R1074" s="398" cm="1">
        <f t="array" ref="R1074">(uitkomst_doelgroep[[#This Row],[Implementatiegraad t = T + 1]]-uitkomst_doelgroep[[#This Row],[Implementatiegraad t = T]])*INDEX(Berekening_impact[Initiële investering (totaal) - incl. schatting],MATCH(B1074,IF(Berekening_impact[Doelgroep]=C1074,Berekening_impact[Digitale zorgtoepassing]),0))</f>
        <v>0</v>
      </c>
      <c r="S1074" s="398">
        <f>uitkomst_doelgroep[[#This Row],[Arbeidsbesparing (€)]]*uitkomst_doelgroep[[#This Row],[Percentage van patiëntaantallen in Wlz (overige is Zvw)]]</f>
        <v>0</v>
      </c>
      <c r="T1074" s="398">
        <f>uitkomst_doelgroep[[#This Row],[Overige besparingen (€)]]*uitkomst_doelgroep[[#This Row],[Percentage van patiëntaantallen in Wlz (overige is Zvw)]]</f>
        <v>0</v>
      </c>
      <c r="U1074" s="398">
        <f>uitkomst_doelgroep[[#This Row],[Kosten (€)]]*uitkomst_doelgroep[[#This Row],[Percentage van patiëntaantallen in Wlz (overige is Zvw)]]</f>
        <v>0</v>
      </c>
      <c r="V1074" s="398">
        <f>uitkomst_doelgroep[[#This Row],[Investering (cash flow) (€)]]*uitkomst_doelgroep[[#This Row],[Percentage van patiëntaantallen in Wlz (overige is Zvw)]]</f>
        <v>0</v>
      </c>
    </row>
    <row r="1075" spans="1:22" x14ac:dyDescent="0.5">
      <c r="A1075" s="33" t="str">
        <f>INDEX(Technologieën[Veld],MATCH(B1075,Technologieën[Digitale zorgtoepassing],0))</f>
        <v>Sensoren - Verpleging</v>
      </c>
      <c r="B1075" s="33" t="s">
        <v>36</v>
      </c>
      <c r="C1075" s="33" t="s">
        <v>24</v>
      </c>
      <c r="D1075" s="427" cm="1">
        <f t="array" ref="D1075">INDEX(Berekening_patiëntaantal[Percentage van patiëntaantallen in Wlz (overige is Zvw)],MATCH(B1075,IF(Berekening_patiëntaantal[Doelgroep (zoeksleutel)]=C1075,Berekening_patiëntaantal[Digitale zorgtoepassing]),0))</f>
        <v>0.45</v>
      </c>
      <c r="E1075" s="33" t="str" cm="1">
        <f t="array" ref="E1075">INDEX(Berekening_patiëntaantal[Direct toepasbaar/extrapolatie/incidentie voor QALY],MATCH(B1075,IF(Berekening_patiëntaantal[Doelgroep (zoeksleutel)]=C1075,Berekening_patiëntaantal[Digitale zorgtoepassing]),0))</f>
        <v>Extrapolatie</v>
      </c>
      <c r="F1075" s="33" t="s">
        <v>813</v>
      </c>
      <c r="G1075" s="33" t="str">
        <f>CONCATENATE(uitkomst_doelgroep[[#This Row],[Digitale zorgtoepassing]],"_",uitkomst_doelgroep[[#This Row],[Doelgroep]],"_",uitkomst_doelgroep[[#This Row],[Uitgangssituatie/effect beleid]])</f>
        <v>Leefstijlmonitoring_Cognitieve beperking_Uitgangssituatie</v>
      </c>
      <c r="H1075" s="33">
        <v>2032</v>
      </c>
      <c r="I1075" s="32">
        <v>10</v>
      </c>
      <c r="J1075" s="406" cm="1">
        <f t="array" ref="J1075">INDEX(implementatie[[2023]:[2034]],MATCH(G1075, implementatie[Zoeksleutel],0),I1075)</f>
        <v>0.37155887512870744</v>
      </c>
      <c r="K1075" s="406" cm="1">
        <f t="array" ref="K1075">INDEX(implementatie[[2023]:[2034]],MATCH(G1075,implementatie[Zoeksleutel],0),I1075 + 1)</f>
        <v>0.47752884860285211</v>
      </c>
      <c r="L107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1190.4478836733692</v>
      </c>
      <c r="M1075" s="398" cm="1">
        <f t="array" ref="M1075">J1075*INDEX(Berekening_impact[Totaal arbeidsbesparing (€/jaar)],MATCH(B1075,IF(Berekening_impact[Doelgroep]=C1075,Berekening_impact[Digitale zorgtoepassing]),0))</f>
        <v>4106351.5510153887</v>
      </c>
      <c r="N1075" s="397" cm="1">
        <f t="array" ref="N1075">J1075*INDEX(Berekening_impact[Totaal arbeidsbesparing (FTE/jaar)],MATCH(B1075,IF(Berekening_impact[Doelgroep]=C1075,Berekening_impact[Digitale zorgtoepassing]),0))</f>
        <v>96.724464909332482</v>
      </c>
      <c r="O1075" s="398" cm="1">
        <f t="array" ref="O1075">J1075*INDEX(Berekening_impact[Overige kostenbesparing (totaal/jaar totaal potentieel)],MATCH(B1075,IF(Berekening_impact[Doelgroep]=C1075,Berekening_impact[Digitale zorgtoepassing]),0))</f>
        <v>564860.71824367833</v>
      </c>
      <c r="P1075" s="398" cm="1">
        <f t="array" ref="P1075">J1075*INDEX(Berekening_impact[Opbrengsten door QALY''s],MATCH(B1075,IF(Berekening_impact[Doelgroep]=C1075,Berekening_impact[Digitale zorgtoepassing]),0))</f>
        <v>0</v>
      </c>
      <c r="Q1075" s="398" cm="1">
        <f t="array" ref="Q1075">J1075*INDEX(Berekening_impact[Jaarlijkse kosten (totaal) - incl. schatting],MATCH(B1075,IF(Berekening_impact[Doelgroep]=C1075,Berekening_impact[Digitale zorgtoepassing]),0))</f>
        <v>2235661.1255385876</v>
      </c>
      <c r="R1075" s="398" cm="1">
        <f t="array" ref="R1075">(uitkomst_doelgroep[[#This Row],[Implementatiegraad t = T + 1]]-uitkomst_doelgroep[[#This Row],[Implementatiegraad t = T]])*INDEX(Berekening_impact[Initiële investering (totaal) - incl. schatting],MATCH(B1075,IF(Berekening_impact[Doelgroep]=C1075,Berekening_impact[Digitale zorgtoepassing]),0))</f>
        <v>0</v>
      </c>
      <c r="S1075" s="398">
        <f>uitkomst_doelgroep[[#This Row],[Arbeidsbesparing (€)]]*uitkomst_doelgroep[[#This Row],[Percentage van patiëntaantallen in Wlz (overige is Zvw)]]</f>
        <v>1847858.197956925</v>
      </c>
      <c r="T1075" s="398">
        <f>uitkomst_doelgroep[[#This Row],[Overige besparingen (€)]]*uitkomst_doelgroep[[#This Row],[Percentage van patiëntaantallen in Wlz (overige is Zvw)]]</f>
        <v>254187.32320965527</v>
      </c>
      <c r="U1075" s="398">
        <f>uitkomst_doelgroep[[#This Row],[Kosten (€)]]*uitkomst_doelgroep[[#This Row],[Percentage van patiëntaantallen in Wlz (overige is Zvw)]]</f>
        <v>1006047.5064923645</v>
      </c>
      <c r="V1075" s="398">
        <f>uitkomst_doelgroep[[#This Row],[Investering (cash flow) (€)]]*uitkomst_doelgroep[[#This Row],[Percentage van patiëntaantallen in Wlz (overige is Zvw)]]</f>
        <v>0</v>
      </c>
    </row>
    <row r="1076" spans="1:22" x14ac:dyDescent="0.5">
      <c r="A1076" s="33" t="str">
        <f>INDEX(Technologieën[Veld],MATCH(B1076,Technologieën[Digitale zorgtoepassing],0))</f>
        <v>Sensoren - Verpleging</v>
      </c>
      <c r="B1076" s="33" t="s">
        <v>36</v>
      </c>
      <c r="C1076" s="33" t="s">
        <v>40</v>
      </c>
      <c r="D1076" s="427" cm="1">
        <f t="array" ref="D1076">INDEX(Berekening_patiëntaantal[Percentage van patiëntaantallen in Wlz (overige is Zvw)],MATCH(B1076,IF(Berekening_patiëntaantal[Doelgroep (zoeksleutel)]=C1076,Berekening_patiëntaantal[Digitale zorgtoepassing]),0))</f>
        <v>0.45</v>
      </c>
      <c r="E1076" s="33" t="str" cm="1">
        <f t="array" ref="E1076">INDEX(Berekening_patiëntaantal[Direct toepasbaar/extrapolatie/incidentie voor QALY],MATCH(B1076,IF(Berekening_patiëntaantal[Doelgroep (zoeksleutel)]=C1076,Berekening_patiëntaantal[Digitale zorgtoepassing]),0))</f>
        <v>Extrapolatie</v>
      </c>
      <c r="F1076" s="33" t="s">
        <v>813</v>
      </c>
      <c r="G1076" s="33" t="str">
        <f>CONCATENATE(uitkomst_doelgroep[[#This Row],[Digitale zorgtoepassing]],"_",uitkomst_doelgroep[[#This Row],[Doelgroep]],"_",uitkomst_doelgroep[[#This Row],[Uitgangssituatie/effect beleid]])</f>
        <v>Leefstijlmonitoring_Kwetsbare ouderen_Uitgangssituatie</v>
      </c>
      <c r="H1076" s="33">
        <v>2032</v>
      </c>
      <c r="I1076" s="32">
        <v>10</v>
      </c>
      <c r="J1076" s="406" cm="1">
        <f t="array" ref="J1076">INDEX(implementatie[[2023]:[2034]],MATCH(G1076, implementatie[Zoeksleutel],0),I1076)</f>
        <v>0.37155887512870744</v>
      </c>
      <c r="K1076" s="406" cm="1">
        <f t="array" ref="K1076">INDEX(implementatie[[2023]:[2034]],MATCH(G1076,implementatie[Zoeksleutel],0),I1076 + 1)</f>
        <v>0.47752884860285211</v>
      </c>
      <c r="L107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7628.5681549862757</v>
      </c>
      <c r="M1076" s="398" cm="1">
        <f t="array" ref="M1076">J1076*INDEX(Berekening_impact[Totaal arbeidsbesparing (€/jaar)],MATCH(B1076,IF(Berekening_impact[Doelgroep]=C1076,Berekening_impact[Digitale zorgtoepassing]),0))</f>
        <v>26314115.136727389</v>
      </c>
      <c r="N1076" s="397" cm="1">
        <f t="array" ref="N1076">J1076*INDEX(Berekening_impact[Totaal arbeidsbesparing (FTE/jaar)],MATCH(B1076,IF(Berekening_impact[Doelgroep]=C1076,Berekening_impact[Digitale zorgtoepassing]),0))</f>
        <v>619.82484318303432</v>
      </c>
      <c r="O1076" s="398" cm="1">
        <f t="array" ref="O1076">J1076*INDEX(Berekening_impact[Overige kostenbesparing (totaal/jaar totaal potentieel)],MATCH(B1076,IF(Berekening_impact[Doelgroep]=C1076,Berekening_impact[Digitale zorgtoepassing]),0))</f>
        <v>3619711.9977229591</v>
      </c>
      <c r="P1076" s="398" cm="1">
        <f t="array" ref="P1076">J1076*INDEX(Berekening_impact[Opbrengsten door QALY''s],MATCH(B1076,IF(Berekening_impact[Doelgroep]=C1076,Berekening_impact[Digitale zorgtoepassing]),0))</f>
        <v>0</v>
      </c>
      <c r="Q1076" s="398" cm="1">
        <f t="array" ref="Q1076">J1076*INDEX(Berekening_impact[Jaarlijkse kosten (totaal) - incl. schatting],MATCH(B1076,IF(Berekening_impact[Doelgroep]=C1076,Berekening_impact[Digitale zorgtoepassing]),0))</f>
        <v>14326450.995064227</v>
      </c>
      <c r="R1076" s="398" cm="1">
        <f t="array" ref="R1076">(uitkomst_doelgroep[[#This Row],[Implementatiegraad t = T + 1]]-uitkomst_doelgroep[[#This Row],[Implementatiegraad t = T]])*INDEX(Berekening_impact[Initiële investering (totaal) - incl. schatting],MATCH(B1076,IF(Berekening_impact[Doelgroep]=C1076,Berekening_impact[Digitale zorgtoepassing]),0))</f>
        <v>0</v>
      </c>
      <c r="S1076" s="398">
        <f>uitkomst_doelgroep[[#This Row],[Arbeidsbesparing (€)]]*uitkomst_doelgroep[[#This Row],[Percentage van patiëntaantallen in Wlz (overige is Zvw)]]</f>
        <v>11841351.811527325</v>
      </c>
      <c r="T1076" s="398">
        <f>uitkomst_doelgroep[[#This Row],[Overige besparingen (€)]]*uitkomst_doelgroep[[#This Row],[Percentage van patiëntaantallen in Wlz (overige is Zvw)]]</f>
        <v>1628870.3989753316</v>
      </c>
      <c r="U1076" s="398">
        <f>uitkomst_doelgroep[[#This Row],[Kosten (€)]]*uitkomst_doelgroep[[#This Row],[Percentage van patiëntaantallen in Wlz (overige is Zvw)]]</f>
        <v>6446902.947778902</v>
      </c>
      <c r="V1076" s="398">
        <f>uitkomst_doelgroep[[#This Row],[Investering (cash flow) (€)]]*uitkomst_doelgroep[[#This Row],[Percentage van patiëntaantallen in Wlz (overige is Zvw)]]</f>
        <v>0</v>
      </c>
    </row>
    <row r="1077" spans="1:22" x14ac:dyDescent="0.5">
      <c r="A1077" s="33" t="str">
        <f>INDEX(Technologieën[Veld],MATCH(B1077,Technologieën[Digitale zorgtoepassing],0))</f>
        <v>Sensoren - Verpleging</v>
      </c>
      <c r="B1077" s="33" t="s">
        <v>36</v>
      </c>
      <c r="C1077" s="33" t="s">
        <v>27</v>
      </c>
      <c r="D1077" s="427" cm="1">
        <f t="array" ref="D1077">INDEX(Berekening_patiëntaantal[Percentage van patiëntaantallen in Wlz (overige is Zvw)],MATCH(B1077,IF(Berekening_patiëntaantal[Doelgroep (zoeksleutel)]=C1077,Berekening_patiëntaantal[Digitale zorgtoepassing]),0))</f>
        <v>0.45</v>
      </c>
      <c r="E1077" s="33" t="str" cm="1">
        <f t="array" ref="E1077">INDEX(Berekening_patiëntaantal[Direct toepasbaar/extrapolatie/incidentie voor QALY],MATCH(B1077,IF(Berekening_patiëntaantal[Doelgroep (zoeksleutel)]=C1077,Berekening_patiëntaantal[Digitale zorgtoepassing]),0))</f>
        <v>Extrapolatie</v>
      </c>
      <c r="F1077" s="33" t="s">
        <v>813</v>
      </c>
      <c r="G1077" s="33" t="str">
        <f>CONCATENATE(uitkomst_doelgroep[[#This Row],[Digitale zorgtoepassing]],"_",uitkomst_doelgroep[[#This Row],[Doelgroep]],"_",uitkomst_doelgroep[[#This Row],[Uitgangssituatie/effect beleid]])</f>
        <v>Leefstijlmonitoring_Parkinson_Uitgangssituatie</v>
      </c>
      <c r="H1077" s="33">
        <v>2032</v>
      </c>
      <c r="I1077" s="32">
        <v>10</v>
      </c>
      <c r="J1077" s="406" cm="1">
        <f t="array" ref="J1077">INDEX(implementatie[[2023]:[2034]],MATCH(G1077, implementatie[Zoeksleutel],0),I1077)</f>
        <v>0.37155887512870744</v>
      </c>
      <c r="K1077" s="406" cm="1">
        <f t="array" ref="K1077">INDEX(implementatie[[2023]:[2034]],MATCH(G1077,implementatie[Zoeksleutel],0),I1077 + 1)</f>
        <v>0.47752884860285211</v>
      </c>
      <c r="L107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3537.9836089755518</v>
      </c>
      <c r="M1077" s="398" cm="1">
        <f t="array" ref="M1077">J1077*INDEX(Berekening_impact[Totaal arbeidsbesparing (€/jaar)],MATCH(B1077,IF(Berekening_impact[Doelgroep]=C1077,Berekening_impact[Digitale zorgtoepassing]),0))</f>
        <v>12203981.94615126</v>
      </c>
      <c r="N1077" s="397" cm="1">
        <f t="array" ref="N1077">J1077*INDEX(Berekening_impact[Totaal arbeidsbesparing (FTE/jaar)],MATCH(B1077,IF(Berekening_impact[Doelgroep]=C1077,Berekening_impact[Digitale zorgtoepassing]),0))</f>
        <v>287.46287521650413</v>
      </c>
      <c r="O1077" s="398" cm="1">
        <f t="array" ref="O1077">J1077*INDEX(Berekening_impact[Overige kostenbesparing (totaal/jaar totaal potentieel)],MATCH(B1077,IF(Berekening_impact[Doelgroep]=C1077,Berekening_impact[Digitale zorgtoepassing]),0))</f>
        <v>1678753.005409705</v>
      </c>
      <c r="P1077" s="398" cm="1">
        <f t="array" ref="P1077">J1077*INDEX(Berekening_impact[Opbrengsten door QALY''s],MATCH(B1077,IF(Berekening_impact[Doelgroep]=C1077,Berekening_impact[Digitale zorgtoepassing]),0))</f>
        <v>0</v>
      </c>
      <c r="Q1077" s="398" cm="1">
        <f t="array" ref="Q1077">J1077*INDEX(Berekening_impact[Jaarlijkse kosten (totaal) - incl. schatting],MATCH(B1077,IF(Berekening_impact[Doelgroep]=C1077,Berekening_impact[Digitale zorgtoepassing]),0))</f>
        <v>6644333.2176560862</v>
      </c>
      <c r="R1077" s="398" cm="1">
        <f t="array" ref="R1077">(uitkomst_doelgroep[[#This Row],[Implementatiegraad t = T + 1]]-uitkomst_doelgroep[[#This Row],[Implementatiegraad t = T]])*INDEX(Berekening_impact[Initiële investering (totaal) - incl. schatting],MATCH(B1077,IF(Berekening_impact[Doelgroep]=C1077,Berekening_impact[Digitale zorgtoepassing]),0))</f>
        <v>0</v>
      </c>
      <c r="S1077" s="398">
        <f>uitkomst_doelgroep[[#This Row],[Arbeidsbesparing (€)]]*uitkomst_doelgroep[[#This Row],[Percentage van patiëntaantallen in Wlz (overige is Zvw)]]</f>
        <v>5491791.8757680673</v>
      </c>
      <c r="T1077" s="398">
        <f>uitkomst_doelgroep[[#This Row],[Overige besparingen (€)]]*uitkomst_doelgroep[[#This Row],[Percentage van patiëntaantallen in Wlz (overige is Zvw)]]</f>
        <v>755438.85243436729</v>
      </c>
      <c r="U1077" s="398">
        <f>uitkomst_doelgroep[[#This Row],[Kosten (€)]]*uitkomst_doelgroep[[#This Row],[Percentage van patiëntaantallen in Wlz (overige is Zvw)]]</f>
        <v>2989949.947945239</v>
      </c>
      <c r="V1077" s="398">
        <f>uitkomst_doelgroep[[#This Row],[Investering (cash flow) (€)]]*uitkomst_doelgroep[[#This Row],[Percentage van patiëntaantallen in Wlz (overige is Zvw)]]</f>
        <v>0</v>
      </c>
    </row>
    <row r="1078" spans="1:22" x14ac:dyDescent="0.5">
      <c r="A1078" s="33" t="str">
        <f>INDEX(Technologieën[Veld],MATCH(B1078,Technologieën[Digitale zorgtoepassing],0))</f>
        <v>Sensoren - Verpleging</v>
      </c>
      <c r="B1078" s="33" t="s">
        <v>36</v>
      </c>
      <c r="C1078" s="33" t="s">
        <v>20</v>
      </c>
      <c r="D1078" s="427" cm="1">
        <f t="array" ref="D1078">INDEX(Berekening_patiëntaantal[Percentage van patiëntaantallen in Wlz (overige is Zvw)],MATCH(B1078,IF(Berekening_patiëntaantal[Doelgroep (zoeksleutel)]=C1078,Berekening_patiëntaantal[Digitale zorgtoepassing]),0))</f>
        <v>0</v>
      </c>
      <c r="E1078" s="33" t="str" cm="1">
        <f t="array" ref="E1078">INDEX(Berekening_patiëntaantal[Direct toepasbaar/extrapolatie/incidentie voor QALY],MATCH(B1078,IF(Berekening_patiëntaantal[Doelgroep (zoeksleutel)]=C1078,Berekening_patiëntaantal[Digitale zorgtoepassing]),0))</f>
        <v>Huidige toepassing</v>
      </c>
      <c r="F1078" s="33" t="s">
        <v>813</v>
      </c>
      <c r="G1078" s="33" t="str">
        <f>CONCATENATE(uitkomst_doelgroep[[#This Row],[Digitale zorgtoepassing]],"_",uitkomst_doelgroep[[#This Row],[Doelgroep]],"_",uitkomst_doelgroep[[#This Row],[Uitgangssituatie/effect beleid]])</f>
        <v>Leefstijlmonitoring_Dementie_Uitgangssituatie</v>
      </c>
      <c r="H1078" s="33">
        <v>2032</v>
      </c>
      <c r="I1078" s="32">
        <v>10</v>
      </c>
      <c r="J1078" s="406" cm="1">
        <f t="array" ref="J1078">INDEX(implementatie[[2023]:[2034]],MATCH(G1078, implementatie[Zoeksleutel],0),I1078)</f>
        <v>0.94442316592887321</v>
      </c>
      <c r="K1078" s="406" cm="1">
        <f t="array" ref="K1078">INDEX(implementatie[[2023]:[2034]],MATCH(G1078,implementatie[Zoeksleutel],0),I1078 + 1)</f>
        <v>0.96652992244459857</v>
      </c>
      <c r="L107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31226.738106380337</v>
      </c>
      <c r="M1078" s="398" cm="1">
        <f t="array" ref="M1078">J1078*INDEX(Berekening_impact[Totaal arbeidsbesparing (€/jaar)],MATCH(B1078,IF(Berekening_impact[Doelgroep]=C1078,Berekening_impact[Digitale zorgtoepassing]),0))</f>
        <v>107714051.33722673</v>
      </c>
      <c r="N1078" s="397" cm="1">
        <f t="array" ref="N1078">J1078*INDEX(Berekening_impact[Totaal arbeidsbesparing (FTE/jaar)],MATCH(B1078,IF(Berekening_impact[Doelgroep]=C1078,Berekening_impact[Digitale zorgtoepassing]),0))</f>
        <v>2537.1875372515033</v>
      </c>
      <c r="O1078" s="398" cm="1">
        <f t="array" ref="O1078">J1078*INDEX(Berekening_impact[Overige kostenbesparing (totaal/jaar totaal potentieel)],MATCH(B1078,IF(Berekening_impact[Doelgroep]=C1078,Berekening_impact[Digitale zorgtoepassing]),0))</f>
        <v>14816908.792974003</v>
      </c>
      <c r="P1078" s="398" cm="1">
        <f t="array" ref="P1078">J1078*INDEX(Berekening_impact[Opbrengsten door QALY''s],MATCH(B1078,IF(Berekening_impact[Doelgroep]=C1078,Berekening_impact[Digitale zorgtoepassing]),0))</f>
        <v>0</v>
      </c>
      <c r="Q1078" s="398" cm="1">
        <f t="array" ref="Q1078">J1078*INDEX(Berekening_impact[Jaarlijkse kosten (totaal) - incl. schatting],MATCH(B1078,IF(Berekening_impact[Doelgroep]=C1078,Berekening_impact[Digitale zorgtoepassing]),0))</f>
        <v>58643814.163782276</v>
      </c>
      <c r="R1078" s="398" cm="1">
        <f t="array" ref="R1078">(uitkomst_doelgroep[[#This Row],[Implementatiegraad t = T + 1]]-uitkomst_doelgroep[[#This Row],[Implementatiegraad t = T]])*INDEX(Berekening_impact[Initiële investering (totaal) - incl. schatting],MATCH(B1078,IF(Berekening_impact[Doelgroep]=C1078,Berekening_impact[Digitale zorgtoepassing]),0))</f>
        <v>0</v>
      </c>
      <c r="S1078" s="398">
        <f>uitkomst_doelgroep[[#This Row],[Arbeidsbesparing (€)]]*uitkomst_doelgroep[[#This Row],[Percentage van patiëntaantallen in Wlz (overige is Zvw)]]</f>
        <v>0</v>
      </c>
      <c r="T1078" s="398">
        <f>uitkomst_doelgroep[[#This Row],[Overige besparingen (€)]]*uitkomst_doelgroep[[#This Row],[Percentage van patiëntaantallen in Wlz (overige is Zvw)]]</f>
        <v>0</v>
      </c>
      <c r="U1078" s="398">
        <f>uitkomst_doelgroep[[#This Row],[Kosten (€)]]*uitkomst_doelgroep[[#This Row],[Percentage van patiëntaantallen in Wlz (overige is Zvw)]]</f>
        <v>0</v>
      </c>
      <c r="V1078" s="398">
        <f>uitkomst_doelgroep[[#This Row],[Investering (cash flow) (€)]]*uitkomst_doelgroep[[#This Row],[Percentage van patiëntaantallen in Wlz (overige is Zvw)]]</f>
        <v>0</v>
      </c>
    </row>
    <row r="1079" spans="1:22" x14ac:dyDescent="0.5">
      <c r="A1079" s="33" t="str">
        <f>INDEX(Technologieën[Veld],MATCH(B1079,Technologieën[Digitale zorgtoepassing],0))</f>
        <v>Sensoren - Verpleging</v>
      </c>
      <c r="B1079" s="33" t="s">
        <v>36</v>
      </c>
      <c r="C1079" s="33" t="s">
        <v>24</v>
      </c>
      <c r="D1079" s="427" cm="1">
        <f t="array" ref="D1079">INDEX(Berekening_patiëntaantal[Percentage van patiëntaantallen in Wlz (overige is Zvw)],MATCH(B1079,IF(Berekening_patiëntaantal[Doelgroep (zoeksleutel)]=C1079,Berekening_patiëntaantal[Digitale zorgtoepassing]),0))</f>
        <v>0.45</v>
      </c>
      <c r="E1079" s="33" t="str" cm="1">
        <f t="array" ref="E1079">INDEX(Berekening_patiëntaantal[Direct toepasbaar/extrapolatie/incidentie voor QALY],MATCH(B1079,IF(Berekening_patiëntaantal[Doelgroep (zoeksleutel)]=C1079,Berekening_patiëntaantal[Digitale zorgtoepassing]),0))</f>
        <v>Extrapolatie</v>
      </c>
      <c r="F1079" s="33" t="s">
        <v>813</v>
      </c>
      <c r="G1079" s="33" t="str">
        <f>CONCATENATE(uitkomst_doelgroep[[#This Row],[Digitale zorgtoepassing]],"_",uitkomst_doelgroep[[#This Row],[Doelgroep]],"_",uitkomst_doelgroep[[#This Row],[Uitgangssituatie/effect beleid]])</f>
        <v>Leefstijlmonitoring_Cognitieve beperking_Uitgangssituatie</v>
      </c>
      <c r="H1079" s="33">
        <v>2033</v>
      </c>
      <c r="I1079" s="32">
        <v>11</v>
      </c>
      <c r="J1079" s="406" cm="1">
        <f t="array" ref="J1079">INDEX(implementatie[[2023]:[2034]],MATCH(G1079, implementatie[Zoeksleutel],0),I1079)</f>
        <v>0.47752884860285211</v>
      </c>
      <c r="K1079" s="406" cm="1">
        <f t="array" ref="K1079">INDEX(implementatie[[2023]:[2034]],MATCH(G1079,implementatie[Zoeksleutel],0),I1079 + 1)</f>
        <v>0.5877762905727496</v>
      </c>
      <c r="L107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1529.9680488464387</v>
      </c>
      <c r="M1079" s="398" cm="1">
        <f t="array" ref="M1079">J1079*INDEX(Berekening_impact[Totaal arbeidsbesparing (€/jaar)],MATCH(B1079,IF(Berekening_impact[Doelgroep]=C1079,Berekening_impact[Digitale zorgtoepassing]),0))</f>
        <v>5277498.2899699574</v>
      </c>
      <c r="N1079" s="397" cm="1">
        <f t="array" ref="N1079">J1079*INDEX(Berekening_impact[Totaal arbeidsbesparing (FTE/jaar)],MATCH(B1079,IF(Berekening_impact[Doelgroep]=C1079,Berekening_impact[Digitale zorgtoepassing]),0))</f>
        <v>124.3106421395016</v>
      </c>
      <c r="O1079" s="398" cm="1">
        <f t="array" ref="O1079">J1079*INDEX(Berekening_impact[Overige kostenbesparing (totaal/jaar totaal potentieel)],MATCH(B1079,IF(Berekening_impact[Doelgroep]=C1079,Berekening_impact[Digitale zorgtoepassing]),0))</f>
        <v>725961.09650307021</v>
      </c>
      <c r="P1079" s="398" cm="1">
        <f t="array" ref="P1079">J1079*INDEX(Berekening_impact[Opbrengsten door QALY''s],MATCH(B1079,IF(Berekening_impact[Doelgroep]=C1079,Berekening_impact[Digitale zorgtoepassing]),0))</f>
        <v>0</v>
      </c>
      <c r="Q1079" s="398" cm="1">
        <f t="array" ref="Q1079">J1079*INDEX(Berekening_impact[Jaarlijkse kosten (totaal) - incl. schatting],MATCH(B1079,IF(Berekening_impact[Doelgroep]=C1079,Berekening_impact[Digitale zorgtoepassing]),0))</f>
        <v>2873279.9957336118</v>
      </c>
      <c r="R1079" s="398" cm="1">
        <f t="array" ref="R1079">(uitkomst_doelgroep[[#This Row],[Implementatiegraad t = T + 1]]-uitkomst_doelgroep[[#This Row],[Implementatiegraad t = T]])*INDEX(Berekening_impact[Initiële investering (totaal) - incl. schatting],MATCH(B1079,IF(Berekening_impact[Doelgroep]=C1079,Berekening_impact[Digitale zorgtoepassing]),0))</f>
        <v>0</v>
      </c>
      <c r="S1079" s="398">
        <f>uitkomst_doelgroep[[#This Row],[Arbeidsbesparing (€)]]*uitkomst_doelgroep[[#This Row],[Percentage van patiëntaantallen in Wlz (overige is Zvw)]]</f>
        <v>2374874.230486481</v>
      </c>
      <c r="T1079" s="398">
        <f>uitkomst_doelgroep[[#This Row],[Overige besparingen (€)]]*uitkomst_doelgroep[[#This Row],[Percentage van patiëntaantallen in Wlz (overige is Zvw)]]</f>
        <v>326682.49342638161</v>
      </c>
      <c r="U1079" s="398">
        <f>uitkomst_doelgroep[[#This Row],[Kosten (€)]]*uitkomst_doelgroep[[#This Row],[Percentage van patiëntaantallen in Wlz (overige is Zvw)]]</f>
        <v>1292975.9980801253</v>
      </c>
      <c r="V1079" s="398">
        <f>uitkomst_doelgroep[[#This Row],[Investering (cash flow) (€)]]*uitkomst_doelgroep[[#This Row],[Percentage van patiëntaantallen in Wlz (overige is Zvw)]]</f>
        <v>0</v>
      </c>
    </row>
    <row r="1080" spans="1:22" x14ac:dyDescent="0.5">
      <c r="A1080" s="33" t="str">
        <f>INDEX(Technologieën[Veld],MATCH(B1080,Technologieën[Digitale zorgtoepassing],0))</f>
        <v>Sensoren - Verpleging</v>
      </c>
      <c r="B1080" s="33" t="s">
        <v>36</v>
      </c>
      <c r="C1080" s="33" t="s">
        <v>40</v>
      </c>
      <c r="D1080" s="427" cm="1">
        <f t="array" ref="D1080">INDEX(Berekening_patiëntaantal[Percentage van patiëntaantallen in Wlz (overige is Zvw)],MATCH(B1080,IF(Berekening_patiëntaantal[Doelgroep (zoeksleutel)]=C1080,Berekening_patiëntaantal[Digitale zorgtoepassing]),0))</f>
        <v>0.45</v>
      </c>
      <c r="E1080" s="33" t="str" cm="1">
        <f t="array" ref="E1080">INDEX(Berekening_patiëntaantal[Direct toepasbaar/extrapolatie/incidentie voor QALY],MATCH(B1080,IF(Berekening_patiëntaantal[Doelgroep (zoeksleutel)]=C1080,Berekening_patiëntaantal[Digitale zorgtoepassing]),0))</f>
        <v>Extrapolatie</v>
      </c>
      <c r="F1080" s="33" t="s">
        <v>813</v>
      </c>
      <c r="G1080" s="33" t="str">
        <f>CONCATENATE(uitkomst_doelgroep[[#This Row],[Digitale zorgtoepassing]],"_",uitkomst_doelgroep[[#This Row],[Doelgroep]],"_",uitkomst_doelgroep[[#This Row],[Uitgangssituatie/effect beleid]])</f>
        <v>Leefstijlmonitoring_Kwetsbare ouderen_Uitgangssituatie</v>
      </c>
      <c r="H1080" s="33">
        <v>2033</v>
      </c>
      <c r="I1080" s="32">
        <v>11</v>
      </c>
      <c r="J1080" s="406" cm="1">
        <f t="array" ref="J1080">INDEX(implementatie[[2023]:[2034]],MATCH(G1080, implementatie[Zoeksleutel],0),I1080)</f>
        <v>0.47752884860285211</v>
      </c>
      <c r="K1080" s="406" cm="1">
        <f t="array" ref="K1080">INDEX(implementatie[[2023]:[2034]],MATCH(G1080,implementatie[Zoeksleutel],0),I1080 + 1)</f>
        <v>0.5877762905727496</v>
      </c>
      <c r="L108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9804.2641728773087</v>
      </c>
      <c r="M1080" s="398" cm="1">
        <f t="array" ref="M1080">J1080*INDEX(Berekening_impact[Totaal arbeidsbesparing (€/jaar)],MATCH(B1080,IF(Berekening_impact[Doelgroep]=C1080,Berekening_impact[Digitale zorgtoepassing]),0))</f>
        <v>33818998.668492459</v>
      </c>
      <c r="N1080" s="397" cm="1">
        <f t="array" ref="N1080">J1080*INDEX(Berekening_impact[Totaal arbeidsbesparing (FTE/jaar)],MATCH(B1080,IF(Berekening_impact[Doelgroep]=C1080,Berekening_impact[Digitale zorgtoepassing]),0))</f>
        <v>796.60119435475531</v>
      </c>
      <c r="O1080" s="398" cm="1">
        <f t="array" ref="O1080">J1080*INDEX(Berekening_impact[Overige kostenbesparing (totaal/jaar totaal potentieel)],MATCH(B1080,IF(Berekening_impact[Doelgroep]=C1080,Berekening_impact[Digitale zorgtoepassing]),0))</f>
        <v>4652067.3256635806</v>
      </c>
      <c r="P1080" s="398" cm="1">
        <f t="array" ref="P1080">J1080*INDEX(Berekening_impact[Opbrengsten door QALY''s],MATCH(B1080,IF(Berekening_impact[Doelgroep]=C1080,Berekening_impact[Digitale zorgtoepassing]),0))</f>
        <v>0</v>
      </c>
      <c r="Q1080" s="398" cm="1">
        <f t="array" ref="Q1080">J1080*INDEX(Berekening_impact[Jaarlijkse kosten (totaal) - incl. schatting],MATCH(B1080,IF(Berekening_impact[Doelgroep]=C1080,Berekening_impact[Digitale zorgtoepassing]),0))</f>
        <v>18412408.116663586</v>
      </c>
      <c r="R1080" s="398" cm="1">
        <f t="array" ref="R1080">(uitkomst_doelgroep[[#This Row],[Implementatiegraad t = T + 1]]-uitkomst_doelgroep[[#This Row],[Implementatiegraad t = T]])*INDEX(Berekening_impact[Initiële investering (totaal) - incl. schatting],MATCH(B1080,IF(Berekening_impact[Doelgroep]=C1080,Berekening_impact[Digitale zorgtoepassing]),0))</f>
        <v>0</v>
      </c>
      <c r="S1080" s="398">
        <f>uitkomst_doelgroep[[#This Row],[Arbeidsbesparing (€)]]*uitkomst_doelgroep[[#This Row],[Percentage van patiëntaantallen in Wlz (overige is Zvw)]]</f>
        <v>15218549.400821608</v>
      </c>
      <c r="T1080" s="398">
        <f>uitkomst_doelgroep[[#This Row],[Overige besparingen (€)]]*uitkomst_doelgroep[[#This Row],[Percentage van patiëntaantallen in Wlz (overige is Zvw)]]</f>
        <v>2093430.2965486113</v>
      </c>
      <c r="U1080" s="398">
        <f>uitkomst_doelgroep[[#This Row],[Kosten (€)]]*uitkomst_doelgroep[[#This Row],[Percentage van patiëntaantallen in Wlz (overige is Zvw)]]</f>
        <v>8285583.652498614</v>
      </c>
      <c r="V1080" s="398">
        <f>uitkomst_doelgroep[[#This Row],[Investering (cash flow) (€)]]*uitkomst_doelgroep[[#This Row],[Percentage van patiëntaantallen in Wlz (overige is Zvw)]]</f>
        <v>0</v>
      </c>
    </row>
    <row r="1081" spans="1:22" x14ac:dyDescent="0.5">
      <c r="A1081" s="33" t="str">
        <f>INDEX(Technologieën[Veld],MATCH(B1081,Technologieën[Digitale zorgtoepassing],0))</f>
        <v>Sensoren - Verpleging</v>
      </c>
      <c r="B1081" s="33" t="s">
        <v>36</v>
      </c>
      <c r="C1081" s="33" t="s">
        <v>27</v>
      </c>
      <c r="D1081" s="427" cm="1">
        <f t="array" ref="D1081">INDEX(Berekening_patiëntaantal[Percentage van patiëntaantallen in Wlz (overige is Zvw)],MATCH(B1081,IF(Berekening_patiëntaantal[Doelgroep (zoeksleutel)]=C1081,Berekening_patiëntaantal[Digitale zorgtoepassing]),0))</f>
        <v>0.45</v>
      </c>
      <c r="E1081" s="33" t="str" cm="1">
        <f t="array" ref="E1081">INDEX(Berekening_patiëntaantal[Direct toepasbaar/extrapolatie/incidentie voor QALY],MATCH(B1081,IF(Berekening_patiëntaantal[Doelgroep (zoeksleutel)]=C1081,Berekening_patiëntaantal[Digitale zorgtoepassing]),0))</f>
        <v>Extrapolatie</v>
      </c>
      <c r="F1081" s="33" t="s">
        <v>813</v>
      </c>
      <c r="G1081" s="33" t="str">
        <f>CONCATENATE(uitkomst_doelgroep[[#This Row],[Digitale zorgtoepassing]],"_",uitkomst_doelgroep[[#This Row],[Doelgroep]],"_",uitkomst_doelgroep[[#This Row],[Uitgangssituatie/effect beleid]])</f>
        <v>Leefstijlmonitoring_Parkinson_Uitgangssituatie</v>
      </c>
      <c r="H1081" s="33">
        <v>2033</v>
      </c>
      <c r="I1081" s="32">
        <v>11</v>
      </c>
      <c r="J1081" s="406" cm="1">
        <f t="array" ref="J1081">INDEX(implementatie[[2023]:[2034]],MATCH(G1081, implementatie[Zoeksleutel],0),I1081)</f>
        <v>0.47752884860285211</v>
      </c>
      <c r="K1081" s="406" cm="1">
        <f t="array" ref="K1081">INDEX(implementatie[[2023]:[2034]],MATCH(G1081,implementatie[Zoeksleutel],0),I1081 + 1)</f>
        <v>0.5877762905727496</v>
      </c>
      <c r="L108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4547.0296963963565</v>
      </c>
      <c r="M1081" s="398" cm="1">
        <f t="array" ref="M1081">J1081*INDEX(Berekening_impact[Totaal arbeidsbesparing (€/jaar)],MATCH(B1081,IF(Berekening_impact[Doelgroep]=C1081,Berekening_impact[Digitale zorgtoepassing]),0))</f>
        <v>15684602.998910686</v>
      </c>
      <c r="N1081" s="397" cm="1">
        <f t="array" ref="N1081">J1081*INDEX(Berekening_impact[Totaal arbeidsbesparing (FTE/jaar)],MATCH(B1081,IF(Berekening_impact[Doelgroep]=C1081,Berekening_impact[Digitale zorgtoepassing]),0))</f>
        <v>369.44835665855601</v>
      </c>
      <c r="O1081" s="398" cm="1">
        <f t="array" ref="O1081">J1081*INDEX(Berekening_impact[Overige kostenbesparing (totaal/jaar totaal potentieel)],MATCH(B1081,IF(Berekening_impact[Doelgroep]=C1081,Berekening_impact[Digitale zorgtoepassing]),0))</f>
        <v>2157539.6079132347</v>
      </c>
      <c r="P1081" s="398" cm="1">
        <f t="array" ref="P1081">J1081*INDEX(Berekening_impact[Opbrengsten door QALY''s],MATCH(B1081,IF(Berekening_impact[Doelgroep]=C1081,Berekening_impact[Digitale zorgtoepassing]),0))</f>
        <v>0</v>
      </c>
      <c r="Q1081" s="398" cm="1">
        <f t="array" ref="Q1081">J1081*INDEX(Berekening_impact[Jaarlijkse kosten (totaal) - incl. schatting],MATCH(B1081,IF(Berekening_impact[Doelgroep]=C1081,Berekening_impact[Digitale zorgtoepassing]),0))</f>
        <v>8539321.7698323578</v>
      </c>
      <c r="R1081" s="398" cm="1">
        <f t="array" ref="R1081">(uitkomst_doelgroep[[#This Row],[Implementatiegraad t = T + 1]]-uitkomst_doelgroep[[#This Row],[Implementatiegraad t = T]])*INDEX(Berekening_impact[Initiële investering (totaal) - incl. schatting],MATCH(B1081,IF(Berekening_impact[Doelgroep]=C1081,Berekening_impact[Digitale zorgtoepassing]),0))</f>
        <v>0</v>
      </c>
      <c r="S1081" s="398">
        <f>uitkomst_doelgroep[[#This Row],[Arbeidsbesparing (€)]]*uitkomst_doelgroep[[#This Row],[Percentage van patiëntaantallen in Wlz (overige is Zvw)]]</f>
        <v>7058071.3495098092</v>
      </c>
      <c r="T1081" s="398">
        <f>uitkomst_doelgroep[[#This Row],[Overige besparingen (€)]]*uitkomst_doelgroep[[#This Row],[Percentage van patiëntaantallen in Wlz (overige is Zvw)]]</f>
        <v>970892.8235609557</v>
      </c>
      <c r="U1081" s="398">
        <f>uitkomst_doelgroep[[#This Row],[Kosten (€)]]*uitkomst_doelgroep[[#This Row],[Percentage van patiëntaantallen in Wlz (overige is Zvw)]]</f>
        <v>3842694.7964245612</v>
      </c>
      <c r="V1081" s="398">
        <f>uitkomst_doelgroep[[#This Row],[Investering (cash flow) (€)]]*uitkomst_doelgroep[[#This Row],[Percentage van patiëntaantallen in Wlz (overige is Zvw)]]</f>
        <v>0</v>
      </c>
    </row>
    <row r="1082" spans="1:22" x14ac:dyDescent="0.5">
      <c r="A1082" s="33" t="str">
        <f>INDEX(Technologieën[Veld],MATCH(B1082,Technologieën[Digitale zorgtoepassing],0))</f>
        <v>Sensoren - Verpleging</v>
      </c>
      <c r="B1082" s="33" t="s">
        <v>36</v>
      </c>
      <c r="C1082" s="33" t="s">
        <v>20</v>
      </c>
      <c r="D1082" s="427" cm="1">
        <f t="array" ref="D1082">INDEX(Berekening_patiëntaantal[Percentage van patiëntaantallen in Wlz (overige is Zvw)],MATCH(B1082,IF(Berekening_patiëntaantal[Doelgroep (zoeksleutel)]=C1082,Berekening_patiëntaantal[Digitale zorgtoepassing]),0))</f>
        <v>0</v>
      </c>
      <c r="E1082" s="33" t="str" cm="1">
        <f t="array" ref="E1082">INDEX(Berekening_patiëntaantal[Direct toepasbaar/extrapolatie/incidentie voor QALY],MATCH(B1082,IF(Berekening_patiëntaantal[Doelgroep (zoeksleutel)]=C1082,Berekening_patiëntaantal[Digitale zorgtoepassing]),0))</f>
        <v>Huidige toepassing</v>
      </c>
      <c r="F1082" s="33" t="s">
        <v>813</v>
      </c>
      <c r="G1082" s="33" t="str">
        <f>CONCATENATE(uitkomst_doelgroep[[#This Row],[Digitale zorgtoepassing]],"_",uitkomst_doelgroep[[#This Row],[Doelgroep]],"_",uitkomst_doelgroep[[#This Row],[Uitgangssituatie/effect beleid]])</f>
        <v>Leefstijlmonitoring_Dementie_Uitgangssituatie</v>
      </c>
      <c r="H1082" s="33">
        <v>2033</v>
      </c>
      <c r="I1082" s="32">
        <v>11</v>
      </c>
      <c r="J1082" s="406" cm="1">
        <f t="array" ref="J1082">INDEX(implementatie[[2023]:[2034]],MATCH(G1082, implementatie[Zoeksleutel],0),I1082)</f>
        <v>0.96652992244459857</v>
      </c>
      <c r="K1082" s="406" cm="1">
        <f t="array" ref="K1082">INDEX(implementatie[[2023]:[2034]],MATCH(G1082,implementatie[Zoeksleutel],0),I1082 + 1)</f>
        <v>0.98013925658124135</v>
      </c>
      <c r="L108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31957.683641181062</v>
      </c>
      <c r="M1082" s="398" cm="1">
        <f t="array" ref="M1082">J1082*INDEX(Berekening_impact[Totaal arbeidsbesparing (€/jaar)],MATCH(B1082,IF(Berekening_impact[Doelgroep]=C1082,Berekening_impact[Digitale zorgtoepassing]),0))</f>
        <v>110235387.52648933</v>
      </c>
      <c r="N1082" s="397" cm="1">
        <f t="array" ref="N1082">J1082*INDEX(Berekening_impact[Totaal arbeidsbesparing (FTE/jaar)],MATCH(B1082,IF(Berekening_impact[Doelgroep]=C1082,Berekening_impact[Digitale zorgtoepassing]),0))</f>
        <v>2596.5772146167196</v>
      </c>
      <c r="O1082" s="398" cm="1">
        <f t="array" ref="O1082">J1082*INDEX(Berekening_impact[Overige kostenbesparing (totaal/jaar totaal potentieel)],MATCH(B1082,IF(Berekening_impact[Doelgroep]=C1082,Berekening_impact[Digitale zorgtoepassing]),0))</f>
        <v>15163738.272405317</v>
      </c>
      <c r="P1082" s="398" cm="1">
        <f t="array" ref="P1082">J1082*INDEX(Berekening_impact[Opbrengsten door QALY''s],MATCH(B1082,IF(Berekening_impact[Doelgroep]=C1082,Berekening_impact[Digitale zorgtoepassing]),0))</f>
        <v>0</v>
      </c>
      <c r="Q1082" s="398" cm="1">
        <f t="array" ref="Q1082">J1082*INDEX(Berekening_impact[Jaarlijkse kosten (totaal) - incl. schatting],MATCH(B1082,IF(Berekening_impact[Doelgroep]=C1082,Berekening_impact[Digitale zorgtoepassing]),0))</f>
        <v>60016529.878138036</v>
      </c>
      <c r="R1082" s="398" cm="1">
        <f t="array" ref="R1082">(uitkomst_doelgroep[[#This Row],[Implementatiegraad t = T + 1]]-uitkomst_doelgroep[[#This Row],[Implementatiegraad t = T]])*INDEX(Berekening_impact[Initiële investering (totaal) - incl. schatting],MATCH(B1082,IF(Berekening_impact[Doelgroep]=C1082,Berekening_impact[Digitale zorgtoepassing]),0))</f>
        <v>0</v>
      </c>
      <c r="S1082" s="398">
        <f>uitkomst_doelgroep[[#This Row],[Arbeidsbesparing (€)]]*uitkomst_doelgroep[[#This Row],[Percentage van patiëntaantallen in Wlz (overige is Zvw)]]</f>
        <v>0</v>
      </c>
      <c r="T1082" s="398">
        <f>uitkomst_doelgroep[[#This Row],[Overige besparingen (€)]]*uitkomst_doelgroep[[#This Row],[Percentage van patiëntaantallen in Wlz (overige is Zvw)]]</f>
        <v>0</v>
      </c>
      <c r="U1082" s="398">
        <f>uitkomst_doelgroep[[#This Row],[Kosten (€)]]*uitkomst_doelgroep[[#This Row],[Percentage van patiëntaantallen in Wlz (overige is Zvw)]]</f>
        <v>0</v>
      </c>
      <c r="V1082" s="398">
        <f>uitkomst_doelgroep[[#This Row],[Investering (cash flow) (€)]]*uitkomst_doelgroep[[#This Row],[Percentage van patiëntaantallen in Wlz (overige is Zvw)]]</f>
        <v>0</v>
      </c>
    </row>
    <row r="1083" spans="1:22" x14ac:dyDescent="0.5">
      <c r="A1083" s="33" t="str">
        <f>INDEX(Technologieën[Veld],MATCH(B1083,Technologieën[Digitale zorgtoepassing],0))</f>
        <v>Digitale hulpmiddelen - Verpleging</v>
      </c>
      <c r="B1083" s="33" t="s">
        <v>26</v>
      </c>
      <c r="C1083" s="33" t="s">
        <v>24</v>
      </c>
      <c r="D1083" s="427" cm="1">
        <f t="array" ref="D1083">INDEX(Berekening_patiëntaantal[Percentage van patiëntaantallen in Wlz (overige is Zvw)],MATCH(B1083,IF(Berekening_patiëntaantal[Doelgroep (zoeksleutel)]=C1083,Berekening_patiëntaantal[Digitale zorgtoepassing]),0))</f>
        <v>0.45</v>
      </c>
      <c r="E1083" s="33" t="str" cm="1">
        <f t="array" ref="E1083">INDEX(Berekening_patiëntaantal[Direct toepasbaar/extrapolatie/incidentie voor QALY],MATCH(B1083,IF(Berekening_patiëntaantal[Doelgroep (zoeksleutel)]=C1083,Berekening_patiëntaantal[Digitale zorgtoepassing]),0))</f>
        <v>Extrapolatie</v>
      </c>
      <c r="F1083" s="33" t="s">
        <v>813</v>
      </c>
      <c r="G1083" s="33" t="str">
        <f>CONCATENATE(uitkomst_doelgroep[[#This Row],[Digitale zorgtoepassing]],"_",uitkomst_doelgroep[[#This Row],[Doelgroep]],"_",uitkomst_doelgroep[[#This Row],[Uitgangssituatie/effect beleid]])</f>
        <v>Medicijndispenser_Cognitieve beperking_Uitgangssituatie</v>
      </c>
      <c r="H1083" s="33">
        <v>2023</v>
      </c>
      <c r="I1083" s="32">
        <v>1</v>
      </c>
      <c r="J1083" s="406" cm="1">
        <f t="array" ref="J1083">INDEX(implementatie[[2023]:[2034]],MATCH(G1083, implementatie[Zoeksleutel],0),I1083)</f>
        <v>0</v>
      </c>
      <c r="K1083" s="406" cm="1">
        <f t="array" ref="K1083">INDEX(implementatie[[2023]:[2034]],MATCH(G1083,implementatie[Zoeksleutel],0),I1083 + 1)</f>
        <v>0</v>
      </c>
      <c r="L108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083" s="398" cm="1">
        <f t="array" ref="M1083">J1083*INDEX(Berekening_impact[Totaal arbeidsbesparing (€/jaar)],MATCH(B1083,IF(Berekening_impact[Doelgroep]=C1083,Berekening_impact[Digitale zorgtoepassing]),0))</f>
        <v>0</v>
      </c>
      <c r="N1083" s="397" cm="1">
        <f t="array" ref="N1083">J1083*INDEX(Berekening_impact[Totaal arbeidsbesparing (FTE/jaar)],MATCH(B1083,IF(Berekening_impact[Doelgroep]=C1083,Berekening_impact[Digitale zorgtoepassing]),0))</f>
        <v>0</v>
      </c>
      <c r="O1083" s="398" cm="1">
        <f t="array" ref="O1083">J1083*INDEX(Berekening_impact[Overige kostenbesparing (totaal/jaar totaal potentieel)],MATCH(B1083,IF(Berekening_impact[Doelgroep]=C1083,Berekening_impact[Digitale zorgtoepassing]),0))</f>
        <v>0</v>
      </c>
      <c r="P1083" s="398" cm="1">
        <f t="array" ref="P1083">J1083*INDEX(Berekening_impact[Opbrengsten door QALY''s],MATCH(B1083,IF(Berekening_impact[Doelgroep]=C1083,Berekening_impact[Digitale zorgtoepassing]),0))</f>
        <v>0</v>
      </c>
      <c r="Q1083" s="398" cm="1">
        <f t="array" ref="Q1083">J1083*INDEX(Berekening_impact[Jaarlijkse kosten (totaal) - incl. schatting],MATCH(B1083,IF(Berekening_impact[Doelgroep]=C1083,Berekening_impact[Digitale zorgtoepassing]),0))</f>
        <v>0</v>
      </c>
      <c r="R1083" s="398" cm="1">
        <f t="array" ref="R1083">(uitkomst_doelgroep[[#This Row],[Implementatiegraad t = T + 1]]-uitkomst_doelgroep[[#This Row],[Implementatiegraad t = T]])*INDEX(Berekening_impact[Initiële investering (totaal) - incl. schatting],MATCH(B1083,IF(Berekening_impact[Doelgroep]=C1083,Berekening_impact[Digitale zorgtoepassing]),0))</f>
        <v>0</v>
      </c>
      <c r="S1083" s="398">
        <f>uitkomst_doelgroep[[#This Row],[Arbeidsbesparing (€)]]*uitkomst_doelgroep[[#This Row],[Percentage van patiëntaantallen in Wlz (overige is Zvw)]]</f>
        <v>0</v>
      </c>
      <c r="T1083" s="398">
        <f>uitkomst_doelgroep[[#This Row],[Overige besparingen (€)]]*uitkomst_doelgroep[[#This Row],[Percentage van patiëntaantallen in Wlz (overige is Zvw)]]</f>
        <v>0</v>
      </c>
      <c r="U1083" s="398">
        <f>uitkomst_doelgroep[[#This Row],[Kosten (€)]]*uitkomst_doelgroep[[#This Row],[Percentage van patiëntaantallen in Wlz (overige is Zvw)]]</f>
        <v>0</v>
      </c>
      <c r="V1083" s="398">
        <f>uitkomst_doelgroep[[#This Row],[Investering (cash flow) (€)]]*uitkomst_doelgroep[[#This Row],[Percentage van patiëntaantallen in Wlz (overige is Zvw)]]</f>
        <v>0</v>
      </c>
    </row>
    <row r="1084" spans="1:22" x14ac:dyDescent="0.5">
      <c r="A1084" s="33" t="str">
        <f>INDEX(Technologieën[Veld],MATCH(B1084,Technologieën[Digitale zorgtoepassing],0))</f>
        <v>Digitale hulpmiddelen - Verpleging</v>
      </c>
      <c r="B1084" s="33" t="s">
        <v>26</v>
      </c>
      <c r="C1084" s="33" t="s">
        <v>20</v>
      </c>
      <c r="D1084" s="427" cm="1">
        <f t="array" ref="D1084">INDEX(Berekening_patiëntaantal[Percentage van patiëntaantallen in Wlz (overige is Zvw)],MATCH(B1084,IF(Berekening_patiëntaantal[Doelgroep (zoeksleutel)]=C1084,Berekening_patiëntaantal[Digitale zorgtoepassing]),0))</f>
        <v>0.45</v>
      </c>
      <c r="E1084" s="33" t="str" cm="1">
        <f t="array" ref="E1084">INDEX(Berekening_patiëntaantal[Direct toepasbaar/extrapolatie/incidentie voor QALY],MATCH(B1084,IF(Berekening_patiëntaantal[Doelgroep (zoeksleutel)]=C1084,Berekening_patiëntaantal[Digitale zorgtoepassing]),0))</f>
        <v>Huidige toepassing</v>
      </c>
      <c r="F1084" s="33" t="s">
        <v>813</v>
      </c>
      <c r="G1084" s="33" t="str">
        <f>CONCATENATE(uitkomst_doelgroep[[#This Row],[Digitale zorgtoepassing]],"_",uitkomst_doelgroep[[#This Row],[Doelgroep]],"_",uitkomst_doelgroep[[#This Row],[Uitgangssituatie/effect beleid]])</f>
        <v>Medicijndispenser_Dementie_Uitgangssituatie</v>
      </c>
      <c r="H1084" s="33">
        <v>2023</v>
      </c>
      <c r="I1084" s="32">
        <v>1</v>
      </c>
      <c r="J1084" s="406" cm="1">
        <f t="array" ref="J1084">INDEX(implementatie[[2023]:[2034]],MATCH(G1084, implementatie[Zoeksleutel],0),I1084)</f>
        <v>0.4</v>
      </c>
      <c r="K1084" s="406" cm="1">
        <f t="array" ref="K1084">INDEX(implementatie[[2023]:[2034]],MATCH(G1084,implementatie[Zoeksleutel],0),I1084 + 1)</f>
        <v>0.50800000000000001</v>
      </c>
      <c r="L108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16874.52</v>
      </c>
      <c r="M1084" s="398" cm="1">
        <f t="array" ref="M1084">J1084*INDEX(Berekening_impact[Totaal arbeidsbesparing (€/jaar)],MATCH(B1084,IF(Berekening_impact[Doelgroep]=C1084,Berekening_impact[Digitale zorgtoepassing]),0))</f>
        <v>74479773.961160451</v>
      </c>
      <c r="N1084" s="397" cm="1">
        <f t="array" ref="N1084">J1084*INDEX(Berekening_impact[Totaal arbeidsbesparing (FTE/jaar)],MATCH(B1084,IF(Berekening_impact[Doelgroep]=C1084,Berekening_impact[Digitale zorgtoepassing]),0))</f>
        <v>1413.1110237328767</v>
      </c>
      <c r="O1084" s="398" cm="1">
        <f t="array" ref="O1084">J1084*INDEX(Berekening_impact[Overige kostenbesparing (totaal/jaar totaal potentieel)],MATCH(B1084,IF(Berekening_impact[Doelgroep]=C1084,Berekening_impact[Digitale zorgtoepassing]),0))</f>
        <v>36684067.771914847</v>
      </c>
      <c r="P1084" s="398" cm="1">
        <f t="array" ref="P1084">J1084*INDEX(Berekening_impact[Opbrengsten door QALY''s],MATCH(B1084,IF(Berekening_impact[Doelgroep]=C1084,Berekening_impact[Digitale zorgtoepassing]),0))</f>
        <v>0</v>
      </c>
      <c r="Q1084" s="398" cm="1">
        <f t="array" ref="Q1084">J1084*INDEX(Berekening_impact[Jaarlijkse kosten (totaal) - incl. schatting],MATCH(B1084,IF(Berekening_impact[Doelgroep]=C1084,Berekening_impact[Digitale zorgtoepassing]),0))</f>
        <v>17878272.220892441</v>
      </c>
      <c r="R1084" s="398" cm="1">
        <f t="array" ref="R1084">(uitkomst_doelgroep[[#This Row],[Implementatiegraad t = T + 1]]-uitkomst_doelgroep[[#This Row],[Implementatiegraad t = T]])*INDEX(Berekening_impact[Initiële investering (totaal) - incl. schatting],MATCH(B1084,IF(Berekening_impact[Doelgroep]=C1084,Berekening_impact[Digitale zorgtoepassing]),0))</f>
        <v>400152.69289252174</v>
      </c>
      <c r="S1084" s="398">
        <f>uitkomst_doelgroep[[#This Row],[Arbeidsbesparing (€)]]*uitkomst_doelgroep[[#This Row],[Percentage van patiëntaantallen in Wlz (overige is Zvw)]]</f>
        <v>33515898.282522205</v>
      </c>
      <c r="T1084" s="398">
        <f>uitkomst_doelgroep[[#This Row],[Overige besparingen (€)]]*uitkomst_doelgroep[[#This Row],[Percentage van patiëntaantallen in Wlz (overige is Zvw)]]</f>
        <v>16507830.497361682</v>
      </c>
      <c r="U1084" s="398">
        <f>uitkomst_doelgroep[[#This Row],[Kosten (€)]]*uitkomst_doelgroep[[#This Row],[Percentage van patiëntaantallen in Wlz (overige is Zvw)]]</f>
        <v>8045222.4994015982</v>
      </c>
      <c r="V1084" s="398">
        <f>uitkomst_doelgroep[[#This Row],[Investering (cash flow) (€)]]*uitkomst_doelgroep[[#This Row],[Percentage van patiëntaantallen in Wlz (overige is Zvw)]]</f>
        <v>180068.71180163478</v>
      </c>
    </row>
    <row r="1085" spans="1:22" x14ac:dyDescent="0.5">
      <c r="A1085" s="33" t="str">
        <f>INDEX(Technologieën[Veld],MATCH(B1085,Technologieën[Digitale zorgtoepassing],0))</f>
        <v>Digitale hulpmiddelen - Verpleging</v>
      </c>
      <c r="B1085" s="33" t="s">
        <v>26</v>
      </c>
      <c r="C1085" s="33" t="s">
        <v>27</v>
      </c>
      <c r="D1085" s="427" cm="1">
        <f t="array" ref="D1085">INDEX(Berekening_patiëntaantal[Percentage van patiëntaantallen in Wlz (overige is Zvw)],MATCH(B1085,IF(Berekening_patiëntaantal[Doelgroep (zoeksleutel)]=C1085,Berekening_patiëntaantal[Digitale zorgtoepassing]),0))</f>
        <v>1</v>
      </c>
      <c r="E1085" s="33" t="str" cm="1">
        <f t="array" ref="E1085">INDEX(Berekening_patiëntaantal[Direct toepasbaar/extrapolatie/incidentie voor QALY],MATCH(B1085,IF(Berekening_patiëntaantal[Doelgroep (zoeksleutel)]=C1085,Berekening_patiëntaantal[Digitale zorgtoepassing]),0))</f>
        <v>Huidige toepassing</v>
      </c>
      <c r="F1085" s="33" t="s">
        <v>813</v>
      </c>
      <c r="G1085" s="33" t="str">
        <f>CONCATENATE(uitkomst_doelgroep[[#This Row],[Digitale zorgtoepassing]],"_",uitkomst_doelgroep[[#This Row],[Doelgroep]],"_",uitkomst_doelgroep[[#This Row],[Uitgangssituatie/effect beleid]])</f>
        <v>Medicijndispenser_Parkinson_Uitgangssituatie</v>
      </c>
      <c r="H1085" s="33">
        <v>2023</v>
      </c>
      <c r="I1085" s="32">
        <v>1</v>
      </c>
      <c r="J1085" s="406" cm="1">
        <f t="array" ref="J1085">INDEX(implementatie[[2023]:[2034]],MATCH(G1085, implementatie[Zoeksleutel],0),I1085)</f>
        <v>0.4</v>
      </c>
      <c r="K1085" s="406" cm="1">
        <f t="array" ref="K1085">INDEX(implementatie[[2023]:[2034]],MATCH(G1085,implementatie[Zoeksleutel],0),I1085 + 1)</f>
        <v>0.50800000000000001</v>
      </c>
      <c r="L108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3935.76</v>
      </c>
      <c r="M1085" s="398" cm="1">
        <f t="array" ref="M1085">J1085*INDEX(Berekening_impact[Totaal arbeidsbesparing (€/jaar)],MATCH(B1085,IF(Berekening_impact[Doelgroep]=C1085,Berekening_impact[Digitale zorgtoepassing]),0))</f>
        <v>17371428.35265103</v>
      </c>
      <c r="N1085" s="397" cm="1">
        <f t="array" ref="N1085">J1085*INDEX(Berekening_impact[Totaal arbeidsbesparing (FTE/jaar)],MATCH(B1085,IF(Berekening_impact[Doelgroep]=C1085,Berekening_impact[Digitale zorgtoepassing]),0))</f>
        <v>329.58957308219181</v>
      </c>
      <c r="O1085" s="398" cm="1">
        <f t="array" ref="O1085">J1085*INDEX(Berekening_impact[Overige kostenbesparing (totaal/jaar totaal potentieel)],MATCH(B1085,IF(Berekening_impact[Doelgroep]=C1085,Berekening_impact[Digitale zorgtoepassing]),0))</f>
        <v>8556076.6513057314</v>
      </c>
      <c r="P1085" s="398" cm="1">
        <f t="array" ref="P1085">J1085*INDEX(Berekening_impact[Opbrengsten door QALY''s],MATCH(B1085,IF(Berekening_impact[Doelgroep]=C1085,Berekening_impact[Digitale zorgtoepassing]),0))</f>
        <v>0</v>
      </c>
      <c r="Q1085" s="398" cm="1">
        <f t="array" ref="Q1085">J1085*INDEX(Berekening_impact[Jaarlijkse kosten (totaal) - incl. schatting],MATCH(B1085,IF(Berekening_impact[Doelgroep]=C1085,Berekening_impact[Digitale zorgtoepassing]),0))</f>
        <v>4173923.6586666675</v>
      </c>
      <c r="R1085" s="398" cm="1">
        <f t="array" ref="R1085">(uitkomst_doelgroep[[#This Row],[Implementatiegraad t = T + 1]]-uitkomst_doelgroep[[#This Row],[Implementatiegraad t = T]])*INDEX(Berekening_impact[Initiële investering (totaal) - incl. schatting],MATCH(B1085,IF(Berekening_impact[Doelgroep]=C1085,Berekening_impact[Digitale zorgtoepassing]),0))</f>
        <v>172239.25276799998</v>
      </c>
      <c r="S1085" s="398">
        <f>uitkomst_doelgroep[[#This Row],[Arbeidsbesparing (€)]]*uitkomst_doelgroep[[#This Row],[Percentage van patiëntaantallen in Wlz (overige is Zvw)]]</f>
        <v>17371428.35265103</v>
      </c>
      <c r="T1085" s="398">
        <f>uitkomst_doelgroep[[#This Row],[Overige besparingen (€)]]*uitkomst_doelgroep[[#This Row],[Percentage van patiëntaantallen in Wlz (overige is Zvw)]]</f>
        <v>8556076.6513057314</v>
      </c>
      <c r="U1085" s="398">
        <f>uitkomst_doelgroep[[#This Row],[Kosten (€)]]*uitkomst_doelgroep[[#This Row],[Percentage van patiëntaantallen in Wlz (overige is Zvw)]]</f>
        <v>4173923.6586666675</v>
      </c>
      <c r="V1085" s="398">
        <f>uitkomst_doelgroep[[#This Row],[Investering (cash flow) (€)]]*uitkomst_doelgroep[[#This Row],[Percentage van patiëntaantallen in Wlz (overige is Zvw)]]</f>
        <v>172239.25276799998</v>
      </c>
    </row>
    <row r="1086" spans="1:22" x14ac:dyDescent="0.5">
      <c r="A1086" s="33" t="str">
        <f>INDEX(Technologieën[Veld],MATCH(B1086,Technologieën[Digitale zorgtoepassing],0))</f>
        <v>Digitale hulpmiddelen - Verpleging</v>
      </c>
      <c r="B1086" s="33" t="s">
        <v>26</v>
      </c>
      <c r="C1086" s="33" t="s">
        <v>29</v>
      </c>
      <c r="D1086" s="427" cm="1">
        <f t="array" ref="D1086">INDEX(Berekening_patiëntaantal[Percentage van patiëntaantallen in Wlz (overige is Zvw)],MATCH(B1086,IF(Berekening_patiëntaantal[Doelgroep (zoeksleutel)]=C1086,Berekening_patiëntaantal[Digitale zorgtoepassing]),0))</f>
        <v>0.70000000000000007</v>
      </c>
      <c r="E1086" s="33" t="str" cm="1">
        <f t="array" ref="E1086">INDEX(Berekening_patiëntaantal[Direct toepasbaar/extrapolatie/incidentie voor QALY],MATCH(B1086,IF(Berekening_patiëntaantal[Doelgroep (zoeksleutel)]=C1086,Berekening_patiëntaantal[Digitale zorgtoepassing]),0))</f>
        <v>Huidige toepassing</v>
      </c>
      <c r="F1086" s="33" t="s">
        <v>813</v>
      </c>
      <c r="G1086" s="33" t="str">
        <f>CONCATENATE(uitkomst_doelgroep[[#This Row],[Digitale zorgtoepassing]],"_",uitkomst_doelgroep[[#This Row],[Doelgroep]],"_",uitkomst_doelgroep[[#This Row],[Uitgangssituatie/effect beleid]])</f>
        <v>Medicijndispenser_Reumatische aandoening _Uitgangssituatie</v>
      </c>
      <c r="H1086" s="33">
        <v>2023</v>
      </c>
      <c r="I1086" s="32">
        <v>1</v>
      </c>
      <c r="J1086" s="406" cm="1">
        <f t="array" ref="J1086">INDEX(implementatie[[2023]:[2034]],MATCH(G1086, implementatie[Zoeksleutel],0),I1086)</f>
        <v>0.4</v>
      </c>
      <c r="K1086" s="406" cm="1">
        <f t="array" ref="K1086">INDEX(implementatie[[2023]:[2034]],MATCH(G1086,implementatie[Zoeksleutel],0),I1086 + 1)</f>
        <v>0.50800000000000001</v>
      </c>
      <c r="L108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31075.200000000001</v>
      </c>
      <c r="M1086" s="398" cm="1">
        <f t="array" ref="M1086">J1086*INDEX(Berekening_impact[Totaal arbeidsbesparing (€/jaar)],MATCH(B1086,IF(Berekening_impact[Doelgroep]=C1086,Berekening_impact[Digitale zorgtoepassing]),0))</f>
        <v>137157908.59816179</v>
      </c>
      <c r="N1086" s="397" cm="1">
        <f t="array" ref="N1086">J1086*INDEX(Berekening_impact[Totaal arbeidsbesparing (FTE/jaar)],MATCH(B1086,IF(Berekening_impact[Doelgroep]=C1086,Berekening_impact[Digitale zorgtoepassing]),0))</f>
        <v>2602.3085506849316</v>
      </c>
      <c r="O1086" s="398" cm="1">
        <f t="array" ref="O1086">J1086*INDEX(Berekening_impact[Overige kostenbesparing (totaal/jaar totaal potentieel)],MATCH(B1086,IF(Berekening_impact[Doelgroep]=C1086,Berekening_impact[Digitale zorgtoepassing]),0))</f>
        <v>67555387.817005068</v>
      </c>
      <c r="P1086" s="398" cm="1">
        <f t="array" ref="P1086">J1086*INDEX(Berekening_impact[Opbrengsten door QALY''s],MATCH(B1086,IF(Berekening_impact[Doelgroep]=C1086,Berekening_impact[Digitale zorgtoepassing]),0))</f>
        <v>0</v>
      </c>
      <c r="Q1086" s="398" cm="1">
        <f t="array" ref="Q1086">J1086*INDEX(Berekening_impact[Jaarlijkse kosten (totaal) - incl. schatting],MATCH(B1086,IF(Berekening_impact[Doelgroep]=C1086,Berekening_impact[Digitale zorgtoepassing]),0))</f>
        <v>32921439.141587302</v>
      </c>
      <c r="R1086" s="398" cm="1">
        <f t="array" ref="R1086">(uitkomst_doelgroep[[#This Row],[Implementatiegraad t = T + 1]]-uitkomst_doelgroep[[#This Row],[Implementatiegraad t = T]])*INDEX(Berekening_impact[Initiële investering (totaal) - incl. schatting],MATCH(B1086,IF(Berekening_impact[Doelgroep]=C1086,Berekening_impact[Digitale zorgtoepassing]),0))</f>
        <v>572066.70335999993</v>
      </c>
      <c r="S1086" s="398">
        <f>uitkomst_doelgroep[[#This Row],[Arbeidsbesparing (€)]]*uitkomst_doelgroep[[#This Row],[Percentage van patiëntaantallen in Wlz (overige is Zvw)]]</f>
        <v>96010536.018713266</v>
      </c>
      <c r="T1086" s="398">
        <f>uitkomst_doelgroep[[#This Row],[Overige besparingen (€)]]*uitkomst_doelgroep[[#This Row],[Percentage van patiëntaantallen in Wlz (overige is Zvw)]]</f>
        <v>47288771.471903555</v>
      </c>
      <c r="U1086" s="398">
        <f>uitkomst_doelgroep[[#This Row],[Kosten (€)]]*uitkomst_doelgroep[[#This Row],[Percentage van patiëntaantallen in Wlz (overige is Zvw)]]</f>
        <v>23045007.399111114</v>
      </c>
      <c r="V1086" s="398">
        <f>uitkomst_doelgroep[[#This Row],[Investering (cash flow) (€)]]*uitkomst_doelgroep[[#This Row],[Percentage van patiëntaantallen in Wlz (overige is Zvw)]]</f>
        <v>400446.69235199998</v>
      </c>
    </row>
    <row r="1087" spans="1:22" x14ac:dyDescent="0.5">
      <c r="A1087" s="33" t="str">
        <f>INDEX(Technologieën[Veld],MATCH(B1087,Technologieën[Digitale zorgtoepassing],0))</f>
        <v>Digitale hulpmiddelen - Verpleging</v>
      </c>
      <c r="B1087" s="33" t="s">
        <v>26</v>
      </c>
      <c r="C1087" s="33" t="s">
        <v>24</v>
      </c>
      <c r="D1087" s="427" cm="1">
        <f t="array" ref="D1087">INDEX(Berekening_patiëntaantal[Percentage van patiëntaantallen in Wlz (overige is Zvw)],MATCH(B1087,IF(Berekening_patiëntaantal[Doelgroep (zoeksleutel)]=C1087,Berekening_patiëntaantal[Digitale zorgtoepassing]),0))</f>
        <v>0.45</v>
      </c>
      <c r="E1087" s="33" t="str" cm="1">
        <f t="array" ref="E1087">INDEX(Berekening_patiëntaantal[Direct toepasbaar/extrapolatie/incidentie voor QALY],MATCH(B1087,IF(Berekening_patiëntaantal[Doelgroep (zoeksleutel)]=C1087,Berekening_patiëntaantal[Digitale zorgtoepassing]),0))</f>
        <v>Extrapolatie</v>
      </c>
      <c r="F1087" s="33" t="s">
        <v>813</v>
      </c>
      <c r="G1087" s="33" t="str">
        <f>CONCATENATE(uitkomst_doelgroep[[#This Row],[Digitale zorgtoepassing]],"_",uitkomst_doelgroep[[#This Row],[Doelgroep]],"_",uitkomst_doelgroep[[#This Row],[Uitgangssituatie/effect beleid]])</f>
        <v>Medicijndispenser_Cognitieve beperking_Uitgangssituatie</v>
      </c>
      <c r="H1087" s="33">
        <v>2024</v>
      </c>
      <c r="I1087" s="32">
        <v>2</v>
      </c>
      <c r="J1087" s="406" cm="1">
        <f t="array" ref="J1087">INDEX(implementatie[[2023]:[2034]],MATCH(G1087, implementatie[Zoeksleutel],0),I1087)</f>
        <v>0</v>
      </c>
      <c r="K1087" s="406" cm="1">
        <f t="array" ref="K1087">INDEX(implementatie[[2023]:[2034]],MATCH(G1087,implementatie[Zoeksleutel],0),I1087 + 1)</f>
        <v>0</v>
      </c>
      <c r="L108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087" s="398" cm="1">
        <f t="array" ref="M1087">J1087*INDEX(Berekening_impact[Totaal arbeidsbesparing (€/jaar)],MATCH(B1087,IF(Berekening_impact[Doelgroep]=C1087,Berekening_impact[Digitale zorgtoepassing]),0))</f>
        <v>0</v>
      </c>
      <c r="N1087" s="397" cm="1">
        <f t="array" ref="N1087">J1087*INDEX(Berekening_impact[Totaal arbeidsbesparing (FTE/jaar)],MATCH(B1087,IF(Berekening_impact[Doelgroep]=C1087,Berekening_impact[Digitale zorgtoepassing]),0))</f>
        <v>0</v>
      </c>
      <c r="O1087" s="398" cm="1">
        <f t="array" ref="O1087">J1087*INDEX(Berekening_impact[Overige kostenbesparing (totaal/jaar totaal potentieel)],MATCH(B1087,IF(Berekening_impact[Doelgroep]=C1087,Berekening_impact[Digitale zorgtoepassing]),0))</f>
        <v>0</v>
      </c>
      <c r="P1087" s="398" cm="1">
        <f t="array" ref="P1087">J1087*INDEX(Berekening_impact[Opbrengsten door QALY''s],MATCH(B1087,IF(Berekening_impact[Doelgroep]=C1087,Berekening_impact[Digitale zorgtoepassing]),0))</f>
        <v>0</v>
      </c>
      <c r="Q1087" s="398" cm="1">
        <f t="array" ref="Q1087">J1087*INDEX(Berekening_impact[Jaarlijkse kosten (totaal) - incl. schatting],MATCH(B1087,IF(Berekening_impact[Doelgroep]=C1087,Berekening_impact[Digitale zorgtoepassing]),0))</f>
        <v>0</v>
      </c>
      <c r="R1087" s="398" cm="1">
        <f t="array" ref="R1087">(uitkomst_doelgroep[[#This Row],[Implementatiegraad t = T + 1]]-uitkomst_doelgroep[[#This Row],[Implementatiegraad t = T]])*INDEX(Berekening_impact[Initiële investering (totaal) - incl. schatting],MATCH(B1087,IF(Berekening_impact[Doelgroep]=C1087,Berekening_impact[Digitale zorgtoepassing]),0))</f>
        <v>0</v>
      </c>
      <c r="S1087" s="398">
        <f>uitkomst_doelgroep[[#This Row],[Arbeidsbesparing (€)]]*uitkomst_doelgroep[[#This Row],[Percentage van patiëntaantallen in Wlz (overige is Zvw)]]</f>
        <v>0</v>
      </c>
      <c r="T1087" s="398">
        <f>uitkomst_doelgroep[[#This Row],[Overige besparingen (€)]]*uitkomst_doelgroep[[#This Row],[Percentage van patiëntaantallen in Wlz (overige is Zvw)]]</f>
        <v>0</v>
      </c>
      <c r="U1087" s="398">
        <f>uitkomst_doelgroep[[#This Row],[Kosten (€)]]*uitkomst_doelgroep[[#This Row],[Percentage van patiëntaantallen in Wlz (overige is Zvw)]]</f>
        <v>0</v>
      </c>
      <c r="V1087" s="398">
        <f>uitkomst_doelgroep[[#This Row],[Investering (cash flow) (€)]]*uitkomst_doelgroep[[#This Row],[Percentage van patiëntaantallen in Wlz (overige is Zvw)]]</f>
        <v>0</v>
      </c>
    </row>
    <row r="1088" spans="1:22" x14ac:dyDescent="0.5">
      <c r="A1088" s="33" t="str">
        <f>INDEX(Technologieën[Veld],MATCH(B1088,Technologieën[Digitale zorgtoepassing],0))</f>
        <v>Digitale hulpmiddelen - Verpleging</v>
      </c>
      <c r="B1088" s="33" t="s">
        <v>26</v>
      </c>
      <c r="C1088" s="33" t="s">
        <v>20</v>
      </c>
      <c r="D1088" s="427" cm="1">
        <f t="array" ref="D1088">INDEX(Berekening_patiëntaantal[Percentage van patiëntaantallen in Wlz (overige is Zvw)],MATCH(B1088,IF(Berekening_patiëntaantal[Doelgroep (zoeksleutel)]=C1088,Berekening_patiëntaantal[Digitale zorgtoepassing]),0))</f>
        <v>0.45</v>
      </c>
      <c r="E1088" s="33" t="str" cm="1">
        <f t="array" ref="E1088">INDEX(Berekening_patiëntaantal[Direct toepasbaar/extrapolatie/incidentie voor QALY],MATCH(B1088,IF(Berekening_patiëntaantal[Doelgroep (zoeksleutel)]=C1088,Berekening_patiëntaantal[Digitale zorgtoepassing]),0))</f>
        <v>Huidige toepassing</v>
      </c>
      <c r="F1088" s="33" t="s">
        <v>813</v>
      </c>
      <c r="G1088" s="33" t="str">
        <f>CONCATENATE(uitkomst_doelgroep[[#This Row],[Digitale zorgtoepassing]],"_",uitkomst_doelgroep[[#This Row],[Doelgroep]],"_",uitkomst_doelgroep[[#This Row],[Uitgangssituatie/effect beleid]])</f>
        <v>Medicijndispenser_Dementie_Uitgangssituatie</v>
      </c>
      <c r="H1088" s="33">
        <v>2024</v>
      </c>
      <c r="I1088" s="32">
        <v>2</v>
      </c>
      <c r="J1088" s="406" cm="1">
        <f t="array" ref="J1088">INDEX(implementatie[[2023]:[2034]],MATCH(G1088, implementatie[Zoeksleutel],0),I1088)</f>
        <v>0.50800000000000001</v>
      </c>
      <c r="K1088" s="406" cm="1">
        <f t="array" ref="K1088">INDEX(implementatie[[2023]:[2034]],MATCH(G1088,implementatie[Zoeksleutel],0),I1088 + 1)</f>
        <v>0.61781439999999999</v>
      </c>
      <c r="L108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21430.6404</v>
      </c>
      <c r="M1088" s="398" cm="1">
        <f t="array" ref="M1088">J1088*INDEX(Berekening_impact[Totaal arbeidsbesparing (€/jaar)],MATCH(B1088,IF(Berekening_impact[Doelgroep]=C1088,Berekening_impact[Digitale zorgtoepassing]),0))</f>
        <v>94589312.930673763</v>
      </c>
      <c r="N1088" s="397" cm="1">
        <f t="array" ref="N1088">J1088*INDEX(Berekening_impact[Totaal arbeidsbesparing (FTE/jaar)],MATCH(B1088,IF(Berekening_impact[Doelgroep]=C1088,Berekening_impact[Digitale zorgtoepassing]),0))</f>
        <v>1794.6510001407535</v>
      </c>
      <c r="O1088" s="398" cm="1">
        <f t="array" ref="O1088">J1088*INDEX(Berekening_impact[Overige kostenbesparing (totaal/jaar totaal potentieel)],MATCH(B1088,IF(Berekening_impact[Doelgroep]=C1088,Berekening_impact[Digitale zorgtoepassing]),0))</f>
        <v>46588766.070331857</v>
      </c>
      <c r="P1088" s="398" cm="1">
        <f t="array" ref="P1088">J1088*INDEX(Berekening_impact[Opbrengsten door QALY''s],MATCH(B1088,IF(Berekening_impact[Doelgroep]=C1088,Berekening_impact[Digitale zorgtoepassing]),0))</f>
        <v>0</v>
      </c>
      <c r="Q1088" s="398" cm="1">
        <f t="array" ref="Q1088">J1088*INDEX(Berekening_impact[Jaarlijkse kosten (totaal) - incl. schatting],MATCH(B1088,IF(Berekening_impact[Doelgroep]=C1088,Berekening_impact[Digitale zorgtoepassing]),0))</f>
        <v>22705405.720533401</v>
      </c>
      <c r="R1088" s="398" cm="1">
        <f t="array" ref="R1088">(uitkomst_doelgroep[[#This Row],[Implementatiegraad t = T + 1]]-uitkomst_doelgroep[[#This Row],[Implementatiegraad t = T]])*INDEX(Berekening_impact[Initiële investering (totaal) - incl. schatting],MATCH(B1088,IF(Berekening_impact[Doelgroep]=C1088,Berekening_impact[Digitale zorgtoepassing]),0))</f>
        <v>406875.25813311606</v>
      </c>
      <c r="S1088" s="398">
        <f>uitkomst_doelgroep[[#This Row],[Arbeidsbesparing (€)]]*uitkomst_doelgroep[[#This Row],[Percentage van patiëntaantallen in Wlz (overige is Zvw)]]</f>
        <v>42565190.818803191</v>
      </c>
      <c r="T1088" s="398">
        <f>uitkomst_doelgroep[[#This Row],[Overige besparingen (€)]]*uitkomst_doelgroep[[#This Row],[Percentage van patiëntaantallen in Wlz (overige is Zvw)]]</f>
        <v>20964944.731649335</v>
      </c>
      <c r="U1088" s="398">
        <f>uitkomst_doelgroep[[#This Row],[Kosten (€)]]*uitkomst_doelgroep[[#This Row],[Percentage van patiëntaantallen in Wlz (overige is Zvw)]]</f>
        <v>10217432.574240031</v>
      </c>
      <c r="V1088" s="398">
        <f>uitkomst_doelgroep[[#This Row],[Investering (cash flow) (€)]]*uitkomst_doelgroep[[#This Row],[Percentage van patiëntaantallen in Wlz (overige is Zvw)]]</f>
        <v>183093.86615990225</v>
      </c>
    </row>
    <row r="1089" spans="1:22" x14ac:dyDescent="0.5">
      <c r="A1089" s="33" t="str">
        <f>INDEX(Technologieën[Veld],MATCH(B1089,Technologieën[Digitale zorgtoepassing],0))</f>
        <v>Digitale hulpmiddelen - Verpleging</v>
      </c>
      <c r="B1089" s="33" t="s">
        <v>26</v>
      </c>
      <c r="C1089" s="33" t="s">
        <v>27</v>
      </c>
      <c r="D1089" s="427" cm="1">
        <f t="array" ref="D1089">INDEX(Berekening_patiëntaantal[Percentage van patiëntaantallen in Wlz (overige is Zvw)],MATCH(B1089,IF(Berekening_patiëntaantal[Doelgroep (zoeksleutel)]=C1089,Berekening_patiëntaantal[Digitale zorgtoepassing]),0))</f>
        <v>1</v>
      </c>
      <c r="E1089" s="33" t="str" cm="1">
        <f t="array" ref="E1089">INDEX(Berekening_patiëntaantal[Direct toepasbaar/extrapolatie/incidentie voor QALY],MATCH(B1089,IF(Berekening_patiëntaantal[Doelgroep (zoeksleutel)]=C1089,Berekening_patiëntaantal[Digitale zorgtoepassing]),0))</f>
        <v>Huidige toepassing</v>
      </c>
      <c r="F1089" s="33" t="s">
        <v>813</v>
      </c>
      <c r="G1089" s="33" t="str">
        <f>CONCATENATE(uitkomst_doelgroep[[#This Row],[Digitale zorgtoepassing]],"_",uitkomst_doelgroep[[#This Row],[Doelgroep]],"_",uitkomst_doelgroep[[#This Row],[Uitgangssituatie/effect beleid]])</f>
        <v>Medicijndispenser_Parkinson_Uitgangssituatie</v>
      </c>
      <c r="H1089" s="33">
        <v>2024</v>
      </c>
      <c r="I1089" s="32">
        <v>2</v>
      </c>
      <c r="J1089" s="406" cm="1">
        <f t="array" ref="J1089">INDEX(implementatie[[2023]:[2034]],MATCH(G1089, implementatie[Zoeksleutel],0),I1089)</f>
        <v>0.50800000000000001</v>
      </c>
      <c r="K1089" s="406" cm="1">
        <f t="array" ref="K1089">INDEX(implementatie[[2023]:[2034]],MATCH(G1089,implementatie[Zoeksleutel],0),I1089 + 1)</f>
        <v>0.61781439999999999</v>
      </c>
      <c r="L108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4998.4151999999995</v>
      </c>
      <c r="M1089" s="398" cm="1">
        <f t="array" ref="M1089">J1089*INDEX(Berekening_impact[Totaal arbeidsbesparing (€/jaar)],MATCH(B1089,IF(Berekening_impact[Doelgroep]=C1089,Berekening_impact[Digitale zorgtoepassing]),0))</f>
        <v>22061714.007866807</v>
      </c>
      <c r="N1089" s="397" cm="1">
        <f t="array" ref="N1089">J1089*INDEX(Berekening_impact[Totaal arbeidsbesparing (FTE/jaar)],MATCH(B1089,IF(Berekening_impact[Doelgroep]=C1089,Berekening_impact[Digitale zorgtoepassing]),0))</f>
        <v>418.57875781438355</v>
      </c>
      <c r="O1089" s="398" cm="1">
        <f t="array" ref="O1089">J1089*INDEX(Berekening_impact[Overige kostenbesparing (totaal/jaar totaal potentieel)],MATCH(B1089,IF(Berekening_impact[Doelgroep]=C1089,Berekening_impact[Digitale zorgtoepassing]),0))</f>
        <v>10866217.347158277</v>
      </c>
      <c r="P1089" s="398" cm="1">
        <f t="array" ref="P1089">J1089*INDEX(Berekening_impact[Opbrengsten door QALY''s],MATCH(B1089,IF(Berekening_impact[Doelgroep]=C1089,Berekening_impact[Digitale zorgtoepassing]),0))</f>
        <v>0</v>
      </c>
      <c r="Q1089" s="398" cm="1">
        <f t="array" ref="Q1089">J1089*INDEX(Berekening_impact[Jaarlijkse kosten (totaal) - incl. schatting],MATCH(B1089,IF(Berekening_impact[Doelgroep]=C1089,Berekening_impact[Digitale zorgtoepassing]),0))</f>
        <v>5300883.0465066675</v>
      </c>
      <c r="R1089" s="398" cm="1">
        <f t="array" ref="R1089">(uitkomst_doelgroep[[#This Row],[Implementatiegraad t = T + 1]]-uitkomst_doelgroep[[#This Row],[Implementatiegraad t = T]])*INDEX(Berekening_impact[Initiële investering (totaal) - incl. schatting],MATCH(B1089,IF(Berekening_impact[Doelgroep]=C1089,Berekening_impact[Digitale zorgtoepassing]),0))</f>
        <v>175132.87221450236</v>
      </c>
      <c r="S1089" s="398">
        <f>uitkomst_doelgroep[[#This Row],[Arbeidsbesparing (€)]]*uitkomst_doelgroep[[#This Row],[Percentage van patiëntaantallen in Wlz (overige is Zvw)]]</f>
        <v>22061714.007866807</v>
      </c>
      <c r="T1089" s="398">
        <f>uitkomst_doelgroep[[#This Row],[Overige besparingen (€)]]*uitkomst_doelgroep[[#This Row],[Percentage van patiëntaantallen in Wlz (overige is Zvw)]]</f>
        <v>10866217.347158277</v>
      </c>
      <c r="U1089" s="398">
        <f>uitkomst_doelgroep[[#This Row],[Kosten (€)]]*uitkomst_doelgroep[[#This Row],[Percentage van patiëntaantallen in Wlz (overige is Zvw)]]</f>
        <v>5300883.0465066675</v>
      </c>
      <c r="V1089" s="398">
        <f>uitkomst_doelgroep[[#This Row],[Investering (cash flow) (€)]]*uitkomst_doelgroep[[#This Row],[Percentage van patiëntaantallen in Wlz (overige is Zvw)]]</f>
        <v>175132.87221450236</v>
      </c>
    </row>
    <row r="1090" spans="1:22" x14ac:dyDescent="0.5">
      <c r="A1090" s="33" t="str">
        <f>INDEX(Technologieën[Veld],MATCH(B1090,Technologieën[Digitale zorgtoepassing],0))</f>
        <v>Digitale hulpmiddelen - Verpleging</v>
      </c>
      <c r="B1090" s="33" t="s">
        <v>26</v>
      </c>
      <c r="C1090" s="33" t="s">
        <v>29</v>
      </c>
      <c r="D1090" s="427" cm="1">
        <f t="array" ref="D1090">INDEX(Berekening_patiëntaantal[Percentage van patiëntaantallen in Wlz (overige is Zvw)],MATCH(B1090,IF(Berekening_patiëntaantal[Doelgroep (zoeksleutel)]=C1090,Berekening_patiëntaantal[Digitale zorgtoepassing]),0))</f>
        <v>0.70000000000000007</v>
      </c>
      <c r="E1090" s="33" t="str" cm="1">
        <f t="array" ref="E1090">INDEX(Berekening_patiëntaantal[Direct toepasbaar/extrapolatie/incidentie voor QALY],MATCH(B1090,IF(Berekening_patiëntaantal[Doelgroep (zoeksleutel)]=C1090,Berekening_patiëntaantal[Digitale zorgtoepassing]),0))</f>
        <v>Huidige toepassing</v>
      </c>
      <c r="F1090" s="33" t="s">
        <v>813</v>
      </c>
      <c r="G1090" s="33" t="str">
        <f>CONCATENATE(uitkomst_doelgroep[[#This Row],[Digitale zorgtoepassing]],"_",uitkomst_doelgroep[[#This Row],[Doelgroep]],"_",uitkomst_doelgroep[[#This Row],[Uitgangssituatie/effect beleid]])</f>
        <v>Medicijndispenser_Reumatische aandoening _Uitgangssituatie</v>
      </c>
      <c r="H1090" s="33">
        <v>2024</v>
      </c>
      <c r="I1090" s="32">
        <v>2</v>
      </c>
      <c r="J1090" s="406" cm="1">
        <f t="array" ref="J1090">INDEX(implementatie[[2023]:[2034]],MATCH(G1090, implementatie[Zoeksleutel],0),I1090)</f>
        <v>0.50800000000000001</v>
      </c>
      <c r="K1090" s="406" cm="1">
        <f t="array" ref="K1090">INDEX(implementatie[[2023]:[2034]],MATCH(G1090,implementatie[Zoeksleutel],0),I1090 + 1)</f>
        <v>0.61781439999999999</v>
      </c>
      <c r="L109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39465.504000000001</v>
      </c>
      <c r="M1090" s="398" cm="1">
        <f t="array" ref="M1090">J1090*INDEX(Berekening_impact[Totaal arbeidsbesparing (€/jaar)],MATCH(B1090,IF(Berekening_impact[Doelgroep]=C1090,Berekening_impact[Digitale zorgtoepassing]),0))</f>
        <v>174190543.91966546</v>
      </c>
      <c r="N1090" s="397" cm="1">
        <f t="array" ref="N1090">J1090*INDEX(Berekening_impact[Totaal arbeidsbesparing (FTE/jaar)],MATCH(B1090,IF(Berekening_impact[Doelgroep]=C1090,Berekening_impact[Digitale zorgtoepassing]),0))</f>
        <v>3304.9318593698631</v>
      </c>
      <c r="O1090" s="398" cm="1">
        <f t="array" ref="O1090">J1090*INDEX(Berekening_impact[Overige kostenbesparing (totaal/jaar totaal potentieel)],MATCH(B1090,IF(Berekening_impact[Doelgroep]=C1090,Berekening_impact[Digitale zorgtoepassing]),0))</f>
        <v>85795342.527596429</v>
      </c>
      <c r="P1090" s="398" cm="1">
        <f t="array" ref="P1090">J1090*INDEX(Berekening_impact[Opbrengsten door QALY''s],MATCH(B1090,IF(Berekening_impact[Doelgroep]=C1090,Berekening_impact[Digitale zorgtoepassing]),0))</f>
        <v>0</v>
      </c>
      <c r="Q1090" s="398" cm="1">
        <f t="array" ref="Q1090">J1090*INDEX(Berekening_impact[Jaarlijkse kosten (totaal) - incl. schatting],MATCH(B1090,IF(Berekening_impact[Doelgroep]=C1090,Berekening_impact[Digitale zorgtoepassing]),0))</f>
        <v>41810227.709815867</v>
      </c>
      <c r="R1090" s="398" cm="1">
        <f t="array" ref="R1090">(uitkomst_doelgroep[[#This Row],[Implementatiegraad t = T + 1]]-uitkomst_doelgroep[[#This Row],[Implementatiegraad t = T]])*INDEX(Berekening_impact[Initiële investering (totaal) - incl. schatting],MATCH(B1090,IF(Berekening_impact[Doelgroep]=C1090,Berekening_impact[Digitale zorgtoepassing]),0))</f>
        <v>581677.4239764479</v>
      </c>
      <c r="S1090" s="398">
        <f>uitkomst_doelgroep[[#This Row],[Arbeidsbesparing (€)]]*uitkomst_doelgroep[[#This Row],[Percentage van patiëntaantallen in Wlz (overige is Zvw)]]</f>
        <v>121933380.74376583</v>
      </c>
      <c r="T1090" s="398">
        <f>uitkomst_doelgroep[[#This Row],[Overige besparingen (€)]]*uitkomst_doelgroep[[#This Row],[Percentage van patiëntaantallen in Wlz (overige is Zvw)]]</f>
        <v>60056739.769317508</v>
      </c>
      <c r="U1090" s="398">
        <f>uitkomst_doelgroep[[#This Row],[Kosten (€)]]*uitkomst_doelgroep[[#This Row],[Percentage van patiëntaantallen in Wlz (overige is Zvw)]]</f>
        <v>29267159.396871109</v>
      </c>
      <c r="V1090" s="398">
        <f>uitkomst_doelgroep[[#This Row],[Investering (cash flow) (€)]]*uitkomst_doelgroep[[#This Row],[Percentage van patiëntaantallen in Wlz (overige is Zvw)]]</f>
        <v>407174.19678351359</v>
      </c>
    </row>
    <row r="1091" spans="1:22" x14ac:dyDescent="0.5">
      <c r="A1091" s="33" t="str">
        <f>INDEX(Technologieën[Veld],MATCH(B1091,Technologieën[Digitale zorgtoepassing],0))</f>
        <v>Digitale hulpmiddelen - Verpleging</v>
      </c>
      <c r="B1091" s="33" t="s">
        <v>26</v>
      </c>
      <c r="C1091" s="33" t="s">
        <v>24</v>
      </c>
      <c r="D1091" s="427" cm="1">
        <f t="array" ref="D1091">INDEX(Berekening_patiëntaantal[Percentage van patiëntaantallen in Wlz (overige is Zvw)],MATCH(B1091,IF(Berekening_patiëntaantal[Doelgroep (zoeksleutel)]=C1091,Berekening_patiëntaantal[Digitale zorgtoepassing]),0))</f>
        <v>0.45</v>
      </c>
      <c r="E1091" s="33" t="str" cm="1">
        <f t="array" ref="E1091">INDEX(Berekening_patiëntaantal[Direct toepasbaar/extrapolatie/incidentie voor QALY],MATCH(B1091,IF(Berekening_patiëntaantal[Doelgroep (zoeksleutel)]=C1091,Berekening_patiëntaantal[Digitale zorgtoepassing]),0))</f>
        <v>Extrapolatie</v>
      </c>
      <c r="F1091" s="33" t="s">
        <v>813</v>
      </c>
      <c r="G1091" s="33" t="str">
        <f>CONCATENATE(uitkomst_doelgroep[[#This Row],[Digitale zorgtoepassing]],"_",uitkomst_doelgroep[[#This Row],[Doelgroep]],"_",uitkomst_doelgroep[[#This Row],[Uitgangssituatie/effect beleid]])</f>
        <v>Medicijndispenser_Cognitieve beperking_Uitgangssituatie</v>
      </c>
      <c r="H1091" s="33">
        <v>2025</v>
      </c>
      <c r="I1091" s="32">
        <v>3</v>
      </c>
      <c r="J1091" s="406" cm="1">
        <f t="array" ref="J1091">INDEX(implementatie[[2023]:[2034]],MATCH(G1091, implementatie[Zoeksleutel],0),I1091)</f>
        <v>0</v>
      </c>
      <c r="K1091" s="406" cm="1">
        <f t="array" ref="K1091">INDEX(implementatie[[2023]:[2034]],MATCH(G1091,implementatie[Zoeksleutel],0),I1091 + 1)</f>
        <v>0.02</v>
      </c>
      <c r="L109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091" s="398" cm="1">
        <f t="array" ref="M1091">J1091*INDEX(Berekening_impact[Totaal arbeidsbesparing (€/jaar)],MATCH(B1091,IF(Berekening_impact[Doelgroep]=C1091,Berekening_impact[Digitale zorgtoepassing]),0))</f>
        <v>0</v>
      </c>
      <c r="N1091" s="397" cm="1">
        <f t="array" ref="N1091">J1091*INDEX(Berekening_impact[Totaal arbeidsbesparing (FTE/jaar)],MATCH(B1091,IF(Berekening_impact[Doelgroep]=C1091,Berekening_impact[Digitale zorgtoepassing]),0))</f>
        <v>0</v>
      </c>
      <c r="O1091" s="398" cm="1">
        <f t="array" ref="O1091">J1091*INDEX(Berekening_impact[Overige kostenbesparing (totaal/jaar totaal potentieel)],MATCH(B1091,IF(Berekening_impact[Doelgroep]=C1091,Berekening_impact[Digitale zorgtoepassing]),0))</f>
        <v>0</v>
      </c>
      <c r="P1091" s="398" cm="1">
        <f t="array" ref="P1091">J1091*INDEX(Berekening_impact[Opbrengsten door QALY''s],MATCH(B1091,IF(Berekening_impact[Doelgroep]=C1091,Berekening_impact[Digitale zorgtoepassing]),0))</f>
        <v>0</v>
      </c>
      <c r="Q1091" s="398" cm="1">
        <f t="array" ref="Q1091">J1091*INDEX(Berekening_impact[Jaarlijkse kosten (totaal) - incl. schatting],MATCH(B1091,IF(Berekening_impact[Doelgroep]=C1091,Berekening_impact[Digitale zorgtoepassing]),0))</f>
        <v>0</v>
      </c>
      <c r="R1091" s="398" cm="1">
        <f t="array" ref="R1091">(uitkomst_doelgroep[[#This Row],[Implementatiegraad t = T + 1]]-uitkomst_doelgroep[[#This Row],[Implementatiegraad t = T]])*INDEX(Berekening_impact[Initiële investering (totaal) - incl. schatting],MATCH(B1091,IF(Berekening_impact[Doelgroep]=C1091,Berekening_impact[Digitale zorgtoepassing]),0))</f>
        <v>0</v>
      </c>
      <c r="S1091" s="398">
        <f>uitkomst_doelgroep[[#This Row],[Arbeidsbesparing (€)]]*uitkomst_doelgroep[[#This Row],[Percentage van patiëntaantallen in Wlz (overige is Zvw)]]</f>
        <v>0</v>
      </c>
      <c r="T1091" s="398">
        <f>uitkomst_doelgroep[[#This Row],[Overige besparingen (€)]]*uitkomst_doelgroep[[#This Row],[Percentage van patiëntaantallen in Wlz (overige is Zvw)]]</f>
        <v>0</v>
      </c>
      <c r="U1091" s="398">
        <f>uitkomst_doelgroep[[#This Row],[Kosten (€)]]*uitkomst_doelgroep[[#This Row],[Percentage van patiëntaantallen in Wlz (overige is Zvw)]]</f>
        <v>0</v>
      </c>
      <c r="V1091" s="398">
        <f>uitkomst_doelgroep[[#This Row],[Investering (cash flow) (€)]]*uitkomst_doelgroep[[#This Row],[Percentage van patiëntaantallen in Wlz (overige is Zvw)]]</f>
        <v>0</v>
      </c>
    </row>
    <row r="1092" spans="1:22" x14ac:dyDescent="0.5">
      <c r="A1092" s="33" t="str">
        <f>INDEX(Technologieën[Veld],MATCH(B1092,Technologieën[Digitale zorgtoepassing],0))</f>
        <v>Digitale hulpmiddelen - Verpleging</v>
      </c>
      <c r="B1092" s="33" t="s">
        <v>26</v>
      </c>
      <c r="C1092" s="33" t="s">
        <v>20</v>
      </c>
      <c r="D1092" s="427" cm="1">
        <f t="array" ref="D1092">INDEX(Berekening_patiëntaantal[Percentage van patiëntaantallen in Wlz (overige is Zvw)],MATCH(B1092,IF(Berekening_patiëntaantal[Doelgroep (zoeksleutel)]=C1092,Berekening_patiëntaantal[Digitale zorgtoepassing]),0))</f>
        <v>0.45</v>
      </c>
      <c r="E1092" s="33" t="str" cm="1">
        <f t="array" ref="E1092">INDEX(Berekening_patiëntaantal[Direct toepasbaar/extrapolatie/incidentie voor QALY],MATCH(B1092,IF(Berekening_patiëntaantal[Doelgroep (zoeksleutel)]=C1092,Berekening_patiëntaantal[Digitale zorgtoepassing]),0))</f>
        <v>Huidige toepassing</v>
      </c>
      <c r="F1092" s="33" t="s">
        <v>813</v>
      </c>
      <c r="G1092" s="33" t="str">
        <f>CONCATENATE(uitkomst_doelgroep[[#This Row],[Digitale zorgtoepassing]],"_",uitkomst_doelgroep[[#This Row],[Doelgroep]],"_",uitkomst_doelgroep[[#This Row],[Uitgangssituatie/effect beleid]])</f>
        <v>Medicijndispenser_Dementie_Uitgangssituatie</v>
      </c>
      <c r="H1092" s="33">
        <v>2025</v>
      </c>
      <c r="I1092" s="32">
        <v>3</v>
      </c>
      <c r="J1092" s="406" cm="1">
        <f t="array" ref="J1092">INDEX(implementatie[[2023]:[2034]],MATCH(G1092, implementatie[Zoeksleutel],0),I1092)</f>
        <v>0.61781439999999999</v>
      </c>
      <c r="K1092" s="406" cm="1">
        <f t="array" ref="K1092">INDEX(implementatie[[2023]:[2034]],MATCH(G1092,implementatie[Zoeksleutel],0),I1092 + 1)</f>
        <v>0.71990601886105599</v>
      </c>
      <c r="L109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26063.303622720003</v>
      </c>
      <c r="M1092" s="398" cm="1">
        <f t="array" ref="M1092">J1092*INDEX(Berekening_impact[Totaal arbeidsbesparing (€/jaar)],MATCH(B1092,IF(Berekening_impact[Doelgroep]=C1092,Berekening_impact[Digitale zorgtoepassing]),0))</f>
        <v>115036692.15487491</v>
      </c>
      <c r="N1092" s="397" cm="1">
        <f t="array" ref="N1092">J1092*INDEX(Berekening_impact[Totaal arbeidsbesparing (FTE/jaar)],MATCH(B1092,IF(Berekening_impact[Doelgroep]=C1092,Berekening_impact[Digitale zorgtoepassing]),0))</f>
        <v>2182.6008481522822</v>
      </c>
      <c r="O1092" s="398" cm="1">
        <f t="array" ref="O1092">J1092*INDEX(Berekening_impact[Overige kostenbesparing (totaal/jaar totaal potentieel)],MATCH(B1092,IF(Berekening_impact[Doelgroep]=C1092,Berekening_impact[Digitale zorgtoepassing]),0))</f>
        <v>56659863.300162263</v>
      </c>
      <c r="P1092" s="398" cm="1">
        <f t="array" ref="P1092">J1092*INDEX(Berekening_impact[Opbrengsten door QALY''s],MATCH(B1092,IF(Berekening_impact[Doelgroep]=C1092,Berekening_impact[Digitale zorgtoepassing]),0))</f>
        <v>0</v>
      </c>
      <c r="Q1092" s="398" cm="1">
        <f t="array" ref="Q1092">J1092*INDEX(Berekening_impact[Jaarlijkse kosten (totaal) - incl. schatting],MATCH(B1092,IF(Berekening_impact[Doelgroep]=C1092,Berekening_impact[Digitale zorgtoepassing]),0))</f>
        <v>27613635.062968329</v>
      </c>
      <c r="R1092" s="398" cm="1">
        <f t="array" ref="R1092">(uitkomst_doelgroep[[#This Row],[Implementatiegraad t = T + 1]]-uitkomst_doelgroep[[#This Row],[Implementatiegraad t = T]])*INDEX(Berekening_impact[Initiële investering (totaal) - incl. schatting],MATCH(B1092,IF(Berekening_impact[Doelgroep]=C1092,Berekening_impact[Digitale zorgtoepassing]),0))</f>
        <v>378261.44637970859</v>
      </c>
      <c r="S1092" s="398">
        <f>uitkomst_doelgroep[[#This Row],[Arbeidsbesparing (€)]]*uitkomst_doelgroep[[#This Row],[Percentage van patiëntaantallen in Wlz (overige is Zvw)]]</f>
        <v>51766511.469693705</v>
      </c>
      <c r="T1092" s="398">
        <f>uitkomst_doelgroep[[#This Row],[Overige besparingen (€)]]*uitkomst_doelgroep[[#This Row],[Percentage van patiëntaantallen in Wlz (overige is Zvw)]]</f>
        <v>25496938.485073019</v>
      </c>
      <c r="U1092" s="398">
        <f>uitkomst_doelgroep[[#This Row],[Kosten (€)]]*uitkomst_doelgroep[[#This Row],[Percentage van patiëntaantallen in Wlz (overige is Zvw)]]</f>
        <v>12426135.778335748</v>
      </c>
      <c r="V1092" s="398">
        <f>uitkomst_doelgroep[[#This Row],[Investering (cash flow) (€)]]*uitkomst_doelgroep[[#This Row],[Percentage van patiëntaantallen in Wlz (overige is Zvw)]]</f>
        <v>170217.65087086888</v>
      </c>
    </row>
    <row r="1093" spans="1:22" x14ac:dyDescent="0.5">
      <c r="A1093" s="33" t="str">
        <f>INDEX(Technologieën[Veld],MATCH(B1093,Technologieën[Digitale zorgtoepassing],0))</f>
        <v>Digitale hulpmiddelen - Verpleging</v>
      </c>
      <c r="B1093" s="33" t="s">
        <v>26</v>
      </c>
      <c r="C1093" s="33" t="s">
        <v>27</v>
      </c>
      <c r="D1093" s="427" cm="1">
        <f t="array" ref="D1093">INDEX(Berekening_patiëntaantal[Percentage van patiëntaantallen in Wlz (overige is Zvw)],MATCH(B1093,IF(Berekening_patiëntaantal[Doelgroep (zoeksleutel)]=C1093,Berekening_patiëntaantal[Digitale zorgtoepassing]),0))</f>
        <v>1</v>
      </c>
      <c r="E1093" s="33" t="str" cm="1">
        <f t="array" ref="E1093">INDEX(Berekening_patiëntaantal[Direct toepasbaar/extrapolatie/incidentie voor QALY],MATCH(B1093,IF(Berekening_patiëntaantal[Doelgroep (zoeksleutel)]=C1093,Berekening_patiëntaantal[Digitale zorgtoepassing]),0))</f>
        <v>Huidige toepassing</v>
      </c>
      <c r="F1093" s="33" t="s">
        <v>813</v>
      </c>
      <c r="G1093" s="33" t="str">
        <f>CONCATENATE(uitkomst_doelgroep[[#This Row],[Digitale zorgtoepassing]],"_",uitkomst_doelgroep[[#This Row],[Doelgroep]],"_",uitkomst_doelgroep[[#This Row],[Uitgangssituatie/effect beleid]])</f>
        <v>Medicijndispenser_Parkinson_Uitgangssituatie</v>
      </c>
      <c r="H1093" s="33">
        <v>2025</v>
      </c>
      <c r="I1093" s="32">
        <v>3</v>
      </c>
      <c r="J1093" s="406" cm="1">
        <f t="array" ref="J1093">INDEX(implementatie[[2023]:[2034]],MATCH(G1093, implementatie[Zoeksleutel],0),I1093)</f>
        <v>0.61781439999999999</v>
      </c>
      <c r="K1093" s="406" cm="1">
        <f t="array" ref="K1093">INDEX(implementatie[[2023]:[2034]],MATCH(G1093,implementatie[Zoeksleutel],0),I1093 + 1)</f>
        <v>0.71990601886105599</v>
      </c>
      <c r="L109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6078.9230073599992</v>
      </c>
      <c r="M1093" s="398" cm="1">
        <f t="array" ref="M1093">J1093*INDEX(Berekening_impact[Totaal arbeidsbesparing (€/jaar)],MATCH(B1093,IF(Berekening_impact[Doelgroep]=C1093,Berekening_impact[Digitale zorgtoepassing]),0))</f>
        <v>26830796.462090209</v>
      </c>
      <c r="N1093" s="397" cm="1">
        <f t="array" ref="N1093">J1093*INDEX(Berekening_impact[Totaal arbeidsbesparing (FTE/jaar)],MATCH(B1093,IF(Berekening_impact[Doelgroep]=C1093,Berekening_impact[Digitale zorgtoepassing]),0))</f>
        <v>509.06296085007614</v>
      </c>
      <c r="O1093" s="398" cm="1">
        <f t="array" ref="O1093">J1093*INDEX(Berekening_impact[Overige kostenbesparing (totaal/jaar totaal potentieel)],MATCH(B1093,IF(Berekening_impact[Doelgroep]=C1093,Berekening_impact[Digitale zorgtoepassing]),0))</f>
        <v>13215168.406701148</v>
      </c>
      <c r="P1093" s="398" cm="1">
        <f t="array" ref="P1093">J1093*INDEX(Berekening_impact[Opbrengsten door QALY''s],MATCH(B1093,IF(Berekening_impact[Doelgroep]=C1093,Berekening_impact[Digitale zorgtoepassing]),0))</f>
        <v>0</v>
      </c>
      <c r="Q1093" s="398" cm="1">
        <f t="array" ref="Q1093">J1093*INDEX(Berekening_impact[Jaarlijkse kosten (totaal) - incl. schatting],MATCH(B1093,IF(Berekening_impact[Doelgroep]=C1093,Berekening_impact[Digitale zorgtoepassing]),0))</f>
        <v>6446775.3520623799</v>
      </c>
      <c r="R1093" s="398" cm="1">
        <f t="array" ref="R1093">(uitkomst_doelgroep[[#This Row],[Implementatiegraad t = T + 1]]-uitkomst_doelgroep[[#This Row],[Implementatiegraad t = T]])*INDEX(Berekening_impact[Initiële investering (totaal) - incl. schatting],MATCH(B1093,IF(Berekening_impact[Doelgroep]=C1093,Berekening_impact[Digitale zorgtoepassing]),0))</f>
        <v>162816.51987503463</v>
      </c>
      <c r="S1093" s="398">
        <f>uitkomst_doelgroep[[#This Row],[Arbeidsbesparing (€)]]*uitkomst_doelgroep[[#This Row],[Percentage van patiëntaantallen in Wlz (overige is Zvw)]]</f>
        <v>26830796.462090209</v>
      </c>
      <c r="T1093" s="398">
        <f>uitkomst_doelgroep[[#This Row],[Overige besparingen (€)]]*uitkomst_doelgroep[[#This Row],[Percentage van patiëntaantallen in Wlz (overige is Zvw)]]</f>
        <v>13215168.406701148</v>
      </c>
      <c r="U1093" s="398">
        <f>uitkomst_doelgroep[[#This Row],[Kosten (€)]]*uitkomst_doelgroep[[#This Row],[Percentage van patiëntaantallen in Wlz (overige is Zvw)]]</f>
        <v>6446775.3520623799</v>
      </c>
      <c r="V1093" s="398">
        <f>uitkomst_doelgroep[[#This Row],[Investering (cash flow) (€)]]*uitkomst_doelgroep[[#This Row],[Percentage van patiëntaantallen in Wlz (overige is Zvw)]]</f>
        <v>162816.51987503463</v>
      </c>
    </row>
    <row r="1094" spans="1:22" x14ac:dyDescent="0.5">
      <c r="A1094" s="33" t="str">
        <f>INDEX(Technologieën[Veld],MATCH(B1094,Technologieën[Digitale zorgtoepassing],0))</f>
        <v>Digitale hulpmiddelen - Verpleging</v>
      </c>
      <c r="B1094" s="33" t="s">
        <v>26</v>
      </c>
      <c r="C1094" s="33" t="s">
        <v>29</v>
      </c>
      <c r="D1094" s="427" cm="1">
        <f t="array" ref="D1094">INDEX(Berekening_patiëntaantal[Percentage van patiëntaantallen in Wlz (overige is Zvw)],MATCH(B1094,IF(Berekening_patiëntaantal[Doelgroep (zoeksleutel)]=C1094,Berekening_patiëntaantal[Digitale zorgtoepassing]),0))</f>
        <v>0.70000000000000007</v>
      </c>
      <c r="E1094" s="33" t="str" cm="1">
        <f t="array" ref="E1094">INDEX(Berekening_patiëntaantal[Direct toepasbaar/extrapolatie/incidentie voor QALY],MATCH(B1094,IF(Berekening_patiëntaantal[Doelgroep (zoeksleutel)]=C1094,Berekening_patiëntaantal[Digitale zorgtoepassing]),0))</f>
        <v>Huidige toepassing</v>
      </c>
      <c r="F1094" s="33" t="s">
        <v>813</v>
      </c>
      <c r="G1094" s="33" t="str">
        <f>CONCATENATE(uitkomst_doelgroep[[#This Row],[Digitale zorgtoepassing]],"_",uitkomst_doelgroep[[#This Row],[Doelgroep]],"_",uitkomst_doelgroep[[#This Row],[Uitgangssituatie/effect beleid]])</f>
        <v>Medicijndispenser_Reumatische aandoening _Uitgangssituatie</v>
      </c>
      <c r="H1094" s="33">
        <v>2025</v>
      </c>
      <c r="I1094" s="32">
        <v>3</v>
      </c>
      <c r="J1094" s="406" cm="1">
        <f t="array" ref="J1094">INDEX(implementatie[[2023]:[2034]],MATCH(G1094, implementatie[Zoeksleutel],0),I1094)</f>
        <v>0.61781439999999999</v>
      </c>
      <c r="K1094" s="406" cm="1">
        <f t="array" ref="K1094">INDEX(implementatie[[2023]:[2034]],MATCH(G1094,implementatie[Zoeksleutel],0),I1094 + 1)</f>
        <v>0.71990601886105599</v>
      </c>
      <c r="L109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47996.765107200001</v>
      </c>
      <c r="M1094" s="398" cm="1">
        <f t="array" ref="M1094">J1094*INDEX(Berekening_impact[Totaal arbeidsbesparing (€/jaar)],MATCH(B1094,IF(Berekening_impact[Doelgroep]=C1094,Berekening_impact[Digitale zorgtoepassing]),0))</f>
        <v>211845327.51457039</v>
      </c>
      <c r="N1094" s="397" cm="1">
        <f t="array" ref="N1094">J1094*INDEX(Berekening_impact[Totaal arbeidsbesparing (FTE/jaar)],MATCH(B1094,IF(Berekening_impact[Doelgroep]=C1094,Berekening_impact[Digitale zorgtoepassing]),0))</f>
        <v>4019.3592396407012</v>
      </c>
      <c r="O1094" s="398" cm="1">
        <f t="array" ref="O1094">J1094*INDEX(Berekening_impact[Overige kostenbesparing (totaal/jaar totaal potentieel)],MATCH(B1094,IF(Berekening_impact[Doelgroep]=C1094,Berekening_impact[Digitale zorgtoepassing]),0))</f>
        <v>104341728.47732572</v>
      </c>
      <c r="P1094" s="398" cm="1">
        <f t="array" ref="P1094">J1094*INDEX(Berekening_impact[Opbrengsten door QALY''s],MATCH(B1094,IF(Berekening_impact[Doelgroep]=C1094,Berekening_impact[Digitale zorgtoepassing]),0))</f>
        <v>0</v>
      </c>
      <c r="Q1094" s="398" cm="1">
        <f t="array" ref="Q1094">J1094*INDEX(Berekening_impact[Jaarlijkse kosten (totaal) - incl. schatting],MATCH(B1094,IF(Berekening_impact[Doelgroep]=C1094,Berekening_impact[Digitale zorgtoepassing]),0))</f>
        <v>50848347.925990678</v>
      </c>
      <c r="R1094" s="398" cm="1">
        <f t="array" ref="R1094">(uitkomst_doelgroep[[#This Row],[Implementatiegraad t = T + 1]]-uitkomst_doelgroep[[#This Row],[Implementatiegraad t = T]])*INDEX(Berekening_impact[Initiële investering (totaal) - incl. schatting],MATCH(B1094,IF(Berekening_impact[Doelgroep]=C1094,Berekening_impact[Digitale zorgtoepassing]),0))</f>
        <v>540770.51706046204</v>
      </c>
      <c r="S1094" s="398">
        <f>uitkomst_doelgroep[[#This Row],[Arbeidsbesparing (€)]]*uitkomst_doelgroep[[#This Row],[Percentage van patiëntaantallen in Wlz (overige is Zvw)]]</f>
        <v>148291729.26019928</v>
      </c>
      <c r="T1094" s="398">
        <f>uitkomst_doelgroep[[#This Row],[Overige besparingen (€)]]*uitkomst_doelgroep[[#This Row],[Percentage van patiëntaantallen in Wlz (overige is Zvw)]]</f>
        <v>73039209.934128016</v>
      </c>
      <c r="U1094" s="398">
        <f>uitkomst_doelgroep[[#This Row],[Kosten (€)]]*uitkomst_doelgroep[[#This Row],[Percentage van patiëntaantallen in Wlz (overige is Zvw)]]</f>
        <v>35593843.548193477</v>
      </c>
      <c r="V1094" s="398">
        <f>uitkomst_doelgroep[[#This Row],[Investering (cash flow) (€)]]*uitkomst_doelgroep[[#This Row],[Percentage van patiëntaantallen in Wlz (overige is Zvw)]]</f>
        <v>378539.36194232345</v>
      </c>
    </row>
    <row r="1095" spans="1:22" x14ac:dyDescent="0.5">
      <c r="A1095" s="33" t="str">
        <f>INDEX(Technologieën[Veld],MATCH(B1095,Technologieën[Digitale zorgtoepassing],0))</f>
        <v>Digitale hulpmiddelen - Verpleging</v>
      </c>
      <c r="B1095" s="33" t="s">
        <v>26</v>
      </c>
      <c r="C1095" s="33" t="s">
        <v>24</v>
      </c>
      <c r="D1095" s="427" cm="1">
        <f t="array" ref="D1095">INDEX(Berekening_patiëntaantal[Percentage van patiëntaantallen in Wlz (overige is Zvw)],MATCH(B1095,IF(Berekening_patiëntaantal[Doelgroep (zoeksleutel)]=C1095,Berekening_patiëntaantal[Digitale zorgtoepassing]),0))</f>
        <v>0.45</v>
      </c>
      <c r="E1095" s="33" t="str" cm="1">
        <f t="array" ref="E1095">INDEX(Berekening_patiëntaantal[Direct toepasbaar/extrapolatie/incidentie voor QALY],MATCH(B1095,IF(Berekening_patiëntaantal[Doelgroep (zoeksleutel)]=C1095,Berekening_patiëntaantal[Digitale zorgtoepassing]),0))</f>
        <v>Extrapolatie</v>
      </c>
      <c r="F1095" s="33" t="s">
        <v>813</v>
      </c>
      <c r="G1095" s="33" t="str">
        <f>CONCATENATE(uitkomst_doelgroep[[#This Row],[Digitale zorgtoepassing]],"_",uitkomst_doelgroep[[#This Row],[Doelgroep]],"_",uitkomst_doelgroep[[#This Row],[Uitgangssituatie/effect beleid]])</f>
        <v>Medicijndispenser_Cognitieve beperking_Uitgangssituatie</v>
      </c>
      <c r="H1095" s="33">
        <v>2026</v>
      </c>
      <c r="I1095" s="32">
        <v>4</v>
      </c>
      <c r="J1095" s="406" cm="1">
        <f t="array" ref="J1095">INDEX(implementatie[[2023]:[2034]],MATCH(G1095, implementatie[Zoeksleutel],0),I1095)</f>
        <v>0.02</v>
      </c>
      <c r="K1095" s="406" cm="1">
        <f t="array" ref="K1095">INDEX(implementatie[[2023]:[2034]],MATCH(G1095,implementatie[Zoeksleutel],0),I1095 + 1)</f>
        <v>4.7439999999999996E-2</v>
      </c>
      <c r="L109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160.19640000000001</v>
      </c>
      <c r="M1095" s="398" cm="1">
        <f t="array" ref="M1095">J1095*INDEX(Berekening_impact[Totaal arbeidsbesparing (€/jaar)],MATCH(B1095,IF(Berekening_impact[Doelgroep]=C1095,Berekening_impact[Digitale zorgtoepassing]),0))</f>
        <v>707065.54387275281</v>
      </c>
      <c r="N1095" s="397" cm="1">
        <f t="array" ref="N1095">J1095*INDEX(Berekening_impact[Totaal arbeidsbesparing (FTE/jaar)],MATCH(B1095,IF(Berekening_impact[Doelgroep]=C1095,Berekening_impact[Digitale zorgtoepassing]),0))</f>
        <v>13.415214109931508</v>
      </c>
      <c r="O1095" s="398" cm="1">
        <f t="array" ref="O1095">J1095*INDEX(Berekening_impact[Overige kostenbesparing (totaal/jaar totaal potentieel)],MATCH(B1095,IF(Berekening_impact[Doelgroep]=C1095,Berekening_impact[Digitale zorgtoepassing]),0))</f>
        <v>348256.16340001253</v>
      </c>
      <c r="P1095" s="398" cm="1">
        <f t="array" ref="P1095">J1095*INDEX(Berekening_impact[Opbrengsten door QALY''s],MATCH(B1095,IF(Berekening_impact[Doelgroep]=C1095,Berekening_impact[Digitale zorgtoepassing]),0))</f>
        <v>0</v>
      </c>
      <c r="Q1095" s="398" cm="1">
        <f t="array" ref="Q1095">J1095*INDEX(Berekening_impact[Jaarlijkse kosten (totaal) - incl. schatting],MATCH(B1095,IF(Berekening_impact[Doelgroep]=C1095,Berekening_impact[Digitale zorgtoepassing]),0))</f>
        <v>169763.36021333336</v>
      </c>
      <c r="R1095" s="398" cm="1">
        <f t="array" ref="R1095">(uitkomst_doelgroep[[#This Row],[Implementatiegraad t = T + 1]]-uitkomst_doelgroep[[#This Row],[Implementatiegraad t = T]])*INDEX(Berekening_impact[Initiële investering (totaal) - incl. schatting],MATCH(B1095,IF(Berekening_impact[Doelgroep]=C1095,Berekening_impact[Digitale zorgtoepassing]),0))</f>
        <v>0</v>
      </c>
      <c r="S1095" s="398">
        <f>uitkomst_doelgroep[[#This Row],[Arbeidsbesparing (€)]]*uitkomst_doelgroep[[#This Row],[Percentage van patiëntaantallen in Wlz (overige is Zvw)]]</f>
        <v>318179.49474273878</v>
      </c>
      <c r="T1095" s="398">
        <f>uitkomst_doelgroep[[#This Row],[Overige besparingen (€)]]*uitkomst_doelgroep[[#This Row],[Percentage van patiëntaantallen in Wlz (overige is Zvw)]]</f>
        <v>156715.27353000565</v>
      </c>
      <c r="U1095" s="398">
        <f>uitkomst_doelgroep[[#This Row],[Kosten (€)]]*uitkomst_doelgroep[[#This Row],[Percentage van patiëntaantallen in Wlz (overige is Zvw)]]</f>
        <v>76393.51209600002</v>
      </c>
      <c r="V1095" s="398">
        <f>uitkomst_doelgroep[[#This Row],[Investering (cash flow) (€)]]*uitkomst_doelgroep[[#This Row],[Percentage van patiëntaantallen in Wlz (overige is Zvw)]]</f>
        <v>0</v>
      </c>
    </row>
    <row r="1096" spans="1:22" x14ac:dyDescent="0.5">
      <c r="A1096" s="33" t="str">
        <f>INDEX(Technologieën[Veld],MATCH(B1096,Technologieën[Digitale zorgtoepassing],0))</f>
        <v>Digitale hulpmiddelen - Verpleging</v>
      </c>
      <c r="B1096" s="33" t="s">
        <v>26</v>
      </c>
      <c r="C1096" s="33" t="s">
        <v>20</v>
      </c>
      <c r="D1096" s="427" cm="1">
        <f t="array" ref="D1096">INDEX(Berekening_patiëntaantal[Percentage van patiëntaantallen in Wlz (overige is Zvw)],MATCH(B1096,IF(Berekening_patiëntaantal[Doelgroep (zoeksleutel)]=C1096,Berekening_patiëntaantal[Digitale zorgtoepassing]),0))</f>
        <v>0.45</v>
      </c>
      <c r="E1096" s="33" t="str" cm="1">
        <f t="array" ref="E1096">INDEX(Berekening_patiëntaantal[Direct toepasbaar/extrapolatie/incidentie voor QALY],MATCH(B1096,IF(Berekening_patiëntaantal[Doelgroep (zoeksleutel)]=C1096,Berekening_patiëntaantal[Digitale zorgtoepassing]),0))</f>
        <v>Huidige toepassing</v>
      </c>
      <c r="F1096" s="33" t="s">
        <v>813</v>
      </c>
      <c r="G1096" s="33" t="str">
        <f>CONCATENATE(uitkomst_doelgroep[[#This Row],[Digitale zorgtoepassing]],"_",uitkomst_doelgroep[[#This Row],[Doelgroep]],"_",uitkomst_doelgroep[[#This Row],[Uitgangssituatie/effect beleid]])</f>
        <v>Medicijndispenser_Dementie_Uitgangssituatie</v>
      </c>
      <c r="H1096" s="33">
        <v>2026</v>
      </c>
      <c r="I1096" s="32">
        <v>4</v>
      </c>
      <c r="J1096" s="406" cm="1">
        <f t="array" ref="J1096">INDEX(implementatie[[2023]:[2034]],MATCH(G1096, implementatie[Zoeksleutel],0),I1096)</f>
        <v>0.71990601886105599</v>
      </c>
      <c r="K1096" s="406" cm="1">
        <f t="array" ref="K1096">INDEX(implementatie[[2023]:[2034]],MATCH(G1096,implementatie[Zoeksleutel],0),I1096 + 1)</f>
        <v>0.80616443563130724</v>
      </c>
      <c r="L109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30370.171283478168</v>
      </c>
      <c r="M1096" s="398" cm="1">
        <f t="array" ref="M1096">J1096*INDEX(Berekening_impact[Totaal arbeidsbesparing (€/jaar)],MATCH(B1096,IF(Berekening_impact[Doelgroep]=C1096,Berekening_impact[Digitale zorgtoepassing]),0))</f>
        <v>134046093.8951259</v>
      </c>
      <c r="N1096" s="397" cm="1">
        <f t="array" ref="N1096">J1096*INDEX(Berekening_impact[Totaal arbeidsbesparing (FTE/jaar)],MATCH(B1096,IF(Berekening_impact[Doelgroep]=C1096,Berekening_impact[Digitale zorgtoepassing]),0))</f>
        <v>2543.2678282605161</v>
      </c>
      <c r="O1096" s="398" cm="1">
        <f t="array" ref="O1096">J1096*INDEX(Berekening_impact[Overige kostenbesparing (totaal/jaar totaal potentieel)],MATCH(B1096,IF(Berekening_impact[Doelgroep]=C1096,Berekening_impact[Digitale zorgtoepassing]),0))</f>
        <v>66022702.963270962</v>
      </c>
      <c r="P1096" s="398" cm="1">
        <f t="array" ref="P1096">J1096*INDEX(Berekening_impact[Opbrengsten door QALY''s],MATCH(B1096,IF(Berekening_impact[Doelgroep]=C1096,Berekening_impact[Digitale zorgtoepassing]),0))</f>
        <v>0</v>
      </c>
      <c r="Q1096" s="398" cm="1">
        <f t="array" ref="Q1096">J1096*INDEX(Berekening_impact[Jaarlijkse kosten (totaal) - incl. schatting],MATCH(B1096,IF(Berekening_impact[Doelgroep]=C1096,Berekening_impact[Digitale zorgtoepassing]),0))</f>
        <v>32176689.446642216</v>
      </c>
      <c r="R1096" s="398" cm="1">
        <f t="array" ref="R1096">(uitkomst_doelgroep[[#This Row],[Implementatiegraad t = T + 1]]-uitkomst_doelgroep[[#This Row],[Implementatiegraad t = T]])*INDEX(Berekening_impact[Initiële investering (totaal) - incl. schatting],MATCH(B1096,IF(Berekening_impact[Doelgroep]=C1096,Berekening_impact[Digitale zorgtoepassing]),0))</f>
        <v>319597.57180797687</v>
      </c>
      <c r="S1096" s="398">
        <f>uitkomst_doelgroep[[#This Row],[Arbeidsbesparing (€)]]*uitkomst_doelgroep[[#This Row],[Percentage van patiëntaantallen in Wlz (overige is Zvw)]]</f>
        <v>60320742.252806656</v>
      </c>
      <c r="T1096" s="398">
        <f>uitkomst_doelgroep[[#This Row],[Overige besparingen (€)]]*uitkomst_doelgroep[[#This Row],[Percentage van patiëntaantallen in Wlz (overige is Zvw)]]</f>
        <v>29710216.333471935</v>
      </c>
      <c r="U1096" s="398">
        <f>uitkomst_doelgroep[[#This Row],[Kosten (€)]]*uitkomst_doelgroep[[#This Row],[Percentage van patiëntaantallen in Wlz (overige is Zvw)]]</f>
        <v>14479510.250988998</v>
      </c>
      <c r="V1096" s="398">
        <f>uitkomst_doelgroep[[#This Row],[Investering (cash flow) (€)]]*uitkomst_doelgroep[[#This Row],[Percentage van patiëntaantallen in Wlz (overige is Zvw)]]</f>
        <v>143818.90731358959</v>
      </c>
    </row>
    <row r="1097" spans="1:22" x14ac:dyDescent="0.5">
      <c r="A1097" s="33" t="str">
        <f>INDEX(Technologieën[Veld],MATCH(B1097,Technologieën[Digitale zorgtoepassing],0))</f>
        <v>Digitale hulpmiddelen - Verpleging</v>
      </c>
      <c r="B1097" s="33" t="s">
        <v>26</v>
      </c>
      <c r="C1097" s="33" t="s">
        <v>27</v>
      </c>
      <c r="D1097" s="427" cm="1">
        <f t="array" ref="D1097">INDEX(Berekening_patiëntaantal[Percentage van patiëntaantallen in Wlz (overige is Zvw)],MATCH(B1097,IF(Berekening_patiëntaantal[Doelgroep (zoeksleutel)]=C1097,Berekening_patiëntaantal[Digitale zorgtoepassing]),0))</f>
        <v>1</v>
      </c>
      <c r="E1097" s="33" t="str" cm="1">
        <f t="array" ref="E1097">INDEX(Berekening_patiëntaantal[Direct toepasbaar/extrapolatie/incidentie voor QALY],MATCH(B1097,IF(Berekening_patiëntaantal[Doelgroep (zoeksleutel)]=C1097,Berekening_patiëntaantal[Digitale zorgtoepassing]),0))</f>
        <v>Huidige toepassing</v>
      </c>
      <c r="F1097" s="33" t="s">
        <v>813</v>
      </c>
      <c r="G1097" s="33" t="str">
        <f>CONCATENATE(uitkomst_doelgroep[[#This Row],[Digitale zorgtoepassing]],"_",uitkomst_doelgroep[[#This Row],[Doelgroep]],"_",uitkomst_doelgroep[[#This Row],[Uitgangssituatie/effect beleid]])</f>
        <v>Medicijndispenser_Parkinson_Uitgangssituatie</v>
      </c>
      <c r="H1097" s="33">
        <v>2026</v>
      </c>
      <c r="I1097" s="32">
        <v>4</v>
      </c>
      <c r="J1097" s="406" cm="1">
        <f t="array" ref="J1097">INDEX(implementatie[[2023]:[2034]],MATCH(G1097, implementatie[Zoeksleutel],0),I1097)</f>
        <v>0.71990601886105599</v>
      </c>
      <c r="K1097" s="406" cm="1">
        <f t="array" ref="K1097">INDEX(implementatie[[2023]:[2034]],MATCH(G1097,implementatie[Zoeksleutel],0),I1097 + 1)</f>
        <v>0.80616443563130724</v>
      </c>
      <c r="L109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7083.4432819814738</v>
      </c>
      <c r="M1097" s="398" cm="1">
        <f t="array" ref="M1097">J1097*INDEX(Berekening_impact[Totaal arbeidsbesparing (€/jaar)],MATCH(B1097,IF(Berekening_impact[Doelgroep]=C1097,Berekening_impact[Digitale zorgtoepassing]),0))</f>
        <v>31264489.568217687</v>
      </c>
      <c r="N1097" s="397" cm="1">
        <f t="array" ref="N1097">J1097*INDEX(Berekening_impact[Totaal arbeidsbesparing (FTE/jaar)],MATCH(B1097,IF(Berekening_impact[Doelgroep]=C1097,Berekening_impact[Digitale zorgtoepassing]),0))</f>
        <v>593.18379353928935</v>
      </c>
      <c r="O1097" s="398" cm="1">
        <f t="array" ref="O1097">J1097*INDEX(Berekening_impact[Overige kostenbesparing (totaal/jaar totaal potentieel)],MATCH(B1097,IF(Berekening_impact[Doelgroep]=C1097,Berekening_impact[Digitale zorgtoepassing]),0))</f>
        <v>15398927.69777886</v>
      </c>
      <c r="P1097" s="398" cm="1">
        <f t="array" ref="P1097">J1097*INDEX(Berekening_impact[Opbrengsten door QALY''s],MATCH(B1097,IF(Berekening_impact[Doelgroep]=C1097,Berekening_impact[Digitale zorgtoepassing]),0))</f>
        <v>0</v>
      </c>
      <c r="Q1097" s="398" cm="1">
        <f t="array" ref="Q1097">J1097*INDEX(Berekening_impact[Jaarlijkse kosten (totaal) - incl. schatting],MATCH(B1097,IF(Berekening_impact[Doelgroep]=C1097,Berekening_impact[Digitale zorgtoepassing]),0))</f>
        <v>7512081.9103517337</v>
      </c>
      <c r="R1097" s="398" cm="1">
        <f t="array" ref="R1097">(uitkomst_doelgroep[[#This Row],[Implementatiegraad t = T + 1]]-uitkomst_doelgroep[[#This Row],[Implementatiegraad t = T]])*INDEX(Berekening_impact[Initiële investering (totaal) - incl. schatting],MATCH(B1097,IF(Berekening_impact[Doelgroep]=C1097,Berekening_impact[Digitale zorgtoepassing]),0))</f>
        <v>137565.60416165553</v>
      </c>
      <c r="S1097" s="398">
        <f>uitkomst_doelgroep[[#This Row],[Arbeidsbesparing (€)]]*uitkomst_doelgroep[[#This Row],[Percentage van patiëntaantallen in Wlz (overige is Zvw)]]</f>
        <v>31264489.568217687</v>
      </c>
      <c r="T1097" s="398">
        <f>uitkomst_doelgroep[[#This Row],[Overige besparingen (€)]]*uitkomst_doelgroep[[#This Row],[Percentage van patiëntaantallen in Wlz (overige is Zvw)]]</f>
        <v>15398927.69777886</v>
      </c>
      <c r="U1097" s="398">
        <f>uitkomst_doelgroep[[#This Row],[Kosten (€)]]*uitkomst_doelgroep[[#This Row],[Percentage van patiëntaantallen in Wlz (overige is Zvw)]]</f>
        <v>7512081.9103517337</v>
      </c>
      <c r="V1097" s="398">
        <f>uitkomst_doelgroep[[#This Row],[Investering (cash flow) (€)]]*uitkomst_doelgroep[[#This Row],[Percentage van patiëntaantallen in Wlz (overige is Zvw)]]</f>
        <v>137565.60416165553</v>
      </c>
    </row>
    <row r="1098" spans="1:22" x14ac:dyDescent="0.5">
      <c r="A1098" s="33" t="str">
        <f>INDEX(Technologieën[Veld],MATCH(B1098,Technologieën[Digitale zorgtoepassing],0))</f>
        <v>Digitale hulpmiddelen - Verpleging</v>
      </c>
      <c r="B1098" s="33" t="s">
        <v>26</v>
      </c>
      <c r="C1098" s="33" t="s">
        <v>29</v>
      </c>
      <c r="D1098" s="427" cm="1">
        <f t="array" ref="D1098">INDEX(Berekening_patiëntaantal[Percentage van patiëntaantallen in Wlz (overige is Zvw)],MATCH(B1098,IF(Berekening_patiëntaantal[Doelgroep (zoeksleutel)]=C1098,Berekening_patiëntaantal[Digitale zorgtoepassing]),0))</f>
        <v>0.70000000000000007</v>
      </c>
      <c r="E1098" s="33" t="str" cm="1">
        <f t="array" ref="E1098">INDEX(Berekening_patiëntaantal[Direct toepasbaar/extrapolatie/incidentie voor QALY],MATCH(B1098,IF(Berekening_patiëntaantal[Doelgroep (zoeksleutel)]=C1098,Berekening_patiëntaantal[Digitale zorgtoepassing]),0))</f>
        <v>Huidige toepassing</v>
      </c>
      <c r="F1098" s="33" t="s">
        <v>813</v>
      </c>
      <c r="G1098" s="33" t="str">
        <f>CONCATENATE(uitkomst_doelgroep[[#This Row],[Digitale zorgtoepassing]],"_",uitkomst_doelgroep[[#This Row],[Doelgroep]],"_",uitkomst_doelgroep[[#This Row],[Uitgangssituatie/effect beleid]])</f>
        <v>Medicijndispenser_Reumatische aandoening _Uitgangssituatie</v>
      </c>
      <c r="H1098" s="33">
        <v>2026</v>
      </c>
      <c r="I1098" s="32">
        <v>4</v>
      </c>
      <c r="J1098" s="406" cm="1">
        <f t="array" ref="J1098">INDEX(implementatie[[2023]:[2034]],MATCH(G1098, implementatie[Zoeksleutel],0),I1098)</f>
        <v>0.71990601886105599</v>
      </c>
      <c r="K1098" s="406" cm="1">
        <f t="array" ref="K1098">INDEX(implementatie[[2023]:[2034]],MATCH(G1098,implementatie[Zoeksleutel],0),I1098 + 1)</f>
        <v>0.80616443563130724</v>
      </c>
      <c r="L109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55928.05879327772</v>
      </c>
      <c r="M1098" s="398" cm="1">
        <f t="array" ref="M1098">J1098*INDEX(Berekening_impact[Totaal arbeidsbesparing (€/jaar)],MATCH(B1098,IF(Berekening_impact[Doelgroep]=C1098,Berekening_impact[Digitale zorgtoepassing]),0))</f>
        <v>246852009.83552811</v>
      </c>
      <c r="N1098" s="397" cm="1">
        <f t="array" ref="N1098">J1098*INDEX(Berekening_impact[Totaal arbeidsbesparing (FTE/jaar)],MATCH(B1098,IF(Berekening_impact[Doelgroep]=C1098,Berekening_impact[Digitale zorgtoepassing]),0))</f>
        <v>4683.5439714291842</v>
      </c>
      <c r="O1098" s="398" cm="1">
        <f t="array" ref="O1098">J1098*INDEX(Berekening_impact[Overige kostenbesparing (totaal/jaar totaal potentieel)],MATCH(B1098,IF(Berekening_impact[Doelgroep]=C1098,Berekening_impact[Digitale zorgtoepassing]),0))</f>
        <v>121583825.739887</v>
      </c>
      <c r="P1098" s="398" cm="1">
        <f t="array" ref="P1098">J1098*INDEX(Berekening_impact[Opbrengsten door QALY''s],MATCH(B1098,IF(Berekening_impact[Doelgroep]=C1098,Berekening_impact[Digitale zorgtoepassing]),0))</f>
        <v>0</v>
      </c>
      <c r="Q1098" s="398" cm="1">
        <f t="array" ref="Q1098">J1098*INDEX(Berekening_impact[Jaarlijkse kosten (totaal) - incl. schatting],MATCH(B1098,IF(Berekening_impact[Doelgroep]=C1098,Berekening_impact[Digitale zorgtoepassing]),0))</f>
        <v>59250855.46899163</v>
      </c>
      <c r="R1098" s="398" cm="1">
        <f t="array" ref="R1098">(uitkomst_doelgroep[[#This Row],[Implementatiegraad t = T + 1]]-uitkomst_doelgroep[[#This Row],[Implementatiegraad t = T]])*INDEX(Berekening_impact[Initiële investering (totaal) - incl. schatting],MATCH(B1098,IF(Berekening_impact[Doelgroep]=C1098,Berekening_impact[Digitale zorgtoepassing]),0))</f>
        <v>456903.40850750532</v>
      </c>
      <c r="S1098" s="398">
        <f>uitkomst_doelgroep[[#This Row],[Arbeidsbesparing (€)]]*uitkomst_doelgroep[[#This Row],[Percentage van patiëntaantallen in Wlz (overige is Zvw)]]</f>
        <v>172796406.88486969</v>
      </c>
      <c r="T1098" s="398">
        <f>uitkomst_doelgroep[[#This Row],[Overige besparingen (€)]]*uitkomst_doelgroep[[#This Row],[Percentage van patiëntaantallen in Wlz (overige is Zvw)]]</f>
        <v>85108678.017920911</v>
      </c>
      <c r="U1098" s="398">
        <f>uitkomst_doelgroep[[#This Row],[Kosten (€)]]*uitkomst_doelgroep[[#This Row],[Percentage van patiëntaantallen in Wlz (overige is Zvw)]]</f>
        <v>41475598.828294143</v>
      </c>
      <c r="V1098" s="398">
        <f>uitkomst_doelgroep[[#This Row],[Investering (cash flow) (€)]]*uitkomst_doelgroep[[#This Row],[Percentage van patiëntaantallen in Wlz (overige is Zvw)]]</f>
        <v>319832.38595525373</v>
      </c>
    </row>
    <row r="1099" spans="1:22" x14ac:dyDescent="0.5">
      <c r="A1099" s="33" t="str">
        <f>INDEX(Technologieën[Veld],MATCH(B1099,Technologieën[Digitale zorgtoepassing],0))</f>
        <v>Digitale hulpmiddelen - Verpleging</v>
      </c>
      <c r="B1099" s="33" t="s">
        <v>26</v>
      </c>
      <c r="C1099" s="33" t="s">
        <v>24</v>
      </c>
      <c r="D1099" s="427" cm="1">
        <f t="array" ref="D1099">INDEX(Berekening_patiëntaantal[Percentage van patiëntaantallen in Wlz (overige is Zvw)],MATCH(B1099,IF(Berekening_patiëntaantal[Doelgroep (zoeksleutel)]=C1099,Berekening_patiëntaantal[Digitale zorgtoepassing]),0))</f>
        <v>0.45</v>
      </c>
      <c r="E1099" s="33" t="str" cm="1">
        <f t="array" ref="E1099">INDEX(Berekening_patiëntaantal[Direct toepasbaar/extrapolatie/incidentie voor QALY],MATCH(B1099,IF(Berekening_patiëntaantal[Doelgroep (zoeksleutel)]=C1099,Berekening_patiëntaantal[Digitale zorgtoepassing]),0))</f>
        <v>Extrapolatie</v>
      </c>
      <c r="F1099" s="33" t="s">
        <v>813</v>
      </c>
      <c r="G1099" s="33" t="str">
        <f>CONCATENATE(uitkomst_doelgroep[[#This Row],[Digitale zorgtoepassing]],"_",uitkomst_doelgroep[[#This Row],[Doelgroep]],"_",uitkomst_doelgroep[[#This Row],[Uitgangssituatie/effect beleid]])</f>
        <v>Medicijndispenser_Cognitieve beperking_Uitgangssituatie</v>
      </c>
      <c r="H1099" s="33">
        <v>2027</v>
      </c>
      <c r="I1099" s="32">
        <v>5</v>
      </c>
      <c r="J1099" s="406" cm="1">
        <f t="array" ref="J1099">INDEX(implementatie[[2023]:[2034]],MATCH(G1099, implementatie[Zoeksleutel],0),I1099)</f>
        <v>4.7439999999999996E-2</v>
      </c>
      <c r="K1099" s="406" cm="1">
        <f t="array" ref="K1099">INDEX(implementatie[[2023]:[2034]],MATCH(G1099,implementatie[Zoeksleutel],0),I1099 + 1)</f>
        <v>8.4566978560000006E-2</v>
      </c>
      <c r="L109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379.98586080000001</v>
      </c>
      <c r="M1099" s="398" cm="1">
        <f t="array" ref="M1099">J1099*INDEX(Berekening_impact[Totaal arbeidsbesparing (€/jaar)],MATCH(B1099,IF(Berekening_impact[Doelgroep]=C1099,Berekening_impact[Digitale zorgtoepassing]),0))</f>
        <v>1677159.4700661695</v>
      </c>
      <c r="N1099" s="397" cm="1">
        <f t="array" ref="N1099">J1099*INDEX(Berekening_impact[Totaal arbeidsbesparing (FTE/jaar)],MATCH(B1099,IF(Berekening_impact[Doelgroep]=C1099,Berekening_impact[Digitale zorgtoepassing]),0))</f>
        <v>31.820887868757534</v>
      </c>
      <c r="O1099" s="398" cm="1">
        <f t="array" ref="O1099">J1099*INDEX(Berekening_impact[Overige kostenbesparing (totaal/jaar totaal potentieel)],MATCH(B1099,IF(Berekening_impact[Doelgroep]=C1099,Berekening_impact[Digitale zorgtoepassing]),0))</f>
        <v>826063.61958482966</v>
      </c>
      <c r="P1099" s="398" cm="1">
        <f t="array" ref="P1099">J1099*INDEX(Berekening_impact[Opbrengsten door QALY''s],MATCH(B1099,IF(Berekening_impact[Doelgroep]=C1099,Berekening_impact[Digitale zorgtoepassing]),0))</f>
        <v>0</v>
      </c>
      <c r="Q1099" s="398" cm="1">
        <f t="array" ref="Q1099">J1099*INDEX(Berekening_impact[Jaarlijkse kosten (totaal) - incl. schatting],MATCH(B1099,IF(Berekening_impact[Doelgroep]=C1099,Berekening_impact[Digitale zorgtoepassing]),0))</f>
        <v>402678.6904260267</v>
      </c>
      <c r="R1099" s="398" cm="1">
        <f t="array" ref="R1099">(uitkomst_doelgroep[[#This Row],[Implementatiegraad t = T + 1]]-uitkomst_doelgroep[[#This Row],[Implementatiegraad t = T]])*INDEX(Berekening_impact[Initiële investering (totaal) - incl. schatting],MATCH(B1099,IF(Berekening_impact[Doelgroep]=C1099,Berekening_impact[Digitale zorgtoepassing]),0))</f>
        <v>0</v>
      </c>
      <c r="S1099" s="398">
        <f>uitkomst_doelgroep[[#This Row],[Arbeidsbesparing (€)]]*uitkomst_doelgroep[[#This Row],[Percentage van patiëntaantallen in Wlz (overige is Zvw)]]</f>
        <v>754721.76152977627</v>
      </c>
      <c r="T1099" s="398">
        <f>uitkomst_doelgroep[[#This Row],[Overige besparingen (€)]]*uitkomst_doelgroep[[#This Row],[Percentage van patiëntaantallen in Wlz (overige is Zvw)]]</f>
        <v>371728.62881317333</v>
      </c>
      <c r="U1099" s="398">
        <f>uitkomst_doelgroep[[#This Row],[Kosten (€)]]*uitkomst_doelgroep[[#This Row],[Percentage van patiëntaantallen in Wlz (overige is Zvw)]]</f>
        <v>181205.41069171202</v>
      </c>
      <c r="V1099" s="398">
        <f>uitkomst_doelgroep[[#This Row],[Investering (cash flow) (€)]]*uitkomst_doelgroep[[#This Row],[Percentage van patiëntaantallen in Wlz (overige is Zvw)]]</f>
        <v>0</v>
      </c>
    </row>
    <row r="1100" spans="1:22" x14ac:dyDescent="0.5">
      <c r="A1100" s="33" t="str">
        <f>INDEX(Technologieën[Veld],MATCH(B1100,Technologieën[Digitale zorgtoepassing],0))</f>
        <v>Digitale hulpmiddelen - Verpleging</v>
      </c>
      <c r="B1100" s="33" t="s">
        <v>26</v>
      </c>
      <c r="C1100" s="33" t="s">
        <v>20</v>
      </c>
      <c r="D1100" s="427" cm="1">
        <f t="array" ref="D1100">INDEX(Berekening_patiëntaantal[Percentage van patiëntaantallen in Wlz (overige is Zvw)],MATCH(B1100,IF(Berekening_patiëntaantal[Doelgroep (zoeksleutel)]=C1100,Berekening_patiëntaantal[Digitale zorgtoepassing]),0))</f>
        <v>0.45</v>
      </c>
      <c r="E1100" s="33" t="str" cm="1">
        <f t="array" ref="E1100">INDEX(Berekening_patiëntaantal[Direct toepasbaar/extrapolatie/incidentie voor QALY],MATCH(B1100,IF(Berekening_patiëntaantal[Doelgroep (zoeksleutel)]=C1100,Berekening_patiëntaantal[Digitale zorgtoepassing]),0))</f>
        <v>Huidige toepassing</v>
      </c>
      <c r="F1100" s="33" t="s">
        <v>813</v>
      </c>
      <c r="G1100" s="33" t="str">
        <f>CONCATENATE(uitkomst_doelgroep[[#This Row],[Digitale zorgtoepassing]],"_",uitkomst_doelgroep[[#This Row],[Doelgroep]],"_",uitkomst_doelgroep[[#This Row],[Uitgangssituatie/effect beleid]])</f>
        <v>Medicijndispenser_Dementie_Uitgangssituatie</v>
      </c>
      <c r="H1100" s="33">
        <v>2027</v>
      </c>
      <c r="I1100" s="32">
        <v>5</v>
      </c>
      <c r="J1100" s="406" cm="1">
        <f t="array" ref="J1100">INDEX(implementatie[[2023]:[2034]],MATCH(G1100, implementatie[Zoeksleutel],0),I1100)</f>
        <v>0.80616443563130724</v>
      </c>
      <c r="K1100" s="406" cm="1">
        <f t="array" ref="K1100">INDEX(implementatie[[2023]:[2034]],MATCH(G1100,implementatie[Zoeksleutel],0),I1100 + 1)</f>
        <v>0.87254648226050635</v>
      </c>
      <c r="L110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34009.094730873017</v>
      </c>
      <c r="M1100" s="398" cm="1">
        <f t="array" ref="M1100">J1100*INDEX(Berekening_impact[Totaal arbeidsbesparing (€/jaar)],MATCH(B1100,IF(Berekening_impact[Doelgroep]=C1100,Berekening_impact[Digitale zorgtoepassing]),0))</f>
        <v>150107362.3533656</v>
      </c>
      <c r="N1100" s="397" cm="1">
        <f t="array" ref="N1100">J1100*INDEX(Berekening_impact[Totaal arbeidsbesparing (FTE/jaar)],MATCH(B1100,IF(Berekening_impact[Doelgroep]=C1100,Berekening_impact[Digitale zorgtoepassing]),0))</f>
        <v>2847.9996273299835</v>
      </c>
      <c r="O1100" s="398" cm="1">
        <f t="array" ref="O1100">J1100*INDEX(Berekening_impact[Overige kostenbesparing (totaal/jaar totaal potentieel)],MATCH(B1100,IF(Berekening_impact[Doelgroep]=C1100,Berekening_impact[Digitale zorgtoepassing]),0))</f>
        <v>73933476.980015889</v>
      </c>
      <c r="P1100" s="398" cm="1">
        <f t="array" ref="P1100">J1100*INDEX(Berekening_impact[Opbrengsten door QALY''s],MATCH(B1100,IF(Berekening_impact[Doelgroep]=C1100,Berekening_impact[Digitale zorgtoepassing]),0))</f>
        <v>0</v>
      </c>
      <c r="Q1100" s="398" cm="1">
        <f t="array" ref="Q1100">J1100*INDEX(Berekening_impact[Jaarlijkse kosten (totaal) - incl. schatting],MATCH(B1100,IF(Berekening_impact[Doelgroep]=C1100,Berekening_impact[Digitale zorgtoepassing]),0))</f>
        <v>36032068.08754658</v>
      </c>
      <c r="R1100" s="398" cm="1">
        <f t="array" ref="R1100">(uitkomst_doelgroep[[#This Row],[Implementatiegraad t = T + 1]]-uitkomst_doelgroep[[#This Row],[Implementatiegraad t = T]])*INDEX(Berekening_impact[Initiële investering (totaal) - incl. schatting],MATCH(B1100,IF(Berekening_impact[Doelgroep]=C1100,Berekening_impact[Digitale zorgtoepassing]),0))</f>
        <v>245953.28442954604</v>
      </c>
      <c r="S1100" s="398">
        <f>uitkomst_doelgroep[[#This Row],[Arbeidsbesparing (€)]]*uitkomst_doelgroep[[#This Row],[Percentage van patiëntaantallen in Wlz (overige is Zvw)]]</f>
        <v>67548313.059014529</v>
      </c>
      <c r="T1100" s="398">
        <f>uitkomst_doelgroep[[#This Row],[Overige besparingen (€)]]*uitkomst_doelgroep[[#This Row],[Percentage van patiëntaantallen in Wlz (overige is Zvw)]]</f>
        <v>33270064.641007151</v>
      </c>
      <c r="U1100" s="398">
        <f>uitkomst_doelgroep[[#This Row],[Kosten (€)]]*uitkomst_doelgroep[[#This Row],[Percentage van patiëntaantallen in Wlz (overige is Zvw)]]</f>
        <v>16214430.639395962</v>
      </c>
      <c r="V1100" s="398">
        <f>uitkomst_doelgroep[[#This Row],[Investering (cash flow) (€)]]*uitkomst_doelgroep[[#This Row],[Percentage van patiëntaantallen in Wlz (overige is Zvw)]]</f>
        <v>110678.97799329572</v>
      </c>
    </row>
    <row r="1101" spans="1:22" x14ac:dyDescent="0.5">
      <c r="A1101" s="33" t="str">
        <f>INDEX(Technologieën[Veld],MATCH(B1101,Technologieën[Digitale zorgtoepassing],0))</f>
        <v>Digitale hulpmiddelen - Verpleging</v>
      </c>
      <c r="B1101" s="33" t="s">
        <v>26</v>
      </c>
      <c r="C1101" s="33" t="s">
        <v>27</v>
      </c>
      <c r="D1101" s="427" cm="1">
        <f t="array" ref="D1101">INDEX(Berekening_patiëntaantal[Percentage van patiëntaantallen in Wlz (overige is Zvw)],MATCH(B1101,IF(Berekening_patiëntaantal[Doelgroep (zoeksleutel)]=C1101,Berekening_patiëntaantal[Digitale zorgtoepassing]),0))</f>
        <v>1</v>
      </c>
      <c r="E1101" s="33" t="str" cm="1">
        <f t="array" ref="E1101">INDEX(Berekening_patiëntaantal[Direct toepasbaar/extrapolatie/incidentie voor QALY],MATCH(B1101,IF(Berekening_patiëntaantal[Doelgroep (zoeksleutel)]=C1101,Berekening_patiëntaantal[Digitale zorgtoepassing]),0))</f>
        <v>Huidige toepassing</v>
      </c>
      <c r="F1101" s="33" t="s">
        <v>813</v>
      </c>
      <c r="G1101" s="33" t="str">
        <f>CONCATENATE(uitkomst_doelgroep[[#This Row],[Digitale zorgtoepassing]],"_",uitkomst_doelgroep[[#This Row],[Doelgroep]],"_",uitkomst_doelgroep[[#This Row],[Uitgangssituatie/effect beleid]])</f>
        <v>Medicijndispenser_Parkinson_Uitgangssituatie</v>
      </c>
      <c r="H1101" s="33">
        <v>2027</v>
      </c>
      <c r="I1101" s="32">
        <v>5</v>
      </c>
      <c r="J1101" s="406" cm="1">
        <f t="array" ref="J1101">INDEX(implementatie[[2023]:[2034]],MATCH(G1101, implementatie[Zoeksleutel],0),I1101)</f>
        <v>0.80616443563130724</v>
      </c>
      <c r="K1101" s="406" cm="1">
        <f t="array" ref="K1101">INDEX(implementatie[[2023]:[2034]],MATCH(G1101,implementatie[Zoeksleutel],0),I1101 + 1)</f>
        <v>0.87254648226050635</v>
      </c>
      <c r="L110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7932.174347950684</v>
      </c>
      <c r="M1101" s="398" cm="1">
        <f t="array" ref="M1101">J1101*INDEX(Berekening_impact[Totaal arbeidsbesparing (€/jaar)],MATCH(B1101,IF(Berekening_impact[Doelgroep]=C1101,Berekening_impact[Digitale zorgtoepassing]),0))</f>
        <v>35010569.33506152</v>
      </c>
      <c r="N1101" s="397" cm="1">
        <f t="array" ref="N1101">J1101*INDEX(Berekening_impact[Totaal arbeidsbesparing (FTE/jaar)],MATCH(B1101,IF(Berekening_impact[Doelgroep]=C1101,Berekening_impact[Digitale zorgtoepassing]),0))</f>
        <v>664.25848043442159</v>
      </c>
      <c r="O1101" s="398" cm="1">
        <f t="array" ref="O1101">J1101*INDEX(Berekening_impact[Overige kostenbesparing (totaal/jaar totaal potentieel)],MATCH(B1101,IF(Berekening_impact[Doelgroep]=C1101,Berekening_impact[Digitale zorgtoepassing]),0))</f>
        <v>17244011.762045223</v>
      </c>
      <c r="P1101" s="398" cm="1">
        <f t="array" ref="P1101">J1101*INDEX(Berekening_impact[Opbrengsten door QALY''s],MATCH(B1101,IF(Berekening_impact[Doelgroep]=C1101,Berekening_impact[Digitale zorgtoepassing]),0))</f>
        <v>0</v>
      </c>
      <c r="Q1101" s="398" cm="1">
        <f t="array" ref="Q1101">J1101*INDEX(Berekening_impact[Jaarlijkse kosten (totaal) - incl. schatting],MATCH(B1101,IF(Berekening_impact[Doelgroep]=C1101,Berekening_impact[Digitale zorgtoepassing]),0))</f>
        <v>8412172.0266429372</v>
      </c>
      <c r="R1101" s="398" cm="1">
        <f t="array" ref="R1101">(uitkomst_doelgroep[[#This Row],[Implementatiegraad t = T + 1]]-uitkomst_doelgroep[[#This Row],[Implementatiegraad t = T]])*INDEX(Berekening_impact[Initiële investering (totaal) - incl. schatting],MATCH(B1101,IF(Berekening_impact[Doelgroep]=C1101,Berekening_impact[Digitale zorgtoepassing]),0))</f>
        <v>105866.61211688691</v>
      </c>
      <c r="S1101" s="398">
        <f>uitkomst_doelgroep[[#This Row],[Arbeidsbesparing (€)]]*uitkomst_doelgroep[[#This Row],[Percentage van patiëntaantallen in Wlz (overige is Zvw)]]</f>
        <v>35010569.33506152</v>
      </c>
      <c r="T1101" s="398">
        <f>uitkomst_doelgroep[[#This Row],[Overige besparingen (€)]]*uitkomst_doelgroep[[#This Row],[Percentage van patiëntaantallen in Wlz (overige is Zvw)]]</f>
        <v>17244011.762045223</v>
      </c>
      <c r="U1101" s="398">
        <f>uitkomst_doelgroep[[#This Row],[Kosten (€)]]*uitkomst_doelgroep[[#This Row],[Percentage van patiëntaantallen in Wlz (overige is Zvw)]]</f>
        <v>8412172.0266429372</v>
      </c>
      <c r="V1101" s="398">
        <f>uitkomst_doelgroep[[#This Row],[Investering (cash flow) (€)]]*uitkomst_doelgroep[[#This Row],[Percentage van patiëntaantallen in Wlz (overige is Zvw)]]</f>
        <v>105866.61211688691</v>
      </c>
    </row>
    <row r="1102" spans="1:22" x14ac:dyDescent="0.5">
      <c r="A1102" s="33" t="str">
        <f>INDEX(Technologieën[Veld],MATCH(B1102,Technologieën[Digitale zorgtoepassing],0))</f>
        <v>Digitale hulpmiddelen - Verpleging</v>
      </c>
      <c r="B1102" s="33" t="s">
        <v>26</v>
      </c>
      <c r="C1102" s="33" t="s">
        <v>29</v>
      </c>
      <c r="D1102" s="427" cm="1">
        <f t="array" ref="D1102">INDEX(Berekening_patiëntaantal[Percentage van patiëntaantallen in Wlz (overige is Zvw)],MATCH(B1102,IF(Berekening_patiëntaantal[Doelgroep (zoeksleutel)]=C1102,Berekening_patiëntaantal[Digitale zorgtoepassing]),0))</f>
        <v>0.70000000000000007</v>
      </c>
      <c r="E1102" s="33" t="str" cm="1">
        <f t="array" ref="E1102">INDEX(Berekening_patiëntaantal[Direct toepasbaar/extrapolatie/incidentie voor QALY],MATCH(B1102,IF(Berekening_patiëntaantal[Doelgroep (zoeksleutel)]=C1102,Berekening_patiëntaantal[Digitale zorgtoepassing]),0))</f>
        <v>Huidige toepassing</v>
      </c>
      <c r="F1102" s="33" t="s">
        <v>813</v>
      </c>
      <c r="G1102" s="33" t="str">
        <f>CONCATENATE(uitkomst_doelgroep[[#This Row],[Digitale zorgtoepassing]],"_",uitkomst_doelgroep[[#This Row],[Doelgroep]],"_",uitkomst_doelgroep[[#This Row],[Uitgangssituatie/effect beleid]])</f>
        <v>Medicijndispenser_Reumatische aandoening _Uitgangssituatie</v>
      </c>
      <c r="H1102" s="33">
        <v>2027</v>
      </c>
      <c r="I1102" s="32">
        <v>5</v>
      </c>
      <c r="J1102" s="406" cm="1">
        <f t="array" ref="J1102">INDEX(implementatie[[2023]:[2034]],MATCH(G1102, implementatie[Zoeksleutel],0),I1102)</f>
        <v>0.80616443563130724</v>
      </c>
      <c r="K1102" s="406" cm="1">
        <f t="array" ref="K1102">INDEX(implementatie[[2023]:[2034]],MATCH(G1102,implementatie[Zoeksleutel],0),I1102 + 1)</f>
        <v>0.87254648226050635</v>
      </c>
      <c r="L110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62629.302675324994</v>
      </c>
      <c r="M1102" s="398" cm="1">
        <f t="array" ref="M1102">J1102*INDEX(Berekening_impact[Totaal arbeidsbesparing (€/jaar)],MATCH(B1102,IF(Berekening_impact[Doelgroep]=C1102,Berekening_impact[Digitale zorgtoepassing]),0))</f>
        <v>276429569.94351876</v>
      </c>
      <c r="N1102" s="397" cm="1">
        <f t="array" ref="N1102">J1102*INDEX(Berekening_impact[Totaal arbeidsbesparing (FTE/jaar)],MATCH(B1102,IF(Berekening_impact[Doelgroep]=C1102,Berekening_impact[Digitale zorgtoepassing]),0))</f>
        <v>5244.7215102536074</v>
      </c>
      <c r="O1102" s="398" cm="1">
        <f t="array" ref="O1102">J1102*INDEX(Berekening_impact[Overige kostenbesparing (totaal/jaar totaal potentieel)],MATCH(B1102,IF(Berekening_impact[Doelgroep]=C1102,Berekening_impact[Digitale zorgtoepassing]),0))</f>
        <v>136151877.73337492</v>
      </c>
      <c r="P1102" s="398" cm="1">
        <f t="array" ref="P1102">J1102*INDEX(Berekening_impact[Opbrengsten door QALY''s],MATCH(B1102,IF(Berekening_impact[Doelgroep]=C1102,Berekening_impact[Digitale zorgtoepassing]),0))</f>
        <v>0</v>
      </c>
      <c r="Q1102" s="398" cm="1">
        <f t="array" ref="Q1102">J1102*INDEX(Berekening_impact[Jaarlijkse kosten (totaal) - incl. schatting],MATCH(B1102,IF(Berekening_impact[Doelgroep]=C1102,Berekening_impact[Digitale zorgtoepassing]),0))</f>
        <v>66350233.514370382</v>
      </c>
      <c r="R1102" s="398" cm="1">
        <f t="array" ref="R1102">(uitkomst_doelgroep[[#This Row],[Implementatiegraad t = T + 1]]-uitkomst_doelgroep[[#This Row],[Implementatiegraad t = T]])*INDEX(Berekening_impact[Initiële investering (totaal) - incl. schatting],MATCH(B1102,IF(Berekening_impact[Doelgroep]=C1102,Berekening_impact[Digitale zorgtoepassing]),0))</f>
        <v>351619.98682829383</v>
      </c>
      <c r="S1102" s="398">
        <f>uitkomst_doelgroep[[#This Row],[Arbeidsbesparing (€)]]*uitkomst_doelgroep[[#This Row],[Percentage van patiëntaantallen in Wlz (overige is Zvw)]]</f>
        <v>193500698.96046314</v>
      </c>
      <c r="T1102" s="398">
        <f>uitkomst_doelgroep[[#This Row],[Overige besparingen (€)]]*uitkomst_doelgroep[[#This Row],[Percentage van patiëntaantallen in Wlz (overige is Zvw)]]</f>
        <v>95306314.413362458</v>
      </c>
      <c r="U1102" s="398">
        <f>uitkomst_doelgroep[[#This Row],[Kosten (€)]]*uitkomst_doelgroep[[#This Row],[Percentage van patiëntaantallen in Wlz (overige is Zvw)]]</f>
        <v>46445163.46005927</v>
      </c>
      <c r="V1102" s="398">
        <f>uitkomst_doelgroep[[#This Row],[Investering (cash flow) (€)]]*uitkomst_doelgroep[[#This Row],[Percentage van patiëntaantallen in Wlz (overige is Zvw)]]</f>
        <v>246133.9907798057</v>
      </c>
    </row>
    <row r="1103" spans="1:22" x14ac:dyDescent="0.5">
      <c r="A1103" s="33" t="str">
        <f>INDEX(Technologieën[Veld],MATCH(B1103,Technologieën[Digitale zorgtoepassing],0))</f>
        <v>Digitale hulpmiddelen - Verpleging</v>
      </c>
      <c r="B1103" s="33" t="s">
        <v>26</v>
      </c>
      <c r="C1103" s="33" t="s">
        <v>24</v>
      </c>
      <c r="D1103" s="427" cm="1">
        <f t="array" ref="D1103">INDEX(Berekening_patiëntaantal[Percentage van patiëntaantallen in Wlz (overige is Zvw)],MATCH(B1103,IF(Berekening_patiëntaantal[Doelgroep (zoeksleutel)]=C1103,Berekening_patiëntaantal[Digitale zorgtoepassing]),0))</f>
        <v>0.45</v>
      </c>
      <c r="E1103" s="33" t="str" cm="1">
        <f t="array" ref="E1103">INDEX(Berekening_patiëntaantal[Direct toepasbaar/extrapolatie/incidentie voor QALY],MATCH(B1103,IF(Berekening_patiëntaantal[Doelgroep (zoeksleutel)]=C1103,Berekening_patiëntaantal[Digitale zorgtoepassing]),0))</f>
        <v>Extrapolatie</v>
      </c>
      <c r="F1103" s="33" t="s">
        <v>813</v>
      </c>
      <c r="G1103" s="33" t="str">
        <f>CONCATENATE(uitkomst_doelgroep[[#This Row],[Digitale zorgtoepassing]],"_",uitkomst_doelgroep[[#This Row],[Doelgroep]],"_",uitkomst_doelgroep[[#This Row],[Uitgangssituatie/effect beleid]])</f>
        <v>Medicijndispenser_Cognitieve beperking_Uitgangssituatie</v>
      </c>
      <c r="H1103" s="33">
        <v>2028</v>
      </c>
      <c r="I1103" s="32">
        <v>6</v>
      </c>
      <c r="J1103" s="406" cm="1">
        <f t="array" ref="J1103">INDEX(implementatie[[2023]:[2034]],MATCH(G1103, implementatie[Zoeksleutel],0),I1103)</f>
        <v>8.4566978560000006E-2</v>
      </c>
      <c r="K1103" s="406" cm="1">
        <f t="array" ref="K1103">INDEX(implementatie[[2023]:[2034]],MATCH(G1103,implementatie[Zoeksleutel],0),I1103 + 1)</f>
        <v>0.13384180086769301</v>
      </c>
      <c r="L110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677.36627620945933</v>
      </c>
      <c r="M1103" s="398" cm="1">
        <f t="array" ref="M1103">J1103*INDEX(Berekening_impact[Totaal arbeidsbesparing (€/jaar)],MATCH(B1103,IF(Berekening_impact[Doelgroep]=C1103,Berekening_impact[Digitale zorgtoepassing]),0))</f>
        <v>2989719.8344600913</v>
      </c>
      <c r="N1103" s="397" cm="1">
        <f t="array" ref="N1103">J1103*INDEX(Berekening_impact[Totaal arbeidsbesparing (FTE/jaar)],MATCH(B1103,IF(Berekening_impact[Doelgroep]=C1103,Berekening_impact[Digitale zorgtoepassing]),0))</f>
        <v>56.724206200619371</v>
      </c>
      <c r="O1103" s="398" cm="1">
        <f t="array" ref="O1103">J1103*INDEX(Berekening_impact[Overige kostenbesparing (totaal/jaar totaal potentieel)],MATCH(B1103,IF(Berekening_impact[Doelgroep]=C1103,Berekening_impact[Digitale zorgtoepassing]),0))</f>
        <v>1472548.575181836</v>
      </c>
      <c r="P1103" s="398" cm="1">
        <f t="array" ref="P1103">J1103*INDEX(Berekening_impact[Opbrengsten door QALY''s],MATCH(B1103,IF(Berekening_impact[Doelgroep]=C1103,Berekening_impact[Digitale zorgtoepassing]),0))</f>
        <v>0</v>
      </c>
      <c r="Q1103" s="398" cm="1">
        <f t="array" ref="Q1103">J1103*INDEX(Berekening_impact[Jaarlijkse kosten (totaal) - incl. schatting],MATCH(B1103,IF(Berekening_impact[Doelgroep]=C1103,Berekening_impact[Digitale zorgtoepassing]),0))</f>
        <v>717818.72217172605</v>
      </c>
      <c r="R1103" s="398" cm="1">
        <f t="array" ref="R1103">(uitkomst_doelgroep[[#This Row],[Implementatiegraad t = T + 1]]-uitkomst_doelgroep[[#This Row],[Implementatiegraad t = T]])*INDEX(Berekening_impact[Initiële investering (totaal) - incl. schatting],MATCH(B1103,IF(Berekening_impact[Doelgroep]=C1103,Berekening_impact[Digitale zorgtoepassing]),0))</f>
        <v>0</v>
      </c>
      <c r="S1103" s="398">
        <f>uitkomst_doelgroep[[#This Row],[Arbeidsbesparing (€)]]*uitkomst_doelgroep[[#This Row],[Percentage van patiëntaantallen in Wlz (overige is Zvw)]]</f>
        <v>1345373.9255070412</v>
      </c>
      <c r="T1103" s="398">
        <f>uitkomst_doelgroep[[#This Row],[Overige besparingen (€)]]*uitkomst_doelgroep[[#This Row],[Percentage van patiëntaantallen in Wlz (overige is Zvw)]]</f>
        <v>662646.85883182625</v>
      </c>
      <c r="U1103" s="398">
        <f>uitkomst_doelgroep[[#This Row],[Kosten (€)]]*uitkomst_doelgroep[[#This Row],[Percentage van patiëntaantallen in Wlz (overige is Zvw)]]</f>
        <v>323018.42497727671</v>
      </c>
      <c r="V1103" s="398">
        <f>uitkomst_doelgroep[[#This Row],[Investering (cash flow) (€)]]*uitkomst_doelgroep[[#This Row],[Percentage van patiëntaantallen in Wlz (overige is Zvw)]]</f>
        <v>0</v>
      </c>
    </row>
    <row r="1104" spans="1:22" x14ac:dyDescent="0.5">
      <c r="A1104" s="33" t="str">
        <f>INDEX(Technologieën[Veld],MATCH(B1104,Technologieën[Digitale zorgtoepassing],0))</f>
        <v>Digitale hulpmiddelen - Verpleging</v>
      </c>
      <c r="B1104" s="33" t="s">
        <v>26</v>
      </c>
      <c r="C1104" s="33" t="s">
        <v>20</v>
      </c>
      <c r="D1104" s="427" cm="1">
        <f t="array" ref="D1104">INDEX(Berekening_patiëntaantal[Percentage van patiëntaantallen in Wlz (overige is Zvw)],MATCH(B1104,IF(Berekening_patiëntaantal[Doelgroep (zoeksleutel)]=C1104,Berekening_patiëntaantal[Digitale zorgtoepassing]),0))</f>
        <v>0.45</v>
      </c>
      <c r="E1104" s="33" t="str" cm="1">
        <f t="array" ref="E1104">INDEX(Berekening_patiëntaantal[Direct toepasbaar/extrapolatie/incidentie voor QALY],MATCH(B1104,IF(Berekening_patiëntaantal[Doelgroep (zoeksleutel)]=C1104,Berekening_patiëntaantal[Digitale zorgtoepassing]),0))</f>
        <v>Huidige toepassing</v>
      </c>
      <c r="F1104" s="33" t="s">
        <v>813</v>
      </c>
      <c r="G1104" s="33" t="str">
        <f>CONCATENATE(uitkomst_doelgroep[[#This Row],[Digitale zorgtoepassing]],"_",uitkomst_doelgroep[[#This Row],[Doelgroep]],"_",uitkomst_doelgroep[[#This Row],[Uitgangssituatie/effect beleid]])</f>
        <v>Medicijndispenser_Dementie_Uitgangssituatie</v>
      </c>
      <c r="H1104" s="33">
        <v>2028</v>
      </c>
      <c r="I1104" s="32">
        <v>6</v>
      </c>
      <c r="J1104" s="406" cm="1">
        <f t="array" ref="J1104">INDEX(implementatie[[2023]:[2034]],MATCH(G1104, implementatie[Zoeksleutel],0),I1104)</f>
        <v>0.87254648226050635</v>
      </c>
      <c r="K1104" s="406" cm="1">
        <f t="array" ref="K1104">INDEX(implementatie[[2023]:[2034]],MATCH(G1104,implementatie[Zoeksleutel],0),I1104 + 1)</f>
        <v>0.9195792000374251</v>
      </c>
      <c r="L110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36809.507664586403</v>
      </c>
      <c r="M1104" s="398" cm="1">
        <f t="array" ref="M1104">J1104*INDEX(Berekening_impact[Totaal arbeidsbesparing (€/jaar)],MATCH(B1104,IF(Berekening_impact[Doelgroep]=C1104,Berekening_impact[Digitale zorgtoepassing]),0))</f>
        <v>162467661.92342052</v>
      </c>
      <c r="N1104" s="397" cm="1">
        <f t="array" ref="N1104">J1104*INDEX(Berekening_impact[Totaal arbeidsbesparing (FTE/jaar)],MATCH(B1104,IF(Berekening_impact[Doelgroep]=C1104,Berekening_impact[Digitale zorgtoepassing]),0))</f>
        <v>3082.5126320041613</v>
      </c>
      <c r="O1104" s="398" cm="1">
        <f t="array" ref="O1104">J1104*INDEX(Berekening_impact[Overige kostenbesparing (totaal/jaar totaal potentieel)],MATCH(B1104,IF(Berekening_impact[Doelgroep]=C1104,Berekening_impact[Digitale zorgtoepassing]),0))</f>
        <v>80021385.723475769</v>
      </c>
      <c r="P1104" s="398" cm="1">
        <f t="array" ref="P1104">J1104*INDEX(Berekening_impact[Opbrengsten door QALY''s],MATCH(B1104,IF(Berekening_impact[Doelgroep]=C1104,Berekening_impact[Digitale zorgtoepassing]),0))</f>
        <v>0</v>
      </c>
      <c r="Q1104" s="398" cm="1">
        <f t="array" ref="Q1104">J1104*INDEX(Berekening_impact[Jaarlijkse kosten (totaal) - incl. schatting],MATCH(B1104,IF(Berekening_impact[Doelgroep]=C1104,Berekening_impact[Digitale zorgtoepassing]),0))</f>
        <v>38999058.838088572</v>
      </c>
      <c r="R1104" s="398" cm="1">
        <f t="array" ref="R1104">(uitkomst_doelgroep[[#This Row],[Implementatiegraad t = T + 1]]-uitkomst_doelgroep[[#This Row],[Implementatiegraad t = T]])*INDEX(Berekening_impact[Initiële investering (totaal) - incl. schatting],MATCH(B1104,IF(Berekening_impact[Doelgroep]=C1104,Berekening_impact[Digitale zorgtoepassing]),0))</f>
        <v>174261.74696748165</v>
      </c>
      <c r="S1104" s="398">
        <f>uitkomst_doelgroep[[#This Row],[Arbeidsbesparing (€)]]*uitkomst_doelgroep[[#This Row],[Percentage van patiëntaantallen in Wlz (overige is Zvw)]]</f>
        <v>73110447.865539238</v>
      </c>
      <c r="T1104" s="398">
        <f>uitkomst_doelgroep[[#This Row],[Overige besparingen (€)]]*uitkomst_doelgroep[[#This Row],[Percentage van patiëntaantallen in Wlz (overige is Zvw)]]</f>
        <v>36009623.575564094</v>
      </c>
      <c r="U1104" s="398">
        <f>uitkomst_doelgroep[[#This Row],[Kosten (€)]]*uitkomst_doelgroep[[#This Row],[Percentage van patiëntaantallen in Wlz (overige is Zvw)]]</f>
        <v>17549576.477139857</v>
      </c>
      <c r="V1104" s="398">
        <f>uitkomst_doelgroep[[#This Row],[Investering (cash flow) (€)]]*uitkomst_doelgroep[[#This Row],[Percentage van patiëntaantallen in Wlz (overige is Zvw)]]</f>
        <v>78417.786135366739</v>
      </c>
    </row>
    <row r="1105" spans="1:22" x14ac:dyDescent="0.5">
      <c r="A1105" s="33" t="str">
        <f>INDEX(Technologieën[Veld],MATCH(B1105,Technologieën[Digitale zorgtoepassing],0))</f>
        <v>Digitale hulpmiddelen - Verpleging</v>
      </c>
      <c r="B1105" s="33" t="s">
        <v>26</v>
      </c>
      <c r="C1105" s="33" t="s">
        <v>27</v>
      </c>
      <c r="D1105" s="427" cm="1">
        <f t="array" ref="D1105">INDEX(Berekening_patiëntaantal[Percentage van patiëntaantallen in Wlz (overige is Zvw)],MATCH(B1105,IF(Berekening_patiëntaantal[Doelgroep (zoeksleutel)]=C1105,Berekening_patiëntaantal[Digitale zorgtoepassing]),0))</f>
        <v>1</v>
      </c>
      <c r="E1105" s="33" t="str" cm="1">
        <f t="array" ref="E1105">INDEX(Berekening_patiëntaantal[Direct toepasbaar/extrapolatie/incidentie voor QALY],MATCH(B1105,IF(Berekening_patiëntaantal[Doelgroep (zoeksleutel)]=C1105,Berekening_patiëntaantal[Digitale zorgtoepassing]),0))</f>
        <v>Huidige toepassing</v>
      </c>
      <c r="F1105" s="33" t="s">
        <v>813</v>
      </c>
      <c r="G1105" s="33" t="str">
        <f>CONCATENATE(uitkomst_doelgroep[[#This Row],[Digitale zorgtoepassing]],"_",uitkomst_doelgroep[[#This Row],[Doelgroep]],"_",uitkomst_doelgroep[[#This Row],[Uitgangssituatie/effect beleid]])</f>
        <v>Medicijndispenser_Parkinson_Uitgangssituatie</v>
      </c>
      <c r="H1105" s="33">
        <v>2028</v>
      </c>
      <c r="I1105" s="32">
        <v>6</v>
      </c>
      <c r="J1105" s="406" cm="1">
        <f t="array" ref="J1105">INDEX(implementatie[[2023]:[2034]],MATCH(G1105, implementatie[Zoeksleutel],0),I1105)</f>
        <v>0.87254648226050635</v>
      </c>
      <c r="K1105" s="406" cm="1">
        <f t="array" ref="K1105">INDEX(implementatie[[2023]:[2034]],MATCH(G1105,implementatie[Zoeksleutel],0),I1105 + 1)</f>
        <v>0.9195792000374251</v>
      </c>
      <c r="L110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8585.3338575540256</v>
      </c>
      <c r="M1105" s="398" cm="1">
        <f t="array" ref="M1105">J1105*INDEX(Berekening_impact[Totaal arbeidsbesparing (€/jaar)],MATCH(B1105,IF(Berekening_impact[Doelgroep]=C1105,Berekening_impact[Digitale zorgtoepassing]),0))</f>
        <v>37893446.752365194</v>
      </c>
      <c r="N1105" s="397" cm="1">
        <f t="array" ref="N1105">J1105*INDEX(Berekening_impact[Totaal arbeidsbesparing (FTE/jaar)],MATCH(B1105,IF(Berekening_impact[Doelgroep]=C1105,Berekening_impact[Digitale zorgtoepassing]),0))</f>
        <v>718.95555645652132</v>
      </c>
      <c r="O1105" s="398" cm="1">
        <f t="array" ref="O1105">J1105*INDEX(Berekening_impact[Overige kostenbesparing (totaal/jaar totaal potentieel)],MATCH(B1105,IF(Berekening_impact[Doelgroep]=C1105,Berekening_impact[Digitale zorgtoepassing]),0))</f>
        <v>18663936.460120171</v>
      </c>
      <c r="P1105" s="398" cm="1">
        <f t="array" ref="P1105">J1105*INDEX(Berekening_impact[Opbrengsten door QALY''s],MATCH(B1105,IF(Berekening_impact[Doelgroep]=C1105,Berekening_impact[Digitale zorgtoepassing]),0))</f>
        <v>0</v>
      </c>
      <c r="Q1105" s="398" cm="1">
        <f t="array" ref="Q1105">J1105*INDEX(Berekening_impact[Jaarlijkse kosten (totaal) - incl. schatting],MATCH(B1105,IF(Berekening_impact[Doelgroep]=C1105,Berekening_impact[Digitale zorgtoepassing]),0))</f>
        <v>9104856.0139837582</v>
      </c>
      <c r="R1105" s="398" cm="1">
        <f t="array" ref="R1105">(uitkomst_doelgroep[[#This Row],[Implementatiegraad t = T + 1]]-uitkomst_doelgroep[[#This Row],[Implementatiegraad t = T]])*INDEX(Berekening_impact[Initiële investering (totaal) - incl. schatting],MATCH(B1105,IF(Berekening_impact[Doelgroep]=C1105,Berekening_impact[Digitale zorgtoepassing]),0))</f>
        <v>75008.149680969596</v>
      </c>
      <c r="S1105" s="398">
        <f>uitkomst_doelgroep[[#This Row],[Arbeidsbesparing (€)]]*uitkomst_doelgroep[[#This Row],[Percentage van patiëntaantallen in Wlz (overige is Zvw)]]</f>
        <v>37893446.752365194</v>
      </c>
      <c r="T1105" s="398">
        <f>uitkomst_doelgroep[[#This Row],[Overige besparingen (€)]]*uitkomst_doelgroep[[#This Row],[Percentage van patiëntaantallen in Wlz (overige is Zvw)]]</f>
        <v>18663936.460120171</v>
      </c>
      <c r="U1105" s="398">
        <f>uitkomst_doelgroep[[#This Row],[Kosten (€)]]*uitkomst_doelgroep[[#This Row],[Percentage van patiëntaantallen in Wlz (overige is Zvw)]]</f>
        <v>9104856.0139837582</v>
      </c>
      <c r="V1105" s="398">
        <f>uitkomst_doelgroep[[#This Row],[Investering (cash flow) (€)]]*uitkomst_doelgroep[[#This Row],[Percentage van patiëntaantallen in Wlz (overige is Zvw)]]</f>
        <v>75008.149680969596</v>
      </c>
    </row>
    <row r="1106" spans="1:22" x14ac:dyDescent="0.5">
      <c r="A1106" s="33" t="str">
        <f>INDEX(Technologieën[Veld],MATCH(B1106,Technologieën[Digitale zorgtoepassing],0))</f>
        <v>Digitale hulpmiddelen - Verpleging</v>
      </c>
      <c r="B1106" s="33" t="s">
        <v>26</v>
      </c>
      <c r="C1106" s="33" t="s">
        <v>29</v>
      </c>
      <c r="D1106" s="427" cm="1">
        <f t="array" ref="D1106">INDEX(Berekening_patiëntaantal[Percentage van patiëntaantallen in Wlz (overige is Zvw)],MATCH(B1106,IF(Berekening_patiëntaantal[Doelgroep (zoeksleutel)]=C1106,Berekening_patiëntaantal[Digitale zorgtoepassing]),0))</f>
        <v>0.70000000000000007</v>
      </c>
      <c r="E1106" s="33" t="str" cm="1">
        <f t="array" ref="E1106">INDEX(Berekening_patiëntaantal[Direct toepasbaar/extrapolatie/incidentie voor QALY],MATCH(B1106,IF(Berekening_patiëntaantal[Doelgroep (zoeksleutel)]=C1106,Berekening_patiëntaantal[Digitale zorgtoepassing]),0))</f>
        <v>Huidige toepassing</v>
      </c>
      <c r="F1106" s="33" t="s">
        <v>813</v>
      </c>
      <c r="G1106" s="33" t="str">
        <f>CONCATENATE(uitkomst_doelgroep[[#This Row],[Digitale zorgtoepassing]],"_",uitkomst_doelgroep[[#This Row],[Doelgroep]],"_",uitkomst_doelgroep[[#This Row],[Uitgangssituatie/effect beleid]])</f>
        <v>Medicijndispenser_Reumatische aandoening _Uitgangssituatie</v>
      </c>
      <c r="H1106" s="33">
        <v>2028</v>
      </c>
      <c r="I1106" s="32">
        <v>6</v>
      </c>
      <c r="J1106" s="406" cm="1">
        <f t="array" ref="J1106">INDEX(implementatie[[2023]:[2034]],MATCH(G1106, implementatie[Zoeksleutel],0),I1106)</f>
        <v>0.87254648226050635</v>
      </c>
      <c r="K1106" s="406" cm="1">
        <f t="array" ref="K1106">INDEX(implementatie[[2023]:[2034]],MATCH(G1106,implementatie[Zoeksleutel],0),I1106 + 1)</f>
        <v>0.9195792000374251</v>
      </c>
      <c r="L110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67786.391113854217</v>
      </c>
      <c r="M1106" s="398" cm="1">
        <f t="array" ref="M1106">J1106*INDEX(Berekening_impact[Totaal arbeidsbesparing (€/jaar)],MATCH(B1106,IF(Berekening_impact[Doelgroep]=C1106,Berekening_impact[Digitale zorgtoepassing]),0))</f>
        <v>299191626.6538353</v>
      </c>
      <c r="N1106" s="397" cm="1">
        <f t="array" ref="N1106">J1106*INDEX(Berekening_impact[Totaal arbeidsbesparing (FTE/jaar)],MATCH(B1106,IF(Berekening_impact[Doelgroep]=C1106,Berekening_impact[Digitale zorgtoepassing]),0))</f>
        <v>5676.587929141434</v>
      </c>
      <c r="O1106" s="398" cm="1">
        <f t="array" ref="O1106">J1106*INDEX(Berekening_impact[Overige kostenbesparing (totaal/jaar totaal potentieel)],MATCH(B1106,IF(Berekening_impact[Doelgroep]=C1106,Berekening_impact[Digitale zorgtoepassing]),0))</f>
        <v>147363039.99368009</v>
      </c>
      <c r="P1106" s="398" cm="1">
        <f t="array" ref="P1106">J1106*INDEX(Berekening_impact[Opbrengsten door QALY''s],MATCH(B1106,IF(Berekening_impact[Doelgroep]=C1106,Berekening_impact[Digitale zorgtoepassing]),0))</f>
        <v>0</v>
      </c>
      <c r="Q1106" s="398" cm="1">
        <f t="array" ref="Q1106">J1106*INDEX(Berekening_impact[Jaarlijkse kosten (totaal) - incl. schatting],MATCH(B1106,IF(Berekening_impact[Doelgroep]=C1106,Berekening_impact[Digitale zorgtoepassing]),0))</f>
        <v>71813714.784863353</v>
      </c>
      <c r="R1106" s="398" cm="1">
        <f t="array" ref="R1106">(uitkomst_doelgroep[[#This Row],[Implementatiegraad t = T + 1]]-uitkomst_doelgroep[[#This Row],[Implementatiegraad t = T]])*INDEX(Berekening_impact[Initiële investering (totaal) - incl. schatting],MATCH(B1106,IF(Berekening_impact[Doelgroep]=C1106,Berekening_impact[Digitale zorgtoepassing]),0))</f>
        <v>249128.25748799241</v>
      </c>
      <c r="S1106" s="398">
        <f>uitkomst_doelgroep[[#This Row],[Arbeidsbesparing (€)]]*uitkomst_doelgroep[[#This Row],[Percentage van patiëntaantallen in Wlz (overige is Zvw)]]</f>
        <v>209434138.65768471</v>
      </c>
      <c r="T1106" s="398">
        <f>uitkomst_doelgroep[[#This Row],[Overige besparingen (€)]]*uitkomst_doelgroep[[#This Row],[Percentage van patiëntaantallen in Wlz (overige is Zvw)]]</f>
        <v>103154127.99557607</v>
      </c>
      <c r="U1106" s="398">
        <f>uitkomst_doelgroep[[#This Row],[Kosten (€)]]*uitkomst_doelgroep[[#This Row],[Percentage van patiëntaantallen in Wlz (overige is Zvw)]]</f>
        <v>50269600.34940435</v>
      </c>
      <c r="V1106" s="398">
        <f>uitkomst_doelgroep[[#This Row],[Investering (cash flow) (€)]]*uitkomst_doelgroep[[#This Row],[Percentage van patiëntaantallen in Wlz (overige is Zvw)]]</f>
        <v>174389.78024159471</v>
      </c>
    </row>
    <row r="1107" spans="1:22" x14ac:dyDescent="0.5">
      <c r="A1107" s="33" t="str">
        <f>INDEX(Technologieën[Veld],MATCH(B1107,Technologieën[Digitale zorgtoepassing],0))</f>
        <v>Digitale hulpmiddelen - Verpleging</v>
      </c>
      <c r="B1107" s="33" t="s">
        <v>26</v>
      </c>
      <c r="C1107" s="33" t="s">
        <v>24</v>
      </c>
      <c r="D1107" s="427" cm="1">
        <f t="array" ref="D1107">INDEX(Berekening_patiëntaantal[Percentage van patiëntaantallen in Wlz (overige is Zvw)],MATCH(B1107,IF(Berekening_patiëntaantal[Doelgroep (zoeksleutel)]=C1107,Berekening_patiëntaantal[Digitale zorgtoepassing]),0))</f>
        <v>0.45</v>
      </c>
      <c r="E1107" s="33" t="str" cm="1">
        <f t="array" ref="E1107">INDEX(Berekening_patiëntaantal[Direct toepasbaar/extrapolatie/incidentie voor QALY],MATCH(B1107,IF(Berekening_patiëntaantal[Doelgroep (zoeksleutel)]=C1107,Berekening_patiëntaantal[Digitale zorgtoepassing]),0))</f>
        <v>Extrapolatie</v>
      </c>
      <c r="F1107" s="33" t="s">
        <v>813</v>
      </c>
      <c r="G1107" s="33" t="str">
        <f>CONCATENATE(uitkomst_doelgroep[[#This Row],[Digitale zorgtoepassing]],"_",uitkomst_doelgroep[[#This Row],[Doelgroep]],"_",uitkomst_doelgroep[[#This Row],[Uitgangssituatie/effect beleid]])</f>
        <v>Medicijndispenser_Cognitieve beperking_Uitgangssituatie</v>
      </c>
      <c r="H1107" s="33">
        <v>2029</v>
      </c>
      <c r="I1107" s="32">
        <v>7</v>
      </c>
      <c r="J1107" s="406" cm="1">
        <f t="array" ref="J1107">INDEX(implementatie[[2023]:[2034]],MATCH(G1107, implementatie[Zoeksleutel],0),I1107)</f>
        <v>0.13384180086769301</v>
      </c>
      <c r="K1107" s="406" cm="1">
        <f t="array" ref="K1107">INDEX(implementatie[[2023]:[2034]],MATCH(G1107,implementatie[Zoeksleutel],0),I1107 + 1)</f>
        <v>0.19753623413361349</v>
      </c>
      <c r="L110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1072.0487334260649</v>
      </c>
      <c r="M1107" s="398" cm="1">
        <f t="array" ref="M1107">J1107*INDEX(Berekening_impact[Totaal arbeidsbesparing (€/jaar)],MATCH(B1107,IF(Berekening_impact[Doelgroep]=C1107,Berekening_impact[Digitale zorgtoepassing]),0))</f>
        <v>4731746.2861712016</v>
      </c>
      <c r="N1107" s="397" cm="1">
        <f t="array" ref="N1107">J1107*INDEX(Berekening_impact[Totaal arbeidsbesparing (FTE/jaar)],MATCH(B1107,IF(Berekening_impact[Doelgroep]=C1107,Berekening_impact[Digitale zorgtoepassing]),0))</f>
        <v>89.775820774945913</v>
      </c>
      <c r="O1107" s="398" cm="1">
        <f t="array" ref="O1107">J1107*INDEX(Berekening_impact[Overige kostenbesparing (totaal/jaar totaal potentieel)],MATCH(B1107,IF(Berekening_impact[Doelgroep]=C1107,Berekening_impact[Digitale zorgtoepassing]),0))</f>
        <v>2330561.6036365619</v>
      </c>
      <c r="P1107" s="398" cm="1">
        <f t="array" ref="P1107">J1107*INDEX(Berekening_impact[Opbrengsten door QALY''s],MATCH(B1107,IF(Berekening_impact[Doelgroep]=C1107,Berekening_impact[Digitale zorgtoepassing]),0))</f>
        <v>0</v>
      </c>
      <c r="Q1107" s="398" cm="1">
        <f t="array" ref="Q1107">J1107*INDEX(Berekening_impact[Jaarlijkse kosten (totaal) - incl. schatting],MATCH(B1107,IF(Berekening_impact[Doelgroep]=C1107,Berekening_impact[Digitale zorgtoepassing]),0))</f>
        <v>1136071.6926151703</v>
      </c>
      <c r="R1107" s="398" cm="1">
        <f t="array" ref="R1107">(uitkomst_doelgroep[[#This Row],[Implementatiegraad t = T + 1]]-uitkomst_doelgroep[[#This Row],[Implementatiegraad t = T]])*INDEX(Berekening_impact[Initiële investering (totaal) - incl. schatting],MATCH(B1107,IF(Berekening_impact[Doelgroep]=C1107,Berekening_impact[Digitale zorgtoepassing]),0))</f>
        <v>0</v>
      </c>
      <c r="S1107" s="398">
        <f>uitkomst_doelgroep[[#This Row],[Arbeidsbesparing (€)]]*uitkomst_doelgroep[[#This Row],[Percentage van patiëntaantallen in Wlz (overige is Zvw)]]</f>
        <v>2129285.8287770408</v>
      </c>
      <c r="T1107" s="398">
        <f>uitkomst_doelgroep[[#This Row],[Overige besparingen (€)]]*uitkomst_doelgroep[[#This Row],[Percentage van patiëntaantallen in Wlz (overige is Zvw)]]</f>
        <v>1048752.7216364529</v>
      </c>
      <c r="U1107" s="398">
        <f>uitkomst_doelgroep[[#This Row],[Kosten (€)]]*uitkomst_doelgroep[[#This Row],[Percentage van patiëntaantallen in Wlz (overige is Zvw)]]</f>
        <v>511232.26167682663</v>
      </c>
      <c r="V1107" s="398">
        <f>uitkomst_doelgroep[[#This Row],[Investering (cash flow) (€)]]*uitkomst_doelgroep[[#This Row],[Percentage van patiëntaantallen in Wlz (overige is Zvw)]]</f>
        <v>0</v>
      </c>
    </row>
    <row r="1108" spans="1:22" x14ac:dyDescent="0.5">
      <c r="A1108" s="33" t="str">
        <f>INDEX(Technologieën[Veld],MATCH(B1108,Technologieën[Digitale zorgtoepassing],0))</f>
        <v>Digitale hulpmiddelen - Verpleging</v>
      </c>
      <c r="B1108" s="33" t="s">
        <v>26</v>
      </c>
      <c r="C1108" s="33" t="s">
        <v>20</v>
      </c>
      <c r="D1108" s="427" cm="1">
        <f t="array" ref="D1108">INDEX(Berekening_patiëntaantal[Percentage van patiëntaantallen in Wlz (overige is Zvw)],MATCH(B1108,IF(Berekening_patiëntaantal[Doelgroep (zoeksleutel)]=C1108,Berekening_patiëntaantal[Digitale zorgtoepassing]),0))</f>
        <v>0.45</v>
      </c>
      <c r="E1108" s="33" t="str" cm="1">
        <f t="array" ref="E1108">INDEX(Berekening_patiëntaantal[Direct toepasbaar/extrapolatie/incidentie voor QALY],MATCH(B1108,IF(Berekening_patiëntaantal[Doelgroep (zoeksleutel)]=C1108,Berekening_patiëntaantal[Digitale zorgtoepassing]),0))</f>
        <v>Huidige toepassing</v>
      </c>
      <c r="F1108" s="33" t="s">
        <v>813</v>
      </c>
      <c r="G1108" s="33" t="str">
        <f>CONCATENATE(uitkomst_doelgroep[[#This Row],[Digitale zorgtoepassing]],"_",uitkomst_doelgroep[[#This Row],[Doelgroep]],"_",uitkomst_doelgroep[[#This Row],[Uitgangssituatie/effect beleid]])</f>
        <v>Medicijndispenser_Dementie_Uitgangssituatie</v>
      </c>
      <c r="H1108" s="33">
        <v>2029</v>
      </c>
      <c r="I1108" s="32">
        <v>7</v>
      </c>
      <c r="J1108" s="406" cm="1">
        <f t="array" ref="J1108">INDEX(implementatie[[2023]:[2034]],MATCH(G1108, implementatie[Zoeksleutel],0),I1108)</f>
        <v>0.9195792000374251</v>
      </c>
      <c r="K1108" s="406" cm="1">
        <f t="array" ref="K1108">INDEX(implementatie[[2023]:[2034]],MATCH(G1108,implementatie[Zoeksleutel],0),I1108 + 1)</f>
        <v>0.95076893399505846</v>
      </c>
      <c r="L110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38793.644006538831</v>
      </c>
      <c r="M1108" s="398" cm="1">
        <f t="array" ref="M1108">J1108*INDEX(Berekening_impact[Totaal arbeidsbesparing (€/jaar)],MATCH(B1108,IF(Berekening_impact[Doelgroep]=C1108,Berekening_impact[Digitale zorgtoepassing]),0))</f>
        <v>171225127.39543042</v>
      </c>
      <c r="N1108" s="397" cm="1">
        <f t="array" ref="N1108">J1108*INDEX(Berekening_impact[Totaal arbeidsbesparing (FTE/jaar)],MATCH(B1108,IF(Berekening_impact[Doelgroep]=C1108,Berekening_impact[Digitale zorgtoepassing]),0))</f>
        <v>3248.6687619208637</v>
      </c>
      <c r="O1108" s="398" cm="1">
        <f t="array" ref="O1108">J1108*INDEX(Berekening_impact[Overige kostenbesparing (totaal/jaar totaal potentieel)],MATCH(B1108,IF(Berekening_impact[Doelgroep]=C1108,Berekening_impact[Digitale zorgtoepassing]),0))</f>
        <v>84334764.239540353</v>
      </c>
      <c r="P1108" s="398" cm="1">
        <f t="array" ref="P1108">J1108*INDEX(Berekening_impact[Opbrengsten door QALY''s],MATCH(B1108,IF(Berekening_impact[Doelgroep]=C1108,Berekening_impact[Digitale zorgtoepassing]),0))</f>
        <v>0</v>
      </c>
      <c r="Q1108" s="398" cm="1">
        <f t="array" ref="Q1108">J1108*INDEX(Berekening_impact[Jaarlijkse kosten (totaal) - incl. schatting],MATCH(B1108,IF(Berekening_impact[Doelgroep]=C1108,Berekening_impact[Digitale zorgtoepassing]),0))</f>
        <v>41101218.167348973</v>
      </c>
      <c r="R1108" s="398" cm="1">
        <f t="array" ref="R1108">(uitkomst_doelgroep[[#This Row],[Implementatiegraad t = T + 1]]-uitkomst_doelgroep[[#This Row],[Implementatiegraad t = T]])*INDEX(Berekening_impact[Initiële investering (totaal) - incl. schatting],MATCH(B1108,IF(Berekening_impact[Doelgroep]=C1108,Berekening_impact[Digitale zorgtoepassing]),0))</f>
        <v>115561.62994211407</v>
      </c>
      <c r="S1108" s="398">
        <f>uitkomst_doelgroep[[#This Row],[Arbeidsbesparing (€)]]*uitkomst_doelgroep[[#This Row],[Percentage van patiëntaantallen in Wlz (overige is Zvw)]]</f>
        <v>77051307.327943683</v>
      </c>
      <c r="T1108" s="398">
        <f>uitkomst_doelgroep[[#This Row],[Overige besparingen (€)]]*uitkomst_doelgroep[[#This Row],[Percentage van patiëntaantallen in Wlz (overige is Zvw)]]</f>
        <v>37950643.907793157</v>
      </c>
      <c r="U1108" s="398">
        <f>uitkomst_doelgroep[[#This Row],[Kosten (€)]]*uitkomst_doelgroep[[#This Row],[Percentage van patiëntaantallen in Wlz (overige is Zvw)]]</f>
        <v>18495548.175307039</v>
      </c>
      <c r="V1108" s="398">
        <f>uitkomst_doelgroep[[#This Row],[Investering (cash flow) (€)]]*uitkomst_doelgroep[[#This Row],[Percentage van patiëntaantallen in Wlz (overige is Zvw)]]</f>
        <v>52002.733473951332</v>
      </c>
    </row>
    <row r="1109" spans="1:22" x14ac:dyDescent="0.5">
      <c r="A1109" s="33" t="str">
        <f>INDEX(Technologieën[Veld],MATCH(B1109,Technologieën[Digitale zorgtoepassing],0))</f>
        <v>Digitale hulpmiddelen - Verpleging</v>
      </c>
      <c r="B1109" s="33" t="s">
        <v>26</v>
      </c>
      <c r="C1109" s="33" t="s">
        <v>27</v>
      </c>
      <c r="D1109" s="427" cm="1">
        <f t="array" ref="D1109">INDEX(Berekening_patiëntaantal[Percentage van patiëntaantallen in Wlz (overige is Zvw)],MATCH(B1109,IF(Berekening_patiëntaantal[Doelgroep (zoeksleutel)]=C1109,Berekening_patiëntaantal[Digitale zorgtoepassing]),0))</f>
        <v>1</v>
      </c>
      <c r="E1109" s="33" t="str" cm="1">
        <f t="array" ref="E1109">INDEX(Berekening_patiëntaantal[Direct toepasbaar/extrapolatie/incidentie voor QALY],MATCH(B1109,IF(Berekening_patiëntaantal[Doelgroep (zoeksleutel)]=C1109,Berekening_patiëntaantal[Digitale zorgtoepassing]),0))</f>
        <v>Huidige toepassing</v>
      </c>
      <c r="F1109" s="33" t="s">
        <v>813</v>
      </c>
      <c r="G1109" s="33" t="str">
        <f>CONCATENATE(uitkomst_doelgroep[[#This Row],[Digitale zorgtoepassing]],"_",uitkomst_doelgroep[[#This Row],[Doelgroep]],"_",uitkomst_doelgroep[[#This Row],[Uitgangssituatie/effect beleid]])</f>
        <v>Medicijndispenser_Parkinson_Uitgangssituatie</v>
      </c>
      <c r="H1109" s="33">
        <v>2029</v>
      </c>
      <c r="I1109" s="32">
        <v>7</v>
      </c>
      <c r="J1109" s="406" cm="1">
        <f t="array" ref="J1109">INDEX(implementatie[[2023]:[2034]],MATCH(G1109, implementatie[Zoeksleutel],0),I1109)</f>
        <v>0.9195792000374251</v>
      </c>
      <c r="K1109" s="406" cm="1">
        <f t="array" ref="K1109">INDEX(implementatie[[2023]:[2034]],MATCH(G1109,implementatie[Zoeksleutel],0),I1109 + 1)</f>
        <v>0.95076893399505846</v>
      </c>
      <c r="L110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9048.1075808482401</v>
      </c>
      <c r="M1109" s="398" cm="1">
        <f t="array" ref="M1109">J1109*INDEX(Berekening_impact[Totaal arbeidsbesparing (€/jaar)],MATCH(B1109,IF(Berekening_impact[Doelgroep]=C1109,Berekening_impact[Digitale zorgtoepassing]),0))</f>
        <v>39936010.470095702</v>
      </c>
      <c r="N1109" s="397" cm="1">
        <f t="array" ref="N1109">J1109*INDEX(Berekening_impact[Totaal arbeidsbesparing (FTE/jaar)],MATCH(B1109,IF(Berekening_impact[Doelgroep]=C1109,Berekening_impact[Digitale zorgtoepassing]),0))</f>
        <v>757.70928988899595</v>
      </c>
      <c r="O1109" s="398" cm="1">
        <f t="array" ref="O1109">J1109*INDEX(Berekening_impact[Overige kostenbesparing (totaal/jaar totaal potentieel)],MATCH(B1109,IF(Berekening_impact[Doelgroep]=C1109,Berekening_impact[Digitale zorgtoepassing]),0))</f>
        <v>19669975.306166537</v>
      </c>
      <c r="P1109" s="398" cm="1">
        <f t="array" ref="P1109">J1109*INDEX(Berekening_impact[Opbrengsten door QALY''s],MATCH(B1109,IF(Berekening_impact[Doelgroep]=C1109,Berekening_impact[Digitale zorgtoepassing]),0))</f>
        <v>0</v>
      </c>
      <c r="Q1109" s="398" cm="1">
        <f t="array" ref="Q1109">J1109*INDEX(Berekening_impact[Jaarlijkse kosten (totaal) - incl. schatting],MATCH(B1109,IF(Berekening_impact[Doelgroep]=C1109,Berekening_impact[Digitale zorgtoepassing]),0))</f>
        <v>9595633.447634941</v>
      </c>
      <c r="R1109" s="398" cm="1">
        <f t="array" ref="R1109">(uitkomst_doelgroep[[#This Row],[Implementatiegraad t = T + 1]]-uitkomst_doelgroep[[#This Row],[Implementatiegraad t = T]])*INDEX(Berekening_impact[Initiële investering (totaal) - incl. schatting],MATCH(B1109,IF(Berekening_impact[Doelgroep]=C1109,Berekening_impact[Digitale zorgtoepassing]),0))</f>
        <v>49741.633989773007</v>
      </c>
      <c r="S1109" s="398">
        <f>uitkomst_doelgroep[[#This Row],[Arbeidsbesparing (€)]]*uitkomst_doelgroep[[#This Row],[Percentage van patiëntaantallen in Wlz (overige is Zvw)]]</f>
        <v>39936010.470095702</v>
      </c>
      <c r="T1109" s="398">
        <f>uitkomst_doelgroep[[#This Row],[Overige besparingen (€)]]*uitkomst_doelgroep[[#This Row],[Percentage van patiëntaantallen in Wlz (overige is Zvw)]]</f>
        <v>19669975.306166537</v>
      </c>
      <c r="U1109" s="398">
        <f>uitkomst_doelgroep[[#This Row],[Kosten (€)]]*uitkomst_doelgroep[[#This Row],[Percentage van patiëntaantallen in Wlz (overige is Zvw)]]</f>
        <v>9595633.447634941</v>
      </c>
      <c r="V1109" s="398">
        <f>uitkomst_doelgroep[[#This Row],[Investering (cash flow) (€)]]*uitkomst_doelgroep[[#This Row],[Percentage van patiëntaantallen in Wlz (overige is Zvw)]]</f>
        <v>49741.633989773007</v>
      </c>
    </row>
    <row r="1110" spans="1:22" x14ac:dyDescent="0.5">
      <c r="A1110" s="33" t="str">
        <f>INDEX(Technologieën[Veld],MATCH(B1110,Technologieën[Digitale zorgtoepassing],0))</f>
        <v>Digitale hulpmiddelen - Verpleging</v>
      </c>
      <c r="B1110" s="33" t="s">
        <v>26</v>
      </c>
      <c r="C1110" s="33" t="s">
        <v>29</v>
      </c>
      <c r="D1110" s="427" cm="1">
        <f t="array" ref="D1110">INDEX(Berekening_patiëntaantal[Percentage van patiëntaantallen in Wlz (overige is Zvw)],MATCH(B1110,IF(Berekening_patiëntaantal[Doelgroep (zoeksleutel)]=C1110,Berekening_patiëntaantal[Digitale zorgtoepassing]),0))</f>
        <v>0.70000000000000007</v>
      </c>
      <c r="E1110" s="33" t="str" cm="1">
        <f t="array" ref="E1110">INDEX(Berekening_patiëntaantal[Direct toepasbaar/extrapolatie/incidentie voor QALY],MATCH(B1110,IF(Berekening_patiëntaantal[Doelgroep (zoeksleutel)]=C1110,Berekening_patiëntaantal[Digitale zorgtoepassing]),0))</f>
        <v>Huidige toepassing</v>
      </c>
      <c r="F1110" s="33" t="s">
        <v>813</v>
      </c>
      <c r="G1110" s="33" t="str">
        <f>CONCATENATE(uitkomst_doelgroep[[#This Row],[Digitale zorgtoepassing]],"_",uitkomst_doelgroep[[#This Row],[Doelgroep]],"_",uitkomst_doelgroep[[#This Row],[Uitgangssituatie/effect beleid]])</f>
        <v>Medicijndispenser_Reumatische aandoening _Uitgangssituatie</v>
      </c>
      <c r="H1110" s="33">
        <v>2029</v>
      </c>
      <c r="I1110" s="32">
        <v>7</v>
      </c>
      <c r="J1110" s="406" cm="1">
        <f t="array" ref="J1110">INDEX(implementatie[[2023]:[2034]],MATCH(G1110, implementatie[Zoeksleutel],0),I1110)</f>
        <v>0.9195792000374251</v>
      </c>
      <c r="K1110" s="406" cm="1">
        <f t="array" ref="K1110">INDEX(implementatie[[2023]:[2034]],MATCH(G1110,implementatie[Zoeksleutel],0),I1110 + 1)</f>
        <v>0.95076893399505846</v>
      </c>
      <c r="L111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71440.268892507476</v>
      </c>
      <c r="M1110" s="398" cm="1">
        <f t="array" ref="M1110">J1110*INDEX(Berekening_impact[Totaal arbeidsbesparing (€/jaar)],MATCH(B1110,IF(Berekening_impact[Doelgroep]=C1110,Berekening_impact[Digitale zorgtoepassing]),0))</f>
        <v>315318899.6687597</v>
      </c>
      <c r="N1110" s="397" cm="1">
        <f t="array" ref="N1110">J1110*INDEX(Berekening_impact[Totaal arbeidsbesparing (FTE/jaar)],MATCH(B1110,IF(Berekening_impact[Doelgroep]=C1110,Berekening_impact[Digitale zorgtoepassing]),0))</f>
        <v>5982.5720382235013</v>
      </c>
      <c r="O1110" s="398" cm="1">
        <f t="array" ref="O1110">J1110*INDEX(Berekening_impact[Overige kostenbesparing (totaal/jaar totaal potentieel)],MATCH(B1110,IF(Berekening_impact[Doelgroep]=C1110,Berekening_impact[Digitale zorgtoepassing]),0))</f>
        <v>155306323.71744883</v>
      </c>
      <c r="P1110" s="398" cm="1">
        <f t="array" ref="P1110">J1110*INDEX(Berekening_impact[Opbrengsten door QALY''s],MATCH(B1110,IF(Berekening_impact[Doelgroep]=C1110,Berekening_impact[Digitale zorgtoepassing]),0))</f>
        <v>0</v>
      </c>
      <c r="Q1110" s="398" cm="1">
        <f t="array" ref="Q1110">J1110*INDEX(Berekening_impact[Jaarlijkse kosten (totaal) - incl. schatting],MATCH(B1110,IF(Berekening_impact[Doelgroep]=C1110,Berekening_impact[Digitale zorgtoepassing]),0))</f>
        <v>75684676.674754053</v>
      </c>
      <c r="R1110" s="398" cm="1">
        <f t="array" ref="R1110">(uitkomst_doelgroep[[#This Row],[Implementatiegraad t = T + 1]]-uitkomst_doelgroep[[#This Row],[Implementatiegraad t = T]])*INDEX(Berekening_impact[Initiële investering (totaal) - incl. schatting],MATCH(B1110,IF(Berekening_impact[Doelgroep]=C1110,Berekening_impact[Digitale zorgtoepassing]),0))</f>
        <v>165209.33596128481</v>
      </c>
      <c r="S1110" s="398">
        <f>uitkomst_doelgroep[[#This Row],[Arbeidsbesparing (€)]]*uitkomst_doelgroep[[#This Row],[Percentage van patiëntaantallen in Wlz (overige is Zvw)]]</f>
        <v>220723229.76813182</v>
      </c>
      <c r="T1110" s="398">
        <f>uitkomst_doelgroep[[#This Row],[Overige besparingen (€)]]*uitkomst_doelgroep[[#This Row],[Percentage van patiëntaantallen in Wlz (overige is Zvw)]]</f>
        <v>108714426.60221419</v>
      </c>
      <c r="U1110" s="398">
        <f>uitkomst_doelgroep[[#This Row],[Kosten (€)]]*uitkomst_doelgroep[[#This Row],[Percentage van patiëntaantallen in Wlz (overige is Zvw)]]</f>
        <v>52979273.672327839</v>
      </c>
      <c r="V1110" s="398">
        <f>uitkomst_doelgroep[[#This Row],[Investering (cash flow) (€)]]*uitkomst_doelgroep[[#This Row],[Percentage van patiëntaantallen in Wlz (overige is Zvw)]]</f>
        <v>115646.53517289938</v>
      </c>
    </row>
    <row r="1111" spans="1:22" x14ac:dyDescent="0.5">
      <c r="A1111" s="33" t="str">
        <f>INDEX(Technologieën[Veld],MATCH(B1111,Technologieën[Digitale zorgtoepassing],0))</f>
        <v>Digitale hulpmiddelen - Verpleging</v>
      </c>
      <c r="B1111" s="33" t="s">
        <v>26</v>
      </c>
      <c r="C1111" s="33" t="s">
        <v>24</v>
      </c>
      <c r="D1111" s="427" cm="1">
        <f t="array" ref="D1111">INDEX(Berekening_patiëntaantal[Percentage van patiëntaantallen in Wlz (overige is Zvw)],MATCH(B1111,IF(Berekening_patiëntaantal[Doelgroep (zoeksleutel)]=C1111,Berekening_patiëntaantal[Digitale zorgtoepassing]),0))</f>
        <v>0.45</v>
      </c>
      <c r="E1111" s="33" t="str" cm="1">
        <f t="array" ref="E1111">INDEX(Berekening_patiëntaantal[Direct toepasbaar/extrapolatie/incidentie voor QALY],MATCH(B1111,IF(Berekening_patiëntaantal[Doelgroep (zoeksleutel)]=C1111,Berekening_patiëntaantal[Digitale zorgtoepassing]),0))</f>
        <v>Extrapolatie</v>
      </c>
      <c r="F1111" s="33" t="s">
        <v>813</v>
      </c>
      <c r="G1111" s="33" t="str">
        <f>CONCATENATE(uitkomst_doelgroep[[#This Row],[Digitale zorgtoepassing]],"_",uitkomst_doelgroep[[#This Row],[Doelgroep]],"_",uitkomst_doelgroep[[#This Row],[Uitgangssituatie/effect beleid]])</f>
        <v>Medicijndispenser_Cognitieve beperking_Uitgangssituatie</v>
      </c>
      <c r="H1111" s="33">
        <v>2030</v>
      </c>
      <c r="I1111" s="32">
        <v>8</v>
      </c>
      <c r="J1111" s="406" cm="1">
        <f t="array" ref="J1111">INDEX(implementatie[[2023]:[2034]],MATCH(G1111, implementatie[Zoeksleutel],0),I1111)</f>
        <v>0.19753623413361349</v>
      </c>
      <c r="K1111" s="406" cm="1">
        <f t="array" ref="K1111">INDEX(implementatie[[2023]:[2034]],MATCH(G1111,implementatie[Zoeksleutel],0),I1111 + 1)</f>
        <v>0.27699177758611071</v>
      </c>
      <c r="L111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1582.2296788881001</v>
      </c>
      <c r="M1111" s="398" cm="1">
        <f t="array" ref="M1111">J1111*INDEX(Berekening_impact[Totaal arbeidsbesparing (€/jaar)],MATCH(B1111,IF(Berekening_impact[Doelgroep]=C1111,Berekening_impact[Digitale zorgtoepassing]),0))</f>
        <v>6983553.2411129428</v>
      </c>
      <c r="N1111" s="397" cm="1">
        <f t="array" ref="N1111">J1111*INDEX(Berekening_impact[Totaal arbeidsbesparing (FTE/jaar)],MATCH(B1111,IF(Berekening_impact[Doelgroep]=C1111,Berekening_impact[Digitale zorgtoepassing]),0))</f>
        <v>132.49954376859927</v>
      </c>
      <c r="O1111" s="398" cm="1">
        <f t="array" ref="O1111">J1111*INDEX(Berekening_impact[Overige kostenbesparing (totaal/jaar totaal potentieel)],MATCH(B1111,IF(Berekening_impact[Doelgroep]=C1111,Berekening_impact[Digitale zorgtoepassing]),0))</f>
        <v>3439660.5515929419</v>
      </c>
      <c r="P1111" s="398" cm="1">
        <f t="array" ref="P1111">J1111*INDEX(Berekening_impact[Opbrengsten door QALY''s],MATCH(B1111,IF(Berekening_impact[Doelgroep]=C1111,Berekening_impact[Digitale zorgtoepassing]),0))</f>
        <v>0</v>
      </c>
      <c r="Q1111" s="398" cm="1">
        <f t="array" ref="Q1111">J1111*INDEX(Berekening_impact[Jaarlijkse kosten (totaal) - incl. schatting],MATCH(B1111,IF(Berekening_impact[Doelgroep]=C1111,Berekening_impact[Digitale zorgtoepassing]),0))</f>
        <v>1676720.7435204992</v>
      </c>
      <c r="R1111" s="398" cm="1">
        <f t="array" ref="R1111">(uitkomst_doelgroep[[#This Row],[Implementatiegraad t = T + 1]]-uitkomst_doelgroep[[#This Row],[Implementatiegraad t = T]])*INDEX(Berekening_impact[Initiële investering (totaal) - incl. schatting],MATCH(B1111,IF(Berekening_impact[Doelgroep]=C1111,Berekening_impact[Digitale zorgtoepassing]),0))</f>
        <v>0</v>
      </c>
      <c r="S1111" s="398">
        <f>uitkomst_doelgroep[[#This Row],[Arbeidsbesparing (€)]]*uitkomst_doelgroep[[#This Row],[Percentage van patiëntaantallen in Wlz (overige is Zvw)]]</f>
        <v>3142598.9585008244</v>
      </c>
      <c r="T1111" s="398">
        <f>uitkomst_doelgroep[[#This Row],[Overige besparingen (€)]]*uitkomst_doelgroep[[#This Row],[Percentage van patiëntaantallen in Wlz (overige is Zvw)]]</f>
        <v>1547847.2482168239</v>
      </c>
      <c r="U1111" s="398">
        <f>uitkomst_doelgroep[[#This Row],[Kosten (€)]]*uitkomst_doelgroep[[#This Row],[Percentage van patiëntaantallen in Wlz (overige is Zvw)]]</f>
        <v>754524.33458422462</v>
      </c>
      <c r="V1111" s="398">
        <f>uitkomst_doelgroep[[#This Row],[Investering (cash flow) (€)]]*uitkomst_doelgroep[[#This Row],[Percentage van patiëntaantallen in Wlz (overige is Zvw)]]</f>
        <v>0</v>
      </c>
    </row>
    <row r="1112" spans="1:22" x14ac:dyDescent="0.5">
      <c r="A1112" s="33" t="str">
        <f>INDEX(Technologieën[Veld],MATCH(B1112,Technologieën[Digitale zorgtoepassing],0))</f>
        <v>Digitale hulpmiddelen - Verpleging</v>
      </c>
      <c r="B1112" s="33" t="s">
        <v>26</v>
      </c>
      <c r="C1112" s="33" t="s">
        <v>20</v>
      </c>
      <c r="D1112" s="427" cm="1">
        <f t="array" ref="D1112">INDEX(Berekening_patiëntaantal[Percentage van patiëntaantallen in Wlz (overige is Zvw)],MATCH(B1112,IF(Berekening_patiëntaantal[Doelgroep (zoeksleutel)]=C1112,Berekening_patiëntaantal[Digitale zorgtoepassing]),0))</f>
        <v>0.45</v>
      </c>
      <c r="E1112" s="33" t="str" cm="1">
        <f t="array" ref="E1112">INDEX(Berekening_patiëntaantal[Direct toepasbaar/extrapolatie/incidentie voor QALY],MATCH(B1112,IF(Berekening_patiëntaantal[Doelgroep (zoeksleutel)]=C1112,Berekening_patiëntaantal[Digitale zorgtoepassing]),0))</f>
        <v>Huidige toepassing</v>
      </c>
      <c r="F1112" s="33" t="s">
        <v>813</v>
      </c>
      <c r="G1112" s="33" t="str">
        <f>CONCATENATE(uitkomst_doelgroep[[#This Row],[Digitale zorgtoepassing]],"_",uitkomst_doelgroep[[#This Row],[Doelgroep]],"_",uitkomst_doelgroep[[#This Row],[Uitgangssituatie/effect beleid]])</f>
        <v>Medicijndispenser_Dementie_Uitgangssituatie</v>
      </c>
      <c r="H1112" s="33">
        <v>2030</v>
      </c>
      <c r="I1112" s="32">
        <v>8</v>
      </c>
      <c r="J1112" s="406" cm="1">
        <f t="array" ref="J1112">INDEX(implementatie[[2023]:[2034]],MATCH(G1112, implementatie[Zoeksleutel],0),I1112)</f>
        <v>0.95076893399505846</v>
      </c>
      <c r="K1112" s="406" cm="1">
        <f t="array" ref="K1112">INDEX(implementatie[[2023]:[2034]],MATCH(G1112,implementatie[Zoeksleutel],0),I1112 + 1)</f>
        <v>0.97047650257314066</v>
      </c>
      <c r="L111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40109.423480195735</v>
      </c>
      <c r="M1112" s="398" cm="1">
        <f t="array" ref="M1112">J1112*INDEX(Berekening_impact[Totaal arbeidsbesparing (€/jaar)],MATCH(B1112,IF(Berekening_impact[Doelgroep]=C1112,Berekening_impact[Digitale zorgtoepassing]),0))</f>
        <v>177032638.23311359</v>
      </c>
      <c r="N1112" s="397" cm="1">
        <f t="array" ref="N1112">J1112*INDEX(Berekening_impact[Totaal arbeidsbesparing (FTE/jaar)],MATCH(B1112,IF(Berekening_impact[Doelgroep]=C1112,Berekening_impact[Digitale zorgtoepassing]),0))</f>
        <v>3358.8551541279321</v>
      </c>
      <c r="O1112" s="398" cm="1">
        <f t="array" ref="O1112">J1112*INDEX(Berekening_impact[Overige kostenbesparing (totaal/jaar totaal potentieel)],MATCH(B1112,IF(Berekening_impact[Doelgroep]=C1112,Berekening_impact[Digitale zorgtoepassing]),0))</f>
        <v>87195180.025264889</v>
      </c>
      <c r="P1112" s="398" cm="1">
        <f t="array" ref="P1112">J1112*INDEX(Berekening_impact[Opbrengsten door QALY''s],MATCH(B1112,IF(Berekening_impact[Doelgroep]=C1112,Berekening_impact[Digitale zorgtoepassing]),0))</f>
        <v>0</v>
      </c>
      <c r="Q1112" s="398" cm="1">
        <f t="array" ref="Q1112">J1112*INDEX(Berekening_impact[Jaarlijkse kosten (totaal) - incl. schatting],MATCH(B1112,IF(Berekening_impact[Doelgroep]=C1112,Berekening_impact[Digitale zorgtoepassing]),0))</f>
        <v>42495264.552828431</v>
      </c>
      <c r="R1112" s="398" cm="1">
        <f t="array" ref="R1112">(uitkomst_doelgroep[[#This Row],[Implementatiegraad t = T + 1]]-uitkomst_doelgroep[[#This Row],[Implementatiegraad t = T]])*INDEX(Berekening_impact[Initiële investering (totaal) - incl. schatting],MATCH(B1112,IF(Berekening_impact[Doelgroep]=C1112,Berekening_impact[Digitale zorgtoepassing]),0))</f>
        <v>73018.857748922586</v>
      </c>
      <c r="S1112" s="398">
        <f>uitkomst_doelgroep[[#This Row],[Arbeidsbesparing (€)]]*uitkomst_doelgroep[[#This Row],[Percentage van patiëntaantallen in Wlz (overige is Zvw)]]</f>
        <v>79664687.204901114</v>
      </c>
      <c r="T1112" s="398">
        <f>uitkomst_doelgroep[[#This Row],[Overige besparingen (€)]]*uitkomst_doelgroep[[#This Row],[Percentage van patiëntaantallen in Wlz (overige is Zvw)]]</f>
        <v>39237831.011369199</v>
      </c>
      <c r="U1112" s="398">
        <f>uitkomst_doelgroep[[#This Row],[Kosten (€)]]*uitkomst_doelgroep[[#This Row],[Percentage van patiëntaantallen in Wlz (overige is Zvw)]]</f>
        <v>19122869.048772793</v>
      </c>
      <c r="V1112" s="398">
        <f>uitkomst_doelgroep[[#This Row],[Investering (cash flow) (€)]]*uitkomst_doelgroep[[#This Row],[Percentage van patiëntaantallen in Wlz (overige is Zvw)]]</f>
        <v>32858.485987015163</v>
      </c>
    </row>
    <row r="1113" spans="1:22" x14ac:dyDescent="0.5">
      <c r="A1113" s="33" t="str">
        <f>INDEX(Technologieën[Veld],MATCH(B1113,Technologieën[Digitale zorgtoepassing],0))</f>
        <v>Digitale hulpmiddelen - Verpleging</v>
      </c>
      <c r="B1113" s="33" t="s">
        <v>26</v>
      </c>
      <c r="C1113" s="33" t="s">
        <v>27</v>
      </c>
      <c r="D1113" s="427" cm="1">
        <f t="array" ref="D1113">INDEX(Berekening_patiëntaantal[Percentage van patiëntaantallen in Wlz (overige is Zvw)],MATCH(B1113,IF(Berekening_patiëntaantal[Doelgroep (zoeksleutel)]=C1113,Berekening_patiëntaantal[Digitale zorgtoepassing]),0))</f>
        <v>1</v>
      </c>
      <c r="E1113" s="33" t="str" cm="1">
        <f t="array" ref="E1113">INDEX(Berekening_patiëntaantal[Direct toepasbaar/extrapolatie/incidentie voor QALY],MATCH(B1113,IF(Berekening_patiëntaantal[Doelgroep (zoeksleutel)]=C1113,Berekening_patiëntaantal[Digitale zorgtoepassing]),0))</f>
        <v>Huidige toepassing</v>
      </c>
      <c r="F1113" s="33" t="s">
        <v>813</v>
      </c>
      <c r="G1113" s="33" t="str">
        <f>CONCATENATE(uitkomst_doelgroep[[#This Row],[Digitale zorgtoepassing]],"_",uitkomst_doelgroep[[#This Row],[Doelgroep]],"_",uitkomst_doelgroep[[#This Row],[Uitgangssituatie/effect beleid]])</f>
        <v>Medicijndispenser_Parkinson_Uitgangssituatie</v>
      </c>
      <c r="H1113" s="33">
        <v>2030</v>
      </c>
      <c r="I1113" s="32">
        <v>8</v>
      </c>
      <c r="J1113" s="406" cm="1">
        <f t="array" ref="J1113">INDEX(implementatie[[2023]:[2034]],MATCH(G1113, implementatie[Zoeksleutel],0),I1113)</f>
        <v>0.95076893399505846</v>
      </c>
      <c r="K1113" s="406" cm="1">
        <f t="array" ref="K1113">INDEX(implementatie[[2023]:[2034]],MATCH(G1113,implementatie[Zoeksleutel],0),I1113 + 1)</f>
        <v>0.97047650257314066</v>
      </c>
      <c r="L111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9354.9958491509788</v>
      </c>
      <c r="M1113" s="398" cm="1">
        <f t="array" ref="M1113">J1113*INDEX(Berekening_impact[Totaal arbeidsbesparing (€/jaar)],MATCH(B1113,IF(Berekening_impact[Doelgroep]=C1113,Berekening_impact[Digitale zorgtoepassing]),0))</f>
        <v>41290536.042053886</v>
      </c>
      <c r="N1113" s="397" cm="1">
        <f t="array" ref="N1113">J1113*INDEX(Berekening_impact[Totaal arbeidsbesparing (FTE/jaar)],MATCH(B1113,IF(Berekening_impact[Doelgroep]=C1113,Berekening_impact[Digitale zorgtoepassing]),0))</f>
        <v>783.40881763810478</v>
      </c>
      <c r="O1113" s="398" cm="1">
        <f t="array" ref="O1113">J1113*INDEX(Berekening_impact[Overige kostenbesparing (totaal/jaar totaal potentieel)],MATCH(B1113,IF(Berekening_impact[Doelgroep]=C1113,Berekening_impact[Digitale zorgtoepassing]),0))</f>
        <v>20337129.692354899</v>
      </c>
      <c r="P1113" s="398" cm="1">
        <f t="array" ref="P1113">J1113*INDEX(Berekening_impact[Opbrengsten door QALY''s],MATCH(B1113,IF(Berekening_impact[Doelgroep]=C1113,Berekening_impact[Digitale zorgtoepassing]),0))</f>
        <v>0</v>
      </c>
      <c r="Q1113" s="398" cm="1">
        <f t="array" ref="Q1113">J1113*INDEX(Berekening_impact[Jaarlijkse kosten (totaal) - incl. schatting],MATCH(B1113,IF(Berekening_impact[Doelgroep]=C1113,Berekening_impact[Digitale zorgtoepassing]),0))</f>
        <v>9921092.3688181546</v>
      </c>
      <c r="R1113" s="398" cm="1">
        <f t="array" ref="R1113">(uitkomst_doelgroep[[#This Row],[Implementatiegraad t = T + 1]]-uitkomst_doelgroep[[#This Row],[Implementatiegraad t = T]])*INDEX(Berekening_impact[Initiële investering (totaal) - incl. schatting],MATCH(B1113,IF(Berekening_impact[Doelgroep]=C1113,Berekening_impact[Digitale zorgtoepassing]),0))</f>
        <v>31429.785979286986</v>
      </c>
      <c r="S1113" s="398">
        <f>uitkomst_doelgroep[[#This Row],[Arbeidsbesparing (€)]]*uitkomst_doelgroep[[#This Row],[Percentage van patiëntaantallen in Wlz (overige is Zvw)]]</f>
        <v>41290536.042053886</v>
      </c>
      <c r="T1113" s="398">
        <f>uitkomst_doelgroep[[#This Row],[Overige besparingen (€)]]*uitkomst_doelgroep[[#This Row],[Percentage van patiëntaantallen in Wlz (overige is Zvw)]]</f>
        <v>20337129.692354899</v>
      </c>
      <c r="U1113" s="398">
        <f>uitkomst_doelgroep[[#This Row],[Kosten (€)]]*uitkomst_doelgroep[[#This Row],[Percentage van patiëntaantallen in Wlz (overige is Zvw)]]</f>
        <v>9921092.3688181546</v>
      </c>
      <c r="V1113" s="398">
        <f>uitkomst_doelgroep[[#This Row],[Investering (cash flow) (€)]]*uitkomst_doelgroep[[#This Row],[Percentage van patiëntaantallen in Wlz (overige is Zvw)]]</f>
        <v>31429.785979286986</v>
      </c>
    </row>
    <row r="1114" spans="1:22" x14ac:dyDescent="0.5">
      <c r="A1114" s="33" t="str">
        <f>INDEX(Technologieën[Veld],MATCH(B1114,Technologieën[Digitale zorgtoepassing],0))</f>
        <v>Digitale hulpmiddelen - Verpleging</v>
      </c>
      <c r="B1114" s="33" t="s">
        <v>26</v>
      </c>
      <c r="C1114" s="33" t="s">
        <v>29</v>
      </c>
      <c r="D1114" s="427" cm="1">
        <f t="array" ref="D1114">INDEX(Berekening_patiëntaantal[Percentage van patiëntaantallen in Wlz (overige is Zvw)],MATCH(B1114,IF(Berekening_patiëntaantal[Doelgroep (zoeksleutel)]=C1114,Berekening_patiëntaantal[Digitale zorgtoepassing]),0))</f>
        <v>0.70000000000000007</v>
      </c>
      <c r="E1114" s="33" t="str" cm="1">
        <f t="array" ref="E1114">INDEX(Berekening_patiëntaantal[Direct toepasbaar/extrapolatie/incidentie voor QALY],MATCH(B1114,IF(Berekening_patiëntaantal[Doelgroep (zoeksleutel)]=C1114,Berekening_patiëntaantal[Digitale zorgtoepassing]),0))</f>
        <v>Huidige toepassing</v>
      </c>
      <c r="F1114" s="33" t="s">
        <v>813</v>
      </c>
      <c r="G1114" s="33" t="str">
        <f>CONCATENATE(uitkomst_doelgroep[[#This Row],[Digitale zorgtoepassing]],"_",uitkomst_doelgroep[[#This Row],[Doelgroep]],"_",uitkomst_doelgroep[[#This Row],[Uitgangssituatie/effect beleid]])</f>
        <v>Medicijndispenser_Reumatische aandoening _Uitgangssituatie</v>
      </c>
      <c r="H1114" s="33">
        <v>2030</v>
      </c>
      <c r="I1114" s="32">
        <v>8</v>
      </c>
      <c r="J1114" s="406" cm="1">
        <f t="array" ref="J1114">INDEX(implementatie[[2023]:[2034]],MATCH(G1114, implementatie[Zoeksleutel],0),I1114)</f>
        <v>0.95076893399505846</v>
      </c>
      <c r="K1114" s="406" cm="1">
        <f t="array" ref="K1114">INDEX(implementatie[[2023]:[2034]],MATCH(G1114,implementatie[Zoeksleutel],0),I1114 + 1)</f>
        <v>0.97047650257314066</v>
      </c>
      <c r="L111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73863.336944208102</v>
      </c>
      <c r="M1114" s="398" cm="1">
        <f t="array" ref="M1114">J1114*INDEX(Berekening_impact[Totaal arbeidsbesparing (€/jaar)],MATCH(B1114,IF(Berekening_impact[Doelgroep]=C1114,Berekening_impact[Digitale zorgtoepassing]),0))</f>
        <v>326013696.36716485</v>
      </c>
      <c r="N1114" s="397" cm="1">
        <f t="array" ref="N1114">J1114*INDEX(Berekening_impact[Totaal arbeidsbesparing (FTE/jaar)],MATCH(B1114,IF(Berekening_impact[Doelgroep]=C1114,Berekening_impact[Digitale zorgtoepassing]),0))</f>
        <v>6185.4853166523444</v>
      </c>
      <c r="O1114" s="398" cm="1">
        <f t="array" ref="O1114">J1114*INDEX(Berekening_impact[Overige kostenbesparing (totaal/jaar totaal potentieel)],MATCH(B1114,IF(Berekening_impact[Doelgroep]=C1114,Berekening_impact[Digitale zorgtoepassing]),0))</f>
        <v>160573910.15099165</v>
      </c>
      <c r="P1114" s="398" cm="1">
        <f t="array" ref="P1114">J1114*INDEX(Berekening_impact[Opbrengsten door QALY''s],MATCH(B1114,IF(Berekening_impact[Doelgroep]=C1114,Berekening_impact[Digitale zorgtoepassing]),0))</f>
        <v>0</v>
      </c>
      <c r="Q1114" s="398" cm="1">
        <f t="array" ref="Q1114">J1114*INDEX(Berekening_impact[Jaarlijkse kosten (totaal) - incl. schatting],MATCH(B1114,IF(Berekening_impact[Doelgroep]=C1114,Berekening_impact[Digitale zorgtoepassing]),0))</f>
        <v>78251703.995575368</v>
      </c>
      <c r="R1114" s="398" cm="1">
        <f t="array" ref="R1114">(uitkomst_doelgroep[[#This Row],[Implementatiegraad t = T + 1]]-uitkomst_doelgroep[[#This Row],[Implementatiegraad t = T]])*INDEX(Berekening_impact[Initiële investering (totaal) - incl. schatting],MATCH(B1114,IF(Berekening_impact[Doelgroep]=C1114,Berekening_impact[Digitale zorgtoepassing]),0))</f>
        <v>104389.29433059822</v>
      </c>
      <c r="S1114" s="398">
        <f>uitkomst_doelgroep[[#This Row],[Arbeidsbesparing (€)]]*uitkomst_doelgroep[[#This Row],[Percentage van patiëntaantallen in Wlz (overige is Zvw)]]</f>
        <v>228209587.45701542</v>
      </c>
      <c r="T1114" s="398">
        <f>uitkomst_doelgroep[[#This Row],[Overige besparingen (€)]]*uitkomst_doelgroep[[#This Row],[Percentage van patiëntaantallen in Wlz (overige is Zvw)]]</f>
        <v>112401737.10569416</v>
      </c>
      <c r="U1114" s="398">
        <f>uitkomst_doelgroep[[#This Row],[Kosten (€)]]*uitkomst_doelgroep[[#This Row],[Percentage van patiëntaantallen in Wlz (overige is Zvw)]]</f>
        <v>54776192.796902761</v>
      </c>
      <c r="V1114" s="398">
        <f>uitkomst_doelgroep[[#This Row],[Investering (cash flow) (€)]]*uitkomst_doelgroep[[#This Row],[Percentage van patiëntaantallen in Wlz (overige is Zvw)]]</f>
        <v>73072.506031418758</v>
      </c>
    </row>
    <row r="1115" spans="1:22" x14ac:dyDescent="0.5">
      <c r="A1115" s="33" t="str">
        <f>INDEX(Technologieën[Veld],MATCH(B1115,Technologieën[Digitale zorgtoepassing],0))</f>
        <v>Digitale hulpmiddelen - Verpleging</v>
      </c>
      <c r="B1115" s="33" t="s">
        <v>26</v>
      </c>
      <c r="C1115" s="33" t="s">
        <v>24</v>
      </c>
      <c r="D1115" s="427" cm="1">
        <f t="array" ref="D1115">INDEX(Berekening_patiëntaantal[Percentage van patiëntaantallen in Wlz (overige is Zvw)],MATCH(B1115,IF(Berekening_patiëntaantal[Doelgroep (zoeksleutel)]=C1115,Berekening_patiëntaantal[Digitale zorgtoepassing]),0))</f>
        <v>0.45</v>
      </c>
      <c r="E1115" s="33" t="str" cm="1">
        <f t="array" ref="E1115">INDEX(Berekening_patiëntaantal[Direct toepasbaar/extrapolatie/incidentie voor QALY],MATCH(B1115,IF(Berekening_patiëntaantal[Doelgroep (zoeksleutel)]=C1115,Berekening_patiëntaantal[Digitale zorgtoepassing]),0))</f>
        <v>Extrapolatie</v>
      </c>
      <c r="F1115" s="33" t="s">
        <v>813</v>
      </c>
      <c r="G1115" s="33" t="str">
        <f>CONCATENATE(uitkomst_doelgroep[[#This Row],[Digitale zorgtoepassing]],"_",uitkomst_doelgroep[[#This Row],[Doelgroep]],"_",uitkomst_doelgroep[[#This Row],[Uitgangssituatie/effect beleid]])</f>
        <v>Medicijndispenser_Cognitieve beperking_Uitgangssituatie</v>
      </c>
      <c r="H1115" s="33">
        <v>2031</v>
      </c>
      <c r="I1115" s="32">
        <v>9</v>
      </c>
      <c r="J1115" s="406" cm="1">
        <f t="array" ref="J1115">INDEX(implementatie[[2023]:[2034]],MATCH(G1115, implementatie[Zoeksleutel],0),I1115)</f>
        <v>0.27699177758611071</v>
      </c>
      <c r="K1115" s="406" cm="1">
        <f t="array" ref="K1115">INDEX(implementatie[[2023]:[2034]],MATCH(G1115,implementatie[Zoeksleutel],0),I1115 + 1)</f>
        <v>0.37155887512870744</v>
      </c>
      <c r="L111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2218.6542799447816</v>
      </c>
      <c r="M1115" s="398" cm="1">
        <f t="array" ref="M1115">J1115*INDEX(Berekening_impact[Totaal arbeidsbesparing (€/jaar)],MATCH(B1115,IF(Berekening_impact[Doelgroep]=C1115,Berekening_impact[Digitale zorgtoepassing]),0))</f>
        <v>9792567.0933601968</v>
      </c>
      <c r="N1115" s="397" cm="1">
        <f t="array" ref="N1115">J1115*INDEX(Berekening_impact[Totaal arbeidsbesparing (FTE/jaar)],MATCH(B1115,IF(Berekening_impact[Doelgroep]=C1115,Berekening_impact[Digitale zorgtoepassing]),0))</f>
        <v>185.79520015041012</v>
      </c>
      <c r="O1115" s="398" cm="1">
        <f t="array" ref="O1115">J1115*INDEX(Berekening_impact[Overige kostenbesparing (totaal/jaar totaal potentieel)],MATCH(B1115,IF(Berekening_impact[Doelgroep]=C1115,Berekening_impact[Digitale zorgtoepassing]),0))</f>
        <v>4823204.6877744254</v>
      </c>
      <c r="P1115" s="398" cm="1">
        <f t="array" ref="P1115">J1115*INDEX(Berekening_impact[Opbrengsten door QALY''s],MATCH(B1115,IF(Berekening_impact[Doelgroep]=C1115,Berekening_impact[Digitale zorgtoepassing]),0))</f>
        <v>0</v>
      </c>
      <c r="Q1115" s="398" cm="1">
        <f t="array" ref="Q1115">J1115*INDEX(Berekening_impact[Jaarlijkse kosten (totaal) - incl. schatting],MATCH(B1115,IF(Berekening_impact[Doelgroep]=C1115,Berekening_impact[Digitale zorgtoepassing]),0))</f>
        <v>2351152.7457241216</v>
      </c>
      <c r="R1115" s="398" cm="1">
        <f t="array" ref="R1115">(uitkomst_doelgroep[[#This Row],[Implementatiegraad t = T + 1]]-uitkomst_doelgroep[[#This Row],[Implementatiegraad t = T]])*INDEX(Berekening_impact[Initiële investering (totaal) - incl. schatting],MATCH(B1115,IF(Berekening_impact[Doelgroep]=C1115,Berekening_impact[Digitale zorgtoepassing]),0))</f>
        <v>0</v>
      </c>
      <c r="S1115" s="398">
        <f>uitkomst_doelgroep[[#This Row],[Arbeidsbesparing (€)]]*uitkomst_doelgroep[[#This Row],[Percentage van patiëntaantallen in Wlz (overige is Zvw)]]</f>
        <v>4406655.1920120884</v>
      </c>
      <c r="T1115" s="398">
        <f>uitkomst_doelgroep[[#This Row],[Overige besparingen (€)]]*uitkomst_doelgroep[[#This Row],[Percentage van patiëntaantallen in Wlz (overige is Zvw)]]</f>
        <v>2170442.1094984915</v>
      </c>
      <c r="U1115" s="398">
        <f>uitkomst_doelgroep[[#This Row],[Kosten (€)]]*uitkomst_doelgroep[[#This Row],[Percentage van patiëntaantallen in Wlz (overige is Zvw)]]</f>
        <v>1058018.7355758548</v>
      </c>
      <c r="V1115" s="398">
        <f>uitkomst_doelgroep[[#This Row],[Investering (cash flow) (€)]]*uitkomst_doelgroep[[#This Row],[Percentage van patiëntaantallen in Wlz (overige is Zvw)]]</f>
        <v>0</v>
      </c>
    </row>
    <row r="1116" spans="1:22" x14ac:dyDescent="0.5">
      <c r="A1116" s="33" t="str">
        <f>INDEX(Technologieën[Veld],MATCH(B1116,Technologieën[Digitale zorgtoepassing],0))</f>
        <v>Digitale hulpmiddelen - Verpleging</v>
      </c>
      <c r="B1116" s="33" t="s">
        <v>26</v>
      </c>
      <c r="C1116" s="33" t="s">
        <v>20</v>
      </c>
      <c r="D1116" s="427" cm="1">
        <f t="array" ref="D1116">INDEX(Berekening_patiëntaantal[Percentage van patiëntaantallen in Wlz (overige is Zvw)],MATCH(B1116,IF(Berekening_patiëntaantal[Doelgroep (zoeksleutel)]=C1116,Berekening_patiëntaantal[Digitale zorgtoepassing]),0))</f>
        <v>0.45</v>
      </c>
      <c r="E1116" s="33" t="str" cm="1">
        <f t="array" ref="E1116">INDEX(Berekening_patiëntaantal[Direct toepasbaar/extrapolatie/incidentie voor QALY],MATCH(B1116,IF(Berekening_patiëntaantal[Doelgroep (zoeksleutel)]=C1116,Berekening_patiëntaantal[Digitale zorgtoepassing]),0))</f>
        <v>Huidige toepassing</v>
      </c>
      <c r="F1116" s="33" t="s">
        <v>813</v>
      </c>
      <c r="G1116" s="33" t="str">
        <f>CONCATENATE(uitkomst_doelgroep[[#This Row],[Digitale zorgtoepassing]],"_",uitkomst_doelgroep[[#This Row],[Doelgroep]],"_",uitkomst_doelgroep[[#This Row],[Uitgangssituatie/effect beleid]])</f>
        <v>Medicijndispenser_Dementie_Uitgangssituatie</v>
      </c>
      <c r="H1116" s="33">
        <v>2031</v>
      </c>
      <c r="I1116" s="32">
        <v>9</v>
      </c>
      <c r="J1116" s="406" cm="1">
        <f t="array" ref="J1116">INDEX(implementatie[[2023]:[2034]],MATCH(G1116, implementatie[Zoeksleutel],0),I1116)</f>
        <v>0.97047650257314066</v>
      </c>
      <c r="K1116" s="406" cm="1">
        <f t="array" ref="K1116">INDEX(implementatie[[2023]:[2034]],MATCH(G1116,implementatie[Zoeksleutel],0),I1116 + 1)</f>
        <v>0.98252771673229611</v>
      </c>
      <c r="L111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40940.812880501289</v>
      </c>
      <c r="M1116" s="398" cm="1">
        <f t="array" ref="M1116">J1116*INDEX(Berekening_impact[Totaal arbeidsbesparing (€/jaar)],MATCH(B1116,IF(Berekening_impact[Doelgroep]=C1116,Berekening_impact[Digitale zorgtoepassing]),0))</f>
        <v>180702176.36566266</v>
      </c>
      <c r="N1116" s="397" cm="1">
        <f t="array" ref="N1116">J1116*INDEX(Berekening_impact[Totaal arbeidsbesparing (FTE/jaar)],MATCH(B1116,IF(Berekening_impact[Doelgroep]=C1116,Berekening_impact[Digitale zorgtoepassing]),0))</f>
        <v>3428.4776101495813</v>
      </c>
      <c r="O1116" s="398" cm="1">
        <f t="array" ref="O1116">J1116*INDEX(Berekening_impact[Overige kostenbesparing (totaal/jaar totaal potentieel)],MATCH(B1116,IF(Berekening_impact[Doelgroep]=C1116,Berekening_impact[Digitale zorgtoepassing]),0))</f>
        <v>89002564.478609964</v>
      </c>
      <c r="P1116" s="398" cm="1">
        <f t="array" ref="P1116">J1116*INDEX(Berekening_impact[Opbrengsten door QALY''s],MATCH(B1116,IF(Berekening_impact[Doelgroep]=C1116,Berekening_impact[Digitale zorgtoepassing]),0))</f>
        <v>0</v>
      </c>
      <c r="Q1116" s="398" cm="1">
        <f t="array" ref="Q1116">J1116*INDEX(Berekening_impact[Jaarlijkse kosten (totaal) - incl. schatting],MATCH(B1116,IF(Berekening_impact[Doelgroep]=C1116,Berekening_impact[Digitale zorgtoepassing]),0))</f>
        <v>43376107.742455579</v>
      </c>
      <c r="R1116" s="398" cm="1">
        <f t="array" ref="R1116">(uitkomst_doelgroep[[#This Row],[Implementatiegraad t = T + 1]]-uitkomst_doelgroep[[#This Row],[Implementatiegraad t = T]])*INDEX(Berekening_impact[Initiële investering (totaal) - incl. schatting],MATCH(B1116,IF(Berekening_impact[Doelgroep]=C1116,Berekening_impact[Digitale zorgtoepassing]),0))</f>
        <v>44651.164800097577</v>
      </c>
      <c r="S1116" s="398">
        <f>uitkomst_doelgroep[[#This Row],[Arbeidsbesparing (€)]]*uitkomst_doelgroep[[#This Row],[Percentage van patiëntaantallen in Wlz (overige is Zvw)]]</f>
        <v>81315979.364548206</v>
      </c>
      <c r="T1116" s="398">
        <f>uitkomst_doelgroep[[#This Row],[Overige besparingen (€)]]*uitkomst_doelgroep[[#This Row],[Percentage van patiëntaantallen in Wlz (overige is Zvw)]]</f>
        <v>40051154.015374482</v>
      </c>
      <c r="U1116" s="398">
        <f>uitkomst_doelgroep[[#This Row],[Kosten (€)]]*uitkomst_doelgroep[[#This Row],[Percentage van patiëntaantallen in Wlz (overige is Zvw)]]</f>
        <v>19519248.48410501</v>
      </c>
      <c r="V1116" s="398">
        <f>uitkomst_doelgroep[[#This Row],[Investering (cash flow) (€)]]*uitkomst_doelgroep[[#This Row],[Percentage van patiëntaantallen in Wlz (overige is Zvw)]]</f>
        <v>20093.024160043911</v>
      </c>
    </row>
    <row r="1117" spans="1:22" x14ac:dyDescent="0.5">
      <c r="A1117" s="33" t="str">
        <f>INDEX(Technologieën[Veld],MATCH(B1117,Technologieën[Digitale zorgtoepassing],0))</f>
        <v>Digitale hulpmiddelen - Verpleging</v>
      </c>
      <c r="B1117" s="33" t="s">
        <v>26</v>
      </c>
      <c r="C1117" s="33" t="s">
        <v>27</v>
      </c>
      <c r="D1117" s="427" cm="1">
        <f t="array" ref="D1117">INDEX(Berekening_patiëntaantal[Percentage van patiëntaantallen in Wlz (overige is Zvw)],MATCH(B1117,IF(Berekening_patiëntaantal[Doelgroep (zoeksleutel)]=C1117,Berekening_patiëntaantal[Digitale zorgtoepassing]),0))</f>
        <v>1</v>
      </c>
      <c r="E1117" s="33" t="str" cm="1">
        <f t="array" ref="E1117">INDEX(Berekening_patiëntaantal[Direct toepasbaar/extrapolatie/incidentie voor QALY],MATCH(B1117,IF(Berekening_patiëntaantal[Doelgroep (zoeksleutel)]=C1117,Berekening_patiëntaantal[Digitale zorgtoepassing]),0))</f>
        <v>Huidige toepassing</v>
      </c>
      <c r="F1117" s="33" t="s">
        <v>813</v>
      </c>
      <c r="G1117" s="33" t="str">
        <f>CONCATENATE(uitkomst_doelgroep[[#This Row],[Digitale zorgtoepassing]],"_",uitkomst_doelgroep[[#This Row],[Doelgroep]],"_",uitkomst_doelgroep[[#This Row],[Uitgangssituatie/effect beleid]])</f>
        <v>Medicijndispenser_Parkinson_Uitgangssituatie</v>
      </c>
      <c r="H1117" s="33">
        <v>2031</v>
      </c>
      <c r="I1117" s="32">
        <v>9</v>
      </c>
      <c r="J1117" s="406" cm="1">
        <f t="array" ref="J1117">INDEX(implementatie[[2023]:[2034]],MATCH(G1117, implementatie[Zoeksleutel],0),I1117)</f>
        <v>0.97047650257314066</v>
      </c>
      <c r="K1117" s="406" cm="1">
        <f t="array" ref="K1117">INDEX(implementatie[[2023]:[2034]],MATCH(G1117,implementatie[Zoeksleutel],0),I1117 + 1)</f>
        <v>0.98252771673229611</v>
      </c>
      <c r="L111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9548.906499418159</v>
      </c>
      <c r="M1117" s="398" cm="1">
        <f t="array" ref="M1117">J1117*INDEX(Berekening_impact[Totaal arbeidsbesparing (€/jaar)],MATCH(B1117,IF(Berekening_impact[Doelgroep]=C1117,Berekening_impact[Digitale zorgtoepassing]),0))</f>
        <v>42146407.580951668</v>
      </c>
      <c r="N1117" s="397" cm="1">
        <f t="array" ref="N1117">J1117*INDEX(Berekening_impact[Totaal arbeidsbesparing (FTE/jaar)],MATCH(B1117,IF(Berekening_impact[Doelgroep]=C1117,Berekening_impact[Digitale zorgtoepassing]),0))</f>
        <v>799.64734042345003</v>
      </c>
      <c r="O1117" s="398" cm="1">
        <f t="array" ref="O1117">J1117*INDEX(Berekening_impact[Overige kostenbesparing (totaal/jaar totaal potentieel)],MATCH(B1117,IF(Berekening_impact[Doelgroep]=C1117,Berekening_impact[Digitale zorgtoepassing]),0))</f>
        <v>20758678.360767238</v>
      </c>
      <c r="P1117" s="398" cm="1">
        <f t="array" ref="P1117">J1117*INDEX(Berekening_impact[Opbrengsten door QALY''s],MATCH(B1117,IF(Berekening_impact[Doelgroep]=C1117,Berekening_impact[Digitale zorgtoepassing]),0))</f>
        <v>0</v>
      </c>
      <c r="Q1117" s="398" cm="1">
        <f t="array" ref="Q1117">J1117*INDEX(Berekening_impact[Jaarlijkse kosten (totaal) - incl. schatting],MATCH(B1117,IF(Berekening_impact[Doelgroep]=C1117,Berekening_impact[Digitale zorgtoepassing]),0))</f>
        <v>10126737.085675286</v>
      </c>
      <c r="R1117" s="398" cm="1">
        <f t="array" ref="R1117">(uitkomst_doelgroep[[#This Row],[Implementatiegraad t = T + 1]]-uitkomst_doelgroep[[#This Row],[Implementatiegraad t = T]])*INDEX(Berekening_impact[Initiële investering (totaal) - incl. schatting],MATCH(B1117,IF(Berekening_impact[Doelgroep]=C1117,Berekening_impact[Digitale zorgtoepassing]),0))</f>
        <v>19219.371497408101</v>
      </c>
      <c r="S1117" s="398">
        <f>uitkomst_doelgroep[[#This Row],[Arbeidsbesparing (€)]]*uitkomst_doelgroep[[#This Row],[Percentage van patiëntaantallen in Wlz (overige is Zvw)]]</f>
        <v>42146407.580951668</v>
      </c>
      <c r="T1117" s="398">
        <f>uitkomst_doelgroep[[#This Row],[Overige besparingen (€)]]*uitkomst_doelgroep[[#This Row],[Percentage van patiëntaantallen in Wlz (overige is Zvw)]]</f>
        <v>20758678.360767238</v>
      </c>
      <c r="U1117" s="398">
        <f>uitkomst_doelgroep[[#This Row],[Kosten (€)]]*uitkomst_doelgroep[[#This Row],[Percentage van patiëntaantallen in Wlz (overige is Zvw)]]</f>
        <v>10126737.085675286</v>
      </c>
      <c r="V1117" s="398">
        <f>uitkomst_doelgroep[[#This Row],[Investering (cash flow) (€)]]*uitkomst_doelgroep[[#This Row],[Percentage van patiëntaantallen in Wlz (overige is Zvw)]]</f>
        <v>19219.371497408101</v>
      </c>
    </row>
    <row r="1118" spans="1:22" x14ac:dyDescent="0.5">
      <c r="A1118" s="33" t="str">
        <f>INDEX(Technologieën[Veld],MATCH(B1118,Technologieën[Digitale zorgtoepassing],0))</f>
        <v>Digitale hulpmiddelen - Verpleging</v>
      </c>
      <c r="B1118" s="33" t="s">
        <v>26</v>
      </c>
      <c r="C1118" s="33" t="s">
        <v>29</v>
      </c>
      <c r="D1118" s="427" cm="1">
        <f t="array" ref="D1118">INDEX(Berekening_patiëntaantal[Percentage van patiëntaantallen in Wlz (overige is Zvw)],MATCH(B1118,IF(Berekening_patiëntaantal[Doelgroep (zoeksleutel)]=C1118,Berekening_patiëntaantal[Digitale zorgtoepassing]),0))</f>
        <v>0.70000000000000007</v>
      </c>
      <c r="E1118" s="33" t="str" cm="1">
        <f t="array" ref="E1118">INDEX(Berekening_patiëntaantal[Direct toepasbaar/extrapolatie/incidentie voor QALY],MATCH(B1118,IF(Berekening_patiëntaantal[Doelgroep (zoeksleutel)]=C1118,Berekening_patiëntaantal[Digitale zorgtoepassing]),0))</f>
        <v>Huidige toepassing</v>
      </c>
      <c r="F1118" s="33" t="s">
        <v>813</v>
      </c>
      <c r="G1118" s="33" t="str">
        <f>CONCATENATE(uitkomst_doelgroep[[#This Row],[Digitale zorgtoepassing]],"_",uitkomst_doelgroep[[#This Row],[Doelgroep]],"_",uitkomst_doelgroep[[#This Row],[Uitgangssituatie/effect beleid]])</f>
        <v>Medicijndispenser_Reumatische aandoening _Uitgangssituatie</v>
      </c>
      <c r="H1118" s="33">
        <v>2031</v>
      </c>
      <c r="I1118" s="32">
        <v>9</v>
      </c>
      <c r="J1118" s="406" cm="1">
        <f t="array" ref="J1118">INDEX(implementatie[[2023]:[2034]],MATCH(G1118, implementatie[Zoeksleutel],0),I1118)</f>
        <v>0.97047650257314066</v>
      </c>
      <c r="K1118" s="406" cm="1">
        <f t="array" ref="K1118">INDEX(implementatie[[2023]:[2034]],MATCH(G1118,implementatie[Zoeksleutel],0),I1118 + 1)</f>
        <v>0.98252771673229611</v>
      </c>
      <c r="L111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75394.378531902155</v>
      </c>
      <c r="M1118" s="398" cm="1">
        <f t="array" ref="M1118">J1118*INDEX(Berekening_impact[Totaal arbeidsbesparing (€/jaar)],MATCH(B1118,IF(Berekening_impact[Doelgroep]=C1118,Berekening_impact[Digitale zorgtoepassing]),0))</f>
        <v>332771318.59147632</v>
      </c>
      <c r="N1118" s="397" cm="1">
        <f t="array" ref="N1118">J1118*INDEX(Berekening_impact[Totaal arbeidsbesparing (FTE/jaar)],MATCH(B1118,IF(Berekening_impact[Doelgroep]=C1118,Berekening_impact[Digitale zorgtoepassing]),0))</f>
        <v>6313.6982522122271</v>
      </c>
      <c r="O1118" s="398" cm="1">
        <f t="array" ref="O1118">J1118*INDEX(Berekening_impact[Overige kostenbesparing (totaal/jaar totaal potentieel)],MATCH(B1118,IF(Berekening_impact[Doelgroep]=C1118,Berekening_impact[Digitale zorgtoepassing]),0))</f>
        <v>163902291.24654809</v>
      </c>
      <c r="P1118" s="398" cm="1">
        <f t="array" ref="P1118">J1118*INDEX(Berekening_impact[Opbrengsten door QALY''s],MATCH(B1118,IF(Berekening_impact[Doelgroep]=C1118,Berekening_impact[Digitale zorgtoepassing]),0))</f>
        <v>0</v>
      </c>
      <c r="Q1118" s="398" cm="1">
        <f t="array" ref="Q1118">J1118*INDEX(Berekening_impact[Jaarlijkse kosten (totaal) - incl. schatting],MATCH(B1118,IF(Berekening_impact[Doelgroep]=C1118,Berekening_impact[Digitale zorgtoepassing]),0))</f>
        <v>79873707.794505358</v>
      </c>
      <c r="R1118" s="398" cm="1">
        <f t="array" ref="R1118">(uitkomst_doelgroep[[#This Row],[Implementatiegraad t = T + 1]]-uitkomst_doelgroep[[#This Row],[Implementatiegraad t = T]])*INDEX(Berekening_impact[Initiële investering (totaal) - incl. schatting],MATCH(B1118,IF(Berekening_impact[Doelgroep]=C1118,Berekening_impact[Digitale zorgtoepassing]),0))</f>
        <v>63834.244032531562</v>
      </c>
      <c r="S1118" s="398">
        <f>uitkomst_doelgroep[[#This Row],[Arbeidsbesparing (€)]]*uitkomst_doelgroep[[#This Row],[Percentage van patiëntaantallen in Wlz (overige is Zvw)]]</f>
        <v>232939923.01403344</v>
      </c>
      <c r="T1118" s="398">
        <f>uitkomst_doelgroep[[#This Row],[Overige besparingen (€)]]*uitkomst_doelgroep[[#This Row],[Percentage van patiëntaantallen in Wlz (overige is Zvw)]]</f>
        <v>114731603.87258367</v>
      </c>
      <c r="U1118" s="398">
        <f>uitkomst_doelgroep[[#This Row],[Kosten (€)]]*uitkomst_doelgroep[[#This Row],[Percentage van patiëntaantallen in Wlz (overige is Zvw)]]</f>
        <v>55911595.456153758</v>
      </c>
      <c r="V1118" s="398">
        <f>uitkomst_doelgroep[[#This Row],[Investering (cash flow) (€)]]*uitkomst_doelgroep[[#This Row],[Percentage van patiëntaantallen in Wlz (overige is Zvw)]]</f>
        <v>44683.970822772098</v>
      </c>
    </row>
    <row r="1119" spans="1:22" x14ac:dyDescent="0.5">
      <c r="A1119" s="33" t="str">
        <f>INDEX(Technologieën[Veld],MATCH(B1119,Technologieën[Digitale zorgtoepassing],0))</f>
        <v>Digitale hulpmiddelen - Verpleging</v>
      </c>
      <c r="B1119" s="33" t="s">
        <v>26</v>
      </c>
      <c r="C1119" s="33" t="s">
        <v>24</v>
      </c>
      <c r="D1119" s="427" cm="1">
        <f t="array" ref="D1119">INDEX(Berekening_patiëntaantal[Percentage van patiëntaantallen in Wlz (overige is Zvw)],MATCH(B1119,IF(Berekening_patiëntaantal[Doelgroep (zoeksleutel)]=C1119,Berekening_patiëntaantal[Digitale zorgtoepassing]),0))</f>
        <v>0.45</v>
      </c>
      <c r="E1119" s="33" t="str" cm="1">
        <f t="array" ref="E1119">INDEX(Berekening_patiëntaantal[Direct toepasbaar/extrapolatie/incidentie voor QALY],MATCH(B1119,IF(Berekening_patiëntaantal[Doelgroep (zoeksleutel)]=C1119,Berekening_patiëntaantal[Digitale zorgtoepassing]),0))</f>
        <v>Extrapolatie</v>
      </c>
      <c r="F1119" s="33" t="s">
        <v>813</v>
      </c>
      <c r="G1119" s="33" t="str">
        <f>CONCATENATE(uitkomst_doelgroep[[#This Row],[Digitale zorgtoepassing]],"_",uitkomst_doelgroep[[#This Row],[Doelgroep]],"_",uitkomst_doelgroep[[#This Row],[Uitgangssituatie/effect beleid]])</f>
        <v>Medicijndispenser_Cognitieve beperking_Uitgangssituatie</v>
      </c>
      <c r="H1119" s="33">
        <v>2032</v>
      </c>
      <c r="I1119" s="32">
        <v>10</v>
      </c>
      <c r="J1119" s="406" cm="1">
        <f t="array" ref="J1119">INDEX(implementatie[[2023]:[2034]],MATCH(G1119, implementatie[Zoeksleutel],0),I1119)</f>
        <v>0.37155887512870744</v>
      </c>
      <c r="K1119" s="406" cm="1">
        <f t="array" ref="K1119">INDEX(implementatie[[2023]:[2034]],MATCH(G1119,implementatie[Zoeksleutel],0),I1119 + 1)</f>
        <v>0.47752884860285211</v>
      </c>
      <c r="L111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2976.1197091834238</v>
      </c>
      <c r="M1119" s="398" cm="1">
        <f t="array" ref="M1119">J1119*INDEX(Berekening_impact[Totaal arbeidsbesparing (€/jaar)],MATCH(B1119,IF(Berekening_impact[Doelgroep]=C1119,Berekening_impact[Digitale zorgtoepassing]),0))</f>
        <v>13135823.906181388</v>
      </c>
      <c r="N1119" s="397" cm="1">
        <f t="array" ref="N1119">J1119*INDEX(Berekening_impact[Totaal arbeidsbesparing (FTE/jaar)],MATCH(B1119,IF(Berekening_impact[Doelgroep]=C1119,Berekening_impact[Digitale zorgtoepassing]),0))</f>
        <v>249.22709321484575</v>
      </c>
      <c r="O1119" s="398" cm="1">
        <f t="array" ref="O1119">J1119*INDEX(Berekening_impact[Overige kostenbesparing (totaal/jaar totaal potentieel)],MATCH(B1119,IF(Berekening_impact[Doelgroep]=C1119,Berekening_impact[Digitale zorgtoepassing]),0))</f>
        <v>6469883.4164773999</v>
      </c>
      <c r="P1119" s="398" cm="1">
        <f t="array" ref="P1119">J1119*INDEX(Berekening_impact[Opbrengsten door QALY''s],MATCH(B1119,IF(Berekening_impact[Doelgroep]=C1119,Berekening_impact[Digitale zorgtoepassing]),0))</f>
        <v>0</v>
      </c>
      <c r="Q1119" s="398" cm="1">
        <f t="array" ref="Q1119">J1119*INDEX(Berekening_impact[Jaarlijkse kosten (totaal) - incl. schatting],MATCH(B1119,IF(Berekening_impact[Doelgroep]=C1119,Berekening_impact[Digitale zorgtoepassing]),0))</f>
        <v>3153854.1579467859</v>
      </c>
      <c r="R1119" s="398" cm="1">
        <f t="array" ref="R1119">(uitkomst_doelgroep[[#This Row],[Implementatiegraad t = T + 1]]-uitkomst_doelgroep[[#This Row],[Implementatiegraad t = T]])*INDEX(Berekening_impact[Initiële investering (totaal) - incl. schatting],MATCH(B1119,IF(Berekening_impact[Doelgroep]=C1119,Berekening_impact[Digitale zorgtoepassing]),0))</f>
        <v>0</v>
      </c>
      <c r="S1119" s="398">
        <f>uitkomst_doelgroep[[#This Row],[Arbeidsbesparing (€)]]*uitkomst_doelgroep[[#This Row],[Percentage van patiëntaantallen in Wlz (overige is Zvw)]]</f>
        <v>5911120.7577816248</v>
      </c>
      <c r="T1119" s="398">
        <f>uitkomst_doelgroep[[#This Row],[Overige besparingen (€)]]*uitkomst_doelgroep[[#This Row],[Percentage van patiëntaantallen in Wlz (overige is Zvw)]]</f>
        <v>2911447.5374148302</v>
      </c>
      <c r="U1119" s="398">
        <f>uitkomst_doelgroep[[#This Row],[Kosten (€)]]*uitkomst_doelgroep[[#This Row],[Percentage van patiëntaantallen in Wlz (overige is Zvw)]]</f>
        <v>1419234.3710760537</v>
      </c>
      <c r="V1119" s="398">
        <f>uitkomst_doelgroep[[#This Row],[Investering (cash flow) (€)]]*uitkomst_doelgroep[[#This Row],[Percentage van patiëntaantallen in Wlz (overige is Zvw)]]</f>
        <v>0</v>
      </c>
    </row>
    <row r="1120" spans="1:22" x14ac:dyDescent="0.5">
      <c r="A1120" s="33" t="str">
        <f>INDEX(Technologieën[Veld],MATCH(B1120,Technologieën[Digitale zorgtoepassing],0))</f>
        <v>Digitale hulpmiddelen - Verpleging</v>
      </c>
      <c r="B1120" s="33" t="s">
        <v>26</v>
      </c>
      <c r="C1120" s="33" t="s">
        <v>20</v>
      </c>
      <c r="D1120" s="427" cm="1">
        <f t="array" ref="D1120">INDEX(Berekening_patiëntaantal[Percentage van patiëntaantallen in Wlz (overige is Zvw)],MATCH(B1120,IF(Berekening_patiëntaantal[Doelgroep (zoeksleutel)]=C1120,Berekening_patiëntaantal[Digitale zorgtoepassing]),0))</f>
        <v>0.45</v>
      </c>
      <c r="E1120" s="33" t="str" cm="1">
        <f t="array" ref="E1120">INDEX(Berekening_patiëntaantal[Direct toepasbaar/extrapolatie/incidentie voor QALY],MATCH(B1120,IF(Berekening_patiëntaantal[Doelgroep (zoeksleutel)]=C1120,Berekening_patiëntaantal[Digitale zorgtoepassing]),0))</f>
        <v>Huidige toepassing</v>
      </c>
      <c r="F1120" s="33" t="s">
        <v>813</v>
      </c>
      <c r="G1120" s="33" t="str">
        <f>CONCATENATE(uitkomst_doelgroep[[#This Row],[Digitale zorgtoepassing]],"_",uitkomst_doelgroep[[#This Row],[Doelgroep]],"_",uitkomst_doelgroep[[#This Row],[Uitgangssituatie/effect beleid]])</f>
        <v>Medicijndispenser_Dementie_Uitgangssituatie</v>
      </c>
      <c r="H1120" s="33">
        <v>2032</v>
      </c>
      <c r="I1120" s="32">
        <v>10</v>
      </c>
      <c r="J1120" s="406" cm="1">
        <f t="array" ref="J1120">INDEX(implementatie[[2023]:[2034]],MATCH(G1120, implementatie[Zoeksleutel],0),I1120)</f>
        <v>0.98252771673229611</v>
      </c>
      <c r="K1120" s="406" cm="1">
        <f t="array" ref="K1120">INDEX(implementatie[[2023]:[2034]],MATCH(G1120,implementatie[Zoeksleutel],0),I1120 + 1)</f>
        <v>0.98974396343169702</v>
      </c>
      <c r="L112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41449.209016383669</v>
      </c>
      <c r="M1120" s="398" cm="1">
        <f t="array" ref="M1120">J1120*INDEX(Berekening_impact[Totaal arbeidsbesparing (€/jaar)],MATCH(B1120,IF(Berekening_impact[Doelgroep]=C1120,Berekening_impact[Digitale zorgtoepassing]),0))</f>
        <v>182946105.63199124</v>
      </c>
      <c r="N1120" s="397" cm="1">
        <f t="array" ref="N1120">J1120*INDEX(Berekening_impact[Totaal arbeidsbesparing (FTE/jaar)],MATCH(B1120,IF(Berekening_impact[Doelgroep]=C1120,Berekening_impact[Digitale zorgtoepassing]),0))</f>
        <v>3471.051869093752</v>
      </c>
      <c r="O1120" s="398" cm="1">
        <f t="array" ref="O1120">J1120*INDEX(Berekening_impact[Overige kostenbesparing (totaal/jaar totaal potentieel)],MATCH(B1120,IF(Berekening_impact[Doelgroep]=C1120,Berekening_impact[Digitale zorgtoepassing]),0))</f>
        <v>90107783.370980754</v>
      </c>
      <c r="P1120" s="398" cm="1">
        <f t="array" ref="P1120">J1120*INDEX(Berekening_impact[Opbrengsten door QALY''s],MATCH(B1120,IF(Berekening_impact[Doelgroep]=C1120,Berekening_impact[Digitale zorgtoepassing]),0))</f>
        <v>0</v>
      </c>
      <c r="Q1120" s="398" cm="1">
        <f t="array" ref="Q1120">J1120*INDEX(Berekening_impact[Jaarlijkse kosten (totaal) - incl. schatting],MATCH(B1120,IF(Berekening_impact[Doelgroep]=C1120,Berekening_impact[Digitale zorgtoepassing]),0))</f>
        <v>43914744.960779719</v>
      </c>
      <c r="R1120" s="398" cm="1">
        <f t="array" ref="R1120">(uitkomst_doelgroep[[#This Row],[Implementatiegraad t = T + 1]]-uitkomst_doelgroep[[#This Row],[Implementatiegraad t = T]])*INDEX(Berekening_impact[Initiële investering (totaal) - incl. schatting],MATCH(B1120,IF(Berekening_impact[Doelgroep]=C1120,Berekening_impact[Digitale zorgtoepassing]),0))</f>
        <v>26737.042123537456</v>
      </c>
      <c r="S1120" s="398">
        <f>uitkomst_doelgroep[[#This Row],[Arbeidsbesparing (€)]]*uitkomst_doelgroep[[#This Row],[Percentage van patiëntaantallen in Wlz (overige is Zvw)]]</f>
        <v>82325747.534396052</v>
      </c>
      <c r="T1120" s="398">
        <f>uitkomst_doelgroep[[#This Row],[Overige besparingen (€)]]*uitkomst_doelgroep[[#This Row],[Percentage van patiëntaantallen in Wlz (overige is Zvw)]]</f>
        <v>40548502.516941339</v>
      </c>
      <c r="U1120" s="398">
        <f>uitkomst_doelgroep[[#This Row],[Kosten (€)]]*uitkomst_doelgroep[[#This Row],[Percentage van patiëntaantallen in Wlz (overige is Zvw)]]</f>
        <v>19761635.232350875</v>
      </c>
      <c r="V1120" s="398">
        <f>uitkomst_doelgroep[[#This Row],[Investering (cash flow) (€)]]*uitkomst_doelgroep[[#This Row],[Percentage van patiëntaantallen in Wlz (overige is Zvw)]]</f>
        <v>12031.668955591855</v>
      </c>
    </row>
    <row r="1121" spans="1:22" x14ac:dyDescent="0.5">
      <c r="A1121" s="33" t="str">
        <f>INDEX(Technologieën[Veld],MATCH(B1121,Technologieën[Digitale zorgtoepassing],0))</f>
        <v>Digitale hulpmiddelen - Verpleging</v>
      </c>
      <c r="B1121" s="33" t="s">
        <v>26</v>
      </c>
      <c r="C1121" s="33" t="s">
        <v>27</v>
      </c>
      <c r="D1121" s="427" cm="1">
        <f t="array" ref="D1121">INDEX(Berekening_patiëntaantal[Percentage van patiëntaantallen in Wlz (overige is Zvw)],MATCH(B1121,IF(Berekening_patiëntaantal[Doelgroep (zoeksleutel)]=C1121,Berekening_patiëntaantal[Digitale zorgtoepassing]),0))</f>
        <v>1</v>
      </c>
      <c r="E1121" s="33" t="str" cm="1">
        <f t="array" ref="E1121">INDEX(Berekening_patiëntaantal[Direct toepasbaar/extrapolatie/incidentie voor QALY],MATCH(B1121,IF(Berekening_patiëntaantal[Doelgroep (zoeksleutel)]=C1121,Berekening_patiëntaantal[Digitale zorgtoepassing]),0))</f>
        <v>Huidige toepassing</v>
      </c>
      <c r="F1121" s="33" t="s">
        <v>813</v>
      </c>
      <c r="G1121" s="33" t="str">
        <f>CONCATENATE(uitkomst_doelgroep[[#This Row],[Digitale zorgtoepassing]],"_",uitkomst_doelgroep[[#This Row],[Doelgroep]],"_",uitkomst_doelgroep[[#This Row],[Uitgangssituatie/effect beleid]])</f>
        <v>Medicijndispenser_Parkinson_Uitgangssituatie</v>
      </c>
      <c r="H1121" s="33">
        <v>2032</v>
      </c>
      <c r="I1121" s="32">
        <v>10</v>
      </c>
      <c r="J1121" s="406" cm="1">
        <f t="array" ref="J1121">INDEX(implementatie[[2023]:[2034]],MATCH(G1121, implementatie[Zoeksleutel],0),I1121)</f>
        <v>0.98252771673229611</v>
      </c>
      <c r="K1121" s="406" cm="1">
        <f t="array" ref="K1121">INDEX(implementatie[[2023]:[2034]],MATCH(G1121,implementatie[Zoeksleutel],0),I1121 + 1)</f>
        <v>0.98974396343169702</v>
      </c>
      <c r="L112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9667.4832160157548</v>
      </c>
      <c r="M1121" s="398" cm="1">
        <f t="array" ref="M1121">J1121*INDEX(Berekening_impact[Totaal arbeidsbesparing (€/jaar)],MATCH(B1121,IF(Berekening_impact[Doelgroep]=C1121,Berekening_impact[Digitale zorgtoepassing]),0))</f>
        <v>42669774.589272223</v>
      </c>
      <c r="N1121" s="397" cm="1">
        <f t="array" ref="N1121">J1121*INDEX(Berekening_impact[Totaal arbeidsbesparing (FTE/jaar)],MATCH(B1121,IF(Berekening_impact[Doelgroep]=C1121,Berekening_impact[Digitale zorgtoepassing]),0))</f>
        <v>809.57722674804529</v>
      </c>
      <c r="O1121" s="398" cm="1">
        <f t="array" ref="O1121">J1121*INDEX(Berekening_impact[Overige kostenbesparing (totaal/jaar totaal potentieel)],MATCH(B1121,IF(Berekening_impact[Doelgroep]=C1121,Berekening_impact[Digitale zorgtoepassing]),0))</f>
        <v>21016456.140984826</v>
      </c>
      <c r="P1121" s="398" cm="1">
        <f t="array" ref="P1121">J1121*INDEX(Berekening_impact[Opbrengsten door QALY''s],MATCH(B1121,IF(Berekening_impact[Doelgroep]=C1121,Berekening_impact[Digitale zorgtoepassing]),0))</f>
        <v>0</v>
      </c>
      <c r="Q1121" s="398" cm="1">
        <f t="array" ref="Q1121">J1121*INDEX(Berekening_impact[Jaarlijkse kosten (totaal) - incl. schatting],MATCH(B1121,IF(Berekening_impact[Doelgroep]=C1121,Berekening_impact[Digitale zorgtoepassing]),0))</f>
        <v>10252489.20541168</v>
      </c>
      <c r="R1121" s="398" cm="1">
        <f t="array" ref="R1121">(uitkomst_doelgroep[[#This Row],[Implementatiegraad t = T + 1]]-uitkomst_doelgroep[[#This Row],[Implementatiegraad t = T]])*INDEX(Berekening_impact[Initiële investering (totaal) - incl. schatting],MATCH(B1121,IF(Berekening_impact[Doelgroep]=C1121,Berekening_impact[Digitale zorgtoepassing]),0))</f>
        <v>11508.527215688506</v>
      </c>
      <c r="S1121" s="398">
        <f>uitkomst_doelgroep[[#This Row],[Arbeidsbesparing (€)]]*uitkomst_doelgroep[[#This Row],[Percentage van patiëntaantallen in Wlz (overige is Zvw)]]</f>
        <v>42669774.589272223</v>
      </c>
      <c r="T1121" s="398">
        <f>uitkomst_doelgroep[[#This Row],[Overige besparingen (€)]]*uitkomst_doelgroep[[#This Row],[Percentage van patiëntaantallen in Wlz (overige is Zvw)]]</f>
        <v>21016456.140984826</v>
      </c>
      <c r="U1121" s="398">
        <f>uitkomst_doelgroep[[#This Row],[Kosten (€)]]*uitkomst_doelgroep[[#This Row],[Percentage van patiëntaantallen in Wlz (overige is Zvw)]]</f>
        <v>10252489.20541168</v>
      </c>
      <c r="V1121" s="398">
        <f>uitkomst_doelgroep[[#This Row],[Investering (cash flow) (€)]]*uitkomst_doelgroep[[#This Row],[Percentage van patiëntaantallen in Wlz (overige is Zvw)]]</f>
        <v>11508.527215688506</v>
      </c>
    </row>
    <row r="1122" spans="1:22" x14ac:dyDescent="0.5">
      <c r="A1122" s="33" t="str">
        <f>INDEX(Technologieën[Veld],MATCH(B1122,Technologieën[Digitale zorgtoepassing],0))</f>
        <v>Digitale hulpmiddelen - Verpleging</v>
      </c>
      <c r="B1122" s="33" t="s">
        <v>26</v>
      </c>
      <c r="C1122" s="33" t="s">
        <v>29</v>
      </c>
      <c r="D1122" s="427" cm="1">
        <f t="array" ref="D1122">INDEX(Berekening_patiëntaantal[Percentage van patiëntaantallen in Wlz (overige is Zvw)],MATCH(B1122,IF(Berekening_patiëntaantal[Doelgroep (zoeksleutel)]=C1122,Berekening_patiëntaantal[Digitale zorgtoepassing]),0))</f>
        <v>0.70000000000000007</v>
      </c>
      <c r="E1122" s="33" t="str" cm="1">
        <f t="array" ref="E1122">INDEX(Berekening_patiëntaantal[Direct toepasbaar/extrapolatie/incidentie voor QALY],MATCH(B1122,IF(Berekening_patiëntaantal[Doelgroep (zoeksleutel)]=C1122,Berekening_patiëntaantal[Digitale zorgtoepassing]),0))</f>
        <v>Huidige toepassing</v>
      </c>
      <c r="F1122" s="33" t="s">
        <v>813</v>
      </c>
      <c r="G1122" s="33" t="str">
        <f>CONCATENATE(uitkomst_doelgroep[[#This Row],[Digitale zorgtoepassing]],"_",uitkomst_doelgroep[[#This Row],[Doelgroep]],"_",uitkomst_doelgroep[[#This Row],[Uitgangssituatie/effect beleid]])</f>
        <v>Medicijndispenser_Reumatische aandoening _Uitgangssituatie</v>
      </c>
      <c r="H1122" s="33">
        <v>2032</v>
      </c>
      <c r="I1122" s="32">
        <v>10</v>
      </c>
      <c r="J1122" s="406" cm="1">
        <f t="array" ref="J1122">INDEX(implementatie[[2023]:[2034]],MATCH(G1122, implementatie[Zoeksleutel],0),I1122)</f>
        <v>0.98252771673229611</v>
      </c>
      <c r="K1122" s="406" cm="1">
        <f t="array" ref="K1122">INDEX(implementatie[[2023]:[2034]],MATCH(G1122,implementatie[Zoeksleutel],0),I1122 + 1)</f>
        <v>0.98974396343169702</v>
      </c>
      <c r="L112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76330.613257498626</v>
      </c>
      <c r="M1122" s="398" cm="1">
        <f t="array" ref="M1122">J1122*INDEX(Berekening_impact[Totaal arbeidsbesparing (€/jaar)],MATCH(B1122,IF(Berekening_impact[Doelgroep]=C1122,Berekening_impact[Digitale zorgtoepassing]),0))</f>
        <v>336903616.91682214</v>
      </c>
      <c r="N1122" s="397" cm="1">
        <f t="array" ref="N1122">J1122*INDEX(Berekening_impact[Totaal arbeidsbesparing (FTE/jaar)],MATCH(B1122,IF(Berekening_impact[Doelgroep]=C1122,Berekening_impact[Digitale zorgtoepassing]),0))</f>
        <v>6392.1006963434911</v>
      </c>
      <c r="O1122" s="398" cm="1">
        <f t="array" ref="O1122">J1122*INDEX(Berekening_impact[Overige kostenbesparing (totaal/jaar totaal potentieel)],MATCH(B1122,IF(Berekening_impact[Doelgroep]=C1122,Berekening_impact[Digitale zorgtoepassing]),0))</f>
        <v>165937602.36201689</v>
      </c>
      <c r="P1122" s="398" cm="1">
        <f t="array" ref="P1122">J1122*INDEX(Berekening_impact[Opbrengsten door QALY''s],MATCH(B1122,IF(Berekening_impact[Doelgroep]=C1122,Berekening_impact[Digitale zorgtoepassing]),0))</f>
        <v>0</v>
      </c>
      <c r="Q1122" s="398" cm="1">
        <f t="array" ref="Q1122">J1122*INDEX(Berekening_impact[Jaarlijkse kosten (totaal) - incl. schatting],MATCH(B1122,IF(Berekening_impact[Doelgroep]=C1122,Berekening_impact[Digitale zorgtoepassing]),0))</f>
        <v>80865566.078312531</v>
      </c>
      <c r="R1122" s="398" cm="1">
        <f t="array" ref="R1122">(uitkomst_doelgroep[[#This Row],[Implementatiegraad t = T + 1]]-uitkomst_doelgroep[[#This Row],[Implementatiegraad t = T]])*INDEX(Berekening_impact[Initiële investering (totaal) - incl. schatting],MATCH(B1122,IF(Berekening_impact[Doelgroep]=C1122,Berekening_impact[Digitale zorgtoepassing]),0))</f>
        <v>38223.837592210723</v>
      </c>
      <c r="S1122" s="398">
        <f>uitkomst_doelgroep[[#This Row],[Arbeidsbesparing (€)]]*uitkomst_doelgroep[[#This Row],[Percentage van patiëntaantallen in Wlz (overige is Zvw)]]</f>
        <v>235832531.84177551</v>
      </c>
      <c r="T1122" s="398">
        <f>uitkomst_doelgroep[[#This Row],[Overige besparingen (€)]]*uitkomst_doelgroep[[#This Row],[Percentage van patiëntaantallen in Wlz (overige is Zvw)]]</f>
        <v>116156321.65341184</v>
      </c>
      <c r="U1122" s="398">
        <f>uitkomst_doelgroep[[#This Row],[Kosten (€)]]*uitkomst_doelgroep[[#This Row],[Percentage van patiëntaantallen in Wlz (overige is Zvw)]]</f>
        <v>56605896.254818775</v>
      </c>
      <c r="V1122" s="398">
        <f>uitkomst_doelgroep[[#This Row],[Investering (cash flow) (€)]]*uitkomst_doelgroep[[#This Row],[Percentage van patiëntaantallen in Wlz (overige is Zvw)]]</f>
        <v>26756.686314547507</v>
      </c>
    </row>
    <row r="1123" spans="1:22" x14ac:dyDescent="0.5">
      <c r="A1123" s="33" t="str">
        <f>INDEX(Technologieën[Veld],MATCH(B1123,Technologieën[Digitale zorgtoepassing],0))</f>
        <v>Digitale hulpmiddelen - Verpleging</v>
      </c>
      <c r="B1123" s="33" t="s">
        <v>26</v>
      </c>
      <c r="C1123" s="33" t="s">
        <v>24</v>
      </c>
      <c r="D1123" s="427" cm="1">
        <f t="array" ref="D1123">INDEX(Berekening_patiëntaantal[Percentage van patiëntaantallen in Wlz (overige is Zvw)],MATCH(B1123,IF(Berekening_patiëntaantal[Doelgroep (zoeksleutel)]=C1123,Berekening_patiëntaantal[Digitale zorgtoepassing]),0))</f>
        <v>0.45</v>
      </c>
      <c r="E1123" s="33" t="str" cm="1">
        <f t="array" ref="E1123">INDEX(Berekening_patiëntaantal[Direct toepasbaar/extrapolatie/incidentie voor QALY],MATCH(B1123,IF(Berekening_patiëntaantal[Doelgroep (zoeksleutel)]=C1123,Berekening_patiëntaantal[Digitale zorgtoepassing]),0))</f>
        <v>Extrapolatie</v>
      </c>
      <c r="F1123" s="33" t="s">
        <v>813</v>
      </c>
      <c r="G1123" s="33" t="str">
        <f>CONCATENATE(uitkomst_doelgroep[[#This Row],[Digitale zorgtoepassing]],"_",uitkomst_doelgroep[[#This Row],[Doelgroep]],"_",uitkomst_doelgroep[[#This Row],[Uitgangssituatie/effect beleid]])</f>
        <v>Medicijndispenser_Cognitieve beperking_Uitgangssituatie</v>
      </c>
      <c r="H1123" s="33">
        <v>2033</v>
      </c>
      <c r="I1123" s="32">
        <v>11</v>
      </c>
      <c r="J1123" s="406" cm="1">
        <f t="array" ref="J1123">INDEX(implementatie[[2023]:[2034]],MATCH(G1123, implementatie[Zoeksleutel],0),I1123)</f>
        <v>0.47752884860285211</v>
      </c>
      <c r="K1123" s="406" cm="1">
        <f t="array" ref="K1123">INDEX(implementatie[[2023]:[2034]],MATCH(G1123,implementatie[Zoeksleutel],0),I1123 + 1)</f>
        <v>0.5877762905727496</v>
      </c>
      <c r="L112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3824.920122116097</v>
      </c>
      <c r="M1123" s="398" cm="1">
        <f t="array" ref="M1123">J1123*INDEX(Berekening_impact[Totaal arbeidsbesparing (€/jaar)],MATCH(B1123,IF(Berekening_impact[Doelgroep]=C1123,Berekening_impact[Digitale zorgtoepassing]),0))</f>
        <v>16882209.752615251</v>
      </c>
      <c r="N1123" s="397" cm="1">
        <f t="array" ref="N1123">J1123*INDEX(Berekening_impact[Totaal arbeidsbesparing (FTE/jaar)],MATCH(B1123,IF(Berekening_impact[Doelgroep]=C1123,Berekening_impact[Digitale zorgtoepassing]),0))</f>
        <v>320.30758738381644</v>
      </c>
      <c r="O1123" s="398" cm="1">
        <f t="array" ref="O1123">J1123*INDEX(Berekening_impact[Overige kostenbesparing (totaal/jaar totaal potentieel)],MATCH(B1123,IF(Berekening_impact[Doelgroep]=C1123,Berekening_impact[Digitale zorgtoepassing]),0))</f>
        <v>8315118.2363627357</v>
      </c>
      <c r="P1123" s="398" cm="1">
        <f t="array" ref="P1123">J1123*INDEX(Berekening_impact[Opbrengsten door QALY''s],MATCH(B1123,IF(Berekening_impact[Doelgroep]=C1123,Berekening_impact[Digitale zorgtoepassing]),0))</f>
        <v>0</v>
      </c>
      <c r="Q1123" s="398" cm="1">
        <f t="array" ref="Q1123">J1123*INDEX(Berekening_impact[Jaarlijkse kosten (totaal) - incl. schatting],MATCH(B1123,IF(Berekening_impact[Doelgroep]=C1123,Berekening_impact[Digitale zorgtoepassing]),0))</f>
        <v>4053345.0968812159</v>
      </c>
      <c r="R1123" s="398" cm="1">
        <f t="array" ref="R1123">(uitkomst_doelgroep[[#This Row],[Implementatiegraad t = T + 1]]-uitkomst_doelgroep[[#This Row],[Implementatiegraad t = T]])*INDEX(Berekening_impact[Initiële investering (totaal) - incl. schatting],MATCH(B1123,IF(Berekening_impact[Doelgroep]=C1123,Berekening_impact[Digitale zorgtoepassing]),0))</f>
        <v>0</v>
      </c>
      <c r="S1123" s="398">
        <f>uitkomst_doelgroep[[#This Row],[Arbeidsbesparing (€)]]*uitkomst_doelgroep[[#This Row],[Percentage van patiëntaantallen in Wlz (overige is Zvw)]]</f>
        <v>7596994.3886768632</v>
      </c>
      <c r="T1123" s="398">
        <f>uitkomst_doelgroep[[#This Row],[Overige besparingen (€)]]*uitkomst_doelgroep[[#This Row],[Percentage van patiëntaantallen in Wlz (overige is Zvw)]]</f>
        <v>3741803.2063632309</v>
      </c>
      <c r="U1123" s="398">
        <f>uitkomst_doelgroep[[#This Row],[Kosten (€)]]*uitkomst_doelgroep[[#This Row],[Percentage van patiëntaantallen in Wlz (overige is Zvw)]]</f>
        <v>1824005.2935965471</v>
      </c>
      <c r="V1123" s="398">
        <f>uitkomst_doelgroep[[#This Row],[Investering (cash flow) (€)]]*uitkomst_doelgroep[[#This Row],[Percentage van patiëntaantallen in Wlz (overige is Zvw)]]</f>
        <v>0</v>
      </c>
    </row>
    <row r="1124" spans="1:22" x14ac:dyDescent="0.5">
      <c r="A1124" s="33" t="str">
        <f>INDEX(Technologieën[Veld],MATCH(B1124,Technologieën[Digitale zorgtoepassing],0))</f>
        <v>Digitale hulpmiddelen - Verpleging</v>
      </c>
      <c r="B1124" s="33" t="s">
        <v>26</v>
      </c>
      <c r="C1124" s="33" t="s">
        <v>20</v>
      </c>
      <c r="D1124" s="427" cm="1">
        <f t="array" ref="D1124">INDEX(Berekening_patiëntaantal[Percentage van patiëntaantallen in Wlz (overige is Zvw)],MATCH(B1124,IF(Berekening_patiëntaantal[Doelgroep (zoeksleutel)]=C1124,Berekening_patiëntaantal[Digitale zorgtoepassing]),0))</f>
        <v>0.45</v>
      </c>
      <c r="E1124" s="33" t="str" cm="1">
        <f t="array" ref="E1124">INDEX(Berekening_patiëntaantal[Direct toepasbaar/extrapolatie/incidentie voor QALY],MATCH(B1124,IF(Berekening_patiëntaantal[Doelgroep (zoeksleutel)]=C1124,Berekening_patiëntaantal[Digitale zorgtoepassing]),0))</f>
        <v>Huidige toepassing</v>
      </c>
      <c r="F1124" s="33" t="s">
        <v>813</v>
      </c>
      <c r="G1124" s="33" t="str">
        <f>CONCATENATE(uitkomst_doelgroep[[#This Row],[Digitale zorgtoepassing]],"_",uitkomst_doelgroep[[#This Row],[Doelgroep]],"_",uitkomst_doelgroep[[#This Row],[Uitgangssituatie/effect beleid]])</f>
        <v>Medicijndispenser_Dementie_Uitgangssituatie</v>
      </c>
      <c r="H1124" s="33">
        <v>2033</v>
      </c>
      <c r="I1124" s="32">
        <v>11</v>
      </c>
      <c r="J1124" s="406" cm="1">
        <f t="array" ref="J1124">INDEX(implementatie[[2023]:[2034]],MATCH(G1124, implementatie[Zoeksleutel],0),I1124)</f>
        <v>0.98974396343169702</v>
      </c>
      <c r="K1124" s="406" cm="1">
        <f t="array" ref="K1124">INDEX(implementatie[[2023]:[2034]],MATCH(G1124,implementatie[Zoeksleutel],0),I1124 + 1)</f>
        <v>0.99400942427594807</v>
      </c>
      <c r="L112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41753.6357645186</v>
      </c>
      <c r="M1124" s="398" cm="1">
        <f t="array" ref="M1124">J1124*INDEX(Berekening_impact[Totaal arbeidsbesparing (€/jaar)],MATCH(B1124,IF(Berekening_impact[Doelgroep]=C1124,Berekening_impact[Digitale zorgtoepassing]),0))</f>
        <v>184289766.68953961</v>
      </c>
      <c r="N1124" s="397" cm="1">
        <f t="array" ref="N1124">J1124*INDEX(Berekening_impact[Totaal arbeidsbesparing (FTE/jaar)],MATCH(B1124,IF(Berekening_impact[Doelgroep]=C1124,Berekening_impact[Digitale zorgtoepassing]),0))</f>
        <v>3496.5452634960006</v>
      </c>
      <c r="O1124" s="398" cm="1">
        <f t="array" ref="O1124">J1124*INDEX(Berekening_impact[Overige kostenbesparing (totaal/jaar totaal potentieel)],MATCH(B1124,IF(Berekening_impact[Doelgroep]=C1124,Berekening_impact[Digitale zorgtoepassing]),0))</f>
        <v>90769586.578429952</v>
      </c>
      <c r="P1124" s="398" cm="1">
        <f t="array" ref="P1124">J1124*INDEX(Berekening_impact[Opbrengsten door QALY''s],MATCH(B1124,IF(Berekening_impact[Doelgroep]=C1124,Berekening_impact[Digitale zorgtoepassing]),0))</f>
        <v>0</v>
      </c>
      <c r="Q1124" s="398" cm="1">
        <f t="array" ref="Q1124">J1124*INDEX(Berekening_impact[Jaarlijkse kosten (totaal) - incl. schatting],MATCH(B1124,IF(Berekening_impact[Doelgroep]=C1124,Berekening_impact[Digitale zorgtoepassing]),0))</f>
        <v>44237280.018042229</v>
      </c>
      <c r="R1124" s="398" cm="1">
        <f t="array" ref="R1124">(uitkomst_doelgroep[[#This Row],[Implementatiegraad t = T + 1]]-uitkomst_doelgroep[[#This Row],[Implementatiegraad t = T]])*INDEX(Berekening_impact[Initiële investering (totaal) - incl. schatting],MATCH(B1124,IF(Berekening_impact[Doelgroep]=C1124,Berekening_impact[Digitale zorgtoepassing]),0))</f>
        <v>15804.033733839535</v>
      </c>
      <c r="S1124" s="398">
        <f>uitkomst_doelgroep[[#This Row],[Arbeidsbesparing (€)]]*uitkomst_doelgroep[[#This Row],[Percentage van patiëntaantallen in Wlz (overige is Zvw)]]</f>
        <v>82930395.010292828</v>
      </c>
      <c r="T1124" s="398">
        <f>uitkomst_doelgroep[[#This Row],[Overige besparingen (€)]]*uitkomst_doelgroep[[#This Row],[Percentage van patiëntaantallen in Wlz (overige is Zvw)]]</f>
        <v>40846313.960293479</v>
      </c>
      <c r="U1124" s="398">
        <f>uitkomst_doelgroep[[#This Row],[Kosten (€)]]*uitkomst_doelgroep[[#This Row],[Percentage van patiëntaantallen in Wlz (overige is Zvw)]]</f>
        <v>19906776.008119002</v>
      </c>
      <c r="V1124" s="398">
        <f>uitkomst_doelgroep[[#This Row],[Investering (cash flow) (€)]]*uitkomst_doelgroep[[#This Row],[Percentage van patiëntaantallen in Wlz (overige is Zvw)]]</f>
        <v>7111.8151802277907</v>
      </c>
    </row>
    <row r="1125" spans="1:22" x14ac:dyDescent="0.5">
      <c r="A1125" s="33" t="str">
        <f>INDEX(Technologieën[Veld],MATCH(B1125,Technologieën[Digitale zorgtoepassing],0))</f>
        <v>Digitale hulpmiddelen - Verpleging</v>
      </c>
      <c r="B1125" s="33" t="s">
        <v>26</v>
      </c>
      <c r="C1125" s="33" t="s">
        <v>27</v>
      </c>
      <c r="D1125" s="427" cm="1">
        <f t="array" ref="D1125">INDEX(Berekening_patiëntaantal[Percentage van patiëntaantallen in Wlz (overige is Zvw)],MATCH(B1125,IF(Berekening_patiëntaantal[Doelgroep (zoeksleutel)]=C1125,Berekening_patiëntaantal[Digitale zorgtoepassing]),0))</f>
        <v>1</v>
      </c>
      <c r="E1125" s="33" t="str" cm="1">
        <f t="array" ref="E1125">INDEX(Berekening_patiëntaantal[Direct toepasbaar/extrapolatie/incidentie voor QALY],MATCH(B1125,IF(Berekening_patiëntaantal[Doelgroep (zoeksleutel)]=C1125,Berekening_patiëntaantal[Digitale zorgtoepassing]),0))</f>
        <v>Huidige toepassing</v>
      </c>
      <c r="F1125" s="33" t="s">
        <v>813</v>
      </c>
      <c r="G1125" s="33" t="str">
        <f>CONCATENATE(uitkomst_doelgroep[[#This Row],[Digitale zorgtoepassing]],"_",uitkomst_doelgroep[[#This Row],[Doelgroep]],"_",uitkomst_doelgroep[[#This Row],[Uitgangssituatie/effect beleid]])</f>
        <v>Medicijndispenser_Parkinson_Uitgangssituatie</v>
      </c>
      <c r="H1125" s="33">
        <v>2033</v>
      </c>
      <c r="I1125" s="32">
        <v>11</v>
      </c>
      <c r="J1125" s="406" cm="1">
        <f t="array" ref="J1125">INDEX(implementatie[[2023]:[2034]],MATCH(G1125, implementatie[Zoeksleutel],0),I1125)</f>
        <v>0.98974396343169702</v>
      </c>
      <c r="K1125" s="406" cm="1">
        <f t="array" ref="K1125">INDEX(implementatie[[2023]:[2034]],MATCH(G1125,implementatie[Zoeksleutel],0),I1125 + 1)</f>
        <v>0.99400942427594807</v>
      </c>
      <c r="L112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9738.486753789839</v>
      </c>
      <c r="M1125" s="398" cm="1">
        <f t="array" ref="M1125">J1125*INDEX(Berekening_impact[Totaal arbeidsbesparing (€/jaar)],MATCH(B1125,IF(Berekening_impact[Doelgroep]=C1125,Berekening_impact[Digitale zorgtoepassing]),0))</f>
        <v>42983165.870556466</v>
      </c>
      <c r="N1125" s="397" cm="1">
        <f t="array" ref="N1125">J1125*INDEX(Berekening_impact[Totaal arbeidsbesparing (FTE/jaar)],MATCH(B1125,IF(Berekening_impact[Doelgroep]=C1125,Berekening_impact[Digitale zorgtoepassing]),0))</f>
        <v>815.52322592032363</v>
      </c>
      <c r="O1125" s="398" cm="1">
        <f t="array" ref="O1125">J1125*INDEX(Berekening_impact[Overige kostenbesparing (totaal/jaar totaal potentieel)],MATCH(B1125,IF(Berekening_impact[Doelgroep]=C1125,Berekening_impact[Digitale zorgtoepassing]),0))</f>
        <v>21170813.040721841</v>
      </c>
      <c r="P1125" s="398" cm="1">
        <f t="array" ref="P1125">J1125*INDEX(Berekening_impact[Opbrengsten door QALY''s],MATCH(B1125,IF(Berekening_impact[Doelgroep]=C1125,Berekening_impact[Digitale zorgtoepassing]),0))</f>
        <v>0</v>
      </c>
      <c r="Q1125" s="398" cm="1">
        <f t="array" ref="Q1125">J1125*INDEX(Berekening_impact[Jaarlijkse kosten (totaal) - incl. schatting],MATCH(B1125,IF(Berekening_impact[Doelgroep]=C1125,Berekening_impact[Digitale zorgtoepassing]),0))</f>
        <v>10327789.362475192</v>
      </c>
      <c r="R1125" s="398" cm="1">
        <f t="array" ref="R1125">(uitkomst_doelgroep[[#This Row],[Implementatiegraad t = T + 1]]-uitkomst_doelgroep[[#This Row],[Implementatiegraad t = T]])*INDEX(Berekening_impact[Initiële investering (totaal) - incl. schatting],MATCH(B1125,IF(Berekening_impact[Doelgroep]=C1125,Berekening_impact[Digitale zorgtoepassing]),0))</f>
        <v>6802.5906344904115</v>
      </c>
      <c r="S1125" s="398">
        <f>uitkomst_doelgroep[[#This Row],[Arbeidsbesparing (€)]]*uitkomst_doelgroep[[#This Row],[Percentage van patiëntaantallen in Wlz (overige is Zvw)]]</f>
        <v>42983165.870556466</v>
      </c>
      <c r="T1125" s="398">
        <f>uitkomst_doelgroep[[#This Row],[Overige besparingen (€)]]*uitkomst_doelgroep[[#This Row],[Percentage van patiëntaantallen in Wlz (overige is Zvw)]]</f>
        <v>21170813.040721841</v>
      </c>
      <c r="U1125" s="398">
        <f>uitkomst_doelgroep[[#This Row],[Kosten (€)]]*uitkomst_doelgroep[[#This Row],[Percentage van patiëntaantallen in Wlz (overige is Zvw)]]</f>
        <v>10327789.362475192</v>
      </c>
      <c r="V1125" s="398">
        <f>uitkomst_doelgroep[[#This Row],[Investering (cash flow) (€)]]*uitkomst_doelgroep[[#This Row],[Percentage van patiëntaantallen in Wlz (overige is Zvw)]]</f>
        <v>6802.5906344904115</v>
      </c>
    </row>
    <row r="1126" spans="1:22" x14ac:dyDescent="0.5">
      <c r="A1126" s="33" t="str">
        <f>INDEX(Technologieën[Veld],MATCH(B1126,Technologieën[Digitale zorgtoepassing],0))</f>
        <v>Digitale hulpmiddelen - Verpleging</v>
      </c>
      <c r="B1126" s="33" t="s">
        <v>26</v>
      </c>
      <c r="C1126" s="33" t="s">
        <v>29</v>
      </c>
      <c r="D1126" s="427" cm="1">
        <f t="array" ref="D1126">INDEX(Berekening_patiëntaantal[Percentage van patiëntaantallen in Wlz (overige is Zvw)],MATCH(B1126,IF(Berekening_patiëntaantal[Doelgroep (zoeksleutel)]=C1126,Berekening_patiëntaantal[Digitale zorgtoepassing]),0))</f>
        <v>0.70000000000000007</v>
      </c>
      <c r="E1126" s="33" t="str" cm="1">
        <f t="array" ref="E1126">INDEX(Berekening_patiëntaantal[Direct toepasbaar/extrapolatie/incidentie voor QALY],MATCH(B1126,IF(Berekening_patiëntaantal[Doelgroep (zoeksleutel)]=C1126,Berekening_patiëntaantal[Digitale zorgtoepassing]),0))</f>
        <v>Huidige toepassing</v>
      </c>
      <c r="F1126" s="33" t="s">
        <v>813</v>
      </c>
      <c r="G1126" s="33" t="str">
        <f>CONCATENATE(uitkomst_doelgroep[[#This Row],[Digitale zorgtoepassing]],"_",uitkomst_doelgroep[[#This Row],[Doelgroep]],"_",uitkomst_doelgroep[[#This Row],[Uitgangssituatie/effect beleid]])</f>
        <v>Medicijndispenser_Reumatische aandoening _Uitgangssituatie</v>
      </c>
      <c r="H1126" s="33">
        <v>2033</v>
      </c>
      <c r="I1126" s="32">
        <v>11</v>
      </c>
      <c r="J1126" s="406" cm="1">
        <f t="array" ref="J1126">INDEX(implementatie[[2023]:[2034]],MATCH(G1126, implementatie[Zoeksleutel],0),I1126)</f>
        <v>0.98974396343169702</v>
      </c>
      <c r="K1126" s="406" cm="1">
        <f t="array" ref="K1126">INDEX(implementatie[[2023]:[2034]],MATCH(G1126,implementatie[Zoeksleutel],0),I1126 + 1)</f>
        <v>0.99400942427594807</v>
      </c>
      <c r="L112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76891.229031081675</v>
      </c>
      <c r="M1126" s="398" cm="1">
        <f t="array" ref="M1126">J1126*INDEX(Berekening_impact[Totaal arbeidsbesparing (€/jaar)],MATCH(B1126,IF(Berekening_impact[Doelgroep]=C1126,Berekening_impact[Digitale zorgtoepassing]),0))</f>
        <v>339378030.17986768</v>
      </c>
      <c r="N1126" s="397" cm="1">
        <f t="array" ref="N1126">J1126*INDEX(Berekening_impact[Totaal arbeidsbesparing (FTE/jaar)],MATCH(B1126,IF(Berekening_impact[Doelgroep]=C1126,Berekening_impact[Digitale zorgtoepassing]),0))</f>
        <v>6439.0479475677485</v>
      </c>
      <c r="O1126" s="398" cm="1">
        <f t="array" ref="O1126">J1126*INDEX(Berekening_impact[Overige kostenbesparing (totaal/jaar totaal potentieel)],MATCH(B1126,IF(Berekening_impact[Doelgroep]=C1126,Berekening_impact[Digitale zorgtoepassing]),0))</f>
        <v>167156343.22291991</v>
      </c>
      <c r="P1126" s="398" cm="1">
        <f t="array" ref="P1126">J1126*INDEX(Berekening_impact[Opbrengsten door QALY''s],MATCH(B1126,IF(Berekening_impact[Doelgroep]=C1126,Berekening_impact[Digitale zorgtoepassing]),0))</f>
        <v>0</v>
      </c>
      <c r="Q1126" s="398" cm="1">
        <f t="array" ref="Q1126">J1126*INDEX(Berekening_impact[Jaarlijkse kosten (totaal) - incl. schatting],MATCH(B1126,IF(Berekening_impact[Doelgroep]=C1126,Berekening_impact[Digitale zorgtoepassing]),0))</f>
        <v>81459489.144675046</v>
      </c>
      <c r="R1126" s="398" cm="1">
        <f t="array" ref="R1126">(uitkomst_doelgroep[[#This Row],[Implementatiegraad t = T + 1]]-uitkomst_doelgroep[[#This Row],[Implementatiegraad t = T]])*INDEX(Berekening_impact[Initiële investering (totaal) - incl. schatting],MATCH(B1126,IF(Berekening_impact[Doelgroep]=C1126,Berekening_impact[Digitale zorgtoepassing]),0))</f>
        <v>22593.778921128374</v>
      </c>
      <c r="S1126" s="398">
        <f>uitkomst_doelgroep[[#This Row],[Arbeidsbesparing (€)]]*uitkomst_doelgroep[[#This Row],[Percentage van patiëntaantallen in Wlz (overige is Zvw)]]</f>
        <v>237564621.12590739</v>
      </c>
      <c r="T1126" s="398">
        <f>uitkomst_doelgroep[[#This Row],[Overige besparingen (€)]]*uitkomst_doelgroep[[#This Row],[Percentage van patiëntaantallen in Wlz (overige is Zvw)]]</f>
        <v>117009440.25604396</v>
      </c>
      <c r="U1126" s="398">
        <f>uitkomst_doelgroep[[#This Row],[Kosten (€)]]*uitkomst_doelgroep[[#This Row],[Percentage van patiëntaantallen in Wlz (overige is Zvw)]]</f>
        <v>57021642.401272535</v>
      </c>
      <c r="V1126" s="398">
        <f>uitkomst_doelgroep[[#This Row],[Investering (cash flow) (€)]]*uitkomst_doelgroep[[#This Row],[Percentage van patiëntaantallen in Wlz (overige is Zvw)]]</f>
        <v>15815.645244789863</v>
      </c>
    </row>
    <row r="1127" spans="1:22" x14ac:dyDescent="0.5">
      <c r="A1127" s="33" t="str">
        <f>INDEX(Technologieën[Veld],MATCH(B1127,Technologieën[Digitale zorgtoepassing],0))</f>
        <v>Digitale hulpmiddelen - Diagnose</v>
      </c>
      <c r="B1127" s="33" t="s">
        <v>78</v>
      </c>
      <c r="C1127" s="33" t="s">
        <v>79</v>
      </c>
      <c r="D1127" s="427" cm="1">
        <f t="array" ref="D1127">INDEX(Berekening_patiëntaantal[Percentage van patiëntaantallen in Wlz (overige is Zvw)],MATCH(B1127,IF(Berekening_patiëntaantal[Doelgroep (zoeksleutel)]=C1127,Berekening_patiëntaantal[Digitale zorgtoepassing]),0))</f>
        <v>0</v>
      </c>
      <c r="E1127" s="33" t="str" cm="1">
        <f t="array" ref="E1127">INDEX(Berekening_patiëntaantal[Direct toepasbaar/extrapolatie/incidentie voor QALY],MATCH(B1127,IF(Berekening_patiëntaantal[Doelgroep (zoeksleutel)]=C1127,Berekening_patiëntaantal[Digitale zorgtoepassing]),0))</f>
        <v>Huidige toepassing</v>
      </c>
      <c r="F1127" s="33" t="s">
        <v>813</v>
      </c>
      <c r="G1127" s="33" t="str">
        <f>CONCATENATE(uitkomst_doelgroep[[#This Row],[Digitale zorgtoepassing]],"_",uitkomst_doelgroep[[#This Row],[Doelgroep]],"_",uitkomst_doelgroep[[#This Row],[Uitgangssituatie/effect beleid]])</f>
        <v>Mobiele echo's_Echo's bij zwangere vrouwen_Uitgangssituatie</v>
      </c>
      <c r="H1127" s="33">
        <v>2023</v>
      </c>
      <c r="I1127" s="32">
        <v>1</v>
      </c>
      <c r="J1127" s="406" cm="1">
        <f t="array" ref="J1127">INDEX(implementatie[[2023]:[2034]],MATCH(G1127, implementatie[Zoeksleutel],0),I1127)</f>
        <v>0.2</v>
      </c>
      <c r="K1127" s="406" cm="1">
        <f t="array" ref="K1127">INDEX(implementatie[[2023]:[2034]],MATCH(G1127,implementatie[Zoeksleutel],0),I1127 + 1)</f>
        <v>0.29200000000000004</v>
      </c>
      <c r="L112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89208</v>
      </c>
      <c r="M1127" s="398" cm="1">
        <f t="array" ref="M1127">J1127*INDEX(Berekening_impact[Totaal arbeidsbesparing (€/jaar)],MATCH(B1127,IF(Berekening_impact[Doelgroep]=C1127,Berekening_impact[Digitale zorgtoepassing]),0))</f>
        <v>206190.10758620693</v>
      </c>
      <c r="N1127" s="397" cm="1">
        <f t="array" ref="N1127">J1127*INDEX(Berekening_impact[Totaal arbeidsbesparing (FTE/jaar)],MATCH(B1127,IF(Berekening_impact[Doelgroep]=C1127,Berekening_impact[Digitale zorgtoepassing]),0))</f>
        <v>3.5740384615384615</v>
      </c>
      <c r="O1127" s="398" cm="1">
        <f t="array" ref="O1127">J1127*INDEX(Berekening_impact[Overige kostenbesparing (totaal/jaar totaal potentieel)],MATCH(B1127,IF(Berekening_impact[Doelgroep]=C1127,Berekening_impact[Digitale zorgtoepassing]),0))</f>
        <v>137460.07172413796</v>
      </c>
      <c r="P1127" s="398" cm="1">
        <f t="array" ref="P1127">J1127*INDEX(Berekening_impact[Opbrengsten door QALY''s],MATCH(B1127,IF(Berekening_impact[Doelgroep]=C1127,Berekening_impact[Digitale zorgtoepassing]),0))</f>
        <v>0</v>
      </c>
      <c r="Q1127" s="398" cm="1">
        <f t="array" ref="Q1127">J1127*INDEX(Berekening_impact[Jaarlijkse kosten (totaal) - incl. schatting],MATCH(B1127,IF(Berekening_impact[Doelgroep]=C1127,Berekening_impact[Digitale zorgtoepassing]),0))</f>
        <v>178450.80000000002</v>
      </c>
      <c r="R1127" s="398" cm="1">
        <f t="array" ref="R1127">(uitkomst_doelgroep[[#This Row],[Implementatiegraad t = T + 1]]-uitkomst_doelgroep[[#This Row],[Implementatiegraad t = T]])*INDEX(Berekening_impact[Initiële investering (totaal) - incl. schatting],MATCH(B1127,IF(Berekening_impact[Doelgroep]=C1127,Berekening_impact[Digitale zorgtoepassing]),0))</f>
        <v>0</v>
      </c>
      <c r="S1127" s="398">
        <f>uitkomst_doelgroep[[#This Row],[Arbeidsbesparing (€)]]*uitkomst_doelgroep[[#This Row],[Percentage van patiëntaantallen in Wlz (overige is Zvw)]]</f>
        <v>0</v>
      </c>
      <c r="T1127" s="398">
        <f>uitkomst_doelgroep[[#This Row],[Overige besparingen (€)]]*uitkomst_doelgroep[[#This Row],[Percentage van patiëntaantallen in Wlz (overige is Zvw)]]</f>
        <v>0</v>
      </c>
      <c r="U1127" s="398">
        <f>uitkomst_doelgroep[[#This Row],[Kosten (€)]]*uitkomst_doelgroep[[#This Row],[Percentage van patiëntaantallen in Wlz (overige is Zvw)]]</f>
        <v>0</v>
      </c>
      <c r="V1127" s="398">
        <f>uitkomst_doelgroep[[#This Row],[Investering (cash flow) (€)]]*uitkomst_doelgroep[[#This Row],[Percentage van patiëntaantallen in Wlz (overige is Zvw)]]</f>
        <v>0</v>
      </c>
    </row>
    <row r="1128" spans="1:22" ht="17.5" thickBot="1" x14ac:dyDescent="0.55000000000000004">
      <c r="A1128" s="33" t="str">
        <f>INDEX(Technologieën[Veld],MATCH(B1128,Technologieën[Digitale zorgtoepassing],0))</f>
        <v>Digitale hulpmiddelen - Diagnose</v>
      </c>
      <c r="B1128" s="33" t="s">
        <v>78</v>
      </c>
      <c r="C1128" s="40" t="s">
        <v>79</v>
      </c>
      <c r="D1128" s="427" cm="1">
        <f t="array" ref="D1128">INDEX(Berekening_patiëntaantal[Percentage van patiëntaantallen in Wlz (overige is Zvw)],MATCH(B1128,IF(Berekening_patiëntaantal[Doelgroep (zoeksleutel)]=C1128,Berekening_patiëntaantal[Digitale zorgtoepassing]),0))</f>
        <v>0</v>
      </c>
      <c r="E1128" s="33" t="str" cm="1">
        <f t="array" ref="E1128">INDEX(Berekening_patiëntaantal[Direct toepasbaar/extrapolatie/incidentie voor QALY],MATCH(B1128,IF(Berekening_patiëntaantal[Doelgroep (zoeksleutel)]=C1128,Berekening_patiëntaantal[Digitale zorgtoepassing]),0))</f>
        <v>Huidige toepassing</v>
      </c>
      <c r="F1128" s="33" t="s">
        <v>813</v>
      </c>
      <c r="G1128" s="33" t="str">
        <f>CONCATENATE(uitkomst_doelgroep[[#This Row],[Digitale zorgtoepassing]],"_",uitkomst_doelgroep[[#This Row],[Doelgroep]],"_",uitkomst_doelgroep[[#This Row],[Uitgangssituatie/effect beleid]])</f>
        <v>Mobiele echo's_Echo's bij zwangere vrouwen_Uitgangssituatie</v>
      </c>
      <c r="H1128" s="33">
        <v>2024</v>
      </c>
      <c r="I1128" s="32">
        <v>2</v>
      </c>
      <c r="J1128" s="406" cm="1">
        <f t="array" ref="J1128">INDEX(implementatie[[2023]:[2034]],MATCH(G1128, implementatie[Zoeksleutel],0),I1128)</f>
        <v>0.29200000000000004</v>
      </c>
      <c r="K1128" s="406" cm="1">
        <f t="array" ref="K1128">INDEX(implementatie[[2023]:[2034]],MATCH(G1128,implementatie[Zoeksleutel],0),I1128 + 1)</f>
        <v>0.40273120000000007</v>
      </c>
      <c r="L112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130243.68000000002</v>
      </c>
      <c r="M1128" s="398" cm="1">
        <f t="array" ref="M1128">J1128*INDEX(Berekening_impact[Totaal arbeidsbesparing (€/jaar)],MATCH(B1128,IF(Berekening_impact[Doelgroep]=C1128,Berekening_impact[Digitale zorgtoepassing]),0))</f>
        <v>301037.55707586213</v>
      </c>
      <c r="N1128" s="397" cm="1">
        <f t="array" ref="N1128">J1128*INDEX(Berekening_impact[Totaal arbeidsbesparing (FTE/jaar)],MATCH(B1128,IF(Berekening_impact[Doelgroep]=C1128,Berekening_impact[Digitale zorgtoepassing]),0))</f>
        <v>5.2180961538461546</v>
      </c>
      <c r="O1128" s="398" cm="1">
        <f t="array" ref="O1128">J1128*INDEX(Berekening_impact[Overige kostenbesparing (totaal/jaar totaal potentieel)],MATCH(B1128,IF(Berekening_impact[Doelgroep]=C1128,Berekening_impact[Digitale zorgtoepassing]),0))</f>
        <v>200691.70471724146</v>
      </c>
      <c r="P1128" s="398" cm="1">
        <f t="array" ref="P1128">J1128*INDEX(Berekening_impact[Opbrengsten door QALY''s],MATCH(B1128,IF(Berekening_impact[Doelgroep]=C1128,Berekening_impact[Digitale zorgtoepassing]),0))</f>
        <v>0</v>
      </c>
      <c r="Q1128" s="398" cm="1">
        <f t="array" ref="Q1128">J1128*INDEX(Berekening_impact[Jaarlijkse kosten (totaal) - incl. schatting],MATCH(B1128,IF(Berekening_impact[Doelgroep]=C1128,Berekening_impact[Digitale zorgtoepassing]),0))</f>
        <v>260538.16800000003</v>
      </c>
      <c r="R1128" s="398" cm="1">
        <f t="array" ref="R1128">(uitkomst_doelgroep[[#This Row],[Implementatiegraad t = T + 1]]-uitkomst_doelgroep[[#This Row],[Implementatiegraad t = T]])*INDEX(Berekening_impact[Initiële investering (totaal) - incl. schatting],MATCH(B1128,IF(Berekening_impact[Doelgroep]=C1128,Berekening_impact[Digitale zorgtoepassing]),0))</f>
        <v>0</v>
      </c>
      <c r="S1128" s="398">
        <f>uitkomst_doelgroep[[#This Row],[Arbeidsbesparing (€)]]*uitkomst_doelgroep[[#This Row],[Percentage van patiëntaantallen in Wlz (overige is Zvw)]]</f>
        <v>0</v>
      </c>
      <c r="T1128" s="398">
        <f>uitkomst_doelgroep[[#This Row],[Overige besparingen (€)]]*uitkomst_doelgroep[[#This Row],[Percentage van patiëntaantallen in Wlz (overige is Zvw)]]</f>
        <v>0</v>
      </c>
      <c r="U1128" s="398">
        <f>uitkomst_doelgroep[[#This Row],[Kosten (€)]]*uitkomst_doelgroep[[#This Row],[Percentage van patiëntaantallen in Wlz (overige is Zvw)]]</f>
        <v>0</v>
      </c>
      <c r="V1128" s="398">
        <f>uitkomst_doelgroep[[#This Row],[Investering (cash flow) (€)]]*uitkomst_doelgroep[[#This Row],[Percentage van patiëntaantallen in Wlz (overige is Zvw)]]</f>
        <v>0</v>
      </c>
    </row>
    <row r="1129" spans="1:22" x14ac:dyDescent="0.5">
      <c r="A1129" s="33" t="str">
        <f>INDEX(Technologieën[Veld],MATCH(B1129,Technologieën[Digitale zorgtoepassing],0))</f>
        <v>Digitale hulpmiddelen - Diagnose</v>
      </c>
      <c r="B1129" s="33" t="s">
        <v>78</v>
      </c>
      <c r="C1129" s="33" t="s">
        <v>79</v>
      </c>
      <c r="D1129" s="427" cm="1">
        <f t="array" ref="D1129">INDEX(Berekening_patiëntaantal[Percentage van patiëntaantallen in Wlz (overige is Zvw)],MATCH(B1129,IF(Berekening_patiëntaantal[Doelgroep (zoeksleutel)]=C1129,Berekening_patiëntaantal[Digitale zorgtoepassing]),0))</f>
        <v>0</v>
      </c>
      <c r="E1129" s="33" t="str" cm="1">
        <f t="array" ref="E1129">INDEX(Berekening_patiëntaantal[Direct toepasbaar/extrapolatie/incidentie voor QALY],MATCH(B1129,IF(Berekening_patiëntaantal[Doelgroep (zoeksleutel)]=C1129,Berekening_patiëntaantal[Digitale zorgtoepassing]),0))</f>
        <v>Huidige toepassing</v>
      </c>
      <c r="F1129" s="33" t="s">
        <v>813</v>
      </c>
      <c r="G1129" s="33" t="str">
        <f>CONCATENATE(uitkomst_doelgroep[[#This Row],[Digitale zorgtoepassing]],"_",uitkomst_doelgroep[[#This Row],[Doelgroep]],"_",uitkomst_doelgroep[[#This Row],[Uitgangssituatie/effect beleid]])</f>
        <v>Mobiele echo's_Echo's bij zwangere vrouwen_Uitgangssituatie</v>
      </c>
      <c r="H1129" s="33">
        <v>2025</v>
      </c>
      <c r="I1129" s="32">
        <v>3</v>
      </c>
      <c r="J1129" s="406" cm="1">
        <f t="array" ref="J1129">INDEX(implementatie[[2023]:[2034]],MATCH(G1129, implementatie[Zoeksleutel],0),I1129)</f>
        <v>0.40273120000000007</v>
      </c>
      <c r="K1129" s="406" cm="1">
        <f t="array" ref="K1129">INDEX(implementatie[[2023]:[2034]],MATCH(G1129,implementatie[Zoeksleutel],0),I1129 + 1)</f>
        <v>0.52590537124595205</v>
      </c>
      <c r="L112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179634.22444800002</v>
      </c>
      <c r="M1129" s="398" cm="1">
        <f t="array" ref="M1129">J1129*INDEX(Berekening_impact[Totaal arbeidsbesparing (€/jaar)],MATCH(B1129,IF(Berekening_impact[Doelgroep]=C1129,Berekening_impact[Digitale zorgtoepassing]),0))</f>
        <v>415195.94728161115</v>
      </c>
      <c r="N1129" s="397" cm="1">
        <f t="array" ref="N1129">J1129*INDEX(Berekening_impact[Totaal arbeidsbesparing (FTE/jaar)],MATCH(B1129,IF(Berekening_impact[Doelgroep]=C1129,Berekening_impact[Digitale zorgtoepassing]),0))</f>
        <v>7.1968839923076935</v>
      </c>
      <c r="O1129" s="398" cm="1">
        <f t="array" ref="O1129">J1129*INDEX(Berekening_impact[Overige kostenbesparing (totaal/jaar totaal potentieel)],MATCH(B1129,IF(Berekening_impact[Doelgroep]=C1129,Berekening_impact[Digitale zorgtoepassing]),0))</f>
        <v>276797.29818774079</v>
      </c>
      <c r="P1129" s="398" cm="1">
        <f t="array" ref="P1129">J1129*INDEX(Berekening_impact[Opbrengsten door QALY''s],MATCH(B1129,IF(Berekening_impact[Doelgroep]=C1129,Berekening_impact[Digitale zorgtoepassing]),0))</f>
        <v>0</v>
      </c>
      <c r="Q1129" s="398" cm="1">
        <f t="array" ref="Q1129">J1129*INDEX(Berekening_impact[Jaarlijkse kosten (totaal) - incl. schatting],MATCH(B1129,IF(Berekening_impact[Doelgroep]=C1129,Berekening_impact[Digitale zorgtoepassing]),0))</f>
        <v>359338.52412480005</v>
      </c>
      <c r="R1129" s="398" cm="1">
        <f t="array" ref="R1129">(uitkomst_doelgroep[[#This Row],[Implementatiegraad t = T + 1]]-uitkomst_doelgroep[[#This Row],[Implementatiegraad t = T]])*INDEX(Berekening_impact[Initiële investering (totaal) - incl. schatting],MATCH(B1129,IF(Berekening_impact[Doelgroep]=C1129,Berekening_impact[Digitale zorgtoepassing]),0))</f>
        <v>0</v>
      </c>
      <c r="S1129" s="398">
        <f>uitkomst_doelgroep[[#This Row],[Arbeidsbesparing (€)]]*uitkomst_doelgroep[[#This Row],[Percentage van patiëntaantallen in Wlz (overige is Zvw)]]</f>
        <v>0</v>
      </c>
      <c r="T1129" s="398">
        <f>uitkomst_doelgroep[[#This Row],[Overige besparingen (€)]]*uitkomst_doelgroep[[#This Row],[Percentage van patiëntaantallen in Wlz (overige is Zvw)]]</f>
        <v>0</v>
      </c>
      <c r="U1129" s="398">
        <f>uitkomst_doelgroep[[#This Row],[Kosten (€)]]*uitkomst_doelgroep[[#This Row],[Percentage van patiëntaantallen in Wlz (overige is Zvw)]]</f>
        <v>0</v>
      </c>
      <c r="V1129" s="398">
        <f>uitkomst_doelgroep[[#This Row],[Investering (cash flow) (€)]]*uitkomst_doelgroep[[#This Row],[Percentage van patiëntaantallen in Wlz (overige is Zvw)]]</f>
        <v>0</v>
      </c>
    </row>
    <row r="1130" spans="1:22" x14ac:dyDescent="0.5">
      <c r="A1130" s="33" t="str">
        <f>INDEX(Technologieën[Veld],MATCH(B1130,Technologieën[Digitale zorgtoepassing],0))</f>
        <v>Digitale hulpmiddelen - Diagnose</v>
      </c>
      <c r="B1130" s="33" t="s">
        <v>78</v>
      </c>
      <c r="C1130" s="33" t="s">
        <v>79</v>
      </c>
      <c r="D1130" s="427" cm="1">
        <f t="array" ref="D1130">INDEX(Berekening_patiëntaantal[Percentage van patiëntaantallen in Wlz (overige is Zvw)],MATCH(B1130,IF(Berekening_patiëntaantal[Doelgroep (zoeksleutel)]=C1130,Berekening_patiëntaantal[Digitale zorgtoepassing]),0))</f>
        <v>0</v>
      </c>
      <c r="E1130" s="33" t="str" cm="1">
        <f t="array" ref="E1130">INDEX(Berekening_patiëntaantal[Direct toepasbaar/extrapolatie/incidentie voor QALY],MATCH(B1130,IF(Berekening_patiëntaantal[Doelgroep (zoeksleutel)]=C1130,Berekening_patiëntaantal[Digitale zorgtoepassing]),0))</f>
        <v>Huidige toepassing</v>
      </c>
      <c r="F1130" s="33" t="s">
        <v>813</v>
      </c>
      <c r="G1130" s="33" t="str">
        <f>CONCATENATE(uitkomst_doelgroep[[#This Row],[Digitale zorgtoepassing]],"_",uitkomst_doelgroep[[#This Row],[Doelgroep]],"_",uitkomst_doelgroep[[#This Row],[Uitgangssituatie/effect beleid]])</f>
        <v>Mobiele echo's_Echo's bij zwangere vrouwen_Uitgangssituatie</v>
      </c>
      <c r="H1130" s="33">
        <v>2026</v>
      </c>
      <c r="I1130" s="32">
        <v>4</v>
      </c>
      <c r="J1130" s="406" cm="1">
        <f t="array" ref="J1130">INDEX(implementatie[[2023]:[2034]],MATCH(G1130, implementatie[Zoeksleutel],0),I1130)</f>
        <v>0.52590537124595205</v>
      </c>
      <c r="K1130" s="406" cm="1">
        <f t="array" ref="K1130">INDEX(implementatie[[2023]:[2034]],MATCH(G1130,implementatie[Zoeksleutel],0),I1130 + 1)</f>
        <v>0.64995574724807748</v>
      </c>
      <c r="L113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234574.83179054444</v>
      </c>
      <c r="M1130" s="398" cm="1">
        <f t="array" ref="M1130">J1130*INDEX(Berekening_impact[Totaal arbeidsbesparing (€/jaar)],MATCH(B1130,IF(Berekening_impact[Doelgroep]=C1130,Berekening_impact[Digitale zorgtoepassing]),0))</f>
        <v>542182.42538683466</v>
      </c>
      <c r="N1130" s="397" cm="1">
        <f t="array" ref="N1130">J1130*INDEX(Berekening_impact[Totaal arbeidsbesparing (FTE/jaar)],MATCH(B1130,IF(Berekening_impact[Doelgroep]=C1130,Berekening_impact[Digitale zorgtoepassing]),0))</f>
        <v>9.3980301198134786</v>
      </c>
      <c r="O1130" s="398" cm="1">
        <f t="array" ref="O1130">J1130*INDEX(Berekening_impact[Overige kostenbesparing (totaal/jaar totaal potentieel)],MATCH(B1130,IF(Berekening_impact[Doelgroep]=C1130,Berekening_impact[Digitale zorgtoepassing]),0))</f>
        <v>361454.95025788987</v>
      </c>
      <c r="P1130" s="398" cm="1">
        <f t="array" ref="P1130">J1130*INDEX(Berekening_impact[Opbrengsten door QALY''s],MATCH(B1130,IF(Berekening_impact[Doelgroep]=C1130,Berekening_impact[Digitale zorgtoepassing]),0))</f>
        <v>0</v>
      </c>
      <c r="Q1130" s="398" cm="1">
        <f t="array" ref="Q1130">J1130*INDEX(Berekening_impact[Jaarlijkse kosten (totaal) - incl. schatting],MATCH(B1130,IF(Berekening_impact[Doelgroep]=C1130,Berekening_impact[Digitale zorgtoepassing]),0))</f>
        <v>469241.17111568572</v>
      </c>
      <c r="R1130" s="398" cm="1">
        <f t="array" ref="R1130">(uitkomst_doelgroep[[#This Row],[Implementatiegraad t = T + 1]]-uitkomst_doelgroep[[#This Row],[Implementatiegraad t = T]])*INDEX(Berekening_impact[Initiële investering (totaal) - incl. schatting],MATCH(B1130,IF(Berekening_impact[Doelgroep]=C1130,Berekening_impact[Digitale zorgtoepassing]),0))</f>
        <v>0</v>
      </c>
      <c r="S1130" s="398">
        <f>uitkomst_doelgroep[[#This Row],[Arbeidsbesparing (€)]]*uitkomst_doelgroep[[#This Row],[Percentage van patiëntaantallen in Wlz (overige is Zvw)]]</f>
        <v>0</v>
      </c>
      <c r="T1130" s="398">
        <f>uitkomst_doelgroep[[#This Row],[Overige besparingen (€)]]*uitkomst_doelgroep[[#This Row],[Percentage van patiëntaantallen in Wlz (overige is Zvw)]]</f>
        <v>0</v>
      </c>
      <c r="U1130" s="398">
        <f>uitkomst_doelgroep[[#This Row],[Kosten (€)]]*uitkomst_doelgroep[[#This Row],[Percentage van patiëntaantallen in Wlz (overige is Zvw)]]</f>
        <v>0</v>
      </c>
      <c r="V1130" s="398">
        <f>uitkomst_doelgroep[[#This Row],[Investering (cash flow) (€)]]*uitkomst_doelgroep[[#This Row],[Percentage van patiëntaantallen in Wlz (overige is Zvw)]]</f>
        <v>0</v>
      </c>
    </row>
    <row r="1131" spans="1:22" x14ac:dyDescent="0.5">
      <c r="A1131" s="33" t="str">
        <f>INDEX(Technologieën[Veld],MATCH(B1131,Technologieën[Digitale zorgtoepassing],0))</f>
        <v>Digitale hulpmiddelen - Diagnose</v>
      </c>
      <c r="B1131" s="33" t="s">
        <v>78</v>
      </c>
      <c r="C1131" s="33" t="s">
        <v>79</v>
      </c>
      <c r="D1131" s="427" cm="1">
        <f t="array" ref="D1131">INDEX(Berekening_patiëntaantal[Percentage van patiëntaantallen in Wlz (overige is Zvw)],MATCH(B1131,IF(Berekening_patiëntaantal[Doelgroep (zoeksleutel)]=C1131,Berekening_patiëntaantal[Digitale zorgtoepassing]),0))</f>
        <v>0</v>
      </c>
      <c r="E1131" s="33" t="str" cm="1">
        <f t="array" ref="E1131">INDEX(Berekening_patiëntaantal[Direct toepasbaar/extrapolatie/incidentie voor QALY],MATCH(B1131,IF(Berekening_patiëntaantal[Doelgroep (zoeksleutel)]=C1131,Berekening_patiëntaantal[Digitale zorgtoepassing]),0))</f>
        <v>Huidige toepassing</v>
      </c>
      <c r="F1131" s="33" t="s">
        <v>813</v>
      </c>
      <c r="G1131" s="33" t="str">
        <f>CONCATENATE(uitkomst_doelgroep[[#This Row],[Digitale zorgtoepassing]],"_",uitkomst_doelgroep[[#This Row],[Doelgroep]],"_",uitkomst_doelgroep[[#This Row],[Uitgangssituatie/effect beleid]])</f>
        <v>Mobiele echo's_Echo's bij zwangere vrouwen_Uitgangssituatie</v>
      </c>
      <c r="H1131" s="33">
        <v>2027</v>
      </c>
      <c r="I1131" s="32">
        <v>5</v>
      </c>
      <c r="J1131" s="406" cm="1">
        <f t="array" ref="J1131">INDEX(implementatie[[2023]:[2034]],MATCH(G1131, implementatie[Zoeksleutel],0),I1131)</f>
        <v>0.64995574724807748</v>
      </c>
      <c r="K1131" s="406" cm="1">
        <f t="array" ref="K1131">INDEX(implementatie[[2023]:[2034]],MATCH(G1131,implementatie[Zoeksleutel],0),I1131 + 1)</f>
        <v>0.76108782680714737</v>
      </c>
      <c r="L113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289906.26150253246</v>
      </c>
      <c r="M1131" s="398" cm="1">
        <f t="array" ref="M1131">J1131*INDEX(Berekening_impact[Totaal arbeidsbesparing (€/jaar)],MATCH(B1131,IF(Berekening_impact[Doelgroep]=C1131,Berekening_impact[Digitale zorgtoepassing]),0))</f>
        <v>670072.22725677304</v>
      </c>
      <c r="N1131" s="397" cm="1">
        <f t="array" ref="N1131">J1131*INDEX(Berekening_impact[Totaal arbeidsbesparing (FTE/jaar)],MATCH(B1131,IF(Berekening_impact[Doelgroep]=C1131,Berekening_impact[Digitale zorgtoepassing]),0))</f>
        <v>11.614834194813</v>
      </c>
      <c r="O1131" s="398" cm="1">
        <f t="array" ref="O1131">J1131*INDEX(Berekening_impact[Overige kostenbesparing (totaal/jaar totaal potentieel)],MATCH(B1131,IF(Berekening_impact[Doelgroep]=C1131,Berekening_impact[Digitale zorgtoepassing]),0))</f>
        <v>446714.81817118207</v>
      </c>
      <c r="P1131" s="398" cm="1">
        <f t="array" ref="P1131">J1131*INDEX(Berekening_impact[Opbrengsten door QALY''s],MATCH(B1131,IF(Berekening_impact[Doelgroep]=C1131,Berekening_impact[Digitale zorgtoepassing]),0))</f>
        <v>0</v>
      </c>
      <c r="Q1131" s="398" cm="1">
        <f t="array" ref="Q1131">J1131*INDEX(Berekening_impact[Jaarlijkse kosten (totaal) - incl. schatting],MATCH(B1131,IF(Berekening_impact[Doelgroep]=C1131,Berekening_impact[Digitale zorgtoepassing]),0))</f>
        <v>579925.61530508613</v>
      </c>
      <c r="R1131" s="398" cm="1">
        <f t="array" ref="R1131">(uitkomst_doelgroep[[#This Row],[Implementatiegraad t = T + 1]]-uitkomst_doelgroep[[#This Row],[Implementatiegraad t = T]])*INDEX(Berekening_impact[Initiële investering (totaal) - incl. schatting],MATCH(B1131,IF(Berekening_impact[Doelgroep]=C1131,Berekening_impact[Digitale zorgtoepassing]),0))</f>
        <v>0</v>
      </c>
      <c r="S1131" s="398">
        <f>uitkomst_doelgroep[[#This Row],[Arbeidsbesparing (€)]]*uitkomst_doelgroep[[#This Row],[Percentage van patiëntaantallen in Wlz (overige is Zvw)]]</f>
        <v>0</v>
      </c>
      <c r="T1131" s="398">
        <f>uitkomst_doelgroep[[#This Row],[Overige besparingen (€)]]*uitkomst_doelgroep[[#This Row],[Percentage van patiëntaantallen in Wlz (overige is Zvw)]]</f>
        <v>0</v>
      </c>
      <c r="U1131" s="398">
        <f>uitkomst_doelgroep[[#This Row],[Kosten (€)]]*uitkomst_doelgroep[[#This Row],[Percentage van patiëntaantallen in Wlz (overige is Zvw)]]</f>
        <v>0</v>
      </c>
      <c r="V1131" s="398">
        <f>uitkomst_doelgroep[[#This Row],[Investering (cash flow) (€)]]*uitkomst_doelgroep[[#This Row],[Percentage van patiëntaantallen in Wlz (overige is Zvw)]]</f>
        <v>0</v>
      </c>
    </row>
    <row r="1132" spans="1:22" x14ac:dyDescent="0.5">
      <c r="A1132" s="33" t="str">
        <f>INDEX(Technologieën[Veld],MATCH(B1132,Technologieën[Digitale zorgtoepassing],0))</f>
        <v>Digitale hulpmiddelen - Diagnose</v>
      </c>
      <c r="B1132" s="33" t="s">
        <v>78</v>
      </c>
      <c r="C1132" s="33" t="s">
        <v>79</v>
      </c>
      <c r="D1132" s="427" cm="1">
        <f t="array" ref="D1132">INDEX(Berekening_patiëntaantal[Percentage van patiëntaantallen in Wlz (overige is Zvw)],MATCH(B1132,IF(Berekening_patiëntaantal[Doelgroep (zoeksleutel)]=C1132,Berekening_patiëntaantal[Digitale zorgtoepassing]),0))</f>
        <v>0</v>
      </c>
      <c r="E1132" s="33" t="str" cm="1">
        <f t="array" ref="E1132">INDEX(Berekening_patiëntaantal[Direct toepasbaar/extrapolatie/incidentie voor QALY],MATCH(B1132,IF(Berekening_patiëntaantal[Doelgroep (zoeksleutel)]=C1132,Berekening_patiëntaantal[Digitale zorgtoepassing]),0))</f>
        <v>Huidige toepassing</v>
      </c>
      <c r="F1132" s="33" t="s">
        <v>813</v>
      </c>
      <c r="G1132" s="33" t="str">
        <f>CONCATENATE(uitkomst_doelgroep[[#This Row],[Digitale zorgtoepassing]],"_",uitkomst_doelgroep[[#This Row],[Doelgroep]],"_",uitkomst_doelgroep[[#This Row],[Uitgangssituatie/effect beleid]])</f>
        <v>Mobiele echo's_Echo's bij zwangere vrouwen_Uitgangssituatie</v>
      </c>
      <c r="H1132" s="33">
        <v>2028</v>
      </c>
      <c r="I1132" s="32">
        <v>6</v>
      </c>
      <c r="J1132" s="406" cm="1">
        <f t="array" ref="J1132">INDEX(implementatie[[2023]:[2034]],MATCH(G1132, implementatie[Zoeksleutel],0),I1132)</f>
        <v>0.76108782680714737</v>
      </c>
      <c r="K1132" s="406" cm="1">
        <f t="array" ref="K1132">INDEX(implementatie[[2023]:[2034]],MATCH(G1132,implementatie[Zoeksleutel],0),I1132 + 1)</f>
        <v>0.8488855471488731</v>
      </c>
      <c r="L113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339475.61426906002</v>
      </c>
      <c r="M1132" s="398" cm="1">
        <f t="array" ref="M1132">J1132*INDEX(Berekening_impact[Totaal arbeidsbesparing (€/jaar)],MATCH(B1132,IF(Berekening_impact[Doelgroep]=C1132,Berekening_impact[Digitale zorgtoepassing]),0))</f>
        <v>784643.90445959067</v>
      </c>
      <c r="N1132" s="397" cm="1">
        <f t="array" ref="N1132">J1132*INDEX(Berekening_impact[Totaal arbeidsbesparing (FTE/jaar)],MATCH(B1132,IF(Berekening_impact[Doelgroep]=C1132,Berekening_impact[Digitale zorgtoepassing]),0))</f>
        <v>13.600785828087339</v>
      </c>
      <c r="O1132" s="398" cm="1">
        <f t="array" ref="O1132">J1132*INDEX(Berekening_impact[Overige kostenbesparing (totaal/jaar totaal potentieel)],MATCH(B1132,IF(Berekening_impact[Doelgroep]=C1132,Berekening_impact[Digitale zorgtoepassing]),0))</f>
        <v>523095.93630639388</v>
      </c>
      <c r="P1132" s="398" cm="1">
        <f t="array" ref="P1132">J1132*INDEX(Berekening_impact[Opbrengsten door QALY''s],MATCH(B1132,IF(Berekening_impact[Doelgroep]=C1132,Berekening_impact[Digitale zorgtoepassing]),0))</f>
        <v>0</v>
      </c>
      <c r="Q1132" s="398" cm="1">
        <f t="array" ref="Q1132">J1132*INDEX(Berekening_impact[Jaarlijkse kosten (totaal) - incl. schatting],MATCH(B1132,IF(Berekening_impact[Doelgroep]=C1132,Berekening_impact[Digitale zorgtoepassing]),0))</f>
        <v>679083.65781998448</v>
      </c>
      <c r="R1132" s="398" cm="1">
        <f t="array" ref="R1132">(uitkomst_doelgroep[[#This Row],[Implementatiegraad t = T + 1]]-uitkomst_doelgroep[[#This Row],[Implementatiegraad t = T]])*INDEX(Berekening_impact[Initiële investering (totaal) - incl. schatting],MATCH(B1132,IF(Berekening_impact[Doelgroep]=C1132,Berekening_impact[Digitale zorgtoepassing]),0))</f>
        <v>0</v>
      </c>
      <c r="S1132" s="398">
        <f>uitkomst_doelgroep[[#This Row],[Arbeidsbesparing (€)]]*uitkomst_doelgroep[[#This Row],[Percentage van patiëntaantallen in Wlz (overige is Zvw)]]</f>
        <v>0</v>
      </c>
      <c r="T1132" s="398">
        <f>uitkomst_doelgroep[[#This Row],[Overige besparingen (€)]]*uitkomst_doelgroep[[#This Row],[Percentage van patiëntaantallen in Wlz (overige is Zvw)]]</f>
        <v>0</v>
      </c>
      <c r="U1132" s="398">
        <f>uitkomst_doelgroep[[#This Row],[Kosten (€)]]*uitkomst_doelgroep[[#This Row],[Percentage van patiëntaantallen in Wlz (overige is Zvw)]]</f>
        <v>0</v>
      </c>
      <c r="V1132" s="398">
        <f>uitkomst_doelgroep[[#This Row],[Investering (cash flow) (€)]]*uitkomst_doelgroep[[#This Row],[Percentage van patiëntaantallen in Wlz (overige is Zvw)]]</f>
        <v>0</v>
      </c>
    </row>
    <row r="1133" spans="1:22" x14ac:dyDescent="0.5">
      <c r="A1133" s="33" t="str">
        <f>INDEX(Technologieën[Veld],MATCH(B1133,Technologieën[Digitale zorgtoepassing],0))</f>
        <v>Digitale hulpmiddelen - Diagnose</v>
      </c>
      <c r="B1133" s="33" t="s">
        <v>78</v>
      </c>
      <c r="C1133" s="33" t="s">
        <v>79</v>
      </c>
      <c r="D1133" s="427" cm="1">
        <f t="array" ref="D1133">INDEX(Berekening_patiëntaantal[Percentage van patiëntaantallen in Wlz (overige is Zvw)],MATCH(B1133,IF(Berekening_patiëntaantal[Doelgroep (zoeksleutel)]=C1133,Berekening_patiëntaantal[Digitale zorgtoepassing]),0))</f>
        <v>0</v>
      </c>
      <c r="E1133" s="33" t="str" cm="1">
        <f t="array" ref="E1133">INDEX(Berekening_patiëntaantal[Direct toepasbaar/extrapolatie/incidentie voor QALY],MATCH(B1133,IF(Berekening_patiëntaantal[Doelgroep (zoeksleutel)]=C1133,Berekening_patiëntaantal[Digitale zorgtoepassing]),0))</f>
        <v>Huidige toepassing</v>
      </c>
      <c r="F1133" s="33" t="s">
        <v>813</v>
      </c>
      <c r="G1133" s="33" t="str">
        <f>CONCATENATE(uitkomst_doelgroep[[#This Row],[Digitale zorgtoepassing]],"_",uitkomst_doelgroep[[#This Row],[Doelgroep]],"_",uitkomst_doelgroep[[#This Row],[Uitgangssituatie/effect beleid]])</f>
        <v>Mobiele echo's_Echo's bij zwangere vrouwen_Uitgangssituatie</v>
      </c>
      <c r="H1133" s="33">
        <v>2029</v>
      </c>
      <c r="I1133" s="32">
        <v>7</v>
      </c>
      <c r="J1133" s="406" cm="1">
        <f t="array" ref="J1133">INDEX(implementatie[[2023]:[2034]],MATCH(G1133, implementatie[Zoeksleutel],0),I1133)</f>
        <v>0.8488855471488731</v>
      </c>
      <c r="K1133" s="406" cm="1">
        <f t="array" ref="K1133">INDEX(implementatie[[2023]:[2034]],MATCH(G1133,implementatie[Zoeksleutel],0),I1133 + 1)</f>
        <v>0.91038890221593549</v>
      </c>
      <c r="L113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378636.90945028333</v>
      </c>
      <c r="M1133" s="398" cm="1">
        <f t="array" ref="M1133">J1133*INDEX(Berekening_impact[Totaal arbeidsbesparing (€/jaar)],MATCH(B1133,IF(Berekening_impact[Doelgroep]=C1133,Berekening_impact[Digitale zorgtoepassing]),0))</f>
        <v>875159.01147501136</v>
      </c>
      <c r="N1133" s="397" cm="1">
        <f t="array" ref="N1133">J1133*INDEX(Berekening_impact[Totaal arbeidsbesparing (FTE/jaar)],MATCH(B1133,IF(Berekening_impact[Doelgroep]=C1133,Berekening_impact[Digitale zorgtoepassing]),0))</f>
        <v>15.169747974770967</v>
      </c>
      <c r="O1133" s="398" cm="1">
        <f t="array" ref="O1133">J1133*INDEX(Berekening_impact[Overige kostenbesparing (totaal/jaar totaal potentieel)],MATCH(B1133,IF(Berekening_impact[Doelgroep]=C1133,Berekening_impact[Digitale zorgtoepassing]),0))</f>
        <v>583439.34098334098</v>
      </c>
      <c r="P1133" s="398" cm="1">
        <f t="array" ref="P1133">J1133*INDEX(Berekening_impact[Opbrengsten door QALY''s],MATCH(B1133,IF(Berekening_impact[Doelgroep]=C1133,Berekening_impact[Digitale zorgtoepassing]),0))</f>
        <v>0</v>
      </c>
      <c r="Q1133" s="398" cm="1">
        <f t="array" ref="Q1133">J1133*INDEX(Berekening_impact[Jaarlijkse kosten (totaal) - incl. schatting],MATCH(B1133,IF(Berekening_impact[Doelgroep]=C1133,Berekening_impact[Digitale zorgtoepassing]),0))</f>
        <v>757421.52498577058</v>
      </c>
      <c r="R1133" s="398" cm="1">
        <f t="array" ref="R1133">(uitkomst_doelgroep[[#This Row],[Implementatiegraad t = T + 1]]-uitkomst_doelgroep[[#This Row],[Implementatiegraad t = T]])*INDEX(Berekening_impact[Initiële investering (totaal) - incl. schatting],MATCH(B1133,IF(Berekening_impact[Doelgroep]=C1133,Berekening_impact[Digitale zorgtoepassing]),0))</f>
        <v>0</v>
      </c>
      <c r="S1133" s="398">
        <f>uitkomst_doelgroep[[#This Row],[Arbeidsbesparing (€)]]*uitkomst_doelgroep[[#This Row],[Percentage van patiëntaantallen in Wlz (overige is Zvw)]]</f>
        <v>0</v>
      </c>
      <c r="T1133" s="398">
        <f>uitkomst_doelgroep[[#This Row],[Overige besparingen (€)]]*uitkomst_doelgroep[[#This Row],[Percentage van patiëntaantallen in Wlz (overige is Zvw)]]</f>
        <v>0</v>
      </c>
      <c r="U1133" s="398">
        <f>uitkomst_doelgroep[[#This Row],[Kosten (€)]]*uitkomst_doelgroep[[#This Row],[Percentage van patiëntaantallen in Wlz (overige is Zvw)]]</f>
        <v>0</v>
      </c>
      <c r="V1133" s="398">
        <f>uitkomst_doelgroep[[#This Row],[Investering (cash flow) (€)]]*uitkomst_doelgroep[[#This Row],[Percentage van patiëntaantallen in Wlz (overige is Zvw)]]</f>
        <v>0</v>
      </c>
    </row>
    <row r="1134" spans="1:22" x14ac:dyDescent="0.5">
      <c r="A1134" s="33" t="str">
        <f>INDEX(Technologieën[Veld],MATCH(B1134,Technologieën[Digitale zorgtoepassing],0))</f>
        <v>Digitale hulpmiddelen - Diagnose</v>
      </c>
      <c r="B1134" s="33" t="s">
        <v>78</v>
      </c>
      <c r="C1134" s="33" t="s">
        <v>79</v>
      </c>
      <c r="D1134" s="427" cm="1">
        <f t="array" ref="D1134">INDEX(Berekening_patiëntaantal[Percentage van patiëntaantallen in Wlz (overige is Zvw)],MATCH(B1134,IF(Berekening_patiëntaantal[Doelgroep (zoeksleutel)]=C1134,Berekening_patiëntaantal[Digitale zorgtoepassing]),0))</f>
        <v>0</v>
      </c>
      <c r="E1134" s="33" t="str" cm="1">
        <f t="array" ref="E1134">INDEX(Berekening_patiëntaantal[Direct toepasbaar/extrapolatie/incidentie voor QALY],MATCH(B1134,IF(Berekening_patiëntaantal[Doelgroep (zoeksleutel)]=C1134,Berekening_patiëntaantal[Digitale zorgtoepassing]),0))</f>
        <v>Huidige toepassing</v>
      </c>
      <c r="F1134" s="33" t="s">
        <v>813</v>
      </c>
      <c r="G1134" s="33" t="str">
        <f>CONCATENATE(uitkomst_doelgroep[[#This Row],[Digitale zorgtoepassing]],"_",uitkomst_doelgroep[[#This Row],[Doelgroep]],"_",uitkomst_doelgroep[[#This Row],[Uitgangssituatie/effect beleid]])</f>
        <v>Mobiele echo's_Echo's bij zwangere vrouwen_Uitgangssituatie</v>
      </c>
      <c r="H1134" s="33">
        <v>2030</v>
      </c>
      <c r="I1134" s="32">
        <v>8</v>
      </c>
      <c r="J1134" s="406" cm="1">
        <f t="array" ref="J1134">INDEX(implementatie[[2023]:[2034]],MATCH(G1134, implementatie[Zoeksleutel],0),I1134)</f>
        <v>0.91038890221593549</v>
      </c>
      <c r="K1134" s="406" cm="1">
        <f t="array" ref="K1134">INDEX(implementatie[[2023]:[2034]],MATCH(G1134,implementatie[Zoeksleutel],0),I1134 + 1)</f>
        <v>0.94934060668263687</v>
      </c>
      <c r="L113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406069.86594439589</v>
      </c>
      <c r="M1134" s="398" cm="1">
        <f t="array" ref="M1134">J1134*INDEX(Berekening_impact[Totaal arbeidsbesparing (€/jaar)],MATCH(B1134,IF(Berekening_impact[Doelgroep]=C1134,Berekening_impact[Digitale zorgtoepassing]),0))</f>
        <v>938565.92846596276</v>
      </c>
      <c r="N1134" s="397" cm="1">
        <f t="array" ref="N1134">J1134*INDEX(Berekening_impact[Totaal arbeidsbesparing (FTE/jaar)],MATCH(B1134,IF(Berekening_impact[Doelgroep]=C1134,Berekening_impact[Digitale zorgtoepassing]),0))</f>
        <v>16.268824757387655</v>
      </c>
      <c r="O1134" s="398" cm="1">
        <f t="array" ref="O1134">J1134*INDEX(Berekening_impact[Overige kostenbesparing (totaal/jaar totaal potentieel)],MATCH(B1134,IF(Berekening_impact[Doelgroep]=C1134,Berekening_impact[Digitale zorgtoepassing]),0))</f>
        <v>625710.61897730862</v>
      </c>
      <c r="P1134" s="398" cm="1">
        <f t="array" ref="P1134">J1134*INDEX(Berekening_impact[Opbrengsten door QALY''s],MATCH(B1134,IF(Berekening_impact[Doelgroep]=C1134,Berekening_impact[Digitale zorgtoepassing]),0))</f>
        <v>0</v>
      </c>
      <c r="Q1134" s="398" cm="1">
        <f t="array" ref="Q1134">J1134*INDEX(Berekening_impact[Jaarlijkse kosten (totaal) - incl. schatting],MATCH(B1134,IF(Berekening_impact[Doelgroep]=C1134,Berekening_impact[Digitale zorgtoepassing]),0))</f>
        <v>812298.13955777732</v>
      </c>
      <c r="R1134" s="398" cm="1">
        <f t="array" ref="R1134">(uitkomst_doelgroep[[#This Row],[Implementatiegraad t = T + 1]]-uitkomst_doelgroep[[#This Row],[Implementatiegraad t = T]])*INDEX(Berekening_impact[Initiële investering (totaal) - incl. schatting],MATCH(B1134,IF(Berekening_impact[Doelgroep]=C1134,Berekening_impact[Digitale zorgtoepassing]),0))</f>
        <v>0</v>
      </c>
      <c r="S1134" s="398">
        <f>uitkomst_doelgroep[[#This Row],[Arbeidsbesparing (€)]]*uitkomst_doelgroep[[#This Row],[Percentage van patiëntaantallen in Wlz (overige is Zvw)]]</f>
        <v>0</v>
      </c>
      <c r="T1134" s="398">
        <f>uitkomst_doelgroep[[#This Row],[Overige besparingen (€)]]*uitkomst_doelgroep[[#This Row],[Percentage van patiëntaantallen in Wlz (overige is Zvw)]]</f>
        <v>0</v>
      </c>
      <c r="U1134" s="398">
        <f>uitkomst_doelgroep[[#This Row],[Kosten (€)]]*uitkomst_doelgroep[[#This Row],[Percentage van patiëntaantallen in Wlz (overige is Zvw)]]</f>
        <v>0</v>
      </c>
      <c r="V1134" s="398">
        <f>uitkomst_doelgroep[[#This Row],[Investering (cash flow) (€)]]*uitkomst_doelgroep[[#This Row],[Percentage van patiëntaantallen in Wlz (overige is Zvw)]]</f>
        <v>0</v>
      </c>
    </row>
    <row r="1135" spans="1:22" x14ac:dyDescent="0.5">
      <c r="A1135" s="33" t="str">
        <f>INDEX(Technologieën[Veld],MATCH(B1135,Technologieën[Digitale zorgtoepassing],0))</f>
        <v>Digitale hulpmiddelen - Diagnose</v>
      </c>
      <c r="B1135" s="33" t="s">
        <v>78</v>
      </c>
      <c r="C1135" s="33" t="s">
        <v>79</v>
      </c>
      <c r="D1135" s="427" cm="1">
        <f t="array" ref="D1135">INDEX(Berekening_patiëntaantal[Percentage van patiëntaantallen in Wlz (overige is Zvw)],MATCH(B1135,IF(Berekening_patiëntaantal[Doelgroep (zoeksleutel)]=C1135,Berekening_patiëntaantal[Digitale zorgtoepassing]),0))</f>
        <v>0</v>
      </c>
      <c r="E1135" s="33" t="str" cm="1">
        <f t="array" ref="E1135">INDEX(Berekening_patiëntaantal[Direct toepasbaar/extrapolatie/incidentie voor QALY],MATCH(B1135,IF(Berekening_patiëntaantal[Doelgroep (zoeksleutel)]=C1135,Berekening_patiëntaantal[Digitale zorgtoepassing]),0))</f>
        <v>Huidige toepassing</v>
      </c>
      <c r="F1135" s="33" t="s">
        <v>813</v>
      </c>
      <c r="G1135" s="33" t="str">
        <f>CONCATENATE(uitkomst_doelgroep[[#This Row],[Digitale zorgtoepassing]],"_",uitkomst_doelgroep[[#This Row],[Doelgroep]],"_",uitkomst_doelgroep[[#This Row],[Uitgangssituatie/effect beleid]])</f>
        <v>Mobiele echo's_Echo's bij zwangere vrouwen_Uitgangssituatie</v>
      </c>
      <c r="H1135" s="33">
        <v>2031</v>
      </c>
      <c r="I1135" s="32">
        <v>9</v>
      </c>
      <c r="J1135" s="406" cm="1">
        <f t="array" ref="J1135">INDEX(implementatie[[2023]:[2034]],MATCH(G1135, implementatie[Zoeksleutel],0),I1135)</f>
        <v>0.94934060668263687</v>
      </c>
      <c r="K1135" s="406" cm="1">
        <f t="array" ref="K1135">INDEX(implementatie[[2023]:[2034]],MATCH(G1135,implementatie[Zoeksleutel],0),I1135 + 1)</f>
        <v>0.9722489501493069</v>
      </c>
      <c r="L113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423443.88420472335</v>
      </c>
      <c r="M1135" s="398" cm="1">
        <f t="array" ref="M1135">J1135*INDEX(Berekening_impact[Totaal arbeidsbesparing (€/jaar)],MATCH(B1135,IF(Berekening_impact[Doelgroep]=C1135,Berekening_impact[Digitale zorgtoepassing]),0))</f>
        <v>978723.20913923916</v>
      </c>
      <c r="N1135" s="397" cm="1">
        <f t="array" ref="N1135">J1135*INDEX(Berekening_impact[Totaal arbeidsbesparing (FTE/jaar)],MATCH(B1135,IF(Berekening_impact[Doelgroep]=C1135,Berekening_impact[Digitale zorgtoepassing]),0))</f>
        <v>16.964899206920006</v>
      </c>
      <c r="O1135" s="398" cm="1">
        <f t="array" ref="O1135">J1135*INDEX(Berekening_impact[Overige kostenbesparing (totaal/jaar totaal potentieel)],MATCH(B1135,IF(Berekening_impact[Doelgroep]=C1135,Berekening_impact[Digitale zorgtoepassing]),0))</f>
        <v>652482.13942615956</v>
      </c>
      <c r="P1135" s="398" cm="1">
        <f t="array" ref="P1135">J1135*INDEX(Berekening_impact[Opbrengsten door QALY''s],MATCH(B1135,IF(Berekening_impact[Doelgroep]=C1135,Berekening_impact[Digitale zorgtoepassing]),0))</f>
        <v>0</v>
      </c>
      <c r="Q1135" s="398" cm="1">
        <f t="array" ref="Q1135">J1135*INDEX(Berekening_impact[Jaarlijkse kosten (totaal) - incl. schatting],MATCH(B1135,IF(Berekening_impact[Doelgroep]=C1135,Berekening_impact[Digitale zorgtoepassing]),0))</f>
        <v>847052.95367500943</v>
      </c>
      <c r="R1135" s="398" cm="1">
        <f t="array" ref="R1135">(uitkomst_doelgroep[[#This Row],[Implementatiegraad t = T + 1]]-uitkomst_doelgroep[[#This Row],[Implementatiegraad t = T]])*INDEX(Berekening_impact[Initiële investering (totaal) - incl. schatting],MATCH(B1135,IF(Berekening_impact[Doelgroep]=C1135,Berekening_impact[Digitale zorgtoepassing]),0))</f>
        <v>0</v>
      </c>
      <c r="S1135" s="398">
        <f>uitkomst_doelgroep[[#This Row],[Arbeidsbesparing (€)]]*uitkomst_doelgroep[[#This Row],[Percentage van patiëntaantallen in Wlz (overige is Zvw)]]</f>
        <v>0</v>
      </c>
      <c r="T1135" s="398">
        <f>uitkomst_doelgroep[[#This Row],[Overige besparingen (€)]]*uitkomst_doelgroep[[#This Row],[Percentage van patiëntaantallen in Wlz (overige is Zvw)]]</f>
        <v>0</v>
      </c>
      <c r="U1135" s="398">
        <f>uitkomst_doelgroep[[#This Row],[Kosten (€)]]*uitkomst_doelgroep[[#This Row],[Percentage van patiëntaantallen in Wlz (overige is Zvw)]]</f>
        <v>0</v>
      </c>
      <c r="V1135" s="398">
        <f>uitkomst_doelgroep[[#This Row],[Investering (cash flow) (€)]]*uitkomst_doelgroep[[#This Row],[Percentage van patiëntaantallen in Wlz (overige is Zvw)]]</f>
        <v>0</v>
      </c>
    </row>
    <row r="1136" spans="1:22" x14ac:dyDescent="0.5">
      <c r="A1136" s="33" t="str">
        <f>INDEX(Technologieën[Veld],MATCH(B1136,Technologieën[Digitale zorgtoepassing],0))</f>
        <v>Digitale hulpmiddelen - Diagnose</v>
      </c>
      <c r="B1136" s="33" t="s">
        <v>78</v>
      </c>
      <c r="C1136" s="33" t="s">
        <v>79</v>
      </c>
      <c r="D1136" s="427" cm="1">
        <f t="array" ref="D1136">INDEX(Berekening_patiëntaantal[Percentage van patiëntaantallen in Wlz (overige is Zvw)],MATCH(B1136,IF(Berekening_patiëntaantal[Doelgroep (zoeksleutel)]=C1136,Berekening_patiëntaantal[Digitale zorgtoepassing]),0))</f>
        <v>0</v>
      </c>
      <c r="E1136" s="33" t="str" cm="1">
        <f t="array" ref="E1136">INDEX(Berekening_patiëntaantal[Direct toepasbaar/extrapolatie/incidentie voor QALY],MATCH(B1136,IF(Berekening_patiëntaantal[Doelgroep (zoeksleutel)]=C1136,Berekening_patiëntaantal[Digitale zorgtoepassing]),0))</f>
        <v>Huidige toepassing</v>
      </c>
      <c r="F1136" s="33" t="s">
        <v>813</v>
      </c>
      <c r="G1136" s="33" t="str">
        <f>CONCATENATE(uitkomst_doelgroep[[#This Row],[Digitale zorgtoepassing]],"_",uitkomst_doelgroep[[#This Row],[Doelgroep]],"_",uitkomst_doelgroep[[#This Row],[Uitgangssituatie/effect beleid]])</f>
        <v>Mobiele echo's_Echo's bij zwangere vrouwen_Uitgangssituatie</v>
      </c>
      <c r="H1136" s="33">
        <v>2032</v>
      </c>
      <c r="I1136" s="32">
        <v>10</v>
      </c>
      <c r="J1136" s="406" cm="1">
        <f t="array" ref="J1136">INDEX(implementatie[[2023]:[2034]],MATCH(G1136, implementatie[Zoeksleutel],0),I1136)</f>
        <v>0.9722489501493069</v>
      </c>
      <c r="K1136" s="406" cm="1">
        <f t="array" ref="K1136">INDEX(implementatie[[2023]:[2034]],MATCH(G1136,implementatie[Zoeksleutel],0),I1136 + 1)</f>
        <v>0.98508414448286907</v>
      </c>
      <c r="L113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433661.92172459688</v>
      </c>
      <c r="M1136" s="398" cm="1">
        <f t="array" ref="M1136">J1136*INDEX(Berekening_impact[Totaal arbeidsbesparing (€/jaar)],MATCH(B1136,IF(Berekening_impact[Doelgroep]=C1136,Berekening_impact[Digitale zorgtoepassing]),0))</f>
        <v>1002340.5781593116</v>
      </c>
      <c r="N1136" s="397" cm="1">
        <f t="array" ref="N1136">J1136*INDEX(Berekening_impact[Totaal arbeidsbesparing (FTE/jaar)],MATCH(B1136,IF(Berekening_impact[Doelgroep]=C1136,Berekening_impact[Digitale zorgtoepassing]),0))</f>
        <v>17.374275710120067</v>
      </c>
      <c r="O1136" s="398" cm="1">
        <f t="array" ref="O1136">J1136*INDEX(Berekening_impact[Overige kostenbesparing (totaal/jaar totaal potentieel)],MATCH(B1136,IF(Berekening_impact[Doelgroep]=C1136,Berekening_impact[Digitale zorgtoepassing]),0))</f>
        <v>668227.05210620782</v>
      </c>
      <c r="P1136" s="398" cm="1">
        <f t="array" ref="P1136">J1136*INDEX(Berekening_impact[Opbrengsten door QALY''s],MATCH(B1136,IF(Berekening_impact[Doelgroep]=C1136,Berekening_impact[Digitale zorgtoepassing]),0))</f>
        <v>0</v>
      </c>
      <c r="Q1136" s="398" cm="1">
        <f t="array" ref="Q1136">J1136*INDEX(Berekening_impact[Jaarlijkse kosten (totaal) - incl. schatting],MATCH(B1136,IF(Berekening_impact[Doelgroep]=C1136,Berekening_impact[Digitale zorgtoepassing]),0))</f>
        <v>867493.01476651966</v>
      </c>
      <c r="R1136" s="398" cm="1">
        <f t="array" ref="R1136">(uitkomst_doelgroep[[#This Row],[Implementatiegraad t = T + 1]]-uitkomst_doelgroep[[#This Row],[Implementatiegraad t = T]])*INDEX(Berekening_impact[Initiële investering (totaal) - incl. schatting],MATCH(B1136,IF(Berekening_impact[Doelgroep]=C1136,Berekening_impact[Digitale zorgtoepassing]),0))</f>
        <v>0</v>
      </c>
      <c r="S1136" s="398">
        <f>uitkomst_doelgroep[[#This Row],[Arbeidsbesparing (€)]]*uitkomst_doelgroep[[#This Row],[Percentage van patiëntaantallen in Wlz (overige is Zvw)]]</f>
        <v>0</v>
      </c>
      <c r="T1136" s="398">
        <f>uitkomst_doelgroep[[#This Row],[Overige besparingen (€)]]*uitkomst_doelgroep[[#This Row],[Percentage van patiëntaantallen in Wlz (overige is Zvw)]]</f>
        <v>0</v>
      </c>
      <c r="U1136" s="398">
        <f>uitkomst_doelgroep[[#This Row],[Kosten (€)]]*uitkomst_doelgroep[[#This Row],[Percentage van patiëntaantallen in Wlz (overige is Zvw)]]</f>
        <v>0</v>
      </c>
      <c r="V1136" s="398">
        <f>uitkomst_doelgroep[[#This Row],[Investering (cash flow) (€)]]*uitkomst_doelgroep[[#This Row],[Percentage van patiëntaantallen in Wlz (overige is Zvw)]]</f>
        <v>0</v>
      </c>
    </row>
    <row r="1137" spans="1:22" x14ac:dyDescent="0.5">
      <c r="A1137" s="33" t="str">
        <f>INDEX(Technologieën[Veld],MATCH(B1137,Technologieën[Digitale zorgtoepassing],0))</f>
        <v>Digitale hulpmiddelen - Diagnose</v>
      </c>
      <c r="B1137" s="33" t="s">
        <v>78</v>
      </c>
      <c r="C1137" s="33" t="s">
        <v>79</v>
      </c>
      <c r="D1137" s="427" cm="1">
        <f t="array" ref="D1137">INDEX(Berekening_patiëntaantal[Percentage van patiëntaantallen in Wlz (overige is Zvw)],MATCH(B1137,IF(Berekening_patiëntaantal[Doelgroep (zoeksleutel)]=C1137,Berekening_patiëntaantal[Digitale zorgtoepassing]),0))</f>
        <v>0</v>
      </c>
      <c r="E1137" s="33" t="str" cm="1">
        <f t="array" ref="E1137">INDEX(Berekening_patiëntaantal[Direct toepasbaar/extrapolatie/incidentie voor QALY],MATCH(B1137,IF(Berekening_patiëntaantal[Doelgroep (zoeksleutel)]=C1137,Berekening_patiëntaantal[Digitale zorgtoepassing]),0))</f>
        <v>Huidige toepassing</v>
      </c>
      <c r="F1137" s="33" t="s">
        <v>813</v>
      </c>
      <c r="G1137" s="33" t="str">
        <f>CONCATENATE(uitkomst_doelgroep[[#This Row],[Digitale zorgtoepassing]],"_",uitkomst_doelgroep[[#This Row],[Doelgroep]],"_",uitkomst_doelgroep[[#This Row],[Uitgangssituatie/effect beleid]])</f>
        <v>Mobiele echo's_Echo's bij zwangere vrouwen_Uitgangssituatie</v>
      </c>
      <c r="H1137" s="33">
        <v>2033</v>
      </c>
      <c r="I1137" s="32">
        <v>11</v>
      </c>
      <c r="J1137" s="406" cm="1">
        <f t="array" ref="J1137">INDEX(implementatie[[2023]:[2034]],MATCH(G1137, implementatie[Zoeksleutel],0),I1137)</f>
        <v>0.98508414448286907</v>
      </c>
      <c r="K1137" s="406" cm="1">
        <f t="array" ref="K1137">INDEX(implementatie[[2023]:[2034]],MATCH(G1137,implementatie[Zoeksleutel],0),I1137 + 1)</f>
        <v>0.99206905861789263</v>
      </c>
      <c r="L113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439386.93180513894</v>
      </c>
      <c r="M1137" s="398" cm="1">
        <f t="array" ref="M1137">J1137*INDEX(Berekening_impact[Totaal arbeidsbesparing (€/jaar)],MATCH(B1137,IF(Berekening_impact[Doelgroep]=C1137,Berekening_impact[Digitale zorgtoepassing]),0))</f>
        <v>1015573.0286619469</v>
      </c>
      <c r="N1137" s="397" cm="1">
        <f t="array" ref="N1137">J1137*INDEX(Berekening_impact[Totaal arbeidsbesparing (FTE/jaar)],MATCH(B1137,IF(Berekening_impact[Doelgroep]=C1137,Berekening_impact[Digitale zorgtoepassing]),0))</f>
        <v>17.603643101167425</v>
      </c>
      <c r="O1137" s="398" cm="1">
        <f t="array" ref="O1137">J1137*INDEX(Berekening_impact[Overige kostenbesparing (totaal/jaar totaal potentieel)],MATCH(B1137,IF(Berekening_impact[Doelgroep]=C1137,Berekening_impact[Digitale zorgtoepassing]),0))</f>
        <v>677048.68577463133</v>
      </c>
      <c r="P1137" s="398" cm="1">
        <f t="array" ref="P1137">J1137*INDEX(Berekening_impact[Opbrengsten door QALY''s],MATCH(B1137,IF(Berekening_impact[Doelgroep]=C1137,Berekening_impact[Digitale zorgtoepassing]),0))</f>
        <v>0</v>
      </c>
      <c r="Q1137" s="398" cm="1">
        <f t="array" ref="Q1137">J1137*INDEX(Berekening_impact[Jaarlijkse kosten (totaal) - incl. schatting],MATCH(B1137,IF(Berekening_impact[Doelgroep]=C1137,Berekening_impact[Digitale zorgtoepassing]),0))</f>
        <v>878945.2682514179</v>
      </c>
      <c r="R1137" s="398" cm="1">
        <f t="array" ref="R1137">(uitkomst_doelgroep[[#This Row],[Implementatiegraad t = T + 1]]-uitkomst_doelgroep[[#This Row],[Implementatiegraad t = T]])*INDEX(Berekening_impact[Initiële investering (totaal) - incl. schatting],MATCH(B1137,IF(Berekening_impact[Doelgroep]=C1137,Berekening_impact[Digitale zorgtoepassing]),0))</f>
        <v>0</v>
      </c>
      <c r="S1137" s="398">
        <f>uitkomst_doelgroep[[#This Row],[Arbeidsbesparing (€)]]*uitkomst_doelgroep[[#This Row],[Percentage van patiëntaantallen in Wlz (overige is Zvw)]]</f>
        <v>0</v>
      </c>
      <c r="T1137" s="398">
        <f>uitkomst_doelgroep[[#This Row],[Overige besparingen (€)]]*uitkomst_doelgroep[[#This Row],[Percentage van patiëntaantallen in Wlz (overige is Zvw)]]</f>
        <v>0</v>
      </c>
      <c r="U1137" s="398">
        <f>uitkomst_doelgroep[[#This Row],[Kosten (€)]]*uitkomst_doelgroep[[#This Row],[Percentage van patiëntaantallen in Wlz (overige is Zvw)]]</f>
        <v>0</v>
      </c>
      <c r="V1137" s="398">
        <f>uitkomst_doelgroep[[#This Row],[Investering (cash flow) (€)]]*uitkomst_doelgroep[[#This Row],[Percentage van patiëntaantallen in Wlz (overige is Zvw)]]</f>
        <v>0</v>
      </c>
    </row>
    <row r="1138" spans="1:22" x14ac:dyDescent="0.5">
      <c r="A1138" s="33" t="str">
        <f>INDEX(Technologieën[Veld],MATCH(B1138,Technologieën[Digitale zorgtoepassing],0))</f>
        <v>Digitale hulpmiddelen - Diagnose</v>
      </c>
      <c r="B1138" s="33" t="s">
        <v>82</v>
      </c>
      <c r="C1138" s="33" t="s">
        <v>702</v>
      </c>
      <c r="D1138" s="427" cm="1">
        <f t="array" ref="D1138">INDEX(Berekening_patiëntaantal[Percentage van patiëntaantallen in Wlz (overige is Zvw)],MATCH(B1138,IF(Berekening_patiëntaantal[Doelgroep (zoeksleutel)]=C1138,Berekening_patiëntaantal[Digitale zorgtoepassing]),0))</f>
        <v>0</v>
      </c>
      <c r="E1138" s="33" t="str" cm="1">
        <f t="array" ref="E1138">INDEX(Berekening_patiëntaantal[Direct toepasbaar/extrapolatie/incidentie voor QALY],MATCH(B1138,IF(Berekening_patiëntaantal[Doelgroep (zoeksleutel)]=C1138,Berekening_patiëntaantal[Digitale zorgtoepassing]),0))</f>
        <v>Huidige toepassing</v>
      </c>
      <c r="F1138" s="33" t="s">
        <v>813</v>
      </c>
      <c r="G1138" s="33" t="str">
        <f>CONCATENATE(uitkomst_doelgroep[[#This Row],[Digitale zorgtoepassing]],"_",uitkomst_doelgroep[[#This Row],[Doelgroep]],"_",uitkomst_doelgroep[[#This Row],[Uitgangssituatie/effect beleid]])</f>
        <v>Point-of-care (POC) testing_Huisartscontacten met labaratoriumonderzoek_Uitgangssituatie</v>
      </c>
      <c r="H1138" s="33">
        <v>2023</v>
      </c>
      <c r="I1138" s="32">
        <v>1</v>
      </c>
      <c r="J1138" s="406" cm="1">
        <f t="array" ref="J1138">INDEX(implementatie[[2023]:[2034]],MATCH(G1138, implementatie[Zoeksleutel],0),I1138)</f>
        <v>0.4</v>
      </c>
      <c r="K1138" s="406" cm="1">
        <f t="array" ref="K1138">INDEX(implementatie[[2023]:[2034]],MATCH(G1138,implementatie[Zoeksleutel],0),I1138 + 1)</f>
        <v>0.50800000000000001</v>
      </c>
      <c r="L113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31633.68</v>
      </c>
      <c r="M1138" s="398" cm="1">
        <f t="array" ref="M1138">J1138*INDEX(Berekening_impact[Totaal arbeidsbesparing (€/jaar)],MATCH(B1138,IF(Berekening_impact[Doelgroep]=C1138,Berekening_impact[Digitale zorgtoepassing]),0))</f>
        <v>1942160.8186046511</v>
      </c>
      <c r="N1138" s="397" cm="1">
        <f t="array" ref="N1138">J1138*INDEX(Berekening_impact[Totaal arbeidsbesparing (FTE/jaar)],MATCH(B1138,IF(Berekening_impact[Doelgroep]=C1138,Berekening_impact[Digitale zorgtoepassing]),0))</f>
        <v>35.473242066261591</v>
      </c>
      <c r="O1138" s="398" cm="1">
        <f t="array" ref="O1138">J1138*INDEX(Berekening_impact[Overige kostenbesparing (totaal/jaar totaal potentieel)],MATCH(B1138,IF(Berekening_impact[Doelgroep]=C1138,Berekening_impact[Digitale zorgtoepassing]),0))</f>
        <v>2486554.3813953488</v>
      </c>
      <c r="P1138" s="398" cm="1">
        <f t="array" ref="P1138">J1138*INDEX(Berekening_impact[Opbrengsten door QALY''s],MATCH(B1138,IF(Berekening_impact[Doelgroep]=C1138,Berekening_impact[Digitale zorgtoepassing]),0))</f>
        <v>0</v>
      </c>
      <c r="Q1138" s="398" cm="1">
        <f t="array" ref="Q1138">J1138*INDEX(Berekening_impact[Jaarlijkse kosten (totaal) - incl. schatting],MATCH(B1138,IF(Berekening_impact[Doelgroep]=C1138,Berekening_impact[Digitale zorgtoepassing]),0))</f>
        <v>972208.43200000003</v>
      </c>
      <c r="R1138" s="398" cm="1">
        <f t="array" ref="R1138">(uitkomst_doelgroep[[#This Row],[Implementatiegraad t = T + 1]]-uitkomst_doelgroep[[#This Row],[Implementatiegraad t = T]])*INDEX(Berekening_impact[Initiële investering (totaal) - incl. schatting],MATCH(B1138,IF(Berekening_impact[Doelgroep]=C1138,Berekening_impact[Digitale zorgtoepassing]),0))</f>
        <v>0</v>
      </c>
      <c r="S1138" s="398">
        <f>uitkomst_doelgroep[[#This Row],[Arbeidsbesparing (€)]]*uitkomst_doelgroep[[#This Row],[Percentage van patiëntaantallen in Wlz (overige is Zvw)]]</f>
        <v>0</v>
      </c>
      <c r="T1138" s="398">
        <f>uitkomst_doelgroep[[#This Row],[Overige besparingen (€)]]*uitkomst_doelgroep[[#This Row],[Percentage van patiëntaantallen in Wlz (overige is Zvw)]]</f>
        <v>0</v>
      </c>
      <c r="U1138" s="398">
        <f>uitkomst_doelgroep[[#This Row],[Kosten (€)]]*uitkomst_doelgroep[[#This Row],[Percentage van patiëntaantallen in Wlz (overige is Zvw)]]</f>
        <v>0</v>
      </c>
      <c r="V1138" s="398">
        <f>uitkomst_doelgroep[[#This Row],[Investering (cash flow) (€)]]*uitkomst_doelgroep[[#This Row],[Percentage van patiëntaantallen in Wlz (overige is Zvw)]]</f>
        <v>0</v>
      </c>
    </row>
    <row r="1139" spans="1:22" x14ac:dyDescent="0.5">
      <c r="A1139" s="33" t="str">
        <f>INDEX(Technologieën[Veld],MATCH(B1139,Technologieën[Digitale zorgtoepassing],0))</f>
        <v>Digitale hulpmiddelen - Diagnose</v>
      </c>
      <c r="B1139" s="33" t="s">
        <v>82</v>
      </c>
      <c r="C1139" s="33" t="s">
        <v>702</v>
      </c>
      <c r="D1139" s="427" cm="1">
        <f t="array" ref="D1139">INDEX(Berekening_patiëntaantal[Percentage van patiëntaantallen in Wlz (overige is Zvw)],MATCH(B1139,IF(Berekening_patiëntaantal[Doelgroep (zoeksleutel)]=C1139,Berekening_patiëntaantal[Digitale zorgtoepassing]),0))</f>
        <v>0</v>
      </c>
      <c r="E1139" s="33" t="str" cm="1">
        <f t="array" ref="E1139">INDEX(Berekening_patiëntaantal[Direct toepasbaar/extrapolatie/incidentie voor QALY],MATCH(B1139,IF(Berekening_patiëntaantal[Doelgroep (zoeksleutel)]=C1139,Berekening_patiëntaantal[Digitale zorgtoepassing]),0))</f>
        <v>Huidige toepassing</v>
      </c>
      <c r="F1139" s="33" t="s">
        <v>813</v>
      </c>
      <c r="G1139" s="33" t="str">
        <f>CONCATENATE(uitkomst_doelgroep[[#This Row],[Digitale zorgtoepassing]],"_",uitkomst_doelgroep[[#This Row],[Doelgroep]],"_",uitkomst_doelgroep[[#This Row],[Uitgangssituatie/effect beleid]])</f>
        <v>Point-of-care (POC) testing_Huisartscontacten met labaratoriumonderzoek_Uitgangssituatie</v>
      </c>
      <c r="H1139" s="33">
        <v>2024</v>
      </c>
      <c r="I1139" s="32">
        <v>2</v>
      </c>
      <c r="J1139" s="406" cm="1">
        <f t="array" ref="J1139">INDEX(implementatie[[2023]:[2034]],MATCH(G1139, implementatie[Zoeksleutel],0),I1139)</f>
        <v>0.50800000000000001</v>
      </c>
      <c r="K1139" s="406" cm="1">
        <f t="array" ref="K1139">INDEX(implementatie[[2023]:[2034]],MATCH(G1139,implementatie[Zoeksleutel],0),I1139 + 1)</f>
        <v>0.61781439999999999</v>
      </c>
      <c r="L113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40174.7736</v>
      </c>
      <c r="M1139" s="398" cm="1">
        <f t="array" ref="M1139">J1139*INDEX(Berekening_impact[Totaal arbeidsbesparing (€/jaar)],MATCH(B1139,IF(Berekening_impact[Doelgroep]=C1139,Berekening_impact[Digitale zorgtoepassing]),0))</f>
        <v>2466544.2396279071</v>
      </c>
      <c r="N1139" s="397" cm="1">
        <f t="array" ref="N1139">J1139*INDEX(Berekening_impact[Totaal arbeidsbesparing (FTE/jaar)],MATCH(B1139,IF(Berekening_impact[Doelgroep]=C1139,Berekening_impact[Digitale zorgtoepassing]),0))</f>
        <v>45.051017424152221</v>
      </c>
      <c r="O1139" s="398" cm="1">
        <f t="array" ref="O1139">J1139*INDEX(Berekening_impact[Overige kostenbesparing (totaal/jaar totaal potentieel)],MATCH(B1139,IF(Berekening_impact[Doelgroep]=C1139,Berekening_impact[Digitale zorgtoepassing]),0))</f>
        <v>3157924.064372093</v>
      </c>
      <c r="P1139" s="398" cm="1">
        <f t="array" ref="P1139">J1139*INDEX(Berekening_impact[Opbrengsten door QALY''s],MATCH(B1139,IF(Berekening_impact[Doelgroep]=C1139,Berekening_impact[Digitale zorgtoepassing]),0))</f>
        <v>0</v>
      </c>
      <c r="Q1139" s="398" cm="1">
        <f t="array" ref="Q1139">J1139*INDEX(Berekening_impact[Jaarlijkse kosten (totaal) - incl. schatting],MATCH(B1139,IF(Berekening_impact[Doelgroep]=C1139,Berekening_impact[Digitale zorgtoepassing]),0))</f>
        <v>1234704.7086400001</v>
      </c>
      <c r="R1139" s="398" cm="1">
        <f t="array" ref="R1139">(uitkomst_doelgroep[[#This Row],[Implementatiegraad t = T + 1]]-uitkomst_doelgroep[[#This Row],[Implementatiegraad t = T]])*INDEX(Berekening_impact[Initiële investering (totaal) - incl. schatting],MATCH(B1139,IF(Berekening_impact[Doelgroep]=C1139,Berekening_impact[Digitale zorgtoepassing]),0))</f>
        <v>0</v>
      </c>
      <c r="S1139" s="398">
        <f>uitkomst_doelgroep[[#This Row],[Arbeidsbesparing (€)]]*uitkomst_doelgroep[[#This Row],[Percentage van patiëntaantallen in Wlz (overige is Zvw)]]</f>
        <v>0</v>
      </c>
      <c r="T1139" s="398">
        <f>uitkomst_doelgroep[[#This Row],[Overige besparingen (€)]]*uitkomst_doelgroep[[#This Row],[Percentage van patiëntaantallen in Wlz (overige is Zvw)]]</f>
        <v>0</v>
      </c>
      <c r="U1139" s="398">
        <f>uitkomst_doelgroep[[#This Row],[Kosten (€)]]*uitkomst_doelgroep[[#This Row],[Percentage van patiëntaantallen in Wlz (overige is Zvw)]]</f>
        <v>0</v>
      </c>
      <c r="V1139" s="398">
        <f>uitkomst_doelgroep[[#This Row],[Investering (cash flow) (€)]]*uitkomst_doelgroep[[#This Row],[Percentage van patiëntaantallen in Wlz (overige is Zvw)]]</f>
        <v>0</v>
      </c>
    </row>
    <row r="1140" spans="1:22" x14ac:dyDescent="0.5">
      <c r="A1140" s="33" t="str">
        <f>INDEX(Technologieën[Veld],MATCH(B1140,Technologieën[Digitale zorgtoepassing],0))</f>
        <v>Digitale hulpmiddelen - Diagnose</v>
      </c>
      <c r="B1140" s="33" t="s">
        <v>82</v>
      </c>
      <c r="C1140" s="33" t="s">
        <v>702</v>
      </c>
      <c r="D1140" s="427" cm="1">
        <f t="array" ref="D1140">INDEX(Berekening_patiëntaantal[Percentage van patiëntaantallen in Wlz (overige is Zvw)],MATCH(B1140,IF(Berekening_patiëntaantal[Doelgroep (zoeksleutel)]=C1140,Berekening_patiëntaantal[Digitale zorgtoepassing]),0))</f>
        <v>0</v>
      </c>
      <c r="E1140" s="33" t="str" cm="1">
        <f t="array" ref="E1140">INDEX(Berekening_patiëntaantal[Direct toepasbaar/extrapolatie/incidentie voor QALY],MATCH(B1140,IF(Berekening_patiëntaantal[Doelgroep (zoeksleutel)]=C1140,Berekening_patiëntaantal[Digitale zorgtoepassing]),0))</f>
        <v>Huidige toepassing</v>
      </c>
      <c r="F1140" s="33" t="s">
        <v>813</v>
      </c>
      <c r="G1140" s="33" t="str">
        <f>CONCATENATE(uitkomst_doelgroep[[#This Row],[Digitale zorgtoepassing]],"_",uitkomst_doelgroep[[#This Row],[Doelgroep]],"_",uitkomst_doelgroep[[#This Row],[Uitgangssituatie/effect beleid]])</f>
        <v>Point-of-care (POC) testing_Huisartscontacten met labaratoriumonderzoek_Uitgangssituatie</v>
      </c>
      <c r="H1140" s="33">
        <v>2025</v>
      </c>
      <c r="I1140" s="32">
        <v>3</v>
      </c>
      <c r="J1140" s="406" cm="1">
        <f t="array" ref="J1140">INDEX(implementatie[[2023]:[2034]],MATCH(G1140, implementatie[Zoeksleutel],0),I1140)</f>
        <v>0.61781439999999999</v>
      </c>
      <c r="K1140" s="406" cm="1">
        <f t="array" ref="K1140">INDEX(implementatie[[2023]:[2034]],MATCH(G1140,implementatie[Zoeksleutel],0),I1140 + 1)</f>
        <v>0.71990601886105599</v>
      </c>
      <c r="L114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48859.357572479996</v>
      </c>
      <c r="M1140" s="398" cm="1">
        <f t="array" ref="M1140">J1140*INDEX(Berekening_impact[Totaal arbeidsbesparing (€/jaar)],MATCH(B1140,IF(Berekening_impact[Doelgroep]=C1140,Berekening_impact[Digitale zorgtoepassing]),0))</f>
        <v>2999737.3021243531</v>
      </c>
      <c r="N1140" s="397" cm="1">
        <f t="array" ref="N1140">J1140*INDEX(Berekening_impact[Totaal arbeidsbesparing (FTE/jaar)],MATCH(B1140,IF(Berekening_impact[Doelgroep]=C1140,Berekening_impact[Digitale zorgtoepassing]),0))</f>
        <v>54.789699408055405</v>
      </c>
      <c r="O1140" s="398" cm="1">
        <f t="array" ref="O1140">J1140*INDEX(Berekening_impact[Overige kostenbesparing (totaal/jaar totaal potentieel)],MATCH(B1140,IF(Berekening_impact[Doelgroep]=C1140,Berekening_impact[Digitale zorgtoepassing]),0))</f>
        <v>3840572.7580228467</v>
      </c>
      <c r="P1140" s="398" cm="1">
        <f t="array" ref="P1140">J1140*INDEX(Berekening_impact[Opbrengsten door QALY''s],MATCH(B1140,IF(Berekening_impact[Doelgroep]=C1140,Berekening_impact[Digitale zorgtoepassing]),0))</f>
        <v>0</v>
      </c>
      <c r="Q1140" s="398" cm="1">
        <f t="array" ref="Q1140">J1140*INDEX(Berekening_impact[Jaarlijkse kosten (totaal) - incl. schatting],MATCH(B1140,IF(Berekening_impact[Doelgroep]=C1140,Berekening_impact[Digitale zorgtoepassing]),0))</f>
        <v>1501610.922727552</v>
      </c>
      <c r="R1140" s="398" cm="1">
        <f t="array" ref="R1140">(uitkomst_doelgroep[[#This Row],[Implementatiegraad t = T + 1]]-uitkomst_doelgroep[[#This Row],[Implementatiegraad t = T]])*INDEX(Berekening_impact[Initiële investering (totaal) - incl. schatting],MATCH(B1140,IF(Berekening_impact[Doelgroep]=C1140,Berekening_impact[Digitale zorgtoepassing]),0))</f>
        <v>0</v>
      </c>
      <c r="S1140" s="398">
        <f>uitkomst_doelgroep[[#This Row],[Arbeidsbesparing (€)]]*uitkomst_doelgroep[[#This Row],[Percentage van patiëntaantallen in Wlz (overige is Zvw)]]</f>
        <v>0</v>
      </c>
      <c r="T1140" s="398">
        <f>uitkomst_doelgroep[[#This Row],[Overige besparingen (€)]]*uitkomst_doelgroep[[#This Row],[Percentage van patiëntaantallen in Wlz (overige is Zvw)]]</f>
        <v>0</v>
      </c>
      <c r="U1140" s="398">
        <f>uitkomst_doelgroep[[#This Row],[Kosten (€)]]*uitkomst_doelgroep[[#This Row],[Percentage van patiëntaantallen in Wlz (overige is Zvw)]]</f>
        <v>0</v>
      </c>
      <c r="V1140" s="398">
        <f>uitkomst_doelgroep[[#This Row],[Investering (cash flow) (€)]]*uitkomst_doelgroep[[#This Row],[Percentage van patiëntaantallen in Wlz (overige is Zvw)]]</f>
        <v>0</v>
      </c>
    </row>
    <row r="1141" spans="1:22" x14ac:dyDescent="0.5">
      <c r="A1141" s="33" t="str">
        <f>INDEX(Technologieën[Veld],MATCH(B1141,Technologieën[Digitale zorgtoepassing],0))</f>
        <v>Digitale hulpmiddelen - Diagnose</v>
      </c>
      <c r="B1141" s="33" t="s">
        <v>82</v>
      </c>
      <c r="C1141" s="33" t="s">
        <v>702</v>
      </c>
      <c r="D1141" s="427" cm="1">
        <f t="array" ref="D1141">INDEX(Berekening_patiëntaantal[Percentage van patiëntaantallen in Wlz (overige is Zvw)],MATCH(B1141,IF(Berekening_patiëntaantal[Doelgroep (zoeksleutel)]=C1141,Berekening_patiëntaantal[Digitale zorgtoepassing]),0))</f>
        <v>0</v>
      </c>
      <c r="E1141" s="33" t="str" cm="1">
        <f t="array" ref="E1141">INDEX(Berekening_patiëntaantal[Direct toepasbaar/extrapolatie/incidentie voor QALY],MATCH(B1141,IF(Berekening_patiëntaantal[Doelgroep (zoeksleutel)]=C1141,Berekening_patiëntaantal[Digitale zorgtoepassing]),0))</f>
        <v>Huidige toepassing</v>
      </c>
      <c r="F1141" s="33" t="s">
        <v>813</v>
      </c>
      <c r="G1141" s="33" t="str">
        <f>CONCATENATE(uitkomst_doelgroep[[#This Row],[Digitale zorgtoepassing]],"_",uitkomst_doelgroep[[#This Row],[Doelgroep]],"_",uitkomst_doelgroep[[#This Row],[Uitgangssituatie/effect beleid]])</f>
        <v>Point-of-care (POC) testing_Huisartscontacten met labaratoriumonderzoek_Uitgangssituatie</v>
      </c>
      <c r="H1141" s="33">
        <v>2026</v>
      </c>
      <c r="I1141" s="32">
        <v>4</v>
      </c>
      <c r="J1141" s="406" cm="1">
        <f t="array" ref="J1141">INDEX(implementatie[[2023]:[2034]],MATCH(G1141, implementatie[Zoeksleutel],0),I1141)</f>
        <v>0.71990601886105599</v>
      </c>
      <c r="K1141" s="406" cm="1">
        <f t="array" ref="K1141">INDEX(implementatie[[2023]:[2034]],MATCH(G1141,implementatie[Zoeksleutel],0),I1141 + 1)</f>
        <v>0.80616443563130724</v>
      </c>
      <c r="L114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56933.191576811521</v>
      </c>
      <c r="M1141" s="398" cm="1">
        <f t="array" ref="M1141">J1141*INDEX(Berekening_impact[Totaal arbeidsbesparing (€/jaar)],MATCH(B1141,IF(Berekening_impact[Doelgroep]=C1141,Berekening_impact[Digitale zorgtoepassing]),0))</f>
        <v>3495433.1572740097</v>
      </c>
      <c r="N1141" s="397" cm="1">
        <f t="array" ref="N1141">J1141*INDEX(Berekening_impact[Totaal arbeidsbesparing (FTE/jaar)],MATCH(B1141,IF(Berekening_impact[Doelgroep]=C1141,Berekening_impact[Digitale zorgtoepassing]),0))</f>
        <v>63.843501180042296</v>
      </c>
      <c r="O1141" s="398" cm="1">
        <f t="array" ref="O1141">J1141*INDEX(Berekening_impact[Overige kostenbesparing (totaal/jaar totaal potentieel)],MATCH(B1141,IF(Berekening_impact[Doelgroep]=C1141,Berekening_impact[Digitale zorgtoepassing]),0))</f>
        <v>4475213.6634796038</v>
      </c>
      <c r="P1141" s="398" cm="1">
        <f t="array" ref="P1141">J1141*INDEX(Berekening_impact[Opbrengsten door QALY''s],MATCH(B1141,IF(Berekening_impact[Doelgroep]=C1141,Berekening_impact[Digitale zorgtoepassing]),0))</f>
        <v>0</v>
      </c>
      <c r="Q1141" s="398" cm="1">
        <f t="array" ref="Q1141">J1141*INDEX(Berekening_impact[Jaarlijkse kosten (totaal) - incl. schatting],MATCH(B1141,IF(Berekening_impact[Doelgroep]=C1141,Berekening_impact[Digitale zorgtoepassing]),0))</f>
        <v>1749746.7544606742</v>
      </c>
      <c r="R1141" s="398" cm="1">
        <f t="array" ref="R1141">(uitkomst_doelgroep[[#This Row],[Implementatiegraad t = T + 1]]-uitkomst_doelgroep[[#This Row],[Implementatiegraad t = T]])*INDEX(Berekening_impact[Initiële investering (totaal) - incl. schatting],MATCH(B1141,IF(Berekening_impact[Doelgroep]=C1141,Berekening_impact[Digitale zorgtoepassing]),0))</f>
        <v>0</v>
      </c>
      <c r="S1141" s="398">
        <f>uitkomst_doelgroep[[#This Row],[Arbeidsbesparing (€)]]*uitkomst_doelgroep[[#This Row],[Percentage van patiëntaantallen in Wlz (overige is Zvw)]]</f>
        <v>0</v>
      </c>
      <c r="T1141" s="398">
        <f>uitkomst_doelgroep[[#This Row],[Overige besparingen (€)]]*uitkomst_doelgroep[[#This Row],[Percentage van patiëntaantallen in Wlz (overige is Zvw)]]</f>
        <v>0</v>
      </c>
      <c r="U1141" s="398">
        <f>uitkomst_doelgroep[[#This Row],[Kosten (€)]]*uitkomst_doelgroep[[#This Row],[Percentage van patiëntaantallen in Wlz (overige is Zvw)]]</f>
        <v>0</v>
      </c>
      <c r="V1141" s="398">
        <f>uitkomst_doelgroep[[#This Row],[Investering (cash flow) (€)]]*uitkomst_doelgroep[[#This Row],[Percentage van patiëntaantallen in Wlz (overige is Zvw)]]</f>
        <v>0</v>
      </c>
    </row>
    <row r="1142" spans="1:22" x14ac:dyDescent="0.5">
      <c r="A1142" s="33" t="str">
        <f>INDEX(Technologieën[Veld],MATCH(B1142,Technologieën[Digitale zorgtoepassing],0))</f>
        <v>Digitale hulpmiddelen - Diagnose</v>
      </c>
      <c r="B1142" s="33" t="s">
        <v>82</v>
      </c>
      <c r="C1142" s="33" t="s">
        <v>702</v>
      </c>
      <c r="D1142" s="427" cm="1">
        <f t="array" ref="D1142">INDEX(Berekening_patiëntaantal[Percentage van patiëntaantallen in Wlz (overige is Zvw)],MATCH(B1142,IF(Berekening_patiëntaantal[Doelgroep (zoeksleutel)]=C1142,Berekening_patiëntaantal[Digitale zorgtoepassing]),0))</f>
        <v>0</v>
      </c>
      <c r="E1142" s="33" t="str" cm="1">
        <f t="array" ref="E1142">INDEX(Berekening_patiëntaantal[Direct toepasbaar/extrapolatie/incidentie voor QALY],MATCH(B1142,IF(Berekening_patiëntaantal[Doelgroep (zoeksleutel)]=C1142,Berekening_patiëntaantal[Digitale zorgtoepassing]),0))</f>
        <v>Huidige toepassing</v>
      </c>
      <c r="F1142" s="33" t="s">
        <v>813</v>
      </c>
      <c r="G1142" s="33" t="str">
        <f>CONCATENATE(uitkomst_doelgroep[[#This Row],[Digitale zorgtoepassing]],"_",uitkomst_doelgroep[[#This Row],[Doelgroep]],"_",uitkomst_doelgroep[[#This Row],[Uitgangssituatie/effect beleid]])</f>
        <v>Point-of-care (POC) testing_Huisartscontacten met labaratoriumonderzoek_Uitgangssituatie</v>
      </c>
      <c r="H1142" s="33">
        <v>2027</v>
      </c>
      <c r="I1142" s="32">
        <v>5</v>
      </c>
      <c r="J1142" s="406" cm="1">
        <f t="array" ref="J1142">INDEX(implementatie[[2023]:[2034]],MATCH(G1142, implementatie[Zoeksleutel],0),I1142)</f>
        <v>0.80616443563130724</v>
      </c>
      <c r="K1142" s="406" cm="1">
        <f t="array" ref="K1142">INDEX(implementatie[[2023]:[2034]],MATCH(G1142,implementatie[Zoeksleutel],0),I1142 + 1)</f>
        <v>0.87254648226050635</v>
      </c>
      <c r="L114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63754.869460353424</v>
      </c>
      <c r="M1142" s="398" cm="1">
        <f t="array" ref="M1142">J1142*INDEX(Berekening_impact[Totaal arbeidsbesparing (€/jaar)],MATCH(B1142,IF(Berekening_impact[Doelgroep]=C1142,Berekening_impact[Digitale zorgtoepassing]),0))</f>
        <v>3914252.4505891404</v>
      </c>
      <c r="N1142" s="397" cm="1">
        <f t="array" ref="N1142">J1142*INDEX(Berekening_impact[Totaal arbeidsbesparing (FTE/jaar)],MATCH(B1142,IF(Berekening_impact[Doelgroep]=C1142,Berekening_impact[Digitale zorgtoepassing]),0))</f>
        <v>71.493165425901296</v>
      </c>
      <c r="O1142" s="398" cm="1">
        <f t="array" ref="O1142">J1142*INDEX(Berekening_impact[Overige kostenbesparing (totaal/jaar totaal potentieel)],MATCH(B1142,IF(Berekening_impact[Doelgroep]=C1142,Berekening_impact[Digitale zorgtoepassing]),0))</f>
        <v>5011429.2738603391</v>
      </c>
      <c r="P1142" s="398" cm="1">
        <f t="array" ref="P1142">J1142*INDEX(Berekening_impact[Opbrengsten door QALY''s],MATCH(B1142,IF(Berekening_impact[Doelgroep]=C1142,Berekening_impact[Digitale zorgtoepassing]),0))</f>
        <v>0</v>
      </c>
      <c r="Q1142" s="398" cm="1">
        <f t="array" ref="Q1142">J1142*INDEX(Berekening_impact[Jaarlijkse kosten (totaal) - incl. schatting],MATCH(B1142,IF(Berekening_impact[Doelgroep]=C1142,Berekening_impact[Digitale zorgtoepassing]),0))</f>
        <v>1959399.6547481953</v>
      </c>
      <c r="R1142" s="398" cm="1">
        <f t="array" ref="R1142">(uitkomst_doelgroep[[#This Row],[Implementatiegraad t = T + 1]]-uitkomst_doelgroep[[#This Row],[Implementatiegraad t = T]])*INDEX(Berekening_impact[Initiële investering (totaal) - incl. schatting],MATCH(B1142,IF(Berekening_impact[Doelgroep]=C1142,Berekening_impact[Digitale zorgtoepassing]),0))</f>
        <v>0</v>
      </c>
      <c r="S1142" s="398">
        <f>uitkomst_doelgroep[[#This Row],[Arbeidsbesparing (€)]]*uitkomst_doelgroep[[#This Row],[Percentage van patiëntaantallen in Wlz (overige is Zvw)]]</f>
        <v>0</v>
      </c>
      <c r="T1142" s="398">
        <f>uitkomst_doelgroep[[#This Row],[Overige besparingen (€)]]*uitkomst_doelgroep[[#This Row],[Percentage van patiëntaantallen in Wlz (overige is Zvw)]]</f>
        <v>0</v>
      </c>
      <c r="U1142" s="398">
        <f>uitkomst_doelgroep[[#This Row],[Kosten (€)]]*uitkomst_doelgroep[[#This Row],[Percentage van patiëntaantallen in Wlz (overige is Zvw)]]</f>
        <v>0</v>
      </c>
      <c r="V1142" s="398">
        <f>uitkomst_doelgroep[[#This Row],[Investering (cash flow) (€)]]*uitkomst_doelgroep[[#This Row],[Percentage van patiëntaantallen in Wlz (overige is Zvw)]]</f>
        <v>0</v>
      </c>
    </row>
    <row r="1143" spans="1:22" x14ac:dyDescent="0.5">
      <c r="A1143" s="33" t="str">
        <f>INDEX(Technologieën[Veld],MATCH(B1143,Technologieën[Digitale zorgtoepassing],0))</f>
        <v>Digitale hulpmiddelen - Diagnose</v>
      </c>
      <c r="B1143" s="33" t="s">
        <v>82</v>
      </c>
      <c r="C1143" s="33" t="s">
        <v>702</v>
      </c>
      <c r="D1143" s="427" cm="1">
        <f t="array" ref="D1143">INDEX(Berekening_patiëntaantal[Percentage van patiëntaantallen in Wlz (overige is Zvw)],MATCH(B1143,IF(Berekening_patiëntaantal[Doelgroep (zoeksleutel)]=C1143,Berekening_patiëntaantal[Digitale zorgtoepassing]),0))</f>
        <v>0</v>
      </c>
      <c r="E1143" s="33" t="str" cm="1">
        <f t="array" ref="E1143">INDEX(Berekening_patiëntaantal[Direct toepasbaar/extrapolatie/incidentie voor QALY],MATCH(B1143,IF(Berekening_patiëntaantal[Doelgroep (zoeksleutel)]=C1143,Berekening_patiëntaantal[Digitale zorgtoepassing]),0))</f>
        <v>Huidige toepassing</v>
      </c>
      <c r="F1143" s="33" t="s">
        <v>813</v>
      </c>
      <c r="G1143" s="33" t="str">
        <f>CONCATENATE(uitkomst_doelgroep[[#This Row],[Digitale zorgtoepassing]],"_",uitkomst_doelgroep[[#This Row],[Doelgroep]],"_",uitkomst_doelgroep[[#This Row],[Uitgangssituatie/effect beleid]])</f>
        <v>Point-of-care (POC) testing_Huisartscontacten met labaratoriumonderzoek_Uitgangssituatie</v>
      </c>
      <c r="H1143" s="33">
        <v>2028</v>
      </c>
      <c r="I1143" s="32">
        <v>6</v>
      </c>
      <c r="J1143" s="406" cm="1">
        <f t="array" ref="J1143">INDEX(implementatie[[2023]:[2034]],MATCH(G1143, implementatie[Zoeksleutel],0),I1143)</f>
        <v>0.87254648226050635</v>
      </c>
      <c r="K1143" s="406" cm="1">
        <f t="array" ref="K1143">INDEX(implementatie[[2023]:[2034]],MATCH(G1143,implementatie[Zoeksleutel],0),I1143 + 1)</f>
        <v>0.9195792000374251</v>
      </c>
      <c r="L114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69004.640512386337</v>
      </c>
      <c r="M1143" s="398" cm="1">
        <f t="array" ref="M1143">J1143*INDEX(Berekening_impact[Totaal arbeidsbesparing (€/jaar)],MATCH(B1143,IF(Berekening_impact[Doelgroep]=C1143,Berekening_impact[Digitale zorgtoepassing]),0))</f>
        <v>4236563.9756441843</v>
      </c>
      <c r="N1143" s="397" cm="1">
        <f t="array" ref="N1143">J1143*INDEX(Berekening_impact[Totaal arbeidsbesparing (FTE/jaar)],MATCH(B1143,IF(Berekening_impact[Doelgroep]=C1143,Berekening_impact[Digitale zorgtoepassing]),0))</f>
        <v>77.380131448229918</v>
      </c>
      <c r="O1143" s="398" cm="1">
        <f t="array" ref="O1143">J1143*INDEX(Berekening_impact[Overige kostenbesparing (totaal/jaar totaal potentieel)],MATCH(B1143,IF(Berekening_impact[Doelgroep]=C1143,Berekening_impact[Digitale zorgtoepassing]),0))</f>
        <v>5424085.6960899029</v>
      </c>
      <c r="P1143" s="398" cm="1">
        <f t="array" ref="P1143">J1143*INDEX(Berekening_impact[Opbrengsten door QALY''s],MATCH(B1143,IF(Berekening_impact[Doelgroep]=C1143,Berekening_impact[Digitale zorgtoepassing]),0))</f>
        <v>0</v>
      </c>
      <c r="Q1143" s="398" cm="1">
        <f t="array" ref="Q1143">J1143*INDEX(Berekening_impact[Jaarlijkse kosten (totaal) - incl. schatting],MATCH(B1143,IF(Berekening_impact[Doelgroep]=C1143,Berekening_impact[Digitale zorgtoepassing]),0))</f>
        <v>2120742.6184140067</v>
      </c>
      <c r="R1143" s="398" cm="1">
        <f t="array" ref="R1143">(uitkomst_doelgroep[[#This Row],[Implementatiegraad t = T + 1]]-uitkomst_doelgroep[[#This Row],[Implementatiegraad t = T]])*INDEX(Berekening_impact[Initiële investering (totaal) - incl. schatting],MATCH(B1143,IF(Berekening_impact[Doelgroep]=C1143,Berekening_impact[Digitale zorgtoepassing]),0))</f>
        <v>0</v>
      </c>
      <c r="S1143" s="398">
        <f>uitkomst_doelgroep[[#This Row],[Arbeidsbesparing (€)]]*uitkomst_doelgroep[[#This Row],[Percentage van patiëntaantallen in Wlz (overige is Zvw)]]</f>
        <v>0</v>
      </c>
      <c r="T1143" s="398">
        <f>uitkomst_doelgroep[[#This Row],[Overige besparingen (€)]]*uitkomst_doelgroep[[#This Row],[Percentage van patiëntaantallen in Wlz (overige is Zvw)]]</f>
        <v>0</v>
      </c>
      <c r="U1143" s="398">
        <f>uitkomst_doelgroep[[#This Row],[Kosten (€)]]*uitkomst_doelgroep[[#This Row],[Percentage van patiëntaantallen in Wlz (overige is Zvw)]]</f>
        <v>0</v>
      </c>
      <c r="V1143" s="398">
        <f>uitkomst_doelgroep[[#This Row],[Investering (cash flow) (€)]]*uitkomst_doelgroep[[#This Row],[Percentage van patiëntaantallen in Wlz (overige is Zvw)]]</f>
        <v>0</v>
      </c>
    </row>
    <row r="1144" spans="1:22" x14ac:dyDescent="0.5">
      <c r="A1144" s="33" t="str">
        <f>INDEX(Technologieën[Veld],MATCH(B1144,Technologieën[Digitale zorgtoepassing],0))</f>
        <v>Digitale hulpmiddelen - Diagnose</v>
      </c>
      <c r="B1144" s="33" t="s">
        <v>82</v>
      </c>
      <c r="C1144" s="33" t="s">
        <v>702</v>
      </c>
      <c r="D1144" s="427" cm="1">
        <f t="array" ref="D1144">INDEX(Berekening_patiëntaantal[Percentage van patiëntaantallen in Wlz (overige is Zvw)],MATCH(B1144,IF(Berekening_patiëntaantal[Doelgroep (zoeksleutel)]=C1144,Berekening_patiëntaantal[Digitale zorgtoepassing]),0))</f>
        <v>0</v>
      </c>
      <c r="E1144" s="33" t="str" cm="1">
        <f t="array" ref="E1144">INDEX(Berekening_patiëntaantal[Direct toepasbaar/extrapolatie/incidentie voor QALY],MATCH(B1144,IF(Berekening_patiëntaantal[Doelgroep (zoeksleutel)]=C1144,Berekening_patiëntaantal[Digitale zorgtoepassing]),0))</f>
        <v>Huidige toepassing</v>
      </c>
      <c r="F1144" s="33" t="s">
        <v>813</v>
      </c>
      <c r="G1144" s="33" t="str">
        <f>CONCATENATE(uitkomst_doelgroep[[#This Row],[Digitale zorgtoepassing]],"_",uitkomst_doelgroep[[#This Row],[Doelgroep]],"_",uitkomst_doelgroep[[#This Row],[Uitgangssituatie/effect beleid]])</f>
        <v>Point-of-care (POC) testing_Huisartscontacten met labaratoriumonderzoek_Uitgangssituatie</v>
      </c>
      <c r="H1144" s="33">
        <v>2029</v>
      </c>
      <c r="I1144" s="32">
        <v>7</v>
      </c>
      <c r="J1144" s="406" cm="1">
        <f t="array" ref="J1144">INDEX(implementatie[[2023]:[2034]],MATCH(G1144, implementatie[Zoeksleutel],0),I1144)</f>
        <v>0.9195792000374251</v>
      </c>
      <c r="K1144" s="406" cm="1">
        <f t="array" ref="K1144">INDEX(implementatie[[2023]:[2034]],MATCH(G1144,implementatie[Zoeksleutel],0),I1144 + 1)</f>
        <v>0.95076893399505846</v>
      </c>
      <c r="L114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72724.185371599728</v>
      </c>
      <c r="M1144" s="398" cm="1">
        <f t="array" ref="M1144">J1144*INDEX(Berekening_impact[Totaal arbeidsbesparing (€/jaar)],MATCH(B1144,IF(Berekening_impact[Doelgroep]=C1144,Berekening_impact[Digitale zorgtoepassing]),0))</f>
        <v>4464926.7297912389</v>
      </c>
      <c r="N1144" s="397" cm="1">
        <f t="array" ref="N1144">J1144*INDEX(Berekening_impact[Totaal arbeidsbesparing (FTE/jaar)],MATCH(B1144,IF(Berekening_impact[Doelgroep]=C1144,Berekening_impact[Digitale zorgtoepassing]),0))</f>
        <v>81.551138905066921</v>
      </c>
      <c r="O1144" s="398" cm="1">
        <f t="array" ref="O1144">J1144*INDEX(Berekening_impact[Overige kostenbesparing (totaal/jaar totaal potentieel)],MATCH(B1144,IF(Berekening_impact[Doelgroep]=C1144,Berekening_impact[Digitale zorgtoepassing]),0))</f>
        <v>5716459.2222327236</v>
      </c>
      <c r="P1144" s="398" cm="1">
        <f t="array" ref="P1144">J1144*INDEX(Berekening_impact[Opbrengsten door QALY''s],MATCH(B1144,IF(Berekening_impact[Doelgroep]=C1144,Berekening_impact[Digitale zorgtoepassing]),0))</f>
        <v>0</v>
      </c>
      <c r="Q1144" s="398" cm="1">
        <f t="array" ref="Q1144">J1144*INDEX(Berekening_impact[Jaarlijkse kosten (totaal) - incl. schatting],MATCH(B1144,IF(Berekening_impact[Doelgroep]=C1144,Berekening_impact[Digitale zorgtoepassing]),0))</f>
        <v>2235056.6304204985</v>
      </c>
      <c r="R1144" s="398" cm="1">
        <f t="array" ref="R1144">(uitkomst_doelgroep[[#This Row],[Implementatiegraad t = T + 1]]-uitkomst_doelgroep[[#This Row],[Implementatiegraad t = T]])*INDEX(Berekening_impact[Initiële investering (totaal) - incl. schatting],MATCH(B1144,IF(Berekening_impact[Doelgroep]=C1144,Berekening_impact[Digitale zorgtoepassing]),0))</f>
        <v>0</v>
      </c>
      <c r="S1144" s="398">
        <f>uitkomst_doelgroep[[#This Row],[Arbeidsbesparing (€)]]*uitkomst_doelgroep[[#This Row],[Percentage van patiëntaantallen in Wlz (overige is Zvw)]]</f>
        <v>0</v>
      </c>
      <c r="T1144" s="398">
        <f>uitkomst_doelgroep[[#This Row],[Overige besparingen (€)]]*uitkomst_doelgroep[[#This Row],[Percentage van patiëntaantallen in Wlz (overige is Zvw)]]</f>
        <v>0</v>
      </c>
      <c r="U1144" s="398">
        <f>uitkomst_doelgroep[[#This Row],[Kosten (€)]]*uitkomst_doelgroep[[#This Row],[Percentage van patiëntaantallen in Wlz (overige is Zvw)]]</f>
        <v>0</v>
      </c>
      <c r="V1144" s="398">
        <f>uitkomst_doelgroep[[#This Row],[Investering (cash flow) (€)]]*uitkomst_doelgroep[[#This Row],[Percentage van patiëntaantallen in Wlz (overige is Zvw)]]</f>
        <v>0</v>
      </c>
    </row>
    <row r="1145" spans="1:22" x14ac:dyDescent="0.5">
      <c r="A1145" s="33" t="str">
        <f>INDEX(Technologieën[Veld],MATCH(B1145,Technologieën[Digitale zorgtoepassing],0))</f>
        <v>Digitale hulpmiddelen - Diagnose</v>
      </c>
      <c r="B1145" s="33" t="s">
        <v>82</v>
      </c>
      <c r="C1145" s="33" t="s">
        <v>702</v>
      </c>
      <c r="D1145" s="427" cm="1">
        <f t="array" ref="D1145">INDEX(Berekening_patiëntaantal[Percentage van patiëntaantallen in Wlz (overige is Zvw)],MATCH(B1145,IF(Berekening_patiëntaantal[Doelgroep (zoeksleutel)]=C1145,Berekening_patiëntaantal[Digitale zorgtoepassing]),0))</f>
        <v>0</v>
      </c>
      <c r="E1145" s="33" t="str" cm="1">
        <f t="array" ref="E1145">INDEX(Berekening_patiëntaantal[Direct toepasbaar/extrapolatie/incidentie voor QALY],MATCH(B1145,IF(Berekening_patiëntaantal[Doelgroep (zoeksleutel)]=C1145,Berekening_patiëntaantal[Digitale zorgtoepassing]),0))</f>
        <v>Huidige toepassing</v>
      </c>
      <c r="F1145" s="33" t="s">
        <v>813</v>
      </c>
      <c r="G1145" s="33" t="str">
        <f>CONCATENATE(uitkomst_doelgroep[[#This Row],[Digitale zorgtoepassing]],"_",uitkomst_doelgroep[[#This Row],[Doelgroep]],"_",uitkomst_doelgroep[[#This Row],[Uitgangssituatie/effect beleid]])</f>
        <v>Point-of-care (POC) testing_Huisartscontacten met labaratoriumonderzoek_Uitgangssituatie</v>
      </c>
      <c r="H1145" s="33">
        <v>2030</v>
      </c>
      <c r="I1145" s="32">
        <v>8</v>
      </c>
      <c r="J1145" s="406" cm="1">
        <f t="array" ref="J1145">INDEX(implementatie[[2023]:[2034]],MATCH(G1145, implementatie[Zoeksleutel],0),I1145)</f>
        <v>0.95076893399505846</v>
      </c>
      <c r="K1145" s="406" cm="1">
        <f t="array" ref="K1145">INDEX(implementatie[[2023]:[2034]],MATCH(G1145,implementatie[Zoeksleutel],0),I1145 + 1)</f>
        <v>0.97047650257314066</v>
      </c>
      <c r="L114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75190.800529852</v>
      </c>
      <c r="M1145" s="398" cm="1">
        <f t="array" ref="M1145">J1145*INDEX(Berekening_impact[Totaal arbeidsbesparing (€/jaar)],MATCH(B1145,IF(Berekening_impact[Doelgroep]=C1145,Berekening_impact[Digitale zorgtoepassing]),0))</f>
        <v>4616365.427879286</v>
      </c>
      <c r="N1145" s="397" cm="1">
        <f t="array" ref="N1145">J1145*INDEX(Berekening_impact[Totaal arbeidsbesparing (FTE/jaar)],MATCH(B1145,IF(Berekening_impact[Doelgroep]=C1145,Berekening_impact[Digitale zorgtoepassing]),0))</f>
        <v>84.317141361720488</v>
      </c>
      <c r="O1145" s="398" cm="1">
        <f t="array" ref="O1145">J1145*INDEX(Berekening_impact[Overige kostenbesparing (totaal/jaar totaal potentieel)],MATCH(B1145,IF(Berekening_impact[Doelgroep]=C1145,Berekening_impact[Digitale zorgtoepassing]),0))</f>
        <v>5910346.6462999946</v>
      </c>
      <c r="P1145" s="398" cm="1">
        <f t="array" ref="P1145">J1145*INDEX(Berekening_impact[Opbrengsten door QALY''s],MATCH(B1145,IF(Berekening_impact[Doelgroep]=C1145,Berekening_impact[Digitale zorgtoepassing]),0))</f>
        <v>0</v>
      </c>
      <c r="Q1145" s="398" cm="1">
        <f t="array" ref="Q1145">J1145*INDEX(Berekening_impact[Jaarlijkse kosten (totaal) - incl. schatting],MATCH(B1145,IF(Berekening_impact[Doelgroep]=C1145,Berekening_impact[Digitale zorgtoepassing]),0))</f>
        <v>2310863.9362841183</v>
      </c>
      <c r="R1145" s="398" cm="1">
        <f t="array" ref="R1145">(uitkomst_doelgroep[[#This Row],[Implementatiegraad t = T + 1]]-uitkomst_doelgroep[[#This Row],[Implementatiegraad t = T]])*INDEX(Berekening_impact[Initiële investering (totaal) - incl. schatting],MATCH(B1145,IF(Berekening_impact[Doelgroep]=C1145,Berekening_impact[Digitale zorgtoepassing]),0))</f>
        <v>0</v>
      </c>
      <c r="S1145" s="398">
        <f>uitkomst_doelgroep[[#This Row],[Arbeidsbesparing (€)]]*uitkomst_doelgroep[[#This Row],[Percentage van patiëntaantallen in Wlz (overige is Zvw)]]</f>
        <v>0</v>
      </c>
      <c r="T1145" s="398">
        <f>uitkomst_doelgroep[[#This Row],[Overige besparingen (€)]]*uitkomst_doelgroep[[#This Row],[Percentage van patiëntaantallen in Wlz (overige is Zvw)]]</f>
        <v>0</v>
      </c>
      <c r="U1145" s="398">
        <f>uitkomst_doelgroep[[#This Row],[Kosten (€)]]*uitkomst_doelgroep[[#This Row],[Percentage van patiëntaantallen in Wlz (overige is Zvw)]]</f>
        <v>0</v>
      </c>
      <c r="V1145" s="398">
        <f>uitkomst_doelgroep[[#This Row],[Investering (cash flow) (€)]]*uitkomst_doelgroep[[#This Row],[Percentage van patiëntaantallen in Wlz (overige is Zvw)]]</f>
        <v>0</v>
      </c>
    </row>
    <row r="1146" spans="1:22" x14ac:dyDescent="0.5">
      <c r="A1146" s="33" t="str">
        <f>INDEX(Technologieën[Veld],MATCH(B1146,Technologieën[Digitale zorgtoepassing],0))</f>
        <v>Digitale hulpmiddelen - Diagnose</v>
      </c>
      <c r="B1146" s="33" t="s">
        <v>82</v>
      </c>
      <c r="C1146" s="33" t="s">
        <v>702</v>
      </c>
      <c r="D1146" s="427" cm="1">
        <f t="array" ref="D1146">INDEX(Berekening_patiëntaantal[Percentage van patiëntaantallen in Wlz (overige is Zvw)],MATCH(B1146,IF(Berekening_patiëntaantal[Doelgroep (zoeksleutel)]=C1146,Berekening_patiëntaantal[Digitale zorgtoepassing]),0))</f>
        <v>0</v>
      </c>
      <c r="E1146" s="33" t="str" cm="1">
        <f t="array" ref="E1146">INDEX(Berekening_patiëntaantal[Direct toepasbaar/extrapolatie/incidentie voor QALY],MATCH(B1146,IF(Berekening_patiëntaantal[Doelgroep (zoeksleutel)]=C1146,Berekening_patiëntaantal[Digitale zorgtoepassing]),0))</f>
        <v>Huidige toepassing</v>
      </c>
      <c r="F1146" s="33" t="s">
        <v>813</v>
      </c>
      <c r="G1146" s="33" t="str">
        <f>CONCATENATE(uitkomst_doelgroep[[#This Row],[Digitale zorgtoepassing]],"_",uitkomst_doelgroep[[#This Row],[Doelgroep]],"_",uitkomst_doelgroep[[#This Row],[Uitgangssituatie/effect beleid]])</f>
        <v>Point-of-care (POC) testing_Huisartscontacten met labaratoriumonderzoek_Uitgangssituatie</v>
      </c>
      <c r="H1146" s="33">
        <v>2031</v>
      </c>
      <c r="I1146" s="32">
        <v>9</v>
      </c>
      <c r="J1146" s="406" cm="1">
        <f t="array" ref="J1146">INDEX(implementatie[[2023]:[2034]],MATCH(G1146, implementatie[Zoeksleutel],0),I1146)</f>
        <v>0.97047650257314066</v>
      </c>
      <c r="K1146" s="406" cm="1">
        <f t="array" ref="K1146">INDEX(implementatie[[2023]:[2034]],MATCH(G1146,implementatie[Zoeksleutel],0),I1146 + 1)</f>
        <v>0.98252771673229611</v>
      </c>
      <c r="L114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76749.357824794773</v>
      </c>
      <c r="M1146" s="398" cm="1">
        <f t="array" ref="M1146">J1146*INDEX(Berekening_impact[Totaal arbeidsbesparing (€/jaar)],MATCH(B1146,IF(Berekening_impact[Doelgroep]=C1146,Berekening_impact[Digitale zorgtoepassing]),0))</f>
        <v>4712053.5966850743</v>
      </c>
      <c r="N1146" s="397" cm="1">
        <f t="array" ref="N1146">J1146*INDEX(Berekening_impact[Totaal arbeidsbesparing (FTE/jaar)],MATCH(B1146,IF(Berekening_impact[Doelgroep]=C1146,Berekening_impact[Digitale zorgtoepassing]),0))</f>
        <v>86.06486973848989</v>
      </c>
      <c r="O1146" s="398" cm="1">
        <f t="array" ref="O1146">J1146*INDEX(Berekening_impact[Overige kostenbesparing (totaal/jaar totaal potentieel)],MATCH(B1146,IF(Berekening_impact[Doelgroep]=C1146,Berekening_impact[Digitale zorgtoepassing]),0))</f>
        <v>6032856.4987861942</v>
      </c>
      <c r="P1146" s="398" cm="1">
        <f t="array" ref="P1146">J1146*INDEX(Berekening_impact[Opbrengsten door QALY''s],MATCH(B1146,IF(Berekening_impact[Doelgroep]=C1146,Berekening_impact[Digitale zorgtoepassing]),0))</f>
        <v>0</v>
      </c>
      <c r="Q1146" s="398" cm="1">
        <f t="array" ref="Q1146">J1146*INDEX(Berekening_impact[Jaarlijkse kosten (totaal) - incl. schatting],MATCH(B1146,IF(Berekening_impact[Doelgroep]=C1146,Berekening_impact[Digitale zorgtoepassing]),0))</f>
        <v>2358763.5971486927</v>
      </c>
      <c r="R1146" s="398" cm="1">
        <f t="array" ref="R1146">(uitkomst_doelgroep[[#This Row],[Implementatiegraad t = T + 1]]-uitkomst_doelgroep[[#This Row],[Implementatiegraad t = T]])*INDEX(Berekening_impact[Initiële investering (totaal) - incl. schatting],MATCH(B1146,IF(Berekening_impact[Doelgroep]=C1146,Berekening_impact[Digitale zorgtoepassing]),0))</f>
        <v>0</v>
      </c>
      <c r="S1146" s="398">
        <f>uitkomst_doelgroep[[#This Row],[Arbeidsbesparing (€)]]*uitkomst_doelgroep[[#This Row],[Percentage van patiëntaantallen in Wlz (overige is Zvw)]]</f>
        <v>0</v>
      </c>
      <c r="T1146" s="398">
        <f>uitkomst_doelgroep[[#This Row],[Overige besparingen (€)]]*uitkomst_doelgroep[[#This Row],[Percentage van patiëntaantallen in Wlz (overige is Zvw)]]</f>
        <v>0</v>
      </c>
      <c r="U1146" s="398">
        <f>uitkomst_doelgroep[[#This Row],[Kosten (€)]]*uitkomst_doelgroep[[#This Row],[Percentage van patiëntaantallen in Wlz (overige is Zvw)]]</f>
        <v>0</v>
      </c>
      <c r="V1146" s="398">
        <f>uitkomst_doelgroep[[#This Row],[Investering (cash flow) (€)]]*uitkomst_doelgroep[[#This Row],[Percentage van patiëntaantallen in Wlz (overige is Zvw)]]</f>
        <v>0</v>
      </c>
    </row>
    <row r="1147" spans="1:22" x14ac:dyDescent="0.5">
      <c r="A1147" s="33" t="str">
        <f>INDEX(Technologieën[Veld],MATCH(B1147,Technologieën[Digitale zorgtoepassing],0))</f>
        <v>Digitale hulpmiddelen - Diagnose</v>
      </c>
      <c r="B1147" s="33" t="s">
        <v>82</v>
      </c>
      <c r="C1147" s="33" t="s">
        <v>702</v>
      </c>
      <c r="D1147" s="427" cm="1">
        <f t="array" ref="D1147">INDEX(Berekening_patiëntaantal[Percentage van patiëntaantallen in Wlz (overige is Zvw)],MATCH(B1147,IF(Berekening_patiëntaantal[Doelgroep (zoeksleutel)]=C1147,Berekening_patiëntaantal[Digitale zorgtoepassing]),0))</f>
        <v>0</v>
      </c>
      <c r="E1147" s="33" t="str" cm="1">
        <f t="array" ref="E1147">INDEX(Berekening_patiëntaantal[Direct toepasbaar/extrapolatie/incidentie voor QALY],MATCH(B1147,IF(Berekening_patiëntaantal[Doelgroep (zoeksleutel)]=C1147,Berekening_patiëntaantal[Digitale zorgtoepassing]),0))</f>
        <v>Huidige toepassing</v>
      </c>
      <c r="F1147" s="33" t="s">
        <v>813</v>
      </c>
      <c r="G1147" s="33" t="str">
        <f>CONCATENATE(uitkomst_doelgroep[[#This Row],[Digitale zorgtoepassing]],"_",uitkomst_doelgroep[[#This Row],[Doelgroep]],"_",uitkomst_doelgroep[[#This Row],[Uitgangssituatie/effect beleid]])</f>
        <v>Point-of-care (POC) testing_Huisartscontacten met labaratoriumonderzoek_Uitgangssituatie</v>
      </c>
      <c r="H1147" s="33">
        <v>2032</v>
      </c>
      <c r="I1147" s="32">
        <v>10</v>
      </c>
      <c r="J1147" s="406" cm="1">
        <f t="array" ref="J1147">INDEX(implementatie[[2023]:[2034]],MATCH(G1147, implementatie[Zoeksleutel],0),I1147)</f>
        <v>0.98252771673229611</v>
      </c>
      <c r="K1147" s="406" cm="1">
        <f t="array" ref="K1147">INDEX(implementatie[[2023]:[2034]],MATCH(G1147,implementatie[Zoeksleutel],0),I1147 + 1)</f>
        <v>0.98974396343169702</v>
      </c>
      <c r="L114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77702.418455600244</v>
      </c>
      <c r="M1147" s="398" cm="1">
        <f t="array" ref="M1147">J1147*INDEX(Berekening_impact[Totaal arbeidsbesparing (€/jaar)],MATCH(B1147,IF(Berekening_impact[Doelgroep]=C1147,Berekening_impact[Digitale zorgtoepassing]),0))</f>
        <v>4770567.0865763873</v>
      </c>
      <c r="N1147" s="397" cm="1">
        <f t="array" ref="N1147">J1147*INDEX(Berekening_impact[Totaal arbeidsbesparing (FTE/jaar)],MATCH(B1147,IF(Berekening_impact[Doelgroep]=C1147,Berekening_impact[Digitale zorgtoepassing]),0))</f>
        <v>87.133608831140094</v>
      </c>
      <c r="O1147" s="398" cm="1">
        <f t="array" ref="O1147">J1147*INDEX(Berekening_impact[Overige kostenbesparing (totaal/jaar totaal potentieel)],MATCH(B1147,IF(Berekening_impact[Doelgroep]=C1147,Berekening_impact[Digitale zorgtoepassing]),0))</f>
        <v>6107771.4972076481</v>
      </c>
      <c r="P1147" s="398" cm="1">
        <f t="array" ref="P1147">J1147*INDEX(Berekening_impact[Opbrengsten door QALY''s],MATCH(B1147,IF(Berekening_impact[Doelgroep]=C1147,Berekening_impact[Digitale zorgtoepassing]),0))</f>
        <v>0</v>
      </c>
      <c r="Q1147" s="398" cm="1">
        <f t="array" ref="Q1147">J1147*INDEX(Berekening_impact[Jaarlijkse kosten (totaal) - incl. schatting],MATCH(B1147,IF(Berekening_impact[Doelgroep]=C1147,Berekening_impact[Digitale zorgtoepassing]),0))</f>
        <v>2388054.3272021143</v>
      </c>
      <c r="R1147" s="398" cm="1">
        <f t="array" ref="R1147">(uitkomst_doelgroep[[#This Row],[Implementatiegraad t = T + 1]]-uitkomst_doelgroep[[#This Row],[Implementatiegraad t = T]])*INDEX(Berekening_impact[Initiële investering (totaal) - incl. schatting],MATCH(B1147,IF(Berekening_impact[Doelgroep]=C1147,Berekening_impact[Digitale zorgtoepassing]),0))</f>
        <v>0</v>
      </c>
      <c r="S1147" s="398">
        <f>uitkomst_doelgroep[[#This Row],[Arbeidsbesparing (€)]]*uitkomst_doelgroep[[#This Row],[Percentage van patiëntaantallen in Wlz (overige is Zvw)]]</f>
        <v>0</v>
      </c>
      <c r="T1147" s="398">
        <f>uitkomst_doelgroep[[#This Row],[Overige besparingen (€)]]*uitkomst_doelgroep[[#This Row],[Percentage van patiëntaantallen in Wlz (overige is Zvw)]]</f>
        <v>0</v>
      </c>
      <c r="U1147" s="398">
        <f>uitkomst_doelgroep[[#This Row],[Kosten (€)]]*uitkomst_doelgroep[[#This Row],[Percentage van patiëntaantallen in Wlz (overige is Zvw)]]</f>
        <v>0</v>
      </c>
      <c r="V1147" s="398">
        <f>uitkomst_doelgroep[[#This Row],[Investering (cash flow) (€)]]*uitkomst_doelgroep[[#This Row],[Percentage van patiëntaantallen in Wlz (overige is Zvw)]]</f>
        <v>0</v>
      </c>
    </row>
    <row r="1148" spans="1:22" x14ac:dyDescent="0.5">
      <c r="A1148" s="33" t="str">
        <f>INDEX(Technologieën[Veld],MATCH(B1148,Technologieën[Digitale zorgtoepassing],0))</f>
        <v>Digitale hulpmiddelen - Diagnose</v>
      </c>
      <c r="B1148" s="33" t="s">
        <v>82</v>
      </c>
      <c r="C1148" s="33" t="s">
        <v>702</v>
      </c>
      <c r="D1148" s="427" cm="1">
        <f t="array" ref="D1148">INDEX(Berekening_patiëntaantal[Percentage van patiëntaantallen in Wlz (overige is Zvw)],MATCH(B1148,IF(Berekening_patiëntaantal[Doelgroep (zoeksleutel)]=C1148,Berekening_patiëntaantal[Digitale zorgtoepassing]),0))</f>
        <v>0</v>
      </c>
      <c r="E1148" s="33" t="str" cm="1">
        <f t="array" ref="E1148">INDEX(Berekening_patiëntaantal[Direct toepasbaar/extrapolatie/incidentie voor QALY],MATCH(B1148,IF(Berekening_patiëntaantal[Doelgroep (zoeksleutel)]=C1148,Berekening_patiëntaantal[Digitale zorgtoepassing]),0))</f>
        <v>Huidige toepassing</v>
      </c>
      <c r="F1148" s="33" t="s">
        <v>813</v>
      </c>
      <c r="G1148" s="33" t="str">
        <f>CONCATENATE(uitkomst_doelgroep[[#This Row],[Digitale zorgtoepassing]],"_",uitkomst_doelgroep[[#This Row],[Doelgroep]],"_",uitkomst_doelgroep[[#This Row],[Uitgangssituatie/effect beleid]])</f>
        <v>Point-of-care (POC) testing_Huisartscontacten met labaratoriumonderzoek_Uitgangssituatie</v>
      </c>
      <c r="H1148" s="33">
        <v>2033</v>
      </c>
      <c r="I1148" s="32">
        <v>11</v>
      </c>
      <c r="J1148" s="406" cm="1">
        <f t="array" ref="J1148">INDEX(implementatie[[2023]:[2034]],MATCH(G1148, implementatie[Zoeksleutel],0),I1148)</f>
        <v>0.98974396343169702</v>
      </c>
      <c r="K1148" s="406" cm="1">
        <f t="array" ref="K1148">INDEX(implementatie[[2023]:[2034]],MATCH(G1148,implementatie[Zoeksleutel],0),I1148 + 1)</f>
        <v>0.99400942427594807</v>
      </c>
      <c r="L114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78273.109552825015</v>
      </c>
      <c r="M1148" s="398" cm="1">
        <f t="array" ref="M1148">J1148*INDEX(Berekening_impact[Totaal arbeidsbesparing (€/jaar)],MATCH(B1148,IF(Berekening_impact[Doelgroep]=C1148,Berekening_impact[Digitale zorgtoepassing]),0))</f>
        <v>4805604.8655687915</v>
      </c>
      <c r="N1148" s="397" cm="1">
        <f t="array" ref="N1148">J1148*INDEX(Berekening_impact[Totaal arbeidsbesparing (FTE/jaar)],MATCH(B1148,IF(Berekening_impact[Doelgroep]=C1148,Berekening_impact[Digitale zorgtoepassing]),0))</f>
        <v>87.773567996084367</v>
      </c>
      <c r="O1148" s="398" cm="1">
        <f t="array" ref="O1148">J1148*INDEX(Berekening_impact[Overige kostenbesparing (totaal/jaar totaal potentieel)],MATCH(B1148,IF(Berekening_impact[Doelgroep]=C1148,Berekening_impact[Digitale zorgtoepassing]),0))</f>
        <v>6152630.4718267107</v>
      </c>
      <c r="P1148" s="398" cm="1">
        <f t="array" ref="P1148">J1148*INDEX(Berekening_impact[Opbrengsten door QALY''s],MATCH(B1148,IF(Berekening_impact[Doelgroep]=C1148,Berekening_impact[Digitale zorgtoepassing]),0))</f>
        <v>0</v>
      </c>
      <c r="Q1148" s="398" cm="1">
        <f t="array" ref="Q1148">J1148*INDEX(Berekening_impact[Jaarlijkse kosten (totaal) - incl. schatting],MATCH(B1148,IF(Berekening_impact[Doelgroep]=C1148,Berekening_impact[Digitale zorgtoepassing]),0))</f>
        <v>2405593.5669234889</v>
      </c>
      <c r="R1148" s="398" cm="1">
        <f t="array" ref="R1148">(uitkomst_doelgroep[[#This Row],[Implementatiegraad t = T + 1]]-uitkomst_doelgroep[[#This Row],[Implementatiegraad t = T]])*INDEX(Berekening_impact[Initiële investering (totaal) - incl. schatting],MATCH(B1148,IF(Berekening_impact[Doelgroep]=C1148,Berekening_impact[Digitale zorgtoepassing]),0))</f>
        <v>0</v>
      </c>
      <c r="S1148" s="398">
        <f>uitkomst_doelgroep[[#This Row],[Arbeidsbesparing (€)]]*uitkomst_doelgroep[[#This Row],[Percentage van patiëntaantallen in Wlz (overige is Zvw)]]</f>
        <v>0</v>
      </c>
      <c r="T1148" s="398">
        <f>uitkomst_doelgroep[[#This Row],[Overige besparingen (€)]]*uitkomst_doelgroep[[#This Row],[Percentage van patiëntaantallen in Wlz (overige is Zvw)]]</f>
        <v>0</v>
      </c>
      <c r="U1148" s="398">
        <f>uitkomst_doelgroep[[#This Row],[Kosten (€)]]*uitkomst_doelgroep[[#This Row],[Percentage van patiëntaantallen in Wlz (overige is Zvw)]]</f>
        <v>0</v>
      </c>
      <c r="V1148" s="398">
        <f>uitkomst_doelgroep[[#This Row],[Investering (cash flow) (€)]]*uitkomst_doelgroep[[#This Row],[Percentage van patiëntaantallen in Wlz (overige is Zvw)]]</f>
        <v>0</v>
      </c>
    </row>
    <row r="1149" spans="1:22" x14ac:dyDescent="0.5">
      <c r="A1149" s="33" t="str">
        <f>INDEX(Technologieën[Veld],MATCH(B1149,Technologieën[Digitale zorgtoepassing],0))</f>
        <v>Software - Behandeling</v>
      </c>
      <c r="B1149" s="33" t="s">
        <v>609</v>
      </c>
      <c r="C1149" s="33" t="s">
        <v>270</v>
      </c>
      <c r="D1149" s="427" cm="1">
        <f t="array" ref="D1149">INDEX(Berekening_patiëntaantal[Percentage van patiëntaantallen in Wlz (overige is Zvw)],MATCH(B1149,IF(Berekening_patiëntaantal[Doelgroep (zoeksleutel)]=C1149,Berekening_patiëntaantal[Digitale zorgtoepassing]),0))</f>
        <v>0</v>
      </c>
      <c r="E1149" s="33" t="str" cm="1">
        <f t="array" ref="E1149">INDEX(Berekening_patiëntaantal[Direct toepasbaar/extrapolatie/incidentie voor QALY],MATCH(B1149,IF(Berekening_patiëntaantal[Doelgroep (zoeksleutel)]=C1149,Berekening_patiëntaantal[Digitale zorgtoepassing]),0))</f>
        <v>Huidige toepassing</v>
      </c>
      <c r="F1149" s="33" t="s">
        <v>813</v>
      </c>
      <c r="G1149" s="33" t="str">
        <f>CONCATENATE(uitkomst_doelgroep[[#This Row],[Digitale zorgtoepassing]],"_",uitkomst_doelgroep[[#This Row],[Doelgroep]],"_",uitkomst_doelgroep[[#This Row],[Uitgangssituatie/effect beleid]])</f>
        <v>(Zelf)zorgplatform + telebegeleiding_Astma_kinderen_Uitgangssituatie</v>
      </c>
      <c r="H1149" s="33">
        <v>2023</v>
      </c>
      <c r="I1149" s="32">
        <v>1</v>
      </c>
      <c r="J1149" s="406" cm="1">
        <f t="array" ref="J1149">INDEX(implementatie[[2023]:[2034]],MATCH(G1149, implementatie[Zoeksleutel],0),I1149)</f>
        <v>0.2</v>
      </c>
      <c r="K1149" s="406" cm="1">
        <f t="array" ref="K1149">INDEX(implementatie[[2023]:[2034]],MATCH(G1149,implementatie[Zoeksleutel],0),I1149 + 1)</f>
        <v>0.29200000000000004</v>
      </c>
      <c r="L114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6206.4000000000005</v>
      </c>
      <c r="M1149" s="398" cm="1">
        <f t="array" ref="M1149">J1149*INDEX(Berekening_impact[Totaal arbeidsbesparing (€/jaar)],MATCH(B1149,IF(Berekening_impact[Doelgroep]=C1149,Berekening_impact[Digitale zorgtoepassing]),0))</f>
        <v>559842.10560000024</v>
      </c>
      <c r="N1149" s="397" cm="1">
        <f t="array" ref="N1149">J1149*INDEX(Berekening_impact[Totaal arbeidsbesparing (FTE/jaar)],MATCH(B1149,IF(Berekening_impact[Doelgroep]=C1149,Berekening_impact[Digitale zorgtoepassing]),0))</f>
        <v>2.9511050586754517</v>
      </c>
      <c r="O1149" s="398" cm="1">
        <f t="array" ref="O1149">J1149*INDEX(Berekening_impact[Overige kostenbesparing (totaal/jaar totaal potentieel)],MATCH(B1149,IF(Berekening_impact[Doelgroep]=C1149,Berekening_impact[Digitale zorgtoepassing]),0))</f>
        <v>373228.07040000008</v>
      </c>
      <c r="P1149" s="398" cm="1">
        <f t="array" ref="P1149">J1149*INDEX(Berekening_impact[Opbrengsten door QALY''s],MATCH(B1149,IF(Berekening_impact[Doelgroep]=C1149,Berekening_impact[Digitale zorgtoepassing]),0))</f>
        <v>0</v>
      </c>
      <c r="Q1149" s="398" cm="1">
        <f t="array" ref="Q1149">J1149*INDEX(Berekening_impact[Jaarlijkse kosten (totaal) - incl. schatting],MATCH(B1149,IF(Berekening_impact[Doelgroep]=C1149,Berekening_impact[Digitale zorgtoepassing]),0))</f>
        <v>0</v>
      </c>
      <c r="R1149" s="398" cm="1">
        <f t="array" ref="R1149">(uitkomst_doelgroep[[#This Row],[Implementatiegraad t = T + 1]]-uitkomst_doelgroep[[#This Row],[Implementatiegraad t = T]])*INDEX(Berekening_impact[Initiële investering (totaal) - incl. schatting],MATCH(B1149,IF(Berekening_impact[Doelgroep]=C1149,Berekening_impact[Digitale zorgtoepassing]),0))</f>
        <v>0</v>
      </c>
      <c r="S1149" s="398">
        <f>uitkomst_doelgroep[[#This Row],[Arbeidsbesparing (€)]]*uitkomst_doelgroep[[#This Row],[Percentage van patiëntaantallen in Wlz (overige is Zvw)]]</f>
        <v>0</v>
      </c>
      <c r="T1149" s="398">
        <f>uitkomst_doelgroep[[#This Row],[Overige besparingen (€)]]*uitkomst_doelgroep[[#This Row],[Percentage van patiëntaantallen in Wlz (overige is Zvw)]]</f>
        <v>0</v>
      </c>
      <c r="U1149" s="398">
        <f>uitkomst_doelgroep[[#This Row],[Kosten (€)]]*uitkomst_doelgroep[[#This Row],[Percentage van patiëntaantallen in Wlz (overige is Zvw)]]</f>
        <v>0</v>
      </c>
      <c r="V1149" s="398">
        <f>uitkomst_doelgroep[[#This Row],[Investering (cash flow) (€)]]*uitkomst_doelgroep[[#This Row],[Percentage van patiëntaantallen in Wlz (overige is Zvw)]]</f>
        <v>0</v>
      </c>
    </row>
    <row r="1150" spans="1:22" x14ac:dyDescent="0.5">
      <c r="A1150" s="33" t="str">
        <f>INDEX(Technologieën[Veld],MATCH(B1150,Technologieën[Digitale zorgtoepassing],0))</f>
        <v>Software - Behandeling</v>
      </c>
      <c r="B1150" s="33" t="s">
        <v>609</v>
      </c>
      <c r="C1150" s="33" t="s">
        <v>270</v>
      </c>
      <c r="D1150" s="427" cm="1">
        <f t="array" ref="D1150">INDEX(Berekening_patiëntaantal[Percentage van patiëntaantallen in Wlz (overige is Zvw)],MATCH(B1150,IF(Berekening_patiëntaantal[Doelgroep (zoeksleutel)]=C1150,Berekening_patiëntaantal[Digitale zorgtoepassing]),0))</f>
        <v>0</v>
      </c>
      <c r="E1150" s="33" t="str" cm="1">
        <f t="array" ref="E1150">INDEX(Berekening_patiëntaantal[Direct toepasbaar/extrapolatie/incidentie voor QALY],MATCH(B1150,IF(Berekening_patiëntaantal[Doelgroep (zoeksleutel)]=C1150,Berekening_patiëntaantal[Digitale zorgtoepassing]),0))</f>
        <v>Huidige toepassing</v>
      </c>
      <c r="F1150" s="33" t="s">
        <v>813</v>
      </c>
      <c r="G1150" s="33" t="str">
        <f>CONCATENATE(uitkomst_doelgroep[[#This Row],[Digitale zorgtoepassing]],"_",uitkomst_doelgroep[[#This Row],[Doelgroep]],"_",uitkomst_doelgroep[[#This Row],[Uitgangssituatie/effect beleid]])</f>
        <v>(Zelf)zorgplatform + telebegeleiding_Astma_kinderen_Uitgangssituatie</v>
      </c>
      <c r="H1150" s="33">
        <v>2024</v>
      </c>
      <c r="I1150" s="32">
        <v>2</v>
      </c>
      <c r="J1150" s="406" cm="1">
        <f t="array" ref="J1150">INDEX(implementatie[[2023]:[2034]],MATCH(G1150, implementatie[Zoeksleutel],0),I1150)</f>
        <v>0.29200000000000004</v>
      </c>
      <c r="K1150" s="406" cm="1">
        <f t="array" ref="K1150">INDEX(implementatie[[2023]:[2034]],MATCH(G1150,implementatie[Zoeksleutel],0),I1150 + 1)</f>
        <v>0.40273120000000007</v>
      </c>
      <c r="L115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9061.344000000001</v>
      </c>
      <c r="M1150" s="398" cm="1">
        <f t="array" ref="M1150">J1150*INDEX(Berekening_impact[Totaal arbeidsbesparing (€/jaar)],MATCH(B1150,IF(Berekening_impact[Doelgroep]=C1150,Berekening_impact[Digitale zorgtoepassing]),0))</f>
        <v>817369.47417600045</v>
      </c>
      <c r="N1150" s="397" cm="1">
        <f t="array" ref="N1150">J1150*INDEX(Berekening_impact[Totaal arbeidsbesparing (FTE/jaar)],MATCH(B1150,IF(Berekening_impact[Doelgroep]=C1150,Berekening_impact[Digitale zorgtoepassing]),0))</f>
        <v>4.3086133856661597</v>
      </c>
      <c r="O1150" s="398" cm="1">
        <f t="array" ref="O1150">J1150*INDEX(Berekening_impact[Overige kostenbesparing (totaal/jaar totaal potentieel)],MATCH(B1150,IF(Berekening_impact[Doelgroep]=C1150,Berekening_impact[Digitale zorgtoepassing]),0))</f>
        <v>544912.98278400023</v>
      </c>
      <c r="P1150" s="398" cm="1">
        <f t="array" ref="P1150">J1150*INDEX(Berekening_impact[Opbrengsten door QALY''s],MATCH(B1150,IF(Berekening_impact[Doelgroep]=C1150,Berekening_impact[Digitale zorgtoepassing]),0))</f>
        <v>0</v>
      </c>
      <c r="Q1150" s="398" cm="1">
        <f t="array" ref="Q1150">J1150*INDEX(Berekening_impact[Jaarlijkse kosten (totaal) - incl. schatting],MATCH(B1150,IF(Berekening_impact[Doelgroep]=C1150,Berekening_impact[Digitale zorgtoepassing]),0))</f>
        <v>0</v>
      </c>
      <c r="R1150" s="398" cm="1">
        <f t="array" ref="R1150">(uitkomst_doelgroep[[#This Row],[Implementatiegraad t = T + 1]]-uitkomst_doelgroep[[#This Row],[Implementatiegraad t = T]])*INDEX(Berekening_impact[Initiële investering (totaal) - incl. schatting],MATCH(B1150,IF(Berekening_impact[Doelgroep]=C1150,Berekening_impact[Digitale zorgtoepassing]),0))</f>
        <v>0</v>
      </c>
      <c r="S1150" s="398">
        <f>uitkomst_doelgroep[[#This Row],[Arbeidsbesparing (€)]]*uitkomst_doelgroep[[#This Row],[Percentage van patiëntaantallen in Wlz (overige is Zvw)]]</f>
        <v>0</v>
      </c>
      <c r="T1150" s="398">
        <f>uitkomst_doelgroep[[#This Row],[Overige besparingen (€)]]*uitkomst_doelgroep[[#This Row],[Percentage van patiëntaantallen in Wlz (overige is Zvw)]]</f>
        <v>0</v>
      </c>
      <c r="U1150" s="398">
        <f>uitkomst_doelgroep[[#This Row],[Kosten (€)]]*uitkomst_doelgroep[[#This Row],[Percentage van patiëntaantallen in Wlz (overige is Zvw)]]</f>
        <v>0</v>
      </c>
      <c r="V1150" s="398">
        <f>uitkomst_doelgroep[[#This Row],[Investering (cash flow) (€)]]*uitkomst_doelgroep[[#This Row],[Percentage van patiëntaantallen in Wlz (overige is Zvw)]]</f>
        <v>0</v>
      </c>
    </row>
    <row r="1151" spans="1:22" x14ac:dyDescent="0.5">
      <c r="A1151" s="33" t="str">
        <f>INDEX(Technologieën[Veld],MATCH(B1151,Technologieën[Digitale zorgtoepassing],0))</f>
        <v>Software - Behandeling</v>
      </c>
      <c r="B1151" s="33" t="s">
        <v>609</v>
      </c>
      <c r="C1151" s="33" t="s">
        <v>270</v>
      </c>
      <c r="D1151" s="427" cm="1">
        <f t="array" ref="D1151">INDEX(Berekening_patiëntaantal[Percentage van patiëntaantallen in Wlz (overige is Zvw)],MATCH(B1151,IF(Berekening_patiëntaantal[Doelgroep (zoeksleutel)]=C1151,Berekening_patiëntaantal[Digitale zorgtoepassing]),0))</f>
        <v>0</v>
      </c>
      <c r="E1151" s="33" t="str" cm="1">
        <f t="array" ref="E1151">INDEX(Berekening_patiëntaantal[Direct toepasbaar/extrapolatie/incidentie voor QALY],MATCH(B1151,IF(Berekening_patiëntaantal[Doelgroep (zoeksleutel)]=C1151,Berekening_patiëntaantal[Digitale zorgtoepassing]),0))</f>
        <v>Huidige toepassing</v>
      </c>
      <c r="F1151" s="33" t="s">
        <v>813</v>
      </c>
      <c r="G1151" s="33" t="str">
        <f>CONCATENATE(uitkomst_doelgroep[[#This Row],[Digitale zorgtoepassing]],"_",uitkomst_doelgroep[[#This Row],[Doelgroep]],"_",uitkomst_doelgroep[[#This Row],[Uitgangssituatie/effect beleid]])</f>
        <v>(Zelf)zorgplatform + telebegeleiding_Astma_kinderen_Uitgangssituatie</v>
      </c>
      <c r="H1151" s="33">
        <v>2025</v>
      </c>
      <c r="I1151" s="32">
        <v>3</v>
      </c>
      <c r="J1151" s="406" cm="1">
        <f t="array" ref="J1151">INDEX(implementatie[[2023]:[2034]],MATCH(G1151, implementatie[Zoeksleutel],0),I1151)</f>
        <v>0.40273120000000007</v>
      </c>
      <c r="K1151" s="406" cm="1">
        <f t="array" ref="K1151">INDEX(implementatie[[2023]:[2034]],MATCH(G1151,implementatie[Zoeksleutel],0),I1151 + 1)</f>
        <v>0.52590537124595205</v>
      </c>
      <c r="L115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12497.554598400002</v>
      </c>
      <c r="M1151" s="398" cm="1">
        <f t="array" ref="M1151">J1151*INDEX(Berekening_impact[Totaal arbeidsbesparing (€/jaar)],MATCH(B1151,IF(Berekening_impact[Doelgroep]=C1151,Berekening_impact[Digitale zorgtoepassing]),0))</f>
        <v>1127329.4149940743</v>
      </c>
      <c r="N1151" s="397" cm="1">
        <f t="array" ref="N1151">J1151*INDEX(Berekening_impact[Totaal arbeidsbesparing (FTE/jaar)],MATCH(B1151,IF(Berekening_impact[Doelgroep]=C1151,Berekening_impact[Digitale zorgtoepassing]),0))</f>
        <v>5.9425104080321756</v>
      </c>
      <c r="O1151" s="398" cm="1">
        <f t="array" ref="O1151">J1151*INDEX(Berekening_impact[Overige kostenbesparing (totaal/jaar totaal potentieel)],MATCH(B1151,IF(Berekening_impact[Doelgroep]=C1151,Berekening_impact[Digitale zorgtoepassing]),0))</f>
        <v>751552.94332938269</v>
      </c>
      <c r="P1151" s="398" cm="1">
        <f t="array" ref="P1151">J1151*INDEX(Berekening_impact[Opbrengsten door QALY''s],MATCH(B1151,IF(Berekening_impact[Doelgroep]=C1151,Berekening_impact[Digitale zorgtoepassing]),0))</f>
        <v>0</v>
      </c>
      <c r="Q1151" s="398" cm="1">
        <f t="array" ref="Q1151">J1151*INDEX(Berekening_impact[Jaarlijkse kosten (totaal) - incl. schatting],MATCH(B1151,IF(Berekening_impact[Doelgroep]=C1151,Berekening_impact[Digitale zorgtoepassing]),0))</f>
        <v>0</v>
      </c>
      <c r="R1151" s="398" cm="1">
        <f t="array" ref="R1151">(uitkomst_doelgroep[[#This Row],[Implementatiegraad t = T + 1]]-uitkomst_doelgroep[[#This Row],[Implementatiegraad t = T]])*INDEX(Berekening_impact[Initiële investering (totaal) - incl. schatting],MATCH(B1151,IF(Berekening_impact[Doelgroep]=C1151,Berekening_impact[Digitale zorgtoepassing]),0))</f>
        <v>0</v>
      </c>
      <c r="S1151" s="398">
        <f>uitkomst_doelgroep[[#This Row],[Arbeidsbesparing (€)]]*uitkomst_doelgroep[[#This Row],[Percentage van patiëntaantallen in Wlz (overige is Zvw)]]</f>
        <v>0</v>
      </c>
      <c r="T1151" s="398">
        <f>uitkomst_doelgroep[[#This Row],[Overige besparingen (€)]]*uitkomst_doelgroep[[#This Row],[Percentage van patiëntaantallen in Wlz (overige is Zvw)]]</f>
        <v>0</v>
      </c>
      <c r="U1151" s="398">
        <f>uitkomst_doelgroep[[#This Row],[Kosten (€)]]*uitkomst_doelgroep[[#This Row],[Percentage van patiëntaantallen in Wlz (overige is Zvw)]]</f>
        <v>0</v>
      </c>
      <c r="V1151" s="398">
        <f>uitkomst_doelgroep[[#This Row],[Investering (cash flow) (€)]]*uitkomst_doelgroep[[#This Row],[Percentage van patiëntaantallen in Wlz (overige is Zvw)]]</f>
        <v>0</v>
      </c>
    </row>
    <row r="1152" spans="1:22" x14ac:dyDescent="0.5">
      <c r="A1152" s="33" t="str">
        <f>INDEX(Technologieën[Veld],MATCH(B1152,Technologieën[Digitale zorgtoepassing],0))</f>
        <v>Software - Behandeling</v>
      </c>
      <c r="B1152" s="33" t="s">
        <v>609</v>
      </c>
      <c r="C1152" s="33" t="s">
        <v>270</v>
      </c>
      <c r="D1152" s="427" cm="1">
        <f t="array" ref="D1152">INDEX(Berekening_patiëntaantal[Percentage van patiëntaantallen in Wlz (overige is Zvw)],MATCH(B1152,IF(Berekening_patiëntaantal[Doelgroep (zoeksleutel)]=C1152,Berekening_patiëntaantal[Digitale zorgtoepassing]),0))</f>
        <v>0</v>
      </c>
      <c r="E1152" s="33" t="str" cm="1">
        <f t="array" ref="E1152">INDEX(Berekening_patiëntaantal[Direct toepasbaar/extrapolatie/incidentie voor QALY],MATCH(B1152,IF(Berekening_patiëntaantal[Doelgroep (zoeksleutel)]=C1152,Berekening_patiëntaantal[Digitale zorgtoepassing]),0))</f>
        <v>Huidige toepassing</v>
      </c>
      <c r="F1152" s="33" t="s">
        <v>813</v>
      </c>
      <c r="G1152" s="33" t="str">
        <f>CONCATENATE(uitkomst_doelgroep[[#This Row],[Digitale zorgtoepassing]],"_",uitkomst_doelgroep[[#This Row],[Doelgroep]],"_",uitkomst_doelgroep[[#This Row],[Uitgangssituatie/effect beleid]])</f>
        <v>(Zelf)zorgplatform + telebegeleiding_Astma_kinderen_Uitgangssituatie</v>
      </c>
      <c r="H1152" s="33">
        <v>2026</v>
      </c>
      <c r="I1152" s="32">
        <v>4</v>
      </c>
      <c r="J1152" s="406" cm="1">
        <f t="array" ref="J1152">INDEX(implementatie[[2023]:[2034]],MATCH(G1152, implementatie[Zoeksleutel],0),I1152)</f>
        <v>0.52590537124595205</v>
      </c>
      <c r="K1152" s="406" cm="1">
        <f t="array" ref="K1152">INDEX(implementatie[[2023]:[2034]],MATCH(G1152,implementatie[Zoeksleutel],0),I1152 + 1)</f>
        <v>0.64995574724807748</v>
      </c>
      <c r="L115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16319.895480504383</v>
      </c>
      <c r="M1152" s="398" cm="1">
        <f t="array" ref="M1152">J1152*INDEX(Berekening_impact[Totaal arbeidsbesparing (€/jaar)],MATCH(B1152,IF(Berekening_impact[Doelgroep]=C1152,Berekening_impact[Digitale zorgtoepassing]),0))</f>
        <v>1472119.8519234182</v>
      </c>
      <c r="N1152" s="397" cm="1">
        <f t="array" ref="N1152">J1152*INDEX(Berekening_impact[Totaal arbeidsbesparing (FTE/jaar)],MATCH(B1152,IF(Berekening_impact[Doelgroep]=C1152,Berekening_impact[Digitale zorgtoepassing]),0))</f>
        <v>7.7600100073426015</v>
      </c>
      <c r="O1152" s="398" cm="1">
        <f t="array" ref="O1152">J1152*INDEX(Berekening_impact[Overige kostenbesparing (totaal/jaar totaal potentieel)],MATCH(B1152,IF(Berekening_impact[Doelgroep]=C1152,Berekening_impact[Digitale zorgtoepassing]),0))</f>
        <v>981413.23461561184</v>
      </c>
      <c r="P1152" s="398" cm="1">
        <f t="array" ref="P1152">J1152*INDEX(Berekening_impact[Opbrengsten door QALY''s],MATCH(B1152,IF(Berekening_impact[Doelgroep]=C1152,Berekening_impact[Digitale zorgtoepassing]),0))</f>
        <v>0</v>
      </c>
      <c r="Q1152" s="398" cm="1">
        <f t="array" ref="Q1152">J1152*INDEX(Berekening_impact[Jaarlijkse kosten (totaal) - incl. schatting],MATCH(B1152,IF(Berekening_impact[Doelgroep]=C1152,Berekening_impact[Digitale zorgtoepassing]),0))</f>
        <v>0</v>
      </c>
      <c r="R1152" s="398" cm="1">
        <f t="array" ref="R1152">(uitkomst_doelgroep[[#This Row],[Implementatiegraad t = T + 1]]-uitkomst_doelgroep[[#This Row],[Implementatiegraad t = T]])*INDEX(Berekening_impact[Initiële investering (totaal) - incl. schatting],MATCH(B1152,IF(Berekening_impact[Doelgroep]=C1152,Berekening_impact[Digitale zorgtoepassing]),0))</f>
        <v>0</v>
      </c>
      <c r="S1152" s="398">
        <f>uitkomst_doelgroep[[#This Row],[Arbeidsbesparing (€)]]*uitkomst_doelgroep[[#This Row],[Percentage van patiëntaantallen in Wlz (overige is Zvw)]]</f>
        <v>0</v>
      </c>
      <c r="T1152" s="398">
        <f>uitkomst_doelgroep[[#This Row],[Overige besparingen (€)]]*uitkomst_doelgroep[[#This Row],[Percentage van patiëntaantallen in Wlz (overige is Zvw)]]</f>
        <v>0</v>
      </c>
      <c r="U1152" s="398">
        <f>uitkomst_doelgroep[[#This Row],[Kosten (€)]]*uitkomst_doelgroep[[#This Row],[Percentage van patiëntaantallen in Wlz (overige is Zvw)]]</f>
        <v>0</v>
      </c>
      <c r="V1152" s="398">
        <f>uitkomst_doelgroep[[#This Row],[Investering (cash flow) (€)]]*uitkomst_doelgroep[[#This Row],[Percentage van patiëntaantallen in Wlz (overige is Zvw)]]</f>
        <v>0</v>
      </c>
    </row>
    <row r="1153" spans="1:22" x14ac:dyDescent="0.5">
      <c r="A1153" s="33" t="str">
        <f>INDEX(Technologieën[Veld],MATCH(B1153,Technologieën[Digitale zorgtoepassing],0))</f>
        <v>Software - Behandeling</v>
      </c>
      <c r="B1153" s="33" t="s">
        <v>609</v>
      </c>
      <c r="C1153" s="33" t="s">
        <v>270</v>
      </c>
      <c r="D1153" s="427" cm="1">
        <f t="array" ref="D1153">INDEX(Berekening_patiëntaantal[Percentage van patiëntaantallen in Wlz (overige is Zvw)],MATCH(B1153,IF(Berekening_patiëntaantal[Doelgroep (zoeksleutel)]=C1153,Berekening_patiëntaantal[Digitale zorgtoepassing]),0))</f>
        <v>0</v>
      </c>
      <c r="E1153" s="33" t="str" cm="1">
        <f t="array" ref="E1153">INDEX(Berekening_patiëntaantal[Direct toepasbaar/extrapolatie/incidentie voor QALY],MATCH(B1153,IF(Berekening_patiëntaantal[Doelgroep (zoeksleutel)]=C1153,Berekening_patiëntaantal[Digitale zorgtoepassing]),0))</f>
        <v>Huidige toepassing</v>
      </c>
      <c r="F1153" s="33" t="s">
        <v>813</v>
      </c>
      <c r="G1153" s="33" t="str">
        <f>CONCATENATE(uitkomst_doelgroep[[#This Row],[Digitale zorgtoepassing]],"_",uitkomst_doelgroep[[#This Row],[Doelgroep]],"_",uitkomst_doelgroep[[#This Row],[Uitgangssituatie/effect beleid]])</f>
        <v>(Zelf)zorgplatform + telebegeleiding_Astma_kinderen_Uitgangssituatie</v>
      </c>
      <c r="H1153" s="33">
        <v>2027</v>
      </c>
      <c r="I1153" s="32">
        <v>5</v>
      </c>
      <c r="J1153" s="406" cm="1">
        <f t="array" ref="J1153">INDEX(implementatie[[2023]:[2034]],MATCH(G1153, implementatie[Zoeksleutel],0),I1153)</f>
        <v>0.64995574724807748</v>
      </c>
      <c r="K1153" s="406" cm="1">
        <f t="array" ref="K1153">INDEX(implementatie[[2023]:[2034]],MATCH(G1153,implementatie[Zoeksleutel],0),I1153 + 1)</f>
        <v>0.76108782680714737</v>
      </c>
      <c r="L115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20169.426748602342</v>
      </c>
      <c r="M1153" s="398" cm="1">
        <f t="array" ref="M1153">J1153*INDEX(Berekening_impact[Totaal arbeidsbesparing (€/jaar)],MATCH(B1153,IF(Berekening_impact[Doelgroep]=C1153,Berekening_impact[Digitale zorgtoepassing]),0))</f>
        <v>1819362.9704309264</v>
      </c>
      <c r="N1153" s="397" cm="1">
        <f t="array" ref="N1153">J1153*INDEX(Berekening_impact[Totaal arbeidsbesparing (FTE/jaar)],MATCH(B1153,IF(Berekening_impact[Doelgroep]=C1153,Berekening_impact[Digitale zorgtoepassing]),0))</f>
        <v>9.5904384680949235</v>
      </c>
      <c r="O1153" s="398" cm="1">
        <f t="array" ref="O1153">J1153*INDEX(Berekening_impact[Overige kostenbesparing (totaal/jaar totaal potentieel)],MATCH(B1153,IF(Berekening_impact[Doelgroep]=C1153,Berekening_impact[Digitale zorgtoepassing]),0))</f>
        <v>1212908.6469539506</v>
      </c>
      <c r="P1153" s="398" cm="1">
        <f t="array" ref="P1153">J1153*INDEX(Berekening_impact[Opbrengsten door QALY''s],MATCH(B1153,IF(Berekening_impact[Doelgroep]=C1153,Berekening_impact[Digitale zorgtoepassing]),0))</f>
        <v>0</v>
      </c>
      <c r="Q1153" s="398" cm="1">
        <f t="array" ref="Q1153">J1153*INDEX(Berekening_impact[Jaarlijkse kosten (totaal) - incl. schatting],MATCH(B1153,IF(Berekening_impact[Doelgroep]=C1153,Berekening_impact[Digitale zorgtoepassing]),0))</f>
        <v>0</v>
      </c>
      <c r="R1153" s="398" cm="1">
        <f t="array" ref="R1153">(uitkomst_doelgroep[[#This Row],[Implementatiegraad t = T + 1]]-uitkomst_doelgroep[[#This Row],[Implementatiegraad t = T]])*INDEX(Berekening_impact[Initiële investering (totaal) - incl. schatting],MATCH(B1153,IF(Berekening_impact[Doelgroep]=C1153,Berekening_impact[Digitale zorgtoepassing]),0))</f>
        <v>0</v>
      </c>
      <c r="S1153" s="398">
        <f>uitkomst_doelgroep[[#This Row],[Arbeidsbesparing (€)]]*uitkomst_doelgroep[[#This Row],[Percentage van patiëntaantallen in Wlz (overige is Zvw)]]</f>
        <v>0</v>
      </c>
      <c r="T1153" s="398">
        <f>uitkomst_doelgroep[[#This Row],[Overige besparingen (€)]]*uitkomst_doelgroep[[#This Row],[Percentage van patiëntaantallen in Wlz (overige is Zvw)]]</f>
        <v>0</v>
      </c>
      <c r="U1153" s="398">
        <f>uitkomst_doelgroep[[#This Row],[Kosten (€)]]*uitkomst_doelgroep[[#This Row],[Percentage van patiëntaantallen in Wlz (overige is Zvw)]]</f>
        <v>0</v>
      </c>
      <c r="V1153" s="398">
        <f>uitkomst_doelgroep[[#This Row],[Investering (cash flow) (€)]]*uitkomst_doelgroep[[#This Row],[Percentage van patiëntaantallen in Wlz (overige is Zvw)]]</f>
        <v>0</v>
      </c>
    </row>
    <row r="1154" spans="1:22" x14ac:dyDescent="0.5">
      <c r="A1154" s="33" t="str">
        <f>INDEX(Technologieën[Veld],MATCH(B1154,Technologieën[Digitale zorgtoepassing],0))</f>
        <v>Software - Behandeling</v>
      </c>
      <c r="B1154" s="33" t="s">
        <v>609</v>
      </c>
      <c r="C1154" s="33" t="s">
        <v>270</v>
      </c>
      <c r="D1154" s="427" cm="1">
        <f t="array" ref="D1154">INDEX(Berekening_patiëntaantal[Percentage van patiëntaantallen in Wlz (overige is Zvw)],MATCH(B1154,IF(Berekening_patiëntaantal[Doelgroep (zoeksleutel)]=C1154,Berekening_patiëntaantal[Digitale zorgtoepassing]),0))</f>
        <v>0</v>
      </c>
      <c r="E1154" s="33" t="str" cm="1">
        <f t="array" ref="E1154">INDEX(Berekening_patiëntaantal[Direct toepasbaar/extrapolatie/incidentie voor QALY],MATCH(B1154,IF(Berekening_patiëntaantal[Doelgroep (zoeksleutel)]=C1154,Berekening_patiëntaantal[Digitale zorgtoepassing]),0))</f>
        <v>Huidige toepassing</v>
      </c>
      <c r="F1154" s="33" t="s">
        <v>813</v>
      </c>
      <c r="G1154" s="33" t="str">
        <f>CONCATENATE(uitkomst_doelgroep[[#This Row],[Digitale zorgtoepassing]],"_",uitkomst_doelgroep[[#This Row],[Doelgroep]],"_",uitkomst_doelgroep[[#This Row],[Uitgangssituatie/effect beleid]])</f>
        <v>(Zelf)zorgplatform + telebegeleiding_Astma_kinderen_Uitgangssituatie</v>
      </c>
      <c r="H1154" s="33">
        <v>2028</v>
      </c>
      <c r="I1154" s="32">
        <v>6</v>
      </c>
      <c r="J1154" s="406" cm="1">
        <f t="array" ref="J1154">INDEX(implementatie[[2023]:[2034]],MATCH(G1154, implementatie[Zoeksleutel],0),I1154)</f>
        <v>0.76108782680714737</v>
      </c>
      <c r="K1154" s="406" cm="1">
        <f t="array" ref="K1154">INDEX(implementatie[[2023]:[2034]],MATCH(G1154,implementatie[Zoeksleutel],0),I1154 + 1)</f>
        <v>0.8488855471488731</v>
      </c>
      <c r="L115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23618.077441479396</v>
      </c>
      <c r="M1154" s="398" cm="1">
        <f t="array" ref="M1154">J1154*INDEX(Berekening_impact[Totaal arbeidsbesparing (€/jaar)],MATCH(B1154,IF(Berekening_impact[Doelgroep]=C1154,Berekening_impact[Digitale zorgtoepassing]),0))</f>
        <v>2130445.0575312087</v>
      </c>
      <c r="N1154" s="397" cm="1">
        <f t="array" ref="N1154">J1154*INDEX(Berekening_impact[Totaal arbeidsbesparing (FTE/jaar)],MATCH(B1154,IF(Berekening_impact[Doelgroep]=C1154,Berekening_impact[Digitale zorgtoepassing]),0))</f>
        <v>11.230250678934393</v>
      </c>
      <c r="O1154" s="398" cm="1">
        <f t="array" ref="O1154">J1154*INDEX(Berekening_impact[Overige kostenbesparing (totaal/jaar totaal potentieel)],MATCH(B1154,IF(Berekening_impact[Doelgroep]=C1154,Berekening_impact[Digitale zorgtoepassing]),0))</f>
        <v>1420296.7050208054</v>
      </c>
      <c r="P1154" s="398" cm="1">
        <f t="array" ref="P1154">J1154*INDEX(Berekening_impact[Opbrengsten door QALY''s],MATCH(B1154,IF(Berekening_impact[Doelgroep]=C1154,Berekening_impact[Digitale zorgtoepassing]),0))</f>
        <v>0</v>
      </c>
      <c r="Q1154" s="398" cm="1">
        <f t="array" ref="Q1154">J1154*INDEX(Berekening_impact[Jaarlijkse kosten (totaal) - incl. schatting],MATCH(B1154,IF(Berekening_impact[Doelgroep]=C1154,Berekening_impact[Digitale zorgtoepassing]),0))</f>
        <v>0</v>
      </c>
      <c r="R1154" s="398" cm="1">
        <f t="array" ref="R1154">(uitkomst_doelgroep[[#This Row],[Implementatiegraad t = T + 1]]-uitkomst_doelgroep[[#This Row],[Implementatiegraad t = T]])*INDEX(Berekening_impact[Initiële investering (totaal) - incl. schatting],MATCH(B1154,IF(Berekening_impact[Doelgroep]=C1154,Berekening_impact[Digitale zorgtoepassing]),0))</f>
        <v>0</v>
      </c>
      <c r="S1154" s="398">
        <f>uitkomst_doelgroep[[#This Row],[Arbeidsbesparing (€)]]*uitkomst_doelgroep[[#This Row],[Percentage van patiëntaantallen in Wlz (overige is Zvw)]]</f>
        <v>0</v>
      </c>
      <c r="T1154" s="398">
        <f>uitkomst_doelgroep[[#This Row],[Overige besparingen (€)]]*uitkomst_doelgroep[[#This Row],[Percentage van patiëntaantallen in Wlz (overige is Zvw)]]</f>
        <v>0</v>
      </c>
      <c r="U1154" s="398">
        <f>uitkomst_doelgroep[[#This Row],[Kosten (€)]]*uitkomst_doelgroep[[#This Row],[Percentage van patiëntaantallen in Wlz (overige is Zvw)]]</f>
        <v>0</v>
      </c>
      <c r="V1154" s="398">
        <f>uitkomst_doelgroep[[#This Row],[Investering (cash flow) (€)]]*uitkomst_doelgroep[[#This Row],[Percentage van patiëntaantallen in Wlz (overige is Zvw)]]</f>
        <v>0</v>
      </c>
    </row>
    <row r="1155" spans="1:22" x14ac:dyDescent="0.5">
      <c r="A1155" s="33" t="str">
        <f>INDEX(Technologieën[Veld],MATCH(B1155,Technologieën[Digitale zorgtoepassing],0))</f>
        <v>Software - Behandeling</v>
      </c>
      <c r="B1155" s="33" t="s">
        <v>609</v>
      </c>
      <c r="C1155" s="33" t="s">
        <v>270</v>
      </c>
      <c r="D1155" s="427" cm="1">
        <f t="array" ref="D1155">INDEX(Berekening_patiëntaantal[Percentage van patiëntaantallen in Wlz (overige is Zvw)],MATCH(B1155,IF(Berekening_patiëntaantal[Doelgroep (zoeksleutel)]=C1155,Berekening_patiëntaantal[Digitale zorgtoepassing]),0))</f>
        <v>0</v>
      </c>
      <c r="E1155" s="33" t="str" cm="1">
        <f t="array" ref="E1155">INDEX(Berekening_patiëntaantal[Direct toepasbaar/extrapolatie/incidentie voor QALY],MATCH(B1155,IF(Berekening_patiëntaantal[Doelgroep (zoeksleutel)]=C1155,Berekening_patiëntaantal[Digitale zorgtoepassing]),0))</f>
        <v>Huidige toepassing</v>
      </c>
      <c r="F1155" s="33" t="s">
        <v>813</v>
      </c>
      <c r="G1155" s="33" t="str">
        <f>CONCATENATE(uitkomst_doelgroep[[#This Row],[Digitale zorgtoepassing]],"_",uitkomst_doelgroep[[#This Row],[Doelgroep]],"_",uitkomst_doelgroep[[#This Row],[Uitgangssituatie/effect beleid]])</f>
        <v>(Zelf)zorgplatform + telebegeleiding_Astma_kinderen_Uitgangssituatie</v>
      </c>
      <c r="H1155" s="33">
        <v>2029</v>
      </c>
      <c r="I1155" s="32">
        <v>7</v>
      </c>
      <c r="J1155" s="406" cm="1">
        <f t="array" ref="J1155">INDEX(implementatie[[2023]:[2034]],MATCH(G1155, implementatie[Zoeksleutel],0),I1155)</f>
        <v>0.8488855471488731</v>
      </c>
      <c r="K1155" s="406" cm="1">
        <f t="array" ref="K1155">INDEX(implementatie[[2023]:[2034]],MATCH(G1155,implementatie[Zoeksleutel],0),I1155 + 1)</f>
        <v>0.91038890221593549</v>
      </c>
      <c r="L115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26342.616299123831</v>
      </c>
      <c r="M1155" s="398" cm="1">
        <f t="array" ref="M1155">J1155*INDEX(Berekening_impact[Totaal arbeidsbesparing (€/jaar)],MATCH(B1155,IF(Berekening_impact[Doelgroep]=C1155,Berekening_impact[Digitale zorgtoepassing]),0))</f>
        <v>2376209.3606461673</v>
      </c>
      <c r="N1155" s="397" cm="1">
        <f t="array" ref="N1155">J1155*INDEX(Berekening_impact[Totaal arbeidsbesparing (FTE/jaar)],MATCH(B1155,IF(Berekening_impact[Doelgroep]=C1155,Berekening_impact[Digitale zorgtoepassing]),0))</f>
        <v>12.525752162137589</v>
      </c>
      <c r="O1155" s="398" cm="1">
        <f t="array" ref="O1155">J1155*INDEX(Berekening_impact[Overige kostenbesparing (totaal/jaar totaal potentieel)],MATCH(B1155,IF(Berekening_impact[Doelgroep]=C1155,Berekening_impact[Digitale zorgtoepassing]),0))</f>
        <v>1584139.5737641109</v>
      </c>
      <c r="P1155" s="398" cm="1">
        <f t="array" ref="P1155">J1155*INDEX(Berekening_impact[Opbrengsten door QALY''s],MATCH(B1155,IF(Berekening_impact[Doelgroep]=C1155,Berekening_impact[Digitale zorgtoepassing]),0))</f>
        <v>0</v>
      </c>
      <c r="Q1155" s="398" cm="1">
        <f t="array" ref="Q1155">J1155*INDEX(Berekening_impact[Jaarlijkse kosten (totaal) - incl. schatting],MATCH(B1155,IF(Berekening_impact[Doelgroep]=C1155,Berekening_impact[Digitale zorgtoepassing]),0))</f>
        <v>0</v>
      </c>
      <c r="R1155" s="398" cm="1">
        <f t="array" ref="R1155">(uitkomst_doelgroep[[#This Row],[Implementatiegraad t = T + 1]]-uitkomst_doelgroep[[#This Row],[Implementatiegraad t = T]])*INDEX(Berekening_impact[Initiële investering (totaal) - incl. schatting],MATCH(B1155,IF(Berekening_impact[Doelgroep]=C1155,Berekening_impact[Digitale zorgtoepassing]),0))</f>
        <v>0</v>
      </c>
      <c r="S1155" s="398">
        <f>uitkomst_doelgroep[[#This Row],[Arbeidsbesparing (€)]]*uitkomst_doelgroep[[#This Row],[Percentage van patiëntaantallen in Wlz (overige is Zvw)]]</f>
        <v>0</v>
      </c>
      <c r="T1155" s="398">
        <f>uitkomst_doelgroep[[#This Row],[Overige besparingen (€)]]*uitkomst_doelgroep[[#This Row],[Percentage van patiëntaantallen in Wlz (overige is Zvw)]]</f>
        <v>0</v>
      </c>
      <c r="U1155" s="398">
        <f>uitkomst_doelgroep[[#This Row],[Kosten (€)]]*uitkomst_doelgroep[[#This Row],[Percentage van patiëntaantallen in Wlz (overige is Zvw)]]</f>
        <v>0</v>
      </c>
      <c r="V1155" s="398">
        <f>uitkomst_doelgroep[[#This Row],[Investering (cash flow) (€)]]*uitkomst_doelgroep[[#This Row],[Percentage van patiëntaantallen in Wlz (overige is Zvw)]]</f>
        <v>0</v>
      </c>
    </row>
    <row r="1156" spans="1:22" x14ac:dyDescent="0.5">
      <c r="A1156" s="33" t="str">
        <f>INDEX(Technologieën[Veld],MATCH(B1156,Technologieën[Digitale zorgtoepassing],0))</f>
        <v>Software - Behandeling</v>
      </c>
      <c r="B1156" s="33" t="s">
        <v>609</v>
      </c>
      <c r="C1156" s="33" t="s">
        <v>270</v>
      </c>
      <c r="D1156" s="427" cm="1">
        <f t="array" ref="D1156">INDEX(Berekening_patiëntaantal[Percentage van patiëntaantallen in Wlz (overige is Zvw)],MATCH(B1156,IF(Berekening_patiëntaantal[Doelgroep (zoeksleutel)]=C1156,Berekening_patiëntaantal[Digitale zorgtoepassing]),0))</f>
        <v>0</v>
      </c>
      <c r="E1156" s="33" t="str" cm="1">
        <f t="array" ref="E1156">INDEX(Berekening_patiëntaantal[Direct toepasbaar/extrapolatie/incidentie voor QALY],MATCH(B1156,IF(Berekening_patiëntaantal[Doelgroep (zoeksleutel)]=C1156,Berekening_patiëntaantal[Digitale zorgtoepassing]),0))</f>
        <v>Huidige toepassing</v>
      </c>
      <c r="F1156" s="33" t="s">
        <v>813</v>
      </c>
      <c r="G1156" s="33" t="str">
        <f>CONCATENATE(uitkomst_doelgroep[[#This Row],[Digitale zorgtoepassing]],"_",uitkomst_doelgroep[[#This Row],[Doelgroep]],"_",uitkomst_doelgroep[[#This Row],[Uitgangssituatie/effect beleid]])</f>
        <v>(Zelf)zorgplatform + telebegeleiding_Astma_kinderen_Uitgangssituatie</v>
      </c>
      <c r="H1156" s="33">
        <v>2030</v>
      </c>
      <c r="I1156" s="32">
        <v>8</v>
      </c>
      <c r="J1156" s="406" cm="1">
        <f t="array" ref="J1156">INDEX(implementatie[[2023]:[2034]],MATCH(G1156, implementatie[Zoeksleutel],0),I1156)</f>
        <v>0.91038890221593549</v>
      </c>
      <c r="K1156" s="406" cm="1">
        <f t="array" ref="K1156">INDEX(implementatie[[2023]:[2034]],MATCH(G1156,implementatie[Zoeksleutel],0),I1156 + 1)</f>
        <v>0.94934060668263687</v>
      </c>
      <c r="L115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28251.188413564909</v>
      </c>
      <c r="M1156" s="398" cm="1">
        <f t="array" ref="M1156">J1156*INDEX(Berekening_impact[Totaal arbeidsbesparing (€/jaar)],MATCH(B1156,IF(Berekening_impact[Doelgroep]=C1156,Berekening_impact[Digitale zorgtoepassing]),0))</f>
        <v>2548370.1996572101</v>
      </c>
      <c r="N1156" s="397" cm="1">
        <f t="array" ref="N1156">J1156*INDEX(Berekening_impact[Totaal arbeidsbesparing (FTE/jaar)],MATCH(B1156,IF(Berekening_impact[Doelgroep]=C1156,Berekening_impact[Digitale zorgtoepassing]),0))</f>
        <v>13.433266473457191</v>
      </c>
      <c r="O1156" s="398" cm="1">
        <f t="array" ref="O1156">J1156*INDEX(Berekening_impact[Overige kostenbesparing (totaal/jaar totaal potentieel)],MATCH(B1156,IF(Berekening_impact[Doelgroep]=C1156,Berekening_impact[Digitale zorgtoepassing]),0))</f>
        <v>1698913.4664381398</v>
      </c>
      <c r="P1156" s="398" cm="1">
        <f t="array" ref="P1156">J1156*INDEX(Berekening_impact[Opbrengsten door QALY''s],MATCH(B1156,IF(Berekening_impact[Doelgroep]=C1156,Berekening_impact[Digitale zorgtoepassing]),0))</f>
        <v>0</v>
      </c>
      <c r="Q1156" s="398" cm="1">
        <f t="array" ref="Q1156">J1156*INDEX(Berekening_impact[Jaarlijkse kosten (totaal) - incl. schatting],MATCH(B1156,IF(Berekening_impact[Doelgroep]=C1156,Berekening_impact[Digitale zorgtoepassing]),0))</f>
        <v>0</v>
      </c>
      <c r="R1156" s="398" cm="1">
        <f t="array" ref="R1156">(uitkomst_doelgroep[[#This Row],[Implementatiegraad t = T + 1]]-uitkomst_doelgroep[[#This Row],[Implementatiegraad t = T]])*INDEX(Berekening_impact[Initiële investering (totaal) - incl. schatting],MATCH(B1156,IF(Berekening_impact[Doelgroep]=C1156,Berekening_impact[Digitale zorgtoepassing]),0))</f>
        <v>0</v>
      </c>
      <c r="S1156" s="398">
        <f>uitkomst_doelgroep[[#This Row],[Arbeidsbesparing (€)]]*uitkomst_doelgroep[[#This Row],[Percentage van patiëntaantallen in Wlz (overige is Zvw)]]</f>
        <v>0</v>
      </c>
      <c r="T1156" s="398">
        <f>uitkomst_doelgroep[[#This Row],[Overige besparingen (€)]]*uitkomst_doelgroep[[#This Row],[Percentage van patiëntaantallen in Wlz (overige is Zvw)]]</f>
        <v>0</v>
      </c>
      <c r="U1156" s="398">
        <f>uitkomst_doelgroep[[#This Row],[Kosten (€)]]*uitkomst_doelgroep[[#This Row],[Percentage van patiëntaantallen in Wlz (overige is Zvw)]]</f>
        <v>0</v>
      </c>
      <c r="V1156" s="398">
        <f>uitkomst_doelgroep[[#This Row],[Investering (cash flow) (€)]]*uitkomst_doelgroep[[#This Row],[Percentage van patiëntaantallen in Wlz (overige is Zvw)]]</f>
        <v>0</v>
      </c>
    </row>
    <row r="1157" spans="1:22" x14ac:dyDescent="0.5">
      <c r="A1157" s="33" t="str">
        <f>INDEX(Technologieën[Veld],MATCH(B1157,Technologieën[Digitale zorgtoepassing],0))</f>
        <v>Software - Behandeling</v>
      </c>
      <c r="B1157" s="33" t="s">
        <v>609</v>
      </c>
      <c r="C1157" s="33" t="s">
        <v>270</v>
      </c>
      <c r="D1157" s="427" cm="1">
        <f t="array" ref="D1157">INDEX(Berekening_patiëntaantal[Percentage van patiëntaantallen in Wlz (overige is Zvw)],MATCH(B1157,IF(Berekening_patiëntaantal[Doelgroep (zoeksleutel)]=C1157,Berekening_patiëntaantal[Digitale zorgtoepassing]),0))</f>
        <v>0</v>
      </c>
      <c r="E1157" s="33" t="str" cm="1">
        <f t="array" ref="E1157">INDEX(Berekening_patiëntaantal[Direct toepasbaar/extrapolatie/incidentie voor QALY],MATCH(B1157,IF(Berekening_patiëntaantal[Doelgroep (zoeksleutel)]=C1157,Berekening_patiëntaantal[Digitale zorgtoepassing]),0))</f>
        <v>Huidige toepassing</v>
      </c>
      <c r="F1157" s="33" t="s">
        <v>813</v>
      </c>
      <c r="G1157" s="33" t="str">
        <f>CONCATENATE(uitkomst_doelgroep[[#This Row],[Digitale zorgtoepassing]],"_",uitkomst_doelgroep[[#This Row],[Doelgroep]],"_",uitkomst_doelgroep[[#This Row],[Uitgangssituatie/effect beleid]])</f>
        <v>(Zelf)zorgplatform + telebegeleiding_Astma_kinderen_Uitgangssituatie</v>
      </c>
      <c r="H1157" s="33">
        <v>2031</v>
      </c>
      <c r="I1157" s="32">
        <v>9</v>
      </c>
      <c r="J1157" s="406" cm="1">
        <f t="array" ref="J1157">INDEX(implementatie[[2023]:[2034]],MATCH(G1157, implementatie[Zoeksleutel],0),I1157)</f>
        <v>0.94934060668263687</v>
      </c>
      <c r="K1157" s="406" cm="1">
        <f t="array" ref="K1157">INDEX(implementatie[[2023]:[2034]],MATCH(G1157,implementatie[Zoeksleutel],0),I1157 + 1)</f>
        <v>0.9722489501493069</v>
      </c>
      <c r="L115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29459.937706575587</v>
      </c>
      <c r="M1157" s="398" cm="1">
        <f t="array" ref="M1157">J1157*INDEX(Berekening_impact[Totaal arbeidsbesparing (€/jaar)],MATCH(B1157,IF(Berekening_impact[Doelgroep]=C1157,Berekening_impact[Digitale zorgtoepassing]),0))</f>
        <v>2657404.2208839455</v>
      </c>
      <c r="N1157" s="397" cm="1">
        <f t="array" ref="N1157">J1157*INDEX(Berekening_impact[Totaal arbeidsbesparing (FTE/jaar)],MATCH(B1157,IF(Berekening_impact[Doelgroep]=C1157,Berekening_impact[Digitale zorgtoepassing]),0))</f>
        <v>14.008019333935758</v>
      </c>
      <c r="O1157" s="398" cm="1">
        <f t="array" ref="O1157">J1157*INDEX(Berekening_impact[Overige kostenbesparing (totaal/jaar totaal potentieel)],MATCH(B1157,IF(Berekening_impact[Doelgroep]=C1157,Berekening_impact[Digitale zorgtoepassing]),0))</f>
        <v>1771602.8139226299</v>
      </c>
      <c r="P1157" s="398" cm="1">
        <f t="array" ref="P1157">J1157*INDEX(Berekening_impact[Opbrengsten door QALY''s],MATCH(B1157,IF(Berekening_impact[Doelgroep]=C1157,Berekening_impact[Digitale zorgtoepassing]),0))</f>
        <v>0</v>
      </c>
      <c r="Q1157" s="398" cm="1">
        <f t="array" ref="Q1157">J1157*INDEX(Berekening_impact[Jaarlijkse kosten (totaal) - incl. schatting],MATCH(B1157,IF(Berekening_impact[Doelgroep]=C1157,Berekening_impact[Digitale zorgtoepassing]),0))</f>
        <v>0</v>
      </c>
      <c r="R1157" s="398" cm="1">
        <f t="array" ref="R1157">(uitkomst_doelgroep[[#This Row],[Implementatiegraad t = T + 1]]-uitkomst_doelgroep[[#This Row],[Implementatiegraad t = T]])*INDEX(Berekening_impact[Initiële investering (totaal) - incl. schatting],MATCH(B1157,IF(Berekening_impact[Doelgroep]=C1157,Berekening_impact[Digitale zorgtoepassing]),0))</f>
        <v>0</v>
      </c>
      <c r="S1157" s="398">
        <f>uitkomst_doelgroep[[#This Row],[Arbeidsbesparing (€)]]*uitkomst_doelgroep[[#This Row],[Percentage van patiëntaantallen in Wlz (overige is Zvw)]]</f>
        <v>0</v>
      </c>
      <c r="T1157" s="398">
        <f>uitkomst_doelgroep[[#This Row],[Overige besparingen (€)]]*uitkomst_doelgroep[[#This Row],[Percentage van patiëntaantallen in Wlz (overige is Zvw)]]</f>
        <v>0</v>
      </c>
      <c r="U1157" s="398">
        <f>uitkomst_doelgroep[[#This Row],[Kosten (€)]]*uitkomst_doelgroep[[#This Row],[Percentage van patiëntaantallen in Wlz (overige is Zvw)]]</f>
        <v>0</v>
      </c>
      <c r="V1157" s="398">
        <f>uitkomst_doelgroep[[#This Row],[Investering (cash flow) (€)]]*uitkomst_doelgroep[[#This Row],[Percentage van patiëntaantallen in Wlz (overige is Zvw)]]</f>
        <v>0</v>
      </c>
    </row>
    <row r="1158" spans="1:22" x14ac:dyDescent="0.5">
      <c r="A1158" s="33" t="str">
        <f>INDEX(Technologieën[Veld],MATCH(B1158,Technologieën[Digitale zorgtoepassing],0))</f>
        <v>Software - Behandeling</v>
      </c>
      <c r="B1158" s="33" t="s">
        <v>609</v>
      </c>
      <c r="C1158" s="33" t="s">
        <v>270</v>
      </c>
      <c r="D1158" s="427" cm="1">
        <f t="array" ref="D1158">INDEX(Berekening_patiëntaantal[Percentage van patiëntaantallen in Wlz (overige is Zvw)],MATCH(B1158,IF(Berekening_patiëntaantal[Doelgroep (zoeksleutel)]=C1158,Berekening_patiëntaantal[Digitale zorgtoepassing]),0))</f>
        <v>0</v>
      </c>
      <c r="E1158" s="33" t="str" cm="1">
        <f t="array" ref="E1158">INDEX(Berekening_patiëntaantal[Direct toepasbaar/extrapolatie/incidentie voor QALY],MATCH(B1158,IF(Berekening_patiëntaantal[Doelgroep (zoeksleutel)]=C1158,Berekening_patiëntaantal[Digitale zorgtoepassing]),0))</f>
        <v>Huidige toepassing</v>
      </c>
      <c r="F1158" s="33" t="s">
        <v>813</v>
      </c>
      <c r="G1158" s="33" t="str">
        <f>CONCATENATE(uitkomst_doelgroep[[#This Row],[Digitale zorgtoepassing]],"_",uitkomst_doelgroep[[#This Row],[Doelgroep]],"_",uitkomst_doelgroep[[#This Row],[Uitgangssituatie/effect beleid]])</f>
        <v>(Zelf)zorgplatform + telebegeleiding_Astma_kinderen_Uitgangssituatie</v>
      </c>
      <c r="H1158" s="33">
        <v>2032</v>
      </c>
      <c r="I1158" s="32">
        <v>10</v>
      </c>
      <c r="J1158" s="406" cm="1">
        <f t="array" ref="J1158">INDEX(implementatie[[2023]:[2034]],MATCH(G1158, implementatie[Zoeksleutel],0),I1158)</f>
        <v>0.9722489501493069</v>
      </c>
      <c r="K1158" s="406" cm="1">
        <f t="array" ref="K1158">INDEX(implementatie[[2023]:[2034]],MATCH(G1158,implementatie[Zoeksleutel],0),I1158 + 1)</f>
        <v>0.98508414448286907</v>
      </c>
      <c r="L115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30170.829421033293</v>
      </c>
      <c r="M1158" s="398" cm="1">
        <f t="array" ref="M1158">J1158*INDEX(Berekening_impact[Totaal arbeidsbesparing (€/jaar)],MATCH(B1158,IF(Berekening_impact[Doelgroep]=C1158,Berekening_impact[Digitale zorgtoepassing]),0))</f>
        <v>2721529.4970948882</v>
      </c>
      <c r="N1158" s="397" cm="1">
        <f t="array" ref="N1158">J1158*INDEX(Berekening_impact[Totaal arbeidsbesparing (FTE/jaar)],MATCH(B1158,IF(Berekening_impact[Doelgroep]=C1158,Berekening_impact[Digitale zorgtoepassing]),0))</f>
        <v>14.346043975387582</v>
      </c>
      <c r="O1158" s="398" cm="1">
        <f t="array" ref="O1158">J1158*INDEX(Berekening_impact[Overige kostenbesparing (totaal/jaar totaal potentieel)],MATCH(B1158,IF(Berekening_impact[Doelgroep]=C1158,Berekening_impact[Digitale zorgtoepassing]),0))</f>
        <v>1814352.9980632584</v>
      </c>
      <c r="P1158" s="398" cm="1">
        <f t="array" ref="P1158">J1158*INDEX(Berekening_impact[Opbrengsten door QALY''s],MATCH(B1158,IF(Berekening_impact[Doelgroep]=C1158,Berekening_impact[Digitale zorgtoepassing]),0))</f>
        <v>0</v>
      </c>
      <c r="Q1158" s="398" cm="1">
        <f t="array" ref="Q1158">J1158*INDEX(Berekening_impact[Jaarlijkse kosten (totaal) - incl. schatting],MATCH(B1158,IF(Berekening_impact[Doelgroep]=C1158,Berekening_impact[Digitale zorgtoepassing]),0))</f>
        <v>0</v>
      </c>
      <c r="R1158" s="398" cm="1">
        <f t="array" ref="R1158">(uitkomst_doelgroep[[#This Row],[Implementatiegraad t = T + 1]]-uitkomst_doelgroep[[#This Row],[Implementatiegraad t = T]])*INDEX(Berekening_impact[Initiële investering (totaal) - incl. schatting],MATCH(B1158,IF(Berekening_impact[Doelgroep]=C1158,Berekening_impact[Digitale zorgtoepassing]),0))</f>
        <v>0</v>
      </c>
      <c r="S1158" s="398">
        <f>uitkomst_doelgroep[[#This Row],[Arbeidsbesparing (€)]]*uitkomst_doelgroep[[#This Row],[Percentage van patiëntaantallen in Wlz (overige is Zvw)]]</f>
        <v>0</v>
      </c>
      <c r="T1158" s="398">
        <f>uitkomst_doelgroep[[#This Row],[Overige besparingen (€)]]*uitkomst_doelgroep[[#This Row],[Percentage van patiëntaantallen in Wlz (overige is Zvw)]]</f>
        <v>0</v>
      </c>
      <c r="U1158" s="398">
        <f>uitkomst_doelgroep[[#This Row],[Kosten (€)]]*uitkomst_doelgroep[[#This Row],[Percentage van patiëntaantallen in Wlz (overige is Zvw)]]</f>
        <v>0</v>
      </c>
      <c r="V1158" s="398">
        <f>uitkomst_doelgroep[[#This Row],[Investering (cash flow) (€)]]*uitkomst_doelgroep[[#This Row],[Percentage van patiëntaantallen in Wlz (overige is Zvw)]]</f>
        <v>0</v>
      </c>
    </row>
    <row r="1159" spans="1:22" x14ac:dyDescent="0.5">
      <c r="A1159" s="33" t="str">
        <f>INDEX(Technologieën[Veld],MATCH(B1159,Technologieën[Digitale zorgtoepassing],0))</f>
        <v>Software - Behandeling</v>
      </c>
      <c r="B1159" s="33" t="s">
        <v>609</v>
      </c>
      <c r="C1159" s="33" t="s">
        <v>270</v>
      </c>
      <c r="D1159" s="427" cm="1">
        <f t="array" ref="D1159">INDEX(Berekening_patiëntaantal[Percentage van patiëntaantallen in Wlz (overige is Zvw)],MATCH(B1159,IF(Berekening_patiëntaantal[Doelgroep (zoeksleutel)]=C1159,Berekening_patiëntaantal[Digitale zorgtoepassing]),0))</f>
        <v>0</v>
      </c>
      <c r="E1159" s="33" t="str" cm="1">
        <f t="array" ref="E1159">INDEX(Berekening_patiëntaantal[Direct toepasbaar/extrapolatie/incidentie voor QALY],MATCH(B1159,IF(Berekening_patiëntaantal[Doelgroep (zoeksleutel)]=C1159,Berekening_patiëntaantal[Digitale zorgtoepassing]),0))</f>
        <v>Huidige toepassing</v>
      </c>
      <c r="F1159" s="33" t="s">
        <v>813</v>
      </c>
      <c r="G1159" s="33" t="str">
        <f>CONCATENATE(uitkomst_doelgroep[[#This Row],[Digitale zorgtoepassing]],"_",uitkomst_doelgroep[[#This Row],[Doelgroep]],"_",uitkomst_doelgroep[[#This Row],[Uitgangssituatie/effect beleid]])</f>
        <v>(Zelf)zorgplatform + telebegeleiding_Astma_kinderen_Uitgangssituatie</v>
      </c>
      <c r="H1159" s="33">
        <v>2033</v>
      </c>
      <c r="I1159" s="32">
        <v>11</v>
      </c>
      <c r="J1159" s="406" cm="1">
        <f t="array" ref="J1159">INDEX(implementatie[[2023]:[2034]],MATCH(G1159, implementatie[Zoeksleutel],0),I1159)</f>
        <v>0.98508414448286907</v>
      </c>
      <c r="K1159" s="406" cm="1">
        <f t="array" ref="K1159">INDEX(implementatie[[2023]:[2034]],MATCH(G1159,implementatie[Zoeksleutel],0),I1159 + 1)</f>
        <v>0.99206905861789263</v>
      </c>
      <c r="L115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30569.131171592395</v>
      </c>
      <c r="M1159" s="398" cm="1">
        <f t="array" ref="M1159">J1159*INDEX(Berekening_impact[Totaal arbeidsbesparing (€/jaar)],MATCH(B1159,IF(Berekening_impact[Doelgroep]=C1159,Berekening_impact[Digitale zorgtoepassing]),0))</f>
        <v>2757457.9082023217</v>
      </c>
      <c r="N1159" s="397" cm="1">
        <f t="array" ref="N1159">J1159*INDEX(Berekening_impact[Totaal arbeidsbesparing (FTE/jaar)],MATCH(B1159,IF(Berekening_impact[Doelgroep]=C1159,Berekening_impact[Digitale zorgtoepassing]),0))</f>
        <v>14.535434010021872</v>
      </c>
      <c r="O1159" s="398" cm="1">
        <f t="array" ref="O1159">J1159*INDEX(Berekening_impact[Overige kostenbesparing (totaal/jaar totaal potentieel)],MATCH(B1159,IF(Berekening_impact[Doelgroep]=C1159,Berekening_impact[Digitale zorgtoepassing]),0))</f>
        <v>1838305.2721348805</v>
      </c>
      <c r="P1159" s="398" cm="1">
        <f t="array" ref="P1159">J1159*INDEX(Berekening_impact[Opbrengsten door QALY''s],MATCH(B1159,IF(Berekening_impact[Doelgroep]=C1159,Berekening_impact[Digitale zorgtoepassing]),0))</f>
        <v>0</v>
      </c>
      <c r="Q1159" s="398" cm="1">
        <f t="array" ref="Q1159">J1159*INDEX(Berekening_impact[Jaarlijkse kosten (totaal) - incl. schatting],MATCH(B1159,IF(Berekening_impact[Doelgroep]=C1159,Berekening_impact[Digitale zorgtoepassing]),0))</f>
        <v>0</v>
      </c>
      <c r="R1159" s="398" cm="1">
        <f t="array" ref="R1159">(uitkomst_doelgroep[[#This Row],[Implementatiegraad t = T + 1]]-uitkomst_doelgroep[[#This Row],[Implementatiegraad t = T]])*INDEX(Berekening_impact[Initiële investering (totaal) - incl. schatting],MATCH(B1159,IF(Berekening_impact[Doelgroep]=C1159,Berekening_impact[Digitale zorgtoepassing]),0))</f>
        <v>0</v>
      </c>
      <c r="S1159" s="398">
        <f>uitkomst_doelgroep[[#This Row],[Arbeidsbesparing (€)]]*uitkomst_doelgroep[[#This Row],[Percentage van patiëntaantallen in Wlz (overige is Zvw)]]</f>
        <v>0</v>
      </c>
      <c r="T1159" s="398">
        <f>uitkomst_doelgroep[[#This Row],[Overige besparingen (€)]]*uitkomst_doelgroep[[#This Row],[Percentage van patiëntaantallen in Wlz (overige is Zvw)]]</f>
        <v>0</v>
      </c>
      <c r="U1159" s="398">
        <f>uitkomst_doelgroep[[#This Row],[Kosten (€)]]*uitkomst_doelgroep[[#This Row],[Percentage van patiëntaantallen in Wlz (overige is Zvw)]]</f>
        <v>0</v>
      </c>
      <c r="V1159" s="398">
        <f>uitkomst_doelgroep[[#This Row],[Investering (cash flow) (€)]]*uitkomst_doelgroep[[#This Row],[Percentage van patiëntaantallen in Wlz (overige is Zvw)]]</f>
        <v>0</v>
      </c>
    </row>
    <row r="1160" spans="1:22" x14ac:dyDescent="0.5">
      <c r="A1160" s="33" t="str">
        <f>INDEX(Technologieën[Veld],MATCH(B1160,Technologieën[Digitale zorgtoepassing],0))</f>
        <v>Sensoren - Behandeling</v>
      </c>
      <c r="B1160" s="33" t="s">
        <v>88</v>
      </c>
      <c r="C1160" s="33" t="s">
        <v>89</v>
      </c>
      <c r="D1160" s="427" cm="1">
        <f t="array" ref="D1160">INDEX(Berekening_patiëntaantal[Percentage van patiëntaantallen in Wlz (overige is Zvw)],MATCH(B1160,IF(Berekening_patiëntaantal[Doelgroep (zoeksleutel)]=C1160,Berekening_patiëntaantal[Digitale zorgtoepassing]),0))</f>
        <v>0</v>
      </c>
      <c r="E1160" s="33" t="str" cm="1">
        <f t="array" ref="E1160">INDEX(Berekening_patiëntaantal[Direct toepasbaar/extrapolatie/incidentie voor QALY],MATCH(B1160,IF(Berekening_patiëntaantal[Doelgroep (zoeksleutel)]=C1160,Berekening_patiëntaantal[Digitale zorgtoepassing]),0))</f>
        <v>Huidige toepassing</v>
      </c>
      <c r="F1160" s="33" t="s">
        <v>813</v>
      </c>
      <c r="G1160" s="33" t="str">
        <f>CONCATENATE(uitkomst_doelgroep[[#This Row],[Digitale zorgtoepassing]],"_",uitkomst_doelgroep[[#This Row],[Doelgroep]],"_",uitkomst_doelgroep[[#This Row],[Uitgangssituatie/effect beleid]])</f>
        <v>RT monitoring (glucosemeter)_Diabetes_Uitgangssituatie</v>
      </c>
      <c r="H1160" s="33">
        <v>2023</v>
      </c>
      <c r="I1160" s="32">
        <v>1</v>
      </c>
      <c r="J1160" s="406" cm="1">
        <f t="array" ref="J1160">INDEX(implementatie[[2023]:[2034]],MATCH(G1160, implementatie[Zoeksleutel],0),I1160)</f>
        <v>0.8</v>
      </c>
      <c r="K1160" s="406" cm="1">
        <f t="array" ref="K1160">INDEX(implementatie[[2023]:[2034]],MATCH(G1160,implementatie[Zoeksleutel],0),I1160 + 1)</f>
        <v>0.877</v>
      </c>
      <c r="L116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88000</v>
      </c>
      <c r="M1160" s="398" cm="1">
        <f t="array" ref="M1160">J1160*INDEX(Berekening_impact[Totaal arbeidsbesparing (€/jaar)],MATCH(B1160,IF(Berekening_impact[Doelgroep]=C1160,Berekening_impact[Digitale zorgtoepassing]),0))</f>
        <v>14400000</v>
      </c>
      <c r="N1160" s="397" cm="1">
        <f t="array" ref="N1160">J1160*INDEX(Berekening_impact[Totaal arbeidsbesparing (FTE/jaar)],MATCH(B1160,IF(Berekening_impact[Doelgroep]=C1160,Berekening_impact[Digitale zorgtoepassing]),0))</f>
        <v>249.56940910139471</v>
      </c>
      <c r="O1160" s="398" cm="1">
        <f t="array" ref="O1160">J1160*INDEX(Berekening_impact[Overige kostenbesparing (totaal/jaar totaal potentieel)],MATCH(B1160,IF(Berekening_impact[Doelgroep]=C1160,Berekening_impact[Digitale zorgtoepassing]),0))</f>
        <v>9600000</v>
      </c>
      <c r="P1160" s="398" cm="1">
        <f t="array" ref="P1160">J1160*INDEX(Berekening_impact[Opbrengsten door QALY''s],MATCH(B1160,IF(Berekening_impact[Doelgroep]=C1160,Berekening_impact[Digitale zorgtoepassing]),0))</f>
        <v>132000000</v>
      </c>
      <c r="Q1160" s="398" cm="1">
        <f t="array" ref="Q1160">J1160*INDEX(Berekening_impact[Jaarlijkse kosten (totaal) - incl. schatting],MATCH(B1160,IF(Berekening_impact[Doelgroep]=C1160,Berekening_impact[Digitale zorgtoepassing]),0))</f>
        <v>41052000</v>
      </c>
      <c r="R1160" s="398" cm="1">
        <f t="array" ref="R1160">(uitkomst_doelgroep[[#This Row],[Implementatiegraad t = T + 1]]-uitkomst_doelgroep[[#This Row],[Implementatiegraad t = T]])*INDEX(Berekening_impact[Initiële investering (totaal) - incl. schatting],MATCH(B1160,IF(Berekening_impact[Doelgroep]=C1160,Berekening_impact[Digitale zorgtoepassing]),0))</f>
        <v>8152374.9999999953</v>
      </c>
      <c r="S1160" s="398">
        <f>uitkomst_doelgroep[[#This Row],[Arbeidsbesparing (€)]]*uitkomst_doelgroep[[#This Row],[Percentage van patiëntaantallen in Wlz (overige is Zvw)]]</f>
        <v>0</v>
      </c>
      <c r="T1160" s="398">
        <f>uitkomst_doelgroep[[#This Row],[Overige besparingen (€)]]*uitkomst_doelgroep[[#This Row],[Percentage van patiëntaantallen in Wlz (overige is Zvw)]]</f>
        <v>0</v>
      </c>
      <c r="U1160" s="398">
        <f>uitkomst_doelgroep[[#This Row],[Kosten (€)]]*uitkomst_doelgroep[[#This Row],[Percentage van patiëntaantallen in Wlz (overige is Zvw)]]</f>
        <v>0</v>
      </c>
      <c r="V1160" s="398">
        <f>uitkomst_doelgroep[[#This Row],[Investering (cash flow) (€)]]*uitkomst_doelgroep[[#This Row],[Percentage van patiëntaantallen in Wlz (overige is Zvw)]]</f>
        <v>0</v>
      </c>
    </row>
    <row r="1161" spans="1:22" x14ac:dyDescent="0.5">
      <c r="A1161" s="33" t="str">
        <f>INDEX(Technologieën[Veld],MATCH(B1161,Technologieën[Digitale zorgtoepassing],0))</f>
        <v>Sensoren - Behandeling</v>
      </c>
      <c r="B1161" s="33" t="s">
        <v>88</v>
      </c>
      <c r="C1161" s="33" t="s">
        <v>91</v>
      </c>
      <c r="D1161" s="427" cm="1">
        <f t="array" ref="D1161">INDEX(Berekening_patiëntaantal[Percentage van patiëntaantallen in Wlz (overige is Zvw)],MATCH(B1161,IF(Berekening_patiëntaantal[Doelgroep (zoeksleutel)]=C1161,Berekening_patiëntaantal[Digitale zorgtoepassing]),0))</f>
        <v>0</v>
      </c>
      <c r="E1161" s="33" t="str" cm="1">
        <f t="array" ref="E1161">INDEX(Berekening_patiëntaantal[Direct toepasbaar/extrapolatie/incidentie voor QALY],MATCH(B1161,IF(Berekening_patiëntaantal[Doelgroep (zoeksleutel)]=C1161,Berekening_patiëntaantal[Digitale zorgtoepassing]),0))</f>
        <v>Huidige toepassing</v>
      </c>
      <c r="F1161" s="33" t="s">
        <v>813</v>
      </c>
      <c r="G1161" s="33" t="str">
        <f>CONCATENATE(uitkomst_doelgroep[[#This Row],[Digitale zorgtoepassing]],"_",uitkomst_doelgroep[[#This Row],[Doelgroep]],"_",uitkomst_doelgroep[[#This Row],[Uitgangssituatie/effect beleid]])</f>
        <v>RT monitoring (glucosemeter)_Diabetes_thuiszorg_Uitgangssituatie</v>
      </c>
      <c r="H1161" s="33">
        <v>2023</v>
      </c>
      <c r="I1161" s="32">
        <v>1</v>
      </c>
      <c r="J1161" s="406" cm="1">
        <f t="array" ref="J1161">INDEX(implementatie[[2023]:[2034]],MATCH(G1161, implementatie[Zoeksleutel],0),I1161)</f>
        <v>0.6</v>
      </c>
      <c r="K1161" s="406" cm="1">
        <f t="array" ref="K1161">INDEX(implementatie[[2023]:[2034]],MATCH(G1161,implementatie[Zoeksleutel],0),I1161 + 1)</f>
        <v>0.71799999999999997</v>
      </c>
      <c r="L116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1051.2</v>
      </c>
      <c r="M1161" s="398" cm="1">
        <f t="array" ref="M1161">J1161*INDEX(Berekening_impact[Totaal arbeidsbesparing (€/jaar)],MATCH(B1161,IF(Berekening_impact[Doelgroep]=C1161,Berekening_impact[Digitale zorgtoepassing]),0))</f>
        <v>4723105.1955862073</v>
      </c>
      <c r="N1161" s="397" cm="1">
        <f t="array" ref="N1161">J1161*INDEX(Berekening_impact[Totaal arbeidsbesparing (FTE/jaar)],MATCH(B1161,IF(Berekening_impact[Doelgroep]=C1161,Berekening_impact[Digitale zorgtoepassing]),0))</f>
        <v>111.25200000000001</v>
      </c>
      <c r="O1161" s="398" cm="1">
        <f t="array" ref="O1161">J1161*INDEX(Berekening_impact[Overige kostenbesparing (totaal/jaar totaal potentieel)],MATCH(B1161,IF(Berekening_impact[Doelgroep]=C1161,Berekening_impact[Digitale zorgtoepassing]),0))</f>
        <v>0</v>
      </c>
      <c r="P1161" s="398" cm="1">
        <f t="array" ref="P1161">J1161*INDEX(Berekening_impact[Opbrengsten door QALY''s],MATCH(B1161,IF(Berekening_impact[Doelgroep]=C1161,Berekening_impact[Digitale zorgtoepassing]),0))</f>
        <v>0</v>
      </c>
      <c r="Q1161" s="398" cm="1">
        <f t="array" ref="Q1161">J1161*INDEX(Berekening_impact[Jaarlijkse kosten (totaal) - incl. schatting],MATCH(B1161,IF(Berekening_impact[Doelgroep]=C1161,Berekening_impact[Digitale zorgtoepassing]),0))</f>
        <v>0</v>
      </c>
      <c r="R1161" s="398" cm="1">
        <f t="array" ref="R1161">(uitkomst_doelgroep[[#This Row],[Implementatiegraad t = T + 1]]-uitkomst_doelgroep[[#This Row],[Implementatiegraad t = T]])*INDEX(Berekening_impact[Initiële investering (totaal) - incl. schatting],MATCH(B1161,IF(Berekening_impact[Doelgroep]=C1161,Berekening_impact[Digitale zorgtoepassing]),0))</f>
        <v>0</v>
      </c>
      <c r="S1161" s="398">
        <f>uitkomst_doelgroep[[#This Row],[Arbeidsbesparing (€)]]*uitkomst_doelgroep[[#This Row],[Percentage van patiëntaantallen in Wlz (overige is Zvw)]]</f>
        <v>0</v>
      </c>
      <c r="T1161" s="398">
        <f>uitkomst_doelgroep[[#This Row],[Overige besparingen (€)]]*uitkomst_doelgroep[[#This Row],[Percentage van patiëntaantallen in Wlz (overige is Zvw)]]</f>
        <v>0</v>
      </c>
      <c r="U1161" s="398">
        <f>uitkomst_doelgroep[[#This Row],[Kosten (€)]]*uitkomst_doelgroep[[#This Row],[Percentage van patiëntaantallen in Wlz (overige is Zvw)]]</f>
        <v>0</v>
      </c>
      <c r="V1161" s="398">
        <f>uitkomst_doelgroep[[#This Row],[Investering (cash flow) (€)]]*uitkomst_doelgroep[[#This Row],[Percentage van patiëntaantallen in Wlz (overige is Zvw)]]</f>
        <v>0</v>
      </c>
    </row>
    <row r="1162" spans="1:22" x14ac:dyDescent="0.5">
      <c r="A1162" s="33" t="str">
        <f>INDEX(Technologieën[Veld],MATCH(B1162,Technologieën[Digitale zorgtoepassing],0))</f>
        <v>Sensoren - Behandeling</v>
      </c>
      <c r="B1162" s="33" t="s">
        <v>88</v>
      </c>
      <c r="C1162" s="33" t="s">
        <v>89</v>
      </c>
      <c r="D1162" s="427" cm="1">
        <f t="array" ref="D1162">INDEX(Berekening_patiëntaantal[Percentage van patiëntaantallen in Wlz (overige is Zvw)],MATCH(B1162,IF(Berekening_patiëntaantal[Doelgroep (zoeksleutel)]=C1162,Berekening_patiëntaantal[Digitale zorgtoepassing]),0))</f>
        <v>0</v>
      </c>
      <c r="E1162" s="33" t="str" cm="1">
        <f t="array" ref="E1162">INDEX(Berekening_patiëntaantal[Direct toepasbaar/extrapolatie/incidentie voor QALY],MATCH(B1162,IF(Berekening_patiëntaantal[Doelgroep (zoeksleutel)]=C1162,Berekening_patiëntaantal[Digitale zorgtoepassing]),0))</f>
        <v>Huidige toepassing</v>
      </c>
      <c r="F1162" s="33" t="s">
        <v>813</v>
      </c>
      <c r="G1162" s="33" t="str">
        <f>CONCATENATE(uitkomst_doelgroep[[#This Row],[Digitale zorgtoepassing]],"_",uitkomst_doelgroep[[#This Row],[Doelgroep]],"_",uitkomst_doelgroep[[#This Row],[Uitgangssituatie/effect beleid]])</f>
        <v>RT monitoring (glucosemeter)_Diabetes_Uitgangssituatie</v>
      </c>
      <c r="H1162" s="33">
        <v>2024</v>
      </c>
      <c r="I1162" s="32">
        <v>2</v>
      </c>
      <c r="J1162" s="406" cm="1">
        <f t="array" ref="J1162">INDEX(implementatie[[2023]:[2034]],MATCH(G1162, implementatie[Zoeksleutel],0),I1162)</f>
        <v>0.877</v>
      </c>
      <c r="K1162" s="406" cm="1">
        <f t="array" ref="K1162">INDEX(implementatie[[2023]:[2034]],MATCH(G1162,implementatie[Zoeksleutel],0),I1162 + 1)</f>
        <v>0.92861695000000011</v>
      </c>
      <c r="L116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96470</v>
      </c>
      <c r="M1162" s="398" cm="1">
        <f t="array" ref="M1162">J1162*INDEX(Berekening_impact[Totaal arbeidsbesparing (€/jaar)],MATCH(B1162,IF(Berekening_impact[Doelgroep]=C1162,Berekening_impact[Digitale zorgtoepassing]),0))</f>
        <v>15786000</v>
      </c>
      <c r="N1162" s="397" cm="1">
        <f t="array" ref="N1162">J1162*INDEX(Berekening_impact[Totaal arbeidsbesparing (FTE/jaar)],MATCH(B1162,IF(Berekening_impact[Doelgroep]=C1162,Berekening_impact[Digitale zorgtoepassing]),0))</f>
        <v>273.59046472740391</v>
      </c>
      <c r="O1162" s="398" cm="1">
        <f t="array" ref="O1162">J1162*INDEX(Berekening_impact[Overige kostenbesparing (totaal/jaar totaal potentieel)],MATCH(B1162,IF(Berekening_impact[Doelgroep]=C1162,Berekening_impact[Digitale zorgtoepassing]),0))</f>
        <v>10524000</v>
      </c>
      <c r="P1162" s="398" cm="1">
        <f t="array" ref="P1162">J1162*INDEX(Berekening_impact[Opbrengsten door QALY''s],MATCH(B1162,IF(Berekening_impact[Doelgroep]=C1162,Berekening_impact[Digitale zorgtoepassing]),0))</f>
        <v>144705000</v>
      </c>
      <c r="Q1162" s="398" cm="1">
        <f t="array" ref="Q1162">J1162*INDEX(Berekening_impact[Jaarlijkse kosten (totaal) - incl. schatting],MATCH(B1162,IF(Berekening_impact[Doelgroep]=C1162,Berekening_impact[Digitale zorgtoepassing]),0))</f>
        <v>45003255</v>
      </c>
      <c r="R1162" s="398" cm="1">
        <f t="array" ref="R1162">(uitkomst_doelgroep[[#This Row],[Implementatiegraad t = T + 1]]-uitkomst_doelgroep[[#This Row],[Implementatiegraad t = T]])*INDEX(Berekening_impact[Initiële investering (totaal) - incl. schatting],MATCH(B1162,IF(Berekening_impact[Doelgroep]=C1162,Berekening_impact[Digitale zorgtoepassing]),0))</f>
        <v>5464944.581250011</v>
      </c>
      <c r="S1162" s="398">
        <f>uitkomst_doelgroep[[#This Row],[Arbeidsbesparing (€)]]*uitkomst_doelgroep[[#This Row],[Percentage van patiëntaantallen in Wlz (overige is Zvw)]]</f>
        <v>0</v>
      </c>
      <c r="T1162" s="398">
        <f>uitkomst_doelgroep[[#This Row],[Overige besparingen (€)]]*uitkomst_doelgroep[[#This Row],[Percentage van patiëntaantallen in Wlz (overige is Zvw)]]</f>
        <v>0</v>
      </c>
      <c r="U1162" s="398">
        <f>uitkomst_doelgroep[[#This Row],[Kosten (€)]]*uitkomst_doelgroep[[#This Row],[Percentage van patiëntaantallen in Wlz (overige is Zvw)]]</f>
        <v>0</v>
      </c>
      <c r="V1162" s="398">
        <f>uitkomst_doelgroep[[#This Row],[Investering (cash flow) (€)]]*uitkomst_doelgroep[[#This Row],[Percentage van patiëntaantallen in Wlz (overige is Zvw)]]</f>
        <v>0</v>
      </c>
    </row>
    <row r="1163" spans="1:22" x14ac:dyDescent="0.5">
      <c r="A1163" s="33" t="str">
        <f>INDEX(Technologieën[Veld],MATCH(B1163,Technologieën[Digitale zorgtoepassing],0))</f>
        <v>Sensoren - Behandeling</v>
      </c>
      <c r="B1163" s="33" t="s">
        <v>88</v>
      </c>
      <c r="C1163" s="33" t="s">
        <v>91</v>
      </c>
      <c r="D1163" s="427" cm="1">
        <f t="array" ref="D1163">INDEX(Berekening_patiëntaantal[Percentage van patiëntaantallen in Wlz (overige is Zvw)],MATCH(B1163,IF(Berekening_patiëntaantal[Doelgroep (zoeksleutel)]=C1163,Berekening_patiëntaantal[Digitale zorgtoepassing]),0))</f>
        <v>0</v>
      </c>
      <c r="E1163" s="33" t="str" cm="1">
        <f t="array" ref="E1163">INDEX(Berekening_patiëntaantal[Direct toepasbaar/extrapolatie/incidentie voor QALY],MATCH(B1163,IF(Berekening_patiëntaantal[Doelgroep (zoeksleutel)]=C1163,Berekening_patiëntaantal[Digitale zorgtoepassing]),0))</f>
        <v>Huidige toepassing</v>
      </c>
      <c r="F1163" s="33" t="s">
        <v>813</v>
      </c>
      <c r="G1163" s="33" t="str">
        <f>CONCATENATE(uitkomst_doelgroep[[#This Row],[Digitale zorgtoepassing]],"_",uitkomst_doelgroep[[#This Row],[Doelgroep]],"_",uitkomst_doelgroep[[#This Row],[Uitgangssituatie/effect beleid]])</f>
        <v>RT monitoring (glucosemeter)_Diabetes_thuiszorg_Uitgangssituatie</v>
      </c>
      <c r="H1163" s="33">
        <v>2024</v>
      </c>
      <c r="I1163" s="32">
        <v>2</v>
      </c>
      <c r="J1163" s="406" cm="1">
        <f t="array" ref="J1163">INDEX(implementatie[[2023]:[2034]],MATCH(G1163, implementatie[Zoeksleutel],0),I1163)</f>
        <v>0.71799999999999997</v>
      </c>
      <c r="K1163" s="406" cm="1">
        <f t="array" ref="K1163">INDEX(implementatie[[2023]:[2034]],MATCH(G1163,implementatie[Zoeksleutel],0),I1163 + 1)</f>
        <v>0.81616420000000001</v>
      </c>
      <c r="L116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1257.9359999999999</v>
      </c>
      <c r="M1163" s="398" cm="1">
        <f t="array" ref="M1163">J1163*INDEX(Berekening_impact[Totaal arbeidsbesparing (€/jaar)],MATCH(B1163,IF(Berekening_impact[Doelgroep]=C1163,Berekening_impact[Digitale zorgtoepassing]),0))</f>
        <v>5651982.5507181613</v>
      </c>
      <c r="N1163" s="397" cm="1">
        <f t="array" ref="N1163">J1163*INDEX(Berekening_impact[Totaal arbeidsbesparing (FTE/jaar)],MATCH(B1163,IF(Berekening_impact[Doelgroep]=C1163,Berekening_impact[Digitale zorgtoepassing]),0))</f>
        <v>133.13156000000001</v>
      </c>
      <c r="O1163" s="398" cm="1">
        <f t="array" ref="O1163">J1163*INDEX(Berekening_impact[Overige kostenbesparing (totaal/jaar totaal potentieel)],MATCH(B1163,IF(Berekening_impact[Doelgroep]=C1163,Berekening_impact[Digitale zorgtoepassing]),0))</f>
        <v>0</v>
      </c>
      <c r="P1163" s="398" cm="1">
        <f t="array" ref="P1163">J1163*INDEX(Berekening_impact[Opbrengsten door QALY''s],MATCH(B1163,IF(Berekening_impact[Doelgroep]=C1163,Berekening_impact[Digitale zorgtoepassing]),0))</f>
        <v>0</v>
      </c>
      <c r="Q1163" s="398" cm="1">
        <f t="array" ref="Q1163">J1163*INDEX(Berekening_impact[Jaarlijkse kosten (totaal) - incl. schatting],MATCH(B1163,IF(Berekening_impact[Doelgroep]=C1163,Berekening_impact[Digitale zorgtoepassing]),0))</f>
        <v>0</v>
      </c>
      <c r="R1163" s="398" cm="1">
        <f t="array" ref="R1163">(uitkomst_doelgroep[[#This Row],[Implementatiegraad t = T + 1]]-uitkomst_doelgroep[[#This Row],[Implementatiegraad t = T]])*INDEX(Berekening_impact[Initiële investering (totaal) - incl. schatting],MATCH(B1163,IF(Berekening_impact[Doelgroep]=C1163,Berekening_impact[Digitale zorgtoepassing]),0))</f>
        <v>0</v>
      </c>
      <c r="S1163" s="398">
        <f>uitkomst_doelgroep[[#This Row],[Arbeidsbesparing (€)]]*uitkomst_doelgroep[[#This Row],[Percentage van patiëntaantallen in Wlz (overige is Zvw)]]</f>
        <v>0</v>
      </c>
      <c r="T1163" s="398">
        <f>uitkomst_doelgroep[[#This Row],[Overige besparingen (€)]]*uitkomst_doelgroep[[#This Row],[Percentage van patiëntaantallen in Wlz (overige is Zvw)]]</f>
        <v>0</v>
      </c>
      <c r="U1163" s="398">
        <f>uitkomst_doelgroep[[#This Row],[Kosten (€)]]*uitkomst_doelgroep[[#This Row],[Percentage van patiëntaantallen in Wlz (overige is Zvw)]]</f>
        <v>0</v>
      </c>
      <c r="V1163" s="398">
        <f>uitkomst_doelgroep[[#This Row],[Investering (cash flow) (€)]]*uitkomst_doelgroep[[#This Row],[Percentage van patiëntaantallen in Wlz (overige is Zvw)]]</f>
        <v>0</v>
      </c>
    </row>
    <row r="1164" spans="1:22" x14ac:dyDescent="0.5">
      <c r="A1164" s="33" t="str">
        <f>INDEX(Technologieën[Veld],MATCH(B1164,Technologieën[Digitale zorgtoepassing],0))</f>
        <v>Sensoren - Behandeling</v>
      </c>
      <c r="B1164" s="33" t="s">
        <v>88</v>
      </c>
      <c r="C1164" s="33" t="s">
        <v>89</v>
      </c>
      <c r="D1164" s="427" cm="1">
        <f t="array" ref="D1164">INDEX(Berekening_patiëntaantal[Percentage van patiëntaantallen in Wlz (overige is Zvw)],MATCH(B1164,IF(Berekening_patiëntaantal[Doelgroep (zoeksleutel)]=C1164,Berekening_patiëntaantal[Digitale zorgtoepassing]),0))</f>
        <v>0</v>
      </c>
      <c r="E1164" s="33" t="str" cm="1">
        <f t="array" ref="E1164">INDEX(Berekening_patiëntaantal[Direct toepasbaar/extrapolatie/incidentie voor QALY],MATCH(B1164,IF(Berekening_patiëntaantal[Doelgroep (zoeksleutel)]=C1164,Berekening_patiëntaantal[Digitale zorgtoepassing]),0))</f>
        <v>Huidige toepassing</v>
      </c>
      <c r="F1164" s="33" t="s">
        <v>813</v>
      </c>
      <c r="G1164" s="33" t="str">
        <f>CONCATENATE(uitkomst_doelgroep[[#This Row],[Digitale zorgtoepassing]],"_",uitkomst_doelgroep[[#This Row],[Doelgroep]],"_",uitkomst_doelgroep[[#This Row],[Uitgangssituatie/effect beleid]])</f>
        <v>RT monitoring (glucosemeter)_Diabetes_Uitgangssituatie</v>
      </c>
      <c r="H1164" s="33">
        <v>2025</v>
      </c>
      <c r="I1164" s="32">
        <v>3</v>
      </c>
      <c r="J1164" s="406" cm="1">
        <f t="array" ref="J1164">INDEX(implementatie[[2023]:[2034]],MATCH(G1164, implementatie[Zoeksleutel],0),I1164)</f>
        <v>0.92861695000000011</v>
      </c>
      <c r="K1164" s="406" cm="1">
        <f t="array" ref="K1164">INDEX(implementatie[[2023]:[2034]],MATCH(G1164,implementatie[Zoeksleutel],0),I1164 + 1)</f>
        <v>0.96023090582771387</v>
      </c>
      <c r="L116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102147.86450000001</v>
      </c>
      <c r="M1164" s="398" cm="1">
        <f t="array" ref="M1164">J1164*INDEX(Berekening_impact[Totaal arbeidsbesparing (€/jaar)],MATCH(B1164,IF(Berekening_impact[Doelgroep]=C1164,Berekening_impact[Digitale zorgtoepassing]),0))</f>
        <v>16715105.100000001</v>
      </c>
      <c r="N1164" s="397" cm="1">
        <f t="array" ref="N1164">J1164*INDEX(Berekening_impact[Totaal arbeidsbesparing (FTE/jaar)],MATCH(B1164,IF(Berekening_impact[Doelgroep]=C1164,Berekening_impact[Digitale zorgtoepassing]),0))</f>
        <v>289.69297936629926</v>
      </c>
      <c r="O1164" s="398" cm="1">
        <f t="array" ref="O1164">J1164*INDEX(Berekening_impact[Overige kostenbesparing (totaal/jaar totaal potentieel)],MATCH(B1164,IF(Berekening_impact[Doelgroep]=C1164,Berekening_impact[Digitale zorgtoepassing]),0))</f>
        <v>11143403.4</v>
      </c>
      <c r="P1164" s="398" cm="1">
        <f t="array" ref="P1164">J1164*INDEX(Berekening_impact[Opbrengsten door QALY''s],MATCH(B1164,IF(Berekening_impact[Doelgroep]=C1164,Berekening_impact[Digitale zorgtoepassing]),0))</f>
        <v>153221796.75000003</v>
      </c>
      <c r="Q1164" s="398" cm="1">
        <f t="array" ref="Q1164">J1164*INDEX(Berekening_impact[Jaarlijkse kosten (totaal) - incl. schatting],MATCH(B1164,IF(Berekening_impact[Doelgroep]=C1164,Berekening_impact[Digitale zorgtoepassing]),0))</f>
        <v>47651978.789250009</v>
      </c>
      <c r="R1164" s="398" cm="1">
        <f t="array" ref="R1164">(uitkomst_doelgroep[[#This Row],[Implementatiegraad t = T + 1]]-uitkomst_doelgroep[[#This Row],[Implementatiegraad t = T]])*INDEX(Berekening_impact[Initiële investering (totaal) - incl. schatting],MATCH(B1164,IF(Berekening_impact[Doelgroep]=C1164,Berekening_impact[Digitale zorgtoepassing]),0))</f>
        <v>3347127.5732591939</v>
      </c>
      <c r="S1164" s="398">
        <f>uitkomst_doelgroep[[#This Row],[Arbeidsbesparing (€)]]*uitkomst_doelgroep[[#This Row],[Percentage van patiëntaantallen in Wlz (overige is Zvw)]]</f>
        <v>0</v>
      </c>
      <c r="T1164" s="398">
        <f>uitkomst_doelgroep[[#This Row],[Overige besparingen (€)]]*uitkomst_doelgroep[[#This Row],[Percentage van patiëntaantallen in Wlz (overige is Zvw)]]</f>
        <v>0</v>
      </c>
      <c r="U1164" s="398">
        <f>uitkomst_doelgroep[[#This Row],[Kosten (€)]]*uitkomst_doelgroep[[#This Row],[Percentage van patiëntaantallen in Wlz (overige is Zvw)]]</f>
        <v>0</v>
      </c>
      <c r="V1164" s="398">
        <f>uitkomst_doelgroep[[#This Row],[Investering (cash flow) (€)]]*uitkomst_doelgroep[[#This Row],[Percentage van patiëntaantallen in Wlz (overige is Zvw)]]</f>
        <v>0</v>
      </c>
    </row>
    <row r="1165" spans="1:22" x14ac:dyDescent="0.5">
      <c r="A1165" s="33" t="str">
        <f>INDEX(Technologieën[Veld],MATCH(B1165,Technologieën[Digitale zorgtoepassing],0))</f>
        <v>Sensoren - Behandeling</v>
      </c>
      <c r="B1165" s="33" t="s">
        <v>88</v>
      </c>
      <c r="C1165" s="33" t="s">
        <v>91</v>
      </c>
      <c r="D1165" s="427" cm="1">
        <f t="array" ref="D1165">INDEX(Berekening_patiëntaantal[Percentage van patiëntaantallen in Wlz (overige is Zvw)],MATCH(B1165,IF(Berekening_patiëntaantal[Doelgroep (zoeksleutel)]=C1165,Berekening_patiëntaantal[Digitale zorgtoepassing]),0))</f>
        <v>0</v>
      </c>
      <c r="E1165" s="33" t="str" cm="1">
        <f t="array" ref="E1165">INDEX(Berekening_patiëntaantal[Direct toepasbaar/extrapolatie/incidentie voor QALY],MATCH(B1165,IF(Berekening_patiëntaantal[Doelgroep (zoeksleutel)]=C1165,Berekening_patiëntaantal[Digitale zorgtoepassing]),0))</f>
        <v>Huidige toepassing</v>
      </c>
      <c r="F1165" s="33" t="s">
        <v>813</v>
      </c>
      <c r="G1165" s="33" t="str">
        <f>CONCATENATE(uitkomst_doelgroep[[#This Row],[Digitale zorgtoepassing]],"_",uitkomst_doelgroep[[#This Row],[Doelgroep]],"_",uitkomst_doelgroep[[#This Row],[Uitgangssituatie/effect beleid]])</f>
        <v>RT monitoring (glucosemeter)_Diabetes_thuiszorg_Uitgangssituatie</v>
      </c>
      <c r="H1165" s="33">
        <v>2025</v>
      </c>
      <c r="I1165" s="32">
        <v>3</v>
      </c>
      <c r="J1165" s="406" cm="1">
        <f t="array" ref="J1165">INDEX(implementatie[[2023]:[2034]],MATCH(G1165, implementatie[Zoeksleutel],0),I1165)</f>
        <v>0.81616420000000001</v>
      </c>
      <c r="K1165" s="406" cm="1">
        <f t="array" ref="K1165">INDEX(implementatie[[2023]:[2034]],MATCH(G1165,implementatie[Zoeksleutel],0),I1165 + 1)</f>
        <v>0.88827818438726203</v>
      </c>
      <c r="L116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1429.9196784000001</v>
      </c>
      <c r="M1165" s="398" cm="1">
        <f t="array" ref="M1165">J1165*INDEX(Berekening_impact[Totaal arbeidsbesparing (€/jaar)],MATCH(B1165,IF(Berekening_impact[Doelgroep]=C1165,Berekening_impact[Digitale zorgtoepassing]),0))</f>
        <v>6424715.6224524342</v>
      </c>
      <c r="N1165" s="397" cm="1">
        <f t="array" ref="N1165">J1165*INDEX(Berekening_impact[Totaal arbeidsbesparing (FTE/jaar)],MATCH(B1165,IF(Berekening_impact[Doelgroep]=C1165,Berekening_impact[Digitale zorgtoepassing]),0))</f>
        <v>151.33316596400002</v>
      </c>
      <c r="O1165" s="398" cm="1">
        <f t="array" ref="O1165">J1165*INDEX(Berekening_impact[Overige kostenbesparing (totaal/jaar totaal potentieel)],MATCH(B1165,IF(Berekening_impact[Doelgroep]=C1165,Berekening_impact[Digitale zorgtoepassing]),0))</f>
        <v>0</v>
      </c>
      <c r="P1165" s="398" cm="1">
        <f t="array" ref="P1165">J1165*INDEX(Berekening_impact[Opbrengsten door QALY''s],MATCH(B1165,IF(Berekening_impact[Doelgroep]=C1165,Berekening_impact[Digitale zorgtoepassing]),0))</f>
        <v>0</v>
      </c>
      <c r="Q1165" s="398" cm="1">
        <f t="array" ref="Q1165">J1165*INDEX(Berekening_impact[Jaarlijkse kosten (totaal) - incl. schatting],MATCH(B1165,IF(Berekening_impact[Doelgroep]=C1165,Berekening_impact[Digitale zorgtoepassing]),0))</f>
        <v>0</v>
      </c>
      <c r="R1165" s="398" cm="1">
        <f t="array" ref="R1165">(uitkomst_doelgroep[[#This Row],[Implementatiegraad t = T + 1]]-uitkomst_doelgroep[[#This Row],[Implementatiegraad t = T]])*INDEX(Berekening_impact[Initiële investering (totaal) - incl. schatting],MATCH(B1165,IF(Berekening_impact[Doelgroep]=C1165,Berekening_impact[Digitale zorgtoepassing]),0))</f>
        <v>0</v>
      </c>
      <c r="S1165" s="398">
        <f>uitkomst_doelgroep[[#This Row],[Arbeidsbesparing (€)]]*uitkomst_doelgroep[[#This Row],[Percentage van patiëntaantallen in Wlz (overige is Zvw)]]</f>
        <v>0</v>
      </c>
      <c r="T1165" s="398">
        <f>uitkomst_doelgroep[[#This Row],[Overige besparingen (€)]]*uitkomst_doelgroep[[#This Row],[Percentage van patiëntaantallen in Wlz (overige is Zvw)]]</f>
        <v>0</v>
      </c>
      <c r="U1165" s="398">
        <f>uitkomst_doelgroep[[#This Row],[Kosten (€)]]*uitkomst_doelgroep[[#This Row],[Percentage van patiëntaantallen in Wlz (overige is Zvw)]]</f>
        <v>0</v>
      </c>
      <c r="V1165" s="398">
        <f>uitkomst_doelgroep[[#This Row],[Investering (cash flow) (€)]]*uitkomst_doelgroep[[#This Row],[Percentage van patiëntaantallen in Wlz (overige is Zvw)]]</f>
        <v>0</v>
      </c>
    </row>
    <row r="1166" spans="1:22" x14ac:dyDescent="0.5">
      <c r="A1166" s="33" t="str">
        <f>INDEX(Technologieën[Veld],MATCH(B1166,Technologieën[Digitale zorgtoepassing],0))</f>
        <v>Sensoren - Behandeling</v>
      </c>
      <c r="B1166" s="33" t="s">
        <v>88</v>
      </c>
      <c r="C1166" s="33" t="s">
        <v>89</v>
      </c>
      <c r="D1166" s="427" cm="1">
        <f t="array" ref="D1166">INDEX(Berekening_patiëntaantal[Percentage van patiëntaantallen in Wlz (overige is Zvw)],MATCH(B1166,IF(Berekening_patiëntaantal[Doelgroep (zoeksleutel)]=C1166,Berekening_patiëntaantal[Digitale zorgtoepassing]),0))</f>
        <v>0</v>
      </c>
      <c r="E1166" s="33" t="str" cm="1">
        <f t="array" ref="E1166">INDEX(Berekening_patiëntaantal[Direct toepasbaar/extrapolatie/incidentie voor QALY],MATCH(B1166,IF(Berekening_patiëntaantal[Doelgroep (zoeksleutel)]=C1166,Berekening_patiëntaantal[Digitale zorgtoepassing]),0))</f>
        <v>Huidige toepassing</v>
      </c>
      <c r="F1166" s="33" t="s">
        <v>813</v>
      </c>
      <c r="G1166" s="33" t="str">
        <f>CONCATENATE(uitkomst_doelgroep[[#This Row],[Digitale zorgtoepassing]],"_",uitkomst_doelgroep[[#This Row],[Doelgroep]],"_",uitkomst_doelgroep[[#This Row],[Uitgangssituatie/effect beleid]])</f>
        <v>RT monitoring (glucosemeter)_Diabetes_Uitgangssituatie</v>
      </c>
      <c r="H1166" s="33">
        <v>2026</v>
      </c>
      <c r="I1166" s="32">
        <v>4</v>
      </c>
      <c r="J1166" s="406" cm="1">
        <f t="array" ref="J1166">INDEX(implementatie[[2023]:[2034]],MATCH(G1166, implementatie[Zoeksleutel],0),I1166)</f>
        <v>0.96023090582771387</v>
      </c>
      <c r="K1166" s="406" cm="1">
        <f t="array" ref="K1166">INDEX(implementatie[[2023]:[2034]],MATCH(G1166,implementatie[Zoeksleutel],0),I1166 + 1)</f>
        <v>0.97840951417647182</v>
      </c>
      <c r="L116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105625.39964104853</v>
      </c>
      <c r="M1166" s="398" cm="1">
        <f t="array" ref="M1166">J1166*INDEX(Berekening_impact[Totaal arbeidsbesparing (€/jaar)],MATCH(B1166,IF(Berekening_impact[Doelgroep]=C1166,Berekening_impact[Digitale zorgtoepassing]),0))</f>
        <v>17284156.304898851</v>
      </c>
      <c r="N1166" s="397" cm="1">
        <f t="array" ref="N1166">J1166*INDEX(Berekening_impact[Totaal arbeidsbesparing (FTE/jaar)],MATCH(B1166,IF(Berekening_impact[Doelgroep]=C1166,Berekening_impact[Digitale zorgtoepassing]),0))</f>
        <v>299.55532471039942</v>
      </c>
      <c r="O1166" s="398" cm="1">
        <f t="array" ref="O1166">J1166*INDEX(Berekening_impact[Overige kostenbesparing (totaal/jaar totaal potentieel)],MATCH(B1166,IF(Berekening_impact[Doelgroep]=C1166,Berekening_impact[Digitale zorgtoepassing]),0))</f>
        <v>11522770.869932566</v>
      </c>
      <c r="P1166" s="398" cm="1">
        <f t="array" ref="P1166">J1166*INDEX(Berekening_impact[Opbrengsten door QALY''s],MATCH(B1166,IF(Berekening_impact[Doelgroep]=C1166,Berekening_impact[Digitale zorgtoepassing]),0))</f>
        <v>158438099.4615728</v>
      </c>
      <c r="Q1166" s="398" cm="1">
        <f t="array" ref="Q1166">J1166*INDEX(Berekening_impact[Jaarlijkse kosten (totaal) - incl. schatting],MATCH(B1166,IF(Berekening_impact[Doelgroep]=C1166,Berekening_impact[Digitale zorgtoepassing]),0))</f>
        <v>49274248.932549134</v>
      </c>
      <c r="R1166" s="398" cm="1">
        <f t="array" ref="R1166">(uitkomst_doelgroep[[#This Row],[Implementatiegraad t = T + 1]]-uitkomst_doelgroep[[#This Row],[Implementatiegraad t = T]])*INDEX(Berekening_impact[Initiële investering (totaal) - incl. schatting],MATCH(B1166,IF(Berekening_impact[Doelgroep]=C1166,Berekening_impact[Digitale zorgtoepassing]),0))</f>
        <v>1924660.1589247482</v>
      </c>
      <c r="S1166" s="398">
        <f>uitkomst_doelgroep[[#This Row],[Arbeidsbesparing (€)]]*uitkomst_doelgroep[[#This Row],[Percentage van patiëntaantallen in Wlz (overige is Zvw)]]</f>
        <v>0</v>
      </c>
      <c r="T1166" s="398">
        <f>uitkomst_doelgroep[[#This Row],[Overige besparingen (€)]]*uitkomst_doelgroep[[#This Row],[Percentage van patiëntaantallen in Wlz (overige is Zvw)]]</f>
        <v>0</v>
      </c>
      <c r="U1166" s="398">
        <f>uitkomst_doelgroep[[#This Row],[Kosten (€)]]*uitkomst_doelgroep[[#This Row],[Percentage van patiëntaantallen in Wlz (overige is Zvw)]]</f>
        <v>0</v>
      </c>
      <c r="V1166" s="398">
        <f>uitkomst_doelgroep[[#This Row],[Investering (cash flow) (€)]]*uitkomst_doelgroep[[#This Row],[Percentage van patiëntaantallen in Wlz (overige is Zvw)]]</f>
        <v>0</v>
      </c>
    </row>
    <row r="1167" spans="1:22" x14ac:dyDescent="0.5">
      <c r="A1167" s="33" t="str">
        <f>INDEX(Technologieën[Veld],MATCH(B1167,Technologieën[Digitale zorgtoepassing],0))</f>
        <v>Sensoren - Behandeling</v>
      </c>
      <c r="B1167" s="33" t="s">
        <v>88</v>
      </c>
      <c r="C1167" s="33" t="s">
        <v>91</v>
      </c>
      <c r="D1167" s="427" cm="1">
        <f t="array" ref="D1167">INDEX(Berekening_patiëntaantal[Percentage van patiëntaantallen in Wlz (overige is Zvw)],MATCH(B1167,IF(Berekening_patiëntaantal[Doelgroep (zoeksleutel)]=C1167,Berekening_patiëntaantal[Digitale zorgtoepassing]),0))</f>
        <v>0</v>
      </c>
      <c r="E1167" s="33" t="str" cm="1">
        <f t="array" ref="E1167">INDEX(Berekening_patiëntaantal[Direct toepasbaar/extrapolatie/incidentie voor QALY],MATCH(B1167,IF(Berekening_patiëntaantal[Doelgroep (zoeksleutel)]=C1167,Berekening_patiëntaantal[Digitale zorgtoepassing]),0))</f>
        <v>Huidige toepassing</v>
      </c>
      <c r="F1167" s="33" t="s">
        <v>813</v>
      </c>
      <c r="G1167" s="33" t="str">
        <f>CONCATENATE(uitkomst_doelgroep[[#This Row],[Digitale zorgtoepassing]],"_",uitkomst_doelgroep[[#This Row],[Doelgroep]],"_",uitkomst_doelgroep[[#This Row],[Uitgangssituatie/effect beleid]])</f>
        <v>RT monitoring (glucosemeter)_Diabetes_thuiszorg_Uitgangssituatie</v>
      </c>
      <c r="H1167" s="33">
        <v>2026</v>
      </c>
      <c r="I1167" s="32">
        <v>4</v>
      </c>
      <c r="J1167" s="406" cm="1">
        <f t="array" ref="J1167">INDEX(implementatie[[2023]:[2034]],MATCH(G1167, implementatie[Zoeksleutel],0),I1167)</f>
        <v>0.88827818438726203</v>
      </c>
      <c r="K1167" s="406" cm="1">
        <f t="array" ref="K1167">INDEX(implementatie[[2023]:[2034]],MATCH(G1167,implementatie[Zoeksleutel],0),I1167 + 1)</f>
        <v>0.93572925296559961</v>
      </c>
      <c r="L116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1556.2633790464831</v>
      </c>
      <c r="M1167" s="398" cm="1">
        <f t="array" ref="M1167">J1167*INDEX(Berekening_impact[Totaal arbeidsbesparing (€/jaar)],MATCH(B1167,IF(Berekening_impact[Doelgroep]=C1167,Berekening_impact[Digitale zorgtoepassing]),0))</f>
        <v>6992385.5130089335</v>
      </c>
      <c r="N1167" s="397" cm="1">
        <f t="array" ref="N1167">J1167*INDEX(Berekening_impact[Totaal arbeidsbesparing (FTE/jaar)],MATCH(B1167,IF(Berekening_impact[Doelgroep]=C1167,Berekening_impact[Digitale zorgtoepassing]),0))</f>
        <v>164.70454094908615</v>
      </c>
      <c r="O1167" s="398" cm="1">
        <f t="array" ref="O1167">J1167*INDEX(Berekening_impact[Overige kostenbesparing (totaal/jaar totaal potentieel)],MATCH(B1167,IF(Berekening_impact[Doelgroep]=C1167,Berekening_impact[Digitale zorgtoepassing]),0))</f>
        <v>0</v>
      </c>
      <c r="P1167" s="398" cm="1">
        <f t="array" ref="P1167">J1167*INDEX(Berekening_impact[Opbrengsten door QALY''s],MATCH(B1167,IF(Berekening_impact[Doelgroep]=C1167,Berekening_impact[Digitale zorgtoepassing]),0))</f>
        <v>0</v>
      </c>
      <c r="Q1167" s="398" cm="1">
        <f t="array" ref="Q1167">J1167*INDEX(Berekening_impact[Jaarlijkse kosten (totaal) - incl. schatting],MATCH(B1167,IF(Berekening_impact[Doelgroep]=C1167,Berekening_impact[Digitale zorgtoepassing]),0))</f>
        <v>0</v>
      </c>
      <c r="R1167" s="398" cm="1">
        <f t="array" ref="R1167">(uitkomst_doelgroep[[#This Row],[Implementatiegraad t = T + 1]]-uitkomst_doelgroep[[#This Row],[Implementatiegraad t = T]])*INDEX(Berekening_impact[Initiële investering (totaal) - incl. schatting],MATCH(B1167,IF(Berekening_impact[Doelgroep]=C1167,Berekening_impact[Digitale zorgtoepassing]),0))</f>
        <v>0</v>
      </c>
      <c r="S1167" s="398">
        <f>uitkomst_doelgroep[[#This Row],[Arbeidsbesparing (€)]]*uitkomst_doelgroep[[#This Row],[Percentage van patiëntaantallen in Wlz (overige is Zvw)]]</f>
        <v>0</v>
      </c>
      <c r="T1167" s="398">
        <f>uitkomst_doelgroep[[#This Row],[Overige besparingen (€)]]*uitkomst_doelgroep[[#This Row],[Percentage van patiëntaantallen in Wlz (overige is Zvw)]]</f>
        <v>0</v>
      </c>
      <c r="U1167" s="398">
        <f>uitkomst_doelgroep[[#This Row],[Kosten (€)]]*uitkomst_doelgroep[[#This Row],[Percentage van patiëntaantallen in Wlz (overige is Zvw)]]</f>
        <v>0</v>
      </c>
      <c r="V1167" s="398">
        <f>uitkomst_doelgroep[[#This Row],[Investering (cash flow) (€)]]*uitkomst_doelgroep[[#This Row],[Percentage van patiëntaantallen in Wlz (overige is Zvw)]]</f>
        <v>0</v>
      </c>
    </row>
    <row r="1168" spans="1:22" x14ac:dyDescent="0.5">
      <c r="A1168" s="33" t="str">
        <f>INDEX(Technologieën[Veld],MATCH(B1168,Technologieën[Digitale zorgtoepassing],0))</f>
        <v>Sensoren - Behandeling</v>
      </c>
      <c r="B1168" s="33" t="s">
        <v>88</v>
      </c>
      <c r="C1168" s="33" t="s">
        <v>89</v>
      </c>
      <c r="D1168" s="427" cm="1">
        <f t="array" ref="D1168">INDEX(Berekening_patiëntaantal[Percentage van patiëntaantallen in Wlz (overige is Zvw)],MATCH(B1168,IF(Berekening_patiëntaantal[Doelgroep (zoeksleutel)]=C1168,Berekening_patiëntaantal[Digitale zorgtoepassing]),0))</f>
        <v>0</v>
      </c>
      <c r="E1168" s="33" t="str" cm="1">
        <f t="array" ref="E1168">INDEX(Berekening_patiëntaantal[Direct toepasbaar/extrapolatie/incidentie voor QALY],MATCH(B1168,IF(Berekening_patiëntaantal[Doelgroep (zoeksleutel)]=C1168,Berekening_patiëntaantal[Digitale zorgtoepassing]),0))</f>
        <v>Huidige toepassing</v>
      </c>
      <c r="F1168" s="33" t="s">
        <v>813</v>
      </c>
      <c r="G1168" s="33" t="str">
        <f>CONCATENATE(uitkomst_doelgroep[[#This Row],[Digitale zorgtoepassing]],"_",uitkomst_doelgroep[[#This Row],[Doelgroep]],"_",uitkomst_doelgroep[[#This Row],[Uitgangssituatie/effect beleid]])</f>
        <v>RT monitoring (glucosemeter)_Diabetes_Uitgangssituatie</v>
      </c>
      <c r="H1168" s="33">
        <v>2027</v>
      </c>
      <c r="I1168" s="32">
        <v>5</v>
      </c>
      <c r="J1168" s="406" cm="1">
        <f t="array" ref="J1168">INDEX(implementatie[[2023]:[2034]],MATCH(G1168, implementatie[Zoeksleutel],0),I1168)</f>
        <v>0.97840951417647182</v>
      </c>
      <c r="K1168" s="406" cm="1">
        <f t="array" ref="K1168">INDEX(implementatie[[2023]:[2034]],MATCH(G1168,implementatie[Zoeksleutel],0),I1168 + 1)</f>
        <v>0.9884552278575045</v>
      </c>
      <c r="L116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107625.0465594119</v>
      </c>
      <c r="M1168" s="398" cm="1">
        <f t="array" ref="M1168">J1168*INDEX(Berekening_impact[Totaal arbeidsbesparing (€/jaar)],MATCH(B1168,IF(Berekening_impact[Doelgroep]=C1168,Berekening_impact[Digitale zorgtoepassing]),0))</f>
        <v>17611371.255176492</v>
      </c>
      <c r="N1168" s="397" cm="1">
        <f t="array" ref="N1168">J1168*INDEX(Berekening_impact[Totaal arbeidsbesparing (FTE/jaar)],MATCH(B1168,IF(Berekening_impact[Doelgroep]=C1168,Berekening_impact[Digitale zorgtoepassing]),0))</f>
        <v>305.22635539025589</v>
      </c>
      <c r="O1168" s="398" cm="1">
        <f t="array" ref="O1168">J1168*INDEX(Berekening_impact[Overige kostenbesparing (totaal/jaar totaal potentieel)],MATCH(B1168,IF(Berekening_impact[Doelgroep]=C1168,Berekening_impact[Digitale zorgtoepassing]),0))</f>
        <v>11740914.170117661</v>
      </c>
      <c r="P1168" s="398" cm="1">
        <f t="array" ref="P1168">J1168*INDEX(Berekening_impact[Opbrengsten door QALY''s],MATCH(B1168,IF(Berekening_impact[Doelgroep]=C1168,Berekening_impact[Digitale zorgtoepassing]),0))</f>
        <v>161437569.83911785</v>
      </c>
      <c r="Q1168" s="398" cm="1">
        <f t="array" ref="Q1168">J1168*INDEX(Berekening_impact[Jaarlijkse kosten (totaal) - incl. schatting],MATCH(B1168,IF(Berekening_impact[Doelgroep]=C1168,Berekening_impact[Digitale zorgtoepassing]),0))</f>
        <v>50207084.219965652</v>
      </c>
      <c r="R1168" s="398" cm="1">
        <f t="array" ref="R1168">(uitkomst_doelgroep[[#This Row],[Implementatiegraad t = T + 1]]-uitkomst_doelgroep[[#This Row],[Implementatiegraad t = T]])*INDEX(Berekening_impact[Initiële investering (totaal) - incl. schatting],MATCH(B1168,IF(Berekening_impact[Doelgroep]=C1168,Berekening_impact[Digitale zorgtoepassing]),0))</f>
        <v>1063589.9359793356</v>
      </c>
      <c r="S1168" s="398">
        <f>uitkomst_doelgroep[[#This Row],[Arbeidsbesparing (€)]]*uitkomst_doelgroep[[#This Row],[Percentage van patiëntaantallen in Wlz (overige is Zvw)]]</f>
        <v>0</v>
      </c>
      <c r="T1168" s="398">
        <f>uitkomst_doelgroep[[#This Row],[Overige besparingen (€)]]*uitkomst_doelgroep[[#This Row],[Percentage van patiëntaantallen in Wlz (overige is Zvw)]]</f>
        <v>0</v>
      </c>
      <c r="U1168" s="398">
        <f>uitkomst_doelgroep[[#This Row],[Kosten (€)]]*uitkomst_doelgroep[[#This Row],[Percentage van patiëntaantallen in Wlz (overige is Zvw)]]</f>
        <v>0</v>
      </c>
      <c r="V1168" s="398">
        <f>uitkomst_doelgroep[[#This Row],[Investering (cash flow) (€)]]*uitkomst_doelgroep[[#This Row],[Percentage van patiëntaantallen in Wlz (overige is Zvw)]]</f>
        <v>0</v>
      </c>
    </row>
    <row r="1169" spans="1:22" x14ac:dyDescent="0.5">
      <c r="A1169" s="33" t="str">
        <f>INDEX(Technologieën[Veld],MATCH(B1169,Technologieën[Digitale zorgtoepassing],0))</f>
        <v>Sensoren - Behandeling</v>
      </c>
      <c r="B1169" s="33" t="s">
        <v>88</v>
      </c>
      <c r="C1169" s="33" t="s">
        <v>91</v>
      </c>
      <c r="D1169" s="427" cm="1">
        <f t="array" ref="D1169">INDEX(Berekening_patiëntaantal[Percentage van patiëntaantallen in Wlz (overige is Zvw)],MATCH(B1169,IF(Berekening_patiëntaantal[Doelgroep (zoeksleutel)]=C1169,Berekening_patiëntaantal[Digitale zorgtoepassing]),0))</f>
        <v>0</v>
      </c>
      <c r="E1169" s="33" t="str" cm="1">
        <f t="array" ref="E1169">INDEX(Berekening_patiëntaantal[Direct toepasbaar/extrapolatie/incidentie voor QALY],MATCH(B1169,IF(Berekening_patiëntaantal[Doelgroep (zoeksleutel)]=C1169,Berekening_patiëntaantal[Digitale zorgtoepassing]),0))</f>
        <v>Huidige toepassing</v>
      </c>
      <c r="F1169" s="33" t="s">
        <v>813</v>
      </c>
      <c r="G1169" s="33" t="str">
        <f>CONCATENATE(uitkomst_doelgroep[[#This Row],[Digitale zorgtoepassing]],"_",uitkomst_doelgroep[[#This Row],[Doelgroep]],"_",uitkomst_doelgroep[[#This Row],[Uitgangssituatie/effect beleid]])</f>
        <v>RT monitoring (glucosemeter)_Diabetes_thuiszorg_Uitgangssituatie</v>
      </c>
      <c r="H1169" s="33">
        <v>2027</v>
      </c>
      <c r="I1169" s="32">
        <v>5</v>
      </c>
      <c r="J1169" s="406" cm="1">
        <f t="array" ref="J1169">INDEX(implementatie[[2023]:[2034]],MATCH(G1169, implementatie[Zoeksleutel],0),I1169)</f>
        <v>0.93572925296559961</v>
      </c>
      <c r="K1169" s="406" cm="1">
        <f t="array" ref="K1169">INDEX(implementatie[[2023]:[2034]],MATCH(G1169,implementatie[Zoeksleutel],0),I1169 + 1)</f>
        <v>0.9643990297909778</v>
      </c>
      <c r="L116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1639.3976511957305</v>
      </c>
      <c r="M1169" s="398" cm="1">
        <f t="array" ref="M1169">J1169*INDEX(Berekening_impact[Totaal arbeidsbesparing (€/jaar)],MATCH(B1169,IF(Berekening_impact[Doelgroep]=C1169,Berekening_impact[Digitale zorgtoepassing]),0))</f>
        <v>7365912.8272397062</v>
      </c>
      <c r="N1169" s="397" cm="1">
        <f t="array" ref="N1169">J1169*INDEX(Berekening_impact[Totaal arbeidsbesparing (FTE/jaar)],MATCH(B1169,IF(Berekening_impact[Doelgroep]=C1169,Berekening_impact[Digitale zorgtoepassing]),0))</f>
        <v>173.50291808488149</v>
      </c>
      <c r="O1169" s="398" cm="1">
        <f t="array" ref="O1169">J1169*INDEX(Berekening_impact[Overige kostenbesparing (totaal/jaar totaal potentieel)],MATCH(B1169,IF(Berekening_impact[Doelgroep]=C1169,Berekening_impact[Digitale zorgtoepassing]),0))</f>
        <v>0</v>
      </c>
      <c r="P1169" s="398" cm="1">
        <f t="array" ref="P1169">J1169*INDEX(Berekening_impact[Opbrengsten door QALY''s],MATCH(B1169,IF(Berekening_impact[Doelgroep]=C1169,Berekening_impact[Digitale zorgtoepassing]),0))</f>
        <v>0</v>
      </c>
      <c r="Q1169" s="398" cm="1">
        <f t="array" ref="Q1169">J1169*INDEX(Berekening_impact[Jaarlijkse kosten (totaal) - incl. schatting],MATCH(B1169,IF(Berekening_impact[Doelgroep]=C1169,Berekening_impact[Digitale zorgtoepassing]),0))</f>
        <v>0</v>
      </c>
      <c r="R1169" s="398" cm="1">
        <f t="array" ref="R1169">(uitkomst_doelgroep[[#This Row],[Implementatiegraad t = T + 1]]-uitkomst_doelgroep[[#This Row],[Implementatiegraad t = T]])*INDEX(Berekening_impact[Initiële investering (totaal) - incl. schatting],MATCH(B1169,IF(Berekening_impact[Doelgroep]=C1169,Berekening_impact[Digitale zorgtoepassing]),0))</f>
        <v>0</v>
      </c>
      <c r="S1169" s="398">
        <f>uitkomst_doelgroep[[#This Row],[Arbeidsbesparing (€)]]*uitkomst_doelgroep[[#This Row],[Percentage van patiëntaantallen in Wlz (overige is Zvw)]]</f>
        <v>0</v>
      </c>
      <c r="T1169" s="398">
        <f>uitkomst_doelgroep[[#This Row],[Overige besparingen (€)]]*uitkomst_doelgroep[[#This Row],[Percentage van patiëntaantallen in Wlz (overige is Zvw)]]</f>
        <v>0</v>
      </c>
      <c r="U1169" s="398">
        <f>uitkomst_doelgroep[[#This Row],[Kosten (€)]]*uitkomst_doelgroep[[#This Row],[Percentage van patiëntaantallen in Wlz (overige is Zvw)]]</f>
        <v>0</v>
      </c>
      <c r="V1169" s="398">
        <f>uitkomst_doelgroep[[#This Row],[Investering (cash flow) (€)]]*uitkomst_doelgroep[[#This Row],[Percentage van patiëntaantallen in Wlz (overige is Zvw)]]</f>
        <v>0</v>
      </c>
    </row>
    <row r="1170" spans="1:22" x14ac:dyDescent="0.5">
      <c r="A1170" s="33" t="str">
        <f>INDEX(Technologieën[Veld],MATCH(B1170,Technologieën[Digitale zorgtoepassing],0))</f>
        <v>Sensoren - Behandeling</v>
      </c>
      <c r="B1170" s="33" t="s">
        <v>88</v>
      </c>
      <c r="C1170" s="33" t="s">
        <v>89</v>
      </c>
      <c r="D1170" s="427" cm="1">
        <f t="array" ref="D1170">INDEX(Berekening_patiëntaantal[Percentage van patiëntaantallen in Wlz (overige is Zvw)],MATCH(B1170,IF(Berekening_patiëntaantal[Doelgroep (zoeksleutel)]=C1170,Berekening_patiëntaantal[Digitale zorgtoepassing]),0))</f>
        <v>0</v>
      </c>
      <c r="E1170" s="33" t="str" cm="1">
        <f t="array" ref="E1170">INDEX(Berekening_patiëntaantal[Direct toepasbaar/extrapolatie/incidentie voor QALY],MATCH(B1170,IF(Berekening_patiëntaantal[Doelgroep (zoeksleutel)]=C1170,Berekening_patiëntaantal[Digitale zorgtoepassing]),0))</f>
        <v>Huidige toepassing</v>
      </c>
      <c r="F1170" s="33" t="s">
        <v>813</v>
      </c>
      <c r="G1170" s="33" t="str">
        <f>CONCATENATE(uitkomst_doelgroep[[#This Row],[Digitale zorgtoepassing]],"_",uitkomst_doelgroep[[#This Row],[Doelgroep]],"_",uitkomst_doelgroep[[#This Row],[Uitgangssituatie/effect beleid]])</f>
        <v>RT monitoring (glucosemeter)_Diabetes_Uitgangssituatie</v>
      </c>
      <c r="H1170" s="33">
        <v>2028</v>
      </c>
      <c r="I1170" s="32">
        <v>6</v>
      </c>
      <c r="J1170" s="406" cm="1">
        <f t="array" ref="J1170">INDEX(implementatie[[2023]:[2034]],MATCH(G1170, implementatie[Zoeksleutel],0),I1170)</f>
        <v>0.9884552278575045</v>
      </c>
      <c r="K1170" s="406" cm="1">
        <f t="array" ref="K1170">INDEX(implementatie[[2023]:[2034]],MATCH(G1170,implementatie[Zoeksleutel],0),I1170 + 1)</f>
        <v>0.99387901783146992</v>
      </c>
      <c r="L117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108730.0750643255</v>
      </c>
      <c r="M1170" s="398" cm="1">
        <f t="array" ref="M1170">J1170*INDEX(Berekening_impact[Totaal arbeidsbesparing (€/jaar)],MATCH(B1170,IF(Berekening_impact[Doelgroep]=C1170,Berekening_impact[Digitale zorgtoepassing]),0))</f>
        <v>17792194.10143508</v>
      </c>
      <c r="N1170" s="397" cm="1">
        <f t="array" ref="N1170">J1170*INDEX(Berekening_impact[Totaal arbeidsbesparing (FTE/jaar)],MATCH(B1170,IF(Berekening_impact[Doelgroep]=C1170,Berekening_impact[Digitale zorgtoepassing]),0))</f>
        <v>308.36023392447731</v>
      </c>
      <c r="O1170" s="398" cm="1">
        <f t="array" ref="O1170">J1170*INDEX(Berekening_impact[Overige kostenbesparing (totaal/jaar totaal potentieel)],MATCH(B1170,IF(Berekening_impact[Doelgroep]=C1170,Berekening_impact[Digitale zorgtoepassing]),0))</f>
        <v>11861462.734290054</v>
      </c>
      <c r="P1170" s="398" cm="1">
        <f t="array" ref="P1170">J1170*INDEX(Berekening_impact[Opbrengsten door QALY''s],MATCH(B1170,IF(Berekening_impact[Doelgroep]=C1170,Berekening_impact[Digitale zorgtoepassing]),0))</f>
        <v>163095112.59648824</v>
      </c>
      <c r="Q1170" s="398" cm="1">
        <f t="array" ref="Q1170">J1170*INDEX(Berekening_impact[Jaarlijkse kosten (totaal) - incl. schatting],MATCH(B1170,IF(Berekening_impact[Doelgroep]=C1170,Berekening_impact[Digitale zorgtoepassing]),0))</f>
        <v>50722580.017507844</v>
      </c>
      <c r="R1170" s="398" cm="1">
        <f t="array" ref="R1170">(uitkomst_doelgroep[[#This Row],[Implementatiegraad t = T + 1]]-uitkomst_doelgroep[[#This Row],[Implementatiegraad t = T]])*INDEX(Berekening_impact[Initiële investering (totaal) - incl. schatting],MATCH(B1170,IF(Berekening_impact[Doelgroep]=C1170,Berekening_impact[Digitale zorgtoepassing]),0))</f>
        <v>574243.76349358889</v>
      </c>
      <c r="S1170" s="398">
        <f>uitkomst_doelgroep[[#This Row],[Arbeidsbesparing (€)]]*uitkomst_doelgroep[[#This Row],[Percentage van patiëntaantallen in Wlz (overige is Zvw)]]</f>
        <v>0</v>
      </c>
      <c r="T1170" s="398">
        <f>uitkomst_doelgroep[[#This Row],[Overige besparingen (€)]]*uitkomst_doelgroep[[#This Row],[Percentage van patiëntaantallen in Wlz (overige is Zvw)]]</f>
        <v>0</v>
      </c>
      <c r="U1170" s="398">
        <f>uitkomst_doelgroep[[#This Row],[Kosten (€)]]*uitkomst_doelgroep[[#This Row],[Percentage van patiëntaantallen in Wlz (overige is Zvw)]]</f>
        <v>0</v>
      </c>
      <c r="V1170" s="398">
        <f>uitkomst_doelgroep[[#This Row],[Investering (cash flow) (€)]]*uitkomst_doelgroep[[#This Row],[Percentage van patiëntaantallen in Wlz (overige is Zvw)]]</f>
        <v>0</v>
      </c>
    </row>
    <row r="1171" spans="1:22" x14ac:dyDescent="0.5">
      <c r="A1171" s="33" t="str">
        <f>INDEX(Technologieën[Veld],MATCH(B1171,Technologieën[Digitale zorgtoepassing],0))</f>
        <v>Sensoren - Behandeling</v>
      </c>
      <c r="B1171" s="33" t="s">
        <v>88</v>
      </c>
      <c r="C1171" s="33" t="s">
        <v>91</v>
      </c>
      <c r="D1171" s="427" cm="1">
        <f t="array" ref="D1171">INDEX(Berekening_patiëntaantal[Percentage van patiëntaantallen in Wlz (overige is Zvw)],MATCH(B1171,IF(Berekening_patiëntaantal[Doelgroep (zoeksleutel)]=C1171,Berekening_patiëntaantal[Digitale zorgtoepassing]),0))</f>
        <v>0</v>
      </c>
      <c r="E1171" s="33" t="str" cm="1">
        <f t="array" ref="E1171">INDEX(Berekening_patiëntaantal[Direct toepasbaar/extrapolatie/incidentie voor QALY],MATCH(B1171,IF(Berekening_patiëntaantal[Doelgroep (zoeksleutel)]=C1171,Berekening_patiëntaantal[Digitale zorgtoepassing]),0))</f>
        <v>Huidige toepassing</v>
      </c>
      <c r="F1171" s="33" t="s">
        <v>813</v>
      </c>
      <c r="G1171" s="33" t="str">
        <f>CONCATENATE(uitkomst_doelgroep[[#This Row],[Digitale zorgtoepassing]],"_",uitkomst_doelgroep[[#This Row],[Doelgroep]],"_",uitkomst_doelgroep[[#This Row],[Uitgangssituatie/effect beleid]])</f>
        <v>RT monitoring (glucosemeter)_Diabetes_thuiszorg_Uitgangssituatie</v>
      </c>
      <c r="H1171" s="33">
        <v>2028</v>
      </c>
      <c r="I1171" s="32">
        <v>6</v>
      </c>
      <c r="J1171" s="406" cm="1">
        <f t="array" ref="J1171">INDEX(implementatie[[2023]:[2034]],MATCH(G1171, implementatie[Zoeksleutel],0),I1171)</f>
        <v>0.9643990297909778</v>
      </c>
      <c r="K1171" s="406" cm="1">
        <f t="array" ref="K1171">INDEX(implementatie[[2023]:[2034]],MATCH(G1171,implementatie[Zoeksleutel],0),I1171 + 1)</f>
        <v>0.98073914755434266</v>
      </c>
      <c r="L117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1689.627100193793</v>
      </c>
      <c r="M1171" s="398" cm="1">
        <f t="array" ref="M1171">J1171*INDEX(Berekening_impact[Totaal arbeidsbesparing (€/jaar)],MATCH(B1171,IF(Berekening_impact[Doelgroep]=C1171,Berekening_impact[Digitale zorgtoepassing]),0))</f>
        <v>7591596.7803734411</v>
      </c>
      <c r="N1171" s="397" cm="1">
        <f t="array" ref="N1171">J1171*INDEX(Berekening_impact[Totaal arbeidsbesparing (FTE/jaar)],MATCH(B1171,IF(Berekening_impact[Doelgroep]=C1171,Berekening_impact[Digitale zorgtoepassing]),0))</f>
        <v>178.81886810384313</v>
      </c>
      <c r="O1171" s="398" cm="1">
        <f t="array" ref="O1171">J1171*INDEX(Berekening_impact[Overige kostenbesparing (totaal/jaar totaal potentieel)],MATCH(B1171,IF(Berekening_impact[Doelgroep]=C1171,Berekening_impact[Digitale zorgtoepassing]),0))</f>
        <v>0</v>
      </c>
      <c r="P1171" s="398" cm="1">
        <f t="array" ref="P1171">J1171*INDEX(Berekening_impact[Opbrengsten door QALY''s],MATCH(B1171,IF(Berekening_impact[Doelgroep]=C1171,Berekening_impact[Digitale zorgtoepassing]),0))</f>
        <v>0</v>
      </c>
      <c r="Q1171" s="398" cm="1">
        <f t="array" ref="Q1171">J1171*INDEX(Berekening_impact[Jaarlijkse kosten (totaal) - incl. schatting],MATCH(B1171,IF(Berekening_impact[Doelgroep]=C1171,Berekening_impact[Digitale zorgtoepassing]),0))</f>
        <v>0</v>
      </c>
      <c r="R1171" s="398" cm="1">
        <f t="array" ref="R1171">(uitkomst_doelgroep[[#This Row],[Implementatiegraad t = T + 1]]-uitkomst_doelgroep[[#This Row],[Implementatiegraad t = T]])*INDEX(Berekening_impact[Initiële investering (totaal) - incl. schatting],MATCH(B1171,IF(Berekening_impact[Doelgroep]=C1171,Berekening_impact[Digitale zorgtoepassing]),0))</f>
        <v>0</v>
      </c>
      <c r="S1171" s="398">
        <f>uitkomst_doelgroep[[#This Row],[Arbeidsbesparing (€)]]*uitkomst_doelgroep[[#This Row],[Percentage van patiëntaantallen in Wlz (overige is Zvw)]]</f>
        <v>0</v>
      </c>
      <c r="T1171" s="398">
        <f>uitkomst_doelgroep[[#This Row],[Overige besparingen (€)]]*uitkomst_doelgroep[[#This Row],[Percentage van patiëntaantallen in Wlz (overige is Zvw)]]</f>
        <v>0</v>
      </c>
      <c r="U1171" s="398">
        <f>uitkomst_doelgroep[[#This Row],[Kosten (€)]]*uitkomst_doelgroep[[#This Row],[Percentage van patiëntaantallen in Wlz (overige is Zvw)]]</f>
        <v>0</v>
      </c>
      <c r="V1171" s="398">
        <f>uitkomst_doelgroep[[#This Row],[Investering (cash flow) (€)]]*uitkomst_doelgroep[[#This Row],[Percentage van patiëntaantallen in Wlz (overige is Zvw)]]</f>
        <v>0</v>
      </c>
    </row>
    <row r="1172" spans="1:22" x14ac:dyDescent="0.5">
      <c r="A1172" s="33" t="str">
        <f>INDEX(Technologieën[Veld],MATCH(B1172,Technologieën[Digitale zorgtoepassing],0))</f>
        <v>Sensoren - Behandeling</v>
      </c>
      <c r="B1172" s="33" t="s">
        <v>88</v>
      </c>
      <c r="C1172" s="33" t="s">
        <v>89</v>
      </c>
      <c r="D1172" s="427" cm="1">
        <f t="array" ref="D1172">INDEX(Berekening_patiëntaantal[Percentage van patiëntaantallen in Wlz (overige is Zvw)],MATCH(B1172,IF(Berekening_patiëntaantal[Doelgroep (zoeksleutel)]=C1172,Berekening_patiëntaantal[Digitale zorgtoepassing]),0))</f>
        <v>0</v>
      </c>
      <c r="E1172" s="33" t="str" cm="1">
        <f t="array" ref="E1172">INDEX(Berekening_patiëntaantal[Direct toepasbaar/extrapolatie/incidentie voor QALY],MATCH(B1172,IF(Berekening_patiëntaantal[Doelgroep (zoeksleutel)]=C1172,Berekening_patiëntaantal[Digitale zorgtoepassing]),0))</f>
        <v>Huidige toepassing</v>
      </c>
      <c r="F1172" s="33" t="s">
        <v>813</v>
      </c>
      <c r="G1172" s="33" t="str">
        <f>CONCATENATE(uitkomst_doelgroep[[#This Row],[Digitale zorgtoepassing]],"_",uitkomst_doelgroep[[#This Row],[Doelgroep]],"_",uitkomst_doelgroep[[#This Row],[Uitgangssituatie/effect beleid]])</f>
        <v>RT monitoring (glucosemeter)_Diabetes_Uitgangssituatie</v>
      </c>
      <c r="H1172" s="33">
        <v>2029</v>
      </c>
      <c r="I1172" s="32">
        <v>7</v>
      </c>
      <c r="J1172" s="406" cm="1">
        <f t="array" ref="J1172">INDEX(implementatie[[2023]:[2034]],MATCH(G1172, implementatie[Zoeksleutel],0),I1172)</f>
        <v>0.99387901783146992</v>
      </c>
      <c r="K1172" s="406" cm="1">
        <f t="array" ref="K1172">INDEX(implementatie[[2023]:[2034]],MATCH(G1172,implementatie[Zoeksleutel],0),I1172 + 1)</f>
        <v>0.99676962447130335</v>
      </c>
      <c r="L117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109326.69196146169</v>
      </c>
      <c r="M1172" s="398" cm="1">
        <f t="array" ref="M1172">J1172*INDEX(Berekening_impact[Totaal arbeidsbesparing (€/jaar)],MATCH(B1172,IF(Berekening_impact[Doelgroep]=C1172,Berekening_impact[Digitale zorgtoepassing]),0))</f>
        <v>17889822.32096646</v>
      </c>
      <c r="N1172" s="397" cm="1">
        <f t="array" ref="N1172">J1172*INDEX(Berekening_impact[Totaal arbeidsbesparing (FTE/jaar)],MATCH(B1172,IF(Berekening_impact[Doelgroep]=C1172,Berekening_impact[Digitale zorgtoepassing]),0))</f>
        <v>310.05224899809309</v>
      </c>
      <c r="O1172" s="398" cm="1">
        <f t="array" ref="O1172">J1172*INDEX(Berekening_impact[Overige kostenbesparing (totaal/jaar totaal potentieel)],MATCH(B1172,IF(Berekening_impact[Doelgroep]=C1172,Berekening_impact[Digitale zorgtoepassing]),0))</f>
        <v>11926548.213977639</v>
      </c>
      <c r="P1172" s="398" cm="1">
        <f t="array" ref="P1172">J1172*INDEX(Berekening_impact[Opbrengsten door QALY''s],MATCH(B1172,IF(Berekening_impact[Doelgroep]=C1172,Berekening_impact[Digitale zorgtoepassing]),0))</f>
        <v>163990037.94219252</v>
      </c>
      <c r="Q1172" s="398" cm="1">
        <f t="array" ref="Q1172">J1172*INDEX(Berekening_impact[Jaarlijkse kosten (totaal) - incl. schatting],MATCH(B1172,IF(Berekening_impact[Doelgroep]=C1172,Berekening_impact[Digitale zorgtoepassing]),0))</f>
        <v>51000901.800021879</v>
      </c>
      <c r="R1172" s="398" cm="1">
        <f t="array" ref="R1172">(uitkomst_doelgroep[[#This Row],[Implementatiegraad t = T + 1]]-uitkomst_doelgroep[[#This Row],[Implementatiegraad t = T]])*INDEX(Berekening_impact[Initiële investering (totaal) - incl. schatting],MATCH(B1172,IF(Berekening_impact[Doelgroep]=C1172,Berekening_impact[Digitale zorgtoepassing]),0))</f>
        <v>306042.97799236403</v>
      </c>
      <c r="S1172" s="398">
        <f>uitkomst_doelgroep[[#This Row],[Arbeidsbesparing (€)]]*uitkomst_doelgroep[[#This Row],[Percentage van patiëntaantallen in Wlz (overige is Zvw)]]</f>
        <v>0</v>
      </c>
      <c r="T1172" s="398">
        <f>uitkomst_doelgroep[[#This Row],[Overige besparingen (€)]]*uitkomst_doelgroep[[#This Row],[Percentage van patiëntaantallen in Wlz (overige is Zvw)]]</f>
        <v>0</v>
      </c>
      <c r="U1172" s="398">
        <f>uitkomst_doelgroep[[#This Row],[Kosten (€)]]*uitkomst_doelgroep[[#This Row],[Percentage van patiëntaantallen in Wlz (overige is Zvw)]]</f>
        <v>0</v>
      </c>
      <c r="V1172" s="398">
        <f>uitkomst_doelgroep[[#This Row],[Investering (cash flow) (€)]]*uitkomst_doelgroep[[#This Row],[Percentage van patiëntaantallen in Wlz (overige is Zvw)]]</f>
        <v>0</v>
      </c>
    </row>
    <row r="1173" spans="1:22" x14ac:dyDescent="0.5">
      <c r="A1173" s="33" t="str">
        <f>INDEX(Technologieën[Veld],MATCH(B1173,Technologieën[Digitale zorgtoepassing],0))</f>
        <v>Sensoren - Behandeling</v>
      </c>
      <c r="B1173" s="33" t="s">
        <v>88</v>
      </c>
      <c r="C1173" s="33" t="s">
        <v>91</v>
      </c>
      <c r="D1173" s="427" cm="1">
        <f t="array" ref="D1173">INDEX(Berekening_patiëntaantal[Percentage van patiëntaantallen in Wlz (overige is Zvw)],MATCH(B1173,IF(Berekening_patiëntaantal[Doelgroep (zoeksleutel)]=C1173,Berekening_patiëntaantal[Digitale zorgtoepassing]),0))</f>
        <v>0</v>
      </c>
      <c r="E1173" s="33" t="str" cm="1">
        <f t="array" ref="E1173">INDEX(Berekening_patiëntaantal[Direct toepasbaar/extrapolatie/incidentie voor QALY],MATCH(B1173,IF(Berekening_patiëntaantal[Doelgroep (zoeksleutel)]=C1173,Berekening_patiëntaantal[Digitale zorgtoepassing]),0))</f>
        <v>Huidige toepassing</v>
      </c>
      <c r="F1173" s="33" t="s">
        <v>813</v>
      </c>
      <c r="G1173" s="33" t="str">
        <f>CONCATENATE(uitkomst_doelgroep[[#This Row],[Digitale zorgtoepassing]],"_",uitkomst_doelgroep[[#This Row],[Doelgroep]],"_",uitkomst_doelgroep[[#This Row],[Uitgangssituatie/effect beleid]])</f>
        <v>RT monitoring (glucosemeter)_Diabetes_thuiszorg_Uitgangssituatie</v>
      </c>
      <c r="H1173" s="33">
        <v>2029</v>
      </c>
      <c r="I1173" s="32">
        <v>7</v>
      </c>
      <c r="J1173" s="406" cm="1">
        <f t="array" ref="J1173">INDEX(implementatie[[2023]:[2034]],MATCH(G1173, implementatie[Zoeksleutel],0),I1173)</f>
        <v>0.98073914755434266</v>
      </c>
      <c r="K1173" s="406" cm="1">
        <f t="array" ref="K1173">INDEX(implementatie[[2023]:[2034]],MATCH(G1173,implementatie[Zoeksleutel],0),I1173 + 1)</f>
        <v>0.98972111126940987</v>
      </c>
      <c r="L117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1718.2549865152084</v>
      </c>
      <c r="M1173" s="398" cm="1">
        <f t="array" ref="M1173">J1173*INDEX(Berekening_impact[Totaal arbeidsbesparing (€/jaar)],MATCH(B1173,IF(Berekening_impact[Doelgroep]=C1173,Berekening_impact[Digitale zorgtoepassing]),0))</f>
        <v>7720223.6055478398</v>
      </c>
      <c r="N1173" s="397" cm="1">
        <f t="array" ref="N1173">J1173*INDEX(Berekening_impact[Totaal arbeidsbesparing (FTE/jaar)],MATCH(B1173,IF(Berekening_impact[Doelgroep]=C1173,Berekening_impact[Digitale zorgtoepassing]),0))</f>
        <v>181.84865273952624</v>
      </c>
      <c r="O1173" s="398" cm="1">
        <f t="array" ref="O1173">J1173*INDEX(Berekening_impact[Overige kostenbesparing (totaal/jaar totaal potentieel)],MATCH(B1173,IF(Berekening_impact[Doelgroep]=C1173,Berekening_impact[Digitale zorgtoepassing]),0))</f>
        <v>0</v>
      </c>
      <c r="P1173" s="398" cm="1">
        <f t="array" ref="P1173">J1173*INDEX(Berekening_impact[Opbrengsten door QALY''s],MATCH(B1173,IF(Berekening_impact[Doelgroep]=C1173,Berekening_impact[Digitale zorgtoepassing]),0))</f>
        <v>0</v>
      </c>
      <c r="Q1173" s="398" cm="1">
        <f t="array" ref="Q1173">J1173*INDEX(Berekening_impact[Jaarlijkse kosten (totaal) - incl. schatting],MATCH(B1173,IF(Berekening_impact[Doelgroep]=C1173,Berekening_impact[Digitale zorgtoepassing]),0))</f>
        <v>0</v>
      </c>
      <c r="R1173" s="398" cm="1">
        <f t="array" ref="R1173">(uitkomst_doelgroep[[#This Row],[Implementatiegraad t = T + 1]]-uitkomst_doelgroep[[#This Row],[Implementatiegraad t = T]])*INDEX(Berekening_impact[Initiële investering (totaal) - incl. schatting],MATCH(B1173,IF(Berekening_impact[Doelgroep]=C1173,Berekening_impact[Digitale zorgtoepassing]),0))</f>
        <v>0</v>
      </c>
      <c r="S1173" s="398">
        <f>uitkomst_doelgroep[[#This Row],[Arbeidsbesparing (€)]]*uitkomst_doelgroep[[#This Row],[Percentage van patiëntaantallen in Wlz (overige is Zvw)]]</f>
        <v>0</v>
      </c>
      <c r="T1173" s="398">
        <f>uitkomst_doelgroep[[#This Row],[Overige besparingen (€)]]*uitkomst_doelgroep[[#This Row],[Percentage van patiëntaantallen in Wlz (overige is Zvw)]]</f>
        <v>0</v>
      </c>
      <c r="U1173" s="398">
        <f>uitkomst_doelgroep[[#This Row],[Kosten (€)]]*uitkomst_doelgroep[[#This Row],[Percentage van patiëntaantallen in Wlz (overige is Zvw)]]</f>
        <v>0</v>
      </c>
      <c r="V1173" s="398">
        <f>uitkomst_doelgroep[[#This Row],[Investering (cash flow) (€)]]*uitkomst_doelgroep[[#This Row],[Percentage van patiëntaantallen in Wlz (overige is Zvw)]]</f>
        <v>0</v>
      </c>
    </row>
    <row r="1174" spans="1:22" x14ac:dyDescent="0.5">
      <c r="A1174" s="33" t="str">
        <f>INDEX(Technologieën[Veld],MATCH(B1174,Technologieën[Digitale zorgtoepassing],0))</f>
        <v>Sensoren - Behandeling</v>
      </c>
      <c r="B1174" s="33" t="s">
        <v>88</v>
      </c>
      <c r="C1174" s="33" t="s">
        <v>89</v>
      </c>
      <c r="D1174" s="427" cm="1">
        <f t="array" ref="D1174">INDEX(Berekening_patiëntaantal[Percentage van patiëntaantallen in Wlz (overige is Zvw)],MATCH(B1174,IF(Berekening_patiëntaantal[Doelgroep (zoeksleutel)]=C1174,Berekening_patiëntaantal[Digitale zorgtoepassing]),0))</f>
        <v>0</v>
      </c>
      <c r="E1174" s="33" t="str" cm="1">
        <f t="array" ref="E1174">INDEX(Berekening_patiëntaantal[Direct toepasbaar/extrapolatie/incidentie voor QALY],MATCH(B1174,IF(Berekening_patiëntaantal[Doelgroep (zoeksleutel)]=C1174,Berekening_patiëntaantal[Digitale zorgtoepassing]),0))</f>
        <v>Huidige toepassing</v>
      </c>
      <c r="F1174" s="33" t="s">
        <v>813</v>
      </c>
      <c r="G1174" s="33" t="str">
        <f>CONCATENATE(uitkomst_doelgroep[[#This Row],[Digitale zorgtoepassing]],"_",uitkomst_doelgroep[[#This Row],[Doelgroep]],"_",uitkomst_doelgroep[[#This Row],[Uitgangssituatie/effect beleid]])</f>
        <v>RT monitoring (glucosemeter)_Diabetes_Uitgangssituatie</v>
      </c>
      <c r="H1174" s="33">
        <v>2030</v>
      </c>
      <c r="I1174" s="32">
        <v>8</v>
      </c>
      <c r="J1174" s="406" cm="1">
        <f t="array" ref="J1174">INDEX(implementatie[[2023]:[2034]],MATCH(G1174, implementatie[Zoeksleutel],0),I1174)</f>
        <v>0.99676962447130335</v>
      </c>
      <c r="K1174" s="406" cm="1">
        <f t="array" ref="K1174">INDEX(implementatie[[2023]:[2034]],MATCH(G1174,implementatie[Zoeksleutel],0),I1174 + 1)</f>
        <v>0.99829935695070882</v>
      </c>
      <c r="L117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109644.65869184337</v>
      </c>
      <c r="M1174" s="398" cm="1">
        <f t="array" ref="M1174">J1174*INDEX(Berekening_impact[Totaal arbeidsbesparing (€/jaar)],MATCH(B1174,IF(Berekening_impact[Doelgroep]=C1174,Berekening_impact[Digitale zorgtoepassing]),0))</f>
        <v>17941853.240483459</v>
      </c>
      <c r="N1174" s="397" cm="1">
        <f t="array" ref="N1174">J1174*INDEX(Berekening_impact[Totaal arbeidsbesparing (FTE/jaar)],MATCH(B1174,IF(Berekening_impact[Doelgroep]=C1174,Berekening_impact[Digitale zorgtoepassing]),0))</f>
        <v>310.95400773690284</v>
      </c>
      <c r="O1174" s="398" cm="1">
        <f t="array" ref="O1174">J1174*INDEX(Berekening_impact[Overige kostenbesparing (totaal/jaar totaal potentieel)],MATCH(B1174,IF(Berekening_impact[Doelgroep]=C1174,Berekening_impact[Digitale zorgtoepassing]),0))</f>
        <v>11961235.493655641</v>
      </c>
      <c r="P1174" s="398" cm="1">
        <f t="array" ref="P1174">J1174*INDEX(Berekening_impact[Opbrengsten door QALY''s],MATCH(B1174,IF(Berekening_impact[Doelgroep]=C1174,Berekening_impact[Digitale zorgtoepassing]),0))</f>
        <v>164466988.03776506</v>
      </c>
      <c r="Q1174" s="398" cm="1">
        <f t="array" ref="Q1174">J1174*INDEX(Berekening_impact[Jaarlijkse kosten (totaal) - incl. schatting],MATCH(B1174,IF(Berekening_impact[Doelgroep]=C1174,Berekening_impact[Digitale zorgtoepassing]),0))</f>
        <v>51149233.279744931</v>
      </c>
      <c r="R1174" s="398" cm="1">
        <f t="array" ref="R1174">(uitkomst_doelgroep[[#This Row],[Implementatiegraad t = T + 1]]-uitkomst_doelgroep[[#This Row],[Implementatiegraad t = T]])*INDEX(Berekening_impact[Initiële investering (totaal) - incl. schatting],MATCH(B1174,IF(Berekening_impact[Doelgroep]=C1174,Berekening_impact[Digitale zorgtoepassing]),0))</f>
        <v>161960.42625705368</v>
      </c>
      <c r="S1174" s="398">
        <f>uitkomst_doelgroep[[#This Row],[Arbeidsbesparing (€)]]*uitkomst_doelgroep[[#This Row],[Percentage van patiëntaantallen in Wlz (overige is Zvw)]]</f>
        <v>0</v>
      </c>
      <c r="T1174" s="398">
        <f>uitkomst_doelgroep[[#This Row],[Overige besparingen (€)]]*uitkomst_doelgroep[[#This Row],[Percentage van patiëntaantallen in Wlz (overige is Zvw)]]</f>
        <v>0</v>
      </c>
      <c r="U1174" s="398">
        <f>uitkomst_doelgroep[[#This Row],[Kosten (€)]]*uitkomst_doelgroep[[#This Row],[Percentage van patiëntaantallen in Wlz (overige is Zvw)]]</f>
        <v>0</v>
      </c>
      <c r="V1174" s="398">
        <f>uitkomst_doelgroep[[#This Row],[Investering (cash flow) (€)]]*uitkomst_doelgroep[[#This Row],[Percentage van patiëntaantallen in Wlz (overige is Zvw)]]</f>
        <v>0</v>
      </c>
    </row>
    <row r="1175" spans="1:22" x14ac:dyDescent="0.5">
      <c r="A1175" s="33" t="str">
        <f>INDEX(Technologieën[Veld],MATCH(B1175,Technologieën[Digitale zorgtoepassing],0))</f>
        <v>Sensoren - Behandeling</v>
      </c>
      <c r="B1175" s="33" t="s">
        <v>88</v>
      </c>
      <c r="C1175" s="33" t="s">
        <v>91</v>
      </c>
      <c r="D1175" s="427" cm="1">
        <f t="array" ref="D1175">INDEX(Berekening_patiëntaantal[Percentage van patiëntaantallen in Wlz (overige is Zvw)],MATCH(B1175,IF(Berekening_patiëntaantal[Doelgroep (zoeksleutel)]=C1175,Berekening_patiëntaantal[Digitale zorgtoepassing]),0))</f>
        <v>0</v>
      </c>
      <c r="E1175" s="33" t="str" cm="1">
        <f t="array" ref="E1175">INDEX(Berekening_patiëntaantal[Direct toepasbaar/extrapolatie/incidentie voor QALY],MATCH(B1175,IF(Berekening_patiëntaantal[Doelgroep (zoeksleutel)]=C1175,Berekening_patiëntaantal[Digitale zorgtoepassing]),0))</f>
        <v>Huidige toepassing</v>
      </c>
      <c r="F1175" s="33" t="s">
        <v>813</v>
      </c>
      <c r="G1175" s="33" t="str">
        <f>CONCATENATE(uitkomst_doelgroep[[#This Row],[Digitale zorgtoepassing]],"_",uitkomst_doelgroep[[#This Row],[Doelgroep]],"_",uitkomst_doelgroep[[#This Row],[Uitgangssituatie/effect beleid]])</f>
        <v>RT monitoring (glucosemeter)_Diabetes_thuiszorg_Uitgangssituatie</v>
      </c>
      <c r="H1175" s="33">
        <v>2030</v>
      </c>
      <c r="I1175" s="32">
        <v>8</v>
      </c>
      <c r="J1175" s="406" cm="1">
        <f t="array" ref="J1175">INDEX(implementatie[[2023]:[2034]],MATCH(G1175, implementatie[Zoeksleutel],0),I1175)</f>
        <v>0.98972111126940987</v>
      </c>
      <c r="K1175" s="406" cm="1">
        <f t="array" ref="K1175">INDEX(implementatie[[2023]:[2034]],MATCH(G1175,implementatie[Zoeksleutel],0),I1175 + 1)</f>
        <v>0.99455603841734896</v>
      </c>
      <c r="L117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1733.9913869440061</v>
      </c>
      <c r="M1175" s="398" cm="1">
        <f t="array" ref="M1175">J1175*INDEX(Berekening_impact[Totaal arbeidsbesparing (€/jaar)],MATCH(B1175,IF(Berekening_impact[Doelgroep]=C1175,Berekening_impact[Digitale zorgtoepassing]),0))</f>
        <v>7790928.2046965072</v>
      </c>
      <c r="N1175" s="397" cm="1">
        <f t="array" ref="N1175">J1175*INDEX(Berekening_impact[Totaal arbeidsbesparing (FTE/jaar)],MATCH(B1175,IF(Berekening_impact[Doelgroep]=C1175,Berekening_impact[Digitale zorgtoepassing]),0))</f>
        <v>183.514088451574</v>
      </c>
      <c r="O1175" s="398" cm="1">
        <f t="array" ref="O1175">J1175*INDEX(Berekening_impact[Overige kostenbesparing (totaal/jaar totaal potentieel)],MATCH(B1175,IF(Berekening_impact[Doelgroep]=C1175,Berekening_impact[Digitale zorgtoepassing]),0))</f>
        <v>0</v>
      </c>
      <c r="P1175" s="398" cm="1">
        <f t="array" ref="P1175">J1175*INDEX(Berekening_impact[Opbrengsten door QALY''s],MATCH(B1175,IF(Berekening_impact[Doelgroep]=C1175,Berekening_impact[Digitale zorgtoepassing]),0))</f>
        <v>0</v>
      </c>
      <c r="Q1175" s="398" cm="1">
        <f t="array" ref="Q1175">J1175*INDEX(Berekening_impact[Jaarlijkse kosten (totaal) - incl. schatting],MATCH(B1175,IF(Berekening_impact[Doelgroep]=C1175,Berekening_impact[Digitale zorgtoepassing]),0))</f>
        <v>0</v>
      </c>
      <c r="R1175" s="398" cm="1">
        <f t="array" ref="R1175">(uitkomst_doelgroep[[#This Row],[Implementatiegraad t = T + 1]]-uitkomst_doelgroep[[#This Row],[Implementatiegraad t = T]])*INDEX(Berekening_impact[Initiële investering (totaal) - incl. schatting],MATCH(B1175,IF(Berekening_impact[Doelgroep]=C1175,Berekening_impact[Digitale zorgtoepassing]),0))</f>
        <v>0</v>
      </c>
      <c r="S1175" s="398">
        <f>uitkomst_doelgroep[[#This Row],[Arbeidsbesparing (€)]]*uitkomst_doelgroep[[#This Row],[Percentage van patiëntaantallen in Wlz (overige is Zvw)]]</f>
        <v>0</v>
      </c>
      <c r="T1175" s="398">
        <f>uitkomst_doelgroep[[#This Row],[Overige besparingen (€)]]*uitkomst_doelgroep[[#This Row],[Percentage van patiëntaantallen in Wlz (overige is Zvw)]]</f>
        <v>0</v>
      </c>
      <c r="U1175" s="398">
        <f>uitkomst_doelgroep[[#This Row],[Kosten (€)]]*uitkomst_doelgroep[[#This Row],[Percentage van patiëntaantallen in Wlz (overige is Zvw)]]</f>
        <v>0</v>
      </c>
      <c r="V1175" s="398">
        <f>uitkomst_doelgroep[[#This Row],[Investering (cash flow) (€)]]*uitkomst_doelgroep[[#This Row],[Percentage van patiëntaantallen in Wlz (overige is Zvw)]]</f>
        <v>0</v>
      </c>
    </row>
    <row r="1176" spans="1:22" x14ac:dyDescent="0.5">
      <c r="A1176" s="33" t="str">
        <f>INDEX(Technologieën[Veld],MATCH(B1176,Technologieën[Digitale zorgtoepassing],0))</f>
        <v>Sensoren - Behandeling</v>
      </c>
      <c r="B1176" s="33" t="s">
        <v>88</v>
      </c>
      <c r="C1176" s="33" t="s">
        <v>89</v>
      </c>
      <c r="D1176" s="427" cm="1">
        <f t="array" ref="D1176">INDEX(Berekening_patiëntaantal[Percentage van patiëntaantallen in Wlz (overige is Zvw)],MATCH(B1176,IF(Berekening_patiëntaantal[Doelgroep (zoeksleutel)]=C1176,Berekening_patiëntaantal[Digitale zorgtoepassing]),0))</f>
        <v>0</v>
      </c>
      <c r="E1176" s="33" t="str" cm="1">
        <f t="array" ref="E1176">INDEX(Berekening_patiëntaantal[Direct toepasbaar/extrapolatie/incidentie voor QALY],MATCH(B1176,IF(Berekening_patiëntaantal[Doelgroep (zoeksleutel)]=C1176,Berekening_patiëntaantal[Digitale zorgtoepassing]),0))</f>
        <v>Huidige toepassing</v>
      </c>
      <c r="F1176" s="33" t="s">
        <v>813</v>
      </c>
      <c r="G1176" s="33" t="str">
        <f>CONCATENATE(uitkomst_doelgroep[[#This Row],[Digitale zorgtoepassing]],"_",uitkomst_doelgroep[[#This Row],[Doelgroep]],"_",uitkomst_doelgroep[[#This Row],[Uitgangssituatie/effect beleid]])</f>
        <v>RT monitoring (glucosemeter)_Diabetes_Uitgangssituatie</v>
      </c>
      <c r="H1176" s="33">
        <v>2031</v>
      </c>
      <c r="I1176" s="32">
        <v>9</v>
      </c>
      <c r="J1176" s="406" cm="1">
        <f t="array" ref="J1176">INDEX(implementatie[[2023]:[2034]],MATCH(G1176, implementatie[Zoeksleutel],0),I1176)</f>
        <v>0.99829935695070882</v>
      </c>
      <c r="K1176" s="406" cm="1">
        <f t="array" ref="K1176">INDEX(implementatie[[2023]:[2034]],MATCH(G1176,implementatie[Zoeksleutel],0),I1176 + 1)</f>
        <v>0.9991058609150707</v>
      </c>
      <c r="L117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109812.92926457796</v>
      </c>
      <c r="M1176" s="398" cm="1">
        <f t="array" ref="M1176">J1176*INDEX(Berekening_impact[Totaal arbeidsbesparing (€/jaar)],MATCH(B1176,IF(Berekening_impact[Doelgroep]=C1176,Berekening_impact[Digitale zorgtoepassing]),0))</f>
        <v>17969388.425112758</v>
      </c>
      <c r="N1176" s="397" cm="1">
        <f t="array" ref="N1176">J1176*INDEX(Berekening_impact[Totaal arbeidsbesparing (FTE/jaar)],MATCH(B1176,IF(Berekening_impact[Doelgroep]=C1176,Berekening_impact[Digitale zorgtoepassing]),0))</f>
        <v>311.43122577561337</v>
      </c>
      <c r="O1176" s="398" cm="1">
        <f t="array" ref="O1176">J1176*INDEX(Berekening_impact[Overige kostenbesparing (totaal/jaar totaal potentieel)],MATCH(B1176,IF(Berekening_impact[Doelgroep]=C1176,Berekening_impact[Digitale zorgtoepassing]),0))</f>
        <v>11979592.283408506</v>
      </c>
      <c r="P1176" s="398" cm="1">
        <f t="array" ref="P1176">J1176*INDEX(Berekening_impact[Opbrengsten door QALY''s],MATCH(B1176,IF(Berekening_impact[Doelgroep]=C1176,Berekening_impact[Digitale zorgtoepassing]),0))</f>
        <v>164719393.89686695</v>
      </c>
      <c r="Q1176" s="398" cm="1">
        <f t="array" ref="Q1176">J1176*INDEX(Berekening_impact[Jaarlijkse kosten (totaal) - incl. schatting],MATCH(B1176,IF(Berekening_impact[Doelgroep]=C1176,Berekening_impact[Digitale zorgtoepassing]),0))</f>
        <v>51227731.501925625</v>
      </c>
      <c r="R1176" s="398" cm="1">
        <f t="array" ref="R1176">(uitkomst_doelgroep[[#This Row],[Implementatiegraad t = T + 1]]-uitkomst_doelgroep[[#This Row],[Implementatiegraad t = T]])*INDEX(Berekening_impact[Initiële investering (totaal) - incl. schatting],MATCH(B1176,IF(Berekening_impact[Doelgroep]=C1176,Berekening_impact[Digitale zorgtoepassing]),0))</f>
        <v>85388.607226814274</v>
      </c>
      <c r="S1176" s="398">
        <f>uitkomst_doelgroep[[#This Row],[Arbeidsbesparing (€)]]*uitkomst_doelgroep[[#This Row],[Percentage van patiëntaantallen in Wlz (overige is Zvw)]]</f>
        <v>0</v>
      </c>
      <c r="T1176" s="398">
        <f>uitkomst_doelgroep[[#This Row],[Overige besparingen (€)]]*uitkomst_doelgroep[[#This Row],[Percentage van patiëntaantallen in Wlz (overige is Zvw)]]</f>
        <v>0</v>
      </c>
      <c r="U1176" s="398">
        <f>uitkomst_doelgroep[[#This Row],[Kosten (€)]]*uitkomst_doelgroep[[#This Row],[Percentage van patiëntaantallen in Wlz (overige is Zvw)]]</f>
        <v>0</v>
      </c>
      <c r="V1176" s="398">
        <f>uitkomst_doelgroep[[#This Row],[Investering (cash flow) (€)]]*uitkomst_doelgroep[[#This Row],[Percentage van patiëntaantallen in Wlz (overige is Zvw)]]</f>
        <v>0</v>
      </c>
    </row>
    <row r="1177" spans="1:22" ht="17.5" thickBot="1" x14ac:dyDescent="0.55000000000000004">
      <c r="A1177" s="33" t="str">
        <f>INDEX(Technologieën[Veld],MATCH(B1177,Technologieën[Digitale zorgtoepassing],0))</f>
        <v>Sensoren - Behandeling</v>
      </c>
      <c r="B1177" s="40" t="s">
        <v>88</v>
      </c>
      <c r="C1177" s="40" t="s">
        <v>91</v>
      </c>
      <c r="D1177" s="427" cm="1">
        <f t="array" ref="D1177">INDEX(Berekening_patiëntaantal[Percentage van patiëntaantallen in Wlz (overige is Zvw)],MATCH(B1177,IF(Berekening_patiëntaantal[Doelgroep (zoeksleutel)]=C1177,Berekening_patiëntaantal[Digitale zorgtoepassing]),0))</f>
        <v>0</v>
      </c>
      <c r="E1177" s="33" t="str" cm="1">
        <f t="array" ref="E1177">INDEX(Berekening_patiëntaantal[Direct toepasbaar/extrapolatie/incidentie voor QALY],MATCH(B1177,IF(Berekening_patiëntaantal[Doelgroep (zoeksleutel)]=C1177,Berekening_patiëntaantal[Digitale zorgtoepassing]),0))</f>
        <v>Huidige toepassing</v>
      </c>
      <c r="F1177" s="33" t="s">
        <v>813</v>
      </c>
      <c r="G1177" s="33" t="str">
        <f>CONCATENATE(uitkomst_doelgroep[[#This Row],[Digitale zorgtoepassing]],"_",uitkomst_doelgroep[[#This Row],[Doelgroep]],"_",uitkomst_doelgroep[[#This Row],[Uitgangssituatie/effect beleid]])</f>
        <v>RT monitoring (glucosemeter)_Diabetes_thuiszorg_Uitgangssituatie</v>
      </c>
      <c r="H1177" s="33">
        <v>2031</v>
      </c>
      <c r="I1177" s="32">
        <v>9</v>
      </c>
      <c r="J1177" s="406" cm="1">
        <f t="array" ref="J1177">INDEX(implementatie[[2023]:[2034]],MATCH(G1177, implementatie[Zoeksleutel],0),I1177)</f>
        <v>0.99455603841734896</v>
      </c>
      <c r="K1177" s="406" cm="1">
        <f t="array" ref="K1177">INDEX(implementatie[[2023]:[2034]],MATCH(G1177,implementatie[Zoeksleutel],0),I1177 + 1)</f>
        <v>0.9971285836461371</v>
      </c>
      <c r="L117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1742.4621793071954</v>
      </c>
      <c r="M1177" s="398" cm="1">
        <f t="array" ref="M1177">J1177*INDEX(Berekening_impact[Totaal arbeidsbesparing (€/jaar)],MATCH(B1177,IF(Berekening_impact[Doelgroep]=C1177,Berekening_impact[Digitale zorgtoepassing]),0))</f>
        <v>7828987.9872510275</v>
      </c>
      <c r="N1177" s="397" cm="1">
        <f t="array" ref="N1177">J1177*INDEX(Berekening_impact[Totaal arbeidsbesparing (FTE/jaar)],MATCH(B1177,IF(Berekening_impact[Doelgroep]=C1177,Berekening_impact[Digitale zorgtoepassing]),0))</f>
        <v>184.41058064334487</v>
      </c>
      <c r="O1177" s="398" cm="1">
        <f t="array" ref="O1177">J1177*INDEX(Berekening_impact[Overige kostenbesparing (totaal/jaar totaal potentieel)],MATCH(B1177,IF(Berekening_impact[Doelgroep]=C1177,Berekening_impact[Digitale zorgtoepassing]),0))</f>
        <v>0</v>
      </c>
      <c r="P1177" s="398" cm="1">
        <f t="array" ref="P1177">J1177*INDEX(Berekening_impact[Opbrengsten door QALY''s],MATCH(B1177,IF(Berekening_impact[Doelgroep]=C1177,Berekening_impact[Digitale zorgtoepassing]),0))</f>
        <v>0</v>
      </c>
      <c r="Q1177" s="398" cm="1">
        <f t="array" ref="Q1177">J1177*INDEX(Berekening_impact[Jaarlijkse kosten (totaal) - incl. schatting],MATCH(B1177,IF(Berekening_impact[Doelgroep]=C1177,Berekening_impact[Digitale zorgtoepassing]),0))</f>
        <v>0</v>
      </c>
      <c r="R1177" s="398" cm="1">
        <f t="array" ref="R1177">(uitkomst_doelgroep[[#This Row],[Implementatiegraad t = T + 1]]-uitkomst_doelgroep[[#This Row],[Implementatiegraad t = T]])*INDEX(Berekening_impact[Initiële investering (totaal) - incl. schatting],MATCH(B1177,IF(Berekening_impact[Doelgroep]=C1177,Berekening_impact[Digitale zorgtoepassing]),0))</f>
        <v>0</v>
      </c>
      <c r="S1177" s="398">
        <f>uitkomst_doelgroep[[#This Row],[Arbeidsbesparing (€)]]*uitkomst_doelgroep[[#This Row],[Percentage van patiëntaantallen in Wlz (overige is Zvw)]]</f>
        <v>0</v>
      </c>
      <c r="T1177" s="398">
        <f>uitkomst_doelgroep[[#This Row],[Overige besparingen (€)]]*uitkomst_doelgroep[[#This Row],[Percentage van patiëntaantallen in Wlz (overige is Zvw)]]</f>
        <v>0</v>
      </c>
      <c r="U1177" s="398">
        <f>uitkomst_doelgroep[[#This Row],[Kosten (€)]]*uitkomst_doelgroep[[#This Row],[Percentage van patiëntaantallen in Wlz (overige is Zvw)]]</f>
        <v>0</v>
      </c>
      <c r="V1177" s="398">
        <f>uitkomst_doelgroep[[#This Row],[Investering (cash flow) (€)]]*uitkomst_doelgroep[[#This Row],[Percentage van patiëntaantallen in Wlz (overige is Zvw)]]</f>
        <v>0</v>
      </c>
    </row>
    <row r="1178" spans="1:22" x14ac:dyDescent="0.5">
      <c r="A1178" s="33" t="str">
        <f>INDEX(Technologieën[Veld],MATCH(B1178,Technologieën[Digitale zorgtoepassing],0))</f>
        <v>Sensoren - Behandeling</v>
      </c>
      <c r="B1178" s="33" t="s">
        <v>88</v>
      </c>
      <c r="C1178" s="33" t="s">
        <v>89</v>
      </c>
      <c r="D1178" s="427" cm="1">
        <f t="array" ref="D1178">INDEX(Berekening_patiëntaantal[Percentage van patiëntaantallen in Wlz (overige is Zvw)],MATCH(B1178,IF(Berekening_patiëntaantal[Doelgroep (zoeksleutel)]=C1178,Berekening_patiëntaantal[Digitale zorgtoepassing]),0))</f>
        <v>0</v>
      </c>
      <c r="E1178" s="33" t="str" cm="1">
        <f t="array" ref="E1178">INDEX(Berekening_patiëntaantal[Direct toepasbaar/extrapolatie/incidentie voor QALY],MATCH(B1178,IF(Berekening_patiëntaantal[Doelgroep (zoeksleutel)]=C1178,Berekening_patiëntaantal[Digitale zorgtoepassing]),0))</f>
        <v>Huidige toepassing</v>
      </c>
      <c r="F1178" s="33" t="s">
        <v>813</v>
      </c>
      <c r="G1178" s="33" t="str">
        <f>CONCATENATE(uitkomst_doelgroep[[#This Row],[Digitale zorgtoepassing]],"_",uitkomst_doelgroep[[#This Row],[Doelgroep]],"_",uitkomst_doelgroep[[#This Row],[Uitgangssituatie/effect beleid]])</f>
        <v>RT monitoring (glucosemeter)_Diabetes_Uitgangssituatie</v>
      </c>
      <c r="H1178" s="33">
        <v>2032</v>
      </c>
      <c r="I1178" s="32">
        <v>10</v>
      </c>
      <c r="J1178" s="406" cm="1">
        <f t="array" ref="J1178">INDEX(implementatie[[2023]:[2034]],MATCH(G1178, implementatie[Zoeksleutel],0),I1178)</f>
        <v>0.9991058609150707</v>
      </c>
      <c r="K1178" s="406" cm="1">
        <f t="array" ref="K1178">INDEX(implementatie[[2023]:[2034]],MATCH(G1178,implementatie[Zoeksleutel],0),I1178 + 1)</f>
        <v>0.99953021721229562</v>
      </c>
      <c r="L117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109901.64470065778</v>
      </c>
      <c r="M1178" s="398" cm="1">
        <f t="array" ref="M1178">J1178*INDEX(Berekening_impact[Totaal arbeidsbesparing (€/jaar)],MATCH(B1178,IF(Berekening_impact[Doelgroep]=C1178,Berekening_impact[Digitale zorgtoepassing]),0))</f>
        <v>17983905.496471271</v>
      </c>
      <c r="N1178" s="397" cm="1">
        <f t="array" ref="N1178">J1178*INDEX(Berekening_impact[Totaal arbeidsbesparing (FTE/jaar)],MATCH(B1178,IF(Berekening_impact[Doelgroep]=C1178,Berekening_impact[Digitale zorgtoepassing]),0))</f>
        <v>311.68282417289305</v>
      </c>
      <c r="O1178" s="398" cm="1">
        <f t="array" ref="O1178">J1178*INDEX(Berekening_impact[Overige kostenbesparing (totaal/jaar totaal potentieel)],MATCH(B1178,IF(Berekening_impact[Doelgroep]=C1178,Berekening_impact[Digitale zorgtoepassing]),0))</f>
        <v>11989270.330980849</v>
      </c>
      <c r="P1178" s="398" cm="1">
        <f t="array" ref="P1178">J1178*INDEX(Berekening_impact[Opbrengsten door QALY''s],MATCH(B1178,IF(Berekening_impact[Doelgroep]=C1178,Berekening_impact[Digitale zorgtoepassing]),0))</f>
        <v>164852467.05098668</v>
      </c>
      <c r="Q1178" s="398" cm="1">
        <f t="array" ref="Q1178">J1178*INDEX(Berekening_impact[Jaarlijkse kosten (totaal) - incl. schatting],MATCH(B1178,IF(Berekening_impact[Doelgroep]=C1178,Berekening_impact[Digitale zorgtoepassing]),0))</f>
        <v>51269117.252856851</v>
      </c>
      <c r="R1178" s="398" cm="1">
        <f t="array" ref="R1178">(uitkomst_doelgroep[[#This Row],[Implementatiegraad t = T + 1]]-uitkomst_doelgroep[[#This Row],[Implementatiegraad t = T]])*INDEX(Berekening_impact[Initiële investering (totaal) - incl. schatting],MATCH(B1178,IF(Berekening_impact[Doelgroep]=C1178,Berekening_impact[Digitale zorgtoepassing]),0))</f>
        <v>44928.722968689035</v>
      </c>
      <c r="S1178" s="398">
        <f>uitkomst_doelgroep[[#This Row],[Arbeidsbesparing (€)]]*uitkomst_doelgroep[[#This Row],[Percentage van patiëntaantallen in Wlz (overige is Zvw)]]</f>
        <v>0</v>
      </c>
      <c r="T1178" s="398">
        <f>uitkomst_doelgroep[[#This Row],[Overige besparingen (€)]]*uitkomst_doelgroep[[#This Row],[Percentage van patiëntaantallen in Wlz (overige is Zvw)]]</f>
        <v>0</v>
      </c>
      <c r="U1178" s="398">
        <f>uitkomst_doelgroep[[#This Row],[Kosten (€)]]*uitkomst_doelgroep[[#This Row],[Percentage van patiëntaantallen in Wlz (overige is Zvw)]]</f>
        <v>0</v>
      </c>
      <c r="V1178" s="398">
        <f>uitkomst_doelgroep[[#This Row],[Investering (cash flow) (€)]]*uitkomst_doelgroep[[#This Row],[Percentage van patiëntaantallen in Wlz (overige is Zvw)]]</f>
        <v>0</v>
      </c>
    </row>
    <row r="1179" spans="1:22" x14ac:dyDescent="0.5">
      <c r="A1179" s="33" t="str">
        <f>INDEX(Technologieën[Veld],MATCH(B1179,Technologieën[Digitale zorgtoepassing],0))</f>
        <v>Sensoren - Behandeling</v>
      </c>
      <c r="B1179" s="33" t="s">
        <v>88</v>
      </c>
      <c r="C1179" s="33" t="s">
        <v>91</v>
      </c>
      <c r="D1179" s="427" cm="1">
        <f t="array" ref="D1179">INDEX(Berekening_patiëntaantal[Percentage van patiëntaantallen in Wlz (overige is Zvw)],MATCH(B1179,IF(Berekening_patiëntaantal[Doelgroep (zoeksleutel)]=C1179,Berekening_patiëntaantal[Digitale zorgtoepassing]),0))</f>
        <v>0</v>
      </c>
      <c r="E1179" s="33" t="str" cm="1">
        <f t="array" ref="E1179">INDEX(Berekening_patiëntaantal[Direct toepasbaar/extrapolatie/incidentie voor QALY],MATCH(B1179,IF(Berekening_patiëntaantal[Doelgroep (zoeksleutel)]=C1179,Berekening_patiëntaantal[Digitale zorgtoepassing]),0))</f>
        <v>Huidige toepassing</v>
      </c>
      <c r="F1179" s="33" t="s">
        <v>813</v>
      </c>
      <c r="G1179" s="33" t="str">
        <f>CONCATENATE(uitkomst_doelgroep[[#This Row],[Digitale zorgtoepassing]],"_",uitkomst_doelgroep[[#This Row],[Doelgroep]],"_",uitkomst_doelgroep[[#This Row],[Uitgangssituatie/effect beleid]])</f>
        <v>RT monitoring (glucosemeter)_Diabetes_thuiszorg_Uitgangssituatie</v>
      </c>
      <c r="H1179" s="33">
        <v>2032</v>
      </c>
      <c r="I1179" s="32">
        <v>10</v>
      </c>
      <c r="J1179" s="406" cm="1">
        <f t="array" ref="J1179">INDEX(implementatie[[2023]:[2034]],MATCH(G1179, implementatie[Zoeksleutel],0),I1179)</f>
        <v>0.9971285836461371</v>
      </c>
      <c r="K1179" s="406" cm="1">
        <f t="array" ref="K1179">INDEX(implementatie[[2023]:[2034]],MATCH(G1179,implementatie[Zoeksleutel],0),I1179 + 1)</f>
        <v>0.99848879614987718</v>
      </c>
      <c r="L117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1746.9692785480322</v>
      </c>
      <c r="M1179" s="398" cm="1">
        <f t="array" ref="M1179">J1179*INDEX(Berekening_impact[Totaal arbeidsbesparing (€/jaar)],MATCH(B1179,IF(Berekening_impact[Doelgroep]=C1179,Berekening_impact[Digitale zorgtoepassing]),0))</f>
        <v>7849238.6568109766</v>
      </c>
      <c r="N1179" s="397" cm="1">
        <f t="array" ref="N1179">J1179*INDEX(Berekening_impact[Totaal arbeidsbesparing (FTE/jaar)],MATCH(B1179,IF(Berekening_impact[Doelgroep]=C1179,Berekening_impact[Digitale zorgtoepassing]),0))</f>
        <v>184.88758197966675</v>
      </c>
      <c r="O1179" s="398" cm="1">
        <f t="array" ref="O1179">J1179*INDEX(Berekening_impact[Overige kostenbesparing (totaal/jaar totaal potentieel)],MATCH(B1179,IF(Berekening_impact[Doelgroep]=C1179,Berekening_impact[Digitale zorgtoepassing]),0))</f>
        <v>0</v>
      </c>
      <c r="P1179" s="398" cm="1">
        <f t="array" ref="P1179">J1179*INDEX(Berekening_impact[Opbrengsten door QALY''s],MATCH(B1179,IF(Berekening_impact[Doelgroep]=C1179,Berekening_impact[Digitale zorgtoepassing]),0))</f>
        <v>0</v>
      </c>
      <c r="Q1179" s="398" cm="1">
        <f t="array" ref="Q1179">J1179*INDEX(Berekening_impact[Jaarlijkse kosten (totaal) - incl. schatting],MATCH(B1179,IF(Berekening_impact[Doelgroep]=C1179,Berekening_impact[Digitale zorgtoepassing]),0))</f>
        <v>0</v>
      </c>
      <c r="R1179" s="398" cm="1">
        <f t="array" ref="R1179">(uitkomst_doelgroep[[#This Row],[Implementatiegraad t = T + 1]]-uitkomst_doelgroep[[#This Row],[Implementatiegraad t = T]])*INDEX(Berekening_impact[Initiële investering (totaal) - incl. schatting],MATCH(B1179,IF(Berekening_impact[Doelgroep]=C1179,Berekening_impact[Digitale zorgtoepassing]),0))</f>
        <v>0</v>
      </c>
      <c r="S1179" s="398">
        <f>uitkomst_doelgroep[[#This Row],[Arbeidsbesparing (€)]]*uitkomst_doelgroep[[#This Row],[Percentage van patiëntaantallen in Wlz (overige is Zvw)]]</f>
        <v>0</v>
      </c>
      <c r="T1179" s="398">
        <f>uitkomst_doelgroep[[#This Row],[Overige besparingen (€)]]*uitkomst_doelgroep[[#This Row],[Percentage van patiëntaantallen in Wlz (overige is Zvw)]]</f>
        <v>0</v>
      </c>
      <c r="U1179" s="398">
        <f>uitkomst_doelgroep[[#This Row],[Kosten (€)]]*uitkomst_doelgroep[[#This Row],[Percentage van patiëntaantallen in Wlz (overige is Zvw)]]</f>
        <v>0</v>
      </c>
      <c r="V1179" s="398">
        <f>uitkomst_doelgroep[[#This Row],[Investering (cash flow) (€)]]*uitkomst_doelgroep[[#This Row],[Percentage van patiëntaantallen in Wlz (overige is Zvw)]]</f>
        <v>0</v>
      </c>
    </row>
    <row r="1180" spans="1:22" x14ac:dyDescent="0.5">
      <c r="A1180" s="33" t="str">
        <f>INDEX(Technologieën[Veld],MATCH(B1180,Technologieën[Digitale zorgtoepassing],0))</f>
        <v>Sensoren - Behandeling</v>
      </c>
      <c r="B1180" s="33" t="s">
        <v>88</v>
      </c>
      <c r="C1180" s="33" t="s">
        <v>89</v>
      </c>
      <c r="D1180" s="427" cm="1">
        <f t="array" ref="D1180">INDEX(Berekening_patiëntaantal[Percentage van patiëntaantallen in Wlz (overige is Zvw)],MATCH(B1180,IF(Berekening_patiëntaantal[Doelgroep (zoeksleutel)]=C1180,Berekening_patiëntaantal[Digitale zorgtoepassing]),0))</f>
        <v>0</v>
      </c>
      <c r="E1180" s="33" t="str" cm="1">
        <f t="array" ref="E1180">INDEX(Berekening_patiëntaantal[Direct toepasbaar/extrapolatie/incidentie voor QALY],MATCH(B1180,IF(Berekening_patiëntaantal[Doelgroep (zoeksleutel)]=C1180,Berekening_patiëntaantal[Digitale zorgtoepassing]),0))</f>
        <v>Huidige toepassing</v>
      </c>
      <c r="F1180" s="33" t="s">
        <v>813</v>
      </c>
      <c r="G1180" s="33" t="str">
        <f>CONCATENATE(uitkomst_doelgroep[[#This Row],[Digitale zorgtoepassing]],"_",uitkomst_doelgroep[[#This Row],[Doelgroep]],"_",uitkomst_doelgroep[[#This Row],[Uitgangssituatie/effect beleid]])</f>
        <v>RT monitoring (glucosemeter)_Diabetes_Uitgangssituatie</v>
      </c>
      <c r="H1180" s="33">
        <v>2033</v>
      </c>
      <c r="I1180" s="32">
        <v>11</v>
      </c>
      <c r="J1180" s="406" cm="1">
        <f t="array" ref="J1180">INDEX(implementatie[[2023]:[2034]],MATCH(G1180, implementatie[Zoeksleutel],0),I1180)</f>
        <v>0.99953021721229562</v>
      </c>
      <c r="K1180" s="406" cm="1">
        <f t="array" ref="K1180">INDEX(implementatie[[2023]:[2034]],MATCH(G1180,implementatie[Zoeksleutel],0),I1180 + 1)</f>
        <v>0.99975326472331483</v>
      </c>
      <c r="L118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109948.32389335251</v>
      </c>
      <c r="M1180" s="398" cm="1">
        <f t="array" ref="M1180">J1180*INDEX(Berekening_impact[Totaal arbeidsbesparing (€/jaar)],MATCH(B1180,IF(Berekening_impact[Doelgroep]=C1180,Berekening_impact[Digitale zorgtoepassing]),0))</f>
        <v>17991543.90982132</v>
      </c>
      <c r="N1180" s="397" cm="1">
        <f t="array" ref="N1180">J1180*INDEX(Berekening_impact[Totaal arbeidsbesparing (FTE/jaar)],MATCH(B1180,IF(Berekening_impact[Doelgroep]=C1180,Berekening_impact[Digitale zorgtoepassing]),0))</f>
        <v>311.81520711082663</v>
      </c>
      <c r="O1180" s="398" cm="1">
        <f t="array" ref="O1180">J1180*INDEX(Berekening_impact[Overige kostenbesparing (totaal/jaar totaal potentieel)],MATCH(B1180,IF(Berekening_impact[Doelgroep]=C1180,Berekening_impact[Digitale zorgtoepassing]),0))</f>
        <v>11994362.606547548</v>
      </c>
      <c r="P1180" s="398" cm="1">
        <f t="array" ref="P1180">J1180*INDEX(Berekening_impact[Opbrengsten door QALY''s],MATCH(B1180,IF(Berekening_impact[Doelgroep]=C1180,Berekening_impact[Digitale zorgtoepassing]),0))</f>
        <v>164922485.84002879</v>
      </c>
      <c r="Q1180" s="398" cm="1">
        <f t="array" ref="Q1180">J1180*INDEX(Berekening_impact[Jaarlijkse kosten (totaal) - incl. schatting],MATCH(B1180,IF(Berekening_impact[Doelgroep]=C1180,Berekening_impact[Digitale zorgtoepassing]),0))</f>
        <v>51290893.096248947</v>
      </c>
      <c r="R1180" s="398" cm="1">
        <f t="array" ref="R1180">(uitkomst_doelgroep[[#This Row],[Implementatiegraad t = T + 1]]-uitkomst_doelgroep[[#This Row],[Implementatiegraad t = T]])*INDEX(Berekening_impact[Initiële investering (totaal) - incl. schatting],MATCH(B1180,IF(Berekening_impact[Doelgroep]=C1180,Berekening_impact[Digitale zorgtoepassing]),0))</f>
        <v>23615.155229158136</v>
      </c>
      <c r="S1180" s="398">
        <f>uitkomst_doelgroep[[#This Row],[Arbeidsbesparing (€)]]*uitkomst_doelgroep[[#This Row],[Percentage van patiëntaantallen in Wlz (overige is Zvw)]]</f>
        <v>0</v>
      </c>
      <c r="T1180" s="398">
        <f>uitkomst_doelgroep[[#This Row],[Overige besparingen (€)]]*uitkomst_doelgroep[[#This Row],[Percentage van patiëntaantallen in Wlz (overige is Zvw)]]</f>
        <v>0</v>
      </c>
      <c r="U1180" s="398">
        <f>uitkomst_doelgroep[[#This Row],[Kosten (€)]]*uitkomst_doelgroep[[#This Row],[Percentage van patiëntaantallen in Wlz (overige is Zvw)]]</f>
        <v>0</v>
      </c>
      <c r="V1180" s="398">
        <f>uitkomst_doelgroep[[#This Row],[Investering (cash flow) (€)]]*uitkomst_doelgroep[[#This Row],[Percentage van patiëntaantallen in Wlz (overige is Zvw)]]</f>
        <v>0</v>
      </c>
    </row>
    <row r="1181" spans="1:22" x14ac:dyDescent="0.5">
      <c r="A1181" s="33" t="str">
        <f>INDEX(Technologieën[Veld],MATCH(B1181,Technologieën[Digitale zorgtoepassing],0))</f>
        <v>Sensoren - Behandeling</v>
      </c>
      <c r="B1181" s="33" t="s">
        <v>88</v>
      </c>
      <c r="C1181" s="33" t="s">
        <v>91</v>
      </c>
      <c r="D1181" s="427" cm="1">
        <f t="array" ref="D1181">INDEX(Berekening_patiëntaantal[Percentage van patiëntaantallen in Wlz (overige is Zvw)],MATCH(B1181,IF(Berekening_patiëntaantal[Doelgroep (zoeksleutel)]=C1181,Berekening_patiëntaantal[Digitale zorgtoepassing]),0))</f>
        <v>0</v>
      </c>
      <c r="E1181" s="33" t="str" cm="1">
        <f t="array" ref="E1181">INDEX(Berekening_patiëntaantal[Direct toepasbaar/extrapolatie/incidentie voor QALY],MATCH(B1181,IF(Berekening_patiëntaantal[Doelgroep (zoeksleutel)]=C1181,Berekening_patiëntaantal[Digitale zorgtoepassing]),0))</f>
        <v>Huidige toepassing</v>
      </c>
      <c r="F1181" s="33" t="s">
        <v>813</v>
      </c>
      <c r="G1181" s="33" t="str">
        <f>CONCATENATE(uitkomst_doelgroep[[#This Row],[Digitale zorgtoepassing]],"_",uitkomst_doelgroep[[#This Row],[Doelgroep]],"_",uitkomst_doelgroep[[#This Row],[Uitgangssituatie/effect beleid]])</f>
        <v>RT monitoring (glucosemeter)_Diabetes_thuiszorg_Uitgangssituatie</v>
      </c>
      <c r="H1181" s="33">
        <v>2033</v>
      </c>
      <c r="I1181" s="32">
        <v>11</v>
      </c>
      <c r="J1181" s="406" cm="1">
        <f t="array" ref="J1181">INDEX(implementatie[[2023]:[2034]],MATCH(G1181, implementatie[Zoeksleutel],0),I1181)</f>
        <v>0.99848879614987718</v>
      </c>
      <c r="K1181" s="406" cm="1">
        <f t="array" ref="K1181">INDEX(implementatie[[2023]:[2034]],MATCH(G1181,implementatie[Zoeksleutel],0),I1181 + 1)</f>
        <v>0.99920559029700107</v>
      </c>
      <c r="L118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1749.3523708545847</v>
      </c>
      <c r="M1181" s="398" cm="1">
        <f t="array" ref="M1181">J1181*INDEX(Berekening_impact[Totaal arbeidsbesparing (€/jaar)],MATCH(B1181,IF(Berekening_impact[Doelgroep]=C1181,Berekening_impact[Digitale zorgtoepassing]),0))</f>
        <v>7859946.0347168371</v>
      </c>
      <c r="N1181" s="397" cm="1">
        <f t="array" ref="N1181">J1181*INDEX(Berekening_impact[Totaal arbeidsbesparing (FTE/jaar)],MATCH(B1181,IF(Berekening_impact[Doelgroep]=C1181,Berekening_impact[Digitale zorgtoepassing]),0))</f>
        <v>185.13979258211023</v>
      </c>
      <c r="O1181" s="398" cm="1">
        <f t="array" ref="O1181">J1181*INDEX(Berekening_impact[Overige kostenbesparing (totaal/jaar totaal potentieel)],MATCH(B1181,IF(Berekening_impact[Doelgroep]=C1181,Berekening_impact[Digitale zorgtoepassing]),0))</f>
        <v>0</v>
      </c>
      <c r="P1181" s="398" cm="1">
        <f t="array" ref="P1181">J1181*INDEX(Berekening_impact[Opbrengsten door QALY''s],MATCH(B1181,IF(Berekening_impact[Doelgroep]=C1181,Berekening_impact[Digitale zorgtoepassing]),0))</f>
        <v>0</v>
      </c>
      <c r="Q1181" s="398" cm="1">
        <f t="array" ref="Q1181">J1181*INDEX(Berekening_impact[Jaarlijkse kosten (totaal) - incl. schatting],MATCH(B1181,IF(Berekening_impact[Doelgroep]=C1181,Berekening_impact[Digitale zorgtoepassing]),0))</f>
        <v>0</v>
      </c>
      <c r="R1181" s="398" cm="1">
        <f t="array" ref="R1181">(uitkomst_doelgroep[[#This Row],[Implementatiegraad t = T + 1]]-uitkomst_doelgroep[[#This Row],[Implementatiegraad t = T]])*INDEX(Berekening_impact[Initiële investering (totaal) - incl. schatting],MATCH(B1181,IF(Berekening_impact[Doelgroep]=C1181,Berekening_impact[Digitale zorgtoepassing]),0))</f>
        <v>0</v>
      </c>
      <c r="S1181" s="398">
        <f>uitkomst_doelgroep[[#This Row],[Arbeidsbesparing (€)]]*uitkomst_doelgroep[[#This Row],[Percentage van patiëntaantallen in Wlz (overige is Zvw)]]</f>
        <v>0</v>
      </c>
      <c r="T1181" s="398">
        <f>uitkomst_doelgroep[[#This Row],[Overige besparingen (€)]]*uitkomst_doelgroep[[#This Row],[Percentage van patiëntaantallen in Wlz (overige is Zvw)]]</f>
        <v>0</v>
      </c>
      <c r="U1181" s="398">
        <f>uitkomst_doelgroep[[#This Row],[Kosten (€)]]*uitkomst_doelgroep[[#This Row],[Percentage van patiëntaantallen in Wlz (overige is Zvw)]]</f>
        <v>0</v>
      </c>
      <c r="V1181" s="398">
        <f>uitkomst_doelgroep[[#This Row],[Investering (cash flow) (€)]]*uitkomst_doelgroep[[#This Row],[Percentage van patiëntaantallen in Wlz (overige is Zvw)]]</f>
        <v>0</v>
      </c>
    </row>
    <row r="1182" spans="1:22" x14ac:dyDescent="0.5">
      <c r="A1182" s="33" t="str">
        <f>INDEX(Technologieën[Veld],MATCH(B1182,Technologieën[Digitale zorgtoepassing],0))</f>
        <v>Sensoren - Verpleging</v>
      </c>
      <c r="B1182" s="33" t="s">
        <v>42</v>
      </c>
      <c r="C1182" s="33" t="s">
        <v>44</v>
      </c>
      <c r="D1182" s="427" cm="1">
        <f t="array" ref="D1182">INDEX(Berekening_patiëntaantal[Percentage van patiëntaantallen in Wlz (overige is Zvw)],MATCH(B1182,IF(Berekening_patiëntaantal[Doelgroep (zoeksleutel)]=C1182,Berekening_patiëntaantal[Digitale zorgtoepassing]),0))</f>
        <v>1</v>
      </c>
      <c r="E1182" s="33" t="str" cm="1">
        <f t="array" ref="E1182">INDEX(Berekening_patiëntaantal[Direct toepasbaar/extrapolatie/incidentie voor QALY],MATCH(B1182,IF(Berekening_patiëntaantal[Doelgroep (zoeksleutel)]=C1182,Berekening_patiëntaantal[Digitale zorgtoepassing]),0))</f>
        <v>Extrapolatie</v>
      </c>
      <c r="F1182" s="33" t="s">
        <v>813</v>
      </c>
      <c r="G1182" s="33" t="str">
        <f>CONCATENATE(uitkomst_doelgroep[[#This Row],[Digitale zorgtoepassing]],"_",uitkomst_doelgroep[[#This Row],[Doelgroep]],"_",uitkomst_doelgroep[[#This Row],[Uitgangssituatie/effect beleid]])</f>
        <v>Slim incontinentiemateriaal_Verstandelijk gehandicapten_Uitgangssituatie</v>
      </c>
      <c r="H1182" s="33">
        <v>2023</v>
      </c>
      <c r="I1182" s="32">
        <v>1</v>
      </c>
      <c r="J1182" s="406" cm="1">
        <f t="array" ref="J1182">INDEX(implementatie[[2023]:[2034]],MATCH(G1182, implementatie[Zoeksleutel],0),I1182)</f>
        <v>0</v>
      </c>
      <c r="K1182" s="406" cm="1">
        <f t="array" ref="K1182">INDEX(implementatie[[2023]:[2034]],MATCH(G1182,implementatie[Zoeksleutel],0),I1182 + 1)</f>
        <v>0</v>
      </c>
      <c r="L118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182" s="398" cm="1">
        <f t="array" ref="M1182">J1182*INDEX(Berekening_impact[Totaal arbeidsbesparing (€/jaar)],MATCH(B1182,IF(Berekening_impact[Doelgroep]=C1182,Berekening_impact[Digitale zorgtoepassing]),0))</f>
        <v>0</v>
      </c>
      <c r="N1182" s="397" cm="1">
        <f t="array" ref="N1182">J1182*INDEX(Berekening_impact[Totaal arbeidsbesparing (FTE/jaar)],MATCH(B1182,IF(Berekening_impact[Doelgroep]=C1182,Berekening_impact[Digitale zorgtoepassing]),0))</f>
        <v>0</v>
      </c>
      <c r="O1182" s="398" cm="1">
        <f t="array" ref="O1182">J1182*INDEX(Berekening_impact[Overige kostenbesparing (totaal/jaar totaal potentieel)],MATCH(B1182,IF(Berekening_impact[Doelgroep]=C1182,Berekening_impact[Digitale zorgtoepassing]),0))</f>
        <v>0</v>
      </c>
      <c r="P1182" s="398" cm="1">
        <f t="array" ref="P1182">J1182*INDEX(Berekening_impact[Opbrengsten door QALY''s],MATCH(B1182,IF(Berekening_impact[Doelgroep]=C1182,Berekening_impact[Digitale zorgtoepassing]),0))</f>
        <v>0</v>
      </c>
      <c r="Q1182" s="398" cm="1">
        <f t="array" ref="Q1182">J1182*INDEX(Berekening_impact[Jaarlijkse kosten (totaal) - incl. schatting],MATCH(B1182,IF(Berekening_impact[Doelgroep]=C1182,Berekening_impact[Digitale zorgtoepassing]),0))</f>
        <v>0</v>
      </c>
      <c r="R1182" s="398" cm="1">
        <f t="array" ref="R1182">(uitkomst_doelgroep[[#This Row],[Implementatiegraad t = T + 1]]-uitkomst_doelgroep[[#This Row],[Implementatiegraad t = T]])*INDEX(Berekening_impact[Initiële investering (totaal) - incl. schatting],MATCH(B1182,IF(Berekening_impact[Doelgroep]=C1182,Berekening_impact[Digitale zorgtoepassing]),0))</f>
        <v>0</v>
      </c>
      <c r="S1182" s="398">
        <f>uitkomst_doelgroep[[#This Row],[Arbeidsbesparing (€)]]*uitkomst_doelgroep[[#This Row],[Percentage van patiëntaantallen in Wlz (overige is Zvw)]]</f>
        <v>0</v>
      </c>
      <c r="T1182" s="398">
        <f>uitkomst_doelgroep[[#This Row],[Overige besparingen (€)]]*uitkomst_doelgroep[[#This Row],[Percentage van patiëntaantallen in Wlz (overige is Zvw)]]</f>
        <v>0</v>
      </c>
      <c r="U1182" s="398">
        <f>uitkomst_doelgroep[[#This Row],[Kosten (€)]]*uitkomst_doelgroep[[#This Row],[Percentage van patiëntaantallen in Wlz (overige is Zvw)]]</f>
        <v>0</v>
      </c>
      <c r="V1182" s="398">
        <f>uitkomst_doelgroep[[#This Row],[Investering (cash flow) (€)]]*uitkomst_doelgroep[[#This Row],[Percentage van patiëntaantallen in Wlz (overige is Zvw)]]</f>
        <v>0</v>
      </c>
    </row>
    <row r="1183" spans="1:22" x14ac:dyDescent="0.5">
      <c r="A1183" s="33" t="str">
        <f>INDEX(Technologieën[Veld],MATCH(B1183,Technologieën[Digitale zorgtoepassing],0))</f>
        <v>Sensoren - Verpleging</v>
      </c>
      <c r="B1183" s="33" t="s">
        <v>42</v>
      </c>
      <c r="C1183" s="33" t="s">
        <v>348</v>
      </c>
      <c r="D1183" s="427" cm="1">
        <f t="array" ref="D1183">INDEX(Berekening_patiëntaantal[Percentage van patiëntaantallen in Wlz (overige is Zvw)],MATCH(B1183,IF(Berekening_patiëntaantal[Doelgroep (zoeksleutel)]=C1183,Berekening_patiëntaantal[Digitale zorgtoepassing]),0))</f>
        <v>1</v>
      </c>
      <c r="E1183" s="33" t="str" cm="1">
        <f t="array" ref="E1183">INDEX(Berekening_patiëntaantal[Direct toepasbaar/extrapolatie/incidentie voor QALY],MATCH(B1183,IF(Berekening_patiëntaantal[Doelgroep (zoeksleutel)]=C1183,Berekening_patiëntaantal[Digitale zorgtoepassing]),0))</f>
        <v>Huidige toepassing</v>
      </c>
      <c r="F1183" s="33" t="s">
        <v>813</v>
      </c>
      <c r="G1183" s="33" t="str">
        <f>CONCATENATE(uitkomst_doelgroep[[#This Row],[Digitale zorgtoepassing]],"_",uitkomst_doelgroep[[#This Row],[Doelgroep]],"_",uitkomst_doelgroep[[#This Row],[Uitgangssituatie/effect beleid]])</f>
        <v>Slim incontinentiemateriaal_Urine incontinent_Uitgangssituatie</v>
      </c>
      <c r="H1183" s="33">
        <v>2023</v>
      </c>
      <c r="I1183" s="32">
        <v>1</v>
      </c>
      <c r="J1183" s="406" cm="1">
        <f t="array" ref="J1183">INDEX(implementatie[[2023]:[2034]],MATCH(G1183, implementatie[Zoeksleutel],0),I1183)</f>
        <v>0.4</v>
      </c>
      <c r="K1183" s="406" cm="1">
        <f t="array" ref="K1183">INDEX(implementatie[[2023]:[2034]],MATCH(G1183,implementatie[Zoeksleutel],0),I1183 + 1)</f>
        <v>0.52300000000000002</v>
      </c>
      <c r="L118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13041</v>
      </c>
      <c r="M1183" s="398" cm="1">
        <f t="array" ref="M1183">J1183*INDEX(Berekening_impact[Totaal arbeidsbesparing (€/jaar)],MATCH(B1183,IF(Berekening_impact[Doelgroep]=C1183,Berekening_impact[Digitale zorgtoepassing]),0))</f>
        <v>30104398.642499998</v>
      </c>
      <c r="N1183" s="397" cm="1">
        <f t="array" ref="N1183">J1183*INDEX(Berekening_impact[Totaal arbeidsbesparing (FTE/jaar)],MATCH(B1183,IF(Berekening_impact[Doelgroep]=C1183,Berekening_impact[Digitale zorgtoepassing]),0))</f>
        <v>709.10437499999989</v>
      </c>
      <c r="O1183" s="398" cm="1">
        <f t="array" ref="O1183">J1183*INDEX(Berekening_impact[Overige kostenbesparing (totaal/jaar totaal potentieel)],MATCH(B1183,IF(Berekening_impact[Doelgroep]=C1183,Berekening_impact[Digitale zorgtoepassing]),0))</f>
        <v>10216076.083801232</v>
      </c>
      <c r="P1183" s="398" cm="1">
        <f t="array" ref="P1183">J1183*INDEX(Berekening_impact[Opbrengsten door QALY''s],MATCH(B1183,IF(Berekening_impact[Doelgroep]=C1183,Berekening_impact[Digitale zorgtoepassing]),0))</f>
        <v>0</v>
      </c>
      <c r="Q1183" s="398" cm="1">
        <f t="array" ref="Q1183">J1183*INDEX(Berekening_impact[Jaarlijkse kosten (totaal) - incl. schatting],MATCH(B1183,IF(Berekening_impact[Doelgroep]=C1183,Berekening_impact[Digitale zorgtoepassing]),0))</f>
        <v>37543626.225000001</v>
      </c>
      <c r="R1183" s="398" cm="1">
        <f t="array" ref="R1183">(uitkomst_doelgroep[[#This Row],[Implementatiegraad t = T + 1]]-uitkomst_doelgroep[[#This Row],[Implementatiegraad t = T]])*INDEX(Berekening_impact[Initiële investering (totaal) - incl. schatting],MATCH(B1183,IF(Berekening_impact[Doelgroep]=C1183,Berekening_impact[Digitale zorgtoepassing]),0))</f>
        <v>0</v>
      </c>
      <c r="S1183" s="398">
        <f>uitkomst_doelgroep[[#This Row],[Arbeidsbesparing (€)]]*uitkomst_doelgroep[[#This Row],[Percentage van patiëntaantallen in Wlz (overige is Zvw)]]</f>
        <v>30104398.642499998</v>
      </c>
      <c r="T1183" s="398">
        <f>uitkomst_doelgroep[[#This Row],[Overige besparingen (€)]]*uitkomst_doelgroep[[#This Row],[Percentage van patiëntaantallen in Wlz (overige is Zvw)]]</f>
        <v>10216076.083801232</v>
      </c>
      <c r="U1183" s="398">
        <f>uitkomst_doelgroep[[#This Row],[Kosten (€)]]*uitkomst_doelgroep[[#This Row],[Percentage van patiëntaantallen in Wlz (overige is Zvw)]]</f>
        <v>37543626.225000001</v>
      </c>
      <c r="V1183" s="398">
        <f>uitkomst_doelgroep[[#This Row],[Investering (cash flow) (€)]]*uitkomst_doelgroep[[#This Row],[Percentage van patiëntaantallen in Wlz (overige is Zvw)]]</f>
        <v>0</v>
      </c>
    </row>
    <row r="1184" spans="1:22" x14ac:dyDescent="0.5">
      <c r="A1184" s="33" t="str">
        <f>INDEX(Technologieën[Veld],MATCH(B1184,Technologieën[Digitale zorgtoepassing],0))</f>
        <v>Sensoren - Verpleging</v>
      </c>
      <c r="B1184" s="33" t="s">
        <v>42</v>
      </c>
      <c r="C1184" s="33" t="s">
        <v>44</v>
      </c>
      <c r="D1184" s="427" cm="1">
        <f t="array" ref="D1184">INDEX(Berekening_patiëntaantal[Percentage van patiëntaantallen in Wlz (overige is Zvw)],MATCH(B1184,IF(Berekening_patiëntaantal[Doelgroep (zoeksleutel)]=C1184,Berekening_patiëntaantal[Digitale zorgtoepassing]),0))</f>
        <v>1</v>
      </c>
      <c r="E1184" s="33" t="str" cm="1">
        <f t="array" ref="E1184">INDEX(Berekening_patiëntaantal[Direct toepasbaar/extrapolatie/incidentie voor QALY],MATCH(B1184,IF(Berekening_patiëntaantal[Doelgroep (zoeksleutel)]=C1184,Berekening_patiëntaantal[Digitale zorgtoepassing]),0))</f>
        <v>Extrapolatie</v>
      </c>
      <c r="F1184" s="33" t="s">
        <v>813</v>
      </c>
      <c r="G1184" s="33" t="str">
        <f>CONCATENATE(uitkomst_doelgroep[[#This Row],[Digitale zorgtoepassing]],"_",uitkomst_doelgroep[[#This Row],[Doelgroep]],"_",uitkomst_doelgroep[[#This Row],[Uitgangssituatie/effect beleid]])</f>
        <v>Slim incontinentiemateriaal_Verstandelijk gehandicapten_Uitgangssituatie</v>
      </c>
      <c r="H1184" s="33">
        <v>2024</v>
      </c>
      <c r="I1184" s="32">
        <v>2</v>
      </c>
      <c r="J1184" s="406" cm="1">
        <f t="array" ref="J1184">INDEX(implementatie[[2023]:[2034]],MATCH(G1184, implementatie[Zoeksleutel],0),I1184)</f>
        <v>0</v>
      </c>
      <c r="K1184" s="406" cm="1">
        <f t="array" ref="K1184">INDEX(implementatie[[2023]:[2034]],MATCH(G1184,implementatie[Zoeksleutel],0),I1184 + 1)</f>
        <v>2.5000000000000001E-2</v>
      </c>
      <c r="L118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184" s="398" cm="1">
        <f t="array" ref="M1184">J1184*INDEX(Berekening_impact[Totaal arbeidsbesparing (€/jaar)],MATCH(B1184,IF(Berekening_impact[Doelgroep]=C1184,Berekening_impact[Digitale zorgtoepassing]),0))</f>
        <v>0</v>
      </c>
      <c r="N1184" s="397" cm="1">
        <f t="array" ref="N1184">J1184*INDEX(Berekening_impact[Totaal arbeidsbesparing (FTE/jaar)],MATCH(B1184,IF(Berekening_impact[Doelgroep]=C1184,Berekening_impact[Digitale zorgtoepassing]),0))</f>
        <v>0</v>
      </c>
      <c r="O1184" s="398" cm="1">
        <f t="array" ref="O1184">J1184*INDEX(Berekening_impact[Overige kostenbesparing (totaal/jaar totaal potentieel)],MATCH(B1184,IF(Berekening_impact[Doelgroep]=C1184,Berekening_impact[Digitale zorgtoepassing]),0))</f>
        <v>0</v>
      </c>
      <c r="P1184" s="398" cm="1">
        <f t="array" ref="P1184">J1184*INDEX(Berekening_impact[Opbrengsten door QALY''s],MATCH(B1184,IF(Berekening_impact[Doelgroep]=C1184,Berekening_impact[Digitale zorgtoepassing]),0))</f>
        <v>0</v>
      </c>
      <c r="Q1184" s="398" cm="1">
        <f t="array" ref="Q1184">J1184*INDEX(Berekening_impact[Jaarlijkse kosten (totaal) - incl. schatting],MATCH(B1184,IF(Berekening_impact[Doelgroep]=C1184,Berekening_impact[Digitale zorgtoepassing]),0))</f>
        <v>0</v>
      </c>
      <c r="R1184" s="398" cm="1">
        <f t="array" ref="R1184">(uitkomst_doelgroep[[#This Row],[Implementatiegraad t = T + 1]]-uitkomst_doelgroep[[#This Row],[Implementatiegraad t = T]])*INDEX(Berekening_impact[Initiële investering (totaal) - incl. schatting],MATCH(B1184,IF(Berekening_impact[Doelgroep]=C1184,Berekening_impact[Digitale zorgtoepassing]),0))</f>
        <v>0</v>
      </c>
      <c r="S1184" s="398">
        <f>uitkomst_doelgroep[[#This Row],[Arbeidsbesparing (€)]]*uitkomst_doelgroep[[#This Row],[Percentage van patiëntaantallen in Wlz (overige is Zvw)]]</f>
        <v>0</v>
      </c>
      <c r="T1184" s="398">
        <f>uitkomst_doelgroep[[#This Row],[Overige besparingen (€)]]*uitkomst_doelgroep[[#This Row],[Percentage van patiëntaantallen in Wlz (overige is Zvw)]]</f>
        <v>0</v>
      </c>
      <c r="U1184" s="398">
        <f>uitkomst_doelgroep[[#This Row],[Kosten (€)]]*uitkomst_doelgroep[[#This Row],[Percentage van patiëntaantallen in Wlz (overige is Zvw)]]</f>
        <v>0</v>
      </c>
      <c r="V1184" s="398">
        <f>uitkomst_doelgroep[[#This Row],[Investering (cash flow) (€)]]*uitkomst_doelgroep[[#This Row],[Percentage van patiëntaantallen in Wlz (overige is Zvw)]]</f>
        <v>0</v>
      </c>
    </row>
    <row r="1185" spans="1:22" x14ac:dyDescent="0.5">
      <c r="A1185" s="33" t="str">
        <f>INDEX(Technologieën[Veld],MATCH(B1185,Technologieën[Digitale zorgtoepassing],0))</f>
        <v>Sensoren - Verpleging</v>
      </c>
      <c r="B1185" s="33" t="s">
        <v>42</v>
      </c>
      <c r="C1185" s="33" t="s">
        <v>348</v>
      </c>
      <c r="D1185" s="427" cm="1">
        <f t="array" ref="D1185">INDEX(Berekening_patiëntaantal[Percentage van patiëntaantallen in Wlz (overige is Zvw)],MATCH(B1185,IF(Berekening_patiëntaantal[Doelgroep (zoeksleutel)]=C1185,Berekening_patiëntaantal[Digitale zorgtoepassing]),0))</f>
        <v>1</v>
      </c>
      <c r="E1185" s="33" t="str" cm="1">
        <f t="array" ref="E1185">INDEX(Berekening_patiëntaantal[Direct toepasbaar/extrapolatie/incidentie voor QALY],MATCH(B1185,IF(Berekening_patiëntaantal[Doelgroep (zoeksleutel)]=C1185,Berekening_patiëntaantal[Digitale zorgtoepassing]),0))</f>
        <v>Huidige toepassing</v>
      </c>
      <c r="F1185" s="33" t="s">
        <v>813</v>
      </c>
      <c r="G1185" s="33" t="str">
        <f>CONCATENATE(uitkomst_doelgroep[[#This Row],[Digitale zorgtoepassing]],"_",uitkomst_doelgroep[[#This Row],[Doelgroep]],"_",uitkomst_doelgroep[[#This Row],[Uitgangssituatie/effect beleid]])</f>
        <v>Slim incontinentiemateriaal_Urine incontinent_Uitgangssituatie</v>
      </c>
      <c r="H1185" s="33">
        <v>2024</v>
      </c>
      <c r="I1185" s="32">
        <v>2</v>
      </c>
      <c r="J1185" s="406" cm="1">
        <f t="array" ref="J1185">INDEX(implementatie[[2023]:[2034]],MATCH(G1185, implementatie[Zoeksleutel],0),I1185)</f>
        <v>0.52300000000000002</v>
      </c>
      <c r="K1185" s="406" cm="1">
        <f t="array" ref="K1185">INDEX(implementatie[[2023]:[2034]],MATCH(G1185,implementatie[Zoeksleutel],0),I1185 + 1)</f>
        <v>0.64718695000000004</v>
      </c>
      <c r="L118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17051.107499999998</v>
      </c>
      <c r="M1185" s="398" cm="1">
        <f t="array" ref="M1185">J1185*INDEX(Berekening_impact[Totaal arbeidsbesparing (€/jaar)],MATCH(B1185,IF(Berekening_impact[Doelgroep]=C1185,Berekening_impact[Digitale zorgtoepassing]),0))</f>
        <v>39361501.225068748</v>
      </c>
      <c r="N1185" s="397" cm="1">
        <f t="array" ref="N1185">J1185*INDEX(Berekening_impact[Totaal arbeidsbesparing (FTE/jaar)],MATCH(B1185,IF(Berekening_impact[Doelgroep]=C1185,Berekening_impact[Digitale zorgtoepassing]),0))</f>
        <v>927.15397031249984</v>
      </c>
      <c r="O1185" s="398" cm="1">
        <f t="array" ref="O1185">J1185*INDEX(Berekening_impact[Overige kostenbesparing (totaal/jaar totaal potentieel)],MATCH(B1185,IF(Berekening_impact[Doelgroep]=C1185,Berekening_impact[Digitale zorgtoepassing]),0))</f>
        <v>13357519.479570109</v>
      </c>
      <c r="P1185" s="398" cm="1">
        <f t="array" ref="P1185">J1185*INDEX(Berekening_impact[Opbrengsten door QALY''s],MATCH(B1185,IF(Berekening_impact[Doelgroep]=C1185,Berekening_impact[Digitale zorgtoepassing]),0))</f>
        <v>0</v>
      </c>
      <c r="Q1185" s="398" cm="1">
        <f t="array" ref="Q1185">J1185*INDEX(Berekening_impact[Jaarlijkse kosten (totaal) - incl. schatting],MATCH(B1185,IF(Berekening_impact[Doelgroep]=C1185,Berekening_impact[Digitale zorgtoepassing]),0))</f>
        <v>49088291.289187498</v>
      </c>
      <c r="R1185" s="398" cm="1">
        <f t="array" ref="R1185">(uitkomst_doelgroep[[#This Row],[Implementatiegraad t = T + 1]]-uitkomst_doelgroep[[#This Row],[Implementatiegraad t = T]])*INDEX(Berekening_impact[Initiële investering (totaal) - incl. schatting],MATCH(B1185,IF(Berekening_impact[Doelgroep]=C1185,Berekening_impact[Digitale zorgtoepassing]),0))</f>
        <v>0</v>
      </c>
      <c r="S1185" s="398">
        <f>uitkomst_doelgroep[[#This Row],[Arbeidsbesparing (€)]]*uitkomst_doelgroep[[#This Row],[Percentage van patiëntaantallen in Wlz (overige is Zvw)]]</f>
        <v>39361501.225068748</v>
      </c>
      <c r="T1185" s="398">
        <f>uitkomst_doelgroep[[#This Row],[Overige besparingen (€)]]*uitkomst_doelgroep[[#This Row],[Percentage van patiëntaantallen in Wlz (overige is Zvw)]]</f>
        <v>13357519.479570109</v>
      </c>
      <c r="U1185" s="398">
        <f>uitkomst_doelgroep[[#This Row],[Kosten (€)]]*uitkomst_doelgroep[[#This Row],[Percentage van patiëntaantallen in Wlz (overige is Zvw)]]</f>
        <v>49088291.289187498</v>
      </c>
      <c r="V1185" s="398">
        <f>uitkomst_doelgroep[[#This Row],[Investering (cash flow) (€)]]*uitkomst_doelgroep[[#This Row],[Percentage van patiëntaantallen in Wlz (overige is Zvw)]]</f>
        <v>0</v>
      </c>
    </row>
    <row r="1186" spans="1:22" x14ac:dyDescent="0.5">
      <c r="A1186" s="33" t="str">
        <f>INDEX(Technologieën[Veld],MATCH(B1186,Technologieën[Digitale zorgtoepassing],0))</f>
        <v>Sensoren - Verpleging</v>
      </c>
      <c r="B1186" s="33" t="s">
        <v>42</v>
      </c>
      <c r="C1186" s="33" t="s">
        <v>44</v>
      </c>
      <c r="D1186" s="427" cm="1">
        <f t="array" ref="D1186">INDEX(Berekening_patiëntaantal[Percentage van patiëntaantallen in Wlz (overige is Zvw)],MATCH(B1186,IF(Berekening_patiëntaantal[Doelgroep (zoeksleutel)]=C1186,Berekening_patiëntaantal[Digitale zorgtoepassing]),0))</f>
        <v>1</v>
      </c>
      <c r="E1186" s="33" t="str" cm="1">
        <f t="array" ref="E1186">INDEX(Berekening_patiëntaantal[Direct toepasbaar/extrapolatie/incidentie voor QALY],MATCH(B1186,IF(Berekening_patiëntaantal[Doelgroep (zoeksleutel)]=C1186,Berekening_patiëntaantal[Digitale zorgtoepassing]),0))</f>
        <v>Extrapolatie</v>
      </c>
      <c r="F1186" s="33" t="s">
        <v>813</v>
      </c>
      <c r="G1186" s="33" t="str">
        <f>CONCATENATE(uitkomst_doelgroep[[#This Row],[Digitale zorgtoepassing]],"_",uitkomst_doelgroep[[#This Row],[Doelgroep]],"_",uitkomst_doelgroep[[#This Row],[Uitgangssituatie/effect beleid]])</f>
        <v>Slim incontinentiemateriaal_Verstandelijk gehandicapten_Uitgangssituatie</v>
      </c>
      <c r="H1186" s="33">
        <v>2025</v>
      </c>
      <c r="I1186" s="32">
        <v>3</v>
      </c>
      <c r="J1186" s="406" cm="1">
        <f t="array" ref="J1186">INDEX(implementatie[[2023]:[2034]],MATCH(G1186, implementatie[Zoeksleutel],0),I1186)</f>
        <v>2.5000000000000001E-2</v>
      </c>
      <c r="K1186" s="406" cm="1">
        <f t="array" ref="K1186">INDEX(implementatie[[2023]:[2034]],MATCH(G1186,implementatie[Zoeksleutel],0),I1186 + 1)</f>
        <v>6.0343750000000002E-2</v>
      </c>
      <c r="L118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56.40625</v>
      </c>
      <c r="M1186" s="398" cm="1">
        <f t="array" ref="M1186">J1186*INDEX(Berekening_impact[Totaal arbeidsbesparing (€/jaar)],MATCH(B1186,IF(Berekening_impact[Doelgroep]=C1186,Berekening_impact[Digitale zorgtoepassing]),0))</f>
        <v>130210.58476562501</v>
      </c>
      <c r="N1186" s="397" cm="1">
        <f t="array" ref="N1186">J1186*INDEX(Berekening_impact[Totaal arbeidsbesparing (FTE/jaar)],MATCH(B1186,IF(Berekening_impact[Doelgroep]=C1186,Berekening_impact[Digitale zorgtoepassing]),0))</f>
        <v>3.0670898437500003</v>
      </c>
      <c r="O1186" s="398" cm="1">
        <f t="array" ref="O1186">J1186*INDEX(Berekening_impact[Overige kostenbesparing (totaal/jaar totaal potentieel)],MATCH(B1186,IF(Berekening_impact[Doelgroep]=C1186,Berekening_impact[Digitale zorgtoepassing]),0))</f>
        <v>44187.603834208516</v>
      </c>
      <c r="P1186" s="398" cm="1">
        <f t="array" ref="P1186">J1186*INDEX(Berekening_impact[Opbrengsten door QALY''s],MATCH(B1186,IF(Berekening_impact[Doelgroep]=C1186,Berekening_impact[Digitale zorgtoepassing]),0))</f>
        <v>0</v>
      </c>
      <c r="Q1186" s="398" cm="1">
        <f t="array" ref="Q1186">J1186*INDEX(Berekening_impact[Jaarlijkse kosten (totaal) - incl. schatting],MATCH(B1186,IF(Berekening_impact[Doelgroep]=C1186,Berekening_impact[Digitale zorgtoepassing]),0))</f>
        <v>162387.48307291669</v>
      </c>
      <c r="R1186" s="398" cm="1">
        <f t="array" ref="R1186">(uitkomst_doelgroep[[#This Row],[Implementatiegraad t = T + 1]]-uitkomst_doelgroep[[#This Row],[Implementatiegraad t = T]])*INDEX(Berekening_impact[Initiële investering (totaal) - incl. schatting],MATCH(B1186,IF(Berekening_impact[Doelgroep]=C1186,Berekening_impact[Digitale zorgtoepassing]),0))</f>
        <v>0</v>
      </c>
      <c r="S1186" s="398">
        <f>uitkomst_doelgroep[[#This Row],[Arbeidsbesparing (€)]]*uitkomst_doelgroep[[#This Row],[Percentage van patiëntaantallen in Wlz (overige is Zvw)]]</f>
        <v>130210.58476562501</v>
      </c>
      <c r="T1186" s="398">
        <f>uitkomst_doelgroep[[#This Row],[Overige besparingen (€)]]*uitkomst_doelgroep[[#This Row],[Percentage van patiëntaantallen in Wlz (overige is Zvw)]]</f>
        <v>44187.603834208516</v>
      </c>
      <c r="U1186" s="398">
        <f>uitkomst_doelgroep[[#This Row],[Kosten (€)]]*uitkomst_doelgroep[[#This Row],[Percentage van patiëntaantallen in Wlz (overige is Zvw)]]</f>
        <v>162387.48307291669</v>
      </c>
      <c r="V1186" s="398">
        <f>uitkomst_doelgroep[[#This Row],[Investering (cash flow) (€)]]*uitkomst_doelgroep[[#This Row],[Percentage van patiëntaantallen in Wlz (overige is Zvw)]]</f>
        <v>0</v>
      </c>
    </row>
    <row r="1187" spans="1:22" x14ac:dyDescent="0.5">
      <c r="A1187" s="33" t="str">
        <f>INDEX(Technologieën[Veld],MATCH(B1187,Technologieën[Digitale zorgtoepassing],0))</f>
        <v>Sensoren - Verpleging</v>
      </c>
      <c r="B1187" s="33" t="s">
        <v>42</v>
      </c>
      <c r="C1187" s="33" t="s">
        <v>348</v>
      </c>
      <c r="D1187" s="427" cm="1">
        <f t="array" ref="D1187">INDEX(Berekening_patiëntaantal[Percentage van patiëntaantallen in Wlz (overige is Zvw)],MATCH(B1187,IF(Berekening_patiëntaantal[Doelgroep (zoeksleutel)]=C1187,Berekening_patiëntaantal[Digitale zorgtoepassing]),0))</f>
        <v>1</v>
      </c>
      <c r="E1187" s="33" t="str" cm="1">
        <f t="array" ref="E1187">INDEX(Berekening_patiëntaantal[Direct toepasbaar/extrapolatie/incidentie voor QALY],MATCH(B1187,IF(Berekening_patiëntaantal[Doelgroep (zoeksleutel)]=C1187,Berekening_patiëntaantal[Digitale zorgtoepassing]),0))</f>
        <v>Huidige toepassing</v>
      </c>
      <c r="F1187" s="33" t="s">
        <v>813</v>
      </c>
      <c r="G1187" s="33" t="str">
        <f>CONCATENATE(uitkomst_doelgroep[[#This Row],[Digitale zorgtoepassing]],"_",uitkomst_doelgroep[[#This Row],[Doelgroep]],"_",uitkomst_doelgroep[[#This Row],[Uitgangssituatie/effect beleid]])</f>
        <v>Slim incontinentiemateriaal_Urine incontinent_Uitgangssituatie</v>
      </c>
      <c r="H1187" s="33">
        <v>2025</v>
      </c>
      <c r="I1187" s="32">
        <v>3</v>
      </c>
      <c r="J1187" s="406" cm="1">
        <f t="array" ref="J1187">INDEX(implementatie[[2023]:[2034]],MATCH(G1187, implementatie[Zoeksleutel],0),I1187)</f>
        <v>0.64718695000000004</v>
      </c>
      <c r="K1187" s="406" cm="1">
        <f t="array" ref="K1187">INDEX(implementatie[[2023]:[2034]],MATCH(G1187,implementatie[Zoeksleutel],0),I1187 + 1)</f>
        <v>0.75875847703736388</v>
      </c>
      <c r="L118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21099.912537374999</v>
      </c>
      <c r="M1187" s="398" cm="1">
        <f t="array" ref="M1187">J1187*INDEX(Berekening_impact[Totaal arbeidsbesparing (€/jaar)],MATCH(B1187,IF(Berekening_impact[Doelgroep]=C1187,Berekening_impact[Digitale zorgtoepassing]),0))</f>
        <v>48707934.847559281</v>
      </c>
      <c r="N1187" s="397" cm="1">
        <f t="array" ref="N1187">J1187*INDEX(Berekening_impact[Totaal arbeidsbesparing (FTE/jaar)],MATCH(B1187,IF(Berekening_impact[Doelgroep]=C1187,Berekening_impact[Digitale zorgtoepassing]),0))</f>
        <v>1147.3077442197655</v>
      </c>
      <c r="O1187" s="398" cm="1">
        <f t="array" ref="O1187">J1187*INDEX(Berekening_impact[Overige kostenbesparing (totaal/jaar totaal potentieel)],MATCH(B1187,IF(Berekening_impact[Doelgroep]=C1187,Berekening_impact[Digitale zorgtoepassing]),0))</f>
        <v>16529277.804108158</v>
      </c>
      <c r="P1187" s="398" cm="1">
        <f t="array" ref="P1187">J1187*INDEX(Berekening_impact[Opbrengsten door QALY''s],MATCH(B1187,IF(Berekening_impact[Doelgroep]=C1187,Berekening_impact[Digitale zorgtoepassing]),0))</f>
        <v>0</v>
      </c>
      <c r="Q1187" s="398" cm="1">
        <f t="array" ref="Q1187">J1187*INDEX(Berekening_impact[Jaarlijkse kosten (totaal) - incl. schatting],MATCH(B1187,IF(Berekening_impact[Doelgroep]=C1187,Berekening_impact[Digitale zorgtoepassing]),0))</f>
        <v>60744362.371244416</v>
      </c>
      <c r="R1187" s="398" cm="1">
        <f t="array" ref="R1187">(uitkomst_doelgroep[[#This Row],[Implementatiegraad t = T + 1]]-uitkomst_doelgroep[[#This Row],[Implementatiegraad t = T]])*INDEX(Berekening_impact[Initiële investering (totaal) - incl. schatting],MATCH(B1187,IF(Berekening_impact[Doelgroep]=C1187,Berekening_impact[Digitale zorgtoepassing]),0))</f>
        <v>0</v>
      </c>
      <c r="S1187" s="398">
        <f>uitkomst_doelgroep[[#This Row],[Arbeidsbesparing (€)]]*uitkomst_doelgroep[[#This Row],[Percentage van patiëntaantallen in Wlz (overige is Zvw)]]</f>
        <v>48707934.847559281</v>
      </c>
      <c r="T1187" s="398">
        <f>uitkomst_doelgroep[[#This Row],[Overige besparingen (€)]]*uitkomst_doelgroep[[#This Row],[Percentage van patiëntaantallen in Wlz (overige is Zvw)]]</f>
        <v>16529277.804108158</v>
      </c>
      <c r="U1187" s="398">
        <f>uitkomst_doelgroep[[#This Row],[Kosten (€)]]*uitkomst_doelgroep[[#This Row],[Percentage van patiëntaantallen in Wlz (overige is Zvw)]]</f>
        <v>60744362.371244416</v>
      </c>
      <c r="V1187" s="398">
        <f>uitkomst_doelgroep[[#This Row],[Investering (cash flow) (€)]]*uitkomst_doelgroep[[#This Row],[Percentage van patiëntaantallen in Wlz (overige is Zvw)]]</f>
        <v>0</v>
      </c>
    </row>
    <row r="1188" spans="1:22" x14ac:dyDescent="0.5">
      <c r="A1188" s="33" t="str">
        <f>INDEX(Technologieën[Veld],MATCH(B1188,Technologieën[Digitale zorgtoepassing],0))</f>
        <v>Sensoren - Verpleging</v>
      </c>
      <c r="B1188" s="33" t="s">
        <v>42</v>
      </c>
      <c r="C1188" s="33" t="s">
        <v>44</v>
      </c>
      <c r="D1188" s="427" cm="1">
        <f t="array" ref="D1188">INDEX(Berekening_patiëntaantal[Percentage van patiëntaantallen in Wlz (overige is Zvw)],MATCH(B1188,IF(Berekening_patiëntaantal[Doelgroep (zoeksleutel)]=C1188,Berekening_patiëntaantal[Digitale zorgtoepassing]),0))</f>
        <v>1</v>
      </c>
      <c r="E1188" s="33" t="str" cm="1">
        <f t="array" ref="E1188">INDEX(Berekening_patiëntaantal[Direct toepasbaar/extrapolatie/incidentie voor QALY],MATCH(B1188,IF(Berekening_patiëntaantal[Doelgroep (zoeksleutel)]=C1188,Berekening_patiëntaantal[Digitale zorgtoepassing]),0))</f>
        <v>Extrapolatie</v>
      </c>
      <c r="F1188" s="33" t="s">
        <v>813</v>
      </c>
      <c r="G1188" s="33" t="str">
        <f>CONCATENATE(uitkomst_doelgroep[[#This Row],[Digitale zorgtoepassing]],"_",uitkomst_doelgroep[[#This Row],[Doelgroep]],"_",uitkomst_doelgroep[[#This Row],[Uitgangssituatie/effect beleid]])</f>
        <v>Slim incontinentiemateriaal_Verstandelijk gehandicapten_Uitgangssituatie</v>
      </c>
      <c r="H1188" s="33">
        <v>2026</v>
      </c>
      <c r="I1188" s="32">
        <v>4</v>
      </c>
      <c r="J1188" s="406" cm="1">
        <f t="array" ref="J1188">INDEX(implementatie[[2023]:[2034]],MATCH(G1188, implementatie[Zoeksleutel],0),I1188)</f>
        <v>6.0343750000000002E-2</v>
      </c>
      <c r="K1188" s="406" cm="1">
        <f t="array" ref="K1188">INDEX(implementatie[[2023]:[2034]],MATCH(G1188,implementatie[Zoeksleutel],0),I1188 + 1)</f>
        <v>0.10935122807617187</v>
      </c>
      <c r="L118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136.15058593750001</v>
      </c>
      <c r="M1188" s="398" cm="1">
        <f t="array" ref="M1188">J1188*INDEX(Berekening_impact[Totaal arbeidsbesparing (€/jaar)],MATCH(B1188,IF(Berekening_impact[Doelgroep]=C1188,Berekening_impact[Digitale zorgtoepassing]),0))</f>
        <v>314295.79897802736</v>
      </c>
      <c r="N1188" s="397" cm="1">
        <f t="array" ref="N1188">J1188*INDEX(Berekening_impact[Totaal arbeidsbesparing (FTE/jaar)],MATCH(B1188,IF(Berekening_impact[Doelgroep]=C1188,Berekening_impact[Digitale zorgtoepassing]),0))</f>
        <v>7.4031881103515627</v>
      </c>
      <c r="O1188" s="398" cm="1">
        <f t="array" ref="O1188">J1188*INDEX(Berekening_impact[Overige kostenbesparing (totaal/jaar totaal potentieel)],MATCH(B1188,IF(Berekening_impact[Doelgroep]=C1188,Berekening_impact[Digitale zorgtoepassing]),0))</f>
        <v>106657.8287548208</v>
      </c>
      <c r="P1188" s="398" cm="1">
        <f t="array" ref="P1188">J1188*INDEX(Berekening_impact[Opbrengsten door QALY''s],MATCH(B1188,IF(Berekening_impact[Doelgroep]=C1188,Berekening_impact[Digitale zorgtoepassing]),0))</f>
        <v>0</v>
      </c>
      <c r="Q1188" s="398" cm="1">
        <f t="array" ref="Q1188">J1188*INDEX(Berekening_impact[Jaarlijkse kosten (totaal) - incl. schatting],MATCH(B1188,IF(Berekening_impact[Doelgroep]=C1188,Berekening_impact[Digitale zorgtoepassing]),0))</f>
        <v>391962.78726725263</v>
      </c>
      <c r="R1188" s="398" cm="1">
        <f t="array" ref="R1188">(uitkomst_doelgroep[[#This Row],[Implementatiegraad t = T + 1]]-uitkomst_doelgroep[[#This Row],[Implementatiegraad t = T]])*INDEX(Berekening_impact[Initiële investering (totaal) - incl. schatting],MATCH(B1188,IF(Berekening_impact[Doelgroep]=C1188,Berekening_impact[Digitale zorgtoepassing]),0))</f>
        <v>0</v>
      </c>
      <c r="S1188" s="398">
        <f>uitkomst_doelgroep[[#This Row],[Arbeidsbesparing (€)]]*uitkomst_doelgroep[[#This Row],[Percentage van patiëntaantallen in Wlz (overige is Zvw)]]</f>
        <v>314295.79897802736</v>
      </c>
      <c r="T1188" s="398">
        <f>uitkomst_doelgroep[[#This Row],[Overige besparingen (€)]]*uitkomst_doelgroep[[#This Row],[Percentage van patiëntaantallen in Wlz (overige is Zvw)]]</f>
        <v>106657.8287548208</v>
      </c>
      <c r="U1188" s="398">
        <f>uitkomst_doelgroep[[#This Row],[Kosten (€)]]*uitkomst_doelgroep[[#This Row],[Percentage van patiëntaantallen in Wlz (overige is Zvw)]]</f>
        <v>391962.78726725263</v>
      </c>
      <c r="V1188" s="398">
        <f>uitkomst_doelgroep[[#This Row],[Investering (cash flow) (€)]]*uitkomst_doelgroep[[#This Row],[Percentage van patiëntaantallen in Wlz (overige is Zvw)]]</f>
        <v>0</v>
      </c>
    </row>
    <row r="1189" spans="1:22" x14ac:dyDescent="0.5">
      <c r="A1189" s="33" t="str">
        <f>INDEX(Technologieën[Veld],MATCH(B1189,Technologieën[Digitale zorgtoepassing],0))</f>
        <v>Sensoren - Verpleging</v>
      </c>
      <c r="B1189" s="33" t="s">
        <v>42</v>
      </c>
      <c r="C1189" s="33" t="s">
        <v>348</v>
      </c>
      <c r="D1189" s="427" cm="1">
        <f t="array" ref="D1189">INDEX(Berekening_patiëntaantal[Percentage van patiëntaantallen in Wlz (overige is Zvw)],MATCH(B1189,IF(Berekening_patiëntaantal[Doelgroep (zoeksleutel)]=C1189,Berekening_patiëntaantal[Digitale zorgtoepassing]),0))</f>
        <v>1</v>
      </c>
      <c r="E1189" s="33" t="str" cm="1">
        <f t="array" ref="E1189">INDEX(Berekening_patiëntaantal[Direct toepasbaar/extrapolatie/incidentie voor QALY],MATCH(B1189,IF(Berekening_patiëntaantal[Doelgroep (zoeksleutel)]=C1189,Berekening_patiëntaantal[Digitale zorgtoepassing]),0))</f>
        <v>Huidige toepassing</v>
      </c>
      <c r="F1189" s="33" t="s">
        <v>813</v>
      </c>
      <c r="G1189" s="33" t="str">
        <f>CONCATENATE(uitkomst_doelgroep[[#This Row],[Digitale zorgtoepassing]],"_",uitkomst_doelgroep[[#This Row],[Doelgroep]],"_",uitkomst_doelgroep[[#This Row],[Uitgangssituatie/effect beleid]])</f>
        <v>Slim incontinentiemateriaal_Urine incontinent_Uitgangssituatie</v>
      </c>
      <c r="H1189" s="33">
        <v>2026</v>
      </c>
      <c r="I1189" s="32">
        <v>4</v>
      </c>
      <c r="J1189" s="406" cm="1">
        <f t="array" ref="J1189">INDEX(implementatie[[2023]:[2034]],MATCH(G1189, implementatie[Zoeksleutel],0),I1189)</f>
        <v>0.75875847703736388</v>
      </c>
      <c r="K1189" s="406" cm="1">
        <f t="array" ref="K1189">INDEX(implementatie[[2023]:[2034]],MATCH(G1189,implementatie[Zoeksleutel],0),I1189 + 1)</f>
        <v>0.84715933786401665</v>
      </c>
      <c r="L118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24737.423247610652</v>
      </c>
      <c r="M1189" s="398" cm="1">
        <f t="array" ref="M1189">J1189*INDEX(Berekening_impact[Totaal arbeidsbesparing (€/jaar)],MATCH(B1189,IF(Berekening_impact[Doelgroep]=C1189,Berekening_impact[Digitale zorgtoepassing]),0))</f>
        <v>57104919.165272452</v>
      </c>
      <c r="N1189" s="397" cm="1">
        <f t="array" ref="N1189">J1189*INDEX(Berekening_impact[Totaal arbeidsbesparing (FTE/jaar)],MATCH(B1189,IF(Berekening_impact[Doelgroep]=C1189,Berekening_impact[Digitale zorgtoepassing]),0))</f>
        <v>1345.0973890888292</v>
      </c>
      <c r="O1189" s="398" cm="1">
        <f t="array" ref="O1189">J1189*INDEX(Berekening_impact[Overige kostenbesparing (totaal/jaar totaal potentieel)],MATCH(B1189,IF(Berekening_impact[Doelgroep]=C1189,Berekening_impact[Digitale zorgtoepassing]),0))</f>
        <v>19378835.826607145</v>
      </c>
      <c r="P1189" s="398" cm="1">
        <f t="array" ref="P1189">J1189*INDEX(Berekening_impact[Opbrengsten door QALY''s],MATCH(B1189,IF(Berekening_impact[Doelgroep]=C1189,Berekening_impact[Digitale zorgtoepassing]),0))</f>
        <v>0</v>
      </c>
      <c r="Q1189" s="398" cm="1">
        <f t="array" ref="Q1189">J1189*INDEX(Berekening_impact[Jaarlijkse kosten (totaal) - incl. schatting],MATCH(B1189,IF(Berekening_impact[Doelgroep]=C1189,Berekening_impact[Digitale zorgtoepassing]),0))</f>
        <v>71216361.642352581</v>
      </c>
      <c r="R1189" s="398" cm="1">
        <f t="array" ref="R1189">(uitkomst_doelgroep[[#This Row],[Implementatiegraad t = T + 1]]-uitkomst_doelgroep[[#This Row],[Implementatiegraad t = T]])*INDEX(Berekening_impact[Initiële investering (totaal) - incl. schatting],MATCH(B1189,IF(Berekening_impact[Doelgroep]=C1189,Berekening_impact[Digitale zorgtoepassing]),0))</f>
        <v>0</v>
      </c>
      <c r="S1189" s="398">
        <f>uitkomst_doelgroep[[#This Row],[Arbeidsbesparing (€)]]*uitkomst_doelgroep[[#This Row],[Percentage van patiëntaantallen in Wlz (overige is Zvw)]]</f>
        <v>57104919.165272452</v>
      </c>
      <c r="T1189" s="398">
        <f>uitkomst_doelgroep[[#This Row],[Overige besparingen (€)]]*uitkomst_doelgroep[[#This Row],[Percentage van patiëntaantallen in Wlz (overige is Zvw)]]</f>
        <v>19378835.826607145</v>
      </c>
      <c r="U1189" s="398">
        <f>uitkomst_doelgroep[[#This Row],[Kosten (€)]]*uitkomst_doelgroep[[#This Row],[Percentage van patiëntaantallen in Wlz (overige is Zvw)]]</f>
        <v>71216361.642352581</v>
      </c>
      <c r="V1189" s="398">
        <f>uitkomst_doelgroep[[#This Row],[Investering (cash flow) (€)]]*uitkomst_doelgroep[[#This Row],[Percentage van patiëntaantallen in Wlz (overige is Zvw)]]</f>
        <v>0</v>
      </c>
    </row>
    <row r="1190" spans="1:22" x14ac:dyDescent="0.5">
      <c r="A1190" s="33" t="str">
        <f>INDEX(Technologieën[Veld],MATCH(B1190,Technologieën[Digitale zorgtoepassing],0))</f>
        <v>Sensoren - Verpleging</v>
      </c>
      <c r="B1190" s="33" t="s">
        <v>42</v>
      </c>
      <c r="C1190" s="33" t="s">
        <v>44</v>
      </c>
      <c r="D1190" s="427" cm="1">
        <f t="array" ref="D1190">INDEX(Berekening_patiëntaantal[Percentage van patiëntaantallen in Wlz (overige is Zvw)],MATCH(B1190,IF(Berekening_patiëntaantal[Doelgroep (zoeksleutel)]=C1190,Berekening_patiëntaantal[Digitale zorgtoepassing]),0))</f>
        <v>1</v>
      </c>
      <c r="E1190" s="33" t="str" cm="1">
        <f t="array" ref="E1190">INDEX(Berekening_patiëntaantal[Direct toepasbaar/extrapolatie/incidentie voor QALY],MATCH(B1190,IF(Berekening_patiëntaantal[Doelgroep (zoeksleutel)]=C1190,Berekening_patiëntaantal[Digitale zorgtoepassing]),0))</f>
        <v>Extrapolatie</v>
      </c>
      <c r="F1190" s="33" t="s">
        <v>813</v>
      </c>
      <c r="G1190" s="33" t="str">
        <f>CONCATENATE(uitkomst_doelgroep[[#This Row],[Digitale zorgtoepassing]],"_",uitkomst_doelgroep[[#This Row],[Doelgroep]],"_",uitkomst_doelgroep[[#This Row],[Uitgangssituatie/effect beleid]])</f>
        <v>Slim incontinentiemateriaal_Verstandelijk gehandicapten_Uitgangssituatie</v>
      </c>
      <c r="H1190" s="33">
        <v>2027</v>
      </c>
      <c r="I1190" s="32">
        <v>5</v>
      </c>
      <c r="J1190" s="406" cm="1">
        <f t="array" ref="J1190">INDEX(implementatie[[2023]:[2034]],MATCH(G1190, implementatie[Zoeksleutel],0),I1190)</f>
        <v>0.10935122807617187</v>
      </c>
      <c r="K1190" s="406" cm="1">
        <f t="array" ref="K1190">INDEX(implementatie[[2023]:[2034]],MATCH(G1190,implementatie[Zoeksleutel],0),I1190 + 1)</f>
        <v>0.17544453902174978</v>
      </c>
      <c r="L119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246.72370834686279</v>
      </c>
      <c r="M1190" s="398" cm="1">
        <f t="array" ref="M1190">J1190*INDEX(Berekening_impact[Totaal arbeidsbesparing (€/jaar)],MATCH(B1190,IF(Berekening_impact[Doelgroep]=C1190,Berekening_impact[Digitale zorgtoepassing]),0))</f>
        <v>569547.49410550273</v>
      </c>
      <c r="N1190" s="397" cm="1">
        <f t="array" ref="N1190">J1190*INDEX(Berekening_impact[Totaal arbeidsbesparing (FTE/jaar)],MATCH(B1190,IF(Berekening_impact[Doelgroep]=C1190,Berekening_impact[Digitale zorgtoepassing]),0))</f>
        <v>13.415601641360663</v>
      </c>
      <c r="O1190" s="398" cm="1">
        <f t="array" ref="O1190">J1190*INDEX(Berekening_impact[Overige kostenbesparing (totaal/jaar totaal potentieel)],MATCH(B1190,IF(Berekening_impact[Doelgroep]=C1190,Berekening_impact[Digitale zorgtoepassing]),0))</f>
        <v>193278.74980056248</v>
      </c>
      <c r="P1190" s="398" cm="1">
        <f t="array" ref="P1190">J1190*INDEX(Berekening_impact[Opbrengsten door QALY''s],MATCH(B1190,IF(Berekening_impact[Doelgroep]=C1190,Berekening_impact[Digitale zorgtoepassing]),0))</f>
        <v>0</v>
      </c>
      <c r="Q1190" s="398" cm="1">
        <f t="array" ref="Q1190">J1190*INDEX(Berekening_impact[Jaarlijkse kosten (totaal) - incl. schatting],MATCH(B1190,IF(Berekening_impact[Doelgroep]=C1190,Berekening_impact[Digitale zorgtoepassing]),0))</f>
        <v>710290.82792888035</v>
      </c>
      <c r="R1190" s="398" cm="1">
        <f t="array" ref="R1190">(uitkomst_doelgroep[[#This Row],[Implementatiegraad t = T + 1]]-uitkomst_doelgroep[[#This Row],[Implementatiegraad t = T]])*INDEX(Berekening_impact[Initiële investering (totaal) - incl. schatting],MATCH(B1190,IF(Berekening_impact[Doelgroep]=C1190,Berekening_impact[Digitale zorgtoepassing]),0))</f>
        <v>0</v>
      </c>
      <c r="S1190" s="398">
        <f>uitkomst_doelgroep[[#This Row],[Arbeidsbesparing (€)]]*uitkomst_doelgroep[[#This Row],[Percentage van patiëntaantallen in Wlz (overige is Zvw)]]</f>
        <v>569547.49410550273</v>
      </c>
      <c r="T1190" s="398">
        <f>uitkomst_doelgroep[[#This Row],[Overige besparingen (€)]]*uitkomst_doelgroep[[#This Row],[Percentage van patiëntaantallen in Wlz (overige is Zvw)]]</f>
        <v>193278.74980056248</v>
      </c>
      <c r="U1190" s="398">
        <f>uitkomst_doelgroep[[#This Row],[Kosten (€)]]*uitkomst_doelgroep[[#This Row],[Percentage van patiëntaantallen in Wlz (overige is Zvw)]]</f>
        <v>710290.82792888035</v>
      </c>
      <c r="V1190" s="398">
        <f>uitkomst_doelgroep[[#This Row],[Investering (cash flow) (€)]]*uitkomst_doelgroep[[#This Row],[Percentage van patiëntaantallen in Wlz (overige is Zvw)]]</f>
        <v>0</v>
      </c>
    </row>
    <row r="1191" spans="1:22" x14ac:dyDescent="0.5">
      <c r="A1191" s="33" t="str">
        <f>INDEX(Technologieën[Veld],MATCH(B1191,Technologieën[Digitale zorgtoepassing],0))</f>
        <v>Sensoren - Verpleging</v>
      </c>
      <c r="B1191" s="33" t="s">
        <v>42</v>
      </c>
      <c r="C1191" s="33" t="s">
        <v>348</v>
      </c>
      <c r="D1191" s="427" cm="1">
        <f t="array" ref="D1191">INDEX(Berekening_patiëntaantal[Percentage van patiëntaantallen in Wlz (overige is Zvw)],MATCH(B1191,IF(Berekening_patiëntaantal[Doelgroep (zoeksleutel)]=C1191,Berekening_patiëntaantal[Digitale zorgtoepassing]),0))</f>
        <v>1</v>
      </c>
      <c r="E1191" s="33" t="str" cm="1">
        <f t="array" ref="E1191">INDEX(Berekening_patiëntaantal[Direct toepasbaar/extrapolatie/incidentie voor QALY],MATCH(B1191,IF(Berekening_patiëntaantal[Doelgroep (zoeksleutel)]=C1191,Berekening_patiëntaantal[Digitale zorgtoepassing]),0))</f>
        <v>Huidige toepassing</v>
      </c>
      <c r="F1191" s="33" t="s">
        <v>813</v>
      </c>
      <c r="G1191" s="33" t="str">
        <f>CONCATENATE(uitkomst_doelgroep[[#This Row],[Digitale zorgtoepassing]],"_",uitkomst_doelgroep[[#This Row],[Doelgroep]],"_",uitkomst_doelgroep[[#This Row],[Uitgangssituatie/effect beleid]])</f>
        <v>Slim incontinentiemateriaal_Urine incontinent_Uitgangssituatie</v>
      </c>
      <c r="H1191" s="33">
        <v>2027</v>
      </c>
      <c r="I1191" s="32">
        <v>5</v>
      </c>
      <c r="J1191" s="406" cm="1">
        <f t="array" ref="J1191">INDEX(implementatie[[2023]:[2034]],MATCH(G1191, implementatie[Zoeksleutel],0),I1191)</f>
        <v>0.84715933786401665</v>
      </c>
      <c r="K1191" s="406" cm="1">
        <f t="array" ref="K1191">INDEX(implementatie[[2023]:[2034]],MATCH(G1191,implementatie[Zoeksleutel],0),I1191 + 1)</f>
        <v>0.90924653177763415</v>
      </c>
      <c r="L119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27619.512312711598</v>
      </c>
      <c r="M1191" s="398" cm="1">
        <f t="array" ref="M1191">J1191*INDEX(Berekening_impact[Totaal arbeidsbesparing (€/jaar)],MATCH(B1191,IF(Berekening_impact[Doelgroep]=C1191,Berekening_impact[Digitale zorgtoepassing]),0))</f>
        <v>63758056.051936746</v>
      </c>
      <c r="N1191" s="397" cm="1">
        <f t="array" ref="N1191">J1191*INDEX(Berekening_impact[Totaal arbeidsbesparing (FTE/jaar)],MATCH(B1191,IF(Berekening_impact[Doelgroep]=C1191,Berekening_impact[Digitale zorgtoepassing]),0))</f>
        <v>1501.8109820036932</v>
      </c>
      <c r="O1191" s="398" cm="1">
        <f t="array" ref="O1191">J1191*INDEX(Berekening_impact[Overige kostenbesparing (totaal/jaar totaal potentieel)],MATCH(B1191,IF(Berekening_impact[Doelgroep]=C1191,Berekening_impact[Digitale zorgtoepassing]),0))</f>
        <v>21636610.626803666</v>
      </c>
      <c r="P1191" s="398" cm="1">
        <f t="array" ref="P1191">J1191*INDEX(Berekening_impact[Opbrengsten door QALY''s],MATCH(B1191,IF(Berekening_impact[Doelgroep]=C1191,Berekening_impact[Digitale zorgtoepassing]),0))</f>
        <v>0</v>
      </c>
      <c r="Q1191" s="398" cm="1">
        <f t="array" ref="Q1191">J1191*INDEX(Berekening_impact[Jaarlijkse kosten (totaal) - incl. schatting],MATCH(B1191,IF(Berekening_impact[Doelgroep]=C1191,Berekening_impact[Digitale zorgtoepassing]),0))</f>
        <v>79513583.834462821</v>
      </c>
      <c r="R1191" s="398" cm="1">
        <f t="array" ref="R1191">(uitkomst_doelgroep[[#This Row],[Implementatiegraad t = T + 1]]-uitkomst_doelgroep[[#This Row],[Implementatiegraad t = T]])*INDEX(Berekening_impact[Initiële investering (totaal) - incl. schatting],MATCH(B1191,IF(Berekening_impact[Doelgroep]=C1191,Berekening_impact[Digitale zorgtoepassing]),0))</f>
        <v>0</v>
      </c>
      <c r="S1191" s="398">
        <f>uitkomst_doelgroep[[#This Row],[Arbeidsbesparing (€)]]*uitkomst_doelgroep[[#This Row],[Percentage van patiëntaantallen in Wlz (overige is Zvw)]]</f>
        <v>63758056.051936746</v>
      </c>
      <c r="T1191" s="398">
        <f>uitkomst_doelgroep[[#This Row],[Overige besparingen (€)]]*uitkomst_doelgroep[[#This Row],[Percentage van patiëntaantallen in Wlz (overige is Zvw)]]</f>
        <v>21636610.626803666</v>
      </c>
      <c r="U1191" s="398">
        <f>uitkomst_doelgroep[[#This Row],[Kosten (€)]]*uitkomst_doelgroep[[#This Row],[Percentage van patiëntaantallen in Wlz (overige is Zvw)]]</f>
        <v>79513583.834462821</v>
      </c>
      <c r="V1191" s="398">
        <f>uitkomst_doelgroep[[#This Row],[Investering (cash flow) (€)]]*uitkomst_doelgroep[[#This Row],[Percentage van patiëntaantallen in Wlz (overige is Zvw)]]</f>
        <v>0</v>
      </c>
    </row>
    <row r="1192" spans="1:22" x14ac:dyDescent="0.5">
      <c r="A1192" s="33" t="str">
        <f>INDEX(Technologieën[Veld],MATCH(B1192,Technologieën[Digitale zorgtoepassing],0))</f>
        <v>Sensoren - Verpleging</v>
      </c>
      <c r="B1192" s="33" t="s">
        <v>42</v>
      </c>
      <c r="C1192" s="33" t="s">
        <v>44</v>
      </c>
      <c r="D1192" s="427" cm="1">
        <f t="array" ref="D1192">INDEX(Berekening_patiëntaantal[Percentage van patiëntaantallen in Wlz (overige is Zvw)],MATCH(B1192,IF(Berekening_patiëntaantal[Doelgroep (zoeksleutel)]=C1192,Berekening_patiëntaantal[Digitale zorgtoepassing]),0))</f>
        <v>1</v>
      </c>
      <c r="E1192" s="33" t="str" cm="1">
        <f t="array" ref="E1192">INDEX(Berekening_patiëntaantal[Direct toepasbaar/extrapolatie/incidentie voor QALY],MATCH(B1192,IF(Berekening_patiëntaantal[Doelgroep (zoeksleutel)]=C1192,Berekening_patiëntaantal[Digitale zorgtoepassing]),0))</f>
        <v>Extrapolatie</v>
      </c>
      <c r="F1192" s="33" t="s">
        <v>813</v>
      </c>
      <c r="G1192" s="33" t="str">
        <f>CONCATENATE(uitkomst_doelgroep[[#This Row],[Digitale zorgtoepassing]],"_",uitkomst_doelgroep[[#This Row],[Doelgroep]],"_",uitkomst_doelgroep[[#This Row],[Uitgangssituatie/effect beleid]])</f>
        <v>Slim incontinentiemateriaal_Verstandelijk gehandicapten_Uitgangssituatie</v>
      </c>
      <c r="H1192" s="33">
        <v>2028</v>
      </c>
      <c r="I1192" s="32">
        <v>6</v>
      </c>
      <c r="J1192" s="406" cm="1">
        <f t="array" ref="J1192">INDEX(implementatie[[2023]:[2034]],MATCH(G1192, implementatie[Zoeksleutel],0),I1192)</f>
        <v>0.17544453902174978</v>
      </c>
      <c r="K1192" s="406" cm="1">
        <f t="array" ref="K1192">INDEX(implementatie[[2023]:[2034]],MATCH(G1192,implementatie[Zoeksleutel],0),I1192 + 1)</f>
        <v>0.26115711428334398</v>
      </c>
      <c r="L119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395.84674116782293</v>
      </c>
      <c r="M1192" s="398" cm="1">
        <f t="array" ref="M1192">J1192*INDEX(Berekening_impact[Totaal arbeidsbesparing (€/jaar)],MATCH(B1192,IF(Berekening_impact[Doelgroep]=C1192,Berekening_impact[Digitale zorgtoepassing]),0))</f>
        <v>913789.44079830206</v>
      </c>
      <c r="N1192" s="397" cm="1">
        <f t="array" ref="N1192">J1192*INDEX(Berekening_impact[Totaal arbeidsbesparing (FTE/jaar)],MATCH(B1192,IF(Berekening_impact[Doelgroep]=C1192,Berekening_impact[Digitale zorgtoepassing]),0))</f>
        <v>21.524166551000373</v>
      </c>
      <c r="O1192" s="398" cm="1">
        <f t="array" ref="O1192">J1192*INDEX(Berekening_impact[Overige kostenbesparing (totaal/jaar totaal potentieel)],MATCH(B1192,IF(Berekening_impact[Doelgroep]=C1192,Berekening_impact[Digitale zorgtoepassing]),0))</f>
        <v>310098.95140673663</v>
      </c>
      <c r="P1192" s="398" cm="1">
        <f t="array" ref="P1192">J1192*INDEX(Berekening_impact[Opbrengsten door QALY''s],MATCH(B1192,IF(Berekening_impact[Doelgroep]=C1192,Berekening_impact[Digitale zorgtoepassing]),0))</f>
        <v>0</v>
      </c>
      <c r="Q1192" s="398" cm="1">
        <f t="array" ref="Q1192">J1192*INDEX(Berekening_impact[Jaarlijkse kosten (totaal) - incl. schatting],MATCH(B1192,IF(Berekening_impact[Doelgroep]=C1192,Berekening_impact[Digitale zorgtoepassing]),0))</f>
        <v>1139599.8844252024</v>
      </c>
      <c r="R1192" s="398" cm="1">
        <f t="array" ref="R1192">(uitkomst_doelgroep[[#This Row],[Implementatiegraad t = T + 1]]-uitkomst_doelgroep[[#This Row],[Implementatiegraad t = T]])*INDEX(Berekening_impact[Initiële investering (totaal) - incl. schatting],MATCH(B1192,IF(Berekening_impact[Doelgroep]=C1192,Berekening_impact[Digitale zorgtoepassing]),0))</f>
        <v>0</v>
      </c>
      <c r="S1192" s="398">
        <f>uitkomst_doelgroep[[#This Row],[Arbeidsbesparing (€)]]*uitkomst_doelgroep[[#This Row],[Percentage van patiëntaantallen in Wlz (overige is Zvw)]]</f>
        <v>913789.44079830206</v>
      </c>
      <c r="T1192" s="398">
        <f>uitkomst_doelgroep[[#This Row],[Overige besparingen (€)]]*uitkomst_doelgroep[[#This Row],[Percentage van patiëntaantallen in Wlz (overige is Zvw)]]</f>
        <v>310098.95140673663</v>
      </c>
      <c r="U1192" s="398">
        <f>uitkomst_doelgroep[[#This Row],[Kosten (€)]]*uitkomst_doelgroep[[#This Row],[Percentage van patiëntaantallen in Wlz (overige is Zvw)]]</f>
        <v>1139599.8844252024</v>
      </c>
      <c r="V1192" s="398">
        <f>uitkomst_doelgroep[[#This Row],[Investering (cash flow) (€)]]*uitkomst_doelgroep[[#This Row],[Percentage van patiëntaantallen in Wlz (overige is Zvw)]]</f>
        <v>0</v>
      </c>
    </row>
    <row r="1193" spans="1:22" x14ac:dyDescent="0.5">
      <c r="A1193" s="33" t="str">
        <f>INDEX(Technologieën[Veld],MATCH(B1193,Technologieën[Digitale zorgtoepassing],0))</f>
        <v>Sensoren - Verpleging</v>
      </c>
      <c r="B1193" s="33" t="s">
        <v>42</v>
      </c>
      <c r="C1193" s="33" t="s">
        <v>348</v>
      </c>
      <c r="D1193" s="427" cm="1">
        <f t="array" ref="D1193">INDEX(Berekening_patiëntaantal[Percentage van patiëntaantallen in Wlz (overige is Zvw)],MATCH(B1193,IF(Berekening_patiëntaantal[Doelgroep (zoeksleutel)]=C1193,Berekening_patiëntaantal[Digitale zorgtoepassing]),0))</f>
        <v>1</v>
      </c>
      <c r="E1193" s="33" t="str" cm="1">
        <f t="array" ref="E1193">INDEX(Berekening_patiëntaantal[Direct toepasbaar/extrapolatie/incidentie voor QALY],MATCH(B1193,IF(Berekening_patiëntaantal[Doelgroep (zoeksleutel)]=C1193,Berekening_patiëntaantal[Digitale zorgtoepassing]),0))</f>
        <v>Huidige toepassing</v>
      </c>
      <c r="F1193" s="33" t="s">
        <v>813</v>
      </c>
      <c r="G1193" s="33" t="str">
        <f>CONCATENATE(uitkomst_doelgroep[[#This Row],[Digitale zorgtoepassing]],"_",uitkomst_doelgroep[[#This Row],[Doelgroep]],"_",uitkomst_doelgroep[[#This Row],[Uitgangssituatie/effect beleid]])</f>
        <v>Slim incontinentiemateriaal_Urine incontinent_Uitgangssituatie</v>
      </c>
      <c r="H1193" s="33">
        <v>2028</v>
      </c>
      <c r="I1193" s="32">
        <v>6</v>
      </c>
      <c r="J1193" s="406" cm="1">
        <f t="array" ref="J1193">INDEX(implementatie[[2023]:[2034]],MATCH(G1193, implementatie[Zoeksleutel],0),I1193)</f>
        <v>0.90924653177763415</v>
      </c>
      <c r="K1193" s="406" cm="1">
        <f t="array" ref="K1193">INDEX(implementatie[[2023]:[2034]],MATCH(G1193,implementatie[Zoeksleutel],0),I1193 + 1)</f>
        <v>0.94864814278578335</v>
      </c>
      <c r="L119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29643.710052280316</v>
      </c>
      <c r="M1193" s="398" cm="1">
        <f t="array" ref="M1193">J1193*INDEX(Berekening_impact[Totaal arbeidsbesparing (€/jaar)],MATCH(B1193,IF(Berekening_impact[Doelgroep]=C1193,Berekening_impact[Digitale zorgtoepassing]),0))</f>
        <v>68430800.14236109</v>
      </c>
      <c r="N1193" s="397" cm="1">
        <f t="array" ref="N1193">J1193*INDEX(Berekening_impact[Totaal arbeidsbesparing (FTE/jaar)],MATCH(B1193,IF(Berekening_impact[Doelgroep]=C1193,Berekening_impact[Digitale zorgtoepassing]),0))</f>
        <v>1611.876734092742</v>
      </c>
      <c r="O1193" s="398" cm="1">
        <f t="array" ref="O1193">J1193*INDEX(Berekening_impact[Overige kostenbesparing (totaal/jaar totaal potentieel)],MATCH(B1193,IF(Berekening_impact[Doelgroep]=C1193,Berekening_impact[Digitale zorgtoepassing]),0))</f>
        <v>23222329.368931759</v>
      </c>
      <c r="P1193" s="398" cm="1">
        <f t="array" ref="P1193">J1193*INDEX(Berekening_impact[Opbrengsten door QALY''s],MATCH(B1193,IF(Berekening_impact[Doelgroep]=C1193,Berekening_impact[Digitale zorgtoepassing]),0))</f>
        <v>0</v>
      </c>
      <c r="Q1193" s="398" cm="1">
        <f t="array" ref="Q1193">J1193*INDEX(Berekening_impact[Jaarlijkse kosten (totaal) - incl. schatting],MATCH(B1193,IF(Berekening_impact[Doelgroep]=C1193,Berekening_impact[Digitale zorgtoepassing]),0))</f>
        <v>85341029.838592708</v>
      </c>
      <c r="R1193" s="398" cm="1">
        <f t="array" ref="R1193">(uitkomst_doelgroep[[#This Row],[Implementatiegraad t = T + 1]]-uitkomst_doelgroep[[#This Row],[Implementatiegraad t = T]])*INDEX(Berekening_impact[Initiële investering (totaal) - incl. schatting],MATCH(B1193,IF(Berekening_impact[Doelgroep]=C1193,Berekening_impact[Digitale zorgtoepassing]),0))</f>
        <v>0</v>
      </c>
      <c r="S1193" s="398">
        <f>uitkomst_doelgroep[[#This Row],[Arbeidsbesparing (€)]]*uitkomst_doelgroep[[#This Row],[Percentage van patiëntaantallen in Wlz (overige is Zvw)]]</f>
        <v>68430800.14236109</v>
      </c>
      <c r="T1193" s="398">
        <f>uitkomst_doelgroep[[#This Row],[Overige besparingen (€)]]*uitkomst_doelgroep[[#This Row],[Percentage van patiëntaantallen in Wlz (overige is Zvw)]]</f>
        <v>23222329.368931759</v>
      </c>
      <c r="U1193" s="398">
        <f>uitkomst_doelgroep[[#This Row],[Kosten (€)]]*uitkomst_doelgroep[[#This Row],[Percentage van patiëntaantallen in Wlz (overige is Zvw)]]</f>
        <v>85341029.838592708</v>
      </c>
      <c r="V1193" s="398">
        <f>uitkomst_doelgroep[[#This Row],[Investering (cash flow) (€)]]*uitkomst_doelgroep[[#This Row],[Percentage van patiëntaantallen in Wlz (overige is Zvw)]]</f>
        <v>0</v>
      </c>
    </row>
    <row r="1194" spans="1:22" x14ac:dyDescent="0.5">
      <c r="A1194" s="33" t="str">
        <f>INDEX(Technologieën[Veld],MATCH(B1194,Technologieën[Digitale zorgtoepassing],0))</f>
        <v>Sensoren - Verpleging</v>
      </c>
      <c r="B1194" s="33" t="s">
        <v>42</v>
      </c>
      <c r="C1194" s="33" t="s">
        <v>44</v>
      </c>
      <c r="D1194" s="427" cm="1">
        <f t="array" ref="D1194">INDEX(Berekening_patiëntaantal[Percentage van patiëntaantallen in Wlz (overige is Zvw)],MATCH(B1194,IF(Berekening_patiëntaantal[Doelgroep (zoeksleutel)]=C1194,Berekening_patiëntaantal[Digitale zorgtoepassing]),0))</f>
        <v>1</v>
      </c>
      <c r="E1194" s="33" t="str" cm="1">
        <f t="array" ref="E1194">INDEX(Berekening_patiëntaantal[Direct toepasbaar/extrapolatie/incidentie voor QALY],MATCH(B1194,IF(Berekening_patiëntaantal[Doelgroep (zoeksleutel)]=C1194,Berekening_patiëntaantal[Digitale zorgtoepassing]),0))</f>
        <v>Extrapolatie</v>
      </c>
      <c r="F1194" s="33" t="s">
        <v>813</v>
      </c>
      <c r="G1194" s="33" t="str">
        <f>CONCATENATE(uitkomst_doelgroep[[#This Row],[Digitale zorgtoepassing]],"_",uitkomst_doelgroep[[#This Row],[Doelgroep]],"_",uitkomst_doelgroep[[#This Row],[Uitgangssituatie/effect beleid]])</f>
        <v>Slim incontinentiemateriaal_Verstandelijk gehandicapten_Uitgangssituatie</v>
      </c>
      <c r="H1194" s="33">
        <v>2029</v>
      </c>
      <c r="I1194" s="32">
        <v>7</v>
      </c>
      <c r="J1194" s="406" cm="1">
        <f t="array" ref="J1194">INDEX(implementatie[[2023]:[2034]],MATCH(G1194, implementatie[Zoeksleutel],0),I1194)</f>
        <v>0.26115711428334398</v>
      </c>
      <c r="K1194" s="406" cm="1">
        <f t="array" ref="K1194">INDEX(implementatie[[2023]:[2034]],MATCH(G1194,implementatie[Zoeksleutel],0),I1194 + 1)</f>
        <v>0.36645752060040354</v>
      </c>
      <c r="L119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589.23573910179482</v>
      </c>
      <c r="M1194" s="398" cm="1">
        <f t="array" ref="M1194">J1194*INDEX(Berekening_impact[Totaal arbeidsbesparing (€/jaar)],MATCH(B1194,IF(Berekening_impact[Doelgroep]=C1194,Berekening_impact[Digitale zorgtoepassing]),0))</f>
        <v>1360216.8226614951</v>
      </c>
      <c r="N1194" s="397" cm="1">
        <f t="array" ref="N1194">J1194*INDEX(Berekening_impact[Totaal arbeidsbesparing (FTE/jaar)],MATCH(B1194,IF(Berekening_impact[Doelgroep]=C1194,Berekening_impact[Digitale zorgtoepassing]),0))</f>
        <v>32.039693313660095</v>
      </c>
      <c r="O1194" s="398" cm="1">
        <f t="array" ref="O1194">J1194*INDEX(Berekening_impact[Overige kostenbesparing (totaal/jaar totaal potentieel)],MATCH(B1194,IF(Berekening_impact[Doelgroep]=C1194,Berekening_impact[Digitale zorgtoepassing]),0))</f>
        <v>461596.28417750087</v>
      </c>
      <c r="P1194" s="398" cm="1">
        <f t="array" ref="P1194">J1194*INDEX(Berekening_impact[Opbrengsten door QALY''s],MATCH(B1194,IF(Berekening_impact[Doelgroep]=C1194,Berekening_impact[Digitale zorgtoepassing]),0))</f>
        <v>0</v>
      </c>
      <c r="Q1194" s="398" cm="1">
        <f t="array" ref="Q1194">J1194*INDEX(Berekening_impact[Jaarlijkse kosten (totaal) - incl. schatting],MATCH(B1194,IF(Berekening_impact[Doelgroep]=C1194,Berekening_impact[Digitale zorgtoepassing]),0))</f>
        <v>1696345.8590023315</v>
      </c>
      <c r="R1194" s="398" cm="1">
        <f t="array" ref="R1194">(uitkomst_doelgroep[[#This Row],[Implementatiegraad t = T + 1]]-uitkomst_doelgroep[[#This Row],[Implementatiegraad t = T]])*INDEX(Berekening_impact[Initiële investering (totaal) - incl. schatting],MATCH(B1194,IF(Berekening_impact[Doelgroep]=C1194,Berekening_impact[Digitale zorgtoepassing]),0))</f>
        <v>0</v>
      </c>
      <c r="S1194" s="398">
        <f>uitkomst_doelgroep[[#This Row],[Arbeidsbesparing (€)]]*uitkomst_doelgroep[[#This Row],[Percentage van patiëntaantallen in Wlz (overige is Zvw)]]</f>
        <v>1360216.8226614951</v>
      </c>
      <c r="T1194" s="398">
        <f>uitkomst_doelgroep[[#This Row],[Overige besparingen (€)]]*uitkomst_doelgroep[[#This Row],[Percentage van patiëntaantallen in Wlz (overige is Zvw)]]</f>
        <v>461596.28417750087</v>
      </c>
      <c r="U1194" s="398">
        <f>uitkomst_doelgroep[[#This Row],[Kosten (€)]]*uitkomst_doelgroep[[#This Row],[Percentage van patiëntaantallen in Wlz (overige is Zvw)]]</f>
        <v>1696345.8590023315</v>
      </c>
      <c r="V1194" s="398">
        <f>uitkomst_doelgroep[[#This Row],[Investering (cash flow) (€)]]*uitkomst_doelgroep[[#This Row],[Percentage van patiëntaantallen in Wlz (overige is Zvw)]]</f>
        <v>0</v>
      </c>
    </row>
    <row r="1195" spans="1:22" x14ac:dyDescent="0.5">
      <c r="A1195" s="33" t="str">
        <f>INDEX(Technologieën[Veld],MATCH(B1195,Technologieën[Digitale zorgtoepassing],0))</f>
        <v>Sensoren - Verpleging</v>
      </c>
      <c r="B1195" s="33" t="s">
        <v>42</v>
      </c>
      <c r="C1195" s="33" t="s">
        <v>348</v>
      </c>
      <c r="D1195" s="427" cm="1">
        <f t="array" ref="D1195">INDEX(Berekening_patiëntaantal[Percentage van patiëntaantallen in Wlz (overige is Zvw)],MATCH(B1195,IF(Berekening_patiëntaantal[Doelgroep (zoeksleutel)]=C1195,Berekening_patiëntaantal[Digitale zorgtoepassing]),0))</f>
        <v>1</v>
      </c>
      <c r="E1195" s="33" t="str" cm="1">
        <f t="array" ref="E1195">INDEX(Berekening_patiëntaantal[Direct toepasbaar/extrapolatie/incidentie voor QALY],MATCH(B1195,IF(Berekening_patiëntaantal[Doelgroep (zoeksleutel)]=C1195,Berekening_patiëntaantal[Digitale zorgtoepassing]),0))</f>
        <v>Huidige toepassing</v>
      </c>
      <c r="F1195" s="33" t="s">
        <v>813</v>
      </c>
      <c r="G1195" s="33" t="str">
        <f>CONCATENATE(uitkomst_doelgroep[[#This Row],[Digitale zorgtoepassing]],"_",uitkomst_doelgroep[[#This Row],[Doelgroep]],"_",uitkomst_doelgroep[[#This Row],[Uitgangssituatie/effect beleid]])</f>
        <v>Slim incontinentiemateriaal_Urine incontinent_Uitgangssituatie</v>
      </c>
      <c r="H1195" s="33">
        <v>2029</v>
      </c>
      <c r="I1195" s="32">
        <v>7</v>
      </c>
      <c r="J1195" s="406" cm="1">
        <f t="array" ref="J1195">INDEX(implementatie[[2023]:[2034]],MATCH(G1195, implementatie[Zoeksleutel],0),I1195)</f>
        <v>0.94864814278578335</v>
      </c>
      <c r="K1195" s="406" cm="1">
        <f t="array" ref="K1195">INDEX(implementatie[[2023]:[2034]],MATCH(G1195,implementatie[Zoeksleutel],0),I1195 + 1)</f>
        <v>0.97185361900482903</v>
      </c>
      <c r="L119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30928.301075173498</v>
      </c>
      <c r="M1195" s="398" cm="1">
        <f t="array" ref="M1195">J1195*INDEX(Berekening_impact[Totaal arbeidsbesparing (€/jaar)],MATCH(B1195,IF(Berekening_impact[Doelgroep]=C1195,Berekening_impact[Digitale zorgtoepassing]),0))</f>
        <v>71396204.654726192</v>
      </c>
      <c r="N1195" s="397" cm="1">
        <f t="array" ref="N1195">J1195*INDEX(Berekening_impact[Totaal arbeidsbesparing (FTE/jaar)],MATCH(B1195,IF(Berekening_impact[Doelgroep]=C1195,Berekening_impact[Digitale zorgtoepassing]),0))</f>
        <v>1681.7263709625588</v>
      </c>
      <c r="O1195" s="398" cm="1">
        <f t="array" ref="O1195">J1195*INDEX(Berekening_impact[Overige kostenbesparing (totaal/jaar totaal potentieel)],MATCH(B1195,IF(Berekening_impact[Doelgroep]=C1195,Berekening_impact[Digitale zorgtoepassing]),0))</f>
        <v>24228654.00864074</v>
      </c>
      <c r="P1195" s="398" cm="1">
        <f t="array" ref="P1195">J1195*INDEX(Berekening_impact[Opbrengsten door QALY''s],MATCH(B1195,IF(Berekening_impact[Doelgroep]=C1195,Berekening_impact[Digitale zorgtoepassing]),0))</f>
        <v>0</v>
      </c>
      <c r="Q1195" s="398" cm="1">
        <f t="array" ref="Q1195">J1195*INDEX(Berekening_impact[Jaarlijkse kosten (totaal) - incl. schatting],MATCH(B1195,IF(Berekening_impact[Doelgroep]=C1195,Berekening_impact[Digitale zorgtoepassing]),0))</f>
        <v>89039228.229474708</v>
      </c>
      <c r="R1195" s="398" cm="1">
        <f t="array" ref="R1195">(uitkomst_doelgroep[[#This Row],[Implementatiegraad t = T + 1]]-uitkomst_doelgroep[[#This Row],[Implementatiegraad t = T]])*INDEX(Berekening_impact[Initiële investering (totaal) - incl. schatting],MATCH(B1195,IF(Berekening_impact[Doelgroep]=C1195,Berekening_impact[Digitale zorgtoepassing]),0))</f>
        <v>0</v>
      </c>
      <c r="S1195" s="398">
        <f>uitkomst_doelgroep[[#This Row],[Arbeidsbesparing (€)]]*uitkomst_doelgroep[[#This Row],[Percentage van patiëntaantallen in Wlz (overige is Zvw)]]</f>
        <v>71396204.654726192</v>
      </c>
      <c r="T1195" s="398">
        <f>uitkomst_doelgroep[[#This Row],[Overige besparingen (€)]]*uitkomst_doelgroep[[#This Row],[Percentage van patiëntaantallen in Wlz (overige is Zvw)]]</f>
        <v>24228654.00864074</v>
      </c>
      <c r="U1195" s="398">
        <f>uitkomst_doelgroep[[#This Row],[Kosten (€)]]*uitkomst_doelgroep[[#This Row],[Percentage van patiëntaantallen in Wlz (overige is Zvw)]]</f>
        <v>89039228.229474708</v>
      </c>
      <c r="V1195" s="398">
        <f>uitkomst_doelgroep[[#This Row],[Investering (cash flow) (€)]]*uitkomst_doelgroep[[#This Row],[Percentage van patiëntaantallen in Wlz (overige is Zvw)]]</f>
        <v>0</v>
      </c>
    </row>
    <row r="1196" spans="1:22" x14ac:dyDescent="0.5">
      <c r="A1196" s="33" t="str">
        <f>INDEX(Technologieën[Veld],MATCH(B1196,Technologieën[Digitale zorgtoepassing],0))</f>
        <v>Sensoren - Verpleging</v>
      </c>
      <c r="B1196" s="33" t="s">
        <v>42</v>
      </c>
      <c r="C1196" s="33" t="s">
        <v>44</v>
      </c>
      <c r="D1196" s="427" cm="1">
        <f t="array" ref="D1196">INDEX(Berekening_patiëntaantal[Percentage van patiëntaantallen in Wlz (overige is Zvw)],MATCH(B1196,IF(Berekening_patiëntaantal[Doelgroep (zoeksleutel)]=C1196,Berekening_patiëntaantal[Digitale zorgtoepassing]),0))</f>
        <v>1</v>
      </c>
      <c r="E1196" s="33" t="str" cm="1">
        <f t="array" ref="E1196">INDEX(Berekening_patiëntaantal[Direct toepasbaar/extrapolatie/incidentie voor QALY],MATCH(B1196,IF(Berekening_patiëntaantal[Doelgroep (zoeksleutel)]=C1196,Berekening_patiëntaantal[Digitale zorgtoepassing]),0))</f>
        <v>Extrapolatie</v>
      </c>
      <c r="F1196" s="33" t="s">
        <v>813</v>
      </c>
      <c r="G1196" s="33" t="str">
        <f>CONCATENATE(uitkomst_doelgroep[[#This Row],[Digitale zorgtoepassing]],"_",uitkomst_doelgroep[[#This Row],[Doelgroep]],"_",uitkomst_doelgroep[[#This Row],[Uitgangssituatie/effect beleid]])</f>
        <v>Slim incontinentiemateriaal_Verstandelijk gehandicapten_Uitgangssituatie</v>
      </c>
      <c r="H1196" s="33">
        <v>2030</v>
      </c>
      <c r="I1196" s="32">
        <v>8</v>
      </c>
      <c r="J1196" s="406" cm="1">
        <f t="array" ref="J1196">INDEX(implementatie[[2023]:[2034]],MATCH(G1196, implementatie[Zoeksleutel],0),I1196)</f>
        <v>0.36645752060040354</v>
      </c>
      <c r="K1196" s="406" cm="1">
        <f t="array" ref="K1196">INDEX(implementatie[[2023]:[2034]],MATCH(G1196,implementatie[Zoeksleutel],0),I1196 + 1)</f>
        <v>0.48677096537350723</v>
      </c>
      <c r="L119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826.81978085466051</v>
      </c>
      <c r="M1196" s="398" cm="1">
        <f t="array" ref="M1196">J1196*INDEX(Berekening_impact[Totaal arbeidsbesparing (€/jaar)],MATCH(B1196,IF(Berekening_impact[Doelgroep]=C1196,Berekening_impact[Digitale zorgtoepassing]),0))</f>
        <v>1908665.9219655846</v>
      </c>
      <c r="N1196" s="397" cm="1">
        <f t="array" ref="N1196">J1196*INDEX(Berekening_impact[Totaal arbeidsbesparing (FTE/jaar)],MATCH(B1196,IF(Berekening_impact[Doelgroep]=C1196,Berekening_impact[Digitale zorgtoepassing]),0))</f>
        <v>44.958325583972162</v>
      </c>
      <c r="O1196" s="398" cm="1">
        <f t="array" ref="O1196">J1196*INDEX(Berekening_impact[Overige kostenbesparing (totaal/jaar totaal potentieel)],MATCH(B1196,IF(Berekening_impact[Doelgroep]=C1196,Berekening_impact[Digitale zorgtoepassing]),0))</f>
        <v>647715.18969427748</v>
      </c>
      <c r="P1196" s="398" cm="1">
        <f t="array" ref="P1196">J1196*INDEX(Berekening_impact[Opbrengsten door QALY''s],MATCH(B1196,IF(Berekening_impact[Doelgroep]=C1196,Berekening_impact[Digitale zorgtoepassing]),0))</f>
        <v>0</v>
      </c>
      <c r="Q1196" s="398" cm="1">
        <f t="array" ref="Q1196">J1196*INDEX(Berekening_impact[Jaarlijkse kosten (totaal) - incl. schatting],MATCH(B1196,IF(Berekening_impact[Doelgroep]=C1196,Berekening_impact[Digitale zorgtoepassing]),0))</f>
        <v>2380324.5769376419</v>
      </c>
      <c r="R1196" s="398" cm="1">
        <f t="array" ref="R1196">(uitkomst_doelgroep[[#This Row],[Implementatiegraad t = T + 1]]-uitkomst_doelgroep[[#This Row],[Implementatiegraad t = T]])*INDEX(Berekening_impact[Initiële investering (totaal) - incl. schatting],MATCH(B1196,IF(Berekening_impact[Doelgroep]=C1196,Berekening_impact[Digitale zorgtoepassing]),0))</f>
        <v>0</v>
      </c>
      <c r="S1196" s="398">
        <f>uitkomst_doelgroep[[#This Row],[Arbeidsbesparing (€)]]*uitkomst_doelgroep[[#This Row],[Percentage van patiëntaantallen in Wlz (overige is Zvw)]]</f>
        <v>1908665.9219655846</v>
      </c>
      <c r="T1196" s="398">
        <f>uitkomst_doelgroep[[#This Row],[Overige besparingen (€)]]*uitkomst_doelgroep[[#This Row],[Percentage van patiëntaantallen in Wlz (overige is Zvw)]]</f>
        <v>647715.18969427748</v>
      </c>
      <c r="U1196" s="398">
        <f>uitkomst_doelgroep[[#This Row],[Kosten (€)]]*uitkomst_doelgroep[[#This Row],[Percentage van patiëntaantallen in Wlz (overige is Zvw)]]</f>
        <v>2380324.5769376419</v>
      </c>
      <c r="V1196" s="398">
        <f>uitkomst_doelgroep[[#This Row],[Investering (cash flow) (€)]]*uitkomst_doelgroep[[#This Row],[Percentage van patiëntaantallen in Wlz (overige is Zvw)]]</f>
        <v>0</v>
      </c>
    </row>
    <row r="1197" spans="1:22" x14ac:dyDescent="0.5">
      <c r="A1197" s="33" t="str">
        <f>INDEX(Technologieën[Veld],MATCH(B1197,Technologieën[Digitale zorgtoepassing],0))</f>
        <v>Sensoren - Verpleging</v>
      </c>
      <c r="B1197" s="33" t="s">
        <v>42</v>
      </c>
      <c r="C1197" s="33" t="s">
        <v>348</v>
      </c>
      <c r="D1197" s="427" cm="1">
        <f t="array" ref="D1197">INDEX(Berekening_patiëntaantal[Percentage van patiëntaantallen in Wlz (overige is Zvw)],MATCH(B1197,IF(Berekening_patiëntaantal[Doelgroep (zoeksleutel)]=C1197,Berekening_patiëntaantal[Digitale zorgtoepassing]),0))</f>
        <v>1</v>
      </c>
      <c r="E1197" s="33" t="str" cm="1">
        <f t="array" ref="E1197">INDEX(Berekening_patiëntaantal[Direct toepasbaar/extrapolatie/incidentie voor QALY],MATCH(B1197,IF(Berekening_patiëntaantal[Doelgroep (zoeksleutel)]=C1197,Berekening_patiëntaantal[Digitale zorgtoepassing]),0))</f>
        <v>Huidige toepassing</v>
      </c>
      <c r="F1197" s="33" t="s">
        <v>813</v>
      </c>
      <c r="G1197" s="33" t="str">
        <f>CONCATENATE(uitkomst_doelgroep[[#This Row],[Digitale zorgtoepassing]],"_",uitkomst_doelgroep[[#This Row],[Doelgroep]],"_",uitkomst_doelgroep[[#This Row],[Uitgangssituatie/effect beleid]])</f>
        <v>Slim incontinentiemateriaal_Urine incontinent_Uitgangssituatie</v>
      </c>
      <c r="H1197" s="33">
        <v>2030</v>
      </c>
      <c r="I1197" s="32">
        <v>8</v>
      </c>
      <c r="J1197" s="406" cm="1">
        <f t="array" ref="J1197">INDEX(implementatie[[2023]:[2034]],MATCH(G1197, implementatie[Zoeksleutel],0),I1197)</f>
        <v>0.97185361900482903</v>
      </c>
      <c r="K1197" s="406" cm="1">
        <f t="array" ref="K1197">INDEX(implementatie[[2023]:[2034]],MATCH(G1197,implementatie[Zoeksleutel],0),I1197 + 1)</f>
        <v>0.98486665153412889</v>
      </c>
      <c r="L119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31684.857613604934</v>
      </c>
      <c r="M1197" s="398" cm="1">
        <f t="array" ref="M1197">J1197*INDEX(Berekening_impact[Totaal arbeidsbesparing (€/jaar)],MATCH(B1197,IF(Berekening_impact[Doelgroep]=C1197,Berekening_impact[Digitale zorgtoepassing]),0))</f>
        <v>73142671.921694204</v>
      </c>
      <c r="N1197" s="397" cm="1">
        <f t="array" ref="N1197">J1197*INDEX(Berekening_impact[Totaal arbeidsbesparing (FTE/jaar)],MATCH(B1197,IF(Berekening_impact[Doelgroep]=C1197,Berekening_impact[Digitale zorgtoepassing]),0))</f>
        <v>1722.8641327397684</v>
      </c>
      <c r="O1197" s="398" cm="1">
        <f t="array" ref="O1197">J1197*INDEX(Berekening_impact[Overige kostenbesparing (totaal/jaar totaal potentieel)],MATCH(B1197,IF(Berekening_impact[Doelgroep]=C1197,Berekening_impact[Digitale zorgtoepassing]),0))</f>
        <v>24821326.285177268</v>
      </c>
      <c r="P1197" s="398" cm="1">
        <f t="array" ref="P1197">J1197*INDEX(Berekening_impact[Opbrengsten door QALY''s],MATCH(B1197,IF(Berekening_impact[Doelgroep]=C1197,Berekening_impact[Digitale zorgtoepassing]),0))</f>
        <v>0</v>
      </c>
      <c r="Q1197" s="398" cm="1">
        <f t="array" ref="Q1197">J1197*INDEX(Berekening_impact[Jaarlijkse kosten (totaal) - incl. schatting],MATCH(B1197,IF(Berekening_impact[Doelgroep]=C1197,Berekening_impact[Digitale zorgtoepassing]),0))</f>
        <v>91217272.543327138</v>
      </c>
      <c r="R1197" s="398" cm="1">
        <f t="array" ref="R1197">(uitkomst_doelgroep[[#This Row],[Implementatiegraad t = T + 1]]-uitkomst_doelgroep[[#This Row],[Implementatiegraad t = T]])*INDEX(Berekening_impact[Initiële investering (totaal) - incl. schatting],MATCH(B1197,IF(Berekening_impact[Doelgroep]=C1197,Berekening_impact[Digitale zorgtoepassing]),0))</f>
        <v>0</v>
      </c>
      <c r="S1197" s="398">
        <f>uitkomst_doelgroep[[#This Row],[Arbeidsbesparing (€)]]*uitkomst_doelgroep[[#This Row],[Percentage van patiëntaantallen in Wlz (overige is Zvw)]]</f>
        <v>73142671.921694204</v>
      </c>
      <c r="T1197" s="398">
        <f>uitkomst_doelgroep[[#This Row],[Overige besparingen (€)]]*uitkomst_doelgroep[[#This Row],[Percentage van patiëntaantallen in Wlz (overige is Zvw)]]</f>
        <v>24821326.285177268</v>
      </c>
      <c r="U1197" s="398">
        <f>uitkomst_doelgroep[[#This Row],[Kosten (€)]]*uitkomst_doelgroep[[#This Row],[Percentage van patiëntaantallen in Wlz (overige is Zvw)]]</f>
        <v>91217272.543327138</v>
      </c>
      <c r="V1197" s="398">
        <f>uitkomst_doelgroep[[#This Row],[Investering (cash flow) (€)]]*uitkomst_doelgroep[[#This Row],[Percentage van patiëntaantallen in Wlz (overige is Zvw)]]</f>
        <v>0</v>
      </c>
    </row>
    <row r="1198" spans="1:22" x14ac:dyDescent="0.5">
      <c r="A1198" s="33" t="str">
        <f>INDEX(Technologieën[Veld],MATCH(B1198,Technologieën[Digitale zorgtoepassing],0))</f>
        <v>Sensoren - Verpleging</v>
      </c>
      <c r="B1198" s="33" t="s">
        <v>42</v>
      </c>
      <c r="C1198" s="33" t="s">
        <v>44</v>
      </c>
      <c r="D1198" s="427" cm="1">
        <f t="array" ref="D1198">INDEX(Berekening_patiëntaantal[Percentage van patiëntaantallen in Wlz (overige is Zvw)],MATCH(B1198,IF(Berekening_patiëntaantal[Doelgroep (zoeksleutel)]=C1198,Berekening_patiëntaantal[Digitale zorgtoepassing]),0))</f>
        <v>1</v>
      </c>
      <c r="E1198" s="33" t="str" cm="1">
        <f t="array" ref="E1198">INDEX(Berekening_patiëntaantal[Direct toepasbaar/extrapolatie/incidentie voor QALY],MATCH(B1198,IF(Berekening_patiëntaantal[Doelgroep (zoeksleutel)]=C1198,Berekening_patiëntaantal[Digitale zorgtoepassing]),0))</f>
        <v>Extrapolatie</v>
      </c>
      <c r="F1198" s="33" t="s">
        <v>813</v>
      </c>
      <c r="G1198" s="33" t="str">
        <f>CONCATENATE(uitkomst_doelgroep[[#This Row],[Digitale zorgtoepassing]],"_",uitkomst_doelgroep[[#This Row],[Doelgroep]],"_",uitkomst_doelgroep[[#This Row],[Uitgangssituatie/effect beleid]])</f>
        <v>Slim incontinentiemateriaal_Verstandelijk gehandicapten_Uitgangssituatie</v>
      </c>
      <c r="H1198" s="33">
        <v>2031</v>
      </c>
      <c r="I1198" s="32">
        <v>9</v>
      </c>
      <c r="J1198" s="406" cm="1">
        <f t="array" ref="J1198">INDEX(implementatie[[2023]:[2034]],MATCH(G1198, implementatie[Zoeksleutel],0),I1198)</f>
        <v>0.48677096537350723</v>
      </c>
      <c r="K1198" s="406" cm="1">
        <f t="array" ref="K1198">INDEX(implementatie[[2023]:[2034]],MATCH(G1198,implementatie[Zoeksleutel],0),I1198 + 1)</f>
        <v>0.61202293792845253</v>
      </c>
      <c r="L119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1098.2769906239757</v>
      </c>
      <c r="M1198" s="398" cm="1">
        <f t="array" ref="M1198">J1198*INDEX(Berekening_impact[Totaal arbeidsbesparing (€/jaar)],MATCH(B1198,IF(Berekening_impact[Doelgroep]=C1198,Berekening_impact[Digitale zorgtoepassing]),0))</f>
        <v>2535309.2819284871</v>
      </c>
      <c r="N1198" s="397" cm="1">
        <f t="array" ref="N1198">J1198*INDEX(Berekening_impact[Totaal arbeidsbesparing (FTE/jaar)],MATCH(B1198,IF(Berekening_impact[Doelgroep]=C1198,Berekening_impact[Digitale zorgtoepassing]),0))</f>
        <v>59.718811365178681</v>
      </c>
      <c r="O1198" s="398" cm="1">
        <f t="array" ref="O1198">J1198*INDEX(Berekening_impact[Overige kostenbesparing (totaal/jaar totaal potentieel)],MATCH(B1198,IF(Berekening_impact[Doelgroep]=C1198,Berekening_impact[Digitale zorgtoepassing]),0))</f>
        <v>860369.70303679071</v>
      </c>
      <c r="P1198" s="398" cm="1">
        <f t="array" ref="P1198">J1198*INDEX(Berekening_impact[Opbrengsten door QALY''s],MATCH(B1198,IF(Berekening_impact[Doelgroep]=C1198,Berekening_impact[Digitale zorgtoepassing]),0))</f>
        <v>0</v>
      </c>
      <c r="Q1198" s="398" cm="1">
        <f t="array" ref="Q1198">J1198*INDEX(Berekening_impact[Jaarlijkse kosten (totaal) - incl. schatting],MATCH(B1198,IF(Berekening_impact[Doelgroep]=C1198,Berekening_impact[Digitale zorgtoepassing]),0))</f>
        <v>3161820.4759991085</v>
      </c>
      <c r="R1198" s="398" cm="1">
        <f t="array" ref="R1198">(uitkomst_doelgroep[[#This Row],[Implementatiegraad t = T + 1]]-uitkomst_doelgroep[[#This Row],[Implementatiegraad t = T]])*INDEX(Berekening_impact[Initiële investering (totaal) - incl. schatting],MATCH(B1198,IF(Berekening_impact[Doelgroep]=C1198,Berekening_impact[Digitale zorgtoepassing]),0))</f>
        <v>0</v>
      </c>
      <c r="S1198" s="398">
        <f>uitkomst_doelgroep[[#This Row],[Arbeidsbesparing (€)]]*uitkomst_doelgroep[[#This Row],[Percentage van patiëntaantallen in Wlz (overige is Zvw)]]</f>
        <v>2535309.2819284871</v>
      </c>
      <c r="T1198" s="398">
        <f>uitkomst_doelgroep[[#This Row],[Overige besparingen (€)]]*uitkomst_doelgroep[[#This Row],[Percentage van patiëntaantallen in Wlz (overige is Zvw)]]</f>
        <v>860369.70303679071</v>
      </c>
      <c r="U1198" s="398">
        <f>uitkomst_doelgroep[[#This Row],[Kosten (€)]]*uitkomst_doelgroep[[#This Row],[Percentage van patiëntaantallen in Wlz (overige is Zvw)]]</f>
        <v>3161820.4759991085</v>
      </c>
      <c r="V1198" s="398">
        <f>uitkomst_doelgroep[[#This Row],[Investering (cash flow) (€)]]*uitkomst_doelgroep[[#This Row],[Percentage van patiëntaantallen in Wlz (overige is Zvw)]]</f>
        <v>0</v>
      </c>
    </row>
    <row r="1199" spans="1:22" x14ac:dyDescent="0.5">
      <c r="A1199" s="33" t="str">
        <f>INDEX(Technologieën[Veld],MATCH(B1199,Technologieën[Digitale zorgtoepassing],0))</f>
        <v>Sensoren - Verpleging</v>
      </c>
      <c r="B1199" s="33" t="s">
        <v>42</v>
      </c>
      <c r="C1199" s="33" t="s">
        <v>348</v>
      </c>
      <c r="D1199" s="427" cm="1">
        <f t="array" ref="D1199">INDEX(Berekening_patiëntaantal[Percentage van patiëntaantallen in Wlz (overige is Zvw)],MATCH(B1199,IF(Berekening_patiëntaantal[Doelgroep (zoeksleutel)]=C1199,Berekening_patiëntaantal[Digitale zorgtoepassing]),0))</f>
        <v>1</v>
      </c>
      <c r="E1199" s="33" t="str" cm="1">
        <f t="array" ref="E1199">INDEX(Berekening_patiëntaantal[Direct toepasbaar/extrapolatie/incidentie voor QALY],MATCH(B1199,IF(Berekening_patiëntaantal[Doelgroep (zoeksleutel)]=C1199,Berekening_patiëntaantal[Digitale zorgtoepassing]),0))</f>
        <v>Huidige toepassing</v>
      </c>
      <c r="F1199" s="33" t="s">
        <v>813</v>
      </c>
      <c r="G1199" s="33" t="str">
        <f>CONCATENATE(uitkomst_doelgroep[[#This Row],[Digitale zorgtoepassing]],"_",uitkomst_doelgroep[[#This Row],[Doelgroep]],"_",uitkomst_doelgroep[[#This Row],[Uitgangssituatie/effect beleid]])</f>
        <v>Slim incontinentiemateriaal_Urine incontinent_Uitgangssituatie</v>
      </c>
      <c r="H1199" s="33">
        <v>2031</v>
      </c>
      <c r="I1199" s="32">
        <v>9</v>
      </c>
      <c r="J1199" s="406" cm="1">
        <f t="array" ref="J1199">INDEX(implementatie[[2023]:[2034]],MATCH(G1199, implementatie[Zoeksleutel],0),I1199)</f>
        <v>0.98486665153412889</v>
      </c>
      <c r="K1199" s="406" cm="1">
        <f t="array" ref="K1199">INDEX(implementatie[[2023]:[2034]],MATCH(G1199,implementatie[Zoeksleutel],0),I1199 + 1)</f>
        <v>0.99195193384931235</v>
      </c>
      <c r="L119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32109.115006641434</v>
      </c>
      <c r="M1199" s="398" cm="1">
        <f t="array" ref="M1199">J1199*INDEX(Berekening_impact[Totaal arbeidsbesparing (€/jaar)],MATCH(B1199,IF(Berekening_impact[Doelgroep]=C1199,Berekening_impact[Digitale zorgtoepassing]),0))</f>
        <v>74122045.718718857</v>
      </c>
      <c r="N1199" s="397" cm="1">
        <f t="array" ref="N1199">J1199*INDEX(Berekening_impact[Totaal arbeidsbesparing (FTE/jaar)],MATCH(B1199,IF(Berekening_impact[Doelgroep]=C1199,Berekening_impact[Digitale zorgtoepassing]),0))</f>
        <v>1745.9331284861278</v>
      </c>
      <c r="O1199" s="398" cm="1">
        <f t="array" ref="O1199">J1199*INDEX(Berekening_impact[Overige kostenbesparing (totaal/jaar totaal potentieel)],MATCH(B1199,IF(Berekening_impact[Doelgroep]=C1199,Berekening_impact[Digitale zorgtoepassing]),0))</f>
        <v>25153681.611178037</v>
      </c>
      <c r="P1199" s="398" cm="1">
        <f t="array" ref="P1199">J1199*INDEX(Berekening_impact[Opbrengsten door QALY''s],MATCH(B1199,IF(Berekening_impact[Doelgroep]=C1199,Berekening_impact[Digitale zorgtoepassing]),0))</f>
        <v>0</v>
      </c>
      <c r="Q1199" s="398" cm="1">
        <f t="array" ref="Q1199">J1199*INDEX(Berekening_impact[Jaarlijkse kosten (totaal) - incl. schatting],MATCH(B1199,IF(Berekening_impact[Doelgroep]=C1199,Berekening_impact[Digitale zorgtoepassing]),0))</f>
        <v>92438663.616661638</v>
      </c>
      <c r="R1199" s="398" cm="1">
        <f t="array" ref="R1199">(uitkomst_doelgroep[[#This Row],[Implementatiegraad t = T + 1]]-uitkomst_doelgroep[[#This Row],[Implementatiegraad t = T]])*INDEX(Berekening_impact[Initiële investering (totaal) - incl. schatting],MATCH(B1199,IF(Berekening_impact[Doelgroep]=C1199,Berekening_impact[Digitale zorgtoepassing]),0))</f>
        <v>0</v>
      </c>
      <c r="S1199" s="398">
        <f>uitkomst_doelgroep[[#This Row],[Arbeidsbesparing (€)]]*uitkomst_doelgroep[[#This Row],[Percentage van patiëntaantallen in Wlz (overige is Zvw)]]</f>
        <v>74122045.718718857</v>
      </c>
      <c r="T1199" s="398">
        <f>uitkomst_doelgroep[[#This Row],[Overige besparingen (€)]]*uitkomst_doelgroep[[#This Row],[Percentage van patiëntaantallen in Wlz (overige is Zvw)]]</f>
        <v>25153681.611178037</v>
      </c>
      <c r="U1199" s="398">
        <f>uitkomst_doelgroep[[#This Row],[Kosten (€)]]*uitkomst_doelgroep[[#This Row],[Percentage van patiëntaantallen in Wlz (overige is Zvw)]]</f>
        <v>92438663.616661638</v>
      </c>
      <c r="V1199" s="398">
        <f>uitkomst_doelgroep[[#This Row],[Investering (cash flow) (€)]]*uitkomst_doelgroep[[#This Row],[Percentage van patiëntaantallen in Wlz (overige is Zvw)]]</f>
        <v>0</v>
      </c>
    </row>
    <row r="1200" spans="1:22" x14ac:dyDescent="0.5">
      <c r="A1200" s="33" t="str">
        <f>INDEX(Technologieën[Veld],MATCH(B1200,Technologieën[Digitale zorgtoepassing],0))</f>
        <v>Sensoren - Verpleging</v>
      </c>
      <c r="B1200" s="33" t="s">
        <v>42</v>
      </c>
      <c r="C1200" s="33" t="s">
        <v>44</v>
      </c>
      <c r="D1200" s="427" cm="1">
        <f t="array" ref="D1200">INDEX(Berekening_patiëntaantal[Percentage van patiëntaantallen in Wlz (overige is Zvw)],MATCH(B1200,IF(Berekening_patiëntaantal[Doelgroep (zoeksleutel)]=C1200,Berekening_patiëntaantal[Digitale zorgtoepassing]),0))</f>
        <v>1</v>
      </c>
      <c r="E1200" s="33" t="str" cm="1">
        <f t="array" ref="E1200">INDEX(Berekening_patiëntaantal[Direct toepasbaar/extrapolatie/incidentie voor QALY],MATCH(B1200,IF(Berekening_patiëntaantal[Doelgroep (zoeksleutel)]=C1200,Berekening_patiëntaantal[Digitale zorgtoepassing]),0))</f>
        <v>Extrapolatie</v>
      </c>
      <c r="F1200" s="33" t="s">
        <v>813</v>
      </c>
      <c r="G1200" s="33" t="str">
        <f>CONCATENATE(uitkomst_doelgroep[[#This Row],[Digitale zorgtoepassing]],"_",uitkomst_doelgroep[[#This Row],[Doelgroep]],"_",uitkomst_doelgroep[[#This Row],[Uitgangssituatie/effect beleid]])</f>
        <v>Slim incontinentiemateriaal_Verstandelijk gehandicapten_Uitgangssituatie</v>
      </c>
      <c r="H1200" s="33">
        <v>2032</v>
      </c>
      <c r="I1200" s="32">
        <v>10</v>
      </c>
      <c r="J1200" s="406" cm="1">
        <f t="array" ref="J1200">INDEX(implementatie[[2023]:[2034]],MATCH(G1200, implementatie[Zoeksleutel],0),I1200)</f>
        <v>0.61202293792845253</v>
      </c>
      <c r="K1200" s="406" cm="1">
        <f t="array" ref="K1200">INDEX(implementatie[[2023]:[2034]],MATCH(G1200,implementatie[Zoeksleutel],0),I1200 + 1)</f>
        <v>0.7285752521002864</v>
      </c>
      <c r="L120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1380.876753701071</v>
      </c>
      <c r="M1200" s="398" cm="1">
        <f t="array" ref="M1200">J1200*INDEX(Berekening_impact[Totaal arbeidsbesparing (€/jaar)],MATCH(B1200,IF(Berekening_impact[Doelgroep]=C1200,Berekening_impact[Digitale zorgtoepassing]),0))</f>
        <v>3187674.5855055847</v>
      </c>
      <c r="N1200" s="397" cm="1">
        <f t="array" ref="N1200">J1200*INDEX(Berekening_impact[Totaal arbeidsbesparing (FTE/jaar)],MATCH(B1200,IF(Berekening_impact[Doelgroep]=C1200,Berekening_impact[Digitale zorgtoepassing]),0))</f>
        <v>75.085173482495733</v>
      </c>
      <c r="O1200" s="398" cm="1">
        <f t="array" ref="O1200">J1200*INDEX(Berekening_impact[Overige kostenbesparing (totaal/jaar totaal potentieel)],MATCH(B1200,IF(Berekening_impact[Doelgroep]=C1200,Berekening_impact[Digitale zorgtoepassing]),0))</f>
        <v>1081753.0847452339</v>
      </c>
      <c r="P1200" s="398" cm="1">
        <f t="array" ref="P1200">J1200*INDEX(Berekening_impact[Opbrengsten door QALY''s],MATCH(B1200,IF(Berekening_impact[Doelgroep]=C1200,Berekening_impact[Digitale zorgtoepassing]),0))</f>
        <v>0</v>
      </c>
      <c r="Q1200" s="398" cm="1">
        <f t="array" ref="Q1200">J1200*INDEX(Berekening_impact[Jaarlijkse kosten (totaal) - incl. schatting],MATCH(B1200,IF(Berekening_impact[Doelgroep]=C1200,Berekening_impact[Digitale zorgtoepassing]),0))</f>
        <v>3975394.5789237325</v>
      </c>
      <c r="R1200" s="398" cm="1">
        <f t="array" ref="R1200">(uitkomst_doelgroep[[#This Row],[Implementatiegraad t = T + 1]]-uitkomst_doelgroep[[#This Row],[Implementatiegraad t = T]])*INDEX(Berekening_impact[Initiële investering (totaal) - incl. schatting],MATCH(B1200,IF(Berekening_impact[Doelgroep]=C1200,Berekening_impact[Digitale zorgtoepassing]),0))</f>
        <v>0</v>
      </c>
      <c r="S1200" s="398">
        <f>uitkomst_doelgroep[[#This Row],[Arbeidsbesparing (€)]]*uitkomst_doelgroep[[#This Row],[Percentage van patiëntaantallen in Wlz (overige is Zvw)]]</f>
        <v>3187674.5855055847</v>
      </c>
      <c r="T1200" s="398">
        <f>uitkomst_doelgroep[[#This Row],[Overige besparingen (€)]]*uitkomst_doelgroep[[#This Row],[Percentage van patiëntaantallen in Wlz (overige is Zvw)]]</f>
        <v>1081753.0847452339</v>
      </c>
      <c r="U1200" s="398">
        <f>uitkomst_doelgroep[[#This Row],[Kosten (€)]]*uitkomst_doelgroep[[#This Row],[Percentage van patiëntaantallen in Wlz (overige is Zvw)]]</f>
        <v>3975394.5789237325</v>
      </c>
      <c r="V1200" s="398">
        <f>uitkomst_doelgroep[[#This Row],[Investering (cash flow) (€)]]*uitkomst_doelgroep[[#This Row],[Percentage van patiëntaantallen in Wlz (overige is Zvw)]]</f>
        <v>0</v>
      </c>
    </row>
    <row r="1201" spans="1:22" x14ac:dyDescent="0.5">
      <c r="A1201" s="33" t="str">
        <f>INDEX(Technologieën[Veld],MATCH(B1201,Technologieën[Digitale zorgtoepassing],0))</f>
        <v>Sensoren - Verpleging</v>
      </c>
      <c r="B1201" s="33" t="s">
        <v>42</v>
      </c>
      <c r="C1201" s="33" t="s">
        <v>348</v>
      </c>
      <c r="D1201" s="427" cm="1">
        <f t="array" ref="D1201">INDEX(Berekening_patiëntaantal[Percentage van patiëntaantallen in Wlz (overige is Zvw)],MATCH(B1201,IF(Berekening_patiëntaantal[Doelgroep (zoeksleutel)]=C1201,Berekening_patiëntaantal[Digitale zorgtoepassing]),0))</f>
        <v>1</v>
      </c>
      <c r="E1201" s="33" t="str" cm="1">
        <f t="array" ref="E1201">INDEX(Berekening_patiëntaantal[Direct toepasbaar/extrapolatie/incidentie voor QALY],MATCH(B1201,IF(Berekening_patiëntaantal[Doelgroep (zoeksleutel)]=C1201,Berekening_patiëntaantal[Digitale zorgtoepassing]),0))</f>
        <v>Huidige toepassing</v>
      </c>
      <c r="F1201" s="33" t="s">
        <v>813</v>
      </c>
      <c r="G1201" s="33" t="str">
        <f>CONCATENATE(uitkomst_doelgroep[[#This Row],[Digitale zorgtoepassing]],"_",uitkomst_doelgroep[[#This Row],[Doelgroep]],"_",uitkomst_doelgroep[[#This Row],[Uitgangssituatie/effect beleid]])</f>
        <v>Slim incontinentiemateriaal_Urine incontinent_Uitgangssituatie</v>
      </c>
      <c r="H1201" s="33">
        <v>2032</v>
      </c>
      <c r="I1201" s="32">
        <v>10</v>
      </c>
      <c r="J1201" s="406" cm="1">
        <f t="array" ref="J1201">INDEX(implementatie[[2023]:[2034]],MATCH(G1201, implementatie[Zoeksleutel],0),I1201)</f>
        <v>0.99195193384931235</v>
      </c>
      <c r="K1201" s="406" cm="1">
        <f t="array" ref="K1201">INDEX(implementatie[[2023]:[2034]],MATCH(G1201,implementatie[Zoeksleutel],0),I1201 + 1)</f>
        <v>0.99574561815494433</v>
      </c>
      <c r="L120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32340.112923322202</v>
      </c>
      <c r="M1201" s="398" cm="1">
        <f t="array" ref="M1201">J1201*INDEX(Berekening_impact[Totaal arbeidsbesparing (€/jaar)],MATCH(B1201,IF(Berekening_impact[Doelgroep]=C1201,Berekening_impact[Digitale zorgtoepassing]),0))</f>
        <v>74655291.126996204</v>
      </c>
      <c r="N1201" s="397" cm="1">
        <f t="array" ref="N1201">J1201*INDEX(Berekening_impact[Totaal arbeidsbesparing (FTE/jaar)],MATCH(B1201,IF(Berekening_impact[Doelgroep]=C1201,Berekening_impact[Digitale zorgtoepassing]),0))</f>
        <v>1758.4936402056446</v>
      </c>
      <c r="O1201" s="398" cm="1">
        <f t="array" ref="O1201">J1201*INDEX(Berekening_impact[Overige kostenbesparing (totaal/jaar totaal potentieel)],MATCH(B1201,IF(Berekening_impact[Doelgroep]=C1201,Berekening_impact[Digitale zorgtoepassing]),0))</f>
        <v>25334641.069195852</v>
      </c>
      <c r="P1201" s="398" cm="1">
        <f t="array" ref="P1201">J1201*INDEX(Berekening_impact[Opbrengsten door QALY''s],MATCH(B1201,IF(Berekening_impact[Doelgroep]=C1201,Berekening_impact[Digitale zorgtoepassing]),0))</f>
        <v>0</v>
      </c>
      <c r="Q1201" s="398" cm="1">
        <f t="array" ref="Q1201">J1201*INDEX(Berekening_impact[Jaarlijkse kosten (totaal) - incl. schatting],MATCH(B1201,IF(Berekening_impact[Doelgroep]=C1201,Berekening_impact[Digitale zorgtoepassing]),0))</f>
        <v>93103681.594011277</v>
      </c>
      <c r="R1201" s="398" cm="1">
        <f t="array" ref="R1201">(uitkomst_doelgroep[[#This Row],[Implementatiegraad t = T + 1]]-uitkomst_doelgroep[[#This Row],[Implementatiegraad t = T]])*INDEX(Berekening_impact[Initiële investering (totaal) - incl. schatting],MATCH(B1201,IF(Berekening_impact[Doelgroep]=C1201,Berekening_impact[Digitale zorgtoepassing]),0))</f>
        <v>0</v>
      </c>
      <c r="S1201" s="398">
        <f>uitkomst_doelgroep[[#This Row],[Arbeidsbesparing (€)]]*uitkomst_doelgroep[[#This Row],[Percentage van patiëntaantallen in Wlz (overige is Zvw)]]</f>
        <v>74655291.126996204</v>
      </c>
      <c r="T1201" s="398">
        <f>uitkomst_doelgroep[[#This Row],[Overige besparingen (€)]]*uitkomst_doelgroep[[#This Row],[Percentage van patiëntaantallen in Wlz (overige is Zvw)]]</f>
        <v>25334641.069195852</v>
      </c>
      <c r="U1201" s="398">
        <f>uitkomst_doelgroep[[#This Row],[Kosten (€)]]*uitkomst_doelgroep[[#This Row],[Percentage van patiëntaantallen in Wlz (overige is Zvw)]]</f>
        <v>93103681.594011277</v>
      </c>
      <c r="V1201" s="398">
        <f>uitkomst_doelgroep[[#This Row],[Investering (cash flow) (€)]]*uitkomst_doelgroep[[#This Row],[Percentage van patiëntaantallen in Wlz (overige is Zvw)]]</f>
        <v>0</v>
      </c>
    </row>
    <row r="1202" spans="1:22" x14ac:dyDescent="0.5">
      <c r="A1202" s="33" t="str">
        <f>INDEX(Technologieën[Veld],MATCH(B1202,Technologieën[Digitale zorgtoepassing],0))</f>
        <v>Sensoren - Verpleging</v>
      </c>
      <c r="B1202" s="33" t="s">
        <v>42</v>
      </c>
      <c r="C1202" s="33" t="s">
        <v>44</v>
      </c>
      <c r="D1202" s="427" cm="1">
        <f t="array" ref="D1202">INDEX(Berekening_patiëntaantal[Percentage van patiëntaantallen in Wlz (overige is Zvw)],MATCH(B1202,IF(Berekening_patiëntaantal[Doelgroep (zoeksleutel)]=C1202,Berekening_patiëntaantal[Digitale zorgtoepassing]),0))</f>
        <v>1</v>
      </c>
      <c r="E1202" s="33" t="str" cm="1">
        <f t="array" ref="E1202">INDEX(Berekening_patiëntaantal[Direct toepasbaar/extrapolatie/incidentie voor QALY],MATCH(B1202,IF(Berekening_patiëntaantal[Doelgroep (zoeksleutel)]=C1202,Berekening_patiëntaantal[Digitale zorgtoepassing]),0))</f>
        <v>Extrapolatie</v>
      </c>
      <c r="F1202" s="33" t="s">
        <v>813</v>
      </c>
      <c r="G1202" s="33" t="str">
        <f>CONCATENATE(uitkomst_doelgroep[[#This Row],[Digitale zorgtoepassing]],"_",uitkomst_doelgroep[[#This Row],[Doelgroep]],"_",uitkomst_doelgroep[[#This Row],[Uitgangssituatie/effect beleid]])</f>
        <v>Slim incontinentiemateriaal_Verstandelijk gehandicapten_Uitgangssituatie</v>
      </c>
      <c r="H1202" s="33">
        <v>2033</v>
      </c>
      <c r="I1202" s="32">
        <v>11</v>
      </c>
      <c r="J1202" s="406" cm="1">
        <f t="array" ref="J1202">INDEX(implementatie[[2023]:[2034]],MATCH(G1202, implementatie[Zoeksleutel],0),I1202)</f>
        <v>0.7285752521002864</v>
      </c>
      <c r="K1202" s="406" cm="1">
        <f t="array" ref="K1202">INDEX(implementatie[[2023]:[2034]],MATCH(G1202,implementatie[Zoeksleutel],0),I1202 + 1)</f>
        <v>0.82434988015505994</v>
      </c>
      <c r="L120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1643.8479125512713</v>
      </c>
      <c r="M1202" s="398" cm="1">
        <f t="array" ref="M1202">J1202*INDEX(Berekening_impact[Totaal arbeidsbesparing (€/jaar)],MATCH(B1202,IF(Berekening_impact[Doelgroep]=C1202,Berekening_impact[Digitale zorgtoepassing]),0))</f>
        <v>3794728.3848696379</v>
      </c>
      <c r="N1202" s="397" cm="1">
        <f t="array" ref="N1202">J1202*INDEX(Berekening_impact[Totaal arbeidsbesparing (FTE/jaar)],MATCH(B1202,IF(Berekening_impact[Doelgroep]=C1202,Berekening_impact[Digitale zorgtoepassing]),0))</f>
        <v>89.38423024497537</v>
      </c>
      <c r="O1202" s="398" cm="1">
        <f t="array" ref="O1202">J1202*INDEX(Berekening_impact[Overige kostenbesparing (totaal/jaar totaal potentieel)],MATCH(B1202,IF(Berekening_impact[Doelgroep]=C1202,Berekening_impact[Digitale zorgtoepassing]),0))</f>
        <v>1287759.7841286419</v>
      </c>
      <c r="P1202" s="398" cm="1">
        <f t="array" ref="P1202">J1202*INDEX(Berekening_impact[Opbrengsten door QALY''s],MATCH(B1202,IF(Berekening_impact[Doelgroep]=C1202,Berekening_impact[Digitale zorgtoepassing]),0))</f>
        <v>0</v>
      </c>
      <c r="Q1202" s="398" cm="1">
        <f t="array" ref="Q1202">J1202*INDEX(Berekening_impact[Jaarlijkse kosten (totaal) - incl. schatting],MATCH(B1202,IF(Berekening_impact[Doelgroep]=C1202,Berekening_impact[Digitale zorgtoepassing]),0))</f>
        <v>4732460.05671125</v>
      </c>
      <c r="R1202" s="398" cm="1">
        <f t="array" ref="R1202">(uitkomst_doelgroep[[#This Row],[Implementatiegraad t = T + 1]]-uitkomst_doelgroep[[#This Row],[Implementatiegraad t = T]])*INDEX(Berekening_impact[Initiële investering (totaal) - incl. schatting],MATCH(B1202,IF(Berekening_impact[Doelgroep]=C1202,Berekening_impact[Digitale zorgtoepassing]),0))</f>
        <v>0</v>
      </c>
      <c r="S1202" s="398">
        <f>uitkomst_doelgroep[[#This Row],[Arbeidsbesparing (€)]]*uitkomst_doelgroep[[#This Row],[Percentage van patiëntaantallen in Wlz (overige is Zvw)]]</f>
        <v>3794728.3848696379</v>
      </c>
      <c r="T1202" s="398">
        <f>uitkomst_doelgroep[[#This Row],[Overige besparingen (€)]]*uitkomst_doelgroep[[#This Row],[Percentage van patiëntaantallen in Wlz (overige is Zvw)]]</f>
        <v>1287759.7841286419</v>
      </c>
      <c r="U1202" s="398">
        <f>uitkomst_doelgroep[[#This Row],[Kosten (€)]]*uitkomst_doelgroep[[#This Row],[Percentage van patiëntaantallen in Wlz (overige is Zvw)]]</f>
        <v>4732460.05671125</v>
      </c>
      <c r="V1202" s="398">
        <f>uitkomst_doelgroep[[#This Row],[Investering (cash flow) (€)]]*uitkomst_doelgroep[[#This Row],[Percentage van patiëntaantallen in Wlz (overige is Zvw)]]</f>
        <v>0</v>
      </c>
    </row>
    <row r="1203" spans="1:22" x14ac:dyDescent="0.5">
      <c r="A1203" s="33" t="str">
        <f>INDEX(Technologieën[Veld],MATCH(B1203,Technologieën[Digitale zorgtoepassing],0))</f>
        <v>Sensoren - Verpleging</v>
      </c>
      <c r="B1203" s="33" t="s">
        <v>42</v>
      </c>
      <c r="C1203" s="33" t="s">
        <v>348</v>
      </c>
      <c r="D1203" s="427" cm="1">
        <f t="array" ref="D1203">INDEX(Berekening_patiëntaantal[Percentage van patiëntaantallen in Wlz (overige is Zvw)],MATCH(B1203,IF(Berekening_patiëntaantal[Doelgroep (zoeksleutel)]=C1203,Berekening_patiëntaantal[Digitale zorgtoepassing]),0))</f>
        <v>1</v>
      </c>
      <c r="E1203" s="33" t="str" cm="1">
        <f t="array" ref="E1203">INDEX(Berekening_patiëntaantal[Direct toepasbaar/extrapolatie/incidentie voor QALY],MATCH(B1203,IF(Berekening_patiëntaantal[Doelgroep (zoeksleutel)]=C1203,Berekening_patiëntaantal[Digitale zorgtoepassing]),0))</f>
        <v>Huidige toepassing</v>
      </c>
      <c r="F1203" s="33" t="s">
        <v>813</v>
      </c>
      <c r="G1203" s="33" t="str">
        <f>CONCATENATE(uitkomst_doelgroep[[#This Row],[Digitale zorgtoepassing]],"_",uitkomst_doelgroep[[#This Row],[Doelgroep]],"_",uitkomst_doelgroep[[#This Row],[Uitgangssituatie/effect beleid]])</f>
        <v>Slim incontinentiemateriaal_Urine incontinent_Uitgangssituatie</v>
      </c>
      <c r="H1203" s="33">
        <v>2033</v>
      </c>
      <c r="I1203" s="32">
        <v>11</v>
      </c>
      <c r="J1203" s="406" cm="1">
        <f t="array" ref="J1203">INDEX(implementatie[[2023]:[2034]],MATCH(G1203, implementatie[Zoeksleutel],0),I1203)</f>
        <v>0.99574561815494433</v>
      </c>
      <c r="K1203" s="406" cm="1">
        <f t="array" ref="K1203">INDEX(implementatie[[2023]:[2034]],MATCH(G1203,implementatie[Zoeksleutel],0),I1203 + 1)</f>
        <v>0.99775830463714821</v>
      </c>
      <c r="L120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32463.796515896571</v>
      </c>
      <c r="M1203" s="398" cm="1">
        <f t="array" ref="M1203">J1203*INDEX(Berekening_impact[Totaal arbeidsbesparing (€/jaar)],MATCH(B1203,IF(Berekening_impact[Doelgroep]=C1203,Berekening_impact[Digitale zorgtoepassing]),0))</f>
        <v>74940807.588647559</v>
      </c>
      <c r="N1203" s="397" cm="1">
        <f t="array" ref="N1203">J1203*INDEX(Berekening_impact[Totaal arbeidsbesparing (FTE/jaar)],MATCH(B1203,IF(Berekening_impact[Doelgroep]=C1203,Berekening_impact[Digitale zorgtoepassing]),0))</f>
        <v>1765.2189355518758</v>
      </c>
      <c r="O1203" s="398" cm="1">
        <f t="array" ref="O1203">J1203*INDEX(Berekening_impact[Overige kostenbesparing (totaal/jaar totaal potentieel)],MATCH(B1203,IF(Berekening_impact[Doelgroep]=C1203,Berekening_impact[Digitale zorgtoepassing]),0))</f>
        <v>25431532.487956498</v>
      </c>
      <c r="P1203" s="398" cm="1">
        <f t="array" ref="P1203">J1203*INDEX(Berekening_impact[Opbrengsten door QALY''s],MATCH(B1203,IF(Berekening_impact[Doelgroep]=C1203,Berekening_impact[Digitale zorgtoepassing]),0))</f>
        <v>0</v>
      </c>
      <c r="Q1203" s="398" cm="1">
        <f t="array" ref="Q1203">J1203*INDEX(Berekening_impact[Jaarlijkse kosten (totaal) - incl. schatting],MATCH(B1203,IF(Berekening_impact[Doelgroep]=C1203,Berekening_impact[Digitale zorgtoepassing]),0))</f>
        <v>93459753.257977009</v>
      </c>
      <c r="R1203" s="398" cm="1">
        <f t="array" ref="R1203">(uitkomst_doelgroep[[#This Row],[Implementatiegraad t = T + 1]]-uitkomst_doelgroep[[#This Row],[Implementatiegraad t = T]])*INDEX(Berekening_impact[Initiële investering (totaal) - incl. schatting],MATCH(B1203,IF(Berekening_impact[Doelgroep]=C1203,Berekening_impact[Digitale zorgtoepassing]),0))</f>
        <v>0</v>
      </c>
      <c r="S1203" s="398">
        <f>uitkomst_doelgroep[[#This Row],[Arbeidsbesparing (€)]]*uitkomst_doelgroep[[#This Row],[Percentage van patiëntaantallen in Wlz (overige is Zvw)]]</f>
        <v>74940807.588647559</v>
      </c>
      <c r="T1203" s="398">
        <f>uitkomst_doelgroep[[#This Row],[Overige besparingen (€)]]*uitkomst_doelgroep[[#This Row],[Percentage van patiëntaantallen in Wlz (overige is Zvw)]]</f>
        <v>25431532.487956498</v>
      </c>
      <c r="U1203" s="398">
        <f>uitkomst_doelgroep[[#This Row],[Kosten (€)]]*uitkomst_doelgroep[[#This Row],[Percentage van patiëntaantallen in Wlz (overige is Zvw)]]</f>
        <v>93459753.257977009</v>
      </c>
      <c r="V1203" s="398">
        <f>uitkomst_doelgroep[[#This Row],[Investering (cash flow) (€)]]*uitkomst_doelgroep[[#This Row],[Percentage van patiëntaantallen in Wlz (overige is Zvw)]]</f>
        <v>0</v>
      </c>
    </row>
    <row r="1204" spans="1:22" x14ac:dyDescent="0.5">
      <c r="A1204" s="33" t="str">
        <f>INDEX(Technologieën[Veld],MATCH(B1204,Technologieën[Digitale zorgtoepassing],0))</f>
        <v>Sensoren - Verpleging</v>
      </c>
      <c r="B1204" s="33" t="s">
        <v>61</v>
      </c>
      <c r="C1204" s="33" t="s">
        <v>385</v>
      </c>
      <c r="D1204" s="427" cm="1">
        <f t="array" ref="D1204">INDEX(Berekening_patiëntaantal[Percentage van patiëntaantallen in Wlz (overige is Zvw)],MATCH(B1204,IF(Berekening_patiëntaantal[Doelgroep (zoeksleutel)]=C1204,Berekening_patiëntaantal[Digitale zorgtoepassing]),0))</f>
        <v>0</v>
      </c>
      <c r="E1204" s="33" t="str" cm="1">
        <f t="array" ref="E1204">INDEX(Berekening_patiëntaantal[Direct toepasbaar/extrapolatie/incidentie voor QALY],MATCH(B1204,IF(Berekening_patiëntaantal[Doelgroep (zoeksleutel)]=C1204,Berekening_patiëntaantal[Digitale zorgtoepassing]),0))</f>
        <v>Extrapolatie</v>
      </c>
      <c r="F1204" s="33" t="s">
        <v>813</v>
      </c>
      <c r="G1204" s="33" t="str">
        <f>CONCATENATE(uitkomst_doelgroep[[#This Row],[Digitale zorgtoepassing]],"_",uitkomst_doelgroep[[#This Row],[Doelgroep]],"_",uitkomst_doelgroep[[#This Row],[Uitgangssituatie/effect beleid]])</f>
        <v>Slimme bedsensoren_Epilepsie Kinderen_Uitgangssituatie</v>
      </c>
      <c r="H1204" s="33">
        <v>2023</v>
      </c>
      <c r="I1204" s="32">
        <v>1</v>
      </c>
      <c r="J1204" s="406" cm="1">
        <f t="array" ref="J1204">INDEX(implementatie[[2023]:[2034]],MATCH(G1204, implementatie[Zoeksleutel],0),I1204)</f>
        <v>0</v>
      </c>
      <c r="K1204" s="406" cm="1">
        <f t="array" ref="K1204">INDEX(implementatie[[2023]:[2034]],MATCH(G1204,implementatie[Zoeksleutel],0),I1204 + 1)</f>
        <v>0</v>
      </c>
      <c r="L120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204" s="398" cm="1">
        <f t="array" ref="M1204">J1204*INDEX(Berekening_impact[Totaal arbeidsbesparing (€/jaar)],MATCH(B1204,IF(Berekening_impact[Doelgroep]=C1204,Berekening_impact[Digitale zorgtoepassing]),0))</f>
        <v>0</v>
      </c>
      <c r="N1204" s="397" cm="1">
        <f t="array" ref="N1204">J1204*INDEX(Berekening_impact[Totaal arbeidsbesparing (FTE/jaar)],MATCH(B1204,IF(Berekening_impact[Doelgroep]=C1204,Berekening_impact[Digitale zorgtoepassing]),0))</f>
        <v>0</v>
      </c>
      <c r="O1204" s="398" cm="1">
        <f t="array" ref="O1204">J1204*INDEX(Berekening_impact[Overige kostenbesparing (totaal/jaar totaal potentieel)],MATCH(B1204,IF(Berekening_impact[Doelgroep]=C1204,Berekening_impact[Digitale zorgtoepassing]),0))</f>
        <v>0</v>
      </c>
      <c r="P1204" s="398" cm="1">
        <f t="array" ref="P1204">J1204*INDEX(Berekening_impact[Opbrengsten door QALY''s],MATCH(B1204,IF(Berekening_impact[Doelgroep]=C1204,Berekening_impact[Digitale zorgtoepassing]),0))</f>
        <v>0</v>
      </c>
      <c r="Q1204" s="398" cm="1">
        <f t="array" ref="Q1204">J1204*INDEX(Berekening_impact[Jaarlijkse kosten (totaal) - incl. schatting],MATCH(B1204,IF(Berekening_impact[Doelgroep]=C1204,Berekening_impact[Digitale zorgtoepassing]),0))</f>
        <v>0</v>
      </c>
      <c r="R1204" s="398" cm="1">
        <f t="array" ref="R1204">(uitkomst_doelgroep[[#This Row],[Implementatiegraad t = T + 1]]-uitkomst_doelgroep[[#This Row],[Implementatiegraad t = T]])*INDEX(Berekening_impact[Initiële investering (totaal) - incl. schatting],MATCH(B1204,IF(Berekening_impact[Doelgroep]=C1204,Berekening_impact[Digitale zorgtoepassing]),0))</f>
        <v>0</v>
      </c>
      <c r="S1204" s="398">
        <f>uitkomst_doelgroep[[#This Row],[Arbeidsbesparing (€)]]*uitkomst_doelgroep[[#This Row],[Percentage van patiëntaantallen in Wlz (overige is Zvw)]]</f>
        <v>0</v>
      </c>
      <c r="T1204" s="398">
        <f>uitkomst_doelgroep[[#This Row],[Overige besparingen (€)]]*uitkomst_doelgroep[[#This Row],[Percentage van patiëntaantallen in Wlz (overige is Zvw)]]</f>
        <v>0</v>
      </c>
      <c r="U1204" s="398">
        <f>uitkomst_doelgroep[[#This Row],[Kosten (€)]]*uitkomst_doelgroep[[#This Row],[Percentage van patiëntaantallen in Wlz (overige is Zvw)]]</f>
        <v>0</v>
      </c>
      <c r="V1204" s="398">
        <f>uitkomst_doelgroep[[#This Row],[Investering (cash flow) (€)]]*uitkomst_doelgroep[[#This Row],[Percentage van patiëntaantallen in Wlz (overige is Zvw)]]</f>
        <v>0</v>
      </c>
    </row>
    <row r="1205" spans="1:22" x14ac:dyDescent="0.5">
      <c r="A1205" s="33" t="str">
        <f>INDEX(Technologieën[Veld],MATCH(B1205,Technologieën[Digitale zorgtoepassing],0))</f>
        <v>Sensoren - Verpleging</v>
      </c>
      <c r="B1205" s="33" t="s">
        <v>61</v>
      </c>
      <c r="C1205" s="33" t="s">
        <v>62</v>
      </c>
      <c r="D1205" s="427" cm="1">
        <f t="array" ref="D1205">INDEX(Berekening_patiëntaantal[Percentage van patiëntaantallen in Wlz (overige is Zvw)],MATCH(B1205,IF(Berekening_patiëntaantal[Doelgroep (zoeksleutel)]=C1205,Berekening_patiëntaantal[Digitale zorgtoepassing]),0))</f>
        <v>1</v>
      </c>
      <c r="E1205" s="33" t="str" cm="1">
        <f t="array" ref="E1205">INDEX(Berekening_patiëntaantal[Direct toepasbaar/extrapolatie/incidentie voor QALY],MATCH(B1205,IF(Berekening_patiëntaantal[Doelgroep (zoeksleutel)]=C1205,Berekening_patiëntaantal[Digitale zorgtoepassing]),0))</f>
        <v>Huidige toepassing</v>
      </c>
      <c r="F1205" s="33" t="s">
        <v>813</v>
      </c>
      <c r="G1205" s="33" t="str">
        <f>CONCATENATE(uitkomst_doelgroep[[#This Row],[Digitale zorgtoepassing]],"_",uitkomst_doelgroep[[#This Row],[Doelgroep]],"_",uitkomst_doelgroep[[#This Row],[Uitgangssituatie/effect beleid]])</f>
        <v>Slimme bedsensoren_Bewoners verzorgingshuis_Uitgangssituatie</v>
      </c>
      <c r="H1205" s="33">
        <v>2023</v>
      </c>
      <c r="I1205" s="32">
        <v>1</v>
      </c>
      <c r="J1205" s="406" cm="1">
        <f t="array" ref="J1205">INDEX(implementatie[[2023]:[2034]],MATCH(G1205, implementatie[Zoeksleutel],0),I1205)</f>
        <v>0.4</v>
      </c>
      <c r="K1205" s="406" cm="1">
        <f t="array" ref="K1205">INDEX(implementatie[[2023]:[2034]],MATCH(G1205,implementatie[Zoeksleutel],0),I1205 + 1)</f>
        <v>0.50800000000000001</v>
      </c>
      <c r="L120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37720</v>
      </c>
      <c r="M1205" s="398" cm="1">
        <f t="array" ref="M1205">J1205*INDEX(Berekening_impact[Totaal arbeidsbesparing (€/jaar)],MATCH(B1205,IF(Berekening_impact[Doelgroep]=C1205,Berekening_impact[Digitale zorgtoepassing]),0))</f>
        <v>20035529.034473527</v>
      </c>
      <c r="N1205" s="397" cm="1">
        <f t="array" ref="N1205">J1205*INDEX(Berekening_impact[Totaal arbeidsbesparing (FTE/jaar)],MATCH(B1205,IF(Berekening_impact[Doelgroep]=C1205,Berekening_impact[Digitale zorgtoepassing]),0))</f>
        <v>471.93373508306922</v>
      </c>
      <c r="O1205" s="398" cm="1">
        <f t="array" ref="O1205">J1205*INDEX(Berekening_impact[Overige kostenbesparing (totaal/jaar totaal potentieel)],MATCH(B1205,IF(Berekening_impact[Doelgroep]=C1205,Berekening_impact[Digitale zorgtoepassing]),0))</f>
        <v>17599889.988904025</v>
      </c>
      <c r="P1205" s="398" cm="1">
        <f t="array" ref="P1205">J1205*INDEX(Berekening_impact[Opbrengsten door QALY''s],MATCH(B1205,IF(Berekening_impact[Doelgroep]=C1205,Berekening_impact[Digitale zorgtoepassing]),0))</f>
        <v>0</v>
      </c>
      <c r="Q1205" s="398" cm="1">
        <f t="array" ref="Q1205">J1205*INDEX(Berekening_impact[Jaarlijkse kosten (totaal) - incl. schatting],MATCH(B1205,IF(Berekening_impact[Doelgroep]=C1205,Berekening_impact[Digitale zorgtoepassing]),0))</f>
        <v>17804748.915662654</v>
      </c>
      <c r="R1205" s="398" cm="1">
        <f t="array" ref="R1205">(uitkomst_doelgroep[[#This Row],[Implementatiegraad t = T + 1]]-uitkomst_doelgroep[[#This Row],[Implementatiegraad t = T]])*INDEX(Berekening_impact[Initiële investering (totaal) - incl. schatting],MATCH(B1205,IF(Berekening_impact[Doelgroep]=C1205,Berekening_impact[Digitale zorgtoepassing]),0))</f>
        <v>347198.39999999991</v>
      </c>
      <c r="S1205" s="398">
        <f>uitkomst_doelgroep[[#This Row],[Arbeidsbesparing (€)]]*uitkomst_doelgroep[[#This Row],[Percentage van patiëntaantallen in Wlz (overige is Zvw)]]</f>
        <v>20035529.034473527</v>
      </c>
      <c r="T1205" s="398">
        <f>uitkomst_doelgroep[[#This Row],[Overige besparingen (€)]]*uitkomst_doelgroep[[#This Row],[Percentage van patiëntaantallen in Wlz (overige is Zvw)]]</f>
        <v>17599889.988904025</v>
      </c>
      <c r="U1205" s="398">
        <f>uitkomst_doelgroep[[#This Row],[Kosten (€)]]*uitkomst_doelgroep[[#This Row],[Percentage van patiëntaantallen in Wlz (overige is Zvw)]]</f>
        <v>17804748.915662654</v>
      </c>
      <c r="V1205" s="398">
        <f>uitkomst_doelgroep[[#This Row],[Investering (cash flow) (€)]]*uitkomst_doelgroep[[#This Row],[Percentage van patiëntaantallen in Wlz (overige is Zvw)]]</f>
        <v>347198.39999999991</v>
      </c>
    </row>
    <row r="1206" spans="1:22" x14ac:dyDescent="0.5">
      <c r="A1206" s="33" t="str">
        <f>INDEX(Technologieën[Veld],MATCH(B1206,Technologieën[Digitale zorgtoepassing],0))</f>
        <v>Sensoren - Verpleging</v>
      </c>
      <c r="B1206" s="33" t="s">
        <v>61</v>
      </c>
      <c r="C1206" s="33" t="s">
        <v>385</v>
      </c>
      <c r="D1206" s="427" cm="1">
        <f t="array" ref="D1206">INDEX(Berekening_patiëntaantal[Percentage van patiëntaantallen in Wlz (overige is Zvw)],MATCH(B1206,IF(Berekening_patiëntaantal[Doelgroep (zoeksleutel)]=C1206,Berekening_patiëntaantal[Digitale zorgtoepassing]),0))</f>
        <v>0</v>
      </c>
      <c r="E1206" s="33" t="str" cm="1">
        <f t="array" ref="E1206">INDEX(Berekening_patiëntaantal[Direct toepasbaar/extrapolatie/incidentie voor QALY],MATCH(B1206,IF(Berekening_patiëntaantal[Doelgroep (zoeksleutel)]=C1206,Berekening_patiëntaantal[Digitale zorgtoepassing]),0))</f>
        <v>Extrapolatie</v>
      </c>
      <c r="F1206" s="33" t="s">
        <v>813</v>
      </c>
      <c r="G1206" s="33" t="str">
        <f>CONCATENATE(uitkomst_doelgroep[[#This Row],[Digitale zorgtoepassing]],"_",uitkomst_doelgroep[[#This Row],[Doelgroep]],"_",uitkomst_doelgroep[[#This Row],[Uitgangssituatie/effect beleid]])</f>
        <v>Slimme bedsensoren_Epilepsie Kinderen_Uitgangssituatie</v>
      </c>
      <c r="H1206" s="33">
        <v>2024</v>
      </c>
      <c r="I1206" s="32">
        <v>2</v>
      </c>
      <c r="J1206" s="406" cm="1">
        <f t="array" ref="J1206">INDEX(implementatie[[2023]:[2034]],MATCH(G1206, implementatie[Zoeksleutel],0),I1206)</f>
        <v>0</v>
      </c>
      <c r="K1206" s="406" cm="1">
        <f t="array" ref="K1206">INDEX(implementatie[[2023]:[2034]],MATCH(G1206,implementatie[Zoeksleutel],0),I1206 + 1)</f>
        <v>0.02</v>
      </c>
      <c r="L120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206" s="398" cm="1">
        <f t="array" ref="M1206">J1206*INDEX(Berekening_impact[Totaal arbeidsbesparing (€/jaar)],MATCH(B1206,IF(Berekening_impact[Doelgroep]=C1206,Berekening_impact[Digitale zorgtoepassing]),0))</f>
        <v>0</v>
      </c>
      <c r="N1206" s="397" cm="1">
        <f t="array" ref="N1206">J1206*INDEX(Berekening_impact[Totaal arbeidsbesparing (FTE/jaar)],MATCH(B1206,IF(Berekening_impact[Doelgroep]=C1206,Berekening_impact[Digitale zorgtoepassing]),0))</f>
        <v>0</v>
      </c>
      <c r="O1206" s="398" cm="1">
        <f t="array" ref="O1206">J1206*INDEX(Berekening_impact[Overige kostenbesparing (totaal/jaar totaal potentieel)],MATCH(B1206,IF(Berekening_impact[Doelgroep]=C1206,Berekening_impact[Digitale zorgtoepassing]),0))</f>
        <v>0</v>
      </c>
      <c r="P1206" s="398" cm="1">
        <f t="array" ref="P1206">J1206*INDEX(Berekening_impact[Opbrengsten door QALY''s],MATCH(B1206,IF(Berekening_impact[Doelgroep]=C1206,Berekening_impact[Digitale zorgtoepassing]),0))</f>
        <v>0</v>
      </c>
      <c r="Q1206" s="398" cm="1">
        <f t="array" ref="Q1206">J1206*INDEX(Berekening_impact[Jaarlijkse kosten (totaal) - incl. schatting],MATCH(B1206,IF(Berekening_impact[Doelgroep]=C1206,Berekening_impact[Digitale zorgtoepassing]),0))</f>
        <v>0</v>
      </c>
      <c r="R1206" s="398" cm="1">
        <f t="array" ref="R1206">(uitkomst_doelgroep[[#This Row],[Implementatiegraad t = T + 1]]-uitkomst_doelgroep[[#This Row],[Implementatiegraad t = T]])*INDEX(Berekening_impact[Initiële investering (totaal) - incl. schatting],MATCH(B1206,IF(Berekening_impact[Doelgroep]=C1206,Berekening_impact[Digitale zorgtoepassing]),0))</f>
        <v>0</v>
      </c>
      <c r="S1206" s="398">
        <f>uitkomst_doelgroep[[#This Row],[Arbeidsbesparing (€)]]*uitkomst_doelgroep[[#This Row],[Percentage van patiëntaantallen in Wlz (overige is Zvw)]]</f>
        <v>0</v>
      </c>
      <c r="T1206" s="398">
        <f>uitkomst_doelgroep[[#This Row],[Overige besparingen (€)]]*uitkomst_doelgroep[[#This Row],[Percentage van patiëntaantallen in Wlz (overige is Zvw)]]</f>
        <v>0</v>
      </c>
      <c r="U1206" s="398">
        <f>uitkomst_doelgroep[[#This Row],[Kosten (€)]]*uitkomst_doelgroep[[#This Row],[Percentage van patiëntaantallen in Wlz (overige is Zvw)]]</f>
        <v>0</v>
      </c>
      <c r="V1206" s="398">
        <f>uitkomst_doelgroep[[#This Row],[Investering (cash flow) (€)]]*uitkomst_doelgroep[[#This Row],[Percentage van patiëntaantallen in Wlz (overige is Zvw)]]</f>
        <v>0</v>
      </c>
    </row>
    <row r="1207" spans="1:22" x14ac:dyDescent="0.5">
      <c r="A1207" s="33" t="str">
        <f>INDEX(Technologieën[Veld],MATCH(B1207,Technologieën[Digitale zorgtoepassing],0))</f>
        <v>Sensoren - Verpleging</v>
      </c>
      <c r="B1207" s="33" t="s">
        <v>61</v>
      </c>
      <c r="C1207" s="33" t="s">
        <v>62</v>
      </c>
      <c r="D1207" s="427" cm="1">
        <f t="array" ref="D1207">INDEX(Berekening_patiëntaantal[Percentage van patiëntaantallen in Wlz (overige is Zvw)],MATCH(B1207,IF(Berekening_patiëntaantal[Doelgroep (zoeksleutel)]=C1207,Berekening_patiëntaantal[Digitale zorgtoepassing]),0))</f>
        <v>1</v>
      </c>
      <c r="E1207" s="33" t="str" cm="1">
        <f t="array" ref="E1207">INDEX(Berekening_patiëntaantal[Direct toepasbaar/extrapolatie/incidentie voor QALY],MATCH(B1207,IF(Berekening_patiëntaantal[Doelgroep (zoeksleutel)]=C1207,Berekening_patiëntaantal[Digitale zorgtoepassing]),0))</f>
        <v>Huidige toepassing</v>
      </c>
      <c r="F1207" s="33" t="s">
        <v>813</v>
      </c>
      <c r="G1207" s="33" t="str">
        <f>CONCATENATE(uitkomst_doelgroep[[#This Row],[Digitale zorgtoepassing]],"_",uitkomst_doelgroep[[#This Row],[Doelgroep]],"_",uitkomst_doelgroep[[#This Row],[Uitgangssituatie/effect beleid]])</f>
        <v>Slimme bedsensoren_Bewoners verzorgingshuis_Uitgangssituatie</v>
      </c>
      <c r="H1207" s="33">
        <v>2024</v>
      </c>
      <c r="I1207" s="32">
        <v>2</v>
      </c>
      <c r="J1207" s="406" cm="1">
        <f t="array" ref="J1207">INDEX(implementatie[[2023]:[2034]],MATCH(G1207, implementatie[Zoeksleutel],0),I1207)</f>
        <v>0.50800000000000001</v>
      </c>
      <c r="K1207" s="406" cm="1">
        <f t="array" ref="K1207">INDEX(implementatie[[2023]:[2034]],MATCH(G1207,implementatie[Zoeksleutel],0),I1207 + 1)</f>
        <v>0.61781439999999999</v>
      </c>
      <c r="L120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47904.4</v>
      </c>
      <c r="M1207" s="398" cm="1">
        <f t="array" ref="M1207">J1207*INDEX(Berekening_impact[Totaal arbeidsbesparing (€/jaar)],MATCH(B1207,IF(Berekening_impact[Doelgroep]=C1207,Berekening_impact[Digitale zorgtoepassing]),0))</f>
        <v>25445121.873781379</v>
      </c>
      <c r="N1207" s="397" cm="1">
        <f t="array" ref="N1207">J1207*INDEX(Berekening_impact[Totaal arbeidsbesparing (FTE/jaar)],MATCH(B1207,IF(Berekening_impact[Doelgroep]=C1207,Berekening_impact[Digitale zorgtoepassing]),0))</f>
        <v>599.35584355549793</v>
      </c>
      <c r="O1207" s="398" cm="1">
        <f t="array" ref="O1207">J1207*INDEX(Berekening_impact[Overige kostenbesparing (totaal/jaar totaal potentieel)],MATCH(B1207,IF(Berekening_impact[Doelgroep]=C1207,Berekening_impact[Digitale zorgtoepassing]),0))</f>
        <v>22351860.28590811</v>
      </c>
      <c r="P1207" s="398" cm="1">
        <f t="array" ref="P1207">J1207*INDEX(Berekening_impact[Opbrengsten door QALY''s],MATCH(B1207,IF(Berekening_impact[Doelgroep]=C1207,Berekening_impact[Digitale zorgtoepassing]),0))</f>
        <v>0</v>
      </c>
      <c r="Q1207" s="398" cm="1">
        <f t="array" ref="Q1207">J1207*INDEX(Berekening_impact[Jaarlijkse kosten (totaal) - incl. schatting],MATCH(B1207,IF(Berekening_impact[Doelgroep]=C1207,Berekening_impact[Digitale zorgtoepassing]),0))</f>
        <v>22612031.122891568</v>
      </c>
      <c r="R1207" s="398" cm="1">
        <f t="array" ref="R1207">(uitkomst_doelgroep[[#This Row],[Implementatiegraad t = T + 1]]-uitkomst_doelgroep[[#This Row],[Implementatiegraad t = T]])*INDEX(Berekening_impact[Initiële investering (totaal) - incl. schatting],MATCH(B1207,IF(Berekening_impact[Doelgroep]=C1207,Berekening_impact[Digitale zorgtoepassing]),0))</f>
        <v>353031.33311999991</v>
      </c>
      <c r="S1207" s="398">
        <f>uitkomst_doelgroep[[#This Row],[Arbeidsbesparing (€)]]*uitkomst_doelgroep[[#This Row],[Percentage van patiëntaantallen in Wlz (overige is Zvw)]]</f>
        <v>25445121.873781379</v>
      </c>
      <c r="T1207" s="398">
        <f>uitkomst_doelgroep[[#This Row],[Overige besparingen (€)]]*uitkomst_doelgroep[[#This Row],[Percentage van patiëntaantallen in Wlz (overige is Zvw)]]</f>
        <v>22351860.28590811</v>
      </c>
      <c r="U1207" s="398">
        <f>uitkomst_doelgroep[[#This Row],[Kosten (€)]]*uitkomst_doelgroep[[#This Row],[Percentage van patiëntaantallen in Wlz (overige is Zvw)]]</f>
        <v>22612031.122891568</v>
      </c>
      <c r="V1207" s="398">
        <f>uitkomst_doelgroep[[#This Row],[Investering (cash flow) (€)]]*uitkomst_doelgroep[[#This Row],[Percentage van patiëntaantallen in Wlz (overige is Zvw)]]</f>
        <v>353031.33311999991</v>
      </c>
    </row>
    <row r="1208" spans="1:22" x14ac:dyDescent="0.5">
      <c r="A1208" s="33" t="str">
        <f>INDEX(Technologieën[Veld],MATCH(B1208,Technologieën[Digitale zorgtoepassing],0))</f>
        <v>Sensoren - Verpleging</v>
      </c>
      <c r="B1208" s="33" t="s">
        <v>61</v>
      </c>
      <c r="C1208" s="33" t="s">
        <v>385</v>
      </c>
      <c r="D1208" s="427" cm="1">
        <f t="array" ref="D1208">INDEX(Berekening_patiëntaantal[Percentage van patiëntaantallen in Wlz (overige is Zvw)],MATCH(B1208,IF(Berekening_patiëntaantal[Doelgroep (zoeksleutel)]=C1208,Berekening_patiëntaantal[Digitale zorgtoepassing]),0))</f>
        <v>0</v>
      </c>
      <c r="E1208" s="33" t="str" cm="1">
        <f t="array" ref="E1208">INDEX(Berekening_patiëntaantal[Direct toepasbaar/extrapolatie/incidentie voor QALY],MATCH(B1208,IF(Berekening_patiëntaantal[Doelgroep (zoeksleutel)]=C1208,Berekening_patiëntaantal[Digitale zorgtoepassing]),0))</f>
        <v>Extrapolatie</v>
      </c>
      <c r="F1208" s="33" t="s">
        <v>813</v>
      </c>
      <c r="G1208" s="33" t="str">
        <f>CONCATENATE(uitkomst_doelgroep[[#This Row],[Digitale zorgtoepassing]],"_",uitkomst_doelgroep[[#This Row],[Doelgroep]],"_",uitkomst_doelgroep[[#This Row],[Uitgangssituatie/effect beleid]])</f>
        <v>Slimme bedsensoren_Epilepsie Kinderen_Uitgangssituatie</v>
      </c>
      <c r="H1208" s="33">
        <v>2025</v>
      </c>
      <c r="I1208" s="32">
        <v>3</v>
      </c>
      <c r="J1208" s="406" cm="1">
        <f t="array" ref="J1208">INDEX(implementatie[[2023]:[2034]],MATCH(G1208, implementatie[Zoeksleutel],0),I1208)</f>
        <v>0.02</v>
      </c>
      <c r="K1208" s="406" cm="1">
        <f t="array" ref="K1208">INDEX(implementatie[[2023]:[2034]],MATCH(G1208,implementatie[Zoeksleutel],0),I1208 + 1)</f>
        <v>4.7439999999999996E-2</v>
      </c>
      <c r="L120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320</v>
      </c>
      <c r="M1208" s="398" cm="1">
        <f t="array" ref="M1208">J1208*INDEX(Berekening_impact[Totaal arbeidsbesparing (€/jaar)],MATCH(B1208,IF(Berekening_impact[Doelgroep]=C1208,Berekening_impact[Digitale zorgtoepassing]),0))</f>
        <v>169972.67473572449</v>
      </c>
      <c r="N1208" s="397" cm="1">
        <f t="array" ref="N1208">J1208*INDEX(Berekening_impact[Totaal arbeidsbesparing (FTE/jaar)],MATCH(B1208,IF(Berekening_impact[Doelgroep]=C1208,Berekening_impact[Digitale zorgtoepassing]),0))</f>
        <v>4.0036796189443837</v>
      </c>
      <c r="O1208" s="398" cm="1">
        <f t="array" ref="O1208">J1208*INDEX(Berekening_impact[Overige kostenbesparing (totaal/jaar totaal potentieel)],MATCH(B1208,IF(Berekening_impact[Doelgroep]=C1208,Berekening_impact[Digitale zorgtoepassing]),0))</f>
        <v>149309.77721233529</v>
      </c>
      <c r="P1208" s="398" cm="1">
        <f t="array" ref="P1208">J1208*INDEX(Berekening_impact[Opbrengsten door QALY''s],MATCH(B1208,IF(Berekening_impact[Doelgroep]=C1208,Berekening_impact[Digitale zorgtoepassing]),0))</f>
        <v>0</v>
      </c>
      <c r="Q1208" s="398" cm="1">
        <f t="array" ref="Q1208">J1208*INDEX(Berekening_impact[Jaarlijkse kosten (totaal) - incl. schatting],MATCH(B1208,IF(Berekening_impact[Doelgroep]=C1208,Berekening_impact[Digitale zorgtoepassing]),0))</f>
        <v>151047.7108433735</v>
      </c>
      <c r="R1208" s="398" cm="1">
        <f t="array" ref="R1208">(uitkomst_doelgroep[[#This Row],[Implementatiegraad t = T + 1]]-uitkomst_doelgroep[[#This Row],[Implementatiegraad t = T]])*INDEX(Berekening_impact[Initiële investering (totaal) - incl. schatting],MATCH(B1208,IF(Berekening_impact[Doelgroep]=C1208,Berekening_impact[Digitale zorgtoepassing]),0))</f>
        <v>0</v>
      </c>
      <c r="S1208" s="398">
        <f>uitkomst_doelgroep[[#This Row],[Arbeidsbesparing (€)]]*uitkomst_doelgroep[[#This Row],[Percentage van patiëntaantallen in Wlz (overige is Zvw)]]</f>
        <v>0</v>
      </c>
      <c r="T1208" s="398">
        <f>uitkomst_doelgroep[[#This Row],[Overige besparingen (€)]]*uitkomst_doelgroep[[#This Row],[Percentage van patiëntaantallen in Wlz (overige is Zvw)]]</f>
        <v>0</v>
      </c>
      <c r="U1208" s="398">
        <f>uitkomst_doelgroep[[#This Row],[Kosten (€)]]*uitkomst_doelgroep[[#This Row],[Percentage van patiëntaantallen in Wlz (overige is Zvw)]]</f>
        <v>0</v>
      </c>
      <c r="V1208" s="398">
        <f>uitkomst_doelgroep[[#This Row],[Investering (cash flow) (€)]]*uitkomst_doelgroep[[#This Row],[Percentage van patiëntaantallen in Wlz (overige is Zvw)]]</f>
        <v>0</v>
      </c>
    </row>
    <row r="1209" spans="1:22" x14ac:dyDescent="0.5">
      <c r="A1209" s="33" t="str">
        <f>INDEX(Technologieën[Veld],MATCH(B1209,Technologieën[Digitale zorgtoepassing],0))</f>
        <v>Sensoren - Verpleging</v>
      </c>
      <c r="B1209" s="33" t="s">
        <v>61</v>
      </c>
      <c r="C1209" s="33" t="s">
        <v>62</v>
      </c>
      <c r="D1209" s="427" cm="1">
        <f t="array" ref="D1209">INDEX(Berekening_patiëntaantal[Percentage van patiëntaantallen in Wlz (overige is Zvw)],MATCH(B1209,IF(Berekening_patiëntaantal[Doelgroep (zoeksleutel)]=C1209,Berekening_patiëntaantal[Digitale zorgtoepassing]),0))</f>
        <v>1</v>
      </c>
      <c r="E1209" s="33" t="str" cm="1">
        <f t="array" ref="E1209">INDEX(Berekening_patiëntaantal[Direct toepasbaar/extrapolatie/incidentie voor QALY],MATCH(B1209,IF(Berekening_patiëntaantal[Doelgroep (zoeksleutel)]=C1209,Berekening_patiëntaantal[Digitale zorgtoepassing]),0))</f>
        <v>Huidige toepassing</v>
      </c>
      <c r="F1209" s="33" t="s">
        <v>813</v>
      </c>
      <c r="G1209" s="33" t="str">
        <f>CONCATENATE(uitkomst_doelgroep[[#This Row],[Digitale zorgtoepassing]],"_",uitkomst_doelgroep[[#This Row],[Doelgroep]],"_",uitkomst_doelgroep[[#This Row],[Uitgangssituatie/effect beleid]])</f>
        <v>Slimme bedsensoren_Bewoners verzorgingshuis_Uitgangssituatie</v>
      </c>
      <c r="H1209" s="33">
        <v>2025</v>
      </c>
      <c r="I1209" s="32">
        <v>3</v>
      </c>
      <c r="J1209" s="406" cm="1">
        <f t="array" ref="J1209">INDEX(implementatie[[2023]:[2034]],MATCH(G1209, implementatie[Zoeksleutel],0),I1209)</f>
        <v>0.61781439999999999</v>
      </c>
      <c r="K1209" s="406" cm="1">
        <f t="array" ref="K1209">INDEX(implementatie[[2023]:[2034]],MATCH(G1209,implementatie[Zoeksleutel],0),I1209 + 1)</f>
        <v>0.71990601886105599</v>
      </c>
      <c r="L120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58259.897919999996</v>
      </c>
      <c r="M1209" s="398" cm="1">
        <f t="array" ref="M1209">J1209*INDEX(Berekening_impact[Totaal arbeidsbesparing (€/jaar)],MATCH(B1209,IF(Berekening_impact[Doelgroep]=C1209,Berekening_impact[Digitale zorgtoepassing]),0))</f>
        <v>30945595.872789603</v>
      </c>
      <c r="N1209" s="397" cm="1">
        <f t="array" ref="N1209">J1209*INDEX(Berekening_impact[Totaal arbeidsbesparing (FTE/jaar)],MATCH(B1209,IF(Berekening_impact[Doelgroep]=C1209,Berekening_impact[Digitale zorgtoepassing]),0))</f>
        <v>728.9186434502634</v>
      </c>
      <c r="O1209" s="398" cm="1">
        <f t="array" ref="O1209">J1209*INDEX(Berekening_impact[Overige kostenbesparing (totaal/jaar totaal potentieel)],MATCH(B1209,IF(Berekening_impact[Doelgroep]=C1209,Berekening_impact[Digitale zorgtoepassing]),0))</f>
        <v>27183663.683901865</v>
      </c>
      <c r="P1209" s="398" cm="1">
        <f t="array" ref="P1209">J1209*INDEX(Berekening_impact[Opbrengsten door QALY''s],MATCH(B1209,IF(Berekening_impact[Doelgroep]=C1209,Berekening_impact[Digitale zorgtoepassing]),0))</f>
        <v>0</v>
      </c>
      <c r="Q1209" s="398" cm="1">
        <f t="array" ref="Q1209">J1209*INDEX(Berekening_impact[Jaarlijkse kosten (totaal) - incl. schatting],MATCH(B1209,IF(Berekening_impact[Doelgroep]=C1209,Berekening_impact[Digitale zorgtoepassing]),0))</f>
        <v>27500075.671201929</v>
      </c>
      <c r="R1209" s="398" cm="1">
        <f t="array" ref="R1209">(uitkomst_doelgroep[[#This Row],[Implementatiegraad t = T + 1]]-uitkomst_doelgroep[[#This Row],[Implementatiegraad t = T]])*INDEX(Berekening_impact[Initiële investering (totaal) - incl. schatting],MATCH(B1209,IF(Berekening_impact[Doelgroep]=C1209,Berekening_impact[Digitale zorgtoepassing]),0))</f>
        <v>328204.13631452277</v>
      </c>
      <c r="S1209" s="398">
        <f>uitkomst_doelgroep[[#This Row],[Arbeidsbesparing (€)]]*uitkomst_doelgroep[[#This Row],[Percentage van patiëntaantallen in Wlz (overige is Zvw)]]</f>
        <v>30945595.872789603</v>
      </c>
      <c r="T1209" s="398">
        <f>uitkomst_doelgroep[[#This Row],[Overige besparingen (€)]]*uitkomst_doelgroep[[#This Row],[Percentage van patiëntaantallen in Wlz (overige is Zvw)]]</f>
        <v>27183663.683901865</v>
      </c>
      <c r="U1209" s="398">
        <f>uitkomst_doelgroep[[#This Row],[Kosten (€)]]*uitkomst_doelgroep[[#This Row],[Percentage van patiëntaantallen in Wlz (overige is Zvw)]]</f>
        <v>27500075.671201929</v>
      </c>
      <c r="V1209" s="398">
        <f>uitkomst_doelgroep[[#This Row],[Investering (cash flow) (€)]]*uitkomst_doelgroep[[#This Row],[Percentage van patiëntaantallen in Wlz (overige is Zvw)]]</f>
        <v>328204.13631452277</v>
      </c>
    </row>
    <row r="1210" spans="1:22" x14ac:dyDescent="0.5">
      <c r="A1210" s="33" t="str">
        <f>INDEX(Technologieën[Veld],MATCH(B1210,Technologieën[Digitale zorgtoepassing],0))</f>
        <v>Sensoren - Verpleging</v>
      </c>
      <c r="B1210" s="33" t="s">
        <v>61</v>
      </c>
      <c r="C1210" s="33" t="s">
        <v>385</v>
      </c>
      <c r="D1210" s="427" cm="1">
        <f t="array" ref="D1210">INDEX(Berekening_patiëntaantal[Percentage van patiëntaantallen in Wlz (overige is Zvw)],MATCH(B1210,IF(Berekening_patiëntaantal[Doelgroep (zoeksleutel)]=C1210,Berekening_patiëntaantal[Digitale zorgtoepassing]),0))</f>
        <v>0</v>
      </c>
      <c r="E1210" s="33" t="str" cm="1">
        <f t="array" ref="E1210">INDEX(Berekening_patiëntaantal[Direct toepasbaar/extrapolatie/incidentie voor QALY],MATCH(B1210,IF(Berekening_patiëntaantal[Doelgroep (zoeksleutel)]=C1210,Berekening_patiëntaantal[Digitale zorgtoepassing]),0))</f>
        <v>Extrapolatie</v>
      </c>
      <c r="F1210" s="33" t="s">
        <v>813</v>
      </c>
      <c r="G1210" s="33" t="str">
        <f>CONCATENATE(uitkomst_doelgroep[[#This Row],[Digitale zorgtoepassing]],"_",uitkomst_doelgroep[[#This Row],[Doelgroep]],"_",uitkomst_doelgroep[[#This Row],[Uitgangssituatie/effect beleid]])</f>
        <v>Slimme bedsensoren_Epilepsie Kinderen_Uitgangssituatie</v>
      </c>
      <c r="H1210" s="33">
        <v>2026</v>
      </c>
      <c r="I1210" s="32">
        <v>4</v>
      </c>
      <c r="J1210" s="406" cm="1">
        <f t="array" ref="J1210">INDEX(implementatie[[2023]:[2034]],MATCH(G1210, implementatie[Zoeksleutel],0),I1210)</f>
        <v>4.7439999999999996E-2</v>
      </c>
      <c r="K1210" s="406" cm="1">
        <f t="array" ref="K1210">INDEX(implementatie[[2023]:[2034]],MATCH(G1210,implementatie[Zoeksleutel],0),I1210 + 1)</f>
        <v>8.4566978560000006E-2</v>
      </c>
      <c r="L121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759.04</v>
      </c>
      <c r="M1210" s="398" cm="1">
        <f t="array" ref="M1210">J1210*INDEX(Berekening_impact[Totaal arbeidsbesparing (€/jaar)],MATCH(B1210,IF(Berekening_impact[Doelgroep]=C1210,Berekening_impact[Digitale zorgtoepassing]),0))</f>
        <v>403175.18447313842</v>
      </c>
      <c r="N1210" s="397" cm="1">
        <f t="array" ref="N1210">J1210*INDEX(Berekening_impact[Totaal arbeidsbesparing (FTE/jaar)],MATCH(B1210,IF(Berekening_impact[Doelgroep]=C1210,Berekening_impact[Digitale zorgtoepassing]),0))</f>
        <v>9.4967280561360763</v>
      </c>
      <c r="O1210" s="398" cm="1">
        <f t="array" ref="O1210">J1210*INDEX(Berekening_impact[Overige kostenbesparing (totaal/jaar totaal potentieel)],MATCH(B1210,IF(Berekening_impact[Doelgroep]=C1210,Berekening_impact[Digitale zorgtoepassing]),0))</f>
        <v>354162.79154765932</v>
      </c>
      <c r="P1210" s="398" cm="1">
        <f t="array" ref="P1210">J1210*INDEX(Berekening_impact[Opbrengsten door QALY''s],MATCH(B1210,IF(Berekening_impact[Doelgroep]=C1210,Berekening_impact[Digitale zorgtoepassing]),0))</f>
        <v>0</v>
      </c>
      <c r="Q1210" s="398" cm="1">
        <f t="array" ref="Q1210">J1210*INDEX(Berekening_impact[Jaarlijkse kosten (totaal) - incl. schatting],MATCH(B1210,IF(Berekening_impact[Doelgroep]=C1210,Berekening_impact[Digitale zorgtoepassing]),0))</f>
        <v>358285.17012048193</v>
      </c>
      <c r="R1210" s="398" cm="1">
        <f t="array" ref="R1210">(uitkomst_doelgroep[[#This Row],[Implementatiegraad t = T + 1]]-uitkomst_doelgroep[[#This Row],[Implementatiegraad t = T]])*INDEX(Berekening_impact[Initiële investering (totaal) - incl. schatting],MATCH(B1210,IF(Berekening_impact[Doelgroep]=C1210,Berekening_impact[Digitale zorgtoepassing]),0))</f>
        <v>0</v>
      </c>
      <c r="S1210" s="398">
        <f>uitkomst_doelgroep[[#This Row],[Arbeidsbesparing (€)]]*uitkomst_doelgroep[[#This Row],[Percentage van patiëntaantallen in Wlz (overige is Zvw)]]</f>
        <v>0</v>
      </c>
      <c r="T1210" s="398">
        <f>uitkomst_doelgroep[[#This Row],[Overige besparingen (€)]]*uitkomst_doelgroep[[#This Row],[Percentage van patiëntaantallen in Wlz (overige is Zvw)]]</f>
        <v>0</v>
      </c>
      <c r="U1210" s="398">
        <f>uitkomst_doelgroep[[#This Row],[Kosten (€)]]*uitkomst_doelgroep[[#This Row],[Percentage van patiëntaantallen in Wlz (overige is Zvw)]]</f>
        <v>0</v>
      </c>
      <c r="V1210" s="398">
        <f>uitkomst_doelgroep[[#This Row],[Investering (cash flow) (€)]]*uitkomst_doelgroep[[#This Row],[Percentage van patiëntaantallen in Wlz (overige is Zvw)]]</f>
        <v>0</v>
      </c>
    </row>
    <row r="1211" spans="1:22" x14ac:dyDescent="0.5">
      <c r="A1211" s="33" t="str">
        <f>INDEX(Technologieën[Veld],MATCH(B1211,Technologieën[Digitale zorgtoepassing],0))</f>
        <v>Sensoren - Verpleging</v>
      </c>
      <c r="B1211" s="33" t="s">
        <v>61</v>
      </c>
      <c r="C1211" s="33" t="s">
        <v>62</v>
      </c>
      <c r="D1211" s="427" cm="1">
        <f t="array" ref="D1211">INDEX(Berekening_patiëntaantal[Percentage van patiëntaantallen in Wlz (overige is Zvw)],MATCH(B1211,IF(Berekening_patiëntaantal[Doelgroep (zoeksleutel)]=C1211,Berekening_patiëntaantal[Digitale zorgtoepassing]),0))</f>
        <v>1</v>
      </c>
      <c r="E1211" s="33" t="str" cm="1">
        <f t="array" ref="E1211">INDEX(Berekening_patiëntaantal[Direct toepasbaar/extrapolatie/incidentie voor QALY],MATCH(B1211,IF(Berekening_patiëntaantal[Doelgroep (zoeksleutel)]=C1211,Berekening_patiëntaantal[Digitale zorgtoepassing]),0))</f>
        <v>Huidige toepassing</v>
      </c>
      <c r="F1211" s="33" t="s">
        <v>813</v>
      </c>
      <c r="G1211" s="33" t="str">
        <f>CONCATENATE(uitkomst_doelgroep[[#This Row],[Digitale zorgtoepassing]],"_",uitkomst_doelgroep[[#This Row],[Doelgroep]],"_",uitkomst_doelgroep[[#This Row],[Uitgangssituatie/effect beleid]])</f>
        <v>Slimme bedsensoren_Bewoners verzorgingshuis_Uitgangssituatie</v>
      </c>
      <c r="H1211" s="33">
        <v>2026</v>
      </c>
      <c r="I1211" s="32">
        <v>4</v>
      </c>
      <c r="J1211" s="406" cm="1">
        <f t="array" ref="J1211">INDEX(implementatie[[2023]:[2034]],MATCH(G1211, implementatie[Zoeksleutel],0),I1211)</f>
        <v>0.71990601886105599</v>
      </c>
      <c r="K1211" s="406" cm="1">
        <f t="array" ref="K1211">INDEX(implementatie[[2023]:[2034]],MATCH(G1211,implementatie[Zoeksleutel],0),I1211 + 1)</f>
        <v>0.80616443563130724</v>
      </c>
      <c r="L121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67887.137578597583</v>
      </c>
      <c r="M1211" s="398" cm="1">
        <f t="array" ref="M1211">J1211*INDEX(Berekening_impact[Totaal arbeidsbesparing (€/jaar)],MATCH(B1211,IF(Berekening_impact[Doelgroep]=C1211,Berekening_impact[Digitale zorgtoepassing]),0))</f>
        <v>36059244.857457332</v>
      </c>
      <c r="N1211" s="397" cm="1">
        <f t="array" ref="N1211">J1211*INDEX(Berekening_impact[Totaal arbeidsbesparing (FTE/jaar)],MATCH(B1211,IF(Berekening_impact[Doelgroep]=C1211,Berekening_impact[Digitale zorgtoepassing]),0))</f>
        <v>849.36984097470156</v>
      </c>
      <c r="O1211" s="398" cm="1">
        <f t="array" ref="O1211">J1211*INDEX(Berekening_impact[Overige kostenbesparing (totaal/jaar totaal potentieel)],MATCH(B1211,IF(Berekening_impact[Doelgroep]=C1211,Berekening_impact[Digitale zorgtoepassing]),0))</f>
        <v>31675666.835761126</v>
      </c>
      <c r="P1211" s="398" cm="1">
        <f t="array" ref="P1211">J1211*INDEX(Berekening_impact[Opbrengsten door QALY''s],MATCH(B1211,IF(Berekening_impact[Doelgroep]=C1211,Berekening_impact[Digitale zorgtoepassing]),0))</f>
        <v>0</v>
      </c>
      <c r="Q1211" s="398" cm="1">
        <f t="array" ref="Q1211">J1211*INDEX(Berekening_impact[Jaarlijkse kosten (totaal) - incl. schatting],MATCH(B1211,IF(Berekening_impact[Doelgroep]=C1211,Berekening_impact[Digitale zorgtoepassing]),0))</f>
        <v>32044364.771738507</v>
      </c>
      <c r="R1211" s="398" cm="1">
        <f t="array" ref="R1211">(uitkomst_doelgroep[[#This Row],[Implementatiegraad t = T + 1]]-uitkomst_doelgroep[[#This Row],[Implementatiegraad t = T]])*INDEX(Berekening_impact[Initiële investering (totaal) - incl. schatting],MATCH(B1211,IF(Berekening_impact[Doelgroep]=C1211,Berekening_impact[Digitale zorgtoepassing]),0))</f>
        <v>277303.55823300371</v>
      </c>
      <c r="S1211" s="398">
        <f>uitkomst_doelgroep[[#This Row],[Arbeidsbesparing (€)]]*uitkomst_doelgroep[[#This Row],[Percentage van patiëntaantallen in Wlz (overige is Zvw)]]</f>
        <v>36059244.857457332</v>
      </c>
      <c r="T1211" s="398">
        <f>uitkomst_doelgroep[[#This Row],[Overige besparingen (€)]]*uitkomst_doelgroep[[#This Row],[Percentage van patiëntaantallen in Wlz (overige is Zvw)]]</f>
        <v>31675666.835761126</v>
      </c>
      <c r="U1211" s="398">
        <f>uitkomst_doelgroep[[#This Row],[Kosten (€)]]*uitkomst_doelgroep[[#This Row],[Percentage van patiëntaantallen in Wlz (overige is Zvw)]]</f>
        <v>32044364.771738507</v>
      </c>
      <c r="V1211" s="398">
        <f>uitkomst_doelgroep[[#This Row],[Investering (cash flow) (€)]]*uitkomst_doelgroep[[#This Row],[Percentage van patiëntaantallen in Wlz (overige is Zvw)]]</f>
        <v>277303.55823300371</v>
      </c>
    </row>
    <row r="1212" spans="1:22" x14ac:dyDescent="0.5">
      <c r="A1212" s="33" t="str">
        <f>INDEX(Technologieën[Veld],MATCH(B1212,Technologieën[Digitale zorgtoepassing],0))</f>
        <v>Sensoren - Verpleging</v>
      </c>
      <c r="B1212" s="33" t="s">
        <v>61</v>
      </c>
      <c r="C1212" s="33" t="s">
        <v>385</v>
      </c>
      <c r="D1212" s="427" cm="1">
        <f t="array" ref="D1212">INDEX(Berekening_patiëntaantal[Percentage van patiëntaantallen in Wlz (overige is Zvw)],MATCH(B1212,IF(Berekening_patiëntaantal[Doelgroep (zoeksleutel)]=C1212,Berekening_patiëntaantal[Digitale zorgtoepassing]),0))</f>
        <v>0</v>
      </c>
      <c r="E1212" s="33" t="str" cm="1">
        <f t="array" ref="E1212">INDEX(Berekening_patiëntaantal[Direct toepasbaar/extrapolatie/incidentie voor QALY],MATCH(B1212,IF(Berekening_patiëntaantal[Doelgroep (zoeksleutel)]=C1212,Berekening_patiëntaantal[Digitale zorgtoepassing]),0))</f>
        <v>Extrapolatie</v>
      </c>
      <c r="F1212" s="33" t="s">
        <v>813</v>
      </c>
      <c r="G1212" s="33" t="str">
        <f>CONCATENATE(uitkomst_doelgroep[[#This Row],[Digitale zorgtoepassing]],"_",uitkomst_doelgroep[[#This Row],[Doelgroep]],"_",uitkomst_doelgroep[[#This Row],[Uitgangssituatie/effect beleid]])</f>
        <v>Slimme bedsensoren_Epilepsie Kinderen_Uitgangssituatie</v>
      </c>
      <c r="H1212" s="33">
        <v>2027</v>
      </c>
      <c r="I1212" s="32">
        <v>5</v>
      </c>
      <c r="J1212" s="406" cm="1">
        <f t="array" ref="J1212">INDEX(implementatie[[2023]:[2034]],MATCH(G1212, implementatie[Zoeksleutel],0),I1212)</f>
        <v>8.4566978560000006E-2</v>
      </c>
      <c r="K1212" s="406" cm="1">
        <f t="array" ref="K1212">INDEX(implementatie[[2023]:[2034]],MATCH(G1212,implementatie[Zoeksleutel],0),I1212 + 1)</f>
        <v>0.13384180086769301</v>
      </c>
      <c r="L121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1353.0716569600002</v>
      </c>
      <c r="M1212" s="398" cm="1">
        <f t="array" ref="M1212">J1212*INDEX(Berekening_impact[Totaal arbeidsbesparing (€/jaar)],MATCH(B1212,IF(Berekening_impact[Doelgroep]=C1212,Berekening_impact[Digitale zorgtoepassing]),0))</f>
        <v>718703.77700809331</v>
      </c>
      <c r="N1212" s="397" cm="1">
        <f t="array" ref="N1212">J1212*INDEX(Berekening_impact[Totaal arbeidsbesparing (FTE/jaar)],MATCH(B1212,IF(Berekening_impact[Doelgroep]=C1212,Berekening_impact[Digitale zorgtoepassing]),0))</f>
        <v>16.928954424818933</v>
      </c>
      <c r="O1212" s="398" cm="1">
        <f t="array" ref="O1212">J1212*INDEX(Berekening_impact[Overige kostenbesparing (totaal/jaar totaal potentieel)],MATCH(B1212,IF(Berekening_impact[Doelgroep]=C1212,Berekening_impact[Digitale zorgtoepassing]),0))</f>
        <v>631333.83641569689</v>
      </c>
      <c r="P1212" s="398" cm="1">
        <f t="array" ref="P1212">J1212*INDEX(Berekening_impact[Opbrengsten door QALY''s],MATCH(B1212,IF(Berekening_impact[Doelgroep]=C1212,Berekening_impact[Digitale zorgtoepassing]),0))</f>
        <v>0</v>
      </c>
      <c r="Q1212" s="398" cm="1">
        <f t="array" ref="Q1212">J1212*INDEX(Berekening_impact[Jaarlijkse kosten (totaal) - incl. schatting],MATCH(B1212,IF(Berekening_impact[Doelgroep]=C1212,Berekening_impact[Digitale zorgtoepassing]),0))</f>
        <v>638682.4262214324</v>
      </c>
      <c r="R1212" s="398" cm="1">
        <f t="array" ref="R1212">(uitkomst_doelgroep[[#This Row],[Implementatiegraad t = T + 1]]-uitkomst_doelgroep[[#This Row],[Implementatiegraad t = T]])*INDEX(Berekening_impact[Initiële investering (totaal) - incl. schatting],MATCH(B1212,IF(Berekening_impact[Doelgroep]=C1212,Berekening_impact[Digitale zorgtoepassing]),0))</f>
        <v>0</v>
      </c>
      <c r="S1212" s="398">
        <f>uitkomst_doelgroep[[#This Row],[Arbeidsbesparing (€)]]*uitkomst_doelgroep[[#This Row],[Percentage van patiëntaantallen in Wlz (overige is Zvw)]]</f>
        <v>0</v>
      </c>
      <c r="T1212" s="398">
        <f>uitkomst_doelgroep[[#This Row],[Overige besparingen (€)]]*uitkomst_doelgroep[[#This Row],[Percentage van patiëntaantallen in Wlz (overige is Zvw)]]</f>
        <v>0</v>
      </c>
      <c r="U1212" s="398">
        <f>uitkomst_doelgroep[[#This Row],[Kosten (€)]]*uitkomst_doelgroep[[#This Row],[Percentage van patiëntaantallen in Wlz (overige is Zvw)]]</f>
        <v>0</v>
      </c>
      <c r="V1212" s="398">
        <f>uitkomst_doelgroep[[#This Row],[Investering (cash flow) (€)]]*uitkomst_doelgroep[[#This Row],[Percentage van patiëntaantallen in Wlz (overige is Zvw)]]</f>
        <v>0</v>
      </c>
    </row>
    <row r="1213" spans="1:22" x14ac:dyDescent="0.5">
      <c r="A1213" s="33" t="str">
        <f>INDEX(Technologieën[Veld],MATCH(B1213,Technologieën[Digitale zorgtoepassing],0))</f>
        <v>Sensoren - Verpleging</v>
      </c>
      <c r="B1213" s="33" t="s">
        <v>61</v>
      </c>
      <c r="C1213" s="33" t="s">
        <v>62</v>
      </c>
      <c r="D1213" s="427" cm="1">
        <f t="array" ref="D1213">INDEX(Berekening_patiëntaantal[Percentage van patiëntaantallen in Wlz (overige is Zvw)],MATCH(B1213,IF(Berekening_patiëntaantal[Doelgroep (zoeksleutel)]=C1213,Berekening_patiëntaantal[Digitale zorgtoepassing]),0))</f>
        <v>1</v>
      </c>
      <c r="E1213" s="33" t="str" cm="1">
        <f t="array" ref="E1213">INDEX(Berekening_patiëntaantal[Direct toepasbaar/extrapolatie/incidentie voor QALY],MATCH(B1213,IF(Berekening_patiëntaantal[Doelgroep (zoeksleutel)]=C1213,Berekening_patiëntaantal[Digitale zorgtoepassing]),0))</f>
        <v>Huidige toepassing</v>
      </c>
      <c r="F1213" s="33" t="s">
        <v>813</v>
      </c>
      <c r="G1213" s="33" t="str">
        <f>CONCATENATE(uitkomst_doelgroep[[#This Row],[Digitale zorgtoepassing]],"_",uitkomst_doelgroep[[#This Row],[Doelgroep]],"_",uitkomst_doelgroep[[#This Row],[Uitgangssituatie/effect beleid]])</f>
        <v>Slimme bedsensoren_Bewoners verzorgingshuis_Uitgangssituatie</v>
      </c>
      <c r="H1213" s="33">
        <v>2027</v>
      </c>
      <c r="I1213" s="32">
        <v>5</v>
      </c>
      <c r="J1213" s="406" cm="1">
        <f t="array" ref="J1213">INDEX(implementatie[[2023]:[2034]],MATCH(G1213, implementatie[Zoeksleutel],0),I1213)</f>
        <v>0.80616443563130724</v>
      </c>
      <c r="K1213" s="406" cm="1">
        <f t="array" ref="K1213">INDEX(implementatie[[2023]:[2034]],MATCH(G1213,implementatie[Zoeksleutel],0),I1213 + 1)</f>
        <v>0.87254648226050635</v>
      </c>
      <c r="L121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76021.306280032266</v>
      </c>
      <c r="M1213" s="398" cm="1">
        <f t="array" ref="M1213">J1213*INDEX(Berekening_impact[Totaal arbeidsbesparing (€/jaar)],MATCH(B1213,IF(Berekening_impact[Doelgroep]=C1213,Berekening_impact[Digitale zorgtoepassing]),0))</f>
        <v>40379827.39162755</v>
      </c>
      <c r="N1213" s="397" cm="1">
        <f t="array" ref="N1213">J1213*INDEX(Berekening_impact[Totaal arbeidsbesparing (FTE/jaar)],MATCH(B1213,IF(Berekening_impact[Doelgroep]=C1213,Berekening_impact[Digitale zorgtoepassing]),0))</f>
        <v>951.14048299654337</v>
      </c>
      <c r="O1213" s="398" cm="1">
        <f t="array" ref="O1213">J1213*INDEX(Berekening_impact[Overige kostenbesparing (totaal/jaar totaal potentieel)],MATCH(B1213,IF(Berekening_impact[Doelgroep]=C1213,Berekening_impact[Digitale zorgtoepassing]),0))</f>
        <v>35471013.450194769</v>
      </c>
      <c r="P1213" s="398" cm="1">
        <f t="array" ref="P1213">J1213*INDEX(Berekening_impact[Opbrengsten door QALY''s],MATCH(B1213,IF(Berekening_impact[Doelgroep]=C1213,Berekening_impact[Digitale zorgtoepassing]),0))</f>
        <v>0</v>
      </c>
      <c r="Q1213" s="398" cm="1">
        <f t="array" ref="Q1213">J1213*INDEX(Berekening_impact[Jaarlijkse kosten (totaal) - incl. schatting],MATCH(B1213,IF(Berekening_impact[Doelgroep]=C1213,Berekening_impact[Digitale zorgtoepassing]),0))</f>
        <v>35883888.40288078</v>
      </c>
      <c r="R1213" s="398" cm="1">
        <f t="array" ref="R1213">(uitkomst_doelgroep[[#This Row],[Implementatiegraad t = T + 1]]-uitkomst_doelgroep[[#This Row],[Implementatiegraad t = T]])*INDEX(Berekening_impact[Initiële investering (totaal) - incl. schatting],MATCH(B1213,IF(Berekening_impact[Doelgroep]=C1213,Berekening_impact[Digitale zorgtoepassing]),0))</f>
        <v>213405.00350354926</v>
      </c>
      <c r="S1213" s="398">
        <f>uitkomst_doelgroep[[#This Row],[Arbeidsbesparing (€)]]*uitkomst_doelgroep[[#This Row],[Percentage van patiëntaantallen in Wlz (overige is Zvw)]]</f>
        <v>40379827.39162755</v>
      </c>
      <c r="T1213" s="398">
        <f>uitkomst_doelgroep[[#This Row],[Overige besparingen (€)]]*uitkomst_doelgroep[[#This Row],[Percentage van patiëntaantallen in Wlz (overige is Zvw)]]</f>
        <v>35471013.450194769</v>
      </c>
      <c r="U1213" s="398">
        <f>uitkomst_doelgroep[[#This Row],[Kosten (€)]]*uitkomst_doelgroep[[#This Row],[Percentage van patiëntaantallen in Wlz (overige is Zvw)]]</f>
        <v>35883888.40288078</v>
      </c>
      <c r="V1213" s="398">
        <f>uitkomst_doelgroep[[#This Row],[Investering (cash flow) (€)]]*uitkomst_doelgroep[[#This Row],[Percentage van patiëntaantallen in Wlz (overige is Zvw)]]</f>
        <v>213405.00350354926</v>
      </c>
    </row>
    <row r="1214" spans="1:22" x14ac:dyDescent="0.5">
      <c r="A1214" s="33" t="str">
        <f>INDEX(Technologieën[Veld],MATCH(B1214,Technologieën[Digitale zorgtoepassing],0))</f>
        <v>Sensoren - Verpleging</v>
      </c>
      <c r="B1214" s="33" t="s">
        <v>61</v>
      </c>
      <c r="C1214" s="33" t="s">
        <v>385</v>
      </c>
      <c r="D1214" s="427" cm="1">
        <f t="array" ref="D1214">INDEX(Berekening_patiëntaantal[Percentage van patiëntaantallen in Wlz (overige is Zvw)],MATCH(B1214,IF(Berekening_patiëntaantal[Doelgroep (zoeksleutel)]=C1214,Berekening_patiëntaantal[Digitale zorgtoepassing]),0))</f>
        <v>0</v>
      </c>
      <c r="E1214" s="33" t="str" cm="1">
        <f t="array" ref="E1214">INDEX(Berekening_patiëntaantal[Direct toepasbaar/extrapolatie/incidentie voor QALY],MATCH(B1214,IF(Berekening_patiëntaantal[Doelgroep (zoeksleutel)]=C1214,Berekening_patiëntaantal[Digitale zorgtoepassing]),0))</f>
        <v>Extrapolatie</v>
      </c>
      <c r="F1214" s="33" t="s">
        <v>813</v>
      </c>
      <c r="G1214" s="33" t="str">
        <f>CONCATENATE(uitkomst_doelgroep[[#This Row],[Digitale zorgtoepassing]],"_",uitkomst_doelgroep[[#This Row],[Doelgroep]],"_",uitkomst_doelgroep[[#This Row],[Uitgangssituatie/effect beleid]])</f>
        <v>Slimme bedsensoren_Epilepsie Kinderen_Uitgangssituatie</v>
      </c>
      <c r="H1214" s="33">
        <v>2028</v>
      </c>
      <c r="I1214" s="32">
        <v>6</v>
      </c>
      <c r="J1214" s="406" cm="1">
        <f t="array" ref="J1214">INDEX(implementatie[[2023]:[2034]],MATCH(G1214, implementatie[Zoeksleutel],0),I1214)</f>
        <v>0.13384180086769301</v>
      </c>
      <c r="K1214" s="406" cm="1">
        <f t="array" ref="K1214">INDEX(implementatie[[2023]:[2034]],MATCH(G1214,implementatie[Zoeksleutel],0),I1214 + 1)</f>
        <v>0.19753623413361349</v>
      </c>
      <c r="L121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2141.4688138830884</v>
      </c>
      <c r="M1214" s="398" cm="1">
        <f t="array" ref="M1214">J1214*INDEX(Berekening_impact[Totaal arbeidsbesparing (€/jaar)],MATCH(B1214,IF(Berekening_impact[Doelgroep]=C1214,Berekening_impact[Digitale zorgtoepassing]),0))</f>
        <v>1137472.4442463994</v>
      </c>
      <c r="N1214" s="397" cm="1">
        <f t="array" ref="N1214">J1214*INDEX(Berekening_impact[Totaal arbeidsbesparing (FTE/jaar)],MATCH(B1214,IF(Berekening_impact[Doelgroep]=C1214,Berekening_impact[Digitale zorgtoepassing]),0))</f>
        <v>26.792984514839759</v>
      </c>
      <c r="O1214" s="398" cm="1">
        <f t="array" ref="O1214">J1214*INDEX(Berekening_impact[Overige kostenbesparing (totaal/jaar totaal potentieel)],MATCH(B1214,IF(Berekening_impact[Doelgroep]=C1214,Berekening_impact[Digitale zorgtoepassing]),0))</f>
        <v>999194.4734626495</v>
      </c>
      <c r="P1214" s="398" cm="1">
        <f t="array" ref="P1214">J1214*INDEX(Berekening_impact[Opbrengsten door QALY''s],MATCH(B1214,IF(Berekening_impact[Doelgroep]=C1214,Berekening_impact[Digitale zorgtoepassing]),0))</f>
        <v>0</v>
      </c>
      <c r="Q1214" s="398" cm="1">
        <f t="array" ref="Q1214">J1214*INDEX(Berekening_impact[Jaarlijkse kosten (totaal) - incl. schatting],MATCH(B1214,IF(Berekening_impact[Doelgroep]=C1214,Berekening_impact[Digitale zorgtoepassing]),0))</f>
        <v>1010824.8818109835</v>
      </c>
      <c r="R1214" s="398" cm="1">
        <f t="array" ref="R1214">(uitkomst_doelgroep[[#This Row],[Implementatiegraad t = T + 1]]-uitkomst_doelgroep[[#This Row],[Implementatiegraad t = T]])*INDEX(Berekening_impact[Initiële investering (totaal) - incl. schatting],MATCH(B1214,IF(Berekening_impact[Doelgroep]=C1214,Berekening_impact[Digitale zorgtoepassing]),0))</f>
        <v>0</v>
      </c>
      <c r="S1214" s="398">
        <f>uitkomst_doelgroep[[#This Row],[Arbeidsbesparing (€)]]*uitkomst_doelgroep[[#This Row],[Percentage van patiëntaantallen in Wlz (overige is Zvw)]]</f>
        <v>0</v>
      </c>
      <c r="T1214" s="398">
        <f>uitkomst_doelgroep[[#This Row],[Overige besparingen (€)]]*uitkomst_doelgroep[[#This Row],[Percentage van patiëntaantallen in Wlz (overige is Zvw)]]</f>
        <v>0</v>
      </c>
      <c r="U1214" s="398">
        <f>uitkomst_doelgroep[[#This Row],[Kosten (€)]]*uitkomst_doelgroep[[#This Row],[Percentage van patiëntaantallen in Wlz (overige is Zvw)]]</f>
        <v>0</v>
      </c>
      <c r="V1214" s="398">
        <f>uitkomst_doelgroep[[#This Row],[Investering (cash flow) (€)]]*uitkomst_doelgroep[[#This Row],[Percentage van patiëntaantallen in Wlz (overige is Zvw)]]</f>
        <v>0</v>
      </c>
    </row>
    <row r="1215" spans="1:22" x14ac:dyDescent="0.5">
      <c r="A1215" s="33" t="str">
        <f>INDEX(Technologieën[Veld],MATCH(B1215,Technologieën[Digitale zorgtoepassing],0))</f>
        <v>Sensoren - Verpleging</v>
      </c>
      <c r="B1215" s="33" t="s">
        <v>61</v>
      </c>
      <c r="C1215" s="33" t="s">
        <v>62</v>
      </c>
      <c r="D1215" s="427" cm="1">
        <f t="array" ref="D1215">INDEX(Berekening_patiëntaantal[Percentage van patiëntaantallen in Wlz (overige is Zvw)],MATCH(B1215,IF(Berekening_patiëntaantal[Doelgroep (zoeksleutel)]=C1215,Berekening_patiëntaantal[Digitale zorgtoepassing]),0))</f>
        <v>1</v>
      </c>
      <c r="E1215" s="33" t="str" cm="1">
        <f t="array" ref="E1215">INDEX(Berekening_patiëntaantal[Direct toepasbaar/extrapolatie/incidentie voor QALY],MATCH(B1215,IF(Berekening_patiëntaantal[Doelgroep (zoeksleutel)]=C1215,Berekening_patiëntaantal[Digitale zorgtoepassing]),0))</f>
        <v>Huidige toepassing</v>
      </c>
      <c r="F1215" s="33" t="s">
        <v>813</v>
      </c>
      <c r="G1215" s="33" t="str">
        <f>CONCATENATE(uitkomst_doelgroep[[#This Row],[Digitale zorgtoepassing]],"_",uitkomst_doelgroep[[#This Row],[Doelgroep]],"_",uitkomst_doelgroep[[#This Row],[Uitgangssituatie/effect beleid]])</f>
        <v>Slimme bedsensoren_Bewoners verzorgingshuis_Uitgangssituatie</v>
      </c>
      <c r="H1215" s="33">
        <v>2028</v>
      </c>
      <c r="I1215" s="32">
        <v>6</v>
      </c>
      <c r="J1215" s="406" cm="1">
        <f t="array" ref="J1215">INDEX(implementatie[[2023]:[2034]],MATCH(G1215, implementatie[Zoeksleutel],0),I1215)</f>
        <v>0.87254648226050635</v>
      </c>
      <c r="K1215" s="406" cm="1">
        <f t="array" ref="K1215">INDEX(implementatie[[2023]:[2034]],MATCH(G1215,implementatie[Zoeksleutel],0),I1215 + 1)</f>
        <v>0.9195792000374251</v>
      </c>
      <c r="L121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82281.133277165747</v>
      </c>
      <c r="M1215" s="398" cm="1">
        <f t="array" ref="M1215">J1215*INDEX(Berekening_impact[Totaal arbeidsbesparing (€/jaar)],MATCH(B1215,IF(Berekening_impact[Doelgroep]=C1215,Berekening_impact[Digitale zorgtoepassing]),0))</f>
        <v>43704825.948145285</v>
      </c>
      <c r="N1215" s="397" cm="1">
        <f t="array" ref="N1215">J1215*INDEX(Berekening_impact[Totaal arbeidsbesparing (FTE/jaar)],MATCH(B1215,IF(Berekening_impact[Doelgroep]=C1215,Berekening_impact[Digitale zorgtoepassing]),0))</f>
        <v>1029.4603010169844</v>
      </c>
      <c r="O1215" s="398" cm="1">
        <f t="array" ref="O1215">J1215*INDEX(Berekening_impact[Overige kostenbesparing (totaal/jaar totaal potentieel)],MATCH(B1215,IF(Berekening_impact[Doelgroep]=C1215,Berekening_impact[Digitale zorgtoepassing]),0))</f>
        <v>38391805.244975269</v>
      </c>
      <c r="P1215" s="398" cm="1">
        <f t="array" ref="P1215">J1215*INDEX(Berekening_impact[Opbrengsten door QALY''s],MATCH(B1215,IF(Berekening_impact[Doelgroep]=C1215,Berekening_impact[Digitale zorgtoepassing]),0))</f>
        <v>0</v>
      </c>
      <c r="Q1215" s="398" cm="1">
        <f t="array" ref="Q1215">J1215*INDEX(Berekening_impact[Jaarlijkse kosten (totaal) - incl. schatting],MATCH(B1215,IF(Berekening_impact[Doelgroep]=C1215,Berekening_impact[Digitale zorgtoepassing]),0))</f>
        <v>38838677.584732533</v>
      </c>
      <c r="R1215" s="398" cm="1">
        <f t="array" ref="R1215">(uitkomst_doelgroep[[#This Row],[Implementatiegraad t = T + 1]]-uitkomst_doelgroep[[#This Row],[Implementatiegraad t = T]])*INDEX(Berekening_impact[Initiële investering (totaal) - incl. schatting],MATCH(B1215,IF(Berekening_impact[Doelgroep]=C1215,Berekening_impact[Digitale zorgtoepassing]),0))</f>
        <v>151200.78110923839</v>
      </c>
      <c r="S1215" s="398">
        <f>uitkomst_doelgroep[[#This Row],[Arbeidsbesparing (€)]]*uitkomst_doelgroep[[#This Row],[Percentage van patiëntaantallen in Wlz (overige is Zvw)]]</f>
        <v>43704825.948145285</v>
      </c>
      <c r="T1215" s="398">
        <f>uitkomst_doelgroep[[#This Row],[Overige besparingen (€)]]*uitkomst_doelgroep[[#This Row],[Percentage van patiëntaantallen in Wlz (overige is Zvw)]]</f>
        <v>38391805.244975269</v>
      </c>
      <c r="U1215" s="398">
        <f>uitkomst_doelgroep[[#This Row],[Kosten (€)]]*uitkomst_doelgroep[[#This Row],[Percentage van patiëntaantallen in Wlz (overige is Zvw)]]</f>
        <v>38838677.584732533</v>
      </c>
      <c r="V1215" s="398">
        <f>uitkomst_doelgroep[[#This Row],[Investering (cash flow) (€)]]*uitkomst_doelgroep[[#This Row],[Percentage van patiëntaantallen in Wlz (overige is Zvw)]]</f>
        <v>151200.78110923839</v>
      </c>
    </row>
    <row r="1216" spans="1:22" x14ac:dyDescent="0.5">
      <c r="A1216" s="33" t="str">
        <f>INDEX(Technologieën[Veld],MATCH(B1216,Technologieën[Digitale zorgtoepassing],0))</f>
        <v>Sensoren - Verpleging</v>
      </c>
      <c r="B1216" s="33" t="s">
        <v>61</v>
      </c>
      <c r="C1216" s="33" t="s">
        <v>385</v>
      </c>
      <c r="D1216" s="427" cm="1">
        <f t="array" ref="D1216">INDEX(Berekening_patiëntaantal[Percentage van patiëntaantallen in Wlz (overige is Zvw)],MATCH(B1216,IF(Berekening_patiëntaantal[Doelgroep (zoeksleutel)]=C1216,Berekening_patiëntaantal[Digitale zorgtoepassing]),0))</f>
        <v>0</v>
      </c>
      <c r="E1216" s="33" t="str" cm="1">
        <f t="array" ref="E1216">INDEX(Berekening_patiëntaantal[Direct toepasbaar/extrapolatie/incidentie voor QALY],MATCH(B1216,IF(Berekening_patiëntaantal[Doelgroep (zoeksleutel)]=C1216,Berekening_patiëntaantal[Digitale zorgtoepassing]),0))</f>
        <v>Extrapolatie</v>
      </c>
      <c r="F1216" s="33" t="s">
        <v>813</v>
      </c>
      <c r="G1216" s="33" t="str">
        <f>CONCATENATE(uitkomst_doelgroep[[#This Row],[Digitale zorgtoepassing]],"_",uitkomst_doelgroep[[#This Row],[Doelgroep]],"_",uitkomst_doelgroep[[#This Row],[Uitgangssituatie/effect beleid]])</f>
        <v>Slimme bedsensoren_Epilepsie Kinderen_Uitgangssituatie</v>
      </c>
      <c r="H1216" s="33">
        <v>2029</v>
      </c>
      <c r="I1216" s="32">
        <v>7</v>
      </c>
      <c r="J1216" s="406" cm="1">
        <f t="array" ref="J1216">INDEX(implementatie[[2023]:[2034]],MATCH(G1216, implementatie[Zoeksleutel],0),I1216)</f>
        <v>0.19753623413361349</v>
      </c>
      <c r="K1216" s="406" cm="1">
        <f t="array" ref="K1216">INDEX(implementatie[[2023]:[2034]],MATCH(G1216,implementatie[Zoeksleutel],0),I1216 + 1)</f>
        <v>0.27699177758611071</v>
      </c>
      <c r="L121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3160.5797461378156</v>
      </c>
      <c r="M1216" s="398" cm="1">
        <f t="array" ref="M1216">J1216*INDEX(Berekening_impact[Totaal arbeidsbesparing (€/jaar)],MATCH(B1216,IF(Berekening_impact[Doelgroep]=C1216,Berekening_impact[Digitale zorgtoepassing]),0))</f>
        <v>1678788.1036456299</v>
      </c>
      <c r="N1216" s="397" cm="1">
        <f t="array" ref="N1216">J1216*INDEX(Berekening_impact[Totaal arbeidsbesparing (FTE/jaar)],MATCH(B1216,IF(Berekening_impact[Doelgroep]=C1216,Berekening_impact[Digitale zorgtoepassing]),0))</f>
        <v>39.543589730188707</v>
      </c>
      <c r="O1216" s="398" cm="1">
        <f t="array" ref="O1216">J1216*INDEX(Berekening_impact[Overige kostenbesparing (totaal/jaar totaal potentieel)],MATCH(B1216,IF(Berekening_impact[Doelgroep]=C1216,Berekening_impact[Digitale zorgtoepassing]),0))</f>
        <v>1474704.5554926766</v>
      </c>
      <c r="P1216" s="398" cm="1">
        <f t="array" ref="P1216">J1216*INDEX(Berekening_impact[Opbrengsten door QALY''s],MATCH(B1216,IF(Berekening_impact[Doelgroep]=C1216,Berekening_impact[Digitale zorgtoepassing]),0))</f>
        <v>0</v>
      </c>
      <c r="Q1216" s="398" cm="1">
        <f t="array" ref="Q1216">J1216*INDEX(Berekening_impact[Jaarlijkse kosten (totaal) - incl. schatting],MATCH(B1216,IF(Berekening_impact[Doelgroep]=C1216,Berekening_impact[Digitale zorgtoepassing]),0))</f>
        <v>1491869.7987251489</v>
      </c>
      <c r="R1216" s="398" cm="1">
        <f t="array" ref="R1216">(uitkomst_doelgroep[[#This Row],[Implementatiegraad t = T + 1]]-uitkomst_doelgroep[[#This Row],[Implementatiegraad t = T]])*INDEX(Berekening_impact[Initiële investering (totaal) - incl. schatting],MATCH(B1216,IF(Berekening_impact[Doelgroep]=C1216,Berekening_impact[Digitale zorgtoepassing]),0))</f>
        <v>0</v>
      </c>
      <c r="S1216" s="398">
        <f>uitkomst_doelgroep[[#This Row],[Arbeidsbesparing (€)]]*uitkomst_doelgroep[[#This Row],[Percentage van patiëntaantallen in Wlz (overige is Zvw)]]</f>
        <v>0</v>
      </c>
      <c r="T1216" s="398">
        <f>uitkomst_doelgroep[[#This Row],[Overige besparingen (€)]]*uitkomst_doelgroep[[#This Row],[Percentage van patiëntaantallen in Wlz (overige is Zvw)]]</f>
        <v>0</v>
      </c>
      <c r="U1216" s="398">
        <f>uitkomst_doelgroep[[#This Row],[Kosten (€)]]*uitkomst_doelgroep[[#This Row],[Percentage van patiëntaantallen in Wlz (overige is Zvw)]]</f>
        <v>0</v>
      </c>
      <c r="V1216" s="398">
        <f>uitkomst_doelgroep[[#This Row],[Investering (cash flow) (€)]]*uitkomst_doelgroep[[#This Row],[Percentage van patiëntaantallen in Wlz (overige is Zvw)]]</f>
        <v>0</v>
      </c>
    </row>
    <row r="1217" spans="1:22" x14ac:dyDescent="0.5">
      <c r="A1217" s="33" t="str">
        <f>INDEX(Technologieën[Veld],MATCH(B1217,Technologieën[Digitale zorgtoepassing],0))</f>
        <v>Sensoren - Verpleging</v>
      </c>
      <c r="B1217" s="33" t="s">
        <v>61</v>
      </c>
      <c r="C1217" s="33" t="s">
        <v>62</v>
      </c>
      <c r="D1217" s="427" cm="1">
        <f t="array" ref="D1217">INDEX(Berekening_patiëntaantal[Percentage van patiëntaantallen in Wlz (overige is Zvw)],MATCH(B1217,IF(Berekening_patiëntaantal[Doelgroep (zoeksleutel)]=C1217,Berekening_patiëntaantal[Digitale zorgtoepassing]),0))</f>
        <v>1</v>
      </c>
      <c r="E1217" s="33" t="str" cm="1">
        <f t="array" ref="E1217">INDEX(Berekening_patiëntaantal[Direct toepasbaar/extrapolatie/incidentie voor QALY],MATCH(B1217,IF(Berekening_patiëntaantal[Doelgroep (zoeksleutel)]=C1217,Berekening_patiëntaantal[Digitale zorgtoepassing]),0))</f>
        <v>Huidige toepassing</v>
      </c>
      <c r="F1217" s="33" t="s">
        <v>813</v>
      </c>
      <c r="G1217" s="33" t="str">
        <f>CONCATENATE(uitkomst_doelgroep[[#This Row],[Digitale zorgtoepassing]],"_",uitkomst_doelgroep[[#This Row],[Doelgroep]],"_",uitkomst_doelgroep[[#This Row],[Uitgangssituatie/effect beleid]])</f>
        <v>Slimme bedsensoren_Bewoners verzorgingshuis_Uitgangssituatie</v>
      </c>
      <c r="H1217" s="33">
        <v>2029</v>
      </c>
      <c r="I1217" s="32">
        <v>7</v>
      </c>
      <c r="J1217" s="406" cm="1">
        <f t="array" ref="J1217">INDEX(implementatie[[2023]:[2034]],MATCH(G1217, implementatie[Zoeksleutel],0),I1217)</f>
        <v>0.9195792000374251</v>
      </c>
      <c r="K1217" s="406" cm="1">
        <f t="array" ref="K1217">INDEX(implementatie[[2023]:[2034]],MATCH(G1217,implementatie[Zoeksleutel],0),I1217 + 1)</f>
        <v>0.95076893399505846</v>
      </c>
      <c r="L121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86716.318563529188</v>
      </c>
      <c r="M1217" s="398" cm="1">
        <f t="array" ref="M1217">J1217*INDEX(Berekening_impact[Totaal arbeidsbesparing (€/jaar)],MATCH(B1217,IF(Berekening_impact[Doelgroep]=C1217,Berekening_impact[Digitale zorgtoepassing]),0))</f>
        <v>46060639.404619426</v>
      </c>
      <c r="N1217" s="397" cm="1">
        <f t="array" ref="N1217">J1217*INDEX(Berekening_impact[Totaal arbeidsbesparing (FTE/jaar)],MATCH(B1217,IF(Berekening_impact[Doelgroep]=C1217,Berekening_impact[Digitale zorgtoepassing]),0))</f>
        <v>1084.9511164459072</v>
      </c>
      <c r="O1217" s="398" cm="1">
        <f t="array" ref="O1217">J1217*INDEX(Berekening_impact[Overige kostenbesparing (totaal/jaar totaal potentieel)],MATCH(B1217,IF(Berekening_impact[Doelgroep]=C1217,Berekening_impact[Digitale zorgtoepassing]),0))</f>
        <v>40461231.891857624</v>
      </c>
      <c r="P1217" s="398" cm="1">
        <f t="array" ref="P1217">J1217*INDEX(Berekening_impact[Opbrengsten door QALY''s],MATCH(B1217,IF(Berekening_impact[Doelgroep]=C1217,Berekening_impact[Digitale zorgtoepassing]),0))</f>
        <v>0</v>
      </c>
      <c r="Q1217" s="398" cm="1">
        <f t="array" ref="Q1217">J1217*INDEX(Berekening_impact[Jaarlijkse kosten (totaal) - incl. schatting],MATCH(B1217,IF(Berekening_impact[Doelgroep]=C1217,Berekening_impact[Digitale zorgtoepassing]),0))</f>
        <v>40932191.911830686</v>
      </c>
      <c r="R1217" s="398" cm="1">
        <f t="array" ref="R1217">(uitkomst_doelgroep[[#This Row],[Implementatiegraad t = T + 1]]-uitkomst_doelgroep[[#This Row],[Implementatiegraad t = T]])*INDEX(Berekening_impact[Initiële investering (totaal) - incl. schatting],MATCH(B1217,IF(Berekening_impact[Doelgroep]=C1217,Berekening_impact[Digitale zorgtoepassing]),0))</f>
        <v>100268.75672699971</v>
      </c>
      <c r="S1217" s="398">
        <f>uitkomst_doelgroep[[#This Row],[Arbeidsbesparing (€)]]*uitkomst_doelgroep[[#This Row],[Percentage van patiëntaantallen in Wlz (overige is Zvw)]]</f>
        <v>46060639.404619426</v>
      </c>
      <c r="T1217" s="398">
        <f>uitkomst_doelgroep[[#This Row],[Overige besparingen (€)]]*uitkomst_doelgroep[[#This Row],[Percentage van patiëntaantallen in Wlz (overige is Zvw)]]</f>
        <v>40461231.891857624</v>
      </c>
      <c r="U1217" s="398">
        <f>uitkomst_doelgroep[[#This Row],[Kosten (€)]]*uitkomst_doelgroep[[#This Row],[Percentage van patiëntaantallen in Wlz (overige is Zvw)]]</f>
        <v>40932191.911830686</v>
      </c>
      <c r="V1217" s="398">
        <f>uitkomst_doelgroep[[#This Row],[Investering (cash flow) (€)]]*uitkomst_doelgroep[[#This Row],[Percentage van patiëntaantallen in Wlz (overige is Zvw)]]</f>
        <v>100268.75672699971</v>
      </c>
    </row>
    <row r="1218" spans="1:22" x14ac:dyDescent="0.5">
      <c r="A1218" s="33" t="str">
        <f>INDEX(Technologieën[Veld],MATCH(B1218,Technologieën[Digitale zorgtoepassing],0))</f>
        <v>Sensoren - Verpleging</v>
      </c>
      <c r="B1218" s="33" t="s">
        <v>61</v>
      </c>
      <c r="C1218" s="33" t="s">
        <v>385</v>
      </c>
      <c r="D1218" s="427" cm="1">
        <f t="array" ref="D1218">INDEX(Berekening_patiëntaantal[Percentage van patiëntaantallen in Wlz (overige is Zvw)],MATCH(B1218,IF(Berekening_patiëntaantal[Doelgroep (zoeksleutel)]=C1218,Berekening_patiëntaantal[Digitale zorgtoepassing]),0))</f>
        <v>0</v>
      </c>
      <c r="E1218" s="33" t="str" cm="1">
        <f t="array" ref="E1218">INDEX(Berekening_patiëntaantal[Direct toepasbaar/extrapolatie/incidentie voor QALY],MATCH(B1218,IF(Berekening_patiëntaantal[Doelgroep (zoeksleutel)]=C1218,Berekening_patiëntaantal[Digitale zorgtoepassing]),0))</f>
        <v>Extrapolatie</v>
      </c>
      <c r="F1218" s="33" t="s">
        <v>813</v>
      </c>
      <c r="G1218" s="33" t="str">
        <f>CONCATENATE(uitkomst_doelgroep[[#This Row],[Digitale zorgtoepassing]],"_",uitkomst_doelgroep[[#This Row],[Doelgroep]],"_",uitkomst_doelgroep[[#This Row],[Uitgangssituatie/effect beleid]])</f>
        <v>Slimme bedsensoren_Epilepsie Kinderen_Uitgangssituatie</v>
      </c>
      <c r="H1218" s="33">
        <v>2030</v>
      </c>
      <c r="I1218" s="32">
        <v>8</v>
      </c>
      <c r="J1218" s="406" cm="1">
        <f t="array" ref="J1218">INDEX(implementatie[[2023]:[2034]],MATCH(G1218, implementatie[Zoeksleutel],0),I1218)</f>
        <v>0.27699177758611071</v>
      </c>
      <c r="K1218" s="406" cm="1">
        <f t="array" ref="K1218">INDEX(implementatie[[2023]:[2034]],MATCH(G1218,implementatie[Zoeksleutel],0),I1218 + 1)</f>
        <v>0.37155887512870744</v>
      </c>
      <c r="L121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4431.868441377771</v>
      </c>
      <c r="M1218" s="398" cm="1">
        <f t="array" ref="M1218">J1218*INDEX(Berekening_impact[Totaal arbeidsbesparing (€/jaar)],MATCH(B1218,IF(Berekening_impact[Doelgroep]=C1218,Berekening_impact[Digitale zorgtoepassing]),0))</f>
        <v>2354051.6658057068</v>
      </c>
      <c r="N1218" s="397" cm="1">
        <f t="array" ref="N1218">J1218*INDEX(Berekening_impact[Totaal arbeidsbesparing (FTE/jaar)],MATCH(B1218,IF(Berekening_impact[Doelgroep]=C1218,Berekening_impact[Digitale zorgtoepassing]),0))</f>
        <v>55.449316726834354</v>
      </c>
      <c r="O1218" s="398" cm="1">
        <f t="array" ref="O1218">J1218*INDEX(Berekening_impact[Overige kostenbesparing (totaal/jaar totaal potentieel)],MATCH(B1218,IF(Berekening_impact[Doelgroep]=C1218,Berekening_impact[Digitale zorgtoepassing]),0))</f>
        <v>2067879.0300515459</v>
      </c>
      <c r="P1218" s="398" cm="1">
        <f t="array" ref="P1218">J1218*INDEX(Berekening_impact[Opbrengsten door QALY''s],MATCH(B1218,IF(Berekening_impact[Doelgroep]=C1218,Berekening_impact[Digitale zorgtoepassing]),0))</f>
        <v>0</v>
      </c>
      <c r="Q1218" s="398" cm="1">
        <f t="array" ref="Q1218">J1218*INDEX(Berekening_impact[Jaarlijkse kosten (totaal) - incl. schatting],MATCH(B1218,IF(Berekening_impact[Doelgroep]=C1218,Berekening_impact[Digitale zorgtoepassing]),0))</f>
        <v>2091948.6963409437</v>
      </c>
      <c r="R1218" s="398" cm="1">
        <f t="array" ref="R1218">(uitkomst_doelgroep[[#This Row],[Implementatiegraad t = T + 1]]-uitkomst_doelgroep[[#This Row],[Implementatiegraad t = T]])*INDEX(Berekening_impact[Initiële investering (totaal) - incl. schatting],MATCH(B1218,IF(Berekening_impact[Doelgroep]=C1218,Berekening_impact[Digitale zorgtoepassing]),0))</f>
        <v>0</v>
      </c>
      <c r="S1218" s="398">
        <f>uitkomst_doelgroep[[#This Row],[Arbeidsbesparing (€)]]*uitkomst_doelgroep[[#This Row],[Percentage van patiëntaantallen in Wlz (overige is Zvw)]]</f>
        <v>0</v>
      </c>
      <c r="T1218" s="398">
        <f>uitkomst_doelgroep[[#This Row],[Overige besparingen (€)]]*uitkomst_doelgroep[[#This Row],[Percentage van patiëntaantallen in Wlz (overige is Zvw)]]</f>
        <v>0</v>
      </c>
      <c r="U1218" s="398">
        <f>uitkomst_doelgroep[[#This Row],[Kosten (€)]]*uitkomst_doelgroep[[#This Row],[Percentage van patiëntaantallen in Wlz (overige is Zvw)]]</f>
        <v>0</v>
      </c>
      <c r="V1218" s="398">
        <f>uitkomst_doelgroep[[#This Row],[Investering (cash flow) (€)]]*uitkomst_doelgroep[[#This Row],[Percentage van patiëntaantallen in Wlz (overige is Zvw)]]</f>
        <v>0</v>
      </c>
    </row>
    <row r="1219" spans="1:22" x14ac:dyDescent="0.5">
      <c r="A1219" s="33" t="str">
        <f>INDEX(Technologieën[Veld],MATCH(B1219,Technologieën[Digitale zorgtoepassing],0))</f>
        <v>Sensoren - Verpleging</v>
      </c>
      <c r="B1219" s="33" t="s">
        <v>61</v>
      </c>
      <c r="C1219" s="33" t="s">
        <v>62</v>
      </c>
      <c r="D1219" s="427" cm="1">
        <f t="array" ref="D1219">INDEX(Berekening_patiëntaantal[Percentage van patiëntaantallen in Wlz (overige is Zvw)],MATCH(B1219,IF(Berekening_patiëntaantal[Doelgroep (zoeksleutel)]=C1219,Berekening_patiëntaantal[Digitale zorgtoepassing]),0))</f>
        <v>1</v>
      </c>
      <c r="E1219" s="33" t="str" cm="1">
        <f t="array" ref="E1219">INDEX(Berekening_patiëntaantal[Direct toepasbaar/extrapolatie/incidentie voor QALY],MATCH(B1219,IF(Berekening_patiëntaantal[Doelgroep (zoeksleutel)]=C1219,Berekening_patiëntaantal[Digitale zorgtoepassing]),0))</f>
        <v>Huidige toepassing</v>
      </c>
      <c r="F1219" s="33" t="s">
        <v>813</v>
      </c>
      <c r="G1219" s="33" t="str">
        <f>CONCATENATE(uitkomst_doelgroep[[#This Row],[Digitale zorgtoepassing]],"_",uitkomst_doelgroep[[#This Row],[Doelgroep]],"_",uitkomst_doelgroep[[#This Row],[Uitgangssituatie/effect beleid]])</f>
        <v>Slimme bedsensoren_Bewoners verzorgingshuis_Uitgangssituatie</v>
      </c>
      <c r="H1219" s="33">
        <v>2030</v>
      </c>
      <c r="I1219" s="32">
        <v>8</v>
      </c>
      <c r="J1219" s="406" cm="1">
        <f t="array" ref="J1219">INDEX(implementatie[[2023]:[2034]],MATCH(G1219, implementatie[Zoeksleutel],0),I1219)</f>
        <v>0.95076893399505846</v>
      </c>
      <c r="K1219" s="406" cm="1">
        <f t="array" ref="K1219">INDEX(implementatie[[2023]:[2034]],MATCH(G1219,implementatie[Zoeksleutel],0),I1219 + 1)</f>
        <v>0.97047650257314066</v>
      </c>
      <c r="L121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89657.510475734016</v>
      </c>
      <c r="M1219" s="398" cm="1">
        <f t="array" ref="M1219">J1219*INDEX(Berekening_impact[Totaal arbeidsbesparing (€/jaar)],MATCH(B1219,IF(Berekening_impact[Doelgroep]=C1219,Berekening_impact[Digitale zorgtoepassing]),0))</f>
        <v>47622896.455333598</v>
      </c>
      <c r="N1219" s="397" cm="1">
        <f t="array" ref="N1219">J1219*INDEX(Berekening_impact[Totaal arbeidsbesparing (FTE/jaar)],MATCH(B1219,IF(Berekening_impact[Doelgroep]=C1219,Berekening_impact[Digitale zorgtoepassing]),0))</f>
        <v>1121.7498355530902</v>
      </c>
      <c r="O1219" s="398" cm="1">
        <f t="array" ref="O1219">J1219*INDEX(Berekening_impact[Overige kostenbesparing (totaal/jaar totaal potentieel)],MATCH(B1219,IF(Berekening_impact[Doelgroep]=C1219,Berekening_impact[Digitale zorgtoepassing]),0))</f>
        <v>41833571.607951447</v>
      </c>
      <c r="P1219" s="398" cm="1">
        <f t="array" ref="P1219">J1219*INDEX(Berekening_impact[Opbrengsten door QALY''s],MATCH(B1219,IF(Berekening_impact[Doelgroep]=C1219,Berekening_impact[Digitale zorgtoepassing]),0))</f>
        <v>0</v>
      </c>
      <c r="Q1219" s="398" cm="1">
        <f t="array" ref="Q1219">J1219*INDEX(Berekening_impact[Jaarlijkse kosten (totaal) - incl. schatting],MATCH(B1219,IF(Berekening_impact[Doelgroep]=C1219,Berekening_impact[Digitale zorgtoepassing]),0))</f>
        <v>42320505.366485633</v>
      </c>
      <c r="R1219" s="398" cm="1">
        <f t="array" ref="R1219">(uitkomst_doelgroep[[#This Row],[Implementatiegraad t = T + 1]]-uitkomst_doelgroep[[#This Row],[Implementatiegraad t = T]])*INDEX(Berekening_impact[Initiële investering (totaal) - incl. schatting],MATCH(B1219,IF(Berekening_impact[Doelgroep]=C1219,Berekening_impact[Digitale zorgtoepassing]),0))</f>
        <v>63355.891464818655</v>
      </c>
      <c r="S1219" s="398">
        <f>uitkomst_doelgroep[[#This Row],[Arbeidsbesparing (€)]]*uitkomst_doelgroep[[#This Row],[Percentage van patiëntaantallen in Wlz (overige is Zvw)]]</f>
        <v>47622896.455333598</v>
      </c>
      <c r="T1219" s="398">
        <f>uitkomst_doelgroep[[#This Row],[Overige besparingen (€)]]*uitkomst_doelgroep[[#This Row],[Percentage van patiëntaantallen in Wlz (overige is Zvw)]]</f>
        <v>41833571.607951447</v>
      </c>
      <c r="U1219" s="398">
        <f>uitkomst_doelgroep[[#This Row],[Kosten (€)]]*uitkomst_doelgroep[[#This Row],[Percentage van patiëntaantallen in Wlz (overige is Zvw)]]</f>
        <v>42320505.366485633</v>
      </c>
      <c r="V1219" s="398">
        <f>uitkomst_doelgroep[[#This Row],[Investering (cash flow) (€)]]*uitkomst_doelgroep[[#This Row],[Percentage van patiëntaantallen in Wlz (overige is Zvw)]]</f>
        <v>63355.891464818655</v>
      </c>
    </row>
    <row r="1220" spans="1:22" x14ac:dyDescent="0.5">
      <c r="A1220" s="33" t="str">
        <f>INDEX(Technologieën[Veld],MATCH(B1220,Technologieën[Digitale zorgtoepassing],0))</f>
        <v>Sensoren - Verpleging</v>
      </c>
      <c r="B1220" s="33" t="s">
        <v>61</v>
      </c>
      <c r="C1220" s="33" t="s">
        <v>385</v>
      </c>
      <c r="D1220" s="427" cm="1">
        <f t="array" ref="D1220">INDEX(Berekening_patiëntaantal[Percentage van patiëntaantallen in Wlz (overige is Zvw)],MATCH(B1220,IF(Berekening_patiëntaantal[Doelgroep (zoeksleutel)]=C1220,Berekening_patiëntaantal[Digitale zorgtoepassing]),0))</f>
        <v>0</v>
      </c>
      <c r="E1220" s="33" t="str" cm="1">
        <f t="array" ref="E1220">INDEX(Berekening_patiëntaantal[Direct toepasbaar/extrapolatie/incidentie voor QALY],MATCH(B1220,IF(Berekening_patiëntaantal[Doelgroep (zoeksleutel)]=C1220,Berekening_patiëntaantal[Digitale zorgtoepassing]),0))</f>
        <v>Extrapolatie</v>
      </c>
      <c r="F1220" s="33" t="s">
        <v>813</v>
      </c>
      <c r="G1220" s="33" t="str">
        <f>CONCATENATE(uitkomst_doelgroep[[#This Row],[Digitale zorgtoepassing]],"_",uitkomst_doelgroep[[#This Row],[Doelgroep]],"_",uitkomst_doelgroep[[#This Row],[Uitgangssituatie/effect beleid]])</f>
        <v>Slimme bedsensoren_Epilepsie Kinderen_Uitgangssituatie</v>
      </c>
      <c r="H1220" s="33">
        <v>2031</v>
      </c>
      <c r="I1220" s="32">
        <v>9</v>
      </c>
      <c r="J1220" s="406" cm="1">
        <f t="array" ref="J1220">INDEX(implementatie[[2023]:[2034]],MATCH(G1220, implementatie[Zoeksleutel],0),I1220)</f>
        <v>0.37155887512870744</v>
      </c>
      <c r="K1220" s="406" cm="1">
        <f t="array" ref="K1220">INDEX(implementatie[[2023]:[2034]],MATCH(G1220,implementatie[Zoeksleutel],0),I1220 + 1)</f>
        <v>0.47752884860285211</v>
      </c>
      <c r="L122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5944.9420020593188</v>
      </c>
      <c r="M1220" s="398" cm="1">
        <f t="array" ref="M1220">J1220*INDEX(Berekening_impact[Totaal arbeidsbesparing (€/jaar)],MATCH(B1220,IF(Berekening_impact[Doelgroep]=C1220,Berekening_impact[Digitale zorgtoepassing]),0))</f>
        <v>3157742.7913711728</v>
      </c>
      <c r="N1220" s="397" cm="1">
        <f t="array" ref="N1220">J1220*INDEX(Berekening_impact[Totaal arbeidsbesparing (FTE/jaar)],MATCH(B1220,IF(Berekening_impact[Doelgroep]=C1220,Berekening_impact[Digitale zorgtoepassing]),0))</f>
        <v>74.380134779535354</v>
      </c>
      <c r="O1220" s="398" cm="1">
        <f t="array" ref="O1220">J1220*INDEX(Berekening_impact[Overige kostenbesparing (totaal/jaar totaal potentieel)],MATCH(B1220,IF(Berekening_impact[Doelgroep]=C1220,Berekening_impact[Digitale zorgtoepassing]),0))</f>
        <v>2773868.6433366612</v>
      </c>
      <c r="P1220" s="398" cm="1">
        <f t="array" ref="P1220">J1220*INDEX(Berekening_impact[Opbrengsten door QALY''s],MATCH(B1220,IF(Berekening_impact[Doelgroep]=C1220,Berekening_impact[Digitale zorgtoepassing]),0))</f>
        <v>0</v>
      </c>
      <c r="Q1220" s="398" cm="1">
        <f t="array" ref="Q1220">J1220*INDEX(Berekening_impact[Jaarlijkse kosten (totaal) - incl. schatting],MATCH(B1220,IF(Berekening_impact[Doelgroep]=C1220,Berekening_impact[Digitale zorgtoepassing]),0))</f>
        <v>2806155.8765865061</v>
      </c>
      <c r="R1220" s="398" cm="1">
        <f t="array" ref="R1220">(uitkomst_doelgroep[[#This Row],[Implementatiegraad t = T + 1]]-uitkomst_doelgroep[[#This Row],[Implementatiegraad t = T]])*INDEX(Berekening_impact[Initiële investering (totaal) - incl. schatting],MATCH(B1220,IF(Berekening_impact[Doelgroep]=C1220,Berekening_impact[Digitale zorgtoepassing]),0))</f>
        <v>0</v>
      </c>
      <c r="S1220" s="398">
        <f>uitkomst_doelgroep[[#This Row],[Arbeidsbesparing (€)]]*uitkomst_doelgroep[[#This Row],[Percentage van patiëntaantallen in Wlz (overige is Zvw)]]</f>
        <v>0</v>
      </c>
      <c r="T1220" s="398">
        <f>uitkomst_doelgroep[[#This Row],[Overige besparingen (€)]]*uitkomst_doelgroep[[#This Row],[Percentage van patiëntaantallen in Wlz (overige is Zvw)]]</f>
        <v>0</v>
      </c>
      <c r="U1220" s="398">
        <f>uitkomst_doelgroep[[#This Row],[Kosten (€)]]*uitkomst_doelgroep[[#This Row],[Percentage van patiëntaantallen in Wlz (overige is Zvw)]]</f>
        <v>0</v>
      </c>
      <c r="V1220" s="398">
        <f>uitkomst_doelgroep[[#This Row],[Investering (cash flow) (€)]]*uitkomst_doelgroep[[#This Row],[Percentage van patiëntaantallen in Wlz (overige is Zvw)]]</f>
        <v>0</v>
      </c>
    </row>
    <row r="1221" spans="1:22" x14ac:dyDescent="0.5">
      <c r="A1221" s="33" t="str">
        <f>INDEX(Technologieën[Veld],MATCH(B1221,Technologieën[Digitale zorgtoepassing],0))</f>
        <v>Sensoren - Verpleging</v>
      </c>
      <c r="B1221" s="33" t="s">
        <v>61</v>
      </c>
      <c r="C1221" s="33" t="s">
        <v>62</v>
      </c>
      <c r="D1221" s="427" cm="1">
        <f t="array" ref="D1221">INDEX(Berekening_patiëntaantal[Percentage van patiëntaantallen in Wlz (overige is Zvw)],MATCH(B1221,IF(Berekening_patiëntaantal[Doelgroep (zoeksleutel)]=C1221,Berekening_patiëntaantal[Digitale zorgtoepassing]),0))</f>
        <v>1</v>
      </c>
      <c r="E1221" s="33" t="str" cm="1">
        <f t="array" ref="E1221">INDEX(Berekening_patiëntaantal[Direct toepasbaar/extrapolatie/incidentie voor QALY],MATCH(B1221,IF(Berekening_patiëntaantal[Doelgroep (zoeksleutel)]=C1221,Berekening_patiëntaantal[Digitale zorgtoepassing]),0))</f>
        <v>Huidige toepassing</v>
      </c>
      <c r="F1221" s="33" t="s">
        <v>813</v>
      </c>
      <c r="G1221" s="33" t="str">
        <f>CONCATENATE(uitkomst_doelgroep[[#This Row],[Digitale zorgtoepassing]],"_",uitkomst_doelgroep[[#This Row],[Doelgroep]],"_",uitkomst_doelgroep[[#This Row],[Uitgangssituatie/effect beleid]])</f>
        <v>Slimme bedsensoren_Bewoners verzorgingshuis_Uitgangssituatie</v>
      </c>
      <c r="H1221" s="33">
        <v>2031</v>
      </c>
      <c r="I1221" s="32">
        <v>9</v>
      </c>
      <c r="J1221" s="406" cm="1">
        <f t="array" ref="J1221">INDEX(implementatie[[2023]:[2034]],MATCH(G1221, implementatie[Zoeksleutel],0),I1221)</f>
        <v>0.97047650257314066</v>
      </c>
      <c r="K1221" s="406" cm="1">
        <f t="array" ref="K1221">INDEX(implementatie[[2023]:[2034]],MATCH(G1221,implementatie[Zoeksleutel],0),I1221 + 1)</f>
        <v>0.98252771673229611</v>
      </c>
      <c r="L122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91515.934192647168</v>
      </c>
      <c r="M1221" s="398" cm="1">
        <f t="array" ref="M1221">J1221*INDEX(Berekening_impact[Totaal arbeidsbesparing (€/jaar)],MATCH(B1221,IF(Berekening_impact[Doelgroep]=C1221,Berekening_impact[Digitale zorgtoepassing]),0))</f>
        <v>48610025.361446202</v>
      </c>
      <c r="N1221" s="397" cm="1">
        <f t="array" ref="N1221">J1221*INDEX(Berekening_impact[Totaal arbeidsbesparing (FTE/jaar)],MATCH(B1221,IF(Berekening_impact[Doelgroep]=C1221,Berekening_impact[Digitale zorgtoepassing]),0))</f>
        <v>1145.0015016742402</v>
      </c>
      <c r="O1221" s="398" cm="1">
        <f t="array" ref="O1221">J1221*INDEX(Berekening_impact[Overige kostenbesparing (totaal/jaar totaal potentieel)],MATCH(B1221,IF(Berekening_impact[Doelgroep]=C1221,Berekening_impact[Digitale zorgtoepassing]),0))</f>
        <v>42700699.205259018</v>
      </c>
      <c r="P1221" s="398" cm="1">
        <f t="array" ref="P1221">J1221*INDEX(Berekening_impact[Opbrengsten door QALY''s],MATCH(B1221,IF(Berekening_impact[Doelgroep]=C1221,Berekening_impact[Digitale zorgtoepassing]),0))</f>
        <v>0</v>
      </c>
      <c r="Q1221" s="398" cm="1">
        <f t="array" ref="Q1221">J1221*INDEX(Berekening_impact[Jaarlijkse kosten (totaal) - incl. schatting],MATCH(B1221,IF(Berekening_impact[Doelgroep]=C1221,Berekening_impact[Digitale zorgtoepassing]),0))</f>
        <v>43197726.142163023</v>
      </c>
      <c r="R1221" s="398" cm="1">
        <f t="array" ref="R1221">(uitkomst_doelgroep[[#This Row],[Implementatiegraad t = T + 1]]-uitkomst_doelgroep[[#This Row],[Implementatiegraad t = T]])*INDEX(Berekening_impact[Initiële investering (totaal) - incl. schatting],MATCH(B1221,IF(Berekening_impact[Doelgroep]=C1221,Berekening_impact[Digitale zorgtoepassing]),0))</f>
        <v>38742.243278852911</v>
      </c>
      <c r="S1221" s="398">
        <f>uitkomst_doelgroep[[#This Row],[Arbeidsbesparing (€)]]*uitkomst_doelgroep[[#This Row],[Percentage van patiëntaantallen in Wlz (overige is Zvw)]]</f>
        <v>48610025.361446202</v>
      </c>
      <c r="T1221" s="398">
        <f>uitkomst_doelgroep[[#This Row],[Overige besparingen (€)]]*uitkomst_doelgroep[[#This Row],[Percentage van patiëntaantallen in Wlz (overige is Zvw)]]</f>
        <v>42700699.205259018</v>
      </c>
      <c r="U1221" s="398">
        <f>uitkomst_doelgroep[[#This Row],[Kosten (€)]]*uitkomst_doelgroep[[#This Row],[Percentage van patiëntaantallen in Wlz (overige is Zvw)]]</f>
        <v>43197726.142163023</v>
      </c>
      <c r="V1221" s="398">
        <f>uitkomst_doelgroep[[#This Row],[Investering (cash flow) (€)]]*uitkomst_doelgroep[[#This Row],[Percentage van patiëntaantallen in Wlz (overige is Zvw)]]</f>
        <v>38742.243278852911</v>
      </c>
    </row>
    <row r="1222" spans="1:22" x14ac:dyDescent="0.5">
      <c r="A1222" s="33" t="str">
        <f>INDEX(Technologieën[Veld],MATCH(B1222,Technologieën[Digitale zorgtoepassing],0))</f>
        <v>Sensoren - Verpleging</v>
      </c>
      <c r="B1222" s="33" t="s">
        <v>61</v>
      </c>
      <c r="C1222" s="33" t="s">
        <v>385</v>
      </c>
      <c r="D1222" s="427" cm="1">
        <f t="array" ref="D1222">INDEX(Berekening_patiëntaantal[Percentage van patiëntaantallen in Wlz (overige is Zvw)],MATCH(B1222,IF(Berekening_patiëntaantal[Doelgroep (zoeksleutel)]=C1222,Berekening_patiëntaantal[Digitale zorgtoepassing]),0))</f>
        <v>0</v>
      </c>
      <c r="E1222" s="33" t="str" cm="1">
        <f t="array" ref="E1222">INDEX(Berekening_patiëntaantal[Direct toepasbaar/extrapolatie/incidentie voor QALY],MATCH(B1222,IF(Berekening_patiëntaantal[Doelgroep (zoeksleutel)]=C1222,Berekening_patiëntaantal[Digitale zorgtoepassing]),0))</f>
        <v>Extrapolatie</v>
      </c>
      <c r="F1222" s="33" t="s">
        <v>813</v>
      </c>
      <c r="G1222" s="33" t="str">
        <f>CONCATENATE(uitkomst_doelgroep[[#This Row],[Digitale zorgtoepassing]],"_",uitkomst_doelgroep[[#This Row],[Doelgroep]],"_",uitkomst_doelgroep[[#This Row],[Uitgangssituatie/effect beleid]])</f>
        <v>Slimme bedsensoren_Epilepsie Kinderen_Uitgangssituatie</v>
      </c>
      <c r="H1222" s="33">
        <v>2032</v>
      </c>
      <c r="I1222" s="32">
        <v>10</v>
      </c>
      <c r="J1222" s="406" cm="1">
        <f t="array" ref="J1222">INDEX(implementatie[[2023]:[2034]],MATCH(G1222, implementatie[Zoeksleutel],0),I1222)</f>
        <v>0.47752884860285211</v>
      </c>
      <c r="K1222" s="406" cm="1">
        <f t="array" ref="K1222">INDEX(implementatie[[2023]:[2034]],MATCH(G1222,implementatie[Zoeksleutel],0),I1222 + 1)</f>
        <v>0.5877762905727496</v>
      </c>
      <c r="L122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7640.461577645634</v>
      </c>
      <c r="M1222" s="398" cm="1">
        <f t="array" ref="M1222">J1222*INDEX(Berekening_impact[Totaal arbeidsbesparing (€/jaar)],MATCH(B1222,IF(Berekening_impact[Doelgroep]=C1222,Berekening_impact[Digitale zorgtoepassing]),0))</f>
        <v>4058342.7830248801</v>
      </c>
      <c r="N1222" s="397" cm="1">
        <f t="array" ref="N1222">J1222*INDEX(Berekening_impact[Totaal arbeidsbesparing (FTE/jaar)],MATCH(B1222,IF(Berekening_impact[Doelgroep]=C1222,Berekening_impact[Digitale zorgtoepassing]),0))</f>
        <v>95.59362593046086</v>
      </c>
      <c r="O1222" s="398" cm="1">
        <f t="array" ref="O1222">J1222*INDEX(Berekening_impact[Overige kostenbesparing (totaal/jaar totaal potentieel)],MATCH(B1222,IF(Berekening_impact[Doelgroep]=C1222,Berekening_impact[Digitale zorgtoepassing]),0))</f>
        <v>3564986.2998677422</v>
      </c>
      <c r="P1222" s="398" cm="1">
        <f t="array" ref="P1222">J1222*INDEX(Berekening_impact[Opbrengsten door QALY''s],MATCH(B1222,IF(Berekening_impact[Doelgroep]=C1222,Berekening_impact[Digitale zorgtoepassing]),0))</f>
        <v>0</v>
      </c>
      <c r="Q1222" s="398" cm="1">
        <f t="array" ref="Q1222">J1222*INDEX(Berekening_impact[Jaarlijkse kosten (totaal) - incl. schatting],MATCH(B1222,IF(Berekening_impact[Doelgroep]=C1222,Berekening_impact[Digitale zorgtoepassing]),0))</f>
        <v>3606481.9721566346</v>
      </c>
      <c r="R1222" s="398" cm="1">
        <f t="array" ref="R1222">(uitkomst_doelgroep[[#This Row],[Implementatiegraad t = T + 1]]-uitkomst_doelgroep[[#This Row],[Implementatiegraad t = T]])*INDEX(Berekening_impact[Initiële investering (totaal) - incl. schatting],MATCH(B1222,IF(Berekening_impact[Doelgroep]=C1222,Berekening_impact[Digitale zorgtoepassing]),0))</f>
        <v>0</v>
      </c>
      <c r="S1222" s="398">
        <f>uitkomst_doelgroep[[#This Row],[Arbeidsbesparing (€)]]*uitkomst_doelgroep[[#This Row],[Percentage van patiëntaantallen in Wlz (overige is Zvw)]]</f>
        <v>0</v>
      </c>
      <c r="T1222" s="398">
        <f>uitkomst_doelgroep[[#This Row],[Overige besparingen (€)]]*uitkomst_doelgroep[[#This Row],[Percentage van patiëntaantallen in Wlz (overige is Zvw)]]</f>
        <v>0</v>
      </c>
      <c r="U1222" s="398">
        <f>uitkomst_doelgroep[[#This Row],[Kosten (€)]]*uitkomst_doelgroep[[#This Row],[Percentage van patiëntaantallen in Wlz (overige is Zvw)]]</f>
        <v>0</v>
      </c>
      <c r="V1222" s="398">
        <f>uitkomst_doelgroep[[#This Row],[Investering (cash flow) (€)]]*uitkomst_doelgroep[[#This Row],[Percentage van patiëntaantallen in Wlz (overige is Zvw)]]</f>
        <v>0</v>
      </c>
    </row>
    <row r="1223" spans="1:22" x14ac:dyDescent="0.5">
      <c r="A1223" s="33" t="str">
        <f>INDEX(Technologieën[Veld],MATCH(B1223,Technologieën[Digitale zorgtoepassing],0))</f>
        <v>Sensoren - Verpleging</v>
      </c>
      <c r="B1223" s="33" t="s">
        <v>61</v>
      </c>
      <c r="C1223" s="33" t="s">
        <v>62</v>
      </c>
      <c r="D1223" s="427" cm="1">
        <f t="array" ref="D1223">INDEX(Berekening_patiëntaantal[Percentage van patiëntaantallen in Wlz (overige is Zvw)],MATCH(B1223,IF(Berekening_patiëntaantal[Doelgroep (zoeksleutel)]=C1223,Berekening_patiëntaantal[Digitale zorgtoepassing]),0))</f>
        <v>1</v>
      </c>
      <c r="E1223" s="33" t="str" cm="1">
        <f t="array" ref="E1223">INDEX(Berekening_patiëntaantal[Direct toepasbaar/extrapolatie/incidentie voor QALY],MATCH(B1223,IF(Berekening_patiëntaantal[Doelgroep (zoeksleutel)]=C1223,Berekening_patiëntaantal[Digitale zorgtoepassing]),0))</f>
        <v>Huidige toepassing</v>
      </c>
      <c r="F1223" s="33" t="s">
        <v>813</v>
      </c>
      <c r="G1223" s="33" t="str">
        <f>CONCATENATE(uitkomst_doelgroep[[#This Row],[Digitale zorgtoepassing]],"_",uitkomst_doelgroep[[#This Row],[Doelgroep]],"_",uitkomst_doelgroep[[#This Row],[Uitgangssituatie/effect beleid]])</f>
        <v>Slimme bedsensoren_Bewoners verzorgingshuis_Uitgangssituatie</v>
      </c>
      <c r="H1223" s="33">
        <v>2032</v>
      </c>
      <c r="I1223" s="32">
        <v>10</v>
      </c>
      <c r="J1223" s="406" cm="1">
        <f t="array" ref="J1223">INDEX(implementatie[[2023]:[2034]],MATCH(G1223, implementatie[Zoeksleutel],0),I1223)</f>
        <v>0.98252771673229611</v>
      </c>
      <c r="K1223" s="406" cm="1">
        <f t="array" ref="K1223">INDEX(implementatie[[2023]:[2034]],MATCH(G1223,implementatie[Zoeksleutel],0),I1223 + 1)</f>
        <v>0.98974396343169702</v>
      </c>
      <c r="L122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92652.363687855526</v>
      </c>
      <c r="M1223" s="398" cm="1">
        <f t="array" ref="M1223">J1223*INDEX(Berekening_impact[Totaal arbeidsbesparing (€/jaar)],MATCH(B1223,IF(Berekening_impact[Doelgroep]=C1223,Berekening_impact[Digitale zorgtoepassing]),0))</f>
        <v>49213656.489412248</v>
      </c>
      <c r="N1223" s="397" cm="1">
        <f t="array" ref="N1223">J1223*INDEX(Berekening_impact[Totaal arbeidsbesparing (FTE/jaar)],MATCH(B1223,IF(Berekening_impact[Doelgroep]=C1223,Berekening_impact[Digitale zorgtoepassing]),0))</f>
        <v>1159.2199379502808</v>
      </c>
      <c r="O1223" s="398" cm="1">
        <f t="array" ref="O1223">J1223*INDEX(Berekening_impact[Overige kostenbesparing (totaal/jaar totaal potentieel)],MATCH(B1223,IF(Berekening_impact[Doelgroep]=C1223,Berekening_impact[Digitale zorgtoepassing]),0))</f>
        <v>43230949.313843668</v>
      </c>
      <c r="P1223" s="398" cm="1">
        <f t="array" ref="P1223">J1223*INDEX(Berekening_impact[Opbrengsten door QALY''s],MATCH(B1223,IF(Berekening_impact[Doelgroep]=C1223,Berekening_impact[Digitale zorgtoepassing]),0))</f>
        <v>0</v>
      </c>
      <c r="Q1223" s="398" cm="1">
        <f t="array" ref="Q1223">J1223*INDEX(Berekening_impact[Jaarlijkse kosten (totaal) - incl. schatting],MATCH(B1223,IF(Berekening_impact[Doelgroep]=C1223,Berekening_impact[Digitale zorgtoepassing]),0))</f>
        <v>43734148.247744627</v>
      </c>
      <c r="R1223" s="398" cm="1">
        <f t="array" ref="R1223">(uitkomst_doelgroep[[#This Row],[Implementatiegraad t = T + 1]]-uitkomst_doelgroep[[#This Row],[Implementatiegraad t = T]])*INDEX(Berekening_impact[Initiële investering (totaal) - incl. schatting],MATCH(B1223,IF(Berekening_impact[Doelgroep]=C1223,Berekening_impact[Digitale zorgtoepassing]),0))</f>
        <v>23198.789889234034</v>
      </c>
      <c r="S1223" s="398">
        <f>uitkomst_doelgroep[[#This Row],[Arbeidsbesparing (€)]]*uitkomst_doelgroep[[#This Row],[Percentage van patiëntaantallen in Wlz (overige is Zvw)]]</f>
        <v>49213656.489412248</v>
      </c>
      <c r="T1223" s="398">
        <f>uitkomst_doelgroep[[#This Row],[Overige besparingen (€)]]*uitkomst_doelgroep[[#This Row],[Percentage van patiëntaantallen in Wlz (overige is Zvw)]]</f>
        <v>43230949.313843668</v>
      </c>
      <c r="U1223" s="398">
        <f>uitkomst_doelgroep[[#This Row],[Kosten (€)]]*uitkomst_doelgroep[[#This Row],[Percentage van patiëntaantallen in Wlz (overige is Zvw)]]</f>
        <v>43734148.247744627</v>
      </c>
      <c r="V1223" s="398">
        <f>uitkomst_doelgroep[[#This Row],[Investering (cash flow) (€)]]*uitkomst_doelgroep[[#This Row],[Percentage van patiëntaantallen in Wlz (overige is Zvw)]]</f>
        <v>23198.789889234034</v>
      </c>
    </row>
    <row r="1224" spans="1:22" x14ac:dyDescent="0.5">
      <c r="A1224" s="33" t="str">
        <f>INDEX(Technologieën[Veld],MATCH(B1224,Technologieën[Digitale zorgtoepassing],0))</f>
        <v>Sensoren - Verpleging</v>
      </c>
      <c r="B1224" s="33" t="s">
        <v>61</v>
      </c>
      <c r="C1224" s="33" t="s">
        <v>385</v>
      </c>
      <c r="D1224" s="427" cm="1">
        <f t="array" ref="D1224">INDEX(Berekening_patiëntaantal[Percentage van patiëntaantallen in Wlz (overige is Zvw)],MATCH(B1224,IF(Berekening_patiëntaantal[Doelgroep (zoeksleutel)]=C1224,Berekening_patiëntaantal[Digitale zorgtoepassing]),0))</f>
        <v>0</v>
      </c>
      <c r="E1224" s="33" t="str" cm="1">
        <f t="array" ref="E1224">INDEX(Berekening_patiëntaantal[Direct toepasbaar/extrapolatie/incidentie voor QALY],MATCH(B1224,IF(Berekening_patiëntaantal[Doelgroep (zoeksleutel)]=C1224,Berekening_patiëntaantal[Digitale zorgtoepassing]),0))</f>
        <v>Extrapolatie</v>
      </c>
      <c r="F1224" s="33" t="s">
        <v>813</v>
      </c>
      <c r="G1224" s="33" t="str">
        <f>CONCATENATE(uitkomst_doelgroep[[#This Row],[Digitale zorgtoepassing]],"_",uitkomst_doelgroep[[#This Row],[Doelgroep]],"_",uitkomst_doelgroep[[#This Row],[Uitgangssituatie/effect beleid]])</f>
        <v>Slimme bedsensoren_Epilepsie Kinderen_Uitgangssituatie</v>
      </c>
      <c r="H1224" s="33">
        <v>2033</v>
      </c>
      <c r="I1224" s="32">
        <v>11</v>
      </c>
      <c r="J1224" s="406" cm="1">
        <f t="array" ref="J1224">INDEX(implementatie[[2023]:[2034]],MATCH(G1224, implementatie[Zoeksleutel],0),I1224)</f>
        <v>0.5877762905727496</v>
      </c>
      <c r="K1224" s="406" cm="1">
        <f t="array" ref="K1224">INDEX(implementatie[[2023]:[2034]],MATCH(G1224,implementatie[Zoeksleutel],0),I1224 + 1)</f>
        <v>0.6929388938866099</v>
      </c>
      <c r="L122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9404.4206491639943</v>
      </c>
      <c r="M1224" s="398" cm="1">
        <f t="array" ref="M1224">J1224*INDEX(Berekening_impact[Totaal arbeidsbesparing (€/jaar)],MATCH(B1224,IF(Berekening_impact[Doelgroep]=C1224,Berekening_impact[Digitale zorgtoepassing]),0))</f>
        <v>4995295.412744632</v>
      </c>
      <c r="N1224" s="397" cm="1">
        <f t="array" ref="N1224">J1224*INDEX(Berekening_impact[Totaal arbeidsbesparing (FTE/jaar)],MATCH(B1224,IF(Berekening_impact[Doelgroep]=C1224,Berekening_impact[Digitale zorgtoepassing]),0))</f>
        <v>117.66339775324246</v>
      </c>
      <c r="O1224" s="398" cm="1">
        <f t="array" ref="O1224">J1224*INDEX(Berekening_impact[Overige kostenbesparing (totaal/jaar totaal potentieel)],MATCH(B1224,IF(Berekening_impact[Doelgroep]=C1224,Berekening_impact[Digitale zorgtoepassing]),0))</f>
        <v>4388037.349805505</v>
      </c>
      <c r="P1224" s="398" cm="1">
        <f t="array" ref="P1224">J1224*INDEX(Berekening_impact[Opbrengsten door QALY''s],MATCH(B1224,IF(Berekening_impact[Doelgroep]=C1224,Berekening_impact[Digitale zorgtoepassing]),0))</f>
        <v>0</v>
      </c>
      <c r="Q1224" s="398" cm="1">
        <f t="array" ref="Q1224">J1224*INDEX(Berekening_impact[Jaarlijkse kosten (totaal) - incl. schatting],MATCH(B1224,IF(Berekening_impact[Doelgroep]=C1224,Berekening_impact[Digitale zorgtoepassing]),0))</f>
        <v>4439113.1589511679</v>
      </c>
      <c r="R1224" s="398" cm="1">
        <f t="array" ref="R1224">(uitkomst_doelgroep[[#This Row],[Implementatiegraad t = T + 1]]-uitkomst_doelgroep[[#This Row],[Implementatiegraad t = T]])*INDEX(Berekening_impact[Initiële investering (totaal) - incl. schatting],MATCH(B1224,IF(Berekening_impact[Doelgroep]=C1224,Berekening_impact[Digitale zorgtoepassing]),0))</f>
        <v>0</v>
      </c>
      <c r="S1224" s="398">
        <f>uitkomst_doelgroep[[#This Row],[Arbeidsbesparing (€)]]*uitkomst_doelgroep[[#This Row],[Percentage van patiëntaantallen in Wlz (overige is Zvw)]]</f>
        <v>0</v>
      </c>
      <c r="T1224" s="398">
        <f>uitkomst_doelgroep[[#This Row],[Overige besparingen (€)]]*uitkomst_doelgroep[[#This Row],[Percentage van patiëntaantallen in Wlz (overige is Zvw)]]</f>
        <v>0</v>
      </c>
      <c r="U1224" s="398">
        <f>uitkomst_doelgroep[[#This Row],[Kosten (€)]]*uitkomst_doelgroep[[#This Row],[Percentage van patiëntaantallen in Wlz (overige is Zvw)]]</f>
        <v>0</v>
      </c>
      <c r="V1224" s="398">
        <f>uitkomst_doelgroep[[#This Row],[Investering (cash flow) (€)]]*uitkomst_doelgroep[[#This Row],[Percentage van patiëntaantallen in Wlz (overige is Zvw)]]</f>
        <v>0</v>
      </c>
    </row>
    <row r="1225" spans="1:22" x14ac:dyDescent="0.5">
      <c r="A1225" s="33" t="str">
        <f>INDEX(Technologieën[Veld],MATCH(B1225,Technologieën[Digitale zorgtoepassing],0))</f>
        <v>Sensoren - Verpleging</v>
      </c>
      <c r="B1225" s="33" t="s">
        <v>61</v>
      </c>
      <c r="C1225" s="33" t="s">
        <v>62</v>
      </c>
      <c r="D1225" s="427" cm="1">
        <f t="array" ref="D1225">INDEX(Berekening_patiëntaantal[Percentage van patiëntaantallen in Wlz (overige is Zvw)],MATCH(B1225,IF(Berekening_patiëntaantal[Doelgroep (zoeksleutel)]=C1225,Berekening_patiëntaantal[Digitale zorgtoepassing]),0))</f>
        <v>1</v>
      </c>
      <c r="E1225" s="33" t="str" cm="1">
        <f t="array" ref="E1225">INDEX(Berekening_patiëntaantal[Direct toepasbaar/extrapolatie/incidentie voor QALY],MATCH(B1225,IF(Berekening_patiëntaantal[Doelgroep (zoeksleutel)]=C1225,Berekening_patiëntaantal[Digitale zorgtoepassing]),0))</f>
        <v>Huidige toepassing</v>
      </c>
      <c r="F1225" s="33" t="s">
        <v>813</v>
      </c>
      <c r="G1225" s="33" t="str">
        <f>CONCATENATE(uitkomst_doelgroep[[#This Row],[Digitale zorgtoepassing]],"_",uitkomst_doelgroep[[#This Row],[Doelgroep]],"_",uitkomst_doelgroep[[#This Row],[Uitgangssituatie/effect beleid]])</f>
        <v>Slimme bedsensoren_Bewoners verzorgingshuis_Uitgangssituatie</v>
      </c>
      <c r="H1225" s="33">
        <v>2033</v>
      </c>
      <c r="I1225" s="32">
        <v>11</v>
      </c>
      <c r="J1225" s="406" cm="1">
        <f t="array" ref="J1225">INDEX(implementatie[[2023]:[2034]],MATCH(G1225, implementatie[Zoeksleutel],0),I1225)</f>
        <v>0.98974396343169702</v>
      </c>
      <c r="K1225" s="406" cm="1">
        <f t="array" ref="K1225">INDEX(implementatie[[2023]:[2034]],MATCH(G1225,implementatie[Zoeksleutel],0),I1225 + 1)</f>
        <v>0.99400942427594807</v>
      </c>
      <c r="L122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93332.855751609022</v>
      </c>
      <c r="M1225" s="398" cm="1">
        <f t="array" ref="M1225">J1225*INDEX(Berekening_impact[Totaal arbeidsbesparing (€/jaar)],MATCH(B1225,IF(Berekening_impact[Doelgroep]=C1225,Berekening_impact[Digitale zorgtoepassing]),0))</f>
        <v>49575109.790076673</v>
      </c>
      <c r="N1225" s="397" cm="1">
        <f t="array" ref="N1225">J1225*INDEX(Berekening_impact[Totaal arbeidsbesparing (FTE/jaar)],MATCH(B1225,IF(Berekening_impact[Doelgroep]=C1225,Berekening_impact[Digitale zorgtoepassing]),0))</f>
        <v>1167.7339135956036</v>
      </c>
      <c r="O1225" s="398" cm="1">
        <f t="array" ref="O1225">J1225*INDEX(Berekening_impact[Overige kostenbesparing (totaal/jaar totaal potentieel)],MATCH(B1225,IF(Berekening_impact[Doelgroep]=C1225,Berekening_impact[Digitale zorgtoepassing]),0))</f>
        <v>43548462.183949284</v>
      </c>
      <c r="P1225" s="398" cm="1">
        <f t="array" ref="P1225">J1225*INDEX(Berekening_impact[Opbrengsten door QALY''s],MATCH(B1225,IF(Berekening_impact[Doelgroep]=C1225,Berekening_impact[Digitale zorgtoepassing]),0))</f>
        <v>0</v>
      </c>
      <c r="Q1225" s="398" cm="1">
        <f t="array" ref="Q1225">J1225*INDEX(Berekening_impact[Jaarlijkse kosten (totaal) - incl. schatting],MATCH(B1225,IF(Berekening_impact[Doelgroep]=C1225,Berekening_impact[Digitale zorgtoepassing]),0))</f>
        <v>44055356.899235405</v>
      </c>
      <c r="R1225" s="398" cm="1">
        <f t="array" ref="R1225">(uitkomst_doelgroep[[#This Row],[Implementatiegraad t = T + 1]]-uitkomst_doelgroep[[#This Row],[Implementatiegraad t = T]])*INDEX(Berekening_impact[Initiële investering (totaal) - incl. schatting],MATCH(B1225,IF(Berekening_impact[Doelgroep]=C1225,Berekening_impact[Digitale zorgtoepassing]),0))</f>
        <v>13712.603522098296</v>
      </c>
      <c r="S1225" s="398">
        <f>uitkomst_doelgroep[[#This Row],[Arbeidsbesparing (€)]]*uitkomst_doelgroep[[#This Row],[Percentage van patiëntaantallen in Wlz (overige is Zvw)]]</f>
        <v>49575109.790076673</v>
      </c>
      <c r="T1225" s="398">
        <f>uitkomst_doelgroep[[#This Row],[Overige besparingen (€)]]*uitkomst_doelgroep[[#This Row],[Percentage van patiëntaantallen in Wlz (overige is Zvw)]]</f>
        <v>43548462.183949284</v>
      </c>
      <c r="U1225" s="398">
        <f>uitkomst_doelgroep[[#This Row],[Kosten (€)]]*uitkomst_doelgroep[[#This Row],[Percentage van patiëntaantallen in Wlz (overige is Zvw)]]</f>
        <v>44055356.899235405</v>
      </c>
      <c r="V1225" s="398">
        <f>uitkomst_doelgroep[[#This Row],[Investering (cash flow) (€)]]*uitkomst_doelgroep[[#This Row],[Percentage van patiëntaantallen in Wlz (overige is Zvw)]]</f>
        <v>13712.603522098296</v>
      </c>
    </row>
    <row r="1226" spans="1:22" ht="17.5" thickBot="1" x14ac:dyDescent="0.55000000000000004">
      <c r="A1226" s="33" t="str">
        <f>INDEX(Technologieën[Veld],MATCH(B1226,Technologieën[Digitale zorgtoepassing],0))</f>
        <v>Sensoren - Behandeling</v>
      </c>
      <c r="B1226" s="40" t="s">
        <v>53</v>
      </c>
      <c r="C1226" s="40" t="s">
        <v>54</v>
      </c>
      <c r="D1226" s="427" cm="1">
        <f t="array" ref="D1226">INDEX(Berekening_patiëntaantal[Percentage van patiëntaantallen in Wlz (overige is Zvw)],MATCH(B1226,IF(Berekening_patiëntaantal[Doelgroep (zoeksleutel)]=C1226,Berekening_patiëntaantal[Digitale zorgtoepassing]),0))</f>
        <v>0</v>
      </c>
      <c r="E1226" s="33" t="str" cm="1">
        <f t="array" ref="E1226">INDEX(Berekening_patiëntaantal[Direct toepasbaar/extrapolatie/incidentie voor QALY],MATCH(B1226,IF(Berekening_patiëntaantal[Doelgroep (zoeksleutel)]=C1226,Berekening_patiëntaantal[Digitale zorgtoepassing]),0))</f>
        <v>Huidige toepassing</v>
      </c>
      <c r="F1226" s="33" t="s">
        <v>813</v>
      </c>
      <c r="G1226" s="33" t="str">
        <f>CONCATENATE(uitkomst_doelgroep[[#This Row],[Digitale zorgtoepassing]],"_",uitkomst_doelgroep[[#This Row],[Doelgroep]],"_",uitkomst_doelgroep[[#This Row],[Uitgangssituatie/effect beleid]])</f>
        <v>Slimme pleisters_Heup_Uitgangssituatie</v>
      </c>
      <c r="H1226" s="33">
        <v>2023</v>
      </c>
      <c r="I1226" s="32">
        <v>1</v>
      </c>
      <c r="J1226" s="406" cm="1">
        <f t="array" ref="J1226">INDEX(implementatie[[2023]:[2034]],MATCH(G1226, implementatie[Zoeksleutel],0),I1226)</f>
        <v>0.4</v>
      </c>
      <c r="K1226" s="406" cm="1">
        <f t="array" ref="K1226">INDEX(implementatie[[2023]:[2034]],MATCH(G1226,implementatie[Zoeksleutel],0),I1226 + 1)</f>
        <v>0.50800000000000001</v>
      </c>
      <c r="L122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7200</v>
      </c>
      <c r="M1226" s="398" cm="1">
        <f t="array" ref="M1226">J1226*INDEX(Berekening_impact[Totaal arbeidsbesparing (€/jaar)],MATCH(B1226,IF(Berekening_impact[Doelgroep]=C1226,Berekening_impact[Digitale zorgtoepassing]),0))</f>
        <v>2311675.1999999993</v>
      </c>
      <c r="N1226" s="397" cm="1">
        <f t="array" ref="N1226">J1226*INDEX(Berekening_impact[Totaal arbeidsbesparing (FTE/jaar)],MATCH(B1226,IF(Berekening_impact[Doelgroep]=C1226,Berekening_impact[Digitale zorgtoepassing]),0))</f>
        <v>40.064125951274185</v>
      </c>
      <c r="O1226" s="398" cm="1">
        <f t="array" ref="O1226">J1226*INDEX(Berekening_impact[Overige kostenbesparing (totaal/jaar totaal potentieel)],MATCH(B1226,IF(Berekening_impact[Doelgroep]=C1226,Berekening_impact[Digitale zorgtoepassing]),0))</f>
        <v>1541116.7999999998</v>
      </c>
      <c r="P1226" s="398" cm="1">
        <f t="array" ref="P1226">J1226*INDEX(Berekening_impact[Opbrengsten door QALY''s],MATCH(B1226,IF(Berekening_impact[Doelgroep]=C1226,Berekening_impact[Digitale zorgtoepassing]),0))</f>
        <v>20520000</v>
      </c>
      <c r="Q1226" s="398" cm="1">
        <f t="array" ref="Q1226">J1226*INDEX(Berekening_impact[Jaarlijkse kosten (totaal) - incl. schatting],MATCH(B1226,IF(Berekening_impact[Doelgroep]=C1226,Berekening_impact[Digitale zorgtoepassing]),0))</f>
        <v>1414166.6666666667</v>
      </c>
      <c r="R1226" s="398" cm="1">
        <f t="array" ref="R1226">(uitkomst_doelgroep[[#This Row],[Implementatiegraad t = T + 1]]-uitkomst_doelgroep[[#This Row],[Implementatiegraad t = T]])*INDEX(Berekening_impact[Initiële investering (totaal) - incl. schatting],MATCH(B1226,IF(Berekening_impact[Doelgroep]=C1226,Berekening_impact[Digitale zorgtoepassing]),0))</f>
        <v>287709.29999999993</v>
      </c>
      <c r="S1226" s="398">
        <f>uitkomst_doelgroep[[#This Row],[Arbeidsbesparing (€)]]*uitkomst_doelgroep[[#This Row],[Percentage van patiëntaantallen in Wlz (overige is Zvw)]]</f>
        <v>0</v>
      </c>
      <c r="T1226" s="398">
        <f>uitkomst_doelgroep[[#This Row],[Overige besparingen (€)]]*uitkomst_doelgroep[[#This Row],[Percentage van patiëntaantallen in Wlz (overige is Zvw)]]</f>
        <v>0</v>
      </c>
      <c r="U1226" s="398">
        <f>uitkomst_doelgroep[[#This Row],[Kosten (€)]]*uitkomst_doelgroep[[#This Row],[Percentage van patiëntaantallen in Wlz (overige is Zvw)]]</f>
        <v>0</v>
      </c>
      <c r="V1226" s="398">
        <f>uitkomst_doelgroep[[#This Row],[Investering (cash flow) (€)]]*uitkomst_doelgroep[[#This Row],[Percentage van patiëntaantallen in Wlz (overige is Zvw)]]</f>
        <v>0</v>
      </c>
    </row>
    <row r="1227" spans="1:22" x14ac:dyDescent="0.5">
      <c r="A1227" s="33" t="str">
        <f>INDEX(Technologieën[Veld],MATCH(B1227,Technologieën[Digitale zorgtoepassing],0))</f>
        <v>Sensoren - Behandeling</v>
      </c>
      <c r="B1227" s="33" t="s">
        <v>53</v>
      </c>
      <c r="C1227" s="33" t="s">
        <v>55</v>
      </c>
      <c r="D1227" s="427" cm="1">
        <f t="array" ref="D1227">INDEX(Berekening_patiëntaantal[Percentage van patiëntaantallen in Wlz (overige is Zvw)],MATCH(B1227,IF(Berekening_patiëntaantal[Doelgroep (zoeksleutel)]=C1227,Berekening_patiëntaantal[Digitale zorgtoepassing]),0))</f>
        <v>0</v>
      </c>
      <c r="E1227" s="33" t="str" cm="1">
        <f t="array" ref="E1227">INDEX(Berekening_patiëntaantal[Direct toepasbaar/extrapolatie/incidentie voor QALY],MATCH(B1227,IF(Berekening_patiëntaantal[Doelgroep (zoeksleutel)]=C1227,Berekening_patiëntaantal[Digitale zorgtoepassing]),0))</f>
        <v>Huidige toepassing</v>
      </c>
      <c r="F1227" s="33" t="s">
        <v>813</v>
      </c>
      <c r="G1227" s="33" t="str">
        <f>CONCATENATE(uitkomst_doelgroep[[#This Row],[Digitale zorgtoepassing]],"_",uitkomst_doelgroep[[#This Row],[Doelgroep]],"_",uitkomst_doelgroep[[#This Row],[Uitgangssituatie/effect beleid]])</f>
        <v>Slimme pleisters_Knie_Uitgangssituatie</v>
      </c>
      <c r="H1227" s="33">
        <v>2023</v>
      </c>
      <c r="I1227" s="32">
        <v>1</v>
      </c>
      <c r="J1227" s="406" cm="1">
        <f t="array" ref="J1227">INDEX(implementatie[[2023]:[2034]],MATCH(G1227, implementatie[Zoeksleutel],0),I1227)</f>
        <v>0.4</v>
      </c>
      <c r="K1227" s="406" cm="1">
        <f t="array" ref="K1227">INDEX(implementatie[[2023]:[2034]],MATCH(G1227,implementatie[Zoeksleutel],0),I1227 + 1)</f>
        <v>0.50800000000000001</v>
      </c>
      <c r="L122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6000</v>
      </c>
      <c r="M1227" s="398" cm="1">
        <f t="array" ref="M1227">J1227*INDEX(Berekening_impact[Totaal arbeidsbesparing (€/jaar)],MATCH(B1227,IF(Berekening_impact[Doelgroep]=C1227,Berekening_impact[Digitale zorgtoepassing]),0))</f>
        <v>1926395.9999999998</v>
      </c>
      <c r="N1227" s="397" cm="1">
        <f t="array" ref="N1227">J1227*INDEX(Berekening_impact[Totaal arbeidsbesparing (FTE/jaar)],MATCH(B1227,IF(Berekening_impact[Doelgroep]=C1227,Berekening_impact[Digitale zorgtoepassing]),0))</f>
        <v>33.386771626061822</v>
      </c>
      <c r="O1227" s="398" cm="1">
        <f t="array" ref="O1227">J1227*INDEX(Berekening_impact[Overige kostenbesparing (totaal/jaar totaal potentieel)],MATCH(B1227,IF(Berekening_impact[Doelgroep]=C1227,Berekening_impact[Digitale zorgtoepassing]),0))</f>
        <v>1284264</v>
      </c>
      <c r="P1227" s="398" cm="1">
        <f t="array" ref="P1227">J1227*INDEX(Berekening_impact[Opbrengsten door QALY''s],MATCH(B1227,IF(Berekening_impact[Doelgroep]=C1227,Berekening_impact[Digitale zorgtoepassing]),0))</f>
        <v>17100000</v>
      </c>
      <c r="Q1227" s="398" cm="1">
        <f t="array" ref="Q1227">J1227*INDEX(Berekening_impact[Jaarlijkse kosten (totaal) - incl. schatting],MATCH(B1227,IF(Berekening_impact[Doelgroep]=C1227,Berekening_impact[Digitale zorgtoepassing]),0))</f>
        <v>1250666.6666666667</v>
      </c>
      <c r="R1227" s="398" cm="1">
        <f t="array" ref="R1227">(uitkomst_doelgroep[[#This Row],[Implementatiegraad t = T + 1]]-uitkomst_doelgroep[[#This Row],[Implementatiegraad t = T]])*INDEX(Berekening_impact[Initiële investering (totaal) - incl. schatting],MATCH(B1227,IF(Berekening_impact[Doelgroep]=C1227,Berekening_impact[Digitale zorgtoepassing]),0))</f>
        <v>287709.29999999993</v>
      </c>
      <c r="S1227" s="398">
        <f>uitkomst_doelgroep[[#This Row],[Arbeidsbesparing (€)]]*uitkomst_doelgroep[[#This Row],[Percentage van patiëntaantallen in Wlz (overige is Zvw)]]</f>
        <v>0</v>
      </c>
      <c r="T1227" s="398">
        <f>uitkomst_doelgroep[[#This Row],[Overige besparingen (€)]]*uitkomst_doelgroep[[#This Row],[Percentage van patiëntaantallen in Wlz (overige is Zvw)]]</f>
        <v>0</v>
      </c>
      <c r="U1227" s="398">
        <f>uitkomst_doelgroep[[#This Row],[Kosten (€)]]*uitkomst_doelgroep[[#This Row],[Percentage van patiëntaantallen in Wlz (overige is Zvw)]]</f>
        <v>0</v>
      </c>
      <c r="V1227" s="398">
        <f>uitkomst_doelgroep[[#This Row],[Investering (cash flow) (€)]]*uitkomst_doelgroep[[#This Row],[Percentage van patiëntaantallen in Wlz (overige is Zvw)]]</f>
        <v>0</v>
      </c>
    </row>
    <row r="1228" spans="1:22" x14ac:dyDescent="0.5">
      <c r="A1228" s="33" t="str">
        <f>INDEX(Technologieën[Veld],MATCH(B1228,Technologieën[Digitale zorgtoepassing],0))</f>
        <v>Sensoren - Behandeling</v>
      </c>
      <c r="B1228" s="33" t="s">
        <v>53</v>
      </c>
      <c r="C1228" s="33" t="s">
        <v>722</v>
      </c>
      <c r="D1228" s="427" cm="1">
        <f t="array" ref="D1228">INDEX(Berekening_patiëntaantal[Percentage van patiëntaantallen in Wlz (overige is Zvw)],MATCH(B1228,IF(Berekening_patiëntaantal[Doelgroep (zoeksleutel)]=C1228,Berekening_patiëntaantal[Digitale zorgtoepassing]),0))</f>
        <v>0</v>
      </c>
      <c r="E1228" s="33" t="str" cm="1">
        <f t="array" ref="E1228">INDEX(Berekening_patiëntaantal[Direct toepasbaar/extrapolatie/incidentie voor QALY],MATCH(B1228,IF(Berekening_patiëntaantal[Doelgroep (zoeksleutel)]=C1228,Berekening_patiëntaantal[Digitale zorgtoepassing]),0))</f>
        <v>Extrapolatie</v>
      </c>
      <c r="F1228" s="33" t="s">
        <v>813</v>
      </c>
      <c r="G1228" s="33" t="str">
        <f>CONCATENATE(uitkomst_doelgroep[[#This Row],[Digitale zorgtoepassing]],"_",uitkomst_doelgroep[[#This Row],[Doelgroep]],"_",uitkomst_doelgroep[[#This Row],[Uitgangssituatie/effect beleid]])</f>
        <v>Slimme pleisters_Overige_aandoeningen_Uitgangssituatie</v>
      </c>
      <c r="H1228" s="33">
        <v>2023</v>
      </c>
      <c r="I1228" s="32">
        <v>1</v>
      </c>
      <c r="J1228" s="406" cm="1">
        <f t="array" ref="J1228">INDEX(implementatie[[2023]:[2034]],MATCH(G1228, implementatie[Zoeksleutel],0),I1228)</f>
        <v>0</v>
      </c>
      <c r="K1228" s="406" cm="1">
        <f t="array" ref="K1228">INDEX(implementatie[[2023]:[2034]],MATCH(G1228,implementatie[Zoeksleutel],0),I1228 + 1)</f>
        <v>0</v>
      </c>
      <c r="L122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228" s="398" cm="1">
        <f t="array" ref="M1228">J1228*INDEX(Berekening_impact[Totaal arbeidsbesparing (€/jaar)],MATCH(B1228,IF(Berekening_impact[Doelgroep]=C1228,Berekening_impact[Digitale zorgtoepassing]),0))</f>
        <v>0</v>
      </c>
      <c r="N1228" s="397" cm="1">
        <f t="array" ref="N1228">J1228*INDEX(Berekening_impact[Totaal arbeidsbesparing (FTE/jaar)],MATCH(B1228,IF(Berekening_impact[Doelgroep]=C1228,Berekening_impact[Digitale zorgtoepassing]),0))</f>
        <v>0</v>
      </c>
      <c r="O1228" s="398" cm="1">
        <f t="array" ref="O1228">J1228*INDEX(Berekening_impact[Overige kostenbesparing (totaal/jaar totaal potentieel)],MATCH(B1228,IF(Berekening_impact[Doelgroep]=C1228,Berekening_impact[Digitale zorgtoepassing]),0))</f>
        <v>0</v>
      </c>
      <c r="P1228" s="398" cm="1">
        <f t="array" ref="P1228">J1228*INDEX(Berekening_impact[Opbrengsten door QALY''s],MATCH(B1228,IF(Berekening_impact[Doelgroep]=C1228,Berekening_impact[Digitale zorgtoepassing]),0))</f>
        <v>0</v>
      </c>
      <c r="Q1228" s="398" cm="1">
        <f t="array" ref="Q1228">J1228*INDEX(Berekening_impact[Jaarlijkse kosten (totaal) - incl. schatting],MATCH(B1228,IF(Berekening_impact[Doelgroep]=C1228,Berekening_impact[Digitale zorgtoepassing]),0))</f>
        <v>0</v>
      </c>
      <c r="R1228" s="398" cm="1">
        <f t="array" ref="R1228">(uitkomst_doelgroep[[#This Row],[Implementatiegraad t = T + 1]]-uitkomst_doelgroep[[#This Row],[Implementatiegraad t = T]])*INDEX(Berekening_impact[Initiële investering (totaal) - incl. schatting],MATCH(B1228,IF(Berekening_impact[Doelgroep]=C1228,Berekening_impact[Digitale zorgtoepassing]),0))</f>
        <v>0</v>
      </c>
      <c r="S1228" s="398">
        <f>uitkomst_doelgroep[[#This Row],[Arbeidsbesparing (€)]]*uitkomst_doelgroep[[#This Row],[Percentage van patiëntaantallen in Wlz (overige is Zvw)]]</f>
        <v>0</v>
      </c>
      <c r="T1228" s="398">
        <f>uitkomst_doelgroep[[#This Row],[Overige besparingen (€)]]*uitkomst_doelgroep[[#This Row],[Percentage van patiëntaantallen in Wlz (overige is Zvw)]]</f>
        <v>0</v>
      </c>
      <c r="U1228" s="398">
        <f>uitkomst_doelgroep[[#This Row],[Kosten (€)]]*uitkomst_doelgroep[[#This Row],[Percentage van patiëntaantallen in Wlz (overige is Zvw)]]</f>
        <v>0</v>
      </c>
      <c r="V1228" s="398">
        <f>uitkomst_doelgroep[[#This Row],[Investering (cash flow) (€)]]*uitkomst_doelgroep[[#This Row],[Percentage van patiëntaantallen in Wlz (overige is Zvw)]]</f>
        <v>0</v>
      </c>
    </row>
    <row r="1229" spans="1:22" x14ac:dyDescent="0.5">
      <c r="A1229" s="33" t="str">
        <f>INDEX(Technologieën[Veld],MATCH(B1229,Technologieën[Digitale zorgtoepassing],0))</f>
        <v>Sensoren - Behandeling</v>
      </c>
      <c r="B1229" s="33" t="s">
        <v>53</v>
      </c>
      <c r="C1229" s="33" t="s">
        <v>54</v>
      </c>
      <c r="D1229" s="427" cm="1">
        <f t="array" ref="D1229">INDEX(Berekening_patiëntaantal[Percentage van patiëntaantallen in Wlz (overige is Zvw)],MATCH(B1229,IF(Berekening_patiëntaantal[Doelgroep (zoeksleutel)]=C1229,Berekening_patiëntaantal[Digitale zorgtoepassing]),0))</f>
        <v>0</v>
      </c>
      <c r="E1229" s="33" t="str" cm="1">
        <f t="array" ref="E1229">INDEX(Berekening_patiëntaantal[Direct toepasbaar/extrapolatie/incidentie voor QALY],MATCH(B1229,IF(Berekening_patiëntaantal[Doelgroep (zoeksleutel)]=C1229,Berekening_patiëntaantal[Digitale zorgtoepassing]),0))</f>
        <v>Huidige toepassing</v>
      </c>
      <c r="F1229" s="33" t="s">
        <v>813</v>
      </c>
      <c r="G1229" s="33" t="str">
        <f>CONCATENATE(uitkomst_doelgroep[[#This Row],[Digitale zorgtoepassing]],"_",uitkomst_doelgroep[[#This Row],[Doelgroep]],"_",uitkomst_doelgroep[[#This Row],[Uitgangssituatie/effect beleid]])</f>
        <v>Slimme pleisters_Heup_Uitgangssituatie</v>
      </c>
      <c r="H1229" s="33">
        <v>2024</v>
      </c>
      <c r="I1229" s="32">
        <v>2</v>
      </c>
      <c r="J1229" s="406" cm="1">
        <f t="array" ref="J1229">INDEX(implementatie[[2023]:[2034]],MATCH(G1229, implementatie[Zoeksleutel],0),I1229)</f>
        <v>0.50800000000000001</v>
      </c>
      <c r="K1229" s="406" cm="1">
        <f t="array" ref="K1229">INDEX(implementatie[[2023]:[2034]],MATCH(G1229,implementatie[Zoeksleutel],0),I1229 + 1)</f>
        <v>0.61781439999999999</v>
      </c>
      <c r="L122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9144</v>
      </c>
      <c r="M1229" s="398" cm="1">
        <f t="array" ref="M1229">J1229*INDEX(Berekening_impact[Totaal arbeidsbesparing (€/jaar)],MATCH(B1229,IF(Berekening_impact[Doelgroep]=C1229,Berekening_impact[Digitale zorgtoepassing]),0))</f>
        <v>2935827.5039999993</v>
      </c>
      <c r="N1229" s="397" cm="1">
        <f t="array" ref="N1229">J1229*INDEX(Berekening_impact[Totaal arbeidsbesparing (FTE/jaar)],MATCH(B1229,IF(Berekening_impact[Doelgroep]=C1229,Berekening_impact[Digitale zorgtoepassing]),0))</f>
        <v>50.881439958118214</v>
      </c>
      <c r="O1229" s="398" cm="1">
        <f t="array" ref="O1229">J1229*INDEX(Berekening_impact[Overige kostenbesparing (totaal/jaar totaal potentieel)],MATCH(B1229,IF(Berekening_impact[Doelgroep]=C1229,Berekening_impact[Digitale zorgtoepassing]),0))</f>
        <v>1957218.3359999999</v>
      </c>
      <c r="P1229" s="398" cm="1">
        <f t="array" ref="P1229">J1229*INDEX(Berekening_impact[Opbrengsten door QALY''s],MATCH(B1229,IF(Berekening_impact[Doelgroep]=C1229,Berekening_impact[Digitale zorgtoepassing]),0))</f>
        <v>26060400</v>
      </c>
      <c r="Q1229" s="398" cm="1">
        <f t="array" ref="Q1229">J1229*INDEX(Berekening_impact[Jaarlijkse kosten (totaal) - incl. schatting],MATCH(B1229,IF(Berekening_impact[Doelgroep]=C1229,Berekening_impact[Digitale zorgtoepassing]),0))</f>
        <v>1795991.6666666665</v>
      </c>
      <c r="R1229" s="398" cm="1">
        <f t="array" ref="R1229">(uitkomst_doelgroep[[#This Row],[Implementatiegraad t = T + 1]]-uitkomst_doelgroep[[#This Row],[Implementatiegraad t = T]])*INDEX(Berekening_impact[Initiële investering (totaal) - incl. schatting],MATCH(B1229,IF(Berekening_impact[Doelgroep]=C1229,Berekening_impact[Digitale zorgtoepassing]),0))</f>
        <v>292542.8162399999</v>
      </c>
      <c r="S1229" s="398">
        <f>uitkomst_doelgroep[[#This Row],[Arbeidsbesparing (€)]]*uitkomst_doelgroep[[#This Row],[Percentage van patiëntaantallen in Wlz (overige is Zvw)]]</f>
        <v>0</v>
      </c>
      <c r="T1229" s="398">
        <f>uitkomst_doelgroep[[#This Row],[Overige besparingen (€)]]*uitkomst_doelgroep[[#This Row],[Percentage van patiëntaantallen in Wlz (overige is Zvw)]]</f>
        <v>0</v>
      </c>
      <c r="U1229" s="398">
        <f>uitkomst_doelgroep[[#This Row],[Kosten (€)]]*uitkomst_doelgroep[[#This Row],[Percentage van patiëntaantallen in Wlz (overige is Zvw)]]</f>
        <v>0</v>
      </c>
      <c r="V1229" s="398">
        <f>uitkomst_doelgroep[[#This Row],[Investering (cash flow) (€)]]*uitkomst_doelgroep[[#This Row],[Percentage van patiëntaantallen in Wlz (overige is Zvw)]]</f>
        <v>0</v>
      </c>
    </row>
    <row r="1230" spans="1:22" x14ac:dyDescent="0.5">
      <c r="A1230" s="33" t="str">
        <f>INDEX(Technologieën[Veld],MATCH(B1230,Technologieën[Digitale zorgtoepassing],0))</f>
        <v>Sensoren - Behandeling</v>
      </c>
      <c r="B1230" s="33" t="s">
        <v>53</v>
      </c>
      <c r="C1230" s="33" t="s">
        <v>55</v>
      </c>
      <c r="D1230" s="427" cm="1">
        <f t="array" ref="D1230">INDEX(Berekening_patiëntaantal[Percentage van patiëntaantallen in Wlz (overige is Zvw)],MATCH(B1230,IF(Berekening_patiëntaantal[Doelgroep (zoeksleutel)]=C1230,Berekening_patiëntaantal[Digitale zorgtoepassing]),0))</f>
        <v>0</v>
      </c>
      <c r="E1230" s="33" t="str" cm="1">
        <f t="array" ref="E1230">INDEX(Berekening_patiëntaantal[Direct toepasbaar/extrapolatie/incidentie voor QALY],MATCH(B1230,IF(Berekening_patiëntaantal[Doelgroep (zoeksleutel)]=C1230,Berekening_patiëntaantal[Digitale zorgtoepassing]),0))</f>
        <v>Huidige toepassing</v>
      </c>
      <c r="F1230" s="33" t="s">
        <v>813</v>
      </c>
      <c r="G1230" s="33" t="str">
        <f>CONCATENATE(uitkomst_doelgroep[[#This Row],[Digitale zorgtoepassing]],"_",uitkomst_doelgroep[[#This Row],[Doelgroep]],"_",uitkomst_doelgroep[[#This Row],[Uitgangssituatie/effect beleid]])</f>
        <v>Slimme pleisters_Knie_Uitgangssituatie</v>
      </c>
      <c r="H1230" s="33">
        <v>2024</v>
      </c>
      <c r="I1230" s="32">
        <v>2</v>
      </c>
      <c r="J1230" s="406" cm="1">
        <f t="array" ref="J1230">INDEX(implementatie[[2023]:[2034]],MATCH(G1230, implementatie[Zoeksleutel],0),I1230)</f>
        <v>0.50800000000000001</v>
      </c>
      <c r="K1230" s="406" cm="1">
        <f t="array" ref="K1230">INDEX(implementatie[[2023]:[2034]],MATCH(G1230,implementatie[Zoeksleutel],0),I1230 + 1)</f>
        <v>0.61781439999999999</v>
      </c>
      <c r="L123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7620</v>
      </c>
      <c r="M1230" s="398" cm="1">
        <f t="array" ref="M1230">J1230*INDEX(Berekening_impact[Totaal arbeidsbesparing (€/jaar)],MATCH(B1230,IF(Berekening_impact[Doelgroep]=C1230,Berekening_impact[Digitale zorgtoepassing]),0))</f>
        <v>2446522.9199999995</v>
      </c>
      <c r="N1230" s="397" cm="1">
        <f t="array" ref="N1230">J1230*INDEX(Berekening_impact[Totaal arbeidsbesparing (FTE/jaar)],MATCH(B1230,IF(Berekening_impact[Doelgroep]=C1230,Berekening_impact[Digitale zorgtoepassing]),0))</f>
        <v>42.40119996509852</v>
      </c>
      <c r="O1230" s="398" cm="1">
        <f t="array" ref="O1230">J1230*INDEX(Berekening_impact[Overige kostenbesparing (totaal/jaar totaal potentieel)],MATCH(B1230,IF(Berekening_impact[Doelgroep]=C1230,Berekening_impact[Digitale zorgtoepassing]),0))</f>
        <v>1631015.2799999998</v>
      </c>
      <c r="P1230" s="398" cm="1">
        <f t="array" ref="P1230">J1230*INDEX(Berekening_impact[Opbrengsten door QALY''s],MATCH(B1230,IF(Berekening_impact[Doelgroep]=C1230,Berekening_impact[Digitale zorgtoepassing]),0))</f>
        <v>21717000</v>
      </c>
      <c r="Q1230" s="398" cm="1">
        <f t="array" ref="Q1230">J1230*INDEX(Berekening_impact[Jaarlijkse kosten (totaal) - incl. schatting],MATCH(B1230,IF(Berekening_impact[Doelgroep]=C1230,Berekening_impact[Digitale zorgtoepassing]),0))</f>
        <v>1588346.6666666665</v>
      </c>
      <c r="R1230" s="398" cm="1">
        <f t="array" ref="R1230">(uitkomst_doelgroep[[#This Row],[Implementatiegraad t = T + 1]]-uitkomst_doelgroep[[#This Row],[Implementatiegraad t = T]])*INDEX(Berekening_impact[Initiële investering (totaal) - incl. schatting],MATCH(B1230,IF(Berekening_impact[Doelgroep]=C1230,Berekening_impact[Digitale zorgtoepassing]),0))</f>
        <v>292542.8162399999</v>
      </c>
      <c r="S1230" s="398">
        <f>uitkomst_doelgroep[[#This Row],[Arbeidsbesparing (€)]]*uitkomst_doelgroep[[#This Row],[Percentage van patiëntaantallen in Wlz (overige is Zvw)]]</f>
        <v>0</v>
      </c>
      <c r="T1230" s="398">
        <f>uitkomst_doelgroep[[#This Row],[Overige besparingen (€)]]*uitkomst_doelgroep[[#This Row],[Percentage van patiëntaantallen in Wlz (overige is Zvw)]]</f>
        <v>0</v>
      </c>
      <c r="U1230" s="398">
        <f>uitkomst_doelgroep[[#This Row],[Kosten (€)]]*uitkomst_doelgroep[[#This Row],[Percentage van patiëntaantallen in Wlz (overige is Zvw)]]</f>
        <v>0</v>
      </c>
      <c r="V1230" s="398">
        <f>uitkomst_doelgroep[[#This Row],[Investering (cash flow) (€)]]*uitkomst_doelgroep[[#This Row],[Percentage van patiëntaantallen in Wlz (overige is Zvw)]]</f>
        <v>0</v>
      </c>
    </row>
    <row r="1231" spans="1:22" x14ac:dyDescent="0.5">
      <c r="A1231" s="33" t="str">
        <f>INDEX(Technologieën[Veld],MATCH(B1231,Technologieën[Digitale zorgtoepassing],0))</f>
        <v>Sensoren - Behandeling</v>
      </c>
      <c r="B1231" s="33" t="s">
        <v>53</v>
      </c>
      <c r="C1231" s="33" t="s">
        <v>722</v>
      </c>
      <c r="D1231" s="427" cm="1">
        <f t="array" ref="D1231">INDEX(Berekening_patiëntaantal[Percentage van patiëntaantallen in Wlz (overige is Zvw)],MATCH(B1231,IF(Berekening_patiëntaantal[Doelgroep (zoeksleutel)]=C1231,Berekening_patiëntaantal[Digitale zorgtoepassing]),0))</f>
        <v>0</v>
      </c>
      <c r="E1231" s="33" t="str" cm="1">
        <f t="array" ref="E1231">INDEX(Berekening_patiëntaantal[Direct toepasbaar/extrapolatie/incidentie voor QALY],MATCH(B1231,IF(Berekening_patiëntaantal[Doelgroep (zoeksleutel)]=C1231,Berekening_patiëntaantal[Digitale zorgtoepassing]),0))</f>
        <v>Extrapolatie</v>
      </c>
      <c r="F1231" s="33" t="s">
        <v>813</v>
      </c>
      <c r="G1231" s="33" t="str">
        <f>CONCATENATE(uitkomst_doelgroep[[#This Row],[Digitale zorgtoepassing]],"_",uitkomst_doelgroep[[#This Row],[Doelgroep]],"_",uitkomst_doelgroep[[#This Row],[Uitgangssituatie/effect beleid]])</f>
        <v>Slimme pleisters_Overige_aandoeningen_Uitgangssituatie</v>
      </c>
      <c r="H1231" s="33">
        <v>2024</v>
      </c>
      <c r="I1231" s="32">
        <v>2</v>
      </c>
      <c r="J1231" s="406" cm="1">
        <f t="array" ref="J1231">INDEX(implementatie[[2023]:[2034]],MATCH(G1231, implementatie[Zoeksleutel],0),I1231)</f>
        <v>0</v>
      </c>
      <c r="K1231" s="406" cm="1">
        <f t="array" ref="K1231">INDEX(implementatie[[2023]:[2034]],MATCH(G1231,implementatie[Zoeksleutel],0),I1231 + 1)</f>
        <v>0</v>
      </c>
      <c r="L123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231" s="398" cm="1">
        <f t="array" ref="M1231">J1231*INDEX(Berekening_impact[Totaal arbeidsbesparing (€/jaar)],MATCH(B1231,IF(Berekening_impact[Doelgroep]=C1231,Berekening_impact[Digitale zorgtoepassing]),0))</f>
        <v>0</v>
      </c>
      <c r="N1231" s="397" cm="1">
        <f t="array" ref="N1231">J1231*INDEX(Berekening_impact[Totaal arbeidsbesparing (FTE/jaar)],MATCH(B1231,IF(Berekening_impact[Doelgroep]=C1231,Berekening_impact[Digitale zorgtoepassing]),0))</f>
        <v>0</v>
      </c>
      <c r="O1231" s="398" cm="1">
        <f t="array" ref="O1231">J1231*INDEX(Berekening_impact[Overige kostenbesparing (totaal/jaar totaal potentieel)],MATCH(B1231,IF(Berekening_impact[Doelgroep]=C1231,Berekening_impact[Digitale zorgtoepassing]),0))</f>
        <v>0</v>
      </c>
      <c r="P1231" s="398" cm="1">
        <f t="array" ref="P1231">J1231*INDEX(Berekening_impact[Opbrengsten door QALY''s],MATCH(B1231,IF(Berekening_impact[Doelgroep]=C1231,Berekening_impact[Digitale zorgtoepassing]),0))</f>
        <v>0</v>
      </c>
      <c r="Q1231" s="398" cm="1">
        <f t="array" ref="Q1231">J1231*INDEX(Berekening_impact[Jaarlijkse kosten (totaal) - incl. schatting],MATCH(B1231,IF(Berekening_impact[Doelgroep]=C1231,Berekening_impact[Digitale zorgtoepassing]),0))</f>
        <v>0</v>
      </c>
      <c r="R1231" s="398" cm="1">
        <f t="array" ref="R1231">(uitkomst_doelgroep[[#This Row],[Implementatiegraad t = T + 1]]-uitkomst_doelgroep[[#This Row],[Implementatiegraad t = T]])*INDEX(Berekening_impact[Initiële investering (totaal) - incl. schatting],MATCH(B1231,IF(Berekening_impact[Doelgroep]=C1231,Berekening_impact[Digitale zorgtoepassing]),0))</f>
        <v>0</v>
      </c>
      <c r="S1231" s="398">
        <f>uitkomst_doelgroep[[#This Row],[Arbeidsbesparing (€)]]*uitkomst_doelgroep[[#This Row],[Percentage van patiëntaantallen in Wlz (overige is Zvw)]]</f>
        <v>0</v>
      </c>
      <c r="T1231" s="398">
        <f>uitkomst_doelgroep[[#This Row],[Overige besparingen (€)]]*uitkomst_doelgroep[[#This Row],[Percentage van patiëntaantallen in Wlz (overige is Zvw)]]</f>
        <v>0</v>
      </c>
      <c r="U1231" s="398">
        <f>uitkomst_doelgroep[[#This Row],[Kosten (€)]]*uitkomst_doelgroep[[#This Row],[Percentage van patiëntaantallen in Wlz (overige is Zvw)]]</f>
        <v>0</v>
      </c>
      <c r="V1231" s="398">
        <f>uitkomst_doelgroep[[#This Row],[Investering (cash flow) (€)]]*uitkomst_doelgroep[[#This Row],[Percentage van patiëntaantallen in Wlz (overige is Zvw)]]</f>
        <v>0</v>
      </c>
    </row>
    <row r="1232" spans="1:22" x14ac:dyDescent="0.5">
      <c r="A1232" s="33" t="str">
        <f>INDEX(Technologieën[Veld],MATCH(B1232,Technologieën[Digitale zorgtoepassing],0))</f>
        <v>Sensoren - Behandeling</v>
      </c>
      <c r="B1232" s="33" t="s">
        <v>53</v>
      </c>
      <c r="C1232" s="33" t="s">
        <v>54</v>
      </c>
      <c r="D1232" s="427" cm="1">
        <f t="array" ref="D1232">INDEX(Berekening_patiëntaantal[Percentage van patiëntaantallen in Wlz (overige is Zvw)],MATCH(B1232,IF(Berekening_patiëntaantal[Doelgroep (zoeksleutel)]=C1232,Berekening_patiëntaantal[Digitale zorgtoepassing]),0))</f>
        <v>0</v>
      </c>
      <c r="E1232" s="33" t="str" cm="1">
        <f t="array" ref="E1232">INDEX(Berekening_patiëntaantal[Direct toepasbaar/extrapolatie/incidentie voor QALY],MATCH(B1232,IF(Berekening_patiëntaantal[Doelgroep (zoeksleutel)]=C1232,Berekening_patiëntaantal[Digitale zorgtoepassing]),0))</f>
        <v>Huidige toepassing</v>
      </c>
      <c r="F1232" s="33" t="s">
        <v>813</v>
      </c>
      <c r="G1232" s="33" t="str">
        <f>CONCATENATE(uitkomst_doelgroep[[#This Row],[Digitale zorgtoepassing]],"_",uitkomst_doelgroep[[#This Row],[Doelgroep]],"_",uitkomst_doelgroep[[#This Row],[Uitgangssituatie/effect beleid]])</f>
        <v>Slimme pleisters_Heup_Uitgangssituatie</v>
      </c>
      <c r="H1232" s="33">
        <v>2025</v>
      </c>
      <c r="I1232" s="32">
        <v>3</v>
      </c>
      <c r="J1232" s="406" cm="1">
        <f t="array" ref="J1232">INDEX(implementatie[[2023]:[2034]],MATCH(G1232, implementatie[Zoeksleutel],0),I1232)</f>
        <v>0.61781439999999999</v>
      </c>
      <c r="K1232" s="406" cm="1">
        <f t="array" ref="K1232">INDEX(implementatie[[2023]:[2034]],MATCH(G1232,implementatie[Zoeksleutel],0),I1232 + 1)</f>
        <v>0.71990601886105599</v>
      </c>
      <c r="L123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11120.6592</v>
      </c>
      <c r="M1232" s="398" cm="1">
        <f t="array" ref="M1232">J1232*INDEX(Berekening_impact[Totaal arbeidsbesparing (€/jaar)],MATCH(B1232,IF(Berekening_impact[Doelgroep]=C1232,Berekening_impact[Digitale zorgtoepassing]),0))</f>
        <v>3570465.566707199</v>
      </c>
      <c r="N1232" s="397" cm="1">
        <f t="array" ref="N1232">J1232*INDEX(Berekening_impact[Totaal arbeidsbesparing (FTE/jaar)],MATCH(B1232,IF(Berekening_impact[Doelgroep]=C1232,Berekening_impact[Digitale zorgtoepassing]),0))</f>
        <v>61.880484840277219</v>
      </c>
      <c r="O1232" s="398" cm="1">
        <f t="array" ref="O1232">J1232*INDEX(Berekening_impact[Overige kostenbesparing (totaal/jaar totaal potentieel)],MATCH(B1232,IF(Berekening_impact[Doelgroep]=C1232,Berekening_impact[Digitale zorgtoepassing]),0))</f>
        <v>2380310.3778047995</v>
      </c>
      <c r="P1232" s="398" cm="1">
        <f t="array" ref="P1232">J1232*INDEX(Berekening_impact[Opbrengsten door QALY''s],MATCH(B1232,IF(Berekening_impact[Doelgroep]=C1232,Berekening_impact[Digitale zorgtoepassing]),0))</f>
        <v>31693878.719999999</v>
      </c>
      <c r="Q1232" s="398" cm="1">
        <f t="array" ref="Q1232">J1232*INDEX(Berekening_impact[Jaarlijkse kosten (totaal) - incl. schatting],MATCH(B1232,IF(Berekening_impact[Doelgroep]=C1232,Berekening_impact[Digitale zorgtoepassing]),0))</f>
        <v>2184231.3266666667</v>
      </c>
      <c r="R1232" s="398" cm="1">
        <f t="array" ref="R1232">(uitkomst_doelgroep[[#This Row],[Implementatiegraad t = T + 1]]-uitkomst_doelgroep[[#This Row],[Implementatiegraad t = T]])*INDEX(Berekening_impact[Initiële investering (totaal) - incl. schatting],MATCH(B1232,IF(Berekening_impact[Doelgroep]=C1232,Berekening_impact[Digitale zorgtoepassing]),0))</f>
        <v>271969.5203553816</v>
      </c>
      <c r="S1232" s="398">
        <f>uitkomst_doelgroep[[#This Row],[Arbeidsbesparing (€)]]*uitkomst_doelgroep[[#This Row],[Percentage van patiëntaantallen in Wlz (overige is Zvw)]]</f>
        <v>0</v>
      </c>
      <c r="T1232" s="398">
        <f>uitkomst_doelgroep[[#This Row],[Overige besparingen (€)]]*uitkomst_doelgroep[[#This Row],[Percentage van patiëntaantallen in Wlz (overige is Zvw)]]</f>
        <v>0</v>
      </c>
      <c r="U1232" s="398">
        <f>uitkomst_doelgroep[[#This Row],[Kosten (€)]]*uitkomst_doelgroep[[#This Row],[Percentage van patiëntaantallen in Wlz (overige is Zvw)]]</f>
        <v>0</v>
      </c>
      <c r="V1232" s="398">
        <f>uitkomst_doelgroep[[#This Row],[Investering (cash flow) (€)]]*uitkomst_doelgroep[[#This Row],[Percentage van patiëntaantallen in Wlz (overige is Zvw)]]</f>
        <v>0</v>
      </c>
    </row>
    <row r="1233" spans="1:22" x14ac:dyDescent="0.5">
      <c r="A1233" s="33" t="str">
        <f>INDEX(Technologieën[Veld],MATCH(B1233,Technologieën[Digitale zorgtoepassing],0))</f>
        <v>Sensoren - Behandeling</v>
      </c>
      <c r="B1233" s="33" t="s">
        <v>53</v>
      </c>
      <c r="C1233" s="33" t="s">
        <v>55</v>
      </c>
      <c r="D1233" s="427" cm="1">
        <f t="array" ref="D1233">INDEX(Berekening_patiëntaantal[Percentage van patiëntaantallen in Wlz (overige is Zvw)],MATCH(B1233,IF(Berekening_patiëntaantal[Doelgroep (zoeksleutel)]=C1233,Berekening_patiëntaantal[Digitale zorgtoepassing]),0))</f>
        <v>0</v>
      </c>
      <c r="E1233" s="33" t="str" cm="1">
        <f t="array" ref="E1233">INDEX(Berekening_patiëntaantal[Direct toepasbaar/extrapolatie/incidentie voor QALY],MATCH(B1233,IF(Berekening_patiëntaantal[Doelgroep (zoeksleutel)]=C1233,Berekening_patiëntaantal[Digitale zorgtoepassing]),0))</f>
        <v>Huidige toepassing</v>
      </c>
      <c r="F1233" s="33" t="s">
        <v>813</v>
      </c>
      <c r="G1233" s="33" t="str">
        <f>CONCATENATE(uitkomst_doelgroep[[#This Row],[Digitale zorgtoepassing]],"_",uitkomst_doelgroep[[#This Row],[Doelgroep]],"_",uitkomst_doelgroep[[#This Row],[Uitgangssituatie/effect beleid]])</f>
        <v>Slimme pleisters_Knie_Uitgangssituatie</v>
      </c>
      <c r="H1233" s="33">
        <v>2025</v>
      </c>
      <c r="I1233" s="32">
        <v>3</v>
      </c>
      <c r="J1233" s="406" cm="1">
        <f t="array" ref="J1233">INDEX(implementatie[[2023]:[2034]],MATCH(G1233, implementatie[Zoeksleutel],0),I1233)</f>
        <v>0.61781439999999999</v>
      </c>
      <c r="K1233" s="406" cm="1">
        <f t="array" ref="K1233">INDEX(implementatie[[2023]:[2034]],MATCH(G1233,implementatie[Zoeksleutel],0),I1233 + 1)</f>
        <v>0.71990601886105599</v>
      </c>
      <c r="L123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9267.2160000000003</v>
      </c>
      <c r="M1233" s="398" cm="1">
        <f t="array" ref="M1233">J1233*INDEX(Berekening_impact[Totaal arbeidsbesparing (€/jaar)],MATCH(B1233,IF(Berekening_impact[Doelgroep]=C1233,Berekening_impact[Digitale zorgtoepassing]),0))</f>
        <v>2975387.9722559992</v>
      </c>
      <c r="N1233" s="397" cm="1">
        <f t="array" ref="N1233">J1233*INDEX(Berekening_impact[Totaal arbeidsbesparing (FTE/jaar)],MATCH(B1233,IF(Berekening_impact[Doelgroep]=C1233,Berekening_impact[Digitale zorgtoepassing]),0))</f>
        <v>51.567070700231021</v>
      </c>
      <c r="O1233" s="398" cm="1">
        <f t="array" ref="O1233">J1233*INDEX(Berekening_impact[Overige kostenbesparing (totaal/jaar totaal potentieel)],MATCH(B1233,IF(Berekening_impact[Doelgroep]=C1233,Berekening_impact[Digitale zorgtoepassing]),0))</f>
        <v>1983591.9815039996</v>
      </c>
      <c r="P1233" s="398" cm="1">
        <f t="array" ref="P1233">J1233*INDEX(Berekening_impact[Opbrengsten door QALY''s],MATCH(B1233,IF(Berekening_impact[Doelgroep]=C1233,Berekening_impact[Digitale zorgtoepassing]),0))</f>
        <v>26411565.599999998</v>
      </c>
      <c r="Q1233" s="398" cm="1">
        <f t="array" ref="Q1233">J1233*INDEX(Berekening_impact[Jaarlijkse kosten (totaal) - incl. schatting],MATCH(B1233,IF(Berekening_impact[Doelgroep]=C1233,Berekening_impact[Digitale zorgtoepassing]),0))</f>
        <v>1931699.6906666665</v>
      </c>
      <c r="R1233" s="398" cm="1">
        <f t="array" ref="R1233">(uitkomst_doelgroep[[#This Row],[Implementatiegraad t = T + 1]]-uitkomst_doelgroep[[#This Row],[Implementatiegraad t = T]])*INDEX(Berekening_impact[Initiële investering (totaal) - incl. schatting],MATCH(B1233,IF(Berekening_impact[Doelgroep]=C1233,Berekening_impact[Digitale zorgtoepassing]),0))</f>
        <v>271969.5203553816</v>
      </c>
      <c r="S1233" s="398">
        <f>uitkomst_doelgroep[[#This Row],[Arbeidsbesparing (€)]]*uitkomst_doelgroep[[#This Row],[Percentage van patiëntaantallen in Wlz (overige is Zvw)]]</f>
        <v>0</v>
      </c>
      <c r="T1233" s="398">
        <f>uitkomst_doelgroep[[#This Row],[Overige besparingen (€)]]*uitkomst_doelgroep[[#This Row],[Percentage van patiëntaantallen in Wlz (overige is Zvw)]]</f>
        <v>0</v>
      </c>
      <c r="U1233" s="398">
        <f>uitkomst_doelgroep[[#This Row],[Kosten (€)]]*uitkomst_doelgroep[[#This Row],[Percentage van patiëntaantallen in Wlz (overige is Zvw)]]</f>
        <v>0</v>
      </c>
      <c r="V1233" s="398">
        <f>uitkomst_doelgroep[[#This Row],[Investering (cash flow) (€)]]*uitkomst_doelgroep[[#This Row],[Percentage van patiëntaantallen in Wlz (overige is Zvw)]]</f>
        <v>0</v>
      </c>
    </row>
    <row r="1234" spans="1:22" x14ac:dyDescent="0.5">
      <c r="A1234" s="33" t="str">
        <f>INDEX(Technologieën[Veld],MATCH(B1234,Technologieën[Digitale zorgtoepassing],0))</f>
        <v>Sensoren - Behandeling</v>
      </c>
      <c r="B1234" s="33" t="s">
        <v>53</v>
      </c>
      <c r="C1234" s="33" t="s">
        <v>722</v>
      </c>
      <c r="D1234" s="427" cm="1">
        <f t="array" ref="D1234">INDEX(Berekening_patiëntaantal[Percentage van patiëntaantallen in Wlz (overige is Zvw)],MATCH(B1234,IF(Berekening_patiëntaantal[Doelgroep (zoeksleutel)]=C1234,Berekening_patiëntaantal[Digitale zorgtoepassing]),0))</f>
        <v>0</v>
      </c>
      <c r="E1234" s="33" t="str" cm="1">
        <f t="array" ref="E1234">INDEX(Berekening_patiëntaantal[Direct toepasbaar/extrapolatie/incidentie voor QALY],MATCH(B1234,IF(Berekening_patiëntaantal[Doelgroep (zoeksleutel)]=C1234,Berekening_patiëntaantal[Digitale zorgtoepassing]),0))</f>
        <v>Extrapolatie</v>
      </c>
      <c r="F1234" s="33" t="s">
        <v>813</v>
      </c>
      <c r="G1234" s="33" t="str">
        <f>CONCATENATE(uitkomst_doelgroep[[#This Row],[Digitale zorgtoepassing]],"_",uitkomst_doelgroep[[#This Row],[Doelgroep]],"_",uitkomst_doelgroep[[#This Row],[Uitgangssituatie/effect beleid]])</f>
        <v>Slimme pleisters_Overige_aandoeningen_Uitgangssituatie</v>
      </c>
      <c r="H1234" s="33">
        <v>2025</v>
      </c>
      <c r="I1234" s="32">
        <v>3</v>
      </c>
      <c r="J1234" s="406" cm="1">
        <f t="array" ref="J1234">INDEX(implementatie[[2023]:[2034]],MATCH(G1234, implementatie[Zoeksleutel],0),I1234)</f>
        <v>0</v>
      </c>
      <c r="K1234" s="406" cm="1">
        <f t="array" ref="K1234">INDEX(implementatie[[2023]:[2034]],MATCH(G1234,implementatie[Zoeksleutel],0),I1234 + 1)</f>
        <v>0.02</v>
      </c>
      <c r="L123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234" s="398" cm="1">
        <f t="array" ref="M1234">J1234*INDEX(Berekening_impact[Totaal arbeidsbesparing (€/jaar)],MATCH(B1234,IF(Berekening_impact[Doelgroep]=C1234,Berekening_impact[Digitale zorgtoepassing]),0))</f>
        <v>0</v>
      </c>
      <c r="N1234" s="397" cm="1">
        <f t="array" ref="N1234">J1234*INDEX(Berekening_impact[Totaal arbeidsbesparing (FTE/jaar)],MATCH(B1234,IF(Berekening_impact[Doelgroep]=C1234,Berekening_impact[Digitale zorgtoepassing]),0))</f>
        <v>0</v>
      </c>
      <c r="O1234" s="398" cm="1">
        <f t="array" ref="O1234">J1234*INDEX(Berekening_impact[Overige kostenbesparing (totaal/jaar totaal potentieel)],MATCH(B1234,IF(Berekening_impact[Doelgroep]=C1234,Berekening_impact[Digitale zorgtoepassing]),0))</f>
        <v>0</v>
      </c>
      <c r="P1234" s="398" cm="1">
        <f t="array" ref="P1234">J1234*INDEX(Berekening_impact[Opbrengsten door QALY''s],MATCH(B1234,IF(Berekening_impact[Doelgroep]=C1234,Berekening_impact[Digitale zorgtoepassing]),0))</f>
        <v>0</v>
      </c>
      <c r="Q1234" s="398" cm="1">
        <f t="array" ref="Q1234">J1234*INDEX(Berekening_impact[Jaarlijkse kosten (totaal) - incl. schatting],MATCH(B1234,IF(Berekening_impact[Doelgroep]=C1234,Berekening_impact[Digitale zorgtoepassing]),0))</f>
        <v>0</v>
      </c>
      <c r="R1234" s="398" cm="1">
        <f t="array" ref="R1234">(uitkomst_doelgroep[[#This Row],[Implementatiegraad t = T + 1]]-uitkomst_doelgroep[[#This Row],[Implementatiegraad t = T]])*INDEX(Berekening_impact[Initiële investering (totaal) - incl. schatting],MATCH(B1234,IF(Berekening_impact[Doelgroep]=C1234,Berekening_impact[Digitale zorgtoepassing]),0))</f>
        <v>0</v>
      </c>
      <c r="S1234" s="398">
        <f>uitkomst_doelgroep[[#This Row],[Arbeidsbesparing (€)]]*uitkomst_doelgroep[[#This Row],[Percentage van patiëntaantallen in Wlz (overige is Zvw)]]</f>
        <v>0</v>
      </c>
      <c r="T1234" s="398">
        <f>uitkomst_doelgroep[[#This Row],[Overige besparingen (€)]]*uitkomst_doelgroep[[#This Row],[Percentage van patiëntaantallen in Wlz (overige is Zvw)]]</f>
        <v>0</v>
      </c>
      <c r="U1234" s="398">
        <f>uitkomst_doelgroep[[#This Row],[Kosten (€)]]*uitkomst_doelgroep[[#This Row],[Percentage van patiëntaantallen in Wlz (overige is Zvw)]]</f>
        <v>0</v>
      </c>
      <c r="V1234" s="398">
        <f>uitkomst_doelgroep[[#This Row],[Investering (cash flow) (€)]]*uitkomst_doelgroep[[#This Row],[Percentage van patiëntaantallen in Wlz (overige is Zvw)]]</f>
        <v>0</v>
      </c>
    </row>
    <row r="1235" spans="1:22" x14ac:dyDescent="0.5">
      <c r="A1235" s="33" t="str">
        <f>INDEX(Technologieën[Veld],MATCH(B1235,Technologieën[Digitale zorgtoepassing],0))</f>
        <v>Sensoren - Behandeling</v>
      </c>
      <c r="B1235" s="33" t="s">
        <v>53</v>
      </c>
      <c r="C1235" s="33" t="s">
        <v>54</v>
      </c>
      <c r="D1235" s="427" cm="1">
        <f t="array" ref="D1235">INDEX(Berekening_patiëntaantal[Percentage van patiëntaantallen in Wlz (overige is Zvw)],MATCH(B1235,IF(Berekening_patiëntaantal[Doelgroep (zoeksleutel)]=C1235,Berekening_patiëntaantal[Digitale zorgtoepassing]),0))</f>
        <v>0</v>
      </c>
      <c r="E1235" s="33" t="str" cm="1">
        <f t="array" ref="E1235">INDEX(Berekening_patiëntaantal[Direct toepasbaar/extrapolatie/incidentie voor QALY],MATCH(B1235,IF(Berekening_patiëntaantal[Doelgroep (zoeksleutel)]=C1235,Berekening_patiëntaantal[Digitale zorgtoepassing]),0))</f>
        <v>Huidige toepassing</v>
      </c>
      <c r="F1235" s="33" t="s">
        <v>813</v>
      </c>
      <c r="G1235" s="33" t="str">
        <f>CONCATENATE(uitkomst_doelgroep[[#This Row],[Digitale zorgtoepassing]],"_",uitkomst_doelgroep[[#This Row],[Doelgroep]],"_",uitkomst_doelgroep[[#This Row],[Uitgangssituatie/effect beleid]])</f>
        <v>Slimme pleisters_Heup_Uitgangssituatie</v>
      </c>
      <c r="H1235" s="33">
        <v>2026</v>
      </c>
      <c r="I1235" s="32">
        <v>4</v>
      </c>
      <c r="J1235" s="406" cm="1">
        <f t="array" ref="J1235">INDEX(implementatie[[2023]:[2034]],MATCH(G1235, implementatie[Zoeksleutel],0),I1235)</f>
        <v>0.71990601886105599</v>
      </c>
      <c r="K1235" s="406" cm="1">
        <f t="array" ref="K1235">INDEX(implementatie[[2023]:[2034]],MATCH(G1235,implementatie[Zoeksleutel],0),I1235 + 1)</f>
        <v>0.80616443563130724</v>
      </c>
      <c r="L123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12958.308339499008</v>
      </c>
      <c r="M1235" s="398" cm="1">
        <f t="array" ref="M1235">J1235*INDEX(Berekening_impact[Totaal arbeidsbesparing (€/jaar)],MATCH(B1235,IF(Berekening_impact[Doelgroep]=C1235,Berekening_impact[Digitale zorgtoepassing]),0))</f>
        <v>4160472.2253295872</v>
      </c>
      <c r="N1235" s="397" cm="1">
        <f t="array" ref="N1235">J1235*INDEX(Berekening_impact[Totaal arbeidsbesparing (FTE/jaar)],MATCH(B1235,IF(Berekening_impact[Doelgroep]=C1235,Berekening_impact[Digitale zorgtoepassing]),0))</f>
        <v>72.106013531824289</v>
      </c>
      <c r="O1235" s="398" cm="1">
        <f t="array" ref="O1235">J1235*INDEX(Berekening_impact[Overige kostenbesparing (totaal/jaar totaal potentieel)],MATCH(B1235,IF(Berekening_impact[Doelgroep]=C1235,Berekening_impact[Digitale zorgtoepassing]),0))</f>
        <v>2773648.1502197254</v>
      </c>
      <c r="P1235" s="398" cm="1">
        <f t="array" ref="P1235">J1235*INDEX(Berekening_impact[Opbrengsten door QALY''s],MATCH(B1235,IF(Berekening_impact[Doelgroep]=C1235,Berekening_impact[Digitale zorgtoepassing]),0))</f>
        <v>36931178.767572172</v>
      </c>
      <c r="Q1235" s="398" cm="1">
        <f t="array" ref="Q1235">J1235*INDEX(Berekening_impact[Jaarlijkse kosten (totaal) - incl. schatting],MATCH(B1235,IF(Berekening_impact[Doelgroep]=C1235,Berekening_impact[Digitale zorgtoepassing]),0))</f>
        <v>2545167.7375150248</v>
      </c>
      <c r="R1235" s="398" cm="1">
        <f t="array" ref="R1235">(uitkomst_doelgroep[[#This Row],[Implementatiegraad t = T + 1]]-uitkomst_doelgroep[[#This Row],[Implementatiegraad t = T]])*INDEX(Berekening_impact[Initiële investering (totaal) - incl. schatting],MATCH(B1235,IF(Berekening_impact[Doelgroep]=C1235,Berekening_impact[Digitale zorgtoepassing]),0))</f>
        <v>229790.26581553006</v>
      </c>
      <c r="S1235" s="398">
        <f>uitkomst_doelgroep[[#This Row],[Arbeidsbesparing (€)]]*uitkomst_doelgroep[[#This Row],[Percentage van patiëntaantallen in Wlz (overige is Zvw)]]</f>
        <v>0</v>
      </c>
      <c r="T1235" s="398">
        <f>uitkomst_doelgroep[[#This Row],[Overige besparingen (€)]]*uitkomst_doelgroep[[#This Row],[Percentage van patiëntaantallen in Wlz (overige is Zvw)]]</f>
        <v>0</v>
      </c>
      <c r="U1235" s="398">
        <f>uitkomst_doelgroep[[#This Row],[Kosten (€)]]*uitkomst_doelgroep[[#This Row],[Percentage van patiëntaantallen in Wlz (overige is Zvw)]]</f>
        <v>0</v>
      </c>
      <c r="V1235" s="398">
        <f>uitkomst_doelgroep[[#This Row],[Investering (cash flow) (€)]]*uitkomst_doelgroep[[#This Row],[Percentage van patiëntaantallen in Wlz (overige is Zvw)]]</f>
        <v>0</v>
      </c>
    </row>
    <row r="1236" spans="1:22" x14ac:dyDescent="0.5">
      <c r="A1236" s="33" t="str">
        <f>INDEX(Technologieën[Veld],MATCH(B1236,Technologieën[Digitale zorgtoepassing],0))</f>
        <v>Sensoren - Behandeling</v>
      </c>
      <c r="B1236" s="33" t="s">
        <v>53</v>
      </c>
      <c r="C1236" s="33" t="s">
        <v>55</v>
      </c>
      <c r="D1236" s="427" cm="1">
        <f t="array" ref="D1236">INDEX(Berekening_patiëntaantal[Percentage van patiëntaantallen in Wlz (overige is Zvw)],MATCH(B1236,IF(Berekening_patiëntaantal[Doelgroep (zoeksleutel)]=C1236,Berekening_patiëntaantal[Digitale zorgtoepassing]),0))</f>
        <v>0</v>
      </c>
      <c r="E1236" s="33" t="str" cm="1">
        <f t="array" ref="E1236">INDEX(Berekening_patiëntaantal[Direct toepasbaar/extrapolatie/incidentie voor QALY],MATCH(B1236,IF(Berekening_patiëntaantal[Doelgroep (zoeksleutel)]=C1236,Berekening_patiëntaantal[Digitale zorgtoepassing]),0))</f>
        <v>Huidige toepassing</v>
      </c>
      <c r="F1236" s="33" t="s">
        <v>813</v>
      </c>
      <c r="G1236" s="33" t="str">
        <f>CONCATENATE(uitkomst_doelgroep[[#This Row],[Digitale zorgtoepassing]],"_",uitkomst_doelgroep[[#This Row],[Doelgroep]],"_",uitkomst_doelgroep[[#This Row],[Uitgangssituatie/effect beleid]])</f>
        <v>Slimme pleisters_Knie_Uitgangssituatie</v>
      </c>
      <c r="H1236" s="33">
        <v>2026</v>
      </c>
      <c r="I1236" s="32">
        <v>4</v>
      </c>
      <c r="J1236" s="406" cm="1">
        <f t="array" ref="J1236">INDEX(implementatie[[2023]:[2034]],MATCH(G1236, implementatie[Zoeksleutel],0),I1236)</f>
        <v>0.71990601886105599</v>
      </c>
      <c r="K1236" s="406" cm="1">
        <f t="array" ref="K1236">INDEX(implementatie[[2023]:[2034]],MATCH(G1236,implementatie[Zoeksleutel],0),I1236 + 1)</f>
        <v>0.80616443563130724</v>
      </c>
      <c r="L123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10798.59028291584</v>
      </c>
      <c r="M1236" s="398" cm="1">
        <f t="array" ref="M1236">J1236*INDEX(Berekening_impact[Totaal arbeidsbesparing (€/jaar)],MATCH(B1236,IF(Berekening_impact[Doelgroep]=C1236,Berekening_impact[Digitale zorgtoepassing]),0))</f>
        <v>3467060.1877746563</v>
      </c>
      <c r="N1236" s="397" cm="1">
        <f t="array" ref="N1236">J1236*INDEX(Berekening_impact[Totaal arbeidsbesparing (FTE/jaar)],MATCH(B1236,IF(Berekening_impact[Doelgroep]=C1236,Berekening_impact[Digitale zorgtoepassing]),0))</f>
        <v>60.088344609853579</v>
      </c>
      <c r="O1236" s="398" cm="1">
        <f t="array" ref="O1236">J1236*INDEX(Berekening_impact[Overige kostenbesparing (totaal/jaar totaal potentieel)],MATCH(B1236,IF(Berekening_impact[Doelgroep]=C1236,Berekening_impact[Digitale zorgtoepassing]),0))</f>
        <v>2311373.4585164376</v>
      </c>
      <c r="P1236" s="398" cm="1">
        <f t="array" ref="P1236">J1236*INDEX(Berekening_impact[Opbrengsten door QALY''s],MATCH(B1236,IF(Berekening_impact[Doelgroep]=C1236,Berekening_impact[Digitale zorgtoepassing]),0))</f>
        <v>30775982.306310143</v>
      </c>
      <c r="Q1236" s="398" cm="1">
        <f t="array" ref="Q1236">J1236*INDEX(Berekening_impact[Jaarlijkse kosten (totaal) - incl. schatting],MATCH(B1236,IF(Berekening_impact[Doelgroep]=C1236,Berekening_impact[Digitale zorgtoepassing]),0))</f>
        <v>2250906.1523055681</v>
      </c>
      <c r="R1236" s="398" cm="1">
        <f t="array" ref="R1236">(uitkomst_doelgroep[[#This Row],[Implementatiegraad t = T + 1]]-uitkomst_doelgroep[[#This Row],[Implementatiegraad t = T]])*INDEX(Berekening_impact[Initiële investering (totaal) - incl. schatting],MATCH(B1236,IF(Berekening_impact[Doelgroep]=C1236,Berekening_impact[Digitale zorgtoepassing]),0))</f>
        <v>229790.26581553006</v>
      </c>
      <c r="S1236" s="398">
        <f>uitkomst_doelgroep[[#This Row],[Arbeidsbesparing (€)]]*uitkomst_doelgroep[[#This Row],[Percentage van patiëntaantallen in Wlz (overige is Zvw)]]</f>
        <v>0</v>
      </c>
      <c r="T1236" s="398">
        <f>uitkomst_doelgroep[[#This Row],[Overige besparingen (€)]]*uitkomst_doelgroep[[#This Row],[Percentage van patiëntaantallen in Wlz (overige is Zvw)]]</f>
        <v>0</v>
      </c>
      <c r="U1236" s="398">
        <f>uitkomst_doelgroep[[#This Row],[Kosten (€)]]*uitkomst_doelgroep[[#This Row],[Percentage van patiëntaantallen in Wlz (overige is Zvw)]]</f>
        <v>0</v>
      </c>
      <c r="V1236" s="398">
        <f>uitkomst_doelgroep[[#This Row],[Investering (cash flow) (€)]]*uitkomst_doelgroep[[#This Row],[Percentage van patiëntaantallen in Wlz (overige is Zvw)]]</f>
        <v>0</v>
      </c>
    </row>
    <row r="1237" spans="1:22" x14ac:dyDescent="0.5">
      <c r="A1237" s="33" t="str">
        <f>INDEX(Technologieën[Veld],MATCH(B1237,Technologieën[Digitale zorgtoepassing],0))</f>
        <v>Sensoren - Behandeling</v>
      </c>
      <c r="B1237" s="33" t="s">
        <v>53</v>
      </c>
      <c r="C1237" s="33" t="s">
        <v>722</v>
      </c>
      <c r="D1237" s="427" cm="1">
        <f t="array" ref="D1237">INDEX(Berekening_patiëntaantal[Percentage van patiëntaantallen in Wlz (overige is Zvw)],MATCH(B1237,IF(Berekening_patiëntaantal[Doelgroep (zoeksleutel)]=C1237,Berekening_patiëntaantal[Digitale zorgtoepassing]),0))</f>
        <v>0</v>
      </c>
      <c r="E1237" s="33" t="str" cm="1">
        <f t="array" ref="E1237">INDEX(Berekening_patiëntaantal[Direct toepasbaar/extrapolatie/incidentie voor QALY],MATCH(B1237,IF(Berekening_patiëntaantal[Doelgroep (zoeksleutel)]=C1237,Berekening_patiëntaantal[Digitale zorgtoepassing]),0))</f>
        <v>Extrapolatie</v>
      </c>
      <c r="F1237" s="33" t="s">
        <v>813</v>
      </c>
      <c r="G1237" s="33" t="str">
        <f>CONCATENATE(uitkomst_doelgroep[[#This Row],[Digitale zorgtoepassing]],"_",uitkomst_doelgroep[[#This Row],[Doelgroep]],"_",uitkomst_doelgroep[[#This Row],[Uitgangssituatie/effect beleid]])</f>
        <v>Slimme pleisters_Overige_aandoeningen_Uitgangssituatie</v>
      </c>
      <c r="H1237" s="33">
        <v>2026</v>
      </c>
      <c r="I1237" s="32">
        <v>4</v>
      </c>
      <c r="J1237" s="406" cm="1">
        <f t="array" ref="J1237">INDEX(implementatie[[2023]:[2034]],MATCH(G1237, implementatie[Zoeksleutel],0),I1237)</f>
        <v>0.02</v>
      </c>
      <c r="K1237" s="406" cm="1">
        <f t="array" ref="K1237">INDEX(implementatie[[2023]:[2034]],MATCH(G1237,implementatie[Zoeksleutel],0),I1237 + 1)</f>
        <v>4.7439999999999996E-2</v>
      </c>
      <c r="L123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4980.1861389717178</v>
      </c>
      <c r="M1237" s="398" cm="1">
        <f t="array" ref="M1237">J1237*INDEX(Berekening_impact[Totaal arbeidsbesparing (€/jaar)],MATCH(B1237,IF(Berekening_impact[Doelgroep]=C1237,Berekening_impact[Digitale zorgtoepassing]),0))</f>
        <v>1598968.442895093</v>
      </c>
      <c r="N1237" s="397" cm="1">
        <f t="array" ref="N1237">J1237*INDEX(Berekening_impact[Totaal arbeidsbesparing (FTE/jaar)],MATCH(B1237,IF(Berekening_impact[Doelgroep]=C1237,Berekening_impact[Digitale zorgtoepassing]),0))</f>
        <v>27.712056212854556</v>
      </c>
      <c r="O1237" s="398" cm="1">
        <f t="array" ref="O1237">J1237*INDEX(Berekening_impact[Overige kostenbesparing (totaal/jaar totaal potentieel)],MATCH(B1237,IF(Berekening_impact[Doelgroep]=C1237,Berekening_impact[Digitale zorgtoepassing]),0))</f>
        <v>1065978.9619300622</v>
      </c>
      <c r="P1237" s="398" cm="1">
        <f t="array" ref="P1237">J1237*INDEX(Berekening_impact[Opbrengsten door QALY''s],MATCH(B1237,IF(Berekening_impact[Doelgroep]=C1237,Berekening_impact[Digitale zorgtoepassing]),0))</f>
        <v>14193530.496069396</v>
      </c>
      <c r="Q1237" s="398" cm="1">
        <f t="array" ref="Q1237">J1237*INDEX(Berekening_impact[Jaarlijkse kosten (totaal) - incl. schatting],MATCH(B1237,IF(Berekening_impact[Doelgroep]=C1237,Berekening_impact[Digitale zorgtoepassing]),0))</f>
        <v>700208.69476822973</v>
      </c>
      <c r="R1237" s="398" cm="1">
        <f t="array" ref="R1237">(uitkomst_doelgroep[[#This Row],[Implementatiegraad t = T + 1]]-uitkomst_doelgroep[[#This Row],[Implementatiegraad t = T]])*INDEX(Berekening_impact[Initiële investering (totaal) - incl. schatting],MATCH(B1237,IF(Berekening_impact[Doelgroep]=C1237,Berekening_impact[Digitale zorgtoepassing]),0))</f>
        <v>0</v>
      </c>
      <c r="S1237" s="398">
        <f>uitkomst_doelgroep[[#This Row],[Arbeidsbesparing (€)]]*uitkomst_doelgroep[[#This Row],[Percentage van patiëntaantallen in Wlz (overige is Zvw)]]</f>
        <v>0</v>
      </c>
      <c r="T1237" s="398">
        <f>uitkomst_doelgroep[[#This Row],[Overige besparingen (€)]]*uitkomst_doelgroep[[#This Row],[Percentage van patiëntaantallen in Wlz (overige is Zvw)]]</f>
        <v>0</v>
      </c>
      <c r="U1237" s="398">
        <f>uitkomst_doelgroep[[#This Row],[Kosten (€)]]*uitkomst_doelgroep[[#This Row],[Percentage van patiëntaantallen in Wlz (overige is Zvw)]]</f>
        <v>0</v>
      </c>
      <c r="V1237" s="398">
        <f>uitkomst_doelgroep[[#This Row],[Investering (cash flow) (€)]]*uitkomst_doelgroep[[#This Row],[Percentage van patiëntaantallen in Wlz (overige is Zvw)]]</f>
        <v>0</v>
      </c>
    </row>
    <row r="1238" spans="1:22" x14ac:dyDescent="0.5">
      <c r="A1238" s="33" t="str">
        <f>INDEX(Technologieën[Veld],MATCH(B1238,Technologieën[Digitale zorgtoepassing],0))</f>
        <v>Sensoren - Behandeling</v>
      </c>
      <c r="B1238" s="33" t="s">
        <v>53</v>
      </c>
      <c r="C1238" s="33" t="s">
        <v>54</v>
      </c>
      <c r="D1238" s="427" cm="1">
        <f t="array" ref="D1238">INDEX(Berekening_patiëntaantal[Percentage van patiëntaantallen in Wlz (overige is Zvw)],MATCH(B1238,IF(Berekening_patiëntaantal[Doelgroep (zoeksleutel)]=C1238,Berekening_patiëntaantal[Digitale zorgtoepassing]),0))</f>
        <v>0</v>
      </c>
      <c r="E1238" s="33" t="str" cm="1">
        <f t="array" ref="E1238">INDEX(Berekening_patiëntaantal[Direct toepasbaar/extrapolatie/incidentie voor QALY],MATCH(B1238,IF(Berekening_patiëntaantal[Doelgroep (zoeksleutel)]=C1238,Berekening_patiëntaantal[Digitale zorgtoepassing]),0))</f>
        <v>Huidige toepassing</v>
      </c>
      <c r="F1238" s="33" t="s">
        <v>813</v>
      </c>
      <c r="G1238" s="33" t="str">
        <f>CONCATENATE(uitkomst_doelgroep[[#This Row],[Digitale zorgtoepassing]],"_",uitkomst_doelgroep[[#This Row],[Doelgroep]],"_",uitkomst_doelgroep[[#This Row],[Uitgangssituatie/effect beleid]])</f>
        <v>Slimme pleisters_Heup_Uitgangssituatie</v>
      </c>
      <c r="H1238" s="33">
        <v>2027</v>
      </c>
      <c r="I1238" s="32">
        <v>5</v>
      </c>
      <c r="J1238" s="406" cm="1">
        <f t="array" ref="J1238">INDEX(implementatie[[2023]:[2034]],MATCH(G1238, implementatie[Zoeksleutel],0),I1238)</f>
        <v>0.80616443563130724</v>
      </c>
      <c r="K1238" s="406" cm="1">
        <f t="array" ref="K1238">INDEX(implementatie[[2023]:[2034]],MATCH(G1238,implementatie[Zoeksleutel],0),I1238 + 1)</f>
        <v>0.87254648226050635</v>
      </c>
      <c r="L123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14510.95984136353</v>
      </c>
      <c r="M1238" s="398" cm="1">
        <f t="array" ref="M1238">J1238*INDEX(Berekening_impact[Totaal arbeidsbesparing (€/jaar)],MATCH(B1238,IF(Berekening_impact[Doelgroep]=C1238,Berekening_impact[Digitale zorgtoepassing]),0))</f>
        <v>4658975.8324272214</v>
      </c>
      <c r="N1238" s="397" cm="1">
        <f t="array" ref="N1238">J1238*INDEX(Berekening_impact[Totaal arbeidsbesparing (FTE/jaar)],MATCH(B1238,IF(Berekening_impact[Doelgroep]=C1238,Berekening_impact[Digitale zorgtoepassing]),0))</f>
        <v>80.745683716426413</v>
      </c>
      <c r="O1238" s="398" cm="1">
        <f t="array" ref="O1238">J1238*INDEX(Berekening_impact[Overige kostenbesparing (totaal/jaar totaal potentieel)],MATCH(B1238,IF(Berekening_impact[Doelgroep]=C1238,Berekening_impact[Digitale zorgtoepassing]),0))</f>
        <v>3105983.888284815</v>
      </c>
      <c r="P1238" s="398" cm="1">
        <f t="array" ref="P1238">J1238*INDEX(Berekening_impact[Opbrengsten door QALY''s],MATCH(B1238,IF(Berekening_impact[Doelgroep]=C1238,Berekening_impact[Digitale zorgtoepassing]),0))</f>
        <v>41356235.547886059</v>
      </c>
      <c r="Q1238" s="398" cm="1">
        <f t="array" ref="Q1238">J1238*INDEX(Berekening_impact[Jaarlijkse kosten (totaal) - incl. schatting],MATCH(B1238,IF(Berekening_impact[Doelgroep]=C1238,Berekening_impact[Digitale zorgtoepassing]),0))</f>
        <v>2850127.1818048507</v>
      </c>
      <c r="R1238" s="398" cm="1">
        <f t="array" ref="R1238">(uitkomst_doelgroep[[#This Row],[Implementatiegraad t = T + 1]]-uitkomst_doelgroep[[#This Row],[Implementatiegraad t = T]])*INDEX(Berekening_impact[Initiële investering (totaal) - incl. schatting],MATCH(B1238,IF(Berekening_impact[Doelgroep]=C1238,Berekening_impact[Digitale zorgtoepassing]),0))</f>
        <v>176840.11266902066</v>
      </c>
      <c r="S1238" s="398">
        <f>uitkomst_doelgroep[[#This Row],[Arbeidsbesparing (€)]]*uitkomst_doelgroep[[#This Row],[Percentage van patiëntaantallen in Wlz (overige is Zvw)]]</f>
        <v>0</v>
      </c>
      <c r="T1238" s="398">
        <f>uitkomst_doelgroep[[#This Row],[Overige besparingen (€)]]*uitkomst_doelgroep[[#This Row],[Percentage van patiëntaantallen in Wlz (overige is Zvw)]]</f>
        <v>0</v>
      </c>
      <c r="U1238" s="398">
        <f>uitkomst_doelgroep[[#This Row],[Kosten (€)]]*uitkomst_doelgroep[[#This Row],[Percentage van patiëntaantallen in Wlz (overige is Zvw)]]</f>
        <v>0</v>
      </c>
      <c r="V1238" s="398">
        <f>uitkomst_doelgroep[[#This Row],[Investering (cash flow) (€)]]*uitkomst_doelgroep[[#This Row],[Percentage van patiëntaantallen in Wlz (overige is Zvw)]]</f>
        <v>0</v>
      </c>
    </row>
    <row r="1239" spans="1:22" x14ac:dyDescent="0.5">
      <c r="A1239" s="33" t="str">
        <f>INDEX(Technologieën[Veld],MATCH(B1239,Technologieën[Digitale zorgtoepassing],0))</f>
        <v>Sensoren - Behandeling</v>
      </c>
      <c r="B1239" s="33" t="s">
        <v>53</v>
      </c>
      <c r="C1239" s="33" t="s">
        <v>55</v>
      </c>
      <c r="D1239" s="427" cm="1">
        <f t="array" ref="D1239">INDEX(Berekening_patiëntaantal[Percentage van patiëntaantallen in Wlz (overige is Zvw)],MATCH(B1239,IF(Berekening_patiëntaantal[Doelgroep (zoeksleutel)]=C1239,Berekening_patiëntaantal[Digitale zorgtoepassing]),0))</f>
        <v>0</v>
      </c>
      <c r="E1239" s="33" t="str" cm="1">
        <f t="array" ref="E1239">INDEX(Berekening_patiëntaantal[Direct toepasbaar/extrapolatie/incidentie voor QALY],MATCH(B1239,IF(Berekening_patiëntaantal[Doelgroep (zoeksleutel)]=C1239,Berekening_patiëntaantal[Digitale zorgtoepassing]),0))</f>
        <v>Huidige toepassing</v>
      </c>
      <c r="F1239" s="33" t="s">
        <v>813</v>
      </c>
      <c r="G1239" s="33" t="str">
        <f>CONCATENATE(uitkomst_doelgroep[[#This Row],[Digitale zorgtoepassing]],"_",uitkomst_doelgroep[[#This Row],[Doelgroep]],"_",uitkomst_doelgroep[[#This Row],[Uitgangssituatie/effect beleid]])</f>
        <v>Slimme pleisters_Knie_Uitgangssituatie</v>
      </c>
      <c r="H1239" s="33">
        <v>2027</v>
      </c>
      <c r="I1239" s="32">
        <v>5</v>
      </c>
      <c r="J1239" s="406" cm="1">
        <f t="array" ref="J1239">INDEX(implementatie[[2023]:[2034]],MATCH(G1239, implementatie[Zoeksleutel],0),I1239)</f>
        <v>0.80616443563130724</v>
      </c>
      <c r="K1239" s="406" cm="1">
        <f t="array" ref="K1239">INDEX(implementatie[[2023]:[2034]],MATCH(G1239,implementatie[Zoeksleutel],0),I1239 + 1)</f>
        <v>0.87254648226050635</v>
      </c>
      <c r="L123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12092.466534469608</v>
      </c>
      <c r="M1239" s="398" cm="1">
        <f t="array" ref="M1239">J1239*INDEX(Berekening_impact[Totaal arbeidsbesparing (€/jaar)],MATCH(B1239,IF(Berekening_impact[Doelgroep]=C1239,Berekening_impact[Digitale zorgtoepassing]),0))</f>
        <v>3882479.8603560184</v>
      </c>
      <c r="N1239" s="397" cm="1">
        <f t="array" ref="N1239">J1239*INDEX(Berekening_impact[Totaal arbeidsbesparing (FTE/jaar)],MATCH(B1239,IF(Berekening_impact[Doelgroep]=C1239,Berekening_impact[Digitale zorgtoepassing]),0))</f>
        <v>67.288069763688682</v>
      </c>
      <c r="O1239" s="398" cm="1">
        <f t="array" ref="O1239">J1239*INDEX(Berekening_impact[Overige kostenbesparing (totaal/jaar totaal potentieel)],MATCH(B1239,IF(Berekening_impact[Doelgroep]=C1239,Berekening_impact[Digitale zorgtoepassing]),0))</f>
        <v>2588319.9069040124</v>
      </c>
      <c r="P1239" s="398" cm="1">
        <f t="array" ref="P1239">J1239*INDEX(Berekening_impact[Opbrengsten door QALY''s],MATCH(B1239,IF(Berekening_impact[Doelgroep]=C1239,Berekening_impact[Digitale zorgtoepassing]),0))</f>
        <v>34463529.623238385</v>
      </c>
      <c r="Q1239" s="398" cm="1">
        <f t="array" ref="Q1239">J1239*INDEX(Berekening_impact[Jaarlijkse kosten (totaal) - incl. schatting],MATCH(B1239,IF(Berekening_impact[Doelgroep]=C1239,Berekening_impact[Digitale zorgtoepassing]),0))</f>
        <v>2520607.4687405541</v>
      </c>
      <c r="R1239" s="398" cm="1">
        <f t="array" ref="R1239">(uitkomst_doelgroep[[#This Row],[Implementatiegraad t = T + 1]]-uitkomst_doelgroep[[#This Row],[Implementatiegraad t = T]])*INDEX(Berekening_impact[Initiële investering (totaal) - incl. schatting],MATCH(B1239,IF(Berekening_impact[Doelgroep]=C1239,Berekening_impact[Digitale zorgtoepassing]),0))</f>
        <v>176840.11266902066</v>
      </c>
      <c r="S1239" s="398">
        <f>uitkomst_doelgroep[[#This Row],[Arbeidsbesparing (€)]]*uitkomst_doelgroep[[#This Row],[Percentage van patiëntaantallen in Wlz (overige is Zvw)]]</f>
        <v>0</v>
      </c>
      <c r="T1239" s="398">
        <f>uitkomst_doelgroep[[#This Row],[Overige besparingen (€)]]*uitkomst_doelgroep[[#This Row],[Percentage van patiëntaantallen in Wlz (overige is Zvw)]]</f>
        <v>0</v>
      </c>
      <c r="U1239" s="398">
        <f>uitkomst_doelgroep[[#This Row],[Kosten (€)]]*uitkomst_doelgroep[[#This Row],[Percentage van patiëntaantallen in Wlz (overige is Zvw)]]</f>
        <v>0</v>
      </c>
      <c r="V1239" s="398">
        <f>uitkomst_doelgroep[[#This Row],[Investering (cash flow) (€)]]*uitkomst_doelgroep[[#This Row],[Percentage van patiëntaantallen in Wlz (overige is Zvw)]]</f>
        <v>0</v>
      </c>
    </row>
    <row r="1240" spans="1:22" x14ac:dyDescent="0.5">
      <c r="A1240" s="33" t="str">
        <f>INDEX(Technologieën[Veld],MATCH(B1240,Technologieën[Digitale zorgtoepassing],0))</f>
        <v>Sensoren - Behandeling</v>
      </c>
      <c r="B1240" s="33" t="s">
        <v>53</v>
      </c>
      <c r="C1240" s="33" t="s">
        <v>722</v>
      </c>
      <c r="D1240" s="427" cm="1">
        <f t="array" ref="D1240">INDEX(Berekening_patiëntaantal[Percentage van patiëntaantallen in Wlz (overige is Zvw)],MATCH(B1240,IF(Berekening_patiëntaantal[Doelgroep (zoeksleutel)]=C1240,Berekening_patiëntaantal[Digitale zorgtoepassing]),0))</f>
        <v>0</v>
      </c>
      <c r="E1240" s="33" t="str" cm="1">
        <f t="array" ref="E1240">INDEX(Berekening_patiëntaantal[Direct toepasbaar/extrapolatie/incidentie voor QALY],MATCH(B1240,IF(Berekening_patiëntaantal[Doelgroep (zoeksleutel)]=C1240,Berekening_patiëntaantal[Digitale zorgtoepassing]),0))</f>
        <v>Extrapolatie</v>
      </c>
      <c r="F1240" s="33" t="s">
        <v>813</v>
      </c>
      <c r="G1240" s="33" t="str">
        <f>CONCATENATE(uitkomst_doelgroep[[#This Row],[Digitale zorgtoepassing]],"_",uitkomst_doelgroep[[#This Row],[Doelgroep]],"_",uitkomst_doelgroep[[#This Row],[Uitgangssituatie/effect beleid]])</f>
        <v>Slimme pleisters_Overige_aandoeningen_Uitgangssituatie</v>
      </c>
      <c r="H1240" s="33">
        <v>2027</v>
      </c>
      <c r="I1240" s="32">
        <v>5</v>
      </c>
      <c r="J1240" s="406" cm="1">
        <f t="array" ref="J1240">INDEX(implementatie[[2023]:[2034]],MATCH(G1240, implementatie[Zoeksleutel],0),I1240)</f>
        <v>4.7439999999999996E-2</v>
      </c>
      <c r="K1240" s="406" cm="1">
        <f t="array" ref="K1240">INDEX(implementatie[[2023]:[2034]],MATCH(G1240,implementatie[Zoeksleutel],0),I1240 + 1)</f>
        <v>8.4566978560000006E-2</v>
      </c>
      <c r="L124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11813.001521640912</v>
      </c>
      <c r="M1240" s="398" cm="1">
        <f t="array" ref="M1240">J1240*INDEX(Berekening_impact[Totaal arbeidsbesparing (€/jaar)],MATCH(B1240,IF(Berekening_impact[Doelgroep]=C1240,Berekening_impact[Digitale zorgtoepassing]),0))</f>
        <v>3792753.1465471601</v>
      </c>
      <c r="N1240" s="397" cm="1">
        <f t="array" ref="N1240">J1240*INDEX(Berekening_impact[Totaal arbeidsbesparing (FTE/jaar)],MATCH(B1240,IF(Berekening_impact[Doelgroep]=C1240,Berekening_impact[Digitale zorgtoepassing]),0))</f>
        <v>65.732997336891003</v>
      </c>
      <c r="O1240" s="398" cm="1">
        <f t="array" ref="O1240">J1240*INDEX(Berekening_impact[Overige kostenbesparing (totaal/jaar totaal potentieel)],MATCH(B1240,IF(Berekening_impact[Doelgroep]=C1240,Berekening_impact[Digitale zorgtoepassing]),0))</f>
        <v>2528502.0976981074</v>
      </c>
      <c r="P1240" s="398" cm="1">
        <f t="array" ref="P1240">J1240*INDEX(Berekening_impact[Opbrengsten door QALY''s],MATCH(B1240,IF(Berekening_impact[Doelgroep]=C1240,Berekening_impact[Digitale zorgtoepassing]),0))</f>
        <v>33667054.336676605</v>
      </c>
      <c r="Q1240" s="398" cm="1">
        <f t="array" ref="Q1240">J1240*INDEX(Berekening_impact[Jaarlijkse kosten (totaal) - incl. schatting],MATCH(B1240,IF(Berekening_impact[Doelgroep]=C1240,Berekening_impact[Digitale zorgtoepassing]),0))</f>
        <v>1660895.0239902409</v>
      </c>
      <c r="R1240" s="398" cm="1">
        <f t="array" ref="R1240">(uitkomst_doelgroep[[#This Row],[Implementatiegraad t = T + 1]]-uitkomst_doelgroep[[#This Row],[Implementatiegraad t = T]])*INDEX(Berekening_impact[Initiële investering (totaal) - incl. schatting],MATCH(B1240,IF(Berekening_impact[Doelgroep]=C1240,Berekening_impact[Digitale zorgtoepassing]),0))</f>
        <v>0</v>
      </c>
      <c r="S1240" s="398">
        <f>uitkomst_doelgroep[[#This Row],[Arbeidsbesparing (€)]]*uitkomst_doelgroep[[#This Row],[Percentage van patiëntaantallen in Wlz (overige is Zvw)]]</f>
        <v>0</v>
      </c>
      <c r="T1240" s="398">
        <f>uitkomst_doelgroep[[#This Row],[Overige besparingen (€)]]*uitkomst_doelgroep[[#This Row],[Percentage van patiëntaantallen in Wlz (overige is Zvw)]]</f>
        <v>0</v>
      </c>
      <c r="U1240" s="398">
        <f>uitkomst_doelgroep[[#This Row],[Kosten (€)]]*uitkomst_doelgroep[[#This Row],[Percentage van patiëntaantallen in Wlz (overige is Zvw)]]</f>
        <v>0</v>
      </c>
      <c r="V1240" s="398">
        <f>uitkomst_doelgroep[[#This Row],[Investering (cash flow) (€)]]*uitkomst_doelgroep[[#This Row],[Percentage van patiëntaantallen in Wlz (overige is Zvw)]]</f>
        <v>0</v>
      </c>
    </row>
    <row r="1241" spans="1:22" x14ac:dyDescent="0.5">
      <c r="A1241" s="33" t="str">
        <f>INDEX(Technologieën[Veld],MATCH(B1241,Technologieën[Digitale zorgtoepassing],0))</f>
        <v>Sensoren - Behandeling</v>
      </c>
      <c r="B1241" s="33" t="s">
        <v>53</v>
      </c>
      <c r="C1241" s="33" t="s">
        <v>54</v>
      </c>
      <c r="D1241" s="427" cm="1">
        <f t="array" ref="D1241">INDEX(Berekening_patiëntaantal[Percentage van patiëntaantallen in Wlz (overige is Zvw)],MATCH(B1241,IF(Berekening_patiëntaantal[Doelgroep (zoeksleutel)]=C1241,Berekening_patiëntaantal[Digitale zorgtoepassing]),0))</f>
        <v>0</v>
      </c>
      <c r="E1241" s="33" t="str" cm="1">
        <f t="array" ref="E1241">INDEX(Berekening_patiëntaantal[Direct toepasbaar/extrapolatie/incidentie voor QALY],MATCH(B1241,IF(Berekening_patiëntaantal[Doelgroep (zoeksleutel)]=C1241,Berekening_patiëntaantal[Digitale zorgtoepassing]),0))</f>
        <v>Huidige toepassing</v>
      </c>
      <c r="F1241" s="33" t="s">
        <v>813</v>
      </c>
      <c r="G1241" s="33" t="str">
        <f>CONCATENATE(uitkomst_doelgroep[[#This Row],[Digitale zorgtoepassing]],"_",uitkomst_doelgroep[[#This Row],[Doelgroep]],"_",uitkomst_doelgroep[[#This Row],[Uitgangssituatie/effect beleid]])</f>
        <v>Slimme pleisters_Heup_Uitgangssituatie</v>
      </c>
      <c r="H1241" s="33">
        <v>2028</v>
      </c>
      <c r="I1241" s="32">
        <v>6</v>
      </c>
      <c r="J1241" s="406" cm="1">
        <f t="array" ref="J1241">INDEX(implementatie[[2023]:[2034]],MATCH(G1241, implementatie[Zoeksleutel],0),I1241)</f>
        <v>0.87254648226050635</v>
      </c>
      <c r="K1241" s="406" cm="1">
        <f t="array" ref="K1241">INDEX(implementatie[[2023]:[2034]],MATCH(G1241,implementatie[Zoeksleutel],0),I1241 + 1)</f>
        <v>0.9195792000374251</v>
      </c>
      <c r="L124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15705.836680689114</v>
      </c>
      <c r="M1241" s="398" cm="1">
        <f t="array" ref="M1241">J1241*INDEX(Berekening_impact[Totaal arbeidsbesparing (€/jaar)],MATCH(B1241,IF(Berekening_impact[Doelgroep]=C1241,Berekening_impact[Digitale zorgtoepassing]),0))</f>
        <v>5042610.1597221298</v>
      </c>
      <c r="N1241" s="397" cm="1">
        <f t="array" ref="N1241">J1241*INDEX(Berekening_impact[Totaal arbeidsbesparing (FTE/jaar)],MATCH(B1241,IF(Berekening_impact[Doelgroep]=C1241,Berekening_impact[Digitale zorgtoepassing]),0))</f>
        <v>87.394530409065382</v>
      </c>
      <c r="O1241" s="398" cm="1">
        <f t="array" ref="O1241">J1241*INDEX(Berekening_impact[Overige kostenbesparing (totaal/jaar totaal potentieel)],MATCH(B1241,IF(Berekening_impact[Doelgroep]=C1241,Berekening_impact[Digitale zorgtoepassing]),0))</f>
        <v>3361740.1064814203</v>
      </c>
      <c r="P1241" s="398" cm="1">
        <f t="array" ref="P1241">J1241*INDEX(Berekening_impact[Opbrengsten door QALY''s],MATCH(B1241,IF(Berekening_impact[Doelgroep]=C1241,Berekening_impact[Digitale zorgtoepassing]),0))</f>
        <v>44761634.539963976</v>
      </c>
      <c r="Q1241" s="398" cm="1">
        <f t="array" ref="Q1241">J1241*INDEX(Berekening_impact[Jaarlijkse kosten (totaal) - incl. schatting],MATCH(B1241,IF(Berekening_impact[Doelgroep]=C1241,Berekening_impact[Digitale zorgtoepassing]),0))</f>
        <v>3084815.3758251648</v>
      </c>
      <c r="R1241" s="398" cm="1">
        <f t="array" ref="R1241">(uitkomst_doelgroep[[#This Row],[Implementatiegraad t = T + 1]]-uitkomst_doelgroep[[#This Row],[Implementatiegraad t = T]])*INDEX(Berekening_impact[Initiële investering (totaal) - incl. schatting],MATCH(B1241,IF(Berekening_impact[Doelgroep]=C1241,Berekening_impact[Digitale zorgtoepassing]),0))</f>
        <v>125293.98433976711</v>
      </c>
      <c r="S1241" s="398">
        <f>uitkomst_doelgroep[[#This Row],[Arbeidsbesparing (€)]]*uitkomst_doelgroep[[#This Row],[Percentage van patiëntaantallen in Wlz (overige is Zvw)]]</f>
        <v>0</v>
      </c>
      <c r="T1241" s="398">
        <f>uitkomst_doelgroep[[#This Row],[Overige besparingen (€)]]*uitkomst_doelgroep[[#This Row],[Percentage van patiëntaantallen in Wlz (overige is Zvw)]]</f>
        <v>0</v>
      </c>
      <c r="U1241" s="398">
        <f>uitkomst_doelgroep[[#This Row],[Kosten (€)]]*uitkomst_doelgroep[[#This Row],[Percentage van patiëntaantallen in Wlz (overige is Zvw)]]</f>
        <v>0</v>
      </c>
      <c r="V1241" s="398">
        <f>uitkomst_doelgroep[[#This Row],[Investering (cash flow) (€)]]*uitkomst_doelgroep[[#This Row],[Percentage van patiëntaantallen in Wlz (overige is Zvw)]]</f>
        <v>0</v>
      </c>
    </row>
    <row r="1242" spans="1:22" x14ac:dyDescent="0.5">
      <c r="A1242" s="33" t="str">
        <f>INDEX(Technologieën[Veld],MATCH(B1242,Technologieën[Digitale zorgtoepassing],0))</f>
        <v>Sensoren - Behandeling</v>
      </c>
      <c r="B1242" s="33" t="s">
        <v>53</v>
      </c>
      <c r="C1242" s="33" t="s">
        <v>55</v>
      </c>
      <c r="D1242" s="427" cm="1">
        <f t="array" ref="D1242">INDEX(Berekening_patiëntaantal[Percentage van patiëntaantallen in Wlz (overige is Zvw)],MATCH(B1242,IF(Berekening_patiëntaantal[Doelgroep (zoeksleutel)]=C1242,Berekening_patiëntaantal[Digitale zorgtoepassing]),0))</f>
        <v>0</v>
      </c>
      <c r="E1242" s="33" t="str" cm="1">
        <f t="array" ref="E1242">INDEX(Berekening_patiëntaantal[Direct toepasbaar/extrapolatie/incidentie voor QALY],MATCH(B1242,IF(Berekening_patiëntaantal[Doelgroep (zoeksleutel)]=C1242,Berekening_patiëntaantal[Digitale zorgtoepassing]),0))</f>
        <v>Huidige toepassing</v>
      </c>
      <c r="F1242" s="33" t="s">
        <v>813</v>
      </c>
      <c r="G1242" s="33" t="str">
        <f>CONCATENATE(uitkomst_doelgroep[[#This Row],[Digitale zorgtoepassing]],"_",uitkomst_doelgroep[[#This Row],[Doelgroep]],"_",uitkomst_doelgroep[[#This Row],[Uitgangssituatie/effect beleid]])</f>
        <v>Slimme pleisters_Knie_Uitgangssituatie</v>
      </c>
      <c r="H1242" s="33">
        <v>2028</v>
      </c>
      <c r="I1242" s="32">
        <v>6</v>
      </c>
      <c r="J1242" s="406" cm="1">
        <f t="array" ref="J1242">INDEX(implementatie[[2023]:[2034]],MATCH(G1242, implementatie[Zoeksleutel],0),I1242)</f>
        <v>0.87254648226050635</v>
      </c>
      <c r="K1242" s="406" cm="1">
        <f t="array" ref="K1242">INDEX(implementatie[[2023]:[2034]],MATCH(G1242,implementatie[Zoeksleutel],0),I1242 + 1)</f>
        <v>0.9195792000374251</v>
      </c>
      <c r="L124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13088.197233907595</v>
      </c>
      <c r="M1242" s="398" cm="1">
        <f t="array" ref="M1242">J1242*INDEX(Berekening_impact[Totaal arbeidsbesparing (€/jaar)],MATCH(B1242,IF(Berekening_impact[Doelgroep]=C1242,Berekening_impact[Digitale zorgtoepassing]),0))</f>
        <v>4202175.1331017753</v>
      </c>
      <c r="N1242" s="397" cm="1">
        <f t="array" ref="N1242">J1242*INDEX(Berekening_impact[Totaal arbeidsbesparing (FTE/jaar)],MATCH(B1242,IF(Berekening_impact[Doelgroep]=C1242,Berekening_impact[Digitale zorgtoepassing]),0))</f>
        <v>72.82877534088783</v>
      </c>
      <c r="O1242" s="398" cm="1">
        <f t="array" ref="O1242">J1242*INDEX(Berekening_impact[Overige kostenbesparing (totaal/jaar totaal potentieel)],MATCH(B1242,IF(Berekening_impact[Doelgroep]=C1242,Berekening_impact[Digitale zorgtoepassing]),0))</f>
        <v>2801450.0887345169</v>
      </c>
      <c r="P1242" s="398" cm="1">
        <f t="array" ref="P1242">J1242*INDEX(Berekening_impact[Opbrengsten door QALY''s],MATCH(B1242,IF(Berekening_impact[Doelgroep]=C1242,Berekening_impact[Digitale zorgtoepassing]),0))</f>
        <v>37301362.116636649</v>
      </c>
      <c r="Q1242" s="398" cm="1">
        <f t="array" ref="Q1242">J1242*INDEX(Berekening_impact[Jaarlijkse kosten (totaal) - incl. schatting],MATCH(B1242,IF(Berekening_impact[Doelgroep]=C1242,Berekening_impact[Digitale zorgtoepassing]),0))</f>
        <v>2728162.0012011831</v>
      </c>
      <c r="R1242" s="398" cm="1">
        <f t="array" ref="R1242">(uitkomst_doelgroep[[#This Row],[Implementatiegraad t = T + 1]]-uitkomst_doelgroep[[#This Row],[Implementatiegraad t = T]])*INDEX(Berekening_impact[Initiële investering (totaal) - incl. schatting],MATCH(B1242,IF(Berekening_impact[Doelgroep]=C1242,Berekening_impact[Digitale zorgtoepassing]),0))</f>
        <v>125293.98433976711</v>
      </c>
      <c r="S1242" s="398">
        <f>uitkomst_doelgroep[[#This Row],[Arbeidsbesparing (€)]]*uitkomst_doelgroep[[#This Row],[Percentage van patiëntaantallen in Wlz (overige is Zvw)]]</f>
        <v>0</v>
      </c>
      <c r="T1242" s="398">
        <f>uitkomst_doelgroep[[#This Row],[Overige besparingen (€)]]*uitkomst_doelgroep[[#This Row],[Percentage van patiëntaantallen in Wlz (overige is Zvw)]]</f>
        <v>0</v>
      </c>
      <c r="U1242" s="398">
        <f>uitkomst_doelgroep[[#This Row],[Kosten (€)]]*uitkomst_doelgroep[[#This Row],[Percentage van patiëntaantallen in Wlz (overige is Zvw)]]</f>
        <v>0</v>
      </c>
      <c r="V1242" s="398">
        <f>uitkomst_doelgroep[[#This Row],[Investering (cash flow) (€)]]*uitkomst_doelgroep[[#This Row],[Percentage van patiëntaantallen in Wlz (overige is Zvw)]]</f>
        <v>0</v>
      </c>
    </row>
    <row r="1243" spans="1:22" x14ac:dyDescent="0.5">
      <c r="A1243" s="33" t="str">
        <f>INDEX(Technologieën[Veld],MATCH(B1243,Technologieën[Digitale zorgtoepassing],0))</f>
        <v>Sensoren - Behandeling</v>
      </c>
      <c r="B1243" s="33" t="s">
        <v>53</v>
      </c>
      <c r="C1243" s="33" t="s">
        <v>722</v>
      </c>
      <c r="D1243" s="427" cm="1">
        <f t="array" ref="D1243">INDEX(Berekening_patiëntaantal[Percentage van patiëntaantallen in Wlz (overige is Zvw)],MATCH(B1243,IF(Berekening_patiëntaantal[Doelgroep (zoeksleutel)]=C1243,Berekening_patiëntaantal[Digitale zorgtoepassing]),0))</f>
        <v>0</v>
      </c>
      <c r="E1243" s="33" t="str" cm="1">
        <f t="array" ref="E1243">INDEX(Berekening_patiëntaantal[Direct toepasbaar/extrapolatie/incidentie voor QALY],MATCH(B1243,IF(Berekening_patiëntaantal[Doelgroep (zoeksleutel)]=C1243,Berekening_patiëntaantal[Digitale zorgtoepassing]),0))</f>
        <v>Extrapolatie</v>
      </c>
      <c r="F1243" s="33" t="s">
        <v>813</v>
      </c>
      <c r="G1243" s="33" t="str">
        <f>CONCATENATE(uitkomst_doelgroep[[#This Row],[Digitale zorgtoepassing]],"_",uitkomst_doelgroep[[#This Row],[Doelgroep]],"_",uitkomst_doelgroep[[#This Row],[Uitgangssituatie/effect beleid]])</f>
        <v>Slimme pleisters_Overige_aandoeningen_Uitgangssituatie</v>
      </c>
      <c r="H1243" s="33">
        <v>2028</v>
      </c>
      <c r="I1243" s="32">
        <v>6</v>
      </c>
      <c r="J1243" s="406" cm="1">
        <f t="array" ref="J1243">INDEX(implementatie[[2023]:[2034]],MATCH(G1243, implementatie[Zoeksleutel],0),I1243)</f>
        <v>8.4566978560000006E-2</v>
      </c>
      <c r="K1243" s="406" cm="1">
        <f t="array" ref="K1243">INDEX(implementatie[[2023]:[2034]],MATCH(G1243,implementatie[Zoeksleutel],0),I1243 + 1)</f>
        <v>0.13384180086769301</v>
      </c>
      <c r="L124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21057.964721961522</v>
      </c>
      <c r="M1243" s="398" cm="1">
        <f t="array" ref="M1243">J1243*INDEX(Berekening_impact[Totaal arbeidsbesparing (€/jaar)],MATCH(B1243,IF(Berekening_impact[Doelgroep]=C1243,Berekening_impact[Digitale zorgtoepassing]),0))</f>
        <v>6760996.501421296</v>
      </c>
      <c r="N1243" s="397" cm="1">
        <f t="array" ref="N1243">J1243*INDEX(Berekening_impact[Totaal arbeidsbesparing (FTE/jaar)],MATCH(B1243,IF(Berekening_impact[Doelgroep]=C1243,Berekening_impact[Digitale zorgtoepassing]),0))</f>
        <v>117.17624318029931</v>
      </c>
      <c r="O1243" s="398" cm="1">
        <f t="array" ref="O1243">J1243*INDEX(Berekening_impact[Overige kostenbesparing (totaal/jaar totaal potentieel)],MATCH(B1243,IF(Berekening_impact[Doelgroep]=C1243,Berekening_impact[Digitale zorgtoepassing]),0))</f>
        <v>4507331.0009475313</v>
      </c>
      <c r="P1243" s="398" cm="1">
        <f t="array" ref="P1243">J1243*INDEX(Berekening_impact[Opbrengsten door QALY''s],MATCH(B1243,IF(Berekening_impact[Doelgroep]=C1243,Berekening_impact[Digitale zorgtoepassing]),0))</f>
        <v>60015199.457590342</v>
      </c>
      <c r="Q1243" s="398" cm="1">
        <f t="array" ref="Q1243">J1243*INDEX(Berekening_impact[Jaarlijkse kosten (totaal) - incl. schatting],MATCH(B1243,IF(Berekening_impact[Doelgroep]=C1243,Berekening_impact[Digitale zorgtoepassing]),0))</f>
        <v>2960726.6838995237</v>
      </c>
      <c r="R1243" s="398" cm="1">
        <f t="array" ref="R1243">(uitkomst_doelgroep[[#This Row],[Implementatiegraad t = T + 1]]-uitkomst_doelgroep[[#This Row],[Implementatiegraad t = T]])*INDEX(Berekening_impact[Initiële investering (totaal) - incl. schatting],MATCH(B1243,IF(Berekening_impact[Doelgroep]=C1243,Berekening_impact[Digitale zorgtoepassing]),0))</f>
        <v>0</v>
      </c>
      <c r="S1243" s="398">
        <f>uitkomst_doelgroep[[#This Row],[Arbeidsbesparing (€)]]*uitkomst_doelgroep[[#This Row],[Percentage van patiëntaantallen in Wlz (overige is Zvw)]]</f>
        <v>0</v>
      </c>
      <c r="T1243" s="398">
        <f>uitkomst_doelgroep[[#This Row],[Overige besparingen (€)]]*uitkomst_doelgroep[[#This Row],[Percentage van patiëntaantallen in Wlz (overige is Zvw)]]</f>
        <v>0</v>
      </c>
      <c r="U1243" s="398">
        <f>uitkomst_doelgroep[[#This Row],[Kosten (€)]]*uitkomst_doelgroep[[#This Row],[Percentage van patiëntaantallen in Wlz (overige is Zvw)]]</f>
        <v>0</v>
      </c>
      <c r="V1243" s="398">
        <f>uitkomst_doelgroep[[#This Row],[Investering (cash flow) (€)]]*uitkomst_doelgroep[[#This Row],[Percentage van patiëntaantallen in Wlz (overige is Zvw)]]</f>
        <v>0</v>
      </c>
    </row>
    <row r="1244" spans="1:22" x14ac:dyDescent="0.5">
      <c r="A1244" s="33" t="str">
        <f>INDEX(Technologieën[Veld],MATCH(B1244,Technologieën[Digitale zorgtoepassing],0))</f>
        <v>Sensoren - Behandeling</v>
      </c>
      <c r="B1244" s="33" t="s">
        <v>53</v>
      </c>
      <c r="C1244" s="33" t="s">
        <v>54</v>
      </c>
      <c r="D1244" s="427" cm="1">
        <f t="array" ref="D1244">INDEX(Berekening_patiëntaantal[Percentage van patiëntaantallen in Wlz (overige is Zvw)],MATCH(B1244,IF(Berekening_patiëntaantal[Doelgroep (zoeksleutel)]=C1244,Berekening_patiëntaantal[Digitale zorgtoepassing]),0))</f>
        <v>0</v>
      </c>
      <c r="E1244" s="33" t="str" cm="1">
        <f t="array" ref="E1244">INDEX(Berekening_patiëntaantal[Direct toepasbaar/extrapolatie/incidentie voor QALY],MATCH(B1244,IF(Berekening_patiëntaantal[Doelgroep (zoeksleutel)]=C1244,Berekening_patiëntaantal[Digitale zorgtoepassing]),0))</f>
        <v>Huidige toepassing</v>
      </c>
      <c r="F1244" s="33" t="s">
        <v>813</v>
      </c>
      <c r="G1244" s="33" t="str">
        <f>CONCATENATE(uitkomst_doelgroep[[#This Row],[Digitale zorgtoepassing]],"_",uitkomst_doelgroep[[#This Row],[Doelgroep]],"_",uitkomst_doelgroep[[#This Row],[Uitgangssituatie/effect beleid]])</f>
        <v>Slimme pleisters_Heup_Uitgangssituatie</v>
      </c>
      <c r="H1244" s="33">
        <v>2029</v>
      </c>
      <c r="I1244" s="32">
        <v>7</v>
      </c>
      <c r="J1244" s="406" cm="1">
        <f t="array" ref="J1244">INDEX(implementatie[[2023]:[2034]],MATCH(G1244, implementatie[Zoeksleutel],0),I1244)</f>
        <v>0.9195792000374251</v>
      </c>
      <c r="K1244" s="406" cm="1">
        <f t="array" ref="K1244">INDEX(implementatie[[2023]:[2034]],MATCH(G1244,implementatie[Zoeksleutel],0),I1244 + 1)</f>
        <v>0.95076893399505846</v>
      </c>
      <c r="L124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16552.42560067365</v>
      </c>
      <c r="M1244" s="398" cm="1">
        <f t="array" ref="M1244">J1244*INDEX(Berekening_impact[Totaal arbeidsbesparing (€/jaar)],MATCH(B1244,IF(Berekening_impact[Doelgroep]=C1244,Berekening_impact[Digitale zorgtoepassing]),0))</f>
        <v>5314421.0779058849</v>
      </c>
      <c r="N1244" s="397" cm="1">
        <f t="array" ref="N1244">J1244*INDEX(Berekening_impact[Totaal arbeidsbesparing (FTE/jaar)],MATCH(B1244,IF(Berekening_impact[Doelgroep]=C1244,Berekening_impact[Digitale zorgtoepassing]),0))</f>
        <v>92.105342231178398</v>
      </c>
      <c r="O1244" s="398" cm="1">
        <f t="array" ref="O1244">J1244*INDEX(Berekening_impact[Overige kostenbesparing (totaal/jaar totaal potentieel)],MATCH(B1244,IF(Berekening_impact[Doelgroep]=C1244,Berekening_impact[Digitale zorgtoepassing]),0))</f>
        <v>3542947.3852705909</v>
      </c>
      <c r="P1244" s="398" cm="1">
        <f t="array" ref="P1244">J1244*INDEX(Berekening_impact[Opbrengsten door QALY''s],MATCH(B1244,IF(Berekening_impact[Doelgroep]=C1244,Berekening_impact[Digitale zorgtoepassing]),0))</f>
        <v>47174412.961919911</v>
      </c>
      <c r="Q1244" s="398" cm="1">
        <f t="array" ref="Q1244">J1244*INDEX(Berekening_impact[Jaarlijkse kosten (totaal) - incl. schatting],MATCH(B1244,IF(Berekening_impact[Doelgroep]=C1244,Berekening_impact[Digitale zorgtoepassing]),0))</f>
        <v>3251095.6301323134</v>
      </c>
      <c r="R1244" s="398" cm="1">
        <f t="array" ref="R1244">(uitkomst_doelgroep[[#This Row],[Implementatiegraad t = T + 1]]-uitkomst_doelgroep[[#This Row],[Implementatiegraad t = T]])*INDEX(Berekening_impact[Initiële investering (totaal) - incl. schatting],MATCH(B1244,IF(Berekening_impact[Doelgroep]=C1244,Berekening_impact[Digitale zorgtoepassing]),0))</f>
        <v>83088.671519786309</v>
      </c>
      <c r="S1244" s="398">
        <f>uitkomst_doelgroep[[#This Row],[Arbeidsbesparing (€)]]*uitkomst_doelgroep[[#This Row],[Percentage van patiëntaantallen in Wlz (overige is Zvw)]]</f>
        <v>0</v>
      </c>
      <c r="T1244" s="398">
        <f>uitkomst_doelgroep[[#This Row],[Overige besparingen (€)]]*uitkomst_doelgroep[[#This Row],[Percentage van patiëntaantallen in Wlz (overige is Zvw)]]</f>
        <v>0</v>
      </c>
      <c r="U1244" s="398">
        <f>uitkomst_doelgroep[[#This Row],[Kosten (€)]]*uitkomst_doelgroep[[#This Row],[Percentage van patiëntaantallen in Wlz (overige is Zvw)]]</f>
        <v>0</v>
      </c>
      <c r="V1244" s="398">
        <f>uitkomst_doelgroep[[#This Row],[Investering (cash flow) (€)]]*uitkomst_doelgroep[[#This Row],[Percentage van patiëntaantallen in Wlz (overige is Zvw)]]</f>
        <v>0</v>
      </c>
    </row>
    <row r="1245" spans="1:22" x14ac:dyDescent="0.5">
      <c r="A1245" s="33" t="str">
        <f>INDEX(Technologieën[Veld],MATCH(B1245,Technologieën[Digitale zorgtoepassing],0))</f>
        <v>Sensoren - Behandeling</v>
      </c>
      <c r="B1245" s="33" t="s">
        <v>53</v>
      </c>
      <c r="C1245" s="33" t="s">
        <v>55</v>
      </c>
      <c r="D1245" s="427" cm="1">
        <f t="array" ref="D1245">INDEX(Berekening_patiëntaantal[Percentage van patiëntaantallen in Wlz (overige is Zvw)],MATCH(B1245,IF(Berekening_patiëntaantal[Doelgroep (zoeksleutel)]=C1245,Berekening_patiëntaantal[Digitale zorgtoepassing]),0))</f>
        <v>0</v>
      </c>
      <c r="E1245" s="33" t="str" cm="1">
        <f t="array" ref="E1245">INDEX(Berekening_patiëntaantal[Direct toepasbaar/extrapolatie/incidentie voor QALY],MATCH(B1245,IF(Berekening_patiëntaantal[Doelgroep (zoeksleutel)]=C1245,Berekening_patiëntaantal[Digitale zorgtoepassing]),0))</f>
        <v>Huidige toepassing</v>
      </c>
      <c r="F1245" s="33" t="s">
        <v>813</v>
      </c>
      <c r="G1245" s="33" t="str">
        <f>CONCATENATE(uitkomst_doelgroep[[#This Row],[Digitale zorgtoepassing]],"_",uitkomst_doelgroep[[#This Row],[Doelgroep]],"_",uitkomst_doelgroep[[#This Row],[Uitgangssituatie/effect beleid]])</f>
        <v>Slimme pleisters_Knie_Uitgangssituatie</v>
      </c>
      <c r="H1245" s="33">
        <v>2029</v>
      </c>
      <c r="I1245" s="32">
        <v>7</v>
      </c>
      <c r="J1245" s="406" cm="1">
        <f t="array" ref="J1245">INDEX(implementatie[[2023]:[2034]],MATCH(G1245, implementatie[Zoeksleutel],0),I1245)</f>
        <v>0.9195792000374251</v>
      </c>
      <c r="K1245" s="406" cm="1">
        <f t="array" ref="K1245">INDEX(implementatie[[2023]:[2034]],MATCH(G1245,implementatie[Zoeksleutel],0),I1245 + 1)</f>
        <v>0.95076893399505846</v>
      </c>
      <c r="L124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13793.688000561377</v>
      </c>
      <c r="M1245" s="398" cm="1">
        <f t="array" ref="M1245">J1245*INDEX(Berekening_impact[Totaal arbeidsbesparing (€/jaar)],MATCH(B1245,IF(Berekening_impact[Doelgroep]=C1245,Berekening_impact[Digitale zorgtoepassing]),0))</f>
        <v>4428684.2315882379</v>
      </c>
      <c r="N1245" s="397" cm="1">
        <f t="array" ref="N1245">J1245*INDEX(Berekening_impact[Totaal arbeidsbesparing (FTE/jaar)],MATCH(B1245,IF(Berekening_impact[Doelgroep]=C1245,Berekening_impact[Digitale zorgtoepassing]),0))</f>
        <v>76.754451859315338</v>
      </c>
      <c r="O1245" s="398" cm="1">
        <f t="array" ref="O1245">J1245*INDEX(Berekening_impact[Overige kostenbesparing (totaal/jaar totaal potentieel)],MATCH(B1245,IF(Berekening_impact[Doelgroep]=C1245,Berekening_impact[Digitale zorgtoepassing]),0))</f>
        <v>2952456.1543921591</v>
      </c>
      <c r="P1245" s="398" cm="1">
        <f t="array" ref="P1245">J1245*INDEX(Berekening_impact[Opbrengsten door QALY''s],MATCH(B1245,IF(Berekening_impact[Doelgroep]=C1245,Berekening_impact[Digitale zorgtoepassing]),0))</f>
        <v>39312010.80159992</v>
      </c>
      <c r="Q1245" s="398" cm="1">
        <f t="array" ref="Q1245">J1245*INDEX(Berekening_impact[Jaarlijkse kosten (totaal) - incl. schatting],MATCH(B1245,IF(Berekening_impact[Doelgroep]=C1245,Berekening_impact[Digitale zorgtoepassing]),0))</f>
        <v>2875217.6321170158</v>
      </c>
      <c r="R1245" s="398" cm="1">
        <f t="array" ref="R1245">(uitkomst_doelgroep[[#This Row],[Implementatiegraad t = T + 1]]-uitkomst_doelgroep[[#This Row],[Implementatiegraad t = T]])*INDEX(Berekening_impact[Initiële investering (totaal) - incl. schatting],MATCH(B1245,IF(Berekening_impact[Doelgroep]=C1245,Berekening_impact[Digitale zorgtoepassing]),0))</f>
        <v>83088.671519786309</v>
      </c>
      <c r="S1245" s="398">
        <f>uitkomst_doelgroep[[#This Row],[Arbeidsbesparing (€)]]*uitkomst_doelgroep[[#This Row],[Percentage van patiëntaantallen in Wlz (overige is Zvw)]]</f>
        <v>0</v>
      </c>
      <c r="T1245" s="398">
        <f>uitkomst_doelgroep[[#This Row],[Overige besparingen (€)]]*uitkomst_doelgroep[[#This Row],[Percentage van patiëntaantallen in Wlz (overige is Zvw)]]</f>
        <v>0</v>
      </c>
      <c r="U1245" s="398">
        <f>uitkomst_doelgroep[[#This Row],[Kosten (€)]]*uitkomst_doelgroep[[#This Row],[Percentage van patiëntaantallen in Wlz (overige is Zvw)]]</f>
        <v>0</v>
      </c>
      <c r="V1245" s="398">
        <f>uitkomst_doelgroep[[#This Row],[Investering (cash flow) (€)]]*uitkomst_doelgroep[[#This Row],[Percentage van patiëntaantallen in Wlz (overige is Zvw)]]</f>
        <v>0</v>
      </c>
    </row>
    <row r="1246" spans="1:22" x14ac:dyDescent="0.5">
      <c r="A1246" s="33" t="str">
        <f>INDEX(Technologieën[Veld],MATCH(B1246,Technologieën[Digitale zorgtoepassing],0))</f>
        <v>Sensoren - Behandeling</v>
      </c>
      <c r="B1246" s="33" t="s">
        <v>53</v>
      </c>
      <c r="C1246" s="33" t="s">
        <v>722</v>
      </c>
      <c r="D1246" s="427" cm="1">
        <f t="array" ref="D1246">INDEX(Berekening_patiëntaantal[Percentage van patiëntaantallen in Wlz (overige is Zvw)],MATCH(B1246,IF(Berekening_patiëntaantal[Doelgroep (zoeksleutel)]=C1246,Berekening_patiëntaantal[Digitale zorgtoepassing]),0))</f>
        <v>0</v>
      </c>
      <c r="E1246" s="33" t="str" cm="1">
        <f t="array" ref="E1246">INDEX(Berekening_patiëntaantal[Direct toepasbaar/extrapolatie/incidentie voor QALY],MATCH(B1246,IF(Berekening_patiëntaantal[Doelgroep (zoeksleutel)]=C1246,Berekening_patiëntaantal[Digitale zorgtoepassing]),0))</f>
        <v>Extrapolatie</v>
      </c>
      <c r="F1246" s="33" t="s">
        <v>813</v>
      </c>
      <c r="G1246" s="33" t="str">
        <f>CONCATENATE(uitkomst_doelgroep[[#This Row],[Digitale zorgtoepassing]],"_",uitkomst_doelgroep[[#This Row],[Doelgroep]],"_",uitkomst_doelgroep[[#This Row],[Uitgangssituatie/effect beleid]])</f>
        <v>Slimme pleisters_Overige_aandoeningen_Uitgangssituatie</v>
      </c>
      <c r="H1246" s="33">
        <v>2029</v>
      </c>
      <c r="I1246" s="32">
        <v>7</v>
      </c>
      <c r="J1246" s="406" cm="1">
        <f t="array" ref="J1246">INDEX(implementatie[[2023]:[2034]],MATCH(G1246, implementatie[Zoeksleutel],0),I1246)</f>
        <v>0.13384180086769301</v>
      </c>
      <c r="K1246" s="406" cm="1">
        <f t="array" ref="K1246">INDEX(implementatie[[2023]:[2034]],MATCH(G1246,implementatie[Zoeksleutel],0),I1246 + 1)</f>
        <v>0.19753623413361349</v>
      </c>
      <c r="L124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33327.854074814873</v>
      </c>
      <c r="M1246" s="398" cm="1">
        <f t="array" ref="M1246">J1246*INDEX(Berekening_impact[Totaal arbeidsbesparing (€/jaar)],MATCH(B1246,IF(Berekening_impact[Doelgroep]=C1246,Berekening_impact[Digitale zorgtoepassing]),0))</f>
        <v>10700440.79638451</v>
      </c>
      <c r="N1246" s="397" cm="1">
        <f t="array" ref="N1246">J1246*INDEX(Berekening_impact[Totaal arbeidsbesparing (FTE/jaar)],MATCH(B1246,IF(Berekening_impact[Doelgroep]=C1246,Berekening_impact[Digitale zorgtoepassing]),0))</f>
        <v>185.45157546375972</v>
      </c>
      <c r="O1246" s="398" cm="1">
        <f t="array" ref="O1246">J1246*INDEX(Berekening_impact[Overige kostenbesparing (totaal/jaar totaal potentieel)],MATCH(B1246,IF(Berekening_impact[Doelgroep]=C1246,Berekening_impact[Digitale zorgtoepassing]),0))</f>
        <v>7133627.197589675</v>
      </c>
      <c r="P1246" s="398" cm="1">
        <f t="array" ref="P1246">J1246*INDEX(Berekening_impact[Opbrengsten door QALY''s],MATCH(B1246,IF(Berekening_impact[Doelgroep]=C1246,Berekening_impact[Digitale zorgtoepassing]),0))</f>
        <v>94984384.113222405</v>
      </c>
      <c r="Q1246" s="398" cm="1">
        <f t="array" ref="Q1246">J1246*INDEX(Berekening_impact[Jaarlijkse kosten (totaal) - incl. schatting],MATCH(B1246,IF(Berekening_impact[Doelgroep]=C1246,Berekening_impact[Digitale zorgtoepassing]),0))</f>
        <v>4685859.634549832</v>
      </c>
      <c r="R1246" s="398" cm="1">
        <f t="array" ref="R1246">(uitkomst_doelgroep[[#This Row],[Implementatiegraad t = T + 1]]-uitkomst_doelgroep[[#This Row],[Implementatiegraad t = T]])*INDEX(Berekening_impact[Initiële investering (totaal) - incl. schatting],MATCH(B1246,IF(Berekening_impact[Doelgroep]=C1246,Berekening_impact[Digitale zorgtoepassing]),0))</f>
        <v>0</v>
      </c>
      <c r="S1246" s="398">
        <f>uitkomst_doelgroep[[#This Row],[Arbeidsbesparing (€)]]*uitkomst_doelgroep[[#This Row],[Percentage van patiëntaantallen in Wlz (overige is Zvw)]]</f>
        <v>0</v>
      </c>
      <c r="T1246" s="398">
        <f>uitkomst_doelgroep[[#This Row],[Overige besparingen (€)]]*uitkomst_doelgroep[[#This Row],[Percentage van patiëntaantallen in Wlz (overige is Zvw)]]</f>
        <v>0</v>
      </c>
      <c r="U1246" s="398">
        <f>uitkomst_doelgroep[[#This Row],[Kosten (€)]]*uitkomst_doelgroep[[#This Row],[Percentage van patiëntaantallen in Wlz (overige is Zvw)]]</f>
        <v>0</v>
      </c>
      <c r="V1246" s="398">
        <f>uitkomst_doelgroep[[#This Row],[Investering (cash flow) (€)]]*uitkomst_doelgroep[[#This Row],[Percentage van patiëntaantallen in Wlz (overige is Zvw)]]</f>
        <v>0</v>
      </c>
    </row>
    <row r="1247" spans="1:22" x14ac:dyDescent="0.5">
      <c r="A1247" s="33" t="str">
        <f>INDEX(Technologieën[Veld],MATCH(B1247,Technologieën[Digitale zorgtoepassing],0))</f>
        <v>Sensoren - Behandeling</v>
      </c>
      <c r="B1247" s="33" t="s">
        <v>53</v>
      </c>
      <c r="C1247" s="33" t="s">
        <v>54</v>
      </c>
      <c r="D1247" s="427" cm="1">
        <f t="array" ref="D1247">INDEX(Berekening_patiëntaantal[Percentage van patiëntaantallen in Wlz (overige is Zvw)],MATCH(B1247,IF(Berekening_patiëntaantal[Doelgroep (zoeksleutel)]=C1247,Berekening_patiëntaantal[Digitale zorgtoepassing]),0))</f>
        <v>0</v>
      </c>
      <c r="E1247" s="33" t="str" cm="1">
        <f t="array" ref="E1247">INDEX(Berekening_patiëntaantal[Direct toepasbaar/extrapolatie/incidentie voor QALY],MATCH(B1247,IF(Berekening_patiëntaantal[Doelgroep (zoeksleutel)]=C1247,Berekening_patiëntaantal[Digitale zorgtoepassing]),0))</f>
        <v>Huidige toepassing</v>
      </c>
      <c r="F1247" s="33" t="s">
        <v>813</v>
      </c>
      <c r="G1247" s="33" t="str">
        <f>CONCATENATE(uitkomst_doelgroep[[#This Row],[Digitale zorgtoepassing]],"_",uitkomst_doelgroep[[#This Row],[Doelgroep]],"_",uitkomst_doelgroep[[#This Row],[Uitgangssituatie/effect beleid]])</f>
        <v>Slimme pleisters_Heup_Uitgangssituatie</v>
      </c>
      <c r="H1247" s="33">
        <v>2030</v>
      </c>
      <c r="I1247" s="32">
        <v>8</v>
      </c>
      <c r="J1247" s="406" cm="1">
        <f t="array" ref="J1247">INDEX(implementatie[[2023]:[2034]],MATCH(G1247, implementatie[Zoeksleutel],0),I1247)</f>
        <v>0.95076893399505846</v>
      </c>
      <c r="K1247" s="406" cm="1">
        <f t="array" ref="K1247">INDEX(implementatie[[2023]:[2034]],MATCH(G1247,implementatie[Zoeksleutel],0),I1247 + 1)</f>
        <v>0.97047650257314066</v>
      </c>
      <c r="L124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17113.840811911054</v>
      </c>
      <c r="M1247" s="398" cm="1">
        <f t="array" ref="M1247">J1247*INDEX(Berekening_impact[Totaal arbeidsbesparing (€/jaar)],MATCH(B1247,IF(Berekening_impact[Doelgroep]=C1247,Berekening_impact[Digitale zorgtoepassing]),0))</f>
        <v>5494672.4141170317</v>
      </c>
      <c r="N1247" s="397" cm="1">
        <f t="array" ref="N1247">J1247*INDEX(Berekening_impact[Totaal arbeidsbesparing (FTE/jaar)],MATCH(B1247,IF(Berekening_impact[Doelgroep]=C1247,Berekening_impact[Digitale zorgtoepassing]),0))</f>
        <v>95.229315805341784</v>
      </c>
      <c r="O1247" s="398" cm="1">
        <f t="array" ref="O1247">J1247*INDEX(Berekening_impact[Overige kostenbesparing (totaal/jaar totaal potentieel)],MATCH(B1247,IF(Berekening_impact[Doelgroep]=C1247,Berekening_impact[Digitale zorgtoepassing]),0))</f>
        <v>3663114.9427446891</v>
      </c>
      <c r="P1247" s="398" cm="1">
        <f t="array" ref="P1247">J1247*INDEX(Berekening_impact[Opbrengsten door QALY''s],MATCH(B1247,IF(Berekening_impact[Doelgroep]=C1247,Berekening_impact[Digitale zorgtoepassing]),0))</f>
        <v>48774446.3139465</v>
      </c>
      <c r="Q1247" s="398" cm="1">
        <f t="array" ref="Q1247">J1247*INDEX(Berekening_impact[Jaarlijkse kosten (totaal) - incl. schatting],MATCH(B1247,IF(Berekening_impact[Doelgroep]=C1247,Berekening_impact[Digitale zorgtoepassing]),0))</f>
        <v>3361364.3353950293</v>
      </c>
      <c r="R1247" s="398" cm="1">
        <f t="array" ref="R1247">(uitkomst_doelgroep[[#This Row],[Implementatiegraad t = T + 1]]-uitkomst_doelgroep[[#This Row],[Implementatiegraad t = T]])*INDEX(Berekening_impact[Initiële investering (totaal) - incl. schatting],MATCH(B1247,IF(Berekening_impact[Doelgroep]=C1247,Berekening_impact[Digitale zorgtoepassing]),0))</f>
        <v>52500.470002796523</v>
      </c>
      <c r="S1247" s="398">
        <f>uitkomst_doelgroep[[#This Row],[Arbeidsbesparing (€)]]*uitkomst_doelgroep[[#This Row],[Percentage van patiëntaantallen in Wlz (overige is Zvw)]]</f>
        <v>0</v>
      </c>
      <c r="T1247" s="398">
        <f>uitkomst_doelgroep[[#This Row],[Overige besparingen (€)]]*uitkomst_doelgroep[[#This Row],[Percentage van patiëntaantallen in Wlz (overige is Zvw)]]</f>
        <v>0</v>
      </c>
      <c r="U1247" s="398">
        <f>uitkomst_doelgroep[[#This Row],[Kosten (€)]]*uitkomst_doelgroep[[#This Row],[Percentage van patiëntaantallen in Wlz (overige is Zvw)]]</f>
        <v>0</v>
      </c>
      <c r="V1247" s="398">
        <f>uitkomst_doelgroep[[#This Row],[Investering (cash flow) (€)]]*uitkomst_doelgroep[[#This Row],[Percentage van patiëntaantallen in Wlz (overige is Zvw)]]</f>
        <v>0</v>
      </c>
    </row>
    <row r="1248" spans="1:22" x14ac:dyDescent="0.5">
      <c r="A1248" s="33" t="str">
        <f>INDEX(Technologieën[Veld],MATCH(B1248,Technologieën[Digitale zorgtoepassing],0))</f>
        <v>Sensoren - Behandeling</v>
      </c>
      <c r="B1248" s="33" t="s">
        <v>53</v>
      </c>
      <c r="C1248" s="33" t="s">
        <v>55</v>
      </c>
      <c r="D1248" s="427" cm="1">
        <f t="array" ref="D1248">INDEX(Berekening_patiëntaantal[Percentage van patiëntaantallen in Wlz (overige is Zvw)],MATCH(B1248,IF(Berekening_patiëntaantal[Doelgroep (zoeksleutel)]=C1248,Berekening_patiëntaantal[Digitale zorgtoepassing]),0))</f>
        <v>0</v>
      </c>
      <c r="E1248" s="33" t="str" cm="1">
        <f t="array" ref="E1248">INDEX(Berekening_patiëntaantal[Direct toepasbaar/extrapolatie/incidentie voor QALY],MATCH(B1248,IF(Berekening_patiëntaantal[Doelgroep (zoeksleutel)]=C1248,Berekening_patiëntaantal[Digitale zorgtoepassing]),0))</f>
        <v>Huidige toepassing</v>
      </c>
      <c r="F1248" s="33" t="s">
        <v>813</v>
      </c>
      <c r="G1248" s="33" t="str">
        <f>CONCATENATE(uitkomst_doelgroep[[#This Row],[Digitale zorgtoepassing]],"_",uitkomst_doelgroep[[#This Row],[Doelgroep]],"_",uitkomst_doelgroep[[#This Row],[Uitgangssituatie/effect beleid]])</f>
        <v>Slimme pleisters_Knie_Uitgangssituatie</v>
      </c>
      <c r="H1248" s="33">
        <v>2030</v>
      </c>
      <c r="I1248" s="32">
        <v>8</v>
      </c>
      <c r="J1248" s="406" cm="1">
        <f t="array" ref="J1248">INDEX(implementatie[[2023]:[2034]],MATCH(G1248, implementatie[Zoeksleutel],0),I1248)</f>
        <v>0.95076893399505846</v>
      </c>
      <c r="K1248" s="406" cm="1">
        <f t="array" ref="K1248">INDEX(implementatie[[2023]:[2034]],MATCH(G1248,implementatie[Zoeksleutel],0),I1248 + 1)</f>
        <v>0.97047650257314066</v>
      </c>
      <c r="L124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14261.534009925877</v>
      </c>
      <c r="M1248" s="398" cm="1">
        <f t="array" ref="M1248">J1248*INDEX(Berekening_impact[Totaal arbeidsbesparing (€/jaar)],MATCH(B1248,IF(Berekening_impact[Doelgroep]=C1248,Berekening_impact[Digitale zorgtoepassing]),0))</f>
        <v>4578893.6784308609</v>
      </c>
      <c r="N1248" s="397" cm="1">
        <f t="array" ref="N1248">J1248*INDEX(Berekening_impact[Totaal arbeidsbesparing (FTE/jaar)],MATCH(B1248,IF(Berekening_impact[Doelgroep]=C1248,Berekening_impact[Digitale zorgtoepassing]),0))</f>
        <v>79.357763171118165</v>
      </c>
      <c r="O1248" s="398" cm="1">
        <f t="array" ref="O1248">J1248*INDEX(Berekening_impact[Overige kostenbesparing (totaal/jaar totaal potentieel)],MATCH(B1248,IF(Berekening_impact[Doelgroep]=C1248,Berekening_impact[Digitale zorgtoepassing]),0))</f>
        <v>3052595.7856205739</v>
      </c>
      <c r="P1248" s="398" cm="1">
        <f t="array" ref="P1248">J1248*INDEX(Berekening_impact[Opbrengsten door QALY''s],MATCH(B1248,IF(Berekening_impact[Doelgroep]=C1248,Berekening_impact[Digitale zorgtoepassing]),0))</f>
        <v>40645371.92828875</v>
      </c>
      <c r="Q1248" s="398" cm="1">
        <f t="array" ref="Q1248">J1248*INDEX(Berekening_impact[Jaarlijkse kosten (totaal) - incl. schatting],MATCH(B1248,IF(Berekening_impact[Doelgroep]=C1248,Berekening_impact[Digitale zorgtoepassing]),0))</f>
        <v>2972737.5336245494</v>
      </c>
      <c r="R1248" s="398" cm="1">
        <f t="array" ref="R1248">(uitkomst_doelgroep[[#This Row],[Implementatiegraad t = T + 1]]-uitkomst_doelgroep[[#This Row],[Implementatiegraad t = T]])*INDEX(Berekening_impact[Initiële investering (totaal) - incl. schatting],MATCH(B1248,IF(Berekening_impact[Doelgroep]=C1248,Berekening_impact[Digitale zorgtoepassing]),0))</f>
        <v>52500.470002796523</v>
      </c>
      <c r="S1248" s="398">
        <f>uitkomst_doelgroep[[#This Row],[Arbeidsbesparing (€)]]*uitkomst_doelgroep[[#This Row],[Percentage van patiëntaantallen in Wlz (overige is Zvw)]]</f>
        <v>0</v>
      </c>
      <c r="T1248" s="398">
        <f>uitkomst_doelgroep[[#This Row],[Overige besparingen (€)]]*uitkomst_doelgroep[[#This Row],[Percentage van patiëntaantallen in Wlz (overige is Zvw)]]</f>
        <v>0</v>
      </c>
      <c r="U1248" s="398">
        <f>uitkomst_doelgroep[[#This Row],[Kosten (€)]]*uitkomst_doelgroep[[#This Row],[Percentage van patiëntaantallen in Wlz (overige is Zvw)]]</f>
        <v>0</v>
      </c>
      <c r="V1248" s="398">
        <f>uitkomst_doelgroep[[#This Row],[Investering (cash flow) (€)]]*uitkomst_doelgroep[[#This Row],[Percentage van patiëntaantallen in Wlz (overige is Zvw)]]</f>
        <v>0</v>
      </c>
    </row>
    <row r="1249" spans="1:22" x14ac:dyDescent="0.5">
      <c r="A1249" s="33" t="str">
        <f>INDEX(Technologieën[Veld],MATCH(B1249,Technologieën[Digitale zorgtoepassing],0))</f>
        <v>Sensoren - Behandeling</v>
      </c>
      <c r="B1249" s="33" t="s">
        <v>53</v>
      </c>
      <c r="C1249" s="33" t="s">
        <v>722</v>
      </c>
      <c r="D1249" s="427" cm="1">
        <f t="array" ref="D1249">INDEX(Berekening_patiëntaantal[Percentage van patiëntaantallen in Wlz (overige is Zvw)],MATCH(B1249,IF(Berekening_patiëntaantal[Doelgroep (zoeksleutel)]=C1249,Berekening_patiëntaantal[Digitale zorgtoepassing]),0))</f>
        <v>0</v>
      </c>
      <c r="E1249" s="33" t="str" cm="1">
        <f t="array" ref="E1249">INDEX(Berekening_patiëntaantal[Direct toepasbaar/extrapolatie/incidentie voor QALY],MATCH(B1249,IF(Berekening_patiëntaantal[Doelgroep (zoeksleutel)]=C1249,Berekening_patiëntaantal[Digitale zorgtoepassing]),0))</f>
        <v>Extrapolatie</v>
      </c>
      <c r="F1249" s="33" t="s">
        <v>813</v>
      </c>
      <c r="G1249" s="33" t="str">
        <f>CONCATENATE(uitkomst_doelgroep[[#This Row],[Digitale zorgtoepassing]],"_",uitkomst_doelgroep[[#This Row],[Doelgroep]],"_",uitkomst_doelgroep[[#This Row],[Uitgangssituatie/effect beleid]])</f>
        <v>Slimme pleisters_Overige_aandoeningen_Uitgangssituatie</v>
      </c>
      <c r="H1249" s="33">
        <v>2030</v>
      </c>
      <c r="I1249" s="32">
        <v>8</v>
      </c>
      <c r="J1249" s="406" cm="1">
        <f t="array" ref="J1249">INDEX(implementatie[[2023]:[2034]],MATCH(G1249, implementatie[Zoeksleutel],0),I1249)</f>
        <v>0.19753623413361349</v>
      </c>
      <c r="K1249" s="406" cm="1">
        <f t="array" ref="K1249">INDEX(implementatie[[2023]:[2034]],MATCH(G1249,implementatie[Zoeksleutel],0),I1249 + 1)</f>
        <v>0.27699177758611071</v>
      </c>
      <c r="L124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49188.360758844683</v>
      </c>
      <c r="M1249" s="398" cm="1">
        <f t="array" ref="M1249">J1249*INDEX(Berekening_impact[Totaal arbeidsbesparing (€/jaar)],MATCH(B1249,IF(Berekening_impact[Doelgroep]=C1249,Berekening_impact[Digitale zorgtoepassing]),0))</f>
        <v>15792710.235399224</v>
      </c>
      <c r="N1249" s="397" cm="1">
        <f t="array" ref="N1249">J1249*INDEX(Berekening_impact[Totaal arbeidsbesparing (FTE/jaar)],MATCH(B1249,IF(Berekening_impact[Doelgroep]=C1249,Berekening_impact[Digitale zorgtoepassing]),0))</f>
        <v>273.70676121931479</v>
      </c>
      <c r="O1249" s="398" cm="1">
        <f t="array" ref="O1249">J1249*INDEX(Berekening_impact[Overige kostenbesparing (totaal/jaar totaal potentieel)],MATCH(B1249,IF(Berekening_impact[Doelgroep]=C1249,Berekening_impact[Digitale zorgtoepassing]),0))</f>
        <v>10528473.490266152</v>
      </c>
      <c r="P1249" s="398" cm="1">
        <f t="array" ref="P1249">J1249*INDEX(Berekening_impact[Opbrengsten door QALY''s],MATCH(B1249,IF(Berekening_impact[Doelgroep]=C1249,Berekening_impact[Digitale zorgtoepassing]),0))</f>
        <v>140186828.16270736</v>
      </c>
      <c r="Q1249" s="398" cm="1">
        <f t="array" ref="Q1249">J1249*INDEX(Berekening_impact[Jaarlijkse kosten (totaal) - incl. schatting],MATCH(B1249,IF(Berekening_impact[Doelgroep]=C1249,Berekening_impact[Digitale zorgtoepassing]),0))</f>
        <v>6915829.4336064467</v>
      </c>
      <c r="R1249" s="398" cm="1">
        <f t="array" ref="R1249">(uitkomst_doelgroep[[#This Row],[Implementatiegraad t = T + 1]]-uitkomst_doelgroep[[#This Row],[Implementatiegraad t = T]])*INDEX(Berekening_impact[Initiële investering (totaal) - incl. schatting],MATCH(B1249,IF(Berekening_impact[Doelgroep]=C1249,Berekening_impact[Digitale zorgtoepassing]),0))</f>
        <v>0</v>
      </c>
      <c r="S1249" s="398">
        <f>uitkomst_doelgroep[[#This Row],[Arbeidsbesparing (€)]]*uitkomst_doelgroep[[#This Row],[Percentage van patiëntaantallen in Wlz (overige is Zvw)]]</f>
        <v>0</v>
      </c>
      <c r="T1249" s="398">
        <f>uitkomst_doelgroep[[#This Row],[Overige besparingen (€)]]*uitkomst_doelgroep[[#This Row],[Percentage van patiëntaantallen in Wlz (overige is Zvw)]]</f>
        <v>0</v>
      </c>
      <c r="U1249" s="398">
        <f>uitkomst_doelgroep[[#This Row],[Kosten (€)]]*uitkomst_doelgroep[[#This Row],[Percentage van patiëntaantallen in Wlz (overige is Zvw)]]</f>
        <v>0</v>
      </c>
      <c r="V1249" s="398">
        <f>uitkomst_doelgroep[[#This Row],[Investering (cash flow) (€)]]*uitkomst_doelgroep[[#This Row],[Percentage van patiëntaantallen in Wlz (overige is Zvw)]]</f>
        <v>0</v>
      </c>
    </row>
    <row r="1250" spans="1:22" x14ac:dyDescent="0.5">
      <c r="A1250" s="33" t="str">
        <f>INDEX(Technologieën[Veld],MATCH(B1250,Technologieën[Digitale zorgtoepassing],0))</f>
        <v>Sensoren - Behandeling</v>
      </c>
      <c r="B1250" s="33" t="s">
        <v>53</v>
      </c>
      <c r="C1250" s="33" t="s">
        <v>54</v>
      </c>
      <c r="D1250" s="427" cm="1">
        <f t="array" ref="D1250">INDEX(Berekening_patiëntaantal[Percentage van patiëntaantallen in Wlz (overige is Zvw)],MATCH(B1250,IF(Berekening_patiëntaantal[Doelgroep (zoeksleutel)]=C1250,Berekening_patiëntaantal[Digitale zorgtoepassing]),0))</f>
        <v>0</v>
      </c>
      <c r="E1250" s="33" t="str" cm="1">
        <f t="array" ref="E1250">INDEX(Berekening_patiëntaantal[Direct toepasbaar/extrapolatie/incidentie voor QALY],MATCH(B1250,IF(Berekening_patiëntaantal[Doelgroep (zoeksleutel)]=C1250,Berekening_patiëntaantal[Digitale zorgtoepassing]),0))</f>
        <v>Huidige toepassing</v>
      </c>
      <c r="F1250" s="33" t="s">
        <v>813</v>
      </c>
      <c r="G1250" s="33" t="str">
        <f>CONCATENATE(uitkomst_doelgroep[[#This Row],[Digitale zorgtoepassing]],"_",uitkomst_doelgroep[[#This Row],[Doelgroep]],"_",uitkomst_doelgroep[[#This Row],[Uitgangssituatie/effect beleid]])</f>
        <v>Slimme pleisters_Heup_Uitgangssituatie</v>
      </c>
      <c r="H1250" s="33">
        <v>2031</v>
      </c>
      <c r="I1250" s="32">
        <v>9</v>
      </c>
      <c r="J1250" s="406" cm="1">
        <f t="array" ref="J1250">INDEX(implementatie[[2023]:[2034]],MATCH(G1250, implementatie[Zoeksleutel],0),I1250)</f>
        <v>0.97047650257314066</v>
      </c>
      <c r="K1250" s="406" cm="1">
        <f t="array" ref="K1250">INDEX(implementatie[[2023]:[2034]],MATCH(G1250,implementatie[Zoeksleutel],0),I1250 + 1)</f>
        <v>0.98252771673229611</v>
      </c>
      <c r="L125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17468.577046316532</v>
      </c>
      <c r="M1250" s="398" cm="1">
        <f t="array" ref="M1250">J1250*INDEX(Berekening_impact[Totaal arbeidsbesparing (€/jaar)],MATCH(B1250,IF(Berekening_impact[Doelgroep]=C1250,Berekening_impact[Digitale zorgtoepassing]),0))</f>
        <v>5608566.1579526616</v>
      </c>
      <c r="N1250" s="397" cm="1">
        <f t="array" ref="N1250">J1250*INDEX(Berekening_impact[Totaal arbeidsbesparing (FTE/jaar)],MATCH(B1250,IF(Berekening_impact[Doelgroep]=C1250,Berekening_impact[Digitale zorgtoepassing]),0))</f>
        <v>97.203232079605925</v>
      </c>
      <c r="O1250" s="398" cm="1">
        <f t="array" ref="O1250">J1250*INDEX(Berekening_impact[Overige kostenbesparing (totaal/jaar totaal potentieel)],MATCH(B1250,IF(Berekening_impact[Doelgroep]=C1250,Berekening_impact[Digitale zorgtoepassing]),0))</f>
        <v>3739044.1053017755</v>
      </c>
      <c r="P1250" s="398" cm="1">
        <f t="array" ref="P1250">J1250*INDEX(Berekening_impact[Opbrengsten door QALY''s],MATCH(B1250,IF(Berekening_impact[Doelgroep]=C1250,Berekening_impact[Digitale zorgtoepassing]),0))</f>
        <v>49785444.582002118</v>
      </c>
      <c r="Q1250" s="398" cm="1">
        <f t="array" ref="Q1250">J1250*INDEX(Berekening_impact[Jaarlijkse kosten (totaal) - incl. schatting],MATCH(B1250,IF(Berekening_impact[Doelgroep]=C1250,Berekening_impact[Digitale zorgtoepassing]),0))</f>
        <v>3431038.8018054576</v>
      </c>
      <c r="R1250" s="398" cm="1">
        <f t="array" ref="R1250">(uitkomst_doelgroep[[#This Row],[Implementatiegraad t = T + 1]]-uitkomst_doelgroep[[#This Row],[Implementatiegraad t = T]])*INDEX(Berekening_impact[Initiële investering (totaal) - incl. schatting],MATCH(B1250,IF(Berekening_impact[Doelgroep]=C1250,Berekening_impact[Digitale zorgtoepassing]),0))</f>
        <v>32104.133239636118</v>
      </c>
      <c r="S1250" s="398">
        <f>uitkomst_doelgroep[[#This Row],[Arbeidsbesparing (€)]]*uitkomst_doelgroep[[#This Row],[Percentage van patiëntaantallen in Wlz (overige is Zvw)]]</f>
        <v>0</v>
      </c>
      <c r="T1250" s="398">
        <f>uitkomst_doelgroep[[#This Row],[Overige besparingen (€)]]*uitkomst_doelgroep[[#This Row],[Percentage van patiëntaantallen in Wlz (overige is Zvw)]]</f>
        <v>0</v>
      </c>
      <c r="U1250" s="398">
        <f>uitkomst_doelgroep[[#This Row],[Kosten (€)]]*uitkomst_doelgroep[[#This Row],[Percentage van patiëntaantallen in Wlz (overige is Zvw)]]</f>
        <v>0</v>
      </c>
      <c r="V1250" s="398">
        <f>uitkomst_doelgroep[[#This Row],[Investering (cash flow) (€)]]*uitkomst_doelgroep[[#This Row],[Percentage van patiëntaantallen in Wlz (overige is Zvw)]]</f>
        <v>0</v>
      </c>
    </row>
    <row r="1251" spans="1:22" x14ac:dyDescent="0.5">
      <c r="A1251" s="33" t="str">
        <f>INDEX(Technologieën[Veld],MATCH(B1251,Technologieën[Digitale zorgtoepassing],0))</f>
        <v>Sensoren - Behandeling</v>
      </c>
      <c r="B1251" s="33" t="s">
        <v>53</v>
      </c>
      <c r="C1251" s="33" t="s">
        <v>55</v>
      </c>
      <c r="D1251" s="427" cm="1">
        <f t="array" ref="D1251">INDEX(Berekening_patiëntaantal[Percentage van patiëntaantallen in Wlz (overige is Zvw)],MATCH(B1251,IF(Berekening_patiëntaantal[Doelgroep (zoeksleutel)]=C1251,Berekening_patiëntaantal[Digitale zorgtoepassing]),0))</f>
        <v>0</v>
      </c>
      <c r="E1251" s="33" t="str" cm="1">
        <f t="array" ref="E1251">INDEX(Berekening_patiëntaantal[Direct toepasbaar/extrapolatie/incidentie voor QALY],MATCH(B1251,IF(Berekening_patiëntaantal[Doelgroep (zoeksleutel)]=C1251,Berekening_patiëntaantal[Digitale zorgtoepassing]),0))</f>
        <v>Huidige toepassing</v>
      </c>
      <c r="F1251" s="33" t="s">
        <v>813</v>
      </c>
      <c r="G1251" s="33" t="str">
        <f>CONCATENATE(uitkomst_doelgroep[[#This Row],[Digitale zorgtoepassing]],"_",uitkomst_doelgroep[[#This Row],[Doelgroep]],"_",uitkomst_doelgroep[[#This Row],[Uitgangssituatie/effect beleid]])</f>
        <v>Slimme pleisters_Knie_Uitgangssituatie</v>
      </c>
      <c r="H1251" s="33">
        <v>2031</v>
      </c>
      <c r="I1251" s="32">
        <v>9</v>
      </c>
      <c r="J1251" s="406" cm="1">
        <f t="array" ref="J1251">INDEX(implementatie[[2023]:[2034]],MATCH(G1251, implementatie[Zoeksleutel],0),I1251)</f>
        <v>0.97047650257314066</v>
      </c>
      <c r="K1251" s="406" cm="1">
        <f t="array" ref="K1251">INDEX(implementatie[[2023]:[2034]],MATCH(G1251,implementatie[Zoeksleutel],0),I1251 + 1)</f>
        <v>0.98252771673229611</v>
      </c>
      <c r="L125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14557.14753859711</v>
      </c>
      <c r="M1251" s="398" cm="1">
        <f t="array" ref="M1251">J1251*INDEX(Berekening_impact[Totaal arbeidsbesparing (€/jaar)],MATCH(B1251,IF(Berekening_impact[Doelgroep]=C1251,Berekening_impact[Digitale zorgtoepassing]),0))</f>
        <v>4673805.1316272188</v>
      </c>
      <c r="N1251" s="397" cm="1">
        <f t="array" ref="N1251">J1251*INDEX(Berekening_impact[Totaal arbeidsbesparing (FTE/jaar)],MATCH(B1251,IF(Berekening_impact[Doelgroep]=C1251,Berekening_impact[Digitale zorgtoepassing]),0))</f>
        <v>81.002693399671614</v>
      </c>
      <c r="O1251" s="398" cm="1">
        <f t="array" ref="O1251">J1251*INDEX(Berekening_impact[Overige kostenbesparing (totaal/jaar totaal potentieel)],MATCH(B1251,IF(Berekening_impact[Doelgroep]=C1251,Berekening_impact[Digitale zorgtoepassing]),0))</f>
        <v>3115870.0877514794</v>
      </c>
      <c r="P1251" s="398" cm="1">
        <f t="array" ref="P1251">J1251*INDEX(Berekening_impact[Opbrengsten door QALY''s],MATCH(B1251,IF(Berekening_impact[Doelgroep]=C1251,Berekening_impact[Digitale zorgtoepassing]),0))</f>
        <v>41487870.485001765</v>
      </c>
      <c r="Q1251" s="398" cm="1">
        <f t="array" ref="Q1251">J1251*INDEX(Berekening_impact[Jaarlijkse kosten (totaal) - incl. schatting],MATCH(B1251,IF(Berekening_impact[Doelgroep]=C1251,Berekening_impact[Digitale zorgtoepassing]),0))</f>
        <v>3034356.5313786864</v>
      </c>
      <c r="R1251" s="398" cm="1">
        <f t="array" ref="R1251">(uitkomst_doelgroep[[#This Row],[Implementatiegraad t = T + 1]]-uitkomst_doelgroep[[#This Row],[Implementatiegraad t = T]])*INDEX(Berekening_impact[Initiële investering (totaal) - incl. schatting],MATCH(B1251,IF(Berekening_impact[Doelgroep]=C1251,Berekening_impact[Digitale zorgtoepassing]),0))</f>
        <v>32104.133239636118</v>
      </c>
      <c r="S1251" s="398">
        <f>uitkomst_doelgroep[[#This Row],[Arbeidsbesparing (€)]]*uitkomst_doelgroep[[#This Row],[Percentage van patiëntaantallen in Wlz (overige is Zvw)]]</f>
        <v>0</v>
      </c>
      <c r="T1251" s="398">
        <f>uitkomst_doelgroep[[#This Row],[Overige besparingen (€)]]*uitkomst_doelgroep[[#This Row],[Percentage van patiëntaantallen in Wlz (overige is Zvw)]]</f>
        <v>0</v>
      </c>
      <c r="U1251" s="398">
        <f>uitkomst_doelgroep[[#This Row],[Kosten (€)]]*uitkomst_doelgroep[[#This Row],[Percentage van patiëntaantallen in Wlz (overige is Zvw)]]</f>
        <v>0</v>
      </c>
      <c r="V1251" s="398">
        <f>uitkomst_doelgroep[[#This Row],[Investering (cash flow) (€)]]*uitkomst_doelgroep[[#This Row],[Percentage van patiëntaantallen in Wlz (overige is Zvw)]]</f>
        <v>0</v>
      </c>
    </row>
    <row r="1252" spans="1:22" x14ac:dyDescent="0.5">
      <c r="A1252" s="33" t="str">
        <f>INDEX(Technologieën[Veld],MATCH(B1252,Technologieën[Digitale zorgtoepassing],0))</f>
        <v>Sensoren - Behandeling</v>
      </c>
      <c r="B1252" s="33" t="s">
        <v>53</v>
      </c>
      <c r="C1252" s="33" t="s">
        <v>722</v>
      </c>
      <c r="D1252" s="427" cm="1">
        <f t="array" ref="D1252">INDEX(Berekening_patiëntaantal[Percentage van patiëntaantallen in Wlz (overige is Zvw)],MATCH(B1252,IF(Berekening_patiëntaantal[Doelgroep (zoeksleutel)]=C1252,Berekening_patiëntaantal[Digitale zorgtoepassing]),0))</f>
        <v>0</v>
      </c>
      <c r="E1252" s="33" t="str" cm="1">
        <f t="array" ref="E1252">INDEX(Berekening_patiëntaantal[Direct toepasbaar/extrapolatie/incidentie voor QALY],MATCH(B1252,IF(Berekening_patiëntaantal[Doelgroep (zoeksleutel)]=C1252,Berekening_patiëntaantal[Digitale zorgtoepassing]),0))</f>
        <v>Extrapolatie</v>
      </c>
      <c r="F1252" s="33" t="s">
        <v>813</v>
      </c>
      <c r="G1252" s="33" t="str">
        <f>CONCATENATE(uitkomst_doelgroep[[#This Row],[Digitale zorgtoepassing]],"_",uitkomst_doelgroep[[#This Row],[Doelgroep]],"_",uitkomst_doelgroep[[#This Row],[Uitgangssituatie/effect beleid]])</f>
        <v>Slimme pleisters_Overige_aandoeningen_Uitgangssituatie</v>
      </c>
      <c r="H1252" s="33">
        <v>2031</v>
      </c>
      <c r="I1252" s="32">
        <v>9</v>
      </c>
      <c r="J1252" s="406" cm="1">
        <f t="array" ref="J1252">INDEX(implementatie[[2023]:[2034]],MATCH(G1252, implementatie[Zoeksleutel],0),I1252)</f>
        <v>0.27699177758611071</v>
      </c>
      <c r="K1252" s="406" cm="1">
        <f t="array" ref="K1252">INDEX(implementatie[[2023]:[2034]],MATCH(G1252,implementatie[Zoeksleutel],0),I1252 + 1)</f>
        <v>0.37155887512870744</v>
      </c>
      <c r="L125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68973.530567174268</v>
      </c>
      <c r="M1252" s="398" cm="1">
        <f t="array" ref="M1252">J1252*INDEX(Berekening_impact[Totaal arbeidsbesparing (€/jaar)],MATCH(B1252,IF(Berekening_impact[Doelgroep]=C1252,Berekening_impact[Digitale zorgtoepassing]),0))</f>
        <v>22145055.565080367</v>
      </c>
      <c r="N1252" s="397" cm="1">
        <f t="array" ref="N1252">J1252*INDEX(Berekening_impact[Totaal arbeidsbesparing (FTE/jaar)],MATCH(B1252,IF(Berekening_impact[Doelgroep]=C1252,Berekening_impact[Digitale zorgtoepassing]),0))</f>
        <v>383.80058554824029</v>
      </c>
      <c r="O1252" s="398" cm="1">
        <f t="array" ref="O1252">J1252*INDEX(Berekening_impact[Overige kostenbesparing (totaal/jaar totaal potentieel)],MATCH(B1252,IF(Berekening_impact[Doelgroep]=C1252,Berekening_impact[Digitale zorgtoepassing]),0))</f>
        <v>14763370.376720248</v>
      </c>
      <c r="P1252" s="398" cm="1">
        <f t="array" ref="P1252">J1252*INDEX(Berekening_impact[Opbrengsten door QALY''s],MATCH(B1252,IF(Berekening_impact[Doelgroep]=C1252,Berekening_impact[Digitale zorgtoepassing]),0))</f>
        <v>196574562.11644667</v>
      </c>
      <c r="Q1252" s="398" cm="1">
        <f t="array" ref="Q1252">J1252*INDEX(Berekening_impact[Jaarlijkse kosten (totaal) - incl. schatting],MATCH(B1252,IF(Berekening_impact[Doelgroep]=C1252,Berekening_impact[Digitale zorgtoepassing]),0))</f>
        <v>9697602.5522551183</v>
      </c>
      <c r="R1252" s="398" cm="1">
        <f t="array" ref="R1252">(uitkomst_doelgroep[[#This Row],[Implementatiegraad t = T + 1]]-uitkomst_doelgroep[[#This Row],[Implementatiegraad t = T]])*INDEX(Berekening_impact[Initiële investering (totaal) - incl. schatting],MATCH(B1252,IF(Berekening_impact[Doelgroep]=C1252,Berekening_impact[Digitale zorgtoepassing]),0))</f>
        <v>0</v>
      </c>
      <c r="S1252" s="398">
        <f>uitkomst_doelgroep[[#This Row],[Arbeidsbesparing (€)]]*uitkomst_doelgroep[[#This Row],[Percentage van patiëntaantallen in Wlz (overige is Zvw)]]</f>
        <v>0</v>
      </c>
      <c r="T1252" s="398">
        <f>uitkomst_doelgroep[[#This Row],[Overige besparingen (€)]]*uitkomst_doelgroep[[#This Row],[Percentage van patiëntaantallen in Wlz (overige is Zvw)]]</f>
        <v>0</v>
      </c>
      <c r="U1252" s="398">
        <f>uitkomst_doelgroep[[#This Row],[Kosten (€)]]*uitkomst_doelgroep[[#This Row],[Percentage van patiëntaantallen in Wlz (overige is Zvw)]]</f>
        <v>0</v>
      </c>
      <c r="V1252" s="398">
        <f>uitkomst_doelgroep[[#This Row],[Investering (cash flow) (€)]]*uitkomst_doelgroep[[#This Row],[Percentage van patiëntaantallen in Wlz (overige is Zvw)]]</f>
        <v>0</v>
      </c>
    </row>
    <row r="1253" spans="1:22" x14ac:dyDescent="0.5">
      <c r="A1253" s="33" t="str">
        <f>INDEX(Technologieën[Veld],MATCH(B1253,Technologieën[Digitale zorgtoepassing],0))</f>
        <v>Sensoren - Behandeling</v>
      </c>
      <c r="B1253" s="33" t="s">
        <v>53</v>
      </c>
      <c r="C1253" s="33" t="s">
        <v>54</v>
      </c>
      <c r="D1253" s="427" cm="1">
        <f t="array" ref="D1253">INDEX(Berekening_patiëntaantal[Percentage van patiëntaantallen in Wlz (overige is Zvw)],MATCH(B1253,IF(Berekening_patiëntaantal[Doelgroep (zoeksleutel)]=C1253,Berekening_patiëntaantal[Digitale zorgtoepassing]),0))</f>
        <v>0</v>
      </c>
      <c r="E1253" s="33" t="str" cm="1">
        <f t="array" ref="E1253">INDEX(Berekening_patiëntaantal[Direct toepasbaar/extrapolatie/incidentie voor QALY],MATCH(B1253,IF(Berekening_patiëntaantal[Doelgroep (zoeksleutel)]=C1253,Berekening_patiëntaantal[Digitale zorgtoepassing]),0))</f>
        <v>Huidige toepassing</v>
      </c>
      <c r="F1253" s="33" t="s">
        <v>813</v>
      </c>
      <c r="G1253" s="33" t="str">
        <f>CONCATENATE(uitkomst_doelgroep[[#This Row],[Digitale zorgtoepassing]],"_",uitkomst_doelgroep[[#This Row],[Doelgroep]],"_",uitkomst_doelgroep[[#This Row],[Uitgangssituatie/effect beleid]])</f>
        <v>Slimme pleisters_Heup_Uitgangssituatie</v>
      </c>
      <c r="H1253" s="33">
        <v>2032</v>
      </c>
      <c r="I1253" s="32">
        <v>10</v>
      </c>
      <c r="J1253" s="406" cm="1">
        <f t="array" ref="J1253">INDEX(implementatie[[2023]:[2034]],MATCH(G1253, implementatie[Zoeksleutel],0),I1253)</f>
        <v>0.98252771673229611</v>
      </c>
      <c r="K1253" s="406" cm="1">
        <f t="array" ref="K1253">INDEX(implementatie[[2023]:[2034]],MATCH(G1253,implementatie[Zoeksleutel],0),I1253 + 1)</f>
        <v>0.98974396343169702</v>
      </c>
      <c r="L125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17685.49890118133</v>
      </c>
      <c r="M1253" s="398" cm="1">
        <f t="array" ref="M1253">J1253*INDEX(Berekening_impact[Totaal arbeidsbesparing (€/jaar)],MATCH(B1253,IF(Berekening_impact[Doelgroep]=C1253,Berekening_impact[Digitale zorgtoepassing]),0))</f>
        <v>5678212.3902066834</v>
      </c>
      <c r="N1253" s="397" cm="1">
        <f t="array" ref="N1253">J1253*INDEX(Berekening_impact[Totaal arbeidsbesparing (FTE/jaar)],MATCH(B1253,IF(Berekening_impact[Doelgroep]=C1253,Berekening_impact[Digitale zorgtoepassing]),0))</f>
        <v>98.410285484451393</v>
      </c>
      <c r="O1253" s="398" cm="1">
        <f t="array" ref="O1253">J1253*INDEX(Berekening_impact[Overige kostenbesparing (totaal/jaar totaal potentieel)],MATCH(B1253,IF(Berekening_impact[Doelgroep]=C1253,Berekening_impact[Digitale zorgtoepassing]),0))</f>
        <v>3785474.9268044559</v>
      </c>
      <c r="P1253" s="398" cm="1">
        <f t="array" ref="P1253">J1253*INDEX(Berekening_impact[Opbrengsten door QALY''s],MATCH(B1253,IF(Berekening_impact[Doelgroep]=C1253,Berekening_impact[Digitale zorgtoepassing]),0))</f>
        <v>50403671.868366793</v>
      </c>
      <c r="Q1253" s="398" cm="1">
        <f t="array" ref="Q1253">J1253*INDEX(Berekening_impact[Jaarlijkse kosten (totaal) - incl. schatting],MATCH(B1253,IF(Berekening_impact[Doelgroep]=C1253,Berekening_impact[Digitale zorgtoepassing]),0))</f>
        <v>3473644.8651973051</v>
      </c>
      <c r="R1253" s="398" cm="1">
        <f t="array" ref="R1253">(uitkomst_doelgroep[[#This Row],[Implementatiegraad t = T + 1]]-uitkomst_doelgroep[[#This Row],[Implementatiegraad t = T]])*INDEX(Berekening_impact[Initiële investering (totaal) - incl. schatting],MATCH(B1253,IF(Berekening_impact[Doelgroep]=C1253,Berekening_impact[Digitale zorgtoepassing]),0))</f>
        <v>19223.900801036529</v>
      </c>
      <c r="S1253" s="398">
        <f>uitkomst_doelgroep[[#This Row],[Arbeidsbesparing (€)]]*uitkomst_doelgroep[[#This Row],[Percentage van patiëntaantallen in Wlz (overige is Zvw)]]</f>
        <v>0</v>
      </c>
      <c r="T1253" s="398">
        <f>uitkomst_doelgroep[[#This Row],[Overige besparingen (€)]]*uitkomst_doelgroep[[#This Row],[Percentage van patiëntaantallen in Wlz (overige is Zvw)]]</f>
        <v>0</v>
      </c>
      <c r="U1253" s="398">
        <f>uitkomst_doelgroep[[#This Row],[Kosten (€)]]*uitkomst_doelgroep[[#This Row],[Percentage van patiëntaantallen in Wlz (overige is Zvw)]]</f>
        <v>0</v>
      </c>
      <c r="V1253" s="398">
        <f>uitkomst_doelgroep[[#This Row],[Investering (cash flow) (€)]]*uitkomst_doelgroep[[#This Row],[Percentage van patiëntaantallen in Wlz (overige is Zvw)]]</f>
        <v>0</v>
      </c>
    </row>
    <row r="1254" spans="1:22" x14ac:dyDescent="0.5">
      <c r="A1254" s="33" t="str">
        <f>INDEX(Technologieën[Veld],MATCH(B1254,Technologieën[Digitale zorgtoepassing],0))</f>
        <v>Sensoren - Behandeling</v>
      </c>
      <c r="B1254" s="33" t="s">
        <v>53</v>
      </c>
      <c r="C1254" s="33" t="s">
        <v>55</v>
      </c>
      <c r="D1254" s="427" cm="1">
        <f t="array" ref="D1254">INDEX(Berekening_patiëntaantal[Percentage van patiëntaantallen in Wlz (overige is Zvw)],MATCH(B1254,IF(Berekening_patiëntaantal[Doelgroep (zoeksleutel)]=C1254,Berekening_patiëntaantal[Digitale zorgtoepassing]),0))</f>
        <v>0</v>
      </c>
      <c r="E1254" s="33" t="str" cm="1">
        <f t="array" ref="E1254">INDEX(Berekening_patiëntaantal[Direct toepasbaar/extrapolatie/incidentie voor QALY],MATCH(B1254,IF(Berekening_patiëntaantal[Doelgroep (zoeksleutel)]=C1254,Berekening_patiëntaantal[Digitale zorgtoepassing]),0))</f>
        <v>Huidige toepassing</v>
      </c>
      <c r="F1254" s="33" t="s">
        <v>813</v>
      </c>
      <c r="G1254" s="33" t="str">
        <f>CONCATENATE(uitkomst_doelgroep[[#This Row],[Digitale zorgtoepassing]],"_",uitkomst_doelgroep[[#This Row],[Doelgroep]],"_",uitkomst_doelgroep[[#This Row],[Uitgangssituatie/effect beleid]])</f>
        <v>Slimme pleisters_Knie_Uitgangssituatie</v>
      </c>
      <c r="H1254" s="33">
        <v>2032</v>
      </c>
      <c r="I1254" s="32">
        <v>10</v>
      </c>
      <c r="J1254" s="406" cm="1">
        <f t="array" ref="J1254">INDEX(implementatie[[2023]:[2034]],MATCH(G1254, implementatie[Zoeksleutel],0),I1254)</f>
        <v>0.98252771673229611</v>
      </c>
      <c r="K1254" s="406" cm="1">
        <f t="array" ref="K1254">INDEX(implementatie[[2023]:[2034]],MATCH(G1254,implementatie[Zoeksleutel],0),I1254 + 1)</f>
        <v>0.98974396343169702</v>
      </c>
      <c r="L125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14737.915750984441</v>
      </c>
      <c r="M1254" s="398" cm="1">
        <f t="array" ref="M1254">J1254*INDEX(Berekening_impact[Totaal arbeidsbesparing (€/jaar)],MATCH(B1254,IF(Berekening_impact[Doelgroep]=C1254,Berekening_impact[Digitale zorgtoepassing]),0))</f>
        <v>4731843.6585055701</v>
      </c>
      <c r="N1254" s="397" cm="1">
        <f t="array" ref="N1254">J1254*INDEX(Berekening_impact[Totaal arbeidsbesparing (FTE/jaar)],MATCH(B1254,IF(Berekening_impact[Doelgroep]=C1254,Berekening_impact[Digitale zorgtoepassing]),0))</f>
        <v>82.00857123704283</v>
      </c>
      <c r="O1254" s="398" cm="1">
        <f t="array" ref="O1254">J1254*INDEX(Berekening_impact[Overige kostenbesparing (totaal/jaar totaal potentieel)],MATCH(B1254,IF(Berekening_impact[Doelgroep]=C1254,Berekening_impact[Digitale zorgtoepassing]),0))</f>
        <v>3154562.4390037134</v>
      </c>
      <c r="P1254" s="398" cm="1">
        <f t="array" ref="P1254">J1254*INDEX(Berekening_impact[Opbrengsten door QALY''s],MATCH(B1254,IF(Berekening_impact[Doelgroep]=C1254,Berekening_impact[Digitale zorgtoepassing]),0))</f>
        <v>42003059.890305661</v>
      </c>
      <c r="Q1254" s="398" cm="1">
        <f t="array" ref="Q1254">J1254*INDEX(Berekening_impact[Jaarlijkse kosten (totaal) - incl. schatting],MATCH(B1254,IF(Berekening_impact[Doelgroep]=C1254,Berekening_impact[Digitale zorgtoepassing]),0))</f>
        <v>3072036.660982979</v>
      </c>
      <c r="R1254" s="398" cm="1">
        <f t="array" ref="R1254">(uitkomst_doelgroep[[#This Row],[Implementatiegraad t = T + 1]]-uitkomst_doelgroep[[#This Row],[Implementatiegraad t = T]])*INDEX(Berekening_impact[Initiële investering (totaal) - incl. schatting],MATCH(B1254,IF(Berekening_impact[Doelgroep]=C1254,Berekening_impact[Digitale zorgtoepassing]),0))</f>
        <v>19223.900801036529</v>
      </c>
      <c r="S1254" s="398">
        <f>uitkomst_doelgroep[[#This Row],[Arbeidsbesparing (€)]]*uitkomst_doelgroep[[#This Row],[Percentage van patiëntaantallen in Wlz (overige is Zvw)]]</f>
        <v>0</v>
      </c>
      <c r="T1254" s="398">
        <f>uitkomst_doelgroep[[#This Row],[Overige besparingen (€)]]*uitkomst_doelgroep[[#This Row],[Percentage van patiëntaantallen in Wlz (overige is Zvw)]]</f>
        <v>0</v>
      </c>
      <c r="U1254" s="398">
        <f>uitkomst_doelgroep[[#This Row],[Kosten (€)]]*uitkomst_doelgroep[[#This Row],[Percentage van patiëntaantallen in Wlz (overige is Zvw)]]</f>
        <v>0</v>
      </c>
      <c r="V1254" s="398">
        <f>uitkomst_doelgroep[[#This Row],[Investering (cash flow) (€)]]*uitkomst_doelgroep[[#This Row],[Percentage van patiëntaantallen in Wlz (overige is Zvw)]]</f>
        <v>0</v>
      </c>
    </row>
    <row r="1255" spans="1:22" x14ac:dyDescent="0.5">
      <c r="A1255" s="33" t="str">
        <f>INDEX(Technologieën[Veld],MATCH(B1255,Technologieën[Digitale zorgtoepassing],0))</f>
        <v>Sensoren - Behandeling</v>
      </c>
      <c r="B1255" s="33" t="s">
        <v>53</v>
      </c>
      <c r="C1255" s="33" t="s">
        <v>722</v>
      </c>
      <c r="D1255" s="427" cm="1">
        <f t="array" ref="D1255">INDEX(Berekening_patiëntaantal[Percentage van patiëntaantallen in Wlz (overige is Zvw)],MATCH(B1255,IF(Berekening_patiëntaantal[Doelgroep (zoeksleutel)]=C1255,Berekening_patiëntaantal[Digitale zorgtoepassing]),0))</f>
        <v>0</v>
      </c>
      <c r="E1255" s="33" t="str" cm="1">
        <f t="array" ref="E1255">INDEX(Berekening_patiëntaantal[Direct toepasbaar/extrapolatie/incidentie voor QALY],MATCH(B1255,IF(Berekening_patiëntaantal[Doelgroep (zoeksleutel)]=C1255,Berekening_patiëntaantal[Digitale zorgtoepassing]),0))</f>
        <v>Extrapolatie</v>
      </c>
      <c r="F1255" s="33" t="s">
        <v>813</v>
      </c>
      <c r="G1255" s="33" t="str">
        <f>CONCATENATE(uitkomst_doelgroep[[#This Row],[Digitale zorgtoepassing]],"_",uitkomst_doelgroep[[#This Row],[Doelgroep]],"_",uitkomst_doelgroep[[#This Row],[Uitgangssituatie/effect beleid]])</f>
        <v>Slimme pleisters_Overige_aandoeningen_Uitgangssituatie</v>
      </c>
      <c r="H1255" s="33">
        <v>2032</v>
      </c>
      <c r="I1255" s="32">
        <v>10</v>
      </c>
      <c r="J1255" s="406" cm="1">
        <f t="array" ref="J1255">INDEX(implementatie[[2023]:[2034]],MATCH(G1255, implementatie[Zoeksleutel],0),I1255)</f>
        <v>0.37155887512870744</v>
      </c>
      <c r="K1255" s="406" cm="1">
        <f t="array" ref="K1255">INDEX(implementatie[[2023]:[2034]],MATCH(G1255,implementatie[Zoeksleutel],0),I1255 + 1)</f>
        <v>0.47752884860285211</v>
      </c>
      <c r="L125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92521.617986395606</v>
      </c>
      <c r="M1255" s="398" cm="1">
        <f t="array" ref="M1255">J1255*INDEX(Berekening_impact[Totaal arbeidsbesparing (€/jaar)],MATCH(B1255,IF(Berekening_impact[Doelgroep]=C1255,Berekening_impact[Digitale zorgtoepassing]),0))</f>
        <v>29705545.800420083</v>
      </c>
      <c r="N1255" s="397" cm="1">
        <f t="array" ref="N1255">J1255*INDEX(Berekening_impact[Totaal arbeidsbesparing (FTE/jaar)],MATCH(B1255,IF(Berekening_impact[Doelgroep]=C1255,Berekening_impact[Digitale zorgtoepassing]),0))</f>
        <v>514.83302169758736</v>
      </c>
      <c r="O1255" s="398" cm="1">
        <f t="array" ref="O1255">J1255*INDEX(Berekening_impact[Overige kostenbesparing (totaal/jaar totaal potentieel)],MATCH(B1255,IF(Berekening_impact[Doelgroep]=C1255,Berekening_impact[Digitale zorgtoepassing]),0))</f>
        <v>19803697.200280059</v>
      </c>
      <c r="P1255" s="398" cm="1">
        <f t="array" ref="P1255">J1255*INDEX(Berekening_impact[Opbrengsten door QALY''s],MATCH(B1255,IF(Berekening_impact[Doelgroep]=C1255,Berekening_impact[Digitale zorgtoepassing]),0))</f>
        <v>263686611.26122749</v>
      </c>
      <c r="Q1255" s="398" cm="1">
        <f t="array" ref="Q1255">J1255*INDEX(Berekening_impact[Jaarlijkse kosten (totaal) - incl. schatting],MATCH(B1255,IF(Berekening_impact[Doelgroep]=C1255,Berekening_impact[Digitale zorgtoepassing]),0))</f>
        <v>13008437.749171196</v>
      </c>
      <c r="R1255" s="398" cm="1">
        <f t="array" ref="R1255">(uitkomst_doelgroep[[#This Row],[Implementatiegraad t = T + 1]]-uitkomst_doelgroep[[#This Row],[Implementatiegraad t = T]])*INDEX(Berekening_impact[Initiële investering (totaal) - incl. schatting],MATCH(B1255,IF(Berekening_impact[Doelgroep]=C1255,Berekening_impact[Digitale zorgtoepassing]),0))</f>
        <v>0</v>
      </c>
      <c r="S1255" s="398">
        <f>uitkomst_doelgroep[[#This Row],[Arbeidsbesparing (€)]]*uitkomst_doelgroep[[#This Row],[Percentage van patiëntaantallen in Wlz (overige is Zvw)]]</f>
        <v>0</v>
      </c>
      <c r="T1255" s="398">
        <f>uitkomst_doelgroep[[#This Row],[Overige besparingen (€)]]*uitkomst_doelgroep[[#This Row],[Percentage van patiëntaantallen in Wlz (overige is Zvw)]]</f>
        <v>0</v>
      </c>
      <c r="U1255" s="398">
        <f>uitkomst_doelgroep[[#This Row],[Kosten (€)]]*uitkomst_doelgroep[[#This Row],[Percentage van patiëntaantallen in Wlz (overige is Zvw)]]</f>
        <v>0</v>
      </c>
      <c r="V1255" s="398">
        <f>uitkomst_doelgroep[[#This Row],[Investering (cash flow) (€)]]*uitkomst_doelgroep[[#This Row],[Percentage van patiëntaantallen in Wlz (overige is Zvw)]]</f>
        <v>0</v>
      </c>
    </row>
    <row r="1256" spans="1:22" x14ac:dyDescent="0.5">
      <c r="A1256" s="33" t="str">
        <f>INDEX(Technologieën[Veld],MATCH(B1256,Technologieën[Digitale zorgtoepassing],0))</f>
        <v>Sensoren - Behandeling</v>
      </c>
      <c r="B1256" s="33" t="s">
        <v>53</v>
      </c>
      <c r="C1256" s="33" t="s">
        <v>54</v>
      </c>
      <c r="D1256" s="427" cm="1">
        <f t="array" ref="D1256">INDEX(Berekening_patiëntaantal[Percentage van patiëntaantallen in Wlz (overige is Zvw)],MATCH(B1256,IF(Berekening_patiëntaantal[Doelgroep (zoeksleutel)]=C1256,Berekening_patiëntaantal[Digitale zorgtoepassing]),0))</f>
        <v>0</v>
      </c>
      <c r="E1256" s="33" t="str" cm="1">
        <f t="array" ref="E1256">INDEX(Berekening_patiëntaantal[Direct toepasbaar/extrapolatie/incidentie voor QALY],MATCH(B1256,IF(Berekening_patiëntaantal[Doelgroep (zoeksleutel)]=C1256,Berekening_patiëntaantal[Digitale zorgtoepassing]),0))</f>
        <v>Huidige toepassing</v>
      </c>
      <c r="F1256" s="33" t="s">
        <v>813</v>
      </c>
      <c r="G1256" s="33" t="str">
        <f>CONCATENATE(uitkomst_doelgroep[[#This Row],[Digitale zorgtoepassing]],"_",uitkomst_doelgroep[[#This Row],[Doelgroep]],"_",uitkomst_doelgroep[[#This Row],[Uitgangssituatie/effect beleid]])</f>
        <v>Slimme pleisters_Heup_Uitgangssituatie</v>
      </c>
      <c r="H1256" s="33">
        <v>2033</v>
      </c>
      <c r="I1256" s="32">
        <v>11</v>
      </c>
      <c r="J1256" s="406" cm="1">
        <f t="array" ref="J1256">INDEX(implementatie[[2023]:[2034]],MATCH(G1256, implementatie[Zoeksleutel],0),I1256)</f>
        <v>0.98974396343169702</v>
      </c>
      <c r="K1256" s="406" cm="1">
        <f t="array" ref="K1256">INDEX(implementatie[[2023]:[2034]],MATCH(G1256,implementatie[Zoeksleutel],0),I1256 + 1)</f>
        <v>0.99400942427594807</v>
      </c>
      <c r="L125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17815.391341770548</v>
      </c>
      <c r="M1256" s="398" cm="1">
        <f t="array" ref="M1256">J1256*INDEX(Berekening_impact[Totaal arbeidsbesparing (€/jaar)],MATCH(B1256,IF(Berekening_impact[Doelgroep]=C1256,Berekening_impact[Digitale zorgtoepassing]),0))</f>
        <v>5719916.4365369007</v>
      </c>
      <c r="N1256" s="397" cm="1">
        <f t="array" ref="N1256">J1256*INDEX(Berekening_impact[Totaal arbeidsbesparing (FTE/jaar)],MATCH(B1256,IF(Berekening_impact[Doelgroep]=C1256,Berekening_impact[Digitale zorgtoepassing]),0))</f>
        <v>99.133067026102054</v>
      </c>
      <c r="O1256" s="398" cm="1">
        <f t="array" ref="O1256">J1256*INDEX(Berekening_impact[Overige kostenbesparing (totaal/jaar totaal potentieel)],MATCH(B1256,IF(Berekening_impact[Doelgroep]=C1256,Berekening_impact[Digitale zorgtoepassing]),0))</f>
        <v>3813277.6243579346</v>
      </c>
      <c r="P1256" s="398" cm="1">
        <f t="array" ref="P1256">J1256*INDEX(Berekening_impact[Opbrengsten door QALY''s],MATCH(B1256,IF(Berekening_impact[Doelgroep]=C1256,Berekening_impact[Digitale zorgtoepassing]),0))</f>
        <v>50773865.32404606</v>
      </c>
      <c r="Q1256" s="398" cm="1">
        <f t="array" ref="Q1256">J1256*INDEX(Berekening_impact[Jaarlijkse kosten (totaal) - incl. schatting],MATCH(B1256,IF(Berekening_impact[Doelgroep]=C1256,Berekening_impact[Digitale zorgtoepassing]),0))</f>
        <v>3499157.3040491454</v>
      </c>
      <c r="R1256" s="398" cm="1">
        <f t="array" ref="R1256">(uitkomst_doelgroep[[#This Row],[Implementatiegraad t = T + 1]]-uitkomst_doelgroep[[#This Row],[Implementatiegraad t = T]])*INDEX(Berekening_impact[Initiële investering (totaal) - incl. schatting],MATCH(B1256,IF(Berekening_impact[Doelgroep]=C1256,Berekening_impact[Digitale zorgtoepassing]),0))</f>
        <v>11363.081052563706</v>
      </c>
      <c r="S1256" s="398">
        <f>uitkomst_doelgroep[[#This Row],[Arbeidsbesparing (€)]]*uitkomst_doelgroep[[#This Row],[Percentage van patiëntaantallen in Wlz (overige is Zvw)]]</f>
        <v>0</v>
      </c>
      <c r="T1256" s="398">
        <f>uitkomst_doelgroep[[#This Row],[Overige besparingen (€)]]*uitkomst_doelgroep[[#This Row],[Percentage van patiëntaantallen in Wlz (overige is Zvw)]]</f>
        <v>0</v>
      </c>
      <c r="U1256" s="398">
        <f>uitkomst_doelgroep[[#This Row],[Kosten (€)]]*uitkomst_doelgroep[[#This Row],[Percentage van patiëntaantallen in Wlz (overige is Zvw)]]</f>
        <v>0</v>
      </c>
      <c r="V1256" s="398">
        <f>uitkomst_doelgroep[[#This Row],[Investering (cash flow) (€)]]*uitkomst_doelgroep[[#This Row],[Percentage van patiëntaantallen in Wlz (overige is Zvw)]]</f>
        <v>0</v>
      </c>
    </row>
    <row r="1257" spans="1:22" x14ac:dyDescent="0.5">
      <c r="A1257" s="33" t="str">
        <f>INDEX(Technologieën[Veld],MATCH(B1257,Technologieën[Digitale zorgtoepassing],0))</f>
        <v>Sensoren - Behandeling</v>
      </c>
      <c r="B1257" s="33" t="s">
        <v>53</v>
      </c>
      <c r="C1257" s="33" t="s">
        <v>55</v>
      </c>
      <c r="D1257" s="427" cm="1">
        <f t="array" ref="D1257">INDEX(Berekening_patiëntaantal[Percentage van patiëntaantallen in Wlz (overige is Zvw)],MATCH(B1257,IF(Berekening_patiëntaantal[Doelgroep (zoeksleutel)]=C1257,Berekening_patiëntaantal[Digitale zorgtoepassing]),0))</f>
        <v>0</v>
      </c>
      <c r="E1257" s="33" t="str" cm="1">
        <f t="array" ref="E1257">INDEX(Berekening_patiëntaantal[Direct toepasbaar/extrapolatie/incidentie voor QALY],MATCH(B1257,IF(Berekening_patiëntaantal[Doelgroep (zoeksleutel)]=C1257,Berekening_patiëntaantal[Digitale zorgtoepassing]),0))</f>
        <v>Huidige toepassing</v>
      </c>
      <c r="F1257" s="33" t="s">
        <v>813</v>
      </c>
      <c r="G1257" s="33" t="str">
        <f>CONCATENATE(uitkomst_doelgroep[[#This Row],[Digitale zorgtoepassing]],"_",uitkomst_doelgroep[[#This Row],[Doelgroep]],"_",uitkomst_doelgroep[[#This Row],[Uitgangssituatie/effect beleid]])</f>
        <v>Slimme pleisters_Knie_Uitgangssituatie</v>
      </c>
      <c r="H1257" s="33">
        <v>2033</v>
      </c>
      <c r="I1257" s="32">
        <v>11</v>
      </c>
      <c r="J1257" s="406" cm="1">
        <f t="array" ref="J1257">INDEX(implementatie[[2023]:[2034]],MATCH(G1257, implementatie[Zoeksleutel],0),I1257)</f>
        <v>0.98974396343169702</v>
      </c>
      <c r="K1257" s="406" cm="1">
        <f t="array" ref="K1257">INDEX(implementatie[[2023]:[2034]],MATCH(G1257,implementatie[Zoeksleutel],0),I1257 + 1)</f>
        <v>0.99400942427594807</v>
      </c>
      <c r="L125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14846.159451475456</v>
      </c>
      <c r="M1257" s="398" cm="1">
        <f t="array" ref="M1257">J1257*INDEX(Berekening_impact[Totaal arbeidsbesparing (€/jaar)],MATCH(B1257,IF(Berekening_impact[Doelgroep]=C1257,Berekening_impact[Digitale zorgtoepassing]),0))</f>
        <v>4766597.0304474179</v>
      </c>
      <c r="N1257" s="397" cm="1">
        <f t="array" ref="N1257">J1257*INDEX(Berekening_impact[Totaal arbeidsbesparing (FTE/jaar)],MATCH(B1257,IF(Berekening_impact[Doelgroep]=C1257,Berekening_impact[Digitale zorgtoepassing]),0))</f>
        <v>82.610889188418383</v>
      </c>
      <c r="O1257" s="398" cm="1">
        <f t="array" ref="O1257">J1257*INDEX(Berekening_impact[Overige kostenbesparing (totaal/jaar totaal potentieel)],MATCH(B1257,IF(Berekening_impact[Doelgroep]=C1257,Berekening_impact[Digitale zorgtoepassing]),0))</f>
        <v>3177731.3536316119</v>
      </c>
      <c r="P1257" s="398" cm="1">
        <f t="array" ref="P1257">J1257*INDEX(Berekening_impact[Opbrengsten door QALY''s],MATCH(B1257,IF(Berekening_impact[Doelgroep]=C1257,Berekening_impact[Digitale zorgtoepassing]),0))</f>
        <v>42311554.436705045</v>
      </c>
      <c r="Q1257" s="398" cm="1">
        <f t="array" ref="Q1257">J1257*INDEX(Berekening_impact[Jaarlijkse kosten (totaal) - incl. schatting],MATCH(B1257,IF(Berekening_impact[Doelgroep]=C1257,Berekening_impact[Digitale zorgtoepassing]),0))</f>
        <v>3094599.4589964394</v>
      </c>
      <c r="R1257" s="398" cm="1">
        <f t="array" ref="R1257">(uitkomst_doelgroep[[#This Row],[Implementatiegraad t = T + 1]]-uitkomst_doelgroep[[#This Row],[Implementatiegraad t = T]])*INDEX(Berekening_impact[Initiële investering (totaal) - incl. schatting],MATCH(B1257,IF(Berekening_impact[Doelgroep]=C1257,Berekening_impact[Digitale zorgtoepassing]),0))</f>
        <v>11363.081052563706</v>
      </c>
      <c r="S1257" s="398">
        <f>uitkomst_doelgroep[[#This Row],[Arbeidsbesparing (€)]]*uitkomst_doelgroep[[#This Row],[Percentage van patiëntaantallen in Wlz (overige is Zvw)]]</f>
        <v>0</v>
      </c>
      <c r="T1257" s="398">
        <f>uitkomst_doelgroep[[#This Row],[Overige besparingen (€)]]*uitkomst_doelgroep[[#This Row],[Percentage van patiëntaantallen in Wlz (overige is Zvw)]]</f>
        <v>0</v>
      </c>
      <c r="U1257" s="398">
        <f>uitkomst_doelgroep[[#This Row],[Kosten (€)]]*uitkomst_doelgroep[[#This Row],[Percentage van patiëntaantallen in Wlz (overige is Zvw)]]</f>
        <v>0</v>
      </c>
      <c r="V1257" s="398">
        <f>uitkomst_doelgroep[[#This Row],[Investering (cash flow) (€)]]*uitkomst_doelgroep[[#This Row],[Percentage van patiëntaantallen in Wlz (overige is Zvw)]]</f>
        <v>0</v>
      </c>
    </row>
    <row r="1258" spans="1:22" x14ac:dyDescent="0.5">
      <c r="A1258" s="33" t="str">
        <f>INDEX(Technologieën[Veld],MATCH(B1258,Technologieën[Digitale zorgtoepassing],0))</f>
        <v>Sensoren - Behandeling</v>
      </c>
      <c r="B1258" s="33" t="s">
        <v>53</v>
      </c>
      <c r="C1258" s="33" t="s">
        <v>722</v>
      </c>
      <c r="D1258" s="427" cm="1">
        <f t="array" ref="D1258">INDEX(Berekening_patiëntaantal[Percentage van patiëntaantallen in Wlz (overige is Zvw)],MATCH(B1258,IF(Berekening_patiëntaantal[Doelgroep (zoeksleutel)]=C1258,Berekening_patiëntaantal[Digitale zorgtoepassing]),0))</f>
        <v>0</v>
      </c>
      <c r="E1258" s="33" t="str" cm="1">
        <f t="array" ref="E1258">INDEX(Berekening_patiëntaantal[Direct toepasbaar/extrapolatie/incidentie voor QALY],MATCH(B1258,IF(Berekening_patiëntaantal[Doelgroep (zoeksleutel)]=C1258,Berekening_patiëntaantal[Digitale zorgtoepassing]),0))</f>
        <v>Extrapolatie</v>
      </c>
      <c r="F1258" s="33" t="s">
        <v>813</v>
      </c>
      <c r="G1258" s="33" t="str">
        <f>CONCATENATE(uitkomst_doelgroep[[#This Row],[Digitale zorgtoepassing]],"_",uitkomst_doelgroep[[#This Row],[Doelgroep]],"_",uitkomst_doelgroep[[#This Row],[Uitgangssituatie/effect beleid]])</f>
        <v>Slimme pleisters_Overige_aandoeningen_Uitgangssituatie</v>
      </c>
      <c r="H1258" s="33">
        <v>2033</v>
      </c>
      <c r="I1258" s="32">
        <v>11</v>
      </c>
      <c r="J1258" s="406" cm="1">
        <f t="array" ref="J1258">INDEX(implementatie[[2023]:[2034]],MATCH(G1258, implementatie[Zoeksleutel],0),I1258)</f>
        <v>0.47752884860285211</v>
      </c>
      <c r="K1258" s="406" cm="1">
        <f t="array" ref="K1258">INDEX(implementatie[[2023]:[2034]],MATCH(G1258,implementatie[Zoeksleutel],0),I1258 + 1)</f>
        <v>0.5877762905727496</v>
      </c>
      <c r="L125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118909.1276385524</v>
      </c>
      <c r="M1258" s="398" cm="1">
        <f t="array" ref="M1258">J1258*INDEX(Berekening_impact[Totaal arbeidsbesparing (€/jaar)],MATCH(B1258,IF(Berekening_impact[Doelgroep]=C1258,Berekening_impact[Digitale zorgtoepassing]),0))</f>
        <v>38177677.974399455</v>
      </c>
      <c r="N1258" s="397" cm="1">
        <f t="array" ref="N1258">J1258*INDEX(Berekening_impact[Totaal arbeidsbesparing (FTE/jaar)],MATCH(B1258,IF(Berekening_impact[Doelgroep]=C1258,Berekening_impact[Digitale zorgtoepassing]),0))</f>
        <v>661.66531478709749</v>
      </c>
      <c r="O1258" s="398" cm="1">
        <f t="array" ref="O1258">J1258*INDEX(Berekening_impact[Overige kostenbesparing (totaal/jaar totaal potentieel)],MATCH(B1258,IF(Berekening_impact[Doelgroep]=C1258,Berekening_impact[Digitale zorgtoepassing]),0))</f>
        <v>25451785.316266306</v>
      </c>
      <c r="P1258" s="398" cm="1">
        <f t="array" ref="P1258">J1258*INDEX(Berekening_impact[Opbrengsten door QALY''s],MATCH(B1258,IF(Berekening_impact[Doelgroep]=C1258,Berekening_impact[Digitale zorgtoepassing]),0))</f>
        <v>338891013.76987433</v>
      </c>
      <c r="Q1258" s="398" cm="1">
        <f t="array" ref="Q1258">J1258*INDEX(Berekening_impact[Jaarlijkse kosten (totaal) - incl. schatting],MATCH(B1258,IF(Berekening_impact[Doelgroep]=C1258,Berekening_impact[Digitale zorgtoepassing]),0))</f>
        <v>16718492.589718932</v>
      </c>
      <c r="R1258" s="398" cm="1">
        <f t="array" ref="R1258">(uitkomst_doelgroep[[#This Row],[Implementatiegraad t = T + 1]]-uitkomst_doelgroep[[#This Row],[Implementatiegraad t = T]])*INDEX(Berekening_impact[Initiële investering (totaal) - incl. schatting],MATCH(B1258,IF(Berekening_impact[Doelgroep]=C1258,Berekening_impact[Digitale zorgtoepassing]),0))</f>
        <v>0</v>
      </c>
      <c r="S1258" s="398">
        <f>uitkomst_doelgroep[[#This Row],[Arbeidsbesparing (€)]]*uitkomst_doelgroep[[#This Row],[Percentage van patiëntaantallen in Wlz (overige is Zvw)]]</f>
        <v>0</v>
      </c>
      <c r="T1258" s="398">
        <f>uitkomst_doelgroep[[#This Row],[Overige besparingen (€)]]*uitkomst_doelgroep[[#This Row],[Percentage van patiëntaantallen in Wlz (overige is Zvw)]]</f>
        <v>0</v>
      </c>
      <c r="U1258" s="398">
        <f>uitkomst_doelgroep[[#This Row],[Kosten (€)]]*uitkomst_doelgroep[[#This Row],[Percentage van patiëntaantallen in Wlz (overige is Zvw)]]</f>
        <v>0</v>
      </c>
      <c r="V1258" s="398">
        <f>uitkomst_doelgroep[[#This Row],[Investering (cash flow) (€)]]*uitkomst_doelgroep[[#This Row],[Percentage van patiëntaantallen in Wlz (overige is Zvw)]]</f>
        <v>0</v>
      </c>
    </row>
    <row r="1259" spans="1:22" x14ac:dyDescent="0.5">
      <c r="A1259" s="33" t="str">
        <f>INDEX(Technologieën[Veld],MATCH(B1259,Technologieën[Digitale zorgtoepassing],0))</f>
        <v>Software - Behandeling</v>
      </c>
      <c r="B1259" s="33" t="s">
        <v>101</v>
      </c>
      <c r="C1259" s="33" t="s">
        <v>83</v>
      </c>
      <c r="D1259" s="427" cm="1">
        <f t="array" ref="D1259">INDEX(Berekening_patiëntaantal[Percentage van patiëntaantallen in Wlz (overige is Zvw)],MATCH(B1259,IF(Berekening_patiëntaantal[Doelgroep (zoeksleutel)]=C1259,Berekening_patiëntaantal[Digitale zorgtoepassing]),0))</f>
        <v>1</v>
      </c>
      <c r="E1259" s="33" t="str" cm="1">
        <f t="array" ref="E1259">INDEX(Berekening_patiëntaantal[Direct toepasbaar/extrapolatie/incidentie voor QALY],MATCH(B1259,IF(Berekening_patiëntaantal[Doelgroep (zoeksleutel)]=C1259,Berekening_patiëntaantal[Digitale zorgtoepassing]),0))</f>
        <v>Huidige toepassing</v>
      </c>
      <c r="F1259" s="33" t="s">
        <v>813</v>
      </c>
      <c r="G1259" s="33" t="str">
        <f>CONCATENATE(uitkomst_doelgroep[[#This Row],[Digitale zorgtoepassing]],"_",uitkomst_doelgroep[[#This Row],[Doelgroep]],"_",uitkomst_doelgroep[[#This Row],[Uitgangssituatie/effect beleid]])</f>
        <v>Spraak automatisch vastleggen_Verpleeghuis_Uitgangssituatie</v>
      </c>
      <c r="H1259" s="33">
        <v>2023</v>
      </c>
      <c r="I1259" s="32">
        <v>1</v>
      </c>
      <c r="J1259" s="406" cm="1">
        <f t="array" ref="J1259">INDEX(implementatie[[2023]:[2034]],MATCH(G1259, implementatie[Zoeksleutel],0),I1259)</f>
        <v>0.2</v>
      </c>
      <c r="K1259" s="406" cm="1">
        <f t="array" ref="K1259">INDEX(implementatie[[2023]:[2034]],MATCH(G1259,implementatie[Zoeksleutel],0),I1259 + 1)</f>
        <v>0.25600000000000001</v>
      </c>
      <c r="L125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28925.800000000003</v>
      </c>
      <c r="M1259" s="398" cm="1">
        <f t="array" ref="M1259">J1259*INDEX(Berekening_impact[Totaal arbeidsbesparing (€/jaar)],MATCH(B1259,IF(Berekening_impact[Doelgroep]=C1259,Berekening_impact[Digitale zorgtoepassing]),0))</f>
        <v>51576807.996193111</v>
      </c>
      <c r="N1259" s="397" cm="1">
        <f t="array" ref="N1259">J1259*INDEX(Berekening_impact[Totaal arbeidsbesparing (FTE/jaar)],MATCH(B1259,IF(Berekening_impact[Doelgroep]=C1259,Berekening_impact[Digitale zorgtoepassing]),0))</f>
        <v>1214.8835999999999</v>
      </c>
      <c r="O1259" s="398" cm="1">
        <f t="array" ref="O1259">J1259*INDEX(Berekening_impact[Overige kostenbesparing (totaal/jaar totaal potentieel)],MATCH(B1259,IF(Berekening_impact[Doelgroep]=C1259,Berekening_impact[Digitale zorgtoepassing]),0))</f>
        <v>0</v>
      </c>
      <c r="P1259" s="398" cm="1">
        <f t="array" ref="P1259">J1259*INDEX(Berekening_impact[Opbrengsten door QALY''s],MATCH(B1259,IF(Berekening_impact[Doelgroep]=C1259,Berekening_impact[Digitale zorgtoepassing]),0))</f>
        <v>0</v>
      </c>
      <c r="Q1259" s="398" cm="1">
        <f t="array" ref="Q1259">J1259*INDEX(Berekening_impact[Jaarlijkse kosten (totaal) - incl. schatting],MATCH(B1259,IF(Berekening_impact[Doelgroep]=C1259,Berekening_impact[Digitale zorgtoepassing]),0))</f>
        <v>694219.20000000007</v>
      </c>
      <c r="R1259" s="398" cm="1">
        <f t="array" ref="R1259">(uitkomst_doelgroep[[#This Row],[Implementatiegraad t = T + 1]]-uitkomst_doelgroep[[#This Row],[Implementatiegraad t = T]])*INDEX(Berekening_impact[Initiële investering (totaal) - incl. schatting],MATCH(B1259,IF(Berekening_impact[Doelgroep]=C1259,Berekening_impact[Digitale zorgtoepassing]),0))</f>
        <v>0</v>
      </c>
      <c r="S1259" s="398">
        <f>uitkomst_doelgroep[[#This Row],[Arbeidsbesparing (€)]]*uitkomst_doelgroep[[#This Row],[Percentage van patiëntaantallen in Wlz (overige is Zvw)]]</f>
        <v>51576807.996193111</v>
      </c>
      <c r="T1259" s="398">
        <f>uitkomst_doelgroep[[#This Row],[Overige besparingen (€)]]*uitkomst_doelgroep[[#This Row],[Percentage van patiëntaantallen in Wlz (overige is Zvw)]]</f>
        <v>0</v>
      </c>
      <c r="U1259" s="398">
        <f>uitkomst_doelgroep[[#This Row],[Kosten (€)]]*uitkomst_doelgroep[[#This Row],[Percentage van patiëntaantallen in Wlz (overige is Zvw)]]</f>
        <v>694219.20000000007</v>
      </c>
      <c r="V1259" s="398">
        <f>uitkomst_doelgroep[[#This Row],[Investering (cash flow) (€)]]*uitkomst_doelgroep[[#This Row],[Percentage van patiëntaantallen in Wlz (overige is Zvw)]]</f>
        <v>0</v>
      </c>
    </row>
    <row r="1260" spans="1:22" x14ac:dyDescent="0.5">
      <c r="A1260" s="33" t="str">
        <f>INDEX(Technologieën[Veld],MATCH(B1260,Technologieën[Digitale zorgtoepassing],0))</f>
        <v>Software - Behandeling</v>
      </c>
      <c r="B1260" s="33" t="s">
        <v>101</v>
      </c>
      <c r="C1260" s="33" t="s">
        <v>84</v>
      </c>
      <c r="D1260" s="427" cm="1">
        <f t="array" ref="D1260">INDEX(Berekening_patiëntaantal[Percentage van patiëntaantallen in Wlz (overige is Zvw)],MATCH(B1260,IF(Berekening_patiëntaantal[Doelgroep (zoeksleutel)]=C1260,Berekening_patiëntaantal[Digitale zorgtoepassing]),0))</f>
        <v>0</v>
      </c>
      <c r="E1260" s="33" t="str" cm="1">
        <f t="array" ref="E1260">INDEX(Berekening_patiëntaantal[Direct toepasbaar/extrapolatie/incidentie voor QALY],MATCH(B1260,IF(Berekening_patiëntaantal[Doelgroep (zoeksleutel)]=C1260,Berekening_patiëntaantal[Digitale zorgtoepassing]),0))</f>
        <v>Huidige toepassing</v>
      </c>
      <c r="F1260" s="33" t="s">
        <v>813</v>
      </c>
      <c r="G1260" s="33" t="str">
        <f>CONCATENATE(uitkomst_doelgroep[[#This Row],[Digitale zorgtoepassing]],"_",uitkomst_doelgroep[[#This Row],[Doelgroep]],"_",uitkomst_doelgroep[[#This Row],[Uitgangssituatie/effect beleid]])</f>
        <v>Spraak automatisch vastleggen_Wijkverpleging_Uitgangssituatie</v>
      </c>
      <c r="H1260" s="33">
        <v>2023</v>
      </c>
      <c r="I1260" s="32">
        <v>1</v>
      </c>
      <c r="J1260" s="406" cm="1">
        <f t="array" ref="J1260">INDEX(implementatie[[2023]:[2034]],MATCH(G1260, implementatie[Zoeksleutel],0),I1260)</f>
        <v>0.2</v>
      </c>
      <c r="K1260" s="406" cm="1">
        <f t="array" ref="K1260">INDEX(implementatie[[2023]:[2034]],MATCH(G1260,implementatie[Zoeksleutel],0),I1260 + 1)</f>
        <v>0.25600000000000001</v>
      </c>
      <c r="L126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18296.529968454259</v>
      </c>
      <c r="M1260" s="398" cm="1">
        <f t="array" ref="M1260">J1260*INDEX(Berekening_impact[Totaal arbeidsbesparing (€/jaar)],MATCH(B1260,IF(Berekening_impact[Doelgroep]=C1260,Berekening_impact[Digitale zorgtoepassing]),0))</f>
        <v>4050122.5655172416</v>
      </c>
      <c r="N1260" s="397" cm="1">
        <f t="array" ref="N1260">J1260*INDEX(Berekening_impact[Totaal arbeidsbesparing (FTE/jaar)],MATCH(B1260,IF(Berekening_impact[Doelgroep]=C1260,Berekening_impact[Digitale zorgtoepassing]),0))</f>
        <v>95.4</v>
      </c>
      <c r="O1260" s="398" cm="1">
        <f t="array" ref="O1260">J1260*INDEX(Berekening_impact[Overige kostenbesparing (totaal/jaar totaal potentieel)],MATCH(B1260,IF(Berekening_impact[Doelgroep]=C1260,Berekening_impact[Digitale zorgtoepassing]),0))</f>
        <v>57976.013705095218</v>
      </c>
      <c r="P1260" s="398" cm="1">
        <f t="array" ref="P1260">J1260*INDEX(Berekening_impact[Opbrengsten door QALY''s],MATCH(B1260,IF(Berekening_impact[Doelgroep]=C1260,Berekening_impact[Digitale zorgtoepassing]),0))</f>
        <v>0</v>
      </c>
      <c r="Q1260" s="398" cm="1">
        <f t="array" ref="Q1260">J1260*INDEX(Berekening_impact[Jaarlijkse kosten (totaal) - incl. schatting],MATCH(B1260,IF(Berekening_impact[Doelgroep]=C1260,Berekening_impact[Digitale zorgtoepassing]),0))</f>
        <v>439116.71924290224</v>
      </c>
      <c r="R1260" s="398" cm="1">
        <f t="array" ref="R1260">(uitkomst_doelgroep[[#This Row],[Implementatiegraad t = T + 1]]-uitkomst_doelgroep[[#This Row],[Implementatiegraad t = T]])*INDEX(Berekening_impact[Initiële investering (totaal) - incl. schatting],MATCH(B1260,IF(Berekening_impact[Doelgroep]=C1260,Berekening_impact[Digitale zorgtoepassing]),0))</f>
        <v>0</v>
      </c>
      <c r="S1260" s="398">
        <f>uitkomst_doelgroep[[#This Row],[Arbeidsbesparing (€)]]*uitkomst_doelgroep[[#This Row],[Percentage van patiëntaantallen in Wlz (overige is Zvw)]]</f>
        <v>0</v>
      </c>
      <c r="T1260" s="398">
        <f>uitkomst_doelgroep[[#This Row],[Overige besparingen (€)]]*uitkomst_doelgroep[[#This Row],[Percentage van patiëntaantallen in Wlz (overige is Zvw)]]</f>
        <v>0</v>
      </c>
      <c r="U1260" s="398">
        <f>uitkomst_doelgroep[[#This Row],[Kosten (€)]]*uitkomst_doelgroep[[#This Row],[Percentage van patiëntaantallen in Wlz (overige is Zvw)]]</f>
        <v>0</v>
      </c>
      <c r="V1260" s="398">
        <f>uitkomst_doelgroep[[#This Row],[Investering (cash flow) (€)]]*uitkomst_doelgroep[[#This Row],[Percentage van patiëntaantallen in Wlz (overige is Zvw)]]</f>
        <v>0</v>
      </c>
    </row>
    <row r="1261" spans="1:22" x14ac:dyDescent="0.5">
      <c r="A1261" s="33" t="str">
        <f>INDEX(Technologieën[Veld],MATCH(B1261,Technologieën[Digitale zorgtoepassing],0))</f>
        <v>Software - Behandeling</v>
      </c>
      <c r="B1261" s="33" t="s">
        <v>101</v>
      </c>
      <c r="C1261" s="33" t="s">
        <v>83</v>
      </c>
      <c r="D1261" s="427" cm="1">
        <f t="array" ref="D1261">INDEX(Berekening_patiëntaantal[Percentage van patiëntaantallen in Wlz (overige is Zvw)],MATCH(B1261,IF(Berekening_patiëntaantal[Doelgroep (zoeksleutel)]=C1261,Berekening_patiëntaantal[Digitale zorgtoepassing]),0))</f>
        <v>1</v>
      </c>
      <c r="E1261" s="33" t="str" cm="1">
        <f t="array" ref="E1261">INDEX(Berekening_patiëntaantal[Direct toepasbaar/extrapolatie/incidentie voor QALY],MATCH(B1261,IF(Berekening_patiëntaantal[Doelgroep (zoeksleutel)]=C1261,Berekening_patiëntaantal[Digitale zorgtoepassing]),0))</f>
        <v>Huidige toepassing</v>
      </c>
      <c r="F1261" s="33" t="s">
        <v>813</v>
      </c>
      <c r="G1261" s="33" t="str">
        <f>CONCATENATE(uitkomst_doelgroep[[#This Row],[Digitale zorgtoepassing]],"_",uitkomst_doelgroep[[#This Row],[Doelgroep]],"_",uitkomst_doelgroep[[#This Row],[Uitgangssituatie/effect beleid]])</f>
        <v>Spraak automatisch vastleggen_Verpleeghuis_Uitgangssituatie</v>
      </c>
      <c r="H1261" s="33">
        <v>2024</v>
      </c>
      <c r="I1261" s="32">
        <v>2</v>
      </c>
      <c r="J1261" s="406" cm="1">
        <f t="array" ref="J1261">INDEX(implementatie[[2023]:[2034]],MATCH(G1261, implementatie[Zoeksleutel],0),I1261)</f>
        <v>0.25600000000000001</v>
      </c>
      <c r="K1261" s="406" cm="1">
        <f t="array" ref="K1261">INDEX(implementatie[[2023]:[2034]],MATCH(G1261,implementatie[Zoeksleutel],0),I1261 + 1)</f>
        <v>0.32057920000000001</v>
      </c>
      <c r="L126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37025.023999999998</v>
      </c>
      <c r="M1261" s="398" cm="1">
        <f t="array" ref="M1261">J1261*INDEX(Berekening_impact[Totaal arbeidsbesparing (€/jaar)],MATCH(B1261,IF(Berekening_impact[Doelgroep]=C1261,Berekening_impact[Digitale zorgtoepassing]),0))</f>
        <v>66018314.235127173</v>
      </c>
      <c r="N1261" s="397" cm="1">
        <f t="array" ref="N1261">J1261*INDEX(Berekening_impact[Totaal arbeidsbesparing (FTE/jaar)],MATCH(B1261,IF(Berekening_impact[Doelgroep]=C1261,Berekening_impact[Digitale zorgtoepassing]),0))</f>
        <v>1555.0510079999999</v>
      </c>
      <c r="O1261" s="398" cm="1">
        <f t="array" ref="O1261">J1261*INDEX(Berekening_impact[Overige kostenbesparing (totaal/jaar totaal potentieel)],MATCH(B1261,IF(Berekening_impact[Doelgroep]=C1261,Berekening_impact[Digitale zorgtoepassing]),0))</f>
        <v>0</v>
      </c>
      <c r="P1261" s="398" cm="1">
        <f t="array" ref="P1261">J1261*INDEX(Berekening_impact[Opbrengsten door QALY''s],MATCH(B1261,IF(Berekening_impact[Doelgroep]=C1261,Berekening_impact[Digitale zorgtoepassing]),0))</f>
        <v>0</v>
      </c>
      <c r="Q1261" s="398" cm="1">
        <f t="array" ref="Q1261">J1261*INDEX(Berekening_impact[Jaarlijkse kosten (totaal) - incl. schatting],MATCH(B1261,IF(Berekening_impact[Doelgroep]=C1261,Berekening_impact[Digitale zorgtoepassing]),0))</f>
        <v>888600.576</v>
      </c>
      <c r="R1261" s="398" cm="1">
        <f t="array" ref="R1261">(uitkomst_doelgroep[[#This Row],[Implementatiegraad t = T + 1]]-uitkomst_doelgroep[[#This Row],[Implementatiegraad t = T]])*INDEX(Berekening_impact[Initiële investering (totaal) - incl. schatting],MATCH(B1261,IF(Berekening_impact[Doelgroep]=C1261,Berekening_impact[Digitale zorgtoepassing]),0))</f>
        <v>0</v>
      </c>
      <c r="S1261" s="398">
        <f>uitkomst_doelgroep[[#This Row],[Arbeidsbesparing (€)]]*uitkomst_doelgroep[[#This Row],[Percentage van patiëntaantallen in Wlz (overige is Zvw)]]</f>
        <v>66018314.235127173</v>
      </c>
      <c r="T1261" s="398">
        <f>uitkomst_doelgroep[[#This Row],[Overige besparingen (€)]]*uitkomst_doelgroep[[#This Row],[Percentage van patiëntaantallen in Wlz (overige is Zvw)]]</f>
        <v>0</v>
      </c>
      <c r="U1261" s="398">
        <f>uitkomst_doelgroep[[#This Row],[Kosten (€)]]*uitkomst_doelgroep[[#This Row],[Percentage van patiëntaantallen in Wlz (overige is Zvw)]]</f>
        <v>888600.576</v>
      </c>
      <c r="V1261" s="398">
        <f>uitkomst_doelgroep[[#This Row],[Investering (cash flow) (€)]]*uitkomst_doelgroep[[#This Row],[Percentage van patiëntaantallen in Wlz (overige is Zvw)]]</f>
        <v>0</v>
      </c>
    </row>
    <row r="1262" spans="1:22" x14ac:dyDescent="0.5">
      <c r="A1262" s="33" t="str">
        <f>INDEX(Technologieën[Veld],MATCH(B1262,Technologieën[Digitale zorgtoepassing],0))</f>
        <v>Software - Behandeling</v>
      </c>
      <c r="B1262" s="33" t="s">
        <v>101</v>
      </c>
      <c r="C1262" s="33" t="s">
        <v>84</v>
      </c>
      <c r="D1262" s="427" cm="1">
        <f t="array" ref="D1262">INDEX(Berekening_patiëntaantal[Percentage van patiëntaantallen in Wlz (overige is Zvw)],MATCH(B1262,IF(Berekening_patiëntaantal[Doelgroep (zoeksleutel)]=C1262,Berekening_patiëntaantal[Digitale zorgtoepassing]),0))</f>
        <v>0</v>
      </c>
      <c r="E1262" s="33" t="str" cm="1">
        <f t="array" ref="E1262">INDEX(Berekening_patiëntaantal[Direct toepasbaar/extrapolatie/incidentie voor QALY],MATCH(B1262,IF(Berekening_patiëntaantal[Doelgroep (zoeksleutel)]=C1262,Berekening_patiëntaantal[Digitale zorgtoepassing]),0))</f>
        <v>Huidige toepassing</v>
      </c>
      <c r="F1262" s="33" t="s">
        <v>813</v>
      </c>
      <c r="G1262" s="33" t="str">
        <f>CONCATENATE(uitkomst_doelgroep[[#This Row],[Digitale zorgtoepassing]],"_",uitkomst_doelgroep[[#This Row],[Doelgroep]],"_",uitkomst_doelgroep[[#This Row],[Uitgangssituatie/effect beleid]])</f>
        <v>Spraak automatisch vastleggen_Wijkverpleging_Uitgangssituatie</v>
      </c>
      <c r="H1262" s="33">
        <v>2024</v>
      </c>
      <c r="I1262" s="32">
        <v>2</v>
      </c>
      <c r="J1262" s="406" cm="1">
        <f t="array" ref="J1262">INDEX(implementatie[[2023]:[2034]],MATCH(G1262, implementatie[Zoeksleutel],0),I1262)</f>
        <v>0.25600000000000001</v>
      </c>
      <c r="K1262" s="406" cm="1">
        <f t="array" ref="K1262">INDEX(implementatie[[2023]:[2034]],MATCH(G1262,implementatie[Zoeksleutel],0),I1262 + 1)</f>
        <v>0.32057920000000001</v>
      </c>
      <c r="L126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23419.558359621449</v>
      </c>
      <c r="M1262" s="398" cm="1">
        <f t="array" ref="M1262">J1262*INDEX(Berekening_impact[Totaal arbeidsbesparing (€/jaar)],MATCH(B1262,IF(Berekening_impact[Doelgroep]=C1262,Berekening_impact[Digitale zorgtoepassing]),0))</f>
        <v>5184156.8838620689</v>
      </c>
      <c r="N1262" s="397" cm="1">
        <f t="array" ref="N1262">J1262*INDEX(Berekening_impact[Totaal arbeidsbesparing (FTE/jaar)],MATCH(B1262,IF(Berekening_impact[Doelgroep]=C1262,Berekening_impact[Digitale zorgtoepassing]),0))</f>
        <v>122.11200000000001</v>
      </c>
      <c r="O1262" s="398" cm="1">
        <f t="array" ref="O1262">J1262*INDEX(Berekening_impact[Overige kostenbesparing (totaal/jaar totaal potentieel)],MATCH(B1262,IF(Berekening_impact[Doelgroep]=C1262,Berekening_impact[Digitale zorgtoepassing]),0))</f>
        <v>74209.297542521876</v>
      </c>
      <c r="P1262" s="398" cm="1">
        <f t="array" ref="P1262">J1262*INDEX(Berekening_impact[Opbrengsten door QALY''s],MATCH(B1262,IF(Berekening_impact[Doelgroep]=C1262,Berekening_impact[Digitale zorgtoepassing]),0))</f>
        <v>0</v>
      </c>
      <c r="Q1262" s="398" cm="1">
        <f t="array" ref="Q1262">J1262*INDEX(Berekening_impact[Jaarlijkse kosten (totaal) - incl. schatting],MATCH(B1262,IF(Berekening_impact[Doelgroep]=C1262,Berekening_impact[Digitale zorgtoepassing]),0))</f>
        <v>562069.40063091484</v>
      </c>
      <c r="R1262" s="398" cm="1">
        <f t="array" ref="R1262">(uitkomst_doelgroep[[#This Row],[Implementatiegraad t = T + 1]]-uitkomst_doelgroep[[#This Row],[Implementatiegraad t = T]])*INDEX(Berekening_impact[Initiële investering (totaal) - incl. schatting],MATCH(B1262,IF(Berekening_impact[Doelgroep]=C1262,Berekening_impact[Digitale zorgtoepassing]),0))</f>
        <v>0</v>
      </c>
      <c r="S1262" s="398">
        <f>uitkomst_doelgroep[[#This Row],[Arbeidsbesparing (€)]]*uitkomst_doelgroep[[#This Row],[Percentage van patiëntaantallen in Wlz (overige is Zvw)]]</f>
        <v>0</v>
      </c>
      <c r="T1262" s="398">
        <f>uitkomst_doelgroep[[#This Row],[Overige besparingen (€)]]*uitkomst_doelgroep[[#This Row],[Percentage van patiëntaantallen in Wlz (overige is Zvw)]]</f>
        <v>0</v>
      </c>
      <c r="U1262" s="398">
        <f>uitkomst_doelgroep[[#This Row],[Kosten (€)]]*uitkomst_doelgroep[[#This Row],[Percentage van patiëntaantallen in Wlz (overige is Zvw)]]</f>
        <v>0</v>
      </c>
      <c r="V1262" s="398">
        <f>uitkomst_doelgroep[[#This Row],[Investering (cash flow) (€)]]*uitkomst_doelgroep[[#This Row],[Percentage van patiëntaantallen in Wlz (overige is Zvw)]]</f>
        <v>0</v>
      </c>
    </row>
    <row r="1263" spans="1:22" x14ac:dyDescent="0.5">
      <c r="A1263" s="33" t="str">
        <f>INDEX(Technologieën[Veld],MATCH(B1263,Technologieën[Digitale zorgtoepassing],0))</f>
        <v>Software - Behandeling</v>
      </c>
      <c r="B1263" s="33" t="s">
        <v>101</v>
      </c>
      <c r="C1263" s="33" t="s">
        <v>83</v>
      </c>
      <c r="D1263" s="427" cm="1">
        <f t="array" ref="D1263">INDEX(Berekening_patiëntaantal[Percentage van patiëntaantallen in Wlz (overige is Zvw)],MATCH(B1263,IF(Berekening_patiëntaantal[Doelgroep (zoeksleutel)]=C1263,Berekening_patiëntaantal[Digitale zorgtoepassing]),0))</f>
        <v>1</v>
      </c>
      <c r="E1263" s="33" t="str" cm="1">
        <f t="array" ref="E1263">INDEX(Berekening_patiëntaantal[Direct toepasbaar/extrapolatie/incidentie voor QALY],MATCH(B1263,IF(Berekening_patiëntaantal[Doelgroep (zoeksleutel)]=C1263,Berekening_patiëntaantal[Digitale zorgtoepassing]),0))</f>
        <v>Huidige toepassing</v>
      </c>
      <c r="F1263" s="33" t="s">
        <v>813</v>
      </c>
      <c r="G1263" s="33" t="str">
        <f>CONCATENATE(uitkomst_doelgroep[[#This Row],[Digitale zorgtoepassing]],"_",uitkomst_doelgroep[[#This Row],[Doelgroep]],"_",uitkomst_doelgroep[[#This Row],[Uitgangssituatie/effect beleid]])</f>
        <v>Spraak automatisch vastleggen_Verpleeghuis_Uitgangssituatie</v>
      </c>
      <c r="H1263" s="33">
        <v>2025</v>
      </c>
      <c r="I1263" s="32">
        <v>3</v>
      </c>
      <c r="J1263" s="406" cm="1">
        <f t="array" ref="J1263">INDEX(implementatie[[2023]:[2034]],MATCH(G1263, implementatie[Zoeksleutel],0),I1263)</f>
        <v>0.32057920000000001</v>
      </c>
      <c r="K1263" s="406" cm="1">
        <f t="array" ref="K1263">INDEX(implementatie[[2023]:[2034]],MATCH(G1263,implementatie[Zoeksleutel],0),I1263 + 1)</f>
        <v>0.39271586095820804</v>
      </c>
      <c r="L126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46365.049116800001</v>
      </c>
      <c r="M1263" s="398" cm="1">
        <f t="array" ref="M1263">J1263*INDEX(Berekening_impact[Totaal arbeidsbesparing (€/jaar)],MATCH(B1263,IF(Berekening_impact[Doelgroep]=C1263,Berekening_impact[Digitale zorgtoepassing]),0))</f>
        <v>82672259.229865938</v>
      </c>
      <c r="N1263" s="397" cm="1">
        <f t="array" ref="N1263">J1263*INDEX(Berekening_impact[Totaal arbeidsbesparing (FTE/jaar)],MATCH(B1263,IF(Berekening_impact[Doelgroep]=C1263,Berekening_impact[Digitale zorgtoepassing]),0))</f>
        <v>1947.3320629056</v>
      </c>
      <c r="O1263" s="398" cm="1">
        <f t="array" ref="O1263">J1263*INDEX(Berekening_impact[Overige kostenbesparing (totaal/jaar totaal potentieel)],MATCH(B1263,IF(Berekening_impact[Doelgroep]=C1263,Berekening_impact[Digitale zorgtoepassing]),0))</f>
        <v>0</v>
      </c>
      <c r="P1263" s="398" cm="1">
        <f t="array" ref="P1263">J1263*INDEX(Berekening_impact[Opbrengsten door QALY''s],MATCH(B1263,IF(Berekening_impact[Doelgroep]=C1263,Berekening_impact[Digitale zorgtoepassing]),0))</f>
        <v>0</v>
      </c>
      <c r="Q1263" s="398" cm="1">
        <f t="array" ref="Q1263">J1263*INDEX(Berekening_impact[Jaarlijkse kosten (totaal) - incl. schatting],MATCH(B1263,IF(Berekening_impact[Doelgroep]=C1263,Berekening_impact[Digitale zorgtoepassing]),0))</f>
        <v>1112761.1788032001</v>
      </c>
      <c r="R1263" s="398" cm="1">
        <f t="array" ref="R1263">(uitkomst_doelgroep[[#This Row],[Implementatiegraad t = T + 1]]-uitkomst_doelgroep[[#This Row],[Implementatiegraad t = T]])*INDEX(Berekening_impact[Initiële investering (totaal) - incl. schatting],MATCH(B1263,IF(Berekening_impact[Doelgroep]=C1263,Berekening_impact[Digitale zorgtoepassing]),0))</f>
        <v>0</v>
      </c>
      <c r="S1263" s="398">
        <f>uitkomst_doelgroep[[#This Row],[Arbeidsbesparing (€)]]*uitkomst_doelgroep[[#This Row],[Percentage van patiëntaantallen in Wlz (overige is Zvw)]]</f>
        <v>82672259.229865938</v>
      </c>
      <c r="T1263" s="398">
        <f>uitkomst_doelgroep[[#This Row],[Overige besparingen (€)]]*uitkomst_doelgroep[[#This Row],[Percentage van patiëntaantallen in Wlz (overige is Zvw)]]</f>
        <v>0</v>
      </c>
      <c r="U1263" s="398">
        <f>uitkomst_doelgroep[[#This Row],[Kosten (€)]]*uitkomst_doelgroep[[#This Row],[Percentage van patiëntaantallen in Wlz (overige is Zvw)]]</f>
        <v>1112761.1788032001</v>
      </c>
      <c r="V1263" s="398">
        <f>uitkomst_doelgroep[[#This Row],[Investering (cash flow) (€)]]*uitkomst_doelgroep[[#This Row],[Percentage van patiëntaantallen in Wlz (overige is Zvw)]]</f>
        <v>0</v>
      </c>
    </row>
    <row r="1264" spans="1:22" x14ac:dyDescent="0.5">
      <c r="A1264" s="33" t="str">
        <f>INDEX(Technologieën[Veld],MATCH(B1264,Technologieën[Digitale zorgtoepassing],0))</f>
        <v>Software - Behandeling</v>
      </c>
      <c r="B1264" s="33" t="s">
        <v>101</v>
      </c>
      <c r="C1264" s="33" t="s">
        <v>84</v>
      </c>
      <c r="D1264" s="427" cm="1">
        <f t="array" ref="D1264">INDEX(Berekening_patiëntaantal[Percentage van patiëntaantallen in Wlz (overige is Zvw)],MATCH(B1264,IF(Berekening_patiëntaantal[Doelgroep (zoeksleutel)]=C1264,Berekening_patiëntaantal[Digitale zorgtoepassing]),0))</f>
        <v>0</v>
      </c>
      <c r="E1264" s="33" t="str" cm="1">
        <f t="array" ref="E1264">INDEX(Berekening_patiëntaantal[Direct toepasbaar/extrapolatie/incidentie voor QALY],MATCH(B1264,IF(Berekening_patiëntaantal[Doelgroep (zoeksleutel)]=C1264,Berekening_patiëntaantal[Digitale zorgtoepassing]),0))</f>
        <v>Huidige toepassing</v>
      </c>
      <c r="F1264" s="33" t="s">
        <v>813</v>
      </c>
      <c r="G1264" s="33" t="str">
        <f>CONCATENATE(uitkomst_doelgroep[[#This Row],[Digitale zorgtoepassing]],"_",uitkomst_doelgroep[[#This Row],[Doelgroep]],"_",uitkomst_doelgroep[[#This Row],[Uitgangssituatie/effect beleid]])</f>
        <v>Spraak automatisch vastleggen_Wijkverpleging_Uitgangssituatie</v>
      </c>
      <c r="H1264" s="33">
        <v>2025</v>
      </c>
      <c r="I1264" s="32">
        <v>3</v>
      </c>
      <c r="J1264" s="406" cm="1">
        <f t="array" ref="J1264">INDEX(implementatie[[2023]:[2034]],MATCH(G1264, implementatie[Zoeksleutel],0),I1264)</f>
        <v>0.32057920000000001</v>
      </c>
      <c r="K1264" s="406" cm="1">
        <f t="array" ref="K1264">INDEX(implementatie[[2023]:[2034]],MATCH(G1264,implementatie[Zoeksleutel],0),I1264 + 1)</f>
        <v>0.39271586095820804</v>
      </c>
      <c r="L126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29327.434700315458</v>
      </c>
      <c r="M1264" s="398" cm="1">
        <f t="array" ref="M1264">J1264*INDEX(Berekening_impact[Totaal arbeidsbesparing (€/jaar)],MATCH(B1264,IF(Berekening_impact[Doelgroep]=C1264,Berekening_impact[Digitale zorgtoepassing]),0))</f>
        <v>6491925.2597773243</v>
      </c>
      <c r="N1264" s="397" cm="1">
        <f t="array" ref="N1264">J1264*INDEX(Berekening_impact[Totaal arbeidsbesparing (FTE/jaar)],MATCH(B1264,IF(Berekening_impact[Doelgroep]=C1264,Berekening_impact[Digitale zorgtoepassing]),0))</f>
        <v>152.91627840000001</v>
      </c>
      <c r="O1264" s="398" cm="1">
        <f t="array" ref="O1264">J1264*INDEX(Berekening_impact[Overige kostenbesparing (totaal/jaar totaal potentieel)],MATCH(B1264,IF(Berekening_impact[Doelgroep]=C1264,Berekening_impact[Digitale zorgtoepassing]),0))</f>
        <v>92929.520463842302</v>
      </c>
      <c r="P1264" s="398" cm="1">
        <f t="array" ref="P1264">J1264*INDEX(Berekening_impact[Opbrengsten door QALY''s],MATCH(B1264,IF(Berekening_impact[Doelgroep]=C1264,Berekening_impact[Digitale zorgtoepassing]),0))</f>
        <v>0</v>
      </c>
      <c r="Q1264" s="398" cm="1">
        <f t="array" ref="Q1264">J1264*INDEX(Berekening_impact[Jaarlijkse kosten (totaal) - incl. schatting],MATCH(B1264,IF(Berekening_impact[Doelgroep]=C1264,Berekening_impact[Digitale zorgtoepassing]),0))</f>
        <v>703858.43280757102</v>
      </c>
      <c r="R1264" s="398" cm="1">
        <f t="array" ref="R1264">(uitkomst_doelgroep[[#This Row],[Implementatiegraad t = T + 1]]-uitkomst_doelgroep[[#This Row],[Implementatiegraad t = T]])*INDEX(Berekening_impact[Initiële investering (totaal) - incl. schatting],MATCH(B1264,IF(Berekening_impact[Doelgroep]=C1264,Berekening_impact[Digitale zorgtoepassing]),0))</f>
        <v>0</v>
      </c>
      <c r="S1264" s="398">
        <f>uitkomst_doelgroep[[#This Row],[Arbeidsbesparing (€)]]*uitkomst_doelgroep[[#This Row],[Percentage van patiëntaantallen in Wlz (overige is Zvw)]]</f>
        <v>0</v>
      </c>
      <c r="T1264" s="398">
        <f>uitkomst_doelgroep[[#This Row],[Overige besparingen (€)]]*uitkomst_doelgroep[[#This Row],[Percentage van patiëntaantallen in Wlz (overige is Zvw)]]</f>
        <v>0</v>
      </c>
      <c r="U1264" s="398">
        <f>uitkomst_doelgroep[[#This Row],[Kosten (€)]]*uitkomst_doelgroep[[#This Row],[Percentage van patiëntaantallen in Wlz (overige is Zvw)]]</f>
        <v>0</v>
      </c>
      <c r="V1264" s="398">
        <f>uitkomst_doelgroep[[#This Row],[Investering (cash flow) (€)]]*uitkomst_doelgroep[[#This Row],[Percentage van patiëntaantallen in Wlz (overige is Zvw)]]</f>
        <v>0</v>
      </c>
    </row>
    <row r="1265" spans="1:22" x14ac:dyDescent="0.5">
      <c r="A1265" s="33" t="str">
        <f>INDEX(Technologieën[Veld],MATCH(B1265,Technologieën[Digitale zorgtoepassing],0))</f>
        <v>Software - Behandeling</v>
      </c>
      <c r="B1265" s="33" t="s">
        <v>101</v>
      </c>
      <c r="C1265" s="33" t="s">
        <v>83</v>
      </c>
      <c r="D1265" s="427" cm="1">
        <f t="array" ref="D1265">INDEX(Berekening_patiëntaantal[Percentage van patiëntaantallen in Wlz (overige is Zvw)],MATCH(B1265,IF(Berekening_patiëntaantal[Doelgroep (zoeksleutel)]=C1265,Berekening_patiëntaantal[Digitale zorgtoepassing]),0))</f>
        <v>1</v>
      </c>
      <c r="E1265" s="33" t="str" cm="1">
        <f t="array" ref="E1265">INDEX(Berekening_patiëntaantal[Direct toepasbaar/extrapolatie/incidentie voor QALY],MATCH(B1265,IF(Berekening_patiëntaantal[Doelgroep (zoeksleutel)]=C1265,Berekening_patiëntaantal[Digitale zorgtoepassing]),0))</f>
        <v>Huidige toepassing</v>
      </c>
      <c r="F1265" s="33" t="s">
        <v>813</v>
      </c>
      <c r="G1265" s="33" t="str">
        <f>CONCATENATE(uitkomst_doelgroep[[#This Row],[Digitale zorgtoepassing]],"_",uitkomst_doelgroep[[#This Row],[Doelgroep]],"_",uitkomst_doelgroep[[#This Row],[Uitgangssituatie/effect beleid]])</f>
        <v>Spraak automatisch vastleggen_Verpleeghuis_Uitgangssituatie</v>
      </c>
      <c r="H1265" s="33">
        <v>2026</v>
      </c>
      <c r="I1265" s="32">
        <v>4</v>
      </c>
      <c r="J1265" s="406" cm="1">
        <f t="array" ref="J1265">INDEX(implementatie[[2023]:[2034]],MATCH(G1265, implementatie[Zoeksleutel],0),I1265)</f>
        <v>0.39271586095820804</v>
      </c>
      <c r="K1265" s="406" cm="1">
        <f t="array" ref="K1265">INDEX(implementatie[[2023]:[2034]],MATCH(G1265,implementatie[Zoeksleutel],0),I1265 + 1)</f>
        <v>0.47033573640164439</v>
      </c>
      <c r="L126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56798.102254524674</v>
      </c>
      <c r="M1265" s="398" cm="1">
        <f t="array" ref="M1265">J1265*INDEX(Berekening_impact[Totaal arbeidsbesparing (€/jaar)],MATCH(B1265,IF(Berekening_impact[Doelgroep]=C1265,Berekening_impact[Digitale zorgtoepassing]),0))</f>
        <v>101275152.78850582</v>
      </c>
      <c r="N1265" s="397" cm="1">
        <f t="array" ref="N1265">J1265*INDEX(Berekening_impact[Totaal arbeidsbesparing (FTE/jaar)],MATCH(B1265,IF(Berekening_impact[Doelgroep]=C1265,Berekening_impact[Digitale zorgtoepassing]),0))</f>
        <v>2385.5202946900358</v>
      </c>
      <c r="O1265" s="398" cm="1">
        <f t="array" ref="O1265">J1265*INDEX(Berekening_impact[Overige kostenbesparing (totaal/jaar totaal potentieel)],MATCH(B1265,IF(Berekening_impact[Doelgroep]=C1265,Berekening_impact[Digitale zorgtoepassing]),0))</f>
        <v>0</v>
      </c>
      <c r="P1265" s="398" cm="1">
        <f t="array" ref="P1265">J1265*INDEX(Berekening_impact[Opbrengsten door QALY''s],MATCH(B1265,IF(Berekening_impact[Doelgroep]=C1265,Berekening_impact[Digitale zorgtoepassing]),0))</f>
        <v>0</v>
      </c>
      <c r="Q1265" s="398" cm="1">
        <f t="array" ref="Q1265">J1265*INDEX(Berekening_impact[Jaarlijkse kosten (totaal) - incl. schatting],MATCH(B1265,IF(Berekening_impact[Doelgroep]=C1265,Berekening_impact[Digitale zorgtoepassing]),0))</f>
        <v>1363154.4541085921</v>
      </c>
      <c r="R1265" s="398" cm="1">
        <f t="array" ref="R1265">(uitkomst_doelgroep[[#This Row],[Implementatiegraad t = T + 1]]-uitkomst_doelgroep[[#This Row],[Implementatiegraad t = T]])*INDEX(Berekening_impact[Initiële investering (totaal) - incl. schatting],MATCH(B1265,IF(Berekening_impact[Doelgroep]=C1265,Berekening_impact[Digitale zorgtoepassing]),0))</f>
        <v>0</v>
      </c>
      <c r="S1265" s="398">
        <f>uitkomst_doelgroep[[#This Row],[Arbeidsbesparing (€)]]*uitkomst_doelgroep[[#This Row],[Percentage van patiëntaantallen in Wlz (overige is Zvw)]]</f>
        <v>101275152.78850582</v>
      </c>
      <c r="T1265" s="398">
        <f>uitkomst_doelgroep[[#This Row],[Overige besparingen (€)]]*uitkomst_doelgroep[[#This Row],[Percentage van patiëntaantallen in Wlz (overige is Zvw)]]</f>
        <v>0</v>
      </c>
      <c r="U1265" s="398">
        <f>uitkomst_doelgroep[[#This Row],[Kosten (€)]]*uitkomst_doelgroep[[#This Row],[Percentage van patiëntaantallen in Wlz (overige is Zvw)]]</f>
        <v>1363154.4541085921</v>
      </c>
      <c r="V1265" s="398">
        <f>uitkomst_doelgroep[[#This Row],[Investering (cash flow) (€)]]*uitkomst_doelgroep[[#This Row],[Percentage van patiëntaantallen in Wlz (overige is Zvw)]]</f>
        <v>0</v>
      </c>
    </row>
    <row r="1266" spans="1:22" x14ac:dyDescent="0.5">
      <c r="A1266" s="33" t="str">
        <f>INDEX(Technologieën[Veld],MATCH(B1266,Technologieën[Digitale zorgtoepassing],0))</f>
        <v>Software - Behandeling</v>
      </c>
      <c r="B1266" s="33" t="s">
        <v>101</v>
      </c>
      <c r="C1266" s="33" t="s">
        <v>84</v>
      </c>
      <c r="D1266" s="427" cm="1">
        <f t="array" ref="D1266">INDEX(Berekening_patiëntaantal[Percentage van patiëntaantallen in Wlz (overige is Zvw)],MATCH(B1266,IF(Berekening_patiëntaantal[Doelgroep (zoeksleutel)]=C1266,Berekening_patiëntaantal[Digitale zorgtoepassing]),0))</f>
        <v>0</v>
      </c>
      <c r="E1266" s="33" t="str" cm="1">
        <f t="array" ref="E1266">INDEX(Berekening_patiëntaantal[Direct toepasbaar/extrapolatie/incidentie voor QALY],MATCH(B1266,IF(Berekening_patiëntaantal[Doelgroep (zoeksleutel)]=C1266,Berekening_patiëntaantal[Digitale zorgtoepassing]),0))</f>
        <v>Huidige toepassing</v>
      </c>
      <c r="F1266" s="33" t="s">
        <v>813</v>
      </c>
      <c r="G1266" s="33" t="str">
        <f>CONCATENATE(uitkomst_doelgroep[[#This Row],[Digitale zorgtoepassing]],"_",uitkomst_doelgroep[[#This Row],[Doelgroep]],"_",uitkomst_doelgroep[[#This Row],[Uitgangssituatie/effect beleid]])</f>
        <v>Spraak automatisch vastleggen_Wijkverpleging_Uitgangssituatie</v>
      </c>
      <c r="H1266" s="33">
        <v>2026</v>
      </c>
      <c r="I1266" s="32">
        <v>4</v>
      </c>
      <c r="J1266" s="406" cm="1">
        <f t="array" ref="J1266">INDEX(implementatie[[2023]:[2034]],MATCH(G1266, implementatie[Zoeksleutel],0),I1266)</f>
        <v>0.39271586095820804</v>
      </c>
      <c r="K1266" s="406" cm="1">
        <f t="array" ref="K1266">INDEX(implementatie[[2023]:[2034]],MATCH(G1266,implementatie[Zoeksleutel],0),I1266 + 1)</f>
        <v>0.47033573640164439</v>
      </c>
      <c r="L126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35926.687595545845</v>
      </c>
      <c r="M1266" s="398" cm="1">
        <f t="array" ref="M1266">J1266*INDEX(Berekening_impact[Totaal arbeidsbesparing (€/jaar)],MATCH(B1266,IF(Berekening_impact[Doelgroep]=C1266,Berekening_impact[Digitale zorgtoepassing]),0))</f>
        <v>7952736.8515168494</v>
      </c>
      <c r="N1266" s="397" cm="1">
        <f t="array" ref="N1266">J1266*INDEX(Berekening_impact[Totaal arbeidsbesparing (FTE/jaar)],MATCH(B1266,IF(Berekening_impact[Doelgroep]=C1266,Berekening_impact[Digitale zorgtoepassing]),0))</f>
        <v>187.32546567706524</v>
      </c>
      <c r="O1266" s="398" cm="1">
        <f t="array" ref="O1266">J1266*INDEX(Berekening_impact[Overige kostenbesparing (totaal/jaar totaal potentieel)],MATCH(B1266,IF(Berekening_impact[Doelgroep]=C1266,Berekening_impact[Digitale zorgtoepassing]),0))</f>
        <v>113840.50068560669</v>
      </c>
      <c r="P1266" s="398" cm="1">
        <f t="array" ref="P1266">J1266*INDEX(Berekening_impact[Opbrengsten door QALY''s],MATCH(B1266,IF(Berekening_impact[Doelgroep]=C1266,Berekening_impact[Digitale zorgtoepassing]),0))</f>
        <v>0</v>
      </c>
      <c r="Q1266" s="398" cm="1">
        <f t="array" ref="Q1266">J1266*INDEX(Berekening_impact[Jaarlijkse kosten (totaal) - incl. schatting],MATCH(B1266,IF(Berekening_impact[Doelgroep]=C1266,Berekening_impact[Digitale zorgtoepassing]),0))</f>
        <v>862240.50229310023</v>
      </c>
      <c r="R1266" s="398" cm="1">
        <f t="array" ref="R1266">(uitkomst_doelgroep[[#This Row],[Implementatiegraad t = T + 1]]-uitkomst_doelgroep[[#This Row],[Implementatiegraad t = T]])*INDEX(Berekening_impact[Initiële investering (totaal) - incl. schatting],MATCH(B1266,IF(Berekening_impact[Doelgroep]=C1266,Berekening_impact[Digitale zorgtoepassing]),0))</f>
        <v>0</v>
      </c>
      <c r="S1266" s="398">
        <f>uitkomst_doelgroep[[#This Row],[Arbeidsbesparing (€)]]*uitkomst_doelgroep[[#This Row],[Percentage van patiëntaantallen in Wlz (overige is Zvw)]]</f>
        <v>0</v>
      </c>
      <c r="T1266" s="398">
        <f>uitkomst_doelgroep[[#This Row],[Overige besparingen (€)]]*uitkomst_doelgroep[[#This Row],[Percentage van patiëntaantallen in Wlz (overige is Zvw)]]</f>
        <v>0</v>
      </c>
      <c r="U1266" s="398">
        <f>uitkomst_doelgroep[[#This Row],[Kosten (€)]]*uitkomst_doelgroep[[#This Row],[Percentage van patiëntaantallen in Wlz (overige is Zvw)]]</f>
        <v>0</v>
      </c>
      <c r="V1266" s="398">
        <f>uitkomst_doelgroep[[#This Row],[Investering (cash flow) (€)]]*uitkomst_doelgroep[[#This Row],[Percentage van patiëntaantallen in Wlz (overige is Zvw)]]</f>
        <v>0</v>
      </c>
    </row>
    <row r="1267" spans="1:22" x14ac:dyDescent="0.5">
      <c r="A1267" s="33" t="str">
        <f>INDEX(Technologieën[Veld],MATCH(B1267,Technologieën[Digitale zorgtoepassing],0))</f>
        <v>Software - Behandeling</v>
      </c>
      <c r="B1267" s="33" t="s">
        <v>101</v>
      </c>
      <c r="C1267" s="33" t="s">
        <v>83</v>
      </c>
      <c r="D1267" s="427" cm="1">
        <f t="array" ref="D1267">INDEX(Berekening_patiëntaantal[Percentage van patiëntaantallen in Wlz (overige is Zvw)],MATCH(B1267,IF(Berekening_patiëntaantal[Doelgroep (zoeksleutel)]=C1267,Berekening_patiëntaantal[Digitale zorgtoepassing]),0))</f>
        <v>1</v>
      </c>
      <c r="E1267" s="33" t="str" cm="1">
        <f t="array" ref="E1267">INDEX(Berekening_patiëntaantal[Direct toepasbaar/extrapolatie/incidentie voor QALY],MATCH(B1267,IF(Berekening_patiëntaantal[Doelgroep (zoeksleutel)]=C1267,Berekening_patiëntaantal[Digitale zorgtoepassing]),0))</f>
        <v>Huidige toepassing</v>
      </c>
      <c r="F1267" s="33" t="s">
        <v>813</v>
      </c>
      <c r="G1267" s="33" t="str">
        <f>CONCATENATE(uitkomst_doelgroep[[#This Row],[Digitale zorgtoepassing]],"_",uitkomst_doelgroep[[#This Row],[Doelgroep]],"_",uitkomst_doelgroep[[#This Row],[Uitgangssituatie/effect beleid]])</f>
        <v>Spraak automatisch vastleggen_Verpleeghuis_Uitgangssituatie</v>
      </c>
      <c r="H1267" s="33">
        <v>2027</v>
      </c>
      <c r="I1267" s="32">
        <v>5</v>
      </c>
      <c r="J1267" s="406" cm="1">
        <f t="array" ref="J1267">INDEX(implementatie[[2023]:[2034]],MATCH(G1267, implementatie[Zoeksleutel],0),I1267)</f>
        <v>0.47033573640164439</v>
      </c>
      <c r="K1267" s="406" cm="1">
        <f t="array" ref="K1267">INDEX(implementatie[[2023]:[2034]],MATCH(G1267,implementatie[Zoeksleutel],0),I1267 + 1)</f>
        <v>0.55036838847717817</v>
      </c>
      <c r="L126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68024.187220033433</v>
      </c>
      <c r="M1267" s="398" cm="1">
        <f t="array" ref="M1267">J1267*INDEX(Berekening_impact[Totaal arbeidsbesparing (€/jaar)],MATCH(B1267,IF(Berekening_impact[Doelgroep]=C1267,Berekening_impact[Digitale zorgtoepassing]),0))</f>
        <v>121292079.85067852</v>
      </c>
      <c r="N1267" s="397" cm="1">
        <f t="array" ref="N1267">J1267*INDEX(Berekening_impact[Totaal arbeidsbesparing (FTE/jaar)],MATCH(B1267,IF(Berekening_impact[Doelgroep]=C1267,Berekening_impact[Digitale zorgtoepassing]),0))</f>
        <v>2857.0158632414036</v>
      </c>
      <c r="O1267" s="398" cm="1">
        <f t="array" ref="O1267">J1267*INDEX(Berekening_impact[Overige kostenbesparing (totaal/jaar totaal potentieel)],MATCH(B1267,IF(Berekening_impact[Doelgroep]=C1267,Berekening_impact[Digitale zorgtoepassing]),0))</f>
        <v>0</v>
      </c>
      <c r="P1267" s="398" cm="1">
        <f t="array" ref="P1267">J1267*INDEX(Berekening_impact[Opbrengsten door QALY''s],MATCH(B1267,IF(Berekening_impact[Doelgroep]=C1267,Berekening_impact[Digitale zorgtoepassing]),0))</f>
        <v>0</v>
      </c>
      <c r="Q1267" s="398" cm="1">
        <f t="array" ref="Q1267">J1267*INDEX(Berekening_impact[Jaarlijkse kosten (totaal) - incl. schatting],MATCH(B1267,IF(Berekening_impact[Doelgroep]=C1267,Berekening_impact[Digitale zorgtoepassing]),0))</f>
        <v>1632580.4932808022</v>
      </c>
      <c r="R1267" s="398" cm="1">
        <f t="array" ref="R1267">(uitkomst_doelgroep[[#This Row],[Implementatiegraad t = T + 1]]-uitkomst_doelgroep[[#This Row],[Implementatiegraad t = T]])*INDEX(Berekening_impact[Initiële investering (totaal) - incl. schatting],MATCH(B1267,IF(Berekening_impact[Doelgroep]=C1267,Berekening_impact[Digitale zorgtoepassing]),0))</f>
        <v>0</v>
      </c>
      <c r="S1267" s="398">
        <f>uitkomst_doelgroep[[#This Row],[Arbeidsbesparing (€)]]*uitkomst_doelgroep[[#This Row],[Percentage van patiëntaantallen in Wlz (overige is Zvw)]]</f>
        <v>121292079.85067852</v>
      </c>
      <c r="T1267" s="398">
        <f>uitkomst_doelgroep[[#This Row],[Overige besparingen (€)]]*uitkomst_doelgroep[[#This Row],[Percentage van patiëntaantallen in Wlz (overige is Zvw)]]</f>
        <v>0</v>
      </c>
      <c r="U1267" s="398">
        <f>uitkomst_doelgroep[[#This Row],[Kosten (€)]]*uitkomst_doelgroep[[#This Row],[Percentage van patiëntaantallen in Wlz (overige is Zvw)]]</f>
        <v>1632580.4932808022</v>
      </c>
      <c r="V1267" s="398">
        <f>uitkomst_doelgroep[[#This Row],[Investering (cash flow) (€)]]*uitkomst_doelgroep[[#This Row],[Percentage van patiëntaantallen in Wlz (overige is Zvw)]]</f>
        <v>0</v>
      </c>
    </row>
    <row r="1268" spans="1:22" x14ac:dyDescent="0.5">
      <c r="A1268" s="33" t="str">
        <f>INDEX(Technologieën[Veld],MATCH(B1268,Technologieën[Digitale zorgtoepassing],0))</f>
        <v>Software - Behandeling</v>
      </c>
      <c r="B1268" s="33" t="s">
        <v>101</v>
      </c>
      <c r="C1268" s="33" t="s">
        <v>84</v>
      </c>
      <c r="D1268" s="427" cm="1">
        <f t="array" ref="D1268">INDEX(Berekening_patiëntaantal[Percentage van patiëntaantallen in Wlz (overige is Zvw)],MATCH(B1268,IF(Berekening_patiëntaantal[Doelgroep (zoeksleutel)]=C1268,Berekening_patiëntaantal[Digitale zorgtoepassing]),0))</f>
        <v>0</v>
      </c>
      <c r="E1268" s="33" t="str" cm="1">
        <f t="array" ref="E1268">INDEX(Berekening_patiëntaantal[Direct toepasbaar/extrapolatie/incidentie voor QALY],MATCH(B1268,IF(Berekening_patiëntaantal[Doelgroep (zoeksleutel)]=C1268,Berekening_patiëntaantal[Digitale zorgtoepassing]),0))</f>
        <v>Huidige toepassing</v>
      </c>
      <c r="F1268" s="33" t="s">
        <v>813</v>
      </c>
      <c r="G1268" s="33" t="str">
        <f>CONCATENATE(uitkomst_doelgroep[[#This Row],[Digitale zorgtoepassing]],"_",uitkomst_doelgroep[[#This Row],[Doelgroep]],"_",uitkomst_doelgroep[[#This Row],[Uitgangssituatie/effect beleid]])</f>
        <v>Spraak automatisch vastleggen_Wijkverpleging_Uitgangssituatie</v>
      </c>
      <c r="H1268" s="33">
        <v>2027</v>
      </c>
      <c r="I1268" s="32">
        <v>5</v>
      </c>
      <c r="J1268" s="406" cm="1">
        <f t="array" ref="J1268">INDEX(implementatie[[2023]:[2034]],MATCH(G1268, implementatie[Zoeksleutel],0),I1268)</f>
        <v>0.47033573640164439</v>
      </c>
      <c r="K1268" s="406" cm="1">
        <f t="array" ref="K1268">INDEX(implementatie[[2023]:[2034]],MATCH(G1268,implementatie[Zoeksleutel],0),I1268 + 1)</f>
        <v>0.55036838847717817</v>
      </c>
      <c r="L126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43027.559481538447</v>
      </c>
      <c r="M1268" s="398" cm="1">
        <f t="array" ref="M1268">J1268*INDEX(Berekening_impact[Totaal arbeidsbesparing (€/jaar)],MATCH(B1268,IF(Berekening_impact[Doelgroep]=C1268,Berekening_impact[Digitale zorgtoepassing]),0))</f>
        <v>9524586.8968473449</v>
      </c>
      <c r="N1268" s="397" cm="1">
        <f t="array" ref="N1268">J1268*INDEX(Berekening_impact[Totaal arbeidsbesparing (FTE/jaar)],MATCH(B1268,IF(Berekening_impact[Doelgroep]=C1268,Berekening_impact[Digitale zorgtoepassing]),0))</f>
        <v>224.35014626358438</v>
      </c>
      <c r="O1268" s="398" cm="1">
        <f t="array" ref="O1268">J1268*INDEX(Berekening_impact[Overige kostenbesparing (totaal/jaar totaal potentieel)],MATCH(B1268,IF(Berekening_impact[Doelgroep]=C1268,Berekening_impact[Digitale zorgtoepassing]),0))</f>
        <v>136340.95549808894</v>
      </c>
      <c r="P1268" s="398" cm="1">
        <f t="array" ref="P1268">J1268*INDEX(Berekening_impact[Opbrengsten door QALY''s],MATCH(B1268,IF(Berekening_impact[Doelgroep]=C1268,Berekening_impact[Digitale zorgtoepassing]),0))</f>
        <v>0</v>
      </c>
      <c r="Q1268" s="398" cm="1">
        <f t="array" ref="Q1268">J1268*INDEX(Berekening_impact[Jaarlijkse kosten (totaal) - incl. schatting],MATCH(B1268,IF(Berekening_impact[Doelgroep]=C1268,Berekening_impact[Digitale zorgtoepassing]),0))</f>
        <v>1032661.4275569227</v>
      </c>
      <c r="R1268" s="398" cm="1">
        <f t="array" ref="R1268">(uitkomst_doelgroep[[#This Row],[Implementatiegraad t = T + 1]]-uitkomst_doelgroep[[#This Row],[Implementatiegraad t = T]])*INDEX(Berekening_impact[Initiële investering (totaal) - incl. schatting],MATCH(B1268,IF(Berekening_impact[Doelgroep]=C1268,Berekening_impact[Digitale zorgtoepassing]),0))</f>
        <v>0</v>
      </c>
      <c r="S1268" s="398">
        <f>uitkomst_doelgroep[[#This Row],[Arbeidsbesparing (€)]]*uitkomst_doelgroep[[#This Row],[Percentage van patiëntaantallen in Wlz (overige is Zvw)]]</f>
        <v>0</v>
      </c>
      <c r="T1268" s="398">
        <f>uitkomst_doelgroep[[#This Row],[Overige besparingen (€)]]*uitkomst_doelgroep[[#This Row],[Percentage van patiëntaantallen in Wlz (overige is Zvw)]]</f>
        <v>0</v>
      </c>
      <c r="U1268" s="398">
        <f>uitkomst_doelgroep[[#This Row],[Kosten (€)]]*uitkomst_doelgroep[[#This Row],[Percentage van patiëntaantallen in Wlz (overige is Zvw)]]</f>
        <v>0</v>
      </c>
      <c r="V1268" s="398">
        <f>uitkomst_doelgroep[[#This Row],[Investering (cash flow) (€)]]*uitkomst_doelgroep[[#This Row],[Percentage van patiëntaantallen in Wlz (overige is Zvw)]]</f>
        <v>0</v>
      </c>
    </row>
    <row r="1269" spans="1:22" x14ac:dyDescent="0.5">
      <c r="A1269" s="33" t="str">
        <f>INDEX(Technologieën[Veld],MATCH(B1269,Technologieën[Digitale zorgtoepassing],0))</f>
        <v>Software - Behandeling</v>
      </c>
      <c r="B1269" s="33" t="s">
        <v>101</v>
      </c>
      <c r="C1269" s="33" t="s">
        <v>83</v>
      </c>
      <c r="D1269" s="427" cm="1">
        <f t="array" ref="D1269">INDEX(Berekening_patiëntaantal[Percentage van patiëntaantallen in Wlz (overige is Zvw)],MATCH(B1269,IF(Berekening_patiëntaantal[Doelgroep (zoeksleutel)]=C1269,Berekening_patiëntaantal[Digitale zorgtoepassing]),0))</f>
        <v>1</v>
      </c>
      <c r="E1269" s="33" t="str" cm="1">
        <f t="array" ref="E1269">INDEX(Berekening_patiëntaantal[Direct toepasbaar/extrapolatie/incidentie voor QALY],MATCH(B1269,IF(Berekening_patiëntaantal[Doelgroep (zoeksleutel)]=C1269,Berekening_patiëntaantal[Digitale zorgtoepassing]),0))</f>
        <v>Huidige toepassing</v>
      </c>
      <c r="F1269" s="33" t="s">
        <v>813</v>
      </c>
      <c r="G1269" s="33" t="str">
        <f>CONCATENATE(uitkomst_doelgroep[[#This Row],[Digitale zorgtoepassing]],"_",uitkomst_doelgroep[[#This Row],[Doelgroep]],"_",uitkomst_doelgroep[[#This Row],[Uitgangssituatie/effect beleid]])</f>
        <v>Spraak automatisch vastleggen_Verpleeghuis_Uitgangssituatie</v>
      </c>
      <c r="H1269" s="33">
        <v>2028</v>
      </c>
      <c r="I1269" s="32">
        <v>6</v>
      </c>
      <c r="J1269" s="406" cm="1">
        <f t="array" ref="J1269">INDEX(implementatie[[2023]:[2034]],MATCH(G1269, implementatie[Zoeksleutel],0),I1269)</f>
        <v>0.55036838847717817</v>
      </c>
      <c r="K1269" s="406" cm="1">
        <f t="array" ref="K1269">INDEX(implementatie[[2023]:[2034]],MATCH(G1269,implementatie[Zoeksleutel],0),I1269 + 1)</f>
        <v>0.62910361222507005</v>
      </c>
      <c r="L126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79599.229657065807</v>
      </c>
      <c r="M1269" s="398" cm="1">
        <f t="array" ref="M1269">J1269*INDEX(Berekening_impact[Totaal arbeidsbesparing (€/jaar)],MATCH(B1269,IF(Berekening_impact[Doelgroep]=C1269,Berekening_impact[Digitale zorgtoepassing]),0))</f>
        <v>141931223.49830818</v>
      </c>
      <c r="N1269" s="397" cm="1">
        <f t="array" ref="N1269">J1269*INDEX(Berekening_impact[Totaal arbeidsbesparing (FTE/jaar)],MATCH(B1269,IF(Berekening_impact[Doelgroep]=C1269,Berekening_impact[Digitale zorgtoepassing]),0))</f>
        <v>3343.1676455967636</v>
      </c>
      <c r="O1269" s="398" cm="1">
        <f t="array" ref="O1269">J1269*INDEX(Berekening_impact[Overige kostenbesparing (totaal/jaar totaal potentieel)],MATCH(B1269,IF(Berekening_impact[Doelgroep]=C1269,Berekening_impact[Digitale zorgtoepassing]),0))</f>
        <v>0</v>
      </c>
      <c r="P1269" s="398" cm="1">
        <f t="array" ref="P1269">J1269*INDEX(Berekening_impact[Opbrengsten door QALY''s],MATCH(B1269,IF(Berekening_impact[Doelgroep]=C1269,Berekening_impact[Digitale zorgtoepassing]),0))</f>
        <v>0</v>
      </c>
      <c r="Q1269" s="398" cm="1">
        <f t="array" ref="Q1269">J1269*INDEX(Berekening_impact[Jaarlijkse kosten (totaal) - incl. schatting],MATCH(B1269,IF(Berekening_impact[Doelgroep]=C1269,Berekening_impact[Digitale zorgtoepassing]),0))</f>
        <v>1910381.5117695793</v>
      </c>
      <c r="R1269" s="398" cm="1">
        <f t="array" ref="R1269">(uitkomst_doelgroep[[#This Row],[Implementatiegraad t = T + 1]]-uitkomst_doelgroep[[#This Row],[Implementatiegraad t = T]])*INDEX(Berekening_impact[Initiële investering (totaal) - incl. schatting],MATCH(B1269,IF(Berekening_impact[Doelgroep]=C1269,Berekening_impact[Digitale zorgtoepassing]),0))</f>
        <v>0</v>
      </c>
      <c r="S1269" s="398">
        <f>uitkomst_doelgroep[[#This Row],[Arbeidsbesparing (€)]]*uitkomst_doelgroep[[#This Row],[Percentage van patiëntaantallen in Wlz (overige is Zvw)]]</f>
        <v>141931223.49830818</v>
      </c>
      <c r="T1269" s="398">
        <f>uitkomst_doelgroep[[#This Row],[Overige besparingen (€)]]*uitkomst_doelgroep[[#This Row],[Percentage van patiëntaantallen in Wlz (overige is Zvw)]]</f>
        <v>0</v>
      </c>
      <c r="U1269" s="398">
        <f>uitkomst_doelgroep[[#This Row],[Kosten (€)]]*uitkomst_doelgroep[[#This Row],[Percentage van patiëntaantallen in Wlz (overige is Zvw)]]</f>
        <v>1910381.5117695793</v>
      </c>
      <c r="V1269" s="398">
        <f>uitkomst_doelgroep[[#This Row],[Investering (cash flow) (€)]]*uitkomst_doelgroep[[#This Row],[Percentage van patiëntaantallen in Wlz (overige is Zvw)]]</f>
        <v>0</v>
      </c>
    </row>
    <row r="1270" spans="1:22" x14ac:dyDescent="0.5">
      <c r="A1270" s="33" t="str">
        <f>INDEX(Technologieën[Veld],MATCH(B1270,Technologieën[Digitale zorgtoepassing],0))</f>
        <v>Software - Behandeling</v>
      </c>
      <c r="B1270" s="33" t="s">
        <v>101</v>
      </c>
      <c r="C1270" s="33" t="s">
        <v>84</v>
      </c>
      <c r="D1270" s="427" cm="1">
        <f t="array" ref="D1270">INDEX(Berekening_patiëntaantal[Percentage van patiëntaantallen in Wlz (overige is Zvw)],MATCH(B1270,IF(Berekening_patiëntaantal[Doelgroep (zoeksleutel)]=C1270,Berekening_patiëntaantal[Digitale zorgtoepassing]),0))</f>
        <v>0</v>
      </c>
      <c r="E1270" s="33" t="str" cm="1">
        <f t="array" ref="E1270">INDEX(Berekening_patiëntaantal[Direct toepasbaar/extrapolatie/incidentie voor QALY],MATCH(B1270,IF(Berekening_patiëntaantal[Doelgroep (zoeksleutel)]=C1270,Berekening_patiëntaantal[Digitale zorgtoepassing]),0))</f>
        <v>Huidige toepassing</v>
      </c>
      <c r="F1270" s="33" t="s">
        <v>813</v>
      </c>
      <c r="G1270" s="33" t="str">
        <f>CONCATENATE(uitkomst_doelgroep[[#This Row],[Digitale zorgtoepassing]],"_",uitkomst_doelgroep[[#This Row],[Doelgroep]],"_",uitkomst_doelgroep[[#This Row],[Uitgangssituatie/effect beleid]])</f>
        <v>Spraak automatisch vastleggen_Wijkverpleging_Uitgangssituatie</v>
      </c>
      <c r="H1270" s="33">
        <v>2028</v>
      </c>
      <c r="I1270" s="32">
        <v>6</v>
      </c>
      <c r="J1270" s="406" cm="1">
        <f t="array" ref="J1270">INDEX(implementatie[[2023]:[2034]],MATCH(G1270, implementatie[Zoeksleutel],0),I1270)</f>
        <v>0.55036838847717817</v>
      </c>
      <c r="K1270" s="406" cm="1">
        <f t="array" ref="K1270">INDEX(implementatie[[2023]:[2034]],MATCH(G1270,implementatie[Zoeksleutel],0),I1270 + 1)</f>
        <v>0.62910361222507005</v>
      </c>
      <c r="L127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50349.158567312828</v>
      </c>
      <c r="M1270" s="398" cm="1">
        <f t="array" ref="M1270">J1270*INDEX(Berekening_impact[Totaal arbeidsbesparing (€/jaar)],MATCH(B1270,IF(Berekening_impact[Doelgroep]=C1270,Berekening_impact[Digitale zorgtoepassing]),0))</f>
        <v>11145297.147593893</v>
      </c>
      <c r="N1270" s="397" cm="1">
        <f t="array" ref="N1270">J1270*INDEX(Berekening_impact[Totaal arbeidsbesparing (FTE/jaar)],MATCH(B1270,IF(Berekening_impact[Doelgroep]=C1270,Berekening_impact[Digitale zorgtoepassing]),0))</f>
        <v>262.52572130361398</v>
      </c>
      <c r="O1270" s="398" cm="1">
        <f t="array" ref="O1270">J1270*INDEX(Berekening_impact[Overige kostenbesparing (totaal/jaar totaal potentieel)],MATCH(B1270,IF(Berekening_impact[Doelgroep]=C1270,Berekening_impact[Digitale zorgtoepassing]),0))</f>
        <v>159540.82616602024</v>
      </c>
      <c r="P1270" s="398" cm="1">
        <f t="array" ref="P1270">J1270*INDEX(Berekening_impact[Opbrengsten door QALY''s],MATCH(B1270,IF(Berekening_impact[Doelgroep]=C1270,Berekening_impact[Digitale zorgtoepassing]),0))</f>
        <v>0</v>
      </c>
      <c r="Q1270" s="398" cm="1">
        <f t="array" ref="Q1270">J1270*INDEX(Berekening_impact[Jaarlijkse kosten (totaal) - incl. schatting],MATCH(B1270,IF(Berekening_impact[Doelgroep]=C1270,Berekening_impact[Digitale zorgtoepassing]),0))</f>
        <v>1208379.8056155078</v>
      </c>
      <c r="R1270" s="398" cm="1">
        <f t="array" ref="R1270">(uitkomst_doelgroep[[#This Row],[Implementatiegraad t = T + 1]]-uitkomst_doelgroep[[#This Row],[Implementatiegraad t = T]])*INDEX(Berekening_impact[Initiële investering (totaal) - incl. schatting],MATCH(B1270,IF(Berekening_impact[Doelgroep]=C1270,Berekening_impact[Digitale zorgtoepassing]),0))</f>
        <v>0</v>
      </c>
      <c r="S1270" s="398">
        <f>uitkomst_doelgroep[[#This Row],[Arbeidsbesparing (€)]]*uitkomst_doelgroep[[#This Row],[Percentage van patiëntaantallen in Wlz (overige is Zvw)]]</f>
        <v>0</v>
      </c>
      <c r="T1270" s="398">
        <f>uitkomst_doelgroep[[#This Row],[Overige besparingen (€)]]*uitkomst_doelgroep[[#This Row],[Percentage van patiëntaantallen in Wlz (overige is Zvw)]]</f>
        <v>0</v>
      </c>
      <c r="U1270" s="398">
        <f>uitkomst_doelgroep[[#This Row],[Kosten (€)]]*uitkomst_doelgroep[[#This Row],[Percentage van patiëntaantallen in Wlz (overige is Zvw)]]</f>
        <v>0</v>
      </c>
      <c r="V1270" s="398">
        <f>uitkomst_doelgroep[[#This Row],[Investering (cash flow) (€)]]*uitkomst_doelgroep[[#This Row],[Percentage van patiëntaantallen in Wlz (overige is Zvw)]]</f>
        <v>0</v>
      </c>
    </row>
    <row r="1271" spans="1:22" x14ac:dyDescent="0.5">
      <c r="A1271" s="33" t="str">
        <f>INDEX(Technologieën[Veld],MATCH(B1271,Technologieën[Digitale zorgtoepassing],0))</f>
        <v>Software - Behandeling</v>
      </c>
      <c r="B1271" s="33" t="s">
        <v>101</v>
      </c>
      <c r="C1271" s="33" t="s">
        <v>83</v>
      </c>
      <c r="D1271" s="427" cm="1">
        <f t="array" ref="D1271">INDEX(Berekening_patiëntaantal[Percentage van patiëntaantallen in Wlz (overige is Zvw)],MATCH(B1271,IF(Berekening_patiëntaantal[Doelgroep (zoeksleutel)]=C1271,Berekening_patiëntaantal[Digitale zorgtoepassing]),0))</f>
        <v>1</v>
      </c>
      <c r="E1271" s="33" t="str" cm="1">
        <f t="array" ref="E1271">INDEX(Berekening_patiëntaantal[Direct toepasbaar/extrapolatie/incidentie voor QALY],MATCH(B1271,IF(Berekening_patiëntaantal[Doelgroep (zoeksleutel)]=C1271,Berekening_patiëntaantal[Digitale zorgtoepassing]),0))</f>
        <v>Huidige toepassing</v>
      </c>
      <c r="F1271" s="33" t="s">
        <v>813</v>
      </c>
      <c r="G1271" s="33" t="str">
        <f>CONCATENATE(uitkomst_doelgroep[[#This Row],[Digitale zorgtoepassing]],"_",uitkomst_doelgroep[[#This Row],[Doelgroep]],"_",uitkomst_doelgroep[[#This Row],[Uitgangssituatie/effect beleid]])</f>
        <v>Spraak automatisch vastleggen_Verpleeghuis_Uitgangssituatie</v>
      </c>
      <c r="H1271" s="33">
        <v>2029</v>
      </c>
      <c r="I1271" s="32">
        <v>7</v>
      </c>
      <c r="J1271" s="406" cm="1">
        <f t="array" ref="J1271">INDEX(implementatie[[2023]:[2034]],MATCH(G1271, implementatie[Zoeksleutel],0),I1271)</f>
        <v>0.62910361222507005</v>
      </c>
      <c r="K1271" s="406" cm="1">
        <f t="array" ref="K1271">INDEX(implementatie[[2023]:[2034]],MATCH(G1271,implementatie[Zoeksleutel],0),I1271 + 1)</f>
        <v>0.70281225329595098</v>
      </c>
      <c r="L127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90986.626332499654</v>
      </c>
      <c r="M1271" s="398" cm="1">
        <f t="array" ref="M1271">J1271*INDEX(Berekening_impact[Totaal arbeidsbesparing (€/jaar)],MATCH(B1271,IF(Berekening_impact[Doelgroep]=C1271,Berekening_impact[Digitale zorgtoepassing]),0))</f>
        <v>162235781.0872198</v>
      </c>
      <c r="N1271" s="397" cm="1">
        <f t="array" ref="N1271">J1271*INDEX(Berekening_impact[Totaal arbeidsbesparing (FTE/jaar)],MATCH(B1271,IF(Berekening_impact[Doelgroep]=C1271,Berekening_impact[Digitale zorgtoepassing]),0))</f>
        <v>3821.4383059649854</v>
      </c>
      <c r="O1271" s="398" cm="1">
        <f t="array" ref="O1271">J1271*INDEX(Berekening_impact[Overige kostenbesparing (totaal/jaar totaal potentieel)],MATCH(B1271,IF(Berekening_impact[Doelgroep]=C1271,Berekening_impact[Digitale zorgtoepassing]),0))</f>
        <v>0</v>
      </c>
      <c r="P1271" s="398" cm="1">
        <f t="array" ref="P1271">J1271*INDEX(Berekening_impact[Opbrengsten door QALY''s],MATCH(B1271,IF(Berekening_impact[Doelgroep]=C1271,Berekening_impact[Digitale zorgtoepassing]),0))</f>
        <v>0</v>
      </c>
      <c r="Q1271" s="398" cm="1">
        <f t="array" ref="Q1271">J1271*INDEX(Berekening_impact[Jaarlijkse kosten (totaal) - incl. schatting],MATCH(B1271,IF(Berekening_impact[Doelgroep]=C1271,Berekening_impact[Digitale zorgtoepassing]),0))</f>
        <v>2183679.0319799916</v>
      </c>
      <c r="R1271" s="398" cm="1">
        <f t="array" ref="R1271">(uitkomst_doelgroep[[#This Row],[Implementatiegraad t = T + 1]]-uitkomst_doelgroep[[#This Row],[Implementatiegraad t = T]])*INDEX(Berekening_impact[Initiële investering (totaal) - incl. schatting],MATCH(B1271,IF(Berekening_impact[Doelgroep]=C1271,Berekening_impact[Digitale zorgtoepassing]),0))</f>
        <v>0</v>
      </c>
      <c r="S1271" s="398">
        <f>uitkomst_doelgroep[[#This Row],[Arbeidsbesparing (€)]]*uitkomst_doelgroep[[#This Row],[Percentage van patiëntaantallen in Wlz (overige is Zvw)]]</f>
        <v>162235781.0872198</v>
      </c>
      <c r="T1271" s="398">
        <f>uitkomst_doelgroep[[#This Row],[Overige besparingen (€)]]*uitkomst_doelgroep[[#This Row],[Percentage van patiëntaantallen in Wlz (overige is Zvw)]]</f>
        <v>0</v>
      </c>
      <c r="U1271" s="398">
        <f>uitkomst_doelgroep[[#This Row],[Kosten (€)]]*uitkomst_doelgroep[[#This Row],[Percentage van patiëntaantallen in Wlz (overige is Zvw)]]</f>
        <v>2183679.0319799916</v>
      </c>
      <c r="V1271" s="398">
        <f>uitkomst_doelgroep[[#This Row],[Investering (cash flow) (€)]]*uitkomst_doelgroep[[#This Row],[Percentage van patiëntaantallen in Wlz (overige is Zvw)]]</f>
        <v>0</v>
      </c>
    </row>
    <row r="1272" spans="1:22" x14ac:dyDescent="0.5">
      <c r="A1272" s="33" t="str">
        <f>INDEX(Technologieën[Veld],MATCH(B1272,Technologieën[Digitale zorgtoepassing],0))</f>
        <v>Software - Behandeling</v>
      </c>
      <c r="B1272" s="33" t="s">
        <v>101</v>
      </c>
      <c r="C1272" s="33" t="s">
        <v>84</v>
      </c>
      <c r="D1272" s="427" cm="1">
        <f t="array" ref="D1272">INDEX(Berekening_patiëntaantal[Percentage van patiëntaantallen in Wlz (overige is Zvw)],MATCH(B1272,IF(Berekening_patiëntaantal[Doelgroep (zoeksleutel)]=C1272,Berekening_patiëntaantal[Digitale zorgtoepassing]),0))</f>
        <v>0</v>
      </c>
      <c r="E1272" s="33" t="str" cm="1">
        <f t="array" ref="E1272">INDEX(Berekening_patiëntaantal[Direct toepasbaar/extrapolatie/incidentie voor QALY],MATCH(B1272,IF(Berekening_patiëntaantal[Doelgroep (zoeksleutel)]=C1272,Berekening_patiëntaantal[Digitale zorgtoepassing]),0))</f>
        <v>Huidige toepassing</v>
      </c>
      <c r="F1272" s="33" t="s">
        <v>813</v>
      </c>
      <c r="G1272" s="33" t="str">
        <f>CONCATENATE(uitkomst_doelgroep[[#This Row],[Digitale zorgtoepassing]],"_",uitkomst_doelgroep[[#This Row],[Doelgroep]],"_",uitkomst_doelgroep[[#This Row],[Uitgangssituatie/effect beleid]])</f>
        <v>Spraak automatisch vastleggen_Wijkverpleging_Uitgangssituatie</v>
      </c>
      <c r="H1272" s="33">
        <v>2029</v>
      </c>
      <c r="I1272" s="32">
        <v>7</v>
      </c>
      <c r="J1272" s="406" cm="1">
        <f t="array" ref="J1272">INDEX(implementatie[[2023]:[2034]],MATCH(G1272, implementatie[Zoeksleutel],0),I1272)</f>
        <v>0.62910361222507005</v>
      </c>
      <c r="K1272" s="406" cm="1">
        <f t="array" ref="K1272">INDEX(implementatie[[2023]:[2034]],MATCH(G1272,implementatie[Zoeksleutel],0),I1272 + 1)</f>
        <v>0.70281225329595098</v>
      </c>
      <c r="L127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57552.065471694106</v>
      </c>
      <c r="M1272" s="398" cm="1">
        <f t="array" ref="M1272">J1272*INDEX(Berekening_impact[Totaal arbeidsbesparing (€/jaar)],MATCH(B1272,IF(Berekening_impact[Doelgroep]=C1272,Berekening_impact[Digitale zorgtoepassing]),0))</f>
        <v>12739733.679605823</v>
      </c>
      <c r="N1272" s="397" cm="1">
        <f t="array" ref="N1272">J1272*INDEX(Berekening_impact[Totaal arbeidsbesparing (FTE/jaar)],MATCH(B1272,IF(Berekening_impact[Doelgroep]=C1272,Berekening_impact[Digitale zorgtoepassing]),0))</f>
        <v>300.08242303135842</v>
      </c>
      <c r="O1272" s="398" cm="1">
        <f t="array" ref="O1272">J1272*INDEX(Berekening_impact[Overige kostenbesparing (totaal/jaar totaal potentieel)],MATCH(B1272,IF(Berekening_impact[Doelgroep]=C1272,Berekening_impact[Digitale zorgtoepassing]),0))</f>
        <v>182364.59822142785</v>
      </c>
      <c r="P1272" s="398" cm="1">
        <f t="array" ref="P1272">J1272*INDEX(Berekening_impact[Opbrengsten door QALY''s],MATCH(B1272,IF(Berekening_impact[Doelgroep]=C1272,Berekening_impact[Digitale zorgtoepassing]),0))</f>
        <v>0</v>
      </c>
      <c r="Q1272" s="398" cm="1">
        <f t="array" ref="Q1272">J1272*INDEX(Berekening_impact[Jaarlijkse kosten (totaal) - incl. schatting],MATCH(B1272,IF(Berekening_impact[Doelgroep]=C1272,Berekening_impact[Digitale zorgtoepassing]),0))</f>
        <v>1381249.5713206585</v>
      </c>
      <c r="R1272" s="398" cm="1">
        <f t="array" ref="R1272">(uitkomst_doelgroep[[#This Row],[Implementatiegraad t = T + 1]]-uitkomst_doelgroep[[#This Row],[Implementatiegraad t = T]])*INDEX(Berekening_impact[Initiële investering (totaal) - incl. schatting],MATCH(B1272,IF(Berekening_impact[Doelgroep]=C1272,Berekening_impact[Digitale zorgtoepassing]),0))</f>
        <v>0</v>
      </c>
      <c r="S1272" s="398">
        <f>uitkomst_doelgroep[[#This Row],[Arbeidsbesparing (€)]]*uitkomst_doelgroep[[#This Row],[Percentage van patiëntaantallen in Wlz (overige is Zvw)]]</f>
        <v>0</v>
      </c>
      <c r="T1272" s="398">
        <f>uitkomst_doelgroep[[#This Row],[Overige besparingen (€)]]*uitkomst_doelgroep[[#This Row],[Percentage van patiëntaantallen in Wlz (overige is Zvw)]]</f>
        <v>0</v>
      </c>
      <c r="U1272" s="398">
        <f>uitkomst_doelgroep[[#This Row],[Kosten (€)]]*uitkomst_doelgroep[[#This Row],[Percentage van patiëntaantallen in Wlz (overige is Zvw)]]</f>
        <v>0</v>
      </c>
      <c r="V1272" s="398">
        <f>uitkomst_doelgroep[[#This Row],[Investering (cash flow) (€)]]*uitkomst_doelgroep[[#This Row],[Percentage van patiëntaantallen in Wlz (overige is Zvw)]]</f>
        <v>0</v>
      </c>
    </row>
    <row r="1273" spans="1:22" x14ac:dyDescent="0.5">
      <c r="A1273" s="33" t="str">
        <f>INDEX(Technologieën[Veld],MATCH(B1273,Technologieën[Digitale zorgtoepassing],0))</f>
        <v>Software - Behandeling</v>
      </c>
      <c r="B1273" s="33" t="s">
        <v>101</v>
      </c>
      <c r="C1273" s="33" t="s">
        <v>83</v>
      </c>
      <c r="D1273" s="427" cm="1">
        <f t="array" ref="D1273">INDEX(Berekening_patiëntaantal[Percentage van patiëntaantallen in Wlz (overige is Zvw)],MATCH(B1273,IF(Berekening_patiëntaantal[Doelgroep (zoeksleutel)]=C1273,Berekening_patiëntaantal[Digitale zorgtoepassing]),0))</f>
        <v>1</v>
      </c>
      <c r="E1273" s="33" t="str" cm="1">
        <f t="array" ref="E1273">INDEX(Berekening_patiëntaantal[Direct toepasbaar/extrapolatie/incidentie voor QALY],MATCH(B1273,IF(Berekening_patiëntaantal[Doelgroep (zoeksleutel)]=C1273,Berekening_patiëntaantal[Digitale zorgtoepassing]),0))</f>
        <v>Huidige toepassing</v>
      </c>
      <c r="F1273" s="33" t="s">
        <v>813</v>
      </c>
      <c r="G1273" s="33" t="str">
        <f>CONCATENATE(uitkomst_doelgroep[[#This Row],[Digitale zorgtoepassing]],"_",uitkomst_doelgroep[[#This Row],[Doelgroep]],"_",uitkomst_doelgroep[[#This Row],[Uitgangssituatie/effect beleid]])</f>
        <v>Spraak automatisch vastleggen_Verpleeghuis_Uitgangssituatie</v>
      </c>
      <c r="H1273" s="33">
        <v>2030</v>
      </c>
      <c r="I1273" s="32">
        <v>8</v>
      </c>
      <c r="J1273" s="406" cm="1">
        <f t="array" ref="J1273">INDEX(implementatie[[2023]:[2034]],MATCH(G1273, implementatie[Zoeksleutel],0),I1273)</f>
        <v>0.70281225329595098</v>
      </c>
      <c r="K1273" s="406" cm="1">
        <f t="array" ref="K1273">INDEX(implementatie[[2023]:[2034]],MATCH(G1273,implementatie[Zoeksleutel],0),I1273 + 1)</f>
        <v>0.76844428773689721</v>
      </c>
      <c r="L127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101647.0333819401</v>
      </c>
      <c r="M1273" s="398" cm="1">
        <f t="array" ref="M1273">J1273*INDEX(Berekening_impact[Totaal arbeidsbesparing (€/jaar)],MATCH(B1273,IF(Berekening_impact[Doelgroep]=C1273,Berekening_impact[Digitale zorgtoepassing]),0))</f>
        <v>181244063.22808549</v>
      </c>
      <c r="N1273" s="397" cm="1">
        <f t="array" ref="N1273">J1273*INDEX(Berekening_impact[Totaal arbeidsbesparing (FTE/jaar)],MATCH(B1273,IF(Berekening_impact[Doelgroep]=C1273,Berekening_impact[Digitale zorgtoepassing]),0))</f>
        <v>4269.1754020414837</v>
      </c>
      <c r="O1273" s="398" cm="1">
        <f t="array" ref="O1273">J1273*INDEX(Berekening_impact[Overige kostenbesparing (totaal/jaar totaal potentieel)],MATCH(B1273,IF(Berekening_impact[Doelgroep]=C1273,Berekening_impact[Digitale zorgtoepassing]),0))</f>
        <v>0</v>
      </c>
      <c r="P1273" s="398" cm="1">
        <f t="array" ref="P1273">J1273*INDEX(Berekening_impact[Opbrengsten door QALY''s],MATCH(B1273,IF(Berekening_impact[Doelgroep]=C1273,Berekening_impact[Digitale zorgtoepassing]),0))</f>
        <v>0</v>
      </c>
      <c r="Q1273" s="398" cm="1">
        <f t="array" ref="Q1273">J1273*INDEX(Berekening_impact[Jaarlijkse kosten (totaal) - incl. schatting],MATCH(B1273,IF(Berekening_impact[Doelgroep]=C1273,Berekening_impact[Digitale zorgtoepassing]),0))</f>
        <v>2439528.8011665624</v>
      </c>
      <c r="R1273" s="398" cm="1">
        <f t="array" ref="R1273">(uitkomst_doelgroep[[#This Row],[Implementatiegraad t = T + 1]]-uitkomst_doelgroep[[#This Row],[Implementatiegraad t = T]])*INDEX(Berekening_impact[Initiële investering (totaal) - incl. schatting],MATCH(B1273,IF(Berekening_impact[Doelgroep]=C1273,Berekening_impact[Digitale zorgtoepassing]),0))</f>
        <v>0</v>
      </c>
      <c r="S1273" s="398">
        <f>uitkomst_doelgroep[[#This Row],[Arbeidsbesparing (€)]]*uitkomst_doelgroep[[#This Row],[Percentage van patiëntaantallen in Wlz (overige is Zvw)]]</f>
        <v>181244063.22808549</v>
      </c>
      <c r="T1273" s="398">
        <f>uitkomst_doelgroep[[#This Row],[Overige besparingen (€)]]*uitkomst_doelgroep[[#This Row],[Percentage van patiëntaantallen in Wlz (overige is Zvw)]]</f>
        <v>0</v>
      </c>
      <c r="U1273" s="398">
        <f>uitkomst_doelgroep[[#This Row],[Kosten (€)]]*uitkomst_doelgroep[[#This Row],[Percentage van patiëntaantallen in Wlz (overige is Zvw)]]</f>
        <v>2439528.8011665624</v>
      </c>
      <c r="V1273" s="398">
        <f>uitkomst_doelgroep[[#This Row],[Investering (cash flow) (€)]]*uitkomst_doelgroep[[#This Row],[Percentage van patiëntaantallen in Wlz (overige is Zvw)]]</f>
        <v>0</v>
      </c>
    </row>
    <row r="1274" spans="1:22" x14ac:dyDescent="0.5">
      <c r="A1274" s="33" t="str">
        <f>INDEX(Technologieën[Veld],MATCH(B1274,Technologieën[Digitale zorgtoepassing],0))</f>
        <v>Software - Behandeling</v>
      </c>
      <c r="B1274" s="33" t="s">
        <v>101</v>
      </c>
      <c r="C1274" s="33" t="s">
        <v>84</v>
      </c>
      <c r="D1274" s="427" cm="1">
        <f t="array" ref="D1274">INDEX(Berekening_patiëntaantal[Percentage van patiëntaantallen in Wlz (overige is Zvw)],MATCH(B1274,IF(Berekening_patiëntaantal[Doelgroep (zoeksleutel)]=C1274,Berekening_patiëntaantal[Digitale zorgtoepassing]),0))</f>
        <v>0</v>
      </c>
      <c r="E1274" s="33" t="str" cm="1">
        <f t="array" ref="E1274">INDEX(Berekening_patiëntaantal[Direct toepasbaar/extrapolatie/incidentie voor QALY],MATCH(B1274,IF(Berekening_patiëntaantal[Doelgroep (zoeksleutel)]=C1274,Berekening_patiëntaantal[Digitale zorgtoepassing]),0))</f>
        <v>Huidige toepassing</v>
      </c>
      <c r="F1274" s="33" t="s">
        <v>813</v>
      </c>
      <c r="G1274" s="33" t="str">
        <f>CONCATENATE(uitkomst_doelgroep[[#This Row],[Digitale zorgtoepassing]],"_",uitkomst_doelgroep[[#This Row],[Doelgroep]],"_",uitkomst_doelgroep[[#This Row],[Uitgangssituatie/effect beleid]])</f>
        <v>Spraak automatisch vastleggen_Wijkverpleging_Uitgangssituatie</v>
      </c>
      <c r="H1274" s="33">
        <v>2030</v>
      </c>
      <c r="I1274" s="32">
        <v>8</v>
      </c>
      <c r="J1274" s="406" cm="1">
        <f t="array" ref="J1274">INDEX(implementatie[[2023]:[2034]],MATCH(G1274, implementatie[Zoeksleutel],0),I1274)</f>
        <v>0.70281225329595098</v>
      </c>
      <c r="K1274" s="406" cm="1">
        <f t="array" ref="K1274">INDEX(implementatie[[2023]:[2034]],MATCH(G1274,implementatie[Zoeksleutel],0),I1274 + 1)</f>
        <v>0.76844428773689721</v>
      </c>
      <c r="L127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64295.127273131162</v>
      </c>
      <c r="M1274" s="398" cm="1">
        <f t="array" ref="M1274">J1274*INDEX(Berekening_impact[Totaal arbeidsbesparing (€/jaar)],MATCH(B1274,IF(Berekening_impact[Doelgroep]=C1274,Berekening_impact[Digitale zorgtoepassing]),0))</f>
        <v>14232378.831979752</v>
      </c>
      <c r="N1274" s="397" cm="1">
        <f t="array" ref="N1274">J1274*INDEX(Berekening_impact[Totaal arbeidsbesparing (FTE/jaar)],MATCH(B1274,IF(Berekening_impact[Doelgroep]=C1274,Berekening_impact[Digitale zorgtoepassing]),0))</f>
        <v>335.2414448221686</v>
      </c>
      <c r="O1274" s="398" cm="1">
        <f t="array" ref="O1274">J1274*INDEX(Berekening_impact[Overige kostenbesparing (totaal/jaar totaal potentieel)],MATCH(B1274,IF(Berekening_impact[Doelgroep]=C1274,Berekening_impact[Digitale zorgtoepassing]),0))</f>
        <v>203731.26414597454</v>
      </c>
      <c r="P1274" s="398" cm="1">
        <f t="array" ref="P1274">J1274*INDEX(Berekening_impact[Opbrengsten door QALY''s],MATCH(B1274,IF(Berekening_impact[Doelgroep]=C1274,Berekening_impact[Digitale zorgtoepassing]),0))</f>
        <v>0</v>
      </c>
      <c r="Q1274" s="398" cm="1">
        <f t="array" ref="Q1274">J1274*INDEX(Berekening_impact[Jaarlijkse kosten (totaal) - incl. schatting],MATCH(B1274,IF(Berekening_impact[Doelgroep]=C1274,Berekening_impact[Digitale zorgtoepassing]),0))</f>
        <v>1543083.0545551479</v>
      </c>
      <c r="R1274" s="398" cm="1">
        <f t="array" ref="R1274">(uitkomst_doelgroep[[#This Row],[Implementatiegraad t = T + 1]]-uitkomst_doelgroep[[#This Row],[Implementatiegraad t = T]])*INDEX(Berekening_impact[Initiële investering (totaal) - incl. schatting],MATCH(B1274,IF(Berekening_impact[Doelgroep]=C1274,Berekening_impact[Digitale zorgtoepassing]),0))</f>
        <v>0</v>
      </c>
      <c r="S1274" s="398">
        <f>uitkomst_doelgroep[[#This Row],[Arbeidsbesparing (€)]]*uitkomst_doelgroep[[#This Row],[Percentage van patiëntaantallen in Wlz (overige is Zvw)]]</f>
        <v>0</v>
      </c>
      <c r="T1274" s="398">
        <f>uitkomst_doelgroep[[#This Row],[Overige besparingen (€)]]*uitkomst_doelgroep[[#This Row],[Percentage van patiëntaantallen in Wlz (overige is Zvw)]]</f>
        <v>0</v>
      </c>
      <c r="U1274" s="398">
        <f>uitkomst_doelgroep[[#This Row],[Kosten (€)]]*uitkomst_doelgroep[[#This Row],[Percentage van patiëntaantallen in Wlz (overige is Zvw)]]</f>
        <v>0</v>
      </c>
      <c r="V1274" s="398">
        <f>uitkomst_doelgroep[[#This Row],[Investering (cash flow) (€)]]*uitkomst_doelgroep[[#This Row],[Percentage van patiëntaantallen in Wlz (overige is Zvw)]]</f>
        <v>0</v>
      </c>
    </row>
    <row r="1275" spans="1:22" x14ac:dyDescent="0.5">
      <c r="A1275" s="33" t="str">
        <f>INDEX(Technologieën[Veld],MATCH(B1275,Technologieën[Digitale zorgtoepassing],0))</f>
        <v>Software - Behandeling</v>
      </c>
      <c r="B1275" s="33" t="s">
        <v>101</v>
      </c>
      <c r="C1275" s="33" t="s">
        <v>83</v>
      </c>
      <c r="D1275" s="427" cm="1">
        <f t="array" ref="D1275">INDEX(Berekening_patiëntaantal[Percentage van patiëntaantallen in Wlz (overige is Zvw)],MATCH(B1275,IF(Berekening_patiëntaantal[Doelgroep (zoeksleutel)]=C1275,Berekening_patiëntaantal[Digitale zorgtoepassing]),0))</f>
        <v>1</v>
      </c>
      <c r="E1275" s="33" t="str" cm="1">
        <f t="array" ref="E1275">INDEX(Berekening_patiëntaantal[Direct toepasbaar/extrapolatie/incidentie voor QALY],MATCH(B1275,IF(Berekening_patiëntaantal[Doelgroep (zoeksleutel)]=C1275,Berekening_patiëntaantal[Digitale zorgtoepassing]),0))</f>
        <v>Huidige toepassing</v>
      </c>
      <c r="F1275" s="33" t="s">
        <v>813</v>
      </c>
      <c r="G1275" s="33" t="str">
        <f>CONCATENATE(uitkomst_doelgroep[[#This Row],[Digitale zorgtoepassing]],"_",uitkomst_doelgroep[[#This Row],[Doelgroep]],"_",uitkomst_doelgroep[[#This Row],[Uitgangssituatie/effect beleid]])</f>
        <v>Spraak automatisch vastleggen_Verpleeghuis_Uitgangssituatie</v>
      </c>
      <c r="H1275" s="33">
        <v>2031</v>
      </c>
      <c r="I1275" s="32">
        <v>9</v>
      </c>
      <c r="J1275" s="406" cm="1">
        <f t="array" ref="J1275">INDEX(implementatie[[2023]:[2034]],MATCH(G1275, implementatie[Zoeksleutel],0),I1275)</f>
        <v>0.76844428773689721</v>
      </c>
      <c r="K1275" s="406" cm="1">
        <f t="array" ref="K1275">INDEX(implementatie[[2023]:[2034]],MATCH(G1275,implementatie[Zoeksleutel],0),I1275 + 1)</f>
        <v>0.82414114417395723</v>
      </c>
      <c r="L127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111139.32889109971</v>
      </c>
      <c r="M1275" s="398" cm="1">
        <f t="array" ref="M1275">J1275*INDEX(Berekening_impact[Totaal arbeidsbesparing (€/jaar)],MATCH(B1275,IF(Berekening_impact[Doelgroep]=C1275,Berekening_impact[Digitale zorgtoepassing]),0))</f>
        <v>198169517.42188656</v>
      </c>
      <c r="N1275" s="397" cm="1">
        <f t="array" ref="N1275">J1275*INDEX(Berekening_impact[Totaal arbeidsbesparing (FTE/jaar)],MATCH(B1275,IF(Berekening_impact[Doelgroep]=C1275,Berekening_impact[Digitale zorgtoepassing]),0))</f>
        <v>4667.8518134261876</v>
      </c>
      <c r="O1275" s="398" cm="1">
        <f t="array" ref="O1275">J1275*INDEX(Berekening_impact[Overige kostenbesparing (totaal/jaar totaal potentieel)],MATCH(B1275,IF(Berekening_impact[Doelgroep]=C1275,Berekening_impact[Digitale zorgtoepassing]),0))</f>
        <v>0</v>
      </c>
      <c r="P1275" s="398" cm="1">
        <f t="array" ref="P1275">J1275*INDEX(Berekening_impact[Opbrengsten door QALY''s],MATCH(B1275,IF(Berekening_impact[Doelgroep]=C1275,Berekening_impact[Digitale zorgtoepassing]),0))</f>
        <v>0</v>
      </c>
      <c r="Q1275" s="398" cm="1">
        <f t="array" ref="Q1275">J1275*INDEX(Berekening_impact[Jaarlijkse kosten (totaal) - incl. schatting],MATCH(B1275,IF(Berekening_impact[Doelgroep]=C1275,Berekening_impact[Digitale zorgtoepassing]),0))</f>
        <v>2667343.8933863929</v>
      </c>
      <c r="R1275" s="398" cm="1">
        <f t="array" ref="R1275">(uitkomst_doelgroep[[#This Row],[Implementatiegraad t = T + 1]]-uitkomst_doelgroep[[#This Row],[Implementatiegraad t = T]])*INDEX(Berekening_impact[Initiële investering (totaal) - incl. schatting],MATCH(B1275,IF(Berekening_impact[Doelgroep]=C1275,Berekening_impact[Digitale zorgtoepassing]),0))</f>
        <v>0</v>
      </c>
      <c r="S1275" s="398">
        <f>uitkomst_doelgroep[[#This Row],[Arbeidsbesparing (€)]]*uitkomst_doelgroep[[#This Row],[Percentage van patiëntaantallen in Wlz (overige is Zvw)]]</f>
        <v>198169517.42188656</v>
      </c>
      <c r="T1275" s="398">
        <f>uitkomst_doelgroep[[#This Row],[Overige besparingen (€)]]*uitkomst_doelgroep[[#This Row],[Percentage van patiëntaantallen in Wlz (overige is Zvw)]]</f>
        <v>0</v>
      </c>
      <c r="U1275" s="398">
        <f>uitkomst_doelgroep[[#This Row],[Kosten (€)]]*uitkomst_doelgroep[[#This Row],[Percentage van patiëntaantallen in Wlz (overige is Zvw)]]</f>
        <v>2667343.8933863929</v>
      </c>
      <c r="V1275" s="398">
        <f>uitkomst_doelgroep[[#This Row],[Investering (cash flow) (€)]]*uitkomst_doelgroep[[#This Row],[Percentage van patiëntaantallen in Wlz (overige is Zvw)]]</f>
        <v>0</v>
      </c>
    </row>
    <row r="1276" spans="1:22" x14ac:dyDescent="0.5">
      <c r="A1276" s="33" t="str">
        <f>INDEX(Technologieën[Veld],MATCH(B1276,Technologieën[Digitale zorgtoepassing],0))</f>
        <v>Software - Behandeling</v>
      </c>
      <c r="B1276" s="33" t="s">
        <v>101</v>
      </c>
      <c r="C1276" s="33" t="s">
        <v>84</v>
      </c>
      <c r="D1276" s="427" cm="1">
        <f t="array" ref="D1276">INDEX(Berekening_patiëntaantal[Percentage van patiëntaantallen in Wlz (overige is Zvw)],MATCH(B1276,IF(Berekening_patiëntaantal[Doelgroep (zoeksleutel)]=C1276,Berekening_patiëntaantal[Digitale zorgtoepassing]),0))</f>
        <v>0</v>
      </c>
      <c r="E1276" s="33" t="str" cm="1">
        <f t="array" ref="E1276">INDEX(Berekening_patiëntaantal[Direct toepasbaar/extrapolatie/incidentie voor QALY],MATCH(B1276,IF(Berekening_patiëntaantal[Doelgroep (zoeksleutel)]=C1276,Berekening_patiëntaantal[Digitale zorgtoepassing]),0))</f>
        <v>Huidige toepassing</v>
      </c>
      <c r="F1276" s="33" t="s">
        <v>813</v>
      </c>
      <c r="G1276" s="33" t="str">
        <f>CONCATENATE(uitkomst_doelgroep[[#This Row],[Digitale zorgtoepassing]],"_",uitkomst_doelgroep[[#This Row],[Doelgroep]],"_",uitkomst_doelgroep[[#This Row],[Uitgangssituatie/effect beleid]])</f>
        <v>Spraak automatisch vastleggen_Wijkverpleging_Uitgangssituatie</v>
      </c>
      <c r="H1276" s="33">
        <v>2031</v>
      </c>
      <c r="I1276" s="32">
        <v>9</v>
      </c>
      <c r="J1276" s="406" cm="1">
        <f t="array" ref="J1276">INDEX(implementatie[[2023]:[2034]],MATCH(G1276, implementatie[Zoeksleutel],0),I1276)</f>
        <v>0.76844428773689721</v>
      </c>
      <c r="K1276" s="406" cm="1">
        <f t="array" ref="K1276">INDEX(implementatie[[2023]:[2034]],MATCH(G1276,implementatie[Zoeksleutel],0),I1276 + 1)</f>
        <v>0.82414114417395723</v>
      </c>
      <c r="L127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70299.319698328138</v>
      </c>
      <c r="M1276" s="398" cm="1">
        <f t="array" ref="M1276">J1276*INDEX(Berekening_impact[Totaal arbeidsbesparing (€/jaar)],MATCH(B1276,IF(Berekening_impact[Doelgroep]=C1276,Berekening_impact[Digitale zorgtoepassing]),0))</f>
        <v>15561467.750530157</v>
      </c>
      <c r="N1276" s="397" cm="1">
        <f t="array" ref="N1276">J1276*INDEX(Berekening_impact[Totaal arbeidsbesparing (FTE/jaar)],MATCH(B1276,IF(Berekening_impact[Doelgroep]=C1276,Berekening_impact[Digitale zorgtoepassing]),0))</f>
        <v>366.54792525049999</v>
      </c>
      <c r="O1276" s="398" cm="1">
        <f t="array" ref="O1276">J1276*INDEX(Berekening_impact[Overige kostenbesparing (totaal/jaar totaal potentieel)],MATCH(B1276,IF(Berekening_impact[Doelgroep]=C1276,Berekening_impact[Digitale zorgtoepassing]),0))</f>
        <v>222756.68278718242</v>
      </c>
      <c r="P1276" s="398" cm="1">
        <f t="array" ref="P1276">J1276*INDEX(Berekening_impact[Opbrengsten door QALY''s],MATCH(B1276,IF(Berekening_impact[Doelgroep]=C1276,Berekening_impact[Digitale zorgtoepassing]),0))</f>
        <v>0</v>
      </c>
      <c r="Q1276" s="398" cm="1">
        <f t="array" ref="Q1276">J1276*INDEX(Berekening_impact[Jaarlijkse kosten (totaal) - incl. schatting],MATCH(B1276,IF(Berekening_impact[Doelgroep]=C1276,Berekening_impact[Digitale zorgtoepassing]),0))</f>
        <v>1687183.6727598752</v>
      </c>
      <c r="R1276" s="398" cm="1">
        <f t="array" ref="R1276">(uitkomst_doelgroep[[#This Row],[Implementatiegraad t = T + 1]]-uitkomst_doelgroep[[#This Row],[Implementatiegraad t = T]])*INDEX(Berekening_impact[Initiële investering (totaal) - incl. schatting],MATCH(B1276,IF(Berekening_impact[Doelgroep]=C1276,Berekening_impact[Digitale zorgtoepassing]),0))</f>
        <v>0</v>
      </c>
      <c r="S1276" s="398">
        <f>uitkomst_doelgroep[[#This Row],[Arbeidsbesparing (€)]]*uitkomst_doelgroep[[#This Row],[Percentage van patiëntaantallen in Wlz (overige is Zvw)]]</f>
        <v>0</v>
      </c>
      <c r="T1276" s="398">
        <f>uitkomst_doelgroep[[#This Row],[Overige besparingen (€)]]*uitkomst_doelgroep[[#This Row],[Percentage van patiëntaantallen in Wlz (overige is Zvw)]]</f>
        <v>0</v>
      </c>
      <c r="U1276" s="398">
        <f>uitkomst_doelgroep[[#This Row],[Kosten (€)]]*uitkomst_doelgroep[[#This Row],[Percentage van patiëntaantallen in Wlz (overige is Zvw)]]</f>
        <v>0</v>
      </c>
      <c r="V1276" s="398">
        <f>uitkomst_doelgroep[[#This Row],[Investering (cash flow) (€)]]*uitkomst_doelgroep[[#This Row],[Percentage van patiëntaantallen in Wlz (overige is Zvw)]]</f>
        <v>0</v>
      </c>
    </row>
    <row r="1277" spans="1:22" x14ac:dyDescent="0.5">
      <c r="A1277" s="33" t="str">
        <f>INDEX(Technologieën[Veld],MATCH(B1277,Technologieën[Digitale zorgtoepassing],0))</f>
        <v>Software - Behandeling</v>
      </c>
      <c r="B1277" s="33" t="s">
        <v>101</v>
      </c>
      <c r="C1277" s="33" t="s">
        <v>83</v>
      </c>
      <c r="D1277" s="427" cm="1">
        <f t="array" ref="D1277">INDEX(Berekening_patiëntaantal[Percentage van patiëntaantallen in Wlz (overige is Zvw)],MATCH(B1277,IF(Berekening_patiëntaantal[Doelgroep (zoeksleutel)]=C1277,Berekening_patiëntaantal[Digitale zorgtoepassing]),0))</f>
        <v>1</v>
      </c>
      <c r="E1277" s="33" t="str" cm="1">
        <f t="array" ref="E1277">INDEX(Berekening_patiëntaantal[Direct toepasbaar/extrapolatie/incidentie voor QALY],MATCH(B1277,IF(Berekening_patiëntaantal[Doelgroep (zoeksleutel)]=C1277,Berekening_patiëntaantal[Digitale zorgtoepassing]),0))</f>
        <v>Huidige toepassing</v>
      </c>
      <c r="F1277" s="33" t="s">
        <v>813</v>
      </c>
      <c r="G1277" s="33" t="str">
        <f>CONCATENATE(uitkomst_doelgroep[[#This Row],[Digitale zorgtoepassing]],"_",uitkomst_doelgroep[[#This Row],[Doelgroep]],"_",uitkomst_doelgroep[[#This Row],[Uitgangssituatie/effect beleid]])</f>
        <v>Spraak automatisch vastleggen_Verpleeghuis_Uitgangssituatie</v>
      </c>
      <c r="H1277" s="33">
        <v>2032</v>
      </c>
      <c r="I1277" s="32">
        <v>10</v>
      </c>
      <c r="J1277" s="406" cm="1">
        <f t="array" ref="J1277">INDEX(implementatie[[2023]:[2034]],MATCH(G1277, implementatie[Zoeksleutel],0),I1277)</f>
        <v>0.82414114417395723</v>
      </c>
      <c r="K1277" s="406" cm="1">
        <f t="array" ref="K1277">INDEX(implementatie[[2023]:[2034]],MATCH(G1277,implementatie[Zoeksleutel],0),I1277 + 1)</f>
        <v>0.86937948832829703</v>
      </c>
      <c r="L127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119194.70954073526</v>
      </c>
      <c r="M1277" s="398" cm="1">
        <f t="array" ref="M1277">J1277*INDEX(Berekening_impact[Totaal arbeidsbesparing (€/jaar)],MATCH(B1277,IF(Berekening_impact[Doelgroep]=C1277,Berekening_impact[Digitale zorgtoepassing]),0))</f>
        <v>212532847.77411547</v>
      </c>
      <c r="N1277" s="397" cm="1">
        <f t="array" ref="N1277">J1277*INDEX(Berekening_impact[Totaal arbeidsbesparing (FTE/jaar)],MATCH(B1277,IF(Berekening_impact[Doelgroep]=C1277,Berekening_impact[Digitale zorgtoepassing]),0))</f>
        <v>5006.1778007108805</v>
      </c>
      <c r="O1277" s="398" cm="1">
        <f t="array" ref="O1277">J1277*INDEX(Berekening_impact[Overige kostenbesparing (totaal/jaar totaal potentieel)],MATCH(B1277,IF(Berekening_impact[Doelgroep]=C1277,Berekening_impact[Digitale zorgtoepassing]),0))</f>
        <v>0</v>
      </c>
      <c r="P1277" s="398" cm="1">
        <f t="array" ref="P1277">J1277*INDEX(Berekening_impact[Opbrengsten door QALY''s],MATCH(B1277,IF(Berekening_impact[Doelgroep]=C1277,Berekening_impact[Digitale zorgtoepassing]),0))</f>
        <v>0</v>
      </c>
      <c r="Q1277" s="398" cm="1">
        <f t="array" ref="Q1277">J1277*INDEX(Berekening_impact[Jaarlijkse kosten (totaal) - incl. schatting],MATCH(B1277,IF(Berekening_impact[Doelgroep]=C1277,Berekening_impact[Digitale zorgtoepassing]),0))</f>
        <v>2860673.028977646</v>
      </c>
      <c r="R1277" s="398" cm="1">
        <f t="array" ref="R1277">(uitkomst_doelgroep[[#This Row],[Implementatiegraad t = T + 1]]-uitkomst_doelgroep[[#This Row],[Implementatiegraad t = T]])*INDEX(Berekening_impact[Initiële investering (totaal) - incl. schatting],MATCH(B1277,IF(Berekening_impact[Doelgroep]=C1277,Berekening_impact[Digitale zorgtoepassing]),0))</f>
        <v>0</v>
      </c>
      <c r="S1277" s="398">
        <f>uitkomst_doelgroep[[#This Row],[Arbeidsbesparing (€)]]*uitkomst_doelgroep[[#This Row],[Percentage van patiëntaantallen in Wlz (overige is Zvw)]]</f>
        <v>212532847.77411547</v>
      </c>
      <c r="T1277" s="398">
        <f>uitkomst_doelgroep[[#This Row],[Overige besparingen (€)]]*uitkomst_doelgroep[[#This Row],[Percentage van patiëntaantallen in Wlz (overige is Zvw)]]</f>
        <v>0</v>
      </c>
      <c r="U1277" s="398">
        <f>uitkomst_doelgroep[[#This Row],[Kosten (€)]]*uitkomst_doelgroep[[#This Row],[Percentage van patiëntaantallen in Wlz (overige is Zvw)]]</f>
        <v>2860673.028977646</v>
      </c>
      <c r="V1277" s="398">
        <f>uitkomst_doelgroep[[#This Row],[Investering (cash flow) (€)]]*uitkomst_doelgroep[[#This Row],[Percentage van patiëntaantallen in Wlz (overige is Zvw)]]</f>
        <v>0</v>
      </c>
    </row>
    <row r="1278" spans="1:22" x14ac:dyDescent="0.5">
      <c r="A1278" s="33" t="str">
        <f>INDEX(Technologieën[Veld],MATCH(B1278,Technologieën[Digitale zorgtoepassing],0))</f>
        <v>Software - Behandeling</v>
      </c>
      <c r="B1278" s="33" t="s">
        <v>101</v>
      </c>
      <c r="C1278" s="33" t="s">
        <v>84</v>
      </c>
      <c r="D1278" s="427" cm="1">
        <f t="array" ref="D1278">INDEX(Berekening_patiëntaantal[Percentage van patiëntaantallen in Wlz (overige is Zvw)],MATCH(B1278,IF(Berekening_patiëntaantal[Doelgroep (zoeksleutel)]=C1278,Berekening_patiëntaantal[Digitale zorgtoepassing]),0))</f>
        <v>0</v>
      </c>
      <c r="E1278" s="33" t="str" cm="1">
        <f t="array" ref="E1278">INDEX(Berekening_patiëntaantal[Direct toepasbaar/extrapolatie/incidentie voor QALY],MATCH(B1278,IF(Berekening_patiëntaantal[Doelgroep (zoeksleutel)]=C1278,Berekening_patiëntaantal[Digitale zorgtoepassing]),0))</f>
        <v>Huidige toepassing</v>
      </c>
      <c r="F1278" s="33" t="s">
        <v>813</v>
      </c>
      <c r="G1278" s="33" t="str">
        <f>CONCATENATE(uitkomst_doelgroep[[#This Row],[Digitale zorgtoepassing]],"_",uitkomst_doelgroep[[#This Row],[Doelgroep]],"_",uitkomst_doelgroep[[#This Row],[Uitgangssituatie/effect beleid]])</f>
        <v>Spraak automatisch vastleggen_Wijkverpleging_Uitgangssituatie</v>
      </c>
      <c r="H1278" s="33">
        <v>2032</v>
      </c>
      <c r="I1278" s="32">
        <v>10</v>
      </c>
      <c r="J1278" s="406" cm="1">
        <f t="array" ref="J1278">INDEX(implementatie[[2023]:[2034]],MATCH(G1278, implementatie[Zoeksleutel],0),I1278)</f>
        <v>0.82414114417395723</v>
      </c>
      <c r="K1278" s="406" cm="1">
        <f t="array" ref="K1278">INDEX(implementatie[[2023]:[2034]],MATCH(G1278,implementatie[Zoeksleutel],0),I1278 + 1)</f>
        <v>0.86937948832829703</v>
      </c>
      <c r="L127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75394.615713074949</v>
      </c>
      <c r="M1278" s="398" cm="1">
        <f t="array" ref="M1278">J1278*INDEX(Berekening_impact[Totaal arbeidsbesparing (€/jaar)],MATCH(B1278,IF(Berekening_impact[Doelgroep]=C1278,Berekening_impact[Digitale zorgtoepassing]),0))</f>
        <v>16689363.225950712</v>
      </c>
      <c r="N1278" s="397" cm="1">
        <f t="array" ref="N1278">J1278*INDEX(Berekening_impact[Totaal arbeidsbesparing (FTE/jaar)],MATCH(B1278,IF(Berekening_impact[Doelgroep]=C1278,Berekening_impact[Digitale zorgtoepassing]),0))</f>
        <v>393.11532577097762</v>
      </c>
      <c r="O1278" s="398" cm="1">
        <f t="array" ref="O1278">J1278*INDEX(Berekening_impact[Overige kostenbesparing (totaal/jaar totaal potentieel)],MATCH(B1278,IF(Berekening_impact[Doelgroep]=C1278,Berekening_impact[Digitale zorgtoepassing]),0))</f>
        <v>238902.09134781099</v>
      </c>
      <c r="P1278" s="398" cm="1">
        <f t="array" ref="P1278">J1278*INDEX(Berekening_impact[Opbrengsten door QALY''s],MATCH(B1278,IF(Berekening_impact[Doelgroep]=C1278,Berekening_impact[Digitale zorgtoepassing]),0))</f>
        <v>0</v>
      </c>
      <c r="Q1278" s="398" cm="1">
        <f t="array" ref="Q1278">J1278*INDEX(Berekening_impact[Jaarlijkse kosten (totaal) - incl. schatting],MATCH(B1278,IF(Berekening_impact[Doelgroep]=C1278,Berekening_impact[Digitale zorgtoepassing]),0))</f>
        <v>1809470.7771137988</v>
      </c>
      <c r="R1278" s="398" cm="1">
        <f t="array" ref="R1278">(uitkomst_doelgroep[[#This Row],[Implementatiegraad t = T + 1]]-uitkomst_doelgroep[[#This Row],[Implementatiegraad t = T]])*INDEX(Berekening_impact[Initiële investering (totaal) - incl. schatting],MATCH(B1278,IF(Berekening_impact[Doelgroep]=C1278,Berekening_impact[Digitale zorgtoepassing]),0))</f>
        <v>0</v>
      </c>
      <c r="S1278" s="398">
        <f>uitkomst_doelgroep[[#This Row],[Arbeidsbesparing (€)]]*uitkomst_doelgroep[[#This Row],[Percentage van patiëntaantallen in Wlz (overige is Zvw)]]</f>
        <v>0</v>
      </c>
      <c r="T1278" s="398">
        <f>uitkomst_doelgroep[[#This Row],[Overige besparingen (€)]]*uitkomst_doelgroep[[#This Row],[Percentage van patiëntaantallen in Wlz (overige is Zvw)]]</f>
        <v>0</v>
      </c>
      <c r="U1278" s="398">
        <f>uitkomst_doelgroep[[#This Row],[Kosten (€)]]*uitkomst_doelgroep[[#This Row],[Percentage van patiëntaantallen in Wlz (overige is Zvw)]]</f>
        <v>0</v>
      </c>
      <c r="V1278" s="398">
        <f>uitkomst_doelgroep[[#This Row],[Investering (cash flow) (€)]]*uitkomst_doelgroep[[#This Row],[Percentage van patiëntaantallen in Wlz (overige is Zvw)]]</f>
        <v>0</v>
      </c>
    </row>
    <row r="1279" spans="1:22" x14ac:dyDescent="0.5">
      <c r="A1279" s="33" t="str">
        <f>INDEX(Technologieën[Veld],MATCH(B1279,Technologieën[Digitale zorgtoepassing],0))</f>
        <v>Software - Behandeling</v>
      </c>
      <c r="B1279" s="33" t="s">
        <v>101</v>
      </c>
      <c r="C1279" s="33" t="s">
        <v>83</v>
      </c>
      <c r="D1279" s="427" cm="1">
        <f t="array" ref="D1279">INDEX(Berekening_patiëntaantal[Percentage van patiëntaantallen in Wlz (overige is Zvw)],MATCH(B1279,IF(Berekening_patiëntaantal[Doelgroep (zoeksleutel)]=C1279,Berekening_patiëntaantal[Digitale zorgtoepassing]),0))</f>
        <v>1</v>
      </c>
      <c r="E1279" s="33" t="str" cm="1">
        <f t="array" ref="E1279">INDEX(Berekening_patiëntaantal[Direct toepasbaar/extrapolatie/incidentie voor QALY],MATCH(B1279,IF(Berekening_patiëntaantal[Doelgroep (zoeksleutel)]=C1279,Berekening_patiëntaantal[Digitale zorgtoepassing]),0))</f>
        <v>Huidige toepassing</v>
      </c>
      <c r="F1279" s="33" t="s">
        <v>813</v>
      </c>
      <c r="G1279" s="33" t="str">
        <f>CONCATENATE(uitkomst_doelgroep[[#This Row],[Digitale zorgtoepassing]],"_",uitkomst_doelgroep[[#This Row],[Doelgroep]],"_",uitkomst_doelgroep[[#This Row],[Uitgangssituatie/effect beleid]])</f>
        <v>Spraak automatisch vastleggen_Verpleeghuis_Uitgangssituatie</v>
      </c>
      <c r="H1279" s="33">
        <v>2033</v>
      </c>
      <c r="I1279" s="32">
        <v>11</v>
      </c>
      <c r="J1279" s="406" cm="1">
        <f t="array" ref="J1279">INDEX(implementatie[[2023]:[2034]],MATCH(G1279, implementatie[Zoeksleutel],0),I1279)</f>
        <v>0.86937948832829703</v>
      </c>
      <c r="K1279" s="406" cm="1">
        <f t="array" ref="K1279">INDEX(implementatie[[2023]:[2034]],MATCH(G1279,implementatie[Zoeksleutel],0),I1279 + 1)</f>
        <v>0.90475333152571169</v>
      </c>
      <c r="L127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125737.48601743327</v>
      </c>
      <c r="M1279" s="398" cm="1">
        <f t="array" ref="M1279">J1279*INDEX(Berekening_impact[Totaal arbeidsbesparing (€/jaar)],MATCH(B1279,IF(Berekening_impact[Doelgroep]=C1279,Berekening_impact[Digitale zorgtoepassing]),0))</f>
        <v>224199094.72668591</v>
      </c>
      <c r="N1279" s="397" cm="1">
        <f t="array" ref="N1279">J1279*INDEX(Berekening_impact[Totaal arbeidsbesparing (FTE/jaar)],MATCH(B1279,IF(Berekening_impact[Doelgroep]=C1279,Berekening_impact[Digitale zorgtoepassing]),0))</f>
        <v>5280.9744127321974</v>
      </c>
      <c r="O1279" s="398" cm="1">
        <f t="array" ref="O1279">J1279*INDEX(Berekening_impact[Overige kostenbesparing (totaal/jaar totaal potentieel)],MATCH(B1279,IF(Berekening_impact[Doelgroep]=C1279,Berekening_impact[Digitale zorgtoepassing]),0))</f>
        <v>0</v>
      </c>
      <c r="P1279" s="398" cm="1">
        <f t="array" ref="P1279">J1279*INDEX(Berekening_impact[Opbrengsten door QALY''s],MATCH(B1279,IF(Berekening_impact[Doelgroep]=C1279,Berekening_impact[Digitale zorgtoepassing]),0))</f>
        <v>0</v>
      </c>
      <c r="Q1279" s="398" cm="1">
        <f t="array" ref="Q1279">J1279*INDEX(Berekening_impact[Jaarlijkse kosten (totaal) - incl. schatting],MATCH(B1279,IF(Berekening_impact[Doelgroep]=C1279,Berekening_impact[Digitale zorgtoepassing]),0))</f>
        <v>3017699.6644183984</v>
      </c>
      <c r="R1279" s="398" cm="1">
        <f t="array" ref="R1279">(uitkomst_doelgroep[[#This Row],[Implementatiegraad t = T + 1]]-uitkomst_doelgroep[[#This Row],[Implementatiegraad t = T]])*INDEX(Berekening_impact[Initiële investering (totaal) - incl. schatting],MATCH(B1279,IF(Berekening_impact[Doelgroep]=C1279,Berekening_impact[Digitale zorgtoepassing]),0))</f>
        <v>0</v>
      </c>
      <c r="S1279" s="398">
        <f>uitkomst_doelgroep[[#This Row],[Arbeidsbesparing (€)]]*uitkomst_doelgroep[[#This Row],[Percentage van patiëntaantallen in Wlz (overige is Zvw)]]</f>
        <v>224199094.72668591</v>
      </c>
      <c r="T1279" s="398">
        <f>uitkomst_doelgroep[[#This Row],[Overige besparingen (€)]]*uitkomst_doelgroep[[#This Row],[Percentage van patiëntaantallen in Wlz (overige is Zvw)]]</f>
        <v>0</v>
      </c>
      <c r="U1279" s="398">
        <f>uitkomst_doelgroep[[#This Row],[Kosten (€)]]*uitkomst_doelgroep[[#This Row],[Percentage van patiëntaantallen in Wlz (overige is Zvw)]]</f>
        <v>3017699.6644183984</v>
      </c>
      <c r="V1279" s="398">
        <f>uitkomst_doelgroep[[#This Row],[Investering (cash flow) (€)]]*uitkomst_doelgroep[[#This Row],[Percentage van patiëntaantallen in Wlz (overige is Zvw)]]</f>
        <v>0</v>
      </c>
    </row>
    <row r="1280" spans="1:22" x14ac:dyDescent="0.5">
      <c r="A1280" s="33" t="str">
        <f>INDEX(Technologieën[Veld],MATCH(B1280,Technologieën[Digitale zorgtoepassing],0))</f>
        <v>Software - Behandeling</v>
      </c>
      <c r="B1280" s="33" t="s">
        <v>101</v>
      </c>
      <c r="C1280" s="33" t="s">
        <v>84</v>
      </c>
      <c r="D1280" s="427" cm="1">
        <f t="array" ref="D1280">INDEX(Berekening_patiëntaantal[Percentage van patiëntaantallen in Wlz (overige is Zvw)],MATCH(B1280,IF(Berekening_patiëntaantal[Doelgroep (zoeksleutel)]=C1280,Berekening_patiëntaantal[Digitale zorgtoepassing]),0))</f>
        <v>0</v>
      </c>
      <c r="E1280" s="33" t="str" cm="1">
        <f t="array" ref="E1280">INDEX(Berekening_patiëntaantal[Direct toepasbaar/extrapolatie/incidentie voor QALY],MATCH(B1280,IF(Berekening_patiëntaantal[Doelgroep (zoeksleutel)]=C1280,Berekening_patiëntaantal[Digitale zorgtoepassing]),0))</f>
        <v>Huidige toepassing</v>
      </c>
      <c r="F1280" s="33" t="s">
        <v>813</v>
      </c>
      <c r="G1280" s="33" t="str">
        <f>CONCATENATE(uitkomst_doelgroep[[#This Row],[Digitale zorgtoepassing]],"_",uitkomst_doelgroep[[#This Row],[Doelgroep]],"_",uitkomst_doelgroep[[#This Row],[Uitgangssituatie/effect beleid]])</f>
        <v>Spraak automatisch vastleggen_Wijkverpleging_Uitgangssituatie</v>
      </c>
      <c r="H1280" s="33">
        <v>2033</v>
      </c>
      <c r="I1280" s="32">
        <v>11</v>
      </c>
      <c r="J1280" s="406" cm="1">
        <f t="array" ref="J1280">INDEX(implementatie[[2023]:[2034]],MATCH(G1280, implementatie[Zoeksleutel],0),I1280)</f>
        <v>0.86937948832829703</v>
      </c>
      <c r="K1280" s="406" cm="1">
        <f t="array" ref="K1280">INDEX(implementatie[[2023]:[2034]],MATCH(G1280,implementatie[Zoeksleutel],0),I1280 + 1)</f>
        <v>0.90475333152571169</v>
      </c>
      <c r="L128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79533.139310790575</v>
      </c>
      <c r="M1280" s="398" cm="1">
        <f t="array" ref="M1280">J1280*INDEX(Berekening_impact[Totaal arbeidsbesparing (€/jaar)],MATCH(B1280,IF(Berekening_impact[Doelgroep]=C1280,Berekening_impact[Digitale zorgtoepassing]),0))</f>
        <v>17605467.418381345</v>
      </c>
      <c r="N1280" s="397" cm="1">
        <f t="array" ref="N1280">J1280*INDEX(Berekening_impact[Totaal arbeidsbesparing (FTE/jaar)],MATCH(B1280,IF(Berekening_impact[Doelgroep]=C1280,Berekening_impact[Digitale zorgtoepassing]),0))</f>
        <v>414.69401593259767</v>
      </c>
      <c r="O1280" s="398" cm="1">
        <f t="array" ref="O1280">J1280*INDEX(Berekening_impact[Overige kostenbesparing (totaal/jaar totaal potentieel)],MATCH(B1280,IF(Berekening_impact[Doelgroep]=C1280,Berekening_impact[Digitale zorgtoepassing]),0))</f>
        <v>252015.78565125007</v>
      </c>
      <c r="P1280" s="398" cm="1">
        <f t="array" ref="P1280">J1280*INDEX(Berekening_impact[Opbrengsten door QALY''s],MATCH(B1280,IF(Berekening_impact[Doelgroep]=C1280,Berekening_impact[Digitale zorgtoepassing]),0))</f>
        <v>0</v>
      </c>
      <c r="Q1280" s="398" cm="1">
        <f t="array" ref="Q1280">J1280*INDEX(Berekening_impact[Jaarlijkse kosten (totaal) - incl. schatting],MATCH(B1280,IF(Berekening_impact[Doelgroep]=C1280,Berekening_impact[Digitale zorgtoepassing]),0))</f>
        <v>1908795.3434589738</v>
      </c>
      <c r="R1280" s="398" cm="1">
        <f t="array" ref="R1280">(uitkomst_doelgroep[[#This Row],[Implementatiegraad t = T + 1]]-uitkomst_doelgroep[[#This Row],[Implementatiegraad t = T]])*INDEX(Berekening_impact[Initiële investering (totaal) - incl. schatting],MATCH(B1280,IF(Berekening_impact[Doelgroep]=C1280,Berekening_impact[Digitale zorgtoepassing]),0))</f>
        <v>0</v>
      </c>
      <c r="S1280" s="398">
        <f>uitkomst_doelgroep[[#This Row],[Arbeidsbesparing (€)]]*uitkomst_doelgroep[[#This Row],[Percentage van patiëntaantallen in Wlz (overige is Zvw)]]</f>
        <v>0</v>
      </c>
      <c r="T1280" s="398">
        <f>uitkomst_doelgroep[[#This Row],[Overige besparingen (€)]]*uitkomst_doelgroep[[#This Row],[Percentage van patiëntaantallen in Wlz (overige is Zvw)]]</f>
        <v>0</v>
      </c>
      <c r="U1280" s="398">
        <f>uitkomst_doelgroep[[#This Row],[Kosten (€)]]*uitkomst_doelgroep[[#This Row],[Percentage van patiëntaantallen in Wlz (overige is Zvw)]]</f>
        <v>0</v>
      </c>
      <c r="V1280" s="398">
        <f>uitkomst_doelgroep[[#This Row],[Investering (cash flow) (€)]]*uitkomst_doelgroep[[#This Row],[Percentage van patiëntaantallen in Wlz (overige is Zvw)]]</f>
        <v>0</v>
      </c>
    </row>
    <row r="1281" spans="1:22" x14ac:dyDescent="0.5">
      <c r="A1281" s="33" t="str">
        <f>INDEX(Technologieën[Veld],MATCH(B1281,Technologieën[Digitale zorgtoepassing],0))</f>
        <v>Digitale hulpmiddelen - Verpleging</v>
      </c>
      <c r="B1281" s="33" t="s">
        <v>48</v>
      </c>
      <c r="C1281" s="33" t="s">
        <v>49</v>
      </c>
      <c r="D1281" s="427" cm="1">
        <f t="array" ref="D1281">INDEX(Berekening_patiëntaantal[Percentage van patiëntaantallen in Wlz (overige is Zvw)],MATCH(B1281,IF(Berekening_patiëntaantal[Doelgroep (zoeksleutel)]=C1281,Berekening_patiëntaantal[Digitale zorgtoepassing]),0))</f>
        <v>0.70000000000000007</v>
      </c>
      <c r="E1281" s="33" t="str" cm="1">
        <f t="array" ref="E1281">INDEX(Berekening_patiëntaantal[Direct toepasbaar/extrapolatie/incidentie voor QALY],MATCH(B1281,IF(Berekening_patiëntaantal[Doelgroep (zoeksleutel)]=C1281,Berekening_patiëntaantal[Digitale zorgtoepassing]),0))</f>
        <v>Huidige toepassing</v>
      </c>
      <c r="F1281" s="33" t="s">
        <v>813</v>
      </c>
      <c r="G1281" s="33" t="str">
        <f>CONCATENATE(uitkomst_doelgroep[[#This Row],[Digitale zorgtoepassing]],"_",uitkomst_doelgroep[[#This Row],[Doelgroep]],"_",uitkomst_doelgroep[[#This Row],[Uitgangssituatie/effect beleid]])</f>
        <v>Steunkousen technologie_Steunkousen_Uitgangssituatie</v>
      </c>
      <c r="H1281" s="33">
        <v>2023</v>
      </c>
      <c r="I1281" s="32">
        <v>1</v>
      </c>
      <c r="J1281" s="406" cm="1">
        <f t="array" ref="J1281">INDEX(implementatie[[2023]:[2034]],MATCH(G1281, implementatie[Zoeksleutel],0),I1281)</f>
        <v>0.2</v>
      </c>
      <c r="K1281" s="406" cm="1">
        <f t="array" ref="K1281">INDEX(implementatie[[2023]:[2034]],MATCH(G1281,implementatie[Zoeksleutel],0),I1281 + 1)</f>
        <v>0.29200000000000004</v>
      </c>
      <c r="L128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19200</v>
      </c>
      <c r="M1281" s="398" cm="1">
        <f t="array" ref="M1281">J1281*INDEX(Berekening_impact[Totaal arbeidsbesparing (€/jaar)],MATCH(B1281,IF(Berekening_impact[Doelgroep]=C1281,Berekening_impact[Digitale zorgtoepassing]),0))</f>
        <v>32095310.896551728</v>
      </c>
      <c r="N1281" s="397" cm="1">
        <f t="array" ref="N1281">J1281*INDEX(Berekening_impact[Totaal arbeidsbesparing (FTE/jaar)],MATCH(B1281,IF(Berekening_impact[Doelgroep]=C1281,Berekening_impact[Digitale zorgtoepassing]),0))</f>
        <v>756</v>
      </c>
      <c r="O1281" s="398" cm="1">
        <f t="array" ref="O1281">J1281*INDEX(Berekening_impact[Overige kostenbesparing (totaal/jaar totaal potentieel)],MATCH(B1281,IF(Berekening_impact[Doelgroep]=C1281,Berekening_impact[Digitale zorgtoepassing]),0))</f>
        <v>4472297.4200113062</v>
      </c>
      <c r="P1281" s="398" cm="1">
        <f t="array" ref="P1281">J1281*INDEX(Berekening_impact[Opbrengsten door QALY''s],MATCH(B1281,IF(Berekening_impact[Doelgroep]=C1281,Berekening_impact[Digitale zorgtoepassing]),0))</f>
        <v>0</v>
      </c>
      <c r="Q1281" s="398" cm="1">
        <f t="array" ref="Q1281">J1281*INDEX(Berekening_impact[Jaarlijkse kosten (totaal) - incl. schatting],MATCH(B1281,IF(Berekening_impact[Doelgroep]=C1281,Berekening_impact[Digitale zorgtoepassing]),0))</f>
        <v>0</v>
      </c>
      <c r="R1281" s="398" cm="1">
        <f t="array" ref="R1281">(uitkomst_doelgroep[[#This Row],[Implementatiegraad t = T + 1]]-uitkomst_doelgroep[[#This Row],[Implementatiegraad t = T]])*INDEX(Berekening_impact[Initiële investering (totaal) - incl. schatting],MATCH(B1281,IF(Berekening_impact[Doelgroep]=C1281,Berekening_impact[Digitale zorgtoepassing]),0))</f>
        <v>7904640.0000000019</v>
      </c>
      <c r="S1281" s="398">
        <f>uitkomst_doelgroep[[#This Row],[Arbeidsbesparing (€)]]*uitkomst_doelgroep[[#This Row],[Percentage van patiëntaantallen in Wlz (overige is Zvw)]]</f>
        <v>22466717.627586212</v>
      </c>
      <c r="T1281" s="398">
        <f>uitkomst_doelgroep[[#This Row],[Overige besparingen (€)]]*uitkomst_doelgroep[[#This Row],[Percentage van patiëntaantallen in Wlz (overige is Zvw)]]</f>
        <v>3130608.1940079145</v>
      </c>
      <c r="U1281" s="398">
        <f>uitkomst_doelgroep[[#This Row],[Kosten (€)]]*uitkomst_doelgroep[[#This Row],[Percentage van patiëntaantallen in Wlz (overige is Zvw)]]</f>
        <v>0</v>
      </c>
      <c r="V1281" s="398">
        <f>uitkomst_doelgroep[[#This Row],[Investering (cash flow) (€)]]*uitkomst_doelgroep[[#This Row],[Percentage van patiëntaantallen in Wlz (overige is Zvw)]]</f>
        <v>5533248.0000000019</v>
      </c>
    </row>
    <row r="1282" spans="1:22" x14ac:dyDescent="0.5">
      <c r="A1282" s="33" t="str">
        <f>INDEX(Technologieën[Veld],MATCH(B1282,Technologieën[Digitale zorgtoepassing],0))</f>
        <v>Digitale hulpmiddelen - Verpleging</v>
      </c>
      <c r="B1282" s="33" t="s">
        <v>48</v>
      </c>
      <c r="C1282" s="33" t="s">
        <v>49</v>
      </c>
      <c r="D1282" s="427" cm="1">
        <f t="array" ref="D1282">INDEX(Berekening_patiëntaantal[Percentage van patiëntaantallen in Wlz (overige is Zvw)],MATCH(B1282,IF(Berekening_patiëntaantal[Doelgroep (zoeksleutel)]=C1282,Berekening_patiëntaantal[Digitale zorgtoepassing]),0))</f>
        <v>0.70000000000000007</v>
      </c>
      <c r="E1282" s="33" t="str" cm="1">
        <f t="array" ref="E1282">INDEX(Berekening_patiëntaantal[Direct toepasbaar/extrapolatie/incidentie voor QALY],MATCH(B1282,IF(Berekening_patiëntaantal[Doelgroep (zoeksleutel)]=C1282,Berekening_patiëntaantal[Digitale zorgtoepassing]),0))</f>
        <v>Huidige toepassing</v>
      </c>
      <c r="F1282" s="33" t="s">
        <v>813</v>
      </c>
      <c r="G1282" s="33" t="str">
        <f>CONCATENATE(uitkomst_doelgroep[[#This Row],[Digitale zorgtoepassing]],"_",uitkomst_doelgroep[[#This Row],[Doelgroep]],"_",uitkomst_doelgroep[[#This Row],[Uitgangssituatie/effect beleid]])</f>
        <v>Steunkousen technologie_Steunkousen_Uitgangssituatie</v>
      </c>
      <c r="H1282" s="33">
        <v>2024</v>
      </c>
      <c r="I1282" s="32">
        <v>2</v>
      </c>
      <c r="J1282" s="406" cm="1">
        <f t="array" ref="J1282">INDEX(implementatie[[2023]:[2034]],MATCH(G1282, implementatie[Zoeksleutel],0),I1282)</f>
        <v>0.29200000000000004</v>
      </c>
      <c r="K1282" s="406" cm="1">
        <f t="array" ref="K1282">INDEX(implementatie[[2023]:[2034]],MATCH(G1282,implementatie[Zoeksleutel],0),I1282 + 1)</f>
        <v>0.40273120000000007</v>
      </c>
      <c r="L128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28032.000000000004</v>
      </c>
      <c r="M1282" s="398" cm="1">
        <f t="array" ref="M1282">J1282*INDEX(Berekening_impact[Totaal arbeidsbesparing (€/jaar)],MATCH(B1282,IF(Berekening_impact[Doelgroep]=C1282,Berekening_impact[Digitale zorgtoepassing]),0))</f>
        <v>46859153.908965528</v>
      </c>
      <c r="N1282" s="397" cm="1">
        <f t="array" ref="N1282">J1282*INDEX(Berekening_impact[Totaal arbeidsbesparing (FTE/jaar)],MATCH(B1282,IF(Berekening_impact[Doelgroep]=C1282,Berekening_impact[Digitale zorgtoepassing]),0))</f>
        <v>1103.7600000000002</v>
      </c>
      <c r="O1282" s="398" cm="1">
        <f t="array" ref="O1282">J1282*INDEX(Berekening_impact[Overige kostenbesparing (totaal/jaar totaal potentieel)],MATCH(B1282,IF(Berekening_impact[Doelgroep]=C1282,Berekening_impact[Digitale zorgtoepassing]),0))</f>
        <v>6529554.2332165074</v>
      </c>
      <c r="P1282" s="398" cm="1">
        <f t="array" ref="P1282">J1282*INDEX(Berekening_impact[Opbrengsten door QALY''s],MATCH(B1282,IF(Berekening_impact[Doelgroep]=C1282,Berekening_impact[Digitale zorgtoepassing]),0))</f>
        <v>0</v>
      </c>
      <c r="Q1282" s="398" cm="1">
        <f t="array" ref="Q1282">J1282*INDEX(Berekening_impact[Jaarlijkse kosten (totaal) - incl. schatting],MATCH(B1282,IF(Berekening_impact[Doelgroep]=C1282,Berekening_impact[Digitale zorgtoepassing]),0))</f>
        <v>0</v>
      </c>
      <c r="R1282" s="398" cm="1">
        <f t="array" ref="R1282">(uitkomst_doelgroep[[#This Row],[Implementatiegraad t = T + 1]]-uitkomst_doelgroep[[#This Row],[Implementatiegraad t = T]])*INDEX(Berekening_impact[Initiële investering (totaal) - incl. schatting],MATCH(B1282,IF(Berekening_impact[Doelgroep]=C1282,Berekening_impact[Digitale zorgtoepassing]),0))</f>
        <v>9514024.7040000018</v>
      </c>
      <c r="S1282" s="398">
        <f>uitkomst_doelgroep[[#This Row],[Arbeidsbesparing (€)]]*uitkomst_doelgroep[[#This Row],[Percentage van patiëntaantallen in Wlz (overige is Zvw)]]</f>
        <v>32801407.736275874</v>
      </c>
      <c r="T1282" s="398">
        <f>uitkomst_doelgroep[[#This Row],[Overige besparingen (€)]]*uitkomst_doelgroep[[#This Row],[Percentage van patiëntaantallen in Wlz (overige is Zvw)]]</f>
        <v>4570687.9632515553</v>
      </c>
      <c r="U1282" s="398">
        <f>uitkomst_doelgroep[[#This Row],[Kosten (€)]]*uitkomst_doelgroep[[#This Row],[Percentage van patiëntaantallen in Wlz (overige is Zvw)]]</f>
        <v>0</v>
      </c>
      <c r="V1282" s="398">
        <f>uitkomst_doelgroep[[#This Row],[Investering (cash flow) (€)]]*uitkomst_doelgroep[[#This Row],[Percentage van patiëntaantallen in Wlz (overige is Zvw)]]</f>
        <v>6659817.2928000018</v>
      </c>
    </row>
    <row r="1283" spans="1:22" x14ac:dyDescent="0.5">
      <c r="A1283" s="33" t="str">
        <f>INDEX(Technologieën[Veld],MATCH(B1283,Technologieën[Digitale zorgtoepassing],0))</f>
        <v>Digitale hulpmiddelen - Verpleging</v>
      </c>
      <c r="B1283" s="33" t="s">
        <v>48</v>
      </c>
      <c r="C1283" s="33" t="s">
        <v>49</v>
      </c>
      <c r="D1283" s="427" cm="1">
        <f t="array" ref="D1283">INDEX(Berekening_patiëntaantal[Percentage van patiëntaantallen in Wlz (overige is Zvw)],MATCH(B1283,IF(Berekening_patiëntaantal[Doelgroep (zoeksleutel)]=C1283,Berekening_patiëntaantal[Digitale zorgtoepassing]),0))</f>
        <v>0.70000000000000007</v>
      </c>
      <c r="E1283" s="33" t="str" cm="1">
        <f t="array" ref="E1283">INDEX(Berekening_patiëntaantal[Direct toepasbaar/extrapolatie/incidentie voor QALY],MATCH(B1283,IF(Berekening_patiëntaantal[Doelgroep (zoeksleutel)]=C1283,Berekening_patiëntaantal[Digitale zorgtoepassing]),0))</f>
        <v>Huidige toepassing</v>
      </c>
      <c r="F1283" s="33" t="s">
        <v>813</v>
      </c>
      <c r="G1283" s="33" t="str">
        <f>CONCATENATE(uitkomst_doelgroep[[#This Row],[Digitale zorgtoepassing]],"_",uitkomst_doelgroep[[#This Row],[Doelgroep]],"_",uitkomst_doelgroep[[#This Row],[Uitgangssituatie/effect beleid]])</f>
        <v>Steunkousen technologie_Steunkousen_Uitgangssituatie</v>
      </c>
      <c r="H1283" s="33">
        <v>2025</v>
      </c>
      <c r="I1283" s="32">
        <v>3</v>
      </c>
      <c r="J1283" s="406" cm="1">
        <f t="array" ref="J1283">INDEX(implementatie[[2023]:[2034]],MATCH(G1283, implementatie[Zoeksleutel],0),I1283)</f>
        <v>0.40273120000000007</v>
      </c>
      <c r="K1283" s="406" cm="1">
        <f t="array" ref="K1283">INDEX(implementatie[[2023]:[2034]],MATCH(G1283,implementatie[Zoeksleutel],0),I1283 + 1)</f>
        <v>0.52590537124595205</v>
      </c>
      <c r="L128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38662.195200000009</v>
      </c>
      <c r="M1283" s="398" cm="1">
        <f t="array" ref="M1283">J1283*INDEX(Berekening_impact[Totaal arbeidsbesparing (€/jaar)],MATCH(B1283,IF(Berekening_impact[Doelgroep]=C1283,Berekening_impact[Digitale zorgtoepassing]),0))</f>
        <v>64628915.35870678</v>
      </c>
      <c r="N1283" s="397" cm="1">
        <f t="array" ref="N1283">J1283*INDEX(Berekening_impact[Totaal arbeidsbesparing (FTE/jaar)],MATCH(B1283,IF(Berekening_impact[Doelgroep]=C1283,Berekening_impact[Digitale zorgtoepassing]),0))</f>
        <v>1522.3239360000002</v>
      </c>
      <c r="O1283" s="398" cm="1">
        <f t="array" ref="O1283">J1283*INDEX(Berekening_impact[Overige kostenbesparing (totaal/jaar totaal potentieel)],MATCH(B1283,IF(Berekening_impact[Doelgroep]=C1283,Berekening_impact[Digitale zorgtoepassing]),0))</f>
        <v>9005668.533590287</v>
      </c>
      <c r="P1283" s="398" cm="1">
        <f t="array" ref="P1283">J1283*INDEX(Berekening_impact[Opbrengsten door QALY''s],MATCH(B1283,IF(Berekening_impact[Doelgroep]=C1283,Berekening_impact[Digitale zorgtoepassing]),0))</f>
        <v>0</v>
      </c>
      <c r="Q1283" s="398" cm="1">
        <f t="array" ref="Q1283">J1283*INDEX(Berekening_impact[Jaarlijkse kosten (totaal) - incl. schatting],MATCH(B1283,IF(Berekening_impact[Doelgroep]=C1283,Berekening_impact[Digitale zorgtoepassing]),0))</f>
        <v>0</v>
      </c>
      <c r="R1283" s="398" cm="1">
        <f t="array" ref="R1283">(uitkomst_doelgroep[[#This Row],[Implementatiegraad t = T + 1]]-uitkomst_doelgroep[[#This Row],[Implementatiegraad t = T]])*INDEX(Berekening_impact[Initiële investering (totaal) - incl. schatting],MATCH(B1283,IF(Berekening_impact[Doelgroep]=C1283,Berekening_impact[Digitale zorgtoepassing]),0))</f>
        <v>10583124.793452194</v>
      </c>
      <c r="S1283" s="398">
        <f>uitkomst_doelgroep[[#This Row],[Arbeidsbesparing (€)]]*uitkomst_doelgroep[[#This Row],[Percentage van patiëntaantallen in Wlz (overige is Zvw)]]</f>
        <v>45240240.751094751</v>
      </c>
      <c r="T1283" s="398">
        <f>uitkomst_doelgroep[[#This Row],[Overige besparingen (€)]]*uitkomst_doelgroep[[#This Row],[Percentage van patiëntaantallen in Wlz (overige is Zvw)]]</f>
        <v>6303967.9735132018</v>
      </c>
      <c r="U1283" s="398">
        <f>uitkomst_doelgroep[[#This Row],[Kosten (€)]]*uitkomst_doelgroep[[#This Row],[Percentage van patiëntaantallen in Wlz (overige is Zvw)]]</f>
        <v>0</v>
      </c>
      <c r="V1283" s="398">
        <f>uitkomst_doelgroep[[#This Row],[Investering (cash flow) (€)]]*uitkomst_doelgroep[[#This Row],[Percentage van patiëntaantallen in Wlz (overige is Zvw)]]</f>
        <v>7408187.3554165363</v>
      </c>
    </row>
    <row r="1284" spans="1:22" x14ac:dyDescent="0.5">
      <c r="A1284" s="33" t="str">
        <f>INDEX(Technologieën[Veld],MATCH(B1284,Technologieën[Digitale zorgtoepassing],0))</f>
        <v>Digitale hulpmiddelen - Verpleging</v>
      </c>
      <c r="B1284" s="33" t="s">
        <v>48</v>
      </c>
      <c r="C1284" s="33" t="s">
        <v>49</v>
      </c>
      <c r="D1284" s="427" cm="1">
        <f t="array" ref="D1284">INDEX(Berekening_patiëntaantal[Percentage van patiëntaantallen in Wlz (overige is Zvw)],MATCH(B1284,IF(Berekening_patiëntaantal[Doelgroep (zoeksleutel)]=C1284,Berekening_patiëntaantal[Digitale zorgtoepassing]),0))</f>
        <v>0.70000000000000007</v>
      </c>
      <c r="E1284" s="33" t="str" cm="1">
        <f t="array" ref="E1284">INDEX(Berekening_patiëntaantal[Direct toepasbaar/extrapolatie/incidentie voor QALY],MATCH(B1284,IF(Berekening_patiëntaantal[Doelgroep (zoeksleutel)]=C1284,Berekening_patiëntaantal[Digitale zorgtoepassing]),0))</f>
        <v>Huidige toepassing</v>
      </c>
      <c r="F1284" s="33" t="s">
        <v>813</v>
      </c>
      <c r="G1284" s="33" t="str">
        <f>CONCATENATE(uitkomst_doelgroep[[#This Row],[Digitale zorgtoepassing]],"_",uitkomst_doelgroep[[#This Row],[Doelgroep]],"_",uitkomst_doelgroep[[#This Row],[Uitgangssituatie/effect beleid]])</f>
        <v>Steunkousen technologie_Steunkousen_Uitgangssituatie</v>
      </c>
      <c r="H1284" s="33">
        <v>2026</v>
      </c>
      <c r="I1284" s="32">
        <v>4</v>
      </c>
      <c r="J1284" s="406" cm="1">
        <f t="array" ref="J1284">INDEX(implementatie[[2023]:[2034]],MATCH(G1284, implementatie[Zoeksleutel],0),I1284)</f>
        <v>0.52590537124595205</v>
      </c>
      <c r="K1284" s="406" cm="1">
        <f t="array" ref="K1284">INDEX(implementatie[[2023]:[2034]],MATCH(G1284,implementatie[Zoeksleutel],0),I1284 + 1)</f>
        <v>0.64995574724807748</v>
      </c>
      <c r="L128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50486.915639611398</v>
      </c>
      <c r="M1284" s="398" cm="1">
        <f t="array" ref="M1284">J1284*INDEX(Berekening_impact[Totaal arbeidsbesparing (€/jaar)],MATCH(B1284,IF(Berekening_impact[Doelgroep]=C1284,Berekening_impact[Digitale zorgtoepassing]),0))</f>
        <v>84395481.961526439</v>
      </c>
      <c r="N1284" s="397" cm="1">
        <f t="array" ref="N1284">J1284*INDEX(Berekening_impact[Totaal arbeidsbesparing (FTE/jaar)],MATCH(B1284,IF(Berekening_impact[Doelgroep]=C1284,Berekening_impact[Digitale zorgtoepassing]),0))</f>
        <v>1987.9223033096987</v>
      </c>
      <c r="O1284" s="398" cm="1">
        <f t="array" ref="O1284">J1284*INDEX(Berekening_impact[Overige kostenbesparing (totaal/jaar totaal potentieel)],MATCH(B1284,IF(Berekening_impact[Doelgroep]=C1284,Berekening_impact[Digitale zorgtoepassing]),0))</f>
        <v>11760026.174966797</v>
      </c>
      <c r="P1284" s="398" cm="1">
        <f t="array" ref="P1284">J1284*INDEX(Berekening_impact[Opbrengsten door QALY''s],MATCH(B1284,IF(Berekening_impact[Doelgroep]=C1284,Berekening_impact[Digitale zorgtoepassing]),0))</f>
        <v>0</v>
      </c>
      <c r="Q1284" s="398" cm="1">
        <f t="array" ref="Q1284">J1284*INDEX(Berekening_impact[Jaarlijkse kosten (totaal) - incl. schatting],MATCH(B1284,IF(Berekening_impact[Doelgroep]=C1284,Berekening_impact[Digitale zorgtoepassing]),0))</f>
        <v>0</v>
      </c>
      <c r="R1284" s="398" cm="1">
        <f t="array" ref="R1284">(uitkomst_doelgroep[[#This Row],[Implementatiegraad t = T + 1]]-uitkomst_doelgroep[[#This Row],[Implementatiegraad t = T]])*INDEX(Berekening_impact[Initiële investering (totaal) - incl. schatting],MATCH(B1284,IF(Berekening_impact[Doelgroep]=C1284,Berekening_impact[Digitale zorgtoepassing]),0))</f>
        <v>10658408.306102617</v>
      </c>
      <c r="S1284" s="398">
        <f>uitkomst_doelgroep[[#This Row],[Arbeidsbesparing (€)]]*uitkomst_doelgroep[[#This Row],[Percentage van patiëntaantallen in Wlz (overige is Zvw)]]</f>
        <v>59076837.373068511</v>
      </c>
      <c r="T1284" s="398">
        <f>uitkomst_doelgroep[[#This Row],[Overige besparingen (€)]]*uitkomst_doelgroep[[#This Row],[Percentage van patiëntaantallen in Wlz (overige is Zvw)]]</f>
        <v>8232018.3224767586</v>
      </c>
      <c r="U1284" s="398">
        <f>uitkomst_doelgroep[[#This Row],[Kosten (€)]]*uitkomst_doelgroep[[#This Row],[Percentage van patiëntaantallen in Wlz (overige is Zvw)]]</f>
        <v>0</v>
      </c>
      <c r="V1284" s="398">
        <f>uitkomst_doelgroep[[#This Row],[Investering (cash flow) (€)]]*uitkomst_doelgroep[[#This Row],[Percentage van patiëntaantallen in Wlz (overige is Zvw)]]</f>
        <v>7460885.8142718328</v>
      </c>
    </row>
    <row r="1285" spans="1:22" x14ac:dyDescent="0.5">
      <c r="A1285" s="33" t="str">
        <f>INDEX(Technologieën[Veld],MATCH(B1285,Technologieën[Digitale zorgtoepassing],0))</f>
        <v>Digitale hulpmiddelen - Verpleging</v>
      </c>
      <c r="B1285" s="33" t="s">
        <v>48</v>
      </c>
      <c r="C1285" s="33" t="s">
        <v>49</v>
      </c>
      <c r="D1285" s="427" cm="1">
        <f t="array" ref="D1285">INDEX(Berekening_patiëntaantal[Percentage van patiëntaantallen in Wlz (overige is Zvw)],MATCH(B1285,IF(Berekening_patiëntaantal[Doelgroep (zoeksleutel)]=C1285,Berekening_patiëntaantal[Digitale zorgtoepassing]),0))</f>
        <v>0.70000000000000007</v>
      </c>
      <c r="E1285" s="33" t="str" cm="1">
        <f t="array" ref="E1285">INDEX(Berekening_patiëntaantal[Direct toepasbaar/extrapolatie/incidentie voor QALY],MATCH(B1285,IF(Berekening_patiëntaantal[Doelgroep (zoeksleutel)]=C1285,Berekening_patiëntaantal[Digitale zorgtoepassing]),0))</f>
        <v>Huidige toepassing</v>
      </c>
      <c r="F1285" s="33" t="s">
        <v>813</v>
      </c>
      <c r="G1285" s="33" t="str">
        <f>CONCATENATE(uitkomst_doelgroep[[#This Row],[Digitale zorgtoepassing]],"_",uitkomst_doelgroep[[#This Row],[Doelgroep]],"_",uitkomst_doelgroep[[#This Row],[Uitgangssituatie/effect beleid]])</f>
        <v>Steunkousen technologie_Steunkousen_Uitgangssituatie</v>
      </c>
      <c r="H1285" s="33">
        <v>2027</v>
      </c>
      <c r="I1285" s="32">
        <v>5</v>
      </c>
      <c r="J1285" s="406" cm="1">
        <f t="array" ref="J1285">INDEX(implementatie[[2023]:[2034]],MATCH(G1285, implementatie[Zoeksleutel],0),I1285)</f>
        <v>0.64995574724807748</v>
      </c>
      <c r="K1285" s="406" cm="1">
        <f t="array" ref="K1285">INDEX(implementatie[[2023]:[2034]],MATCH(G1285,implementatie[Zoeksleutel],0),I1285 + 1)</f>
        <v>0.76108782680714737</v>
      </c>
      <c r="L128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62395.751735815436</v>
      </c>
      <c r="M1285" s="398" cm="1">
        <f t="array" ref="M1285">J1285*INDEX(Berekening_impact[Totaal arbeidsbesparing (€/jaar)],MATCH(B1285,IF(Berekening_impact[Doelgroep]=C1285,Berekening_impact[Digitale zorgtoepassing]),0))</f>
        <v>104302658.88463821</v>
      </c>
      <c r="N1285" s="397" cm="1">
        <f t="array" ref="N1285">J1285*INDEX(Berekening_impact[Totaal arbeidsbesparing (FTE/jaar)],MATCH(B1285,IF(Berekening_impact[Doelgroep]=C1285,Berekening_impact[Digitale zorgtoepassing]),0))</f>
        <v>2456.832724597733</v>
      </c>
      <c r="O1285" s="398" cm="1">
        <f t="array" ref="O1285">J1285*INDEX(Berekening_impact[Overige kostenbesparing (totaal/jaar totaal potentieel)],MATCH(B1285,IF(Berekening_impact[Doelgroep]=C1285,Berekening_impact[Digitale zorgtoepassing]),0))</f>
        <v>14533977.057695486</v>
      </c>
      <c r="P1285" s="398" cm="1">
        <f t="array" ref="P1285">J1285*INDEX(Berekening_impact[Opbrengsten door QALY''s],MATCH(B1285,IF(Berekening_impact[Doelgroep]=C1285,Berekening_impact[Digitale zorgtoepassing]),0))</f>
        <v>0</v>
      </c>
      <c r="Q1285" s="398" cm="1">
        <f t="array" ref="Q1285">J1285*INDEX(Berekening_impact[Jaarlijkse kosten (totaal) - incl. schatting],MATCH(B1285,IF(Berekening_impact[Doelgroep]=C1285,Berekening_impact[Digitale zorgtoepassing]),0))</f>
        <v>0</v>
      </c>
      <c r="R1285" s="398" cm="1">
        <f t="array" ref="R1285">(uitkomst_doelgroep[[#This Row],[Implementatiegraad t = T + 1]]-uitkomst_doelgroep[[#This Row],[Implementatiegraad t = T]])*INDEX(Berekening_impact[Initiële investering (totaal) - incl. schatting],MATCH(B1285,IF(Berekening_impact[Doelgroep]=C1285,Berekening_impact[Digitale zorgtoepassing]),0))</f>
        <v>9548468.2757152859</v>
      </c>
      <c r="S1285" s="398">
        <f>uitkomst_doelgroep[[#This Row],[Arbeidsbesparing (€)]]*uitkomst_doelgroep[[#This Row],[Percentage van patiëntaantallen in Wlz (overige is Zvw)]]</f>
        <v>73011861.219246745</v>
      </c>
      <c r="T1285" s="398">
        <f>uitkomst_doelgroep[[#This Row],[Overige besparingen (€)]]*uitkomst_doelgroep[[#This Row],[Percentage van patiëntaantallen in Wlz (overige is Zvw)]]</f>
        <v>10173783.940386841</v>
      </c>
      <c r="U1285" s="398">
        <f>uitkomst_doelgroep[[#This Row],[Kosten (€)]]*uitkomst_doelgroep[[#This Row],[Percentage van patiëntaantallen in Wlz (overige is Zvw)]]</f>
        <v>0</v>
      </c>
      <c r="V1285" s="398">
        <f>uitkomst_doelgroep[[#This Row],[Investering (cash flow) (€)]]*uitkomst_doelgroep[[#This Row],[Percentage van patiëntaantallen in Wlz (overige is Zvw)]]</f>
        <v>6683927.7930007009</v>
      </c>
    </row>
    <row r="1286" spans="1:22" ht="17.5" thickBot="1" x14ac:dyDescent="0.55000000000000004">
      <c r="A1286" s="33" t="str">
        <f>INDEX(Technologieën[Veld],MATCH(B1286,Technologieën[Digitale zorgtoepassing],0))</f>
        <v>Digitale hulpmiddelen - Verpleging</v>
      </c>
      <c r="B1286" s="40" t="s">
        <v>48</v>
      </c>
      <c r="C1286" s="40" t="s">
        <v>49</v>
      </c>
      <c r="D1286" s="427" cm="1">
        <f t="array" ref="D1286">INDEX(Berekening_patiëntaantal[Percentage van patiëntaantallen in Wlz (overige is Zvw)],MATCH(B1286,IF(Berekening_patiëntaantal[Doelgroep (zoeksleutel)]=C1286,Berekening_patiëntaantal[Digitale zorgtoepassing]),0))</f>
        <v>0.70000000000000007</v>
      </c>
      <c r="E1286" s="33" t="str" cm="1">
        <f t="array" ref="E1286">INDEX(Berekening_patiëntaantal[Direct toepasbaar/extrapolatie/incidentie voor QALY],MATCH(B1286,IF(Berekening_patiëntaantal[Doelgroep (zoeksleutel)]=C1286,Berekening_patiëntaantal[Digitale zorgtoepassing]),0))</f>
        <v>Huidige toepassing</v>
      </c>
      <c r="F1286" s="33" t="s">
        <v>813</v>
      </c>
      <c r="G1286" s="33" t="str">
        <f>CONCATENATE(uitkomst_doelgroep[[#This Row],[Digitale zorgtoepassing]],"_",uitkomst_doelgroep[[#This Row],[Doelgroep]],"_",uitkomst_doelgroep[[#This Row],[Uitgangssituatie/effect beleid]])</f>
        <v>Steunkousen technologie_Steunkousen_Uitgangssituatie</v>
      </c>
      <c r="H1286" s="33">
        <v>2028</v>
      </c>
      <c r="I1286" s="32">
        <v>6</v>
      </c>
      <c r="J1286" s="406" cm="1">
        <f t="array" ref="J1286">INDEX(implementatie[[2023]:[2034]],MATCH(G1286, implementatie[Zoeksleutel],0),I1286)</f>
        <v>0.76108782680714737</v>
      </c>
      <c r="K1286" s="406" cm="1">
        <f t="array" ref="K1286">INDEX(implementatie[[2023]:[2034]],MATCH(G1286,implementatie[Zoeksleutel],0),I1286 + 1)</f>
        <v>0.8488855471488731</v>
      </c>
      <c r="L128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73064.43137348615</v>
      </c>
      <c r="M1286" s="398" cm="1">
        <f t="array" ref="M1286">J1286*INDEX(Berekening_impact[Totaal arbeidsbesparing (€/jaar)],MATCH(B1286,IF(Berekening_impact[Doelgroep]=C1286,Berekening_impact[Digitale zorgtoepassing]),0))</f>
        <v>122136752.10478155</v>
      </c>
      <c r="N1286" s="397" cm="1">
        <f t="array" ref="N1286">J1286*INDEX(Berekening_impact[Totaal arbeidsbesparing (FTE/jaar)],MATCH(B1286,IF(Berekening_impact[Doelgroep]=C1286,Berekening_impact[Digitale zorgtoepassing]),0))</f>
        <v>2876.9119853310171</v>
      </c>
      <c r="O1286" s="398" cm="1">
        <f t="array" ref="O1286">J1286*INDEX(Berekening_impact[Overige kostenbesparing (totaal/jaar totaal potentieel)],MATCH(B1286,IF(Berekening_impact[Doelgroep]=C1286,Berekening_impact[Digitale zorgtoepassing]),0))</f>
        <v>17019055.621158082</v>
      </c>
      <c r="P1286" s="398" cm="1">
        <f t="array" ref="P1286">J1286*INDEX(Berekening_impact[Opbrengsten door QALY''s],MATCH(B1286,IF(Berekening_impact[Doelgroep]=C1286,Berekening_impact[Digitale zorgtoepassing]),0))</f>
        <v>0</v>
      </c>
      <c r="Q1286" s="398" cm="1">
        <f t="array" ref="Q1286">J1286*INDEX(Berekening_impact[Jaarlijkse kosten (totaal) - incl. schatting],MATCH(B1286,IF(Berekening_impact[Doelgroep]=C1286,Berekening_impact[Digitale zorgtoepassing]),0))</f>
        <v>0</v>
      </c>
      <c r="R1286" s="398" cm="1">
        <f t="array" ref="R1286">(uitkomst_doelgroep[[#This Row],[Implementatiegraad t = T + 1]]-uitkomst_doelgroep[[#This Row],[Implementatiegraad t = T]])*INDEX(Berekening_impact[Initiële investering (totaal) - incl. schatting],MATCH(B1286,IF(Berekening_impact[Doelgroep]=C1286,Berekening_impact[Digitale zorgtoepassing]),0))</f>
        <v>7543580.1317610741</v>
      </c>
      <c r="S1286" s="398">
        <f>uitkomst_doelgroep[[#This Row],[Arbeidsbesparing (€)]]*uitkomst_doelgroep[[#This Row],[Percentage van patiëntaantallen in Wlz (overige is Zvw)]]</f>
        <v>85495726.473347098</v>
      </c>
      <c r="T1286" s="398">
        <f>uitkomst_doelgroep[[#This Row],[Overige besparingen (€)]]*uitkomst_doelgroep[[#This Row],[Percentage van patiëntaantallen in Wlz (overige is Zvw)]]</f>
        <v>11913338.934810659</v>
      </c>
      <c r="U1286" s="398">
        <f>uitkomst_doelgroep[[#This Row],[Kosten (€)]]*uitkomst_doelgroep[[#This Row],[Percentage van patiëntaantallen in Wlz (overige is Zvw)]]</f>
        <v>0</v>
      </c>
      <c r="V1286" s="398">
        <f>uitkomst_doelgroep[[#This Row],[Investering (cash flow) (€)]]*uitkomst_doelgroep[[#This Row],[Percentage van patiëntaantallen in Wlz (overige is Zvw)]]</f>
        <v>5280506.0922327526</v>
      </c>
    </row>
    <row r="1287" spans="1:22" x14ac:dyDescent="0.5">
      <c r="A1287" s="33" t="str">
        <f>INDEX(Technologieën[Veld],MATCH(B1287,Technologieën[Digitale zorgtoepassing],0))</f>
        <v>Digitale hulpmiddelen - Verpleging</v>
      </c>
      <c r="B1287" s="33" t="s">
        <v>48</v>
      </c>
      <c r="C1287" s="33" t="s">
        <v>49</v>
      </c>
      <c r="D1287" s="427" cm="1">
        <f t="array" ref="D1287">INDEX(Berekening_patiëntaantal[Percentage van patiëntaantallen in Wlz (overige is Zvw)],MATCH(B1287,IF(Berekening_patiëntaantal[Doelgroep (zoeksleutel)]=C1287,Berekening_patiëntaantal[Digitale zorgtoepassing]),0))</f>
        <v>0.70000000000000007</v>
      </c>
      <c r="E1287" s="33" t="str" cm="1">
        <f t="array" ref="E1287">INDEX(Berekening_patiëntaantal[Direct toepasbaar/extrapolatie/incidentie voor QALY],MATCH(B1287,IF(Berekening_patiëntaantal[Doelgroep (zoeksleutel)]=C1287,Berekening_patiëntaantal[Digitale zorgtoepassing]),0))</f>
        <v>Huidige toepassing</v>
      </c>
      <c r="F1287" s="33" t="s">
        <v>813</v>
      </c>
      <c r="G1287" s="33" t="str">
        <f>CONCATENATE(uitkomst_doelgroep[[#This Row],[Digitale zorgtoepassing]],"_",uitkomst_doelgroep[[#This Row],[Doelgroep]],"_",uitkomst_doelgroep[[#This Row],[Uitgangssituatie/effect beleid]])</f>
        <v>Steunkousen technologie_Steunkousen_Uitgangssituatie</v>
      </c>
      <c r="H1287" s="33">
        <v>2029</v>
      </c>
      <c r="I1287" s="32">
        <v>7</v>
      </c>
      <c r="J1287" s="406" cm="1">
        <f t="array" ref="J1287">INDEX(implementatie[[2023]:[2034]],MATCH(G1287, implementatie[Zoeksleutel],0),I1287)</f>
        <v>0.8488855471488731</v>
      </c>
      <c r="K1287" s="406" cm="1">
        <f t="array" ref="K1287">INDEX(implementatie[[2023]:[2034]],MATCH(G1287,implementatie[Zoeksleutel],0),I1287 + 1)</f>
        <v>0.91038890221593549</v>
      </c>
      <c r="L128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81493.012526291815</v>
      </c>
      <c r="M1287" s="398" cm="1">
        <f t="array" ref="M1287">J1287*INDEX(Berekening_impact[Totaal arbeidsbesparing (€/jaar)],MATCH(B1287,IF(Berekening_impact[Doelgroep]=C1287,Berekening_impact[Digitale zorgtoepassing]),0))</f>
        <v>136226227.75666252</v>
      </c>
      <c r="N1287" s="397" cm="1">
        <f t="array" ref="N1287">J1287*INDEX(Berekening_impact[Totaal arbeidsbesparing (FTE/jaar)],MATCH(B1287,IF(Berekening_impact[Doelgroep]=C1287,Berekening_impact[Digitale zorgtoepassing]),0))</f>
        <v>3208.7873682227405</v>
      </c>
      <c r="O1287" s="398" cm="1">
        <f t="array" ref="O1287">J1287*INDEX(Berekening_impact[Overige kostenbesparing (totaal/jaar totaal potentieel)],MATCH(B1287,IF(Berekening_impact[Doelgroep]=C1287,Berekening_impact[Digitale zorgtoepassing]),0))</f>
        <v>18982343.211993955</v>
      </c>
      <c r="P1287" s="398" cm="1">
        <f t="array" ref="P1287">J1287*INDEX(Berekening_impact[Opbrengsten door QALY''s],MATCH(B1287,IF(Berekening_impact[Doelgroep]=C1287,Berekening_impact[Digitale zorgtoepassing]),0))</f>
        <v>0</v>
      </c>
      <c r="Q1287" s="398" cm="1">
        <f t="array" ref="Q1287">J1287*INDEX(Berekening_impact[Jaarlijkse kosten (totaal) - incl. schatting],MATCH(B1287,IF(Berekening_impact[Doelgroep]=C1287,Berekening_impact[Digitale zorgtoepassing]),0))</f>
        <v>0</v>
      </c>
      <c r="R1287" s="398" cm="1">
        <f t="array" ref="R1287">(uitkomst_doelgroep[[#This Row],[Implementatiegraad t = T + 1]]-uitkomst_doelgroep[[#This Row],[Implementatiegraad t = T]])*INDEX(Berekening_impact[Initiële investering (totaal) - incl. schatting],MATCH(B1287,IF(Berekening_impact[Doelgroep]=C1287,Berekening_impact[Digitale zorgtoepassing]),0))</f>
        <v>5284368.2673620004</v>
      </c>
      <c r="S1287" s="398">
        <f>uitkomst_doelgroep[[#This Row],[Arbeidsbesparing (€)]]*uitkomst_doelgroep[[#This Row],[Percentage van patiëntaantallen in Wlz (overige is Zvw)]]</f>
        <v>95358359.429663777</v>
      </c>
      <c r="T1287" s="398">
        <f>uitkomst_doelgroep[[#This Row],[Overige besparingen (€)]]*uitkomst_doelgroep[[#This Row],[Percentage van patiëntaantallen in Wlz (overige is Zvw)]]</f>
        <v>13287640.248395769</v>
      </c>
      <c r="U1287" s="398">
        <f>uitkomst_doelgroep[[#This Row],[Kosten (€)]]*uitkomst_doelgroep[[#This Row],[Percentage van patiëntaantallen in Wlz (overige is Zvw)]]</f>
        <v>0</v>
      </c>
      <c r="V1287" s="398">
        <f>uitkomst_doelgroep[[#This Row],[Investering (cash flow) (€)]]*uitkomst_doelgroep[[#This Row],[Percentage van patiëntaantallen in Wlz (overige is Zvw)]]</f>
        <v>3699057.7871534005</v>
      </c>
    </row>
    <row r="1288" spans="1:22" x14ac:dyDescent="0.5">
      <c r="A1288" s="33" t="str">
        <f>INDEX(Technologieën[Veld],MATCH(B1288,Technologieën[Digitale zorgtoepassing],0))</f>
        <v>Digitale hulpmiddelen - Verpleging</v>
      </c>
      <c r="B1288" s="33" t="s">
        <v>48</v>
      </c>
      <c r="C1288" s="33" t="s">
        <v>49</v>
      </c>
      <c r="D1288" s="427" cm="1">
        <f t="array" ref="D1288">INDEX(Berekening_patiëntaantal[Percentage van patiëntaantallen in Wlz (overige is Zvw)],MATCH(B1288,IF(Berekening_patiëntaantal[Doelgroep (zoeksleutel)]=C1288,Berekening_patiëntaantal[Digitale zorgtoepassing]),0))</f>
        <v>0.70000000000000007</v>
      </c>
      <c r="E1288" s="33" t="str" cm="1">
        <f t="array" ref="E1288">INDEX(Berekening_patiëntaantal[Direct toepasbaar/extrapolatie/incidentie voor QALY],MATCH(B1288,IF(Berekening_patiëntaantal[Doelgroep (zoeksleutel)]=C1288,Berekening_patiëntaantal[Digitale zorgtoepassing]),0))</f>
        <v>Huidige toepassing</v>
      </c>
      <c r="F1288" s="33" t="s">
        <v>813</v>
      </c>
      <c r="G1288" s="33" t="str">
        <f>CONCATENATE(uitkomst_doelgroep[[#This Row],[Digitale zorgtoepassing]],"_",uitkomst_doelgroep[[#This Row],[Doelgroep]],"_",uitkomst_doelgroep[[#This Row],[Uitgangssituatie/effect beleid]])</f>
        <v>Steunkousen technologie_Steunkousen_Uitgangssituatie</v>
      </c>
      <c r="H1288" s="33">
        <v>2030</v>
      </c>
      <c r="I1288" s="32">
        <v>8</v>
      </c>
      <c r="J1288" s="406" cm="1">
        <f t="array" ref="J1288">INDEX(implementatie[[2023]:[2034]],MATCH(G1288, implementatie[Zoeksleutel],0),I1288)</f>
        <v>0.91038890221593549</v>
      </c>
      <c r="K1288" s="406" cm="1">
        <f t="array" ref="K1288">INDEX(implementatie[[2023]:[2034]],MATCH(G1288,implementatie[Zoeksleutel],0),I1288 + 1)</f>
        <v>0.94934060668263687</v>
      </c>
      <c r="L128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87397.334612729814</v>
      </c>
      <c r="M1288" s="398" cm="1">
        <f t="array" ref="M1288">J1288*INDEX(Berekening_impact[Totaal arbeidsbesparing (€/jaar)],MATCH(B1288,IF(Berekening_impact[Doelgroep]=C1288,Berekening_impact[Digitale zorgtoepassing]),0))</f>
        <v>146096074.26695439</v>
      </c>
      <c r="N1288" s="397" cm="1">
        <f t="array" ref="N1288">J1288*INDEX(Berekening_impact[Totaal arbeidsbesparing (FTE/jaar)],MATCH(B1288,IF(Berekening_impact[Doelgroep]=C1288,Berekening_impact[Digitale zorgtoepassing]),0))</f>
        <v>3441.2700503762362</v>
      </c>
      <c r="O1288" s="398" cm="1">
        <f t="array" ref="O1288">J1288*INDEX(Berekening_impact[Overige kostenbesparing (totaal/jaar totaal potentieel)],MATCH(B1288,IF(Berekening_impact[Doelgroep]=C1288,Berekening_impact[Digitale zorgtoepassing]),0))</f>
        <v>20357649.692936268</v>
      </c>
      <c r="P1288" s="398" cm="1">
        <f t="array" ref="P1288">J1288*INDEX(Berekening_impact[Opbrengsten door QALY''s],MATCH(B1288,IF(Berekening_impact[Doelgroep]=C1288,Berekening_impact[Digitale zorgtoepassing]),0))</f>
        <v>0</v>
      </c>
      <c r="Q1288" s="398" cm="1">
        <f t="array" ref="Q1288">J1288*INDEX(Berekening_impact[Jaarlijkse kosten (totaal) - incl. schatting],MATCH(B1288,IF(Berekening_impact[Doelgroep]=C1288,Berekening_impact[Digitale zorgtoepassing]),0))</f>
        <v>0</v>
      </c>
      <c r="R1288" s="398" cm="1">
        <f t="array" ref="R1288">(uitkomst_doelgroep[[#This Row],[Implementatiegraad t = T + 1]]-uitkomst_doelgroep[[#This Row],[Implementatiegraad t = T]])*INDEX(Berekening_impact[Initiële investering (totaal) - incl. schatting],MATCH(B1288,IF(Berekening_impact[Doelgroep]=C1288,Berekening_impact[Digitale zorgtoepassing]),0))</f>
        <v>3346730.4477789821</v>
      </c>
      <c r="S1288" s="398">
        <f>uitkomst_doelgroep[[#This Row],[Arbeidsbesparing (€)]]*uitkomst_doelgroep[[#This Row],[Percentage van patiëntaantallen in Wlz (overige is Zvw)]]</f>
        <v>102267251.98686808</v>
      </c>
      <c r="T1288" s="398">
        <f>uitkomst_doelgroep[[#This Row],[Overige besparingen (€)]]*uitkomst_doelgroep[[#This Row],[Percentage van patiëntaantallen in Wlz (overige is Zvw)]]</f>
        <v>14250354.78505539</v>
      </c>
      <c r="U1288" s="398">
        <f>uitkomst_doelgroep[[#This Row],[Kosten (€)]]*uitkomst_doelgroep[[#This Row],[Percentage van patiëntaantallen in Wlz (overige is Zvw)]]</f>
        <v>0</v>
      </c>
      <c r="V1288" s="398">
        <f>uitkomst_doelgroep[[#This Row],[Investering (cash flow) (€)]]*uitkomst_doelgroep[[#This Row],[Percentage van patiëntaantallen in Wlz (overige is Zvw)]]</f>
        <v>2342711.3134452878</v>
      </c>
    </row>
    <row r="1289" spans="1:22" x14ac:dyDescent="0.5">
      <c r="A1289" s="33" t="str">
        <f>INDEX(Technologieën[Veld],MATCH(B1289,Technologieën[Digitale zorgtoepassing],0))</f>
        <v>Digitale hulpmiddelen - Verpleging</v>
      </c>
      <c r="B1289" s="33" t="s">
        <v>48</v>
      </c>
      <c r="C1289" s="33" t="s">
        <v>49</v>
      </c>
      <c r="D1289" s="427" cm="1">
        <f t="array" ref="D1289">INDEX(Berekening_patiëntaantal[Percentage van patiëntaantallen in Wlz (overige is Zvw)],MATCH(B1289,IF(Berekening_patiëntaantal[Doelgroep (zoeksleutel)]=C1289,Berekening_patiëntaantal[Digitale zorgtoepassing]),0))</f>
        <v>0.70000000000000007</v>
      </c>
      <c r="E1289" s="33" t="str" cm="1">
        <f t="array" ref="E1289">INDEX(Berekening_patiëntaantal[Direct toepasbaar/extrapolatie/incidentie voor QALY],MATCH(B1289,IF(Berekening_patiëntaantal[Doelgroep (zoeksleutel)]=C1289,Berekening_patiëntaantal[Digitale zorgtoepassing]),0))</f>
        <v>Huidige toepassing</v>
      </c>
      <c r="F1289" s="33" t="s">
        <v>813</v>
      </c>
      <c r="G1289" s="33" t="str">
        <f>CONCATENATE(uitkomst_doelgroep[[#This Row],[Digitale zorgtoepassing]],"_",uitkomst_doelgroep[[#This Row],[Doelgroep]],"_",uitkomst_doelgroep[[#This Row],[Uitgangssituatie/effect beleid]])</f>
        <v>Steunkousen technologie_Steunkousen_Uitgangssituatie</v>
      </c>
      <c r="H1289" s="33">
        <v>2031</v>
      </c>
      <c r="I1289" s="32">
        <v>9</v>
      </c>
      <c r="J1289" s="406" cm="1">
        <f t="array" ref="J1289">INDEX(implementatie[[2023]:[2034]],MATCH(G1289, implementatie[Zoeksleutel],0),I1289)</f>
        <v>0.94934060668263687</v>
      </c>
      <c r="K1289" s="406" cm="1">
        <f t="array" ref="K1289">INDEX(implementatie[[2023]:[2034]],MATCH(G1289,implementatie[Zoeksleutel],0),I1289 + 1)</f>
        <v>0.9722489501493069</v>
      </c>
      <c r="L128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91136.698241533144</v>
      </c>
      <c r="M1289" s="398" cm="1">
        <f t="array" ref="M1289">J1289*INDEX(Berekening_impact[Totaal arbeidsbesparing (€/jaar)],MATCH(B1289,IF(Berekening_impact[Doelgroep]=C1289,Berekening_impact[Digitale zorgtoepassing]),0))</f>
        <v>152346909.59100133</v>
      </c>
      <c r="N1289" s="397" cm="1">
        <f t="array" ref="N1289">J1289*INDEX(Berekening_impact[Totaal arbeidsbesparing (FTE/jaar)],MATCH(B1289,IF(Berekening_impact[Doelgroep]=C1289,Berekening_impact[Digitale zorgtoepassing]),0))</f>
        <v>3588.5074932603675</v>
      </c>
      <c r="O1289" s="398" cm="1">
        <f t="array" ref="O1289">J1289*INDEX(Berekening_impact[Overige kostenbesparing (totaal/jaar totaal potentieel)],MATCH(B1289,IF(Berekening_impact[Doelgroep]=C1289,Berekening_impact[Digitale zorgtoepassing]),0))</f>
        <v>21228667.729893625</v>
      </c>
      <c r="P1289" s="398" cm="1">
        <f t="array" ref="P1289">J1289*INDEX(Berekening_impact[Opbrengsten door QALY''s],MATCH(B1289,IF(Berekening_impact[Doelgroep]=C1289,Berekening_impact[Digitale zorgtoepassing]),0))</f>
        <v>0</v>
      </c>
      <c r="Q1289" s="398" cm="1">
        <f t="array" ref="Q1289">J1289*INDEX(Berekening_impact[Jaarlijkse kosten (totaal) - incl. schatting],MATCH(B1289,IF(Berekening_impact[Doelgroep]=C1289,Berekening_impact[Digitale zorgtoepassing]),0))</f>
        <v>0</v>
      </c>
      <c r="R1289" s="398" cm="1">
        <f t="array" ref="R1289">(uitkomst_doelgroep[[#This Row],[Implementatiegraad t = T + 1]]-uitkomst_doelgroep[[#This Row],[Implementatiegraad t = T]])*INDEX(Berekening_impact[Initiële investering (totaal) - incl. schatting],MATCH(B1289,IF(Berekening_impact[Doelgroep]=C1289,Berekening_impact[Digitale zorgtoepassing]),0))</f>
        <v>1968284.8706562894</v>
      </c>
      <c r="S1289" s="398">
        <f>uitkomst_doelgroep[[#This Row],[Arbeidsbesparing (€)]]*uitkomst_doelgroep[[#This Row],[Percentage van patiëntaantallen in Wlz (overige is Zvw)]]</f>
        <v>106642836.71370094</v>
      </c>
      <c r="T1289" s="398">
        <f>uitkomst_doelgroep[[#This Row],[Overige besparingen (€)]]*uitkomst_doelgroep[[#This Row],[Percentage van patiëntaantallen in Wlz (overige is Zvw)]]</f>
        <v>14860067.410925539</v>
      </c>
      <c r="U1289" s="398">
        <f>uitkomst_doelgroep[[#This Row],[Kosten (€)]]*uitkomst_doelgroep[[#This Row],[Percentage van patiëntaantallen in Wlz (overige is Zvw)]]</f>
        <v>0</v>
      </c>
      <c r="V1289" s="398">
        <f>uitkomst_doelgroep[[#This Row],[Investering (cash flow) (€)]]*uitkomst_doelgroep[[#This Row],[Percentage van patiëntaantallen in Wlz (overige is Zvw)]]</f>
        <v>1377799.4094594028</v>
      </c>
    </row>
    <row r="1290" spans="1:22" x14ac:dyDescent="0.5">
      <c r="A1290" s="33" t="str">
        <f>INDEX(Technologieën[Veld],MATCH(B1290,Technologieën[Digitale zorgtoepassing],0))</f>
        <v>Digitale hulpmiddelen - Verpleging</v>
      </c>
      <c r="B1290" s="33" t="s">
        <v>48</v>
      </c>
      <c r="C1290" s="33" t="s">
        <v>49</v>
      </c>
      <c r="D1290" s="427" cm="1">
        <f t="array" ref="D1290">INDEX(Berekening_patiëntaantal[Percentage van patiëntaantallen in Wlz (overige is Zvw)],MATCH(B1290,IF(Berekening_patiëntaantal[Doelgroep (zoeksleutel)]=C1290,Berekening_patiëntaantal[Digitale zorgtoepassing]),0))</f>
        <v>0.70000000000000007</v>
      </c>
      <c r="E1290" s="33" t="str" cm="1">
        <f t="array" ref="E1290">INDEX(Berekening_patiëntaantal[Direct toepasbaar/extrapolatie/incidentie voor QALY],MATCH(B1290,IF(Berekening_patiëntaantal[Doelgroep (zoeksleutel)]=C1290,Berekening_patiëntaantal[Digitale zorgtoepassing]),0))</f>
        <v>Huidige toepassing</v>
      </c>
      <c r="F1290" s="33" t="s">
        <v>813</v>
      </c>
      <c r="G1290" s="33" t="str">
        <f>CONCATENATE(uitkomst_doelgroep[[#This Row],[Digitale zorgtoepassing]],"_",uitkomst_doelgroep[[#This Row],[Doelgroep]],"_",uitkomst_doelgroep[[#This Row],[Uitgangssituatie/effect beleid]])</f>
        <v>Steunkousen technologie_Steunkousen_Uitgangssituatie</v>
      </c>
      <c r="H1290" s="33">
        <v>2032</v>
      </c>
      <c r="I1290" s="32">
        <v>10</v>
      </c>
      <c r="J1290" s="406" cm="1">
        <f t="array" ref="J1290">INDEX(implementatie[[2023]:[2034]],MATCH(G1290, implementatie[Zoeksleutel],0),I1290)</f>
        <v>0.9722489501493069</v>
      </c>
      <c r="K1290" s="406" cm="1">
        <f t="array" ref="K1290">INDEX(implementatie[[2023]:[2034]],MATCH(G1290,implementatie[Zoeksleutel],0),I1290 + 1)</f>
        <v>0.98508414448286907</v>
      </c>
      <c r="L129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93335.899214333462</v>
      </c>
      <c r="M1290" s="398" cm="1">
        <f t="array" ref="M1290">J1290*INDEX(Berekening_impact[Totaal arbeidsbesparing (€/jaar)],MATCH(B1290,IF(Berekening_impact[Doelgroep]=C1290,Berekening_impact[Digitale zorgtoepassing]),0))</f>
        <v>156023161.61944014</v>
      </c>
      <c r="N1290" s="397" cm="1">
        <f t="array" ref="N1290">J1290*INDEX(Berekening_impact[Totaal arbeidsbesparing (FTE/jaar)],MATCH(B1290,IF(Berekening_impact[Doelgroep]=C1290,Berekening_impact[Digitale zorgtoepassing]),0))</f>
        <v>3675.1010315643803</v>
      </c>
      <c r="O1290" s="398" cm="1">
        <f t="array" ref="O1290">J1290*INDEX(Berekening_impact[Overige kostenbesparing (totaal/jaar totaal potentieel)],MATCH(B1290,IF(Berekening_impact[Doelgroep]=C1290,Berekening_impact[Digitale zorgtoepassing]),0))</f>
        <v>21740932.356807228</v>
      </c>
      <c r="P1290" s="398" cm="1">
        <f t="array" ref="P1290">J1290*INDEX(Berekening_impact[Opbrengsten door QALY''s],MATCH(B1290,IF(Berekening_impact[Doelgroep]=C1290,Berekening_impact[Digitale zorgtoepassing]),0))</f>
        <v>0</v>
      </c>
      <c r="Q1290" s="398" cm="1">
        <f t="array" ref="Q1290">J1290*INDEX(Berekening_impact[Jaarlijkse kosten (totaal) - incl. schatting],MATCH(B1290,IF(Berekening_impact[Doelgroep]=C1290,Berekening_impact[Digitale zorgtoepassing]),0))</f>
        <v>0</v>
      </c>
      <c r="R1290" s="398" cm="1">
        <f t="array" ref="R1290">(uitkomst_doelgroep[[#This Row],[Implementatiegraad t = T + 1]]-uitkomst_doelgroep[[#This Row],[Implementatiegraad t = T]])*INDEX(Berekening_impact[Initiële investering (totaal) - incl. schatting],MATCH(B1290,IF(Berekening_impact[Doelgroep]=C1290,Berekening_impact[Digitale zorgtoepassing]),0))</f>
        <v>1102799.8971396617</v>
      </c>
      <c r="S1290" s="398">
        <f>uitkomst_doelgroep[[#This Row],[Arbeidsbesparing (€)]]*uitkomst_doelgroep[[#This Row],[Percentage van patiëntaantallen in Wlz (overige is Zvw)]]</f>
        <v>109216213.1336081</v>
      </c>
      <c r="T1290" s="398">
        <f>uitkomst_doelgroep[[#This Row],[Overige besparingen (€)]]*uitkomst_doelgroep[[#This Row],[Percentage van patiëntaantallen in Wlz (overige is Zvw)]]</f>
        <v>15218652.649765061</v>
      </c>
      <c r="U1290" s="398">
        <f>uitkomst_doelgroep[[#This Row],[Kosten (€)]]*uitkomst_doelgroep[[#This Row],[Percentage van patiëntaantallen in Wlz (overige is Zvw)]]</f>
        <v>0</v>
      </c>
      <c r="V1290" s="398">
        <f>uitkomst_doelgroep[[#This Row],[Investering (cash flow) (€)]]*uitkomst_doelgroep[[#This Row],[Percentage van patiëntaantallen in Wlz (overige is Zvw)]]</f>
        <v>771959.92799776327</v>
      </c>
    </row>
    <row r="1291" spans="1:22" x14ac:dyDescent="0.5">
      <c r="A1291" s="33" t="str">
        <f>INDEX(Technologieën[Veld],MATCH(B1291,Technologieën[Digitale zorgtoepassing],0))</f>
        <v>Digitale hulpmiddelen - Verpleging</v>
      </c>
      <c r="B1291" s="33" t="s">
        <v>48</v>
      </c>
      <c r="C1291" s="33" t="s">
        <v>49</v>
      </c>
      <c r="D1291" s="427" cm="1">
        <f t="array" ref="D1291">INDEX(Berekening_patiëntaantal[Percentage van patiëntaantallen in Wlz (overige is Zvw)],MATCH(B1291,IF(Berekening_patiëntaantal[Doelgroep (zoeksleutel)]=C1291,Berekening_patiëntaantal[Digitale zorgtoepassing]),0))</f>
        <v>0.70000000000000007</v>
      </c>
      <c r="E1291" s="33" t="str" cm="1">
        <f t="array" ref="E1291">INDEX(Berekening_patiëntaantal[Direct toepasbaar/extrapolatie/incidentie voor QALY],MATCH(B1291,IF(Berekening_patiëntaantal[Doelgroep (zoeksleutel)]=C1291,Berekening_patiëntaantal[Digitale zorgtoepassing]),0))</f>
        <v>Huidige toepassing</v>
      </c>
      <c r="F1291" s="33" t="s">
        <v>813</v>
      </c>
      <c r="G1291" s="33" t="str">
        <f>CONCATENATE(uitkomst_doelgroep[[#This Row],[Digitale zorgtoepassing]],"_",uitkomst_doelgroep[[#This Row],[Doelgroep]],"_",uitkomst_doelgroep[[#This Row],[Uitgangssituatie/effect beleid]])</f>
        <v>Steunkousen technologie_Steunkousen_Uitgangssituatie</v>
      </c>
      <c r="H1291" s="33">
        <v>2033</v>
      </c>
      <c r="I1291" s="32">
        <v>11</v>
      </c>
      <c r="J1291" s="406" cm="1">
        <f t="array" ref="J1291">INDEX(implementatie[[2023]:[2034]],MATCH(G1291, implementatie[Zoeksleutel],0),I1291)</f>
        <v>0.98508414448286907</v>
      </c>
      <c r="K1291" s="406" cm="1">
        <f t="array" ref="K1291">INDEX(implementatie[[2023]:[2034]],MATCH(G1291,implementatie[Zoeksleutel],0),I1291 + 1)</f>
        <v>0.99206905861789263</v>
      </c>
      <c r="L129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94568.077870355424</v>
      </c>
      <c r="M1291" s="398" cm="1">
        <f t="array" ref="M1291">J1291*INDEX(Berekening_impact[Totaal arbeidsbesparing (€/jaar)],MATCH(B1291,IF(Berekening_impact[Doelgroep]=C1291,Berekening_impact[Digitale zorgtoepassing]),0))</f>
        <v>158082909.38220683</v>
      </c>
      <c r="N1291" s="397" cm="1">
        <f t="array" ref="N1291">J1291*INDEX(Berekening_impact[Totaal arbeidsbesparing (FTE/jaar)],MATCH(B1291,IF(Berekening_impact[Doelgroep]=C1291,Berekening_impact[Digitale zorgtoepassing]),0))</f>
        <v>3723.6180661452449</v>
      </c>
      <c r="O1291" s="398" cm="1">
        <f t="array" ref="O1291">J1291*INDEX(Berekening_impact[Overige kostenbesparing (totaal/jaar totaal potentieel)],MATCH(B1291,IF(Berekening_impact[Doelgroep]=C1291,Berekening_impact[Digitale zorgtoepassing]),0))</f>
        <v>22027946.389323898</v>
      </c>
      <c r="P1291" s="398" cm="1">
        <f t="array" ref="P1291">J1291*INDEX(Berekening_impact[Opbrengsten door QALY''s],MATCH(B1291,IF(Berekening_impact[Doelgroep]=C1291,Berekening_impact[Digitale zorgtoepassing]),0))</f>
        <v>0</v>
      </c>
      <c r="Q1291" s="398" cm="1">
        <f t="array" ref="Q1291">J1291*INDEX(Berekening_impact[Jaarlijkse kosten (totaal) - incl. schatting],MATCH(B1291,IF(Berekening_impact[Doelgroep]=C1291,Berekening_impact[Digitale zorgtoepassing]),0))</f>
        <v>0</v>
      </c>
      <c r="R1291" s="398" cm="1">
        <f t="array" ref="R1291">(uitkomst_doelgroep[[#This Row],[Implementatiegraad t = T + 1]]-uitkomst_doelgroep[[#This Row],[Implementatiegraad t = T]])*INDEX(Berekening_impact[Initiële investering (totaal) - incl. schatting],MATCH(B1291,IF(Berekening_impact[Doelgroep]=C1291,Berekening_impact[Digitale zorgtoepassing]),0))</f>
        <v>600143.82248122396</v>
      </c>
      <c r="S1291" s="398">
        <f>uitkomst_doelgroep[[#This Row],[Arbeidsbesparing (€)]]*uitkomst_doelgroep[[#This Row],[Percentage van patiëntaantallen in Wlz (overige is Zvw)]]</f>
        <v>110658036.56754479</v>
      </c>
      <c r="T1291" s="398">
        <f>uitkomst_doelgroep[[#This Row],[Overige besparingen (€)]]*uitkomst_doelgroep[[#This Row],[Percentage van patiëntaantallen in Wlz (overige is Zvw)]]</f>
        <v>15419562.472526729</v>
      </c>
      <c r="U1291" s="398">
        <f>uitkomst_doelgroep[[#This Row],[Kosten (€)]]*uitkomst_doelgroep[[#This Row],[Percentage van patiëntaantallen in Wlz (overige is Zvw)]]</f>
        <v>0</v>
      </c>
      <c r="V1291" s="398">
        <f>uitkomst_doelgroep[[#This Row],[Investering (cash flow) (€)]]*uitkomst_doelgroep[[#This Row],[Percentage van patiëntaantallen in Wlz (overige is Zvw)]]</f>
        <v>420100.67573685682</v>
      </c>
    </row>
    <row r="1292" spans="1:22" x14ac:dyDescent="0.5">
      <c r="A1292" s="33" t="str">
        <f>INDEX(Technologieën[Veld],MATCH(B1292,Technologieën[Digitale zorgtoepassing],0))</f>
        <v>Digitale hulpmiddelen - Verpleging</v>
      </c>
      <c r="B1292" s="33" t="s">
        <v>19</v>
      </c>
      <c r="C1292" s="33" t="s">
        <v>27</v>
      </c>
      <c r="D1292" s="427" cm="1">
        <f t="array" ref="D1292">INDEX(Berekening_patiëntaantal[Percentage van patiëntaantallen in Wlz (overige is Zvw)],MATCH(B1292,IF(Berekening_patiëntaantal[Doelgroep (zoeksleutel)]=C1292,Berekening_patiëntaantal[Digitale zorgtoepassing]),0))</f>
        <v>0.45</v>
      </c>
      <c r="E1292" s="33" t="str" cm="1">
        <f t="array" ref="E1292">INDEX(Berekening_patiëntaantal[Direct toepasbaar/extrapolatie/incidentie voor QALY],MATCH(B1292,IF(Berekening_patiëntaantal[Doelgroep (zoeksleutel)]=C1292,Berekening_patiëntaantal[Digitale zorgtoepassing]),0))</f>
        <v>Extrapolatie</v>
      </c>
      <c r="F1292" s="33" t="s">
        <v>813</v>
      </c>
      <c r="G1292" s="33" t="str">
        <f>CONCATENATE(uitkomst_doelgroep[[#This Row],[Digitale zorgtoepassing]],"_",uitkomst_doelgroep[[#This Row],[Doelgroep]],"_",uitkomst_doelgroep[[#This Row],[Uitgangssituatie/effect beleid]])</f>
        <v>Structuurrobot_Parkinson_Uitgangssituatie</v>
      </c>
      <c r="H1292" s="33">
        <v>2023</v>
      </c>
      <c r="I1292" s="32">
        <v>1</v>
      </c>
      <c r="J1292" s="406" cm="1">
        <f t="array" ref="J1292">INDEX(implementatie[[2023]:[2034]],MATCH(G1292, implementatie[Zoeksleutel],0),I1292)</f>
        <v>0</v>
      </c>
      <c r="K1292" s="406" cm="1">
        <f t="array" ref="K1292">INDEX(implementatie[[2023]:[2034]],MATCH(G1292,implementatie[Zoeksleutel],0),I1292 + 1)</f>
        <v>0</v>
      </c>
      <c r="L129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292" s="398" cm="1">
        <f t="array" ref="M1292">J1292*INDEX(Berekening_impact[Totaal arbeidsbesparing (€/jaar)],MATCH(B1292,IF(Berekening_impact[Doelgroep]=C1292,Berekening_impact[Digitale zorgtoepassing]),0))</f>
        <v>0</v>
      </c>
      <c r="N1292" s="397" cm="1">
        <f t="array" ref="N1292">J1292*INDEX(Berekening_impact[Totaal arbeidsbesparing (FTE/jaar)],MATCH(B1292,IF(Berekening_impact[Doelgroep]=C1292,Berekening_impact[Digitale zorgtoepassing]),0))</f>
        <v>0</v>
      </c>
      <c r="O1292" s="398" cm="1">
        <f t="array" ref="O1292">J1292*INDEX(Berekening_impact[Overige kostenbesparing (totaal/jaar totaal potentieel)],MATCH(B1292,IF(Berekening_impact[Doelgroep]=C1292,Berekening_impact[Digitale zorgtoepassing]),0))</f>
        <v>0</v>
      </c>
      <c r="P1292" s="398" cm="1">
        <f t="array" ref="P1292">J1292*INDEX(Berekening_impact[Opbrengsten door QALY''s],MATCH(B1292,IF(Berekening_impact[Doelgroep]=C1292,Berekening_impact[Digitale zorgtoepassing]),0))</f>
        <v>0</v>
      </c>
      <c r="Q1292" s="398" cm="1">
        <f t="array" ref="Q1292">J1292*INDEX(Berekening_impact[Jaarlijkse kosten (totaal) - incl. schatting],MATCH(B1292,IF(Berekening_impact[Doelgroep]=C1292,Berekening_impact[Digitale zorgtoepassing]),0))</f>
        <v>0</v>
      </c>
      <c r="R1292" s="398" cm="1">
        <f t="array" ref="R1292">(uitkomst_doelgroep[[#This Row],[Implementatiegraad t = T + 1]]-uitkomst_doelgroep[[#This Row],[Implementatiegraad t = T]])*INDEX(Berekening_impact[Initiële investering (totaal) - incl. schatting],MATCH(B1292,IF(Berekening_impact[Doelgroep]=C1292,Berekening_impact[Digitale zorgtoepassing]),0))</f>
        <v>0</v>
      </c>
      <c r="S1292" s="398">
        <f>uitkomst_doelgroep[[#This Row],[Arbeidsbesparing (€)]]*uitkomst_doelgroep[[#This Row],[Percentage van patiëntaantallen in Wlz (overige is Zvw)]]</f>
        <v>0</v>
      </c>
      <c r="T1292" s="398">
        <f>uitkomst_doelgroep[[#This Row],[Overige besparingen (€)]]*uitkomst_doelgroep[[#This Row],[Percentage van patiëntaantallen in Wlz (overige is Zvw)]]</f>
        <v>0</v>
      </c>
      <c r="U1292" s="398">
        <f>uitkomst_doelgroep[[#This Row],[Kosten (€)]]*uitkomst_doelgroep[[#This Row],[Percentage van patiëntaantallen in Wlz (overige is Zvw)]]</f>
        <v>0</v>
      </c>
      <c r="V1292" s="398">
        <f>uitkomst_doelgroep[[#This Row],[Investering (cash flow) (€)]]*uitkomst_doelgroep[[#This Row],[Percentage van patiëntaantallen in Wlz (overige is Zvw)]]</f>
        <v>0</v>
      </c>
    </row>
    <row r="1293" spans="1:22" x14ac:dyDescent="0.5">
      <c r="A1293" s="33" t="str">
        <f>INDEX(Technologieën[Veld],MATCH(B1293,Technologieën[Digitale zorgtoepassing],0))</f>
        <v>Digitale hulpmiddelen - Verpleging</v>
      </c>
      <c r="B1293" s="33" t="s">
        <v>19</v>
      </c>
      <c r="C1293" s="33" t="s">
        <v>24</v>
      </c>
      <c r="D1293" s="427" cm="1">
        <f t="array" ref="D1293">INDEX(Berekening_patiëntaantal[Percentage van patiëntaantallen in Wlz (overige is Zvw)],MATCH(B1293,IF(Berekening_patiëntaantal[Doelgroep (zoeksleutel)]=C1293,Berekening_patiëntaantal[Digitale zorgtoepassing]),0))</f>
        <v>1</v>
      </c>
      <c r="E1293" s="33" t="str" cm="1">
        <f t="array" ref="E1293">INDEX(Berekening_patiëntaantal[Direct toepasbaar/extrapolatie/incidentie voor QALY],MATCH(B1293,IF(Berekening_patiëntaantal[Doelgroep (zoeksleutel)]=C1293,Berekening_patiëntaantal[Digitale zorgtoepassing]),0))</f>
        <v>Huidige toepassing</v>
      </c>
      <c r="F1293" s="33" t="s">
        <v>813</v>
      </c>
      <c r="G1293" s="33" t="str">
        <f>CONCATENATE(uitkomst_doelgroep[[#This Row],[Digitale zorgtoepassing]],"_",uitkomst_doelgroep[[#This Row],[Doelgroep]],"_",uitkomst_doelgroep[[#This Row],[Uitgangssituatie/effect beleid]])</f>
        <v>Structuurrobot_Cognitieve beperking_Uitgangssituatie</v>
      </c>
      <c r="H1293" s="33">
        <v>2023</v>
      </c>
      <c r="I1293" s="32">
        <v>1</v>
      </c>
      <c r="J1293" s="406" cm="1">
        <f t="array" ref="J1293">INDEX(implementatie[[2023]:[2034]],MATCH(G1293, implementatie[Zoeksleutel],0),I1293)</f>
        <v>0.2</v>
      </c>
      <c r="K1293" s="406" cm="1">
        <f t="array" ref="K1293">INDEX(implementatie[[2023]:[2034]],MATCH(G1293,implementatie[Zoeksleutel],0),I1293 + 1)</f>
        <v>0.28000000000000003</v>
      </c>
      <c r="L129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2163.3360000000002</v>
      </c>
      <c r="M1293" s="398" cm="1">
        <f t="array" ref="M1293">J1293*INDEX(Berekening_impact[Totaal arbeidsbesparing (€/jaar)],MATCH(B1293,IF(Berekening_impact[Doelgroep]=C1293,Berekening_impact[Digitale zorgtoepassing]),0))</f>
        <v>2984881.7441075863</v>
      </c>
      <c r="N1293" s="397" cm="1">
        <f t="array" ref="N1293">J1293*INDEX(Berekening_impact[Totaal arbeidsbesparing (FTE/jaar)],MATCH(B1293,IF(Berekening_impact[Doelgroep]=C1293,Berekening_impact[Digitale zorgtoepassing]),0))</f>
        <v>70.308419999999998</v>
      </c>
      <c r="O1293" s="398" cm="1">
        <f t="array" ref="O1293">J1293*INDEX(Berekening_impact[Overige kostenbesparing (totaal/jaar totaal potentieel)],MATCH(B1293,IF(Berekening_impact[Doelgroep]=C1293,Berekening_impact[Digitale zorgtoepassing]),0))</f>
        <v>1470165.635157468</v>
      </c>
      <c r="P1293" s="398" cm="1">
        <f t="array" ref="P1293">J1293*INDEX(Berekening_impact[Opbrengsten door QALY''s],MATCH(B1293,IF(Berekening_impact[Doelgroep]=C1293,Berekening_impact[Digitale zorgtoepassing]),0))</f>
        <v>0</v>
      </c>
      <c r="Q1293" s="398" cm="1">
        <f t="array" ref="Q1293">J1293*INDEX(Berekening_impact[Jaarlijkse kosten (totaal) - incl. schatting],MATCH(B1293,IF(Berekening_impact[Doelgroep]=C1293,Berekening_impact[Digitale zorgtoepassing]),0))</f>
        <v>1150662.1933799998</v>
      </c>
      <c r="R1293" s="398" cm="1">
        <f t="array" ref="R1293">(uitkomst_doelgroep[[#This Row],[Implementatiegraad t = T + 1]]-uitkomst_doelgroep[[#This Row],[Implementatiegraad t = T]])*INDEX(Berekening_impact[Initiële investering (totaal) - incl. schatting],MATCH(B1293,IF(Berekening_impact[Doelgroep]=C1293,Berekening_impact[Digitale zorgtoepassing]),0))</f>
        <v>755070.62400000019</v>
      </c>
      <c r="S1293" s="398">
        <f>uitkomst_doelgroep[[#This Row],[Arbeidsbesparing (€)]]*uitkomst_doelgroep[[#This Row],[Percentage van patiëntaantallen in Wlz (overige is Zvw)]]</f>
        <v>2984881.7441075863</v>
      </c>
      <c r="T1293" s="398">
        <f>uitkomst_doelgroep[[#This Row],[Overige besparingen (€)]]*uitkomst_doelgroep[[#This Row],[Percentage van patiëntaantallen in Wlz (overige is Zvw)]]</f>
        <v>1470165.635157468</v>
      </c>
      <c r="U1293" s="398">
        <f>uitkomst_doelgroep[[#This Row],[Kosten (€)]]*uitkomst_doelgroep[[#This Row],[Percentage van patiëntaantallen in Wlz (overige is Zvw)]]</f>
        <v>1150662.1933799998</v>
      </c>
      <c r="V1293" s="398">
        <f>uitkomst_doelgroep[[#This Row],[Investering (cash flow) (€)]]*uitkomst_doelgroep[[#This Row],[Percentage van patiëntaantallen in Wlz (overige is Zvw)]]</f>
        <v>755070.62400000019</v>
      </c>
    </row>
    <row r="1294" spans="1:22" x14ac:dyDescent="0.5">
      <c r="A1294" s="33" t="str">
        <f>INDEX(Technologieën[Veld],MATCH(B1294,Technologieën[Digitale zorgtoepassing],0))</f>
        <v>Digitale hulpmiddelen - Verpleging</v>
      </c>
      <c r="B1294" s="33" t="s">
        <v>19</v>
      </c>
      <c r="C1294" s="33" t="s">
        <v>20</v>
      </c>
      <c r="D1294" s="427" cm="1">
        <f t="array" ref="D1294">INDEX(Berekening_patiëntaantal[Percentage van patiëntaantallen in Wlz (overige is Zvw)],MATCH(B1294,IF(Berekening_patiëntaantal[Doelgroep (zoeksleutel)]=C1294,Berekening_patiëntaantal[Digitale zorgtoepassing]),0))</f>
        <v>1</v>
      </c>
      <c r="E1294" s="33" t="str" cm="1">
        <f t="array" ref="E1294">INDEX(Berekening_patiëntaantal[Direct toepasbaar/extrapolatie/incidentie voor QALY],MATCH(B1294,IF(Berekening_patiëntaantal[Doelgroep (zoeksleutel)]=C1294,Berekening_patiëntaantal[Digitale zorgtoepassing]),0))</f>
        <v>Huidige toepassing</v>
      </c>
      <c r="F1294" s="33" t="s">
        <v>813</v>
      </c>
      <c r="G1294" s="33" t="str">
        <f>CONCATENATE(uitkomst_doelgroep[[#This Row],[Digitale zorgtoepassing]],"_",uitkomst_doelgroep[[#This Row],[Doelgroep]],"_",uitkomst_doelgroep[[#This Row],[Uitgangssituatie/effect beleid]])</f>
        <v>Structuurrobot_Dementie_Uitgangssituatie</v>
      </c>
      <c r="H1294" s="33">
        <v>2023</v>
      </c>
      <c r="I1294" s="32">
        <v>1</v>
      </c>
      <c r="J1294" s="406" cm="1">
        <f t="array" ref="J1294">INDEX(implementatie[[2023]:[2034]],MATCH(G1294, implementatie[Zoeksleutel],0),I1294)</f>
        <v>0.2</v>
      </c>
      <c r="K1294" s="406" cm="1">
        <f t="array" ref="K1294">INDEX(implementatie[[2023]:[2034]],MATCH(G1294,implementatie[Zoeksleutel],0),I1294 + 1)</f>
        <v>0.28000000000000003</v>
      </c>
      <c r="L129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4885.05</v>
      </c>
      <c r="M1294" s="398" cm="1">
        <f t="array" ref="M1294">J1294*INDEX(Berekening_impact[Totaal arbeidsbesparing (€/jaar)],MATCH(B1294,IF(Berekening_impact[Doelgroep]=C1294,Berekening_impact[Digitale zorgtoepassing]),0))</f>
        <v>6740190.4115000013</v>
      </c>
      <c r="N1294" s="397" cm="1">
        <f t="array" ref="N1294">J1294*INDEX(Berekening_impact[Totaal arbeidsbesparing (FTE/jaar)],MATCH(B1294,IF(Berekening_impact[Doelgroep]=C1294,Berekening_impact[Digitale zorgtoepassing]),0))</f>
        <v>158.76412500000004</v>
      </c>
      <c r="O1294" s="398" cm="1">
        <f t="array" ref="O1294">J1294*INDEX(Berekening_impact[Overige kostenbesparing (totaal/jaar totaal potentieel)],MATCH(B1294,IF(Berekening_impact[Doelgroep]=C1294,Berekening_impact[Digitale zorgtoepassing]),0))</f>
        <v>3319795.2773059704</v>
      </c>
      <c r="P1294" s="398" cm="1">
        <f t="array" ref="P1294">J1294*INDEX(Berekening_impact[Opbrengsten door QALY''s],MATCH(B1294,IF(Berekening_impact[Doelgroep]=C1294,Berekening_impact[Digitale zorgtoepassing]),0))</f>
        <v>0</v>
      </c>
      <c r="Q1294" s="398" cm="1">
        <f t="array" ref="Q1294">J1294*INDEX(Berekening_impact[Jaarlijkse kosten (totaal) - incl. schatting],MATCH(B1294,IF(Berekening_impact[Doelgroep]=C1294,Berekening_impact[Digitale zorgtoepassing]),0))</f>
        <v>2598321.4571249997</v>
      </c>
      <c r="R1294" s="398" cm="1">
        <f t="array" ref="R1294">(uitkomst_doelgroep[[#This Row],[Implementatiegraad t = T + 1]]-uitkomst_doelgroep[[#This Row],[Implementatiegraad t = T]])*INDEX(Berekening_impact[Initiële investering (totaal) - incl. schatting],MATCH(B1294,IF(Berekening_impact[Doelgroep]=C1294,Berekening_impact[Digitale zorgtoepassing]),0))</f>
        <v>1536151.7000000002</v>
      </c>
      <c r="S1294" s="398">
        <f>uitkomst_doelgroep[[#This Row],[Arbeidsbesparing (€)]]*uitkomst_doelgroep[[#This Row],[Percentage van patiëntaantallen in Wlz (overige is Zvw)]]</f>
        <v>6740190.4115000013</v>
      </c>
      <c r="T1294" s="398">
        <f>uitkomst_doelgroep[[#This Row],[Overige besparingen (€)]]*uitkomst_doelgroep[[#This Row],[Percentage van patiëntaantallen in Wlz (overige is Zvw)]]</f>
        <v>3319795.2773059704</v>
      </c>
      <c r="U1294" s="398">
        <f>uitkomst_doelgroep[[#This Row],[Kosten (€)]]*uitkomst_doelgroep[[#This Row],[Percentage van patiëntaantallen in Wlz (overige is Zvw)]]</f>
        <v>2598321.4571249997</v>
      </c>
      <c r="V1294" s="398">
        <f>uitkomst_doelgroep[[#This Row],[Investering (cash flow) (€)]]*uitkomst_doelgroep[[#This Row],[Percentage van patiëntaantallen in Wlz (overige is Zvw)]]</f>
        <v>1536151.7000000002</v>
      </c>
    </row>
    <row r="1295" spans="1:22" x14ac:dyDescent="0.5">
      <c r="A1295" s="33" t="str">
        <f>INDEX(Technologieën[Veld],MATCH(B1295,Technologieën[Digitale zorgtoepassing],0))</f>
        <v>Digitale hulpmiddelen - Verpleging</v>
      </c>
      <c r="B1295" s="33" t="s">
        <v>19</v>
      </c>
      <c r="C1295" s="33" t="s">
        <v>27</v>
      </c>
      <c r="D1295" s="427" cm="1">
        <f t="array" ref="D1295">INDEX(Berekening_patiëntaantal[Percentage van patiëntaantallen in Wlz (overige is Zvw)],MATCH(B1295,IF(Berekening_patiëntaantal[Doelgroep (zoeksleutel)]=C1295,Berekening_patiëntaantal[Digitale zorgtoepassing]),0))</f>
        <v>0.45</v>
      </c>
      <c r="E1295" s="33" t="str" cm="1">
        <f t="array" ref="E1295">INDEX(Berekening_patiëntaantal[Direct toepasbaar/extrapolatie/incidentie voor QALY],MATCH(B1295,IF(Berekening_patiëntaantal[Doelgroep (zoeksleutel)]=C1295,Berekening_patiëntaantal[Digitale zorgtoepassing]),0))</f>
        <v>Extrapolatie</v>
      </c>
      <c r="F1295" s="33" t="s">
        <v>813</v>
      </c>
      <c r="G1295" s="33" t="str">
        <f>CONCATENATE(uitkomst_doelgroep[[#This Row],[Digitale zorgtoepassing]],"_",uitkomst_doelgroep[[#This Row],[Doelgroep]],"_",uitkomst_doelgroep[[#This Row],[Uitgangssituatie/effect beleid]])</f>
        <v>Structuurrobot_Parkinson_Uitgangssituatie</v>
      </c>
      <c r="H1295" s="33">
        <v>2024</v>
      </c>
      <c r="I1295" s="32">
        <v>2</v>
      </c>
      <c r="J1295" s="406" cm="1">
        <f t="array" ref="J1295">INDEX(implementatie[[2023]:[2034]],MATCH(G1295, implementatie[Zoeksleutel],0),I1295)</f>
        <v>0</v>
      </c>
      <c r="K1295" s="406" cm="1">
        <f t="array" ref="K1295">INDEX(implementatie[[2023]:[2034]],MATCH(G1295,implementatie[Zoeksleutel],0),I1295 + 1)</f>
        <v>0.02</v>
      </c>
      <c r="L129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295" s="398" cm="1">
        <f t="array" ref="M1295">J1295*INDEX(Berekening_impact[Totaal arbeidsbesparing (€/jaar)],MATCH(B1295,IF(Berekening_impact[Doelgroep]=C1295,Berekening_impact[Digitale zorgtoepassing]),0))</f>
        <v>0</v>
      </c>
      <c r="N1295" s="397" cm="1">
        <f t="array" ref="N1295">J1295*INDEX(Berekening_impact[Totaal arbeidsbesparing (FTE/jaar)],MATCH(B1295,IF(Berekening_impact[Doelgroep]=C1295,Berekening_impact[Digitale zorgtoepassing]),0))</f>
        <v>0</v>
      </c>
      <c r="O1295" s="398" cm="1">
        <f t="array" ref="O1295">J1295*INDEX(Berekening_impact[Overige kostenbesparing (totaal/jaar totaal potentieel)],MATCH(B1295,IF(Berekening_impact[Doelgroep]=C1295,Berekening_impact[Digitale zorgtoepassing]),0))</f>
        <v>0</v>
      </c>
      <c r="P1295" s="398" cm="1">
        <f t="array" ref="P1295">J1295*INDEX(Berekening_impact[Opbrengsten door QALY''s],MATCH(B1295,IF(Berekening_impact[Doelgroep]=C1295,Berekening_impact[Digitale zorgtoepassing]),0))</f>
        <v>0</v>
      </c>
      <c r="Q1295" s="398" cm="1">
        <f t="array" ref="Q1295">J1295*INDEX(Berekening_impact[Jaarlijkse kosten (totaal) - incl. schatting],MATCH(B1295,IF(Berekening_impact[Doelgroep]=C1295,Berekening_impact[Digitale zorgtoepassing]),0))</f>
        <v>0</v>
      </c>
      <c r="R1295" s="398" cm="1">
        <f t="array" ref="R1295">(uitkomst_doelgroep[[#This Row],[Implementatiegraad t = T + 1]]-uitkomst_doelgroep[[#This Row],[Implementatiegraad t = T]])*INDEX(Berekening_impact[Initiële investering (totaal) - incl. schatting],MATCH(B1295,IF(Berekening_impact[Doelgroep]=C1295,Berekening_impact[Digitale zorgtoepassing]),0))</f>
        <v>0</v>
      </c>
      <c r="S1295" s="398">
        <f>uitkomst_doelgroep[[#This Row],[Arbeidsbesparing (€)]]*uitkomst_doelgroep[[#This Row],[Percentage van patiëntaantallen in Wlz (overige is Zvw)]]</f>
        <v>0</v>
      </c>
      <c r="T1295" s="398">
        <f>uitkomst_doelgroep[[#This Row],[Overige besparingen (€)]]*uitkomst_doelgroep[[#This Row],[Percentage van patiëntaantallen in Wlz (overige is Zvw)]]</f>
        <v>0</v>
      </c>
      <c r="U1295" s="398">
        <f>uitkomst_doelgroep[[#This Row],[Kosten (€)]]*uitkomst_doelgroep[[#This Row],[Percentage van patiëntaantallen in Wlz (overige is Zvw)]]</f>
        <v>0</v>
      </c>
      <c r="V1295" s="398">
        <f>uitkomst_doelgroep[[#This Row],[Investering (cash flow) (€)]]*uitkomst_doelgroep[[#This Row],[Percentage van patiëntaantallen in Wlz (overige is Zvw)]]</f>
        <v>0</v>
      </c>
    </row>
    <row r="1296" spans="1:22" x14ac:dyDescent="0.5">
      <c r="A1296" s="33" t="str">
        <f>INDEX(Technologieën[Veld],MATCH(B1296,Technologieën[Digitale zorgtoepassing],0))</f>
        <v>Digitale hulpmiddelen - Verpleging</v>
      </c>
      <c r="B1296" s="33" t="s">
        <v>19</v>
      </c>
      <c r="C1296" s="33" t="s">
        <v>24</v>
      </c>
      <c r="D1296" s="427" cm="1">
        <f t="array" ref="D1296">INDEX(Berekening_patiëntaantal[Percentage van patiëntaantallen in Wlz (overige is Zvw)],MATCH(B1296,IF(Berekening_patiëntaantal[Doelgroep (zoeksleutel)]=C1296,Berekening_patiëntaantal[Digitale zorgtoepassing]),0))</f>
        <v>1</v>
      </c>
      <c r="E1296" s="33" t="str" cm="1">
        <f t="array" ref="E1296">INDEX(Berekening_patiëntaantal[Direct toepasbaar/extrapolatie/incidentie voor QALY],MATCH(B1296,IF(Berekening_patiëntaantal[Doelgroep (zoeksleutel)]=C1296,Berekening_patiëntaantal[Digitale zorgtoepassing]),0))</f>
        <v>Huidige toepassing</v>
      </c>
      <c r="F1296" s="33" t="s">
        <v>813</v>
      </c>
      <c r="G1296" s="33" t="str">
        <f>CONCATENATE(uitkomst_doelgroep[[#This Row],[Digitale zorgtoepassing]],"_",uitkomst_doelgroep[[#This Row],[Doelgroep]],"_",uitkomst_doelgroep[[#This Row],[Uitgangssituatie/effect beleid]])</f>
        <v>Structuurrobot_Cognitieve beperking_Uitgangssituatie</v>
      </c>
      <c r="H1296" s="33">
        <v>2024</v>
      </c>
      <c r="I1296" s="32">
        <v>2</v>
      </c>
      <c r="J1296" s="406" cm="1">
        <f t="array" ref="J1296">INDEX(implementatie[[2023]:[2034]],MATCH(G1296, implementatie[Zoeksleutel],0),I1296)</f>
        <v>0.28000000000000003</v>
      </c>
      <c r="K1296" s="406" cm="1">
        <f t="array" ref="K1296">INDEX(implementatie[[2023]:[2034]],MATCH(G1296,implementatie[Zoeksleutel],0),I1296 + 1)</f>
        <v>0.37504000000000004</v>
      </c>
      <c r="L129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3028.6704000000004</v>
      </c>
      <c r="M1296" s="398" cm="1">
        <f t="array" ref="M1296">J1296*INDEX(Berekening_impact[Totaal arbeidsbesparing (€/jaar)],MATCH(B1296,IF(Berekening_impact[Doelgroep]=C1296,Berekening_impact[Digitale zorgtoepassing]),0))</f>
        <v>4178834.441750621</v>
      </c>
      <c r="N1296" s="397" cm="1">
        <f t="array" ref="N1296">J1296*INDEX(Berekening_impact[Totaal arbeidsbesparing (FTE/jaar)],MATCH(B1296,IF(Berekening_impact[Doelgroep]=C1296,Berekening_impact[Digitale zorgtoepassing]),0))</f>
        <v>98.431788000000012</v>
      </c>
      <c r="O1296" s="398" cm="1">
        <f t="array" ref="O1296">J1296*INDEX(Berekening_impact[Overige kostenbesparing (totaal/jaar totaal potentieel)],MATCH(B1296,IF(Berekening_impact[Doelgroep]=C1296,Berekening_impact[Digitale zorgtoepassing]),0))</f>
        <v>2058231.8892204554</v>
      </c>
      <c r="P1296" s="398" cm="1">
        <f t="array" ref="P1296">J1296*INDEX(Berekening_impact[Opbrengsten door QALY''s],MATCH(B1296,IF(Berekening_impact[Doelgroep]=C1296,Berekening_impact[Digitale zorgtoepassing]),0))</f>
        <v>0</v>
      </c>
      <c r="Q1296" s="398" cm="1">
        <f t="array" ref="Q1296">J1296*INDEX(Berekening_impact[Jaarlijkse kosten (totaal) - incl. schatting],MATCH(B1296,IF(Berekening_impact[Doelgroep]=C1296,Berekening_impact[Digitale zorgtoepassing]),0))</f>
        <v>1610927.0707320001</v>
      </c>
      <c r="R1296" s="398" cm="1">
        <f t="array" ref="R1296">(uitkomst_doelgroep[[#This Row],[Implementatiegraad t = T + 1]]-uitkomst_doelgroep[[#This Row],[Implementatiegraad t = T]])*INDEX(Berekening_impact[Initiële investering (totaal) - incl. schatting],MATCH(B1296,IF(Berekening_impact[Doelgroep]=C1296,Berekening_impact[Digitale zorgtoepassing]),0))</f>
        <v>897023.90131200023</v>
      </c>
      <c r="S1296" s="398">
        <f>uitkomst_doelgroep[[#This Row],[Arbeidsbesparing (€)]]*uitkomst_doelgroep[[#This Row],[Percentage van patiëntaantallen in Wlz (overige is Zvw)]]</f>
        <v>4178834.441750621</v>
      </c>
      <c r="T1296" s="398">
        <f>uitkomst_doelgroep[[#This Row],[Overige besparingen (€)]]*uitkomst_doelgroep[[#This Row],[Percentage van patiëntaantallen in Wlz (overige is Zvw)]]</f>
        <v>2058231.8892204554</v>
      </c>
      <c r="U1296" s="398">
        <f>uitkomst_doelgroep[[#This Row],[Kosten (€)]]*uitkomst_doelgroep[[#This Row],[Percentage van patiëntaantallen in Wlz (overige is Zvw)]]</f>
        <v>1610927.0707320001</v>
      </c>
      <c r="V1296" s="398">
        <f>uitkomst_doelgroep[[#This Row],[Investering (cash flow) (€)]]*uitkomst_doelgroep[[#This Row],[Percentage van patiëntaantallen in Wlz (overige is Zvw)]]</f>
        <v>897023.90131200023</v>
      </c>
    </row>
    <row r="1297" spans="1:22" x14ac:dyDescent="0.5">
      <c r="A1297" s="33" t="str">
        <f>INDEX(Technologieën[Veld],MATCH(B1297,Technologieën[Digitale zorgtoepassing],0))</f>
        <v>Digitale hulpmiddelen - Verpleging</v>
      </c>
      <c r="B1297" s="33" t="s">
        <v>19</v>
      </c>
      <c r="C1297" s="33" t="s">
        <v>20</v>
      </c>
      <c r="D1297" s="427" cm="1">
        <f t="array" ref="D1297">INDEX(Berekening_patiëntaantal[Percentage van patiëntaantallen in Wlz (overige is Zvw)],MATCH(B1297,IF(Berekening_patiëntaantal[Doelgroep (zoeksleutel)]=C1297,Berekening_patiëntaantal[Digitale zorgtoepassing]),0))</f>
        <v>1</v>
      </c>
      <c r="E1297" s="33" t="str" cm="1">
        <f t="array" ref="E1297">INDEX(Berekening_patiëntaantal[Direct toepasbaar/extrapolatie/incidentie voor QALY],MATCH(B1297,IF(Berekening_patiëntaantal[Doelgroep (zoeksleutel)]=C1297,Berekening_patiëntaantal[Digitale zorgtoepassing]),0))</f>
        <v>Huidige toepassing</v>
      </c>
      <c r="F1297" s="33" t="s">
        <v>813</v>
      </c>
      <c r="G1297" s="33" t="str">
        <f>CONCATENATE(uitkomst_doelgroep[[#This Row],[Digitale zorgtoepassing]],"_",uitkomst_doelgroep[[#This Row],[Doelgroep]],"_",uitkomst_doelgroep[[#This Row],[Uitgangssituatie/effect beleid]])</f>
        <v>Structuurrobot_Dementie_Uitgangssituatie</v>
      </c>
      <c r="H1297" s="33">
        <v>2024</v>
      </c>
      <c r="I1297" s="32">
        <v>2</v>
      </c>
      <c r="J1297" s="406" cm="1">
        <f t="array" ref="J1297">INDEX(implementatie[[2023]:[2034]],MATCH(G1297, implementatie[Zoeksleutel],0),I1297)</f>
        <v>0.28000000000000003</v>
      </c>
      <c r="K1297" s="406" cm="1">
        <f t="array" ref="K1297">INDEX(implementatie[[2023]:[2034]],MATCH(G1297,implementatie[Zoeksleutel],0),I1297 + 1)</f>
        <v>0.37504000000000004</v>
      </c>
      <c r="L129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6839.0700000000006</v>
      </c>
      <c r="M1297" s="398" cm="1">
        <f t="array" ref="M1297">J1297*INDEX(Berekening_impact[Totaal arbeidsbesparing (€/jaar)],MATCH(B1297,IF(Berekening_impact[Doelgroep]=C1297,Berekening_impact[Digitale zorgtoepassing]),0))</f>
        <v>9436266.576100003</v>
      </c>
      <c r="N1297" s="397" cm="1">
        <f t="array" ref="N1297">J1297*INDEX(Berekening_impact[Totaal arbeidsbesparing (FTE/jaar)],MATCH(B1297,IF(Berekening_impact[Doelgroep]=C1297,Berekening_impact[Digitale zorgtoepassing]),0))</f>
        <v>222.26977500000004</v>
      </c>
      <c r="O1297" s="398" cm="1">
        <f t="array" ref="O1297">J1297*INDEX(Berekening_impact[Overige kostenbesparing (totaal/jaar totaal potentieel)],MATCH(B1297,IF(Berekening_impact[Doelgroep]=C1297,Berekening_impact[Digitale zorgtoepassing]),0))</f>
        <v>4647713.3882283587</v>
      </c>
      <c r="P1297" s="398" cm="1">
        <f t="array" ref="P1297">J1297*INDEX(Berekening_impact[Opbrengsten door QALY''s],MATCH(B1297,IF(Berekening_impact[Doelgroep]=C1297,Berekening_impact[Digitale zorgtoepassing]),0))</f>
        <v>0</v>
      </c>
      <c r="Q1297" s="398" cm="1">
        <f t="array" ref="Q1297">J1297*INDEX(Berekening_impact[Jaarlijkse kosten (totaal) - incl. schatting],MATCH(B1297,IF(Berekening_impact[Doelgroep]=C1297,Berekening_impact[Digitale zorgtoepassing]),0))</f>
        <v>3637650.0399749996</v>
      </c>
      <c r="R1297" s="398" cm="1">
        <f t="array" ref="R1297">(uitkomst_doelgroep[[#This Row],[Implementatiegraad t = T + 1]]-uitkomst_doelgroep[[#This Row],[Implementatiegraad t = T]])*INDEX(Berekening_impact[Initiële investering (totaal) - incl. schatting],MATCH(B1297,IF(Berekening_impact[Doelgroep]=C1297,Berekening_impact[Digitale zorgtoepassing]),0))</f>
        <v>1824948.2196000002</v>
      </c>
      <c r="S1297" s="398">
        <f>uitkomst_doelgroep[[#This Row],[Arbeidsbesparing (€)]]*uitkomst_doelgroep[[#This Row],[Percentage van patiëntaantallen in Wlz (overige is Zvw)]]</f>
        <v>9436266.576100003</v>
      </c>
      <c r="T1297" s="398">
        <f>uitkomst_doelgroep[[#This Row],[Overige besparingen (€)]]*uitkomst_doelgroep[[#This Row],[Percentage van patiëntaantallen in Wlz (overige is Zvw)]]</f>
        <v>4647713.3882283587</v>
      </c>
      <c r="U1297" s="398">
        <f>uitkomst_doelgroep[[#This Row],[Kosten (€)]]*uitkomst_doelgroep[[#This Row],[Percentage van patiëntaantallen in Wlz (overige is Zvw)]]</f>
        <v>3637650.0399749996</v>
      </c>
      <c r="V1297" s="398">
        <f>uitkomst_doelgroep[[#This Row],[Investering (cash flow) (€)]]*uitkomst_doelgroep[[#This Row],[Percentage van patiëntaantallen in Wlz (overige is Zvw)]]</f>
        <v>1824948.2196000002</v>
      </c>
    </row>
    <row r="1298" spans="1:22" x14ac:dyDescent="0.5">
      <c r="A1298" s="33" t="str">
        <f>INDEX(Technologieën[Veld],MATCH(B1298,Technologieën[Digitale zorgtoepassing],0))</f>
        <v>Digitale hulpmiddelen - Verpleging</v>
      </c>
      <c r="B1298" s="33" t="s">
        <v>19</v>
      </c>
      <c r="C1298" s="33" t="s">
        <v>27</v>
      </c>
      <c r="D1298" s="427" cm="1">
        <f t="array" ref="D1298">INDEX(Berekening_patiëntaantal[Percentage van patiëntaantallen in Wlz (overige is Zvw)],MATCH(B1298,IF(Berekening_patiëntaantal[Doelgroep (zoeksleutel)]=C1298,Berekening_patiëntaantal[Digitale zorgtoepassing]),0))</f>
        <v>0.45</v>
      </c>
      <c r="E1298" s="33" t="str" cm="1">
        <f t="array" ref="E1298">INDEX(Berekening_patiëntaantal[Direct toepasbaar/extrapolatie/incidentie voor QALY],MATCH(B1298,IF(Berekening_patiëntaantal[Doelgroep (zoeksleutel)]=C1298,Berekening_patiëntaantal[Digitale zorgtoepassing]),0))</f>
        <v>Extrapolatie</v>
      </c>
      <c r="F1298" s="33" t="s">
        <v>813</v>
      </c>
      <c r="G1298" s="33" t="str">
        <f>CONCATENATE(uitkomst_doelgroep[[#This Row],[Digitale zorgtoepassing]],"_",uitkomst_doelgroep[[#This Row],[Doelgroep]],"_",uitkomst_doelgroep[[#This Row],[Uitgangssituatie/effect beleid]])</f>
        <v>Structuurrobot_Parkinson_Uitgangssituatie</v>
      </c>
      <c r="H1298" s="33">
        <v>2025</v>
      </c>
      <c r="I1298" s="32">
        <v>3</v>
      </c>
      <c r="J1298" s="406" cm="1">
        <f t="array" ref="J1298">INDEX(implementatie[[2023]:[2034]],MATCH(G1298, implementatie[Zoeksleutel],0),I1298)</f>
        <v>0.02</v>
      </c>
      <c r="K1298" s="406" cm="1">
        <f t="array" ref="K1298">INDEX(implementatie[[2023]:[2034]],MATCH(G1298,implementatie[Zoeksleutel],0),I1298 + 1)</f>
        <v>4.7439999999999996E-2</v>
      </c>
      <c r="L129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158.70000000000002</v>
      </c>
      <c r="M1298" s="398" cm="1">
        <f t="array" ref="M1298">J1298*INDEX(Berekening_impact[Totaal arbeidsbesparing (€/jaar)],MATCH(B1298,IF(Berekening_impact[Doelgroep]=C1298,Berekening_impact[Digitale zorgtoepassing]),0))</f>
        <v>218967.71134482758</v>
      </c>
      <c r="N1298" s="397" cm="1">
        <f t="array" ref="N1298">J1298*INDEX(Berekening_impact[Totaal arbeidsbesparing (FTE/jaar)],MATCH(B1298,IF(Berekening_impact[Doelgroep]=C1298,Berekening_impact[Digitale zorgtoepassing]),0))</f>
        <v>5.1577500000000001</v>
      </c>
      <c r="O1298" s="398" cm="1">
        <f t="array" ref="O1298">J1298*INDEX(Berekening_impact[Overige kostenbesparing (totaal/jaar totaal potentieel)],MATCH(B1298,IF(Berekening_impact[Doelgroep]=C1298,Berekening_impact[Digitale zorgtoepassing]),0))</f>
        <v>107849.76827431808</v>
      </c>
      <c r="P1298" s="398" cm="1">
        <f t="array" ref="P1298">J1298*INDEX(Berekening_impact[Opbrengsten door QALY''s],MATCH(B1298,IF(Berekening_impact[Doelgroep]=C1298,Berekening_impact[Digitale zorgtoepassing]),0))</f>
        <v>0</v>
      </c>
      <c r="Q1298" s="398" cm="1">
        <f t="array" ref="Q1298">J1298*INDEX(Berekening_impact[Jaarlijkse kosten (totaal) - incl. schatting],MATCH(B1298,IF(Berekening_impact[Doelgroep]=C1298,Berekening_impact[Digitale zorgtoepassing]),0))</f>
        <v>84411.339749999999</v>
      </c>
      <c r="R1298" s="398" cm="1">
        <f t="array" ref="R1298">(uitkomst_doelgroep[[#This Row],[Implementatiegraad t = T + 1]]-uitkomst_doelgroep[[#This Row],[Implementatiegraad t = T]])*INDEX(Berekening_impact[Initiële investering (totaal) - incl. schatting],MATCH(B1298,IF(Berekening_impact[Doelgroep]=C1298,Berekening_impact[Digitale zorgtoepassing]),0))</f>
        <v>0</v>
      </c>
      <c r="S1298" s="398">
        <f>uitkomst_doelgroep[[#This Row],[Arbeidsbesparing (€)]]*uitkomst_doelgroep[[#This Row],[Percentage van patiëntaantallen in Wlz (overige is Zvw)]]</f>
        <v>98535.470105172411</v>
      </c>
      <c r="T1298" s="398">
        <f>uitkomst_doelgroep[[#This Row],[Overige besparingen (€)]]*uitkomst_doelgroep[[#This Row],[Percentage van patiëntaantallen in Wlz (overige is Zvw)]]</f>
        <v>48532.395723443136</v>
      </c>
      <c r="U1298" s="398">
        <f>uitkomst_doelgroep[[#This Row],[Kosten (€)]]*uitkomst_doelgroep[[#This Row],[Percentage van patiëntaantallen in Wlz (overige is Zvw)]]</f>
        <v>37985.102887499997</v>
      </c>
      <c r="V1298" s="398">
        <f>uitkomst_doelgroep[[#This Row],[Investering (cash flow) (€)]]*uitkomst_doelgroep[[#This Row],[Percentage van patiëntaantallen in Wlz (overige is Zvw)]]</f>
        <v>0</v>
      </c>
    </row>
    <row r="1299" spans="1:22" x14ac:dyDescent="0.5">
      <c r="A1299" s="33" t="str">
        <f>INDEX(Technologieën[Veld],MATCH(B1299,Technologieën[Digitale zorgtoepassing],0))</f>
        <v>Digitale hulpmiddelen - Verpleging</v>
      </c>
      <c r="B1299" s="33" t="s">
        <v>19</v>
      </c>
      <c r="C1299" s="33" t="s">
        <v>24</v>
      </c>
      <c r="D1299" s="427" cm="1">
        <f t="array" ref="D1299">INDEX(Berekening_patiëntaantal[Percentage van patiëntaantallen in Wlz (overige is Zvw)],MATCH(B1299,IF(Berekening_patiëntaantal[Doelgroep (zoeksleutel)]=C1299,Berekening_patiëntaantal[Digitale zorgtoepassing]),0))</f>
        <v>1</v>
      </c>
      <c r="E1299" s="33" t="str" cm="1">
        <f t="array" ref="E1299">INDEX(Berekening_patiëntaantal[Direct toepasbaar/extrapolatie/incidentie voor QALY],MATCH(B1299,IF(Berekening_patiëntaantal[Doelgroep (zoeksleutel)]=C1299,Berekening_patiëntaantal[Digitale zorgtoepassing]),0))</f>
        <v>Huidige toepassing</v>
      </c>
      <c r="F1299" s="33" t="s">
        <v>813</v>
      </c>
      <c r="G1299" s="33" t="str">
        <f>CONCATENATE(uitkomst_doelgroep[[#This Row],[Digitale zorgtoepassing]],"_",uitkomst_doelgroep[[#This Row],[Doelgroep]],"_",uitkomst_doelgroep[[#This Row],[Uitgangssituatie/effect beleid]])</f>
        <v>Structuurrobot_Cognitieve beperking_Uitgangssituatie</v>
      </c>
      <c r="H1299" s="33">
        <v>2025</v>
      </c>
      <c r="I1299" s="32">
        <v>3</v>
      </c>
      <c r="J1299" s="406" cm="1">
        <f t="array" ref="J1299">INDEX(implementatie[[2023]:[2034]],MATCH(G1299, implementatie[Zoeksleutel],0),I1299)</f>
        <v>0.37504000000000004</v>
      </c>
      <c r="K1299" s="406" cm="1">
        <f t="array" ref="K1299">INDEX(implementatie[[2023]:[2034]],MATCH(G1299,implementatie[Zoeksleutel],0),I1299 + 1)</f>
        <v>0.48129319936000003</v>
      </c>
      <c r="L129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4056.6876672000008</v>
      </c>
      <c r="M1299" s="398" cm="1">
        <f t="array" ref="M1299">J1299*INDEX(Berekening_impact[Totaal arbeidsbesparing (€/jaar)],MATCH(B1299,IF(Berekening_impact[Doelgroep]=C1299,Berekening_impact[Digitale zorgtoepassing]),0))</f>
        <v>5597250.246550546</v>
      </c>
      <c r="N1299" s="397" cm="1">
        <f t="array" ref="N1299">J1299*INDEX(Berekening_impact[Totaal arbeidsbesparing (FTE/jaar)],MATCH(B1299,IF(Berekening_impact[Doelgroep]=C1299,Berekening_impact[Digitale zorgtoepassing]),0))</f>
        <v>131.84234918400003</v>
      </c>
      <c r="O1299" s="398" cm="1">
        <f t="array" ref="O1299">J1299*INDEX(Berekening_impact[Overige kostenbesparing (totaal/jaar totaal potentieel)],MATCH(B1299,IF(Berekening_impact[Doelgroep]=C1299,Berekening_impact[Digitale zorgtoepassing]),0))</f>
        <v>2756854.5990472841</v>
      </c>
      <c r="P1299" s="398" cm="1">
        <f t="array" ref="P1299">J1299*INDEX(Berekening_impact[Opbrengsten door QALY''s],MATCH(B1299,IF(Berekening_impact[Doelgroep]=C1299,Berekening_impact[Digitale zorgtoepassing]),0))</f>
        <v>0</v>
      </c>
      <c r="Q1299" s="398" cm="1">
        <f t="array" ref="Q1299">J1299*INDEX(Berekening_impact[Jaarlijkse kosten (totaal) - incl. schatting],MATCH(B1299,IF(Berekening_impact[Doelgroep]=C1299,Berekening_impact[Digitale zorgtoepassing]),0))</f>
        <v>2157721.7450261759</v>
      </c>
      <c r="R1299" s="398" cm="1">
        <f t="array" ref="R1299">(uitkomst_doelgroep[[#This Row],[Implementatiegraad t = T + 1]]-uitkomst_doelgroep[[#This Row],[Implementatiegraad t = T]])*INDEX(Berekening_impact[Initiële investering (totaal) - incl. schatting],MATCH(B1299,IF(Berekening_impact[Doelgroep]=C1299,Berekening_impact[Digitale zorgtoepassing]),0))</f>
        <v>1002858.369284395</v>
      </c>
      <c r="S1299" s="398">
        <f>uitkomst_doelgroep[[#This Row],[Arbeidsbesparing (€)]]*uitkomst_doelgroep[[#This Row],[Percentage van patiëntaantallen in Wlz (overige is Zvw)]]</f>
        <v>5597250.246550546</v>
      </c>
      <c r="T1299" s="398">
        <f>uitkomst_doelgroep[[#This Row],[Overige besparingen (€)]]*uitkomst_doelgroep[[#This Row],[Percentage van patiëntaantallen in Wlz (overige is Zvw)]]</f>
        <v>2756854.5990472841</v>
      </c>
      <c r="U1299" s="398">
        <f>uitkomst_doelgroep[[#This Row],[Kosten (€)]]*uitkomst_doelgroep[[#This Row],[Percentage van patiëntaantallen in Wlz (overige is Zvw)]]</f>
        <v>2157721.7450261759</v>
      </c>
      <c r="V1299" s="398">
        <f>uitkomst_doelgroep[[#This Row],[Investering (cash flow) (€)]]*uitkomst_doelgroep[[#This Row],[Percentage van patiëntaantallen in Wlz (overige is Zvw)]]</f>
        <v>1002858.369284395</v>
      </c>
    </row>
    <row r="1300" spans="1:22" x14ac:dyDescent="0.5">
      <c r="A1300" s="33" t="str">
        <f>INDEX(Technologieën[Veld],MATCH(B1300,Technologieën[Digitale zorgtoepassing],0))</f>
        <v>Digitale hulpmiddelen - Verpleging</v>
      </c>
      <c r="B1300" s="33" t="s">
        <v>19</v>
      </c>
      <c r="C1300" s="33" t="s">
        <v>20</v>
      </c>
      <c r="D1300" s="427" cm="1">
        <f t="array" ref="D1300">INDEX(Berekening_patiëntaantal[Percentage van patiëntaantallen in Wlz (overige is Zvw)],MATCH(B1300,IF(Berekening_patiëntaantal[Doelgroep (zoeksleutel)]=C1300,Berekening_patiëntaantal[Digitale zorgtoepassing]),0))</f>
        <v>1</v>
      </c>
      <c r="E1300" s="33" t="str" cm="1">
        <f t="array" ref="E1300">INDEX(Berekening_patiëntaantal[Direct toepasbaar/extrapolatie/incidentie voor QALY],MATCH(B1300,IF(Berekening_patiëntaantal[Doelgroep (zoeksleutel)]=C1300,Berekening_patiëntaantal[Digitale zorgtoepassing]),0))</f>
        <v>Huidige toepassing</v>
      </c>
      <c r="F1300" s="33" t="s">
        <v>813</v>
      </c>
      <c r="G1300" s="33" t="str">
        <f>CONCATENATE(uitkomst_doelgroep[[#This Row],[Digitale zorgtoepassing]],"_",uitkomst_doelgroep[[#This Row],[Doelgroep]],"_",uitkomst_doelgroep[[#This Row],[Uitgangssituatie/effect beleid]])</f>
        <v>Structuurrobot_Dementie_Uitgangssituatie</v>
      </c>
      <c r="H1300" s="33">
        <v>2025</v>
      </c>
      <c r="I1300" s="32">
        <v>3</v>
      </c>
      <c r="J1300" s="406" cm="1">
        <f t="array" ref="J1300">INDEX(implementatie[[2023]:[2034]],MATCH(G1300, implementatie[Zoeksleutel],0),I1300)</f>
        <v>0.37504000000000004</v>
      </c>
      <c r="K1300" s="406" cm="1">
        <f t="array" ref="K1300">INDEX(implementatie[[2023]:[2034]],MATCH(G1300,implementatie[Zoeksleutel],0),I1300 + 1)</f>
        <v>0.48129319936000003</v>
      </c>
      <c r="L130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9160.4457600000005</v>
      </c>
      <c r="M1300" s="398" cm="1">
        <f t="array" ref="M1300">J1300*INDEX(Berekening_impact[Totaal arbeidsbesparing (€/jaar)],MATCH(B1300,IF(Berekening_impact[Doelgroep]=C1300,Berekening_impact[Digitale zorgtoepassing]),0))</f>
        <v>12639205.059644803</v>
      </c>
      <c r="N1300" s="397" cm="1">
        <f t="array" ref="N1300">J1300*INDEX(Berekening_impact[Totaal arbeidsbesparing (FTE/jaar)],MATCH(B1300,IF(Berekening_impact[Doelgroep]=C1300,Berekening_impact[Digitale zorgtoepassing]),0))</f>
        <v>297.71448720000006</v>
      </c>
      <c r="O1300" s="398" cm="1">
        <f t="array" ref="O1300">J1300*INDEX(Berekening_impact[Overige kostenbesparing (totaal/jaar totaal potentieel)],MATCH(B1300,IF(Berekening_impact[Doelgroep]=C1300,Berekening_impact[Digitale zorgtoepassing]),0))</f>
        <v>6225280.1040041558</v>
      </c>
      <c r="P1300" s="398" cm="1">
        <f t="array" ref="P1300">J1300*INDEX(Berekening_impact[Opbrengsten door QALY''s],MATCH(B1300,IF(Berekening_impact[Doelgroep]=C1300,Berekening_impact[Digitale zorgtoepassing]),0))</f>
        <v>0</v>
      </c>
      <c r="Q1300" s="398" cm="1">
        <f t="array" ref="Q1300">J1300*INDEX(Berekening_impact[Jaarlijkse kosten (totaal) - incl. schatting],MATCH(B1300,IF(Berekening_impact[Doelgroep]=C1300,Berekening_impact[Digitale zorgtoepassing]),0))</f>
        <v>4872372.3964008</v>
      </c>
      <c r="R1300" s="398" cm="1">
        <f t="array" ref="R1300">(uitkomst_doelgroep[[#This Row],[Implementatiegraad t = T + 1]]-uitkomst_doelgroep[[#This Row],[Implementatiegraad t = T]])*INDEX(Berekening_impact[Initiële investering (totaal) - incl. schatting],MATCH(B1300,IF(Berekening_impact[Doelgroep]=C1300,Berekening_impact[Digitale zorgtoepassing]),0))</f>
        <v>2040262.9103412863</v>
      </c>
      <c r="S1300" s="398">
        <f>uitkomst_doelgroep[[#This Row],[Arbeidsbesparing (€)]]*uitkomst_doelgroep[[#This Row],[Percentage van patiëntaantallen in Wlz (overige is Zvw)]]</f>
        <v>12639205.059644803</v>
      </c>
      <c r="T1300" s="398">
        <f>uitkomst_doelgroep[[#This Row],[Overige besparingen (€)]]*uitkomst_doelgroep[[#This Row],[Percentage van patiëntaantallen in Wlz (overige is Zvw)]]</f>
        <v>6225280.1040041558</v>
      </c>
      <c r="U1300" s="398">
        <f>uitkomst_doelgroep[[#This Row],[Kosten (€)]]*uitkomst_doelgroep[[#This Row],[Percentage van patiëntaantallen in Wlz (overige is Zvw)]]</f>
        <v>4872372.3964008</v>
      </c>
      <c r="V1300" s="398">
        <f>uitkomst_doelgroep[[#This Row],[Investering (cash flow) (€)]]*uitkomst_doelgroep[[#This Row],[Percentage van patiëntaantallen in Wlz (overige is Zvw)]]</f>
        <v>2040262.9103412863</v>
      </c>
    </row>
    <row r="1301" spans="1:22" x14ac:dyDescent="0.5">
      <c r="A1301" s="33" t="str">
        <f>INDEX(Technologieën[Veld],MATCH(B1301,Technologieën[Digitale zorgtoepassing],0))</f>
        <v>Digitale hulpmiddelen - Verpleging</v>
      </c>
      <c r="B1301" s="33" t="s">
        <v>19</v>
      </c>
      <c r="C1301" s="33" t="s">
        <v>27</v>
      </c>
      <c r="D1301" s="427" cm="1">
        <f t="array" ref="D1301">INDEX(Berekening_patiëntaantal[Percentage van patiëntaantallen in Wlz (overige is Zvw)],MATCH(B1301,IF(Berekening_patiëntaantal[Doelgroep (zoeksleutel)]=C1301,Berekening_patiëntaantal[Digitale zorgtoepassing]),0))</f>
        <v>0.45</v>
      </c>
      <c r="E1301" s="33" t="str" cm="1">
        <f t="array" ref="E1301">INDEX(Berekening_patiëntaantal[Direct toepasbaar/extrapolatie/incidentie voor QALY],MATCH(B1301,IF(Berekening_patiëntaantal[Doelgroep (zoeksleutel)]=C1301,Berekening_patiëntaantal[Digitale zorgtoepassing]),0))</f>
        <v>Extrapolatie</v>
      </c>
      <c r="F1301" s="33" t="s">
        <v>813</v>
      </c>
      <c r="G1301" s="33" t="str">
        <f>CONCATENATE(uitkomst_doelgroep[[#This Row],[Digitale zorgtoepassing]],"_",uitkomst_doelgroep[[#This Row],[Doelgroep]],"_",uitkomst_doelgroep[[#This Row],[Uitgangssituatie/effect beleid]])</f>
        <v>Structuurrobot_Parkinson_Uitgangssituatie</v>
      </c>
      <c r="H1301" s="33">
        <v>2026</v>
      </c>
      <c r="I1301" s="32">
        <v>4</v>
      </c>
      <c r="J1301" s="406" cm="1">
        <f t="array" ref="J1301">INDEX(implementatie[[2023]:[2034]],MATCH(G1301, implementatie[Zoeksleutel],0),I1301)</f>
        <v>4.7439999999999996E-2</v>
      </c>
      <c r="K1301" s="406" cm="1">
        <f t="array" ref="K1301">INDEX(implementatie[[2023]:[2034]],MATCH(G1301,implementatie[Zoeksleutel],0),I1301 + 1)</f>
        <v>8.4566978560000006E-2</v>
      </c>
      <c r="L130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376.43639999999999</v>
      </c>
      <c r="M1301" s="398" cm="1">
        <f t="array" ref="M1301">J1301*INDEX(Berekening_impact[Totaal arbeidsbesparing (€/jaar)],MATCH(B1301,IF(Berekening_impact[Doelgroep]=C1301,Berekening_impact[Digitale zorgtoepassing]),0))</f>
        <v>519391.41130993096</v>
      </c>
      <c r="N1301" s="397" cm="1">
        <f t="array" ref="N1301">J1301*INDEX(Berekening_impact[Totaal arbeidsbesparing (FTE/jaar)],MATCH(B1301,IF(Berekening_impact[Doelgroep]=C1301,Berekening_impact[Digitale zorgtoepassing]),0))</f>
        <v>12.234182999999998</v>
      </c>
      <c r="O1301" s="398" cm="1">
        <f t="array" ref="O1301">J1301*INDEX(Berekening_impact[Overige kostenbesparing (totaal/jaar totaal potentieel)],MATCH(B1301,IF(Berekening_impact[Doelgroep]=C1301,Berekening_impact[Digitale zorgtoepassing]),0))</f>
        <v>255819.65034668244</v>
      </c>
      <c r="P1301" s="398" cm="1">
        <f t="array" ref="P1301">J1301*INDEX(Berekening_impact[Opbrengsten door QALY''s],MATCH(B1301,IF(Berekening_impact[Doelgroep]=C1301,Berekening_impact[Digitale zorgtoepassing]),0))</f>
        <v>0</v>
      </c>
      <c r="Q1301" s="398" cm="1">
        <f t="array" ref="Q1301">J1301*INDEX(Berekening_impact[Jaarlijkse kosten (totaal) - incl. schatting],MATCH(B1301,IF(Berekening_impact[Doelgroep]=C1301,Berekening_impact[Digitale zorgtoepassing]),0))</f>
        <v>200223.69788699999</v>
      </c>
      <c r="R1301" s="398" cm="1">
        <f t="array" ref="R1301">(uitkomst_doelgroep[[#This Row],[Implementatiegraad t = T + 1]]-uitkomst_doelgroep[[#This Row],[Implementatiegraad t = T]])*INDEX(Berekening_impact[Initiële investering (totaal) - incl. schatting],MATCH(B1301,IF(Berekening_impact[Doelgroep]=C1301,Berekening_impact[Digitale zorgtoepassing]),0))</f>
        <v>0</v>
      </c>
      <c r="S1301" s="398">
        <f>uitkomst_doelgroep[[#This Row],[Arbeidsbesparing (€)]]*uitkomst_doelgroep[[#This Row],[Percentage van patiëntaantallen in Wlz (overige is Zvw)]]</f>
        <v>233726.13508946894</v>
      </c>
      <c r="T1301" s="398">
        <f>uitkomst_doelgroep[[#This Row],[Overige besparingen (€)]]*uitkomst_doelgroep[[#This Row],[Percentage van patiëntaantallen in Wlz (overige is Zvw)]]</f>
        <v>115118.84265600709</v>
      </c>
      <c r="U1301" s="398">
        <f>uitkomst_doelgroep[[#This Row],[Kosten (€)]]*uitkomst_doelgroep[[#This Row],[Percentage van patiëntaantallen in Wlz (overige is Zvw)]]</f>
        <v>90100.66404915</v>
      </c>
      <c r="V1301" s="398">
        <f>uitkomst_doelgroep[[#This Row],[Investering (cash flow) (€)]]*uitkomst_doelgroep[[#This Row],[Percentage van patiëntaantallen in Wlz (overige is Zvw)]]</f>
        <v>0</v>
      </c>
    </row>
    <row r="1302" spans="1:22" x14ac:dyDescent="0.5">
      <c r="A1302" s="33" t="str">
        <f>INDEX(Technologieën[Veld],MATCH(B1302,Technologieën[Digitale zorgtoepassing],0))</f>
        <v>Digitale hulpmiddelen - Verpleging</v>
      </c>
      <c r="B1302" s="33" t="s">
        <v>19</v>
      </c>
      <c r="C1302" s="33" t="s">
        <v>24</v>
      </c>
      <c r="D1302" s="427" cm="1">
        <f t="array" ref="D1302">INDEX(Berekening_patiëntaantal[Percentage van patiëntaantallen in Wlz (overige is Zvw)],MATCH(B1302,IF(Berekening_patiëntaantal[Doelgroep (zoeksleutel)]=C1302,Berekening_patiëntaantal[Digitale zorgtoepassing]),0))</f>
        <v>1</v>
      </c>
      <c r="E1302" s="33" t="str" cm="1">
        <f t="array" ref="E1302">INDEX(Berekening_patiëntaantal[Direct toepasbaar/extrapolatie/incidentie voor QALY],MATCH(B1302,IF(Berekening_patiëntaantal[Doelgroep (zoeksleutel)]=C1302,Berekening_patiëntaantal[Digitale zorgtoepassing]),0))</f>
        <v>Huidige toepassing</v>
      </c>
      <c r="F1302" s="33" t="s">
        <v>813</v>
      </c>
      <c r="G1302" s="33" t="str">
        <f>CONCATENATE(uitkomst_doelgroep[[#This Row],[Digitale zorgtoepassing]],"_",uitkomst_doelgroep[[#This Row],[Doelgroep]],"_",uitkomst_doelgroep[[#This Row],[Uitgangssituatie/effect beleid]])</f>
        <v>Structuurrobot_Cognitieve beperking_Uitgangssituatie</v>
      </c>
      <c r="H1302" s="33">
        <v>2026</v>
      </c>
      <c r="I1302" s="32">
        <v>4</v>
      </c>
      <c r="J1302" s="406" cm="1">
        <f t="array" ref="J1302">INDEX(implementatie[[2023]:[2034]],MATCH(G1302, implementatie[Zoeksleutel],0),I1302)</f>
        <v>0.48129319936000003</v>
      </c>
      <c r="K1302" s="406" cm="1">
        <f t="array" ref="K1302">INDEX(implementatie[[2023]:[2034]],MATCH(G1302,implementatie[Zoeksleutel],0),I1302 + 1)</f>
        <v>0.59152735761672615</v>
      </c>
      <c r="L130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5205.9945236533249</v>
      </c>
      <c r="M1302" s="398" cm="1">
        <f t="array" ref="M1302">J1302*INDEX(Berekening_impact[Totaal arbeidsbesparing (€/jaar)],MATCH(B1302,IF(Berekening_impact[Doelgroep]=C1302,Berekening_impact[Digitale zorgtoepassing]),0))</f>
        <v>7183016.4216639856</v>
      </c>
      <c r="N1302" s="397" cm="1">
        <f t="array" ref="N1302">J1302*INDEX(Berekening_impact[Totaal arbeidsbesparing (FTE/jaar)],MATCH(B1302,IF(Berekening_impact[Doelgroep]=C1302,Berekening_impact[Digitale zorgtoepassing]),0))</f>
        <v>169.19482201873308</v>
      </c>
      <c r="O1302" s="398" cm="1">
        <f t="array" ref="O1302">J1302*INDEX(Berekening_impact[Overige kostenbesparing (totaal/jaar totaal potentieel)],MATCH(B1302,IF(Berekening_impact[Doelgroep]=C1302,Berekening_impact[Digitale zorgtoepassing]),0))</f>
        <v>3537903.6106703216</v>
      </c>
      <c r="P1302" s="398" cm="1">
        <f t="array" ref="P1302">J1302*INDEX(Berekening_impact[Opbrengsten door QALY''s],MATCH(B1302,IF(Berekening_impact[Doelgroep]=C1302,Berekening_impact[Digitale zorgtoepassing]),0))</f>
        <v>0</v>
      </c>
      <c r="Q1302" s="398" cm="1">
        <f t="array" ref="Q1302">J1302*INDEX(Berekening_impact[Jaarlijkse kosten (totaal) - incl. schatting],MATCH(B1302,IF(Berekening_impact[Doelgroep]=C1302,Berekening_impact[Digitale zorgtoepassing]),0))</f>
        <v>2769029.4421722759</v>
      </c>
      <c r="R1302" s="398" cm="1">
        <f t="array" ref="R1302">(uitkomst_doelgroep[[#This Row],[Implementatiegraad t = T + 1]]-uitkomst_doelgroep[[#This Row],[Implementatiegraad t = T]])*INDEX(Berekening_impact[Initiële investering (totaal) - incl. schatting],MATCH(B1302,IF(Berekening_impact[Doelgroep]=C1302,Berekening_impact[Digitale zorgtoepassing]),0))</f>
        <v>1040432.1832627618</v>
      </c>
      <c r="S1302" s="398">
        <f>uitkomst_doelgroep[[#This Row],[Arbeidsbesparing (€)]]*uitkomst_doelgroep[[#This Row],[Percentage van patiëntaantallen in Wlz (overige is Zvw)]]</f>
        <v>7183016.4216639856</v>
      </c>
      <c r="T1302" s="398">
        <f>uitkomst_doelgroep[[#This Row],[Overige besparingen (€)]]*uitkomst_doelgroep[[#This Row],[Percentage van patiëntaantallen in Wlz (overige is Zvw)]]</f>
        <v>3537903.6106703216</v>
      </c>
      <c r="U1302" s="398">
        <f>uitkomst_doelgroep[[#This Row],[Kosten (€)]]*uitkomst_doelgroep[[#This Row],[Percentage van patiëntaantallen in Wlz (overige is Zvw)]]</f>
        <v>2769029.4421722759</v>
      </c>
      <c r="V1302" s="398">
        <f>uitkomst_doelgroep[[#This Row],[Investering (cash flow) (€)]]*uitkomst_doelgroep[[#This Row],[Percentage van patiëntaantallen in Wlz (overige is Zvw)]]</f>
        <v>1040432.1832627618</v>
      </c>
    </row>
    <row r="1303" spans="1:22" x14ac:dyDescent="0.5">
      <c r="A1303" s="33" t="str">
        <f>INDEX(Technologieën[Veld],MATCH(B1303,Technologieën[Digitale zorgtoepassing],0))</f>
        <v>Digitale hulpmiddelen - Verpleging</v>
      </c>
      <c r="B1303" s="33" t="s">
        <v>19</v>
      </c>
      <c r="C1303" s="33" t="s">
        <v>20</v>
      </c>
      <c r="D1303" s="427" cm="1">
        <f t="array" ref="D1303">INDEX(Berekening_patiëntaantal[Percentage van patiëntaantallen in Wlz (overige is Zvw)],MATCH(B1303,IF(Berekening_patiëntaantal[Doelgroep (zoeksleutel)]=C1303,Berekening_patiëntaantal[Digitale zorgtoepassing]),0))</f>
        <v>1</v>
      </c>
      <c r="E1303" s="33" t="str" cm="1">
        <f t="array" ref="E1303">INDEX(Berekening_patiëntaantal[Direct toepasbaar/extrapolatie/incidentie voor QALY],MATCH(B1303,IF(Berekening_patiëntaantal[Doelgroep (zoeksleutel)]=C1303,Berekening_patiëntaantal[Digitale zorgtoepassing]),0))</f>
        <v>Huidige toepassing</v>
      </c>
      <c r="F1303" s="33" t="s">
        <v>813</v>
      </c>
      <c r="G1303" s="33" t="str">
        <f>CONCATENATE(uitkomst_doelgroep[[#This Row],[Digitale zorgtoepassing]],"_",uitkomst_doelgroep[[#This Row],[Doelgroep]],"_",uitkomst_doelgroep[[#This Row],[Uitgangssituatie/effect beleid]])</f>
        <v>Structuurrobot_Dementie_Uitgangssituatie</v>
      </c>
      <c r="H1303" s="33">
        <v>2026</v>
      </c>
      <c r="I1303" s="32">
        <v>4</v>
      </c>
      <c r="J1303" s="406" cm="1">
        <f t="array" ref="J1303">INDEX(implementatie[[2023]:[2034]],MATCH(G1303, implementatie[Zoeksleutel],0),I1303)</f>
        <v>0.48129319936000003</v>
      </c>
      <c r="K1303" s="406" cm="1">
        <f t="array" ref="K1303">INDEX(implementatie[[2023]:[2034]],MATCH(G1303,implementatie[Zoeksleutel],0),I1303 + 1)</f>
        <v>0.59152735761672615</v>
      </c>
      <c r="L130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11755.706717667841</v>
      </c>
      <c r="M1303" s="398" cm="1">
        <f t="array" ref="M1303">J1303*INDEX(Berekening_impact[Totaal arbeidsbesparing (€/jaar)],MATCH(B1303,IF(Berekening_impact[Doelgroep]=C1303,Berekening_impact[Digitale zorgtoepassing]),0))</f>
        <v>16220039.037232153</v>
      </c>
      <c r="N1303" s="397" cm="1">
        <f t="array" ref="N1303">J1303*INDEX(Berekening_impact[Totaal arbeidsbesparing (FTE/jaar)],MATCH(B1303,IF(Berekening_impact[Doelgroep]=C1303,Berekening_impact[Digitale zorgtoepassing]),0))</f>
        <v>382.06046832420486</v>
      </c>
      <c r="O1303" s="398" cm="1">
        <f t="array" ref="O1303">J1303*INDEX(Berekening_impact[Overige kostenbesparing (totaal/jaar totaal potentieel)],MATCH(B1303,IF(Berekening_impact[Doelgroep]=C1303,Berekening_impact[Digitale zorgtoepassing]),0))</f>
        <v>7988974.451174045</v>
      </c>
      <c r="P1303" s="398" cm="1">
        <f t="array" ref="P1303">J1303*INDEX(Berekening_impact[Opbrengsten door QALY''s],MATCH(B1303,IF(Berekening_impact[Doelgroep]=C1303,Berekening_impact[Digitale zorgtoepassing]),0))</f>
        <v>0</v>
      </c>
      <c r="Q1303" s="398" cm="1">
        <f t="array" ref="Q1303">J1303*INDEX(Berekening_impact[Jaarlijkse kosten (totaal) - incl. schatting],MATCH(B1303,IF(Berekening_impact[Doelgroep]=C1303,Berekening_impact[Digitale zorgtoepassing]),0))</f>
        <v>6252772.2353271414</v>
      </c>
      <c r="R1303" s="398" cm="1">
        <f t="array" ref="R1303">(uitkomst_doelgroep[[#This Row],[Implementatiegraad t = T + 1]]-uitkomst_doelgroep[[#This Row],[Implementatiegraad t = T]])*INDEX(Berekening_impact[Initiële investering (totaal) - incl. schatting],MATCH(B1303,IF(Berekening_impact[Doelgroep]=C1303,Berekening_impact[Digitale zorgtoepassing]),0))</f>
        <v>2116704.8700517355</v>
      </c>
      <c r="S1303" s="398">
        <f>uitkomst_doelgroep[[#This Row],[Arbeidsbesparing (€)]]*uitkomst_doelgroep[[#This Row],[Percentage van patiëntaantallen in Wlz (overige is Zvw)]]</f>
        <v>16220039.037232153</v>
      </c>
      <c r="T1303" s="398">
        <f>uitkomst_doelgroep[[#This Row],[Overige besparingen (€)]]*uitkomst_doelgroep[[#This Row],[Percentage van patiëntaantallen in Wlz (overige is Zvw)]]</f>
        <v>7988974.451174045</v>
      </c>
      <c r="U1303" s="398">
        <f>uitkomst_doelgroep[[#This Row],[Kosten (€)]]*uitkomst_doelgroep[[#This Row],[Percentage van patiëntaantallen in Wlz (overige is Zvw)]]</f>
        <v>6252772.2353271414</v>
      </c>
      <c r="V1303" s="398">
        <f>uitkomst_doelgroep[[#This Row],[Investering (cash flow) (€)]]*uitkomst_doelgroep[[#This Row],[Percentage van patiëntaantallen in Wlz (overige is Zvw)]]</f>
        <v>2116704.8700517355</v>
      </c>
    </row>
    <row r="1304" spans="1:22" x14ac:dyDescent="0.5">
      <c r="A1304" s="33" t="str">
        <f>INDEX(Technologieën[Veld],MATCH(B1304,Technologieën[Digitale zorgtoepassing],0))</f>
        <v>Digitale hulpmiddelen - Verpleging</v>
      </c>
      <c r="B1304" s="33" t="s">
        <v>19</v>
      </c>
      <c r="C1304" s="33" t="s">
        <v>27</v>
      </c>
      <c r="D1304" s="427" cm="1">
        <f t="array" ref="D1304">INDEX(Berekening_patiëntaantal[Percentage van patiëntaantallen in Wlz (overige is Zvw)],MATCH(B1304,IF(Berekening_patiëntaantal[Doelgroep (zoeksleutel)]=C1304,Berekening_patiëntaantal[Digitale zorgtoepassing]),0))</f>
        <v>0.45</v>
      </c>
      <c r="E1304" s="33" t="str" cm="1">
        <f t="array" ref="E1304">INDEX(Berekening_patiëntaantal[Direct toepasbaar/extrapolatie/incidentie voor QALY],MATCH(B1304,IF(Berekening_patiëntaantal[Doelgroep (zoeksleutel)]=C1304,Berekening_patiëntaantal[Digitale zorgtoepassing]),0))</f>
        <v>Extrapolatie</v>
      </c>
      <c r="F1304" s="33" t="s">
        <v>813</v>
      </c>
      <c r="G1304" s="33" t="str">
        <f>CONCATENATE(uitkomst_doelgroep[[#This Row],[Digitale zorgtoepassing]],"_",uitkomst_doelgroep[[#This Row],[Doelgroep]],"_",uitkomst_doelgroep[[#This Row],[Uitgangssituatie/effect beleid]])</f>
        <v>Structuurrobot_Parkinson_Uitgangssituatie</v>
      </c>
      <c r="H1304" s="33">
        <v>2027</v>
      </c>
      <c r="I1304" s="32">
        <v>5</v>
      </c>
      <c r="J1304" s="406" cm="1">
        <f t="array" ref="J1304">INDEX(implementatie[[2023]:[2034]],MATCH(G1304, implementatie[Zoeksleutel],0),I1304)</f>
        <v>8.4566978560000006E-2</v>
      </c>
      <c r="K1304" s="406" cm="1">
        <f t="array" ref="K1304">INDEX(implementatie[[2023]:[2034]],MATCH(G1304,implementatie[Zoeksleutel],0),I1304 + 1)</f>
        <v>0.13384180086769301</v>
      </c>
      <c r="L130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671.03897487360007</v>
      </c>
      <c r="M1304" s="398" cm="1">
        <f t="array" ref="M1304">J1304*INDEX(Berekening_impact[Totaal arbeidsbesparing (€/jaar)],MATCH(B1304,IF(Berekening_impact[Doelgroep]=C1304,Berekening_impact[Digitale zorgtoepassing]),0))</f>
        <v>925871.88753151509</v>
      </c>
      <c r="N1304" s="397" cm="1">
        <f t="array" ref="N1304">J1304*INDEX(Berekening_impact[Totaal arbeidsbesparing (FTE/jaar)],MATCH(B1304,IF(Berekening_impact[Doelgroep]=C1304,Berekening_impact[Digitale zorgtoepassing]),0))</f>
        <v>21.808766683392001</v>
      </c>
      <c r="O1304" s="398" cm="1">
        <f t="array" ref="O1304">J1304*INDEX(Berekening_impact[Overige kostenbesparing (totaal/jaar totaal potentieel)],MATCH(B1304,IF(Berekening_impact[Doelgroep]=C1304,Berekening_impact[Digitale zorgtoepassing]),0))</f>
        <v>456026.45206776127</v>
      </c>
      <c r="P1304" s="398" cm="1">
        <f t="array" ref="P1304">J1304*INDEX(Berekening_impact[Opbrengsten door QALY''s],MATCH(B1304,IF(Berekening_impact[Doelgroep]=C1304,Berekening_impact[Digitale zorgtoepassing]),0))</f>
        <v>0</v>
      </c>
      <c r="Q1304" s="398" cm="1">
        <f t="array" ref="Q1304">J1304*INDEX(Berekening_impact[Jaarlijkse kosten (totaal) - incl. schatting],MATCH(B1304,IF(Berekening_impact[Doelgroep]=C1304,Berekening_impact[Digitale zorgtoepassing]),0))</f>
        <v>356920.59794295632</v>
      </c>
      <c r="R1304" s="398" cm="1">
        <f t="array" ref="R1304">(uitkomst_doelgroep[[#This Row],[Implementatiegraad t = T + 1]]-uitkomst_doelgroep[[#This Row],[Implementatiegraad t = T]])*INDEX(Berekening_impact[Initiële investering (totaal) - incl. schatting],MATCH(B1304,IF(Berekening_impact[Doelgroep]=C1304,Berekening_impact[Digitale zorgtoepassing]),0))</f>
        <v>0</v>
      </c>
      <c r="S1304" s="398">
        <f>uitkomst_doelgroep[[#This Row],[Arbeidsbesparing (€)]]*uitkomst_doelgroep[[#This Row],[Percentage van patiëntaantallen in Wlz (overige is Zvw)]]</f>
        <v>416642.34938918182</v>
      </c>
      <c r="T1304" s="398">
        <f>uitkomst_doelgroep[[#This Row],[Overige besparingen (€)]]*uitkomst_doelgroep[[#This Row],[Percentage van patiëntaantallen in Wlz (overige is Zvw)]]</f>
        <v>205211.90343049259</v>
      </c>
      <c r="U1304" s="398">
        <f>uitkomst_doelgroep[[#This Row],[Kosten (€)]]*uitkomst_doelgroep[[#This Row],[Percentage van patiëntaantallen in Wlz (overige is Zvw)]]</f>
        <v>160614.26907433034</v>
      </c>
      <c r="V1304" s="398">
        <f>uitkomst_doelgroep[[#This Row],[Investering (cash flow) (€)]]*uitkomst_doelgroep[[#This Row],[Percentage van patiëntaantallen in Wlz (overige is Zvw)]]</f>
        <v>0</v>
      </c>
    </row>
    <row r="1305" spans="1:22" x14ac:dyDescent="0.5">
      <c r="A1305" s="33" t="str">
        <f>INDEX(Technologieën[Veld],MATCH(B1305,Technologieën[Digitale zorgtoepassing],0))</f>
        <v>Digitale hulpmiddelen - Verpleging</v>
      </c>
      <c r="B1305" s="33" t="s">
        <v>19</v>
      </c>
      <c r="C1305" s="33" t="s">
        <v>24</v>
      </c>
      <c r="D1305" s="427" cm="1">
        <f t="array" ref="D1305">INDEX(Berekening_patiëntaantal[Percentage van patiëntaantallen in Wlz (overige is Zvw)],MATCH(B1305,IF(Berekening_patiëntaantal[Doelgroep (zoeksleutel)]=C1305,Berekening_patiëntaantal[Digitale zorgtoepassing]),0))</f>
        <v>1</v>
      </c>
      <c r="E1305" s="33" t="str" cm="1">
        <f t="array" ref="E1305">INDEX(Berekening_patiëntaantal[Direct toepasbaar/extrapolatie/incidentie voor QALY],MATCH(B1305,IF(Berekening_patiëntaantal[Doelgroep (zoeksleutel)]=C1305,Berekening_patiëntaantal[Digitale zorgtoepassing]),0))</f>
        <v>Huidige toepassing</v>
      </c>
      <c r="F1305" s="33" t="s">
        <v>813</v>
      </c>
      <c r="G1305" s="33" t="str">
        <f>CONCATENATE(uitkomst_doelgroep[[#This Row],[Digitale zorgtoepassing]],"_",uitkomst_doelgroep[[#This Row],[Doelgroep]],"_",uitkomst_doelgroep[[#This Row],[Uitgangssituatie/effect beleid]])</f>
        <v>Structuurrobot_Cognitieve beperking_Uitgangssituatie</v>
      </c>
      <c r="H1305" s="33">
        <v>2027</v>
      </c>
      <c r="I1305" s="32">
        <v>5</v>
      </c>
      <c r="J1305" s="406" cm="1">
        <f t="array" ref="J1305">INDEX(implementatie[[2023]:[2034]],MATCH(G1305, implementatie[Zoeksleutel],0),I1305)</f>
        <v>0.59152735761672615</v>
      </c>
      <c r="K1305" s="406" cm="1">
        <f t="array" ref="K1305">INDEX(implementatie[[2023]:[2034]],MATCH(G1305,implementatie[Zoeksleutel],0),I1305 + 1)</f>
        <v>0.69634590758747161</v>
      </c>
      <c r="L130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6398.3621385856895</v>
      </c>
      <c r="M1305" s="398" cm="1">
        <f t="array" ref="M1305">J1305*INDEX(Berekening_impact[Totaal arbeidsbesparing (€/jaar)],MATCH(B1305,IF(Berekening_impact[Doelgroep]=C1305,Berekening_impact[Digitale zorgtoepassing]),0))</f>
        <v>8828196.054451827</v>
      </c>
      <c r="N1305" s="397" cm="1">
        <f t="array" ref="N1305">J1305*INDEX(Berekening_impact[Totaal arbeidsbesparing (FTE/jaar)],MATCH(B1305,IF(Berekening_impact[Doelgroep]=C1305,Berekening_impact[Digitale zorgtoepassing]),0))</f>
        <v>207.9467695040349</v>
      </c>
      <c r="O1305" s="398" cm="1">
        <f t="array" ref="O1305">J1305*INDEX(Berekening_impact[Overige kostenbesparing (totaal/jaar totaal potentieel)],MATCH(B1305,IF(Berekening_impact[Doelgroep]=C1305,Berekening_impact[Digitale zorgtoepassing]),0))</f>
        <v>4348215.9671180649</v>
      </c>
      <c r="P1305" s="398" cm="1">
        <f t="array" ref="P1305">J1305*INDEX(Berekening_impact[Opbrengsten door QALY''s],MATCH(B1305,IF(Berekening_impact[Doelgroep]=C1305,Berekening_impact[Digitale zorgtoepassing]),0))</f>
        <v>0</v>
      </c>
      <c r="Q1305" s="398" cm="1">
        <f t="array" ref="Q1305">J1305*INDEX(Berekening_impact[Jaarlijkse kosten (totaal) - incl. schatting],MATCH(B1305,IF(Berekening_impact[Doelgroep]=C1305,Berekening_impact[Digitale zorgtoepassing]),0))</f>
        <v>3403240.8337976886</v>
      </c>
      <c r="R1305" s="398" cm="1">
        <f t="array" ref="R1305">(uitkomst_doelgroep[[#This Row],[Implementatiegraad t = T + 1]]-uitkomst_doelgroep[[#This Row],[Implementatiegraad t = T]])*INDEX(Berekening_impact[Initiële investering (totaal) - incl. schatting],MATCH(B1305,IF(Berekening_impact[Doelgroep]=C1305,Berekening_impact[Digitale zorgtoepassing]),0))</f>
        <v>989317.59916482458</v>
      </c>
      <c r="S1305" s="398">
        <f>uitkomst_doelgroep[[#This Row],[Arbeidsbesparing (€)]]*uitkomst_doelgroep[[#This Row],[Percentage van patiëntaantallen in Wlz (overige is Zvw)]]</f>
        <v>8828196.054451827</v>
      </c>
      <c r="T1305" s="398">
        <f>uitkomst_doelgroep[[#This Row],[Overige besparingen (€)]]*uitkomst_doelgroep[[#This Row],[Percentage van patiëntaantallen in Wlz (overige is Zvw)]]</f>
        <v>4348215.9671180649</v>
      </c>
      <c r="U1305" s="398">
        <f>uitkomst_doelgroep[[#This Row],[Kosten (€)]]*uitkomst_doelgroep[[#This Row],[Percentage van patiëntaantallen in Wlz (overige is Zvw)]]</f>
        <v>3403240.8337976886</v>
      </c>
      <c r="V1305" s="398">
        <f>uitkomst_doelgroep[[#This Row],[Investering (cash flow) (€)]]*uitkomst_doelgroep[[#This Row],[Percentage van patiëntaantallen in Wlz (overige is Zvw)]]</f>
        <v>989317.59916482458</v>
      </c>
    </row>
    <row r="1306" spans="1:22" x14ac:dyDescent="0.5">
      <c r="A1306" s="33" t="str">
        <f>INDEX(Technologieën[Veld],MATCH(B1306,Technologieën[Digitale zorgtoepassing],0))</f>
        <v>Digitale hulpmiddelen - Verpleging</v>
      </c>
      <c r="B1306" s="33" t="s">
        <v>19</v>
      </c>
      <c r="C1306" s="33" t="s">
        <v>20</v>
      </c>
      <c r="D1306" s="427" cm="1">
        <f t="array" ref="D1306">INDEX(Berekening_patiëntaantal[Percentage van patiëntaantallen in Wlz (overige is Zvw)],MATCH(B1306,IF(Berekening_patiëntaantal[Doelgroep (zoeksleutel)]=C1306,Berekening_patiëntaantal[Digitale zorgtoepassing]),0))</f>
        <v>1</v>
      </c>
      <c r="E1306" s="33" t="str" cm="1">
        <f t="array" ref="E1306">INDEX(Berekening_patiëntaantal[Direct toepasbaar/extrapolatie/incidentie voor QALY],MATCH(B1306,IF(Berekening_patiëntaantal[Doelgroep (zoeksleutel)]=C1306,Berekening_patiëntaantal[Digitale zorgtoepassing]),0))</f>
        <v>Huidige toepassing</v>
      </c>
      <c r="F1306" s="33" t="s">
        <v>813</v>
      </c>
      <c r="G1306" s="33" t="str">
        <f>CONCATENATE(uitkomst_doelgroep[[#This Row],[Digitale zorgtoepassing]],"_",uitkomst_doelgroep[[#This Row],[Doelgroep]],"_",uitkomst_doelgroep[[#This Row],[Uitgangssituatie/effect beleid]])</f>
        <v>Structuurrobot_Dementie_Uitgangssituatie</v>
      </c>
      <c r="H1306" s="33">
        <v>2027</v>
      </c>
      <c r="I1306" s="32">
        <v>5</v>
      </c>
      <c r="J1306" s="406" cm="1">
        <f t="array" ref="J1306">INDEX(implementatie[[2023]:[2034]],MATCH(G1306, implementatie[Zoeksleutel],0),I1306)</f>
        <v>0.59152735761672615</v>
      </c>
      <c r="K1306" s="406" cm="1">
        <f t="array" ref="K1306">INDEX(implementatie[[2023]:[2034]],MATCH(G1306,implementatie[Zoeksleutel],0),I1306 + 1)</f>
        <v>0.69634590758747161</v>
      </c>
      <c r="L130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14448.20359162794</v>
      </c>
      <c r="M1306" s="398" cm="1">
        <f t="array" ref="M1306">J1306*INDEX(Berekening_impact[Totaal arbeidsbesparing (€/jaar)],MATCH(B1306,IF(Berekening_impact[Doelgroep]=C1306,Berekening_impact[Digitale zorgtoepassing]),0))</f>
        <v>19935035.119740948</v>
      </c>
      <c r="N1306" s="397" cm="1">
        <f t="array" ref="N1306">J1306*INDEX(Berekening_impact[Totaal arbeidsbesparing (FTE/jaar)],MATCH(B1306,IF(Berekening_impact[Doelgroep]=C1306,Berekening_impact[Digitale zorgtoepassing]),0))</f>
        <v>469.56661672790807</v>
      </c>
      <c r="O1306" s="398" cm="1">
        <f t="array" ref="O1306">J1306*INDEX(Berekening_impact[Overige kostenbesparing (totaal/jaar totaal potentieel)],MATCH(B1306,IF(Berekening_impact[Doelgroep]=C1306,Berekening_impact[Digitale zorgtoepassing]),0))</f>
        <v>9818748.6410664357</v>
      </c>
      <c r="P1306" s="398" cm="1">
        <f t="array" ref="P1306">J1306*INDEX(Berekening_impact[Opbrengsten door QALY''s],MATCH(B1306,IF(Berekening_impact[Doelgroep]=C1306,Berekening_impact[Digitale zorgtoepassing]),0))</f>
        <v>0</v>
      </c>
      <c r="Q1306" s="398" cm="1">
        <f t="array" ref="Q1306">J1306*INDEX(Berekening_impact[Jaarlijkse kosten (totaal) - incl. schatting],MATCH(B1306,IF(Berekening_impact[Doelgroep]=C1306,Berekening_impact[Digitale zorgtoepassing]),0))</f>
        <v>7684891.1288599633</v>
      </c>
      <c r="R1306" s="398" cm="1">
        <f t="array" ref="R1306">(uitkomst_doelgroep[[#This Row],[Implementatiegraad t = T + 1]]-uitkomst_doelgroep[[#This Row],[Implementatiegraad t = T]])*INDEX(Berekening_impact[Initiële investering (totaal) - incl. schatting],MATCH(B1306,IF(Berekening_impact[Doelgroep]=C1306,Berekening_impact[Digitale zorgtoepassing]),0))</f>
        <v>2012714.9216136951</v>
      </c>
      <c r="S1306" s="398">
        <f>uitkomst_doelgroep[[#This Row],[Arbeidsbesparing (€)]]*uitkomst_doelgroep[[#This Row],[Percentage van patiëntaantallen in Wlz (overige is Zvw)]]</f>
        <v>19935035.119740948</v>
      </c>
      <c r="T1306" s="398">
        <f>uitkomst_doelgroep[[#This Row],[Overige besparingen (€)]]*uitkomst_doelgroep[[#This Row],[Percentage van patiëntaantallen in Wlz (overige is Zvw)]]</f>
        <v>9818748.6410664357</v>
      </c>
      <c r="U1306" s="398">
        <f>uitkomst_doelgroep[[#This Row],[Kosten (€)]]*uitkomst_doelgroep[[#This Row],[Percentage van patiëntaantallen in Wlz (overige is Zvw)]]</f>
        <v>7684891.1288599633</v>
      </c>
      <c r="V1306" s="398">
        <f>uitkomst_doelgroep[[#This Row],[Investering (cash flow) (€)]]*uitkomst_doelgroep[[#This Row],[Percentage van patiëntaantallen in Wlz (overige is Zvw)]]</f>
        <v>2012714.9216136951</v>
      </c>
    </row>
    <row r="1307" spans="1:22" x14ac:dyDescent="0.5">
      <c r="A1307" s="33" t="str">
        <f>INDEX(Technologieën[Veld],MATCH(B1307,Technologieën[Digitale zorgtoepassing],0))</f>
        <v>Digitale hulpmiddelen - Verpleging</v>
      </c>
      <c r="B1307" s="33" t="s">
        <v>19</v>
      </c>
      <c r="C1307" s="33" t="s">
        <v>27</v>
      </c>
      <c r="D1307" s="427" cm="1">
        <f t="array" ref="D1307">INDEX(Berekening_patiëntaantal[Percentage van patiëntaantallen in Wlz (overige is Zvw)],MATCH(B1307,IF(Berekening_patiëntaantal[Doelgroep (zoeksleutel)]=C1307,Berekening_patiëntaantal[Digitale zorgtoepassing]),0))</f>
        <v>0.45</v>
      </c>
      <c r="E1307" s="33" t="str" cm="1">
        <f t="array" ref="E1307">INDEX(Berekening_patiëntaantal[Direct toepasbaar/extrapolatie/incidentie voor QALY],MATCH(B1307,IF(Berekening_patiëntaantal[Doelgroep (zoeksleutel)]=C1307,Berekening_patiëntaantal[Digitale zorgtoepassing]),0))</f>
        <v>Extrapolatie</v>
      </c>
      <c r="F1307" s="33" t="s">
        <v>813</v>
      </c>
      <c r="G1307" s="33" t="str">
        <f>CONCATENATE(uitkomst_doelgroep[[#This Row],[Digitale zorgtoepassing]],"_",uitkomst_doelgroep[[#This Row],[Doelgroep]],"_",uitkomst_doelgroep[[#This Row],[Uitgangssituatie/effect beleid]])</f>
        <v>Structuurrobot_Parkinson_Uitgangssituatie</v>
      </c>
      <c r="H1307" s="33">
        <v>2028</v>
      </c>
      <c r="I1307" s="32">
        <v>6</v>
      </c>
      <c r="J1307" s="406" cm="1">
        <f t="array" ref="J1307">INDEX(implementatie[[2023]:[2034]],MATCH(G1307, implementatie[Zoeksleutel],0),I1307)</f>
        <v>0.13384180086769301</v>
      </c>
      <c r="K1307" s="406" cm="1">
        <f t="array" ref="K1307">INDEX(implementatie[[2023]:[2034]],MATCH(G1307,implementatie[Zoeksleutel],0),I1307 + 1)</f>
        <v>0.19753623413361349</v>
      </c>
      <c r="L130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1062.034689885144</v>
      </c>
      <c r="M1307" s="398" cm="1">
        <f t="array" ref="M1307">J1307*INDEX(Berekening_impact[Totaal arbeidsbesparing (€/jaar)],MATCH(B1307,IF(Berekening_impact[Doelgroep]=C1307,Berekening_impact[Digitale zorgtoepassing]),0))</f>
        <v>1465351.6409134448</v>
      </c>
      <c r="N1307" s="397" cm="1">
        <f t="array" ref="N1307">J1307*INDEX(Berekening_impact[Totaal arbeidsbesparing (FTE/jaar)],MATCH(B1307,IF(Berekening_impact[Doelgroep]=C1307,Berekening_impact[Digitale zorgtoepassing]),0))</f>
        <v>34.516127421267178</v>
      </c>
      <c r="O1307" s="398" cm="1">
        <f t="array" ref="O1307">J1307*INDEX(Berekening_impact[Overige kostenbesparing (totaal/jaar totaal potentieel)],MATCH(B1307,IF(Berekening_impact[Doelgroep]=C1307,Berekening_impact[Digitale zorgtoepassing]),0))</f>
        <v>721740.36044990574</v>
      </c>
      <c r="P1307" s="398" cm="1">
        <f t="array" ref="P1307">J1307*INDEX(Berekening_impact[Opbrengsten door QALY''s],MATCH(B1307,IF(Berekening_impact[Doelgroep]=C1307,Berekening_impact[Digitale zorgtoepassing]),0))</f>
        <v>0</v>
      </c>
      <c r="Q1307" s="398" cm="1">
        <f t="array" ref="Q1307">J1307*INDEX(Berekening_impact[Jaarlijkse kosten (totaal) - incl. schatting],MATCH(B1307,IF(Berekening_impact[Doelgroep]=C1307,Berekening_impact[Digitale zorgtoepassing]),0))</f>
        <v>564888.28628973395</v>
      </c>
      <c r="R1307" s="398" cm="1">
        <f t="array" ref="R1307">(uitkomst_doelgroep[[#This Row],[Implementatiegraad t = T + 1]]-uitkomst_doelgroep[[#This Row],[Implementatiegraad t = T]])*INDEX(Berekening_impact[Initiële investering (totaal) - incl. schatting],MATCH(B1307,IF(Berekening_impact[Doelgroep]=C1307,Berekening_impact[Digitale zorgtoepassing]),0))</f>
        <v>0</v>
      </c>
      <c r="S1307" s="398">
        <f>uitkomst_doelgroep[[#This Row],[Arbeidsbesparing (€)]]*uitkomst_doelgroep[[#This Row],[Percentage van patiëntaantallen in Wlz (overige is Zvw)]]</f>
        <v>659408.23841105017</v>
      </c>
      <c r="T1307" s="398">
        <f>uitkomst_doelgroep[[#This Row],[Overige besparingen (€)]]*uitkomst_doelgroep[[#This Row],[Percentage van patiëntaantallen in Wlz (overige is Zvw)]]</f>
        <v>324783.16220245761</v>
      </c>
      <c r="U1307" s="398">
        <f>uitkomst_doelgroep[[#This Row],[Kosten (€)]]*uitkomst_doelgroep[[#This Row],[Percentage van patiëntaantallen in Wlz (overige is Zvw)]]</f>
        <v>254199.72883038028</v>
      </c>
      <c r="V1307" s="398">
        <f>uitkomst_doelgroep[[#This Row],[Investering (cash flow) (€)]]*uitkomst_doelgroep[[#This Row],[Percentage van patiëntaantallen in Wlz (overige is Zvw)]]</f>
        <v>0</v>
      </c>
    </row>
    <row r="1308" spans="1:22" x14ac:dyDescent="0.5">
      <c r="A1308" s="33" t="str">
        <f>INDEX(Technologieën[Veld],MATCH(B1308,Technologieën[Digitale zorgtoepassing],0))</f>
        <v>Digitale hulpmiddelen - Verpleging</v>
      </c>
      <c r="B1308" s="33" t="s">
        <v>19</v>
      </c>
      <c r="C1308" s="33" t="s">
        <v>24</v>
      </c>
      <c r="D1308" s="427" cm="1">
        <f t="array" ref="D1308">INDEX(Berekening_patiëntaantal[Percentage van patiëntaantallen in Wlz (overige is Zvw)],MATCH(B1308,IF(Berekening_patiëntaantal[Doelgroep (zoeksleutel)]=C1308,Berekening_patiëntaantal[Digitale zorgtoepassing]),0))</f>
        <v>1</v>
      </c>
      <c r="E1308" s="33" t="str" cm="1">
        <f t="array" ref="E1308">INDEX(Berekening_patiëntaantal[Direct toepasbaar/extrapolatie/incidentie voor QALY],MATCH(B1308,IF(Berekening_patiëntaantal[Doelgroep (zoeksleutel)]=C1308,Berekening_patiëntaantal[Digitale zorgtoepassing]),0))</f>
        <v>Huidige toepassing</v>
      </c>
      <c r="F1308" s="33" t="s">
        <v>813</v>
      </c>
      <c r="G1308" s="33" t="str">
        <f>CONCATENATE(uitkomst_doelgroep[[#This Row],[Digitale zorgtoepassing]],"_",uitkomst_doelgroep[[#This Row],[Doelgroep]],"_",uitkomst_doelgroep[[#This Row],[Uitgangssituatie/effect beleid]])</f>
        <v>Structuurrobot_Cognitieve beperking_Uitgangssituatie</v>
      </c>
      <c r="H1308" s="33">
        <v>2028</v>
      </c>
      <c r="I1308" s="32">
        <v>6</v>
      </c>
      <c r="J1308" s="406" cm="1">
        <f t="array" ref="J1308">INDEX(implementatie[[2023]:[2034]],MATCH(G1308, implementatie[Zoeksleutel],0),I1308)</f>
        <v>0.69634590758747161</v>
      </c>
      <c r="K1308" s="406" cm="1">
        <f t="array" ref="K1308">INDEX(implementatie[[2023]:[2034]],MATCH(G1308,implementatie[Zoeksleutel],0),I1308 + 1)</f>
        <v>0.78699830326518305</v>
      </c>
      <c r="L130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7532.1508516832528</v>
      </c>
      <c r="M1308" s="398" cm="1">
        <f t="array" ref="M1308">J1308*INDEX(Berekening_impact[Totaal arbeidsbesparing (€/jaar)],MATCH(B1308,IF(Berekening_impact[Doelgroep]=C1308,Berekening_impact[Digitale zorgtoepassing]),0))</f>
        <v>10392550.935709361</v>
      </c>
      <c r="N1308" s="397" cm="1">
        <f t="array" ref="N1308">J1308*INDEX(Berekening_impact[Totaal arbeidsbesparing (FTE/jaar)],MATCH(B1308,IF(Berekening_impact[Doelgroep]=C1308,Berekening_impact[Digitale zorgtoepassing]),0))</f>
        <v>244.7949026797057</v>
      </c>
      <c r="O1308" s="398" cm="1">
        <f t="array" ref="O1308">J1308*INDEX(Berekening_impact[Overige kostenbesparing (totaal/jaar totaal potentieel)],MATCH(B1308,IF(Berekening_impact[Doelgroep]=C1308,Berekening_impact[Digitale zorgtoepassing]),0))</f>
        <v>5118719.1175881932</v>
      </c>
      <c r="P1308" s="398" cm="1">
        <f t="array" ref="P1308">J1308*INDEX(Berekening_impact[Opbrengsten door QALY''s],MATCH(B1308,IF(Berekening_impact[Doelgroep]=C1308,Berekening_impact[Digitale zorgtoepassing]),0))</f>
        <v>0</v>
      </c>
      <c r="Q1308" s="398" cm="1">
        <f t="array" ref="Q1308">J1308*INDEX(Berekening_impact[Jaarlijkse kosten (totaal) - incl. schatting],MATCH(B1308,IF(Berekening_impact[Doelgroep]=C1308,Berekening_impact[Digitale zorgtoepassing]),0))</f>
        <v>4006294.5468789339</v>
      </c>
      <c r="R1308" s="398" cm="1">
        <f t="array" ref="R1308">(uitkomst_doelgroep[[#This Row],[Implementatiegraad t = T + 1]]-uitkomst_doelgroep[[#This Row],[Implementatiegraad t = T]])*INDEX(Berekening_impact[Initiële investering (totaal) - incl. schatting],MATCH(B1308,IF(Berekening_impact[Doelgroep]=C1308,Berekening_impact[Digitale zorgtoepassing]),0))</f>
        <v>855612.01214330608</v>
      </c>
      <c r="S1308" s="398">
        <f>uitkomst_doelgroep[[#This Row],[Arbeidsbesparing (€)]]*uitkomst_doelgroep[[#This Row],[Percentage van patiëntaantallen in Wlz (overige is Zvw)]]</f>
        <v>10392550.935709361</v>
      </c>
      <c r="T1308" s="398">
        <f>uitkomst_doelgroep[[#This Row],[Overige besparingen (€)]]*uitkomst_doelgroep[[#This Row],[Percentage van patiëntaantallen in Wlz (overige is Zvw)]]</f>
        <v>5118719.1175881932</v>
      </c>
      <c r="U1308" s="398">
        <f>uitkomst_doelgroep[[#This Row],[Kosten (€)]]*uitkomst_doelgroep[[#This Row],[Percentage van patiëntaantallen in Wlz (overige is Zvw)]]</f>
        <v>4006294.5468789339</v>
      </c>
      <c r="V1308" s="398">
        <f>uitkomst_doelgroep[[#This Row],[Investering (cash flow) (€)]]*uitkomst_doelgroep[[#This Row],[Percentage van patiëntaantallen in Wlz (overige is Zvw)]]</f>
        <v>855612.01214330608</v>
      </c>
    </row>
    <row r="1309" spans="1:22" x14ac:dyDescent="0.5">
      <c r="A1309" s="33" t="str">
        <f>INDEX(Technologieën[Veld],MATCH(B1309,Technologieën[Digitale zorgtoepassing],0))</f>
        <v>Digitale hulpmiddelen - Verpleging</v>
      </c>
      <c r="B1309" s="33" t="s">
        <v>19</v>
      </c>
      <c r="C1309" s="33" t="s">
        <v>20</v>
      </c>
      <c r="D1309" s="427" cm="1">
        <f t="array" ref="D1309">INDEX(Berekening_patiëntaantal[Percentage van patiëntaantallen in Wlz (overige is Zvw)],MATCH(B1309,IF(Berekening_patiëntaantal[Doelgroep (zoeksleutel)]=C1309,Berekening_patiëntaantal[Digitale zorgtoepassing]),0))</f>
        <v>1</v>
      </c>
      <c r="E1309" s="33" t="str" cm="1">
        <f t="array" ref="E1309">INDEX(Berekening_patiëntaantal[Direct toepasbaar/extrapolatie/incidentie voor QALY],MATCH(B1309,IF(Berekening_patiëntaantal[Doelgroep (zoeksleutel)]=C1309,Berekening_patiëntaantal[Digitale zorgtoepassing]),0))</f>
        <v>Huidige toepassing</v>
      </c>
      <c r="F1309" s="33" t="s">
        <v>813</v>
      </c>
      <c r="G1309" s="33" t="str">
        <f>CONCATENATE(uitkomst_doelgroep[[#This Row],[Digitale zorgtoepassing]],"_",uitkomst_doelgroep[[#This Row],[Doelgroep]],"_",uitkomst_doelgroep[[#This Row],[Uitgangssituatie/effect beleid]])</f>
        <v>Structuurrobot_Dementie_Uitgangssituatie</v>
      </c>
      <c r="H1309" s="33">
        <v>2028</v>
      </c>
      <c r="I1309" s="32">
        <v>6</v>
      </c>
      <c r="J1309" s="406" cm="1">
        <f t="array" ref="J1309">INDEX(implementatie[[2023]:[2034]],MATCH(G1309, implementatie[Zoeksleutel],0),I1309)</f>
        <v>0.69634590758747161</v>
      </c>
      <c r="K1309" s="406" cm="1">
        <f t="array" ref="K1309">INDEX(implementatie[[2023]:[2034]],MATCH(G1309,implementatie[Zoeksleutel],0),I1309 + 1)</f>
        <v>0.78699830326518305</v>
      </c>
      <c r="L130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17008.422879300892</v>
      </c>
      <c r="M1309" s="398" cm="1">
        <f t="array" ref="M1309">J1309*INDEX(Berekening_impact[Totaal arbeidsbesparing (€/jaar)],MATCH(B1309,IF(Berekening_impact[Doelgroep]=C1309,Berekening_impact[Digitale zorgtoepassing]),0))</f>
        <v>23467520.04704171</v>
      </c>
      <c r="N1309" s="397" cm="1">
        <f t="array" ref="N1309">J1309*INDEX(Berekening_impact[Totaal arbeidsbesparing (FTE/jaar)],MATCH(B1309,IF(Berekening_impact[Doelgroep]=C1309,Berekening_impact[Digitale zorgtoepassing]),0))</f>
        <v>552.77374357727899</v>
      </c>
      <c r="O1309" s="398" cm="1">
        <f t="array" ref="O1309">J1309*INDEX(Berekening_impact[Overige kostenbesparing (totaal/jaar totaal potentieel)],MATCH(B1309,IF(Berekening_impact[Doelgroep]=C1309,Berekening_impact[Digitale zorgtoepassing]),0))</f>
        <v>11558629.276901139</v>
      </c>
      <c r="P1309" s="398" cm="1">
        <f t="array" ref="P1309">J1309*INDEX(Berekening_impact[Opbrengsten door QALY''s],MATCH(B1309,IF(Berekening_impact[Doelgroep]=C1309,Berekening_impact[Digitale zorgtoepassing]),0))</f>
        <v>0</v>
      </c>
      <c r="Q1309" s="398" cm="1">
        <f t="array" ref="Q1309">J1309*INDEX(Berekening_impact[Jaarlijkse kosten (totaal) - incl. schatting],MATCH(B1309,IF(Berekening_impact[Doelgroep]=C1309,Berekening_impact[Digitale zorgtoepassing]),0))</f>
        <v>9046652.5663285479</v>
      </c>
      <c r="R1309" s="398" cm="1">
        <f t="array" ref="R1309">(uitkomst_doelgroep[[#This Row],[Implementatiegraad t = T + 1]]-uitkomst_doelgroep[[#This Row],[Implementatiegraad t = T]])*INDEX(Berekening_impact[Initiële investering (totaal) - incl. schatting],MATCH(B1309,IF(Berekening_impact[Doelgroep]=C1309,Berekening_impact[Digitale zorgtoepassing]),0))</f>
        <v>1740697.8966173634</v>
      </c>
      <c r="S1309" s="398">
        <f>uitkomst_doelgroep[[#This Row],[Arbeidsbesparing (€)]]*uitkomst_doelgroep[[#This Row],[Percentage van patiëntaantallen in Wlz (overige is Zvw)]]</f>
        <v>23467520.04704171</v>
      </c>
      <c r="T1309" s="398">
        <f>uitkomst_doelgroep[[#This Row],[Overige besparingen (€)]]*uitkomst_doelgroep[[#This Row],[Percentage van patiëntaantallen in Wlz (overige is Zvw)]]</f>
        <v>11558629.276901139</v>
      </c>
      <c r="U1309" s="398">
        <f>uitkomst_doelgroep[[#This Row],[Kosten (€)]]*uitkomst_doelgroep[[#This Row],[Percentage van patiëntaantallen in Wlz (overige is Zvw)]]</f>
        <v>9046652.5663285479</v>
      </c>
      <c r="V1309" s="398">
        <f>uitkomst_doelgroep[[#This Row],[Investering (cash flow) (€)]]*uitkomst_doelgroep[[#This Row],[Percentage van patiëntaantallen in Wlz (overige is Zvw)]]</f>
        <v>1740697.8966173634</v>
      </c>
    </row>
    <row r="1310" spans="1:22" x14ac:dyDescent="0.5">
      <c r="A1310" s="33" t="str">
        <f>INDEX(Technologieën[Veld],MATCH(B1310,Technologieën[Digitale zorgtoepassing],0))</f>
        <v>Digitale hulpmiddelen - Verpleging</v>
      </c>
      <c r="B1310" s="33" t="s">
        <v>19</v>
      </c>
      <c r="C1310" s="33" t="s">
        <v>27</v>
      </c>
      <c r="D1310" s="427" cm="1">
        <f t="array" ref="D1310">INDEX(Berekening_patiëntaantal[Percentage van patiëntaantallen in Wlz (overige is Zvw)],MATCH(B1310,IF(Berekening_patiëntaantal[Doelgroep (zoeksleutel)]=C1310,Berekening_patiëntaantal[Digitale zorgtoepassing]),0))</f>
        <v>0.45</v>
      </c>
      <c r="E1310" s="33" t="str" cm="1">
        <f t="array" ref="E1310">INDEX(Berekening_patiëntaantal[Direct toepasbaar/extrapolatie/incidentie voor QALY],MATCH(B1310,IF(Berekening_patiëntaantal[Doelgroep (zoeksleutel)]=C1310,Berekening_patiëntaantal[Digitale zorgtoepassing]),0))</f>
        <v>Extrapolatie</v>
      </c>
      <c r="F1310" s="33" t="s">
        <v>813</v>
      </c>
      <c r="G1310" s="33" t="str">
        <f>CONCATENATE(uitkomst_doelgroep[[#This Row],[Digitale zorgtoepassing]],"_",uitkomst_doelgroep[[#This Row],[Doelgroep]],"_",uitkomst_doelgroep[[#This Row],[Uitgangssituatie/effect beleid]])</f>
        <v>Structuurrobot_Parkinson_Uitgangssituatie</v>
      </c>
      <c r="H1310" s="33">
        <v>2029</v>
      </c>
      <c r="I1310" s="32">
        <v>7</v>
      </c>
      <c r="J1310" s="406" cm="1">
        <f t="array" ref="J1310">INDEX(implementatie[[2023]:[2034]],MATCH(G1310, implementatie[Zoeksleutel],0),I1310)</f>
        <v>0.19753623413361349</v>
      </c>
      <c r="K1310" s="406" cm="1">
        <f t="array" ref="K1310">INDEX(implementatie[[2023]:[2034]],MATCH(G1310,implementatie[Zoeksleutel],0),I1310 + 1)</f>
        <v>0.27699177758611071</v>
      </c>
      <c r="L131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1567.450017850223</v>
      </c>
      <c r="M1310" s="398" cm="1">
        <f t="array" ref="M1310">J1310*INDEX(Berekening_impact[Totaal arbeidsbesparing (€/jaar)],MATCH(B1310,IF(Berekening_impact[Doelgroep]=C1310,Berekening_impact[Digitale zorgtoepassing]),0))</f>
        <v>2162702.8547956673</v>
      </c>
      <c r="N1310" s="397" cm="1">
        <f t="array" ref="N1310">J1310*INDEX(Berekening_impact[Totaal arbeidsbesparing (FTE/jaar)],MATCH(B1310,IF(Berekening_impact[Doelgroep]=C1310,Berekening_impact[Digitale zorgtoepassing]),0))</f>
        <v>50.942125580132249</v>
      </c>
      <c r="O1310" s="398" cm="1">
        <f t="array" ref="O1310">J1310*INDEX(Berekening_impact[Overige kostenbesparing (totaal/jaar totaal potentieel)],MATCH(B1310,IF(Berekening_impact[Doelgroep]=C1310,Berekening_impact[Digitale zorgtoepassing]),0))</f>
        <v>1065211.8538545826</v>
      </c>
      <c r="P1310" s="398" cm="1">
        <f t="array" ref="P1310">J1310*INDEX(Berekening_impact[Opbrengsten door QALY''s],MATCH(B1310,IF(Berekening_impact[Doelgroep]=C1310,Berekening_impact[Digitale zorgtoepassing]),0))</f>
        <v>0</v>
      </c>
      <c r="Q1310" s="398" cm="1">
        <f t="array" ref="Q1310">J1310*INDEX(Berekening_impact[Jaarlijkse kosten (totaal) - incl. schatting],MATCH(B1310,IF(Berekening_impact[Doelgroep]=C1310,Berekening_impact[Digitale zorgtoepassing]),0))</f>
        <v>833714.90861939976</v>
      </c>
      <c r="R1310" s="398" cm="1">
        <f t="array" ref="R1310">(uitkomst_doelgroep[[#This Row],[Implementatiegraad t = T + 1]]-uitkomst_doelgroep[[#This Row],[Implementatiegraad t = T]])*INDEX(Berekening_impact[Initiële investering (totaal) - incl. schatting],MATCH(B1310,IF(Berekening_impact[Doelgroep]=C1310,Berekening_impact[Digitale zorgtoepassing]),0))</f>
        <v>0</v>
      </c>
      <c r="S1310" s="398">
        <f>uitkomst_doelgroep[[#This Row],[Arbeidsbesparing (€)]]*uitkomst_doelgroep[[#This Row],[Percentage van patiëntaantallen in Wlz (overige is Zvw)]]</f>
        <v>973216.28465805028</v>
      </c>
      <c r="T1310" s="398">
        <f>uitkomst_doelgroep[[#This Row],[Overige besparingen (€)]]*uitkomst_doelgroep[[#This Row],[Percentage van patiëntaantallen in Wlz (overige is Zvw)]]</f>
        <v>479345.33423456218</v>
      </c>
      <c r="U1310" s="398">
        <f>uitkomst_doelgroep[[#This Row],[Kosten (€)]]*uitkomst_doelgroep[[#This Row],[Percentage van patiëntaantallen in Wlz (overige is Zvw)]]</f>
        <v>375171.7088787299</v>
      </c>
      <c r="V1310" s="398">
        <f>uitkomst_doelgroep[[#This Row],[Investering (cash flow) (€)]]*uitkomst_doelgroep[[#This Row],[Percentage van patiëntaantallen in Wlz (overige is Zvw)]]</f>
        <v>0</v>
      </c>
    </row>
    <row r="1311" spans="1:22" x14ac:dyDescent="0.5">
      <c r="A1311" s="33" t="str">
        <f>INDEX(Technologieën[Veld],MATCH(B1311,Technologieën[Digitale zorgtoepassing],0))</f>
        <v>Digitale hulpmiddelen - Verpleging</v>
      </c>
      <c r="B1311" s="33" t="s">
        <v>19</v>
      </c>
      <c r="C1311" s="33" t="s">
        <v>24</v>
      </c>
      <c r="D1311" s="427" cm="1">
        <f t="array" ref="D1311">INDEX(Berekening_patiëntaantal[Percentage van patiëntaantallen in Wlz (overige is Zvw)],MATCH(B1311,IF(Berekening_patiëntaantal[Doelgroep (zoeksleutel)]=C1311,Berekening_patiëntaantal[Digitale zorgtoepassing]),0))</f>
        <v>1</v>
      </c>
      <c r="E1311" s="33" t="str" cm="1">
        <f t="array" ref="E1311">INDEX(Berekening_patiëntaantal[Direct toepasbaar/extrapolatie/incidentie voor QALY],MATCH(B1311,IF(Berekening_patiëntaantal[Doelgroep (zoeksleutel)]=C1311,Berekening_patiëntaantal[Digitale zorgtoepassing]),0))</f>
        <v>Huidige toepassing</v>
      </c>
      <c r="F1311" s="33" t="s">
        <v>813</v>
      </c>
      <c r="G1311" s="33" t="str">
        <f>CONCATENATE(uitkomst_doelgroep[[#This Row],[Digitale zorgtoepassing]],"_",uitkomst_doelgroep[[#This Row],[Doelgroep]],"_",uitkomst_doelgroep[[#This Row],[Uitgangssituatie/effect beleid]])</f>
        <v>Structuurrobot_Cognitieve beperking_Uitgangssituatie</v>
      </c>
      <c r="H1311" s="33">
        <v>2029</v>
      </c>
      <c r="I1311" s="32">
        <v>7</v>
      </c>
      <c r="J1311" s="406" cm="1">
        <f t="array" ref="J1311">INDEX(implementatie[[2023]:[2034]],MATCH(G1311, implementatie[Zoeksleutel],0),I1311)</f>
        <v>0.78699830326518305</v>
      </c>
      <c r="K1311" s="406" cm="1">
        <f t="array" ref="K1311">INDEX(implementatie[[2023]:[2034]],MATCH(G1311,implementatie[Zoeksleutel],0),I1311 + 1)</f>
        <v>0.85831112676904175</v>
      </c>
      <c r="L131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8512.7088069624406</v>
      </c>
      <c r="M1311" s="398" cm="1">
        <f t="array" ref="M1311">J1311*INDEX(Berekening_impact[Totaal arbeidsbesparing (€/jaar)],MATCH(B1311,IF(Berekening_impact[Doelgroep]=C1311,Berekening_impact[Digitale zorgtoepassing]),0))</f>
        <v>11745484.340299454</v>
      </c>
      <c r="N1311" s="397" cm="1">
        <f t="array" ref="N1311">J1311*INDEX(Berekening_impact[Totaal arbeidsbesparing (FTE/jaar)],MATCH(B1311,IF(Berekening_impact[Doelgroep]=C1311,Berekening_impact[Digitale zorgtoepassing]),0))</f>
        <v>276.6630362262793</v>
      </c>
      <c r="O1311" s="398" cm="1">
        <f t="array" ref="O1311">J1311*INDEX(Berekening_impact[Overige kostenbesparing (totaal/jaar totaal potentieel)],MATCH(B1311,IF(Berekening_impact[Doelgroep]=C1311,Berekening_impact[Digitale zorgtoepassing]),0))</f>
        <v>5785089.3019385375</v>
      </c>
      <c r="P1311" s="398" cm="1">
        <f t="array" ref="P1311">J1311*INDEX(Berekening_impact[Opbrengsten door QALY''s],MATCH(B1311,IF(Berekening_impact[Doelgroep]=C1311,Berekening_impact[Digitale zorgtoepassing]),0))</f>
        <v>0</v>
      </c>
      <c r="Q1311" s="398" cm="1">
        <f t="array" ref="Q1311">J1311*INDEX(Berekening_impact[Jaarlijkse kosten (totaal) - incl. schatting],MATCH(B1311,IF(Berekening_impact[Doelgroep]=C1311,Berekening_impact[Digitale zorgtoepassing]),0))</f>
        <v>4527845.9691072693</v>
      </c>
      <c r="R1311" s="398" cm="1">
        <f t="array" ref="R1311">(uitkomst_doelgroep[[#This Row],[Implementatiegraad t = T + 1]]-uitkomst_doelgroep[[#This Row],[Implementatiegraad t = T]])*INDEX(Berekening_impact[Initiële investering (totaal) - incl. schatting],MATCH(B1311,IF(Berekening_impact[Doelgroep]=C1311,Berekening_impact[Digitale zorgtoepassing]),0))</f>
        <v>673077.72677825578</v>
      </c>
      <c r="S1311" s="398">
        <f>uitkomst_doelgroep[[#This Row],[Arbeidsbesparing (€)]]*uitkomst_doelgroep[[#This Row],[Percentage van patiëntaantallen in Wlz (overige is Zvw)]]</f>
        <v>11745484.340299454</v>
      </c>
      <c r="T1311" s="398">
        <f>uitkomst_doelgroep[[#This Row],[Overige besparingen (€)]]*uitkomst_doelgroep[[#This Row],[Percentage van patiëntaantallen in Wlz (overige is Zvw)]]</f>
        <v>5785089.3019385375</v>
      </c>
      <c r="U1311" s="398">
        <f>uitkomst_doelgroep[[#This Row],[Kosten (€)]]*uitkomst_doelgroep[[#This Row],[Percentage van patiëntaantallen in Wlz (overige is Zvw)]]</f>
        <v>4527845.9691072693</v>
      </c>
      <c r="V1311" s="398">
        <f>uitkomst_doelgroep[[#This Row],[Investering (cash flow) (€)]]*uitkomst_doelgroep[[#This Row],[Percentage van patiëntaantallen in Wlz (overige is Zvw)]]</f>
        <v>673077.72677825578</v>
      </c>
    </row>
    <row r="1312" spans="1:22" x14ac:dyDescent="0.5">
      <c r="A1312" s="33" t="str">
        <f>INDEX(Technologieën[Veld],MATCH(B1312,Technologieën[Digitale zorgtoepassing],0))</f>
        <v>Digitale hulpmiddelen - Verpleging</v>
      </c>
      <c r="B1312" s="33" t="s">
        <v>19</v>
      </c>
      <c r="C1312" s="33" t="s">
        <v>20</v>
      </c>
      <c r="D1312" s="427" cm="1">
        <f t="array" ref="D1312">INDEX(Berekening_patiëntaantal[Percentage van patiëntaantallen in Wlz (overige is Zvw)],MATCH(B1312,IF(Berekening_patiëntaantal[Doelgroep (zoeksleutel)]=C1312,Berekening_patiëntaantal[Digitale zorgtoepassing]),0))</f>
        <v>1</v>
      </c>
      <c r="E1312" s="33" t="str" cm="1">
        <f t="array" ref="E1312">INDEX(Berekening_patiëntaantal[Direct toepasbaar/extrapolatie/incidentie voor QALY],MATCH(B1312,IF(Berekening_patiëntaantal[Doelgroep (zoeksleutel)]=C1312,Berekening_patiëntaantal[Digitale zorgtoepassing]),0))</f>
        <v>Huidige toepassing</v>
      </c>
      <c r="F1312" s="33" t="s">
        <v>813</v>
      </c>
      <c r="G1312" s="33" t="str">
        <f>CONCATENATE(uitkomst_doelgroep[[#This Row],[Digitale zorgtoepassing]],"_",uitkomst_doelgroep[[#This Row],[Doelgroep]],"_",uitkomst_doelgroep[[#This Row],[Uitgangssituatie/effect beleid]])</f>
        <v>Structuurrobot_Dementie_Uitgangssituatie</v>
      </c>
      <c r="H1312" s="33">
        <v>2029</v>
      </c>
      <c r="I1312" s="32">
        <v>7</v>
      </c>
      <c r="J1312" s="406" cm="1">
        <f t="array" ref="J1312">INDEX(implementatie[[2023]:[2034]],MATCH(G1312, implementatie[Zoeksleutel],0),I1312)</f>
        <v>0.78699830326518305</v>
      </c>
      <c r="K1312" s="406" cm="1">
        <f t="array" ref="K1312">INDEX(implementatie[[2023]:[2034]],MATCH(G1312,implementatie[Zoeksleutel],0),I1312 + 1)</f>
        <v>0.85831112676904175</v>
      </c>
      <c r="L131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19222.630306827912</v>
      </c>
      <c r="M1312" s="398" cm="1">
        <f t="array" ref="M1312">J1312*INDEX(Berekening_impact[Totaal arbeidsbesparing (€/jaar)],MATCH(B1312,IF(Berekening_impact[Doelgroep]=C1312,Berekening_impact[Digitale zorgtoepassing]),0))</f>
        <v>26522592.087673783</v>
      </c>
      <c r="N1312" s="397" cm="1">
        <f t="array" ref="N1312">J1312*INDEX(Berekening_impact[Totaal arbeidsbesparing (FTE/jaar)],MATCH(B1312,IF(Berekening_impact[Doelgroep]=C1312,Berekening_impact[Digitale zorgtoepassing]),0))</f>
        <v>624.73548497190723</v>
      </c>
      <c r="O1312" s="398" cm="1">
        <f t="array" ref="O1312">J1312*INDEX(Berekening_impact[Overige kostenbesparing (totaal/jaar totaal potentieel)],MATCH(B1312,IF(Berekening_impact[Doelgroep]=C1312,Berekening_impact[Digitale zorgtoepassing]),0))</f>
        <v>13063366.252137832</v>
      </c>
      <c r="P1312" s="398" cm="1">
        <f t="array" ref="P1312">J1312*INDEX(Berekening_impact[Opbrengsten door QALY''s],MATCH(B1312,IF(Berekening_impact[Doelgroep]=C1312,Berekening_impact[Digitale zorgtoepassing]),0))</f>
        <v>0</v>
      </c>
      <c r="Q1312" s="398" cm="1">
        <f t="array" ref="Q1312">J1312*INDEX(Berekening_impact[Jaarlijkse kosten (totaal) - incl. schatting],MATCH(B1312,IF(Berekening_impact[Doelgroep]=C1312,Berekening_impact[Digitale zorgtoepassing]),0))</f>
        <v>10224372.890474463</v>
      </c>
      <c r="R1312" s="398" cm="1">
        <f t="array" ref="R1312">(uitkomst_doelgroep[[#This Row],[Implementatiegraad t = T + 1]]-uitkomst_doelgroep[[#This Row],[Implementatiegraad t = T]])*INDEX(Berekening_impact[Initiële investering (totaal) - incl. schatting],MATCH(B1312,IF(Berekening_impact[Doelgroep]=C1312,Berekening_impact[Digitale zorgtoepassing]),0))</f>
        <v>1369341.4382156562</v>
      </c>
      <c r="S1312" s="398">
        <f>uitkomst_doelgroep[[#This Row],[Arbeidsbesparing (€)]]*uitkomst_doelgroep[[#This Row],[Percentage van patiëntaantallen in Wlz (overige is Zvw)]]</f>
        <v>26522592.087673783</v>
      </c>
      <c r="T1312" s="398">
        <f>uitkomst_doelgroep[[#This Row],[Overige besparingen (€)]]*uitkomst_doelgroep[[#This Row],[Percentage van patiëntaantallen in Wlz (overige is Zvw)]]</f>
        <v>13063366.252137832</v>
      </c>
      <c r="U1312" s="398">
        <f>uitkomst_doelgroep[[#This Row],[Kosten (€)]]*uitkomst_doelgroep[[#This Row],[Percentage van patiëntaantallen in Wlz (overige is Zvw)]]</f>
        <v>10224372.890474463</v>
      </c>
      <c r="V1312" s="398">
        <f>uitkomst_doelgroep[[#This Row],[Investering (cash flow) (€)]]*uitkomst_doelgroep[[#This Row],[Percentage van patiëntaantallen in Wlz (overige is Zvw)]]</f>
        <v>1369341.4382156562</v>
      </c>
    </row>
    <row r="1313" spans="1:22" x14ac:dyDescent="0.5">
      <c r="A1313" s="33" t="str">
        <f>INDEX(Technologieën[Veld],MATCH(B1313,Technologieën[Digitale zorgtoepassing],0))</f>
        <v>Digitale hulpmiddelen - Verpleging</v>
      </c>
      <c r="B1313" s="33" t="s">
        <v>19</v>
      </c>
      <c r="C1313" s="33" t="s">
        <v>27</v>
      </c>
      <c r="D1313" s="427" cm="1">
        <f t="array" ref="D1313">INDEX(Berekening_patiëntaantal[Percentage van patiëntaantallen in Wlz (overige is Zvw)],MATCH(B1313,IF(Berekening_patiëntaantal[Doelgroep (zoeksleutel)]=C1313,Berekening_patiëntaantal[Digitale zorgtoepassing]),0))</f>
        <v>0.45</v>
      </c>
      <c r="E1313" s="33" t="str" cm="1">
        <f t="array" ref="E1313">INDEX(Berekening_patiëntaantal[Direct toepasbaar/extrapolatie/incidentie voor QALY],MATCH(B1313,IF(Berekening_patiëntaantal[Doelgroep (zoeksleutel)]=C1313,Berekening_patiëntaantal[Digitale zorgtoepassing]),0))</f>
        <v>Extrapolatie</v>
      </c>
      <c r="F1313" s="33" t="s">
        <v>813</v>
      </c>
      <c r="G1313" s="33" t="str">
        <f>CONCATENATE(uitkomst_doelgroep[[#This Row],[Digitale zorgtoepassing]],"_",uitkomst_doelgroep[[#This Row],[Doelgroep]],"_",uitkomst_doelgroep[[#This Row],[Uitgangssituatie/effect beleid]])</f>
        <v>Structuurrobot_Parkinson_Uitgangssituatie</v>
      </c>
      <c r="H1313" s="33">
        <v>2030</v>
      </c>
      <c r="I1313" s="32">
        <v>8</v>
      </c>
      <c r="J1313" s="406" cm="1">
        <f t="array" ref="J1313">INDEX(implementatie[[2023]:[2034]],MATCH(G1313, implementatie[Zoeksleutel],0),I1313)</f>
        <v>0.27699177758611071</v>
      </c>
      <c r="K1313" s="406" cm="1">
        <f t="array" ref="K1313">INDEX(implementatie[[2023]:[2034]],MATCH(G1313,implementatie[Zoeksleutel],0),I1313 + 1)</f>
        <v>0.37155887512870744</v>
      </c>
      <c r="L131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2197.9297551457885</v>
      </c>
      <c r="M1313" s="398" cm="1">
        <f t="array" ref="M1313">J1313*INDEX(Berekening_impact[Totaal arbeidsbesparing (€/jaar)],MATCH(B1313,IF(Berekening_impact[Doelgroep]=C1313,Berekening_impact[Digitale zorgtoepassing]),0))</f>
        <v>3032612.7799683083</v>
      </c>
      <c r="N1313" s="397" cm="1">
        <f t="array" ref="N1313">J1313*INDEX(Berekening_impact[Totaal arbeidsbesparing (FTE/jaar)],MATCH(B1313,IF(Berekening_impact[Doelgroep]=C1313,Berekening_impact[Digitale zorgtoepassing]),0))</f>
        <v>71.432717042238124</v>
      </c>
      <c r="O1313" s="398" cm="1">
        <f t="array" ref="O1313">J1313*INDEX(Berekening_impact[Overige kostenbesparing (totaal/jaar totaal potentieel)],MATCH(B1313,IF(Berekening_impact[Doelgroep]=C1313,Berekening_impact[Digitale zorgtoepassing]),0))</f>
        <v>1493674.9513276746</v>
      </c>
      <c r="P1313" s="398" cm="1">
        <f t="array" ref="P1313">J1313*INDEX(Berekening_impact[Opbrengsten door QALY''s],MATCH(B1313,IF(Berekening_impact[Doelgroep]=C1313,Berekening_impact[Digitale zorgtoepassing]),0))</f>
        <v>0</v>
      </c>
      <c r="Q1313" s="398" cm="1">
        <f t="array" ref="Q1313">J1313*INDEX(Berekening_impact[Jaarlijkse kosten (totaal) - incl. schatting],MATCH(B1313,IF(Berekening_impact[Doelgroep]=C1313,Berekening_impact[Digitale zorgtoepassing]),0))</f>
        <v>1169062.3522888813</v>
      </c>
      <c r="R1313" s="398" cm="1">
        <f t="array" ref="R1313">(uitkomst_doelgroep[[#This Row],[Implementatiegraad t = T + 1]]-uitkomst_doelgroep[[#This Row],[Implementatiegraad t = T]])*INDEX(Berekening_impact[Initiële investering (totaal) - incl. schatting],MATCH(B1313,IF(Berekening_impact[Doelgroep]=C1313,Berekening_impact[Digitale zorgtoepassing]),0))</f>
        <v>0</v>
      </c>
      <c r="S1313" s="398">
        <f>uitkomst_doelgroep[[#This Row],[Arbeidsbesparing (€)]]*uitkomst_doelgroep[[#This Row],[Percentage van patiëntaantallen in Wlz (overige is Zvw)]]</f>
        <v>1364675.7509857388</v>
      </c>
      <c r="T1313" s="398">
        <f>uitkomst_doelgroep[[#This Row],[Overige besparingen (€)]]*uitkomst_doelgroep[[#This Row],[Percentage van patiëntaantallen in Wlz (overige is Zvw)]]</f>
        <v>672153.7280974536</v>
      </c>
      <c r="U1313" s="398">
        <f>uitkomst_doelgroep[[#This Row],[Kosten (€)]]*uitkomst_doelgroep[[#This Row],[Percentage van patiëntaantallen in Wlz (overige is Zvw)]]</f>
        <v>526078.05852999666</v>
      </c>
      <c r="V1313" s="398">
        <f>uitkomst_doelgroep[[#This Row],[Investering (cash flow) (€)]]*uitkomst_doelgroep[[#This Row],[Percentage van patiëntaantallen in Wlz (overige is Zvw)]]</f>
        <v>0</v>
      </c>
    </row>
    <row r="1314" spans="1:22" x14ac:dyDescent="0.5">
      <c r="A1314" s="33" t="str">
        <f>INDEX(Technologieën[Veld],MATCH(B1314,Technologieën[Digitale zorgtoepassing],0))</f>
        <v>Digitale hulpmiddelen - Verpleging</v>
      </c>
      <c r="B1314" s="33" t="s">
        <v>19</v>
      </c>
      <c r="C1314" s="33" t="s">
        <v>24</v>
      </c>
      <c r="D1314" s="427" cm="1">
        <f t="array" ref="D1314">INDEX(Berekening_patiëntaantal[Percentage van patiëntaantallen in Wlz (overige is Zvw)],MATCH(B1314,IF(Berekening_patiëntaantal[Doelgroep (zoeksleutel)]=C1314,Berekening_patiëntaantal[Digitale zorgtoepassing]),0))</f>
        <v>1</v>
      </c>
      <c r="E1314" s="33" t="str" cm="1">
        <f t="array" ref="E1314">INDEX(Berekening_patiëntaantal[Direct toepasbaar/extrapolatie/incidentie voor QALY],MATCH(B1314,IF(Berekening_patiëntaantal[Doelgroep (zoeksleutel)]=C1314,Berekening_patiëntaantal[Digitale zorgtoepassing]),0))</f>
        <v>Huidige toepassing</v>
      </c>
      <c r="F1314" s="33" t="s">
        <v>813</v>
      </c>
      <c r="G1314" s="33" t="str">
        <f>CONCATENATE(uitkomst_doelgroep[[#This Row],[Digitale zorgtoepassing]],"_",uitkomst_doelgroep[[#This Row],[Doelgroep]],"_",uitkomst_doelgroep[[#This Row],[Uitgangssituatie/effect beleid]])</f>
        <v>Structuurrobot_Cognitieve beperking_Uitgangssituatie</v>
      </c>
      <c r="H1314" s="33">
        <v>2030</v>
      </c>
      <c r="I1314" s="32">
        <v>8</v>
      </c>
      <c r="J1314" s="406" cm="1">
        <f t="array" ref="J1314">INDEX(implementatie[[2023]:[2034]],MATCH(G1314, implementatie[Zoeksleutel],0),I1314)</f>
        <v>0.85831112676904175</v>
      </c>
      <c r="K1314" s="406" cm="1">
        <f t="array" ref="K1314">INDEX(implementatie[[2023]:[2034]],MATCH(G1314,implementatie[Zoeksleutel],0),I1314 + 1)</f>
        <v>0.90979015880706082</v>
      </c>
      <c r="L131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9284.0767987001582</v>
      </c>
      <c r="M1314" s="398" cm="1">
        <f t="array" ref="M1314">J1314*INDEX(Berekening_impact[Totaal arbeidsbesparing (€/jaar)],MATCH(B1314,IF(Berekening_impact[Doelgroep]=C1314,Berekening_impact[Digitale zorgtoepassing]),0))</f>
        <v>12809786.065286623</v>
      </c>
      <c r="N1314" s="397" cm="1">
        <f t="array" ref="N1314">J1314*INDEX(Berekening_impact[Totaal arbeidsbesparing (FTE/jaar)],MATCH(B1314,IF(Berekening_impact[Doelgroep]=C1314,Berekening_impact[Digitale zorgtoepassing]),0))</f>
        <v>301.73249595775513</v>
      </c>
      <c r="O1314" s="398" cm="1">
        <f t="array" ref="O1314">J1314*INDEX(Berekening_impact[Overige kostenbesparing (totaal/jaar totaal potentieel)],MATCH(B1314,IF(Berekening_impact[Doelgroep]=C1314,Berekening_impact[Digitale zorgtoepassing]),0))</f>
        <v>6309297.6142456513</v>
      </c>
      <c r="P1314" s="398" cm="1">
        <f t="array" ref="P1314">J1314*INDEX(Berekening_impact[Opbrengsten door QALY''s],MATCH(B1314,IF(Berekening_impact[Doelgroep]=C1314,Berekening_impact[Digitale zorgtoepassing]),0))</f>
        <v>0</v>
      </c>
      <c r="Q1314" s="398" cm="1">
        <f t="array" ref="Q1314">J1314*INDEX(Berekening_impact[Jaarlijkse kosten (totaal) - incl. schatting],MATCH(B1314,IF(Berekening_impact[Doelgroep]=C1314,Berekening_impact[Digitale zorgtoepassing]),0))</f>
        <v>4938130.8186526233</v>
      </c>
      <c r="R1314" s="398" cm="1">
        <f t="array" ref="R1314">(uitkomst_doelgroep[[#This Row],[Implementatiegraad t = T + 1]]-uitkomst_doelgroep[[#This Row],[Implementatiegraad t = T]])*INDEX(Berekening_impact[Initiële investering (totaal) - incl. schatting],MATCH(B1314,IF(Berekening_impact[Doelgroep]=C1314,Berekening_impact[Digitale zorgtoepassing]),0))</f>
        <v>485878.81054828817</v>
      </c>
      <c r="S1314" s="398">
        <f>uitkomst_doelgroep[[#This Row],[Arbeidsbesparing (€)]]*uitkomst_doelgroep[[#This Row],[Percentage van patiëntaantallen in Wlz (overige is Zvw)]]</f>
        <v>12809786.065286623</v>
      </c>
      <c r="T1314" s="398">
        <f>uitkomst_doelgroep[[#This Row],[Overige besparingen (€)]]*uitkomst_doelgroep[[#This Row],[Percentage van patiëntaantallen in Wlz (overige is Zvw)]]</f>
        <v>6309297.6142456513</v>
      </c>
      <c r="U1314" s="398">
        <f>uitkomst_doelgroep[[#This Row],[Kosten (€)]]*uitkomst_doelgroep[[#This Row],[Percentage van patiëntaantallen in Wlz (overige is Zvw)]]</f>
        <v>4938130.8186526233</v>
      </c>
      <c r="V1314" s="398">
        <f>uitkomst_doelgroep[[#This Row],[Investering (cash flow) (€)]]*uitkomst_doelgroep[[#This Row],[Percentage van patiëntaantallen in Wlz (overige is Zvw)]]</f>
        <v>485878.81054828817</v>
      </c>
    </row>
    <row r="1315" spans="1:22" x14ac:dyDescent="0.5">
      <c r="A1315" s="33" t="str">
        <f>INDEX(Technologieën[Veld],MATCH(B1315,Technologieën[Digitale zorgtoepassing],0))</f>
        <v>Digitale hulpmiddelen - Verpleging</v>
      </c>
      <c r="B1315" s="33" t="s">
        <v>19</v>
      </c>
      <c r="C1315" s="33" t="s">
        <v>20</v>
      </c>
      <c r="D1315" s="427" cm="1">
        <f t="array" ref="D1315">INDEX(Berekening_patiëntaantal[Percentage van patiëntaantallen in Wlz (overige is Zvw)],MATCH(B1315,IF(Berekening_patiëntaantal[Doelgroep (zoeksleutel)]=C1315,Berekening_patiëntaantal[Digitale zorgtoepassing]),0))</f>
        <v>1</v>
      </c>
      <c r="E1315" s="33" t="str" cm="1">
        <f t="array" ref="E1315">INDEX(Berekening_patiëntaantal[Direct toepasbaar/extrapolatie/incidentie voor QALY],MATCH(B1315,IF(Berekening_patiëntaantal[Doelgroep (zoeksleutel)]=C1315,Berekening_patiëntaantal[Digitale zorgtoepassing]),0))</f>
        <v>Huidige toepassing</v>
      </c>
      <c r="F1315" s="33" t="s">
        <v>813</v>
      </c>
      <c r="G1315" s="33" t="str">
        <f>CONCATENATE(uitkomst_doelgroep[[#This Row],[Digitale zorgtoepassing]],"_",uitkomst_doelgroep[[#This Row],[Doelgroep]],"_",uitkomst_doelgroep[[#This Row],[Uitgangssituatie/effect beleid]])</f>
        <v>Structuurrobot_Dementie_Uitgangssituatie</v>
      </c>
      <c r="H1315" s="33">
        <v>2030</v>
      </c>
      <c r="I1315" s="32">
        <v>8</v>
      </c>
      <c r="J1315" s="406" cm="1">
        <f t="array" ref="J1315">INDEX(implementatie[[2023]:[2034]],MATCH(G1315, implementatie[Zoeksleutel],0),I1315)</f>
        <v>0.85831112676904175</v>
      </c>
      <c r="K1315" s="406" cm="1">
        <f t="array" ref="K1315">INDEX(implementatie[[2023]:[2034]],MATCH(G1315,implementatie[Zoeksleutel],0),I1315 + 1)</f>
        <v>0.90979015880706082</v>
      </c>
      <c r="L131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20964.463849115538</v>
      </c>
      <c r="M1315" s="398" cm="1">
        <f t="array" ref="M1315">J1315*INDEX(Berekening_impact[Totaal arbeidsbesparing (€/jaar)],MATCH(B1315,IF(Berekening_impact[Doelgroep]=C1315,Berekening_impact[Digitale zorgtoepassing]),0))</f>
        <v>28925902.133662283</v>
      </c>
      <c r="N1315" s="397" cm="1">
        <f t="array" ref="N1315">J1315*INDEX(Berekening_impact[Totaal arbeidsbesparing (FTE/jaar)],MATCH(B1315,IF(Berekening_impact[Doelgroep]=C1315,Berekening_impact[Digitale zorgtoepassing]),0))</f>
        <v>681.34507509625496</v>
      </c>
      <c r="O1315" s="398" cm="1">
        <f t="array" ref="O1315">J1315*INDEX(Berekening_impact[Overige kostenbesparing (totaal/jaar totaal potentieel)],MATCH(B1315,IF(Berekening_impact[Doelgroep]=C1315,Berekening_impact[Digitale zorgtoepassing]),0))</f>
        <v>14247086.125535155</v>
      </c>
      <c r="P1315" s="398" cm="1">
        <f t="array" ref="P1315">J1315*INDEX(Berekening_impact[Opbrengsten door QALY''s],MATCH(B1315,IF(Berekening_impact[Doelgroep]=C1315,Berekening_impact[Digitale zorgtoepassing]),0))</f>
        <v>0</v>
      </c>
      <c r="Q1315" s="398" cm="1">
        <f t="array" ref="Q1315">J1315*INDEX(Berekening_impact[Jaarlijkse kosten (totaal) - incl. schatting],MATCH(B1315,IF(Berekening_impact[Doelgroep]=C1315,Berekening_impact[Digitale zorgtoepassing]),0))</f>
        <v>11150841.087865684</v>
      </c>
      <c r="R1315" s="398" cm="1">
        <f t="array" ref="R1315">(uitkomst_doelgroep[[#This Row],[Implementatiegraad t = T + 1]]-uitkomst_doelgroep[[#This Row],[Implementatiegraad t = T]])*INDEX(Berekening_impact[Initiële investering (totaal) - incl. schatting],MATCH(B1315,IF(Berekening_impact[Doelgroep]=C1315,Berekening_impact[Digitale zorgtoepassing]),0))</f>
        <v>988495.03224446822</v>
      </c>
      <c r="S1315" s="398">
        <f>uitkomst_doelgroep[[#This Row],[Arbeidsbesparing (€)]]*uitkomst_doelgroep[[#This Row],[Percentage van patiëntaantallen in Wlz (overige is Zvw)]]</f>
        <v>28925902.133662283</v>
      </c>
      <c r="T1315" s="398">
        <f>uitkomst_doelgroep[[#This Row],[Overige besparingen (€)]]*uitkomst_doelgroep[[#This Row],[Percentage van patiëntaantallen in Wlz (overige is Zvw)]]</f>
        <v>14247086.125535155</v>
      </c>
      <c r="U1315" s="398">
        <f>uitkomst_doelgroep[[#This Row],[Kosten (€)]]*uitkomst_doelgroep[[#This Row],[Percentage van patiëntaantallen in Wlz (overige is Zvw)]]</f>
        <v>11150841.087865684</v>
      </c>
      <c r="V1315" s="398">
        <f>uitkomst_doelgroep[[#This Row],[Investering (cash flow) (€)]]*uitkomst_doelgroep[[#This Row],[Percentage van patiëntaantallen in Wlz (overige is Zvw)]]</f>
        <v>988495.03224446822</v>
      </c>
    </row>
    <row r="1316" spans="1:22" x14ac:dyDescent="0.5">
      <c r="A1316" s="33" t="str">
        <f>INDEX(Technologieën[Veld],MATCH(B1316,Technologieën[Digitale zorgtoepassing],0))</f>
        <v>Digitale hulpmiddelen - Verpleging</v>
      </c>
      <c r="B1316" s="33" t="s">
        <v>19</v>
      </c>
      <c r="C1316" s="33" t="s">
        <v>27</v>
      </c>
      <c r="D1316" s="427" cm="1">
        <f t="array" ref="D1316">INDEX(Berekening_patiëntaantal[Percentage van patiëntaantallen in Wlz (overige is Zvw)],MATCH(B1316,IF(Berekening_patiëntaantal[Doelgroep (zoeksleutel)]=C1316,Berekening_patiëntaantal[Digitale zorgtoepassing]),0))</f>
        <v>0.45</v>
      </c>
      <c r="E1316" s="33" t="str" cm="1">
        <f t="array" ref="E1316">INDEX(Berekening_patiëntaantal[Direct toepasbaar/extrapolatie/incidentie voor QALY],MATCH(B1316,IF(Berekening_patiëntaantal[Doelgroep (zoeksleutel)]=C1316,Berekening_patiëntaantal[Digitale zorgtoepassing]),0))</f>
        <v>Extrapolatie</v>
      </c>
      <c r="F1316" s="33" t="s">
        <v>813</v>
      </c>
      <c r="G1316" s="33" t="str">
        <f>CONCATENATE(uitkomst_doelgroep[[#This Row],[Digitale zorgtoepassing]],"_",uitkomst_doelgroep[[#This Row],[Doelgroep]],"_",uitkomst_doelgroep[[#This Row],[Uitgangssituatie/effect beleid]])</f>
        <v>Structuurrobot_Parkinson_Uitgangssituatie</v>
      </c>
      <c r="H1316" s="33">
        <v>2031</v>
      </c>
      <c r="I1316" s="32">
        <v>9</v>
      </c>
      <c r="J1316" s="406" cm="1">
        <f t="array" ref="J1316">INDEX(implementatie[[2023]:[2034]],MATCH(G1316, implementatie[Zoeksleutel],0),I1316)</f>
        <v>0.37155887512870744</v>
      </c>
      <c r="K1316" s="406" cm="1">
        <f t="array" ref="K1316">INDEX(implementatie[[2023]:[2034]],MATCH(G1316,implementatie[Zoeksleutel],0),I1316 + 1)</f>
        <v>0.47752884860285211</v>
      </c>
      <c r="L131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2948.3196741462934</v>
      </c>
      <c r="M1316" s="398" cm="1">
        <f t="array" ref="M1316">J1316*INDEX(Berekening_impact[Totaal arbeidsbesparing (€/jaar)],MATCH(B1316,IF(Berekening_impact[Doelgroep]=C1316,Berekening_impact[Digitale zorgtoepassing]),0))</f>
        <v>4067969.8258395819</v>
      </c>
      <c r="N1316" s="397" cm="1">
        <f t="array" ref="N1316">J1316*INDEX(Berekening_impact[Totaal arbeidsbesparing (FTE/jaar)],MATCH(B1316,IF(Berekening_impact[Doelgroep]=C1316,Berekening_impact[Digitale zorgtoepassing]),0))</f>
        <v>95.82038940975454</v>
      </c>
      <c r="O1316" s="398" cm="1">
        <f t="array" ref="O1316">J1316*INDEX(Berekening_impact[Overige kostenbesparing (totaal/jaar totaal potentieel)],MATCH(B1316,IF(Berekening_impact[Doelgroep]=C1316,Berekening_impact[Digitale zorgtoepassing]),0))</f>
        <v>2003626.9291448691</v>
      </c>
      <c r="P1316" s="398" cm="1">
        <f t="array" ref="P1316">J1316*INDEX(Berekening_impact[Opbrengsten door QALY''s],MATCH(B1316,IF(Berekening_impact[Doelgroep]=C1316,Berekening_impact[Digitale zorgtoepassing]),0))</f>
        <v>0</v>
      </c>
      <c r="Q1316" s="398" cm="1">
        <f t="array" ref="Q1316">J1316*INDEX(Berekening_impact[Jaarlijkse kosten (totaal) - incl. schatting],MATCH(B1316,IF(Berekening_impact[Doelgroep]=C1316,Berekening_impact[Digitale zorgtoepassing]),0))</f>
        <v>1568189.1222808573</v>
      </c>
      <c r="R1316" s="398" cm="1">
        <f t="array" ref="R1316">(uitkomst_doelgroep[[#This Row],[Implementatiegraad t = T + 1]]-uitkomst_doelgroep[[#This Row],[Implementatiegraad t = T]])*INDEX(Berekening_impact[Initiële investering (totaal) - incl. schatting],MATCH(B1316,IF(Berekening_impact[Doelgroep]=C1316,Berekening_impact[Digitale zorgtoepassing]),0))</f>
        <v>0</v>
      </c>
      <c r="S1316" s="398">
        <f>uitkomst_doelgroep[[#This Row],[Arbeidsbesparing (€)]]*uitkomst_doelgroep[[#This Row],[Percentage van patiëntaantallen in Wlz (overige is Zvw)]]</f>
        <v>1830586.4216278119</v>
      </c>
      <c r="T1316" s="398">
        <f>uitkomst_doelgroep[[#This Row],[Overige besparingen (€)]]*uitkomst_doelgroep[[#This Row],[Percentage van patiëntaantallen in Wlz (overige is Zvw)]]</f>
        <v>901632.11811519112</v>
      </c>
      <c r="U1316" s="398">
        <f>uitkomst_doelgroep[[#This Row],[Kosten (€)]]*uitkomst_doelgroep[[#This Row],[Percentage van patiëntaantallen in Wlz (overige is Zvw)]]</f>
        <v>705685.10502638575</v>
      </c>
      <c r="V1316" s="398">
        <f>uitkomst_doelgroep[[#This Row],[Investering (cash flow) (€)]]*uitkomst_doelgroep[[#This Row],[Percentage van patiëntaantallen in Wlz (overige is Zvw)]]</f>
        <v>0</v>
      </c>
    </row>
    <row r="1317" spans="1:22" x14ac:dyDescent="0.5">
      <c r="A1317" s="33" t="str">
        <f>INDEX(Technologieën[Veld],MATCH(B1317,Technologieën[Digitale zorgtoepassing],0))</f>
        <v>Digitale hulpmiddelen - Verpleging</v>
      </c>
      <c r="B1317" s="33" t="s">
        <v>19</v>
      </c>
      <c r="C1317" s="33" t="s">
        <v>24</v>
      </c>
      <c r="D1317" s="427" cm="1">
        <f t="array" ref="D1317">INDEX(Berekening_patiëntaantal[Percentage van patiëntaantallen in Wlz (overige is Zvw)],MATCH(B1317,IF(Berekening_patiëntaantal[Doelgroep (zoeksleutel)]=C1317,Berekening_patiëntaantal[Digitale zorgtoepassing]),0))</f>
        <v>1</v>
      </c>
      <c r="E1317" s="33" t="str" cm="1">
        <f t="array" ref="E1317">INDEX(Berekening_patiëntaantal[Direct toepasbaar/extrapolatie/incidentie voor QALY],MATCH(B1317,IF(Berekening_patiëntaantal[Doelgroep (zoeksleutel)]=C1317,Berekening_patiëntaantal[Digitale zorgtoepassing]),0))</f>
        <v>Huidige toepassing</v>
      </c>
      <c r="F1317" s="33" t="s">
        <v>813</v>
      </c>
      <c r="G1317" s="33" t="str">
        <f>CONCATENATE(uitkomst_doelgroep[[#This Row],[Digitale zorgtoepassing]],"_",uitkomst_doelgroep[[#This Row],[Doelgroep]],"_",uitkomst_doelgroep[[#This Row],[Uitgangssituatie/effect beleid]])</f>
        <v>Structuurrobot_Cognitieve beperking_Uitgangssituatie</v>
      </c>
      <c r="H1317" s="33">
        <v>2031</v>
      </c>
      <c r="I1317" s="32">
        <v>9</v>
      </c>
      <c r="J1317" s="406" cm="1">
        <f t="array" ref="J1317">INDEX(implementatie[[2023]:[2034]],MATCH(G1317, implementatie[Zoeksleutel],0),I1317)</f>
        <v>0.90979015880706082</v>
      </c>
      <c r="K1317" s="406" cm="1">
        <f t="array" ref="K1317">INDEX(implementatie[[2023]:[2034]],MATCH(G1317,implementatie[Zoeksleutel],0),I1317 + 1)</f>
        <v>0.94442316592887321</v>
      </c>
      <c r="L131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9840.9090149651583</v>
      </c>
      <c r="M1317" s="398" cm="1">
        <f t="array" ref="M1317">J1317*INDEX(Berekening_impact[Totaal arbeidsbesparing (€/jaar)],MATCH(B1317,IF(Berekening_impact[Doelgroep]=C1317,Berekening_impact[Digitale zorgtoepassing]),0))</f>
        <v>13578080.179959688</v>
      </c>
      <c r="N1317" s="397" cm="1">
        <f t="array" ref="N1317">J1317*INDEX(Berekening_impact[Totaal arbeidsbesparing (FTE/jaar)],MATCH(B1317,IF(Berekening_impact[Doelgroep]=C1317,Berekening_impact[Digitale zorgtoepassing]),0))</f>
        <v>319.82954298636764</v>
      </c>
      <c r="O1317" s="398" cm="1">
        <f t="array" ref="O1317">J1317*INDEX(Berekening_impact[Overige kostenbesparing (totaal/jaar totaal potentieel)],MATCH(B1317,IF(Berekening_impact[Doelgroep]=C1317,Berekening_impact[Digitale zorgtoepassing]),0))</f>
        <v>6687711.1334129814</v>
      </c>
      <c r="P1317" s="398" cm="1">
        <f t="array" ref="P1317">J1317*INDEX(Berekening_impact[Opbrengsten door QALY''s],MATCH(B1317,IF(Berekening_impact[Doelgroep]=C1317,Berekening_impact[Digitale zorgtoepassing]),0))</f>
        <v>0</v>
      </c>
      <c r="Q1317" s="398" cm="1">
        <f t="array" ref="Q1317">J1317*INDEX(Berekening_impact[Jaarlijkse kosten (totaal) - incl. schatting],MATCH(B1317,IF(Berekening_impact[Doelgroep]=C1317,Berekening_impact[Digitale zorgtoepassing]),0))</f>
        <v>5234305.6982423551</v>
      </c>
      <c r="R1317" s="398" cm="1">
        <f t="array" ref="R1317">(uitkomst_doelgroep[[#This Row],[Implementatiegraad t = T + 1]]-uitkomst_doelgroep[[#This Row],[Implementatiegraad t = T]])*INDEX(Berekening_impact[Initiële investering (totaal) - incl. schatting],MATCH(B1317,IF(Berekening_impact[Doelgroep]=C1317,Berekening_impact[Digitale zorgtoepassing]),0))</f>
        <v>326879.57873079157</v>
      </c>
      <c r="S1317" s="398">
        <f>uitkomst_doelgroep[[#This Row],[Arbeidsbesparing (€)]]*uitkomst_doelgroep[[#This Row],[Percentage van patiëntaantallen in Wlz (overige is Zvw)]]</f>
        <v>13578080.179959688</v>
      </c>
      <c r="T1317" s="398">
        <f>uitkomst_doelgroep[[#This Row],[Overige besparingen (€)]]*uitkomst_doelgroep[[#This Row],[Percentage van patiëntaantallen in Wlz (overige is Zvw)]]</f>
        <v>6687711.1334129814</v>
      </c>
      <c r="U1317" s="398">
        <f>uitkomst_doelgroep[[#This Row],[Kosten (€)]]*uitkomst_doelgroep[[#This Row],[Percentage van patiëntaantallen in Wlz (overige is Zvw)]]</f>
        <v>5234305.6982423551</v>
      </c>
      <c r="V1317" s="398">
        <f>uitkomst_doelgroep[[#This Row],[Investering (cash flow) (€)]]*uitkomst_doelgroep[[#This Row],[Percentage van patiëntaantallen in Wlz (overige is Zvw)]]</f>
        <v>326879.57873079157</v>
      </c>
    </row>
    <row r="1318" spans="1:22" x14ac:dyDescent="0.5">
      <c r="A1318" s="33" t="str">
        <f>INDEX(Technologieën[Veld],MATCH(B1318,Technologieën[Digitale zorgtoepassing],0))</f>
        <v>Digitale hulpmiddelen - Verpleging</v>
      </c>
      <c r="B1318" s="33" t="s">
        <v>19</v>
      </c>
      <c r="C1318" s="33" t="s">
        <v>20</v>
      </c>
      <c r="D1318" s="427" cm="1">
        <f t="array" ref="D1318">INDEX(Berekening_patiëntaantal[Percentage van patiëntaantallen in Wlz (overige is Zvw)],MATCH(B1318,IF(Berekening_patiëntaantal[Doelgroep (zoeksleutel)]=C1318,Berekening_patiëntaantal[Digitale zorgtoepassing]),0))</f>
        <v>1</v>
      </c>
      <c r="E1318" s="33" t="str" cm="1">
        <f t="array" ref="E1318">INDEX(Berekening_patiëntaantal[Direct toepasbaar/extrapolatie/incidentie voor QALY],MATCH(B1318,IF(Berekening_patiëntaantal[Doelgroep (zoeksleutel)]=C1318,Berekening_patiëntaantal[Digitale zorgtoepassing]),0))</f>
        <v>Huidige toepassing</v>
      </c>
      <c r="F1318" s="33" t="s">
        <v>813</v>
      </c>
      <c r="G1318" s="33" t="str">
        <f>CONCATENATE(uitkomst_doelgroep[[#This Row],[Digitale zorgtoepassing]],"_",uitkomst_doelgroep[[#This Row],[Doelgroep]],"_",uitkomst_doelgroep[[#This Row],[Uitgangssituatie/effect beleid]])</f>
        <v>Structuurrobot_Dementie_Uitgangssituatie</v>
      </c>
      <c r="H1318" s="33">
        <v>2031</v>
      </c>
      <c r="I1318" s="32">
        <v>9</v>
      </c>
      <c r="J1318" s="406" cm="1">
        <f t="array" ref="J1318">INDEX(implementatie[[2023]:[2034]],MATCH(G1318, implementatie[Zoeksleutel],0),I1318)</f>
        <v>0.90979015880706082</v>
      </c>
      <c r="K1318" s="406" cm="1">
        <f t="array" ref="K1318">INDEX(implementatie[[2023]:[2034]],MATCH(G1318,implementatie[Zoeksleutel],0),I1318 + 1)</f>
        <v>0.94442316592887321</v>
      </c>
      <c r="L131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22221.852076402163</v>
      </c>
      <c r="M1318" s="398" cm="1">
        <f t="array" ref="M1318">J1318*INDEX(Berekening_impact[Totaal arbeidsbesparing (€/jaar)],MATCH(B1318,IF(Berekening_impact[Doelgroep]=C1318,Berekening_impact[Digitale zorgtoepassing]),0))</f>
        <v>30660794.524342071</v>
      </c>
      <c r="N1318" s="397" cm="1">
        <f t="array" ref="N1318">J1318*INDEX(Berekening_impact[Totaal arbeidsbesparing (FTE/jaar)],MATCH(B1318,IF(Berekening_impact[Doelgroep]=C1318,Berekening_impact[Digitale zorgtoepassing]),0))</f>
        <v>722.21019248307039</v>
      </c>
      <c r="O1318" s="398" cm="1">
        <f t="array" ref="O1318">J1318*INDEX(Berekening_impact[Overige kostenbesparing (totaal/jaar totaal potentieel)],MATCH(B1318,IF(Berekening_impact[Doelgroep]=C1318,Berekening_impact[Digitale zorgtoepassing]),0))</f>
        <v>15101585.362735646</v>
      </c>
      <c r="P1318" s="398" cm="1">
        <f t="array" ref="P1318">J1318*INDEX(Berekening_impact[Opbrengsten door QALY''s],MATCH(B1318,IF(Berekening_impact[Doelgroep]=C1318,Berekening_impact[Digitale zorgtoepassing]),0))</f>
        <v>0</v>
      </c>
      <c r="Q1318" s="398" cm="1">
        <f t="array" ref="Q1318">J1318*INDEX(Berekening_impact[Jaarlijkse kosten (totaal) - incl. schatting],MATCH(B1318,IF(Berekening_impact[Doelgroep]=C1318,Berekening_impact[Digitale zorgtoepassing]),0))</f>
        <v>11819636.455547735</v>
      </c>
      <c r="R1318" s="398" cm="1">
        <f t="array" ref="R1318">(uitkomst_doelgroep[[#This Row],[Implementatiegraad t = T + 1]]-uitkomst_doelgroep[[#This Row],[Implementatiegraad t = T]])*INDEX(Berekening_impact[Initiële investering (totaal) - incl. schatting],MATCH(B1318,IF(Berekening_impact[Doelgroep]=C1318,Berekening_impact[Digitale zorgtoepassing]),0))</f>
        <v>665019.40957855259</v>
      </c>
      <c r="S1318" s="398">
        <f>uitkomst_doelgroep[[#This Row],[Arbeidsbesparing (€)]]*uitkomst_doelgroep[[#This Row],[Percentage van patiëntaantallen in Wlz (overige is Zvw)]]</f>
        <v>30660794.524342071</v>
      </c>
      <c r="T1318" s="398">
        <f>uitkomst_doelgroep[[#This Row],[Overige besparingen (€)]]*uitkomst_doelgroep[[#This Row],[Percentage van patiëntaantallen in Wlz (overige is Zvw)]]</f>
        <v>15101585.362735646</v>
      </c>
      <c r="U1318" s="398">
        <f>uitkomst_doelgroep[[#This Row],[Kosten (€)]]*uitkomst_doelgroep[[#This Row],[Percentage van patiëntaantallen in Wlz (overige is Zvw)]]</f>
        <v>11819636.455547735</v>
      </c>
      <c r="V1318" s="398">
        <f>uitkomst_doelgroep[[#This Row],[Investering (cash flow) (€)]]*uitkomst_doelgroep[[#This Row],[Percentage van patiëntaantallen in Wlz (overige is Zvw)]]</f>
        <v>665019.40957855259</v>
      </c>
    </row>
    <row r="1319" spans="1:22" x14ac:dyDescent="0.5">
      <c r="A1319" s="33" t="str">
        <f>INDEX(Technologieën[Veld],MATCH(B1319,Technologieën[Digitale zorgtoepassing],0))</f>
        <v>Digitale hulpmiddelen - Verpleging</v>
      </c>
      <c r="B1319" s="33" t="s">
        <v>19</v>
      </c>
      <c r="C1319" s="33" t="s">
        <v>27</v>
      </c>
      <c r="D1319" s="427" cm="1">
        <f t="array" ref="D1319">INDEX(Berekening_patiëntaantal[Percentage van patiëntaantallen in Wlz (overige is Zvw)],MATCH(B1319,IF(Berekening_patiëntaantal[Doelgroep (zoeksleutel)]=C1319,Berekening_patiëntaantal[Digitale zorgtoepassing]),0))</f>
        <v>0.45</v>
      </c>
      <c r="E1319" s="33" t="str" cm="1">
        <f t="array" ref="E1319">INDEX(Berekening_patiëntaantal[Direct toepasbaar/extrapolatie/incidentie voor QALY],MATCH(B1319,IF(Berekening_patiëntaantal[Doelgroep (zoeksleutel)]=C1319,Berekening_patiëntaantal[Digitale zorgtoepassing]),0))</f>
        <v>Extrapolatie</v>
      </c>
      <c r="F1319" s="33" t="s">
        <v>813</v>
      </c>
      <c r="G1319" s="33" t="str">
        <f>CONCATENATE(uitkomst_doelgroep[[#This Row],[Digitale zorgtoepassing]],"_",uitkomst_doelgroep[[#This Row],[Doelgroep]],"_",uitkomst_doelgroep[[#This Row],[Uitgangssituatie/effect beleid]])</f>
        <v>Structuurrobot_Parkinson_Uitgangssituatie</v>
      </c>
      <c r="H1319" s="33">
        <v>2032</v>
      </c>
      <c r="I1319" s="32">
        <v>10</v>
      </c>
      <c r="J1319" s="406" cm="1">
        <f t="array" ref="J1319">INDEX(implementatie[[2023]:[2034]],MATCH(G1319, implementatie[Zoeksleutel],0),I1319)</f>
        <v>0.47752884860285211</v>
      </c>
      <c r="K1319" s="406" cm="1">
        <f t="array" ref="K1319">INDEX(implementatie[[2023]:[2034]],MATCH(G1319,implementatie[Zoeksleutel],0),I1319 + 1)</f>
        <v>0.5877762905727496</v>
      </c>
      <c r="L131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3789.1914136636315</v>
      </c>
      <c r="M1319" s="398" cm="1">
        <f t="array" ref="M1319">J1319*INDEX(Berekening_impact[Totaal arbeidsbesparing (€/jaar)],MATCH(B1319,IF(Berekening_impact[Doelgroep]=C1319,Berekening_impact[Digitale zorgtoepassing]),0))</f>
        <v>5228169.9539848594</v>
      </c>
      <c r="N1319" s="397" cm="1">
        <f t="array" ref="N1319">J1319*INDEX(Berekening_impact[Totaal arbeidsbesparing (FTE/jaar)],MATCH(B1319,IF(Berekening_impact[Doelgroep]=C1319,Berekening_impact[Digitale zorgtoepassing]),0))</f>
        <v>123.14872094406802</v>
      </c>
      <c r="O1319" s="398" cm="1">
        <f t="array" ref="O1319">J1319*INDEX(Berekening_impact[Overige kostenbesparing (totaal/jaar totaal potentieel)],MATCH(B1319,IF(Berekening_impact[Doelgroep]=C1319,Berekening_impact[Digitale zorgtoepassing]),0))</f>
        <v>2575068.7833059761</v>
      </c>
      <c r="P1319" s="398" cm="1">
        <f t="array" ref="P1319">J1319*INDEX(Berekening_impact[Opbrengsten door QALY''s],MATCH(B1319,IF(Berekening_impact[Doelgroep]=C1319,Berekening_impact[Digitale zorgtoepassing]),0))</f>
        <v>0</v>
      </c>
      <c r="Q1319" s="398" cm="1">
        <f t="array" ref="Q1319">J1319*INDEX(Berekening_impact[Jaarlijkse kosten (totaal) - incl. schatting],MATCH(B1319,IF(Berekening_impact[Doelgroep]=C1319,Berekening_impact[Digitale zorgtoepassing]),0))</f>
        <v>2015442.493992083</v>
      </c>
      <c r="R1319" s="398" cm="1">
        <f t="array" ref="R1319">(uitkomst_doelgroep[[#This Row],[Implementatiegraad t = T + 1]]-uitkomst_doelgroep[[#This Row],[Implementatiegraad t = T]])*INDEX(Berekening_impact[Initiële investering (totaal) - incl. schatting],MATCH(B1319,IF(Berekening_impact[Doelgroep]=C1319,Berekening_impact[Digitale zorgtoepassing]),0))</f>
        <v>0</v>
      </c>
      <c r="S1319" s="398">
        <f>uitkomst_doelgroep[[#This Row],[Arbeidsbesparing (€)]]*uitkomst_doelgroep[[#This Row],[Percentage van patiëntaantallen in Wlz (overige is Zvw)]]</f>
        <v>2352676.4792931867</v>
      </c>
      <c r="T1319" s="398">
        <f>uitkomst_doelgroep[[#This Row],[Overige besparingen (€)]]*uitkomst_doelgroep[[#This Row],[Percentage van patiëntaantallen in Wlz (overige is Zvw)]]</f>
        <v>1158780.9524876892</v>
      </c>
      <c r="U1319" s="398">
        <f>uitkomst_doelgroep[[#This Row],[Kosten (€)]]*uitkomst_doelgroep[[#This Row],[Percentage van patiëntaantallen in Wlz (overige is Zvw)]]</f>
        <v>906949.12229643739</v>
      </c>
      <c r="V1319" s="398">
        <f>uitkomst_doelgroep[[#This Row],[Investering (cash flow) (€)]]*uitkomst_doelgroep[[#This Row],[Percentage van patiëntaantallen in Wlz (overige is Zvw)]]</f>
        <v>0</v>
      </c>
    </row>
    <row r="1320" spans="1:22" x14ac:dyDescent="0.5">
      <c r="A1320" s="33" t="str">
        <f>INDEX(Technologieën[Veld],MATCH(B1320,Technologieën[Digitale zorgtoepassing],0))</f>
        <v>Digitale hulpmiddelen - Verpleging</v>
      </c>
      <c r="B1320" s="33" t="s">
        <v>19</v>
      </c>
      <c r="C1320" s="33" t="s">
        <v>24</v>
      </c>
      <c r="D1320" s="427" cm="1">
        <f t="array" ref="D1320">INDEX(Berekening_patiëntaantal[Percentage van patiëntaantallen in Wlz (overige is Zvw)],MATCH(B1320,IF(Berekening_patiëntaantal[Doelgroep (zoeksleutel)]=C1320,Berekening_patiëntaantal[Digitale zorgtoepassing]),0))</f>
        <v>1</v>
      </c>
      <c r="E1320" s="33" t="str" cm="1">
        <f t="array" ref="E1320">INDEX(Berekening_patiëntaantal[Direct toepasbaar/extrapolatie/incidentie voor QALY],MATCH(B1320,IF(Berekening_patiëntaantal[Doelgroep (zoeksleutel)]=C1320,Berekening_patiëntaantal[Digitale zorgtoepassing]),0))</f>
        <v>Huidige toepassing</v>
      </c>
      <c r="F1320" s="33" t="s">
        <v>813</v>
      </c>
      <c r="G1320" s="33" t="str">
        <f>CONCATENATE(uitkomst_doelgroep[[#This Row],[Digitale zorgtoepassing]],"_",uitkomst_doelgroep[[#This Row],[Doelgroep]],"_",uitkomst_doelgroep[[#This Row],[Uitgangssituatie/effect beleid]])</f>
        <v>Structuurrobot_Cognitieve beperking_Uitgangssituatie</v>
      </c>
      <c r="H1320" s="33">
        <v>2032</v>
      </c>
      <c r="I1320" s="32">
        <v>10</v>
      </c>
      <c r="J1320" s="406" cm="1">
        <f t="array" ref="J1320">INDEX(implementatie[[2023]:[2034]],MATCH(G1320, implementatie[Zoeksleutel],0),I1320)</f>
        <v>0.94442316592887321</v>
      </c>
      <c r="K1320" s="406" cm="1">
        <f t="array" ref="K1320">INDEX(implementatie[[2023]:[2034]],MATCH(G1320,implementatie[Zoeksleutel],0),I1320 + 1)</f>
        <v>0.96652992244459857</v>
      </c>
      <c r="L132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10215.523170439525</v>
      </c>
      <c r="M1320" s="398" cm="1">
        <f t="array" ref="M1320">J1320*INDEX(Berekening_impact[Totaal arbeidsbesparing (€/jaar)],MATCH(B1320,IF(Berekening_impact[Doelgroep]=C1320,Berekening_impact[Digitale zorgtoepassing]),0))</f>
        <v>14094957.333466917</v>
      </c>
      <c r="N1320" s="397" cm="1">
        <f t="array" ref="N1320">J1320*INDEX(Berekening_impact[Totaal arbeidsbesparing (FTE/jaar)],MATCH(B1320,IF(Berekening_impact[Doelgroep]=C1320,Berekening_impact[Digitale zorgtoepassing]),0))</f>
        <v>332.00450303928454</v>
      </c>
      <c r="O1320" s="398" cm="1">
        <f t="array" ref="O1320">J1320*INDEX(Berekening_impact[Overige kostenbesparing (totaal/jaar totaal potentieel)],MATCH(B1320,IF(Berekening_impact[Doelgroep]=C1320,Berekening_impact[Digitale zorgtoepassing]),0))</f>
        <v>6942292.4179762434</v>
      </c>
      <c r="P1320" s="398" cm="1">
        <f t="array" ref="P1320">J1320*INDEX(Berekening_impact[Opbrengsten door QALY''s],MATCH(B1320,IF(Berekening_impact[Doelgroep]=C1320,Berekening_impact[Digitale zorgtoepassing]),0))</f>
        <v>0</v>
      </c>
      <c r="Q1320" s="398" cm="1">
        <f t="array" ref="Q1320">J1320*INDEX(Berekening_impact[Jaarlijkse kosten (totaal) - incl. schatting],MATCH(B1320,IF(Berekening_impact[Doelgroep]=C1320,Berekening_impact[Digitale zorgtoepassing]),0))</f>
        <v>5433560.1579330042</v>
      </c>
      <c r="R1320" s="398" cm="1">
        <f t="array" ref="R1320">(uitkomst_doelgroep[[#This Row],[Implementatiegraad t = T + 1]]-uitkomst_doelgroep[[#This Row],[Implementatiegraad t = T]])*INDEX(Berekening_impact[Initiële investering (totaal) - incl. schatting],MATCH(B1320,IF(Berekening_impact[Doelgroep]=C1320,Berekening_impact[Digitale zorgtoepassing]),0))</f>
        <v>208652.03046181015</v>
      </c>
      <c r="S1320" s="398">
        <f>uitkomst_doelgroep[[#This Row],[Arbeidsbesparing (€)]]*uitkomst_doelgroep[[#This Row],[Percentage van patiëntaantallen in Wlz (overige is Zvw)]]</f>
        <v>14094957.333466917</v>
      </c>
      <c r="T1320" s="398">
        <f>uitkomst_doelgroep[[#This Row],[Overige besparingen (€)]]*uitkomst_doelgroep[[#This Row],[Percentage van patiëntaantallen in Wlz (overige is Zvw)]]</f>
        <v>6942292.4179762434</v>
      </c>
      <c r="U1320" s="398">
        <f>uitkomst_doelgroep[[#This Row],[Kosten (€)]]*uitkomst_doelgroep[[#This Row],[Percentage van patiëntaantallen in Wlz (overige is Zvw)]]</f>
        <v>5433560.1579330042</v>
      </c>
      <c r="V1320" s="398">
        <f>uitkomst_doelgroep[[#This Row],[Investering (cash flow) (€)]]*uitkomst_doelgroep[[#This Row],[Percentage van patiëntaantallen in Wlz (overige is Zvw)]]</f>
        <v>208652.03046181015</v>
      </c>
    </row>
    <row r="1321" spans="1:22" x14ac:dyDescent="0.5">
      <c r="A1321" s="33" t="str">
        <f>INDEX(Technologieën[Veld],MATCH(B1321,Technologieën[Digitale zorgtoepassing],0))</f>
        <v>Digitale hulpmiddelen - Verpleging</v>
      </c>
      <c r="B1321" s="33" t="s">
        <v>19</v>
      </c>
      <c r="C1321" s="33" t="s">
        <v>20</v>
      </c>
      <c r="D1321" s="427" cm="1">
        <f t="array" ref="D1321">INDEX(Berekening_patiëntaantal[Percentage van patiëntaantallen in Wlz (overige is Zvw)],MATCH(B1321,IF(Berekening_patiëntaantal[Doelgroep (zoeksleutel)]=C1321,Berekening_patiëntaantal[Digitale zorgtoepassing]),0))</f>
        <v>1</v>
      </c>
      <c r="E1321" s="33" t="str" cm="1">
        <f t="array" ref="E1321">INDEX(Berekening_patiëntaantal[Direct toepasbaar/extrapolatie/incidentie voor QALY],MATCH(B1321,IF(Berekening_patiëntaantal[Doelgroep (zoeksleutel)]=C1321,Berekening_patiëntaantal[Digitale zorgtoepassing]),0))</f>
        <v>Huidige toepassing</v>
      </c>
      <c r="F1321" s="33" t="s">
        <v>813</v>
      </c>
      <c r="G1321" s="33" t="str">
        <f>CONCATENATE(uitkomst_doelgroep[[#This Row],[Digitale zorgtoepassing]],"_",uitkomst_doelgroep[[#This Row],[Doelgroep]],"_",uitkomst_doelgroep[[#This Row],[Uitgangssituatie/effect beleid]])</f>
        <v>Structuurrobot_Dementie_Uitgangssituatie</v>
      </c>
      <c r="H1321" s="33">
        <v>2032</v>
      </c>
      <c r="I1321" s="32">
        <v>10</v>
      </c>
      <c r="J1321" s="406" cm="1">
        <f t="array" ref="J1321">INDEX(implementatie[[2023]:[2034]],MATCH(G1321, implementatie[Zoeksleutel],0),I1321)</f>
        <v>0.94442316592887321</v>
      </c>
      <c r="K1321" s="406" cm="1">
        <f t="array" ref="K1321">INDEX(implementatie[[2023]:[2034]],MATCH(G1321,implementatie[Zoeksleutel],0),I1321 + 1)</f>
        <v>0.96652992244459857</v>
      </c>
      <c r="L132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23067.77193360421</v>
      </c>
      <c r="M1321" s="398" cm="1">
        <f t="array" ref="M1321">J1321*INDEX(Berekening_impact[Totaal arbeidsbesparing (€/jaar)],MATCH(B1321,IF(Berekening_impact[Doelgroep]=C1321,Berekening_impact[Digitale zorgtoepassing]),0))</f>
        <v>31827959.836961329</v>
      </c>
      <c r="N1321" s="397" cm="1">
        <f t="array" ref="N1321">J1321*INDEX(Berekening_impact[Totaal arbeidsbesparing (FTE/jaar)],MATCH(B1321,IF(Berekening_impact[Doelgroep]=C1321,Berekening_impact[Digitale zorgtoepassing]),0))</f>
        <v>749.70258784213695</v>
      </c>
      <c r="O1321" s="398" cm="1">
        <f t="array" ref="O1321">J1321*INDEX(Berekening_impact[Overige kostenbesparing (totaal/jaar totaal potentieel)],MATCH(B1321,IF(Berekening_impact[Doelgroep]=C1321,Berekening_impact[Digitale zorgtoepassing]),0))</f>
        <v>15676457.83014513</v>
      </c>
      <c r="P1321" s="398" cm="1">
        <f t="array" ref="P1321">J1321*INDEX(Berekening_impact[Opbrengsten door QALY''s],MATCH(B1321,IF(Berekening_impact[Doelgroep]=C1321,Berekening_impact[Digitale zorgtoepassing]),0))</f>
        <v>0</v>
      </c>
      <c r="Q1321" s="398" cm="1">
        <f t="array" ref="Q1321">J1321*INDEX(Berekening_impact[Jaarlijkse kosten (totaal) - incl. schatting],MATCH(B1321,IF(Berekening_impact[Doelgroep]=C1321,Berekening_impact[Digitale zorgtoepassing]),0))</f>
        <v>12269574.883194575</v>
      </c>
      <c r="R1321" s="398" cm="1">
        <f t="array" ref="R1321">(uitkomst_doelgroep[[#This Row],[Implementatiegraad t = T + 1]]-uitkomst_doelgroep[[#This Row],[Implementatiegraad t = T]])*INDEX(Berekening_impact[Initiële investering (totaal) - incl. schatting],MATCH(B1321,IF(Berekening_impact[Doelgroep]=C1321,Berekening_impact[Digitale zorgtoepassing]),0))</f>
        <v>424491.64503896981</v>
      </c>
      <c r="S1321" s="398">
        <f>uitkomst_doelgroep[[#This Row],[Arbeidsbesparing (€)]]*uitkomst_doelgroep[[#This Row],[Percentage van patiëntaantallen in Wlz (overige is Zvw)]]</f>
        <v>31827959.836961329</v>
      </c>
      <c r="T1321" s="398">
        <f>uitkomst_doelgroep[[#This Row],[Overige besparingen (€)]]*uitkomst_doelgroep[[#This Row],[Percentage van patiëntaantallen in Wlz (overige is Zvw)]]</f>
        <v>15676457.83014513</v>
      </c>
      <c r="U1321" s="398">
        <f>uitkomst_doelgroep[[#This Row],[Kosten (€)]]*uitkomst_doelgroep[[#This Row],[Percentage van patiëntaantallen in Wlz (overige is Zvw)]]</f>
        <v>12269574.883194575</v>
      </c>
      <c r="V1321" s="398">
        <f>uitkomst_doelgroep[[#This Row],[Investering (cash flow) (€)]]*uitkomst_doelgroep[[#This Row],[Percentage van patiëntaantallen in Wlz (overige is Zvw)]]</f>
        <v>424491.64503896981</v>
      </c>
    </row>
    <row r="1322" spans="1:22" x14ac:dyDescent="0.5">
      <c r="A1322" s="33" t="str">
        <f>INDEX(Technologieën[Veld],MATCH(B1322,Technologieën[Digitale zorgtoepassing],0))</f>
        <v>Digitale hulpmiddelen - Verpleging</v>
      </c>
      <c r="B1322" s="33" t="s">
        <v>19</v>
      </c>
      <c r="C1322" s="33" t="s">
        <v>27</v>
      </c>
      <c r="D1322" s="427" cm="1">
        <f t="array" ref="D1322">INDEX(Berekening_patiëntaantal[Percentage van patiëntaantallen in Wlz (overige is Zvw)],MATCH(B1322,IF(Berekening_patiëntaantal[Doelgroep (zoeksleutel)]=C1322,Berekening_patiëntaantal[Digitale zorgtoepassing]),0))</f>
        <v>0.45</v>
      </c>
      <c r="E1322" s="33" t="str" cm="1">
        <f t="array" ref="E1322">INDEX(Berekening_patiëntaantal[Direct toepasbaar/extrapolatie/incidentie voor QALY],MATCH(B1322,IF(Berekening_patiëntaantal[Doelgroep (zoeksleutel)]=C1322,Berekening_patiëntaantal[Digitale zorgtoepassing]),0))</f>
        <v>Extrapolatie</v>
      </c>
      <c r="F1322" s="33" t="s">
        <v>813</v>
      </c>
      <c r="G1322" s="33" t="str">
        <f>CONCATENATE(uitkomst_doelgroep[[#This Row],[Digitale zorgtoepassing]],"_",uitkomst_doelgroep[[#This Row],[Doelgroep]],"_",uitkomst_doelgroep[[#This Row],[Uitgangssituatie/effect beleid]])</f>
        <v>Structuurrobot_Parkinson_Uitgangssituatie</v>
      </c>
      <c r="H1322" s="33">
        <v>2033</v>
      </c>
      <c r="I1322" s="32">
        <v>11</v>
      </c>
      <c r="J1322" s="406" cm="1">
        <f t="array" ref="J1322">INDEX(implementatie[[2023]:[2034]],MATCH(G1322, implementatie[Zoeksleutel],0),I1322)</f>
        <v>0.5877762905727496</v>
      </c>
      <c r="K1322" s="406" cm="1">
        <f t="array" ref="K1322">INDEX(implementatie[[2023]:[2034]],MATCH(G1322,implementatie[Zoeksleutel],0),I1322 + 1)</f>
        <v>0.6929388938866099</v>
      </c>
      <c r="L132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4664.0048656947683</v>
      </c>
      <c r="M1322" s="398" cm="1">
        <f t="array" ref="M1322">J1322*INDEX(Berekening_impact[Totaal arbeidsbesparing (€/jaar)],MATCH(B1322,IF(Berekening_impact[Doelgroep]=C1322,Berekening_impact[Digitale zorgtoepassing]),0))</f>
        <v>6435201.4564733664</v>
      </c>
      <c r="N1322" s="397" cm="1">
        <f t="array" ref="N1322">J1322*INDEX(Berekening_impact[Totaal arbeidsbesparing (FTE/jaar)],MATCH(B1322,IF(Berekening_impact[Doelgroep]=C1322,Berekening_impact[Digitale zorgtoepassing]),0))</f>
        <v>151.58015813507996</v>
      </c>
      <c r="O1322" s="398" cm="1">
        <f t="array" ref="O1322">J1322*INDEX(Berekening_impact[Overige kostenbesparing (totaal/jaar totaal potentieel)],MATCH(B1322,IF(Berekening_impact[Doelgroep]=C1322,Berekening_impact[Digitale zorgtoepassing]),0))</f>
        <v>3169576.8367704647</v>
      </c>
      <c r="P1322" s="398" cm="1">
        <f t="array" ref="P1322">J1322*INDEX(Berekening_impact[Opbrengsten door QALY''s],MATCH(B1322,IF(Berekening_impact[Doelgroep]=C1322,Berekening_impact[Digitale zorgtoepassing]),0))</f>
        <v>0</v>
      </c>
      <c r="Q1322" s="398" cm="1">
        <f t="array" ref="Q1322">J1322*INDEX(Berekening_impact[Jaarlijkse kosten (totaal) - incl. schatting],MATCH(B1322,IF(Berekening_impact[Doelgroep]=C1322,Berekening_impact[Digitale zorgtoepassing]),0))</f>
        <v>2480749.2080265544</v>
      </c>
      <c r="R1322" s="398" cm="1">
        <f t="array" ref="R1322">(uitkomst_doelgroep[[#This Row],[Implementatiegraad t = T + 1]]-uitkomst_doelgroep[[#This Row],[Implementatiegraad t = T]])*INDEX(Berekening_impact[Initiële investering (totaal) - incl. schatting],MATCH(B1322,IF(Berekening_impact[Doelgroep]=C1322,Berekening_impact[Digitale zorgtoepassing]),0))</f>
        <v>0</v>
      </c>
      <c r="S1322" s="398">
        <f>uitkomst_doelgroep[[#This Row],[Arbeidsbesparing (€)]]*uitkomst_doelgroep[[#This Row],[Percentage van patiëntaantallen in Wlz (overige is Zvw)]]</f>
        <v>2895840.6554130148</v>
      </c>
      <c r="T1322" s="398">
        <f>uitkomst_doelgroep[[#This Row],[Overige besparingen (€)]]*uitkomst_doelgroep[[#This Row],[Percentage van patiëntaantallen in Wlz (overige is Zvw)]]</f>
        <v>1426309.5765467091</v>
      </c>
      <c r="U1322" s="398">
        <f>uitkomst_doelgroep[[#This Row],[Kosten (€)]]*uitkomst_doelgroep[[#This Row],[Percentage van patiëntaantallen in Wlz (overige is Zvw)]]</f>
        <v>1116337.1436119496</v>
      </c>
      <c r="V1322" s="398">
        <f>uitkomst_doelgroep[[#This Row],[Investering (cash flow) (€)]]*uitkomst_doelgroep[[#This Row],[Percentage van patiëntaantallen in Wlz (overige is Zvw)]]</f>
        <v>0</v>
      </c>
    </row>
    <row r="1323" spans="1:22" x14ac:dyDescent="0.5">
      <c r="A1323" s="33" t="str">
        <f>INDEX(Technologieën[Veld],MATCH(B1323,Technologieën[Digitale zorgtoepassing],0))</f>
        <v>Digitale hulpmiddelen - Verpleging</v>
      </c>
      <c r="B1323" s="33" t="s">
        <v>19</v>
      </c>
      <c r="C1323" s="33" t="s">
        <v>24</v>
      </c>
      <c r="D1323" s="427" cm="1">
        <f t="array" ref="D1323">INDEX(Berekening_patiëntaantal[Percentage van patiëntaantallen in Wlz (overige is Zvw)],MATCH(B1323,IF(Berekening_patiëntaantal[Doelgroep (zoeksleutel)]=C1323,Berekening_patiëntaantal[Digitale zorgtoepassing]),0))</f>
        <v>1</v>
      </c>
      <c r="E1323" s="33" t="str" cm="1">
        <f t="array" ref="E1323">INDEX(Berekening_patiëntaantal[Direct toepasbaar/extrapolatie/incidentie voor QALY],MATCH(B1323,IF(Berekening_patiëntaantal[Doelgroep (zoeksleutel)]=C1323,Berekening_patiëntaantal[Digitale zorgtoepassing]),0))</f>
        <v>Huidige toepassing</v>
      </c>
      <c r="F1323" s="33" t="s">
        <v>813</v>
      </c>
      <c r="G1323" s="33" t="str">
        <f>CONCATENATE(uitkomst_doelgroep[[#This Row],[Digitale zorgtoepassing]],"_",uitkomst_doelgroep[[#This Row],[Doelgroep]],"_",uitkomst_doelgroep[[#This Row],[Uitgangssituatie/effect beleid]])</f>
        <v>Structuurrobot_Cognitieve beperking_Uitgangssituatie</v>
      </c>
      <c r="H1323" s="33">
        <v>2033</v>
      </c>
      <c r="I1323" s="32">
        <v>11</v>
      </c>
      <c r="J1323" s="406" cm="1">
        <f t="array" ref="J1323">INDEX(implementatie[[2023]:[2034]],MATCH(G1323, implementatie[Zoeksleutel],0),I1323)</f>
        <v>0.96652992244459857</v>
      </c>
      <c r="K1323" s="406" cm="1">
        <f t="array" ref="K1323">INDEX(implementatie[[2023]:[2034]],MATCH(G1323,implementatie[Zoeksleutel],0),I1323 + 1)</f>
        <v>0.98013925658124135</v>
      </c>
      <c r="L132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10454.64488150804</v>
      </c>
      <c r="M1323" s="398" cm="1">
        <f t="array" ref="M1323">J1323*INDEX(Berekening_impact[Totaal arbeidsbesparing (€/jaar)],MATCH(B1323,IF(Berekening_impact[Doelgroep]=C1323,Berekening_impact[Digitale zorgtoepassing]),0))</f>
        <v>14424887.603193017</v>
      </c>
      <c r="N1323" s="397" cm="1">
        <f t="array" ref="N1323">J1323*INDEX(Berekening_impact[Totaal arbeidsbesparing (FTE/jaar)],MATCH(B1323,IF(Berekening_impact[Doelgroep]=C1323,Berekening_impact[Digitale zorgtoepassing]),0))</f>
        <v>339.77595864901133</v>
      </c>
      <c r="O1323" s="398" cm="1">
        <f t="array" ref="O1323">J1323*INDEX(Berekening_impact[Overige kostenbesparing (totaal/jaar totaal potentieel)],MATCH(B1323,IF(Berekening_impact[Doelgroep]=C1323,Berekening_impact[Digitale zorgtoepassing]),0))</f>
        <v>7104795.3866473073</v>
      </c>
      <c r="P1323" s="398" cm="1">
        <f t="array" ref="P1323">J1323*INDEX(Berekening_impact[Opbrengsten door QALY''s],MATCH(B1323,IF(Berekening_impact[Doelgroep]=C1323,Berekening_impact[Digitale zorgtoepassing]),0))</f>
        <v>0</v>
      </c>
      <c r="Q1323" s="398" cm="1">
        <f t="array" ref="Q1323">J1323*INDEX(Berekening_impact[Jaarlijkse kosten (totaal) - incl. schatting],MATCH(B1323,IF(Berekening_impact[Doelgroep]=C1323,Berekening_impact[Digitale zorgtoepassing]),0))</f>
        <v>5560747.202637515</v>
      </c>
      <c r="R1323" s="398" cm="1">
        <f t="array" ref="R1323">(uitkomst_doelgroep[[#This Row],[Implementatiegraad t = T + 1]]-uitkomst_doelgroep[[#This Row],[Implementatiegraad t = T]])*INDEX(Berekening_impact[Initiële investering (totaal) - incl. schatting],MATCH(B1323,IF(Berekening_impact[Doelgroep]=C1323,Berekening_impact[Digitale zorgtoepassing]),0))</f>
        <v>128450.10523474209</v>
      </c>
      <c r="S1323" s="398">
        <f>uitkomst_doelgroep[[#This Row],[Arbeidsbesparing (€)]]*uitkomst_doelgroep[[#This Row],[Percentage van patiëntaantallen in Wlz (overige is Zvw)]]</f>
        <v>14424887.603193017</v>
      </c>
      <c r="T1323" s="398">
        <f>uitkomst_doelgroep[[#This Row],[Overige besparingen (€)]]*uitkomst_doelgroep[[#This Row],[Percentage van patiëntaantallen in Wlz (overige is Zvw)]]</f>
        <v>7104795.3866473073</v>
      </c>
      <c r="U1323" s="398">
        <f>uitkomst_doelgroep[[#This Row],[Kosten (€)]]*uitkomst_doelgroep[[#This Row],[Percentage van patiëntaantallen in Wlz (overige is Zvw)]]</f>
        <v>5560747.202637515</v>
      </c>
      <c r="V1323" s="398">
        <f>uitkomst_doelgroep[[#This Row],[Investering (cash flow) (€)]]*uitkomst_doelgroep[[#This Row],[Percentage van patiëntaantallen in Wlz (overige is Zvw)]]</f>
        <v>128450.10523474209</v>
      </c>
    </row>
    <row r="1324" spans="1:22" x14ac:dyDescent="0.5">
      <c r="A1324" s="33" t="str">
        <f>INDEX(Technologieën[Veld],MATCH(B1324,Technologieën[Digitale zorgtoepassing],0))</f>
        <v>Digitale hulpmiddelen - Verpleging</v>
      </c>
      <c r="B1324" s="33" t="s">
        <v>19</v>
      </c>
      <c r="C1324" s="33" t="s">
        <v>20</v>
      </c>
      <c r="D1324" s="427" cm="1">
        <f t="array" ref="D1324">INDEX(Berekening_patiëntaantal[Percentage van patiëntaantallen in Wlz (overige is Zvw)],MATCH(B1324,IF(Berekening_patiëntaantal[Doelgroep (zoeksleutel)]=C1324,Berekening_patiëntaantal[Digitale zorgtoepassing]),0))</f>
        <v>1</v>
      </c>
      <c r="E1324" s="33" t="str" cm="1">
        <f t="array" ref="E1324">INDEX(Berekening_patiëntaantal[Direct toepasbaar/extrapolatie/incidentie voor QALY],MATCH(B1324,IF(Berekening_patiëntaantal[Doelgroep (zoeksleutel)]=C1324,Berekening_patiëntaantal[Digitale zorgtoepassing]),0))</f>
        <v>Huidige toepassing</v>
      </c>
      <c r="F1324" s="33" t="s">
        <v>813</v>
      </c>
      <c r="G1324" s="33" t="str">
        <f>CONCATENATE(uitkomst_doelgroep[[#This Row],[Digitale zorgtoepassing]],"_",uitkomst_doelgroep[[#This Row],[Doelgroep]],"_",uitkomst_doelgroep[[#This Row],[Uitgangssituatie/effect beleid]])</f>
        <v>Structuurrobot_Dementie_Uitgangssituatie</v>
      </c>
      <c r="H1324" s="33">
        <v>2033</v>
      </c>
      <c r="I1324" s="32">
        <v>11</v>
      </c>
      <c r="J1324" s="406" cm="1">
        <f t="array" ref="J1324">INDEX(implementatie[[2023]:[2034]],MATCH(G1324, implementatie[Zoeksleutel],0),I1324)</f>
        <v>0.96652992244459857</v>
      </c>
      <c r="K1324" s="406" cm="1">
        <f t="array" ref="K1324">INDEX(implementatie[[2023]:[2034]],MATCH(G1324,implementatie[Zoeksleutel],0),I1324 + 1)</f>
        <v>0.98013925658124135</v>
      </c>
      <c r="L132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23607.734988189932</v>
      </c>
      <c r="M1324" s="398" cm="1">
        <f t="array" ref="M1324">J1324*INDEX(Berekening_impact[Totaal arbeidsbesparing (€/jaar)],MATCH(B1324,IF(Berekening_impact[Doelgroep]=C1324,Berekening_impact[Digitale zorgtoepassing]),0))</f>
        <v>32572978.578444615</v>
      </c>
      <c r="N1324" s="397" cm="1">
        <f t="array" ref="N1324">J1324*INDEX(Berekening_impact[Totaal arbeidsbesparing (FTE/jaar)],MATCH(B1324,IF(Berekening_impact[Doelgroep]=C1324,Berekening_impact[Digitale zorgtoepassing]),0))</f>
        <v>767.25138711617285</v>
      </c>
      <c r="O1324" s="398" cm="1">
        <f t="array" ref="O1324">J1324*INDEX(Berekening_impact[Overige kostenbesparing (totaal/jaar totaal potentieel)],MATCH(B1324,IF(Berekening_impact[Doelgroep]=C1324,Berekening_impact[Digitale zorgtoepassing]),0))</f>
        <v>16043407.35953242</v>
      </c>
      <c r="P1324" s="398" cm="1">
        <f t="array" ref="P1324">J1324*INDEX(Berekening_impact[Opbrengsten door QALY''s],MATCH(B1324,IF(Berekening_impact[Doelgroep]=C1324,Berekening_impact[Digitale zorgtoepassing]),0))</f>
        <v>0</v>
      </c>
      <c r="Q1324" s="398" cm="1">
        <f t="array" ref="Q1324">J1324*INDEX(Berekening_impact[Jaarlijkse kosten (totaal) - incl. schatting],MATCH(B1324,IF(Berekening_impact[Doelgroep]=C1324,Berekening_impact[Digitale zorgtoepassing]),0))</f>
        <v>12556777.182205811</v>
      </c>
      <c r="R1324" s="398" cm="1">
        <f t="array" ref="R1324">(uitkomst_doelgroep[[#This Row],[Implementatiegraad t = T + 1]]-uitkomst_doelgroep[[#This Row],[Implementatiegraad t = T]])*INDEX(Berekening_impact[Initiële investering (totaal) - incl. schatting],MATCH(B1324,IF(Berekening_impact[Doelgroep]=C1324,Berekening_impact[Digitale zorgtoepassing]),0))</f>
        <v>261325.022123398</v>
      </c>
      <c r="S1324" s="398">
        <f>uitkomst_doelgroep[[#This Row],[Arbeidsbesparing (€)]]*uitkomst_doelgroep[[#This Row],[Percentage van patiëntaantallen in Wlz (overige is Zvw)]]</f>
        <v>32572978.578444615</v>
      </c>
      <c r="T1324" s="398">
        <f>uitkomst_doelgroep[[#This Row],[Overige besparingen (€)]]*uitkomst_doelgroep[[#This Row],[Percentage van patiëntaantallen in Wlz (overige is Zvw)]]</f>
        <v>16043407.35953242</v>
      </c>
      <c r="U1324" s="398">
        <f>uitkomst_doelgroep[[#This Row],[Kosten (€)]]*uitkomst_doelgroep[[#This Row],[Percentage van patiëntaantallen in Wlz (overige is Zvw)]]</f>
        <v>12556777.182205811</v>
      </c>
      <c r="V1324" s="398">
        <f>uitkomst_doelgroep[[#This Row],[Investering (cash flow) (€)]]*uitkomst_doelgroep[[#This Row],[Percentage van patiëntaantallen in Wlz (overige is Zvw)]]</f>
        <v>261325.022123398</v>
      </c>
    </row>
    <row r="1325" spans="1:22" x14ac:dyDescent="0.5">
      <c r="A1325" s="33" t="str">
        <f>INDEX(Technologieën[Veld],MATCH(B1325,Technologieën[Digitale zorgtoepassing],0))</f>
        <v>Software - Diagnose</v>
      </c>
      <c r="B1325" s="33" t="s">
        <v>56</v>
      </c>
      <c r="C1325" s="33" t="s">
        <v>57</v>
      </c>
      <c r="D1325" s="427" cm="1">
        <f t="array" ref="D1325">INDEX(Berekening_patiëntaantal[Percentage van patiëntaantallen in Wlz (overige is Zvw)],MATCH(B1325,IF(Berekening_patiëntaantal[Doelgroep (zoeksleutel)]=C1325,Berekening_patiëntaantal[Digitale zorgtoepassing]),0))</f>
        <v>0</v>
      </c>
      <c r="E1325" s="33" t="str" cm="1">
        <f t="array" ref="E1325">INDEX(Berekening_patiëntaantal[Direct toepasbaar/extrapolatie/incidentie voor QALY],MATCH(B1325,IF(Berekening_patiëntaantal[Doelgroep (zoeksleutel)]=C1325,Berekening_patiëntaantal[Digitale zorgtoepassing]),0))</f>
        <v>Huidige toepassing</v>
      </c>
      <c r="F1325" s="33" t="s">
        <v>813</v>
      </c>
      <c r="G1325" s="33" t="str">
        <f>CONCATENATE(uitkomst_doelgroep[[#This Row],[Digitale zorgtoepassing]],"_",uitkomst_doelgroep[[#This Row],[Doelgroep]],"_",uitkomst_doelgroep[[#This Row],[Uitgangssituatie/effect beleid]])</f>
        <v>Virtual cockpit_MRI-scans_Uitgangssituatie</v>
      </c>
      <c r="H1325" s="33">
        <v>2023</v>
      </c>
      <c r="I1325" s="32">
        <v>1</v>
      </c>
      <c r="J1325" s="406" cm="1">
        <f t="array" ref="J1325">INDEX(implementatie[[2023]:[2034]],MATCH(G1325, implementatie[Zoeksleutel],0),I1325)</f>
        <v>0.2</v>
      </c>
      <c r="K1325" s="406" cm="1">
        <f t="array" ref="K1325">INDEX(implementatie[[2023]:[2034]],MATCH(G1325,implementatie[Zoeksleutel],0),I1325 + 1)</f>
        <v>0.29200000000000004</v>
      </c>
      <c r="L132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200000</v>
      </c>
      <c r="M1325" s="398" cm="1">
        <f t="array" ref="M1325">J1325*INDEX(Berekening_impact[Totaal arbeidsbesparing (€/jaar)],MATCH(B1325,IF(Berekening_impact[Doelgroep]=C1325,Berekening_impact[Digitale zorgtoepassing]),0))</f>
        <v>228471.26436781615</v>
      </c>
      <c r="N1325" s="397" cm="1">
        <f t="array" ref="N1325">J1325*INDEX(Berekening_impact[Totaal arbeidsbesparing (FTE/jaar)],MATCH(B1325,IF(Berekening_impact[Doelgroep]=C1325,Berekening_impact[Digitale zorgtoepassing]),0))</f>
        <v>3.8461538461538467</v>
      </c>
      <c r="O1325" s="398" cm="1">
        <f t="array" ref="O1325">J1325*INDEX(Berekening_impact[Overige kostenbesparing (totaal/jaar totaal potentieel)],MATCH(B1325,IF(Berekening_impact[Doelgroep]=C1325,Berekening_impact[Digitale zorgtoepassing]),0))</f>
        <v>0</v>
      </c>
      <c r="P1325" s="398" cm="1">
        <f t="array" ref="P1325">J1325*INDEX(Berekening_impact[Opbrengsten door QALY''s],MATCH(B1325,IF(Berekening_impact[Doelgroep]=C1325,Berekening_impact[Digitale zorgtoepassing]),0))</f>
        <v>0</v>
      </c>
      <c r="Q1325" s="398" cm="1">
        <f t="array" ref="Q1325">J1325*INDEX(Berekening_impact[Jaarlijkse kosten (totaal) - incl. schatting],MATCH(B1325,IF(Berekening_impact[Doelgroep]=C1325,Berekening_impact[Digitale zorgtoepassing]),0))</f>
        <v>194162.12520825965</v>
      </c>
      <c r="R1325" s="398" cm="1">
        <f t="array" ref="R1325">(uitkomst_doelgroep[[#This Row],[Implementatiegraad t = T + 1]]-uitkomst_doelgroep[[#This Row],[Implementatiegraad t = T]])*INDEX(Berekening_impact[Initiële investering (totaal) - incl. schatting],MATCH(B1325,IF(Berekening_impact[Doelgroep]=C1325,Berekening_impact[Digitale zorgtoepassing]),0))</f>
        <v>0</v>
      </c>
      <c r="S1325" s="398">
        <f>uitkomst_doelgroep[[#This Row],[Arbeidsbesparing (€)]]*uitkomst_doelgroep[[#This Row],[Percentage van patiëntaantallen in Wlz (overige is Zvw)]]</f>
        <v>0</v>
      </c>
      <c r="T1325" s="398">
        <f>uitkomst_doelgroep[[#This Row],[Overige besparingen (€)]]*uitkomst_doelgroep[[#This Row],[Percentage van patiëntaantallen in Wlz (overige is Zvw)]]</f>
        <v>0</v>
      </c>
      <c r="U1325" s="398">
        <f>uitkomst_doelgroep[[#This Row],[Kosten (€)]]*uitkomst_doelgroep[[#This Row],[Percentage van patiëntaantallen in Wlz (overige is Zvw)]]</f>
        <v>0</v>
      </c>
      <c r="V1325" s="398">
        <f>uitkomst_doelgroep[[#This Row],[Investering (cash flow) (€)]]*uitkomst_doelgroep[[#This Row],[Percentage van patiëntaantallen in Wlz (overige is Zvw)]]</f>
        <v>0</v>
      </c>
    </row>
    <row r="1326" spans="1:22" x14ac:dyDescent="0.5">
      <c r="A1326" s="33" t="str">
        <f>INDEX(Technologieën[Veld],MATCH(B1326,Technologieën[Digitale zorgtoepassing],0))</f>
        <v>Software - Diagnose</v>
      </c>
      <c r="B1326" s="33" t="s">
        <v>56</v>
      </c>
      <c r="C1326" s="33" t="s">
        <v>57</v>
      </c>
      <c r="D1326" s="427" cm="1">
        <f t="array" ref="D1326">INDEX(Berekening_patiëntaantal[Percentage van patiëntaantallen in Wlz (overige is Zvw)],MATCH(B1326,IF(Berekening_patiëntaantal[Doelgroep (zoeksleutel)]=C1326,Berekening_patiëntaantal[Digitale zorgtoepassing]),0))</f>
        <v>0</v>
      </c>
      <c r="E1326" s="33" t="str" cm="1">
        <f t="array" ref="E1326">INDEX(Berekening_patiëntaantal[Direct toepasbaar/extrapolatie/incidentie voor QALY],MATCH(B1326,IF(Berekening_patiëntaantal[Doelgroep (zoeksleutel)]=C1326,Berekening_patiëntaantal[Digitale zorgtoepassing]),0))</f>
        <v>Huidige toepassing</v>
      </c>
      <c r="F1326" s="33" t="s">
        <v>813</v>
      </c>
      <c r="G1326" s="33" t="str">
        <f>CONCATENATE(uitkomst_doelgroep[[#This Row],[Digitale zorgtoepassing]],"_",uitkomst_doelgroep[[#This Row],[Doelgroep]],"_",uitkomst_doelgroep[[#This Row],[Uitgangssituatie/effect beleid]])</f>
        <v>Virtual cockpit_MRI-scans_Uitgangssituatie</v>
      </c>
      <c r="H1326" s="33">
        <v>2024</v>
      </c>
      <c r="I1326" s="32">
        <v>2</v>
      </c>
      <c r="J1326" s="406" cm="1">
        <f t="array" ref="J1326">INDEX(implementatie[[2023]:[2034]],MATCH(G1326, implementatie[Zoeksleutel],0),I1326)</f>
        <v>0.29200000000000004</v>
      </c>
      <c r="K1326" s="406" cm="1">
        <f t="array" ref="K1326">INDEX(implementatie[[2023]:[2034]],MATCH(G1326,implementatie[Zoeksleutel],0),I1326 + 1)</f>
        <v>0.40273120000000007</v>
      </c>
      <c r="L132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292000.00000000006</v>
      </c>
      <c r="M1326" s="398" cm="1">
        <f t="array" ref="M1326">J1326*INDEX(Berekening_impact[Totaal arbeidsbesparing (€/jaar)],MATCH(B1326,IF(Berekening_impact[Doelgroep]=C1326,Berekening_impact[Digitale zorgtoepassing]),0))</f>
        <v>333568.04597701161</v>
      </c>
      <c r="N1326" s="397" cm="1">
        <f t="array" ref="N1326">J1326*INDEX(Berekening_impact[Totaal arbeidsbesparing (FTE/jaar)],MATCH(B1326,IF(Berekening_impact[Doelgroep]=C1326,Berekening_impact[Digitale zorgtoepassing]),0))</f>
        <v>5.6153846153846168</v>
      </c>
      <c r="O1326" s="398" cm="1">
        <f t="array" ref="O1326">J1326*INDEX(Berekening_impact[Overige kostenbesparing (totaal/jaar totaal potentieel)],MATCH(B1326,IF(Berekening_impact[Doelgroep]=C1326,Berekening_impact[Digitale zorgtoepassing]),0))</f>
        <v>0</v>
      </c>
      <c r="P1326" s="398" cm="1">
        <f t="array" ref="P1326">J1326*INDEX(Berekening_impact[Opbrengsten door QALY''s],MATCH(B1326,IF(Berekening_impact[Doelgroep]=C1326,Berekening_impact[Digitale zorgtoepassing]),0))</f>
        <v>0</v>
      </c>
      <c r="Q1326" s="398" cm="1">
        <f t="array" ref="Q1326">J1326*INDEX(Berekening_impact[Jaarlijkse kosten (totaal) - incl. schatting],MATCH(B1326,IF(Berekening_impact[Doelgroep]=C1326,Berekening_impact[Digitale zorgtoepassing]),0))</f>
        <v>283476.70280405908</v>
      </c>
      <c r="R1326" s="398" cm="1">
        <f t="array" ref="R1326">(uitkomst_doelgroep[[#This Row],[Implementatiegraad t = T + 1]]-uitkomst_doelgroep[[#This Row],[Implementatiegraad t = T]])*INDEX(Berekening_impact[Initiële investering (totaal) - incl. schatting],MATCH(B1326,IF(Berekening_impact[Doelgroep]=C1326,Berekening_impact[Digitale zorgtoepassing]),0))</f>
        <v>0</v>
      </c>
      <c r="S1326" s="398">
        <f>uitkomst_doelgroep[[#This Row],[Arbeidsbesparing (€)]]*uitkomst_doelgroep[[#This Row],[Percentage van patiëntaantallen in Wlz (overige is Zvw)]]</f>
        <v>0</v>
      </c>
      <c r="T1326" s="398">
        <f>uitkomst_doelgroep[[#This Row],[Overige besparingen (€)]]*uitkomst_doelgroep[[#This Row],[Percentage van patiëntaantallen in Wlz (overige is Zvw)]]</f>
        <v>0</v>
      </c>
      <c r="U1326" s="398">
        <f>uitkomst_doelgroep[[#This Row],[Kosten (€)]]*uitkomst_doelgroep[[#This Row],[Percentage van patiëntaantallen in Wlz (overige is Zvw)]]</f>
        <v>0</v>
      </c>
      <c r="V1326" s="398">
        <f>uitkomst_doelgroep[[#This Row],[Investering (cash flow) (€)]]*uitkomst_doelgroep[[#This Row],[Percentage van patiëntaantallen in Wlz (overige is Zvw)]]</f>
        <v>0</v>
      </c>
    </row>
    <row r="1327" spans="1:22" x14ac:dyDescent="0.5">
      <c r="A1327" s="33" t="str">
        <f>INDEX(Technologieën[Veld],MATCH(B1327,Technologieën[Digitale zorgtoepassing],0))</f>
        <v>Software - Diagnose</v>
      </c>
      <c r="B1327" s="33" t="s">
        <v>56</v>
      </c>
      <c r="C1327" s="33" t="s">
        <v>57</v>
      </c>
      <c r="D1327" s="427" cm="1">
        <f t="array" ref="D1327">INDEX(Berekening_patiëntaantal[Percentage van patiëntaantallen in Wlz (overige is Zvw)],MATCH(B1327,IF(Berekening_patiëntaantal[Doelgroep (zoeksleutel)]=C1327,Berekening_patiëntaantal[Digitale zorgtoepassing]),0))</f>
        <v>0</v>
      </c>
      <c r="E1327" s="33" t="str" cm="1">
        <f t="array" ref="E1327">INDEX(Berekening_patiëntaantal[Direct toepasbaar/extrapolatie/incidentie voor QALY],MATCH(B1327,IF(Berekening_patiëntaantal[Doelgroep (zoeksleutel)]=C1327,Berekening_patiëntaantal[Digitale zorgtoepassing]),0))</f>
        <v>Huidige toepassing</v>
      </c>
      <c r="F1327" s="33" t="s">
        <v>813</v>
      </c>
      <c r="G1327" s="33" t="str">
        <f>CONCATENATE(uitkomst_doelgroep[[#This Row],[Digitale zorgtoepassing]],"_",uitkomst_doelgroep[[#This Row],[Doelgroep]],"_",uitkomst_doelgroep[[#This Row],[Uitgangssituatie/effect beleid]])</f>
        <v>Virtual cockpit_MRI-scans_Uitgangssituatie</v>
      </c>
      <c r="H1327" s="33">
        <v>2025</v>
      </c>
      <c r="I1327" s="32">
        <v>3</v>
      </c>
      <c r="J1327" s="406" cm="1">
        <f t="array" ref="J1327">INDEX(implementatie[[2023]:[2034]],MATCH(G1327, implementatie[Zoeksleutel],0),I1327)</f>
        <v>0.40273120000000007</v>
      </c>
      <c r="K1327" s="406" cm="1">
        <f t="array" ref="K1327">INDEX(implementatie[[2023]:[2034]],MATCH(G1327,implementatie[Zoeksleutel],0),I1327 + 1)</f>
        <v>0.52590537124595205</v>
      </c>
      <c r="L132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402731.20000000007</v>
      </c>
      <c r="M1327" s="398" cm="1">
        <f t="array" ref="M1327">J1327*INDEX(Berekening_impact[Totaal arbeidsbesparing (€/jaar)],MATCH(B1327,IF(Berekening_impact[Doelgroep]=C1327,Berekening_impact[Digitale zorgtoepassing]),0))</f>
        <v>460062.53232183924</v>
      </c>
      <c r="N1327" s="397" cm="1">
        <f t="array" ref="N1327">J1327*INDEX(Berekening_impact[Totaal arbeidsbesparing (FTE/jaar)],MATCH(B1327,IF(Berekening_impact[Doelgroep]=C1327,Berekening_impact[Digitale zorgtoepassing]),0))</f>
        <v>7.7448307692307718</v>
      </c>
      <c r="O1327" s="398" cm="1">
        <f t="array" ref="O1327">J1327*INDEX(Berekening_impact[Overige kostenbesparing (totaal/jaar totaal potentieel)],MATCH(B1327,IF(Berekening_impact[Doelgroep]=C1327,Berekening_impact[Digitale zorgtoepassing]),0))</f>
        <v>0</v>
      </c>
      <c r="P1327" s="398" cm="1">
        <f t="array" ref="P1327">J1327*INDEX(Berekening_impact[Opbrengsten door QALY''s],MATCH(B1327,IF(Berekening_impact[Doelgroep]=C1327,Berekening_impact[Digitale zorgtoepassing]),0))</f>
        <v>0</v>
      </c>
      <c r="Q1327" s="398" cm="1">
        <f t="array" ref="Q1327">J1327*INDEX(Berekening_impact[Jaarlijkse kosten (totaal) - incl. schatting],MATCH(B1327,IF(Berekening_impact[Doelgroep]=C1327,Berekening_impact[Digitale zorgtoepassing]),0))</f>
        <v>390975.72839836334</v>
      </c>
      <c r="R1327" s="398" cm="1">
        <f t="array" ref="R1327">(uitkomst_doelgroep[[#This Row],[Implementatiegraad t = T + 1]]-uitkomst_doelgroep[[#This Row],[Implementatiegraad t = T]])*INDEX(Berekening_impact[Initiële investering (totaal) - incl. schatting],MATCH(B1327,IF(Berekening_impact[Doelgroep]=C1327,Berekening_impact[Digitale zorgtoepassing]),0))</f>
        <v>0</v>
      </c>
      <c r="S1327" s="398">
        <f>uitkomst_doelgroep[[#This Row],[Arbeidsbesparing (€)]]*uitkomst_doelgroep[[#This Row],[Percentage van patiëntaantallen in Wlz (overige is Zvw)]]</f>
        <v>0</v>
      </c>
      <c r="T1327" s="398">
        <f>uitkomst_doelgroep[[#This Row],[Overige besparingen (€)]]*uitkomst_doelgroep[[#This Row],[Percentage van patiëntaantallen in Wlz (overige is Zvw)]]</f>
        <v>0</v>
      </c>
      <c r="U1327" s="398">
        <f>uitkomst_doelgroep[[#This Row],[Kosten (€)]]*uitkomst_doelgroep[[#This Row],[Percentage van patiëntaantallen in Wlz (overige is Zvw)]]</f>
        <v>0</v>
      </c>
      <c r="V1327" s="398">
        <f>uitkomst_doelgroep[[#This Row],[Investering (cash flow) (€)]]*uitkomst_doelgroep[[#This Row],[Percentage van patiëntaantallen in Wlz (overige is Zvw)]]</f>
        <v>0</v>
      </c>
    </row>
    <row r="1328" spans="1:22" x14ac:dyDescent="0.5">
      <c r="A1328" s="33" t="str">
        <f>INDEX(Technologieën[Veld],MATCH(B1328,Technologieën[Digitale zorgtoepassing],0))</f>
        <v>Software - Diagnose</v>
      </c>
      <c r="B1328" s="33" t="s">
        <v>56</v>
      </c>
      <c r="C1328" s="33" t="s">
        <v>57</v>
      </c>
      <c r="D1328" s="427" cm="1">
        <f t="array" ref="D1328">INDEX(Berekening_patiëntaantal[Percentage van patiëntaantallen in Wlz (overige is Zvw)],MATCH(B1328,IF(Berekening_patiëntaantal[Doelgroep (zoeksleutel)]=C1328,Berekening_patiëntaantal[Digitale zorgtoepassing]),0))</f>
        <v>0</v>
      </c>
      <c r="E1328" s="33" t="str" cm="1">
        <f t="array" ref="E1328">INDEX(Berekening_patiëntaantal[Direct toepasbaar/extrapolatie/incidentie voor QALY],MATCH(B1328,IF(Berekening_patiëntaantal[Doelgroep (zoeksleutel)]=C1328,Berekening_patiëntaantal[Digitale zorgtoepassing]),0))</f>
        <v>Huidige toepassing</v>
      </c>
      <c r="F1328" s="33" t="s">
        <v>813</v>
      </c>
      <c r="G1328" s="33" t="str">
        <f>CONCATENATE(uitkomst_doelgroep[[#This Row],[Digitale zorgtoepassing]],"_",uitkomst_doelgroep[[#This Row],[Doelgroep]],"_",uitkomst_doelgroep[[#This Row],[Uitgangssituatie/effect beleid]])</f>
        <v>Virtual cockpit_MRI-scans_Uitgangssituatie</v>
      </c>
      <c r="H1328" s="33">
        <v>2026</v>
      </c>
      <c r="I1328" s="32">
        <v>4</v>
      </c>
      <c r="J1328" s="406" cm="1">
        <f t="array" ref="J1328">INDEX(implementatie[[2023]:[2034]],MATCH(G1328, implementatie[Zoeksleutel],0),I1328)</f>
        <v>0.52590537124595205</v>
      </c>
      <c r="K1328" s="406" cm="1">
        <f t="array" ref="K1328">INDEX(implementatie[[2023]:[2034]],MATCH(G1328,implementatie[Zoeksleutel],0),I1328 + 1)</f>
        <v>0.64995574724807748</v>
      </c>
      <c r="L132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525905.37124595209</v>
      </c>
      <c r="M1328" s="398" cm="1">
        <f t="array" ref="M1328">J1328*INDEX(Berekening_impact[Totaal arbeidsbesparing (€/jaar)],MATCH(B1328,IF(Berekening_impact[Doelgroep]=C1328,Berekening_impact[Digitale zorgtoepassing]),0))</f>
        <v>600771.32553194195</v>
      </c>
      <c r="N1328" s="397" cm="1">
        <f t="array" ref="N1328">J1328*INDEX(Berekening_impact[Totaal arbeidsbesparing (FTE/jaar)],MATCH(B1328,IF(Berekening_impact[Doelgroep]=C1328,Berekening_impact[Digitale zorgtoepassing]),0))</f>
        <v>10.113564831652926</v>
      </c>
      <c r="O1328" s="398" cm="1">
        <f t="array" ref="O1328">J1328*INDEX(Berekening_impact[Overige kostenbesparing (totaal/jaar totaal potentieel)],MATCH(B1328,IF(Berekening_impact[Doelgroep]=C1328,Berekening_impact[Digitale zorgtoepassing]),0))</f>
        <v>0</v>
      </c>
      <c r="P1328" s="398" cm="1">
        <f t="array" ref="P1328">J1328*INDEX(Berekening_impact[Opbrengsten door QALY''s],MATCH(B1328,IF(Berekening_impact[Doelgroep]=C1328,Berekening_impact[Digitale zorgtoepassing]),0))</f>
        <v>0</v>
      </c>
      <c r="Q1328" s="398" cm="1">
        <f t="array" ref="Q1328">J1328*INDEX(Berekening_impact[Jaarlijkse kosten (totaal) - incl. schatting],MATCH(B1328,IF(Berekening_impact[Doelgroep]=C1328,Berekening_impact[Digitale zorgtoepassing]),0))</f>
        <v>510554.52269776404</v>
      </c>
      <c r="R1328" s="398" cm="1">
        <f t="array" ref="R1328">(uitkomst_doelgroep[[#This Row],[Implementatiegraad t = T + 1]]-uitkomst_doelgroep[[#This Row],[Implementatiegraad t = T]])*INDEX(Berekening_impact[Initiële investering (totaal) - incl. schatting],MATCH(B1328,IF(Berekening_impact[Doelgroep]=C1328,Berekening_impact[Digitale zorgtoepassing]),0))</f>
        <v>0</v>
      </c>
      <c r="S1328" s="398">
        <f>uitkomst_doelgroep[[#This Row],[Arbeidsbesparing (€)]]*uitkomst_doelgroep[[#This Row],[Percentage van patiëntaantallen in Wlz (overige is Zvw)]]</f>
        <v>0</v>
      </c>
      <c r="T1328" s="398">
        <f>uitkomst_doelgroep[[#This Row],[Overige besparingen (€)]]*uitkomst_doelgroep[[#This Row],[Percentage van patiëntaantallen in Wlz (overige is Zvw)]]</f>
        <v>0</v>
      </c>
      <c r="U1328" s="398">
        <f>uitkomst_doelgroep[[#This Row],[Kosten (€)]]*uitkomst_doelgroep[[#This Row],[Percentage van patiëntaantallen in Wlz (overige is Zvw)]]</f>
        <v>0</v>
      </c>
      <c r="V1328" s="398">
        <f>uitkomst_doelgroep[[#This Row],[Investering (cash flow) (€)]]*uitkomst_doelgroep[[#This Row],[Percentage van patiëntaantallen in Wlz (overige is Zvw)]]</f>
        <v>0</v>
      </c>
    </row>
    <row r="1329" spans="1:22" x14ac:dyDescent="0.5">
      <c r="A1329" s="33" t="str">
        <f>INDEX(Technologieën[Veld],MATCH(B1329,Technologieën[Digitale zorgtoepassing],0))</f>
        <v>Software - Diagnose</v>
      </c>
      <c r="B1329" s="33" t="s">
        <v>56</v>
      </c>
      <c r="C1329" s="33" t="s">
        <v>57</v>
      </c>
      <c r="D1329" s="427" cm="1">
        <f t="array" ref="D1329">INDEX(Berekening_patiëntaantal[Percentage van patiëntaantallen in Wlz (overige is Zvw)],MATCH(B1329,IF(Berekening_patiëntaantal[Doelgroep (zoeksleutel)]=C1329,Berekening_patiëntaantal[Digitale zorgtoepassing]),0))</f>
        <v>0</v>
      </c>
      <c r="E1329" s="33" t="str" cm="1">
        <f t="array" ref="E1329">INDEX(Berekening_patiëntaantal[Direct toepasbaar/extrapolatie/incidentie voor QALY],MATCH(B1329,IF(Berekening_patiëntaantal[Doelgroep (zoeksleutel)]=C1329,Berekening_patiëntaantal[Digitale zorgtoepassing]),0))</f>
        <v>Huidige toepassing</v>
      </c>
      <c r="F1329" s="33" t="s">
        <v>813</v>
      </c>
      <c r="G1329" s="33" t="str">
        <f>CONCATENATE(uitkomst_doelgroep[[#This Row],[Digitale zorgtoepassing]],"_",uitkomst_doelgroep[[#This Row],[Doelgroep]],"_",uitkomst_doelgroep[[#This Row],[Uitgangssituatie/effect beleid]])</f>
        <v>Virtual cockpit_MRI-scans_Uitgangssituatie</v>
      </c>
      <c r="H1329" s="33">
        <v>2027</v>
      </c>
      <c r="I1329" s="32">
        <v>5</v>
      </c>
      <c r="J1329" s="406" cm="1">
        <f t="array" ref="J1329">INDEX(implementatie[[2023]:[2034]],MATCH(G1329, implementatie[Zoeksleutel],0),I1329)</f>
        <v>0.64995574724807748</v>
      </c>
      <c r="K1329" s="406" cm="1">
        <f t="array" ref="K1329">INDEX(implementatie[[2023]:[2034]],MATCH(G1329,implementatie[Zoeksleutel],0),I1329 + 1)</f>
        <v>0.76108782680714737</v>
      </c>
      <c r="L132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649955.74724807753</v>
      </c>
      <c r="M1329" s="398" cm="1">
        <f t="array" ref="M1329">J1329*INDEX(Berekening_impact[Totaal arbeidsbesparing (€/jaar)],MATCH(B1329,IF(Berekening_impact[Doelgroep]=C1329,Berekening_impact[Digitale zorgtoepassing]),0))</f>
        <v>742481.056784485</v>
      </c>
      <c r="N1329" s="397" cm="1">
        <f t="array" ref="N1329">J1329*INDEX(Berekening_impact[Totaal arbeidsbesparing (FTE/jaar)],MATCH(B1329,IF(Berekening_impact[Doelgroep]=C1329,Berekening_impact[Digitale zorgtoepassing]),0))</f>
        <v>12.499148985539954</v>
      </c>
      <c r="O1329" s="398" cm="1">
        <f t="array" ref="O1329">J1329*INDEX(Berekening_impact[Overige kostenbesparing (totaal/jaar totaal potentieel)],MATCH(B1329,IF(Berekening_impact[Doelgroep]=C1329,Berekening_impact[Digitale zorgtoepassing]),0))</f>
        <v>0</v>
      </c>
      <c r="P1329" s="398" cm="1">
        <f t="array" ref="P1329">J1329*INDEX(Berekening_impact[Opbrengsten door QALY''s],MATCH(B1329,IF(Berekening_impact[Doelgroep]=C1329,Berekening_impact[Digitale zorgtoepassing]),0))</f>
        <v>0</v>
      </c>
      <c r="Q1329" s="398" cm="1">
        <f t="array" ref="Q1329">J1329*INDEX(Berekening_impact[Jaarlijkse kosten (totaal) - incl. schatting],MATCH(B1329,IF(Berekening_impact[Doelgroep]=C1329,Berekening_impact[Digitale zorgtoepassing]),0))</f>
        <v>630983.9458850458</v>
      </c>
      <c r="R1329" s="398" cm="1">
        <f t="array" ref="R1329">(uitkomst_doelgroep[[#This Row],[Implementatiegraad t = T + 1]]-uitkomst_doelgroep[[#This Row],[Implementatiegraad t = T]])*INDEX(Berekening_impact[Initiële investering (totaal) - incl. schatting],MATCH(B1329,IF(Berekening_impact[Doelgroep]=C1329,Berekening_impact[Digitale zorgtoepassing]),0))</f>
        <v>0</v>
      </c>
      <c r="S1329" s="398">
        <f>uitkomst_doelgroep[[#This Row],[Arbeidsbesparing (€)]]*uitkomst_doelgroep[[#This Row],[Percentage van patiëntaantallen in Wlz (overige is Zvw)]]</f>
        <v>0</v>
      </c>
      <c r="T1329" s="398">
        <f>uitkomst_doelgroep[[#This Row],[Overige besparingen (€)]]*uitkomst_doelgroep[[#This Row],[Percentage van patiëntaantallen in Wlz (overige is Zvw)]]</f>
        <v>0</v>
      </c>
      <c r="U1329" s="398">
        <f>uitkomst_doelgroep[[#This Row],[Kosten (€)]]*uitkomst_doelgroep[[#This Row],[Percentage van patiëntaantallen in Wlz (overige is Zvw)]]</f>
        <v>0</v>
      </c>
      <c r="V1329" s="398">
        <f>uitkomst_doelgroep[[#This Row],[Investering (cash flow) (€)]]*uitkomst_doelgroep[[#This Row],[Percentage van patiëntaantallen in Wlz (overige is Zvw)]]</f>
        <v>0</v>
      </c>
    </row>
    <row r="1330" spans="1:22" x14ac:dyDescent="0.5">
      <c r="A1330" s="33" t="str">
        <f>INDEX(Technologieën[Veld],MATCH(B1330,Technologieën[Digitale zorgtoepassing],0))</f>
        <v>Software - Diagnose</v>
      </c>
      <c r="B1330" s="33" t="s">
        <v>56</v>
      </c>
      <c r="C1330" s="33" t="s">
        <v>57</v>
      </c>
      <c r="D1330" s="427" cm="1">
        <f t="array" ref="D1330">INDEX(Berekening_patiëntaantal[Percentage van patiëntaantallen in Wlz (overige is Zvw)],MATCH(B1330,IF(Berekening_patiëntaantal[Doelgroep (zoeksleutel)]=C1330,Berekening_patiëntaantal[Digitale zorgtoepassing]),0))</f>
        <v>0</v>
      </c>
      <c r="E1330" s="33" t="str" cm="1">
        <f t="array" ref="E1330">INDEX(Berekening_patiëntaantal[Direct toepasbaar/extrapolatie/incidentie voor QALY],MATCH(B1330,IF(Berekening_patiëntaantal[Doelgroep (zoeksleutel)]=C1330,Berekening_patiëntaantal[Digitale zorgtoepassing]),0))</f>
        <v>Huidige toepassing</v>
      </c>
      <c r="F1330" s="33" t="s">
        <v>813</v>
      </c>
      <c r="G1330" s="33" t="str">
        <f>CONCATENATE(uitkomst_doelgroep[[#This Row],[Digitale zorgtoepassing]],"_",uitkomst_doelgroep[[#This Row],[Doelgroep]],"_",uitkomst_doelgroep[[#This Row],[Uitgangssituatie/effect beleid]])</f>
        <v>Virtual cockpit_MRI-scans_Uitgangssituatie</v>
      </c>
      <c r="H1330" s="33">
        <v>2028</v>
      </c>
      <c r="I1330" s="32">
        <v>6</v>
      </c>
      <c r="J1330" s="406" cm="1">
        <f t="array" ref="J1330">INDEX(implementatie[[2023]:[2034]],MATCH(G1330, implementatie[Zoeksleutel],0),I1330)</f>
        <v>0.76108782680714737</v>
      </c>
      <c r="K1330" s="406" cm="1">
        <f t="array" ref="K1330">INDEX(implementatie[[2023]:[2034]],MATCH(G1330,implementatie[Zoeksleutel],0),I1330 + 1)</f>
        <v>0.8488855471488731</v>
      </c>
      <c r="L133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761087.82680714736</v>
      </c>
      <c r="M1330" s="398" cm="1">
        <f t="array" ref="M1330">J1330*INDEX(Berekening_impact[Totaal arbeidsbesparing (€/jaar)],MATCH(B1330,IF(Berekening_impact[Doelgroep]=C1330,Berekening_impact[Digitale zorgtoepassing]),0))</f>
        <v>869433.4904279121</v>
      </c>
      <c r="N1330" s="397" cm="1">
        <f t="array" ref="N1330">J1330*INDEX(Berekening_impact[Totaal arbeidsbesparing (FTE/jaar)],MATCH(B1330,IF(Berekening_impact[Doelgroep]=C1330,Berekening_impact[Digitale zorgtoepassing]),0))</f>
        <v>14.636304361675913</v>
      </c>
      <c r="O1330" s="398" cm="1">
        <f t="array" ref="O1330">J1330*INDEX(Berekening_impact[Overige kostenbesparing (totaal/jaar totaal potentieel)],MATCH(B1330,IF(Berekening_impact[Doelgroep]=C1330,Berekening_impact[Digitale zorgtoepassing]),0))</f>
        <v>0</v>
      </c>
      <c r="P1330" s="398" cm="1">
        <f t="array" ref="P1330">J1330*INDEX(Berekening_impact[Opbrengsten door QALY''s],MATCH(B1330,IF(Berekening_impact[Doelgroep]=C1330,Berekening_impact[Digitale zorgtoepassing]),0))</f>
        <v>0</v>
      </c>
      <c r="Q1330" s="398" cm="1">
        <f t="array" ref="Q1330">J1330*INDEX(Berekening_impact[Jaarlijkse kosten (totaal) - incl. schatting],MATCH(B1330,IF(Berekening_impact[Doelgroep]=C1330,Berekening_impact[Digitale zorgtoepassing]),0))</f>
        <v>738872.14961505786</v>
      </c>
      <c r="R1330" s="398" cm="1">
        <f t="array" ref="R1330">(uitkomst_doelgroep[[#This Row],[Implementatiegraad t = T + 1]]-uitkomst_doelgroep[[#This Row],[Implementatiegraad t = T]])*INDEX(Berekening_impact[Initiële investering (totaal) - incl. schatting],MATCH(B1330,IF(Berekening_impact[Doelgroep]=C1330,Berekening_impact[Digitale zorgtoepassing]),0))</f>
        <v>0</v>
      </c>
      <c r="S1330" s="398">
        <f>uitkomst_doelgroep[[#This Row],[Arbeidsbesparing (€)]]*uitkomst_doelgroep[[#This Row],[Percentage van patiëntaantallen in Wlz (overige is Zvw)]]</f>
        <v>0</v>
      </c>
      <c r="T1330" s="398">
        <f>uitkomst_doelgroep[[#This Row],[Overige besparingen (€)]]*uitkomst_doelgroep[[#This Row],[Percentage van patiëntaantallen in Wlz (overige is Zvw)]]</f>
        <v>0</v>
      </c>
      <c r="U1330" s="398">
        <f>uitkomst_doelgroep[[#This Row],[Kosten (€)]]*uitkomst_doelgroep[[#This Row],[Percentage van patiëntaantallen in Wlz (overige is Zvw)]]</f>
        <v>0</v>
      </c>
      <c r="V1330" s="398">
        <f>uitkomst_doelgroep[[#This Row],[Investering (cash flow) (€)]]*uitkomst_doelgroep[[#This Row],[Percentage van patiëntaantallen in Wlz (overige is Zvw)]]</f>
        <v>0</v>
      </c>
    </row>
    <row r="1331" spans="1:22" x14ac:dyDescent="0.5">
      <c r="A1331" s="33" t="str">
        <f>INDEX(Technologieën[Veld],MATCH(B1331,Technologieën[Digitale zorgtoepassing],0))</f>
        <v>Software - Diagnose</v>
      </c>
      <c r="B1331" s="33" t="s">
        <v>56</v>
      </c>
      <c r="C1331" s="33" t="s">
        <v>57</v>
      </c>
      <c r="D1331" s="427" cm="1">
        <f t="array" ref="D1331">INDEX(Berekening_patiëntaantal[Percentage van patiëntaantallen in Wlz (overige is Zvw)],MATCH(B1331,IF(Berekening_patiëntaantal[Doelgroep (zoeksleutel)]=C1331,Berekening_patiëntaantal[Digitale zorgtoepassing]),0))</f>
        <v>0</v>
      </c>
      <c r="E1331" s="33" t="str" cm="1">
        <f t="array" ref="E1331">INDEX(Berekening_patiëntaantal[Direct toepasbaar/extrapolatie/incidentie voor QALY],MATCH(B1331,IF(Berekening_patiëntaantal[Doelgroep (zoeksleutel)]=C1331,Berekening_patiëntaantal[Digitale zorgtoepassing]),0))</f>
        <v>Huidige toepassing</v>
      </c>
      <c r="F1331" s="33" t="s">
        <v>813</v>
      </c>
      <c r="G1331" s="33" t="str">
        <f>CONCATENATE(uitkomst_doelgroep[[#This Row],[Digitale zorgtoepassing]],"_",uitkomst_doelgroep[[#This Row],[Doelgroep]],"_",uitkomst_doelgroep[[#This Row],[Uitgangssituatie/effect beleid]])</f>
        <v>Virtual cockpit_MRI-scans_Uitgangssituatie</v>
      </c>
      <c r="H1331" s="33">
        <v>2029</v>
      </c>
      <c r="I1331" s="32">
        <v>7</v>
      </c>
      <c r="J1331" s="406" cm="1">
        <f t="array" ref="J1331">INDEX(implementatie[[2023]:[2034]],MATCH(G1331, implementatie[Zoeksleutel],0),I1331)</f>
        <v>0.8488855471488731</v>
      </c>
      <c r="K1331" s="406" cm="1">
        <f t="array" ref="K1331">INDEX(implementatie[[2023]:[2034]],MATCH(G1331,implementatie[Zoeksleutel],0),I1331 + 1)</f>
        <v>0.91038890221593549</v>
      </c>
      <c r="L133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848885.5471488731</v>
      </c>
      <c r="M1331" s="398" cm="1">
        <f t="array" ref="M1331">J1331*INDEX(Berekening_impact[Totaal arbeidsbesparing (€/jaar)],MATCH(B1331,IF(Berekening_impact[Doelgroep]=C1331,Berekening_impact[Digitale zorgtoepassing]),0))</f>
        <v>969729.77130334219</v>
      </c>
      <c r="N1331" s="397" cm="1">
        <f t="array" ref="N1331">J1331*INDEX(Berekening_impact[Totaal arbeidsbesparing (FTE/jaar)],MATCH(B1331,IF(Berekening_impact[Doelgroep]=C1331,Berekening_impact[Digitale zorgtoepassing]),0))</f>
        <v>16.324722060555253</v>
      </c>
      <c r="O1331" s="398" cm="1">
        <f t="array" ref="O1331">J1331*INDEX(Berekening_impact[Overige kostenbesparing (totaal/jaar totaal potentieel)],MATCH(B1331,IF(Berekening_impact[Doelgroep]=C1331,Berekening_impact[Digitale zorgtoepassing]),0))</f>
        <v>0</v>
      </c>
      <c r="P1331" s="398" cm="1">
        <f t="array" ref="P1331">J1331*INDEX(Berekening_impact[Opbrengsten door QALY''s],MATCH(B1331,IF(Berekening_impact[Doelgroep]=C1331,Berekening_impact[Digitale zorgtoepassing]),0))</f>
        <v>0</v>
      </c>
      <c r="Q1331" s="398" cm="1">
        <f t="array" ref="Q1331">J1331*INDEX(Berekening_impact[Jaarlijkse kosten (totaal) - incl. schatting],MATCH(B1331,IF(Berekening_impact[Doelgroep]=C1331,Berekening_impact[Digitale zorgtoepassing]),0))</f>
        <v>824107.10946500744</v>
      </c>
      <c r="R1331" s="398" cm="1">
        <f t="array" ref="R1331">(uitkomst_doelgroep[[#This Row],[Implementatiegraad t = T + 1]]-uitkomst_doelgroep[[#This Row],[Implementatiegraad t = T]])*INDEX(Berekening_impact[Initiële investering (totaal) - incl. schatting],MATCH(B1331,IF(Berekening_impact[Doelgroep]=C1331,Berekening_impact[Digitale zorgtoepassing]),0))</f>
        <v>0</v>
      </c>
      <c r="S1331" s="398">
        <f>uitkomst_doelgroep[[#This Row],[Arbeidsbesparing (€)]]*uitkomst_doelgroep[[#This Row],[Percentage van patiëntaantallen in Wlz (overige is Zvw)]]</f>
        <v>0</v>
      </c>
      <c r="T1331" s="398">
        <f>uitkomst_doelgroep[[#This Row],[Overige besparingen (€)]]*uitkomst_doelgroep[[#This Row],[Percentage van patiëntaantallen in Wlz (overige is Zvw)]]</f>
        <v>0</v>
      </c>
      <c r="U1331" s="398">
        <f>uitkomst_doelgroep[[#This Row],[Kosten (€)]]*uitkomst_doelgroep[[#This Row],[Percentage van patiëntaantallen in Wlz (overige is Zvw)]]</f>
        <v>0</v>
      </c>
      <c r="V1331" s="398">
        <f>uitkomst_doelgroep[[#This Row],[Investering (cash flow) (€)]]*uitkomst_doelgroep[[#This Row],[Percentage van patiëntaantallen in Wlz (overige is Zvw)]]</f>
        <v>0</v>
      </c>
    </row>
    <row r="1332" spans="1:22" x14ac:dyDescent="0.5">
      <c r="A1332" s="33" t="str">
        <f>INDEX(Technologieën[Veld],MATCH(B1332,Technologieën[Digitale zorgtoepassing],0))</f>
        <v>Software - Diagnose</v>
      </c>
      <c r="B1332" s="33" t="s">
        <v>56</v>
      </c>
      <c r="C1332" s="33" t="s">
        <v>57</v>
      </c>
      <c r="D1332" s="427" cm="1">
        <f t="array" ref="D1332">INDEX(Berekening_patiëntaantal[Percentage van patiëntaantallen in Wlz (overige is Zvw)],MATCH(B1332,IF(Berekening_patiëntaantal[Doelgroep (zoeksleutel)]=C1332,Berekening_patiëntaantal[Digitale zorgtoepassing]),0))</f>
        <v>0</v>
      </c>
      <c r="E1332" s="33" t="str" cm="1">
        <f t="array" ref="E1332">INDEX(Berekening_patiëntaantal[Direct toepasbaar/extrapolatie/incidentie voor QALY],MATCH(B1332,IF(Berekening_patiëntaantal[Doelgroep (zoeksleutel)]=C1332,Berekening_patiëntaantal[Digitale zorgtoepassing]),0))</f>
        <v>Huidige toepassing</v>
      </c>
      <c r="F1332" s="33" t="s">
        <v>813</v>
      </c>
      <c r="G1332" s="33" t="str">
        <f>CONCATENATE(uitkomst_doelgroep[[#This Row],[Digitale zorgtoepassing]],"_",uitkomst_doelgroep[[#This Row],[Doelgroep]],"_",uitkomst_doelgroep[[#This Row],[Uitgangssituatie/effect beleid]])</f>
        <v>Virtual cockpit_MRI-scans_Uitgangssituatie</v>
      </c>
      <c r="H1332" s="33">
        <v>2030</v>
      </c>
      <c r="I1332" s="32">
        <v>8</v>
      </c>
      <c r="J1332" s="406" cm="1">
        <f t="array" ref="J1332">INDEX(implementatie[[2023]:[2034]],MATCH(G1332, implementatie[Zoeksleutel],0),I1332)</f>
        <v>0.91038890221593549</v>
      </c>
      <c r="K1332" s="406" cm="1">
        <f t="array" ref="K1332">INDEX(implementatie[[2023]:[2034]],MATCH(G1332,implementatie[Zoeksleutel],0),I1332 + 1)</f>
        <v>0.94934060668263687</v>
      </c>
      <c r="L133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910388.90221593552</v>
      </c>
      <c r="M1332" s="398" cm="1">
        <f t="array" ref="M1332">J1332*INDEX(Berekening_impact[Totaal arbeidsbesparing (€/jaar)],MATCH(B1332,IF(Berekening_impact[Doelgroep]=C1332,Berekening_impact[Digitale zorgtoepassing]),0))</f>
        <v>1039988.5177785145</v>
      </c>
      <c r="N1332" s="397" cm="1">
        <f t="array" ref="N1332">J1332*INDEX(Berekening_impact[Totaal arbeidsbesparing (FTE/jaar)],MATCH(B1332,IF(Berekening_impact[Doelgroep]=C1332,Berekening_impact[Digitale zorgtoepassing]),0))</f>
        <v>17.507478888767992</v>
      </c>
      <c r="O1332" s="398" cm="1">
        <f t="array" ref="O1332">J1332*INDEX(Berekening_impact[Overige kostenbesparing (totaal/jaar totaal potentieel)],MATCH(B1332,IF(Berekening_impact[Doelgroep]=C1332,Berekening_impact[Digitale zorgtoepassing]),0))</f>
        <v>0</v>
      </c>
      <c r="P1332" s="398" cm="1">
        <f t="array" ref="P1332">J1332*INDEX(Berekening_impact[Opbrengsten door QALY''s],MATCH(B1332,IF(Berekening_impact[Doelgroep]=C1332,Berekening_impact[Digitale zorgtoepassing]),0))</f>
        <v>0</v>
      </c>
      <c r="Q1332" s="398" cm="1">
        <f t="array" ref="Q1332">J1332*INDEX(Berekening_impact[Jaarlijkse kosten (totaal) - incl. schatting],MATCH(B1332,IF(Berekening_impact[Doelgroep]=C1332,Berekening_impact[Digitale zorgtoepassing]),0))</f>
        <v>883815.22010130249</v>
      </c>
      <c r="R1332" s="398" cm="1">
        <f t="array" ref="R1332">(uitkomst_doelgroep[[#This Row],[Implementatiegraad t = T + 1]]-uitkomst_doelgroep[[#This Row],[Implementatiegraad t = T]])*INDEX(Berekening_impact[Initiële investering (totaal) - incl. schatting],MATCH(B1332,IF(Berekening_impact[Doelgroep]=C1332,Berekening_impact[Digitale zorgtoepassing]),0))</f>
        <v>0</v>
      </c>
      <c r="S1332" s="398">
        <f>uitkomst_doelgroep[[#This Row],[Arbeidsbesparing (€)]]*uitkomst_doelgroep[[#This Row],[Percentage van patiëntaantallen in Wlz (overige is Zvw)]]</f>
        <v>0</v>
      </c>
      <c r="T1332" s="398">
        <f>uitkomst_doelgroep[[#This Row],[Overige besparingen (€)]]*uitkomst_doelgroep[[#This Row],[Percentage van patiëntaantallen in Wlz (overige is Zvw)]]</f>
        <v>0</v>
      </c>
      <c r="U1332" s="398">
        <f>uitkomst_doelgroep[[#This Row],[Kosten (€)]]*uitkomst_doelgroep[[#This Row],[Percentage van patiëntaantallen in Wlz (overige is Zvw)]]</f>
        <v>0</v>
      </c>
      <c r="V1332" s="398">
        <f>uitkomst_doelgroep[[#This Row],[Investering (cash flow) (€)]]*uitkomst_doelgroep[[#This Row],[Percentage van patiëntaantallen in Wlz (overige is Zvw)]]</f>
        <v>0</v>
      </c>
    </row>
    <row r="1333" spans="1:22" x14ac:dyDescent="0.5">
      <c r="A1333" s="33" t="str">
        <f>INDEX(Technologieën[Veld],MATCH(B1333,Technologieën[Digitale zorgtoepassing],0))</f>
        <v>Software - Diagnose</v>
      </c>
      <c r="B1333" s="33" t="s">
        <v>56</v>
      </c>
      <c r="C1333" s="33" t="s">
        <v>57</v>
      </c>
      <c r="D1333" s="427" cm="1">
        <f t="array" ref="D1333">INDEX(Berekening_patiëntaantal[Percentage van patiëntaantallen in Wlz (overige is Zvw)],MATCH(B1333,IF(Berekening_patiëntaantal[Doelgroep (zoeksleutel)]=C1333,Berekening_patiëntaantal[Digitale zorgtoepassing]),0))</f>
        <v>0</v>
      </c>
      <c r="E1333" s="33" t="str" cm="1">
        <f t="array" ref="E1333">INDEX(Berekening_patiëntaantal[Direct toepasbaar/extrapolatie/incidentie voor QALY],MATCH(B1333,IF(Berekening_patiëntaantal[Doelgroep (zoeksleutel)]=C1333,Berekening_patiëntaantal[Digitale zorgtoepassing]),0))</f>
        <v>Huidige toepassing</v>
      </c>
      <c r="F1333" s="33" t="s">
        <v>813</v>
      </c>
      <c r="G1333" s="33" t="str">
        <f>CONCATENATE(uitkomst_doelgroep[[#This Row],[Digitale zorgtoepassing]],"_",uitkomst_doelgroep[[#This Row],[Doelgroep]],"_",uitkomst_doelgroep[[#This Row],[Uitgangssituatie/effect beleid]])</f>
        <v>Virtual cockpit_MRI-scans_Uitgangssituatie</v>
      </c>
      <c r="H1333" s="33">
        <v>2031</v>
      </c>
      <c r="I1333" s="32">
        <v>9</v>
      </c>
      <c r="J1333" s="406" cm="1">
        <f t="array" ref="J1333">INDEX(implementatie[[2023]:[2034]],MATCH(G1333, implementatie[Zoeksleutel],0),I1333)</f>
        <v>0.94934060668263687</v>
      </c>
      <c r="K1333" s="406" cm="1">
        <f t="array" ref="K1333">INDEX(implementatie[[2023]:[2034]],MATCH(G1333,implementatie[Zoeksleutel],0),I1333 + 1)</f>
        <v>0.9722489501493069</v>
      </c>
      <c r="L133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949340.60668263689</v>
      </c>
      <c r="M1333" s="398" cm="1">
        <f t="array" ref="M1333">J1333*INDEX(Berekening_impact[Totaal arbeidsbesparing (€/jaar)],MATCH(B1333,IF(Berekening_impact[Doelgroep]=C1333,Berekening_impact[Digitale zorgtoepassing]),0))</f>
        <v>1084485.2436224583</v>
      </c>
      <c r="N1333" s="397" cm="1">
        <f t="array" ref="N1333">J1333*INDEX(Berekening_impact[Totaal arbeidsbesparing (FTE/jaar)],MATCH(B1333,IF(Berekening_impact[Doelgroep]=C1333,Berekening_impact[Digitale zorgtoepassing]),0))</f>
        <v>18.256550128512249</v>
      </c>
      <c r="O1333" s="398" cm="1">
        <f t="array" ref="O1333">J1333*INDEX(Berekening_impact[Overige kostenbesparing (totaal/jaar totaal potentieel)],MATCH(B1333,IF(Berekening_impact[Doelgroep]=C1333,Berekening_impact[Digitale zorgtoepassing]),0))</f>
        <v>0</v>
      </c>
      <c r="P1333" s="398" cm="1">
        <f t="array" ref="P1333">J1333*INDEX(Berekening_impact[Opbrengsten door QALY''s],MATCH(B1333,IF(Berekening_impact[Doelgroep]=C1333,Berekening_impact[Digitale zorgtoepassing]),0))</f>
        <v>0</v>
      </c>
      <c r="Q1333" s="398" cm="1">
        <f t="array" ref="Q1333">J1333*INDEX(Berekening_impact[Jaarlijkse kosten (totaal) - incl. schatting],MATCH(B1333,IF(Berekening_impact[Doelgroep]=C1333,Berekening_impact[Digitale zorgtoepassing]),0))</f>
        <v>921629.94869999646</v>
      </c>
      <c r="R1333" s="398" cm="1">
        <f t="array" ref="R1333">(uitkomst_doelgroep[[#This Row],[Implementatiegraad t = T + 1]]-uitkomst_doelgroep[[#This Row],[Implementatiegraad t = T]])*INDEX(Berekening_impact[Initiële investering (totaal) - incl. schatting],MATCH(B1333,IF(Berekening_impact[Doelgroep]=C1333,Berekening_impact[Digitale zorgtoepassing]),0))</f>
        <v>0</v>
      </c>
      <c r="S1333" s="398">
        <f>uitkomst_doelgroep[[#This Row],[Arbeidsbesparing (€)]]*uitkomst_doelgroep[[#This Row],[Percentage van patiëntaantallen in Wlz (overige is Zvw)]]</f>
        <v>0</v>
      </c>
      <c r="T1333" s="398">
        <f>uitkomst_doelgroep[[#This Row],[Overige besparingen (€)]]*uitkomst_doelgroep[[#This Row],[Percentage van patiëntaantallen in Wlz (overige is Zvw)]]</f>
        <v>0</v>
      </c>
      <c r="U1333" s="398">
        <f>uitkomst_doelgroep[[#This Row],[Kosten (€)]]*uitkomst_doelgroep[[#This Row],[Percentage van patiëntaantallen in Wlz (overige is Zvw)]]</f>
        <v>0</v>
      </c>
      <c r="V1333" s="398">
        <f>uitkomst_doelgroep[[#This Row],[Investering (cash flow) (€)]]*uitkomst_doelgroep[[#This Row],[Percentage van patiëntaantallen in Wlz (overige is Zvw)]]</f>
        <v>0</v>
      </c>
    </row>
    <row r="1334" spans="1:22" x14ac:dyDescent="0.5">
      <c r="A1334" s="33" t="str">
        <f>INDEX(Technologieën[Veld],MATCH(B1334,Technologieën[Digitale zorgtoepassing],0))</f>
        <v>Software - Diagnose</v>
      </c>
      <c r="B1334" s="33" t="s">
        <v>56</v>
      </c>
      <c r="C1334" s="33" t="s">
        <v>57</v>
      </c>
      <c r="D1334" s="427" cm="1">
        <f t="array" ref="D1334">INDEX(Berekening_patiëntaantal[Percentage van patiëntaantallen in Wlz (overige is Zvw)],MATCH(B1334,IF(Berekening_patiëntaantal[Doelgroep (zoeksleutel)]=C1334,Berekening_patiëntaantal[Digitale zorgtoepassing]),0))</f>
        <v>0</v>
      </c>
      <c r="E1334" s="33" t="str" cm="1">
        <f t="array" ref="E1334">INDEX(Berekening_patiëntaantal[Direct toepasbaar/extrapolatie/incidentie voor QALY],MATCH(B1334,IF(Berekening_patiëntaantal[Doelgroep (zoeksleutel)]=C1334,Berekening_patiëntaantal[Digitale zorgtoepassing]),0))</f>
        <v>Huidige toepassing</v>
      </c>
      <c r="F1334" s="33" t="s">
        <v>813</v>
      </c>
      <c r="G1334" s="33" t="str">
        <f>CONCATENATE(uitkomst_doelgroep[[#This Row],[Digitale zorgtoepassing]],"_",uitkomst_doelgroep[[#This Row],[Doelgroep]],"_",uitkomst_doelgroep[[#This Row],[Uitgangssituatie/effect beleid]])</f>
        <v>Virtual cockpit_MRI-scans_Uitgangssituatie</v>
      </c>
      <c r="H1334" s="33">
        <v>2032</v>
      </c>
      <c r="I1334" s="32">
        <v>10</v>
      </c>
      <c r="J1334" s="406" cm="1">
        <f t="array" ref="J1334">INDEX(implementatie[[2023]:[2034]],MATCH(G1334, implementatie[Zoeksleutel],0),I1334)</f>
        <v>0.9722489501493069</v>
      </c>
      <c r="K1334" s="406" cm="1">
        <f t="array" ref="K1334">INDEX(implementatie[[2023]:[2034]],MATCH(G1334,implementatie[Zoeksleutel],0),I1334 + 1)</f>
        <v>0.98508414448286907</v>
      </c>
      <c r="L133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972248.95014930691</v>
      </c>
      <c r="M1334" s="398" cm="1">
        <f t="array" ref="M1334">J1334*INDEX(Berekening_impact[Totaal arbeidsbesparing (€/jaar)],MATCH(B1334,IF(Berekening_impact[Doelgroep]=C1334,Berekening_impact[Digitale zorgtoepassing]),0))</f>
        <v>1110654.73460447</v>
      </c>
      <c r="N1334" s="397" cm="1">
        <f t="array" ref="N1334">J1334*INDEX(Berekening_impact[Totaal arbeidsbesparing (FTE/jaar)],MATCH(B1334,IF(Berekening_impact[Doelgroep]=C1334,Berekening_impact[Digitale zorgtoepassing]),0))</f>
        <v>18.697095195178981</v>
      </c>
      <c r="O1334" s="398" cm="1">
        <f t="array" ref="O1334">J1334*INDEX(Berekening_impact[Overige kostenbesparing (totaal/jaar totaal potentieel)],MATCH(B1334,IF(Berekening_impact[Doelgroep]=C1334,Berekening_impact[Digitale zorgtoepassing]),0))</f>
        <v>0</v>
      </c>
      <c r="P1334" s="398" cm="1">
        <f t="array" ref="P1334">J1334*INDEX(Berekening_impact[Opbrengsten door QALY''s],MATCH(B1334,IF(Berekening_impact[Doelgroep]=C1334,Berekening_impact[Digitale zorgtoepassing]),0))</f>
        <v>0</v>
      </c>
      <c r="Q1334" s="398" cm="1">
        <f t="array" ref="Q1334">J1334*INDEX(Berekening_impact[Jaarlijkse kosten (totaal) - incl. schatting],MATCH(B1334,IF(Berekening_impact[Doelgroep]=C1334,Berekening_impact[Digitale zorgtoepassing]),0))</f>
        <v>943869.61196244357</v>
      </c>
      <c r="R1334" s="398" cm="1">
        <f t="array" ref="R1334">(uitkomst_doelgroep[[#This Row],[Implementatiegraad t = T + 1]]-uitkomst_doelgroep[[#This Row],[Implementatiegraad t = T]])*INDEX(Berekening_impact[Initiële investering (totaal) - incl. schatting],MATCH(B1334,IF(Berekening_impact[Doelgroep]=C1334,Berekening_impact[Digitale zorgtoepassing]),0))</f>
        <v>0</v>
      </c>
      <c r="S1334" s="398">
        <f>uitkomst_doelgroep[[#This Row],[Arbeidsbesparing (€)]]*uitkomst_doelgroep[[#This Row],[Percentage van patiëntaantallen in Wlz (overige is Zvw)]]</f>
        <v>0</v>
      </c>
      <c r="T1334" s="398">
        <f>uitkomst_doelgroep[[#This Row],[Overige besparingen (€)]]*uitkomst_doelgroep[[#This Row],[Percentage van patiëntaantallen in Wlz (overige is Zvw)]]</f>
        <v>0</v>
      </c>
      <c r="U1334" s="398">
        <f>uitkomst_doelgroep[[#This Row],[Kosten (€)]]*uitkomst_doelgroep[[#This Row],[Percentage van patiëntaantallen in Wlz (overige is Zvw)]]</f>
        <v>0</v>
      </c>
      <c r="V1334" s="398">
        <f>uitkomst_doelgroep[[#This Row],[Investering (cash flow) (€)]]*uitkomst_doelgroep[[#This Row],[Percentage van patiëntaantallen in Wlz (overige is Zvw)]]</f>
        <v>0</v>
      </c>
    </row>
    <row r="1335" spans="1:22" ht="17.5" thickBot="1" x14ac:dyDescent="0.55000000000000004">
      <c r="A1335" s="33" t="str">
        <f>INDEX(Technologieën[Veld],MATCH(B1335,Technologieën[Digitale zorgtoepassing],0))</f>
        <v>Software - Diagnose</v>
      </c>
      <c r="B1335" s="40" t="s">
        <v>56</v>
      </c>
      <c r="C1335" s="40" t="s">
        <v>57</v>
      </c>
      <c r="D1335" s="427" cm="1">
        <f t="array" ref="D1335">INDEX(Berekening_patiëntaantal[Percentage van patiëntaantallen in Wlz (overige is Zvw)],MATCH(B1335,IF(Berekening_patiëntaantal[Doelgroep (zoeksleutel)]=C1335,Berekening_patiëntaantal[Digitale zorgtoepassing]),0))</f>
        <v>0</v>
      </c>
      <c r="E1335" s="33" t="str" cm="1">
        <f t="array" ref="E1335">INDEX(Berekening_patiëntaantal[Direct toepasbaar/extrapolatie/incidentie voor QALY],MATCH(B1335,IF(Berekening_patiëntaantal[Doelgroep (zoeksleutel)]=C1335,Berekening_patiëntaantal[Digitale zorgtoepassing]),0))</f>
        <v>Huidige toepassing</v>
      </c>
      <c r="F1335" s="33" t="s">
        <v>813</v>
      </c>
      <c r="G1335" s="33" t="str">
        <f>CONCATENATE(uitkomst_doelgroep[[#This Row],[Digitale zorgtoepassing]],"_",uitkomst_doelgroep[[#This Row],[Doelgroep]],"_",uitkomst_doelgroep[[#This Row],[Uitgangssituatie/effect beleid]])</f>
        <v>Virtual cockpit_MRI-scans_Uitgangssituatie</v>
      </c>
      <c r="H1335" s="33">
        <v>2033</v>
      </c>
      <c r="I1335" s="32">
        <v>11</v>
      </c>
      <c r="J1335" s="406" cm="1">
        <f t="array" ref="J1335">INDEX(implementatie[[2023]:[2034]],MATCH(G1335, implementatie[Zoeksleutel],0),I1335)</f>
        <v>0.98508414448286907</v>
      </c>
      <c r="K1335" s="406" cm="1">
        <f t="array" ref="K1335">INDEX(implementatie[[2023]:[2034]],MATCH(G1335,implementatie[Zoeksleutel],0),I1335 + 1)</f>
        <v>0.99206905861789263</v>
      </c>
      <c r="L133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985084.14448286907</v>
      </c>
      <c r="M1335" s="398" cm="1">
        <f t="array" ref="M1335">J1335*INDEX(Berekening_impact[Totaal arbeidsbesparing (€/jaar)],MATCH(B1335,IF(Berekening_impact[Doelgroep]=C1335,Berekening_impact[Digitale zorgtoepassing]),0))</f>
        <v>1125317.0999934478</v>
      </c>
      <c r="N1335" s="397" cm="1">
        <f t="array" ref="N1335">J1335*INDEX(Berekening_impact[Totaal arbeidsbesparing (FTE/jaar)],MATCH(B1335,IF(Berekening_impact[Doelgroep]=C1335,Berekening_impact[Digitale zorgtoepassing]),0))</f>
        <v>18.943925855439794</v>
      </c>
      <c r="O1335" s="398" cm="1">
        <f t="array" ref="O1335">J1335*INDEX(Berekening_impact[Overige kostenbesparing (totaal/jaar totaal potentieel)],MATCH(B1335,IF(Berekening_impact[Doelgroep]=C1335,Berekening_impact[Digitale zorgtoepassing]),0))</f>
        <v>0</v>
      </c>
      <c r="P1335" s="398" cm="1">
        <f t="array" ref="P1335">J1335*INDEX(Berekening_impact[Opbrengsten door QALY''s],MATCH(B1335,IF(Berekening_impact[Doelgroep]=C1335,Berekening_impact[Digitale zorgtoepassing]),0))</f>
        <v>0</v>
      </c>
      <c r="Q1335" s="398" cm="1">
        <f t="array" ref="Q1335">J1335*INDEX(Berekening_impact[Jaarlijkse kosten (totaal) - incl. schatting],MATCH(B1335,IF(Berekening_impact[Doelgroep]=C1335,Berekening_impact[Digitale zorgtoepassing]),0))</f>
        <v>956330.15500877076</v>
      </c>
      <c r="R1335" s="398" cm="1">
        <f t="array" ref="R1335">(uitkomst_doelgroep[[#This Row],[Implementatiegraad t = T + 1]]-uitkomst_doelgroep[[#This Row],[Implementatiegraad t = T]])*INDEX(Berekening_impact[Initiële investering (totaal) - incl. schatting],MATCH(B1335,IF(Berekening_impact[Doelgroep]=C1335,Berekening_impact[Digitale zorgtoepassing]),0))</f>
        <v>0</v>
      </c>
      <c r="S1335" s="398">
        <f>uitkomst_doelgroep[[#This Row],[Arbeidsbesparing (€)]]*uitkomst_doelgroep[[#This Row],[Percentage van patiëntaantallen in Wlz (overige is Zvw)]]</f>
        <v>0</v>
      </c>
      <c r="T1335" s="398">
        <f>uitkomst_doelgroep[[#This Row],[Overige besparingen (€)]]*uitkomst_doelgroep[[#This Row],[Percentage van patiëntaantallen in Wlz (overige is Zvw)]]</f>
        <v>0</v>
      </c>
      <c r="U1335" s="398">
        <f>uitkomst_doelgroep[[#This Row],[Kosten (€)]]*uitkomst_doelgroep[[#This Row],[Percentage van patiëntaantallen in Wlz (overige is Zvw)]]</f>
        <v>0</v>
      </c>
      <c r="V1335" s="398">
        <f>uitkomst_doelgroep[[#This Row],[Investering (cash flow) (€)]]*uitkomst_doelgroep[[#This Row],[Percentage van patiëntaantallen in Wlz (overige is Zvw)]]</f>
        <v>0</v>
      </c>
    </row>
    <row r="1336" spans="1:22" x14ac:dyDescent="0.5">
      <c r="A1336" s="33" t="str">
        <f>INDEX(Technologieën[Veld],MATCH(B1336,Technologieën[Digitale zorgtoepassing],0))</f>
        <v>Digitale hulpmiddelen - Verpleging</v>
      </c>
      <c r="B1336" s="33" t="s">
        <v>85</v>
      </c>
      <c r="C1336" s="33" t="s">
        <v>86</v>
      </c>
      <c r="D1336" s="427" cm="1">
        <f t="array" ref="D1336">INDEX(Berekening_patiëntaantal[Percentage van patiëntaantallen in Wlz (overige is Zvw)],MATCH(B1336,IF(Berekening_patiëntaantal[Doelgroep (zoeksleutel)]=C1336,Berekening_patiëntaantal[Digitale zorgtoepassing]),0))</f>
        <v>0.45</v>
      </c>
      <c r="E1336" s="33" t="str" cm="1">
        <f t="array" ref="E1336">INDEX(Berekening_patiëntaantal[Direct toepasbaar/extrapolatie/incidentie voor QALY],MATCH(B1336,IF(Berekening_patiëntaantal[Doelgroep (zoeksleutel)]=C1336,Berekening_patiëntaantal[Digitale zorgtoepassing]),0))</f>
        <v>Huidige toepassing</v>
      </c>
      <c r="F1336" s="33" t="s">
        <v>813</v>
      </c>
      <c r="G1336" s="33" t="str">
        <f>CONCATENATE(uitkomst_doelgroep[[#This Row],[Digitale zorgtoepassing]],"_",uitkomst_doelgroep[[#This Row],[Doelgroep]],"_",uitkomst_doelgroep[[#This Row],[Uitgangssituatie/effect beleid]])</f>
        <v>Zorg op afstand met tablet_Patiënten die thuiszorg krijgen_Uitgangssituatie</v>
      </c>
      <c r="H1336" s="33">
        <v>2023</v>
      </c>
      <c r="I1336" s="32">
        <v>1</v>
      </c>
      <c r="J1336" s="406" cm="1">
        <f t="array" ref="J1336">INDEX(implementatie[[2023]:[2034]],MATCH(G1336, implementatie[Zoeksleutel],0),I1336)</f>
        <v>0.4</v>
      </c>
      <c r="K1336" s="406" cm="1">
        <f t="array" ref="K1336">INDEX(implementatie[[2023]:[2034]],MATCH(G1336,implementatie[Zoeksleutel],0),I1336 + 1)</f>
        <v>0.52300000000000002</v>
      </c>
      <c r="L133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34560</v>
      </c>
      <c r="M1336" s="398" cm="1">
        <f t="array" ref="M1336">J1336*INDEX(Berekening_impact[Totaal arbeidsbesparing (€/jaar)],MATCH(B1336,IF(Berekening_impact[Doelgroep]=C1336,Berekening_impact[Digitale zorgtoepassing]),0))</f>
        <v>22252748.888275862</v>
      </c>
      <c r="N1336" s="397" cm="1">
        <f t="array" ref="N1336">J1336*INDEX(Berekening_impact[Totaal arbeidsbesparing (FTE/jaar)],MATCH(B1336,IF(Berekening_impact[Doelgroep]=C1336,Berekening_impact[Digitale zorgtoepassing]),0))</f>
        <v>524.16000000000008</v>
      </c>
      <c r="O1336" s="398" cm="1">
        <f t="array" ref="O1336">J1336*INDEX(Berekening_impact[Overige kostenbesparing (totaal/jaar totaal potentieel)],MATCH(B1336,IF(Berekening_impact[Doelgroep]=C1336,Berekening_impact[Digitale zorgtoepassing]),0))</f>
        <v>10960309.153926916</v>
      </c>
      <c r="P1336" s="398" cm="1">
        <f t="array" ref="P1336">J1336*INDEX(Berekening_impact[Opbrengsten door QALY''s],MATCH(B1336,IF(Berekening_impact[Doelgroep]=C1336,Berekening_impact[Digitale zorgtoepassing]),0))</f>
        <v>0</v>
      </c>
      <c r="Q1336" s="398" cm="1">
        <f t="array" ref="Q1336">J1336*INDEX(Berekening_impact[Jaarlijkse kosten (totaal) - incl. schatting],MATCH(B1336,IF(Berekening_impact[Doelgroep]=C1336,Berekening_impact[Digitale zorgtoepassing]),0))</f>
        <v>18330624.000000004</v>
      </c>
      <c r="R1336" s="398" cm="1">
        <f t="array" ref="R1336">(uitkomst_doelgroep[[#This Row],[Implementatiegraad t = T + 1]]-uitkomst_doelgroep[[#This Row],[Implementatiegraad t = T]])*INDEX(Berekening_impact[Initiële investering (totaal) - incl. schatting],MATCH(B1336,IF(Berekening_impact[Doelgroep]=C1336,Berekening_impact[Digitale zorgtoepassing]),0))</f>
        <v>3496348.8</v>
      </c>
      <c r="S1336" s="398">
        <f>uitkomst_doelgroep[[#This Row],[Arbeidsbesparing (€)]]*uitkomst_doelgroep[[#This Row],[Percentage van patiëntaantallen in Wlz (overige is Zvw)]]</f>
        <v>10013736.999724139</v>
      </c>
      <c r="T1336" s="398">
        <f>uitkomst_doelgroep[[#This Row],[Overige besparingen (€)]]*uitkomst_doelgroep[[#This Row],[Percentage van patiëntaantallen in Wlz (overige is Zvw)]]</f>
        <v>4932139.1192671126</v>
      </c>
      <c r="U1336" s="398">
        <f>uitkomst_doelgroep[[#This Row],[Kosten (€)]]*uitkomst_doelgroep[[#This Row],[Percentage van patiëntaantallen in Wlz (overige is Zvw)]]</f>
        <v>8248780.8000000017</v>
      </c>
      <c r="V1336" s="398">
        <f>uitkomst_doelgroep[[#This Row],[Investering (cash flow) (€)]]*uitkomst_doelgroep[[#This Row],[Percentage van patiëntaantallen in Wlz (overige is Zvw)]]</f>
        <v>1573356.96</v>
      </c>
    </row>
    <row r="1337" spans="1:22" x14ac:dyDescent="0.5">
      <c r="A1337" s="33" t="str">
        <f>INDEX(Technologieën[Veld],MATCH(B1337,Technologieën[Digitale zorgtoepassing],0))</f>
        <v>Digitale hulpmiddelen - Verpleging</v>
      </c>
      <c r="B1337" s="33" t="s">
        <v>85</v>
      </c>
      <c r="C1337" s="33" t="s">
        <v>86</v>
      </c>
      <c r="D1337" s="427" cm="1">
        <f t="array" ref="D1337">INDEX(Berekening_patiëntaantal[Percentage van patiëntaantallen in Wlz (overige is Zvw)],MATCH(B1337,IF(Berekening_patiëntaantal[Doelgroep (zoeksleutel)]=C1337,Berekening_patiëntaantal[Digitale zorgtoepassing]),0))</f>
        <v>0.45</v>
      </c>
      <c r="E1337" s="33" t="str" cm="1">
        <f t="array" ref="E1337">INDEX(Berekening_patiëntaantal[Direct toepasbaar/extrapolatie/incidentie voor QALY],MATCH(B1337,IF(Berekening_patiëntaantal[Doelgroep (zoeksleutel)]=C1337,Berekening_patiëntaantal[Digitale zorgtoepassing]),0))</f>
        <v>Huidige toepassing</v>
      </c>
      <c r="F1337" s="33" t="s">
        <v>813</v>
      </c>
      <c r="G1337" s="33" t="str">
        <f>CONCATENATE(uitkomst_doelgroep[[#This Row],[Digitale zorgtoepassing]],"_",uitkomst_doelgroep[[#This Row],[Doelgroep]],"_",uitkomst_doelgroep[[#This Row],[Uitgangssituatie/effect beleid]])</f>
        <v>Zorg op afstand met tablet_Patiënten die thuiszorg krijgen_Uitgangssituatie</v>
      </c>
      <c r="H1337" s="33">
        <v>2024</v>
      </c>
      <c r="I1337" s="32">
        <v>2</v>
      </c>
      <c r="J1337" s="406" cm="1">
        <f t="array" ref="J1337">INDEX(implementatie[[2023]:[2034]],MATCH(G1337, implementatie[Zoeksleutel],0),I1337)</f>
        <v>0.52300000000000002</v>
      </c>
      <c r="K1337" s="406" cm="1">
        <f t="array" ref="K1337">INDEX(implementatie[[2023]:[2034]],MATCH(G1337,implementatie[Zoeksleutel],0),I1337 + 1)</f>
        <v>0.64718695000000004</v>
      </c>
      <c r="L133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45187.200000000004</v>
      </c>
      <c r="M1337" s="398" cm="1">
        <f t="array" ref="M1337">J1337*INDEX(Berekening_impact[Totaal arbeidsbesparing (€/jaar)],MATCH(B1337,IF(Berekening_impact[Doelgroep]=C1337,Berekening_impact[Digitale zorgtoepassing]),0))</f>
        <v>29095469.17142069</v>
      </c>
      <c r="N1337" s="397" cm="1">
        <f t="array" ref="N1337">J1337*INDEX(Berekening_impact[Totaal arbeidsbesparing (FTE/jaar)],MATCH(B1337,IF(Berekening_impact[Doelgroep]=C1337,Berekening_impact[Digitale zorgtoepassing]),0))</f>
        <v>685.33920000000012</v>
      </c>
      <c r="O1337" s="398" cm="1">
        <f t="array" ref="O1337">J1337*INDEX(Berekening_impact[Overige kostenbesparing (totaal/jaar totaal potentieel)],MATCH(B1337,IF(Berekening_impact[Doelgroep]=C1337,Berekening_impact[Digitale zorgtoepassing]),0))</f>
        <v>14330604.218759444</v>
      </c>
      <c r="P1337" s="398" cm="1">
        <f t="array" ref="P1337">J1337*INDEX(Berekening_impact[Opbrengsten door QALY''s],MATCH(B1337,IF(Berekening_impact[Doelgroep]=C1337,Berekening_impact[Digitale zorgtoepassing]),0))</f>
        <v>0</v>
      </c>
      <c r="Q1337" s="398" cm="1">
        <f t="array" ref="Q1337">J1337*INDEX(Berekening_impact[Jaarlijkse kosten (totaal) - incl. schatting],MATCH(B1337,IF(Berekening_impact[Doelgroep]=C1337,Berekening_impact[Digitale zorgtoepassing]),0))</f>
        <v>23967290.880000006</v>
      </c>
      <c r="R1337" s="398" cm="1">
        <f t="array" ref="R1337">(uitkomst_doelgroep[[#This Row],[Implementatiegraad t = T + 1]]-uitkomst_doelgroep[[#This Row],[Implementatiegraad t = T]])*INDEX(Berekening_impact[Initiële investering (totaal) - incl. schatting],MATCH(B1337,IF(Berekening_impact[Doelgroep]=C1337,Berekening_impact[Digitale zorgtoepassing]),0))</f>
        <v>3530088.5659200004</v>
      </c>
      <c r="S1337" s="398">
        <f>uitkomst_doelgroep[[#This Row],[Arbeidsbesparing (€)]]*uitkomst_doelgroep[[#This Row],[Percentage van patiëntaantallen in Wlz (overige is Zvw)]]</f>
        <v>13092961.127139311</v>
      </c>
      <c r="T1337" s="398">
        <f>uitkomst_doelgroep[[#This Row],[Overige besparingen (€)]]*uitkomst_doelgroep[[#This Row],[Percentage van patiëntaantallen in Wlz (overige is Zvw)]]</f>
        <v>6448771.8984417496</v>
      </c>
      <c r="U1337" s="398">
        <f>uitkomst_doelgroep[[#This Row],[Kosten (€)]]*uitkomst_doelgroep[[#This Row],[Percentage van patiëntaantallen in Wlz (overige is Zvw)]]</f>
        <v>10785280.896000003</v>
      </c>
      <c r="V1337" s="398">
        <f>uitkomst_doelgroep[[#This Row],[Investering (cash flow) (€)]]*uitkomst_doelgroep[[#This Row],[Percentage van patiëntaantallen in Wlz (overige is Zvw)]]</f>
        <v>1588539.8546640002</v>
      </c>
    </row>
    <row r="1338" spans="1:22" x14ac:dyDescent="0.5">
      <c r="A1338" s="33" t="str">
        <f>INDEX(Technologieën[Veld],MATCH(B1338,Technologieën[Digitale zorgtoepassing],0))</f>
        <v>Digitale hulpmiddelen - Verpleging</v>
      </c>
      <c r="B1338" s="33" t="s">
        <v>85</v>
      </c>
      <c r="C1338" s="33" t="s">
        <v>86</v>
      </c>
      <c r="D1338" s="427" cm="1">
        <f t="array" ref="D1338">INDEX(Berekening_patiëntaantal[Percentage van patiëntaantallen in Wlz (overige is Zvw)],MATCH(B1338,IF(Berekening_patiëntaantal[Doelgroep (zoeksleutel)]=C1338,Berekening_patiëntaantal[Digitale zorgtoepassing]),0))</f>
        <v>0.45</v>
      </c>
      <c r="E1338" s="33" t="str" cm="1">
        <f t="array" ref="E1338">INDEX(Berekening_patiëntaantal[Direct toepasbaar/extrapolatie/incidentie voor QALY],MATCH(B1338,IF(Berekening_patiëntaantal[Doelgroep (zoeksleutel)]=C1338,Berekening_patiëntaantal[Digitale zorgtoepassing]),0))</f>
        <v>Huidige toepassing</v>
      </c>
      <c r="F1338" s="33" t="s">
        <v>813</v>
      </c>
      <c r="G1338" s="33" t="str">
        <f>CONCATENATE(uitkomst_doelgroep[[#This Row],[Digitale zorgtoepassing]],"_",uitkomst_doelgroep[[#This Row],[Doelgroep]],"_",uitkomst_doelgroep[[#This Row],[Uitgangssituatie/effect beleid]])</f>
        <v>Zorg op afstand met tablet_Patiënten die thuiszorg krijgen_Uitgangssituatie</v>
      </c>
      <c r="H1338" s="33">
        <v>2025</v>
      </c>
      <c r="I1338" s="32">
        <v>3</v>
      </c>
      <c r="J1338" s="406" cm="1">
        <f t="array" ref="J1338">INDEX(implementatie[[2023]:[2034]],MATCH(G1338, implementatie[Zoeksleutel],0),I1338)</f>
        <v>0.64718695000000004</v>
      </c>
      <c r="K1338" s="406" cm="1">
        <f t="array" ref="K1338">INDEX(implementatie[[2023]:[2034]],MATCH(G1338,implementatie[Zoeksleutel],0),I1338 + 1)</f>
        <v>0.75875847703736388</v>
      </c>
      <c r="L133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55916.95248</v>
      </c>
      <c r="M1338" s="398" cm="1">
        <f t="array" ref="M1338">J1338*INDEX(Berekening_impact[Totaal arbeidsbesparing (€/jaar)],MATCH(B1338,IF(Berekening_impact[Doelgroep]=C1338,Berekening_impact[Digitale zorgtoepassing]),0))</f>
        <v>36004221.705297865</v>
      </c>
      <c r="N1338" s="397" cm="1">
        <f t="array" ref="N1338">J1338*INDEX(Berekening_impact[Totaal arbeidsbesparing (FTE/jaar)],MATCH(B1338,IF(Berekening_impact[Doelgroep]=C1338,Berekening_impact[Digitale zorgtoepassing]),0))</f>
        <v>848.07377928000005</v>
      </c>
      <c r="O1338" s="398" cm="1">
        <f t="array" ref="O1338">J1338*INDEX(Berekening_impact[Overige kostenbesparing (totaal/jaar totaal potentieel)],MATCH(B1338,IF(Berekening_impact[Doelgroep]=C1338,Berekening_impact[Digitale zorgtoepassing]),0))</f>
        <v>17733422.630967606</v>
      </c>
      <c r="P1338" s="398" cm="1">
        <f t="array" ref="P1338">J1338*INDEX(Berekening_impact[Opbrengsten door QALY''s],MATCH(B1338,IF(Berekening_impact[Doelgroep]=C1338,Berekening_impact[Digitale zorgtoepassing]),0))</f>
        <v>0</v>
      </c>
      <c r="Q1338" s="398" cm="1">
        <f t="array" ref="Q1338">J1338*INDEX(Berekening_impact[Jaarlijkse kosten (totaal) - incl. schatting],MATCH(B1338,IF(Berekening_impact[Doelgroep]=C1338,Berekening_impact[Digitale zorgtoepassing]),0))</f>
        <v>29658351.595392007</v>
      </c>
      <c r="R1338" s="398" cm="1">
        <f t="array" ref="R1338">(uitkomst_doelgroep[[#This Row],[Implementatiegraad t = T + 1]]-uitkomst_doelgroep[[#This Row],[Implementatiegraad t = T]])*INDEX(Berekening_impact[Initiële investering (totaal) - incl. schatting],MATCH(B1338,IF(Berekening_impact[Doelgroep]=C1338,Berekening_impact[Digitale zorgtoepassing]),0))</f>
        <v>3171487.5989532894</v>
      </c>
      <c r="S1338" s="398">
        <f>uitkomst_doelgroep[[#This Row],[Arbeidsbesparing (€)]]*uitkomst_doelgroep[[#This Row],[Percentage van patiëntaantallen in Wlz (overige is Zvw)]]</f>
        <v>16201899.767384039</v>
      </c>
      <c r="T1338" s="398">
        <f>uitkomst_doelgroep[[#This Row],[Overige besparingen (€)]]*uitkomst_doelgroep[[#This Row],[Percentage van patiëntaantallen in Wlz (overige is Zvw)]]</f>
        <v>7980040.1839354225</v>
      </c>
      <c r="U1338" s="398">
        <f>uitkomst_doelgroep[[#This Row],[Kosten (€)]]*uitkomst_doelgroep[[#This Row],[Percentage van patiëntaantallen in Wlz (overige is Zvw)]]</f>
        <v>13346258.217926404</v>
      </c>
      <c r="V1338" s="398">
        <f>uitkomst_doelgroep[[#This Row],[Investering (cash flow) (€)]]*uitkomst_doelgroep[[#This Row],[Percentage van patiëntaantallen in Wlz (overige is Zvw)]]</f>
        <v>1427169.4195289803</v>
      </c>
    </row>
    <row r="1339" spans="1:22" x14ac:dyDescent="0.5">
      <c r="A1339" s="33" t="str">
        <f>INDEX(Technologieën[Veld],MATCH(B1339,Technologieën[Digitale zorgtoepassing],0))</f>
        <v>Digitale hulpmiddelen - Verpleging</v>
      </c>
      <c r="B1339" s="33" t="s">
        <v>85</v>
      </c>
      <c r="C1339" s="33" t="s">
        <v>86</v>
      </c>
      <c r="D1339" s="427" cm="1">
        <f t="array" ref="D1339">INDEX(Berekening_patiëntaantal[Percentage van patiëntaantallen in Wlz (overige is Zvw)],MATCH(B1339,IF(Berekening_patiëntaantal[Doelgroep (zoeksleutel)]=C1339,Berekening_patiëntaantal[Digitale zorgtoepassing]),0))</f>
        <v>0.45</v>
      </c>
      <c r="E1339" s="33" t="str" cm="1">
        <f t="array" ref="E1339">INDEX(Berekening_patiëntaantal[Direct toepasbaar/extrapolatie/incidentie voor QALY],MATCH(B1339,IF(Berekening_patiëntaantal[Doelgroep (zoeksleutel)]=C1339,Berekening_patiëntaantal[Digitale zorgtoepassing]),0))</f>
        <v>Huidige toepassing</v>
      </c>
      <c r="F1339" s="33" t="s">
        <v>813</v>
      </c>
      <c r="G1339" s="33" t="str">
        <f>CONCATENATE(uitkomst_doelgroep[[#This Row],[Digitale zorgtoepassing]],"_",uitkomst_doelgroep[[#This Row],[Doelgroep]],"_",uitkomst_doelgroep[[#This Row],[Uitgangssituatie/effect beleid]])</f>
        <v>Zorg op afstand met tablet_Patiënten die thuiszorg krijgen_Uitgangssituatie</v>
      </c>
      <c r="H1339" s="33">
        <v>2026</v>
      </c>
      <c r="I1339" s="32">
        <v>4</v>
      </c>
      <c r="J1339" s="406" cm="1">
        <f t="array" ref="J1339">INDEX(implementatie[[2023]:[2034]],MATCH(G1339, implementatie[Zoeksleutel],0),I1339)</f>
        <v>0.75875847703736388</v>
      </c>
      <c r="K1339" s="406" cm="1">
        <f t="array" ref="K1339">INDEX(implementatie[[2023]:[2034]],MATCH(G1339,implementatie[Zoeksleutel],0),I1339 + 1)</f>
        <v>0.84715933786401665</v>
      </c>
      <c r="L133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65556.732416028244</v>
      </c>
      <c r="M1339" s="398" cm="1">
        <f t="array" ref="M1339">J1339*INDEX(Berekening_impact[Totaal arbeidsbesparing (€/jaar)],MATCH(B1339,IF(Berekening_impact[Doelgroep]=C1339,Berekening_impact[Digitale zorgtoepassing]),0))</f>
        <v>42211154.640907712</v>
      </c>
      <c r="N1339" s="397" cm="1">
        <f t="array" ref="N1339">J1339*INDEX(Berekening_impact[Totaal arbeidsbesparing (FTE/jaar)],MATCH(B1339,IF(Berekening_impact[Doelgroep]=C1339,Berekening_impact[Digitale zorgtoepassing]),0))</f>
        <v>994.27710830976173</v>
      </c>
      <c r="O1339" s="398" cm="1">
        <f t="array" ref="O1339">J1339*INDEX(Berekening_impact[Overige kostenbesparing (totaal/jaar totaal potentieel)],MATCH(B1339,IF(Berekening_impact[Doelgroep]=C1339,Berekening_impact[Digitale zorgtoepassing]),0))</f>
        <v>20790568.703730661</v>
      </c>
      <c r="P1339" s="398" cm="1">
        <f t="array" ref="P1339">J1339*INDEX(Berekening_impact[Opbrengsten door QALY''s],MATCH(B1339,IF(Berekening_impact[Doelgroep]=C1339,Berekening_impact[Digitale zorgtoepassing]),0))</f>
        <v>0</v>
      </c>
      <c r="Q1339" s="398" cm="1">
        <f t="array" ref="Q1339">J1339*INDEX(Berekening_impact[Jaarlijkse kosten (totaal) - incl. schatting],MATCH(B1339,IF(Berekening_impact[Doelgroep]=C1339,Berekening_impact[Digitale zorgtoepassing]),0))</f>
        <v>34771290.873461381</v>
      </c>
      <c r="R1339" s="398" cm="1">
        <f t="array" ref="R1339">(uitkomst_doelgroep[[#This Row],[Implementatiegraad t = T + 1]]-uitkomst_doelgroep[[#This Row],[Implementatiegraad t = T]])*INDEX(Berekening_impact[Initiële investering (totaal) - incl. schatting],MATCH(B1339,IF(Berekening_impact[Doelgroep]=C1339,Berekening_impact[Digitale zorgtoepassing]),0))</f>
        <v>2512847.5095141008</v>
      </c>
      <c r="S1339" s="398">
        <f>uitkomst_doelgroep[[#This Row],[Arbeidsbesparing (€)]]*uitkomst_doelgroep[[#This Row],[Percentage van patiëntaantallen in Wlz (overige is Zvw)]]</f>
        <v>18995019.58840847</v>
      </c>
      <c r="T1339" s="398">
        <f>uitkomst_doelgroep[[#This Row],[Overige besparingen (€)]]*uitkomst_doelgroep[[#This Row],[Percentage van patiëntaantallen in Wlz (overige is Zvw)]]</f>
        <v>9355755.9166787975</v>
      </c>
      <c r="U1339" s="398">
        <f>uitkomst_doelgroep[[#This Row],[Kosten (€)]]*uitkomst_doelgroep[[#This Row],[Percentage van patiëntaantallen in Wlz (overige is Zvw)]]</f>
        <v>15647080.893057622</v>
      </c>
      <c r="V1339" s="398">
        <f>uitkomst_doelgroep[[#This Row],[Investering (cash flow) (€)]]*uitkomst_doelgroep[[#This Row],[Percentage van patiëntaantallen in Wlz (overige is Zvw)]]</f>
        <v>1130781.3792813455</v>
      </c>
    </row>
    <row r="1340" spans="1:22" x14ac:dyDescent="0.5">
      <c r="A1340" s="33" t="str">
        <f>INDEX(Technologieën[Veld],MATCH(B1340,Technologieën[Digitale zorgtoepassing],0))</f>
        <v>Digitale hulpmiddelen - Verpleging</v>
      </c>
      <c r="B1340" s="33" t="s">
        <v>85</v>
      </c>
      <c r="C1340" s="33" t="s">
        <v>86</v>
      </c>
      <c r="D1340" s="427" cm="1">
        <f t="array" ref="D1340">INDEX(Berekening_patiëntaantal[Percentage van patiëntaantallen in Wlz (overige is Zvw)],MATCH(B1340,IF(Berekening_patiëntaantal[Doelgroep (zoeksleutel)]=C1340,Berekening_patiëntaantal[Digitale zorgtoepassing]),0))</f>
        <v>0.45</v>
      </c>
      <c r="E1340" s="33" t="str" cm="1">
        <f t="array" ref="E1340">INDEX(Berekening_patiëntaantal[Direct toepasbaar/extrapolatie/incidentie voor QALY],MATCH(B1340,IF(Berekening_patiëntaantal[Doelgroep (zoeksleutel)]=C1340,Berekening_patiëntaantal[Digitale zorgtoepassing]),0))</f>
        <v>Huidige toepassing</v>
      </c>
      <c r="F1340" s="33" t="s">
        <v>813</v>
      </c>
      <c r="G1340" s="33" t="str">
        <f>CONCATENATE(uitkomst_doelgroep[[#This Row],[Digitale zorgtoepassing]],"_",uitkomst_doelgroep[[#This Row],[Doelgroep]],"_",uitkomst_doelgroep[[#This Row],[Uitgangssituatie/effect beleid]])</f>
        <v>Zorg op afstand met tablet_Patiënten die thuiszorg krijgen_Uitgangssituatie</v>
      </c>
      <c r="H1340" s="33">
        <v>2027</v>
      </c>
      <c r="I1340" s="32">
        <v>5</v>
      </c>
      <c r="J1340" s="406" cm="1">
        <f t="array" ref="J1340">INDEX(implementatie[[2023]:[2034]],MATCH(G1340, implementatie[Zoeksleutel],0),I1340)</f>
        <v>0.84715933786401665</v>
      </c>
      <c r="K1340" s="406" cm="1">
        <f t="array" ref="K1340">INDEX(implementatie[[2023]:[2034]],MATCH(G1340,implementatie[Zoeksleutel],0),I1340 + 1)</f>
        <v>0.90924653177763415</v>
      </c>
      <c r="L134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73194.566791451041</v>
      </c>
      <c r="M1340" s="398" cm="1">
        <f t="array" ref="M1340">J1340*INDEX(Berekening_impact[Totaal arbeidsbesparing (€/jaar)],MATCH(B1340,IF(Berekening_impact[Doelgroep]=C1340,Berekening_impact[Digitale zorgtoepassing]),0))</f>
        <v>47129060.034615032</v>
      </c>
      <c r="N1340" s="397" cm="1">
        <f t="array" ref="N1340">J1340*INDEX(Berekening_impact[Totaal arbeidsbesparing (FTE/jaar)],MATCH(B1340,IF(Berekening_impact[Doelgroep]=C1340,Berekening_impact[Digitale zorgtoepassing]),0))</f>
        <v>1110.1175963370074</v>
      </c>
      <c r="O1340" s="398" cm="1">
        <f t="array" ref="O1340">J1340*INDEX(Berekening_impact[Overige kostenbesparing (totaal/jaar totaal potentieel)],MATCH(B1340,IF(Berekening_impact[Doelgroep]=C1340,Berekening_impact[Digitale zorgtoepassing]),0))</f>
        <v>23212820.614064116</v>
      </c>
      <c r="P1340" s="398" cm="1">
        <f t="array" ref="P1340">J1340*INDEX(Berekening_impact[Opbrengsten door QALY''s],MATCH(B1340,IF(Berekening_impact[Doelgroep]=C1340,Berekening_impact[Digitale zorgtoepassing]),0))</f>
        <v>0</v>
      </c>
      <c r="Q1340" s="398" cm="1">
        <f t="array" ref="Q1340">J1340*INDEX(Berekening_impact[Jaarlijkse kosten (totaal) - incl. schatting],MATCH(B1340,IF(Berekening_impact[Doelgroep]=C1340,Berekening_impact[Digitale zorgtoepassing]),0))</f>
        <v>38822398.226185635</v>
      </c>
      <c r="R1340" s="398" cm="1">
        <f t="array" ref="R1340">(uitkomst_doelgroep[[#This Row],[Implementatiegraad t = T + 1]]-uitkomst_doelgroep[[#This Row],[Implementatiegraad t = T]])*INDEX(Berekening_impact[Initiële investering (totaal) - incl. schatting],MATCH(B1340,IF(Berekening_impact[Doelgroep]=C1340,Berekening_impact[Digitale zorgtoepassing]),0))</f>
        <v>1764865.7393109256</v>
      </c>
      <c r="S1340" s="398">
        <f>uitkomst_doelgroep[[#This Row],[Arbeidsbesparing (€)]]*uitkomst_doelgroep[[#This Row],[Percentage van patiëntaantallen in Wlz (overige is Zvw)]]</f>
        <v>21208077.015576765</v>
      </c>
      <c r="T1340" s="398">
        <f>uitkomst_doelgroep[[#This Row],[Overige besparingen (€)]]*uitkomst_doelgroep[[#This Row],[Percentage van patiëntaantallen in Wlz (overige is Zvw)]]</f>
        <v>10445769.276328852</v>
      </c>
      <c r="U1340" s="398">
        <f>uitkomst_doelgroep[[#This Row],[Kosten (€)]]*uitkomst_doelgroep[[#This Row],[Percentage van patiëntaantallen in Wlz (overige is Zvw)]]</f>
        <v>17470079.201783538</v>
      </c>
      <c r="V1340" s="398">
        <f>uitkomst_doelgroep[[#This Row],[Investering (cash flow) (€)]]*uitkomst_doelgroep[[#This Row],[Percentage van patiëntaantallen in Wlz (overige is Zvw)]]</f>
        <v>794189.58268991648</v>
      </c>
    </row>
    <row r="1341" spans="1:22" x14ac:dyDescent="0.5">
      <c r="A1341" s="33" t="str">
        <f>INDEX(Technologieën[Veld],MATCH(B1341,Technologieën[Digitale zorgtoepassing],0))</f>
        <v>Digitale hulpmiddelen - Verpleging</v>
      </c>
      <c r="B1341" s="33" t="s">
        <v>85</v>
      </c>
      <c r="C1341" s="33" t="s">
        <v>86</v>
      </c>
      <c r="D1341" s="427" cm="1">
        <f t="array" ref="D1341">INDEX(Berekening_patiëntaantal[Percentage van patiëntaantallen in Wlz (overige is Zvw)],MATCH(B1341,IF(Berekening_patiëntaantal[Doelgroep (zoeksleutel)]=C1341,Berekening_patiëntaantal[Digitale zorgtoepassing]),0))</f>
        <v>0.45</v>
      </c>
      <c r="E1341" s="33" t="str" cm="1">
        <f t="array" ref="E1341">INDEX(Berekening_patiëntaantal[Direct toepasbaar/extrapolatie/incidentie voor QALY],MATCH(B1341,IF(Berekening_patiëntaantal[Doelgroep (zoeksleutel)]=C1341,Berekening_patiëntaantal[Digitale zorgtoepassing]),0))</f>
        <v>Huidige toepassing</v>
      </c>
      <c r="F1341" s="33" t="s">
        <v>813</v>
      </c>
      <c r="G1341" s="33" t="str">
        <f>CONCATENATE(uitkomst_doelgroep[[#This Row],[Digitale zorgtoepassing]],"_",uitkomst_doelgroep[[#This Row],[Doelgroep]],"_",uitkomst_doelgroep[[#This Row],[Uitgangssituatie/effect beleid]])</f>
        <v>Zorg op afstand met tablet_Patiënten die thuiszorg krijgen_Uitgangssituatie</v>
      </c>
      <c r="H1341" s="33">
        <v>2028</v>
      </c>
      <c r="I1341" s="32">
        <v>6</v>
      </c>
      <c r="J1341" s="406" cm="1">
        <f t="array" ref="J1341">INDEX(implementatie[[2023]:[2034]],MATCH(G1341, implementatie[Zoeksleutel],0),I1341)</f>
        <v>0.90924653177763415</v>
      </c>
      <c r="K1341" s="406" cm="1">
        <f t="array" ref="K1341">INDEX(implementatie[[2023]:[2034]],MATCH(G1341,implementatie[Zoeksleutel],0),I1341 + 1)</f>
        <v>0.94864814278578335</v>
      </c>
      <c r="L134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78558.900345587594</v>
      </c>
      <c r="M1341" s="398" cm="1">
        <f t="array" ref="M1341">J1341*INDEX(Berekening_impact[Totaal arbeidsbesparing (€/jaar)],MATCH(B1341,IF(Berekening_impact[Doelgroep]=C1341,Berekening_impact[Digitale zorgtoepassing]),0))</f>
        <v>50583086.872958578</v>
      </c>
      <c r="N1341" s="397" cm="1">
        <f t="array" ref="N1341">J1341*INDEX(Berekening_impact[Totaal arbeidsbesparing (FTE/jaar)],MATCH(B1341,IF(Berekening_impact[Doelgroep]=C1341,Berekening_impact[Digitale zorgtoepassing]),0))</f>
        <v>1191.4766552414119</v>
      </c>
      <c r="O1341" s="398" cm="1">
        <f t="array" ref="O1341">J1341*INDEX(Berekening_impact[Overige kostenbesparing (totaal/jaar totaal potentieel)],MATCH(B1341,IF(Berekening_impact[Doelgroep]=C1341,Berekening_impact[Digitale zorgtoepassing]),0))</f>
        <v>24914057.71354676</v>
      </c>
      <c r="P1341" s="398" cm="1">
        <f t="array" ref="P1341">J1341*INDEX(Berekening_impact[Opbrengsten door QALY''s],MATCH(B1341,IF(Berekening_impact[Doelgroep]=C1341,Berekening_impact[Digitale zorgtoepassing]),0))</f>
        <v>0</v>
      </c>
      <c r="Q1341" s="398" cm="1">
        <f t="array" ref="Q1341">J1341*INDEX(Berekening_impact[Jaarlijkse kosten (totaal) - incl. schatting],MATCH(B1341,IF(Berekening_impact[Doelgroep]=C1341,Berekening_impact[Digitale zorgtoepassing]),0))</f>
        <v>41667640.743299663</v>
      </c>
      <c r="R1341" s="398" cm="1">
        <f t="array" ref="R1341">(uitkomst_doelgroep[[#This Row],[Implementatiegraad t = T + 1]]-uitkomst_doelgroep[[#This Row],[Implementatiegraad t = T]])*INDEX(Berekening_impact[Initiële investering (totaal) - incl. schatting],MATCH(B1341,IF(Berekening_impact[Doelgroep]=C1341,Berekening_impact[Digitale zorgtoepassing]),0))</f>
        <v>1120014.4338732462</v>
      </c>
      <c r="S1341" s="398">
        <f>uitkomst_doelgroep[[#This Row],[Arbeidsbesparing (€)]]*uitkomst_doelgroep[[#This Row],[Percentage van patiëntaantallen in Wlz (overige is Zvw)]]</f>
        <v>22762389.092831362</v>
      </c>
      <c r="T1341" s="398">
        <f>uitkomst_doelgroep[[#This Row],[Overige besparingen (€)]]*uitkomst_doelgroep[[#This Row],[Percentage van patiëntaantallen in Wlz (overige is Zvw)]]</f>
        <v>11211325.971096043</v>
      </c>
      <c r="U1341" s="398">
        <f>uitkomst_doelgroep[[#This Row],[Kosten (€)]]*uitkomst_doelgroep[[#This Row],[Percentage van patiëntaantallen in Wlz (overige is Zvw)]]</f>
        <v>18750438.334484849</v>
      </c>
      <c r="V1341" s="398">
        <f>uitkomst_doelgroep[[#This Row],[Investering (cash flow) (€)]]*uitkomst_doelgroep[[#This Row],[Percentage van patiëntaantallen in Wlz (overige is Zvw)]]</f>
        <v>504006.49524296081</v>
      </c>
    </row>
    <row r="1342" spans="1:22" x14ac:dyDescent="0.5">
      <c r="A1342" s="33" t="str">
        <f>INDEX(Technologieën[Veld],MATCH(B1342,Technologieën[Digitale zorgtoepassing],0))</f>
        <v>Digitale hulpmiddelen - Verpleging</v>
      </c>
      <c r="B1342" s="33" t="s">
        <v>85</v>
      </c>
      <c r="C1342" s="33" t="s">
        <v>86</v>
      </c>
      <c r="D1342" s="427" cm="1">
        <f t="array" ref="D1342">INDEX(Berekening_patiëntaantal[Percentage van patiëntaantallen in Wlz (overige is Zvw)],MATCH(B1342,IF(Berekening_patiëntaantal[Doelgroep (zoeksleutel)]=C1342,Berekening_patiëntaantal[Digitale zorgtoepassing]),0))</f>
        <v>0.45</v>
      </c>
      <c r="E1342" s="33" t="str" cm="1">
        <f t="array" ref="E1342">INDEX(Berekening_patiëntaantal[Direct toepasbaar/extrapolatie/incidentie voor QALY],MATCH(B1342,IF(Berekening_patiëntaantal[Doelgroep (zoeksleutel)]=C1342,Berekening_patiëntaantal[Digitale zorgtoepassing]),0))</f>
        <v>Huidige toepassing</v>
      </c>
      <c r="F1342" s="33" t="s">
        <v>813</v>
      </c>
      <c r="G1342" s="33" t="str">
        <f>CONCATENATE(uitkomst_doelgroep[[#This Row],[Digitale zorgtoepassing]],"_",uitkomst_doelgroep[[#This Row],[Doelgroep]],"_",uitkomst_doelgroep[[#This Row],[Uitgangssituatie/effect beleid]])</f>
        <v>Zorg op afstand met tablet_Patiënten die thuiszorg krijgen_Uitgangssituatie</v>
      </c>
      <c r="H1342" s="33">
        <v>2029</v>
      </c>
      <c r="I1342" s="32">
        <v>7</v>
      </c>
      <c r="J1342" s="406" cm="1">
        <f t="array" ref="J1342">INDEX(implementatie[[2023]:[2034]],MATCH(G1342, implementatie[Zoeksleutel],0),I1342)</f>
        <v>0.94864814278578335</v>
      </c>
      <c r="K1342" s="406" cm="1">
        <f t="array" ref="K1342">INDEX(implementatie[[2023]:[2034]],MATCH(G1342,implementatie[Zoeksleutel],0),I1342 + 1)</f>
        <v>0.97185361900482903</v>
      </c>
      <c r="L134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81963.199536691682</v>
      </c>
      <c r="M1342" s="398" cm="1">
        <f t="array" ref="M1342">J1342*INDEX(Berekening_impact[Totaal arbeidsbesparing (€/jaar)],MATCH(B1342,IF(Berekening_impact[Doelgroep]=C1342,Berekening_impact[Digitale zorgtoepassing]),0))</f>
        <v>52775072.261853255</v>
      </c>
      <c r="N1342" s="397" cm="1">
        <f t="array" ref="N1342">J1342*INDEX(Berekening_impact[Totaal arbeidsbesparing (FTE/jaar)],MATCH(B1342,IF(Berekening_impact[Doelgroep]=C1342,Berekening_impact[Digitale zorgtoepassing]),0))</f>
        <v>1243.1085263064906</v>
      </c>
      <c r="O1342" s="398" cm="1">
        <f t="array" ref="O1342">J1342*INDEX(Berekening_impact[Overige kostenbesparing (totaal/jaar totaal potentieel)],MATCH(B1342,IF(Berekening_impact[Doelgroep]=C1342,Berekening_impact[Digitale zorgtoepassing]),0))</f>
        <v>25993692.308076974</v>
      </c>
      <c r="P1342" s="398" cm="1">
        <f t="array" ref="P1342">J1342*INDEX(Berekening_impact[Opbrengsten door QALY''s],MATCH(B1342,IF(Berekening_impact[Doelgroep]=C1342,Berekening_impact[Digitale zorgtoepassing]),0))</f>
        <v>0</v>
      </c>
      <c r="Q1342" s="398" cm="1">
        <f t="array" ref="Q1342">J1342*INDEX(Berekening_impact[Jaarlijkse kosten (totaal) - incl. schatting],MATCH(B1342,IF(Berekening_impact[Doelgroep]=C1342,Berekening_impact[Digitale zorgtoepassing]),0))</f>
        <v>43473281.034261279</v>
      </c>
      <c r="R1342" s="398" cm="1">
        <f t="array" ref="R1342">(uitkomst_doelgroep[[#This Row],[Implementatiegraad t = T + 1]]-uitkomst_doelgroep[[#This Row],[Implementatiegraad t = T]])*INDEX(Berekening_impact[Initiële investering (totaal) - incl. schatting],MATCH(B1342,IF(Berekening_impact[Doelgroep]=C1342,Berekening_impact[Digitale zorgtoepassing]),0))</f>
        <v>659629.5848121047</v>
      </c>
      <c r="S1342" s="398">
        <f>uitkomst_doelgroep[[#This Row],[Arbeidsbesparing (€)]]*uitkomst_doelgroep[[#This Row],[Percentage van patiëntaantallen in Wlz (overige is Zvw)]]</f>
        <v>23748782.517833967</v>
      </c>
      <c r="T1342" s="398">
        <f>uitkomst_doelgroep[[#This Row],[Overige besparingen (€)]]*uitkomst_doelgroep[[#This Row],[Percentage van patiëntaantallen in Wlz (overige is Zvw)]]</f>
        <v>11697161.538634639</v>
      </c>
      <c r="U1342" s="398">
        <f>uitkomst_doelgroep[[#This Row],[Kosten (€)]]*uitkomst_doelgroep[[#This Row],[Percentage van patiëntaantallen in Wlz (overige is Zvw)]]</f>
        <v>19562976.465417575</v>
      </c>
      <c r="V1342" s="398">
        <f>uitkomst_doelgroep[[#This Row],[Investering (cash flow) (€)]]*uitkomst_doelgroep[[#This Row],[Percentage van patiëntaantallen in Wlz (overige is Zvw)]]</f>
        <v>296833.31316544715</v>
      </c>
    </row>
    <row r="1343" spans="1:22" x14ac:dyDescent="0.5">
      <c r="A1343" s="33" t="str">
        <f>INDEX(Technologieën[Veld],MATCH(B1343,Technologieën[Digitale zorgtoepassing],0))</f>
        <v>Digitale hulpmiddelen - Verpleging</v>
      </c>
      <c r="B1343" s="33" t="s">
        <v>85</v>
      </c>
      <c r="C1343" s="33" t="s">
        <v>86</v>
      </c>
      <c r="D1343" s="427" cm="1">
        <f t="array" ref="D1343">INDEX(Berekening_patiëntaantal[Percentage van patiëntaantallen in Wlz (overige is Zvw)],MATCH(B1343,IF(Berekening_patiëntaantal[Doelgroep (zoeksleutel)]=C1343,Berekening_patiëntaantal[Digitale zorgtoepassing]),0))</f>
        <v>0.45</v>
      </c>
      <c r="E1343" s="33" t="str" cm="1">
        <f t="array" ref="E1343">INDEX(Berekening_patiëntaantal[Direct toepasbaar/extrapolatie/incidentie voor QALY],MATCH(B1343,IF(Berekening_patiëntaantal[Doelgroep (zoeksleutel)]=C1343,Berekening_patiëntaantal[Digitale zorgtoepassing]),0))</f>
        <v>Huidige toepassing</v>
      </c>
      <c r="F1343" s="33" t="s">
        <v>813</v>
      </c>
      <c r="G1343" s="33" t="str">
        <f>CONCATENATE(uitkomst_doelgroep[[#This Row],[Digitale zorgtoepassing]],"_",uitkomst_doelgroep[[#This Row],[Doelgroep]],"_",uitkomst_doelgroep[[#This Row],[Uitgangssituatie/effect beleid]])</f>
        <v>Zorg op afstand met tablet_Patiënten die thuiszorg krijgen_Uitgangssituatie</v>
      </c>
      <c r="H1343" s="33">
        <v>2030</v>
      </c>
      <c r="I1343" s="32">
        <v>8</v>
      </c>
      <c r="J1343" s="406" cm="1">
        <f t="array" ref="J1343">INDEX(implementatie[[2023]:[2034]],MATCH(G1343, implementatie[Zoeksleutel],0),I1343)</f>
        <v>0.97185361900482903</v>
      </c>
      <c r="K1343" s="406" cm="1">
        <f t="array" ref="K1343">INDEX(implementatie[[2023]:[2034]],MATCH(G1343,implementatie[Zoeksleutel],0),I1343 + 1)</f>
        <v>0.98486665153412889</v>
      </c>
      <c r="L134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83968.152682017229</v>
      </c>
      <c r="M1343" s="398" cm="1">
        <f t="array" ref="M1343">J1343*INDEX(Berekening_impact[Totaal arbeidsbesparing (€/jaar)],MATCH(B1343,IF(Berekening_impact[Doelgroep]=C1343,Berekening_impact[Digitale zorgtoepassing]),0))</f>
        <v>54066036.349691458</v>
      </c>
      <c r="N1343" s="397" cm="1">
        <f t="array" ref="N1343">J1343*INDEX(Berekening_impact[Totaal arbeidsbesparing (FTE/jaar)],MATCH(B1343,IF(Berekening_impact[Doelgroep]=C1343,Berekening_impact[Digitale zorgtoepassing]),0))</f>
        <v>1273.516982343928</v>
      </c>
      <c r="O1343" s="398" cm="1">
        <f t="array" ref="O1343">J1343*INDEX(Berekening_impact[Overige kostenbesparing (totaal/jaar totaal potentieel)],MATCH(B1343,IF(Berekening_impact[Doelgroep]=C1343,Berekening_impact[Digitale zorgtoepassing]),0))</f>
        <v>26629540.291639075</v>
      </c>
      <c r="P1343" s="398" cm="1">
        <f t="array" ref="P1343">J1343*INDEX(Berekening_impact[Opbrengsten door QALY''s],MATCH(B1343,IF(Berekening_impact[Doelgroep]=C1343,Berekening_impact[Digitale zorgtoepassing]),0))</f>
        <v>0</v>
      </c>
      <c r="Q1343" s="398" cm="1">
        <f t="array" ref="Q1343">J1343*INDEX(Berekening_impact[Jaarlijkse kosten (totaal) - incl. schatting],MATCH(B1343,IF(Berekening_impact[Doelgroep]=C1343,Berekening_impact[Digitale zorgtoepassing]),0))</f>
        <v>44536708.182541944</v>
      </c>
      <c r="R1343" s="398" cm="1">
        <f t="array" ref="R1343">(uitkomst_doelgroep[[#This Row],[Implementatiegraad t = T + 1]]-uitkomst_doelgroep[[#This Row],[Implementatiegraad t = T]])*INDEX(Berekening_impact[Initiële investering (totaal) - incl. schatting],MATCH(B1343,IF(Berekening_impact[Doelgroep]=C1343,Berekening_impact[Digitale zorgtoepassing]),0))</f>
        <v>369903.25746486615</v>
      </c>
      <c r="S1343" s="398">
        <f>uitkomst_doelgroep[[#This Row],[Arbeidsbesparing (€)]]*uitkomst_doelgroep[[#This Row],[Percentage van patiëntaantallen in Wlz (overige is Zvw)]]</f>
        <v>24329716.357361156</v>
      </c>
      <c r="T1343" s="398">
        <f>uitkomst_doelgroep[[#This Row],[Overige besparingen (€)]]*uitkomst_doelgroep[[#This Row],[Percentage van patiëntaantallen in Wlz (overige is Zvw)]]</f>
        <v>11983293.131237583</v>
      </c>
      <c r="U1343" s="398">
        <f>uitkomst_doelgroep[[#This Row],[Kosten (€)]]*uitkomst_doelgroep[[#This Row],[Percentage van patiëntaantallen in Wlz (overige is Zvw)]]</f>
        <v>20041518.682143874</v>
      </c>
      <c r="V1343" s="398">
        <f>uitkomst_doelgroep[[#This Row],[Investering (cash flow) (€)]]*uitkomst_doelgroep[[#This Row],[Percentage van patiëntaantallen in Wlz (overige is Zvw)]]</f>
        <v>166456.46585918978</v>
      </c>
    </row>
    <row r="1344" spans="1:22" x14ac:dyDescent="0.5">
      <c r="A1344" s="33" t="str">
        <f>INDEX(Technologieën[Veld],MATCH(B1344,Technologieën[Digitale zorgtoepassing],0))</f>
        <v>Digitale hulpmiddelen - Verpleging</v>
      </c>
      <c r="B1344" s="33" t="s">
        <v>85</v>
      </c>
      <c r="C1344" s="33" t="s">
        <v>86</v>
      </c>
      <c r="D1344" s="427" cm="1">
        <f t="array" ref="D1344">INDEX(Berekening_patiëntaantal[Percentage van patiëntaantallen in Wlz (overige is Zvw)],MATCH(B1344,IF(Berekening_patiëntaantal[Doelgroep (zoeksleutel)]=C1344,Berekening_patiëntaantal[Digitale zorgtoepassing]),0))</f>
        <v>0.45</v>
      </c>
      <c r="E1344" s="33" t="str" cm="1">
        <f t="array" ref="E1344">INDEX(Berekening_patiëntaantal[Direct toepasbaar/extrapolatie/incidentie voor QALY],MATCH(B1344,IF(Berekening_patiëntaantal[Doelgroep (zoeksleutel)]=C1344,Berekening_patiëntaantal[Digitale zorgtoepassing]),0))</f>
        <v>Huidige toepassing</v>
      </c>
      <c r="F1344" s="33" t="s">
        <v>813</v>
      </c>
      <c r="G1344" s="33" t="str">
        <f>CONCATENATE(uitkomst_doelgroep[[#This Row],[Digitale zorgtoepassing]],"_",uitkomst_doelgroep[[#This Row],[Doelgroep]],"_",uitkomst_doelgroep[[#This Row],[Uitgangssituatie/effect beleid]])</f>
        <v>Zorg op afstand met tablet_Patiënten die thuiszorg krijgen_Uitgangssituatie</v>
      </c>
      <c r="H1344" s="33">
        <v>2031</v>
      </c>
      <c r="I1344" s="32">
        <v>9</v>
      </c>
      <c r="J1344" s="406" cm="1">
        <f t="array" ref="J1344">INDEX(implementatie[[2023]:[2034]],MATCH(G1344, implementatie[Zoeksleutel],0),I1344)</f>
        <v>0.98486665153412889</v>
      </c>
      <c r="K1344" s="406" cm="1">
        <f t="array" ref="K1344">INDEX(implementatie[[2023]:[2034]],MATCH(G1344,implementatie[Zoeksleutel],0),I1344 + 1)</f>
        <v>0.99195193384931235</v>
      </c>
      <c r="L134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85092.478692548742</v>
      </c>
      <c r="M1344" s="398" cm="1">
        <f t="array" ref="M1344">J1344*INDEX(Berekening_impact[Totaal arbeidsbesparing (€/jaar)],MATCH(B1344,IF(Berekening_impact[Doelgroep]=C1344,Berekening_impact[Digitale zorgtoepassing]),0))</f>
        <v>54789975.712565146</v>
      </c>
      <c r="N1344" s="397" cm="1">
        <f t="array" ref="N1344">J1344*INDEX(Berekening_impact[Totaal arbeidsbesparing (FTE/jaar)],MATCH(B1344,IF(Berekening_impact[Doelgroep]=C1344,Berekening_impact[Digitale zorgtoepassing]),0))</f>
        <v>1290.5692601703227</v>
      </c>
      <c r="O1344" s="398" cm="1">
        <f t="array" ref="O1344">J1344*INDEX(Berekening_impact[Overige kostenbesparing (totaal/jaar totaal potentieel)],MATCH(B1344,IF(Berekening_impact[Doelgroep]=C1344,Berekening_impact[Digitale zorgtoepassing]),0))</f>
        <v>26986107.440517157</v>
      </c>
      <c r="P1344" s="398" cm="1">
        <f t="array" ref="P1344">J1344*INDEX(Berekening_impact[Opbrengsten door QALY''s],MATCH(B1344,IF(Berekening_impact[Doelgroep]=C1344,Berekening_impact[Digitale zorgtoepassing]),0))</f>
        <v>0</v>
      </c>
      <c r="Q1344" s="398" cm="1">
        <f t="array" ref="Q1344">J1344*INDEX(Berekening_impact[Jaarlijkse kosten (totaal) - incl. schatting],MATCH(B1344,IF(Berekening_impact[Doelgroep]=C1344,Berekening_impact[Digitale zorgtoepassing]),0))</f>
        <v>45133050.698527858</v>
      </c>
      <c r="R1344" s="398" cm="1">
        <f t="array" ref="R1344">(uitkomst_doelgroep[[#This Row],[Implementatiegraad t = T + 1]]-uitkomst_doelgroep[[#This Row],[Implementatiegraad t = T]])*INDEX(Berekening_impact[Initiële investering (totaal) - incl. schatting],MATCH(B1344,IF(Berekening_impact[Doelgroep]=C1344,Berekening_impact[Digitale zorgtoepassing]),0))</f>
        <v>201403.40097847898</v>
      </c>
      <c r="S1344" s="398">
        <f>uitkomst_doelgroep[[#This Row],[Arbeidsbesparing (€)]]*uitkomst_doelgroep[[#This Row],[Percentage van patiëntaantallen in Wlz (overige is Zvw)]]</f>
        <v>24655489.070654318</v>
      </c>
      <c r="T1344" s="398">
        <f>uitkomst_doelgroep[[#This Row],[Overige besparingen (€)]]*uitkomst_doelgroep[[#This Row],[Percentage van patiëntaantallen in Wlz (overige is Zvw)]]</f>
        <v>12143748.348232722</v>
      </c>
      <c r="U1344" s="398">
        <f>uitkomst_doelgroep[[#This Row],[Kosten (€)]]*uitkomst_doelgroep[[#This Row],[Percentage van patiëntaantallen in Wlz (overige is Zvw)]]</f>
        <v>20309872.814337537</v>
      </c>
      <c r="V1344" s="398">
        <f>uitkomst_doelgroep[[#This Row],[Investering (cash flow) (€)]]*uitkomst_doelgroep[[#This Row],[Percentage van patiëntaantallen in Wlz (overige is Zvw)]]</f>
        <v>90631.530440315546</v>
      </c>
    </row>
    <row r="1345" spans="1:22" x14ac:dyDescent="0.5">
      <c r="A1345" s="33" t="str">
        <f>INDEX(Technologieën[Veld],MATCH(B1345,Technologieën[Digitale zorgtoepassing],0))</f>
        <v>Digitale hulpmiddelen - Verpleging</v>
      </c>
      <c r="B1345" s="33" t="s">
        <v>85</v>
      </c>
      <c r="C1345" s="33" t="s">
        <v>86</v>
      </c>
      <c r="D1345" s="427" cm="1">
        <f t="array" ref="D1345">INDEX(Berekening_patiëntaantal[Percentage van patiëntaantallen in Wlz (overige is Zvw)],MATCH(B1345,IF(Berekening_patiëntaantal[Doelgroep (zoeksleutel)]=C1345,Berekening_patiëntaantal[Digitale zorgtoepassing]),0))</f>
        <v>0.45</v>
      </c>
      <c r="E1345" s="33" t="str" cm="1">
        <f t="array" ref="E1345">INDEX(Berekening_patiëntaantal[Direct toepasbaar/extrapolatie/incidentie voor QALY],MATCH(B1345,IF(Berekening_patiëntaantal[Doelgroep (zoeksleutel)]=C1345,Berekening_patiëntaantal[Digitale zorgtoepassing]),0))</f>
        <v>Huidige toepassing</v>
      </c>
      <c r="F1345" s="33" t="s">
        <v>813</v>
      </c>
      <c r="G1345" s="33" t="str">
        <f>CONCATENATE(uitkomst_doelgroep[[#This Row],[Digitale zorgtoepassing]],"_",uitkomst_doelgroep[[#This Row],[Doelgroep]],"_",uitkomst_doelgroep[[#This Row],[Uitgangssituatie/effect beleid]])</f>
        <v>Zorg op afstand met tablet_Patiënten die thuiszorg krijgen_Uitgangssituatie</v>
      </c>
      <c r="H1345" s="33">
        <v>2032</v>
      </c>
      <c r="I1345" s="32">
        <v>10</v>
      </c>
      <c r="J1345" s="406" cm="1">
        <f t="array" ref="J1345">INDEX(implementatie[[2023]:[2034]],MATCH(G1345, implementatie[Zoeksleutel],0),I1345)</f>
        <v>0.99195193384931235</v>
      </c>
      <c r="K1345" s="406" cm="1">
        <f t="array" ref="K1345">INDEX(implementatie[[2023]:[2034]],MATCH(G1345,implementatie[Zoeksleutel],0),I1345 + 1)</f>
        <v>0.99574561815494433</v>
      </c>
      <c r="L134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85704.647084580589</v>
      </c>
      <c r="M1345" s="398" cm="1">
        <f t="array" ref="M1345">J1345*INDEX(Berekening_impact[Totaal arbeidsbesparing (€/jaar)],MATCH(B1345,IF(Berekening_impact[Doelgroep]=C1345,Berekening_impact[Digitale zorgtoepassing]),0))</f>
        <v>55184143.232970938</v>
      </c>
      <c r="N1345" s="397" cm="1">
        <f t="array" ref="N1345">J1345*INDEX(Berekening_impact[Totaal arbeidsbesparing (FTE/jaar)],MATCH(B1345,IF(Berekening_impact[Doelgroep]=C1345,Berekening_impact[Digitale zorgtoepassing]),0))</f>
        <v>1299.8538141161389</v>
      </c>
      <c r="O1345" s="398" cm="1">
        <f t="array" ref="O1345">J1345*INDEX(Berekening_impact[Overige kostenbesparing (totaal/jaar totaal potentieel)],MATCH(B1345,IF(Berekening_impact[Doelgroep]=C1345,Berekening_impact[Digitale zorgtoepassing]),0))</f>
        <v>27180249.652060311</v>
      </c>
      <c r="P1345" s="398" cm="1">
        <f t="array" ref="P1345">J1345*INDEX(Berekening_impact[Opbrengsten door QALY''s],MATCH(B1345,IF(Berekening_impact[Doelgroep]=C1345,Berekening_impact[Digitale zorgtoepassing]),0))</f>
        <v>0</v>
      </c>
      <c r="Q1345" s="398" cm="1">
        <f t="array" ref="Q1345">J1345*INDEX(Berekening_impact[Jaarlijkse kosten (totaal) - incl. schatting],MATCH(B1345,IF(Berekening_impact[Doelgroep]=C1345,Berekening_impact[Digitale zorgtoepassing]),0))</f>
        <v>45457744.813661553</v>
      </c>
      <c r="R1345" s="398" cm="1">
        <f t="array" ref="R1345">(uitkomst_doelgroep[[#This Row],[Implementatiegraad t = T + 1]]-uitkomst_doelgroep[[#This Row],[Implementatiegraad t = T]])*INDEX(Berekening_impact[Initiële investering (totaal) - incl. schatting],MATCH(B1345,IF(Berekening_impact[Doelgroep]=C1345,Berekening_impact[Digitale zorgtoepassing]),0))</f>
        <v>107837.7525981725</v>
      </c>
      <c r="S1345" s="398">
        <f>uitkomst_doelgroep[[#This Row],[Arbeidsbesparing (€)]]*uitkomst_doelgroep[[#This Row],[Percentage van patiëntaantallen in Wlz (overige is Zvw)]]</f>
        <v>24832864.454836924</v>
      </c>
      <c r="T1345" s="398">
        <f>uitkomst_doelgroep[[#This Row],[Overige besparingen (€)]]*uitkomst_doelgroep[[#This Row],[Percentage van patiëntaantallen in Wlz (overige is Zvw)]]</f>
        <v>12231112.34342714</v>
      </c>
      <c r="U1345" s="398">
        <f>uitkomst_doelgroep[[#This Row],[Kosten (€)]]*uitkomst_doelgroep[[#This Row],[Percentage van patiëntaantallen in Wlz (overige is Zvw)]]</f>
        <v>20455985.166147698</v>
      </c>
      <c r="V1345" s="398">
        <f>uitkomst_doelgroep[[#This Row],[Investering (cash flow) (€)]]*uitkomst_doelgroep[[#This Row],[Percentage van patiëntaantallen in Wlz (overige is Zvw)]]</f>
        <v>48526.988669177626</v>
      </c>
    </row>
    <row r="1346" spans="1:22" x14ac:dyDescent="0.5">
      <c r="A1346" s="33" t="str">
        <f>INDEX(Technologieën[Veld],MATCH(B1346,Technologieën[Digitale zorgtoepassing],0))</f>
        <v>Digitale hulpmiddelen - Verpleging</v>
      </c>
      <c r="B1346" s="33" t="s">
        <v>85</v>
      </c>
      <c r="C1346" s="33" t="s">
        <v>86</v>
      </c>
      <c r="D1346" s="427" cm="1">
        <f t="array" ref="D1346">INDEX(Berekening_patiëntaantal[Percentage van patiëntaantallen in Wlz (overige is Zvw)],MATCH(B1346,IF(Berekening_patiëntaantal[Doelgroep (zoeksleutel)]=C1346,Berekening_patiëntaantal[Digitale zorgtoepassing]),0))</f>
        <v>0.45</v>
      </c>
      <c r="E1346" s="33" t="str" cm="1">
        <f t="array" ref="E1346">INDEX(Berekening_patiëntaantal[Direct toepasbaar/extrapolatie/incidentie voor QALY],MATCH(B1346,IF(Berekening_patiëntaantal[Doelgroep (zoeksleutel)]=C1346,Berekening_patiëntaantal[Digitale zorgtoepassing]),0))</f>
        <v>Huidige toepassing</v>
      </c>
      <c r="F1346" s="33" t="s">
        <v>813</v>
      </c>
      <c r="G1346" s="33" t="str">
        <f>CONCATENATE(uitkomst_doelgroep[[#This Row],[Digitale zorgtoepassing]],"_",uitkomst_doelgroep[[#This Row],[Doelgroep]],"_",uitkomst_doelgroep[[#This Row],[Uitgangssituatie/effect beleid]])</f>
        <v>Zorg op afstand met tablet_Patiënten die thuiszorg krijgen_Uitgangssituatie</v>
      </c>
      <c r="H1346" s="33">
        <v>2033</v>
      </c>
      <c r="I1346" s="32">
        <v>11</v>
      </c>
      <c r="J1346" s="406" cm="1">
        <f t="array" ref="J1346">INDEX(implementatie[[2023]:[2034]],MATCH(G1346, implementatie[Zoeksleutel],0),I1346)</f>
        <v>0.99574561815494433</v>
      </c>
      <c r="K1346" s="406" cm="1">
        <f t="array" ref="K1346">INDEX(implementatie[[2023]:[2034]],MATCH(G1346,implementatie[Zoeksleutel],0),I1346 + 1)</f>
        <v>0.99775830463714821</v>
      </c>
      <c r="L134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86032.421408587194</v>
      </c>
      <c r="M1346" s="398" cm="1">
        <f t="array" ref="M1346">J1346*INDEX(Berekening_impact[Totaal arbeidsbesparing (€/jaar)],MATCH(B1346,IF(Berekening_impact[Doelgroep]=C1346,Berekening_impact[Digitale zorgtoepassing]),0))</f>
        <v>55395192.993507497</v>
      </c>
      <c r="N1346" s="397" cm="1">
        <f t="array" ref="N1346">J1346*INDEX(Berekening_impact[Totaal arbeidsbesparing (FTE/jaar)],MATCH(B1346,IF(Berekening_impact[Doelgroep]=C1346,Berekening_impact[Digitale zorgtoepassing]),0))</f>
        <v>1304.8250580302392</v>
      </c>
      <c r="O1346" s="398" cm="1">
        <f t="array" ref="O1346">J1346*INDEX(Berekening_impact[Overige kostenbesparing (totaal/jaar totaal potentieel)],MATCH(B1346,IF(Berekening_impact[Doelgroep]=C1346,Berekening_impact[Digitale zorgtoepassing]),0))</f>
        <v>27284199.534115631</v>
      </c>
      <c r="P1346" s="398" cm="1">
        <f t="array" ref="P1346">J1346*INDEX(Berekening_impact[Opbrengsten door QALY''s],MATCH(B1346,IF(Berekening_impact[Doelgroep]=C1346,Berekening_impact[Digitale zorgtoepassing]),0))</f>
        <v>0</v>
      </c>
      <c r="Q1346" s="398" cm="1">
        <f t="array" ref="Q1346">J1346*INDEX(Berekening_impact[Jaarlijkse kosten (totaal) - incl. schatting],MATCH(B1346,IF(Berekening_impact[Doelgroep]=C1346,Berekening_impact[Digitale zorgtoepassing]),0))</f>
        <v>45631596.315114655</v>
      </c>
      <c r="R1346" s="398" cm="1">
        <f t="array" ref="R1346">(uitkomst_doelgroep[[#This Row],[Implementatiegraad t = T + 1]]-uitkomst_doelgroep[[#This Row],[Implementatiegraad t = T]])*INDEX(Berekening_impact[Initiële investering (totaal) - incl. schatting],MATCH(B1346,IF(Berekening_impact[Doelgroep]=C1346,Berekening_impact[Digitale zorgtoepassing]),0))</f>
        <v>57211.820868534429</v>
      </c>
      <c r="S1346" s="398">
        <f>uitkomst_doelgroep[[#This Row],[Arbeidsbesparing (€)]]*uitkomst_doelgroep[[#This Row],[Percentage van patiëntaantallen in Wlz (overige is Zvw)]]</f>
        <v>24927836.847078376</v>
      </c>
      <c r="T1346" s="398">
        <f>uitkomst_doelgroep[[#This Row],[Overige besparingen (€)]]*uitkomst_doelgroep[[#This Row],[Percentage van patiëntaantallen in Wlz (overige is Zvw)]]</f>
        <v>12277889.790352033</v>
      </c>
      <c r="U1346" s="398">
        <f>uitkomst_doelgroep[[#This Row],[Kosten (€)]]*uitkomst_doelgroep[[#This Row],[Percentage van patiëntaantallen in Wlz (overige is Zvw)]]</f>
        <v>20534218.341801595</v>
      </c>
      <c r="V1346" s="398">
        <f>uitkomst_doelgroep[[#This Row],[Investering (cash flow) (€)]]*uitkomst_doelgroep[[#This Row],[Percentage van patiëntaantallen in Wlz (overige is Zvw)]]</f>
        <v>25745.319390840494</v>
      </c>
    </row>
    <row r="1347" spans="1:22" x14ac:dyDescent="0.5">
      <c r="A1347" s="33" t="str">
        <f>INDEX(Technologieën[Veld],MATCH(B1347,Technologieën[Digitale zorgtoepassing],0))</f>
        <v>Software - Behandeling</v>
      </c>
      <c r="B1347" s="33" t="s">
        <v>609</v>
      </c>
      <c r="C1347" s="33" t="s">
        <v>597</v>
      </c>
      <c r="D1347" s="427" cm="1">
        <f t="array" ref="D1347">INDEX(Berekening_patiëntaantal[Percentage van patiëntaantallen in Wlz (overige is Zvw)],MATCH(B1347,IF(Berekening_patiëntaantal[Doelgroep (zoeksleutel)]=C1347,Berekening_patiëntaantal[Digitale zorgtoepassing]),0))</f>
        <v>0</v>
      </c>
      <c r="E1347" s="33" t="str" cm="1">
        <f t="array" ref="E1347">INDEX(Berekening_patiëntaantal[Direct toepasbaar/extrapolatie/incidentie voor QALY],MATCH(B1347,IF(Berekening_patiëntaantal[Doelgroep (zoeksleutel)]=C1347,Berekening_patiëntaantal[Digitale zorgtoepassing]),0))</f>
        <v>Extrapolatie</v>
      </c>
      <c r="F1347" s="33" t="s">
        <v>813</v>
      </c>
      <c r="G1347" s="33" t="str">
        <f>CONCATENATE(uitkomst_doelgroep[[#This Row],[Digitale zorgtoepassing]],"_",uitkomst_doelgroep[[#This Row],[Doelgroep]],"_",uitkomst_doelgroep[[#This Row],[Uitgangssituatie/effect beleid]])</f>
        <v>(Zelf)zorgplatform + telebegeleiding_Overig_chronisch_Uitgangssituatie</v>
      </c>
      <c r="H1347" s="33">
        <v>2023</v>
      </c>
      <c r="I1347" s="32">
        <v>1</v>
      </c>
      <c r="J1347" s="406" cm="1">
        <f t="array" ref="J1347">INDEX(implementatie[[2023]:[2034]],MATCH(G1347, implementatie[Zoeksleutel],0),I1347)</f>
        <v>0</v>
      </c>
      <c r="K1347" s="406" cm="1">
        <f t="array" ref="K1347">INDEX(implementatie[[2023]:[2034]],MATCH(G1347,implementatie[Zoeksleutel],0),I1347 + 1)</f>
        <v>0</v>
      </c>
      <c r="L134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47" s="398" cm="1">
        <f t="array" ref="M1347">J1347*INDEX(Berekening_impact[Totaal arbeidsbesparing (€/jaar)],MATCH(B1347,IF(Berekening_impact[Doelgroep]=C1347,Berekening_impact[Digitale zorgtoepassing]),0))</f>
        <v>0</v>
      </c>
      <c r="N1347" s="397" cm="1">
        <f t="array" ref="N1347">J1347*INDEX(Berekening_impact[Totaal arbeidsbesparing (FTE/jaar)],MATCH(B1347,IF(Berekening_impact[Doelgroep]=C1347,Berekening_impact[Digitale zorgtoepassing]),0))</f>
        <v>0</v>
      </c>
      <c r="O1347" s="398" cm="1">
        <f t="array" ref="O1347">J1347*INDEX(Berekening_impact[Overige kostenbesparing (totaal/jaar totaal potentieel)],MATCH(B1347,IF(Berekening_impact[Doelgroep]=C1347,Berekening_impact[Digitale zorgtoepassing]),0))</f>
        <v>0</v>
      </c>
      <c r="P1347" s="398" cm="1">
        <f t="array" ref="P1347">J1347*INDEX(Berekening_impact[Opbrengsten door QALY''s],MATCH(B1347,IF(Berekening_impact[Doelgroep]=C1347,Berekening_impact[Digitale zorgtoepassing]),0))</f>
        <v>0</v>
      </c>
      <c r="Q1347" s="398" cm="1">
        <f t="array" ref="Q1347">J1347*INDEX(Berekening_impact[Jaarlijkse kosten (totaal) - incl. schatting],MATCH(B1347,IF(Berekening_impact[Doelgroep]=C1347,Berekening_impact[Digitale zorgtoepassing]),0))</f>
        <v>0</v>
      </c>
      <c r="R1347" s="398" cm="1">
        <f t="array" ref="R1347">(uitkomst_doelgroep[[#This Row],[Implementatiegraad t = T + 1]]-uitkomst_doelgroep[[#This Row],[Implementatiegraad t = T]])*INDEX(Berekening_impact[Initiële investering (totaal) - incl. schatting],MATCH(B1347,IF(Berekening_impact[Doelgroep]=C1347,Berekening_impact[Digitale zorgtoepassing]),0))</f>
        <v>0</v>
      </c>
      <c r="S1347" s="398">
        <f>uitkomst_doelgroep[[#This Row],[Arbeidsbesparing (€)]]*uitkomst_doelgroep[[#This Row],[Percentage van patiëntaantallen in Wlz (overige is Zvw)]]</f>
        <v>0</v>
      </c>
      <c r="T1347" s="398">
        <f>uitkomst_doelgroep[[#This Row],[Overige besparingen (€)]]*uitkomst_doelgroep[[#This Row],[Percentage van patiëntaantallen in Wlz (overige is Zvw)]]</f>
        <v>0</v>
      </c>
      <c r="U1347" s="398">
        <f>uitkomst_doelgroep[[#This Row],[Kosten (€)]]*uitkomst_doelgroep[[#This Row],[Percentage van patiëntaantallen in Wlz (overige is Zvw)]]</f>
        <v>0</v>
      </c>
      <c r="V1347" s="398">
        <f>uitkomst_doelgroep[[#This Row],[Investering (cash flow) (€)]]*uitkomst_doelgroep[[#This Row],[Percentage van patiëntaantallen in Wlz (overige is Zvw)]]</f>
        <v>0</v>
      </c>
    </row>
    <row r="1348" spans="1:22" x14ac:dyDescent="0.5">
      <c r="A1348" s="33" t="str">
        <f>INDEX(Technologieën[Veld],MATCH(B1348,Technologieën[Digitale zorgtoepassing],0))</f>
        <v>Software - Behandeling</v>
      </c>
      <c r="B1348" s="33" t="s">
        <v>609</v>
      </c>
      <c r="C1348" s="33" t="s">
        <v>597</v>
      </c>
      <c r="D1348" s="427" cm="1">
        <f t="array" ref="D1348">INDEX(Berekening_patiëntaantal[Percentage van patiëntaantallen in Wlz (overige is Zvw)],MATCH(B1348,IF(Berekening_patiëntaantal[Doelgroep (zoeksleutel)]=C1348,Berekening_patiëntaantal[Digitale zorgtoepassing]),0))</f>
        <v>0</v>
      </c>
      <c r="E1348" s="33" t="str" cm="1">
        <f t="array" ref="E1348">INDEX(Berekening_patiëntaantal[Direct toepasbaar/extrapolatie/incidentie voor QALY],MATCH(B1348,IF(Berekening_patiëntaantal[Doelgroep (zoeksleutel)]=C1348,Berekening_patiëntaantal[Digitale zorgtoepassing]),0))</f>
        <v>Extrapolatie</v>
      </c>
      <c r="F1348" s="33" t="s">
        <v>813</v>
      </c>
      <c r="G1348" s="33" t="str">
        <f>CONCATENATE(uitkomst_doelgroep[[#This Row],[Digitale zorgtoepassing]],"_",uitkomst_doelgroep[[#This Row],[Doelgroep]],"_",uitkomst_doelgroep[[#This Row],[Uitgangssituatie/effect beleid]])</f>
        <v>(Zelf)zorgplatform + telebegeleiding_Overig_chronisch_Uitgangssituatie</v>
      </c>
      <c r="H1348" s="33">
        <v>2024</v>
      </c>
      <c r="I1348" s="32">
        <v>2</v>
      </c>
      <c r="J1348" s="406" cm="1">
        <f t="array" ref="J1348">INDEX(implementatie[[2023]:[2034]],MATCH(G1348, implementatie[Zoeksleutel],0),I1348)</f>
        <v>0</v>
      </c>
      <c r="K1348" s="406" cm="1">
        <f t="array" ref="K1348">INDEX(implementatie[[2023]:[2034]],MATCH(G1348,implementatie[Zoeksleutel],0),I1348 + 1)</f>
        <v>0</v>
      </c>
      <c r="L134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48" s="398" cm="1">
        <f t="array" ref="M1348">J1348*INDEX(Berekening_impact[Totaal arbeidsbesparing (€/jaar)],MATCH(B1348,IF(Berekening_impact[Doelgroep]=C1348,Berekening_impact[Digitale zorgtoepassing]),0))</f>
        <v>0</v>
      </c>
      <c r="N1348" s="397" cm="1">
        <f t="array" ref="N1348">J1348*INDEX(Berekening_impact[Totaal arbeidsbesparing (FTE/jaar)],MATCH(B1348,IF(Berekening_impact[Doelgroep]=C1348,Berekening_impact[Digitale zorgtoepassing]),0))</f>
        <v>0</v>
      </c>
      <c r="O1348" s="398" cm="1">
        <f t="array" ref="O1348">J1348*INDEX(Berekening_impact[Overige kostenbesparing (totaal/jaar totaal potentieel)],MATCH(B1348,IF(Berekening_impact[Doelgroep]=C1348,Berekening_impact[Digitale zorgtoepassing]),0))</f>
        <v>0</v>
      </c>
      <c r="P1348" s="398" cm="1">
        <f t="array" ref="P1348">J1348*INDEX(Berekening_impact[Opbrengsten door QALY''s],MATCH(B1348,IF(Berekening_impact[Doelgroep]=C1348,Berekening_impact[Digitale zorgtoepassing]),0))</f>
        <v>0</v>
      </c>
      <c r="Q1348" s="398" cm="1">
        <f t="array" ref="Q1348">J1348*INDEX(Berekening_impact[Jaarlijkse kosten (totaal) - incl. schatting],MATCH(B1348,IF(Berekening_impact[Doelgroep]=C1348,Berekening_impact[Digitale zorgtoepassing]),0))</f>
        <v>0</v>
      </c>
      <c r="R1348" s="398" cm="1">
        <f t="array" ref="R1348">(uitkomst_doelgroep[[#This Row],[Implementatiegraad t = T + 1]]-uitkomst_doelgroep[[#This Row],[Implementatiegraad t = T]])*INDEX(Berekening_impact[Initiële investering (totaal) - incl. schatting],MATCH(B1348,IF(Berekening_impact[Doelgroep]=C1348,Berekening_impact[Digitale zorgtoepassing]),0))</f>
        <v>0</v>
      </c>
      <c r="S1348" s="398">
        <f>uitkomst_doelgroep[[#This Row],[Arbeidsbesparing (€)]]*uitkomst_doelgroep[[#This Row],[Percentage van patiëntaantallen in Wlz (overige is Zvw)]]</f>
        <v>0</v>
      </c>
      <c r="T1348" s="398">
        <f>uitkomst_doelgroep[[#This Row],[Overige besparingen (€)]]*uitkomst_doelgroep[[#This Row],[Percentage van patiëntaantallen in Wlz (overige is Zvw)]]</f>
        <v>0</v>
      </c>
      <c r="U1348" s="398">
        <f>uitkomst_doelgroep[[#This Row],[Kosten (€)]]*uitkomst_doelgroep[[#This Row],[Percentage van patiëntaantallen in Wlz (overige is Zvw)]]</f>
        <v>0</v>
      </c>
      <c r="V1348" s="398">
        <f>uitkomst_doelgroep[[#This Row],[Investering (cash flow) (€)]]*uitkomst_doelgroep[[#This Row],[Percentage van patiëntaantallen in Wlz (overige is Zvw)]]</f>
        <v>0</v>
      </c>
    </row>
    <row r="1349" spans="1:22" x14ac:dyDescent="0.5">
      <c r="A1349" s="33" t="str">
        <f>INDEX(Technologieën[Veld],MATCH(B1349,Technologieën[Digitale zorgtoepassing],0))</f>
        <v>Software - Behandeling</v>
      </c>
      <c r="B1349" s="33" t="s">
        <v>609</v>
      </c>
      <c r="C1349" s="33" t="s">
        <v>597</v>
      </c>
      <c r="D1349" s="427" cm="1">
        <f t="array" ref="D1349">INDEX(Berekening_patiëntaantal[Percentage van patiëntaantallen in Wlz (overige is Zvw)],MATCH(B1349,IF(Berekening_patiëntaantal[Doelgroep (zoeksleutel)]=C1349,Berekening_patiëntaantal[Digitale zorgtoepassing]),0))</f>
        <v>0</v>
      </c>
      <c r="E1349" s="33" t="str" cm="1">
        <f t="array" ref="E1349">INDEX(Berekening_patiëntaantal[Direct toepasbaar/extrapolatie/incidentie voor QALY],MATCH(B1349,IF(Berekening_patiëntaantal[Doelgroep (zoeksleutel)]=C1349,Berekening_patiëntaantal[Digitale zorgtoepassing]),0))</f>
        <v>Extrapolatie</v>
      </c>
      <c r="F1349" s="33" t="s">
        <v>813</v>
      </c>
      <c r="G1349" s="33" t="str">
        <f>CONCATENATE(uitkomst_doelgroep[[#This Row],[Digitale zorgtoepassing]],"_",uitkomst_doelgroep[[#This Row],[Doelgroep]],"_",uitkomst_doelgroep[[#This Row],[Uitgangssituatie/effect beleid]])</f>
        <v>(Zelf)zorgplatform + telebegeleiding_Overig_chronisch_Uitgangssituatie</v>
      </c>
      <c r="H1349" s="33">
        <v>2025</v>
      </c>
      <c r="I1349" s="32">
        <v>3</v>
      </c>
      <c r="J1349" s="406" cm="1">
        <f t="array" ref="J1349">INDEX(implementatie[[2023]:[2034]],MATCH(G1349, implementatie[Zoeksleutel],0),I1349)</f>
        <v>0</v>
      </c>
      <c r="K1349" s="406" cm="1">
        <f t="array" ref="K1349">INDEX(implementatie[[2023]:[2034]],MATCH(G1349,implementatie[Zoeksleutel],0),I1349 + 1)</f>
        <v>0</v>
      </c>
      <c r="L134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49" s="398" cm="1">
        <f t="array" ref="M1349">J1349*INDEX(Berekening_impact[Totaal arbeidsbesparing (€/jaar)],MATCH(B1349,IF(Berekening_impact[Doelgroep]=C1349,Berekening_impact[Digitale zorgtoepassing]),0))</f>
        <v>0</v>
      </c>
      <c r="N1349" s="397" cm="1">
        <f t="array" ref="N1349">J1349*INDEX(Berekening_impact[Totaal arbeidsbesparing (FTE/jaar)],MATCH(B1349,IF(Berekening_impact[Doelgroep]=C1349,Berekening_impact[Digitale zorgtoepassing]),0))</f>
        <v>0</v>
      </c>
      <c r="O1349" s="398" cm="1">
        <f t="array" ref="O1349">J1349*INDEX(Berekening_impact[Overige kostenbesparing (totaal/jaar totaal potentieel)],MATCH(B1349,IF(Berekening_impact[Doelgroep]=C1349,Berekening_impact[Digitale zorgtoepassing]),0))</f>
        <v>0</v>
      </c>
      <c r="P1349" s="398" cm="1">
        <f t="array" ref="P1349">J1349*INDEX(Berekening_impact[Opbrengsten door QALY''s],MATCH(B1349,IF(Berekening_impact[Doelgroep]=C1349,Berekening_impact[Digitale zorgtoepassing]),0))</f>
        <v>0</v>
      </c>
      <c r="Q1349" s="398" cm="1">
        <f t="array" ref="Q1349">J1349*INDEX(Berekening_impact[Jaarlijkse kosten (totaal) - incl. schatting],MATCH(B1349,IF(Berekening_impact[Doelgroep]=C1349,Berekening_impact[Digitale zorgtoepassing]),0))</f>
        <v>0</v>
      </c>
      <c r="R1349" s="398" cm="1">
        <f t="array" ref="R1349">(uitkomst_doelgroep[[#This Row],[Implementatiegraad t = T + 1]]-uitkomst_doelgroep[[#This Row],[Implementatiegraad t = T]])*INDEX(Berekening_impact[Initiële investering (totaal) - incl. schatting],MATCH(B1349,IF(Berekening_impact[Doelgroep]=C1349,Berekening_impact[Digitale zorgtoepassing]),0))</f>
        <v>0</v>
      </c>
      <c r="S1349" s="398">
        <f>uitkomst_doelgroep[[#This Row],[Arbeidsbesparing (€)]]*uitkomst_doelgroep[[#This Row],[Percentage van patiëntaantallen in Wlz (overige is Zvw)]]</f>
        <v>0</v>
      </c>
      <c r="T1349" s="398">
        <f>uitkomst_doelgroep[[#This Row],[Overige besparingen (€)]]*uitkomst_doelgroep[[#This Row],[Percentage van patiëntaantallen in Wlz (overige is Zvw)]]</f>
        <v>0</v>
      </c>
      <c r="U1349" s="398">
        <f>uitkomst_doelgroep[[#This Row],[Kosten (€)]]*uitkomst_doelgroep[[#This Row],[Percentage van patiëntaantallen in Wlz (overige is Zvw)]]</f>
        <v>0</v>
      </c>
      <c r="V1349" s="398">
        <f>uitkomst_doelgroep[[#This Row],[Investering (cash flow) (€)]]*uitkomst_doelgroep[[#This Row],[Percentage van patiëntaantallen in Wlz (overige is Zvw)]]</f>
        <v>0</v>
      </c>
    </row>
    <row r="1350" spans="1:22" x14ac:dyDescent="0.5">
      <c r="A1350" s="33" t="str">
        <f>INDEX(Technologieën[Veld],MATCH(B1350,Technologieën[Digitale zorgtoepassing],0))</f>
        <v>Software - Behandeling</v>
      </c>
      <c r="B1350" s="33" t="s">
        <v>609</v>
      </c>
      <c r="C1350" s="33" t="s">
        <v>597</v>
      </c>
      <c r="D1350" s="427" cm="1">
        <f t="array" ref="D1350">INDEX(Berekening_patiëntaantal[Percentage van patiëntaantallen in Wlz (overige is Zvw)],MATCH(B1350,IF(Berekening_patiëntaantal[Doelgroep (zoeksleutel)]=C1350,Berekening_patiëntaantal[Digitale zorgtoepassing]),0))</f>
        <v>0</v>
      </c>
      <c r="E1350" s="33" t="str" cm="1">
        <f t="array" ref="E1350">INDEX(Berekening_patiëntaantal[Direct toepasbaar/extrapolatie/incidentie voor QALY],MATCH(B1350,IF(Berekening_patiëntaantal[Doelgroep (zoeksleutel)]=C1350,Berekening_patiëntaantal[Digitale zorgtoepassing]),0))</f>
        <v>Extrapolatie</v>
      </c>
      <c r="F1350" s="33" t="s">
        <v>813</v>
      </c>
      <c r="G1350" s="33" t="str">
        <f>CONCATENATE(uitkomst_doelgroep[[#This Row],[Digitale zorgtoepassing]],"_",uitkomst_doelgroep[[#This Row],[Doelgroep]],"_",uitkomst_doelgroep[[#This Row],[Uitgangssituatie/effect beleid]])</f>
        <v>(Zelf)zorgplatform + telebegeleiding_Overig_chronisch_Uitgangssituatie</v>
      </c>
      <c r="H1350" s="33">
        <v>2026</v>
      </c>
      <c r="I1350" s="32">
        <v>4</v>
      </c>
      <c r="J1350" s="406" cm="1">
        <f t="array" ref="J1350">INDEX(implementatie[[2023]:[2034]],MATCH(G1350, implementatie[Zoeksleutel],0),I1350)</f>
        <v>0</v>
      </c>
      <c r="K1350" s="406" cm="1">
        <f t="array" ref="K1350">INDEX(implementatie[[2023]:[2034]],MATCH(G1350,implementatie[Zoeksleutel],0),I1350 + 1)</f>
        <v>2.5000000000000001E-2</v>
      </c>
      <c r="L135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50" s="398" cm="1">
        <f t="array" ref="M1350">J1350*INDEX(Berekening_impact[Totaal arbeidsbesparing (€/jaar)],MATCH(B1350,IF(Berekening_impact[Doelgroep]=C1350,Berekening_impact[Digitale zorgtoepassing]),0))</f>
        <v>0</v>
      </c>
      <c r="N1350" s="397" cm="1">
        <f t="array" ref="N1350">J1350*INDEX(Berekening_impact[Totaal arbeidsbesparing (FTE/jaar)],MATCH(B1350,IF(Berekening_impact[Doelgroep]=C1350,Berekening_impact[Digitale zorgtoepassing]),0))</f>
        <v>0</v>
      </c>
      <c r="O1350" s="398" cm="1">
        <f t="array" ref="O1350">J1350*INDEX(Berekening_impact[Overige kostenbesparing (totaal/jaar totaal potentieel)],MATCH(B1350,IF(Berekening_impact[Doelgroep]=C1350,Berekening_impact[Digitale zorgtoepassing]),0))</f>
        <v>0</v>
      </c>
      <c r="P1350" s="398" cm="1">
        <f t="array" ref="P1350">J1350*INDEX(Berekening_impact[Opbrengsten door QALY''s],MATCH(B1350,IF(Berekening_impact[Doelgroep]=C1350,Berekening_impact[Digitale zorgtoepassing]),0))</f>
        <v>0</v>
      </c>
      <c r="Q1350" s="398" cm="1">
        <f t="array" ref="Q1350">J1350*INDEX(Berekening_impact[Jaarlijkse kosten (totaal) - incl. schatting],MATCH(B1350,IF(Berekening_impact[Doelgroep]=C1350,Berekening_impact[Digitale zorgtoepassing]),0))</f>
        <v>0</v>
      </c>
      <c r="R1350" s="398" cm="1">
        <f t="array" ref="R1350">(uitkomst_doelgroep[[#This Row],[Implementatiegraad t = T + 1]]-uitkomst_doelgroep[[#This Row],[Implementatiegraad t = T]])*INDEX(Berekening_impact[Initiële investering (totaal) - incl. schatting],MATCH(B1350,IF(Berekening_impact[Doelgroep]=C1350,Berekening_impact[Digitale zorgtoepassing]),0))</f>
        <v>0</v>
      </c>
      <c r="S1350" s="398">
        <f>uitkomst_doelgroep[[#This Row],[Arbeidsbesparing (€)]]*uitkomst_doelgroep[[#This Row],[Percentage van patiëntaantallen in Wlz (overige is Zvw)]]</f>
        <v>0</v>
      </c>
      <c r="T1350" s="398">
        <f>uitkomst_doelgroep[[#This Row],[Overige besparingen (€)]]*uitkomst_doelgroep[[#This Row],[Percentage van patiëntaantallen in Wlz (overige is Zvw)]]</f>
        <v>0</v>
      </c>
      <c r="U1350" s="398">
        <f>uitkomst_doelgroep[[#This Row],[Kosten (€)]]*uitkomst_doelgroep[[#This Row],[Percentage van patiëntaantallen in Wlz (overige is Zvw)]]</f>
        <v>0</v>
      </c>
      <c r="V1350" s="398">
        <f>uitkomst_doelgroep[[#This Row],[Investering (cash flow) (€)]]*uitkomst_doelgroep[[#This Row],[Percentage van patiëntaantallen in Wlz (overige is Zvw)]]</f>
        <v>0</v>
      </c>
    </row>
    <row r="1351" spans="1:22" x14ac:dyDescent="0.5">
      <c r="A1351" s="33" t="str">
        <f>INDEX(Technologieën[Veld],MATCH(B1351,Technologieën[Digitale zorgtoepassing],0))</f>
        <v>Software - Behandeling</v>
      </c>
      <c r="B1351" s="33" t="s">
        <v>609</v>
      </c>
      <c r="C1351" s="33" t="s">
        <v>597</v>
      </c>
      <c r="D1351" s="427" cm="1">
        <f t="array" ref="D1351">INDEX(Berekening_patiëntaantal[Percentage van patiëntaantallen in Wlz (overige is Zvw)],MATCH(B1351,IF(Berekening_patiëntaantal[Doelgroep (zoeksleutel)]=C1351,Berekening_patiëntaantal[Digitale zorgtoepassing]),0))</f>
        <v>0</v>
      </c>
      <c r="E1351" s="33" t="str" cm="1">
        <f t="array" ref="E1351">INDEX(Berekening_patiëntaantal[Direct toepasbaar/extrapolatie/incidentie voor QALY],MATCH(B1351,IF(Berekening_patiëntaantal[Doelgroep (zoeksleutel)]=C1351,Berekening_patiëntaantal[Digitale zorgtoepassing]),0))</f>
        <v>Extrapolatie</v>
      </c>
      <c r="F1351" s="33" t="s">
        <v>813</v>
      </c>
      <c r="G1351" s="33" t="str">
        <f>CONCATENATE(uitkomst_doelgroep[[#This Row],[Digitale zorgtoepassing]],"_",uitkomst_doelgroep[[#This Row],[Doelgroep]],"_",uitkomst_doelgroep[[#This Row],[Uitgangssituatie/effect beleid]])</f>
        <v>(Zelf)zorgplatform + telebegeleiding_Overig_chronisch_Uitgangssituatie</v>
      </c>
      <c r="H1351" s="33">
        <v>2027</v>
      </c>
      <c r="I1351" s="32">
        <v>5</v>
      </c>
      <c r="J1351" s="406" cm="1">
        <f t="array" ref="J1351">INDEX(implementatie[[2023]:[2034]],MATCH(G1351, implementatie[Zoeksleutel],0),I1351)</f>
        <v>2.5000000000000001E-2</v>
      </c>
      <c r="K1351" s="406" cm="1">
        <f t="array" ref="K1351">INDEX(implementatie[[2023]:[2034]],MATCH(G1351,implementatie[Zoeksleutel],0),I1351 + 1)</f>
        <v>6.0343750000000002E-2</v>
      </c>
      <c r="L135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9298.8000000000011</v>
      </c>
      <c r="M1351" s="398" cm="1">
        <f t="array" ref="M1351">J1351*INDEX(Berekening_impact[Totaal arbeidsbesparing (€/jaar)],MATCH(B1351,IF(Berekening_impact[Doelgroep]=C1351,Berekening_impact[Digitale zorgtoepassing]),0))</f>
        <v>3922832.9617155995</v>
      </c>
      <c r="N1351" s="397" cm="1">
        <f t="array" ref="N1351">J1351*INDEX(Berekening_impact[Totaal arbeidsbesparing (FTE/jaar)],MATCH(B1351,IF(Berekening_impact[Doelgroep]=C1351,Berekening_impact[Digitale zorgtoepassing]),0))</f>
        <v>67.987437795752527</v>
      </c>
      <c r="O1351" s="398" cm="1">
        <f t="array" ref="O1351">J1351*INDEX(Berekening_impact[Overige kostenbesparing (totaal/jaar totaal potentieel)],MATCH(B1351,IF(Berekening_impact[Doelgroep]=C1351,Berekening_impact[Digitale zorgtoepassing]),0))</f>
        <v>1248741.7766266668</v>
      </c>
      <c r="P1351" s="398" cm="1">
        <f t="array" ref="P1351">J1351*INDEX(Berekening_impact[Opbrengsten door QALY''s],MATCH(B1351,IF(Berekening_impact[Doelgroep]=C1351,Berekening_impact[Digitale zorgtoepassing]),0))</f>
        <v>14508532.862068964</v>
      </c>
      <c r="Q1351" s="398" cm="1">
        <f t="array" ref="Q1351">J1351*INDEX(Berekening_impact[Jaarlijkse kosten (totaal) - incl. schatting],MATCH(B1351,IF(Berekening_impact[Doelgroep]=C1351,Berekening_impact[Digitale zorgtoepassing]),0))</f>
        <v>4094856.7631999995</v>
      </c>
      <c r="R1351" s="398" cm="1">
        <f t="array" ref="R1351">(uitkomst_doelgroep[[#This Row],[Implementatiegraad t = T + 1]]-uitkomst_doelgroep[[#This Row],[Implementatiegraad t = T]])*INDEX(Berekening_impact[Initiële investering (totaal) - incl. schatting],MATCH(B1351,IF(Berekening_impact[Doelgroep]=C1351,Berekening_impact[Digitale zorgtoepassing]),0))</f>
        <v>0</v>
      </c>
      <c r="S1351" s="398">
        <f>uitkomst_doelgroep[[#This Row],[Arbeidsbesparing (€)]]*uitkomst_doelgroep[[#This Row],[Percentage van patiëntaantallen in Wlz (overige is Zvw)]]</f>
        <v>0</v>
      </c>
      <c r="T1351" s="398">
        <f>uitkomst_doelgroep[[#This Row],[Overige besparingen (€)]]*uitkomst_doelgroep[[#This Row],[Percentage van patiëntaantallen in Wlz (overige is Zvw)]]</f>
        <v>0</v>
      </c>
      <c r="U1351" s="398">
        <f>uitkomst_doelgroep[[#This Row],[Kosten (€)]]*uitkomst_doelgroep[[#This Row],[Percentage van patiëntaantallen in Wlz (overige is Zvw)]]</f>
        <v>0</v>
      </c>
      <c r="V1351" s="398">
        <f>uitkomst_doelgroep[[#This Row],[Investering (cash flow) (€)]]*uitkomst_doelgroep[[#This Row],[Percentage van patiëntaantallen in Wlz (overige is Zvw)]]</f>
        <v>0</v>
      </c>
    </row>
    <row r="1352" spans="1:22" x14ac:dyDescent="0.5">
      <c r="A1352" s="33" t="str">
        <f>INDEX(Technologieën[Veld],MATCH(B1352,Technologieën[Digitale zorgtoepassing],0))</f>
        <v>Software - Behandeling</v>
      </c>
      <c r="B1352" s="33" t="s">
        <v>609</v>
      </c>
      <c r="C1352" s="33" t="s">
        <v>597</v>
      </c>
      <c r="D1352" s="427" cm="1">
        <f t="array" ref="D1352">INDEX(Berekening_patiëntaantal[Percentage van patiëntaantallen in Wlz (overige is Zvw)],MATCH(B1352,IF(Berekening_patiëntaantal[Doelgroep (zoeksleutel)]=C1352,Berekening_patiëntaantal[Digitale zorgtoepassing]),0))</f>
        <v>0</v>
      </c>
      <c r="E1352" s="33" t="str" cm="1">
        <f t="array" ref="E1352">INDEX(Berekening_patiëntaantal[Direct toepasbaar/extrapolatie/incidentie voor QALY],MATCH(B1352,IF(Berekening_patiëntaantal[Doelgroep (zoeksleutel)]=C1352,Berekening_patiëntaantal[Digitale zorgtoepassing]),0))</f>
        <v>Extrapolatie</v>
      </c>
      <c r="F1352" s="33" t="s">
        <v>813</v>
      </c>
      <c r="G1352" s="33" t="str">
        <f>CONCATENATE(uitkomst_doelgroep[[#This Row],[Digitale zorgtoepassing]],"_",uitkomst_doelgroep[[#This Row],[Doelgroep]],"_",uitkomst_doelgroep[[#This Row],[Uitgangssituatie/effect beleid]])</f>
        <v>(Zelf)zorgplatform + telebegeleiding_Overig_chronisch_Uitgangssituatie</v>
      </c>
      <c r="H1352" s="33">
        <v>2028</v>
      </c>
      <c r="I1352" s="32">
        <v>6</v>
      </c>
      <c r="J1352" s="406" cm="1">
        <f t="array" ref="J1352">INDEX(implementatie[[2023]:[2034]],MATCH(G1352, implementatie[Zoeksleutel],0),I1352)</f>
        <v>6.0343750000000002E-2</v>
      </c>
      <c r="K1352" s="406" cm="1">
        <f t="array" ref="K1352">INDEX(implementatie[[2023]:[2034]],MATCH(G1352,implementatie[Zoeksleutel],0),I1352 + 1)</f>
        <v>0.10935122807617187</v>
      </c>
      <c r="L135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22444.978500000001</v>
      </c>
      <c r="M1352" s="398" cm="1">
        <f t="array" ref="M1352">J1352*INDEX(Berekening_impact[Totaal arbeidsbesparing (€/jaar)],MATCH(B1352,IF(Berekening_impact[Doelgroep]=C1352,Berekening_impact[Digitale zorgtoepassing]),0))</f>
        <v>9468738.0613410268</v>
      </c>
      <c r="N1352" s="397" cm="1">
        <f t="array" ref="N1352">J1352*INDEX(Berekening_impact[Totaal arbeidsbesparing (FTE/jaar)],MATCH(B1352,IF(Berekening_impact[Doelgroep]=C1352,Berekening_impact[Digitale zorgtoepassing]),0))</f>
        <v>164.10467797949767</v>
      </c>
      <c r="O1352" s="398" cm="1">
        <f t="array" ref="O1352">J1352*INDEX(Berekening_impact[Overige kostenbesparing (totaal/jaar totaal potentieel)],MATCH(B1352,IF(Berekening_impact[Doelgroep]=C1352,Berekening_impact[Digitale zorgtoepassing]),0))</f>
        <v>3014150.4633326172</v>
      </c>
      <c r="P1352" s="398" cm="1">
        <f t="array" ref="P1352">J1352*INDEX(Berekening_impact[Opbrengsten door QALY''s],MATCH(B1352,IF(Berekening_impact[Doelgroep]=C1352,Berekening_impact[Digitale zorgtoepassing]),0))</f>
        <v>35019971.195818961</v>
      </c>
      <c r="Q1352" s="398" cm="1">
        <f t="array" ref="Q1352">J1352*INDEX(Berekening_impact[Jaarlijkse kosten (totaal) - incl. schatting],MATCH(B1352,IF(Berekening_impact[Doelgroep]=C1352,Berekening_impact[Digitale zorgtoepassing]),0))</f>
        <v>9883960.5121739991</v>
      </c>
      <c r="R1352" s="398" cm="1">
        <f t="array" ref="R1352">(uitkomst_doelgroep[[#This Row],[Implementatiegraad t = T + 1]]-uitkomst_doelgroep[[#This Row],[Implementatiegraad t = T]])*INDEX(Berekening_impact[Initiële investering (totaal) - incl. schatting],MATCH(B1352,IF(Berekening_impact[Doelgroep]=C1352,Berekening_impact[Digitale zorgtoepassing]),0))</f>
        <v>0</v>
      </c>
      <c r="S1352" s="398">
        <f>uitkomst_doelgroep[[#This Row],[Arbeidsbesparing (€)]]*uitkomst_doelgroep[[#This Row],[Percentage van patiëntaantallen in Wlz (overige is Zvw)]]</f>
        <v>0</v>
      </c>
      <c r="T1352" s="398">
        <f>uitkomst_doelgroep[[#This Row],[Overige besparingen (€)]]*uitkomst_doelgroep[[#This Row],[Percentage van patiëntaantallen in Wlz (overige is Zvw)]]</f>
        <v>0</v>
      </c>
      <c r="U1352" s="398">
        <f>uitkomst_doelgroep[[#This Row],[Kosten (€)]]*uitkomst_doelgroep[[#This Row],[Percentage van patiëntaantallen in Wlz (overige is Zvw)]]</f>
        <v>0</v>
      </c>
      <c r="V1352" s="398">
        <f>uitkomst_doelgroep[[#This Row],[Investering (cash flow) (€)]]*uitkomst_doelgroep[[#This Row],[Percentage van patiëntaantallen in Wlz (overige is Zvw)]]</f>
        <v>0</v>
      </c>
    </row>
    <row r="1353" spans="1:22" x14ac:dyDescent="0.5">
      <c r="A1353" s="33" t="str">
        <f>INDEX(Technologieën[Veld],MATCH(B1353,Technologieën[Digitale zorgtoepassing],0))</f>
        <v>Software - Behandeling</v>
      </c>
      <c r="B1353" s="33" t="s">
        <v>609</v>
      </c>
      <c r="C1353" s="33" t="s">
        <v>597</v>
      </c>
      <c r="D1353" s="427" cm="1">
        <f t="array" ref="D1353">INDEX(Berekening_patiëntaantal[Percentage van patiëntaantallen in Wlz (overige is Zvw)],MATCH(B1353,IF(Berekening_patiëntaantal[Doelgroep (zoeksleutel)]=C1353,Berekening_patiëntaantal[Digitale zorgtoepassing]),0))</f>
        <v>0</v>
      </c>
      <c r="E1353" s="33" t="str" cm="1">
        <f t="array" ref="E1353">INDEX(Berekening_patiëntaantal[Direct toepasbaar/extrapolatie/incidentie voor QALY],MATCH(B1353,IF(Berekening_patiëntaantal[Doelgroep (zoeksleutel)]=C1353,Berekening_patiëntaantal[Digitale zorgtoepassing]),0))</f>
        <v>Extrapolatie</v>
      </c>
      <c r="F1353" s="33" t="s">
        <v>813</v>
      </c>
      <c r="G1353" s="33" t="str">
        <f>CONCATENATE(uitkomst_doelgroep[[#This Row],[Digitale zorgtoepassing]],"_",uitkomst_doelgroep[[#This Row],[Doelgroep]],"_",uitkomst_doelgroep[[#This Row],[Uitgangssituatie/effect beleid]])</f>
        <v>(Zelf)zorgplatform + telebegeleiding_Overig_chronisch_Uitgangssituatie</v>
      </c>
      <c r="H1353" s="33">
        <v>2029</v>
      </c>
      <c r="I1353" s="32">
        <v>7</v>
      </c>
      <c r="J1353" s="406" cm="1">
        <f t="array" ref="J1353">INDEX(implementatie[[2023]:[2034]],MATCH(G1353, implementatie[Zoeksleutel],0),I1353)</f>
        <v>0.10935122807617187</v>
      </c>
      <c r="K1353" s="406" cm="1">
        <f t="array" ref="K1353">INDEX(implementatie[[2023]:[2034]],MATCH(G1353,implementatie[Zoeksleutel],0),I1353 + 1)</f>
        <v>0.17544453902174978</v>
      </c>
      <c r="L135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40673.407985388279</v>
      </c>
      <c r="M1353" s="398" cm="1">
        <f t="array" ref="M1353">J1353*INDEX(Berekening_impact[Totaal arbeidsbesparing (€/jaar)],MATCH(B1353,IF(Berekening_impact[Doelgroep]=C1353,Berekening_impact[Digitale zorgtoepassing]),0))</f>
        <v>17158664.076051492</v>
      </c>
      <c r="N1353" s="397" cm="1">
        <f t="array" ref="N1353">J1353*INDEX(Berekening_impact[Totaal arbeidsbesparing (FTE/jaar)],MATCH(B1353,IF(Berekening_impact[Doelgroep]=C1353,Berekening_impact[Digitale zorgtoepassing]),0))</f>
        <v>297.38039266871527</v>
      </c>
      <c r="O1353" s="398" cm="1">
        <f t="array" ref="O1353">J1353*INDEX(Berekening_impact[Overige kostenbesparing (totaal/jaar totaal potentieel)],MATCH(B1353,IF(Berekening_impact[Doelgroep]=C1353,Berekening_impact[Digitale zorgtoepassing]),0))</f>
        <v>5462057.8729658686</v>
      </c>
      <c r="P1353" s="398" cm="1">
        <f t="array" ref="P1353">J1353*INDEX(Berekening_impact[Opbrengsten door QALY''s],MATCH(B1353,IF(Berekening_impact[Doelgroep]=C1353,Berekening_impact[Digitale zorgtoepassing]),0))</f>
        <v>63461035.442029513</v>
      </c>
      <c r="Q1353" s="398" cm="1">
        <f t="array" ref="Q1353">J1353*INDEX(Berekening_impact[Jaarlijkse kosten (totaal) - incl. schatting],MATCH(B1353,IF(Berekening_impact[Doelgroep]=C1353,Berekening_impact[Digitale zorgtoepassing]),0))</f>
        <v>17911104.634077519</v>
      </c>
      <c r="R1353" s="398" cm="1">
        <f t="array" ref="R1353">(uitkomst_doelgroep[[#This Row],[Implementatiegraad t = T + 1]]-uitkomst_doelgroep[[#This Row],[Implementatiegraad t = T]])*INDEX(Berekening_impact[Initiële investering (totaal) - incl. schatting],MATCH(B1353,IF(Berekening_impact[Doelgroep]=C1353,Berekening_impact[Digitale zorgtoepassing]),0))</f>
        <v>0</v>
      </c>
      <c r="S1353" s="398">
        <f>uitkomst_doelgroep[[#This Row],[Arbeidsbesparing (€)]]*uitkomst_doelgroep[[#This Row],[Percentage van patiëntaantallen in Wlz (overige is Zvw)]]</f>
        <v>0</v>
      </c>
      <c r="T1353" s="398">
        <f>uitkomst_doelgroep[[#This Row],[Overige besparingen (€)]]*uitkomst_doelgroep[[#This Row],[Percentage van patiëntaantallen in Wlz (overige is Zvw)]]</f>
        <v>0</v>
      </c>
      <c r="U1353" s="398">
        <f>uitkomst_doelgroep[[#This Row],[Kosten (€)]]*uitkomst_doelgroep[[#This Row],[Percentage van patiëntaantallen in Wlz (overige is Zvw)]]</f>
        <v>0</v>
      </c>
      <c r="V1353" s="398">
        <f>uitkomst_doelgroep[[#This Row],[Investering (cash flow) (€)]]*uitkomst_doelgroep[[#This Row],[Percentage van patiëntaantallen in Wlz (overige is Zvw)]]</f>
        <v>0</v>
      </c>
    </row>
    <row r="1354" spans="1:22" x14ac:dyDescent="0.5">
      <c r="A1354" s="33" t="str">
        <f>INDEX(Technologieën[Veld],MATCH(B1354,Technologieën[Digitale zorgtoepassing],0))</f>
        <v>Software - Behandeling</v>
      </c>
      <c r="B1354" s="33" t="s">
        <v>609</v>
      </c>
      <c r="C1354" s="33" t="s">
        <v>597</v>
      </c>
      <c r="D1354" s="427" cm="1">
        <f t="array" ref="D1354">INDEX(Berekening_patiëntaantal[Percentage van patiëntaantallen in Wlz (overige is Zvw)],MATCH(B1354,IF(Berekening_patiëntaantal[Doelgroep (zoeksleutel)]=C1354,Berekening_patiëntaantal[Digitale zorgtoepassing]),0))</f>
        <v>0</v>
      </c>
      <c r="E1354" s="33" t="str" cm="1">
        <f t="array" ref="E1354">INDEX(Berekening_patiëntaantal[Direct toepasbaar/extrapolatie/incidentie voor QALY],MATCH(B1354,IF(Berekening_patiëntaantal[Doelgroep (zoeksleutel)]=C1354,Berekening_patiëntaantal[Digitale zorgtoepassing]),0))</f>
        <v>Extrapolatie</v>
      </c>
      <c r="F1354" s="33" t="s">
        <v>813</v>
      </c>
      <c r="G1354" s="33" t="str">
        <f>CONCATENATE(uitkomst_doelgroep[[#This Row],[Digitale zorgtoepassing]],"_",uitkomst_doelgroep[[#This Row],[Doelgroep]],"_",uitkomst_doelgroep[[#This Row],[Uitgangssituatie/effect beleid]])</f>
        <v>(Zelf)zorgplatform + telebegeleiding_Overig_chronisch_Uitgangssituatie</v>
      </c>
      <c r="H1354" s="33">
        <v>2030</v>
      </c>
      <c r="I1354" s="32">
        <v>8</v>
      </c>
      <c r="J1354" s="406" cm="1">
        <f t="array" ref="J1354">INDEX(implementatie[[2023]:[2034]],MATCH(G1354, implementatie[Zoeksleutel],0),I1354)</f>
        <v>0.17544453902174978</v>
      </c>
      <c r="K1354" s="406" cm="1">
        <f t="array" ref="K1354">INDEX(implementatie[[2023]:[2034]],MATCH(G1354,implementatie[Zoeksleutel],0),I1354 + 1)</f>
        <v>0.26115711428334398</v>
      </c>
      <c r="L135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65256.947178217873</v>
      </c>
      <c r="M1354" s="398" cm="1">
        <f t="array" ref="M1354">J1354*INDEX(Berekening_impact[Totaal arbeidsbesparing (€/jaar)],MATCH(B1354,IF(Berekening_impact[Doelgroep]=C1354,Berekening_impact[Digitale zorgtoepassing]),0))</f>
        <v>27529584.825100746</v>
      </c>
      <c r="N1354" s="397" cm="1">
        <f t="array" ref="N1354">J1354*INDEX(Berekening_impact[Totaal arbeidsbesparing (FTE/jaar)],MATCH(B1354,IF(Berekening_impact[Doelgroep]=C1354,Berekening_impact[Digitale zorgtoepassing]),0))</f>
        <v>477.12098733382754</v>
      </c>
      <c r="O1354" s="398" cm="1">
        <f t="array" ref="O1354">J1354*INDEX(Berekening_impact[Overige kostenbesparing (totaal/jaar totaal potentieel)],MATCH(B1354,IF(Berekening_impact[Doelgroep]=C1354,Berekening_impact[Digitale zorgtoepassing]),0))</f>
        <v>8763397.0142986551</v>
      </c>
      <c r="P1354" s="398" cm="1">
        <f t="array" ref="P1354">J1354*INDEX(Berekening_impact[Opbrengsten door QALY''s],MATCH(B1354,IF(Berekening_impact[Doelgroep]=C1354,Berekening_impact[Digitale zorgtoepassing]),0))</f>
        <v>101817714.39470389</v>
      </c>
      <c r="Q1354" s="398" cm="1">
        <f t="array" ref="Q1354">J1354*INDEX(Berekening_impact[Jaarlijkse kosten (totaal) - incl. schatting],MATCH(B1354,IF(Berekening_impact[Doelgroep]=C1354,Berekening_impact[Digitale zorgtoepassing]),0))</f>
        <v>28736810.287188731</v>
      </c>
      <c r="R1354" s="398" cm="1">
        <f t="array" ref="R1354">(uitkomst_doelgroep[[#This Row],[Implementatiegraad t = T + 1]]-uitkomst_doelgroep[[#This Row],[Implementatiegraad t = T]])*INDEX(Berekening_impact[Initiële investering (totaal) - incl. schatting],MATCH(B1354,IF(Berekening_impact[Doelgroep]=C1354,Berekening_impact[Digitale zorgtoepassing]),0))</f>
        <v>0</v>
      </c>
      <c r="S1354" s="398">
        <f>uitkomst_doelgroep[[#This Row],[Arbeidsbesparing (€)]]*uitkomst_doelgroep[[#This Row],[Percentage van patiëntaantallen in Wlz (overige is Zvw)]]</f>
        <v>0</v>
      </c>
      <c r="T1354" s="398">
        <f>uitkomst_doelgroep[[#This Row],[Overige besparingen (€)]]*uitkomst_doelgroep[[#This Row],[Percentage van patiëntaantallen in Wlz (overige is Zvw)]]</f>
        <v>0</v>
      </c>
      <c r="U1354" s="398">
        <f>uitkomst_doelgroep[[#This Row],[Kosten (€)]]*uitkomst_doelgroep[[#This Row],[Percentage van patiëntaantallen in Wlz (overige is Zvw)]]</f>
        <v>0</v>
      </c>
      <c r="V1354" s="398">
        <f>uitkomst_doelgroep[[#This Row],[Investering (cash flow) (€)]]*uitkomst_doelgroep[[#This Row],[Percentage van patiëntaantallen in Wlz (overige is Zvw)]]</f>
        <v>0</v>
      </c>
    </row>
    <row r="1355" spans="1:22" x14ac:dyDescent="0.5">
      <c r="A1355" s="33" t="str">
        <f>INDEX(Technologieën[Veld],MATCH(B1355,Technologieën[Digitale zorgtoepassing],0))</f>
        <v>Software - Behandeling</v>
      </c>
      <c r="B1355" s="33" t="s">
        <v>609</v>
      </c>
      <c r="C1355" s="33" t="s">
        <v>597</v>
      </c>
      <c r="D1355" s="427" cm="1">
        <f t="array" ref="D1355">INDEX(Berekening_patiëntaantal[Percentage van patiëntaantallen in Wlz (overige is Zvw)],MATCH(B1355,IF(Berekening_patiëntaantal[Doelgroep (zoeksleutel)]=C1355,Berekening_patiëntaantal[Digitale zorgtoepassing]),0))</f>
        <v>0</v>
      </c>
      <c r="E1355" s="33" t="str" cm="1">
        <f t="array" ref="E1355">INDEX(Berekening_patiëntaantal[Direct toepasbaar/extrapolatie/incidentie voor QALY],MATCH(B1355,IF(Berekening_patiëntaantal[Doelgroep (zoeksleutel)]=C1355,Berekening_patiëntaantal[Digitale zorgtoepassing]),0))</f>
        <v>Extrapolatie</v>
      </c>
      <c r="F1355" s="33" t="s">
        <v>813</v>
      </c>
      <c r="G1355" s="33" t="str">
        <f>CONCATENATE(uitkomst_doelgroep[[#This Row],[Digitale zorgtoepassing]],"_",uitkomst_doelgroep[[#This Row],[Doelgroep]],"_",uitkomst_doelgroep[[#This Row],[Uitgangssituatie/effect beleid]])</f>
        <v>(Zelf)zorgplatform + telebegeleiding_Overig_chronisch_Uitgangssituatie</v>
      </c>
      <c r="H1355" s="33">
        <v>2031</v>
      </c>
      <c r="I1355" s="32">
        <v>9</v>
      </c>
      <c r="J1355" s="406" cm="1">
        <f t="array" ref="J1355">INDEX(implementatie[[2023]:[2034]],MATCH(G1355, implementatie[Zoeksleutel],0),I1355)</f>
        <v>0.26115711428334398</v>
      </c>
      <c r="K1355" s="406" cm="1">
        <f t="array" ref="K1355">INDEX(implementatie[[2023]:[2034]],MATCH(G1355,implementatie[Zoeksleutel],0),I1355 + 1)</f>
        <v>0.36645752060040354</v>
      </c>
      <c r="L135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97137.910971918362</v>
      </c>
      <c r="M1355" s="398" cm="1">
        <f t="array" ref="M1355">J1355*INDEX(Berekening_impact[Totaal arbeidsbesparing (€/jaar)],MATCH(B1355,IF(Berekening_impact[Doelgroep]=C1355,Berekening_impact[Digitale zorgtoepassing]),0))</f>
        <v>40979029.443889178</v>
      </c>
      <c r="N1355" s="397" cm="1">
        <f t="array" ref="N1355">J1355*INDEX(Berekening_impact[Totaal arbeidsbesparing (FTE/jaar)],MATCH(B1355,IF(Berekening_impact[Doelgroep]=C1355,Berekening_impact[Digitale zorgtoepassing]),0))</f>
        <v>710.21612249028328</v>
      </c>
      <c r="O1355" s="398" cm="1">
        <f t="array" ref="O1355">J1355*INDEX(Berekening_impact[Overige kostenbesparing (totaal/jaar totaal potentieel)],MATCH(B1355,IF(Berekening_impact[Doelgroep]=C1355,Berekening_impact[Digitale zorgtoepassing]),0))</f>
        <v>13044711.954755057</v>
      </c>
      <c r="P1355" s="398" cm="1">
        <f t="array" ref="P1355">J1355*INDEX(Berekening_impact[Opbrengsten door QALY''s],MATCH(B1355,IF(Berekening_impact[Doelgroep]=C1355,Berekening_impact[Digitale zorgtoepassing]),0))</f>
        <v>151560262.98971984</v>
      </c>
      <c r="Q1355" s="398" cm="1">
        <f t="array" ref="Q1355">J1355*INDEX(Berekening_impact[Jaarlijkse kosten (totaal) - incl. schatting],MATCH(B1355,IF(Berekening_impact[Doelgroep]=C1355,Berekening_impact[Digitale zorgtoepassing]),0))</f>
        <v>42776039.027237847</v>
      </c>
      <c r="R1355" s="398" cm="1">
        <f t="array" ref="R1355">(uitkomst_doelgroep[[#This Row],[Implementatiegraad t = T + 1]]-uitkomst_doelgroep[[#This Row],[Implementatiegraad t = T]])*INDEX(Berekening_impact[Initiële investering (totaal) - incl. schatting],MATCH(B1355,IF(Berekening_impact[Doelgroep]=C1355,Berekening_impact[Digitale zorgtoepassing]),0))</f>
        <v>0</v>
      </c>
      <c r="S1355" s="398">
        <f>uitkomst_doelgroep[[#This Row],[Arbeidsbesparing (€)]]*uitkomst_doelgroep[[#This Row],[Percentage van patiëntaantallen in Wlz (overige is Zvw)]]</f>
        <v>0</v>
      </c>
      <c r="T1355" s="398">
        <f>uitkomst_doelgroep[[#This Row],[Overige besparingen (€)]]*uitkomst_doelgroep[[#This Row],[Percentage van patiëntaantallen in Wlz (overige is Zvw)]]</f>
        <v>0</v>
      </c>
      <c r="U1355" s="398">
        <f>uitkomst_doelgroep[[#This Row],[Kosten (€)]]*uitkomst_doelgroep[[#This Row],[Percentage van patiëntaantallen in Wlz (overige is Zvw)]]</f>
        <v>0</v>
      </c>
      <c r="V1355" s="398">
        <f>uitkomst_doelgroep[[#This Row],[Investering (cash flow) (€)]]*uitkomst_doelgroep[[#This Row],[Percentage van patiëntaantallen in Wlz (overige is Zvw)]]</f>
        <v>0</v>
      </c>
    </row>
    <row r="1356" spans="1:22" x14ac:dyDescent="0.5">
      <c r="A1356" s="33" t="str">
        <f>INDEX(Technologieën[Veld],MATCH(B1356,Technologieën[Digitale zorgtoepassing],0))</f>
        <v>Software - Behandeling</v>
      </c>
      <c r="B1356" s="33" t="s">
        <v>609</v>
      </c>
      <c r="C1356" s="33" t="s">
        <v>597</v>
      </c>
      <c r="D1356" s="427" cm="1">
        <f t="array" ref="D1356">INDEX(Berekening_patiëntaantal[Percentage van patiëntaantallen in Wlz (overige is Zvw)],MATCH(B1356,IF(Berekening_patiëntaantal[Doelgroep (zoeksleutel)]=C1356,Berekening_patiëntaantal[Digitale zorgtoepassing]),0))</f>
        <v>0</v>
      </c>
      <c r="E1356" s="33" t="str" cm="1">
        <f t="array" ref="E1356">INDEX(Berekening_patiëntaantal[Direct toepasbaar/extrapolatie/incidentie voor QALY],MATCH(B1356,IF(Berekening_patiëntaantal[Doelgroep (zoeksleutel)]=C1356,Berekening_patiëntaantal[Digitale zorgtoepassing]),0))</f>
        <v>Extrapolatie</v>
      </c>
      <c r="F1356" s="33" t="s">
        <v>813</v>
      </c>
      <c r="G1356" s="33" t="str">
        <f>CONCATENATE(uitkomst_doelgroep[[#This Row],[Digitale zorgtoepassing]],"_",uitkomst_doelgroep[[#This Row],[Doelgroep]],"_",uitkomst_doelgroep[[#This Row],[Uitgangssituatie/effect beleid]])</f>
        <v>(Zelf)zorgplatform + telebegeleiding_Overig_chronisch_Uitgangssituatie</v>
      </c>
      <c r="H1356" s="33">
        <v>2032</v>
      </c>
      <c r="I1356" s="32">
        <v>10</v>
      </c>
      <c r="J1356" s="406" cm="1">
        <f t="array" ref="J1356">INDEX(implementatie[[2023]:[2034]],MATCH(G1356, implementatie[Zoeksleutel],0),I1356)</f>
        <v>0.36645752060040354</v>
      </c>
      <c r="K1356" s="406" cm="1">
        <f t="array" ref="K1356">INDEX(implementatie[[2023]:[2034]],MATCH(G1356,implementatie[Zoeksleutel],0),I1356 + 1)</f>
        <v>0.48677096537350723</v>
      </c>
      <c r="L135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136304.6077023613</v>
      </c>
      <c r="M1356" s="398" cm="1">
        <f t="array" ref="M1356">J1356*INDEX(Berekening_impact[Totaal arbeidsbesparing (€/jaar)],MATCH(B1356,IF(Berekening_impact[Doelgroep]=C1356,Berekening_impact[Digitale zorgtoepassing]),0))</f>
        <v>57502065.635193445</v>
      </c>
      <c r="N1356" s="397" cm="1">
        <f t="array" ref="N1356">J1356*INDEX(Berekening_impact[Totaal arbeidsbesparing (FTE/jaar)],MATCH(B1356,IF(Berekening_impact[Doelgroep]=C1356,Berekening_impact[Digitale zorgtoepassing]),0))</f>
        <v>996.58031546422535</v>
      </c>
      <c r="O1356" s="398" cm="1">
        <f t="array" ref="O1356">J1356*INDEX(Berekening_impact[Overige kostenbesparing (totaal/jaar totaal potentieel)],MATCH(B1356,IF(Berekening_impact[Doelgroep]=C1356,Berekening_impact[Digitale zorgtoepassing]),0))</f>
        <v>18304432.61331005</v>
      </c>
      <c r="P1356" s="398" cm="1">
        <f t="array" ref="P1356">J1356*INDEX(Berekening_impact[Opbrengsten door QALY''s],MATCH(B1356,IF(Berekening_impact[Doelgroep]=C1356,Berekening_impact[Digitale zorgtoepassing]),0))</f>
        <v>212670439.20733076</v>
      </c>
      <c r="Q1356" s="398" cm="1">
        <f t="array" ref="Q1356">J1356*INDEX(Berekening_impact[Jaarlijkse kosten (totaal) - incl. schatting],MATCH(B1356,IF(Berekening_impact[Doelgroep]=C1356,Berekening_impact[Digitale zorgtoepassing]),0))</f>
        <v>60023642.266242616</v>
      </c>
      <c r="R1356" s="398" cm="1">
        <f t="array" ref="R1356">(uitkomst_doelgroep[[#This Row],[Implementatiegraad t = T + 1]]-uitkomst_doelgroep[[#This Row],[Implementatiegraad t = T]])*INDEX(Berekening_impact[Initiële investering (totaal) - incl. schatting],MATCH(B1356,IF(Berekening_impact[Doelgroep]=C1356,Berekening_impact[Digitale zorgtoepassing]),0))</f>
        <v>0</v>
      </c>
      <c r="S1356" s="398">
        <f>uitkomst_doelgroep[[#This Row],[Arbeidsbesparing (€)]]*uitkomst_doelgroep[[#This Row],[Percentage van patiëntaantallen in Wlz (overige is Zvw)]]</f>
        <v>0</v>
      </c>
      <c r="T1356" s="398">
        <f>uitkomst_doelgroep[[#This Row],[Overige besparingen (€)]]*uitkomst_doelgroep[[#This Row],[Percentage van patiëntaantallen in Wlz (overige is Zvw)]]</f>
        <v>0</v>
      </c>
      <c r="U1356" s="398">
        <f>uitkomst_doelgroep[[#This Row],[Kosten (€)]]*uitkomst_doelgroep[[#This Row],[Percentage van patiëntaantallen in Wlz (overige is Zvw)]]</f>
        <v>0</v>
      </c>
      <c r="V1356" s="398">
        <f>uitkomst_doelgroep[[#This Row],[Investering (cash flow) (€)]]*uitkomst_doelgroep[[#This Row],[Percentage van patiëntaantallen in Wlz (overige is Zvw)]]</f>
        <v>0</v>
      </c>
    </row>
    <row r="1357" spans="1:22" x14ac:dyDescent="0.5">
      <c r="A1357" s="33" t="str">
        <f>INDEX(Technologieën[Veld],MATCH(B1357,Technologieën[Digitale zorgtoepassing],0))</f>
        <v>Software - Behandeling</v>
      </c>
      <c r="B1357" s="33" t="s">
        <v>609</v>
      </c>
      <c r="C1357" s="33" t="s">
        <v>597</v>
      </c>
      <c r="D1357" s="427" cm="1">
        <f t="array" ref="D1357">INDEX(Berekening_patiëntaantal[Percentage van patiëntaantallen in Wlz (overige is Zvw)],MATCH(B1357,IF(Berekening_patiëntaantal[Doelgroep (zoeksleutel)]=C1357,Berekening_patiëntaantal[Digitale zorgtoepassing]),0))</f>
        <v>0</v>
      </c>
      <c r="E1357" s="33" t="str" cm="1">
        <f t="array" ref="E1357">INDEX(Berekening_patiëntaantal[Direct toepasbaar/extrapolatie/incidentie voor QALY],MATCH(B1357,IF(Berekening_patiëntaantal[Doelgroep (zoeksleutel)]=C1357,Berekening_patiëntaantal[Digitale zorgtoepassing]),0))</f>
        <v>Extrapolatie</v>
      </c>
      <c r="F1357" s="33" t="s">
        <v>813</v>
      </c>
      <c r="G1357" s="33" t="str">
        <f>CONCATENATE(uitkomst_doelgroep[[#This Row],[Digitale zorgtoepassing]],"_",uitkomst_doelgroep[[#This Row],[Doelgroep]],"_",uitkomst_doelgroep[[#This Row],[Uitgangssituatie/effect beleid]])</f>
        <v>(Zelf)zorgplatform + telebegeleiding_Overig_chronisch_Uitgangssituatie</v>
      </c>
      <c r="H1357" s="33">
        <v>2033</v>
      </c>
      <c r="I1357" s="32">
        <v>11</v>
      </c>
      <c r="J1357" s="406" cm="1">
        <f t="array" ref="J1357">INDEX(implementatie[[2023]:[2034]],MATCH(G1357, implementatie[Zoeksleutel],0),I1357)</f>
        <v>0.48677096537350723</v>
      </c>
      <c r="K1357" s="406" cm="1">
        <f t="array" ref="K1357">INDEX(implementatie[[2023]:[2034]],MATCH(G1357,implementatie[Zoeksleutel],0),I1357 + 1)</f>
        <v>0.61202293792845253</v>
      </c>
      <c r="L135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181055.43411260677</v>
      </c>
      <c r="M1357" s="398" cm="1">
        <f t="array" ref="M1357">J1357*INDEX(Berekening_impact[Totaal arbeidsbesparing (€/jaar)],MATCH(B1357,IF(Berekening_impact[Doelgroep]=C1357,Berekening_impact[Digitale zorgtoepassing]),0))</f>
        <v>76380847.510932669</v>
      </c>
      <c r="N1357" s="397" cm="1">
        <f t="array" ref="N1357">J1357*INDEX(Berekening_impact[Totaal arbeidsbesparing (FTE/jaar)],MATCH(B1357,IF(Berekening_impact[Doelgroep]=C1357,Berekening_impact[Digitale zorgtoepassing]),0))</f>
        <v>1323.772429164389</v>
      </c>
      <c r="O1357" s="398" cm="1">
        <f t="array" ref="O1357">J1357*INDEX(Berekening_impact[Overige kostenbesparing (totaal/jaar totaal potentieel)],MATCH(B1357,IF(Berekening_impact[Doelgroep]=C1357,Berekening_impact[Digitale zorgtoepassing]),0))</f>
        <v>24314049.604431644</v>
      </c>
      <c r="P1357" s="398" cm="1">
        <f t="array" ref="P1357">J1357*INDEX(Berekening_impact[Opbrengsten door QALY''s],MATCH(B1357,IF(Berekening_impact[Doelgroep]=C1357,Berekening_impact[Digitale zorgtoepassing]),0))</f>
        <v>282493301.8969025</v>
      </c>
      <c r="Q1357" s="398" cm="1">
        <f t="array" ref="Q1357">J1357*INDEX(Berekening_impact[Jaarlijkse kosten (totaal) - incl. schatting],MATCH(B1357,IF(Berekening_impact[Doelgroep]=C1357,Berekening_impact[Digitale zorgtoepassing]),0))</f>
        <v>79730295.187563941</v>
      </c>
      <c r="R1357" s="398" cm="1">
        <f t="array" ref="R1357">(uitkomst_doelgroep[[#This Row],[Implementatiegraad t = T + 1]]-uitkomst_doelgroep[[#This Row],[Implementatiegraad t = T]])*INDEX(Berekening_impact[Initiële investering (totaal) - incl. schatting],MATCH(B1357,IF(Berekening_impact[Doelgroep]=C1357,Berekening_impact[Digitale zorgtoepassing]),0))</f>
        <v>0</v>
      </c>
      <c r="S1357" s="398">
        <f>uitkomst_doelgroep[[#This Row],[Arbeidsbesparing (€)]]*uitkomst_doelgroep[[#This Row],[Percentage van patiëntaantallen in Wlz (overige is Zvw)]]</f>
        <v>0</v>
      </c>
      <c r="T1357" s="398">
        <f>uitkomst_doelgroep[[#This Row],[Overige besparingen (€)]]*uitkomst_doelgroep[[#This Row],[Percentage van patiëntaantallen in Wlz (overige is Zvw)]]</f>
        <v>0</v>
      </c>
      <c r="U1357" s="398">
        <f>uitkomst_doelgroep[[#This Row],[Kosten (€)]]*uitkomst_doelgroep[[#This Row],[Percentage van patiëntaantallen in Wlz (overige is Zvw)]]</f>
        <v>0</v>
      </c>
      <c r="V1357" s="398">
        <f>uitkomst_doelgroep[[#This Row],[Investering (cash flow) (€)]]*uitkomst_doelgroep[[#This Row],[Percentage van patiëntaantallen in Wlz (overige is Zvw)]]</f>
        <v>0</v>
      </c>
    </row>
    <row r="1358" spans="1:22" x14ac:dyDescent="0.5">
      <c r="A1358" s="33" t="str">
        <f>INDEX(Technologieën[Veld],MATCH(B1358,Technologieën[Digitale zorgtoepassing],0))</f>
        <v>Digitale hulpmiddelen - Verpleging</v>
      </c>
      <c r="B1358" s="33" t="s">
        <v>32</v>
      </c>
      <c r="C1358" s="33" t="s">
        <v>602</v>
      </c>
      <c r="D1358" s="427" cm="1">
        <f t="array" ref="D1358">INDEX(Berekening_patiëntaantal[Percentage van patiëntaantallen in Wlz (overige is Zvw)],MATCH(B1358,IF(Berekening_patiëntaantal[Doelgroep (zoeksleutel)]=C1358,Berekening_patiëntaantal[Digitale zorgtoepassing]),0))</f>
        <v>0</v>
      </c>
      <c r="E1358" s="33" t="str" cm="1">
        <f t="array" ref="E1358">INDEX(Berekening_patiëntaantal[Direct toepasbaar/extrapolatie/incidentie voor QALY],MATCH(B1358,IF(Berekening_patiëntaantal[Doelgroep (zoeksleutel)]=C1358,Berekening_patiëntaantal[Digitale zorgtoepassing]),0))</f>
        <v>Incidentie voor QALY</v>
      </c>
      <c r="F1358" s="33" t="s">
        <v>813</v>
      </c>
      <c r="G1358" s="33" t="str">
        <f>CONCATENATE(uitkomst_doelgroep[[#This Row],[Digitale zorgtoepassing]],"_",uitkomst_doelgroep[[#This Row],[Doelgroep]],"_",uitkomst_doelgroep[[#This Row],[Uitgangssituatie/effect beleid]])</f>
        <v>Heupairbag_Heupfracturen_Uitgangssituatie</v>
      </c>
      <c r="H1358" s="33">
        <v>2023</v>
      </c>
      <c r="I1358" s="32">
        <v>1</v>
      </c>
      <c r="J1358" s="406" cm="1">
        <f t="array" ref="J1358">INDEX(implementatie[[2023]:[2034]],MATCH(G1358, implementatie[Zoeksleutel],0),I1358)</f>
        <v>0.4</v>
      </c>
      <c r="K1358" s="406" cm="1">
        <f t="array" ref="K1358">INDEX(implementatie[[2023]:[2034]],MATCH(G1358,implementatie[Zoeksleutel],0),I1358 + 1)</f>
        <v>0.50800000000000001</v>
      </c>
      <c r="L135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58" s="398" cm="1">
        <f t="array" ref="M1358">J1358*INDEX(Berekening_impact[Totaal arbeidsbesparing (€/jaar)],MATCH(B1358,IF(Berekening_impact[Doelgroep]=C1358,Berekening_impact[Digitale zorgtoepassing]),0))</f>
        <v>0</v>
      </c>
      <c r="N1358" s="397" cm="1">
        <f t="array" ref="N1358">J1358*INDEX(Berekening_impact[Totaal arbeidsbesparing (FTE/jaar)],MATCH(B1358,IF(Berekening_impact[Doelgroep]=C1358,Berekening_impact[Digitale zorgtoepassing]),0))</f>
        <v>0</v>
      </c>
      <c r="O1358" s="398" cm="1">
        <f t="array" ref="O1358">J1358*INDEX(Berekening_impact[Overige kostenbesparing (totaal/jaar totaal potentieel)],MATCH(B1358,IF(Berekening_impact[Doelgroep]=C1358,Berekening_impact[Digitale zorgtoepassing]),0))</f>
        <v>0</v>
      </c>
      <c r="P1358" s="398" cm="1">
        <f t="array" ref="P1358">J1358*INDEX(Berekening_impact[Opbrengsten door QALY''s],MATCH(B1358,IF(Berekening_impact[Doelgroep]=C1358,Berekening_impact[Digitale zorgtoepassing]),0))</f>
        <v>37800000.000000007</v>
      </c>
      <c r="Q1358" s="398" cm="1">
        <f t="array" ref="Q1358">J1358*INDEX(Berekening_impact[Jaarlijkse kosten (totaal) - incl. schatting],MATCH(B1358,IF(Berekening_impact[Doelgroep]=C1358,Berekening_impact[Digitale zorgtoepassing]),0))</f>
        <v>0</v>
      </c>
      <c r="R1358" s="398" cm="1">
        <f t="array" ref="R1358">(uitkomst_doelgroep[[#This Row],[Implementatiegraad t = T + 1]]-uitkomst_doelgroep[[#This Row],[Implementatiegraad t = T]])*INDEX(Berekening_impact[Initiële investering (totaal) - incl. schatting],MATCH(B1358,IF(Berekening_impact[Doelgroep]=C1358,Berekening_impact[Digitale zorgtoepassing]),0))</f>
        <v>0</v>
      </c>
      <c r="S1358" s="398">
        <f>uitkomst_doelgroep[[#This Row],[Arbeidsbesparing (€)]]*uitkomst_doelgroep[[#This Row],[Percentage van patiëntaantallen in Wlz (overige is Zvw)]]</f>
        <v>0</v>
      </c>
      <c r="T1358" s="398">
        <f>uitkomst_doelgroep[[#This Row],[Overige besparingen (€)]]*uitkomst_doelgroep[[#This Row],[Percentage van patiëntaantallen in Wlz (overige is Zvw)]]</f>
        <v>0</v>
      </c>
      <c r="U1358" s="398">
        <f>uitkomst_doelgroep[[#This Row],[Kosten (€)]]*uitkomst_doelgroep[[#This Row],[Percentage van patiëntaantallen in Wlz (overige is Zvw)]]</f>
        <v>0</v>
      </c>
      <c r="V1358" s="398">
        <f>uitkomst_doelgroep[[#This Row],[Investering (cash flow) (€)]]*uitkomst_doelgroep[[#This Row],[Percentage van patiëntaantallen in Wlz (overige is Zvw)]]</f>
        <v>0</v>
      </c>
    </row>
    <row r="1359" spans="1:22" x14ac:dyDescent="0.5">
      <c r="A1359" s="33" t="str">
        <f>INDEX(Technologieën[Veld],MATCH(B1359,Technologieën[Digitale zorgtoepassing],0))</f>
        <v>Digitale hulpmiddelen - Verpleging</v>
      </c>
      <c r="B1359" s="33" t="s">
        <v>32</v>
      </c>
      <c r="C1359" s="33" t="s">
        <v>602</v>
      </c>
      <c r="D1359" s="427" cm="1">
        <f t="array" ref="D1359">INDEX(Berekening_patiëntaantal[Percentage van patiëntaantallen in Wlz (overige is Zvw)],MATCH(B1359,IF(Berekening_patiëntaantal[Doelgroep (zoeksleutel)]=C1359,Berekening_patiëntaantal[Digitale zorgtoepassing]),0))</f>
        <v>0</v>
      </c>
      <c r="E1359" s="33" t="str" cm="1">
        <f t="array" ref="E1359">INDEX(Berekening_patiëntaantal[Direct toepasbaar/extrapolatie/incidentie voor QALY],MATCH(B1359,IF(Berekening_patiëntaantal[Doelgroep (zoeksleutel)]=C1359,Berekening_patiëntaantal[Digitale zorgtoepassing]),0))</f>
        <v>Incidentie voor QALY</v>
      </c>
      <c r="F1359" s="33" t="s">
        <v>813</v>
      </c>
      <c r="G1359" s="33" t="str">
        <f>CONCATENATE(uitkomst_doelgroep[[#This Row],[Digitale zorgtoepassing]],"_",uitkomst_doelgroep[[#This Row],[Doelgroep]],"_",uitkomst_doelgroep[[#This Row],[Uitgangssituatie/effect beleid]])</f>
        <v>Heupairbag_Heupfracturen_Uitgangssituatie</v>
      </c>
      <c r="H1359" s="33">
        <v>2024</v>
      </c>
      <c r="I1359" s="32">
        <v>2</v>
      </c>
      <c r="J1359" s="406" cm="1">
        <f t="array" ref="J1359">INDEX(implementatie[[2023]:[2034]],MATCH(G1359, implementatie[Zoeksleutel],0),I1359)</f>
        <v>0.50800000000000001</v>
      </c>
      <c r="K1359" s="406" cm="1">
        <f t="array" ref="K1359">INDEX(implementatie[[2023]:[2034]],MATCH(G1359,implementatie[Zoeksleutel],0),I1359 + 1)</f>
        <v>0.61781439999999999</v>
      </c>
      <c r="L135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59" s="398" cm="1">
        <f t="array" ref="M1359">J1359*INDEX(Berekening_impact[Totaal arbeidsbesparing (€/jaar)],MATCH(B1359,IF(Berekening_impact[Doelgroep]=C1359,Berekening_impact[Digitale zorgtoepassing]),0))</f>
        <v>0</v>
      </c>
      <c r="N1359" s="397" cm="1">
        <f t="array" ref="N1359">J1359*INDEX(Berekening_impact[Totaal arbeidsbesparing (FTE/jaar)],MATCH(B1359,IF(Berekening_impact[Doelgroep]=C1359,Berekening_impact[Digitale zorgtoepassing]),0))</f>
        <v>0</v>
      </c>
      <c r="O1359" s="398" cm="1">
        <f t="array" ref="O1359">J1359*INDEX(Berekening_impact[Overige kostenbesparing (totaal/jaar totaal potentieel)],MATCH(B1359,IF(Berekening_impact[Doelgroep]=C1359,Berekening_impact[Digitale zorgtoepassing]),0))</f>
        <v>0</v>
      </c>
      <c r="P1359" s="398" cm="1">
        <f t="array" ref="P1359">J1359*INDEX(Berekening_impact[Opbrengsten door QALY''s],MATCH(B1359,IF(Berekening_impact[Doelgroep]=C1359,Berekening_impact[Digitale zorgtoepassing]),0))</f>
        <v>48006000.000000007</v>
      </c>
      <c r="Q1359" s="398" cm="1">
        <f t="array" ref="Q1359">J1359*INDEX(Berekening_impact[Jaarlijkse kosten (totaal) - incl. schatting],MATCH(B1359,IF(Berekening_impact[Doelgroep]=C1359,Berekening_impact[Digitale zorgtoepassing]),0))</f>
        <v>0</v>
      </c>
      <c r="R1359" s="398" cm="1">
        <f t="array" ref="R1359">(uitkomst_doelgroep[[#This Row],[Implementatiegraad t = T + 1]]-uitkomst_doelgroep[[#This Row],[Implementatiegraad t = T]])*INDEX(Berekening_impact[Initiële investering (totaal) - incl. schatting],MATCH(B1359,IF(Berekening_impact[Doelgroep]=C1359,Berekening_impact[Digitale zorgtoepassing]),0))</f>
        <v>0</v>
      </c>
      <c r="S1359" s="398">
        <f>uitkomst_doelgroep[[#This Row],[Arbeidsbesparing (€)]]*uitkomst_doelgroep[[#This Row],[Percentage van patiëntaantallen in Wlz (overige is Zvw)]]</f>
        <v>0</v>
      </c>
      <c r="T1359" s="398">
        <f>uitkomst_doelgroep[[#This Row],[Overige besparingen (€)]]*uitkomst_doelgroep[[#This Row],[Percentage van patiëntaantallen in Wlz (overige is Zvw)]]</f>
        <v>0</v>
      </c>
      <c r="U1359" s="398">
        <f>uitkomst_doelgroep[[#This Row],[Kosten (€)]]*uitkomst_doelgroep[[#This Row],[Percentage van patiëntaantallen in Wlz (overige is Zvw)]]</f>
        <v>0</v>
      </c>
      <c r="V1359" s="398">
        <f>uitkomst_doelgroep[[#This Row],[Investering (cash flow) (€)]]*uitkomst_doelgroep[[#This Row],[Percentage van patiëntaantallen in Wlz (overige is Zvw)]]</f>
        <v>0</v>
      </c>
    </row>
    <row r="1360" spans="1:22" x14ac:dyDescent="0.5">
      <c r="A1360" s="33" t="str">
        <f>INDEX(Technologieën[Veld],MATCH(B1360,Technologieën[Digitale zorgtoepassing],0))</f>
        <v>Digitale hulpmiddelen - Verpleging</v>
      </c>
      <c r="B1360" s="33" t="s">
        <v>32</v>
      </c>
      <c r="C1360" s="33" t="s">
        <v>602</v>
      </c>
      <c r="D1360" s="427" cm="1">
        <f t="array" ref="D1360">INDEX(Berekening_patiëntaantal[Percentage van patiëntaantallen in Wlz (overige is Zvw)],MATCH(B1360,IF(Berekening_patiëntaantal[Doelgroep (zoeksleutel)]=C1360,Berekening_patiëntaantal[Digitale zorgtoepassing]),0))</f>
        <v>0</v>
      </c>
      <c r="E1360" s="33" t="str" cm="1">
        <f t="array" ref="E1360">INDEX(Berekening_patiëntaantal[Direct toepasbaar/extrapolatie/incidentie voor QALY],MATCH(B1360,IF(Berekening_patiëntaantal[Doelgroep (zoeksleutel)]=C1360,Berekening_patiëntaantal[Digitale zorgtoepassing]),0))</f>
        <v>Incidentie voor QALY</v>
      </c>
      <c r="F1360" s="33" t="s">
        <v>813</v>
      </c>
      <c r="G1360" s="33" t="str">
        <f>CONCATENATE(uitkomst_doelgroep[[#This Row],[Digitale zorgtoepassing]],"_",uitkomst_doelgroep[[#This Row],[Doelgroep]],"_",uitkomst_doelgroep[[#This Row],[Uitgangssituatie/effect beleid]])</f>
        <v>Heupairbag_Heupfracturen_Uitgangssituatie</v>
      </c>
      <c r="H1360" s="33">
        <v>2025</v>
      </c>
      <c r="I1360" s="32">
        <v>3</v>
      </c>
      <c r="J1360" s="406" cm="1">
        <f t="array" ref="J1360">INDEX(implementatie[[2023]:[2034]],MATCH(G1360, implementatie[Zoeksleutel],0),I1360)</f>
        <v>0.61781439999999999</v>
      </c>
      <c r="K1360" s="406" cm="1">
        <f t="array" ref="K1360">INDEX(implementatie[[2023]:[2034]],MATCH(G1360,implementatie[Zoeksleutel],0),I1360 + 1)</f>
        <v>0.71990601886105599</v>
      </c>
      <c r="L136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60" s="398" cm="1">
        <f t="array" ref="M1360">J1360*INDEX(Berekening_impact[Totaal arbeidsbesparing (€/jaar)],MATCH(B1360,IF(Berekening_impact[Doelgroep]=C1360,Berekening_impact[Digitale zorgtoepassing]),0))</f>
        <v>0</v>
      </c>
      <c r="N1360" s="397" cm="1">
        <f t="array" ref="N1360">J1360*INDEX(Berekening_impact[Totaal arbeidsbesparing (FTE/jaar)],MATCH(B1360,IF(Berekening_impact[Doelgroep]=C1360,Berekening_impact[Digitale zorgtoepassing]),0))</f>
        <v>0</v>
      </c>
      <c r="O1360" s="398" cm="1">
        <f t="array" ref="O1360">J1360*INDEX(Berekening_impact[Overige kostenbesparing (totaal/jaar totaal potentieel)],MATCH(B1360,IF(Berekening_impact[Doelgroep]=C1360,Berekening_impact[Digitale zorgtoepassing]),0))</f>
        <v>0</v>
      </c>
      <c r="P1360" s="398" cm="1">
        <f t="array" ref="P1360">J1360*INDEX(Berekening_impact[Opbrengsten door QALY''s],MATCH(B1360,IF(Berekening_impact[Doelgroep]=C1360,Berekening_impact[Digitale zorgtoepassing]),0))</f>
        <v>58383460.800000004</v>
      </c>
      <c r="Q1360" s="398" cm="1">
        <f t="array" ref="Q1360">J1360*INDEX(Berekening_impact[Jaarlijkse kosten (totaal) - incl. schatting],MATCH(B1360,IF(Berekening_impact[Doelgroep]=C1360,Berekening_impact[Digitale zorgtoepassing]),0))</f>
        <v>0</v>
      </c>
      <c r="R1360" s="398" cm="1">
        <f t="array" ref="R1360">(uitkomst_doelgroep[[#This Row],[Implementatiegraad t = T + 1]]-uitkomst_doelgroep[[#This Row],[Implementatiegraad t = T]])*INDEX(Berekening_impact[Initiële investering (totaal) - incl. schatting],MATCH(B1360,IF(Berekening_impact[Doelgroep]=C1360,Berekening_impact[Digitale zorgtoepassing]),0))</f>
        <v>0</v>
      </c>
      <c r="S1360" s="398">
        <f>uitkomst_doelgroep[[#This Row],[Arbeidsbesparing (€)]]*uitkomst_doelgroep[[#This Row],[Percentage van patiëntaantallen in Wlz (overige is Zvw)]]</f>
        <v>0</v>
      </c>
      <c r="T1360" s="398">
        <f>uitkomst_doelgroep[[#This Row],[Overige besparingen (€)]]*uitkomst_doelgroep[[#This Row],[Percentage van patiëntaantallen in Wlz (overige is Zvw)]]</f>
        <v>0</v>
      </c>
      <c r="U1360" s="398">
        <f>uitkomst_doelgroep[[#This Row],[Kosten (€)]]*uitkomst_doelgroep[[#This Row],[Percentage van patiëntaantallen in Wlz (overige is Zvw)]]</f>
        <v>0</v>
      </c>
      <c r="V1360" s="398">
        <f>uitkomst_doelgroep[[#This Row],[Investering (cash flow) (€)]]*uitkomst_doelgroep[[#This Row],[Percentage van patiëntaantallen in Wlz (overige is Zvw)]]</f>
        <v>0</v>
      </c>
    </row>
    <row r="1361" spans="1:22" x14ac:dyDescent="0.5">
      <c r="A1361" s="33" t="str">
        <f>INDEX(Technologieën[Veld],MATCH(B1361,Technologieën[Digitale zorgtoepassing],0))</f>
        <v>Digitale hulpmiddelen - Verpleging</v>
      </c>
      <c r="B1361" s="33" t="s">
        <v>32</v>
      </c>
      <c r="C1361" s="33" t="s">
        <v>602</v>
      </c>
      <c r="D1361" s="427" cm="1">
        <f t="array" ref="D1361">INDEX(Berekening_patiëntaantal[Percentage van patiëntaantallen in Wlz (overige is Zvw)],MATCH(B1361,IF(Berekening_patiëntaantal[Doelgroep (zoeksleutel)]=C1361,Berekening_patiëntaantal[Digitale zorgtoepassing]),0))</f>
        <v>0</v>
      </c>
      <c r="E1361" s="33" t="str" cm="1">
        <f t="array" ref="E1361">INDEX(Berekening_patiëntaantal[Direct toepasbaar/extrapolatie/incidentie voor QALY],MATCH(B1361,IF(Berekening_patiëntaantal[Doelgroep (zoeksleutel)]=C1361,Berekening_patiëntaantal[Digitale zorgtoepassing]),0))</f>
        <v>Incidentie voor QALY</v>
      </c>
      <c r="F1361" s="33" t="s">
        <v>813</v>
      </c>
      <c r="G1361" s="33" t="str">
        <f>CONCATENATE(uitkomst_doelgroep[[#This Row],[Digitale zorgtoepassing]],"_",uitkomst_doelgroep[[#This Row],[Doelgroep]],"_",uitkomst_doelgroep[[#This Row],[Uitgangssituatie/effect beleid]])</f>
        <v>Heupairbag_Heupfracturen_Uitgangssituatie</v>
      </c>
      <c r="H1361" s="33">
        <v>2026</v>
      </c>
      <c r="I1361" s="32">
        <v>4</v>
      </c>
      <c r="J1361" s="406" cm="1">
        <f t="array" ref="J1361">INDEX(implementatie[[2023]:[2034]],MATCH(G1361, implementatie[Zoeksleutel],0),I1361)</f>
        <v>0.71990601886105599</v>
      </c>
      <c r="K1361" s="406" cm="1">
        <f t="array" ref="K1361">INDEX(implementatie[[2023]:[2034]],MATCH(G1361,implementatie[Zoeksleutel],0),I1361 + 1)</f>
        <v>0.80616443563130724</v>
      </c>
      <c r="L136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61" s="398" cm="1">
        <f t="array" ref="M1361">J1361*INDEX(Berekening_impact[Totaal arbeidsbesparing (€/jaar)],MATCH(B1361,IF(Berekening_impact[Doelgroep]=C1361,Berekening_impact[Digitale zorgtoepassing]),0))</f>
        <v>0</v>
      </c>
      <c r="N1361" s="397" cm="1">
        <f t="array" ref="N1361">J1361*INDEX(Berekening_impact[Totaal arbeidsbesparing (FTE/jaar)],MATCH(B1361,IF(Berekening_impact[Doelgroep]=C1361,Berekening_impact[Digitale zorgtoepassing]),0))</f>
        <v>0</v>
      </c>
      <c r="O1361" s="398" cm="1">
        <f t="array" ref="O1361">J1361*INDEX(Berekening_impact[Overige kostenbesparing (totaal/jaar totaal potentieel)],MATCH(B1361,IF(Berekening_impact[Doelgroep]=C1361,Berekening_impact[Digitale zorgtoepassing]),0))</f>
        <v>0</v>
      </c>
      <c r="P1361" s="398" cm="1">
        <f t="array" ref="P1361">J1361*INDEX(Berekening_impact[Opbrengsten door QALY''s],MATCH(B1361,IF(Berekening_impact[Doelgroep]=C1361,Berekening_impact[Digitale zorgtoepassing]),0))</f>
        <v>68031118.782369807</v>
      </c>
      <c r="Q1361" s="398" cm="1">
        <f t="array" ref="Q1361">J1361*INDEX(Berekening_impact[Jaarlijkse kosten (totaal) - incl. schatting],MATCH(B1361,IF(Berekening_impact[Doelgroep]=C1361,Berekening_impact[Digitale zorgtoepassing]),0))</f>
        <v>0</v>
      </c>
      <c r="R1361" s="398" cm="1">
        <f t="array" ref="R1361">(uitkomst_doelgroep[[#This Row],[Implementatiegraad t = T + 1]]-uitkomst_doelgroep[[#This Row],[Implementatiegraad t = T]])*INDEX(Berekening_impact[Initiële investering (totaal) - incl. schatting],MATCH(B1361,IF(Berekening_impact[Doelgroep]=C1361,Berekening_impact[Digitale zorgtoepassing]),0))</f>
        <v>0</v>
      </c>
      <c r="S1361" s="398">
        <f>uitkomst_doelgroep[[#This Row],[Arbeidsbesparing (€)]]*uitkomst_doelgroep[[#This Row],[Percentage van patiëntaantallen in Wlz (overige is Zvw)]]</f>
        <v>0</v>
      </c>
      <c r="T1361" s="398">
        <f>uitkomst_doelgroep[[#This Row],[Overige besparingen (€)]]*uitkomst_doelgroep[[#This Row],[Percentage van patiëntaantallen in Wlz (overige is Zvw)]]</f>
        <v>0</v>
      </c>
      <c r="U1361" s="398">
        <f>uitkomst_doelgroep[[#This Row],[Kosten (€)]]*uitkomst_doelgroep[[#This Row],[Percentage van patiëntaantallen in Wlz (overige is Zvw)]]</f>
        <v>0</v>
      </c>
      <c r="V1361" s="398">
        <f>uitkomst_doelgroep[[#This Row],[Investering (cash flow) (€)]]*uitkomst_doelgroep[[#This Row],[Percentage van patiëntaantallen in Wlz (overige is Zvw)]]</f>
        <v>0</v>
      </c>
    </row>
    <row r="1362" spans="1:22" x14ac:dyDescent="0.5">
      <c r="A1362" s="33" t="str">
        <f>INDEX(Technologieën[Veld],MATCH(B1362,Technologieën[Digitale zorgtoepassing],0))</f>
        <v>Digitale hulpmiddelen - Verpleging</v>
      </c>
      <c r="B1362" s="33" t="s">
        <v>32</v>
      </c>
      <c r="C1362" s="33" t="s">
        <v>602</v>
      </c>
      <c r="D1362" s="427" cm="1">
        <f t="array" ref="D1362">INDEX(Berekening_patiëntaantal[Percentage van patiëntaantallen in Wlz (overige is Zvw)],MATCH(B1362,IF(Berekening_patiëntaantal[Doelgroep (zoeksleutel)]=C1362,Berekening_patiëntaantal[Digitale zorgtoepassing]),0))</f>
        <v>0</v>
      </c>
      <c r="E1362" s="33" t="str" cm="1">
        <f t="array" ref="E1362">INDEX(Berekening_patiëntaantal[Direct toepasbaar/extrapolatie/incidentie voor QALY],MATCH(B1362,IF(Berekening_patiëntaantal[Doelgroep (zoeksleutel)]=C1362,Berekening_patiëntaantal[Digitale zorgtoepassing]),0))</f>
        <v>Incidentie voor QALY</v>
      </c>
      <c r="F1362" s="33" t="s">
        <v>813</v>
      </c>
      <c r="G1362" s="33" t="str">
        <f>CONCATENATE(uitkomst_doelgroep[[#This Row],[Digitale zorgtoepassing]],"_",uitkomst_doelgroep[[#This Row],[Doelgroep]],"_",uitkomst_doelgroep[[#This Row],[Uitgangssituatie/effect beleid]])</f>
        <v>Heupairbag_Heupfracturen_Uitgangssituatie</v>
      </c>
      <c r="H1362" s="33">
        <v>2027</v>
      </c>
      <c r="I1362" s="32">
        <v>5</v>
      </c>
      <c r="J1362" s="406" cm="1">
        <f t="array" ref="J1362">INDEX(implementatie[[2023]:[2034]],MATCH(G1362, implementatie[Zoeksleutel],0),I1362)</f>
        <v>0.80616443563130724</v>
      </c>
      <c r="K1362" s="406" cm="1">
        <f t="array" ref="K1362">INDEX(implementatie[[2023]:[2034]],MATCH(G1362,implementatie[Zoeksleutel],0),I1362 + 1)</f>
        <v>0.87254648226050635</v>
      </c>
      <c r="L136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62" s="398" cm="1">
        <f t="array" ref="M1362">J1362*INDEX(Berekening_impact[Totaal arbeidsbesparing (€/jaar)],MATCH(B1362,IF(Berekening_impact[Doelgroep]=C1362,Berekening_impact[Digitale zorgtoepassing]),0))</f>
        <v>0</v>
      </c>
      <c r="N1362" s="397" cm="1">
        <f t="array" ref="N1362">J1362*INDEX(Berekening_impact[Totaal arbeidsbesparing (FTE/jaar)],MATCH(B1362,IF(Berekening_impact[Doelgroep]=C1362,Berekening_impact[Digitale zorgtoepassing]),0))</f>
        <v>0</v>
      </c>
      <c r="O1362" s="398" cm="1">
        <f t="array" ref="O1362">J1362*INDEX(Berekening_impact[Overige kostenbesparing (totaal/jaar totaal potentieel)],MATCH(B1362,IF(Berekening_impact[Doelgroep]=C1362,Berekening_impact[Digitale zorgtoepassing]),0))</f>
        <v>0</v>
      </c>
      <c r="P1362" s="398" cm="1">
        <f t="array" ref="P1362">J1362*INDEX(Berekening_impact[Opbrengsten door QALY''s],MATCH(B1362,IF(Berekening_impact[Doelgroep]=C1362,Berekening_impact[Digitale zorgtoepassing]),0))</f>
        <v>76182539.167158544</v>
      </c>
      <c r="Q1362" s="398" cm="1">
        <f t="array" ref="Q1362">J1362*INDEX(Berekening_impact[Jaarlijkse kosten (totaal) - incl. schatting],MATCH(B1362,IF(Berekening_impact[Doelgroep]=C1362,Berekening_impact[Digitale zorgtoepassing]),0))</f>
        <v>0</v>
      </c>
      <c r="R1362" s="398" cm="1">
        <f t="array" ref="R1362">(uitkomst_doelgroep[[#This Row],[Implementatiegraad t = T + 1]]-uitkomst_doelgroep[[#This Row],[Implementatiegraad t = T]])*INDEX(Berekening_impact[Initiële investering (totaal) - incl. schatting],MATCH(B1362,IF(Berekening_impact[Doelgroep]=C1362,Berekening_impact[Digitale zorgtoepassing]),0))</f>
        <v>0</v>
      </c>
      <c r="S1362" s="398">
        <f>uitkomst_doelgroep[[#This Row],[Arbeidsbesparing (€)]]*uitkomst_doelgroep[[#This Row],[Percentage van patiëntaantallen in Wlz (overige is Zvw)]]</f>
        <v>0</v>
      </c>
      <c r="T1362" s="398">
        <f>uitkomst_doelgroep[[#This Row],[Overige besparingen (€)]]*uitkomst_doelgroep[[#This Row],[Percentage van patiëntaantallen in Wlz (overige is Zvw)]]</f>
        <v>0</v>
      </c>
      <c r="U1362" s="398">
        <f>uitkomst_doelgroep[[#This Row],[Kosten (€)]]*uitkomst_doelgroep[[#This Row],[Percentage van patiëntaantallen in Wlz (overige is Zvw)]]</f>
        <v>0</v>
      </c>
      <c r="V1362" s="398">
        <f>uitkomst_doelgroep[[#This Row],[Investering (cash flow) (€)]]*uitkomst_doelgroep[[#This Row],[Percentage van patiëntaantallen in Wlz (overige is Zvw)]]</f>
        <v>0</v>
      </c>
    </row>
    <row r="1363" spans="1:22" x14ac:dyDescent="0.5">
      <c r="A1363" s="33" t="str">
        <f>INDEX(Technologieën[Veld],MATCH(B1363,Technologieën[Digitale zorgtoepassing],0))</f>
        <v>Digitale hulpmiddelen - Verpleging</v>
      </c>
      <c r="B1363" s="33" t="s">
        <v>32</v>
      </c>
      <c r="C1363" s="33" t="s">
        <v>602</v>
      </c>
      <c r="D1363" s="427" cm="1">
        <f t="array" ref="D1363">INDEX(Berekening_patiëntaantal[Percentage van patiëntaantallen in Wlz (overige is Zvw)],MATCH(B1363,IF(Berekening_patiëntaantal[Doelgroep (zoeksleutel)]=C1363,Berekening_patiëntaantal[Digitale zorgtoepassing]),0))</f>
        <v>0</v>
      </c>
      <c r="E1363" s="33" t="str" cm="1">
        <f t="array" ref="E1363">INDEX(Berekening_patiëntaantal[Direct toepasbaar/extrapolatie/incidentie voor QALY],MATCH(B1363,IF(Berekening_patiëntaantal[Doelgroep (zoeksleutel)]=C1363,Berekening_patiëntaantal[Digitale zorgtoepassing]),0))</f>
        <v>Incidentie voor QALY</v>
      </c>
      <c r="F1363" s="33" t="s">
        <v>813</v>
      </c>
      <c r="G1363" s="33" t="str">
        <f>CONCATENATE(uitkomst_doelgroep[[#This Row],[Digitale zorgtoepassing]],"_",uitkomst_doelgroep[[#This Row],[Doelgroep]],"_",uitkomst_doelgroep[[#This Row],[Uitgangssituatie/effect beleid]])</f>
        <v>Heupairbag_Heupfracturen_Uitgangssituatie</v>
      </c>
      <c r="H1363" s="33">
        <v>2028</v>
      </c>
      <c r="I1363" s="32">
        <v>6</v>
      </c>
      <c r="J1363" s="406" cm="1">
        <f t="array" ref="J1363">INDEX(implementatie[[2023]:[2034]],MATCH(G1363, implementatie[Zoeksleutel],0),I1363)</f>
        <v>0.87254648226050635</v>
      </c>
      <c r="K1363" s="406" cm="1">
        <f t="array" ref="K1363">INDEX(implementatie[[2023]:[2034]],MATCH(G1363,implementatie[Zoeksleutel],0),I1363 + 1)</f>
        <v>0.9195792000374251</v>
      </c>
      <c r="L136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63" s="398" cm="1">
        <f t="array" ref="M1363">J1363*INDEX(Berekening_impact[Totaal arbeidsbesparing (€/jaar)],MATCH(B1363,IF(Berekening_impact[Doelgroep]=C1363,Berekening_impact[Digitale zorgtoepassing]),0))</f>
        <v>0</v>
      </c>
      <c r="N1363" s="397" cm="1">
        <f t="array" ref="N1363">J1363*INDEX(Berekening_impact[Totaal arbeidsbesparing (FTE/jaar)],MATCH(B1363,IF(Berekening_impact[Doelgroep]=C1363,Berekening_impact[Digitale zorgtoepassing]),0))</f>
        <v>0</v>
      </c>
      <c r="O1363" s="398" cm="1">
        <f t="array" ref="O1363">J1363*INDEX(Berekening_impact[Overige kostenbesparing (totaal/jaar totaal potentieel)],MATCH(B1363,IF(Berekening_impact[Doelgroep]=C1363,Berekening_impact[Digitale zorgtoepassing]),0))</f>
        <v>0</v>
      </c>
      <c r="P1363" s="398" cm="1">
        <f t="array" ref="P1363">J1363*INDEX(Berekening_impact[Opbrengsten door QALY''s],MATCH(B1363,IF(Berekening_impact[Doelgroep]=C1363,Berekening_impact[Digitale zorgtoepassing]),0))</f>
        <v>82455642.573617861</v>
      </c>
      <c r="Q1363" s="398" cm="1">
        <f t="array" ref="Q1363">J1363*INDEX(Berekening_impact[Jaarlijkse kosten (totaal) - incl. schatting],MATCH(B1363,IF(Berekening_impact[Doelgroep]=C1363,Berekening_impact[Digitale zorgtoepassing]),0))</f>
        <v>0</v>
      </c>
      <c r="R1363" s="398" cm="1">
        <f t="array" ref="R1363">(uitkomst_doelgroep[[#This Row],[Implementatiegraad t = T + 1]]-uitkomst_doelgroep[[#This Row],[Implementatiegraad t = T]])*INDEX(Berekening_impact[Initiële investering (totaal) - incl. schatting],MATCH(B1363,IF(Berekening_impact[Doelgroep]=C1363,Berekening_impact[Digitale zorgtoepassing]),0))</f>
        <v>0</v>
      </c>
      <c r="S1363" s="398">
        <f>uitkomst_doelgroep[[#This Row],[Arbeidsbesparing (€)]]*uitkomst_doelgroep[[#This Row],[Percentage van patiëntaantallen in Wlz (overige is Zvw)]]</f>
        <v>0</v>
      </c>
      <c r="T1363" s="398">
        <f>uitkomst_doelgroep[[#This Row],[Overige besparingen (€)]]*uitkomst_doelgroep[[#This Row],[Percentage van patiëntaantallen in Wlz (overige is Zvw)]]</f>
        <v>0</v>
      </c>
      <c r="U1363" s="398">
        <f>uitkomst_doelgroep[[#This Row],[Kosten (€)]]*uitkomst_doelgroep[[#This Row],[Percentage van patiëntaantallen in Wlz (overige is Zvw)]]</f>
        <v>0</v>
      </c>
      <c r="V1363" s="398">
        <f>uitkomst_doelgroep[[#This Row],[Investering (cash flow) (€)]]*uitkomst_doelgroep[[#This Row],[Percentage van patiëntaantallen in Wlz (overige is Zvw)]]</f>
        <v>0</v>
      </c>
    </row>
    <row r="1364" spans="1:22" x14ac:dyDescent="0.5">
      <c r="A1364" s="33" t="str">
        <f>INDEX(Technologieën[Veld],MATCH(B1364,Technologieën[Digitale zorgtoepassing],0))</f>
        <v>Digitale hulpmiddelen - Verpleging</v>
      </c>
      <c r="B1364" s="33" t="s">
        <v>32</v>
      </c>
      <c r="C1364" s="33" t="s">
        <v>602</v>
      </c>
      <c r="D1364" s="427" cm="1">
        <f t="array" ref="D1364">INDEX(Berekening_patiëntaantal[Percentage van patiëntaantallen in Wlz (overige is Zvw)],MATCH(B1364,IF(Berekening_patiëntaantal[Doelgroep (zoeksleutel)]=C1364,Berekening_patiëntaantal[Digitale zorgtoepassing]),0))</f>
        <v>0</v>
      </c>
      <c r="E1364" s="33" t="str" cm="1">
        <f t="array" ref="E1364">INDEX(Berekening_patiëntaantal[Direct toepasbaar/extrapolatie/incidentie voor QALY],MATCH(B1364,IF(Berekening_patiëntaantal[Doelgroep (zoeksleutel)]=C1364,Berekening_patiëntaantal[Digitale zorgtoepassing]),0))</f>
        <v>Incidentie voor QALY</v>
      </c>
      <c r="F1364" s="33" t="s">
        <v>813</v>
      </c>
      <c r="G1364" s="33" t="str">
        <f>CONCATENATE(uitkomst_doelgroep[[#This Row],[Digitale zorgtoepassing]],"_",uitkomst_doelgroep[[#This Row],[Doelgroep]],"_",uitkomst_doelgroep[[#This Row],[Uitgangssituatie/effect beleid]])</f>
        <v>Heupairbag_Heupfracturen_Uitgangssituatie</v>
      </c>
      <c r="H1364" s="33">
        <v>2029</v>
      </c>
      <c r="I1364" s="32">
        <v>7</v>
      </c>
      <c r="J1364" s="406" cm="1">
        <f t="array" ref="J1364">INDEX(implementatie[[2023]:[2034]],MATCH(G1364, implementatie[Zoeksleutel],0),I1364)</f>
        <v>0.9195792000374251</v>
      </c>
      <c r="K1364" s="406" cm="1">
        <f t="array" ref="K1364">INDEX(implementatie[[2023]:[2034]],MATCH(G1364,implementatie[Zoeksleutel],0),I1364 + 1)</f>
        <v>0.95076893399505846</v>
      </c>
      <c r="L136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64" s="398" cm="1">
        <f t="array" ref="M1364">J1364*INDEX(Berekening_impact[Totaal arbeidsbesparing (€/jaar)],MATCH(B1364,IF(Berekening_impact[Doelgroep]=C1364,Berekening_impact[Digitale zorgtoepassing]),0))</f>
        <v>0</v>
      </c>
      <c r="N1364" s="397" cm="1">
        <f t="array" ref="N1364">J1364*INDEX(Berekening_impact[Totaal arbeidsbesparing (FTE/jaar)],MATCH(B1364,IF(Berekening_impact[Doelgroep]=C1364,Berekening_impact[Digitale zorgtoepassing]),0))</f>
        <v>0</v>
      </c>
      <c r="O1364" s="398" cm="1">
        <f t="array" ref="O1364">J1364*INDEX(Berekening_impact[Overige kostenbesparing (totaal/jaar totaal potentieel)],MATCH(B1364,IF(Berekening_impact[Doelgroep]=C1364,Berekening_impact[Digitale zorgtoepassing]),0))</f>
        <v>0</v>
      </c>
      <c r="P1364" s="398" cm="1">
        <f t="array" ref="P1364">J1364*INDEX(Berekening_impact[Opbrengsten door QALY''s],MATCH(B1364,IF(Berekening_impact[Doelgroep]=C1364,Berekening_impact[Digitale zorgtoepassing]),0))</f>
        <v>86900234.403536692</v>
      </c>
      <c r="Q1364" s="398" cm="1">
        <f t="array" ref="Q1364">J1364*INDEX(Berekening_impact[Jaarlijkse kosten (totaal) - incl. schatting],MATCH(B1364,IF(Berekening_impact[Doelgroep]=C1364,Berekening_impact[Digitale zorgtoepassing]),0))</f>
        <v>0</v>
      </c>
      <c r="R1364" s="398" cm="1">
        <f t="array" ref="R1364">(uitkomst_doelgroep[[#This Row],[Implementatiegraad t = T + 1]]-uitkomst_doelgroep[[#This Row],[Implementatiegraad t = T]])*INDEX(Berekening_impact[Initiële investering (totaal) - incl. schatting],MATCH(B1364,IF(Berekening_impact[Doelgroep]=C1364,Berekening_impact[Digitale zorgtoepassing]),0))</f>
        <v>0</v>
      </c>
      <c r="S1364" s="398">
        <f>uitkomst_doelgroep[[#This Row],[Arbeidsbesparing (€)]]*uitkomst_doelgroep[[#This Row],[Percentage van patiëntaantallen in Wlz (overige is Zvw)]]</f>
        <v>0</v>
      </c>
      <c r="T1364" s="398">
        <f>uitkomst_doelgroep[[#This Row],[Overige besparingen (€)]]*uitkomst_doelgroep[[#This Row],[Percentage van patiëntaantallen in Wlz (overige is Zvw)]]</f>
        <v>0</v>
      </c>
      <c r="U1364" s="398">
        <f>uitkomst_doelgroep[[#This Row],[Kosten (€)]]*uitkomst_doelgroep[[#This Row],[Percentage van patiëntaantallen in Wlz (overige is Zvw)]]</f>
        <v>0</v>
      </c>
      <c r="V1364" s="398">
        <f>uitkomst_doelgroep[[#This Row],[Investering (cash flow) (€)]]*uitkomst_doelgroep[[#This Row],[Percentage van patiëntaantallen in Wlz (overige is Zvw)]]</f>
        <v>0</v>
      </c>
    </row>
    <row r="1365" spans="1:22" x14ac:dyDescent="0.5">
      <c r="A1365" s="33" t="str">
        <f>INDEX(Technologieën[Veld],MATCH(B1365,Technologieën[Digitale zorgtoepassing],0))</f>
        <v>Digitale hulpmiddelen - Verpleging</v>
      </c>
      <c r="B1365" s="33" t="s">
        <v>32</v>
      </c>
      <c r="C1365" s="33" t="s">
        <v>602</v>
      </c>
      <c r="D1365" s="427" cm="1">
        <f t="array" ref="D1365">INDEX(Berekening_patiëntaantal[Percentage van patiëntaantallen in Wlz (overige is Zvw)],MATCH(B1365,IF(Berekening_patiëntaantal[Doelgroep (zoeksleutel)]=C1365,Berekening_patiëntaantal[Digitale zorgtoepassing]),0))</f>
        <v>0</v>
      </c>
      <c r="E1365" s="33" t="str" cm="1">
        <f t="array" ref="E1365">INDEX(Berekening_patiëntaantal[Direct toepasbaar/extrapolatie/incidentie voor QALY],MATCH(B1365,IF(Berekening_patiëntaantal[Doelgroep (zoeksleutel)]=C1365,Berekening_patiëntaantal[Digitale zorgtoepassing]),0))</f>
        <v>Incidentie voor QALY</v>
      </c>
      <c r="F1365" s="33" t="s">
        <v>813</v>
      </c>
      <c r="G1365" s="33" t="str">
        <f>CONCATENATE(uitkomst_doelgroep[[#This Row],[Digitale zorgtoepassing]],"_",uitkomst_doelgroep[[#This Row],[Doelgroep]],"_",uitkomst_doelgroep[[#This Row],[Uitgangssituatie/effect beleid]])</f>
        <v>Heupairbag_Heupfracturen_Uitgangssituatie</v>
      </c>
      <c r="H1365" s="33">
        <v>2030</v>
      </c>
      <c r="I1365" s="32">
        <v>8</v>
      </c>
      <c r="J1365" s="406" cm="1">
        <f t="array" ref="J1365">INDEX(implementatie[[2023]:[2034]],MATCH(G1365, implementatie[Zoeksleutel],0),I1365)</f>
        <v>0.95076893399505846</v>
      </c>
      <c r="K1365" s="406" cm="1">
        <f t="array" ref="K1365">INDEX(implementatie[[2023]:[2034]],MATCH(G1365,implementatie[Zoeksleutel],0),I1365 + 1)</f>
        <v>0.97047650257314066</v>
      </c>
      <c r="L136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65" s="398" cm="1">
        <f t="array" ref="M1365">J1365*INDEX(Berekening_impact[Totaal arbeidsbesparing (€/jaar)],MATCH(B1365,IF(Berekening_impact[Doelgroep]=C1365,Berekening_impact[Digitale zorgtoepassing]),0))</f>
        <v>0</v>
      </c>
      <c r="N1365" s="397" cm="1">
        <f t="array" ref="N1365">J1365*INDEX(Berekening_impact[Totaal arbeidsbesparing (FTE/jaar)],MATCH(B1365,IF(Berekening_impact[Doelgroep]=C1365,Berekening_impact[Digitale zorgtoepassing]),0))</f>
        <v>0</v>
      </c>
      <c r="O1365" s="398" cm="1">
        <f t="array" ref="O1365">J1365*INDEX(Berekening_impact[Overige kostenbesparing (totaal/jaar totaal potentieel)],MATCH(B1365,IF(Berekening_impact[Doelgroep]=C1365,Berekening_impact[Digitale zorgtoepassing]),0))</f>
        <v>0</v>
      </c>
      <c r="P1365" s="398" cm="1">
        <f t="array" ref="P1365">J1365*INDEX(Berekening_impact[Opbrengsten door QALY''s],MATCH(B1365,IF(Berekening_impact[Doelgroep]=C1365,Berekening_impact[Digitale zorgtoepassing]),0))</f>
        <v>89847664.262533039</v>
      </c>
      <c r="Q1365" s="398" cm="1">
        <f t="array" ref="Q1365">J1365*INDEX(Berekening_impact[Jaarlijkse kosten (totaal) - incl. schatting],MATCH(B1365,IF(Berekening_impact[Doelgroep]=C1365,Berekening_impact[Digitale zorgtoepassing]),0))</f>
        <v>0</v>
      </c>
      <c r="R1365" s="398" cm="1">
        <f t="array" ref="R1365">(uitkomst_doelgroep[[#This Row],[Implementatiegraad t = T + 1]]-uitkomst_doelgroep[[#This Row],[Implementatiegraad t = T]])*INDEX(Berekening_impact[Initiële investering (totaal) - incl. schatting],MATCH(B1365,IF(Berekening_impact[Doelgroep]=C1365,Berekening_impact[Digitale zorgtoepassing]),0))</f>
        <v>0</v>
      </c>
      <c r="S1365" s="398">
        <f>uitkomst_doelgroep[[#This Row],[Arbeidsbesparing (€)]]*uitkomst_doelgroep[[#This Row],[Percentage van patiëntaantallen in Wlz (overige is Zvw)]]</f>
        <v>0</v>
      </c>
      <c r="T1365" s="398">
        <f>uitkomst_doelgroep[[#This Row],[Overige besparingen (€)]]*uitkomst_doelgroep[[#This Row],[Percentage van patiëntaantallen in Wlz (overige is Zvw)]]</f>
        <v>0</v>
      </c>
      <c r="U1365" s="398">
        <f>uitkomst_doelgroep[[#This Row],[Kosten (€)]]*uitkomst_doelgroep[[#This Row],[Percentage van patiëntaantallen in Wlz (overige is Zvw)]]</f>
        <v>0</v>
      </c>
      <c r="V1365" s="398">
        <f>uitkomst_doelgroep[[#This Row],[Investering (cash flow) (€)]]*uitkomst_doelgroep[[#This Row],[Percentage van patiëntaantallen in Wlz (overige is Zvw)]]</f>
        <v>0</v>
      </c>
    </row>
    <row r="1366" spans="1:22" x14ac:dyDescent="0.5">
      <c r="A1366" s="33" t="str">
        <f>INDEX(Technologieën[Veld],MATCH(B1366,Technologieën[Digitale zorgtoepassing],0))</f>
        <v>Digitale hulpmiddelen - Verpleging</v>
      </c>
      <c r="B1366" s="33" t="s">
        <v>32</v>
      </c>
      <c r="C1366" s="33" t="s">
        <v>602</v>
      </c>
      <c r="D1366" s="427" cm="1">
        <f t="array" ref="D1366">INDEX(Berekening_patiëntaantal[Percentage van patiëntaantallen in Wlz (overige is Zvw)],MATCH(B1366,IF(Berekening_patiëntaantal[Doelgroep (zoeksleutel)]=C1366,Berekening_patiëntaantal[Digitale zorgtoepassing]),0))</f>
        <v>0</v>
      </c>
      <c r="E1366" s="33" t="str" cm="1">
        <f t="array" ref="E1366">INDEX(Berekening_patiëntaantal[Direct toepasbaar/extrapolatie/incidentie voor QALY],MATCH(B1366,IF(Berekening_patiëntaantal[Doelgroep (zoeksleutel)]=C1366,Berekening_patiëntaantal[Digitale zorgtoepassing]),0))</f>
        <v>Incidentie voor QALY</v>
      </c>
      <c r="F1366" s="33" t="s">
        <v>813</v>
      </c>
      <c r="G1366" s="33" t="str">
        <f>CONCATENATE(uitkomst_doelgroep[[#This Row],[Digitale zorgtoepassing]],"_",uitkomst_doelgroep[[#This Row],[Doelgroep]],"_",uitkomst_doelgroep[[#This Row],[Uitgangssituatie/effect beleid]])</f>
        <v>Heupairbag_Heupfracturen_Uitgangssituatie</v>
      </c>
      <c r="H1366" s="33">
        <v>2031</v>
      </c>
      <c r="I1366" s="32">
        <v>9</v>
      </c>
      <c r="J1366" s="406" cm="1">
        <f t="array" ref="J1366">INDEX(implementatie[[2023]:[2034]],MATCH(G1366, implementatie[Zoeksleutel],0),I1366)</f>
        <v>0.97047650257314066</v>
      </c>
      <c r="K1366" s="406" cm="1">
        <f t="array" ref="K1366">INDEX(implementatie[[2023]:[2034]],MATCH(G1366,implementatie[Zoeksleutel],0),I1366 + 1)</f>
        <v>0.98252771673229611</v>
      </c>
      <c r="L136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66" s="398" cm="1">
        <f t="array" ref="M1366">J1366*INDEX(Berekening_impact[Totaal arbeidsbesparing (€/jaar)],MATCH(B1366,IF(Berekening_impact[Doelgroep]=C1366,Berekening_impact[Digitale zorgtoepassing]),0))</f>
        <v>0</v>
      </c>
      <c r="N1366" s="397" cm="1">
        <f t="array" ref="N1366">J1366*INDEX(Berekening_impact[Totaal arbeidsbesparing (FTE/jaar)],MATCH(B1366,IF(Berekening_impact[Doelgroep]=C1366,Berekening_impact[Digitale zorgtoepassing]),0))</f>
        <v>0</v>
      </c>
      <c r="O1366" s="398" cm="1">
        <f t="array" ref="O1366">J1366*INDEX(Berekening_impact[Overige kostenbesparing (totaal/jaar totaal potentieel)],MATCH(B1366,IF(Berekening_impact[Doelgroep]=C1366,Berekening_impact[Digitale zorgtoepassing]),0))</f>
        <v>0</v>
      </c>
      <c r="P1366" s="398" cm="1">
        <f t="array" ref="P1366">J1366*INDEX(Berekening_impact[Opbrengsten door QALY''s],MATCH(B1366,IF(Berekening_impact[Doelgroep]=C1366,Berekening_impact[Digitale zorgtoepassing]),0))</f>
        <v>91710029.493161812</v>
      </c>
      <c r="Q1366" s="398" cm="1">
        <f t="array" ref="Q1366">J1366*INDEX(Berekening_impact[Jaarlijkse kosten (totaal) - incl. schatting],MATCH(B1366,IF(Berekening_impact[Doelgroep]=C1366,Berekening_impact[Digitale zorgtoepassing]),0))</f>
        <v>0</v>
      </c>
      <c r="R1366" s="398" cm="1">
        <f t="array" ref="R1366">(uitkomst_doelgroep[[#This Row],[Implementatiegraad t = T + 1]]-uitkomst_doelgroep[[#This Row],[Implementatiegraad t = T]])*INDEX(Berekening_impact[Initiële investering (totaal) - incl. schatting],MATCH(B1366,IF(Berekening_impact[Doelgroep]=C1366,Berekening_impact[Digitale zorgtoepassing]),0))</f>
        <v>0</v>
      </c>
      <c r="S1366" s="398">
        <f>uitkomst_doelgroep[[#This Row],[Arbeidsbesparing (€)]]*uitkomst_doelgroep[[#This Row],[Percentage van patiëntaantallen in Wlz (overige is Zvw)]]</f>
        <v>0</v>
      </c>
      <c r="T1366" s="398">
        <f>uitkomst_doelgroep[[#This Row],[Overige besparingen (€)]]*uitkomst_doelgroep[[#This Row],[Percentage van patiëntaantallen in Wlz (overige is Zvw)]]</f>
        <v>0</v>
      </c>
      <c r="U1366" s="398">
        <f>uitkomst_doelgroep[[#This Row],[Kosten (€)]]*uitkomst_doelgroep[[#This Row],[Percentage van patiëntaantallen in Wlz (overige is Zvw)]]</f>
        <v>0</v>
      </c>
      <c r="V1366" s="398">
        <f>uitkomst_doelgroep[[#This Row],[Investering (cash flow) (€)]]*uitkomst_doelgroep[[#This Row],[Percentage van patiëntaantallen in Wlz (overige is Zvw)]]</f>
        <v>0</v>
      </c>
    </row>
    <row r="1367" spans="1:22" x14ac:dyDescent="0.5">
      <c r="A1367" s="33" t="str">
        <f>INDEX(Technologieën[Veld],MATCH(B1367,Technologieën[Digitale zorgtoepassing],0))</f>
        <v>Digitale hulpmiddelen - Verpleging</v>
      </c>
      <c r="B1367" s="33" t="s">
        <v>32</v>
      </c>
      <c r="C1367" s="33" t="s">
        <v>602</v>
      </c>
      <c r="D1367" s="427" cm="1">
        <f t="array" ref="D1367">INDEX(Berekening_patiëntaantal[Percentage van patiëntaantallen in Wlz (overige is Zvw)],MATCH(B1367,IF(Berekening_patiëntaantal[Doelgroep (zoeksleutel)]=C1367,Berekening_patiëntaantal[Digitale zorgtoepassing]),0))</f>
        <v>0</v>
      </c>
      <c r="E1367" s="33" t="str" cm="1">
        <f t="array" ref="E1367">INDEX(Berekening_patiëntaantal[Direct toepasbaar/extrapolatie/incidentie voor QALY],MATCH(B1367,IF(Berekening_patiëntaantal[Doelgroep (zoeksleutel)]=C1367,Berekening_patiëntaantal[Digitale zorgtoepassing]),0))</f>
        <v>Incidentie voor QALY</v>
      </c>
      <c r="F1367" s="33" t="s">
        <v>813</v>
      </c>
      <c r="G1367" s="33" t="str">
        <f>CONCATENATE(uitkomst_doelgroep[[#This Row],[Digitale zorgtoepassing]],"_",uitkomst_doelgroep[[#This Row],[Doelgroep]],"_",uitkomst_doelgroep[[#This Row],[Uitgangssituatie/effect beleid]])</f>
        <v>Heupairbag_Heupfracturen_Uitgangssituatie</v>
      </c>
      <c r="H1367" s="33">
        <v>2032</v>
      </c>
      <c r="I1367" s="32">
        <v>10</v>
      </c>
      <c r="J1367" s="406" cm="1">
        <f t="array" ref="J1367">INDEX(implementatie[[2023]:[2034]],MATCH(G1367, implementatie[Zoeksleutel],0),I1367)</f>
        <v>0.98252771673229611</v>
      </c>
      <c r="K1367" s="406" cm="1">
        <f t="array" ref="K1367">INDEX(implementatie[[2023]:[2034]],MATCH(G1367,implementatie[Zoeksleutel],0),I1367 + 1)</f>
        <v>0.98974396343169702</v>
      </c>
      <c r="L136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67" s="398" cm="1">
        <f t="array" ref="M1367">J1367*INDEX(Berekening_impact[Totaal arbeidsbesparing (€/jaar)],MATCH(B1367,IF(Berekening_impact[Doelgroep]=C1367,Berekening_impact[Digitale zorgtoepassing]),0))</f>
        <v>0</v>
      </c>
      <c r="N1367" s="397" cm="1">
        <f t="array" ref="N1367">J1367*INDEX(Berekening_impact[Totaal arbeidsbesparing (FTE/jaar)],MATCH(B1367,IF(Berekening_impact[Doelgroep]=C1367,Berekening_impact[Digitale zorgtoepassing]),0))</f>
        <v>0</v>
      </c>
      <c r="O1367" s="398" cm="1">
        <f t="array" ref="O1367">J1367*INDEX(Berekening_impact[Overige kostenbesparing (totaal/jaar totaal potentieel)],MATCH(B1367,IF(Berekening_impact[Doelgroep]=C1367,Berekening_impact[Digitale zorgtoepassing]),0))</f>
        <v>0</v>
      </c>
      <c r="P1367" s="398" cm="1">
        <f t="array" ref="P1367">J1367*INDEX(Berekening_impact[Opbrengsten door QALY''s],MATCH(B1367,IF(Berekening_impact[Doelgroep]=C1367,Berekening_impact[Digitale zorgtoepassing]),0))</f>
        <v>92848869.231201991</v>
      </c>
      <c r="Q1367" s="398" cm="1">
        <f t="array" ref="Q1367">J1367*INDEX(Berekening_impact[Jaarlijkse kosten (totaal) - incl. schatting],MATCH(B1367,IF(Berekening_impact[Doelgroep]=C1367,Berekening_impact[Digitale zorgtoepassing]),0))</f>
        <v>0</v>
      </c>
      <c r="R1367" s="398" cm="1">
        <f t="array" ref="R1367">(uitkomst_doelgroep[[#This Row],[Implementatiegraad t = T + 1]]-uitkomst_doelgroep[[#This Row],[Implementatiegraad t = T]])*INDEX(Berekening_impact[Initiële investering (totaal) - incl. schatting],MATCH(B1367,IF(Berekening_impact[Doelgroep]=C1367,Berekening_impact[Digitale zorgtoepassing]),0))</f>
        <v>0</v>
      </c>
      <c r="S1367" s="398">
        <f>uitkomst_doelgroep[[#This Row],[Arbeidsbesparing (€)]]*uitkomst_doelgroep[[#This Row],[Percentage van patiëntaantallen in Wlz (overige is Zvw)]]</f>
        <v>0</v>
      </c>
      <c r="T1367" s="398">
        <f>uitkomst_doelgroep[[#This Row],[Overige besparingen (€)]]*uitkomst_doelgroep[[#This Row],[Percentage van patiëntaantallen in Wlz (overige is Zvw)]]</f>
        <v>0</v>
      </c>
      <c r="U1367" s="398">
        <f>uitkomst_doelgroep[[#This Row],[Kosten (€)]]*uitkomst_doelgroep[[#This Row],[Percentage van patiëntaantallen in Wlz (overige is Zvw)]]</f>
        <v>0</v>
      </c>
      <c r="V1367" s="398">
        <f>uitkomst_doelgroep[[#This Row],[Investering (cash flow) (€)]]*uitkomst_doelgroep[[#This Row],[Percentage van patiëntaantallen in Wlz (overige is Zvw)]]</f>
        <v>0</v>
      </c>
    </row>
    <row r="1368" spans="1:22" x14ac:dyDescent="0.5">
      <c r="A1368" s="33" t="str">
        <f>INDEX(Technologieën[Veld],MATCH(B1368,Technologieën[Digitale zorgtoepassing],0))</f>
        <v>Digitale hulpmiddelen - Verpleging</v>
      </c>
      <c r="B1368" s="33" t="s">
        <v>32</v>
      </c>
      <c r="C1368" s="33" t="s">
        <v>602</v>
      </c>
      <c r="D1368" s="427" cm="1">
        <f t="array" ref="D1368">INDEX(Berekening_patiëntaantal[Percentage van patiëntaantallen in Wlz (overige is Zvw)],MATCH(B1368,IF(Berekening_patiëntaantal[Doelgroep (zoeksleutel)]=C1368,Berekening_patiëntaantal[Digitale zorgtoepassing]),0))</f>
        <v>0</v>
      </c>
      <c r="E1368" s="33" t="str" cm="1">
        <f t="array" ref="E1368">INDEX(Berekening_patiëntaantal[Direct toepasbaar/extrapolatie/incidentie voor QALY],MATCH(B1368,IF(Berekening_patiëntaantal[Doelgroep (zoeksleutel)]=C1368,Berekening_patiëntaantal[Digitale zorgtoepassing]),0))</f>
        <v>Incidentie voor QALY</v>
      </c>
      <c r="F1368" s="33" t="s">
        <v>813</v>
      </c>
      <c r="G1368" s="33" t="str">
        <f>CONCATENATE(uitkomst_doelgroep[[#This Row],[Digitale zorgtoepassing]],"_",uitkomst_doelgroep[[#This Row],[Doelgroep]],"_",uitkomst_doelgroep[[#This Row],[Uitgangssituatie/effect beleid]])</f>
        <v>Heupairbag_Heupfracturen_Uitgangssituatie</v>
      </c>
      <c r="H1368" s="33">
        <v>2033</v>
      </c>
      <c r="I1368" s="32">
        <v>11</v>
      </c>
      <c r="J1368" s="406" cm="1">
        <f t="array" ref="J1368">INDEX(implementatie[[2023]:[2034]],MATCH(G1368, implementatie[Zoeksleutel],0),I1368)</f>
        <v>0.98974396343169702</v>
      </c>
      <c r="K1368" s="406" cm="1">
        <f t="array" ref="K1368">INDEX(implementatie[[2023]:[2034]],MATCH(G1368,implementatie[Zoeksleutel],0),I1368 + 1)</f>
        <v>0.99400942427594807</v>
      </c>
      <c r="L136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68" s="398" cm="1">
        <f t="array" ref="M1368">J1368*INDEX(Berekening_impact[Totaal arbeidsbesparing (€/jaar)],MATCH(B1368,IF(Berekening_impact[Doelgroep]=C1368,Berekening_impact[Digitale zorgtoepassing]),0))</f>
        <v>0</v>
      </c>
      <c r="N1368" s="397" cm="1">
        <f t="array" ref="N1368">J1368*INDEX(Berekening_impact[Totaal arbeidsbesparing (FTE/jaar)],MATCH(B1368,IF(Berekening_impact[Doelgroep]=C1368,Berekening_impact[Digitale zorgtoepassing]),0))</f>
        <v>0</v>
      </c>
      <c r="O1368" s="398" cm="1">
        <f t="array" ref="O1368">J1368*INDEX(Berekening_impact[Overige kostenbesparing (totaal/jaar totaal potentieel)],MATCH(B1368,IF(Berekening_impact[Doelgroep]=C1368,Berekening_impact[Digitale zorgtoepassing]),0))</f>
        <v>0</v>
      </c>
      <c r="P1368" s="398" cm="1">
        <f t="array" ref="P1368">J1368*INDEX(Berekening_impact[Opbrengsten door QALY''s],MATCH(B1368,IF(Berekening_impact[Doelgroep]=C1368,Berekening_impact[Digitale zorgtoepassing]),0))</f>
        <v>93530804.544295385</v>
      </c>
      <c r="Q1368" s="398" cm="1">
        <f t="array" ref="Q1368">J1368*INDEX(Berekening_impact[Jaarlijkse kosten (totaal) - incl. schatting],MATCH(B1368,IF(Berekening_impact[Doelgroep]=C1368,Berekening_impact[Digitale zorgtoepassing]),0))</f>
        <v>0</v>
      </c>
      <c r="R1368" s="398" cm="1">
        <f t="array" ref="R1368">(uitkomst_doelgroep[[#This Row],[Implementatiegraad t = T + 1]]-uitkomst_doelgroep[[#This Row],[Implementatiegraad t = T]])*INDEX(Berekening_impact[Initiële investering (totaal) - incl. schatting],MATCH(B1368,IF(Berekening_impact[Doelgroep]=C1368,Berekening_impact[Digitale zorgtoepassing]),0))</f>
        <v>0</v>
      </c>
      <c r="S1368" s="398">
        <f>uitkomst_doelgroep[[#This Row],[Arbeidsbesparing (€)]]*uitkomst_doelgroep[[#This Row],[Percentage van patiëntaantallen in Wlz (overige is Zvw)]]</f>
        <v>0</v>
      </c>
      <c r="T1368" s="398">
        <f>uitkomst_doelgroep[[#This Row],[Overige besparingen (€)]]*uitkomst_doelgroep[[#This Row],[Percentage van patiëntaantallen in Wlz (overige is Zvw)]]</f>
        <v>0</v>
      </c>
      <c r="U1368" s="398">
        <f>uitkomst_doelgroep[[#This Row],[Kosten (€)]]*uitkomst_doelgroep[[#This Row],[Percentage van patiëntaantallen in Wlz (overige is Zvw)]]</f>
        <v>0</v>
      </c>
      <c r="V1368" s="398">
        <f>uitkomst_doelgroep[[#This Row],[Investering (cash flow) (€)]]*uitkomst_doelgroep[[#This Row],[Percentage van patiëntaantallen in Wlz (overige is Zvw)]]</f>
        <v>0</v>
      </c>
    </row>
    <row r="1369" spans="1:22" x14ac:dyDescent="0.5">
      <c r="A1369" s="33" t="str">
        <f>INDEX(Technologieën[Veld],MATCH(B1369,Technologieën[Digitale zorgtoepassing],0))</f>
        <v>Software - Diagnose</v>
      </c>
      <c r="B1369" s="33" t="s">
        <v>473</v>
      </c>
      <c r="C1369" s="33" t="s">
        <v>75</v>
      </c>
      <c r="D1369" s="427" cm="1">
        <f t="array" ref="D1369">INDEX(Berekening_patiëntaantal[Percentage van patiëntaantallen in Wlz (overige is Zvw)],MATCH(B1369,IF(Berekening_patiëntaantal[Doelgroep (zoeksleutel)]=C1369,Berekening_patiëntaantal[Digitale zorgtoepassing]),0))</f>
        <v>0</v>
      </c>
      <c r="E1369" s="33" t="str" cm="1">
        <f t="array" ref="E1369">INDEX(Berekening_patiëntaantal[Direct toepasbaar/extrapolatie/incidentie voor QALY],MATCH(B1369,IF(Berekening_patiëntaantal[Doelgroep (zoeksleutel)]=C1369,Berekening_patiëntaantal[Digitale zorgtoepassing]),0))</f>
        <v>Incidentie voor QALY</v>
      </c>
      <c r="F1369" s="33" t="s">
        <v>813</v>
      </c>
      <c r="G1369" s="33" t="str">
        <f>CONCATENATE(uitkomst_doelgroep[[#This Row],[Digitale zorgtoepassing]],"_",uitkomst_doelgroep[[#This Row],[Doelgroep]],"_",uitkomst_doelgroep[[#This Row],[Uitgangssituatie/effect beleid]])</f>
        <v>AI om diagnoses te stellen (CT)_Longkanker_Uitgangssituatie</v>
      </c>
      <c r="H1369" s="33">
        <v>2023</v>
      </c>
      <c r="I1369" s="32">
        <v>1</v>
      </c>
      <c r="J1369" s="406" cm="1">
        <f t="array" ref="J1369">INDEX(implementatie[[2023]:[2034]],MATCH(G1369, implementatie[Zoeksleutel],0),I1369)</f>
        <v>0.4</v>
      </c>
      <c r="K1369" s="406" cm="1">
        <f t="array" ref="K1369">INDEX(implementatie[[2023]:[2034]],MATCH(G1369,implementatie[Zoeksleutel],0),I1369 + 1)</f>
        <v>0.53800000000000003</v>
      </c>
      <c r="L136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69" s="398" cm="1">
        <f t="array" ref="M1369">J1369*INDEX(Berekening_impact[Totaal arbeidsbesparing (€/jaar)],MATCH(B1369,IF(Berekening_impact[Doelgroep]=C1369,Berekening_impact[Digitale zorgtoepassing]),0))</f>
        <v>0</v>
      </c>
      <c r="N1369" s="397" cm="1">
        <f t="array" ref="N1369">J1369*INDEX(Berekening_impact[Totaal arbeidsbesparing (FTE/jaar)],MATCH(B1369,IF(Berekening_impact[Doelgroep]=C1369,Berekening_impact[Digitale zorgtoepassing]),0))</f>
        <v>0</v>
      </c>
      <c r="O1369" s="398" cm="1">
        <f t="array" ref="O1369">J1369*INDEX(Berekening_impact[Overige kostenbesparing (totaal/jaar totaal potentieel)],MATCH(B1369,IF(Berekening_impact[Doelgroep]=C1369,Berekening_impact[Digitale zorgtoepassing]),0))</f>
        <v>0</v>
      </c>
      <c r="P1369" s="398" cm="1">
        <f t="array" ref="P1369">J1369*INDEX(Berekening_impact[Opbrengsten door QALY''s],MATCH(B1369,IF(Berekening_impact[Doelgroep]=C1369,Berekening_impact[Digitale zorgtoepassing]),0))</f>
        <v>11706400.000000002</v>
      </c>
      <c r="Q1369" s="398" cm="1">
        <f t="array" ref="Q1369">J1369*INDEX(Berekening_impact[Jaarlijkse kosten (totaal) - incl. schatting],MATCH(B1369,IF(Berekening_impact[Doelgroep]=C1369,Berekening_impact[Digitale zorgtoepassing]),0))</f>
        <v>0</v>
      </c>
      <c r="R1369" s="398" cm="1">
        <f t="array" ref="R1369">(uitkomst_doelgroep[[#This Row],[Implementatiegraad t = T + 1]]-uitkomst_doelgroep[[#This Row],[Implementatiegraad t = T]])*INDEX(Berekening_impact[Initiële investering (totaal) - incl. schatting],MATCH(B1369,IF(Berekening_impact[Doelgroep]=C1369,Berekening_impact[Digitale zorgtoepassing]),0))</f>
        <v>0</v>
      </c>
      <c r="S1369" s="398">
        <f>uitkomst_doelgroep[[#This Row],[Arbeidsbesparing (€)]]*uitkomst_doelgroep[[#This Row],[Percentage van patiëntaantallen in Wlz (overige is Zvw)]]</f>
        <v>0</v>
      </c>
      <c r="T1369" s="398">
        <f>uitkomst_doelgroep[[#This Row],[Overige besparingen (€)]]*uitkomst_doelgroep[[#This Row],[Percentage van patiëntaantallen in Wlz (overige is Zvw)]]</f>
        <v>0</v>
      </c>
      <c r="U1369" s="398">
        <f>uitkomst_doelgroep[[#This Row],[Kosten (€)]]*uitkomst_doelgroep[[#This Row],[Percentage van patiëntaantallen in Wlz (overige is Zvw)]]</f>
        <v>0</v>
      </c>
      <c r="V1369" s="398">
        <f>uitkomst_doelgroep[[#This Row],[Investering (cash flow) (€)]]*uitkomst_doelgroep[[#This Row],[Percentage van patiëntaantallen in Wlz (overige is Zvw)]]</f>
        <v>0</v>
      </c>
    </row>
    <row r="1370" spans="1:22" x14ac:dyDescent="0.5">
      <c r="A1370" s="33" t="str">
        <f>INDEX(Technologieën[Veld],MATCH(B1370,Technologieën[Digitale zorgtoepassing],0))</f>
        <v>Software - Diagnose</v>
      </c>
      <c r="B1370" s="33" t="s">
        <v>473</v>
      </c>
      <c r="C1370" s="33" t="s">
        <v>75</v>
      </c>
      <c r="D1370" s="427" cm="1">
        <f t="array" ref="D1370">INDEX(Berekening_patiëntaantal[Percentage van patiëntaantallen in Wlz (overige is Zvw)],MATCH(B1370,IF(Berekening_patiëntaantal[Doelgroep (zoeksleutel)]=C1370,Berekening_patiëntaantal[Digitale zorgtoepassing]),0))</f>
        <v>0</v>
      </c>
      <c r="E1370" s="33" t="str" cm="1">
        <f t="array" ref="E1370">INDEX(Berekening_patiëntaantal[Direct toepasbaar/extrapolatie/incidentie voor QALY],MATCH(B1370,IF(Berekening_patiëntaantal[Doelgroep (zoeksleutel)]=C1370,Berekening_patiëntaantal[Digitale zorgtoepassing]),0))</f>
        <v>Incidentie voor QALY</v>
      </c>
      <c r="F1370" s="33" t="s">
        <v>813</v>
      </c>
      <c r="G1370" s="33" t="str">
        <f>CONCATENATE(uitkomst_doelgroep[[#This Row],[Digitale zorgtoepassing]],"_",uitkomst_doelgroep[[#This Row],[Doelgroep]],"_",uitkomst_doelgroep[[#This Row],[Uitgangssituatie/effect beleid]])</f>
        <v>AI om diagnoses te stellen (CT)_Longkanker_Uitgangssituatie</v>
      </c>
      <c r="H1370" s="33">
        <v>2024</v>
      </c>
      <c r="I1370" s="32">
        <v>2</v>
      </c>
      <c r="J1370" s="406" cm="1">
        <f t="array" ref="J1370">INDEX(implementatie[[2023]:[2034]],MATCH(G1370, implementatie[Zoeksleutel],0),I1370)</f>
        <v>0.53800000000000003</v>
      </c>
      <c r="K1370" s="406" cm="1">
        <f t="array" ref="K1370">INDEX(implementatie[[2023]:[2034]],MATCH(G1370,implementatie[Zoeksleutel],0),I1370 + 1)</f>
        <v>0.67613800000000002</v>
      </c>
      <c r="L137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70" s="398" cm="1">
        <f t="array" ref="M1370">J1370*INDEX(Berekening_impact[Totaal arbeidsbesparing (€/jaar)],MATCH(B1370,IF(Berekening_impact[Doelgroep]=C1370,Berekening_impact[Digitale zorgtoepassing]),0))</f>
        <v>0</v>
      </c>
      <c r="N1370" s="397" cm="1">
        <f t="array" ref="N1370">J1370*INDEX(Berekening_impact[Totaal arbeidsbesparing (FTE/jaar)],MATCH(B1370,IF(Berekening_impact[Doelgroep]=C1370,Berekening_impact[Digitale zorgtoepassing]),0))</f>
        <v>0</v>
      </c>
      <c r="O1370" s="398" cm="1">
        <f t="array" ref="O1370">J1370*INDEX(Berekening_impact[Overige kostenbesparing (totaal/jaar totaal potentieel)],MATCH(B1370,IF(Berekening_impact[Doelgroep]=C1370,Berekening_impact[Digitale zorgtoepassing]),0))</f>
        <v>0</v>
      </c>
      <c r="P1370" s="398" cm="1">
        <f t="array" ref="P1370">J1370*INDEX(Berekening_impact[Opbrengsten door QALY''s],MATCH(B1370,IF(Berekening_impact[Doelgroep]=C1370,Berekening_impact[Digitale zorgtoepassing]),0))</f>
        <v>15745108.000000004</v>
      </c>
      <c r="Q1370" s="398" cm="1">
        <f t="array" ref="Q1370">J1370*INDEX(Berekening_impact[Jaarlijkse kosten (totaal) - incl. schatting],MATCH(B1370,IF(Berekening_impact[Doelgroep]=C1370,Berekening_impact[Digitale zorgtoepassing]),0))</f>
        <v>0</v>
      </c>
      <c r="R1370" s="398" cm="1">
        <f t="array" ref="R1370">(uitkomst_doelgroep[[#This Row],[Implementatiegraad t = T + 1]]-uitkomst_doelgroep[[#This Row],[Implementatiegraad t = T]])*INDEX(Berekening_impact[Initiële investering (totaal) - incl. schatting],MATCH(B1370,IF(Berekening_impact[Doelgroep]=C1370,Berekening_impact[Digitale zorgtoepassing]),0))</f>
        <v>0</v>
      </c>
      <c r="S1370" s="398">
        <f>uitkomst_doelgroep[[#This Row],[Arbeidsbesparing (€)]]*uitkomst_doelgroep[[#This Row],[Percentage van patiëntaantallen in Wlz (overige is Zvw)]]</f>
        <v>0</v>
      </c>
      <c r="T1370" s="398">
        <f>uitkomst_doelgroep[[#This Row],[Overige besparingen (€)]]*uitkomst_doelgroep[[#This Row],[Percentage van patiëntaantallen in Wlz (overige is Zvw)]]</f>
        <v>0</v>
      </c>
      <c r="U1370" s="398">
        <f>uitkomst_doelgroep[[#This Row],[Kosten (€)]]*uitkomst_doelgroep[[#This Row],[Percentage van patiëntaantallen in Wlz (overige is Zvw)]]</f>
        <v>0</v>
      </c>
      <c r="V1370" s="398">
        <f>uitkomst_doelgroep[[#This Row],[Investering (cash flow) (€)]]*uitkomst_doelgroep[[#This Row],[Percentage van patiëntaantallen in Wlz (overige is Zvw)]]</f>
        <v>0</v>
      </c>
    </row>
    <row r="1371" spans="1:22" x14ac:dyDescent="0.5">
      <c r="A1371" s="33" t="str">
        <f>INDEX(Technologieën[Veld],MATCH(B1371,Technologieën[Digitale zorgtoepassing],0))</f>
        <v>Software - Diagnose</v>
      </c>
      <c r="B1371" s="33" t="s">
        <v>473</v>
      </c>
      <c r="C1371" s="33" t="s">
        <v>75</v>
      </c>
      <c r="D1371" s="427" cm="1">
        <f t="array" ref="D1371">INDEX(Berekening_patiëntaantal[Percentage van patiëntaantallen in Wlz (overige is Zvw)],MATCH(B1371,IF(Berekening_patiëntaantal[Doelgroep (zoeksleutel)]=C1371,Berekening_patiëntaantal[Digitale zorgtoepassing]),0))</f>
        <v>0</v>
      </c>
      <c r="E1371" s="33" t="str" cm="1">
        <f t="array" ref="E1371">INDEX(Berekening_patiëntaantal[Direct toepasbaar/extrapolatie/incidentie voor QALY],MATCH(B1371,IF(Berekening_patiëntaantal[Doelgroep (zoeksleutel)]=C1371,Berekening_patiëntaantal[Digitale zorgtoepassing]),0))</f>
        <v>Incidentie voor QALY</v>
      </c>
      <c r="F1371" s="33" t="s">
        <v>813</v>
      </c>
      <c r="G1371" s="33" t="str">
        <f>CONCATENATE(uitkomst_doelgroep[[#This Row],[Digitale zorgtoepassing]],"_",uitkomst_doelgroep[[#This Row],[Doelgroep]],"_",uitkomst_doelgroep[[#This Row],[Uitgangssituatie/effect beleid]])</f>
        <v>AI om diagnoses te stellen (CT)_Longkanker_Uitgangssituatie</v>
      </c>
      <c r="H1371" s="33">
        <v>2025</v>
      </c>
      <c r="I1371" s="32">
        <v>3</v>
      </c>
      <c r="J1371" s="406" cm="1">
        <f t="array" ref="J1371">INDEX(implementatie[[2023]:[2034]],MATCH(G1371, implementatie[Zoeksleutel],0),I1371)</f>
        <v>0.67613800000000002</v>
      </c>
      <c r="K1371" s="406" cm="1">
        <f t="array" ref="K1371">INDEX(implementatie[[2023]:[2034]],MATCH(G1371,implementatie[Zoeksleutel],0),I1371 + 1)</f>
        <v>0.79534156247800003</v>
      </c>
      <c r="L137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71" s="398" cm="1">
        <f t="array" ref="M1371">J1371*INDEX(Berekening_impact[Totaal arbeidsbesparing (€/jaar)],MATCH(B1371,IF(Berekening_impact[Doelgroep]=C1371,Berekening_impact[Digitale zorgtoepassing]),0))</f>
        <v>0</v>
      </c>
      <c r="N1371" s="397" cm="1">
        <f t="array" ref="N1371">J1371*INDEX(Berekening_impact[Totaal arbeidsbesparing (FTE/jaar)],MATCH(B1371,IF(Berekening_impact[Doelgroep]=C1371,Berekening_impact[Digitale zorgtoepassing]),0))</f>
        <v>0</v>
      </c>
      <c r="O1371" s="398" cm="1">
        <f t="array" ref="O1371">J1371*INDEX(Berekening_impact[Overige kostenbesparing (totaal/jaar totaal potentieel)],MATCH(B1371,IF(Berekening_impact[Doelgroep]=C1371,Berekening_impact[Digitale zorgtoepassing]),0))</f>
        <v>0</v>
      </c>
      <c r="P1371" s="398" cm="1">
        <f t="array" ref="P1371">J1371*INDEX(Berekening_impact[Opbrengsten door QALY''s],MATCH(B1371,IF(Berekening_impact[Doelgroep]=C1371,Berekening_impact[Digitale zorgtoepassing]),0))</f>
        <v>19787854.708000004</v>
      </c>
      <c r="Q1371" s="398" cm="1">
        <f t="array" ref="Q1371">J1371*INDEX(Berekening_impact[Jaarlijkse kosten (totaal) - incl. schatting],MATCH(B1371,IF(Berekening_impact[Doelgroep]=C1371,Berekening_impact[Digitale zorgtoepassing]),0))</f>
        <v>0</v>
      </c>
      <c r="R1371" s="398" cm="1">
        <f t="array" ref="R1371">(uitkomst_doelgroep[[#This Row],[Implementatiegraad t = T + 1]]-uitkomst_doelgroep[[#This Row],[Implementatiegraad t = T]])*INDEX(Berekening_impact[Initiële investering (totaal) - incl. schatting],MATCH(B1371,IF(Berekening_impact[Doelgroep]=C1371,Berekening_impact[Digitale zorgtoepassing]),0))</f>
        <v>0</v>
      </c>
      <c r="S1371" s="398">
        <f>uitkomst_doelgroep[[#This Row],[Arbeidsbesparing (€)]]*uitkomst_doelgroep[[#This Row],[Percentage van patiëntaantallen in Wlz (overige is Zvw)]]</f>
        <v>0</v>
      </c>
      <c r="T1371" s="398">
        <f>uitkomst_doelgroep[[#This Row],[Overige besparingen (€)]]*uitkomst_doelgroep[[#This Row],[Percentage van patiëntaantallen in Wlz (overige is Zvw)]]</f>
        <v>0</v>
      </c>
      <c r="U1371" s="398">
        <f>uitkomst_doelgroep[[#This Row],[Kosten (€)]]*uitkomst_doelgroep[[#This Row],[Percentage van patiëntaantallen in Wlz (overige is Zvw)]]</f>
        <v>0</v>
      </c>
      <c r="V1371" s="398">
        <f>uitkomst_doelgroep[[#This Row],[Investering (cash flow) (€)]]*uitkomst_doelgroep[[#This Row],[Percentage van patiëntaantallen in Wlz (overige is Zvw)]]</f>
        <v>0</v>
      </c>
    </row>
    <row r="1372" spans="1:22" x14ac:dyDescent="0.5">
      <c r="A1372" s="33" t="str">
        <f>INDEX(Technologieën[Veld],MATCH(B1372,Technologieën[Digitale zorgtoepassing],0))</f>
        <v>Software - Diagnose</v>
      </c>
      <c r="B1372" s="33" t="s">
        <v>473</v>
      </c>
      <c r="C1372" s="33" t="s">
        <v>75</v>
      </c>
      <c r="D1372" s="427" cm="1">
        <f t="array" ref="D1372">INDEX(Berekening_patiëntaantal[Percentage van patiëntaantallen in Wlz (overige is Zvw)],MATCH(B1372,IF(Berekening_patiëntaantal[Doelgroep (zoeksleutel)]=C1372,Berekening_patiëntaantal[Digitale zorgtoepassing]),0))</f>
        <v>0</v>
      </c>
      <c r="E1372" s="33" t="str" cm="1">
        <f t="array" ref="E1372">INDEX(Berekening_patiëntaantal[Direct toepasbaar/extrapolatie/incidentie voor QALY],MATCH(B1372,IF(Berekening_patiëntaantal[Doelgroep (zoeksleutel)]=C1372,Berekening_patiëntaantal[Digitale zorgtoepassing]),0))</f>
        <v>Incidentie voor QALY</v>
      </c>
      <c r="F1372" s="33" t="s">
        <v>813</v>
      </c>
      <c r="G1372" s="33" t="str">
        <f>CONCATENATE(uitkomst_doelgroep[[#This Row],[Digitale zorgtoepassing]],"_",uitkomst_doelgroep[[#This Row],[Doelgroep]],"_",uitkomst_doelgroep[[#This Row],[Uitgangssituatie/effect beleid]])</f>
        <v>AI om diagnoses te stellen (CT)_Longkanker_Uitgangssituatie</v>
      </c>
      <c r="H1372" s="33">
        <v>2026</v>
      </c>
      <c r="I1372" s="32">
        <v>4</v>
      </c>
      <c r="J1372" s="406" cm="1">
        <f t="array" ref="J1372">INDEX(implementatie[[2023]:[2034]],MATCH(G1372, implementatie[Zoeksleutel],0),I1372)</f>
        <v>0.79534156247800003</v>
      </c>
      <c r="K1372" s="406" cm="1">
        <f t="array" ref="K1372">INDEX(implementatie[[2023]:[2034]],MATCH(G1372,implementatie[Zoeksleutel],0),I1372 + 1)</f>
        <v>0.88286799634018676</v>
      </c>
      <c r="L137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72" s="398" cm="1">
        <f t="array" ref="M1372">J1372*INDEX(Berekening_impact[Totaal arbeidsbesparing (€/jaar)],MATCH(B1372,IF(Berekening_impact[Doelgroep]=C1372,Berekening_impact[Digitale zorgtoepassing]),0))</f>
        <v>0</v>
      </c>
      <c r="N1372" s="397" cm="1">
        <f t="array" ref="N1372">J1372*INDEX(Berekening_impact[Totaal arbeidsbesparing (FTE/jaar)],MATCH(B1372,IF(Berekening_impact[Doelgroep]=C1372,Berekening_impact[Digitale zorgtoepassing]),0))</f>
        <v>0</v>
      </c>
      <c r="O1372" s="398" cm="1">
        <f t="array" ref="O1372">J1372*INDEX(Berekening_impact[Overige kostenbesparing (totaal/jaar totaal potentieel)],MATCH(B1372,IF(Berekening_impact[Doelgroep]=C1372,Berekening_impact[Digitale zorgtoepassing]),0))</f>
        <v>0</v>
      </c>
      <c r="P1372" s="398" cm="1">
        <f t="array" ref="P1372">J1372*INDEX(Berekening_impact[Opbrengsten door QALY''s],MATCH(B1372,IF(Berekening_impact[Doelgroep]=C1372,Berekening_impact[Digitale zorgtoepassing]),0))</f>
        <v>23276466.16748115</v>
      </c>
      <c r="Q1372" s="398" cm="1">
        <f t="array" ref="Q1372">J1372*INDEX(Berekening_impact[Jaarlijkse kosten (totaal) - incl. schatting],MATCH(B1372,IF(Berekening_impact[Doelgroep]=C1372,Berekening_impact[Digitale zorgtoepassing]),0))</f>
        <v>0</v>
      </c>
      <c r="R1372" s="398" cm="1">
        <f t="array" ref="R1372">(uitkomst_doelgroep[[#This Row],[Implementatiegraad t = T + 1]]-uitkomst_doelgroep[[#This Row],[Implementatiegraad t = T]])*INDEX(Berekening_impact[Initiële investering (totaal) - incl. schatting],MATCH(B1372,IF(Berekening_impact[Doelgroep]=C1372,Berekening_impact[Digitale zorgtoepassing]),0))</f>
        <v>0</v>
      </c>
      <c r="S1372" s="398">
        <f>uitkomst_doelgroep[[#This Row],[Arbeidsbesparing (€)]]*uitkomst_doelgroep[[#This Row],[Percentage van patiëntaantallen in Wlz (overige is Zvw)]]</f>
        <v>0</v>
      </c>
      <c r="T1372" s="398">
        <f>uitkomst_doelgroep[[#This Row],[Overige besparingen (€)]]*uitkomst_doelgroep[[#This Row],[Percentage van patiëntaantallen in Wlz (overige is Zvw)]]</f>
        <v>0</v>
      </c>
      <c r="U1372" s="398">
        <f>uitkomst_doelgroep[[#This Row],[Kosten (€)]]*uitkomst_doelgroep[[#This Row],[Percentage van patiëntaantallen in Wlz (overige is Zvw)]]</f>
        <v>0</v>
      </c>
      <c r="V1372" s="398">
        <f>uitkomst_doelgroep[[#This Row],[Investering (cash flow) (€)]]*uitkomst_doelgroep[[#This Row],[Percentage van patiëntaantallen in Wlz (overige is Zvw)]]</f>
        <v>0</v>
      </c>
    </row>
    <row r="1373" spans="1:22" x14ac:dyDescent="0.5">
      <c r="A1373" s="33" t="str">
        <f>INDEX(Technologieën[Veld],MATCH(B1373,Technologieën[Digitale zorgtoepassing],0))</f>
        <v>Software - Diagnose</v>
      </c>
      <c r="B1373" s="33" t="s">
        <v>473</v>
      </c>
      <c r="C1373" s="33" t="s">
        <v>75</v>
      </c>
      <c r="D1373" s="427" cm="1">
        <f t="array" ref="D1373">INDEX(Berekening_patiëntaantal[Percentage van patiëntaantallen in Wlz (overige is Zvw)],MATCH(B1373,IF(Berekening_patiëntaantal[Doelgroep (zoeksleutel)]=C1373,Berekening_patiëntaantal[Digitale zorgtoepassing]),0))</f>
        <v>0</v>
      </c>
      <c r="E1373" s="33" t="str" cm="1">
        <f t="array" ref="E1373">INDEX(Berekening_patiëntaantal[Direct toepasbaar/extrapolatie/incidentie voor QALY],MATCH(B1373,IF(Berekening_patiëntaantal[Doelgroep (zoeksleutel)]=C1373,Berekening_patiëntaantal[Digitale zorgtoepassing]),0))</f>
        <v>Incidentie voor QALY</v>
      </c>
      <c r="F1373" s="33" t="s">
        <v>813</v>
      </c>
      <c r="G1373" s="33" t="str">
        <f>CONCATENATE(uitkomst_doelgroep[[#This Row],[Digitale zorgtoepassing]],"_",uitkomst_doelgroep[[#This Row],[Doelgroep]],"_",uitkomst_doelgroep[[#This Row],[Uitgangssituatie/effect beleid]])</f>
        <v>AI om diagnoses te stellen (CT)_Longkanker_Uitgangssituatie</v>
      </c>
      <c r="H1373" s="33">
        <v>2027</v>
      </c>
      <c r="I1373" s="32">
        <v>5</v>
      </c>
      <c r="J1373" s="406" cm="1">
        <f t="array" ref="J1373">INDEX(implementatie[[2023]:[2034]],MATCH(G1373, implementatie[Zoeksleutel],0),I1373)</f>
        <v>0.88286799634018676</v>
      </c>
      <c r="K1373" s="406" cm="1">
        <f t="array" ref="K1373">INDEX(implementatie[[2023]:[2034]],MATCH(G1373,implementatie[Zoeksleutel],0),I1373 + 1)</f>
        <v>0.93808800513920654</v>
      </c>
      <c r="L137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73" s="398" cm="1">
        <f t="array" ref="M1373">J1373*INDEX(Berekening_impact[Totaal arbeidsbesparing (€/jaar)],MATCH(B1373,IF(Berekening_impact[Doelgroep]=C1373,Berekening_impact[Digitale zorgtoepassing]),0))</f>
        <v>0</v>
      </c>
      <c r="N1373" s="397" cm="1">
        <f t="array" ref="N1373">J1373*INDEX(Berekening_impact[Totaal arbeidsbesparing (FTE/jaar)],MATCH(B1373,IF(Berekening_impact[Doelgroep]=C1373,Berekening_impact[Digitale zorgtoepassing]),0))</f>
        <v>0</v>
      </c>
      <c r="O1373" s="398" cm="1">
        <f t="array" ref="O1373">J1373*INDEX(Berekening_impact[Overige kostenbesparing (totaal/jaar totaal potentieel)],MATCH(B1373,IF(Berekening_impact[Doelgroep]=C1373,Berekening_impact[Digitale zorgtoepassing]),0))</f>
        <v>0</v>
      </c>
      <c r="P1373" s="398" cm="1">
        <f t="array" ref="P1373">J1373*INDEX(Berekening_impact[Opbrengsten door QALY''s],MATCH(B1373,IF(Berekening_impact[Doelgroep]=C1373,Berekening_impact[Digitale zorgtoepassing]),0))</f>
        <v>25838014.78089191</v>
      </c>
      <c r="Q1373" s="398" cm="1">
        <f t="array" ref="Q1373">J1373*INDEX(Berekening_impact[Jaarlijkse kosten (totaal) - incl. schatting],MATCH(B1373,IF(Berekening_impact[Doelgroep]=C1373,Berekening_impact[Digitale zorgtoepassing]),0))</f>
        <v>0</v>
      </c>
      <c r="R1373" s="398" cm="1">
        <f t="array" ref="R1373">(uitkomst_doelgroep[[#This Row],[Implementatiegraad t = T + 1]]-uitkomst_doelgroep[[#This Row],[Implementatiegraad t = T]])*INDEX(Berekening_impact[Initiële investering (totaal) - incl. schatting],MATCH(B1373,IF(Berekening_impact[Doelgroep]=C1373,Berekening_impact[Digitale zorgtoepassing]),0))</f>
        <v>0</v>
      </c>
      <c r="S1373" s="398">
        <f>uitkomst_doelgroep[[#This Row],[Arbeidsbesparing (€)]]*uitkomst_doelgroep[[#This Row],[Percentage van patiëntaantallen in Wlz (overige is Zvw)]]</f>
        <v>0</v>
      </c>
      <c r="T1373" s="398">
        <f>uitkomst_doelgroep[[#This Row],[Overige besparingen (€)]]*uitkomst_doelgroep[[#This Row],[Percentage van patiëntaantallen in Wlz (overige is Zvw)]]</f>
        <v>0</v>
      </c>
      <c r="U1373" s="398">
        <f>uitkomst_doelgroep[[#This Row],[Kosten (€)]]*uitkomst_doelgroep[[#This Row],[Percentage van patiëntaantallen in Wlz (overige is Zvw)]]</f>
        <v>0</v>
      </c>
      <c r="V1373" s="398">
        <f>uitkomst_doelgroep[[#This Row],[Investering (cash flow) (€)]]*uitkomst_doelgroep[[#This Row],[Percentage van patiëntaantallen in Wlz (overige is Zvw)]]</f>
        <v>0</v>
      </c>
    </row>
    <row r="1374" spans="1:22" x14ac:dyDescent="0.5">
      <c r="A1374" s="33" t="str">
        <f>INDEX(Technologieën[Veld],MATCH(B1374,Technologieën[Digitale zorgtoepassing],0))</f>
        <v>Software - Diagnose</v>
      </c>
      <c r="B1374" s="33" t="s">
        <v>473</v>
      </c>
      <c r="C1374" s="33" t="s">
        <v>75</v>
      </c>
      <c r="D1374" s="427" cm="1">
        <f t="array" ref="D1374">INDEX(Berekening_patiëntaantal[Percentage van patiëntaantallen in Wlz (overige is Zvw)],MATCH(B1374,IF(Berekening_patiëntaantal[Doelgroep (zoeksleutel)]=C1374,Berekening_patiëntaantal[Digitale zorgtoepassing]),0))</f>
        <v>0</v>
      </c>
      <c r="E1374" s="33" t="str" cm="1">
        <f t="array" ref="E1374">INDEX(Berekening_patiëntaantal[Direct toepasbaar/extrapolatie/incidentie voor QALY],MATCH(B1374,IF(Berekening_patiëntaantal[Doelgroep (zoeksleutel)]=C1374,Berekening_patiëntaantal[Digitale zorgtoepassing]),0))</f>
        <v>Incidentie voor QALY</v>
      </c>
      <c r="F1374" s="33" t="s">
        <v>813</v>
      </c>
      <c r="G1374" s="33" t="str">
        <f>CONCATENATE(uitkomst_doelgroep[[#This Row],[Digitale zorgtoepassing]],"_",uitkomst_doelgroep[[#This Row],[Doelgroep]],"_",uitkomst_doelgroep[[#This Row],[Uitgangssituatie/effect beleid]])</f>
        <v>AI om diagnoses te stellen (CT)_Longkanker_Uitgangssituatie</v>
      </c>
      <c r="H1374" s="33">
        <v>2028</v>
      </c>
      <c r="I1374" s="32">
        <v>6</v>
      </c>
      <c r="J1374" s="406" cm="1">
        <f t="array" ref="J1374">INDEX(implementatie[[2023]:[2034]],MATCH(G1374, implementatie[Zoeksleutel],0),I1374)</f>
        <v>0.93808800513920654</v>
      </c>
      <c r="K1374" s="406" cm="1">
        <f t="array" ref="K1374">INDEX(implementatie[[2023]:[2034]],MATCH(G1374,implementatie[Zoeksleutel],0),I1374 + 1)</f>
        <v>0.96898481486160559</v>
      </c>
      <c r="L137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74" s="398" cm="1">
        <f t="array" ref="M1374">J1374*INDEX(Berekening_impact[Totaal arbeidsbesparing (€/jaar)],MATCH(B1374,IF(Berekening_impact[Doelgroep]=C1374,Berekening_impact[Digitale zorgtoepassing]),0))</f>
        <v>0</v>
      </c>
      <c r="N1374" s="397" cm="1">
        <f t="array" ref="N1374">J1374*INDEX(Berekening_impact[Totaal arbeidsbesparing (FTE/jaar)],MATCH(B1374,IF(Berekening_impact[Doelgroep]=C1374,Berekening_impact[Digitale zorgtoepassing]),0))</f>
        <v>0</v>
      </c>
      <c r="O1374" s="398" cm="1">
        <f t="array" ref="O1374">J1374*INDEX(Berekening_impact[Overige kostenbesparing (totaal/jaar totaal potentieel)],MATCH(B1374,IF(Berekening_impact[Doelgroep]=C1374,Berekening_impact[Digitale zorgtoepassing]),0))</f>
        <v>0</v>
      </c>
      <c r="P1374" s="398" cm="1">
        <f t="array" ref="P1374">J1374*INDEX(Berekening_impact[Opbrengsten door QALY''s],MATCH(B1374,IF(Berekening_impact[Doelgroep]=C1374,Berekening_impact[Digitale zorgtoepassing]),0))</f>
        <v>27454083.558404021</v>
      </c>
      <c r="Q1374" s="398" cm="1">
        <f t="array" ref="Q1374">J1374*INDEX(Berekening_impact[Jaarlijkse kosten (totaal) - incl. schatting],MATCH(B1374,IF(Berekening_impact[Doelgroep]=C1374,Berekening_impact[Digitale zorgtoepassing]),0))</f>
        <v>0</v>
      </c>
      <c r="R1374" s="398" cm="1">
        <f t="array" ref="R1374">(uitkomst_doelgroep[[#This Row],[Implementatiegraad t = T + 1]]-uitkomst_doelgroep[[#This Row],[Implementatiegraad t = T]])*INDEX(Berekening_impact[Initiële investering (totaal) - incl. schatting],MATCH(B1374,IF(Berekening_impact[Doelgroep]=C1374,Berekening_impact[Digitale zorgtoepassing]),0))</f>
        <v>0</v>
      </c>
      <c r="S1374" s="398">
        <f>uitkomst_doelgroep[[#This Row],[Arbeidsbesparing (€)]]*uitkomst_doelgroep[[#This Row],[Percentage van patiëntaantallen in Wlz (overige is Zvw)]]</f>
        <v>0</v>
      </c>
      <c r="T1374" s="398">
        <f>uitkomst_doelgroep[[#This Row],[Overige besparingen (€)]]*uitkomst_doelgroep[[#This Row],[Percentage van patiëntaantallen in Wlz (overige is Zvw)]]</f>
        <v>0</v>
      </c>
      <c r="U1374" s="398">
        <f>uitkomst_doelgroep[[#This Row],[Kosten (€)]]*uitkomst_doelgroep[[#This Row],[Percentage van patiëntaantallen in Wlz (overige is Zvw)]]</f>
        <v>0</v>
      </c>
      <c r="V1374" s="398">
        <f>uitkomst_doelgroep[[#This Row],[Investering (cash flow) (€)]]*uitkomst_doelgroep[[#This Row],[Percentage van patiëntaantallen in Wlz (overige is Zvw)]]</f>
        <v>0</v>
      </c>
    </row>
    <row r="1375" spans="1:22" x14ac:dyDescent="0.5">
      <c r="A1375" s="33" t="str">
        <f>INDEX(Technologieën[Veld],MATCH(B1375,Technologieën[Digitale zorgtoepassing],0))</f>
        <v>Software - Diagnose</v>
      </c>
      <c r="B1375" s="33" t="s">
        <v>473</v>
      </c>
      <c r="C1375" s="33" t="s">
        <v>75</v>
      </c>
      <c r="D1375" s="427" cm="1">
        <f t="array" ref="D1375">INDEX(Berekening_patiëntaantal[Percentage van patiëntaantallen in Wlz (overige is Zvw)],MATCH(B1375,IF(Berekening_patiëntaantal[Doelgroep (zoeksleutel)]=C1375,Berekening_patiëntaantal[Digitale zorgtoepassing]),0))</f>
        <v>0</v>
      </c>
      <c r="E1375" s="33" t="str" cm="1">
        <f t="array" ref="E1375">INDEX(Berekening_patiëntaantal[Direct toepasbaar/extrapolatie/incidentie voor QALY],MATCH(B1375,IF(Berekening_patiëntaantal[Doelgroep (zoeksleutel)]=C1375,Berekening_patiëntaantal[Digitale zorgtoepassing]),0))</f>
        <v>Incidentie voor QALY</v>
      </c>
      <c r="F1375" s="33" t="s">
        <v>813</v>
      </c>
      <c r="G1375" s="33" t="str">
        <f>CONCATENATE(uitkomst_doelgroep[[#This Row],[Digitale zorgtoepassing]],"_",uitkomst_doelgroep[[#This Row],[Doelgroep]],"_",uitkomst_doelgroep[[#This Row],[Uitgangssituatie/effect beleid]])</f>
        <v>AI om diagnoses te stellen (CT)_Longkanker_Uitgangssituatie</v>
      </c>
      <c r="H1375" s="33">
        <v>2029</v>
      </c>
      <c r="I1375" s="32">
        <v>7</v>
      </c>
      <c r="J1375" s="406" cm="1">
        <f t="array" ref="J1375">INDEX(implementatie[[2023]:[2034]],MATCH(G1375, implementatie[Zoeksleutel],0),I1375)</f>
        <v>0.96898481486160559</v>
      </c>
      <c r="K1375" s="406" cm="1">
        <f t="array" ref="K1375">INDEX(implementatie[[2023]:[2034]],MATCH(G1375,implementatie[Zoeksleutel],0),I1375 + 1)</f>
        <v>0.9849418921303702</v>
      </c>
      <c r="L137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75" s="398" cm="1">
        <f t="array" ref="M1375">J1375*INDEX(Berekening_impact[Totaal arbeidsbesparing (€/jaar)],MATCH(B1375,IF(Berekening_impact[Doelgroep]=C1375,Berekening_impact[Digitale zorgtoepassing]),0))</f>
        <v>0</v>
      </c>
      <c r="N1375" s="397" cm="1">
        <f t="array" ref="N1375">J1375*INDEX(Berekening_impact[Totaal arbeidsbesparing (FTE/jaar)],MATCH(B1375,IF(Berekening_impact[Doelgroep]=C1375,Berekening_impact[Digitale zorgtoepassing]),0))</f>
        <v>0</v>
      </c>
      <c r="O1375" s="398" cm="1">
        <f t="array" ref="O1375">J1375*INDEX(Berekening_impact[Overige kostenbesparing (totaal/jaar totaal potentieel)],MATCH(B1375,IF(Berekening_impact[Doelgroep]=C1375,Berekening_impact[Digitale zorgtoepassing]),0))</f>
        <v>0</v>
      </c>
      <c r="P1375" s="398" cm="1">
        <f t="array" ref="P1375">J1375*INDEX(Berekening_impact[Opbrengsten door QALY''s],MATCH(B1375,IF(Berekening_impact[Doelgroep]=C1375,Berekening_impact[Digitale zorgtoepassing]),0))</f>
        <v>28358309.591739751</v>
      </c>
      <c r="Q1375" s="398" cm="1">
        <f t="array" ref="Q1375">J1375*INDEX(Berekening_impact[Jaarlijkse kosten (totaal) - incl. schatting],MATCH(B1375,IF(Berekening_impact[Doelgroep]=C1375,Berekening_impact[Digitale zorgtoepassing]),0))</f>
        <v>0</v>
      </c>
      <c r="R1375" s="398" cm="1">
        <f t="array" ref="R1375">(uitkomst_doelgroep[[#This Row],[Implementatiegraad t = T + 1]]-uitkomst_doelgroep[[#This Row],[Implementatiegraad t = T]])*INDEX(Berekening_impact[Initiële investering (totaal) - incl. schatting],MATCH(B1375,IF(Berekening_impact[Doelgroep]=C1375,Berekening_impact[Digitale zorgtoepassing]),0))</f>
        <v>0</v>
      </c>
      <c r="S1375" s="398">
        <f>uitkomst_doelgroep[[#This Row],[Arbeidsbesparing (€)]]*uitkomst_doelgroep[[#This Row],[Percentage van patiëntaantallen in Wlz (overige is Zvw)]]</f>
        <v>0</v>
      </c>
      <c r="T1375" s="398">
        <f>uitkomst_doelgroep[[#This Row],[Overige besparingen (€)]]*uitkomst_doelgroep[[#This Row],[Percentage van patiëntaantallen in Wlz (overige is Zvw)]]</f>
        <v>0</v>
      </c>
      <c r="U1375" s="398">
        <f>uitkomst_doelgroep[[#This Row],[Kosten (€)]]*uitkomst_doelgroep[[#This Row],[Percentage van patiëntaantallen in Wlz (overige is Zvw)]]</f>
        <v>0</v>
      </c>
      <c r="V1375" s="398">
        <f>uitkomst_doelgroep[[#This Row],[Investering (cash flow) (€)]]*uitkomst_doelgroep[[#This Row],[Percentage van patiëntaantallen in Wlz (overige is Zvw)]]</f>
        <v>0</v>
      </c>
    </row>
    <row r="1376" spans="1:22" x14ac:dyDescent="0.5">
      <c r="A1376" s="33" t="str">
        <f>INDEX(Technologieën[Veld],MATCH(B1376,Technologieën[Digitale zorgtoepassing],0))</f>
        <v>Software - Diagnose</v>
      </c>
      <c r="B1376" s="33" t="s">
        <v>473</v>
      </c>
      <c r="C1376" s="33" t="s">
        <v>75</v>
      </c>
      <c r="D1376" s="427" cm="1">
        <f t="array" ref="D1376">INDEX(Berekening_patiëntaantal[Percentage van patiëntaantallen in Wlz (overige is Zvw)],MATCH(B1376,IF(Berekening_patiëntaantal[Doelgroep (zoeksleutel)]=C1376,Berekening_patiëntaantal[Digitale zorgtoepassing]),0))</f>
        <v>0</v>
      </c>
      <c r="E1376" s="33" t="str" cm="1">
        <f t="array" ref="E1376">INDEX(Berekening_patiëntaantal[Direct toepasbaar/extrapolatie/incidentie voor QALY],MATCH(B1376,IF(Berekening_patiëntaantal[Doelgroep (zoeksleutel)]=C1376,Berekening_patiëntaantal[Digitale zorgtoepassing]),0))</f>
        <v>Incidentie voor QALY</v>
      </c>
      <c r="F1376" s="33" t="s">
        <v>813</v>
      </c>
      <c r="G1376" s="33" t="str">
        <f>CONCATENATE(uitkomst_doelgroep[[#This Row],[Digitale zorgtoepassing]],"_",uitkomst_doelgroep[[#This Row],[Doelgroep]],"_",uitkomst_doelgroep[[#This Row],[Uitgangssituatie/effect beleid]])</f>
        <v>AI om diagnoses te stellen (CT)_Longkanker_Uitgangssituatie</v>
      </c>
      <c r="H1376" s="33">
        <v>2030</v>
      </c>
      <c r="I1376" s="32">
        <v>8</v>
      </c>
      <c r="J1376" s="406" cm="1">
        <f t="array" ref="J1376">INDEX(implementatie[[2023]:[2034]],MATCH(G1376, implementatie[Zoeksleutel],0),I1376)</f>
        <v>0.9849418921303702</v>
      </c>
      <c r="K1376" s="406" cm="1">
        <f t="array" ref="K1376">INDEX(implementatie[[2023]:[2034]],MATCH(G1376,implementatie[Zoeksleutel],0),I1376 + 1)</f>
        <v>0.99280931599496725</v>
      </c>
      <c r="L137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76" s="398" cm="1">
        <f t="array" ref="M1376">J1376*INDEX(Berekening_impact[Totaal arbeidsbesparing (€/jaar)],MATCH(B1376,IF(Berekening_impact[Doelgroep]=C1376,Berekening_impact[Digitale zorgtoepassing]),0))</f>
        <v>0</v>
      </c>
      <c r="N1376" s="397" cm="1">
        <f t="array" ref="N1376">J1376*INDEX(Berekening_impact[Totaal arbeidsbesparing (FTE/jaar)],MATCH(B1376,IF(Berekening_impact[Doelgroep]=C1376,Berekening_impact[Digitale zorgtoepassing]),0))</f>
        <v>0</v>
      </c>
      <c r="O1376" s="398" cm="1">
        <f t="array" ref="O1376">J1376*INDEX(Berekening_impact[Overige kostenbesparing (totaal/jaar totaal potentieel)],MATCH(B1376,IF(Berekening_impact[Doelgroep]=C1376,Berekening_impact[Digitale zorgtoepassing]),0))</f>
        <v>0</v>
      </c>
      <c r="P1376" s="398" cm="1">
        <f t="array" ref="P1376">J1376*INDEX(Berekening_impact[Opbrengsten door QALY''s],MATCH(B1376,IF(Berekening_impact[Doelgroep]=C1376,Berekening_impact[Digitale zorgtoepassing]),0))</f>
        <v>28825309.415087417</v>
      </c>
      <c r="Q1376" s="398" cm="1">
        <f t="array" ref="Q1376">J1376*INDEX(Berekening_impact[Jaarlijkse kosten (totaal) - incl. schatting],MATCH(B1376,IF(Berekening_impact[Doelgroep]=C1376,Berekening_impact[Digitale zorgtoepassing]),0))</f>
        <v>0</v>
      </c>
      <c r="R1376" s="398" cm="1">
        <f t="array" ref="R1376">(uitkomst_doelgroep[[#This Row],[Implementatiegraad t = T + 1]]-uitkomst_doelgroep[[#This Row],[Implementatiegraad t = T]])*INDEX(Berekening_impact[Initiële investering (totaal) - incl. schatting],MATCH(B1376,IF(Berekening_impact[Doelgroep]=C1376,Berekening_impact[Digitale zorgtoepassing]),0))</f>
        <v>0</v>
      </c>
      <c r="S1376" s="398">
        <f>uitkomst_doelgroep[[#This Row],[Arbeidsbesparing (€)]]*uitkomst_doelgroep[[#This Row],[Percentage van patiëntaantallen in Wlz (overige is Zvw)]]</f>
        <v>0</v>
      </c>
      <c r="T1376" s="398">
        <f>uitkomst_doelgroep[[#This Row],[Overige besparingen (€)]]*uitkomst_doelgroep[[#This Row],[Percentage van patiëntaantallen in Wlz (overige is Zvw)]]</f>
        <v>0</v>
      </c>
      <c r="U1376" s="398">
        <f>uitkomst_doelgroep[[#This Row],[Kosten (€)]]*uitkomst_doelgroep[[#This Row],[Percentage van patiëntaantallen in Wlz (overige is Zvw)]]</f>
        <v>0</v>
      </c>
      <c r="V1376" s="398">
        <f>uitkomst_doelgroep[[#This Row],[Investering (cash flow) (€)]]*uitkomst_doelgroep[[#This Row],[Percentage van patiëntaantallen in Wlz (overige is Zvw)]]</f>
        <v>0</v>
      </c>
    </row>
    <row r="1377" spans="1:22" x14ac:dyDescent="0.5">
      <c r="A1377" s="33" t="str">
        <f>INDEX(Technologieën[Veld],MATCH(B1377,Technologieën[Digitale zorgtoepassing],0))</f>
        <v>Software - Diagnose</v>
      </c>
      <c r="B1377" s="33" t="s">
        <v>473</v>
      </c>
      <c r="C1377" s="33" t="s">
        <v>75</v>
      </c>
      <c r="D1377" s="427" cm="1">
        <f t="array" ref="D1377">INDEX(Berekening_patiëntaantal[Percentage van patiëntaantallen in Wlz (overige is Zvw)],MATCH(B1377,IF(Berekening_patiëntaantal[Doelgroep (zoeksleutel)]=C1377,Berekening_patiëntaantal[Digitale zorgtoepassing]),0))</f>
        <v>0</v>
      </c>
      <c r="E1377" s="33" t="str" cm="1">
        <f t="array" ref="E1377">INDEX(Berekening_patiëntaantal[Direct toepasbaar/extrapolatie/incidentie voor QALY],MATCH(B1377,IF(Berekening_patiëntaantal[Doelgroep (zoeksleutel)]=C1377,Berekening_patiëntaantal[Digitale zorgtoepassing]),0))</f>
        <v>Incidentie voor QALY</v>
      </c>
      <c r="F1377" s="33" t="s">
        <v>813</v>
      </c>
      <c r="G1377" s="33" t="str">
        <f>CONCATENATE(uitkomst_doelgroep[[#This Row],[Digitale zorgtoepassing]],"_",uitkomst_doelgroep[[#This Row],[Doelgroep]],"_",uitkomst_doelgroep[[#This Row],[Uitgangssituatie/effect beleid]])</f>
        <v>AI om diagnoses te stellen (CT)_Longkanker_Uitgangssituatie</v>
      </c>
      <c r="H1377" s="33">
        <v>2031</v>
      </c>
      <c r="I1377" s="32">
        <v>9</v>
      </c>
      <c r="J1377" s="406" cm="1">
        <f t="array" ref="J1377">INDEX(implementatie[[2023]:[2034]],MATCH(G1377, implementatie[Zoeksleutel],0),I1377)</f>
        <v>0.99280931599496725</v>
      </c>
      <c r="K1377" s="406" cm="1">
        <f t="array" ref="K1377">INDEX(implementatie[[2023]:[2034]],MATCH(G1377,implementatie[Zoeksleutel],0),I1377 + 1)</f>
        <v>0.99659452554940442</v>
      </c>
      <c r="L137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77" s="398" cm="1">
        <f t="array" ref="M1377">J1377*INDEX(Berekening_impact[Totaal arbeidsbesparing (€/jaar)],MATCH(B1377,IF(Berekening_impact[Doelgroep]=C1377,Berekening_impact[Digitale zorgtoepassing]),0))</f>
        <v>0</v>
      </c>
      <c r="N1377" s="397" cm="1">
        <f t="array" ref="N1377">J1377*INDEX(Berekening_impact[Totaal arbeidsbesparing (FTE/jaar)],MATCH(B1377,IF(Berekening_impact[Doelgroep]=C1377,Berekening_impact[Digitale zorgtoepassing]),0))</f>
        <v>0</v>
      </c>
      <c r="O1377" s="398" cm="1">
        <f t="array" ref="O1377">J1377*INDEX(Berekening_impact[Overige kostenbesparing (totaal/jaar totaal potentieel)],MATCH(B1377,IF(Berekening_impact[Doelgroep]=C1377,Berekening_impact[Digitale zorgtoepassing]),0))</f>
        <v>0</v>
      </c>
      <c r="P1377" s="398" cm="1">
        <f t="array" ref="P1377">J1377*INDEX(Berekening_impact[Opbrengsten door QALY''s],MATCH(B1377,IF(Berekening_impact[Doelgroep]=C1377,Berekening_impact[Digitale zorgtoepassing]),0))</f>
        <v>29055557.441908713</v>
      </c>
      <c r="Q1377" s="398" cm="1">
        <f t="array" ref="Q1377">J1377*INDEX(Berekening_impact[Jaarlijkse kosten (totaal) - incl. schatting],MATCH(B1377,IF(Berekening_impact[Doelgroep]=C1377,Berekening_impact[Digitale zorgtoepassing]),0))</f>
        <v>0</v>
      </c>
      <c r="R1377" s="398" cm="1">
        <f t="array" ref="R1377">(uitkomst_doelgroep[[#This Row],[Implementatiegraad t = T + 1]]-uitkomst_doelgroep[[#This Row],[Implementatiegraad t = T]])*INDEX(Berekening_impact[Initiële investering (totaal) - incl. schatting],MATCH(B1377,IF(Berekening_impact[Doelgroep]=C1377,Berekening_impact[Digitale zorgtoepassing]),0))</f>
        <v>0</v>
      </c>
      <c r="S1377" s="398">
        <f>uitkomst_doelgroep[[#This Row],[Arbeidsbesparing (€)]]*uitkomst_doelgroep[[#This Row],[Percentage van patiëntaantallen in Wlz (overige is Zvw)]]</f>
        <v>0</v>
      </c>
      <c r="T1377" s="398">
        <f>uitkomst_doelgroep[[#This Row],[Overige besparingen (€)]]*uitkomst_doelgroep[[#This Row],[Percentage van patiëntaantallen in Wlz (overige is Zvw)]]</f>
        <v>0</v>
      </c>
      <c r="U1377" s="398">
        <f>uitkomst_doelgroep[[#This Row],[Kosten (€)]]*uitkomst_doelgroep[[#This Row],[Percentage van patiëntaantallen in Wlz (overige is Zvw)]]</f>
        <v>0</v>
      </c>
      <c r="V1377" s="398">
        <f>uitkomst_doelgroep[[#This Row],[Investering (cash flow) (€)]]*uitkomst_doelgroep[[#This Row],[Percentage van patiëntaantallen in Wlz (overige is Zvw)]]</f>
        <v>0</v>
      </c>
    </row>
    <row r="1378" spans="1:22" x14ac:dyDescent="0.5">
      <c r="A1378" s="33" t="str">
        <f>INDEX(Technologieën[Veld],MATCH(B1378,Technologieën[Digitale zorgtoepassing],0))</f>
        <v>Software - Diagnose</v>
      </c>
      <c r="B1378" s="33" t="s">
        <v>473</v>
      </c>
      <c r="C1378" s="33" t="s">
        <v>75</v>
      </c>
      <c r="D1378" s="427" cm="1">
        <f t="array" ref="D1378">INDEX(Berekening_patiëntaantal[Percentage van patiëntaantallen in Wlz (overige is Zvw)],MATCH(B1378,IF(Berekening_patiëntaantal[Doelgroep (zoeksleutel)]=C1378,Berekening_patiëntaantal[Digitale zorgtoepassing]),0))</f>
        <v>0</v>
      </c>
      <c r="E1378" s="33" t="str" cm="1">
        <f t="array" ref="E1378">INDEX(Berekening_patiëntaantal[Direct toepasbaar/extrapolatie/incidentie voor QALY],MATCH(B1378,IF(Berekening_patiëntaantal[Doelgroep (zoeksleutel)]=C1378,Berekening_patiëntaantal[Digitale zorgtoepassing]),0))</f>
        <v>Incidentie voor QALY</v>
      </c>
      <c r="F1378" s="33" t="s">
        <v>813</v>
      </c>
      <c r="G1378" s="33" t="str">
        <f>CONCATENATE(uitkomst_doelgroep[[#This Row],[Digitale zorgtoepassing]],"_",uitkomst_doelgroep[[#This Row],[Doelgroep]],"_",uitkomst_doelgroep[[#This Row],[Uitgangssituatie/effect beleid]])</f>
        <v>AI om diagnoses te stellen (CT)_Longkanker_Uitgangssituatie</v>
      </c>
      <c r="H1378" s="33">
        <v>2032</v>
      </c>
      <c r="I1378" s="32">
        <v>10</v>
      </c>
      <c r="J1378" s="406" cm="1">
        <f t="array" ref="J1378">INDEX(implementatie[[2023]:[2034]],MATCH(G1378, implementatie[Zoeksleutel],0),I1378)</f>
        <v>0.99659452554940442</v>
      </c>
      <c r="K1378" s="406" cm="1">
        <f t="array" ref="K1378">INDEX(implementatie[[2023]:[2034]],MATCH(G1378,implementatie[Zoeksleutel],0),I1378 + 1)</f>
        <v>0.99839362838010326</v>
      </c>
      <c r="L137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78" s="398" cm="1">
        <f t="array" ref="M1378">J1378*INDEX(Berekening_impact[Totaal arbeidsbesparing (€/jaar)],MATCH(B1378,IF(Berekening_impact[Doelgroep]=C1378,Berekening_impact[Digitale zorgtoepassing]),0))</f>
        <v>0</v>
      </c>
      <c r="N1378" s="397" cm="1">
        <f t="array" ref="N1378">J1378*INDEX(Berekening_impact[Totaal arbeidsbesparing (FTE/jaar)],MATCH(B1378,IF(Berekening_impact[Doelgroep]=C1378,Berekening_impact[Digitale zorgtoepassing]),0))</f>
        <v>0</v>
      </c>
      <c r="O1378" s="398" cm="1">
        <f t="array" ref="O1378">J1378*INDEX(Berekening_impact[Overige kostenbesparing (totaal/jaar totaal potentieel)],MATCH(B1378,IF(Berekening_impact[Doelgroep]=C1378,Berekening_impact[Digitale zorgtoepassing]),0))</f>
        <v>0</v>
      </c>
      <c r="P1378" s="398" cm="1">
        <f t="array" ref="P1378">J1378*INDEX(Berekening_impact[Opbrengsten door QALY''s],MATCH(B1378,IF(Berekening_impact[Doelgroep]=C1378,Berekening_impact[Digitale zorgtoepassing]),0))</f>
        <v>29166335.384728875</v>
      </c>
      <c r="Q1378" s="398" cm="1">
        <f t="array" ref="Q1378">J1378*INDEX(Berekening_impact[Jaarlijkse kosten (totaal) - incl. schatting],MATCH(B1378,IF(Berekening_impact[Doelgroep]=C1378,Berekening_impact[Digitale zorgtoepassing]),0))</f>
        <v>0</v>
      </c>
      <c r="R1378" s="398" cm="1">
        <f t="array" ref="R1378">(uitkomst_doelgroep[[#This Row],[Implementatiegraad t = T + 1]]-uitkomst_doelgroep[[#This Row],[Implementatiegraad t = T]])*INDEX(Berekening_impact[Initiële investering (totaal) - incl. schatting],MATCH(B1378,IF(Berekening_impact[Doelgroep]=C1378,Berekening_impact[Digitale zorgtoepassing]),0))</f>
        <v>0</v>
      </c>
      <c r="S1378" s="398">
        <f>uitkomst_doelgroep[[#This Row],[Arbeidsbesparing (€)]]*uitkomst_doelgroep[[#This Row],[Percentage van patiëntaantallen in Wlz (overige is Zvw)]]</f>
        <v>0</v>
      </c>
      <c r="T1378" s="398">
        <f>uitkomst_doelgroep[[#This Row],[Overige besparingen (€)]]*uitkomst_doelgroep[[#This Row],[Percentage van patiëntaantallen in Wlz (overige is Zvw)]]</f>
        <v>0</v>
      </c>
      <c r="U1378" s="398">
        <f>uitkomst_doelgroep[[#This Row],[Kosten (€)]]*uitkomst_doelgroep[[#This Row],[Percentage van patiëntaantallen in Wlz (overige is Zvw)]]</f>
        <v>0</v>
      </c>
      <c r="V1378" s="398">
        <f>uitkomst_doelgroep[[#This Row],[Investering (cash flow) (€)]]*uitkomst_doelgroep[[#This Row],[Percentage van patiëntaantallen in Wlz (overige is Zvw)]]</f>
        <v>0</v>
      </c>
    </row>
    <row r="1379" spans="1:22" x14ac:dyDescent="0.5">
      <c r="A1379" s="33" t="str">
        <f>INDEX(Technologieën[Veld],MATCH(B1379,Technologieën[Digitale zorgtoepassing],0))</f>
        <v>Software - Diagnose</v>
      </c>
      <c r="B1379" s="33" t="s">
        <v>473</v>
      </c>
      <c r="C1379" s="33" t="s">
        <v>75</v>
      </c>
      <c r="D1379" s="427" cm="1">
        <f t="array" ref="D1379">INDEX(Berekening_patiëntaantal[Percentage van patiëntaantallen in Wlz (overige is Zvw)],MATCH(B1379,IF(Berekening_patiëntaantal[Doelgroep (zoeksleutel)]=C1379,Berekening_patiëntaantal[Digitale zorgtoepassing]),0))</f>
        <v>0</v>
      </c>
      <c r="E1379" s="33" t="str" cm="1">
        <f t="array" ref="E1379">INDEX(Berekening_patiëntaantal[Direct toepasbaar/extrapolatie/incidentie voor QALY],MATCH(B1379,IF(Berekening_patiëntaantal[Doelgroep (zoeksleutel)]=C1379,Berekening_patiëntaantal[Digitale zorgtoepassing]),0))</f>
        <v>Incidentie voor QALY</v>
      </c>
      <c r="F1379" s="33" t="s">
        <v>813</v>
      </c>
      <c r="G1379" s="33" t="str">
        <f>CONCATENATE(uitkomst_doelgroep[[#This Row],[Digitale zorgtoepassing]],"_",uitkomst_doelgroep[[#This Row],[Doelgroep]],"_",uitkomst_doelgroep[[#This Row],[Uitgangssituatie/effect beleid]])</f>
        <v>AI om diagnoses te stellen (CT)_Longkanker_Uitgangssituatie</v>
      </c>
      <c r="H1379" s="33">
        <v>2033</v>
      </c>
      <c r="I1379" s="32">
        <v>11</v>
      </c>
      <c r="J1379" s="406" cm="1">
        <f t="array" ref="J1379">INDEX(implementatie[[2023]:[2034]],MATCH(G1379, implementatie[Zoeksleutel],0),I1379)</f>
        <v>0.99839362838010326</v>
      </c>
      <c r="K1379" s="406" cm="1">
        <f t="array" ref="K1379">INDEX(implementatie[[2023]:[2034]],MATCH(G1379,implementatie[Zoeksleutel],0),I1379 + 1)</f>
        <v>0.99924371512375787</v>
      </c>
      <c r="L137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79" s="398" cm="1">
        <f t="array" ref="M1379">J1379*INDEX(Berekening_impact[Totaal arbeidsbesparing (€/jaar)],MATCH(B1379,IF(Berekening_impact[Doelgroep]=C1379,Berekening_impact[Digitale zorgtoepassing]),0))</f>
        <v>0</v>
      </c>
      <c r="N1379" s="397" cm="1">
        <f t="array" ref="N1379">J1379*INDEX(Berekening_impact[Totaal arbeidsbesparing (FTE/jaar)],MATCH(B1379,IF(Berekening_impact[Doelgroep]=C1379,Berekening_impact[Digitale zorgtoepassing]),0))</f>
        <v>0</v>
      </c>
      <c r="O1379" s="398" cm="1">
        <f t="array" ref="O1379">J1379*INDEX(Berekening_impact[Overige kostenbesparing (totaal/jaar totaal potentieel)],MATCH(B1379,IF(Berekening_impact[Doelgroep]=C1379,Berekening_impact[Digitale zorgtoepassing]),0))</f>
        <v>0</v>
      </c>
      <c r="P1379" s="398" cm="1">
        <f t="array" ref="P1379">J1379*INDEX(Berekening_impact[Opbrengsten door QALY''s],MATCH(B1379,IF(Berekening_impact[Doelgroep]=C1379,Berekening_impact[Digitale zorgtoepassing]),0))</f>
        <v>29218987.928172104</v>
      </c>
      <c r="Q1379" s="398" cm="1">
        <f t="array" ref="Q1379">J1379*INDEX(Berekening_impact[Jaarlijkse kosten (totaal) - incl. schatting],MATCH(B1379,IF(Berekening_impact[Doelgroep]=C1379,Berekening_impact[Digitale zorgtoepassing]),0))</f>
        <v>0</v>
      </c>
      <c r="R1379" s="398" cm="1">
        <f t="array" ref="R1379">(uitkomst_doelgroep[[#This Row],[Implementatiegraad t = T + 1]]-uitkomst_doelgroep[[#This Row],[Implementatiegraad t = T]])*INDEX(Berekening_impact[Initiële investering (totaal) - incl. schatting],MATCH(B1379,IF(Berekening_impact[Doelgroep]=C1379,Berekening_impact[Digitale zorgtoepassing]),0))</f>
        <v>0</v>
      </c>
      <c r="S1379" s="398">
        <f>uitkomst_doelgroep[[#This Row],[Arbeidsbesparing (€)]]*uitkomst_doelgroep[[#This Row],[Percentage van patiëntaantallen in Wlz (overige is Zvw)]]</f>
        <v>0</v>
      </c>
      <c r="T1379" s="398">
        <f>uitkomst_doelgroep[[#This Row],[Overige besparingen (€)]]*uitkomst_doelgroep[[#This Row],[Percentage van patiëntaantallen in Wlz (overige is Zvw)]]</f>
        <v>0</v>
      </c>
      <c r="U1379" s="398">
        <f>uitkomst_doelgroep[[#This Row],[Kosten (€)]]*uitkomst_doelgroep[[#This Row],[Percentage van patiëntaantallen in Wlz (overige is Zvw)]]</f>
        <v>0</v>
      </c>
      <c r="V1379" s="398">
        <f>uitkomst_doelgroep[[#This Row],[Investering (cash flow) (€)]]*uitkomst_doelgroep[[#This Row],[Percentage van patiëntaantallen in Wlz (overige is Zvw)]]</f>
        <v>0</v>
      </c>
    </row>
    <row r="1380" spans="1:22" x14ac:dyDescent="0.5">
      <c r="A1380" s="33" t="str">
        <f>INDEX(Technologieën[Veld],MATCH(B1380,Technologieën[Digitale zorgtoepassing],0))</f>
        <v>Software - Diagnose</v>
      </c>
      <c r="B1380" s="33" t="s">
        <v>472</v>
      </c>
      <c r="C1380" s="33" t="s">
        <v>71</v>
      </c>
      <c r="D1380" s="427" cm="1">
        <f t="array" ref="D1380">INDEX(Berekening_patiëntaantal[Percentage van patiëntaantallen in Wlz (overige is Zvw)],MATCH(B1380,IF(Berekening_patiëntaantal[Doelgroep (zoeksleutel)]=C1380,Berekening_patiëntaantal[Digitale zorgtoepassing]),0))</f>
        <v>0</v>
      </c>
      <c r="E1380" s="33" t="str" cm="1">
        <f t="array" ref="E1380">INDEX(Berekening_patiëntaantal[Direct toepasbaar/extrapolatie/incidentie voor QALY],MATCH(B1380,IF(Berekening_patiëntaantal[Doelgroep (zoeksleutel)]=C1380,Berekening_patiëntaantal[Digitale zorgtoepassing]),0))</f>
        <v>Incidentie voor QALY</v>
      </c>
      <c r="F1380" s="33" t="s">
        <v>813</v>
      </c>
      <c r="G1380" s="33" t="str">
        <f>CONCATENATE(uitkomst_doelgroep[[#This Row],[Digitale zorgtoepassing]],"_",uitkomst_doelgroep[[#This Row],[Doelgroep]],"_",uitkomst_doelgroep[[#This Row],[Uitgangssituatie/effect beleid]])</f>
        <v>AI om diagnoses te stellen (MRI)_Prostaatkanker_Uitgangssituatie</v>
      </c>
      <c r="H1380" s="33">
        <v>2023</v>
      </c>
      <c r="I1380" s="32">
        <v>1</v>
      </c>
      <c r="J1380" s="406" cm="1">
        <f t="array" ref="J1380">INDEX(implementatie[[2023]:[2034]],MATCH(G1380, implementatie[Zoeksleutel],0),I1380)</f>
        <v>0.4</v>
      </c>
      <c r="K1380" s="406" cm="1">
        <f t="array" ref="K1380">INDEX(implementatie[[2023]:[2034]],MATCH(G1380,implementatie[Zoeksleutel],0),I1380 + 1)</f>
        <v>0.53800000000000003</v>
      </c>
      <c r="L138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80" s="398" cm="1">
        <f t="array" ref="M1380">J1380*INDEX(Berekening_impact[Totaal arbeidsbesparing (€/jaar)],MATCH(B1380,IF(Berekening_impact[Doelgroep]=C1380,Berekening_impact[Digitale zorgtoepassing]),0))</f>
        <v>0</v>
      </c>
      <c r="N1380" s="397" cm="1">
        <f t="array" ref="N1380">J1380*INDEX(Berekening_impact[Totaal arbeidsbesparing (FTE/jaar)],MATCH(B1380,IF(Berekening_impact[Doelgroep]=C1380,Berekening_impact[Digitale zorgtoepassing]),0))</f>
        <v>0</v>
      </c>
      <c r="O1380" s="398" cm="1">
        <f t="array" ref="O1380">J1380*INDEX(Berekening_impact[Overige kostenbesparing (totaal/jaar totaal potentieel)],MATCH(B1380,IF(Berekening_impact[Doelgroep]=C1380,Berekening_impact[Digitale zorgtoepassing]),0))</f>
        <v>0</v>
      </c>
      <c r="P1380" s="398" cm="1">
        <f t="array" ref="P1380">J1380*INDEX(Berekening_impact[Opbrengsten door QALY''s],MATCH(B1380,IF(Berekening_impact[Doelgroep]=C1380,Berekening_impact[Digitale zorgtoepassing]),0))</f>
        <v>4043124</v>
      </c>
      <c r="Q1380" s="398" cm="1">
        <f t="array" ref="Q1380">J1380*INDEX(Berekening_impact[Jaarlijkse kosten (totaal) - incl. schatting],MATCH(B1380,IF(Berekening_impact[Doelgroep]=C1380,Berekening_impact[Digitale zorgtoepassing]),0))</f>
        <v>0</v>
      </c>
      <c r="R1380" s="398" cm="1">
        <f t="array" ref="R1380">(uitkomst_doelgroep[[#This Row],[Implementatiegraad t = T + 1]]-uitkomst_doelgroep[[#This Row],[Implementatiegraad t = T]])*INDEX(Berekening_impact[Initiële investering (totaal) - incl. schatting],MATCH(B1380,IF(Berekening_impact[Doelgroep]=C1380,Berekening_impact[Digitale zorgtoepassing]),0))</f>
        <v>0</v>
      </c>
      <c r="S1380" s="398">
        <f>uitkomst_doelgroep[[#This Row],[Arbeidsbesparing (€)]]*uitkomst_doelgroep[[#This Row],[Percentage van patiëntaantallen in Wlz (overige is Zvw)]]</f>
        <v>0</v>
      </c>
      <c r="T1380" s="398">
        <f>uitkomst_doelgroep[[#This Row],[Overige besparingen (€)]]*uitkomst_doelgroep[[#This Row],[Percentage van patiëntaantallen in Wlz (overige is Zvw)]]</f>
        <v>0</v>
      </c>
      <c r="U1380" s="398">
        <f>uitkomst_doelgroep[[#This Row],[Kosten (€)]]*uitkomst_doelgroep[[#This Row],[Percentage van patiëntaantallen in Wlz (overige is Zvw)]]</f>
        <v>0</v>
      </c>
      <c r="V1380" s="398">
        <f>uitkomst_doelgroep[[#This Row],[Investering (cash flow) (€)]]*uitkomst_doelgroep[[#This Row],[Percentage van patiëntaantallen in Wlz (overige is Zvw)]]</f>
        <v>0</v>
      </c>
    </row>
    <row r="1381" spans="1:22" x14ac:dyDescent="0.5">
      <c r="A1381" s="33" t="str">
        <f>INDEX(Technologieën[Veld],MATCH(B1381,Technologieën[Digitale zorgtoepassing],0))</f>
        <v>Software - Diagnose</v>
      </c>
      <c r="B1381" s="33" t="s">
        <v>472</v>
      </c>
      <c r="C1381" s="33" t="s">
        <v>71</v>
      </c>
      <c r="D1381" s="427" cm="1">
        <f t="array" ref="D1381">INDEX(Berekening_patiëntaantal[Percentage van patiëntaantallen in Wlz (overige is Zvw)],MATCH(B1381,IF(Berekening_patiëntaantal[Doelgroep (zoeksleutel)]=C1381,Berekening_patiëntaantal[Digitale zorgtoepassing]),0))</f>
        <v>0</v>
      </c>
      <c r="E1381" s="33" t="str" cm="1">
        <f t="array" ref="E1381">INDEX(Berekening_patiëntaantal[Direct toepasbaar/extrapolatie/incidentie voor QALY],MATCH(B1381,IF(Berekening_patiëntaantal[Doelgroep (zoeksleutel)]=C1381,Berekening_patiëntaantal[Digitale zorgtoepassing]),0))</f>
        <v>Incidentie voor QALY</v>
      </c>
      <c r="F1381" s="33" t="s">
        <v>813</v>
      </c>
      <c r="G1381" s="33" t="str">
        <f>CONCATENATE(uitkomst_doelgroep[[#This Row],[Digitale zorgtoepassing]],"_",uitkomst_doelgroep[[#This Row],[Doelgroep]],"_",uitkomst_doelgroep[[#This Row],[Uitgangssituatie/effect beleid]])</f>
        <v>AI om diagnoses te stellen (MRI)_Prostaatkanker_Uitgangssituatie</v>
      </c>
      <c r="H1381" s="33">
        <v>2024</v>
      </c>
      <c r="I1381" s="32">
        <v>2</v>
      </c>
      <c r="J1381" s="406" cm="1">
        <f t="array" ref="J1381">INDEX(implementatie[[2023]:[2034]],MATCH(G1381, implementatie[Zoeksleutel],0),I1381)</f>
        <v>0.53800000000000003</v>
      </c>
      <c r="K1381" s="406" cm="1">
        <f t="array" ref="K1381">INDEX(implementatie[[2023]:[2034]],MATCH(G1381,implementatie[Zoeksleutel],0),I1381 + 1)</f>
        <v>0.67613800000000002</v>
      </c>
      <c r="L138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81" s="398" cm="1">
        <f t="array" ref="M1381">J1381*INDEX(Berekening_impact[Totaal arbeidsbesparing (€/jaar)],MATCH(B1381,IF(Berekening_impact[Doelgroep]=C1381,Berekening_impact[Digitale zorgtoepassing]),0))</f>
        <v>0</v>
      </c>
      <c r="N1381" s="397" cm="1">
        <f t="array" ref="N1381">J1381*INDEX(Berekening_impact[Totaal arbeidsbesparing (FTE/jaar)],MATCH(B1381,IF(Berekening_impact[Doelgroep]=C1381,Berekening_impact[Digitale zorgtoepassing]),0))</f>
        <v>0</v>
      </c>
      <c r="O1381" s="398" cm="1">
        <f t="array" ref="O1381">J1381*INDEX(Berekening_impact[Overige kostenbesparing (totaal/jaar totaal potentieel)],MATCH(B1381,IF(Berekening_impact[Doelgroep]=C1381,Berekening_impact[Digitale zorgtoepassing]),0))</f>
        <v>0</v>
      </c>
      <c r="P1381" s="398" cm="1">
        <f t="array" ref="P1381">J1381*INDEX(Berekening_impact[Opbrengsten door QALY''s],MATCH(B1381,IF(Berekening_impact[Doelgroep]=C1381,Berekening_impact[Digitale zorgtoepassing]),0))</f>
        <v>5438001.7800000003</v>
      </c>
      <c r="Q1381" s="398" cm="1">
        <f t="array" ref="Q1381">J1381*INDEX(Berekening_impact[Jaarlijkse kosten (totaal) - incl. schatting],MATCH(B1381,IF(Berekening_impact[Doelgroep]=C1381,Berekening_impact[Digitale zorgtoepassing]),0))</f>
        <v>0</v>
      </c>
      <c r="R1381" s="398" cm="1">
        <f t="array" ref="R1381">(uitkomst_doelgroep[[#This Row],[Implementatiegraad t = T + 1]]-uitkomst_doelgroep[[#This Row],[Implementatiegraad t = T]])*INDEX(Berekening_impact[Initiële investering (totaal) - incl. schatting],MATCH(B1381,IF(Berekening_impact[Doelgroep]=C1381,Berekening_impact[Digitale zorgtoepassing]),0))</f>
        <v>0</v>
      </c>
      <c r="S1381" s="398">
        <f>uitkomst_doelgroep[[#This Row],[Arbeidsbesparing (€)]]*uitkomst_doelgroep[[#This Row],[Percentage van patiëntaantallen in Wlz (overige is Zvw)]]</f>
        <v>0</v>
      </c>
      <c r="T1381" s="398">
        <f>uitkomst_doelgroep[[#This Row],[Overige besparingen (€)]]*uitkomst_doelgroep[[#This Row],[Percentage van patiëntaantallen in Wlz (overige is Zvw)]]</f>
        <v>0</v>
      </c>
      <c r="U1381" s="398">
        <f>uitkomst_doelgroep[[#This Row],[Kosten (€)]]*uitkomst_doelgroep[[#This Row],[Percentage van patiëntaantallen in Wlz (overige is Zvw)]]</f>
        <v>0</v>
      </c>
      <c r="V1381" s="398">
        <f>uitkomst_doelgroep[[#This Row],[Investering (cash flow) (€)]]*uitkomst_doelgroep[[#This Row],[Percentage van patiëntaantallen in Wlz (overige is Zvw)]]</f>
        <v>0</v>
      </c>
    </row>
    <row r="1382" spans="1:22" x14ac:dyDescent="0.5">
      <c r="A1382" s="33" t="str">
        <f>INDEX(Technologieën[Veld],MATCH(B1382,Technologieën[Digitale zorgtoepassing],0))</f>
        <v>Software - Diagnose</v>
      </c>
      <c r="B1382" s="33" t="s">
        <v>472</v>
      </c>
      <c r="C1382" s="33" t="s">
        <v>71</v>
      </c>
      <c r="D1382" s="427" cm="1">
        <f t="array" ref="D1382">INDEX(Berekening_patiëntaantal[Percentage van patiëntaantallen in Wlz (overige is Zvw)],MATCH(B1382,IF(Berekening_patiëntaantal[Doelgroep (zoeksleutel)]=C1382,Berekening_patiëntaantal[Digitale zorgtoepassing]),0))</f>
        <v>0</v>
      </c>
      <c r="E1382" s="33" t="str" cm="1">
        <f t="array" ref="E1382">INDEX(Berekening_patiëntaantal[Direct toepasbaar/extrapolatie/incidentie voor QALY],MATCH(B1382,IF(Berekening_patiëntaantal[Doelgroep (zoeksleutel)]=C1382,Berekening_patiëntaantal[Digitale zorgtoepassing]),0))</f>
        <v>Incidentie voor QALY</v>
      </c>
      <c r="F1382" s="33" t="s">
        <v>813</v>
      </c>
      <c r="G1382" s="33" t="str">
        <f>CONCATENATE(uitkomst_doelgroep[[#This Row],[Digitale zorgtoepassing]],"_",uitkomst_doelgroep[[#This Row],[Doelgroep]],"_",uitkomst_doelgroep[[#This Row],[Uitgangssituatie/effect beleid]])</f>
        <v>AI om diagnoses te stellen (MRI)_Prostaatkanker_Uitgangssituatie</v>
      </c>
      <c r="H1382" s="33">
        <v>2025</v>
      </c>
      <c r="I1382" s="32">
        <v>3</v>
      </c>
      <c r="J1382" s="406" cm="1">
        <f t="array" ref="J1382">INDEX(implementatie[[2023]:[2034]],MATCH(G1382, implementatie[Zoeksleutel],0),I1382)</f>
        <v>0.67613800000000002</v>
      </c>
      <c r="K1382" s="406" cm="1">
        <f t="array" ref="K1382">INDEX(implementatie[[2023]:[2034]],MATCH(G1382,implementatie[Zoeksleutel],0),I1382 + 1)</f>
        <v>0.79534156247800003</v>
      </c>
      <c r="L138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82" s="398" cm="1">
        <f t="array" ref="M1382">J1382*INDEX(Berekening_impact[Totaal arbeidsbesparing (€/jaar)],MATCH(B1382,IF(Berekening_impact[Doelgroep]=C1382,Berekening_impact[Digitale zorgtoepassing]),0))</f>
        <v>0</v>
      </c>
      <c r="N1382" s="397" cm="1">
        <f t="array" ref="N1382">J1382*INDEX(Berekening_impact[Totaal arbeidsbesparing (FTE/jaar)],MATCH(B1382,IF(Berekening_impact[Doelgroep]=C1382,Berekening_impact[Digitale zorgtoepassing]),0))</f>
        <v>0</v>
      </c>
      <c r="O1382" s="398" cm="1">
        <f t="array" ref="O1382">J1382*INDEX(Berekening_impact[Overige kostenbesparing (totaal/jaar totaal potentieel)],MATCH(B1382,IF(Berekening_impact[Doelgroep]=C1382,Berekening_impact[Digitale zorgtoepassing]),0))</f>
        <v>0</v>
      </c>
      <c r="P1382" s="398" cm="1">
        <f t="array" ref="P1382">J1382*INDEX(Berekening_impact[Opbrengsten door QALY''s],MATCH(B1382,IF(Berekening_impact[Doelgroep]=C1382,Berekening_impact[Digitale zorgtoepassing]),0))</f>
        <v>6834274.4377800003</v>
      </c>
      <c r="Q1382" s="398" cm="1">
        <f t="array" ref="Q1382">J1382*INDEX(Berekening_impact[Jaarlijkse kosten (totaal) - incl. schatting],MATCH(B1382,IF(Berekening_impact[Doelgroep]=C1382,Berekening_impact[Digitale zorgtoepassing]),0))</f>
        <v>0</v>
      </c>
      <c r="R1382" s="398" cm="1">
        <f t="array" ref="R1382">(uitkomst_doelgroep[[#This Row],[Implementatiegraad t = T + 1]]-uitkomst_doelgroep[[#This Row],[Implementatiegraad t = T]])*INDEX(Berekening_impact[Initiële investering (totaal) - incl. schatting],MATCH(B1382,IF(Berekening_impact[Doelgroep]=C1382,Berekening_impact[Digitale zorgtoepassing]),0))</f>
        <v>0</v>
      </c>
      <c r="S1382" s="398">
        <f>uitkomst_doelgroep[[#This Row],[Arbeidsbesparing (€)]]*uitkomst_doelgroep[[#This Row],[Percentage van patiëntaantallen in Wlz (overige is Zvw)]]</f>
        <v>0</v>
      </c>
      <c r="T1382" s="398">
        <f>uitkomst_doelgroep[[#This Row],[Overige besparingen (€)]]*uitkomst_doelgroep[[#This Row],[Percentage van patiëntaantallen in Wlz (overige is Zvw)]]</f>
        <v>0</v>
      </c>
      <c r="U1382" s="398">
        <f>uitkomst_doelgroep[[#This Row],[Kosten (€)]]*uitkomst_doelgroep[[#This Row],[Percentage van patiëntaantallen in Wlz (overige is Zvw)]]</f>
        <v>0</v>
      </c>
      <c r="V1382" s="398">
        <f>uitkomst_doelgroep[[#This Row],[Investering (cash flow) (€)]]*uitkomst_doelgroep[[#This Row],[Percentage van patiëntaantallen in Wlz (overige is Zvw)]]</f>
        <v>0</v>
      </c>
    </row>
    <row r="1383" spans="1:22" x14ac:dyDescent="0.5">
      <c r="A1383" s="33" t="str">
        <f>INDEX(Technologieën[Veld],MATCH(B1383,Technologieën[Digitale zorgtoepassing],0))</f>
        <v>Software - Diagnose</v>
      </c>
      <c r="B1383" s="33" t="s">
        <v>472</v>
      </c>
      <c r="C1383" s="33" t="s">
        <v>71</v>
      </c>
      <c r="D1383" s="427" cm="1">
        <f t="array" ref="D1383">INDEX(Berekening_patiëntaantal[Percentage van patiëntaantallen in Wlz (overige is Zvw)],MATCH(B1383,IF(Berekening_patiëntaantal[Doelgroep (zoeksleutel)]=C1383,Berekening_patiëntaantal[Digitale zorgtoepassing]),0))</f>
        <v>0</v>
      </c>
      <c r="E1383" s="33" t="str" cm="1">
        <f t="array" ref="E1383">INDEX(Berekening_patiëntaantal[Direct toepasbaar/extrapolatie/incidentie voor QALY],MATCH(B1383,IF(Berekening_patiëntaantal[Doelgroep (zoeksleutel)]=C1383,Berekening_patiëntaantal[Digitale zorgtoepassing]),0))</f>
        <v>Incidentie voor QALY</v>
      </c>
      <c r="F1383" s="33" t="s">
        <v>813</v>
      </c>
      <c r="G1383" s="33" t="str">
        <f>CONCATENATE(uitkomst_doelgroep[[#This Row],[Digitale zorgtoepassing]],"_",uitkomst_doelgroep[[#This Row],[Doelgroep]],"_",uitkomst_doelgroep[[#This Row],[Uitgangssituatie/effect beleid]])</f>
        <v>AI om diagnoses te stellen (MRI)_Prostaatkanker_Uitgangssituatie</v>
      </c>
      <c r="H1383" s="33">
        <v>2026</v>
      </c>
      <c r="I1383" s="32">
        <v>4</v>
      </c>
      <c r="J1383" s="406" cm="1">
        <f t="array" ref="J1383">INDEX(implementatie[[2023]:[2034]],MATCH(G1383, implementatie[Zoeksleutel],0),I1383)</f>
        <v>0.79534156247800003</v>
      </c>
      <c r="K1383" s="406" cm="1">
        <f t="array" ref="K1383">INDEX(implementatie[[2023]:[2034]],MATCH(G1383,implementatie[Zoeksleutel],0),I1383 + 1)</f>
        <v>0.88286799634018676</v>
      </c>
      <c r="L138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83" s="398" cm="1">
        <f t="array" ref="M1383">J1383*INDEX(Berekening_impact[Totaal arbeidsbesparing (€/jaar)],MATCH(B1383,IF(Berekening_impact[Doelgroep]=C1383,Berekening_impact[Digitale zorgtoepassing]),0))</f>
        <v>0</v>
      </c>
      <c r="N1383" s="397" cm="1">
        <f t="array" ref="N1383">J1383*INDEX(Berekening_impact[Totaal arbeidsbesparing (FTE/jaar)],MATCH(B1383,IF(Berekening_impact[Doelgroep]=C1383,Berekening_impact[Digitale zorgtoepassing]),0))</f>
        <v>0</v>
      </c>
      <c r="O1383" s="398" cm="1">
        <f t="array" ref="O1383">J1383*INDEX(Berekening_impact[Overige kostenbesparing (totaal/jaar totaal potentieel)],MATCH(B1383,IF(Berekening_impact[Doelgroep]=C1383,Berekening_impact[Digitale zorgtoepassing]),0))</f>
        <v>0</v>
      </c>
      <c r="P1383" s="398" cm="1">
        <f t="array" ref="P1383">J1383*INDEX(Berekening_impact[Opbrengsten door QALY''s],MATCH(B1383,IF(Berekening_impact[Doelgroep]=C1383,Berekening_impact[Digitale zorgtoepassing]),0))</f>
        <v>8039161.3986307532</v>
      </c>
      <c r="Q1383" s="398" cm="1">
        <f t="array" ref="Q1383">J1383*INDEX(Berekening_impact[Jaarlijkse kosten (totaal) - incl. schatting],MATCH(B1383,IF(Berekening_impact[Doelgroep]=C1383,Berekening_impact[Digitale zorgtoepassing]),0))</f>
        <v>0</v>
      </c>
      <c r="R1383" s="398" cm="1">
        <f t="array" ref="R1383">(uitkomst_doelgroep[[#This Row],[Implementatiegraad t = T + 1]]-uitkomst_doelgroep[[#This Row],[Implementatiegraad t = T]])*INDEX(Berekening_impact[Initiële investering (totaal) - incl. schatting],MATCH(B1383,IF(Berekening_impact[Doelgroep]=C1383,Berekening_impact[Digitale zorgtoepassing]),0))</f>
        <v>0</v>
      </c>
      <c r="S1383" s="398">
        <f>uitkomst_doelgroep[[#This Row],[Arbeidsbesparing (€)]]*uitkomst_doelgroep[[#This Row],[Percentage van patiëntaantallen in Wlz (overige is Zvw)]]</f>
        <v>0</v>
      </c>
      <c r="T1383" s="398">
        <f>uitkomst_doelgroep[[#This Row],[Overige besparingen (€)]]*uitkomst_doelgroep[[#This Row],[Percentage van patiëntaantallen in Wlz (overige is Zvw)]]</f>
        <v>0</v>
      </c>
      <c r="U1383" s="398">
        <f>uitkomst_doelgroep[[#This Row],[Kosten (€)]]*uitkomst_doelgroep[[#This Row],[Percentage van patiëntaantallen in Wlz (overige is Zvw)]]</f>
        <v>0</v>
      </c>
      <c r="V1383" s="398">
        <f>uitkomst_doelgroep[[#This Row],[Investering (cash flow) (€)]]*uitkomst_doelgroep[[#This Row],[Percentage van patiëntaantallen in Wlz (overige is Zvw)]]</f>
        <v>0</v>
      </c>
    </row>
    <row r="1384" spans="1:22" x14ac:dyDescent="0.5">
      <c r="A1384" s="33" t="str">
        <f>INDEX(Technologieën[Veld],MATCH(B1384,Technologieën[Digitale zorgtoepassing],0))</f>
        <v>Software - Diagnose</v>
      </c>
      <c r="B1384" s="33" t="s">
        <v>472</v>
      </c>
      <c r="C1384" s="33" t="s">
        <v>71</v>
      </c>
      <c r="D1384" s="427" cm="1">
        <f t="array" ref="D1384">INDEX(Berekening_patiëntaantal[Percentage van patiëntaantallen in Wlz (overige is Zvw)],MATCH(B1384,IF(Berekening_patiëntaantal[Doelgroep (zoeksleutel)]=C1384,Berekening_patiëntaantal[Digitale zorgtoepassing]),0))</f>
        <v>0</v>
      </c>
      <c r="E1384" s="33" t="str" cm="1">
        <f t="array" ref="E1384">INDEX(Berekening_patiëntaantal[Direct toepasbaar/extrapolatie/incidentie voor QALY],MATCH(B1384,IF(Berekening_patiëntaantal[Doelgroep (zoeksleutel)]=C1384,Berekening_patiëntaantal[Digitale zorgtoepassing]),0))</f>
        <v>Incidentie voor QALY</v>
      </c>
      <c r="F1384" s="33" t="s">
        <v>813</v>
      </c>
      <c r="G1384" s="33" t="str">
        <f>CONCATENATE(uitkomst_doelgroep[[#This Row],[Digitale zorgtoepassing]],"_",uitkomst_doelgroep[[#This Row],[Doelgroep]],"_",uitkomst_doelgroep[[#This Row],[Uitgangssituatie/effect beleid]])</f>
        <v>AI om diagnoses te stellen (MRI)_Prostaatkanker_Uitgangssituatie</v>
      </c>
      <c r="H1384" s="33">
        <v>2027</v>
      </c>
      <c r="I1384" s="32">
        <v>5</v>
      </c>
      <c r="J1384" s="406" cm="1">
        <f t="array" ref="J1384">INDEX(implementatie[[2023]:[2034]],MATCH(G1384, implementatie[Zoeksleutel],0),I1384)</f>
        <v>0.88286799634018676</v>
      </c>
      <c r="K1384" s="406" cm="1">
        <f t="array" ref="K1384">INDEX(implementatie[[2023]:[2034]],MATCH(G1384,implementatie[Zoeksleutel],0),I1384 + 1)</f>
        <v>0.93808800513920654</v>
      </c>
      <c r="L138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84" s="398" cm="1">
        <f t="array" ref="M1384">J1384*INDEX(Berekening_impact[Totaal arbeidsbesparing (€/jaar)],MATCH(B1384,IF(Berekening_impact[Doelgroep]=C1384,Berekening_impact[Digitale zorgtoepassing]),0))</f>
        <v>0</v>
      </c>
      <c r="N1384" s="397" cm="1">
        <f t="array" ref="N1384">J1384*INDEX(Berekening_impact[Totaal arbeidsbesparing (FTE/jaar)],MATCH(B1384,IF(Berekening_impact[Doelgroep]=C1384,Berekening_impact[Digitale zorgtoepassing]),0))</f>
        <v>0</v>
      </c>
      <c r="O1384" s="398" cm="1">
        <f t="array" ref="O1384">J1384*INDEX(Berekening_impact[Overige kostenbesparing (totaal/jaar totaal potentieel)],MATCH(B1384,IF(Berekening_impact[Doelgroep]=C1384,Berekening_impact[Digitale zorgtoepassing]),0))</f>
        <v>0</v>
      </c>
      <c r="P1384" s="398" cm="1">
        <f t="array" ref="P1384">J1384*INDEX(Berekening_impact[Opbrengsten door QALY''s],MATCH(B1384,IF(Berekening_impact[Doelgroep]=C1384,Berekening_impact[Digitale zorgtoepassing]),0))</f>
        <v>8923861.9620873034</v>
      </c>
      <c r="Q1384" s="398" cm="1">
        <f t="array" ref="Q1384">J1384*INDEX(Berekening_impact[Jaarlijkse kosten (totaal) - incl. schatting],MATCH(B1384,IF(Berekening_impact[Doelgroep]=C1384,Berekening_impact[Digitale zorgtoepassing]),0))</f>
        <v>0</v>
      </c>
      <c r="R1384" s="398" cm="1">
        <f t="array" ref="R1384">(uitkomst_doelgroep[[#This Row],[Implementatiegraad t = T + 1]]-uitkomst_doelgroep[[#This Row],[Implementatiegraad t = T]])*INDEX(Berekening_impact[Initiële investering (totaal) - incl. schatting],MATCH(B1384,IF(Berekening_impact[Doelgroep]=C1384,Berekening_impact[Digitale zorgtoepassing]),0))</f>
        <v>0</v>
      </c>
      <c r="S1384" s="398">
        <f>uitkomst_doelgroep[[#This Row],[Arbeidsbesparing (€)]]*uitkomst_doelgroep[[#This Row],[Percentage van patiëntaantallen in Wlz (overige is Zvw)]]</f>
        <v>0</v>
      </c>
      <c r="T1384" s="398">
        <f>uitkomst_doelgroep[[#This Row],[Overige besparingen (€)]]*uitkomst_doelgroep[[#This Row],[Percentage van patiëntaantallen in Wlz (overige is Zvw)]]</f>
        <v>0</v>
      </c>
      <c r="U1384" s="398">
        <f>uitkomst_doelgroep[[#This Row],[Kosten (€)]]*uitkomst_doelgroep[[#This Row],[Percentage van patiëntaantallen in Wlz (overige is Zvw)]]</f>
        <v>0</v>
      </c>
      <c r="V1384" s="398">
        <f>uitkomst_doelgroep[[#This Row],[Investering (cash flow) (€)]]*uitkomst_doelgroep[[#This Row],[Percentage van patiëntaantallen in Wlz (overige is Zvw)]]</f>
        <v>0</v>
      </c>
    </row>
    <row r="1385" spans="1:22" x14ac:dyDescent="0.5">
      <c r="A1385" s="33" t="str">
        <f>INDEX(Technologieën[Veld],MATCH(B1385,Technologieën[Digitale zorgtoepassing],0))</f>
        <v>Software - Diagnose</v>
      </c>
      <c r="B1385" s="33" t="s">
        <v>472</v>
      </c>
      <c r="C1385" s="33" t="s">
        <v>71</v>
      </c>
      <c r="D1385" s="427" cm="1">
        <f t="array" ref="D1385">INDEX(Berekening_patiëntaantal[Percentage van patiëntaantallen in Wlz (overige is Zvw)],MATCH(B1385,IF(Berekening_patiëntaantal[Doelgroep (zoeksleutel)]=C1385,Berekening_patiëntaantal[Digitale zorgtoepassing]),0))</f>
        <v>0</v>
      </c>
      <c r="E1385" s="33" t="str" cm="1">
        <f t="array" ref="E1385">INDEX(Berekening_patiëntaantal[Direct toepasbaar/extrapolatie/incidentie voor QALY],MATCH(B1385,IF(Berekening_patiëntaantal[Doelgroep (zoeksleutel)]=C1385,Berekening_patiëntaantal[Digitale zorgtoepassing]),0))</f>
        <v>Incidentie voor QALY</v>
      </c>
      <c r="F1385" s="33" t="s">
        <v>813</v>
      </c>
      <c r="G1385" s="33" t="str">
        <f>CONCATENATE(uitkomst_doelgroep[[#This Row],[Digitale zorgtoepassing]],"_",uitkomst_doelgroep[[#This Row],[Doelgroep]],"_",uitkomst_doelgroep[[#This Row],[Uitgangssituatie/effect beleid]])</f>
        <v>AI om diagnoses te stellen (MRI)_Prostaatkanker_Uitgangssituatie</v>
      </c>
      <c r="H1385" s="33">
        <v>2028</v>
      </c>
      <c r="I1385" s="32">
        <v>6</v>
      </c>
      <c r="J1385" s="406" cm="1">
        <f t="array" ref="J1385">INDEX(implementatie[[2023]:[2034]],MATCH(G1385, implementatie[Zoeksleutel],0),I1385)</f>
        <v>0.93808800513920654</v>
      </c>
      <c r="K1385" s="406" cm="1">
        <f t="array" ref="K1385">INDEX(implementatie[[2023]:[2034]],MATCH(G1385,implementatie[Zoeksleutel],0),I1385 + 1)</f>
        <v>0.96898481486160559</v>
      </c>
      <c r="L138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85" s="398" cm="1">
        <f t="array" ref="M1385">J1385*INDEX(Berekening_impact[Totaal arbeidsbesparing (€/jaar)],MATCH(B1385,IF(Berekening_impact[Doelgroep]=C1385,Berekening_impact[Digitale zorgtoepassing]),0))</f>
        <v>0</v>
      </c>
      <c r="N1385" s="397" cm="1">
        <f t="array" ref="N1385">J1385*INDEX(Berekening_impact[Totaal arbeidsbesparing (FTE/jaar)],MATCH(B1385,IF(Berekening_impact[Doelgroep]=C1385,Berekening_impact[Digitale zorgtoepassing]),0))</f>
        <v>0</v>
      </c>
      <c r="O1385" s="398" cm="1">
        <f t="array" ref="O1385">J1385*INDEX(Berekening_impact[Overige kostenbesparing (totaal/jaar totaal potentieel)],MATCH(B1385,IF(Berekening_impact[Doelgroep]=C1385,Berekening_impact[Digitale zorgtoepassing]),0))</f>
        <v>0</v>
      </c>
      <c r="P1385" s="398" cm="1">
        <f t="array" ref="P1385">J1385*INDEX(Berekening_impact[Opbrengsten door QALY''s],MATCH(B1385,IF(Berekening_impact[Doelgroep]=C1385,Berekening_impact[Digitale zorgtoepassing]),0))</f>
        <v>9482015.3192261234</v>
      </c>
      <c r="Q1385" s="398" cm="1">
        <f t="array" ref="Q1385">J1385*INDEX(Berekening_impact[Jaarlijkse kosten (totaal) - incl. schatting],MATCH(B1385,IF(Berekening_impact[Doelgroep]=C1385,Berekening_impact[Digitale zorgtoepassing]),0))</f>
        <v>0</v>
      </c>
      <c r="R1385" s="398" cm="1">
        <f t="array" ref="R1385">(uitkomst_doelgroep[[#This Row],[Implementatiegraad t = T + 1]]-uitkomst_doelgroep[[#This Row],[Implementatiegraad t = T]])*INDEX(Berekening_impact[Initiële investering (totaal) - incl. schatting],MATCH(B1385,IF(Berekening_impact[Doelgroep]=C1385,Berekening_impact[Digitale zorgtoepassing]),0))</f>
        <v>0</v>
      </c>
      <c r="S1385" s="398">
        <f>uitkomst_doelgroep[[#This Row],[Arbeidsbesparing (€)]]*uitkomst_doelgroep[[#This Row],[Percentage van patiëntaantallen in Wlz (overige is Zvw)]]</f>
        <v>0</v>
      </c>
      <c r="T1385" s="398">
        <f>uitkomst_doelgroep[[#This Row],[Overige besparingen (€)]]*uitkomst_doelgroep[[#This Row],[Percentage van patiëntaantallen in Wlz (overige is Zvw)]]</f>
        <v>0</v>
      </c>
      <c r="U1385" s="398">
        <f>uitkomst_doelgroep[[#This Row],[Kosten (€)]]*uitkomst_doelgroep[[#This Row],[Percentage van patiëntaantallen in Wlz (overige is Zvw)]]</f>
        <v>0</v>
      </c>
      <c r="V1385" s="398">
        <f>uitkomst_doelgroep[[#This Row],[Investering (cash flow) (€)]]*uitkomst_doelgroep[[#This Row],[Percentage van patiëntaantallen in Wlz (overige is Zvw)]]</f>
        <v>0</v>
      </c>
    </row>
    <row r="1386" spans="1:22" x14ac:dyDescent="0.5">
      <c r="A1386" s="33" t="str">
        <f>INDEX(Technologieën[Veld],MATCH(B1386,Technologieën[Digitale zorgtoepassing],0))</f>
        <v>Software - Diagnose</v>
      </c>
      <c r="B1386" s="33" t="s">
        <v>472</v>
      </c>
      <c r="C1386" s="33" t="s">
        <v>71</v>
      </c>
      <c r="D1386" s="427" cm="1">
        <f t="array" ref="D1386">INDEX(Berekening_patiëntaantal[Percentage van patiëntaantallen in Wlz (overige is Zvw)],MATCH(B1386,IF(Berekening_patiëntaantal[Doelgroep (zoeksleutel)]=C1386,Berekening_patiëntaantal[Digitale zorgtoepassing]),0))</f>
        <v>0</v>
      </c>
      <c r="E1386" s="33" t="str" cm="1">
        <f t="array" ref="E1386">INDEX(Berekening_patiëntaantal[Direct toepasbaar/extrapolatie/incidentie voor QALY],MATCH(B1386,IF(Berekening_patiëntaantal[Doelgroep (zoeksleutel)]=C1386,Berekening_patiëntaantal[Digitale zorgtoepassing]),0))</f>
        <v>Incidentie voor QALY</v>
      </c>
      <c r="F1386" s="33" t="s">
        <v>813</v>
      </c>
      <c r="G1386" s="33" t="str">
        <f>CONCATENATE(uitkomst_doelgroep[[#This Row],[Digitale zorgtoepassing]],"_",uitkomst_doelgroep[[#This Row],[Doelgroep]],"_",uitkomst_doelgroep[[#This Row],[Uitgangssituatie/effect beleid]])</f>
        <v>AI om diagnoses te stellen (MRI)_Prostaatkanker_Uitgangssituatie</v>
      </c>
      <c r="H1386" s="33">
        <v>2029</v>
      </c>
      <c r="I1386" s="32">
        <v>7</v>
      </c>
      <c r="J1386" s="406" cm="1">
        <f t="array" ref="J1386">INDEX(implementatie[[2023]:[2034]],MATCH(G1386, implementatie[Zoeksleutel],0),I1386)</f>
        <v>0.96898481486160559</v>
      </c>
      <c r="K1386" s="406" cm="1">
        <f t="array" ref="K1386">INDEX(implementatie[[2023]:[2034]],MATCH(G1386,implementatie[Zoeksleutel],0),I1386 + 1)</f>
        <v>0.9849418921303702</v>
      </c>
      <c r="L138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86" s="398" cm="1">
        <f t="array" ref="M1386">J1386*INDEX(Berekening_impact[Totaal arbeidsbesparing (€/jaar)],MATCH(B1386,IF(Berekening_impact[Doelgroep]=C1386,Berekening_impact[Digitale zorgtoepassing]),0))</f>
        <v>0</v>
      </c>
      <c r="N1386" s="397" cm="1">
        <f t="array" ref="N1386">J1386*INDEX(Berekening_impact[Totaal arbeidsbesparing (FTE/jaar)],MATCH(B1386,IF(Berekening_impact[Doelgroep]=C1386,Berekening_impact[Digitale zorgtoepassing]),0))</f>
        <v>0</v>
      </c>
      <c r="O1386" s="398" cm="1">
        <f t="array" ref="O1386">J1386*INDEX(Berekening_impact[Overige kostenbesparing (totaal/jaar totaal potentieel)],MATCH(B1386,IF(Berekening_impact[Doelgroep]=C1386,Berekening_impact[Digitale zorgtoepassing]),0))</f>
        <v>0</v>
      </c>
      <c r="P1386" s="398" cm="1">
        <f t="array" ref="P1386">J1386*INDEX(Berekening_impact[Opbrengsten door QALY''s],MATCH(B1386,IF(Berekening_impact[Doelgroep]=C1386,Berekening_impact[Digitale zorgtoepassing]),0))</f>
        <v>9794314.4015062861</v>
      </c>
      <c r="Q1386" s="398" cm="1">
        <f t="array" ref="Q1386">J1386*INDEX(Berekening_impact[Jaarlijkse kosten (totaal) - incl. schatting],MATCH(B1386,IF(Berekening_impact[Doelgroep]=C1386,Berekening_impact[Digitale zorgtoepassing]),0))</f>
        <v>0</v>
      </c>
      <c r="R1386" s="398" cm="1">
        <f t="array" ref="R1386">(uitkomst_doelgroep[[#This Row],[Implementatiegraad t = T + 1]]-uitkomst_doelgroep[[#This Row],[Implementatiegraad t = T]])*INDEX(Berekening_impact[Initiële investering (totaal) - incl. schatting],MATCH(B1386,IF(Berekening_impact[Doelgroep]=C1386,Berekening_impact[Digitale zorgtoepassing]),0))</f>
        <v>0</v>
      </c>
      <c r="S1386" s="398">
        <f>uitkomst_doelgroep[[#This Row],[Arbeidsbesparing (€)]]*uitkomst_doelgroep[[#This Row],[Percentage van patiëntaantallen in Wlz (overige is Zvw)]]</f>
        <v>0</v>
      </c>
      <c r="T1386" s="398">
        <f>uitkomst_doelgroep[[#This Row],[Overige besparingen (€)]]*uitkomst_doelgroep[[#This Row],[Percentage van patiëntaantallen in Wlz (overige is Zvw)]]</f>
        <v>0</v>
      </c>
      <c r="U1386" s="398">
        <f>uitkomst_doelgroep[[#This Row],[Kosten (€)]]*uitkomst_doelgroep[[#This Row],[Percentage van patiëntaantallen in Wlz (overige is Zvw)]]</f>
        <v>0</v>
      </c>
      <c r="V1386" s="398">
        <f>uitkomst_doelgroep[[#This Row],[Investering (cash flow) (€)]]*uitkomst_doelgroep[[#This Row],[Percentage van patiëntaantallen in Wlz (overige is Zvw)]]</f>
        <v>0</v>
      </c>
    </row>
    <row r="1387" spans="1:22" x14ac:dyDescent="0.5">
      <c r="A1387" s="33" t="str">
        <f>INDEX(Technologieën[Veld],MATCH(B1387,Technologieën[Digitale zorgtoepassing],0))</f>
        <v>Software - Diagnose</v>
      </c>
      <c r="B1387" s="33" t="s">
        <v>472</v>
      </c>
      <c r="C1387" s="33" t="s">
        <v>71</v>
      </c>
      <c r="D1387" s="427" cm="1">
        <f t="array" ref="D1387">INDEX(Berekening_patiëntaantal[Percentage van patiëntaantallen in Wlz (overige is Zvw)],MATCH(B1387,IF(Berekening_patiëntaantal[Doelgroep (zoeksleutel)]=C1387,Berekening_patiëntaantal[Digitale zorgtoepassing]),0))</f>
        <v>0</v>
      </c>
      <c r="E1387" s="33" t="str" cm="1">
        <f t="array" ref="E1387">INDEX(Berekening_patiëntaantal[Direct toepasbaar/extrapolatie/incidentie voor QALY],MATCH(B1387,IF(Berekening_patiëntaantal[Doelgroep (zoeksleutel)]=C1387,Berekening_patiëntaantal[Digitale zorgtoepassing]),0))</f>
        <v>Incidentie voor QALY</v>
      </c>
      <c r="F1387" s="33" t="s">
        <v>813</v>
      </c>
      <c r="G1387" s="33" t="str">
        <f>CONCATENATE(uitkomst_doelgroep[[#This Row],[Digitale zorgtoepassing]],"_",uitkomst_doelgroep[[#This Row],[Doelgroep]],"_",uitkomst_doelgroep[[#This Row],[Uitgangssituatie/effect beleid]])</f>
        <v>AI om diagnoses te stellen (MRI)_Prostaatkanker_Uitgangssituatie</v>
      </c>
      <c r="H1387" s="33">
        <v>2030</v>
      </c>
      <c r="I1387" s="32">
        <v>8</v>
      </c>
      <c r="J1387" s="406" cm="1">
        <f t="array" ref="J1387">INDEX(implementatie[[2023]:[2034]],MATCH(G1387, implementatie[Zoeksleutel],0),I1387)</f>
        <v>0.9849418921303702</v>
      </c>
      <c r="K1387" s="406" cm="1">
        <f t="array" ref="K1387">INDEX(implementatie[[2023]:[2034]],MATCH(G1387,implementatie[Zoeksleutel],0),I1387 + 1)</f>
        <v>0.99280931599496725</v>
      </c>
      <c r="L138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87" s="398" cm="1">
        <f t="array" ref="M1387">J1387*INDEX(Berekening_impact[Totaal arbeidsbesparing (€/jaar)],MATCH(B1387,IF(Berekening_impact[Doelgroep]=C1387,Berekening_impact[Digitale zorgtoepassing]),0))</f>
        <v>0</v>
      </c>
      <c r="N1387" s="397" cm="1">
        <f t="array" ref="N1387">J1387*INDEX(Berekening_impact[Totaal arbeidsbesparing (FTE/jaar)],MATCH(B1387,IF(Berekening_impact[Doelgroep]=C1387,Berekening_impact[Digitale zorgtoepassing]),0))</f>
        <v>0</v>
      </c>
      <c r="O1387" s="398" cm="1">
        <f t="array" ref="O1387">J1387*INDEX(Berekening_impact[Overige kostenbesparing (totaal/jaar totaal potentieel)],MATCH(B1387,IF(Berekening_impact[Doelgroep]=C1387,Berekening_impact[Digitale zorgtoepassing]),0))</f>
        <v>0</v>
      </c>
      <c r="P1387" s="398" cm="1">
        <f t="array" ref="P1387">J1387*INDEX(Berekening_impact[Opbrengsten door QALY''s],MATCH(B1387,IF(Berekening_impact[Doelgroep]=C1387,Berekening_impact[Digitale zorgtoepassing]),0))</f>
        <v>9955605.5066942777</v>
      </c>
      <c r="Q1387" s="398" cm="1">
        <f t="array" ref="Q1387">J1387*INDEX(Berekening_impact[Jaarlijkse kosten (totaal) - incl. schatting],MATCH(B1387,IF(Berekening_impact[Doelgroep]=C1387,Berekening_impact[Digitale zorgtoepassing]),0))</f>
        <v>0</v>
      </c>
      <c r="R1387" s="398" cm="1">
        <f t="array" ref="R1387">(uitkomst_doelgroep[[#This Row],[Implementatiegraad t = T + 1]]-uitkomst_doelgroep[[#This Row],[Implementatiegraad t = T]])*INDEX(Berekening_impact[Initiële investering (totaal) - incl. schatting],MATCH(B1387,IF(Berekening_impact[Doelgroep]=C1387,Berekening_impact[Digitale zorgtoepassing]),0))</f>
        <v>0</v>
      </c>
      <c r="S1387" s="398">
        <f>uitkomst_doelgroep[[#This Row],[Arbeidsbesparing (€)]]*uitkomst_doelgroep[[#This Row],[Percentage van patiëntaantallen in Wlz (overige is Zvw)]]</f>
        <v>0</v>
      </c>
      <c r="T1387" s="398">
        <f>uitkomst_doelgroep[[#This Row],[Overige besparingen (€)]]*uitkomst_doelgroep[[#This Row],[Percentage van patiëntaantallen in Wlz (overige is Zvw)]]</f>
        <v>0</v>
      </c>
      <c r="U1387" s="398">
        <f>uitkomst_doelgroep[[#This Row],[Kosten (€)]]*uitkomst_doelgroep[[#This Row],[Percentage van patiëntaantallen in Wlz (overige is Zvw)]]</f>
        <v>0</v>
      </c>
      <c r="V1387" s="398">
        <f>uitkomst_doelgroep[[#This Row],[Investering (cash flow) (€)]]*uitkomst_doelgroep[[#This Row],[Percentage van patiëntaantallen in Wlz (overige is Zvw)]]</f>
        <v>0</v>
      </c>
    </row>
    <row r="1388" spans="1:22" x14ac:dyDescent="0.5">
      <c r="A1388" s="33" t="str">
        <f>INDEX(Technologieën[Veld],MATCH(B1388,Technologieën[Digitale zorgtoepassing],0))</f>
        <v>Software - Diagnose</v>
      </c>
      <c r="B1388" s="33" t="s">
        <v>472</v>
      </c>
      <c r="C1388" s="33" t="s">
        <v>71</v>
      </c>
      <c r="D1388" s="427" cm="1">
        <f t="array" ref="D1388">INDEX(Berekening_patiëntaantal[Percentage van patiëntaantallen in Wlz (overige is Zvw)],MATCH(B1388,IF(Berekening_patiëntaantal[Doelgroep (zoeksleutel)]=C1388,Berekening_patiëntaantal[Digitale zorgtoepassing]),0))</f>
        <v>0</v>
      </c>
      <c r="E1388" s="33" t="str" cm="1">
        <f t="array" ref="E1388">INDEX(Berekening_patiëntaantal[Direct toepasbaar/extrapolatie/incidentie voor QALY],MATCH(B1388,IF(Berekening_patiëntaantal[Doelgroep (zoeksleutel)]=C1388,Berekening_patiëntaantal[Digitale zorgtoepassing]),0))</f>
        <v>Incidentie voor QALY</v>
      </c>
      <c r="F1388" s="33" t="s">
        <v>813</v>
      </c>
      <c r="G1388" s="33" t="str">
        <f>CONCATENATE(uitkomst_doelgroep[[#This Row],[Digitale zorgtoepassing]],"_",uitkomst_doelgroep[[#This Row],[Doelgroep]],"_",uitkomst_doelgroep[[#This Row],[Uitgangssituatie/effect beleid]])</f>
        <v>AI om diagnoses te stellen (MRI)_Prostaatkanker_Uitgangssituatie</v>
      </c>
      <c r="H1388" s="33">
        <v>2031</v>
      </c>
      <c r="I1388" s="32">
        <v>9</v>
      </c>
      <c r="J1388" s="406" cm="1">
        <f t="array" ref="J1388">INDEX(implementatie[[2023]:[2034]],MATCH(G1388, implementatie[Zoeksleutel],0),I1388)</f>
        <v>0.99280931599496725</v>
      </c>
      <c r="K1388" s="406" cm="1">
        <f t="array" ref="K1388">INDEX(implementatie[[2023]:[2034]],MATCH(G1388,implementatie[Zoeksleutel],0),I1388 + 1)</f>
        <v>0.99659452554940442</v>
      </c>
      <c r="L138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88" s="398" cm="1">
        <f t="array" ref="M1388">J1388*INDEX(Berekening_impact[Totaal arbeidsbesparing (€/jaar)],MATCH(B1388,IF(Berekening_impact[Doelgroep]=C1388,Berekening_impact[Digitale zorgtoepassing]),0))</f>
        <v>0</v>
      </c>
      <c r="N1388" s="397" cm="1">
        <f t="array" ref="N1388">J1388*INDEX(Berekening_impact[Totaal arbeidsbesparing (FTE/jaar)],MATCH(B1388,IF(Berekening_impact[Doelgroep]=C1388,Berekening_impact[Digitale zorgtoepassing]),0))</f>
        <v>0</v>
      </c>
      <c r="O1388" s="398" cm="1">
        <f t="array" ref="O1388">J1388*INDEX(Berekening_impact[Overige kostenbesparing (totaal/jaar totaal potentieel)],MATCH(B1388,IF(Berekening_impact[Doelgroep]=C1388,Berekening_impact[Digitale zorgtoepassing]),0))</f>
        <v>0</v>
      </c>
      <c r="P1388" s="398" cm="1">
        <f t="array" ref="P1388">J1388*INDEX(Berekening_impact[Opbrengsten door QALY''s],MATCH(B1388,IF(Berekening_impact[Doelgroep]=C1388,Berekening_impact[Digitale zorgtoepassing]),0))</f>
        <v>10035127.932307091</v>
      </c>
      <c r="Q1388" s="398" cm="1">
        <f t="array" ref="Q1388">J1388*INDEX(Berekening_impact[Jaarlijkse kosten (totaal) - incl. schatting],MATCH(B1388,IF(Berekening_impact[Doelgroep]=C1388,Berekening_impact[Digitale zorgtoepassing]),0))</f>
        <v>0</v>
      </c>
      <c r="R1388" s="398" cm="1">
        <f t="array" ref="R1388">(uitkomst_doelgroep[[#This Row],[Implementatiegraad t = T + 1]]-uitkomst_doelgroep[[#This Row],[Implementatiegraad t = T]])*INDEX(Berekening_impact[Initiële investering (totaal) - incl. schatting],MATCH(B1388,IF(Berekening_impact[Doelgroep]=C1388,Berekening_impact[Digitale zorgtoepassing]),0))</f>
        <v>0</v>
      </c>
      <c r="S1388" s="398">
        <f>uitkomst_doelgroep[[#This Row],[Arbeidsbesparing (€)]]*uitkomst_doelgroep[[#This Row],[Percentage van patiëntaantallen in Wlz (overige is Zvw)]]</f>
        <v>0</v>
      </c>
      <c r="T1388" s="398">
        <f>uitkomst_doelgroep[[#This Row],[Overige besparingen (€)]]*uitkomst_doelgroep[[#This Row],[Percentage van patiëntaantallen in Wlz (overige is Zvw)]]</f>
        <v>0</v>
      </c>
      <c r="U1388" s="398">
        <f>uitkomst_doelgroep[[#This Row],[Kosten (€)]]*uitkomst_doelgroep[[#This Row],[Percentage van patiëntaantallen in Wlz (overige is Zvw)]]</f>
        <v>0</v>
      </c>
      <c r="V1388" s="398">
        <f>uitkomst_doelgroep[[#This Row],[Investering (cash flow) (€)]]*uitkomst_doelgroep[[#This Row],[Percentage van patiëntaantallen in Wlz (overige is Zvw)]]</f>
        <v>0</v>
      </c>
    </row>
    <row r="1389" spans="1:22" x14ac:dyDescent="0.5">
      <c r="A1389" s="33" t="str">
        <f>INDEX(Technologieën[Veld],MATCH(B1389,Technologieën[Digitale zorgtoepassing],0))</f>
        <v>Software - Diagnose</v>
      </c>
      <c r="B1389" s="33" t="s">
        <v>472</v>
      </c>
      <c r="C1389" s="33" t="s">
        <v>71</v>
      </c>
      <c r="D1389" s="427" cm="1">
        <f t="array" ref="D1389">INDEX(Berekening_patiëntaantal[Percentage van patiëntaantallen in Wlz (overige is Zvw)],MATCH(B1389,IF(Berekening_patiëntaantal[Doelgroep (zoeksleutel)]=C1389,Berekening_patiëntaantal[Digitale zorgtoepassing]),0))</f>
        <v>0</v>
      </c>
      <c r="E1389" s="33" t="str" cm="1">
        <f t="array" ref="E1389">INDEX(Berekening_patiëntaantal[Direct toepasbaar/extrapolatie/incidentie voor QALY],MATCH(B1389,IF(Berekening_patiëntaantal[Doelgroep (zoeksleutel)]=C1389,Berekening_patiëntaantal[Digitale zorgtoepassing]),0))</f>
        <v>Incidentie voor QALY</v>
      </c>
      <c r="F1389" s="33" t="s">
        <v>813</v>
      </c>
      <c r="G1389" s="33" t="str">
        <f>CONCATENATE(uitkomst_doelgroep[[#This Row],[Digitale zorgtoepassing]],"_",uitkomst_doelgroep[[#This Row],[Doelgroep]],"_",uitkomst_doelgroep[[#This Row],[Uitgangssituatie/effect beleid]])</f>
        <v>AI om diagnoses te stellen (MRI)_Prostaatkanker_Uitgangssituatie</v>
      </c>
      <c r="H1389" s="33">
        <v>2032</v>
      </c>
      <c r="I1389" s="32">
        <v>10</v>
      </c>
      <c r="J1389" s="406" cm="1">
        <f t="array" ref="J1389">INDEX(implementatie[[2023]:[2034]],MATCH(G1389, implementatie[Zoeksleutel],0),I1389)</f>
        <v>0.99659452554940442</v>
      </c>
      <c r="K1389" s="406" cm="1">
        <f t="array" ref="K1389">INDEX(implementatie[[2023]:[2034]],MATCH(G1389,implementatie[Zoeksleutel],0),I1389 + 1)</f>
        <v>0.99839362838010326</v>
      </c>
      <c r="L138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89" s="398" cm="1">
        <f t="array" ref="M1389">J1389*INDEX(Berekening_impact[Totaal arbeidsbesparing (€/jaar)],MATCH(B1389,IF(Berekening_impact[Doelgroep]=C1389,Berekening_impact[Digitale zorgtoepassing]),0))</f>
        <v>0</v>
      </c>
      <c r="N1389" s="397" cm="1">
        <f t="array" ref="N1389">J1389*INDEX(Berekening_impact[Totaal arbeidsbesparing (FTE/jaar)],MATCH(B1389,IF(Berekening_impact[Doelgroep]=C1389,Berekening_impact[Digitale zorgtoepassing]),0))</f>
        <v>0</v>
      </c>
      <c r="O1389" s="398" cm="1">
        <f t="array" ref="O1389">J1389*INDEX(Berekening_impact[Overige kostenbesparing (totaal/jaar totaal potentieel)],MATCH(B1389,IF(Berekening_impact[Doelgroep]=C1389,Berekening_impact[Digitale zorgtoepassing]),0))</f>
        <v>0</v>
      </c>
      <c r="P1389" s="398" cm="1">
        <f t="array" ref="P1389">J1389*INDEX(Berekening_impact[Opbrengsten door QALY''s],MATCH(B1389,IF(Berekening_impact[Doelgroep]=C1389,Berekening_impact[Digitale zorgtoepassing]),0))</f>
        <v>10073388.111293526</v>
      </c>
      <c r="Q1389" s="398" cm="1">
        <f t="array" ref="Q1389">J1389*INDEX(Berekening_impact[Jaarlijkse kosten (totaal) - incl. schatting],MATCH(B1389,IF(Berekening_impact[Doelgroep]=C1389,Berekening_impact[Digitale zorgtoepassing]),0))</f>
        <v>0</v>
      </c>
      <c r="R1389" s="398" cm="1">
        <f t="array" ref="R1389">(uitkomst_doelgroep[[#This Row],[Implementatiegraad t = T + 1]]-uitkomst_doelgroep[[#This Row],[Implementatiegraad t = T]])*INDEX(Berekening_impact[Initiële investering (totaal) - incl. schatting],MATCH(B1389,IF(Berekening_impact[Doelgroep]=C1389,Berekening_impact[Digitale zorgtoepassing]),0))</f>
        <v>0</v>
      </c>
      <c r="S1389" s="398">
        <f>uitkomst_doelgroep[[#This Row],[Arbeidsbesparing (€)]]*uitkomst_doelgroep[[#This Row],[Percentage van patiëntaantallen in Wlz (overige is Zvw)]]</f>
        <v>0</v>
      </c>
      <c r="T1389" s="398">
        <f>uitkomst_doelgroep[[#This Row],[Overige besparingen (€)]]*uitkomst_doelgroep[[#This Row],[Percentage van patiëntaantallen in Wlz (overige is Zvw)]]</f>
        <v>0</v>
      </c>
      <c r="U1389" s="398">
        <f>uitkomst_doelgroep[[#This Row],[Kosten (€)]]*uitkomst_doelgroep[[#This Row],[Percentage van patiëntaantallen in Wlz (overige is Zvw)]]</f>
        <v>0</v>
      </c>
      <c r="V1389" s="398">
        <f>uitkomst_doelgroep[[#This Row],[Investering (cash flow) (€)]]*uitkomst_doelgroep[[#This Row],[Percentage van patiëntaantallen in Wlz (overige is Zvw)]]</f>
        <v>0</v>
      </c>
    </row>
    <row r="1390" spans="1:22" x14ac:dyDescent="0.5">
      <c r="A1390" s="33" t="str">
        <f>INDEX(Technologieën[Veld],MATCH(B1390,Technologieën[Digitale zorgtoepassing],0))</f>
        <v>Software - Diagnose</v>
      </c>
      <c r="B1390" s="33" t="s">
        <v>472</v>
      </c>
      <c r="C1390" s="33" t="s">
        <v>71</v>
      </c>
      <c r="D1390" s="427" cm="1">
        <f t="array" ref="D1390">INDEX(Berekening_patiëntaantal[Percentage van patiëntaantallen in Wlz (overige is Zvw)],MATCH(B1390,IF(Berekening_patiëntaantal[Doelgroep (zoeksleutel)]=C1390,Berekening_patiëntaantal[Digitale zorgtoepassing]),0))</f>
        <v>0</v>
      </c>
      <c r="E1390" s="33" t="str" cm="1">
        <f t="array" ref="E1390">INDEX(Berekening_patiëntaantal[Direct toepasbaar/extrapolatie/incidentie voor QALY],MATCH(B1390,IF(Berekening_patiëntaantal[Doelgroep (zoeksleutel)]=C1390,Berekening_patiëntaantal[Digitale zorgtoepassing]),0))</f>
        <v>Incidentie voor QALY</v>
      </c>
      <c r="F1390" s="33" t="s">
        <v>813</v>
      </c>
      <c r="G1390" s="33" t="str">
        <f>CONCATENATE(uitkomst_doelgroep[[#This Row],[Digitale zorgtoepassing]],"_",uitkomst_doelgroep[[#This Row],[Doelgroep]],"_",uitkomst_doelgroep[[#This Row],[Uitgangssituatie/effect beleid]])</f>
        <v>AI om diagnoses te stellen (MRI)_Prostaatkanker_Uitgangssituatie</v>
      </c>
      <c r="H1390" s="33">
        <v>2033</v>
      </c>
      <c r="I1390" s="32">
        <v>11</v>
      </c>
      <c r="J1390" s="406" cm="1">
        <f t="array" ref="J1390">INDEX(implementatie[[2023]:[2034]],MATCH(G1390, implementatie[Zoeksleutel],0),I1390)</f>
        <v>0.99839362838010326</v>
      </c>
      <c r="K1390" s="406" cm="1">
        <f t="array" ref="K1390">INDEX(implementatie[[2023]:[2034]],MATCH(G1390,implementatie[Zoeksleutel],0),I1390 + 1)</f>
        <v>0.99924371512375787</v>
      </c>
      <c r="L139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0</v>
      </c>
      <c r="M1390" s="398" cm="1">
        <f t="array" ref="M1390">J1390*INDEX(Berekening_impact[Totaal arbeidsbesparing (€/jaar)],MATCH(B1390,IF(Berekening_impact[Doelgroep]=C1390,Berekening_impact[Digitale zorgtoepassing]),0))</f>
        <v>0</v>
      </c>
      <c r="N1390" s="397" cm="1">
        <f t="array" ref="N1390">J1390*INDEX(Berekening_impact[Totaal arbeidsbesparing (FTE/jaar)],MATCH(B1390,IF(Berekening_impact[Doelgroep]=C1390,Berekening_impact[Digitale zorgtoepassing]),0))</f>
        <v>0</v>
      </c>
      <c r="O1390" s="398" cm="1">
        <f t="array" ref="O1390">J1390*INDEX(Berekening_impact[Overige kostenbesparing (totaal/jaar totaal potentieel)],MATCH(B1390,IF(Berekening_impact[Doelgroep]=C1390,Berekening_impact[Digitale zorgtoepassing]),0))</f>
        <v>0</v>
      </c>
      <c r="P1390" s="398" cm="1">
        <f t="array" ref="P1390">J1390*INDEX(Berekening_impact[Opbrengsten door QALY''s],MATCH(B1390,IF(Berekening_impact[Doelgroep]=C1390,Berekening_impact[Digitale zorgtoepassing]),0))</f>
        <v>10091573.100876691</v>
      </c>
      <c r="Q1390" s="398" cm="1">
        <f t="array" ref="Q1390">J1390*INDEX(Berekening_impact[Jaarlijkse kosten (totaal) - incl. schatting],MATCH(B1390,IF(Berekening_impact[Doelgroep]=C1390,Berekening_impact[Digitale zorgtoepassing]),0))</f>
        <v>0</v>
      </c>
      <c r="R1390" s="398" cm="1">
        <f t="array" ref="R1390">(uitkomst_doelgroep[[#This Row],[Implementatiegraad t = T + 1]]-uitkomst_doelgroep[[#This Row],[Implementatiegraad t = T]])*INDEX(Berekening_impact[Initiële investering (totaal) - incl. schatting],MATCH(B1390,IF(Berekening_impact[Doelgroep]=C1390,Berekening_impact[Digitale zorgtoepassing]),0))</f>
        <v>0</v>
      </c>
      <c r="S1390" s="398">
        <f>uitkomst_doelgroep[[#This Row],[Arbeidsbesparing (€)]]*uitkomst_doelgroep[[#This Row],[Percentage van patiëntaantallen in Wlz (overige is Zvw)]]</f>
        <v>0</v>
      </c>
      <c r="T1390" s="398">
        <f>uitkomst_doelgroep[[#This Row],[Overige besparingen (€)]]*uitkomst_doelgroep[[#This Row],[Percentage van patiëntaantallen in Wlz (overige is Zvw)]]</f>
        <v>0</v>
      </c>
      <c r="U1390" s="398">
        <f>uitkomst_doelgroep[[#This Row],[Kosten (€)]]*uitkomst_doelgroep[[#This Row],[Percentage van patiëntaantallen in Wlz (overige is Zvw)]]</f>
        <v>0</v>
      </c>
      <c r="V1390" s="398">
        <f>uitkomst_doelgroep[[#This Row],[Investering (cash flow) (€)]]*uitkomst_doelgroep[[#This Row],[Percentage van patiëntaantallen in Wlz (overige is Zvw)]]</f>
        <v>0</v>
      </c>
    </row>
    <row r="1391" spans="1:22" x14ac:dyDescent="0.5">
      <c r="A1391" s="33" t="str">
        <f>INDEX(Technologieën[Veld],MATCH(B1391,Technologieën[Digitale zorgtoepassing],0))</f>
        <v>Digitale hulpmiddelen - Diagnose</v>
      </c>
      <c r="B1391" s="33" t="s">
        <v>78</v>
      </c>
      <c r="C1391" s="33" t="s">
        <v>699</v>
      </c>
      <c r="D1391" s="427" cm="1">
        <f t="array" ref="D1391">INDEX(Berekening_patiëntaantal[Percentage van patiëntaantallen in Wlz (overige is Zvw)],MATCH(B1391,IF(Berekening_patiëntaantal[Doelgroep (zoeksleutel)]=C1391,Berekening_patiëntaantal[Digitale zorgtoepassing]),0))</f>
        <v>0</v>
      </c>
      <c r="E1391" s="33" t="str" cm="1">
        <f t="array" ref="E1391">INDEX(Berekening_patiëntaantal[Direct toepasbaar/extrapolatie/incidentie voor QALY],MATCH(B1391,IF(Berekening_patiëntaantal[Doelgroep (zoeksleutel)]=C1391,Berekening_patiëntaantal[Digitale zorgtoepassing]),0))</f>
        <v>Huidige toepassing</v>
      </c>
      <c r="F1391" s="33" t="s">
        <v>813</v>
      </c>
      <c r="G1391" s="33" t="str">
        <f>CONCATENATE(uitkomst_doelgroep[[#This Row],[Digitale zorgtoepassing]],"_",uitkomst_doelgroep[[#This Row],[Doelgroep]],"_",uitkomst_doelgroep[[#This Row],[Uitgangssituatie/effect beleid]])</f>
        <v>Mobiele echo's_Echo's 2e lijn_Uitgangssituatie</v>
      </c>
      <c r="H1391" s="33">
        <v>2023</v>
      </c>
      <c r="I1391" s="32">
        <v>1</v>
      </c>
      <c r="J1391" s="406" cm="1">
        <f t="array" ref="J1391">INDEX(implementatie[[2023]:[2034]],MATCH(G1391, implementatie[Zoeksleutel],0),I1391)</f>
        <v>0.2</v>
      </c>
      <c r="K1391" s="406" cm="1">
        <f t="array" ref="K1391">INDEX(implementatie[[2023]:[2034]],MATCH(G1391,implementatie[Zoeksleutel],0),I1391 + 1)</f>
        <v>0.29200000000000004</v>
      </c>
      <c r="L139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760000</v>
      </c>
      <c r="M1391" s="398" cm="1">
        <f t="array" ref="M1391">J1391*INDEX(Berekening_impact[Totaal arbeidsbesparing (€/jaar)],MATCH(B1391,IF(Berekening_impact[Doelgroep]=C1391,Berekening_impact[Digitale zorgtoepassing]),0))</f>
        <v>1575999.042145594</v>
      </c>
      <c r="N1391" s="397" cm="1">
        <f t="array" ref="N1391">J1391*INDEX(Berekening_impact[Totaal arbeidsbesparing (FTE/jaar)],MATCH(B1391,IF(Berekening_impact[Doelgroep]=C1391,Berekening_impact[Digitale zorgtoepassing]),0))</f>
        <v>30.448717948717952</v>
      </c>
      <c r="O1391" s="398" cm="1">
        <f t="array" ref="O1391">J1391*INDEX(Berekening_impact[Overige kostenbesparing (totaal/jaar totaal potentieel)],MATCH(B1391,IF(Berekening_impact[Doelgroep]=C1391,Berekening_impact[Digitale zorgtoepassing]),0))</f>
        <v>1171079.4380587488</v>
      </c>
      <c r="P1391" s="398" cm="1">
        <f t="array" ref="P1391">J1391*INDEX(Berekening_impact[Opbrengsten door QALY''s],MATCH(B1391,IF(Berekening_impact[Doelgroep]=C1391,Berekening_impact[Digitale zorgtoepassing]),0))</f>
        <v>0</v>
      </c>
      <c r="Q1391" s="398" cm="1">
        <f t="array" ref="Q1391">J1391*INDEX(Berekening_impact[Jaarlijkse kosten (totaal) - incl. schatting],MATCH(B1391,IF(Berekening_impact[Doelgroep]=C1391,Berekening_impact[Digitale zorgtoepassing]),0))</f>
        <v>178450.80000000002</v>
      </c>
      <c r="R1391" s="398" cm="1">
        <f t="array" ref="R1391">(uitkomst_doelgroep[[#This Row],[Implementatiegraad t = T + 1]]-uitkomst_doelgroep[[#This Row],[Implementatiegraad t = T]])*INDEX(Berekening_impact[Initiële investering (totaal) - incl. schatting],MATCH(B1391,IF(Berekening_impact[Doelgroep]=C1391,Berekening_impact[Digitale zorgtoepassing]),0))</f>
        <v>0</v>
      </c>
      <c r="S1391" s="398">
        <f>uitkomst_doelgroep[[#This Row],[Arbeidsbesparing (€)]]*uitkomst_doelgroep[[#This Row],[Percentage van patiëntaantallen in Wlz (overige is Zvw)]]</f>
        <v>0</v>
      </c>
      <c r="T1391" s="398">
        <f>uitkomst_doelgroep[[#This Row],[Overige besparingen (€)]]*uitkomst_doelgroep[[#This Row],[Percentage van patiëntaantallen in Wlz (overige is Zvw)]]</f>
        <v>0</v>
      </c>
      <c r="U1391" s="398">
        <f>uitkomst_doelgroep[[#This Row],[Kosten (€)]]*uitkomst_doelgroep[[#This Row],[Percentage van patiëntaantallen in Wlz (overige is Zvw)]]</f>
        <v>0</v>
      </c>
      <c r="V1391" s="398">
        <f>uitkomst_doelgroep[[#This Row],[Investering (cash flow) (€)]]*uitkomst_doelgroep[[#This Row],[Percentage van patiëntaantallen in Wlz (overige is Zvw)]]</f>
        <v>0</v>
      </c>
    </row>
    <row r="1392" spans="1:22" x14ac:dyDescent="0.5">
      <c r="A1392" s="33" t="str">
        <f>INDEX(Technologieën[Veld],MATCH(B1392,Technologieën[Digitale zorgtoepassing],0))</f>
        <v>Digitale hulpmiddelen - Diagnose</v>
      </c>
      <c r="B1392" s="33" t="s">
        <v>78</v>
      </c>
      <c r="C1392" s="33" t="s">
        <v>699</v>
      </c>
      <c r="D1392" s="427" cm="1">
        <f t="array" ref="D1392">INDEX(Berekening_patiëntaantal[Percentage van patiëntaantallen in Wlz (overige is Zvw)],MATCH(B1392,IF(Berekening_patiëntaantal[Doelgroep (zoeksleutel)]=C1392,Berekening_patiëntaantal[Digitale zorgtoepassing]),0))</f>
        <v>0</v>
      </c>
      <c r="E1392" s="33" t="str" cm="1">
        <f t="array" ref="E1392">INDEX(Berekening_patiëntaantal[Direct toepasbaar/extrapolatie/incidentie voor QALY],MATCH(B1392,IF(Berekening_patiëntaantal[Doelgroep (zoeksleutel)]=C1392,Berekening_patiëntaantal[Digitale zorgtoepassing]),0))</f>
        <v>Huidige toepassing</v>
      </c>
      <c r="F1392" s="33" t="s">
        <v>813</v>
      </c>
      <c r="G1392" s="33" t="str">
        <f>CONCATENATE(uitkomst_doelgroep[[#This Row],[Digitale zorgtoepassing]],"_",uitkomst_doelgroep[[#This Row],[Doelgroep]],"_",uitkomst_doelgroep[[#This Row],[Uitgangssituatie/effect beleid]])</f>
        <v>Mobiele echo's_Echo's 2e lijn_Uitgangssituatie</v>
      </c>
      <c r="H1392" s="33">
        <v>2024</v>
      </c>
      <c r="I1392" s="32">
        <v>2</v>
      </c>
      <c r="J1392" s="406" cm="1">
        <f t="array" ref="J1392">INDEX(implementatie[[2023]:[2034]],MATCH(G1392, implementatie[Zoeksleutel],0),I1392)</f>
        <v>0.29200000000000004</v>
      </c>
      <c r="K1392" s="406" cm="1">
        <f t="array" ref="K1392">INDEX(implementatie[[2023]:[2034]],MATCH(G1392,implementatie[Zoeksleutel],0),I1392 + 1)</f>
        <v>0.40273120000000007</v>
      </c>
      <c r="L139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1109600.0000000002</v>
      </c>
      <c r="M1392" s="398" cm="1">
        <f t="array" ref="M1392">J1392*INDEX(Berekening_impact[Totaal arbeidsbesparing (€/jaar)],MATCH(B1392,IF(Berekening_impact[Doelgroep]=C1392,Berekening_impact[Digitale zorgtoepassing]),0))</f>
        <v>2300958.6015325678</v>
      </c>
      <c r="N1392" s="397" cm="1">
        <f t="array" ref="N1392">J1392*INDEX(Berekening_impact[Totaal arbeidsbesparing (FTE/jaar)],MATCH(B1392,IF(Berekening_impact[Doelgroep]=C1392,Berekening_impact[Digitale zorgtoepassing]),0))</f>
        <v>44.455128205128212</v>
      </c>
      <c r="O1392" s="398" cm="1">
        <f t="array" ref="O1392">J1392*INDEX(Berekening_impact[Overige kostenbesparing (totaal/jaar totaal potentieel)],MATCH(B1392,IF(Berekening_impact[Doelgroep]=C1392,Berekening_impact[Digitale zorgtoepassing]),0))</f>
        <v>1709775.9795657736</v>
      </c>
      <c r="P1392" s="398" cm="1">
        <f t="array" ref="P1392">J1392*INDEX(Berekening_impact[Opbrengsten door QALY''s],MATCH(B1392,IF(Berekening_impact[Doelgroep]=C1392,Berekening_impact[Digitale zorgtoepassing]),0))</f>
        <v>0</v>
      </c>
      <c r="Q1392" s="398" cm="1">
        <f t="array" ref="Q1392">J1392*INDEX(Berekening_impact[Jaarlijkse kosten (totaal) - incl. schatting],MATCH(B1392,IF(Berekening_impact[Doelgroep]=C1392,Berekening_impact[Digitale zorgtoepassing]),0))</f>
        <v>260538.16800000003</v>
      </c>
      <c r="R1392" s="398" cm="1">
        <f t="array" ref="R1392">(uitkomst_doelgroep[[#This Row],[Implementatiegraad t = T + 1]]-uitkomst_doelgroep[[#This Row],[Implementatiegraad t = T]])*INDEX(Berekening_impact[Initiële investering (totaal) - incl. schatting],MATCH(B1392,IF(Berekening_impact[Doelgroep]=C1392,Berekening_impact[Digitale zorgtoepassing]),0))</f>
        <v>0</v>
      </c>
      <c r="S1392" s="398">
        <f>uitkomst_doelgroep[[#This Row],[Arbeidsbesparing (€)]]*uitkomst_doelgroep[[#This Row],[Percentage van patiëntaantallen in Wlz (overige is Zvw)]]</f>
        <v>0</v>
      </c>
      <c r="T1392" s="398">
        <f>uitkomst_doelgroep[[#This Row],[Overige besparingen (€)]]*uitkomst_doelgroep[[#This Row],[Percentage van patiëntaantallen in Wlz (overige is Zvw)]]</f>
        <v>0</v>
      </c>
      <c r="U1392" s="398">
        <f>uitkomst_doelgroep[[#This Row],[Kosten (€)]]*uitkomst_doelgroep[[#This Row],[Percentage van patiëntaantallen in Wlz (overige is Zvw)]]</f>
        <v>0</v>
      </c>
      <c r="V1392" s="398">
        <f>uitkomst_doelgroep[[#This Row],[Investering (cash flow) (€)]]*uitkomst_doelgroep[[#This Row],[Percentage van patiëntaantallen in Wlz (overige is Zvw)]]</f>
        <v>0</v>
      </c>
    </row>
    <row r="1393" spans="1:22" x14ac:dyDescent="0.5">
      <c r="A1393" s="33" t="str">
        <f>INDEX(Technologieën[Veld],MATCH(B1393,Technologieën[Digitale zorgtoepassing],0))</f>
        <v>Digitale hulpmiddelen - Diagnose</v>
      </c>
      <c r="B1393" s="33" t="s">
        <v>78</v>
      </c>
      <c r="C1393" s="33" t="s">
        <v>699</v>
      </c>
      <c r="D1393" s="427" cm="1">
        <f t="array" ref="D1393">INDEX(Berekening_patiëntaantal[Percentage van patiëntaantallen in Wlz (overige is Zvw)],MATCH(B1393,IF(Berekening_patiëntaantal[Doelgroep (zoeksleutel)]=C1393,Berekening_patiëntaantal[Digitale zorgtoepassing]),0))</f>
        <v>0</v>
      </c>
      <c r="E1393" s="33" t="str" cm="1">
        <f t="array" ref="E1393">INDEX(Berekening_patiëntaantal[Direct toepasbaar/extrapolatie/incidentie voor QALY],MATCH(B1393,IF(Berekening_patiëntaantal[Doelgroep (zoeksleutel)]=C1393,Berekening_patiëntaantal[Digitale zorgtoepassing]),0))</f>
        <v>Huidige toepassing</v>
      </c>
      <c r="F1393" s="33" t="s">
        <v>813</v>
      </c>
      <c r="G1393" s="33" t="str">
        <f>CONCATENATE(uitkomst_doelgroep[[#This Row],[Digitale zorgtoepassing]],"_",uitkomst_doelgroep[[#This Row],[Doelgroep]],"_",uitkomst_doelgroep[[#This Row],[Uitgangssituatie/effect beleid]])</f>
        <v>Mobiele echo's_Echo's 2e lijn_Uitgangssituatie</v>
      </c>
      <c r="H1393" s="33">
        <v>2025</v>
      </c>
      <c r="I1393" s="32">
        <v>3</v>
      </c>
      <c r="J1393" s="406" cm="1">
        <f t="array" ref="J1393">INDEX(implementatie[[2023]:[2034]],MATCH(G1393, implementatie[Zoeksleutel],0),I1393)</f>
        <v>0.40273120000000007</v>
      </c>
      <c r="K1393" s="406" cm="1">
        <f t="array" ref="K1393">INDEX(implementatie[[2023]:[2034]],MATCH(G1393,implementatie[Zoeksleutel],0),I1393 + 1)</f>
        <v>0.52590537124595205</v>
      </c>
      <c r="L139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1530378.5600000003</v>
      </c>
      <c r="M1393" s="398" cm="1">
        <f t="array" ref="M1393">J1393*INDEX(Berekening_impact[Totaal arbeidsbesparing (€/jaar)],MATCH(B1393,IF(Berekening_impact[Doelgroep]=C1393,Berekening_impact[Digitale zorgtoepassing]),0))</f>
        <v>3173519.9272107286</v>
      </c>
      <c r="N1393" s="397" cm="1">
        <f t="array" ref="N1393">J1393*INDEX(Berekening_impact[Totaal arbeidsbesparing (FTE/jaar)],MATCH(B1393,IF(Berekening_impact[Doelgroep]=C1393,Berekening_impact[Digitale zorgtoepassing]),0))</f>
        <v>61.3132435897436</v>
      </c>
      <c r="O1393" s="398" cm="1">
        <f t="array" ref="O1393">J1393*INDEX(Berekening_impact[Overige kostenbesparing (totaal/jaar totaal potentieel)],MATCH(B1393,IF(Berekening_impact[Doelgroep]=C1393,Berekening_impact[Digitale zorgtoepassing]),0))</f>
        <v>2358151.1369236284</v>
      </c>
      <c r="P1393" s="398" cm="1">
        <f t="array" ref="P1393">J1393*INDEX(Berekening_impact[Opbrengsten door QALY''s],MATCH(B1393,IF(Berekening_impact[Doelgroep]=C1393,Berekening_impact[Digitale zorgtoepassing]),0))</f>
        <v>0</v>
      </c>
      <c r="Q1393" s="398" cm="1">
        <f t="array" ref="Q1393">J1393*INDEX(Berekening_impact[Jaarlijkse kosten (totaal) - incl. schatting],MATCH(B1393,IF(Berekening_impact[Doelgroep]=C1393,Berekening_impact[Digitale zorgtoepassing]),0))</f>
        <v>359338.52412480005</v>
      </c>
      <c r="R1393" s="398" cm="1">
        <f t="array" ref="R1393">(uitkomst_doelgroep[[#This Row],[Implementatiegraad t = T + 1]]-uitkomst_doelgroep[[#This Row],[Implementatiegraad t = T]])*INDEX(Berekening_impact[Initiële investering (totaal) - incl. schatting],MATCH(B1393,IF(Berekening_impact[Doelgroep]=C1393,Berekening_impact[Digitale zorgtoepassing]),0))</f>
        <v>0</v>
      </c>
      <c r="S1393" s="398">
        <f>uitkomst_doelgroep[[#This Row],[Arbeidsbesparing (€)]]*uitkomst_doelgroep[[#This Row],[Percentage van patiëntaantallen in Wlz (overige is Zvw)]]</f>
        <v>0</v>
      </c>
      <c r="T1393" s="398">
        <f>uitkomst_doelgroep[[#This Row],[Overige besparingen (€)]]*uitkomst_doelgroep[[#This Row],[Percentage van patiëntaantallen in Wlz (overige is Zvw)]]</f>
        <v>0</v>
      </c>
      <c r="U1393" s="398">
        <f>uitkomst_doelgroep[[#This Row],[Kosten (€)]]*uitkomst_doelgroep[[#This Row],[Percentage van patiëntaantallen in Wlz (overige is Zvw)]]</f>
        <v>0</v>
      </c>
      <c r="V1393" s="398">
        <f>uitkomst_doelgroep[[#This Row],[Investering (cash flow) (€)]]*uitkomst_doelgroep[[#This Row],[Percentage van patiëntaantallen in Wlz (overige is Zvw)]]</f>
        <v>0</v>
      </c>
    </row>
    <row r="1394" spans="1:22" x14ac:dyDescent="0.5">
      <c r="A1394" s="33" t="str">
        <f>INDEX(Technologieën[Veld],MATCH(B1394,Technologieën[Digitale zorgtoepassing],0))</f>
        <v>Digitale hulpmiddelen - Diagnose</v>
      </c>
      <c r="B1394" s="33" t="s">
        <v>78</v>
      </c>
      <c r="C1394" s="33" t="s">
        <v>699</v>
      </c>
      <c r="D1394" s="427" cm="1">
        <f t="array" ref="D1394">INDEX(Berekening_patiëntaantal[Percentage van patiëntaantallen in Wlz (overige is Zvw)],MATCH(B1394,IF(Berekening_patiëntaantal[Doelgroep (zoeksleutel)]=C1394,Berekening_patiëntaantal[Digitale zorgtoepassing]),0))</f>
        <v>0</v>
      </c>
      <c r="E1394" s="33" t="str" cm="1">
        <f t="array" ref="E1394">INDEX(Berekening_patiëntaantal[Direct toepasbaar/extrapolatie/incidentie voor QALY],MATCH(B1394,IF(Berekening_patiëntaantal[Doelgroep (zoeksleutel)]=C1394,Berekening_patiëntaantal[Digitale zorgtoepassing]),0))</f>
        <v>Huidige toepassing</v>
      </c>
      <c r="F1394" s="33" t="s">
        <v>813</v>
      </c>
      <c r="G1394" s="33" t="str">
        <f>CONCATENATE(uitkomst_doelgroep[[#This Row],[Digitale zorgtoepassing]],"_",uitkomst_doelgroep[[#This Row],[Doelgroep]],"_",uitkomst_doelgroep[[#This Row],[Uitgangssituatie/effect beleid]])</f>
        <v>Mobiele echo's_Echo's 2e lijn_Uitgangssituatie</v>
      </c>
      <c r="H1394" s="33">
        <v>2026</v>
      </c>
      <c r="I1394" s="32">
        <v>4</v>
      </c>
      <c r="J1394" s="406" cm="1">
        <f t="array" ref="J1394">INDEX(implementatie[[2023]:[2034]],MATCH(G1394, implementatie[Zoeksleutel],0),I1394)</f>
        <v>0.52590537124595205</v>
      </c>
      <c r="K1394" s="406" cm="1">
        <f t="array" ref="K1394">INDEX(implementatie[[2023]:[2034]],MATCH(G1394,implementatie[Zoeksleutel],0),I1394 + 1)</f>
        <v>0.64995574724807748</v>
      </c>
      <c r="L139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1998440.4107346178</v>
      </c>
      <c r="M1394" s="398" cm="1">
        <f t="array" ref="M1394">J1394*INDEX(Berekening_impact[Totaal arbeidsbesparing (€/jaar)],MATCH(B1394,IF(Berekening_impact[Doelgroep]=C1394,Berekening_impact[Digitale zorgtoepassing]),0))</f>
        <v>4144131.8067142172</v>
      </c>
      <c r="N1394" s="397" cm="1">
        <f t="array" ref="N1394">J1394*INDEX(Berekening_impact[Totaal arbeidsbesparing (FTE/jaar)],MATCH(B1394,IF(Berekening_impact[Doelgroep]=C1394,Berekening_impact[Digitale zorgtoepassing]),0))</f>
        <v>80.065721583918986</v>
      </c>
      <c r="O1394" s="398" cm="1">
        <f t="array" ref="O1394">J1394*INDEX(Berekening_impact[Overige kostenbesparing (totaal/jaar totaal potentieel)],MATCH(B1394,IF(Berekening_impact[Doelgroep]=C1394,Berekening_impact[Digitale zorgtoepassing]),0))</f>
        <v>3079384.8331539361</v>
      </c>
      <c r="P1394" s="398" cm="1">
        <f t="array" ref="P1394">J1394*INDEX(Berekening_impact[Opbrengsten door QALY''s],MATCH(B1394,IF(Berekening_impact[Doelgroep]=C1394,Berekening_impact[Digitale zorgtoepassing]),0))</f>
        <v>0</v>
      </c>
      <c r="Q1394" s="398" cm="1">
        <f t="array" ref="Q1394">J1394*INDEX(Berekening_impact[Jaarlijkse kosten (totaal) - incl. schatting],MATCH(B1394,IF(Berekening_impact[Doelgroep]=C1394,Berekening_impact[Digitale zorgtoepassing]),0))</f>
        <v>469241.17111568572</v>
      </c>
      <c r="R1394" s="398" cm="1">
        <f t="array" ref="R1394">(uitkomst_doelgroep[[#This Row],[Implementatiegraad t = T + 1]]-uitkomst_doelgroep[[#This Row],[Implementatiegraad t = T]])*INDEX(Berekening_impact[Initiële investering (totaal) - incl. schatting],MATCH(B1394,IF(Berekening_impact[Doelgroep]=C1394,Berekening_impact[Digitale zorgtoepassing]),0))</f>
        <v>0</v>
      </c>
      <c r="S1394" s="398">
        <f>uitkomst_doelgroep[[#This Row],[Arbeidsbesparing (€)]]*uitkomst_doelgroep[[#This Row],[Percentage van patiëntaantallen in Wlz (overige is Zvw)]]</f>
        <v>0</v>
      </c>
      <c r="T1394" s="398">
        <f>uitkomst_doelgroep[[#This Row],[Overige besparingen (€)]]*uitkomst_doelgroep[[#This Row],[Percentage van patiëntaantallen in Wlz (overige is Zvw)]]</f>
        <v>0</v>
      </c>
      <c r="U1394" s="398">
        <f>uitkomst_doelgroep[[#This Row],[Kosten (€)]]*uitkomst_doelgroep[[#This Row],[Percentage van patiëntaantallen in Wlz (overige is Zvw)]]</f>
        <v>0</v>
      </c>
      <c r="V1394" s="398">
        <f>uitkomst_doelgroep[[#This Row],[Investering (cash flow) (€)]]*uitkomst_doelgroep[[#This Row],[Percentage van patiëntaantallen in Wlz (overige is Zvw)]]</f>
        <v>0</v>
      </c>
    </row>
    <row r="1395" spans="1:22" x14ac:dyDescent="0.5">
      <c r="A1395" s="33" t="str">
        <f>INDEX(Technologieën[Veld],MATCH(B1395,Technologieën[Digitale zorgtoepassing],0))</f>
        <v>Digitale hulpmiddelen - Diagnose</v>
      </c>
      <c r="B1395" s="33" t="s">
        <v>78</v>
      </c>
      <c r="C1395" s="33" t="s">
        <v>699</v>
      </c>
      <c r="D1395" s="427" cm="1">
        <f t="array" ref="D1395">INDEX(Berekening_patiëntaantal[Percentage van patiëntaantallen in Wlz (overige is Zvw)],MATCH(B1395,IF(Berekening_patiëntaantal[Doelgroep (zoeksleutel)]=C1395,Berekening_patiëntaantal[Digitale zorgtoepassing]),0))</f>
        <v>0</v>
      </c>
      <c r="E1395" s="33" t="str" cm="1">
        <f t="array" ref="E1395">INDEX(Berekening_patiëntaantal[Direct toepasbaar/extrapolatie/incidentie voor QALY],MATCH(B1395,IF(Berekening_patiëntaantal[Doelgroep (zoeksleutel)]=C1395,Berekening_patiëntaantal[Digitale zorgtoepassing]),0))</f>
        <v>Huidige toepassing</v>
      </c>
      <c r="F1395" s="33" t="s">
        <v>813</v>
      </c>
      <c r="G1395" s="33" t="str">
        <f>CONCATENATE(uitkomst_doelgroep[[#This Row],[Digitale zorgtoepassing]],"_",uitkomst_doelgroep[[#This Row],[Doelgroep]],"_",uitkomst_doelgroep[[#This Row],[Uitgangssituatie/effect beleid]])</f>
        <v>Mobiele echo's_Echo's 2e lijn_Uitgangssituatie</v>
      </c>
      <c r="H1395" s="33">
        <v>2027</v>
      </c>
      <c r="I1395" s="32">
        <v>5</v>
      </c>
      <c r="J1395" s="406" cm="1">
        <f t="array" ref="J1395">INDEX(implementatie[[2023]:[2034]],MATCH(G1395, implementatie[Zoeksleutel],0),I1395)</f>
        <v>0.64995574724807748</v>
      </c>
      <c r="K1395" s="406" cm="1">
        <f t="array" ref="K1395">INDEX(implementatie[[2023]:[2034]],MATCH(G1395,implementatie[Zoeksleutel],0),I1395 + 1)</f>
        <v>0.76108782680714737</v>
      </c>
      <c r="L139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2469831.8395426944</v>
      </c>
      <c r="M1395" s="398" cm="1">
        <f t="array" ref="M1395">J1395*INDEX(Berekening_impact[Totaal arbeidsbesparing (€/jaar)],MATCH(B1395,IF(Berekening_impact[Doelgroep]=C1395,Berekening_impact[Digitale zorgtoepassing]),0))</f>
        <v>5121648.1754999692</v>
      </c>
      <c r="N1395" s="397" cm="1">
        <f t="array" ref="N1395">J1395*INDEX(Berekening_impact[Totaal arbeidsbesparing (FTE/jaar)],MATCH(B1395,IF(Berekening_impact[Doelgroep]=C1395,Berekening_impact[Digitale zorgtoepassing]),0))</f>
        <v>98.951596135524625</v>
      </c>
      <c r="O1395" s="398" cm="1">
        <f t="array" ref="O1395">J1395*INDEX(Berekening_impact[Overige kostenbesparing (totaal/jaar totaal potentieel)],MATCH(B1395,IF(Berekening_impact[Doelgroep]=C1395,Berekening_impact[Digitale zorgtoepassing]),0))</f>
        <v>3805749.0562516637</v>
      </c>
      <c r="P1395" s="398" cm="1">
        <f t="array" ref="P1395">J1395*INDEX(Berekening_impact[Opbrengsten door QALY''s],MATCH(B1395,IF(Berekening_impact[Doelgroep]=C1395,Berekening_impact[Digitale zorgtoepassing]),0))</f>
        <v>0</v>
      </c>
      <c r="Q1395" s="398" cm="1">
        <f t="array" ref="Q1395">J1395*INDEX(Berekening_impact[Jaarlijkse kosten (totaal) - incl. schatting],MATCH(B1395,IF(Berekening_impact[Doelgroep]=C1395,Berekening_impact[Digitale zorgtoepassing]),0))</f>
        <v>579925.61530508613</v>
      </c>
      <c r="R1395" s="398" cm="1">
        <f t="array" ref="R1395">(uitkomst_doelgroep[[#This Row],[Implementatiegraad t = T + 1]]-uitkomst_doelgroep[[#This Row],[Implementatiegraad t = T]])*INDEX(Berekening_impact[Initiële investering (totaal) - incl. schatting],MATCH(B1395,IF(Berekening_impact[Doelgroep]=C1395,Berekening_impact[Digitale zorgtoepassing]),0))</f>
        <v>0</v>
      </c>
      <c r="S1395" s="398">
        <f>uitkomst_doelgroep[[#This Row],[Arbeidsbesparing (€)]]*uitkomst_doelgroep[[#This Row],[Percentage van patiëntaantallen in Wlz (overige is Zvw)]]</f>
        <v>0</v>
      </c>
      <c r="T1395" s="398">
        <f>uitkomst_doelgroep[[#This Row],[Overige besparingen (€)]]*uitkomst_doelgroep[[#This Row],[Percentage van patiëntaantallen in Wlz (overige is Zvw)]]</f>
        <v>0</v>
      </c>
      <c r="U1395" s="398">
        <f>uitkomst_doelgroep[[#This Row],[Kosten (€)]]*uitkomst_doelgroep[[#This Row],[Percentage van patiëntaantallen in Wlz (overige is Zvw)]]</f>
        <v>0</v>
      </c>
      <c r="V1395" s="398">
        <f>uitkomst_doelgroep[[#This Row],[Investering (cash flow) (€)]]*uitkomst_doelgroep[[#This Row],[Percentage van patiëntaantallen in Wlz (overige is Zvw)]]</f>
        <v>0</v>
      </c>
    </row>
    <row r="1396" spans="1:22" x14ac:dyDescent="0.5">
      <c r="A1396" s="33" t="str">
        <f>INDEX(Technologieën[Veld],MATCH(B1396,Technologieën[Digitale zorgtoepassing],0))</f>
        <v>Digitale hulpmiddelen - Diagnose</v>
      </c>
      <c r="B1396" s="33" t="s">
        <v>78</v>
      </c>
      <c r="C1396" s="33" t="s">
        <v>699</v>
      </c>
      <c r="D1396" s="427" cm="1">
        <f t="array" ref="D1396">INDEX(Berekening_patiëntaantal[Percentage van patiëntaantallen in Wlz (overige is Zvw)],MATCH(B1396,IF(Berekening_patiëntaantal[Doelgroep (zoeksleutel)]=C1396,Berekening_patiëntaantal[Digitale zorgtoepassing]),0))</f>
        <v>0</v>
      </c>
      <c r="E1396" s="33" t="str" cm="1">
        <f t="array" ref="E1396">INDEX(Berekening_patiëntaantal[Direct toepasbaar/extrapolatie/incidentie voor QALY],MATCH(B1396,IF(Berekening_patiëntaantal[Doelgroep (zoeksleutel)]=C1396,Berekening_patiëntaantal[Digitale zorgtoepassing]),0))</f>
        <v>Huidige toepassing</v>
      </c>
      <c r="F1396" s="33" t="s">
        <v>813</v>
      </c>
      <c r="G1396" s="33" t="str">
        <f>CONCATENATE(uitkomst_doelgroep[[#This Row],[Digitale zorgtoepassing]],"_",uitkomst_doelgroep[[#This Row],[Doelgroep]],"_",uitkomst_doelgroep[[#This Row],[Uitgangssituatie/effect beleid]])</f>
        <v>Mobiele echo's_Echo's 2e lijn_Uitgangssituatie</v>
      </c>
      <c r="H1396" s="33">
        <v>2028</v>
      </c>
      <c r="I1396" s="32">
        <v>6</v>
      </c>
      <c r="J1396" s="406" cm="1">
        <f t="array" ref="J1396">INDEX(implementatie[[2023]:[2034]],MATCH(G1396, implementatie[Zoeksleutel],0),I1396)</f>
        <v>0.76108782680714737</v>
      </c>
      <c r="K1396" s="406" cm="1">
        <f t="array" ref="K1396">INDEX(implementatie[[2023]:[2034]],MATCH(G1396,implementatie[Zoeksleutel],0),I1396 + 1)</f>
        <v>0.8488855471488731</v>
      </c>
      <c r="L139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2892133.74186716</v>
      </c>
      <c r="M1396" s="398" cm="1">
        <f t="array" ref="M1396">J1396*INDEX(Berekening_impact[Totaal arbeidsbesparing (€/jaar)],MATCH(B1396,IF(Berekening_impact[Doelgroep]=C1396,Berekening_impact[Digitale zorgtoepassing]),0))</f>
        <v>5997368.4301836798</v>
      </c>
      <c r="N1396" s="397" cm="1">
        <f t="array" ref="N1396">J1396*INDEX(Berekening_impact[Totaal arbeidsbesparing (FTE/jaar)],MATCH(B1396,IF(Berekening_impact[Doelgroep]=C1396,Berekening_impact[Digitale zorgtoepassing]),0))</f>
        <v>115.87074286326764</v>
      </c>
      <c r="O1396" s="398" cm="1">
        <f t="array" ref="O1396">J1396*INDEX(Berekening_impact[Overige kostenbesparing (totaal/jaar totaal potentieel)],MATCH(B1396,IF(Berekening_impact[Doelgroep]=C1396,Berekening_impact[Digitale zorgtoepassing]),0))</f>
        <v>4456471.5226533422</v>
      </c>
      <c r="P1396" s="398" cm="1">
        <f t="array" ref="P1396">J1396*INDEX(Berekening_impact[Opbrengsten door QALY''s],MATCH(B1396,IF(Berekening_impact[Doelgroep]=C1396,Berekening_impact[Digitale zorgtoepassing]),0))</f>
        <v>0</v>
      </c>
      <c r="Q1396" s="398" cm="1">
        <f t="array" ref="Q1396">J1396*INDEX(Berekening_impact[Jaarlijkse kosten (totaal) - incl. schatting],MATCH(B1396,IF(Berekening_impact[Doelgroep]=C1396,Berekening_impact[Digitale zorgtoepassing]),0))</f>
        <v>679083.65781998448</v>
      </c>
      <c r="R1396" s="398" cm="1">
        <f t="array" ref="R1396">(uitkomst_doelgroep[[#This Row],[Implementatiegraad t = T + 1]]-uitkomst_doelgroep[[#This Row],[Implementatiegraad t = T]])*INDEX(Berekening_impact[Initiële investering (totaal) - incl. schatting],MATCH(B1396,IF(Berekening_impact[Doelgroep]=C1396,Berekening_impact[Digitale zorgtoepassing]),0))</f>
        <v>0</v>
      </c>
      <c r="S1396" s="398">
        <f>uitkomst_doelgroep[[#This Row],[Arbeidsbesparing (€)]]*uitkomst_doelgroep[[#This Row],[Percentage van patiëntaantallen in Wlz (overige is Zvw)]]</f>
        <v>0</v>
      </c>
      <c r="T1396" s="398">
        <f>uitkomst_doelgroep[[#This Row],[Overige besparingen (€)]]*uitkomst_doelgroep[[#This Row],[Percentage van patiëntaantallen in Wlz (overige is Zvw)]]</f>
        <v>0</v>
      </c>
      <c r="U1396" s="398">
        <f>uitkomst_doelgroep[[#This Row],[Kosten (€)]]*uitkomst_doelgroep[[#This Row],[Percentage van patiëntaantallen in Wlz (overige is Zvw)]]</f>
        <v>0</v>
      </c>
      <c r="V1396" s="398">
        <f>uitkomst_doelgroep[[#This Row],[Investering (cash flow) (€)]]*uitkomst_doelgroep[[#This Row],[Percentage van patiëntaantallen in Wlz (overige is Zvw)]]</f>
        <v>0</v>
      </c>
    </row>
    <row r="1397" spans="1:22" x14ac:dyDescent="0.5">
      <c r="A1397" s="33" t="str">
        <f>INDEX(Technologieën[Veld],MATCH(B1397,Technologieën[Digitale zorgtoepassing],0))</f>
        <v>Digitale hulpmiddelen - Diagnose</v>
      </c>
      <c r="B1397" s="33" t="s">
        <v>78</v>
      </c>
      <c r="C1397" s="33" t="s">
        <v>699</v>
      </c>
      <c r="D1397" s="427" cm="1">
        <f t="array" ref="D1397">INDEX(Berekening_patiëntaantal[Percentage van patiëntaantallen in Wlz (overige is Zvw)],MATCH(B1397,IF(Berekening_patiëntaantal[Doelgroep (zoeksleutel)]=C1397,Berekening_patiëntaantal[Digitale zorgtoepassing]),0))</f>
        <v>0</v>
      </c>
      <c r="E1397" s="33" t="str" cm="1">
        <f t="array" ref="E1397">INDEX(Berekening_patiëntaantal[Direct toepasbaar/extrapolatie/incidentie voor QALY],MATCH(B1397,IF(Berekening_patiëntaantal[Doelgroep (zoeksleutel)]=C1397,Berekening_patiëntaantal[Digitale zorgtoepassing]),0))</f>
        <v>Huidige toepassing</v>
      </c>
      <c r="F1397" s="33" t="s">
        <v>813</v>
      </c>
      <c r="G1397" s="33" t="str">
        <f>CONCATENATE(uitkomst_doelgroep[[#This Row],[Digitale zorgtoepassing]],"_",uitkomst_doelgroep[[#This Row],[Doelgroep]],"_",uitkomst_doelgroep[[#This Row],[Uitgangssituatie/effect beleid]])</f>
        <v>Mobiele echo's_Echo's 2e lijn_Uitgangssituatie</v>
      </c>
      <c r="H1397" s="33">
        <v>2029</v>
      </c>
      <c r="I1397" s="32">
        <v>7</v>
      </c>
      <c r="J1397" s="406" cm="1">
        <f t="array" ref="J1397">INDEX(implementatie[[2023]:[2034]],MATCH(G1397, implementatie[Zoeksleutel],0),I1397)</f>
        <v>0.8488855471488731</v>
      </c>
      <c r="K1397" s="406" cm="1">
        <f t="array" ref="K1397">INDEX(implementatie[[2023]:[2034]],MATCH(G1397,implementatie[Zoeksleutel],0),I1397 + 1)</f>
        <v>0.91038890221593549</v>
      </c>
      <c r="L139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3225765.0791657176</v>
      </c>
      <c r="M1397" s="398" cm="1">
        <f t="array" ref="M1397">J1397*INDEX(Berekening_impact[Totaal arbeidsbesparing (€/jaar)],MATCH(B1397,IF(Berekening_impact[Doelgroep]=C1397,Berekening_impact[Digitale zorgtoepassing]),0))</f>
        <v>6689214.0459893122</v>
      </c>
      <c r="N1397" s="397" cm="1">
        <f t="array" ref="N1397">J1397*INDEX(Berekening_impact[Totaal arbeidsbesparing (FTE/jaar)],MATCH(B1397,IF(Berekening_impact[Doelgroep]=C1397,Berekening_impact[Digitale zorgtoepassing]),0))</f>
        <v>129.23738297939576</v>
      </c>
      <c r="O1397" s="398" cm="1">
        <f t="array" ref="O1397">J1397*INDEX(Berekening_impact[Overige kostenbesparing (totaal/jaar totaal potentieel)],MATCH(B1397,IF(Berekening_impact[Doelgroep]=C1397,Berekening_impact[Digitale zorgtoepassing]),0))</f>
        <v>4970562.0476564793</v>
      </c>
      <c r="P1397" s="398" cm="1">
        <f t="array" ref="P1397">J1397*INDEX(Berekening_impact[Opbrengsten door QALY''s],MATCH(B1397,IF(Berekening_impact[Doelgroep]=C1397,Berekening_impact[Digitale zorgtoepassing]),0))</f>
        <v>0</v>
      </c>
      <c r="Q1397" s="398" cm="1">
        <f t="array" ref="Q1397">J1397*INDEX(Berekening_impact[Jaarlijkse kosten (totaal) - incl. schatting],MATCH(B1397,IF(Berekening_impact[Doelgroep]=C1397,Berekening_impact[Digitale zorgtoepassing]),0))</f>
        <v>757421.52498577058</v>
      </c>
      <c r="R1397" s="398" cm="1">
        <f t="array" ref="R1397">(uitkomst_doelgroep[[#This Row],[Implementatiegraad t = T + 1]]-uitkomst_doelgroep[[#This Row],[Implementatiegraad t = T]])*INDEX(Berekening_impact[Initiële investering (totaal) - incl. schatting],MATCH(B1397,IF(Berekening_impact[Doelgroep]=C1397,Berekening_impact[Digitale zorgtoepassing]),0))</f>
        <v>0</v>
      </c>
      <c r="S1397" s="398">
        <f>uitkomst_doelgroep[[#This Row],[Arbeidsbesparing (€)]]*uitkomst_doelgroep[[#This Row],[Percentage van patiëntaantallen in Wlz (overige is Zvw)]]</f>
        <v>0</v>
      </c>
      <c r="T1397" s="398">
        <f>uitkomst_doelgroep[[#This Row],[Overige besparingen (€)]]*uitkomst_doelgroep[[#This Row],[Percentage van patiëntaantallen in Wlz (overige is Zvw)]]</f>
        <v>0</v>
      </c>
      <c r="U1397" s="398">
        <f>uitkomst_doelgroep[[#This Row],[Kosten (€)]]*uitkomst_doelgroep[[#This Row],[Percentage van patiëntaantallen in Wlz (overige is Zvw)]]</f>
        <v>0</v>
      </c>
      <c r="V1397" s="398">
        <f>uitkomst_doelgroep[[#This Row],[Investering (cash flow) (€)]]*uitkomst_doelgroep[[#This Row],[Percentage van patiëntaantallen in Wlz (overige is Zvw)]]</f>
        <v>0</v>
      </c>
    </row>
    <row r="1398" spans="1:22" x14ac:dyDescent="0.5">
      <c r="A1398" s="33" t="str">
        <f>INDEX(Technologieën[Veld],MATCH(B1398,Technologieën[Digitale zorgtoepassing],0))</f>
        <v>Digitale hulpmiddelen - Diagnose</v>
      </c>
      <c r="B1398" s="33" t="s">
        <v>78</v>
      </c>
      <c r="C1398" s="33" t="s">
        <v>699</v>
      </c>
      <c r="D1398" s="427" cm="1">
        <f t="array" ref="D1398">INDEX(Berekening_patiëntaantal[Percentage van patiëntaantallen in Wlz (overige is Zvw)],MATCH(B1398,IF(Berekening_patiëntaantal[Doelgroep (zoeksleutel)]=C1398,Berekening_patiëntaantal[Digitale zorgtoepassing]),0))</f>
        <v>0</v>
      </c>
      <c r="E1398" s="33" t="str" cm="1">
        <f t="array" ref="E1398">INDEX(Berekening_patiëntaantal[Direct toepasbaar/extrapolatie/incidentie voor QALY],MATCH(B1398,IF(Berekening_patiëntaantal[Doelgroep (zoeksleutel)]=C1398,Berekening_patiëntaantal[Digitale zorgtoepassing]),0))</f>
        <v>Huidige toepassing</v>
      </c>
      <c r="F1398" s="33" t="s">
        <v>813</v>
      </c>
      <c r="G1398" s="33" t="str">
        <f>CONCATENATE(uitkomst_doelgroep[[#This Row],[Digitale zorgtoepassing]],"_",uitkomst_doelgroep[[#This Row],[Doelgroep]],"_",uitkomst_doelgroep[[#This Row],[Uitgangssituatie/effect beleid]])</f>
        <v>Mobiele echo's_Echo's 2e lijn_Uitgangssituatie</v>
      </c>
      <c r="H1398" s="33">
        <v>2030</v>
      </c>
      <c r="I1398" s="32">
        <v>8</v>
      </c>
      <c r="J1398" s="406" cm="1">
        <f t="array" ref="J1398">INDEX(implementatie[[2023]:[2034]],MATCH(G1398, implementatie[Zoeksleutel],0),I1398)</f>
        <v>0.91038890221593549</v>
      </c>
      <c r="K1398" s="406" cm="1">
        <f t="array" ref="K1398">INDEX(implementatie[[2023]:[2034]],MATCH(G1398,implementatie[Zoeksleutel],0),I1398 + 1)</f>
        <v>0.94934060668263687</v>
      </c>
      <c r="L139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3459477.8284205548</v>
      </c>
      <c r="M1398" s="398" cm="1">
        <f t="array" ref="M1398">J1398*INDEX(Berekening_impact[Totaal arbeidsbesparing (€/jaar)],MATCH(B1398,IF(Berekening_impact[Doelgroep]=C1398,Berekening_impact[Digitale zorgtoepassing]),0))</f>
        <v>7173860.1893614661</v>
      </c>
      <c r="N1398" s="397" cm="1">
        <f t="array" ref="N1398">J1398*INDEX(Berekening_impact[Totaal arbeidsbesparing (FTE/jaar)],MATCH(B1398,IF(Berekening_impact[Doelgroep]=C1398,Berekening_impact[Digitale zorgtoepassing]),0))</f>
        <v>138.60087453607994</v>
      </c>
      <c r="O1398" s="398" cm="1">
        <f t="array" ref="O1398">J1398*INDEX(Berekening_impact[Overige kostenbesparing (totaal/jaar totaal potentieel)],MATCH(B1398,IF(Berekening_impact[Doelgroep]=C1398,Berekening_impact[Digitale zorgtoepassing]),0))</f>
        <v>5330688.6201097947</v>
      </c>
      <c r="P1398" s="398" cm="1">
        <f t="array" ref="P1398">J1398*INDEX(Berekening_impact[Opbrengsten door QALY''s],MATCH(B1398,IF(Berekening_impact[Doelgroep]=C1398,Berekening_impact[Digitale zorgtoepassing]),0))</f>
        <v>0</v>
      </c>
      <c r="Q1398" s="398" cm="1">
        <f t="array" ref="Q1398">J1398*INDEX(Berekening_impact[Jaarlijkse kosten (totaal) - incl. schatting],MATCH(B1398,IF(Berekening_impact[Doelgroep]=C1398,Berekening_impact[Digitale zorgtoepassing]),0))</f>
        <v>812298.13955777732</v>
      </c>
      <c r="R1398" s="398" cm="1">
        <f t="array" ref="R1398">(uitkomst_doelgroep[[#This Row],[Implementatiegraad t = T + 1]]-uitkomst_doelgroep[[#This Row],[Implementatiegraad t = T]])*INDEX(Berekening_impact[Initiële investering (totaal) - incl. schatting],MATCH(B1398,IF(Berekening_impact[Doelgroep]=C1398,Berekening_impact[Digitale zorgtoepassing]),0))</f>
        <v>0</v>
      </c>
      <c r="S1398" s="398">
        <f>uitkomst_doelgroep[[#This Row],[Arbeidsbesparing (€)]]*uitkomst_doelgroep[[#This Row],[Percentage van patiëntaantallen in Wlz (overige is Zvw)]]</f>
        <v>0</v>
      </c>
      <c r="T1398" s="398">
        <f>uitkomst_doelgroep[[#This Row],[Overige besparingen (€)]]*uitkomst_doelgroep[[#This Row],[Percentage van patiëntaantallen in Wlz (overige is Zvw)]]</f>
        <v>0</v>
      </c>
      <c r="U1398" s="398">
        <f>uitkomst_doelgroep[[#This Row],[Kosten (€)]]*uitkomst_doelgroep[[#This Row],[Percentage van patiëntaantallen in Wlz (overige is Zvw)]]</f>
        <v>0</v>
      </c>
      <c r="V1398" s="398">
        <f>uitkomst_doelgroep[[#This Row],[Investering (cash flow) (€)]]*uitkomst_doelgroep[[#This Row],[Percentage van patiëntaantallen in Wlz (overige is Zvw)]]</f>
        <v>0</v>
      </c>
    </row>
    <row r="1399" spans="1:22" x14ac:dyDescent="0.5">
      <c r="A1399" s="33" t="str">
        <f>INDEX(Technologieën[Veld],MATCH(B1399,Technologieën[Digitale zorgtoepassing],0))</f>
        <v>Digitale hulpmiddelen - Diagnose</v>
      </c>
      <c r="B1399" s="33" t="s">
        <v>78</v>
      </c>
      <c r="C1399" s="33" t="s">
        <v>699</v>
      </c>
      <c r="D1399" s="427" cm="1">
        <f t="array" ref="D1399">INDEX(Berekening_patiëntaantal[Percentage van patiëntaantallen in Wlz (overige is Zvw)],MATCH(B1399,IF(Berekening_patiëntaantal[Doelgroep (zoeksleutel)]=C1399,Berekening_patiëntaantal[Digitale zorgtoepassing]),0))</f>
        <v>0</v>
      </c>
      <c r="E1399" s="33" t="str" cm="1">
        <f t="array" ref="E1399">INDEX(Berekening_patiëntaantal[Direct toepasbaar/extrapolatie/incidentie voor QALY],MATCH(B1399,IF(Berekening_patiëntaantal[Doelgroep (zoeksleutel)]=C1399,Berekening_patiëntaantal[Digitale zorgtoepassing]),0))</f>
        <v>Huidige toepassing</v>
      </c>
      <c r="F1399" s="33" t="s">
        <v>813</v>
      </c>
      <c r="G1399" s="33" t="str">
        <f>CONCATENATE(uitkomst_doelgroep[[#This Row],[Digitale zorgtoepassing]],"_",uitkomst_doelgroep[[#This Row],[Doelgroep]],"_",uitkomst_doelgroep[[#This Row],[Uitgangssituatie/effect beleid]])</f>
        <v>Mobiele echo's_Echo's 2e lijn_Uitgangssituatie</v>
      </c>
      <c r="H1399" s="33">
        <v>2031</v>
      </c>
      <c r="I1399" s="32">
        <v>9</v>
      </c>
      <c r="J1399" s="406" cm="1">
        <f t="array" ref="J1399">INDEX(implementatie[[2023]:[2034]],MATCH(G1399, implementatie[Zoeksleutel],0),I1399)</f>
        <v>0.94934060668263687</v>
      </c>
      <c r="K1399" s="406" cm="1">
        <f t="array" ref="K1399">INDEX(implementatie[[2023]:[2034]],MATCH(G1399,implementatie[Zoeksleutel],0),I1399 + 1)</f>
        <v>0.9722489501493069</v>
      </c>
      <c r="L139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3607494.3053940199</v>
      </c>
      <c r="M1399" s="398" cm="1">
        <f t="array" ref="M1399">J1399*INDEX(Berekening_impact[Totaal arbeidsbesparing (€/jaar)],MATCH(B1399,IF(Berekening_impact[Doelgroep]=C1399,Berekening_impact[Digitale zorgtoepassing]),0))</f>
        <v>7480799.4340087641</v>
      </c>
      <c r="N1399" s="397" cm="1">
        <f t="array" ref="N1399">J1399*INDEX(Berekening_impact[Totaal arbeidsbesparing (FTE/jaar)],MATCH(B1399,IF(Berekening_impact[Doelgroep]=C1399,Berekening_impact[Digitale zorgtoepassing]),0))</f>
        <v>144.53102185072197</v>
      </c>
      <c r="O1399" s="398" cm="1">
        <f t="array" ref="O1399">J1399*INDEX(Berekening_impact[Overige kostenbesparing (totaal/jaar totaal potentieel)],MATCH(B1399,IF(Berekening_impact[Doelgroep]=C1399,Berekening_impact[Digitale zorgtoepassing]),0))</f>
        <v>5558766.3210012708</v>
      </c>
      <c r="P1399" s="398" cm="1">
        <f t="array" ref="P1399">J1399*INDEX(Berekening_impact[Opbrengsten door QALY''s],MATCH(B1399,IF(Berekening_impact[Doelgroep]=C1399,Berekening_impact[Digitale zorgtoepassing]),0))</f>
        <v>0</v>
      </c>
      <c r="Q1399" s="398" cm="1">
        <f t="array" ref="Q1399">J1399*INDEX(Berekening_impact[Jaarlijkse kosten (totaal) - incl. schatting],MATCH(B1399,IF(Berekening_impact[Doelgroep]=C1399,Berekening_impact[Digitale zorgtoepassing]),0))</f>
        <v>847052.95367500943</v>
      </c>
      <c r="R1399" s="398" cm="1">
        <f t="array" ref="R1399">(uitkomst_doelgroep[[#This Row],[Implementatiegraad t = T + 1]]-uitkomst_doelgroep[[#This Row],[Implementatiegraad t = T]])*INDEX(Berekening_impact[Initiële investering (totaal) - incl. schatting],MATCH(B1399,IF(Berekening_impact[Doelgroep]=C1399,Berekening_impact[Digitale zorgtoepassing]),0))</f>
        <v>0</v>
      </c>
      <c r="S1399" s="398">
        <f>uitkomst_doelgroep[[#This Row],[Arbeidsbesparing (€)]]*uitkomst_doelgroep[[#This Row],[Percentage van patiëntaantallen in Wlz (overige is Zvw)]]</f>
        <v>0</v>
      </c>
      <c r="T1399" s="398">
        <f>uitkomst_doelgroep[[#This Row],[Overige besparingen (€)]]*uitkomst_doelgroep[[#This Row],[Percentage van patiëntaantallen in Wlz (overige is Zvw)]]</f>
        <v>0</v>
      </c>
      <c r="U1399" s="398">
        <f>uitkomst_doelgroep[[#This Row],[Kosten (€)]]*uitkomst_doelgroep[[#This Row],[Percentage van patiëntaantallen in Wlz (overige is Zvw)]]</f>
        <v>0</v>
      </c>
      <c r="V1399" s="398">
        <f>uitkomst_doelgroep[[#This Row],[Investering (cash flow) (€)]]*uitkomst_doelgroep[[#This Row],[Percentage van patiëntaantallen in Wlz (overige is Zvw)]]</f>
        <v>0</v>
      </c>
    </row>
    <row r="1400" spans="1:22" x14ac:dyDescent="0.5">
      <c r="A1400" s="33" t="str">
        <f>INDEX(Technologieën[Veld],MATCH(B1400,Technologieën[Digitale zorgtoepassing],0))</f>
        <v>Digitale hulpmiddelen - Diagnose</v>
      </c>
      <c r="B1400" s="33" t="s">
        <v>78</v>
      </c>
      <c r="C1400" s="33" t="s">
        <v>699</v>
      </c>
      <c r="D1400" s="427" cm="1">
        <f t="array" ref="D1400">INDEX(Berekening_patiëntaantal[Percentage van patiëntaantallen in Wlz (overige is Zvw)],MATCH(B1400,IF(Berekening_patiëntaantal[Doelgroep (zoeksleutel)]=C1400,Berekening_patiëntaantal[Digitale zorgtoepassing]),0))</f>
        <v>0</v>
      </c>
      <c r="E1400" s="33" t="str" cm="1">
        <f t="array" ref="E1400">INDEX(Berekening_patiëntaantal[Direct toepasbaar/extrapolatie/incidentie voor QALY],MATCH(B1400,IF(Berekening_patiëntaantal[Doelgroep (zoeksleutel)]=C1400,Berekening_patiëntaantal[Digitale zorgtoepassing]),0))</f>
        <v>Huidige toepassing</v>
      </c>
      <c r="F1400" s="33" t="s">
        <v>813</v>
      </c>
      <c r="G1400" s="33" t="str">
        <f>CONCATENATE(uitkomst_doelgroep[[#This Row],[Digitale zorgtoepassing]],"_",uitkomst_doelgroep[[#This Row],[Doelgroep]],"_",uitkomst_doelgroep[[#This Row],[Uitgangssituatie/effect beleid]])</f>
        <v>Mobiele echo's_Echo's 2e lijn_Uitgangssituatie</v>
      </c>
      <c r="H1400" s="33">
        <v>2032</v>
      </c>
      <c r="I1400" s="32">
        <v>10</v>
      </c>
      <c r="J1400" s="406" cm="1">
        <f t="array" ref="J1400">INDEX(implementatie[[2023]:[2034]],MATCH(G1400, implementatie[Zoeksleutel],0),I1400)</f>
        <v>0.9722489501493069</v>
      </c>
      <c r="K1400" s="406" cm="1">
        <f t="array" ref="K1400">INDEX(implementatie[[2023]:[2034]],MATCH(G1400,implementatie[Zoeksleutel],0),I1400 + 1)</f>
        <v>0.98508414448286907</v>
      </c>
      <c r="L140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3694546.0105673661</v>
      </c>
      <c r="M1400" s="398" cm="1">
        <f t="array" ref="M1400">J1400*INDEX(Berekening_impact[Totaal arbeidsbesparing (€/jaar)],MATCH(B1400,IF(Berekening_impact[Doelgroep]=C1400,Berekening_impact[Digitale zorgtoepassing]),0))</f>
        <v>7661317.0708118351</v>
      </c>
      <c r="N1400" s="397" cm="1">
        <f t="array" ref="N1400">J1400*INDEX(Berekening_impact[Totaal arbeidsbesparing (FTE/jaar)],MATCH(B1400,IF(Berekening_impact[Doelgroep]=C1400,Berekening_impact[Digitale zorgtoepassing]),0))</f>
        <v>148.01867029516691</v>
      </c>
      <c r="O1400" s="398" cm="1">
        <f t="array" ref="O1400">J1400*INDEX(Berekening_impact[Overige kostenbesparing (totaal/jaar totaal potentieel)],MATCH(B1400,IF(Berekening_impact[Doelgroep]=C1400,Berekening_impact[Digitale zorgtoepassing]),0))</f>
        <v>5692903.7709702943</v>
      </c>
      <c r="P1400" s="398" cm="1">
        <f t="array" ref="P1400">J1400*INDEX(Berekening_impact[Opbrengsten door QALY''s],MATCH(B1400,IF(Berekening_impact[Doelgroep]=C1400,Berekening_impact[Digitale zorgtoepassing]),0))</f>
        <v>0</v>
      </c>
      <c r="Q1400" s="398" cm="1">
        <f t="array" ref="Q1400">J1400*INDEX(Berekening_impact[Jaarlijkse kosten (totaal) - incl. schatting],MATCH(B1400,IF(Berekening_impact[Doelgroep]=C1400,Berekening_impact[Digitale zorgtoepassing]),0))</f>
        <v>867493.01476651966</v>
      </c>
      <c r="R1400" s="398" cm="1">
        <f t="array" ref="R1400">(uitkomst_doelgroep[[#This Row],[Implementatiegraad t = T + 1]]-uitkomst_doelgroep[[#This Row],[Implementatiegraad t = T]])*INDEX(Berekening_impact[Initiële investering (totaal) - incl. schatting],MATCH(B1400,IF(Berekening_impact[Doelgroep]=C1400,Berekening_impact[Digitale zorgtoepassing]),0))</f>
        <v>0</v>
      </c>
      <c r="S1400" s="398">
        <f>uitkomst_doelgroep[[#This Row],[Arbeidsbesparing (€)]]*uitkomst_doelgroep[[#This Row],[Percentage van patiëntaantallen in Wlz (overige is Zvw)]]</f>
        <v>0</v>
      </c>
      <c r="T1400" s="398">
        <f>uitkomst_doelgroep[[#This Row],[Overige besparingen (€)]]*uitkomst_doelgroep[[#This Row],[Percentage van patiëntaantallen in Wlz (overige is Zvw)]]</f>
        <v>0</v>
      </c>
      <c r="U1400" s="398">
        <f>uitkomst_doelgroep[[#This Row],[Kosten (€)]]*uitkomst_doelgroep[[#This Row],[Percentage van patiëntaantallen in Wlz (overige is Zvw)]]</f>
        <v>0</v>
      </c>
      <c r="V1400" s="398">
        <f>uitkomst_doelgroep[[#This Row],[Investering (cash flow) (€)]]*uitkomst_doelgroep[[#This Row],[Percentage van patiëntaantallen in Wlz (overige is Zvw)]]</f>
        <v>0</v>
      </c>
    </row>
    <row r="1401" spans="1:22" x14ac:dyDescent="0.5">
      <c r="A1401" s="33" t="str">
        <f>INDEX(Technologieën[Veld],MATCH(B1401,Technologieën[Digitale zorgtoepassing],0))</f>
        <v>Digitale hulpmiddelen - Diagnose</v>
      </c>
      <c r="B1401" s="33" t="s">
        <v>78</v>
      </c>
      <c r="C1401" s="33" t="s">
        <v>699</v>
      </c>
      <c r="D1401" s="427" cm="1">
        <f t="array" ref="D1401">INDEX(Berekening_patiëntaantal[Percentage van patiëntaantallen in Wlz (overige is Zvw)],MATCH(B1401,IF(Berekening_patiëntaantal[Doelgroep (zoeksleutel)]=C1401,Berekening_patiëntaantal[Digitale zorgtoepassing]),0))</f>
        <v>0</v>
      </c>
      <c r="E1401" s="33" t="str" cm="1">
        <f t="array" ref="E1401">INDEX(Berekening_patiëntaantal[Direct toepasbaar/extrapolatie/incidentie voor QALY],MATCH(B1401,IF(Berekening_patiëntaantal[Doelgroep (zoeksleutel)]=C1401,Berekening_patiëntaantal[Digitale zorgtoepassing]),0))</f>
        <v>Huidige toepassing</v>
      </c>
      <c r="F1401" s="33" t="s">
        <v>813</v>
      </c>
      <c r="G1401" s="33" t="str">
        <f>CONCATENATE(uitkomst_doelgroep[[#This Row],[Digitale zorgtoepassing]],"_",uitkomst_doelgroep[[#This Row],[Doelgroep]],"_",uitkomst_doelgroep[[#This Row],[Uitgangssituatie/effect beleid]])</f>
        <v>Mobiele echo's_Echo's 2e lijn_Uitgangssituatie</v>
      </c>
      <c r="H1401" s="33">
        <v>2033</v>
      </c>
      <c r="I1401" s="32">
        <v>11</v>
      </c>
      <c r="J1401" s="406" cm="1">
        <f t="array" ref="J1401">INDEX(implementatie[[2023]:[2034]],MATCH(G1401, implementatie[Zoeksleutel],0),I1401)</f>
        <v>0.98508414448286907</v>
      </c>
      <c r="K1401" s="406" cm="1">
        <f t="array" ref="K1401">INDEX(implementatie[[2023]:[2034]],MATCH(G1401,implementatie[Zoeksleutel],0),I1401 + 1)</f>
        <v>0.99206905861789263</v>
      </c>
      <c r="L140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3743319.7490349025</v>
      </c>
      <c r="M1401" s="398" cm="1">
        <f t="array" ref="M1401">J1401*INDEX(Berekening_impact[Totaal arbeidsbesparing (€/jaar)],MATCH(B1401,IF(Berekening_impact[Doelgroep]=C1401,Berekening_impact[Digitale zorgtoepassing]),0))</f>
        <v>7762458.3406890677</v>
      </c>
      <c r="N1401" s="397" cm="1">
        <f t="array" ref="N1401">J1401*INDEX(Berekening_impact[Totaal arbeidsbesparing (FTE/jaar)],MATCH(B1401,IF(Berekening_impact[Doelgroep]=C1401,Berekening_impact[Digitale zorgtoepassing]),0))</f>
        <v>149.97274635556502</v>
      </c>
      <c r="O1401" s="398" cm="1">
        <f t="array" ref="O1401">J1401*INDEX(Berekening_impact[Overige kostenbesparing (totaal/jaar totaal potentieel)],MATCH(B1401,IF(Berekening_impact[Doelgroep]=C1401,Berekening_impact[Digitale zorgtoepassing]),0))</f>
        <v>5768058.9318079082</v>
      </c>
      <c r="P1401" s="398" cm="1">
        <f t="array" ref="P1401">J1401*INDEX(Berekening_impact[Opbrengsten door QALY''s],MATCH(B1401,IF(Berekening_impact[Doelgroep]=C1401,Berekening_impact[Digitale zorgtoepassing]),0))</f>
        <v>0</v>
      </c>
      <c r="Q1401" s="398" cm="1">
        <f t="array" ref="Q1401">J1401*INDEX(Berekening_impact[Jaarlijkse kosten (totaal) - incl. schatting],MATCH(B1401,IF(Berekening_impact[Doelgroep]=C1401,Berekening_impact[Digitale zorgtoepassing]),0))</f>
        <v>878945.2682514179</v>
      </c>
      <c r="R1401" s="398" cm="1">
        <f t="array" ref="R1401">(uitkomst_doelgroep[[#This Row],[Implementatiegraad t = T + 1]]-uitkomst_doelgroep[[#This Row],[Implementatiegraad t = T]])*INDEX(Berekening_impact[Initiële investering (totaal) - incl. schatting],MATCH(B1401,IF(Berekening_impact[Doelgroep]=C1401,Berekening_impact[Digitale zorgtoepassing]),0))</f>
        <v>0</v>
      </c>
      <c r="S1401" s="398">
        <f>uitkomst_doelgroep[[#This Row],[Arbeidsbesparing (€)]]*uitkomst_doelgroep[[#This Row],[Percentage van patiëntaantallen in Wlz (overige is Zvw)]]</f>
        <v>0</v>
      </c>
      <c r="T1401" s="398">
        <f>uitkomst_doelgroep[[#This Row],[Overige besparingen (€)]]*uitkomst_doelgroep[[#This Row],[Percentage van patiëntaantallen in Wlz (overige is Zvw)]]</f>
        <v>0</v>
      </c>
      <c r="U1401" s="398">
        <f>uitkomst_doelgroep[[#This Row],[Kosten (€)]]*uitkomst_doelgroep[[#This Row],[Percentage van patiëntaantallen in Wlz (overige is Zvw)]]</f>
        <v>0</v>
      </c>
      <c r="V1401" s="398">
        <f>uitkomst_doelgroep[[#This Row],[Investering (cash flow) (€)]]*uitkomst_doelgroep[[#This Row],[Percentage van patiëntaantallen in Wlz (overige is Zvw)]]</f>
        <v>0</v>
      </c>
    </row>
    <row r="1402" spans="1:22" x14ac:dyDescent="0.5">
      <c r="A1402" s="33" t="str">
        <f>INDEX(Technologieën[Veld],MATCH(B1402,Technologieën[Digitale zorgtoepassing],0))</f>
        <v>Digitale hulpmiddelen - Diagnose</v>
      </c>
      <c r="B1402" s="33" t="s">
        <v>82</v>
      </c>
      <c r="C1402" s="33" t="s">
        <v>703</v>
      </c>
      <c r="D1402" s="427" cm="1">
        <f t="array" ref="D1402">INDEX(Berekening_patiëntaantal[Percentage van patiëntaantallen in Wlz (overige is Zvw)],MATCH(B1402,IF(Berekening_patiëntaantal[Doelgroep (zoeksleutel)]=C1402,Berekening_patiëntaantal[Digitale zorgtoepassing]),0))</f>
        <v>0</v>
      </c>
      <c r="E1402" s="33" t="str" cm="1">
        <f t="array" ref="E1402">INDEX(Berekening_patiëntaantal[Direct toepasbaar/extrapolatie/incidentie voor QALY],MATCH(B1402,IF(Berekening_patiëntaantal[Doelgroep (zoeksleutel)]=C1402,Berekening_patiëntaantal[Digitale zorgtoepassing]),0))</f>
        <v>Huidige toepassing</v>
      </c>
      <c r="F1402" s="33" t="s">
        <v>813</v>
      </c>
      <c r="G1402" s="33" t="str">
        <f>CONCATENATE(uitkomst_doelgroep[[#This Row],[Digitale zorgtoepassing]],"_",uitkomst_doelgroep[[#This Row],[Doelgroep]],"_",uitkomst_doelgroep[[#This Row],[Uitgangssituatie/effect beleid]])</f>
        <v>Point-of-care (POC) testing_HAP contacten met labaratoriumonderzoek_Uitgangssituatie</v>
      </c>
      <c r="H1402" s="33">
        <v>2023</v>
      </c>
      <c r="I1402" s="32">
        <v>1</v>
      </c>
      <c r="J1402" s="406" cm="1">
        <f t="array" ref="J1402">INDEX(implementatie[[2023]:[2034]],MATCH(G1402, implementatie[Zoeksleutel],0),I1402)</f>
        <v>0.4</v>
      </c>
      <c r="K1402" s="406" cm="1">
        <f t="array" ref="K1402">INDEX(implementatie[[2023]:[2034]],MATCH(G1402,implementatie[Zoeksleutel],0),I1402 + 1)</f>
        <v>0.50800000000000001</v>
      </c>
      <c r="L140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54000</v>
      </c>
      <c r="M1402" s="398" cm="1">
        <f t="array" ref="M1402">J1402*INDEX(Berekening_impact[Totaal arbeidsbesparing (€/jaar)],MATCH(B1402,IF(Berekening_impact[Doelgroep]=C1402,Berekening_impact[Digitale zorgtoepassing]),0))</f>
        <v>3315348.8372093025</v>
      </c>
      <c r="N1402" s="397" cm="1">
        <f t="array" ref="N1402">J1402*INDEX(Berekening_impact[Totaal arbeidsbesparing (FTE/jaar)],MATCH(B1402,IF(Berekening_impact[Doelgroep]=C1402,Berekening_impact[Digitale zorgtoepassing]),0))</f>
        <v>60.55429123573753</v>
      </c>
      <c r="O1402" s="398" cm="1">
        <f t="array" ref="O1402">J1402*INDEX(Berekening_impact[Overige kostenbesparing (totaal/jaar totaal potentieel)],MATCH(B1402,IF(Berekening_impact[Doelgroep]=C1402,Berekening_impact[Digitale zorgtoepassing]),0))</f>
        <v>4244651.162790698</v>
      </c>
      <c r="P1402" s="398" cm="1">
        <f t="array" ref="P1402">J1402*INDEX(Berekening_impact[Opbrengsten door QALY''s],MATCH(B1402,IF(Berekening_impact[Doelgroep]=C1402,Berekening_impact[Digitale zorgtoepassing]),0))</f>
        <v>0</v>
      </c>
      <c r="Q1402" s="398" cm="1">
        <f t="array" ref="Q1402">J1402*INDEX(Berekening_impact[Jaarlijkse kosten (totaal) - incl. schatting],MATCH(B1402,IF(Berekening_impact[Doelgroep]=C1402,Berekening_impact[Digitale zorgtoepassing]),0))</f>
        <v>1659600</v>
      </c>
      <c r="R1402" s="398" cm="1">
        <f t="array" ref="R1402">(uitkomst_doelgroep[[#This Row],[Implementatiegraad t = T + 1]]-uitkomst_doelgroep[[#This Row],[Implementatiegraad t = T]])*INDEX(Berekening_impact[Initiële investering (totaal) - incl. schatting],MATCH(B1402,IF(Berekening_impact[Doelgroep]=C1402,Berekening_impact[Digitale zorgtoepassing]),0))</f>
        <v>0</v>
      </c>
      <c r="S1402" s="398">
        <f>uitkomst_doelgroep[[#This Row],[Arbeidsbesparing (€)]]*uitkomst_doelgroep[[#This Row],[Percentage van patiëntaantallen in Wlz (overige is Zvw)]]</f>
        <v>0</v>
      </c>
      <c r="T1402" s="398">
        <f>uitkomst_doelgroep[[#This Row],[Overige besparingen (€)]]*uitkomst_doelgroep[[#This Row],[Percentage van patiëntaantallen in Wlz (overige is Zvw)]]</f>
        <v>0</v>
      </c>
      <c r="U1402" s="398">
        <f>uitkomst_doelgroep[[#This Row],[Kosten (€)]]*uitkomst_doelgroep[[#This Row],[Percentage van patiëntaantallen in Wlz (overige is Zvw)]]</f>
        <v>0</v>
      </c>
      <c r="V1402" s="398">
        <f>uitkomst_doelgroep[[#This Row],[Investering (cash flow) (€)]]*uitkomst_doelgroep[[#This Row],[Percentage van patiëntaantallen in Wlz (overige is Zvw)]]</f>
        <v>0</v>
      </c>
    </row>
    <row r="1403" spans="1:22" x14ac:dyDescent="0.5">
      <c r="A1403" s="33" t="str">
        <f>INDEX(Technologieën[Veld],MATCH(B1403,Technologieën[Digitale zorgtoepassing],0))</f>
        <v>Digitale hulpmiddelen - Diagnose</v>
      </c>
      <c r="B1403" s="33" t="s">
        <v>82</v>
      </c>
      <c r="C1403" s="33" t="s">
        <v>703</v>
      </c>
      <c r="D1403" s="427" cm="1">
        <f t="array" ref="D1403">INDEX(Berekening_patiëntaantal[Percentage van patiëntaantallen in Wlz (overige is Zvw)],MATCH(B1403,IF(Berekening_patiëntaantal[Doelgroep (zoeksleutel)]=C1403,Berekening_patiëntaantal[Digitale zorgtoepassing]),0))</f>
        <v>0</v>
      </c>
      <c r="E1403" s="33" t="str" cm="1">
        <f t="array" ref="E1403">INDEX(Berekening_patiëntaantal[Direct toepasbaar/extrapolatie/incidentie voor QALY],MATCH(B1403,IF(Berekening_patiëntaantal[Doelgroep (zoeksleutel)]=C1403,Berekening_patiëntaantal[Digitale zorgtoepassing]),0))</f>
        <v>Huidige toepassing</v>
      </c>
      <c r="F1403" s="33" t="s">
        <v>813</v>
      </c>
      <c r="G1403" s="33" t="str">
        <f>CONCATENATE(uitkomst_doelgroep[[#This Row],[Digitale zorgtoepassing]],"_",uitkomst_doelgroep[[#This Row],[Doelgroep]],"_",uitkomst_doelgroep[[#This Row],[Uitgangssituatie/effect beleid]])</f>
        <v>Point-of-care (POC) testing_HAP contacten met labaratoriumonderzoek_Uitgangssituatie</v>
      </c>
      <c r="H1403" s="33">
        <v>2024</v>
      </c>
      <c r="I1403" s="32">
        <v>2</v>
      </c>
      <c r="J1403" s="406" cm="1">
        <f t="array" ref="J1403">INDEX(implementatie[[2023]:[2034]],MATCH(G1403, implementatie[Zoeksleutel],0),I1403)</f>
        <v>0.50800000000000001</v>
      </c>
      <c r="K1403" s="406" cm="1">
        <f t="array" ref="K1403">INDEX(implementatie[[2023]:[2034]],MATCH(G1403,implementatie[Zoeksleutel],0),I1403 + 1)</f>
        <v>0.61781439999999999</v>
      </c>
      <c r="L1403"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68580</v>
      </c>
      <c r="M1403" s="398" cm="1">
        <f t="array" ref="M1403">J1403*INDEX(Berekening_impact[Totaal arbeidsbesparing (€/jaar)],MATCH(B1403,IF(Berekening_impact[Doelgroep]=C1403,Berekening_impact[Digitale zorgtoepassing]),0))</f>
        <v>4210493.0232558139</v>
      </c>
      <c r="N1403" s="397" cm="1">
        <f t="array" ref="N1403">J1403*INDEX(Berekening_impact[Totaal arbeidsbesparing (FTE/jaar)],MATCH(B1403,IF(Berekening_impact[Doelgroep]=C1403,Berekening_impact[Digitale zorgtoepassing]),0))</f>
        <v>76.903949869386665</v>
      </c>
      <c r="O1403" s="398" cm="1">
        <f t="array" ref="O1403">J1403*INDEX(Berekening_impact[Overige kostenbesparing (totaal/jaar totaal potentieel)],MATCH(B1403,IF(Berekening_impact[Doelgroep]=C1403,Berekening_impact[Digitale zorgtoepassing]),0))</f>
        <v>5390706.9767441861</v>
      </c>
      <c r="P1403" s="398" cm="1">
        <f t="array" ref="P1403">J1403*INDEX(Berekening_impact[Opbrengsten door QALY''s],MATCH(B1403,IF(Berekening_impact[Doelgroep]=C1403,Berekening_impact[Digitale zorgtoepassing]),0))</f>
        <v>0</v>
      </c>
      <c r="Q1403" s="398" cm="1">
        <f t="array" ref="Q1403">J1403*INDEX(Berekening_impact[Jaarlijkse kosten (totaal) - incl. schatting],MATCH(B1403,IF(Berekening_impact[Doelgroep]=C1403,Berekening_impact[Digitale zorgtoepassing]),0))</f>
        <v>2107692</v>
      </c>
      <c r="R1403" s="398" cm="1">
        <f t="array" ref="R1403">(uitkomst_doelgroep[[#This Row],[Implementatiegraad t = T + 1]]-uitkomst_doelgroep[[#This Row],[Implementatiegraad t = T]])*INDEX(Berekening_impact[Initiële investering (totaal) - incl. schatting],MATCH(B1403,IF(Berekening_impact[Doelgroep]=C1403,Berekening_impact[Digitale zorgtoepassing]),0))</f>
        <v>0</v>
      </c>
      <c r="S1403" s="398">
        <f>uitkomst_doelgroep[[#This Row],[Arbeidsbesparing (€)]]*uitkomst_doelgroep[[#This Row],[Percentage van patiëntaantallen in Wlz (overige is Zvw)]]</f>
        <v>0</v>
      </c>
      <c r="T1403" s="398">
        <f>uitkomst_doelgroep[[#This Row],[Overige besparingen (€)]]*uitkomst_doelgroep[[#This Row],[Percentage van patiëntaantallen in Wlz (overige is Zvw)]]</f>
        <v>0</v>
      </c>
      <c r="U1403" s="398">
        <f>uitkomst_doelgroep[[#This Row],[Kosten (€)]]*uitkomst_doelgroep[[#This Row],[Percentage van patiëntaantallen in Wlz (overige is Zvw)]]</f>
        <v>0</v>
      </c>
      <c r="V1403" s="398">
        <f>uitkomst_doelgroep[[#This Row],[Investering (cash flow) (€)]]*uitkomst_doelgroep[[#This Row],[Percentage van patiëntaantallen in Wlz (overige is Zvw)]]</f>
        <v>0</v>
      </c>
    </row>
    <row r="1404" spans="1:22" x14ac:dyDescent="0.5">
      <c r="A1404" s="33" t="str">
        <f>INDEX(Technologieën[Veld],MATCH(B1404,Technologieën[Digitale zorgtoepassing],0))</f>
        <v>Digitale hulpmiddelen - Diagnose</v>
      </c>
      <c r="B1404" s="33" t="s">
        <v>82</v>
      </c>
      <c r="C1404" s="33" t="s">
        <v>703</v>
      </c>
      <c r="D1404" s="427" cm="1">
        <f t="array" ref="D1404">INDEX(Berekening_patiëntaantal[Percentage van patiëntaantallen in Wlz (overige is Zvw)],MATCH(B1404,IF(Berekening_patiëntaantal[Doelgroep (zoeksleutel)]=C1404,Berekening_patiëntaantal[Digitale zorgtoepassing]),0))</f>
        <v>0</v>
      </c>
      <c r="E1404" s="33" t="str" cm="1">
        <f t="array" ref="E1404">INDEX(Berekening_patiëntaantal[Direct toepasbaar/extrapolatie/incidentie voor QALY],MATCH(B1404,IF(Berekening_patiëntaantal[Doelgroep (zoeksleutel)]=C1404,Berekening_patiëntaantal[Digitale zorgtoepassing]),0))</f>
        <v>Huidige toepassing</v>
      </c>
      <c r="F1404" s="33" t="s">
        <v>813</v>
      </c>
      <c r="G1404" s="33" t="str">
        <f>CONCATENATE(uitkomst_doelgroep[[#This Row],[Digitale zorgtoepassing]],"_",uitkomst_doelgroep[[#This Row],[Doelgroep]],"_",uitkomst_doelgroep[[#This Row],[Uitgangssituatie/effect beleid]])</f>
        <v>Point-of-care (POC) testing_HAP contacten met labaratoriumonderzoek_Uitgangssituatie</v>
      </c>
      <c r="H1404" s="33">
        <v>2025</v>
      </c>
      <c r="I1404" s="32">
        <v>3</v>
      </c>
      <c r="J1404" s="406" cm="1">
        <f t="array" ref="J1404">INDEX(implementatie[[2023]:[2034]],MATCH(G1404, implementatie[Zoeksleutel],0),I1404)</f>
        <v>0.61781439999999999</v>
      </c>
      <c r="K1404" s="406" cm="1">
        <f t="array" ref="K1404">INDEX(implementatie[[2023]:[2034]],MATCH(G1404,implementatie[Zoeksleutel],0),I1404 + 1)</f>
        <v>0.71990601886105599</v>
      </c>
      <c r="L1404"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83404.944000000003</v>
      </c>
      <c r="M1404" s="398" cm="1">
        <f t="array" ref="M1404">J1404*INDEX(Berekening_impact[Totaal arbeidsbesparing (€/jaar)],MATCH(B1404,IF(Berekening_impact[Doelgroep]=C1404,Berekening_impact[Digitale zorgtoepassing]),0))</f>
        <v>5120675.631627907</v>
      </c>
      <c r="N1404" s="397" cm="1">
        <f t="array" ref="N1404">J1404*INDEX(Berekening_impact[Totaal arbeidsbesparing (FTE/jaar)],MATCH(B1404,IF(Berekening_impact[Doelgroep]=C1404,Berekening_impact[Digitale zorgtoepassing]),0))</f>
        <v>93.528282768081098</v>
      </c>
      <c r="O1404" s="398" cm="1">
        <f t="array" ref="O1404">J1404*INDEX(Berekening_impact[Overige kostenbesparing (totaal/jaar totaal potentieel)],MATCH(B1404,IF(Berekening_impact[Doelgroep]=C1404,Berekening_impact[Digitale zorgtoepassing]),0))</f>
        <v>6556016.5283720931</v>
      </c>
      <c r="P1404" s="398" cm="1">
        <f t="array" ref="P1404">J1404*INDEX(Berekening_impact[Opbrengsten door QALY''s],MATCH(B1404,IF(Berekening_impact[Doelgroep]=C1404,Berekening_impact[Digitale zorgtoepassing]),0))</f>
        <v>0</v>
      </c>
      <c r="Q1404" s="398" cm="1">
        <f t="array" ref="Q1404">J1404*INDEX(Berekening_impact[Jaarlijkse kosten (totaal) - incl. schatting],MATCH(B1404,IF(Berekening_impact[Doelgroep]=C1404,Berekening_impact[Digitale zorgtoepassing]),0))</f>
        <v>2563311.9455999997</v>
      </c>
      <c r="R1404" s="398" cm="1">
        <f t="array" ref="R1404">(uitkomst_doelgroep[[#This Row],[Implementatiegraad t = T + 1]]-uitkomst_doelgroep[[#This Row],[Implementatiegraad t = T]])*INDEX(Berekening_impact[Initiële investering (totaal) - incl. schatting],MATCH(B1404,IF(Berekening_impact[Doelgroep]=C1404,Berekening_impact[Digitale zorgtoepassing]),0))</f>
        <v>0</v>
      </c>
      <c r="S1404" s="398">
        <f>uitkomst_doelgroep[[#This Row],[Arbeidsbesparing (€)]]*uitkomst_doelgroep[[#This Row],[Percentage van patiëntaantallen in Wlz (overige is Zvw)]]</f>
        <v>0</v>
      </c>
      <c r="T1404" s="398">
        <f>uitkomst_doelgroep[[#This Row],[Overige besparingen (€)]]*uitkomst_doelgroep[[#This Row],[Percentage van patiëntaantallen in Wlz (overige is Zvw)]]</f>
        <v>0</v>
      </c>
      <c r="U1404" s="398">
        <f>uitkomst_doelgroep[[#This Row],[Kosten (€)]]*uitkomst_doelgroep[[#This Row],[Percentage van patiëntaantallen in Wlz (overige is Zvw)]]</f>
        <v>0</v>
      </c>
      <c r="V1404" s="398">
        <f>uitkomst_doelgroep[[#This Row],[Investering (cash flow) (€)]]*uitkomst_doelgroep[[#This Row],[Percentage van patiëntaantallen in Wlz (overige is Zvw)]]</f>
        <v>0</v>
      </c>
    </row>
    <row r="1405" spans="1:22" x14ac:dyDescent="0.5">
      <c r="A1405" s="33" t="str">
        <f>INDEX(Technologieën[Veld],MATCH(B1405,Technologieën[Digitale zorgtoepassing],0))</f>
        <v>Digitale hulpmiddelen - Diagnose</v>
      </c>
      <c r="B1405" s="33" t="s">
        <v>82</v>
      </c>
      <c r="C1405" s="33" t="s">
        <v>703</v>
      </c>
      <c r="D1405" s="427" cm="1">
        <f t="array" ref="D1405">INDEX(Berekening_patiëntaantal[Percentage van patiëntaantallen in Wlz (overige is Zvw)],MATCH(B1405,IF(Berekening_patiëntaantal[Doelgroep (zoeksleutel)]=C1405,Berekening_patiëntaantal[Digitale zorgtoepassing]),0))</f>
        <v>0</v>
      </c>
      <c r="E1405" s="33" t="str" cm="1">
        <f t="array" ref="E1405">INDEX(Berekening_patiëntaantal[Direct toepasbaar/extrapolatie/incidentie voor QALY],MATCH(B1405,IF(Berekening_patiëntaantal[Doelgroep (zoeksleutel)]=C1405,Berekening_patiëntaantal[Digitale zorgtoepassing]),0))</f>
        <v>Huidige toepassing</v>
      </c>
      <c r="F1405" s="33" t="s">
        <v>813</v>
      </c>
      <c r="G1405" s="33" t="str">
        <f>CONCATENATE(uitkomst_doelgroep[[#This Row],[Digitale zorgtoepassing]],"_",uitkomst_doelgroep[[#This Row],[Doelgroep]],"_",uitkomst_doelgroep[[#This Row],[Uitgangssituatie/effect beleid]])</f>
        <v>Point-of-care (POC) testing_HAP contacten met labaratoriumonderzoek_Uitgangssituatie</v>
      </c>
      <c r="H1405" s="33">
        <v>2026</v>
      </c>
      <c r="I1405" s="32">
        <v>4</v>
      </c>
      <c r="J1405" s="406" cm="1">
        <f t="array" ref="J1405">INDEX(implementatie[[2023]:[2034]],MATCH(G1405, implementatie[Zoeksleutel],0),I1405)</f>
        <v>0.71990601886105599</v>
      </c>
      <c r="K1405" s="406" cm="1">
        <f t="array" ref="K1405">INDEX(implementatie[[2023]:[2034]],MATCH(G1405,implementatie[Zoeksleutel],0),I1405 + 1)</f>
        <v>0.80616443563130724</v>
      </c>
      <c r="L1405"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97187.312546242552</v>
      </c>
      <c r="M1405" s="398" cm="1">
        <f t="array" ref="M1405">J1405*INDEX(Berekening_impact[Totaal arbeidsbesparing (€/jaar)],MATCH(B1405,IF(Berekening_impact[Doelgroep]=C1405,Berekening_impact[Digitale zorgtoepassing]),0))</f>
        <v>5966848.9563274495</v>
      </c>
      <c r="N1405" s="397" cm="1">
        <f t="array" ref="N1405">J1405*INDEX(Berekening_impact[Totaal arbeidsbesparing (FTE/jaar)],MATCH(B1405,IF(Berekening_impact[Doelgroep]=C1405,Berekening_impact[Digitale zorgtoepassing]),0))</f>
        <v>108.98349682118184</v>
      </c>
      <c r="O1405" s="398" cm="1">
        <f t="array" ref="O1405">J1405*INDEX(Berekening_impact[Overige kostenbesparing (totaal/jaar totaal potentieel)],MATCH(B1405,IF(Berekening_impact[Doelgroep]=C1405,Berekening_impact[Digitale zorgtoepassing]),0))</f>
        <v>7639374.800146508</v>
      </c>
      <c r="P1405" s="398" cm="1">
        <f t="array" ref="P1405">J1405*INDEX(Berekening_impact[Opbrengsten door QALY''s],MATCH(B1405,IF(Berekening_impact[Doelgroep]=C1405,Berekening_impact[Digitale zorgtoepassing]),0))</f>
        <v>0</v>
      </c>
      <c r="Q1405" s="398" cm="1">
        <f t="array" ref="Q1405">J1405*INDEX(Berekening_impact[Jaarlijkse kosten (totaal) - incl. schatting],MATCH(B1405,IF(Berekening_impact[Doelgroep]=C1405,Berekening_impact[Digitale zorgtoepassing]),0))</f>
        <v>2986890.0722545213</v>
      </c>
      <c r="R1405" s="398" cm="1">
        <f t="array" ref="R1405">(uitkomst_doelgroep[[#This Row],[Implementatiegraad t = T + 1]]-uitkomst_doelgroep[[#This Row],[Implementatiegraad t = T]])*INDEX(Berekening_impact[Initiële investering (totaal) - incl. schatting],MATCH(B1405,IF(Berekening_impact[Doelgroep]=C1405,Berekening_impact[Digitale zorgtoepassing]),0))</f>
        <v>0</v>
      </c>
      <c r="S1405" s="398">
        <f>uitkomst_doelgroep[[#This Row],[Arbeidsbesparing (€)]]*uitkomst_doelgroep[[#This Row],[Percentage van patiëntaantallen in Wlz (overige is Zvw)]]</f>
        <v>0</v>
      </c>
      <c r="T1405" s="398">
        <f>uitkomst_doelgroep[[#This Row],[Overige besparingen (€)]]*uitkomst_doelgroep[[#This Row],[Percentage van patiëntaantallen in Wlz (overige is Zvw)]]</f>
        <v>0</v>
      </c>
      <c r="U1405" s="398">
        <f>uitkomst_doelgroep[[#This Row],[Kosten (€)]]*uitkomst_doelgroep[[#This Row],[Percentage van patiëntaantallen in Wlz (overige is Zvw)]]</f>
        <v>0</v>
      </c>
      <c r="V1405" s="398">
        <f>uitkomst_doelgroep[[#This Row],[Investering (cash flow) (€)]]*uitkomst_doelgroep[[#This Row],[Percentage van patiëntaantallen in Wlz (overige is Zvw)]]</f>
        <v>0</v>
      </c>
    </row>
    <row r="1406" spans="1:22" x14ac:dyDescent="0.5">
      <c r="A1406" s="33" t="str">
        <f>INDEX(Technologieën[Veld],MATCH(B1406,Technologieën[Digitale zorgtoepassing],0))</f>
        <v>Digitale hulpmiddelen - Diagnose</v>
      </c>
      <c r="B1406" s="33" t="s">
        <v>82</v>
      </c>
      <c r="C1406" s="33" t="s">
        <v>703</v>
      </c>
      <c r="D1406" s="427" cm="1">
        <f t="array" ref="D1406">INDEX(Berekening_patiëntaantal[Percentage van patiëntaantallen in Wlz (overige is Zvw)],MATCH(B1406,IF(Berekening_patiëntaantal[Doelgroep (zoeksleutel)]=C1406,Berekening_patiëntaantal[Digitale zorgtoepassing]),0))</f>
        <v>0</v>
      </c>
      <c r="E1406" s="33" t="str" cm="1">
        <f t="array" ref="E1406">INDEX(Berekening_patiëntaantal[Direct toepasbaar/extrapolatie/incidentie voor QALY],MATCH(B1406,IF(Berekening_patiëntaantal[Doelgroep (zoeksleutel)]=C1406,Berekening_patiëntaantal[Digitale zorgtoepassing]),0))</f>
        <v>Huidige toepassing</v>
      </c>
      <c r="F1406" s="33" t="s">
        <v>813</v>
      </c>
      <c r="G1406" s="33" t="str">
        <f>CONCATENATE(uitkomst_doelgroep[[#This Row],[Digitale zorgtoepassing]],"_",uitkomst_doelgroep[[#This Row],[Doelgroep]],"_",uitkomst_doelgroep[[#This Row],[Uitgangssituatie/effect beleid]])</f>
        <v>Point-of-care (POC) testing_HAP contacten met labaratoriumonderzoek_Uitgangssituatie</v>
      </c>
      <c r="H1406" s="33">
        <v>2027</v>
      </c>
      <c r="I1406" s="32">
        <v>5</v>
      </c>
      <c r="J1406" s="406" cm="1">
        <f t="array" ref="J1406">INDEX(implementatie[[2023]:[2034]],MATCH(G1406, implementatie[Zoeksleutel],0),I1406)</f>
        <v>0.80616443563130724</v>
      </c>
      <c r="K1406" s="406" cm="1">
        <f t="array" ref="K1406">INDEX(implementatie[[2023]:[2034]],MATCH(G1406,implementatie[Zoeksleutel],0),I1406 + 1)</f>
        <v>0.87254648226050635</v>
      </c>
      <c r="L1406"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108832.19881022647</v>
      </c>
      <c r="M1406" s="398" cm="1">
        <f t="array" ref="M1406">J1406*INDEX(Berekening_impact[Totaal arbeidsbesparing (€/jaar)],MATCH(B1406,IF(Berekening_impact[Doelgroep]=C1406,Berekening_impact[Digitale zorgtoepassing]),0))</f>
        <v>6681790.8106743693</v>
      </c>
      <c r="N1406" s="397" cm="1">
        <f t="array" ref="N1406">J1406*INDEX(Berekening_impact[Totaal arbeidsbesparing (FTE/jaar)],MATCH(B1406,IF(Berekening_impact[Doelgroep]=C1406,Berekening_impact[Digitale zorgtoepassing]),0))</f>
        <v>122.0417900477804</v>
      </c>
      <c r="O1406" s="398" cm="1">
        <f t="array" ref="O1406">J1406*INDEX(Berekening_impact[Overige kostenbesparing (totaal/jaar totaal potentieel)],MATCH(B1406,IF(Berekening_impact[Doelgroep]=C1406,Berekening_impact[Digitale zorgtoepassing]),0))</f>
        <v>8554717.0227573365</v>
      </c>
      <c r="P1406" s="398" cm="1">
        <f t="array" ref="P1406">J1406*INDEX(Berekening_impact[Opbrengsten door QALY''s],MATCH(B1406,IF(Berekening_impact[Doelgroep]=C1406,Berekening_impact[Digitale zorgtoepassing]),0))</f>
        <v>0</v>
      </c>
      <c r="Q1406" s="398" cm="1">
        <f t="array" ref="Q1406">J1406*INDEX(Berekening_impact[Jaarlijkse kosten (totaal) - incl. schatting],MATCH(B1406,IF(Berekening_impact[Doelgroep]=C1406,Berekening_impact[Digitale zorgtoepassing]),0))</f>
        <v>3344776.2434342937</v>
      </c>
      <c r="R1406" s="398" cm="1">
        <f t="array" ref="R1406">(uitkomst_doelgroep[[#This Row],[Implementatiegraad t = T + 1]]-uitkomst_doelgroep[[#This Row],[Implementatiegraad t = T]])*INDEX(Berekening_impact[Initiële investering (totaal) - incl. schatting],MATCH(B1406,IF(Berekening_impact[Doelgroep]=C1406,Berekening_impact[Digitale zorgtoepassing]),0))</f>
        <v>0</v>
      </c>
      <c r="S1406" s="398">
        <f>uitkomst_doelgroep[[#This Row],[Arbeidsbesparing (€)]]*uitkomst_doelgroep[[#This Row],[Percentage van patiëntaantallen in Wlz (overige is Zvw)]]</f>
        <v>0</v>
      </c>
      <c r="T1406" s="398">
        <f>uitkomst_doelgroep[[#This Row],[Overige besparingen (€)]]*uitkomst_doelgroep[[#This Row],[Percentage van patiëntaantallen in Wlz (overige is Zvw)]]</f>
        <v>0</v>
      </c>
      <c r="U1406" s="398">
        <f>uitkomst_doelgroep[[#This Row],[Kosten (€)]]*uitkomst_doelgroep[[#This Row],[Percentage van patiëntaantallen in Wlz (overige is Zvw)]]</f>
        <v>0</v>
      </c>
      <c r="V1406" s="398">
        <f>uitkomst_doelgroep[[#This Row],[Investering (cash flow) (€)]]*uitkomst_doelgroep[[#This Row],[Percentage van patiëntaantallen in Wlz (overige is Zvw)]]</f>
        <v>0</v>
      </c>
    </row>
    <row r="1407" spans="1:22" x14ac:dyDescent="0.5">
      <c r="A1407" s="33" t="str">
        <f>INDEX(Technologieën[Veld],MATCH(B1407,Technologieën[Digitale zorgtoepassing],0))</f>
        <v>Digitale hulpmiddelen - Diagnose</v>
      </c>
      <c r="B1407" s="33" t="s">
        <v>82</v>
      </c>
      <c r="C1407" s="33" t="s">
        <v>703</v>
      </c>
      <c r="D1407" s="427" cm="1">
        <f t="array" ref="D1407">INDEX(Berekening_patiëntaantal[Percentage van patiëntaantallen in Wlz (overige is Zvw)],MATCH(B1407,IF(Berekening_patiëntaantal[Doelgroep (zoeksleutel)]=C1407,Berekening_patiëntaantal[Digitale zorgtoepassing]),0))</f>
        <v>0</v>
      </c>
      <c r="E1407" s="33" t="str" cm="1">
        <f t="array" ref="E1407">INDEX(Berekening_patiëntaantal[Direct toepasbaar/extrapolatie/incidentie voor QALY],MATCH(B1407,IF(Berekening_patiëntaantal[Doelgroep (zoeksleutel)]=C1407,Berekening_patiëntaantal[Digitale zorgtoepassing]),0))</f>
        <v>Huidige toepassing</v>
      </c>
      <c r="F1407" s="33" t="s">
        <v>813</v>
      </c>
      <c r="G1407" s="33" t="str">
        <f>CONCATENATE(uitkomst_doelgroep[[#This Row],[Digitale zorgtoepassing]],"_",uitkomst_doelgroep[[#This Row],[Doelgroep]],"_",uitkomst_doelgroep[[#This Row],[Uitgangssituatie/effect beleid]])</f>
        <v>Point-of-care (POC) testing_HAP contacten met labaratoriumonderzoek_Uitgangssituatie</v>
      </c>
      <c r="H1407" s="33">
        <v>2028</v>
      </c>
      <c r="I1407" s="32">
        <v>6</v>
      </c>
      <c r="J1407" s="406" cm="1">
        <f t="array" ref="J1407">INDEX(implementatie[[2023]:[2034]],MATCH(G1407, implementatie[Zoeksleutel],0),I1407)</f>
        <v>0.87254648226050635</v>
      </c>
      <c r="K1407" s="406" cm="1">
        <f t="array" ref="K1407">INDEX(implementatie[[2023]:[2034]],MATCH(G1407,implementatie[Zoeksleutel],0),I1407 + 1)</f>
        <v>0.9195792000374251</v>
      </c>
      <c r="L1407"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117793.77510516836</v>
      </c>
      <c r="M1407" s="398" cm="1">
        <f t="array" ref="M1407">J1407*INDEX(Berekening_impact[Totaal arbeidsbesparing (€/jaar)],MATCH(B1407,IF(Berekening_impact[Doelgroep]=C1407,Berekening_impact[Digitale zorgtoepassing]),0))</f>
        <v>7231989.9134335918</v>
      </c>
      <c r="N1407" s="397" cm="1">
        <f t="array" ref="N1407">J1407*INDEX(Berekening_impact[Totaal arbeidsbesparing (FTE/jaar)],MATCH(B1407,IF(Berekening_impact[Doelgroep]=C1407,Berekening_impact[Digitale zorgtoepassing]),0))</f>
        <v>132.09108450880248</v>
      </c>
      <c r="O1407" s="398" cm="1">
        <f t="array" ref="O1407">J1407*INDEX(Berekening_impact[Overige kostenbesparing (totaal/jaar totaal potentieel)],MATCH(B1407,IF(Berekening_impact[Doelgroep]=C1407,Berekening_impact[Digitale zorgtoepassing]),0))</f>
        <v>9259138.6012899783</v>
      </c>
      <c r="P1407" s="398" cm="1">
        <f t="array" ref="P1407">J1407*INDEX(Berekening_impact[Opbrengsten door QALY''s],MATCH(B1407,IF(Berekening_impact[Doelgroep]=C1407,Berekening_impact[Digitale zorgtoepassing]),0))</f>
        <v>0</v>
      </c>
      <c r="Q1407" s="398" cm="1">
        <f t="array" ref="Q1407">J1407*INDEX(Berekening_impact[Jaarlijkse kosten (totaal) - incl. schatting],MATCH(B1407,IF(Berekening_impact[Doelgroep]=C1407,Berekening_impact[Digitale zorgtoepassing]),0))</f>
        <v>3620195.3548988407</v>
      </c>
      <c r="R1407" s="398" cm="1">
        <f t="array" ref="R1407">(uitkomst_doelgroep[[#This Row],[Implementatiegraad t = T + 1]]-uitkomst_doelgroep[[#This Row],[Implementatiegraad t = T]])*INDEX(Berekening_impact[Initiële investering (totaal) - incl. schatting],MATCH(B1407,IF(Berekening_impact[Doelgroep]=C1407,Berekening_impact[Digitale zorgtoepassing]),0))</f>
        <v>0</v>
      </c>
      <c r="S1407" s="398">
        <f>uitkomst_doelgroep[[#This Row],[Arbeidsbesparing (€)]]*uitkomst_doelgroep[[#This Row],[Percentage van patiëntaantallen in Wlz (overige is Zvw)]]</f>
        <v>0</v>
      </c>
      <c r="T1407" s="398">
        <f>uitkomst_doelgroep[[#This Row],[Overige besparingen (€)]]*uitkomst_doelgroep[[#This Row],[Percentage van patiëntaantallen in Wlz (overige is Zvw)]]</f>
        <v>0</v>
      </c>
      <c r="U1407" s="398">
        <f>uitkomst_doelgroep[[#This Row],[Kosten (€)]]*uitkomst_doelgroep[[#This Row],[Percentage van patiëntaantallen in Wlz (overige is Zvw)]]</f>
        <v>0</v>
      </c>
      <c r="V1407" s="398">
        <f>uitkomst_doelgroep[[#This Row],[Investering (cash flow) (€)]]*uitkomst_doelgroep[[#This Row],[Percentage van patiëntaantallen in Wlz (overige is Zvw)]]</f>
        <v>0</v>
      </c>
    </row>
    <row r="1408" spans="1:22" x14ac:dyDescent="0.5">
      <c r="A1408" s="33" t="str">
        <f>INDEX(Technologieën[Veld],MATCH(B1408,Technologieën[Digitale zorgtoepassing],0))</f>
        <v>Digitale hulpmiddelen - Diagnose</v>
      </c>
      <c r="B1408" s="33" t="s">
        <v>82</v>
      </c>
      <c r="C1408" s="33" t="s">
        <v>703</v>
      </c>
      <c r="D1408" s="427" cm="1">
        <f t="array" ref="D1408">INDEX(Berekening_patiëntaantal[Percentage van patiëntaantallen in Wlz (overige is Zvw)],MATCH(B1408,IF(Berekening_patiëntaantal[Doelgroep (zoeksleutel)]=C1408,Berekening_patiëntaantal[Digitale zorgtoepassing]),0))</f>
        <v>0</v>
      </c>
      <c r="E1408" s="33" t="str" cm="1">
        <f t="array" ref="E1408">INDEX(Berekening_patiëntaantal[Direct toepasbaar/extrapolatie/incidentie voor QALY],MATCH(B1408,IF(Berekening_patiëntaantal[Doelgroep (zoeksleutel)]=C1408,Berekening_patiëntaantal[Digitale zorgtoepassing]),0))</f>
        <v>Huidige toepassing</v>
      </c>
      <c r="F1408" s="33" t="s">
        <v>813</v>
      </c>
      <c r="G1408" s="33" t="str">
        <f>CONCATENATE(uitkomst_doelgroep[[#This Row],[Digitale zorgtoepassing]],"_",uitkomst_doelgroep[[#This Row],[Doelgroep]],"_",uitkomst_doelgroep[[#This Row],[Uitgangssituatie/effect beleid]])</f>
        <v>Point-of-care (POC) testing_HAP contacten met labaratoriumonderzoek_Uitgangssituatie</v>
      </c>
      <c r="H1408" s="33">
        <v>2029</v>
      </c>
      <c r="I1408" s="32">
        <v>7</v>
      </c>
      <c r="J1408" s="406" cm="1">
        <f t="array" ref="J1408">INDEX(implementatie[[2023]:[2034]],MATCH(G1408, implementatie[Zoeksleutel],0),I1408)</f>
        <v>0.9195792000374251</v>
      </c>
      <c r="K1408" s="406" cm="1">
        <f t="array" ref="K1408">INDEX(implementatie[[2023]:[2034]],MATCH(G1408,implementatie[Zoeksleutel],0),I1408 + 1)</f>
        <v>0.95076893399505846</v>
      </c>
      <c r="L1408"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124143.19200505239</v>
      </c>
      <c r="M1408" s="398" cm="1">
        <f t="array" ref="M1408">J1408*INDEX(Berekening_impact[Totaal arbeidsbesparing (€/jaar)],MATCH(B1408,IF(Berekening_impact[Doelgroep]=C1408,Berekening_impact[Digitale zorgtoepassing]),0))</f>
        <v>7621814.5789148444</v>
      </c>
      <c r="N1408" s="397" cm="1">
        <f t="array" ref="N1408">J1408*INDEX(Berekening_impact[Totaal arbeidsbesparing (FTE/jaar)],MATCH(B1408,IF(Berekening_impact[Doelgroep]=C1408,Berekening_impact[Digitale zorgtoepassing]),0))</f>
        <v>139.21116673348195</v>
      </c>
      <c r="O1408" s="398" cm="1">
        <f t="array" ref="O1408">J1408*INDEX(Berekening_impact[Overige kostenbesparing (totaal/jaar totaal potentieel)],MATCH(B1408,IF(Berekening_impact[Doelgroep]=C1408,Berekening_impact[Digitale zorgtoepassing]),0))</f>
        <v>9758232.3017924912</v>
      </c>
      <c r="P1408" s="398" cm="1">
        <f t="array" ref="P1408">J1408*INDEX(Berekening_impact[Opbrengsten door QALY''s],MATCH(B1408,IF(Berekening_impact[Doelgroep]=C1408,Berekening_impact[Digitale zorgtoepassing]),0))</f>
        <v>0</v>
      </c>
      <c r="Q1408" s="398" cm="1">
        <f t="array" ref="Q1408">J1408*INDEX(Berekening_impact[Jaarlijkse kosten (totaal) - incl. schatting],MATCH(B1408,IF(Berekening_impact[Doelgroep]=C1408,Berekening_impact[Digitale zorgtoepassing]),0))</f>
        <v>3815334.1009552768</v>
      </c>
      <c r="R1408" s="398" cm="1">
        <f t="array" ref="R1408">(uitkomst_doelgroep[[#This Row],[Implementatiegraad t = T + 1]]-uitkomst_doelgroep[[#This Row],[Implementatiegraad t = T]])*INDEX(Berekening_impact[Initiële investering (totaal) - incl. schatting],MATCH(B1408,IF(Berekening_impact[Doelgroep]=C1408,Berekening_impact[Digitale zorgtoepassing]),0))</f>
        <v>0</v>
      </c>
      <c r="S1408" s="398">
        <f>uitkomst_doelgroep[[#This Row],[Arbeidsbesparing (€)]]*uitkomst_doelgroep[[#This Row],[Percentage van patiëntaantallen in Wlz (overige is Zvw)]]</f>
        <v>0</v>
      </c>
      <c r="T1408" s="398">
        <f>uitkomst_doelgroep[[#This Row],[Overige besparingen (€)]]*uitkomst_doelgroep[[#This Row],[Percentage van patiëntaantallen in Wlz (overige is Zvw)]]</f>
        <v>0</v>
      </c>
      <c r="U1408" s="398">
        <f>uitkomst_doelgroep[[#This Row],[Kosten (€)]]*uitkomst_doelgroep[[#This Row],[Percentage van patiëntaantallen in Wlz (overige is Zvw)]]</f>
        <v>0</v>
      </c>
      <c r="V1408" s="398">
        <f>uitkomst_doelgroep[[#This Row],[Investering (cash flow) (€)]]*uitkomst_doelgroep[[#This Row],[Percentage van patiëntaantallen in Wlz (overige is Zvw)]]</f>
        <v>0</v>
      </c>
    </row>
    <row r="1409" spans="1:22" x14ac:dyDescent="0.5">
      <c r="A1409" s="33" t="str">
        <f>INDEX(Technologieën[Veld],MATCH(B1409,Technologieën[Digitale zorgtoepassing],0))</f>
        <v>Digitale hulpmiddelen - Diagnose</v>
      </c>
      <c r="B1409" s="33" t="s">
        <v>82</v>
      </c>
      <c r="C1409" s="33" t="s">
        <v>703</v>
      </c>
      <c r="D1409" s="427" cm="1">
        <f t="array" ref="D1409">INDEX(Berekening_patiëntaantal[Percentage van patiëntaantallen in Wlz (overige is Zvw)],MATCH(B1409,IF(Berekening_patiëntaantal[Doelgroep (zoeksleutel)]=C1409,Berekening_patiëntaantal[Digitale zorgtoepassing]),0))</f>
        <v>0</v>
      </c>
      <c r="E1409" s="33" t="str" cm="1">
        <f t="array" ref="E1409">INDEX(Berekening_patiëntaantal[Direct toepasbaar/extrapolatie/incidentie voor QALY],MATCH(B1409,IF(Berekening_patiëntaantal[Doelgroep (zoeksleutel)]=C1409,Berekening_patiëntaantal[Digitale zorgtoepassing]),0))</f>
        <v>Huidige toepassing</v>
      </c>
      <c r="F1409" s="33" t="s">
        <v>813</v>
      </c>
      <c r="G1409" s="33" t="str">
        <f>CONCATENATE(uitkomst_doelgroep[[#This Row],[Digitale zorgtoepassing]],"_",uitkomst_doelgroep[[#This Row],[Doelgroep]],"_",uitkomst_doelgroep[[#This Row],[Uitgangssituatie/effect beleid]])</f>
        <v>Point-of-care (POC) testing_HAP contacten met labaratoriumonderzoek_Uitgangssituatie</v>
      </c>
      <c r="H1409" s="33">
        <v>2030</v>
      </c>
      <c r="I1409" s="32">
        <v>8</v>
      </c>
      <c r="J1409" s="406" cm="1">
        <f t="array" ref="J1409">INDEX(implementatie[[2023]:[2034]],MATCH(G1409, implementatie[Zoeksleutel],0),I1409)</f>
        <v>0.95076893399505846</v>
      </c>
      <c r="K1409" s="406" cm="1">
        <f t="array" ref="K1409">INDEX(implementatie[[2023]:[2034]],MATCH(G1409,implementatie[Zoeksleutel],0),I1409 + 1)</f>
        <v>0.97047650257314066</v>
      </c>
      <c r="L1409"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128353.80608933289</v>
      </c>
      <c r="M1409" s="398" cm="1">
        <f t="array" ref="M1409">J1409*INDEX(Berekening_impact[Totaal arbeidsbesparing (€/jaar)],MATCH(B1409,IF(Berekening_impact[Doelgroep]=C1409,Berekening_impact[Digitale zorgtoepassing]),0))</f>
        <v>7880326.6994381119</v>
      </c>
      <c r="N1409" s="397" cm="1">
        <f t="array" ref="N1409">J1409*INDEX(Berekening_impact[Totaal arbeidsbesparing (FTE/jaar)],MATCH(B1409,IF(Berekening_impact[Doelgroep]=C1409,Berekening_impact[Digitale zorgtoepassing]),0))</f>
        <v>143.9328473175712</v>
      </c>
      <c r="O1409" s="398" cm="1">
        <f t="array" ref="O1409">J1409*INDEX(Berekening_impact[Overige kostenbesparing (totaal/jaar totaal potentieel)],MATCH(B1409,IF(Berekening_impact[Doelgroep]=C1409,Berekening_impact[Digitale zorgtoepassing]),0))</f>
        <v>10089206.153068492</v>
      </c>
      <c r="P1409" s="398" cm="1">
        <f t="array" ref="P1409">J1409*INDEX(Berekening_impact[Opbrengsten door QALY''s],MATCH(B1409,IF(Berekening_impact[Doelgroep]=C1409,Berekening_impact[Digitale zorgtoepassing]),0))</f>
        <v>0</v>
      </c>
      <c r="Q1409" s="398" cm="1">
        <f t="array" ref="Q1409">J1409*INDEX(Berekening_impact[Jaarlijkse kosten (totaal) - incl. schatting],MATCH(B1409,IF(Berekening_impact[Doelgroep]=C1409,Berekening_impact[Digitale zorgtoepassing]),0))</f>
        <v>3944740.3071454978</v>
      </c>
      <c r="R1409" s="398" cm="1">
        <f t="array" ref="R1409">(uitkomst_doelgroep[[#This Row],[Implementatiegraad t = T + 1]]-uitkomst_doelgroep[[#This Row],[Implementatiegraad t = T]])*INDEX(Berekening_impact[Initiële investering (totaal) - incl. schatting],MATCH(B1409,IF(Berekening_impact[Doelgroep]=C1409,Berekening_impact[Digitale zorgtoepassing]),0))</f>
        <v>0</v>
      </c>
      <c r="S1409" s="398">
        <f>uitkomst_doelgroep[[#This Row],[Arbeidsbesparing (€)]]*uitkomst_doelgroep[[#This Row],[Percentage van patiëntaantallen in Wlz (overige is Zvw)]]</f>
        <v>0</v>
      </c>
      <c r="T1409" s="398">
        <f>uitkomst_doelgroep[[#This Row],[Overige besparingen (€)]]*uitkomst_doelgroep[[#This Row],[Percentage van patiëntaantallen in Wlz (overige is Zvw)]]</f>
        <v>0</v>
      </c>
      <c r="U1409" s="398">
        <f>uitkomst_doelgroep[[#This Row],[Kosten (€)]]*uitkomst_doelgroep[[#This Row],[Percentage van patiëntaantallen in Wlz (overige is Zvw)]]</f>
        <v>0</v>
      </c>
      <c r="V1409" s="398">
        <f>uitkomst_doelgroep[[#This Row],[Investering (cash flow) (€)]]*uitkomst_doelgroep[[#This Row],[Percentage van patiëntaantallen in Wlz (overige is Zvw)]]</f>
        <v>0</v>
      </c>
    </row>
    <row r="1410" spans="1:22" x14ac:dyDescent="0.5">
      <c r="A1410" s="33" t="str">
        <f>INDEX(Technologieën[Veld],MATCH(B1410,Technologieën[Digitale zorgtoepassing],0))</f>
        <v>Digitale hulpmiddelen - Diagnose</v>
      </c>
      <c r="B1410" s="33" t="s">
        <v>82</v>
      </c>
      <c r="C1410" s="33" t="s">
        <v>703</v>
      </c>
      <c r="D1410" s="427" cm="1">
        <f t="array" ref="D1410">INDEX(Berekening_patiëntaantal[Percentage van patiëntaantallen in Wlz (overige is Zvw)],MATCH(B1410,IF(Berekening_patiëntaantal[Doelgroep (zoeksleutel)]=C1410,Berekening_patiëntaantal[Digitale zorgtoepassing]),0))</f>
        <v>0</v>
      </c>
      <c r="E1410" s="33" t="str" cm="1">
        <f t="array" ref="E1410">INDEX(Berekening_patiëntaantal[Direct toepasbaar/extrapolatie/incidentie voor QALY],MATCH(B1410,IF(Berekening_patiëntaantal[Doelgroep (zoeksleutel)]=C1410,Berekening_patiëntaantal[Digitale zorgtoepassing]),0))</f>
        <v>Huidige toepassing</v>
      </c>
      <c r="F1410" s="33" t="s">
        <v>813</v>
      </c>
      <c r="G1410" s="33" t="str">
        <f>CONCATENATE(uitkomst_doelgroep[[#This Row],[Digitale zorgtoepassing]],"_",uitkomst_doelgroep[[#This Row],[Doelgroep]],"_",uitkomst_doelgroep[[#This Row],[Uitgangssituatie/effect beleid]])</f>
        <v>Point-of-care (POC) testing_HAP contacten met labaratoriumonderzoek_Uitgangssituatie</v>
      </c>
      <c r="H1410" s="33">
        <v>2031</v>
      </c>
      <c r="I1410" s="32">
        <v>9</v>
      </c>
      <c r="J1410" s="406" cm="1">
        <f t="array" ref="J1410">INDEX(implementatie[[2023]:[2034]],MATCH(G1410, implementatie[Zoeksleutel],0),I1410)</f>
        <v>0.97047650257314066</v>
      </c>
      <c r="K1410" s="406" cm="1">
        <f t="array" ref="K1410">INDEX(implementatie[[2023]:[2034]],MATCH(G1410,implementatie[Zoeksleutel],0),I1410 + 1)</f>
        <v>0.98252771673229611</v>
      </c>
      <c r="L1410"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131014.32784737399</v>
      </c>
      <c r="M1410" s="398" cm="1">
        <f t="array" ref="M1410">J1410*INDEX(Berekening_impact[Totaal arbeidsbesparing (€/jaar)],MATCH(B1410,IF(Berekening_impact[Doelgroep]=C1410,Berekening_impact[Digitale zorgtoepassing]),0))</f>
        <v>8043670.3608620306</v>
      </c>
      <c r="N1410" s="397" cm="1">
        <f t="array" ref="N1410">J1410*INDEX(Berekening_impact[Totaal arbeidsbesparing (FTE/jaar)],MATCH(B1410,IF(Berekening_impact[Doelgroep]=C1410,Berekening_impact[Digitale zorgtoepassing]),0))</f>
        <v>146.91629193563483</v>
      </c>
      <c r="O1410" s="398" cm="1">
        <f t="array" ref="O1410">J1410*INDEX(Berekening_impact[Overige kostenbesparing (totaal/jaar totaal potentieel)],MATCH(B1410,IF(Berekening_impact[Doelgroep]=C1410,Berekening_impact[Digitale zorgtoepassing]),0))</f>
        <v>10298335.537770327</v>
      </c>
      <c r="P1410" s="398" cm="1">
        <f t="array" ref="P1410">J1410*INDEX(Berekening_impact[Opbrengsten door QALY''s],MATCH(B1410,IF(Berekening_impact[Doelgroep]=C1410,Berekening_impact[Digitale zorgtoepassing]),0))</f>
        <v>0</v>
      </c>
      <c r="Q1410" s="398" cm="1">
        <f t="array" ref="Q1410">J1410*INDEX(Berekening_impact[Jaarlijkse kosten (totaal) - incl. schatting],MATCH(B1410,IF(Berekening_impact[Doelgroep]=C1410,Berekening_impact[Digitale zorgtoepassing]),0))</f>
        <v>4026507.0091759604</v>
      </c>
      <c r="R1410" s="398" cm="1">
        <f t="array" ref="R1410">(uitkomst_doelgroep[[#This Row],[Implementatiegraad t = T + 1]]-uitkomst_doelgroep[[#This Row],[Implementatiegraad t = T]])*INDEX(Berekening_impact[Initiële investering (totaal) - incl. schatting],MATCH(B1410,IF(Berekening_impact[Doelgroep]=C1410,Berekening_impact[Digitale zorgtoepassing]),0))</f>
        <v>0</v>
      </c>
      <c r="S1410" s="398">
        <f>uitkomst_doelgroep[[#This Row],[Arbeidsbesparing (€)]]*uitkomst_doelgroep[[#This Row],[Percentage van patiëntaantallen in Wlz (overige is Zvw)]]</f>
        <v>0</v>
      </c>
      <c r="T1410" s="398">
        <f>uitkomst_doelgroep[[#This Row],[Overige besparingen (€)]]*uitkomst_doelgroep[[#This Row],[Percentage van patiëntaantallen in Wlz (overige is Zvw)]]</f>
        <v>0</v>
      </c>
      <c r="U1410" s="398">
        <f>uitkomst_doelgroep[[#This Row],[Kosten (€)]]*uitkomst_doelgroep[[#This Row],[Percentage van patiëntaantallen in Wlz (overige is Zvw)]]</f>
        <v>0</v>
      </c>
      <c r="V1410" s="398">
        <f>uitkomst_doelgroep[[#This Row],[Investering (cash flow) (€)]]*uitkomst_doelgroep[[#This Row],[Percentage van patiëntaantallen in Wlz (overige is Zvw)]]</f>
        <v>0</v>
      </c>
    </row>
    <row r="1411" spans="1:22" x14ac:dyDescent="0.5">
      <c r="A1411" s="33" t="str">
        <f>INDEX(Technologieën[Veld],MATCH(B1411,Technologieën[Digitale zorgtoepassing],0))</f>
        <v>Digitale hulpmiddelen - Diagnose</v>
      </c>
      <c r="B1411" s="33" t="s">
        <v>82</v>
      </c>
      <c r="C1411" s="33" t="s">
        <v>703</v>
      </c>
      <c r="D1411" s="427" cm="1">
        <f t="array" ref="D1411">INDEX(Berekening_patiëntaantal[Percentage van patiëntaantallen in Wlz (overige is Zvw)],MATCH(B1411,IF(Berekening_patiëntaantal[Doelgroep (zoeksleutel)]=C1411,Berekening_patiëntaantal[Digitale zorgtoepassing]),0))</f>
        <v>0</v>
      </c>
      <c r="E1411" s="33" t="str" cm="1">
        <f t="array" ref="E1411">INDEX(Berekening_patiëntaantal[Direct toepasbaar/extrapolatie/incidentie voor QALY],MATCH(B1411,IF(Berekening_patiëntaantal[Doelgroep (zoeksleutel)]=C1411,Berekening_patiëntaantal[Digitale zorgtoepassing]),0))</f>
        <v>Huidige toepassing</v>
      </c>
      <c r="F1411" s="33" t="s">
        <v>813</v>
      </c>
      <c r="G1411" s="33" t="str">
        <f>CONCATENATE(uitkomst_doelgroep[[#This Row],[Digitale zorgtoepassing]],"_",uitkomst_doelgroep[[#This Row],[Doelgroep]],"_",uitkomst_doelgroep[[#This Row],[Uitgangssituatie/effect beleid]])</f>
        <v>Point-of-care (POC) testing_HAP contacten met labaratoriumonderzoek_Uitgangssituatie</v>
      </c>
      <c r="H1411" s="33">
        <v>2032</v>
      </c>
      <c r="I1411" s="32">
        <v>10</v>
      </c>
      <c r="J1411" s="406" cm="1">
        <f t="array" ref="J1411">INDEX(implementatie[[2023]:[2034]],MATCH(G1411, implementatie[Zoeksleutel],0),I1411)</f>
        <v>0.98252771673229611</v>
      </c>
      <c r="K1411" s="406" cm="1">
        <f t="array" ref="K1411">INDEX(implementatie[[2023]:[2034]],MATCH(G1411,implementatie[Zoeksleutel],0),I1411 + 1)</f>
        <v>0.98974396343169702</v>
      </c>
      <c r="L1411"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132641.24175885998</v>
      </c>
      <c r="M1411" s="398" cm="1">
        <f t="array" ref="M1411">J1411*INDEX(Berekening_impact[Totaal arbeidsbesparing (€/jaar)],MATCH(B1411,IF(Berekening_impact[Doelgroep]=C1411,Berekening_impact[Digitale zorgtoepassing]),0))</f>
        <v>8143555.3079858217</v>
      </c>
      <c r="N1411" s="397" cm="1">
        <f t="array" ref="N1411">J1411*INDEX(Berekening_impact[Totaal arbeidsbesparing (FTE/jaar)],MATCH(B1411,IF(Berekening_impact[Doelgroep]=C1411,Berekening_impact[Digitale zorgtoepassing]),0))</f>
        <v>148.74067376547922</v>
      </c>
      <c r="O1411" s="398" cm="1">
        <f t="array" ref="O1411">J1411*INDEX(Berekening_impact[Overige kostenbesparing (totaal/jaar totaal potentieel)],MATCH(B1411,IF(Berekening_impact[Doelgroep]=C1411,Berekening_impact[Digitale zorgtoepassing]),0))</f>
        <v>10426218.538254576</v>
      </c>
      <c r="P1411" s="398" cm="1">
        <f t="array" ref="P1411">J1411*INDEX(Berekening_impact[Opbrengsten door QALY''s],MATCH(B1411,IF(Berekening_impact[Doelgroep]=C1411,Berekening_impact[Digitale zorgtoepassing]),0))</f>
        <v>0</v>
      </c>
      <c r="Q1411" s="398" cm="1">
        <f t="array" ref="Q1411">J1411*INDEX(Berekening_impact[Jaarlijkse kosten (totaal) - incl. schatting],MATCH(B1411,IF(Berekening_impact[Doelgroep]=C1411,Berekening_impact[Digitale zorgtoepassing]),0))</f>
        <v>4076507.4967222963</v>
      </c>
      <c r="R1411" s="398" cm="1">
        <f t="array" ref="R1411">(uitkomst_doelgroep[[#This Row],[Implementatiegraad t = T + 1]]-uitkomst_doelgroep[[#This Row],[Implementatiegraad t = T]])*INDEX(Berekening_impact[Initiële investering (totaal) - incl. schatting],MATCH(B1411,IF(Berekening_impact[Doelgroep]=C1411,Berekening_impact[Digitale zorgtoepassing]),0))</f>
        <v>0</v>
      </c>
      <c r="S1411" s="398">
        <f>uitkomst_doelgroep[[#This Row],[Arbeidsbesparing (€)]]*uitkomst_doelgroep[[#This Row],[Percentage van patiëntaantallen in Wlz (overige is Zvw)]]</f>
        <v>0</v>
      </c>
      <c r="T1411" s="398">
        <f>uitkomst_doelgroep[[#This Row],[Overige besparingen (€)]]*uitkomst_doelgroep[[#This Row],[Percentage van patiëntaantallen in Wlz (overige is Zvw)]]</f>
        <v>0</v>
      </c>
      <c r="U1411" s="398">
        <f>uitkomst_doelgroep[[#This Row],[Kosten (€)]]*uitkomst_doelgroep[[#This Row],[Percentage van patiëntaantallen in Wlz (overige is Zvw)]]</f>
        <v>0</v>
      </c>
      <c r="V1411" s="398">
        <f>uitkomst_doelgroep[[#This Row],[Investering (cash flow) (€)]]*uitkomst_doelgroep[[#This Row],[Percentage van patiëntaantallen in Wlz (overige is Zvw)]]</f>
        <v>0</v>
      </c>
    </row>
    <row r="1412" spans="1:22" x14ac:dyDescent="0.5">
      <c r="A1412" s="33" t="str">
        <f>INDEX(Technologieën[Veld],MATCH(B1412,Technologieën[Digitale zorgtoepassing],0))</f>
        <v>Digitale hulpmiddelen - Diagnose</v>
      </c>
      <c r="B1412" s="33" t="s">
        <v>82</v>
      </c>
      <c r="C1412" s="33" t="s">
        <v>703</v>
      </c>
      <c r="D1412" s="427" cm="1">
        <f t="array" ref="D1412">INDEX(Berekening_patiëntaantal[Percentage van patiëntaantallen in Wlz (overige is Zvw)],MATCH(B1412,IF(Berekening_patiëntaantal[Doelgroep (zoeksleutel)]=C1412,Berekening_patiëntaantal[Digitale zorgtoepassing]),0))</f>
        <v>0</v>
      </c>
      <c r="E1412" s="33" t="str" cm="1">
        <f t="array" ref="E1412">INDEX(Berekening_patiëntaantal[Direct toepasbaar/extrapolatie/incidentie voor QALY],MATCH(B1412,IF(Berekening_patiëntaantal[Doelgroep (zoeksleutel)]=C1412,Berekening_patiëntaantal[Digitale zorgtoepassing]),0))</f>
        <v>Huidige toepassing</v>
      </c>
      <c r="F1412" s="33" t="s">
        <v>813</v>
      </c>
      <c r="G1412" s="33" t="str">
        <f>CONCATENATE(uitkomst_doelgroep[[#This Row],[Digitale zorgtoepassing]],"_",uitkomst_doelgroep[[#This Row],[Doelgroep]],"_",uitkomst_doelgroep[[#This Row],[Uitgangssituatie/effect beleid]])</f>
        <v>Point-of-care (POC) testing_HAP contacten met labaratoriumonderzoek_Uitgangssituatie</v>
      </c>
      <c r="H1412" s="33">
        <v>2033</v>
      </c>
      <c r="I1412" s="32">
        <v>11</v>
      </c>
      <c r="J1412" s="406" cm="1">
        <f t="array" ref="J1412">INDEX(implementatie[[2023]:[2034]],MATCH(G1412, implementatie[Zoeksleutel],0),I1412)</f>
        <v>0.98974396343169702</v>
      </c>
      <c r="K1412" s="406" cm="1">
        <f t="array" ref="K1412">INDEX(implementatie[[2023]:[2034]],MATCH(G1412,implementatie[Zoeksleutel],0),I1412 + 1)</f>
        <v>0.99400942427594807</v>
      </c>
      <c r="L1412" s="397">
        <f>SUMIFS(Berekening_patiëntaantal[Patiëntaantallen],Berekening_patiëntaantal[Doelgroep (zoeksleutel)],uitkomst_doelgroep[[#This Row],[Doelgroep]],Berekening_patiëntaantal[Digitale zorgtoepassing],uitkomst_doelgroep[[#This Row],[Digitale zorgtoepassing]],Berekening_patiëntaantal[Direct toepasbaar/extrapolatie/incidentie voor QALY],"&lt;&gt;Incidentie voor QALY")*uitkomst_doelgroep[[#This Row],[Implementatiegraad t = T]]</f>
        <v>133615.43506327909</v>
      </c>
      <c r="M1412" s="398" cm="1">
        <f t="array" ref="M1412">J1412*INDEX(Berekening_impact[Totaal arbeidsbesparing (€/jaar)],MATCH(B1412,IF(Berekening_impact[Doelgroep]=C1412,Berekening_impact[Digitale zorgtoepassing]),0))</f>
        <v>8203366.2457455071</v>
      </c>
      <c r="N1412" s="397" cm="1">
        <f t="array" ref="N1412">J1412*INDEX(Berekening_impact[Totaal arbeidsbesparing (FTE/jaar)],MATCH(B1412,IF(Berekening_impact[Doelgroep]=C1412,Berekening_impact[Digitale zorgtoepassing]),0))</f>
        <v>149.83311052614033</v>
      </c>
      <c r="O1412" s="398" cm="1">
        <f t="array" ref="O1412">J1412*INDEX(Berekening_impact[Overige kostenbesparing (totaal/jaar totaal potentieel)],MATCH(B1412,IF(Berekening_impact[Doelgroep]=C1412,Berekening_impact[Digitale zorgtoepassing]),0))</f>
        <v>10502794.663113566</v>
      </c>
      <c r="P1412" s="398" cm="1">
        <f t="array" ref="P1412">J1412*INDEX(Berekening_impact[Opbrengsten door QALY''s],MATCH(B1412,IF(Berekening_impact[Doelgroep]=C1412,Berekening_impact[Digitale zorgtoepassing]),0))</f>
        <v>0</v>
      </c>
      <c r="Q1412" s="398" cm="1">
        <f t="array" ref="Q1412">J1412*INDEX(Berekening_impact[Jaarlijkse kosten (totaal) - incl. schatting],MATCH(B1412,IF(Berekening_impact[Doelgroep]=C1412,Berekening_impact[Digitale zorgtoepassing]),0))</f>
        <v>4106447.704278111</v>
      </c>
      <c r="R1412" s="398" cm="1">
        <f t="array" ref="R1412">(uitkomst_doelgroep[[#This Row],[Implementatiegraad t = T + 1]]-uitkomst_doelgroep[[#This Row],[Implementatiegraad t = T]])*INDEX(Berekening_impact[Initiële investering (totaal) - incl. schatting],MATCH(B1412,IF(Berekening_impact[Doelgroep]=C1412,Berekening_impact[Digitale zorgtoepassing]),0))</f>
        <v>0</v>
      </c>
      <c r="S1412" s="398">
        <f>uitkomst_doelgroep[[#This Row],[Arbeidsbesparing (€)]]*uitkomst_doelgroep[[#This Row],[Percentage van patiëntaantallen in Wlz (overige is Zvw)]]</f>
        <v>0</v>
      </c>
      <c r="T1412" s="398">
        <f>uitkomst_doelgroep[[#This Row],[Overige besparingen (€)]]*uitkomst_doelgroep[[#This Row],[Percentage van patiëntaantallen in Wlz (overige is Zvw)]]</f>
        <v>0</v>
      </c>
      <c r="U1412" s="398">
        <f>uitkomst_doelgroep[[#This Row],[Kosten (€)]]*uitkomst_doelgroep[[#This Row],[Percentage van patiëntaantallen in Wlz (overige is Zvw)]]</f>
        <v>0</v>
      </c>
      <c r="V1412" s="398">
        <f>uitkomst_doelgroep[[#This Row],[Investering (cash flow) (€)]]*uitkomst_doelgroep[[#This Row],[Percentage van patiëntaantallen in Wlz (overige is Zvw)]]</f>
        <v>0</v>
      </c>
    </row>
  </sheetData>
  <sheetProtection algorithmName="SHA-512" hashValue="DRlFL5l9l/O2lNUFfTWamCxShNUUt8NASv85DbXQ+PcyyZmGYHKZq7E0sR79M0b7o8haFvXrG+ejMM1HbafsOg==" saltValue="aZZe4dzR6ixEctM5N2gjKQ==" spinCount="100000" sheet="1" objects="1" scenarios="1" selectLockedCells="1" selectUnlockedCells="1"/>
  <mergeCells count="2">
    <mergeCell ref="A1:C2"/>
    <mergeCell ref="S3:V3"/>
  </mergeCells>
  <phoneticPr fontId="4" type="noConversion"/>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A1E37-6C1C-422C-9084-86575F7C85C0}">
  <sheetPr codeName="Blad3">
    <tabColor theme="5"/>
  </sheetPr>
  <dimension ref="A1:U109"/>
  <sheetViews>
    <sheetView zoomScale="80" zoomScaleNormal="80" workbookViewId="0">
      <selection sqref="A1:D2"/>
    </sheetView>
  </sheetViews>
  <sheetFormatPr defaultColWidth="9.23046875" defaultRowHeight="17" x14ac:dyDescent="0.5"/>
  <cols>
    <col min="1" max="1" width="2.4609375" style="178" customWidth="1"/>
    <col min="2" max="2" width="47" style="178" customWidth="1"/>
    <col min="3" max="4" width="14.53515625" style="178" customWidth="1"/>
    <col min="5" max="5" width="15.07421875" style="178" customWidth="1"/>
    <col min="6" max="6" width="14.69140625" style="178" customWidth="1"/>
    <col min="7" max="8" width="12.765625" style="178" customWidth="1"/>
    <col min="9" max="9" width="14.765625" style="178" customWidth="1"/>
    <col min="10" max="10" width="16.07421875" style="178" customWidth="1"/>
    <col min="11" max="11" width="12.765625" style="178" customWidth="1"/>
    <col min="12" max="12" width="28.23046875" style="178" bestFit="1" customWidth="1"/>
    <col min="13" max="13" width="27.69140625" style="178" bestFit="1" customWidth="1"/>
    <col min="14" max="14" width="15.84375" style="178" bestFit="1" customWidth="1"/>
    <col min="15" max="15" width="17.4609375" style="178" bestFit="1" customWidth="1"/>
    <col min="16" max="16" width="20" style="178" customWidth="1"/>
    <col min="17" max="17" width="14.53515625" style="178" customWidth="1"/>
    <col min="18" max="18" width="17.07421875" style="178" bestFit="1" customWidth="1"/>
    <col min="19" max="19" width="16.07421875" style="178" bestFit="1" customWidth="1"/>
    <col min="20" max="20" width="14" style="178" customWidth="1"/>
    <col min="21" max="21" width="16.07421875" style="178" customWidth="1"/>
    <col min="22" max="22" width="38.765625" style="178" bestFit="1" customWidth="1"/>
    <col min="23" max="16384" width="9.23046875" style="178"/>
  </cols>
  <sheetData>
    <row r="1" spans="1:21" x14ac:dyDescent="0.5">
      <c r="A1" s="476" t="s">
        <v>1032</v>
      </c>
      <c r="B1" s="477"/>
      <c r="C1" s="477"/>
      <c r="D1" s="478"/>
    </row>
    <row r="2" spans="1:21" ht="17.5" thickBot="1" x14ac:dyDescent="0.55000000000000004">
      <c r="A2" s="479"/>
      <c r="B2" s="480"/>
      <c r="C2" s="480"/>
      <c r="D2" s="481"/>
    </row>
    <row r="3" spans="1:21" x14ac:dyDescent="0.5">
      <c r="A3" s="364"/>
      <c r="B3" s="364"/>
      <c r="C3" s="364"/>
      <c r="D3" s="364"/>
    </row>
    <row r="4" spans="1:21" s="484" customFormat="1" ht="17.5" thickBot="1" x14ac:dyDescent="0.55000000000000004">
      <c r="A4" s="279"/>
      <c r="B4" s="484" t="s">
        <v>790</v>
      </c>
    </row>
    <row r="5" spans="1:21" s="195" customFormat="1" ht="34.5" thickBot="1" x14ac:dyDescent="0.55000000000000004">
      <c r="B5" s="292" t="s">
        <v>983</v>
      </c>
      <c r="L5" s="362"/>
      <c r="M5" s="363">
        <v>2023</v>
      </c>
      <c r="N5" s="490" t="s">
        <v>1023</v>
      </c>
      <c r="O5" s="490"/>
      <c r="P5" s="490"/>
      <c r="Q5" s="490"/>
      <c r="R5" s="490" t="s">
        <v>35</v>
      </c>
      <c r="S5" s="490"/>
      <c r="T5" s="490"/>
      <c r="U5" s="490"/>
    </row>
    <row r="6" spans="1:21" ht="115.5" customHeight="1" x14ac:dyDescent="0.5">
      <c r="B6" s="57" t="s">
        <v>985</v>
      </c>
      <c r="C6" s="47" t="s">
        <v>1002</v>
      </c>
      <c r="D6" s="48" t="s">
        <v>1003</v>
      </c>
      <c r="E6" s="48" t="s">
        <v>1011</v>
      </c>
      <c r="F6" s="48" t="s">
        <v>1004</v>
      </c>
      <c r="G6" s="48" t="s">
        <v>1028</v>
      </c>
      <c r="H6" s="55" t="s">
        <v>625</v>
      </c>
      <c r="I6" s="56" t="s">
        <v>999</v>
      </c>
      <c r="J6" s="67" t="s">
        <v>792</v>
      </c>
      <c r="L6" s="57"/>
      <c r="M6" s="361" t="s">
        <v>1019</v>
      </c>
      <c r="N6" s="48" t="s">
        <v>1029</v>
      </c>
      <c r="O6" s="47" t="s">
        <v>1024</v>
      </c>
      <c r="P6" s="48" t="s">
        <v>1025</v>
      </c>
      <c r="Q6" s="361" t="s">
        <v>1005</v>
      </c>
      <c r="R6" s="48" t="s">
        <v>1030</v>
      </c>
      <c r="S6" s="47" t="s">
        <v>1026</v>
      </c>
      <c r="T6" s="48" t="s">
        <v>1027</v>
      </c>
      <c r="U6" s="361" t="s">
        <v>1006</v>
      </c>
    </row>
    <row r="7" spans="1:21" x14ac:dyDescent="0.5">
      <c r="B7" s="70" t="s">
        <v>7</v>
      </c>
      <c r="C7" s="174">
        <f>SUMIFS(Uitkomsten_per_tech[Gemiddelde totale jaarlijkse arbeidsbesparing (€)],Uitkomsten_per_tech[Veld],$B7)/1000000</f>
        <v>22.05471988819389</v>
      </c>
      <c r="D7" s="284">
        <f>SUMIFS(Uitkomsten_per_tech[Gemiddelde jaarlijkse arbeidsbesparing (FTE)],Uitkomsten_per_tech[Veld],B7)</f>
        <v>410.18261530627984</v>
      </c>
      <c r="E7" s="174">
        <f>SUMIFS(Uitkomsten_per_tech[Gemiddelde overige jaarlijkse kostenbesparing (€)],Uitkomsten_per_tech[Veld],$B7)/1000000</f>
        <v>23.370711409379549</v>
      </c>
      <c r="F7" s="285" cm="1">
        <f t="array" ref="F7">SUMIFS(Uitkomsten_per_tech[Gemiddelde opbrengsten door QALY''s],Uitkomsten_per_tech[Veld],$B7)/QALY[Waarde gezond levensjaar]</f>
        <v>0</v>
      </c>
      <c r="G7" s="174">
        <f>C7+E7</f>
        <v>45.425431297573439</v>
      </c>
      <c r="H7" s="174">
        <f>SUMIFS(Uitkomsten_per_tech[Gemiddelde jaarlijkse kosten (totaal) (€) incl schatting],Uitkomsten_per_tech[Veld],$B7)/1000000</f>
        <v>8.3640290799999999</v>
      </c>
      <c r="I7" s="174">
        <f>SUMIFS(Uitkomsten_per_tech[Gemiddelde initiële investering (€) incl schatting],Uitkomsten_per_tech[Veld],$B7)/1000000</f>
        <v>0</v>
      </c>
      <c r="J7" s="175">
        <f t="shared" ref="J7:J13" si="0">G7-H7-I7</f>
        <v>37.061402217573438</v>
      </c>
      <c r="L7" s="70" t="s">
        <v>7</v>
      </c>
      <c r="M7" s="175">
        <f>(SUMIFS(uitkomst_veld[Arbeidsbesparing (€/jaar)],uitkomst_veld[Jaar],"2023",uitkomst_veld[Veld],$L7,uitkomst_veld[Uitgangssituatie/effect beleid],"Uitgangssituatie")+SUMIFS(uitkomst_veld[Overige besparingen],uitkomst_veld[Jaar],"2023",uitkomst_veld[Veld],$L7,uitkomst_veld[Uitgangssituatie/effect beleid],"Uitgangssituatie"))/1000000</f>
        <v>15.079443859514686</v>
      </c>
      <c r="N7" s="453">
        <f>SUMIFS(Berekening_impact[Totaal arbeidsbesparing (FTE/jaar)],Berekening_impact[Veld],$L7,Berekening_impact[Direct toepasbaar/extrapolatie/incidentie voor QALY],"Huidige toepassing")</f>
        <v>410.18261530627979</v>
      </c>
      <c r="O7" s="174">
        <f>SUMIFS(Berekening_impact[Totaal arbeidsbesparing (€/jaar)],Berekening_impact[Veld],$L7,Berekening_impact[Direct toepasbaar/extrapolatie/incidentie voor QALY],"Huidige toepassing")/1000000</f>
        <v>22.054719888193887</v>
      </c>
      <c r="P7" s="174">
        <f>SUMIFS(Berekening_impact[Overige kostenbesparing (totaal/jaar totaal potentieel)],Berekening_impact[Veld],$L7,Berekening_impact[Direct toepasbaar/extrapolatie/incidentie voor QALY],"Huidige toepassing")/1000000</f>
        <v>23.370711409379549</v>
      </c>
      <c r="Q7" s="175">
        <f>O7+P7</f>
        <v>45.425431297573439</v>
      </c>
      <c r="R7" s="453">
        <f>SUMIFS(Berekening_impact[Totaal arbeidsbesparing (FTE/jaar)],Berekening_impact[Veld],$L7,Berekening_impact[Direct toepasbaar/extrapolatie/incidentie voor QALY],"Extrapolatie")</f>
        <v>0</v>
      </c>
      <c r="S7" s="174">
        <f>SUMIFS(Berekening_impact[Totaal arbeidsbesparing (€/jaar)],Berekening_impact[Veld],$L7,Berekening_impact[Direct toepasbaar/extrapolatie/incidentie voor QALY],"Extrapolatie")/1000000</f>
        <v>0</v>
      </c>
      <c r="T7" s="174">
        <f>SUMIFS(Berekening_impact[Overige kostenbesparing (totaal/jaar totaal potentieel)],Berekening_impact[Veld],$L7,Berekening_impact[Direct toepasbaar/extrapolatie/incidentie voor QALY],"Extrapolatie")/1000000</f>
        <v>0</v>
      </c>
      <c r="U7" s="175">
        <f>S7+T7</f>
        <v>0</v>
      </c>
    </row>
    <row r="8" spans="1:21" x14ac:dyDescent="0.5">
      <c r="B8" s="70" t="s">
        <v>11</v>
      </c>
      <c r="C8" s="174">
        <f>SUMIFS(Uitkomsten_per_tech[Gemiddelde totale jaarlijkse arbeidsbesparing (€)],Uitkomsten_per_tech[Veld],$B8)/1000000</f>
        <v>64.846049001803408</v>
      </c>
      <c r="D8" s="284">
        <f>SUMIFS(Uitkomsten_per_tech[Gemiddelde jaarlijkse arbeidsbesparing (FTE)],Uitkomsten_per_tech[Veld],B8)</f>
        <v>517.24319551549149</v>
      </c>
      <c r="E8" s="174">
        <f>SUMIFS(Uitkomsten_per_tech[Gemiddelde overige jaarlijkse kostenbesparing (€)],Uitkomsten_per_tech[Veld],$B8)/1000000</f>
        <v>2.1</v>
      </c>
      <c r="F8" s="285" cm="1">
        <f t="array" ref="F8">SUMIFS(Uitkomsten_per_tech[Gemiddelde opbrengsten door QALY''s],Uitkomsten_per_tech[Veld],$B8)/QALY[Waarde gezond levensjaar]</f>
        <v>787.47619999999995</v>
      </c>
      <c r="G8" s="174">
        <f t="shared" ref="G8:G12" si="1">C8+E8</f>
        <v>66.946049001803402</v>
      </c>
      <c r="H8" s="174">
        <f>SUMIFS(Uitkomsten_per_tech[Gemiddelde jaarlijkse kosten (totaal) (€) incl schatting],Uitkomsten_per_tech[Veld],$B8)/1000000</f>
        <v>56.892875278881121</v>
      </c>
      <c r="I8" s="174">
        <f>SUMIFS(Uitkomsten_per_tech[Gemiddelde initiële investering (€) incl schatting],Uitkomsten_per_tech[Veld],$B8)/1000000</f>
        <v>1.9909875651478883</v>
      </c>
      <c r="J8" s="175">
        <f t="shared" si="0"/>
        <v>8.0621861577743932</v>
      </c>
      <c r="L8" s="70" t="s">
        <v>11</v>
      </c>
      <c r="M8" s="175">
        <f>(SUMIFS(uitkomst_veld[Arbeidsbesparing (€/jaar)],uitkomst_veld[Jaar],"2023",uitkomst_veld[Veld],$L8,uitkomst_veld[Uitgangssituatie/effect beleid],"Uitgangssituatie")+SUMIFS(uitkomst_veld[Overige besparingen],uitkomst_veld[Jaar],"2023",uitkomst_veld[Veld],$L8,uitkomst_veld[Uitgangssituatie/effect beleid],"Uitgangssituatie"))/1000000</f>
        <v>17.294095864316386</v>
      </c>
      <c r="N8" s="453">
        <f>SUMIFS(Berekening_impact[Totaal arbeidsbesparing (FTE/jaar)],Berekening_impact[Veld],$L8,Berekening_impact[Direct toepasbaar/extrapolatie/incidentie voor QALY],"Huidige toepassing")</f>
        <v>362.7460959561966</v>
      </c>
      <c r="O8" s="174">
        <f>SUMIFS(Berekening_impact[Totaal arbeidsbesparing (€/jaar)],Berekening_impact[Veld],$L8,Berekening_impact[Direct toepasbaar/extrapolatie/incidentie voor QALY],"Huidige toepassing")/1000000</f>
        <v>35.537034308443175</v>
      </c>
      <c r="P8" s="174">
        <f>SUMIFS(Berekening_impact[Overige kostenbesparing (totaal/jaar totaal potentieel)],Berekening_impact[Veld],$L8,Berekening_impact[Direct toepasbaar/extrapolatie/incidentie voor QALY],"Huidige toepassing")/1000000</f>
        <v>2.1</v>
      </c>
      <c r="Q8" s="175">
        <f t="shared" ref="Q8:Q12" si="2">O8+P8</f>
        <v>37.637034308443177</v>
      </c>
      <c r="R8" s="453">
        <f>SUMIFS(Berekening_impact[Totaal arbeidsbesparing (FTE/jaar)],Berekening_impact[Veld],$L8,Berekening_impact[Direct toepasbaar/extrapolatie/incidentie voor QALY],"Extrapolatie")</f>
        <v>154.4970995592949</v>
      </c>
      <c r="S8" s="174">
        <f>SUMIFS(Berekening_impact[Totaal arbeidsbesparing (€/jaar)],Berekening_impact[Veld],$L8,Berekening_impact[Direct toepasbaar/extrapolatie/incidentie voor QALY],"Extrapolatie")/1000000</f>
        <v>29.309014693360229</v>
      </c>
      <c r="T8" s="174">
        <f>SUMIFS(Berekening_impact[Overige kostenbesparing (totaal/jaar totaal potentieel)],Berekening_impact[Veld],$L8,Berekening_impact[Direct toepasbaar/extrapolatie/incidentie voor QALY],"Extrapolatie")/1000000</f>
        <v>0</v>
      </c>
      <c r="U8" s="175">
        <f t="shared" ref="U8:U12" si="3">S8+T8</f>
        <v>29.309014693360229</v>
      </c>
    </row>
    <row r="9" spans="1:21" ht="16.5" customHeight="1" x14ac:dyDescent="0.5">
      <c r="B9" s="70" t="s">
        <v>9</v>
      </c>
      <c r="C9" s="174">
        <f>SUMIFS(Uitkomsten_per_tech[Gemiddelde totale jaarlijkse arbeidsbesparing (€)],Uitkomsten_per_tech[Veld],$B9)/1000000</f>
        <v>125.41113077739831</v>
      </c>
      <c r="D9" s="284">
        <f>SUMIFS(Uitkomsten_per_tech[Gemiddelde jaarlijkse arbeidsbesparing (FTE)],Uitkomsten_per_tech[Veld],B9)</f>
        <v>2222.5179755700979</v>
      </c>
      <c r="E9" s="174">
        <f>SUMIFS(Uitkomsten_per_tech[Gemiddelde overige jaarlijkse kostenbesparing (€)],Uitkomsten_per_tech[Veld],$B9)/1000000</f>
        <v>78.359525856503112</v>
      </c>
      <c r="F9" s="285" cm="1">
        <f t="array" ref="F9">SUMIFS(Uitkomsten_per_tech[Gemiddelde opbrengsten door QALY''s],Uitkomsten_per_tech[Veld],$B9)/QALY[Waarde gezond levensjaar]</f>
        <v>19374.530496069394</v>
      </c>
      <c r="G9" s="174">
        <f t="shared" si="1"/>
        <v>203.77065663390141</v>
      </c>
      <c r="H9" s="174">
        <f>SUMIFS(Uitkomsten_per_tech[Gemiddelde jaarlijkse kosten (totaal) (€) incl schatting],Uitkomsten_per_tech[Veld],$B9)/1000000</f>
        <v>94.127836571744808</v>
      </c>
      <c r="I9" s="174">
        <f>SUMIFS(Uitkomsten_per_tech[Gemiddelde initiële investering (€) incl schatting],Uitkomsten_per_tech[Veld],$B9)/1000000</f>
        <v>111.20295</v>
      </c>
      <c r="J9" s="175">
        <f t="shared" si="0"/>
        <v>-1.5601299378433993</v>
      </c>
      <c r="L9" s="70" t="s">
        <v>9</v>
      </c>
      <c r="M9" s="175">
        <f>(SUMIFS(uitkomst_veld[Arbeidsbesparing (€/jaar)],uitkomst_veld[Jaar],"2023",uitkomst_veld[Veld],$L9,uitkomst_veld[Uitgangssituatie/effect beleid],"Uitgangssituatie")+SUMIFS(uitkomst_veld[Overige besparingen],uitkomst_veld[Jaar],"2023",uitkomst_veld[Veld],$L9,uitkomst_veld[Uitgangssituatie/effect beleid],"Uitgangssituatie"))/1000000</f>
        <v>38.785120075586207</v>
      </c>
      <c r="N9" s="453">
        <f>SUMIFS(Berekening_impact[Totaal arbeidsbesparing (FTE/jaar)],Berekening_impact[Veld],$L9,Berekening_impact[Direct toepasbaar/extrapolatie/incidentie voor QALY],"Huidige toepassing")</f>
        <v>836.91516492737014</v>
      </c>
      <c r="O9" s="174">
        <f>SUMIFS(Berekening_impact[Totaal arbeidsbesparing (€/jaar)],Berekening_impact[Veld],$L9,Berekening_impact[Direct toepasbaar/extrapolatie/incidentie voor QALY],"Huidige toepassing")/1000000</f>
        <v>45.462708632643675</v>
      </c>
      <c r="P9" s="174">
        <f>SUMIFS(Berekening_impact[Overige kostenbesparing (totaal/jaar totaal potentieel)],Berekening_impact[Veld],$L9,Berekening_impact[Direct toepasbaar/extrapolatie/incidentie voor QALY],"Huidige toepassing")/1000000</f>
        <v>25.060577760000001</v>
      </c>
      <c r="Q9" s="175">
        <f t="shared" si="2"/>
        <v>70.523286392643683</v>
      </c>
      <c r="R9" s="453">
        <f>SUMIFS(Berekening_impact[Totaal arbeidsbesparing (FTE/jaar)],Berekening_impact[Veld],$L9,Berekening_impact[Direct toepasbaar/extrapolatie/incidentie voor QALY],"Extrapolatie")</f>
        <v>1385.6028106427277</v>
      </c>
      <c r="S9" s="174">
        <f>SUMIFS(Berekening_impact[Totaal arbeidsbesparing (€/jaar)],Berekening_impact[Veld],$L9,Berekening_impact[Direct toepasbaar/extrapolatie/incidentie voor QALY],"Extrapolatie")/1000000</f>
        <v>79.948422144754645</v>
      </c>
      <c r="T9" s="174">
        <f>SUMIFS(Berekening_impact[Overige kostenbesparing (totaal/jaar totaal potentieel)],Berekening_impact[Veld],$L9,Berekening_impact[Direct toepasbaar/extrapolatie/incidentie voor QALY],"Extrapolatie")/1000000</f>
        <v>53.298948096503111</v>
      </c>
      <c r="U9" s="175">
        <f t="shared" si="3"/>
        <v>133.24737024125776</v>
      </c>
    </row>
    <row r="10" spans="1:21" x14ac:dyDescent="0.5">
      <c r="B10" s="70" t="s">
        <v>12</v>
      </c>
      <c r="C10" s="174">
        <f>SUMIFS(Uitkomsten_per_tech[Gemiddelde totale jaarlijkse arbeidsbesparing (€)],Uitkomsten_per_tech[Veld],$B10)/1000000</f>
        <v>604.92111498795168</v>
      </c>
      <c r="D10" s="284">
        <f>SUMIFS(Uitkomsten_per_tech[Gemiddelde jaarlijkse arbeidsbesparing (FTE)],Uitkomsten_per_tech[Veld],B10)</f>
        <v>11744.104045273762</v>
      </c>
      <c r="E10" s="174">
        <f>SUMIFS(Uitkomsten_per_tech[Gemiddelde overige jaarlijkse kostenbesparing (€)],Uitkomsten_per_tech[Veld],$B10)/1000000</f>
        <v>163.73015601359214</v>
      </c>
      <c r="F10" s="285" cm="1">
        <f t="array" ref="F10">SUMIFS(Uitkomsten_per_tech[Gemiddelde opbrengsten door QALY''s],Uitkomsten_per_tech[Veld],$B10)/QALY[Waarde gezond levensjaar]</f>
        <v>15006.767999999998</v>
      </c>
      <c r="G10" s="174">
        <f t="shared" si="1"/>
        <v>768.65127100154382</v>
      </c>
      <c r="H10" s="174">
        <f>SUMIFS(Uitkomsten_per_tech[Gemiddelde jaarlijkse kosten (totaal) (€) incl schatting],Uitkomsten_per_tech[Veld],$B10)/1000000</f>
        <v>266.47118875954277</v>
      </c>
      <c r="I10" s="174">
        <f>SUMIFS(Uitkomsten_per_tech[Gemiddelde initiële investering (€) incl schatting],Uitkomsten_per_tech[Veld],$B10)/1000000</f>
        <v>5.8925999999999998</v>
      </c>
      <c r="J10" s="175">
        <f t="shared" si="0"/>
        <v>496.28748224200103</v>
      </c>
      <c r="L10" s="70" t="s">
        <v>12</v>
      </c>
      <c r="M10" s="175">
        <f>(SUMIFS(uitkomst_veld[Arbeidsbesparing (€/jaar)],uitkomst_veld[Jaar],"2023",uitkomst_veld[Veld],$L10,uitkomst_veld[Uitgangssituatie/effect beleid],"Uitgangssituatie")+SUMIFS(uitkomst_veld[Overige besparingen],uitkomst_veld[Jaar],"2023",uitkomst_veld[Veld],$L10,uitkomst_veld[Uitgangssituatie/effect beleid],"Uitgangssituatie"))/1000000</f>
        <v>168.29850323829478</v>
      </c>
      <c r="N10" s="453">
        <f>SUMIFS(Berekening_impact[Totaal arbeidsbesparing (FTE/jaar)],Berekening_impact[Veld],$L10,Berekening_impact[Direct toepasbaar/extrapolatie/incidentie voor QALY],"Huidige toepassing")</f>
        <v>8149.6065334436626</v>
      </c>
      <c r="O10" s="174">
        <f>SUMIFS(Berekening_impact[Totaal arbeidsbesparing (€/jaar)],Berekening_impact[Veld],$L10,Berekening_impact[Direct toepasbaar/extrapolatie/incidentie voor QALY],"Huidige toepassing")/1000000</f>
        <v>410.3879258296725</v>
      </c>
      <c r="P10" s="174">
        <f>SUMIFS(Berekening_impact[Overige kostenbesparing (totaal/jaar totaal potentieel)],Berekening_impact[Veld],$L10,Berekening_impact[Direct toepasbaar/extrapolatie/incidentie voor QALY],"Huidige toepassing")/1000000</f>
        <v>113.78048494852547</v>
      </c>
      <c r="Q10" s="175">
        <f t="shared" si="2"/>
        <v>524.16841077819799</v>
      </c>
      <c r="R10" s="453">
        <f>SUMIFS(Berekening_impact[Totaal arbeidsbesparing (FTE/jaar)],Berekening_impact[Veld],$L10,Berekening_impact[Direct toepasbaar/extrapolatie/incidentie voor QALY],"Extrapolatie")</f>
        <v>3594.4975118301008</v>
      </c>
      <c r="S10" s="174">
        <f>SUMIFS(Berekening_impact[Totaal arbeidsbesparing (€/jaar)],Berekening_impact[Veld],$L10,Berekening_impact[Direct toepasbaar/extrapolatie/incidentie voor QALY],"Extrapolatie")/1000000</f>
        <v>194.53318915827916</v>
      </c>
      <c r="T10" s="174">
        <f>SUMIFS(Berekening_impact[Overige kostenbesparing (totaal/jaar totaal potentieel)],Berekening_impact[Veld],$L10,Berekening_impact[Direct toepasbaar/extrapolatie/incidentie voor QALY],"Extrapolatie")/1000000</f>
        <v>49.949671065066674</v>
      </c>
      <c r="U10" s="175">
        <f t="shared" si="3"/>
        <v>244.48286022334582</v>
      </c>
    </row>
    <row r="11" spans="1:21" x14ac:dyDescent="0.5">
      <c r="B11" s="70" t="s">
        <v>8</v>
      </c>
      <c r="C11" s="174">
        <f>SUMIFS(Uitkomsten_per_tech[Gemiddelde totale jaarlijkse arbeidsbesparing (€)],Uitkomsten_per_tech[Veld],$B11)/1000000</f>
        <v>930.85492069527913</v>
      </c>
      <c r="D11" s="284">
        <f>SUMIFS(Uitkomsten_per_tech[Gemiddelde jaarlijkse arbeidsbesparing (FTE)],Uitkomsten_per_tech[Veld],B11)</f>
        <v>19107.939760315774</v>
      </c>
      <c r="E11" s="174">
        <f>SUMIFS(Uitkomsten_per_tech[Gemiddelde overige jaarlijkse kostenbesparing (€)],Uitkomsten_per_tech[Veld],$B11)/1000000</f>
        <v>398.03548121757888</v>
      </c>
      <c r="F11" s="285" cm="1">
        <f t="array" ref="F11">SUMIFS(Uitkomsten_per_tech[Gemiddelde opbrengsten door QALY''s],Uitkomsten_per_tech[Veld],$B11)/QALY[Waarde gezond levensjaar]</f>
        <v>1890.0000000000002</v>
      </c>
      <c r="G11" s="174">
        <f t="shared" si="1"/>
        <v>1328.8904019128581</v>
      </c>
      <c r="H11" s="174">
        <f>SUMIFS(Uitkomsten_per_tech[Gemiddelde jaarlijkse kosten (totaal) (€) incl schatting],Uitkomsten_per_tech[Veld],$B11)/1000000</f>
        <v>256.56444175593867</v>
      </c>
      <c r="I11" s="174">
        <f>SUMIFS(Uitkomsten_per_tech[Gemiddelde initiële investering (€) incl schatting],Uitkomsten_per_tech[Veld],$B11)/1000000</f>
        <v>169.17980807532231</v>
      </c>
      <c r="J11" s="175">
        <f t="shared" si="0"/>
        <v>903.14615208159705</v>
      </c>
      <c r="L11" s="70" t="s">
        <v>8</v>
      </c>
      <c r="M11" s="175">
        <f>(SUMIFS(uitkomst_veld[Arbeidsbesparing (€/jaar)],uitkomst_veld[Jaar],"2023",uitkomst_veld[Veld],$L11,uitkomst_veld[Uitgangssituatie/effect beleid],"Uitgangssituatie")+SUMIFS(uitkomst_veld[Overige besparingen],uitkomst_veld[Jaar],"2023",uitkomst_veld[Veld],$L11,uitkomst_veld[Uitgangssituatie/effect beleid],"Uitgangssituatie"))/1000000</f>
        <v>450.70591861036968</v>
      </c>
      <c r="N11" s="453">
        <f>SUMIFS(Berekening_impact[Totaal arbeidsbesparing (FTE/jaar)],Berekening_impact[Veld],$L11,Berekening_impact[Direct toepasbaar/extrapolatie/incidentie voor QALY],"Huidige toepassing")</f>
        <v>18179.2915548192</v>
      </c>
      <c r="O11" s="174">
        <f>SUMIFS(Berekening_impact[Totaal arbeidsbesparing (€/jaar)],Berekening_impact[Veld],$L11,Berekening_impact[Direct toepasbaar/extrapolatie/incidentie voor QALY],"Huidige toepassing")/1000000</f>
        <v>884.55325793440011</v>
      </c>
      <c r="P11" s="174">
        <f>SUMIFS(Berekening_impact[Overige kostenbesparing (totaal/jaar totaal potentieel)],Berekening_impact[Veld],$L11,Berekening_impact[Direct toepasbaar/extrapolatie/incidentie voor QALY],"Huidige toepassing")/1000000</f>
        <v>375.23018463386239</v>
      </c>
      <c r="Q11" s="175">
        <f t="shared" si="2"/>
        <v>1259.7834425682624</v>
      </c>
      <c r="R11" s="453">
        <f>SUMIFS(Berekening_impact[Totaal arbeidsbesparing (FTE/jaar)],Berekening_impact[Veld],$L11,Berekening_impact[Direct toepasbaar/extrapolatie/incidentie voor QALY],"Extrapolatie")</f>
        <v>928.64820549657543</v>
      </c>
      <c r="S11" s="174">
        <f>SUMIFS(Berekening_impact[Totaal arbeidsbesparing (€/jaar)],Berekening_impact[Veld],$L11,Berekening_impact[Direct toepasbaar/extrapolatie/incidentie voor QALY],"Extrapolatie")/1000000</f>
        <v>46.301662760879019</v>
      </c>
      <c r="T11" s="174">
        <f>SUMIFS(Berekening_impact[Overige kostenbesparing (totaal/jaar totaal potentieel)],Berekening_impact[Veld],$L11,Berekening_impact[Direct toepasbaar/extrapolatie/incidentie voor QALY],"Extrapolatie")/1000000</f>
        <v>22.80529658371653</v>
      </c>
      <c r="U11" s="175">
        <f t="shared" si="3"/>
        <v>69.106959344595552</v>
      </c>
    </row>
    <row r="12" spans="1:21" ht="17.5" thickBot="1" x14ac:dyDescent="0.55000000000000004">
      <c r="B12" s="70" t="s">
        <v>10</v>
      </c>
      <c r="C12" s="176">
        <f>SUMIFS(Uitkomsten_per_tech[Gemiddelde totale jaarlijkse arbeidsbesparing (€)],Uitkomsten_per_tech[Veld],$B12)/1000000</f>
        <v>409.41371021839461</v>
      </c>
      <c r="D12" s="276">
        <f>SUMIFS(Uitkomsten_per_tech[Gemiddelde jaarlijkse arbeidsbesparing (FTE)],Uitkomsten_per_tech[Veld],B12)</f>
        <v>9643.6755488279268</v>
      </c>
      <c r="E12" s="176">
        <f>SUMIFS(Uitkomsten_per_tech[Gemiddelde overige jaarlijkse kostenbesparing (€)],Uitkomsten_per_tech[Veld],$B12)/1000000</f>
        <v>114.19921332330954</v>
      </c>
      <c r="F12" s="285" cm="1">
        <f t="array" ref="F12">SUMIFS(Uitkomsten_per_tech[Gemiddelde opbrengsten door QALY''s],Uitkomsten_per_tech[Veld],$B12)/QALY[Waarde gezond levensjaar]</f>
        <v>0</v>
      </c>
      <c r="G12" s="174">
        <f t="shared" si="1"/>
        <v>523.61292354170416</v>
      </c>
      <c r="H12" s="176">
        <f>SUMIFS(Uitkomsten_per_tech[Gemiddelde jaarlijkse kosten (totaal) (€) incl schatting],Uitkomsten_per_tech[Veld],$B12)/1000000</f>
        <v>288.12840230074198</v>
      </c>
      <c r="I12" s="176">
        <f>SUMIFS(Uitkomsten_per_tech[Gemiddelde initiële investering (€) incl schatting],Uitkomsten_per_tech[Veld],$B12)/1000000</f>
        <v>38.768431749999998</v>
      </c>
      <c r="J12" s="175">
        <f t="shared" si="0"/>
        <v>196.71608949096219</v>
      </c>
      <c r="L12" s="70" t="s">
        <v>10</v>
      </c>
      <c r="M12" s="175">
        <f>(SUMIFS(uitkomst_veld[Arbeidsbesparing (€/jaar)],uitkomst_veld[Jaar],"2023",uitkomst_veld[Veld],$L12,uitkomst_veld[Uitgangssituatie/effect beleid],"Uitgangssituatie")+SUMIFS(uitkomst_veld[Overige besparingen],uitkomst_veld[Jaar],"2023",uitkomst_veld[Veld],$L12,uitkomst_veld[Uitgangssituatie/effect beleid],"Uitgangssituatie"))/1000000</f>
        <v>113.01287619534696</v>
      </c>
      <c r="N12" s="453">
        <f>SUMIFS(Berekening_impact[Totaal arbeidsbesparing (FTE/jaar)],Berekening_impact[Veld],$L12,Berekening_impact[Direct toepasbaar/extrapolatie/incidentie voor QALY],"Huidige toepassing")</f>
        <v>6618.6462158869217</v>
      </c>
      <c r="O12" s="174">
        <f>SUMIFS(Berekening_impact[Totaal arbeidsbesparing (€/jaar)],Berekening_impact[Veld],$L12,Berekening_impact[Direct toepasbaar/extrapolatie/incidentie voor QALY],"Huidige toepassing")/1000000</f>
        <v>280.9887672131963</v>
      </c>
      <c r="P12" s="174">
        <f>SUMIFS(Berekening_impact[Overige kostenbesparing (totaal/jaar totaal potentieel)],Berekening_impact[Veld],$L12,Berekening_impact[Direct toepasbaar/extrapolatie/incidentie voor QALY],"Huidige toepassing")/1000000</f>
        <v>89.185879389341594</v>
      </c>
      <c r="Q12" s="175">
        <f t="shared" si="2"/>
        <v>370.1746466025379</v>
      </c>
      <c r="R12" s="453">
        <f>SUMIFS(Berekening_impact[Totaal arbeidsbesparing (FTE/jaar)],Berekening_impact[Veld],$L12,Berekening_impact[Direct toepasbaar/extrapolatie/incidentie voor QALY],"Extrapolatie")</f>
        <v>3025.0293329410038</v>
      </c>
      <c r="S12" s="174">
        <f>SUMIFS(Berekening_impact[Totaal arbeidsbesparing (€/jaar)],Berekening_impact[Veld],$L12,Berekening_impact[Direct toepasbaar/extrapolatie/incidentie voor QALY],"Extrapolatie")/1000000</f>
        <v>128.4249430051984</v>
      </c>
      <c r="T12" s="174">
        <f>SUMIFS(Berekening_impact[Overige kostenbesparing (totaal/jaar totaal potentieel)],Berekening_impact[Veld],$L12,Berekening_impact[Direct toepasbaar/extrapolatie/incidentie voor QALY],"Extrapolatie")/1000000</f>
        <v>25.01333393396796</v>
      </c>
      <c r="U12" s="175">
        <f t="shared" si="3"/>
        <v>153.43827693916637</v>
      </c>
    </row>
    <row r="13" spans="1:21" ht="17.5" thickBot="1" x14ac:dyDescent="0.55000000000000004">
      <c r="B13" s="74" t="s">
        <v>634</v>
      </c>
      <c r="C13" s="75">
        <f>SUM(C7:C12)</f>
        <v>2157.5016455690211</v>
      </c>
      <c r="D13" s="277">
        <f t="shared" ref="D13:I13" si="4">SUM(D7:D12)</f>
        <v>43645.663140809338</v>
      </c>
      <c r="E13" s="75">
        <f t="shared" si="4"/>
        <v>779.79508782036328</v>
      </c>
      <c r="F13" s="109">
        <f t="shared" si="4"/>
        <v>37058.774696069391</v>
      </c>
      <c r="G13" s="75">
        <f>SUM(G7:G12)</f>
        <v>2937.2967333893844</v>
      </c>
      <c r="H13" s="75">
        <f t="shared" si="4"/>
        <v>970.54877374684929</v>
      </c>
      <c r="I13" s="75">
        <f t="shared" si="4"/>
        <v>327.0347773904702</v>
      </c>
      <c r="J13" s="110">
        <f t="shared" si="0"/>
        <v>1639.7131822520648</v>
      </c>
      <c r="L13" s="74" t="s">
        <v>634</v>
      </c>
      <c r="M13" s="112">
        <f>SUM(M7:M12)</f>
        <v>803.17595784342871</v>
      </c>
      <c r="N13" s="109">
        <f>SUM(N7:N12)</f>
        <v>34557.388180339636</v>
      </c>
      <c r="O13" s="75">
        <f>SUM(O7:O12)</f>
        <v>1678.9844138065496</v>
      </c>
      <c r="P13" s="75">
        <f>SUM(P7:P12)</f>
        <v>628.72783814110903</v>
      </c>
      <c r="Q13" s="112">
        <f t="shared" ref="Q13:U13" si="5">SUM(Q7:Q12)</f>
        <v>2307.7122519476588</v>
      </c>
      <c r="R13" s="109">
        <f>SUM(R7:R12)</f>
        <v>9088.2749604697019</v>
      </c>
      <c r="S13" s="75">
        <f t="shared" si="5"/>
        <v>478.51723176247151</v>
      </c>
      <c r="T13" s="75">
        <f t="shared" si="5"/>
        <v>151.06724967925427</v>
      </c>
      <c r="U13" s="112">
        <f t="shared" si="5"/>
        <v>629.58448144172576</v>
      </c>
    </row>
    <row r="14" spans="1:21" x14ac:dyDescent="0.5">
      <c r="B14" s="377" t="s">
        <v>1039</v>
      </c>
      <c r="C14" s="382">
        <f>1-C15</f>
        <v>0.49348525045296066</v>
      </c>
      <c r="D14" s="382"/>
      <c r="E14" s="382">
        <f t="shared" ref="E14:J14" si="6">1-E15</f>
        <v>0.56562219347956799</v>
      </c>
      <c r="F14" s="382"/>
      <c r="G14" s="382">
        <f t="shared" si="6"/>
        <v>0.51263620417959199</v>
      </c>
      <c r="H14" s="382">
        <f t="shared" si="6"/>
        <v>0.64256639178456443</v>
      </c>
      <c r="I14" s="435">
        <f t="shared" si="6"/>
        <v>0.52202210035003183</v>
      </c>
      <c r="J14" s="437">
        <f t="shared" si="6"/>
        <v>0.43385834222449027</v>
      </c>
      <c r="L14" s="235"/>
      <c r="M14" s="194"/>
      <c r="N14" s="385"/>
      <c r="O14" s="194"/>
      <c r="P14" s="194"/>
      <c r="Q14" s="194"/>
      <c r="R14" s="385"/>
      <c r="S14" s="194"/>
      <c r="T14" s="194"/>
      <c r="U14" s="194"/>
    </row>
    <row r="15" spans="1:21" ht="17.5" thickBot="1" x14ac:dyDescent="0.55000000000000004">
      <c r="B15" s="82" t="s">
        <v>1038</v>
      </c>
      <c r="C15" s="383">
        <f>SUM(Berekening_impact[Totaal arbeidsbesparing (€/jaar) - Wlz])/1000000/$C$13</f>
        <v>0.50651474954703934</v>
      </c>
      <c r="D15" s="276"/>
      <c r="E15" s="383">
        <f>SUM(Berekening_impact[Overige kostenbesparing (totaal/jaar totaal potentieel) - Wlz])/1000000/$E$13</f>
        <v>0.43437780652043206</v>
      </c>
      <c r="F15" s="384"/>
      <c r="G15" s="383">
        <f>(SUM(Berekening_impact[Totaal arbeidsbesparing (€/jaar) - Wlz])+SUM(Berekening_impact[Overige kostenbesparing (totaal/jaar totaal potentieel) - Wlz]))/1000000/$G$13</f>
        <v>0.48736379582040795</v>
      </c>
      <c r="H15" s="383">
        <f>SUM(Berekening_impact[Jaarlijkse kosten (totaal) - incl. schatting - Wlz])/1000000/$H$13</f>
        <v>0.35743360821543557</v>
      </c>
      <c r="I15" s="436">
        <f>SUM(Berekening_impact[Initiële investering (totaal) - incl. schatting - Wlz])/1000000/$I$13</f>
        <v>0.47797789964996823</v>
      </c>
      <c r="J15" s="381">
        <f>(SUM(Berekening_impact[Totaal arbeidsbesparing (€/jaar) - Wlz])+SUM(Berekening_impact[Overige kostenbesparing (totaal/jaar totaal potentieel) - Wlz])-SUM(Berekening_impact[Jaarlijkse kosten (totaal) - incl. schatting - Wlz])-SUM(Berekening_impact[Initiële investering (totaal) - incl. schatting - Wlz]))/1000000/$J$13</f>
        <v>0.56614165777550973</v>
      </c>
      <c r="L15" s="235"/>
      <c r="M15" s="194"/>
      <c r="N15" s="385"/>
      <c r="O15" s="194"/>
      <c r="P15" s="194"/>
      <c r="Q15" s="194"/>
      <c r="R15" s="385"/>
      <c r="S15" s="194"/>
      <c r="T15" s="194"/>
      <c r="U15" s="194"/>
    </row>
    <row r="16" spans="1:21" x14ac:dyDescent="0.5">
      <c r="D16" s="180"/>
    </row>
    <row r="17" spans="1:15" x14ac:dyDescent="0.5">
      <c r="D17" s="180"/>
      <c r="M17" s="185"/>
      <c r="N17" s="185"/>
      <c r="O17" s="185"/>
    </row>
    <row r="18" spans="1:15" x14ac:dyDescent="0.5">
      <c r="D18" s="180"/>
      <c r="O18" s="180"/>
    </row>
    <row r="19" spans="1:15" x14ac:dyDescent="0.5">
      <c r="D19" s="180"/>
      <c r="N19" s="180"/>
    </row>
    <row r="20" spans="1:15" x14ac:dyDescent="0.5">
      <c r="D20" s="180"/>
    </row>
    <row r="21" spans="1:15" x14ac:dyDescent="0.5">
      <c r="D21" s="180"/>
    </row>
    <row r="22" spans="1:15" x14ac:dyDescent="0.5">
      <c r="D22" s="180"/>
    </row>
    <row r="23" spans="1:15" x14ac:dyDescent="0.5">
      <c r="D23" s="180"/>
    </row>
    <row r="24" spans="1:15" x14ac:dyDescent="0.5">
      <c r="D24" s="180"/>
    </row>
    <row r="25" spans="1:15" x14ac:dyDescent="0.5">
      <c r="D25" s="180"/>
    </row>
    <row r="26" spans="1:15" x14ac:dyDescent="0.5">
      <c r="D26" s="180"/>
    </row>
    <row r="27" spans="1:15" x14ac:dyDescent="0.5">
      <c r="D27" s="180"/>
    </row>
    <row r="28" spans="1:15" x14ac:dyDescent="0.5">
      <c r="D28" s="180"/>
    </row>
    <row r="29" spans="1:15" x14ac:dyDescent="0.5">
      <c r="D29" s="180"/>
    </row>
    <row r="30" spans="1:15" s="484" customFormat="1" x14ac:dyDescent="0.5">
      <c r="A30" s="280"/>
      <c r="B30" s="484" t="s">
        <v>795</v>
      </c>
    </row>
    <row r="31" spans="1:15" x14ac:dyDescent="0.5">
      <c r="C31" s="180"/>
    </row>
    <row r="32" spans="1:15" x14ac:dyDescent="0.5">
      <c r="C32" s="180"/>
    </row>
    <row r="33" spans="1:5" x14ac:dyDescent="0.5">
      <c r="C33" s="180"/>
    </row>
    <row r="34" spans="1:5" ht="16.5" customHeight="1" x14ac:dyDescent="0.5">
      <c r="C34" s="180"/>
    </row>
    <row r="35" spans="1:5" ht="33" customHeight="1" x14ac:dyDescent="0.5">
      <c r="C35" s="180"/>
    </row>
    <row r="36" spans="1:5" x14ac:dyDescent="0.5">
      <c r="C36" s="180"/>
    </row>
    <row r="37" spans="1:5" x14ac:dyDescent="0.5">
      <c r="C37" s="180"/>
    </row>
    <row r="38" spans="1:5" x14ac:dyDescent="0.5">
      <c r="C38" s="180"/>
    </row>
    <row r="39" spans="1:5" x14ac:dyDescent="0.5">
      <c r="C39" s="180"/>
    </row>
    <row r="40" spans="1:5" x14ac:dyDescent="0.5">
      <c r="C40" s="180"/>
    </row>
    <row r="41" spans="1:5" x14ac:dyDescent="0.5">
      <c r="C41" s="180"/>
    </row>
    <row r="42" spans="1:5" x14ac:dyDescent="0.5">
      <c r="C42" s="180"/>
    </row>
    <row r="43" spans="1:5" x14ac:dyDescent="0.5">
      <c r="C43" s="180"/>
    </row>
    <row r="44" spans="1:5" x14ac:dyDescent="0.5">
      <c r="C44" s="180"/>
    </row>
    <row r="45" spans="1:5" x14ac:dyDescent="0.5">
      <c r="C45" s="180"/>
    </row>
    <row r="46" spans="1:5" x14ac:dyDescent="0.5">
      <c r="A46" s="235"/>
      <c r="B46" s="181"/>
    </row>
    <row r="47" spans="1:5" s="485" customFormat="1" ht="17.5" thickBot="1" x14ac:dyDescent="0.55000000000000004">
      <c r="A47" s="50"/>
      <c r="B47" s="485" t="str">
        <f>CONCATENATE("Resultaten voor het jaar ", B49, IF(B51="Huidig beleid gehaald + 3 nieuwe beleidsmaatregelen"," bij slagen huidig beleid en invoeren 3 nieuwe beleidsmaatregelen", IF(B51="Uitgangssituatie (huidig beleid gehaald, geen nieuw beleid)"," bij slagen huidig beleid en geen nieuw beleid"," bij niet slagen huidig beleid")))</f>
        <v>Resultaten voor het jaar 2028 bij slagen huidig beleid en geen nieuw beleid</v>
      </c>
    </row>
    <row r="48" spans="1:5" s="195" customFormat="1" x14ac:dyDescent="0.5">
      <c r="B48" s="58" t="s">
        <v>573</v>
      </c>
      <c r="D48" s="282"/>
      <c r="E48" s="282"/>
    </row>
    <row r="49" spans="2:21" s="195" customFormat="1" ht="17.25" customHeight="1" thickBot="1" x14ac:dyDescent="0.55000000000000004">
      <c r="B49" s="294">
        <v>2028</v>
      </c>
      <c r="C49" s="282"/>
      <c r="D49" s="282"/>
      <c r="E49" s="282"/>
    </row>
    <row r="50" spans="2:21" s="195" customFormat="1" x14ac:dyDescent="0.5">
      <c r="B50" s="58" t="s">
        <v>810</v>
      </c>
      <c r="C50" s="282"/>
      <c r="D50" s="282"/>
      <c r="E50" s="282"/>
    </row>
    <row r="51" spans="2:21" s="195" customFormat="1" ht="68.25" customHeight="1" thickBot="1" x14ac:dyDescent="0.55000000000000004">
      <c r="B51" s="293" t="s">
        <v>763</v>
      </c>
      <c r="C51" s="282"/>
      <c r="D51" s="282"/>
      <c r="E51" s="282"/>
    </row>
    <row r="52" spans="2:21" s="195" customFormat="1" ht="34.5" thickBot="1" x14ac:dyDescent="0.55000000000000004">
      <c r="B52" s="292" t="s">
        <v>983</v>
      </c>
      <c r="C52" s="282"/>
      <c r="D52" s="282"/>
      <c r="E52" s="282"/>
    </row>
    <row r="53" spans="2:21" ht="17.5" thickBot="1" x14ac:dyDescent="0.55000000000000004">
      <c r="C53" s="281"/>
      <c r="D53" s="281"/>
      <c r="E53" s="281"/>
      <c r="F53" s="195"/>
      <c r="G53" s="195"/>
      <c r="H53" s="195"/>
      <c r="I53" s="195"/>
      <c r="J53" s="195"/>
      <c r="K53" s="195"/>
      <c r="L53" s="195"/>
      <c r="M53" s="195"/>
      <c r="N53" s="482"/>
      <c r="O53" s="482"/>
      <c r="P53" s="482"/>
      <c r="Q53" s="482"/>
      <c r="R53" s="482"/>
      <c r="S53" s="482"/>
      <c r="T53" s="482"/>
      <c r="U53" s="482"/>
    </row>
    <row r="54" spans="2:21" ht="102" x14ac:dyDescent="0.5">
      <c r="B54" s="57" t="str">
        <f>CONCATENATE("Resultaten in het jaar ",$B$49)</f>
        <v>Resultaten in het jaar 2028</v>
      </c>
      <c r="C54" s="48" t="s">
        <v>1008</v>
      </c>
      <c r="D54" s="47" t="s">
        <v>1012</v>
      </c>
      <c r="E54" s="48" t="s">
        <v>1013</v>
      </c>
      <c r="F54" s="48" t="s">
        <v>504</v>
      </c>
      <c r="G54" s="48" t="s">
        <v>982</v>
      </c>
      <c r="H54" s="48" t="s">
        <v>750</v>
      </c>
      <c r="I54" s="55" t="s">
        <v>625</v>
      </c>
      <c r="J54" s="56" t="s">
        <v>999</v>
      </c>
      <c r="K54" s="67" t="s">
        <v>792</v>
      </c>
      <c r="L54" s="195"/>
      <c r="M54" s="57" t="str">
        <f>CONCATENATE("Resultaten in het jaar ",$B$49)</f>
        <v>Resultaten in het jaar 2028</v>
      </c>
      <c r="N54" s="48" t="s">
        <v>1035</v>
      </c>
      <c r="O54" s="48" t="s">
        <v>1036</v>
      </c>
      <c r="P54" s="366" t="s">
        <v>1034</v>
      </c>
    </row>
    <row r="55" spans="2:21" x14ac:dyDescent="0.5">
      <c r="B55" s="70" t="s">
        <v>7</v>
      </c>
      <c r="C55" s="83">
        <f>(SUMIFS(uitkomst_veld[Arbeidsbesparing (€/jaar)],uitkomst_veld[Jaar],"2023",uitkomst_veld[Veld],$B55,uitkomst_veld[Uitgangssituatie/effect beleid],"Effect beleid")+SUMIFS(uitkomst_veld[Overige besparingen],uitkomst_veld[Jaar],"2023",uitkomst_veld[Veld],$B55,uitkomst_veld[Uitgangssituatie/effect beleid],"Effect beleid"))/1000000</f>
        <v>15.079443859514686</v>
      </c>
      <c r="D55" s="174">
        <f>SUMIFS(uitkomst_veld[Arbeidsbesparing (€/jaar)],uitkomst_veld[Jaar],$B$49,uitkomst_veld[Veld],$B55,uitkomst_veld[Uitgangssituatie/effect beleid],"Effect beleid")/1000000</f>
        <v>18.250566223721044</v>
      </c>
      <c r="E55" s="174">
        <f>SUMIFS(uitkomst_veld[Arbeidsbesparing (FTE/jaar)],uitkomst_veld[Jaar],$B$49,uitkomst_veld[Veld],$B55,uitkomst_veld[Uitgangssituatie/effect beleid],"Effect beleid")</f>
        <v>338.94274464838736</v>
      </c>
      <c r="F55" s="174">
        <f>SUMIFS(uitkomst_veld[Overige besparingen],uitkomst_veld[Jaar],$B$49,uitkomst_veld[Veld],$B55,uitkomst_veld[Uitgangssituatie/effect beleid],"Effect beleid")/1000000</f>
        <v>19.662791756339619</v>
      </c>
      <c r="G55" s="285" cm="1">
        <f t="array" ref="G55">MROUND(SUMIFS(uitkomst_veld[QALY],uitkomst_veld[Jaar],$B$49,uitkomst_veld[Veld],$B55,uitkomst_veld[Uitgangssituatie/effect beleid],"Effect beleid")/QALY[Waarde gezond levensjaar],10)</f>
        <v>0</v>
      </c>
      <c r="H55" s="174">
        <f>D55+F55</f>
        <v>37.913357980060667</v>
      </c>
      <c r="I55" s="174">
        <f>SUMIFS(uitkomst_veld[Kosten (€)],uitkomst_veld[Jaar],$B$49,uitkomst_veld[Veld],$B55,uitkomst_veld[Uitgangssituatie/effect beleid],"Effect beleid")/1000000</f>
        <v>7.0991052889528161</v>
      </c>
      <c r="J55" s="177">
        <f>SUMIFS(uitkomst_veld[Investering (cash flow) (€)],uitkomst_veld[Jaar],$B$49,uitkomst_veld[Veld],$B55,uitkomst_veld[Uitgangssituatie/effect beleid],"Effect beleid")/1000000</f>
        <v>0</v>
      </c>
      <c r="K55" s="177">
        <f t="shared" ref="K55:K61" si="7">H55-I55-J55</f>
        <v>30.81425269110785</v>
      </c>
      <c r="M55" s="70" t="s">
        <v>7</v>
      </c>
      <c r="N55" s="83">
        <f>(SUMIFS(uitkomst_doelgroep[Arbeidsbesparing (€)],uitkomst_doelgroep[Veld],M55,uitkomst_doelgroep[Uitgangssituatie/effect beleid],"Effect beleid",uitkomst_doelgroep[Jaar],$B$49,uitkomst_doelgroep[Direct toepasbaar/extrapolatie],"Huidige toepassing")+SUMIFS(uitkomst_doelgroep[Overige besparingen (€)],uitkomst_doelgroep[Veld],M55,uitkomst_doelgroep[Uitgangssituatie/effect beleid],"Effect beleid",uitkomst_doelgroep[Jaar],$B$49,uitkomst_doelgroep[Direct toepasbaar/extrapolatie],"Huidige toepassing"))/1000000</f>
        <v>37.913357980060667</v>
      </c>
      <c r="O55" s="83">
        <f>(SUMIFS(uitkomst_doelgroep[Arbeidsbesparing (€)],uitkomst_doelgroep[Veld],M55,uitkomst_doelgroep[Uitgangssituatie/effect beleid],"Effect beleid",uitkomst_doelgroep[Jaar],$B$49,uitkomst_doelgroep[Direct toepasbaar/extrapolatie],"Extrapolatie")+SUMIFS(uitkomst_doelgroep[Overige besparingen (€)],uitkomst_doelgroep[Veld],M55,uitkomst_doelgroep[Uitgangssituatie/effect beleid],"Effect beleid",uitkomst_doelgroep[Jaar],$B$49,uitkomst_doelgroep[Direct toepasbaar/extrapolatie],"Extrapolatie"))/1000000</f>
        <v>0</v>
      </c>
      <c r="P55" s="368" t="str">
        <f>IFERROR(AVERAGEIFS(implementatie[2028],implementatie[Veld],M55,implementatie[2028],"&gt;0",implementatie[Uitgangssituatie/effect beleid],"Effect beleid",implementatie[Direct toepasbaar/extrapolatie/incidentie voor QALY],"Extrapolatie"),"NVT")</f>
        <v>NVT</v>
      </c>
    </row>
    <row r="56" spans="2:21" x14ac:dyDescent="0.5">
      <c r="B56" s="70" t="s">
        <v>11</v>
      </c>
      <c r="C56" s="83">
        <f>(SUMIFS(uitkomst_veld[Arbeidsbesparing (€/jaar)],uitkomst_veld[Jaar],"2023",uitkomst_veld[Veld],$B56,uitkomst_veld[Uitgangssituatie/effect beleid],"Effect beleid")+SUMIFS(uitkomst_veld[Overige besparingen],uitkomst_veld[Jaar],"2023",uitkomst_veld[Veld],$B56,uitkomst_veld[Uitgangssituatie/effect beleid],"Effect beleid"))/1000000</f>
        <v>17.294095864316386</v>
      </c>
      <c r="D56" s="174">
        <f>SUMIFS(uitkomst_veld[Arbeidsbesparing (€/jaar)],uitkomst_veld[Jaar],$B$49,uitkomst_veld[Veld],$B56,uitkomst_veld[Uitgangssituatie/effect beleid],"Effect beleid")/1000000</f>
        <v>31.081141915149448</v>
      </c>
      <c r="E56" s="174">
        <f>SUMIFS(uitkomst_veld[Arbeidsbesparing (FTE/jaar)],uitkomst_veld[Jaar],$B$49,uitkomst_veld[Veld],$B56,uitkomst_veld[Uitgangssituatie/effect beleid],"Effect beleid")</f>
        <v>287.96928021356524</v>
      </c>
      <c r="F56" s="174">
        <f>SUMIFS(uitkomst_veld[Overige besparingen],uitkomst_veld[Jaar],$B$49,uitkomst_veld[Veld],$B56,uitkomst_veld[Uitgangssituatie/effect beleid],"Effect beleid")/1000000</f>
        <v>1.9699848107923337</v>
      </c>
      <c r="G56" s="285" cm="1">
        <f t="array" ref="G56">MROUND(SUMIFS(uitkomst_veld[QALY],uitkomst_veld[Jaar],$B$49,uitkomst_veld[Veld],$B56,uitkomst_veld[Uitgangssituatie/effect beleid],"Effect beleid")/QALY[Waarde gezond levensjaar],10)</f>
        <v>740</v>
      </c>
      <c r="H56" s="174">
        <f t="shared" ref="H56:H60" si="8">D56+F56</f>
        <v>33.051126725941785</v>
      </c>
      <c r="I56" s="174">
        <f>SUMIFS(uitkomst_veld[Kosten (€)],uitkomst_veld[Jaar],$B$49,uitkomst_veld[Veld],$B56,uitkomst_veld[Uitgangssituatie/effect beleid],"Effect beleid")/1000000</f>
        <v>27.550086919607502</v>
      </c>
      <c r="J56" s="177">
        <f>SUMIFS(uitkomst_veld[Investering (cash flow) (€)],uitkomst_veld[Jaar],$B$49,uitkomst_veld[Veld],$B56,uitkomst_veld[Uitgangssituatie/effect beleid],"Effect beleid")/1000000</f>
        <v>0.118694459023438</v>
      </c>
      <c r="K56" s="177">
        <f t="shared" si="7"/>
        <v>5.3823453473108458</v>
      </c>
      <c r="M56" s="70" t="s">
        <v>11</v>
      </c>
      <c r="N56" s="83">
        <f>(SUMIFS(uitkomst_doelgroep[Arbeidsbesparing (€)],uitkomst_doelgroep[Veld],M56,uitkomst_doelgroep[Uitgangssituatie/effect beleid],"Effect beleid",uitkomst_doelgroep[Jaar],$B$49,uitkomst_doelgroep[Direct toepasbaar/extrapolatie],"Huidige toepassing")+SUMIFS(uitkomst_doelgroep[Overige besparingen (€)],uitkomst_doelgroep[Veld],M56,uitkomst_doelgroep[Uitgangssituatie/effect beleid],"Effect beleid",uitkomst_doelgroep[Jaar],$B$49,uitkomst_doelgroep[Direct toepasbaar/extrapolatie],"Huidige toepassing"))/1000000</f>
        <v>30.913748984551127</v>
      </c>
      <c r="O56" s="83">
        <f>(SUMIFS(uitkomst_doelgroep[Arbeidsbesparing (€)],uitkomst_doelgroep[Veld],M56,uitkomst_doelgroep[Uitgangssituatie/effect beleid],"Effect beleid",uitkomst_doelgroep[Jaar],$B$49,uitkomst_doelgroep[Direct toepasbaar/extrapolatie],"Extrapolatie")+SUMIFS(uitkomst_doelgroep[Overige besparingen (€)],uitkomst_doelgroep[Veld],M56,uitkomst_doelgroep[Uitgangssituatie/effect beleid],"Effect beleid",uitkomst_doelgroep[Jaar],$B$49,uitkomst_doelgroep[Direct toepasbaar/extrapolatie],"Extrapolatie"))/1000000</f>
        <v>2.1373777413906518</v>
      </c>
      <c r="P56" s="369">
        <f>IFERROR(AVERAGEIFS(implementatie[2028],implementatie[Veld],M56,implementatie[2028],"&gt;0",implementatie[Uitgangssituatie/effect beleid],"Effect beleid",implementatie[Direct toepasbaar/extrapolatie/incidentie voor QALY],"Extrapolatie"),"NVT")</f>
        <v>6.9214583333333329E-2</v>
      </c>
    </row>
    <row r="57" spans="2:21" x14ac:dyDescent="0.5">
      <c r="B57" s="70" t="s">
        <v>9</v>
      </c>
      <c r="C57" s="83">
        <f>(SUMIFS(uitkomst_veld[Arbeidsbesparing (€/jaar)],uitkomst_veld[Jaar],"2023",uitkomst_veld[Veld],$B57,uitkomst_veld[Uitgangssituatie/effect beleid],"Effect beleid")+SUMIFS(uitkomst_veld[Overige besparingen],uitkomst_veld[Jaar],"2023",uitkomst_veld[Veld],$B57,uitkomst_veld[Uitgangssituatie/effect beleid],"Effect beleid"))/1000000</f>
        <v>38.785120075586207</v>
      </c>
      <c r="D57" s="174">
        <f>SUMIFS(uitkomst_veld[Arbeidsbesparing (€/jaar)],uitkomst_veld[Jaar],$B$49,uitkomst_veld[Veld],$B57,uitkomst_veld[Uitgangssituatie/effect beleid],"Effect beleid")/1000000</f>
        <v>47.653683646448826</v>
      </c>
      <c r="E57" s="174">
        <f>SUMIFS(uitkomst_veld[Arbeidsbesparing (FTE/jaar)],uitkomst_veld[Jaar],$B$49,uitkomst_veld[Veld],$B57,uitkomst_veld[Uitgangssituatie/effect beleid],"Effect beleid")</f>
        <v>873.14326716878634</v>
      </c>
      <c r="F57" s="174">
        <f>SUMIFS(uitkomst_veld[Overige besparingen],uitkomst_veld[Jaar],$B$49,uitkomst_veld[Veld],$B57,uitkomst_veld[Uitgangssituatie/effect beleid],"Effect beleid")/1000000</f>
        <v>26.708057910716928</v>
      </c>
      <c r="G57" s="285" cm="1">
        <f t="array" ref="G57">MROUND(SUMIFS(uitkomst_veld[QALY],uitkomst_veld[Jaar],$B$49,uitkomst_veld[Veld],$B57,uitkomst_veld[Uitgangssituatie/effect beleid],"Effect beleid")/QALY[Waarde gezond levensjaar],10)</f>
        <v>6100</v>
      </c>
      <c r="H57" s="174">
        <f t="shared" si="8"/>
        <v>74.361741557165757</v>
      </c>
      <c r="I57" s="174">
        <f>SUMIFS(uitkomst_veld[Kosten (€)],uitkomst_veld[Jaar],$B$49,uitkomst_veld[Veld],$B57,uitkomst_veld[Uitgangssituatie/effect beleid],"Effect beleid")/1000000</f>
        <v>60.290340199254999</v>
      </c>
      <c r="J57" s="177">
        <f>SUMIFS(uitkomst_veld[Investering (cash flow) (€)],uitkomst_veld[Jaar],$B$49,uitkomst_veld[Veld],$B57,uitkomst_veld[Uitgangssituatie/effect beleid],"Effect beleid")/1000000</f>
        <v>0.82483173217312311</v>
      </c>
      <c r="K57" s="177">
        <f t="shared" si="7"/>
        <v>13.246569625737635</v>
      </c>
      <c r="M57" s="70" t="s">
        <v>9</v>
      </c>
      <c r="N57" s="83">
        <f>(SUMIFS(uitkomst_doelgroep[Arbeidsbesparing (€)],uitkomst_doelgroep[Veld],M57,uitkomst_doelgroep[Uitgangssituatie/effect beleid],"Effect beleid",uitkomst_doelgroep[Jaar],$B$49,uitkomst_doelgroep[Direct toepasbaar/extrapolatie],"Huidige toepassing")+SUMIFS(uitkomst_doelgroep[Overige besparingen (€)],uitkomst_doelgroep[Veld],M57,uitkomst_doelgroep[Uitgangssituatie/effect beleid],"Effect beleid",uitkomst_doelgroep[Jaar],$B$49,uitkomst_doelgroep[Direct toepasbaar/extrapolatie],"Huidige toepassing"))/1000000</f>
        <v>63.093414054796931</v>
      </c>
      <c r="O57" s="83">
        <f>(SUMIFS(uitkomst_doelgroep[Arbeidsbesparing (€)],uitkomst_doelgroep[Veld],M57,uitkomst_doelgroep[Uitgangssituatie/effect beleid],"Effect beleid",uitkomst_doelgroep[Jaar],$B$49,uitkomst_doelgroep[Direct toepasbaar/extrapolatie],"Extrapolatie")+SUMIFS(uitkomst_doelgroep[Overige besparingen (€)],uitkomst_doelgroep[Veld],M57,uitkomst_doelgroep[Uitgangssituatie/effect beleid],"Effect beleid",uitkomst_doelgroep[Jaar],$B$49,uitkomst_doelgroep[Direct toepasbaar/extrapolatie],"Extrapolatie"))/1000000</f>
        <v>11.268327502368827</v>
      </c>
      <c r="P57" s="369">
        <f>IFERROR(AVERAGEIFS(implementatie[2028],implementatie[Veld],M57,implementatie[2028],"&gt;0",implementatie[Uitgangssituatie/effect beleid],"Effect beleid",implementatie[Direct toepasbaar/extrapolatie/incidentie voor QALY],"Extrapolatie"),"NVT")</f>
        <v>8.4566978560000006E-2</v>
      </c>
    </row>
    <row r="58" spans="2:21" x14ac:dyDescent="0.5">
      <c r="B58" s="70" t="s">
        <v>12</v>
      </c>
      <c r="C58" s="83">
        <f>(SUMIFS(uitkomst_veld[Arbeidsbesparing (€/jaar)],uitkomst_veld[Jaar],"2023",uitkomst_veld[Veld],$B58,uitkomst_veld[Uitgangssituatie/effect beleid],"Effect beleid")+SUMIFS(uitkomst_veld[Overige besparingen],uitkomst_veld[Jaar],"2023",uitkomst_veld[Veld],$B58,uitkomst_veld[Uitgangssituatie/effect beleid],"Effect beleid"))/1000000</f>
        <v>168.29850323829478</v>
      </c>
      <c r="D58" s="174">
        <f>SUMIFS(uitkomst_veld[Arbeidsbesparing (€/jaar)],uitkomst_veld[Jaar],$B$49,uitkomst_veld[Veld],$B58,uitkomst_veld[Uitgangssituatie/effect beleid],"Effect beleid")/1000000</f>
        <v>260.73366246089046</v>
      </c>
      <c r="E58" s="174">
        <f>SUMIFS(uitkomst_veld[Arbeidsbesparing (FTE/jaar)],uitkomst_veld[Jaar],$B$49,uitkomst_veld[Veld],$B58,uitkomst_veld[Uitgangssituatie/effect beleid],"Effect beleid")</f>
        <v>5069.0732166329417</v>
      </c>
      <c r="F58" s="174">
        <f>SUMIFS(uitkomst_veld[Overige besparingen],uitkomst_veld[Jaar],$B$49,uitkomst_veld[Veld],$B58,uitkomst_veld[Uitgangssituatie/effect beleid],"Effect beleid")/1000000</f>
        <v>110.45974350409219</v>
      </c>
      <c r="G58" s="285" cm="1">
        <f t="array" ref="G58">MROUND(SUMIFS(uitkomst_veld[QALY],uitkomst_veld[Jaar],$B$49,uitkomst_veld[Veld],$B58,uitkomst_veld[Uitgangssituatie/effect beleid],"Effect beleid")/QALY[Waarde gezond levensjaar],10)</f>
        <v>3590</v>
      </c>
      <c r="H58" s="174">
        <f t="shared" si="8"/>
        <v>371.19340596498262</v>
      </c>
      <c r="I58" s="174">
        <f>SUMIFS(uitkomst_veld[Kosten (€)],uitkomst_veld[Jaar],$B$49,uitkomst_veld[Veld],$B58,uitkomst_veld[Uitgangssituatie/effect beleid],"Effect beleid")/1000000</f>
        <v>81.964340826348291</v>
      </c>
      <c r="J58" s="177">
        <f>SUMIFS(uitkomst_veld[Investering (cash flow) (€)],uitkomst_veld[Jaar],$B$49,uitkomst_veld[Veld],$B58,uitkomst_veld[Uitgangssituatie/effect beleid],"Effect beleid")/1000000</f>
        <v>0.51735684688565309</v>
      </c>
      <c r="K58" s="177">
        <f t="shared" si="7"/>
        <v>288.71170829174866</v>
      </c>
      <c r="M58" s="70" t="s">
        <v>12</v>
      </c>
      <c r="N58" s="83">
        <f>(SUMIFS(uitkomst_doelgroep[Arbeidsbesparing (€)],uitkomst_doelgroep[Veld],M58,uitkomst_doelgroep[Uitgangssituatie/effect beleid],"Effect beleid",uitkomst_doelgroep[Jaar],$B$49,uitkomst_doelgroep[Direct toepasbaar/extrapolatie],"Huidige toepassing")+SUMIFS(uitkomst_doelgroep[Overige besparingen (€)],uitkomst_doelgroep[Veld],M58,uitkomst_doelgroep[Uitgangssituatie/effect beleid],"Effect beleid",uitkomst_doelgroep[Jaar],$B$49,uitkomst_doelgroep[Direct toepasbaar/extrapolatie],"Huidige toepassing"))/1000000</f>
        <v>358.33431873341237</v>
      </c>
      <c r="O58" s="83">
        <f>(SUMIFS(uitkomst_doelgroep[Arbeidsbesparing (€)],uitkomst_doelgroep[Veld],M58,uitkomst_doelgroep[Uitgangssituatie/effect beleid],"Effect beleid",uitkomst_doelgroep[Jaar],$B$49,uitkomst_doelgroep[Direct toepasbaar/extrapolatie],"Extrapolatie")+SUMIFS(uitkomst_doelgroep[Overige besparingen (€)],uitkomst_doelgroep[Veld],M58,uitkomst_doelgroep[Uitgangssituatie/effect beleid],"Effect beleid",uitkomst_doelgroep[Jaar],$B$49,uitkomst_doelgroep[Direct toepasbaar/extrapolatie],"Extrapolatie"))/1000000</f>
        <v>12.859087231570195</v>
      </c>
      <c r="P58" s="369">
        <f>IFERROR(AVERAGEIFS(implementatie[2028],implementatie[Veld],M58,implementatie[2028],"&gt;0",implementatie[Uitgangssituatie/effect beleid],"Effect beleid",implementatie[Direct toepasbaar/extrapolatie/incidentie voor QALY],"Extrapolatie"),"NVT")</f>
        <v>3.5171874999999998E-2</v>
      </c>
    </row>
    <row r="59" spans="2:21" x14ac:dyDescent="0.5">
      <c r="B59" s="70" t="s">
        <v>8</v>
      </c>
      <c r="C59" s="83">
        <f>(SUMIFS(uitkomst_veld[Arbeidsbesparing (€/jaar)],uitkomst_veld[Jaar],"2023",uitkomst_veld[Veld],$B59,uitkomst_veld[Uitgangssituatie/effect beleid],"Effect beleid")+SUMIFS(uitkomst_veld[Overige besparingen],uitkomst_veld[Jaar],"2023",uitkomst_veld[Veld],$B59,uitkomst_veld[Uitgangssituatie/effect beleid],"Effect beleid"))/1000000</f>
        <v>450.70591861036968</v>
      </c>
      <c r="D59" s="174">
        <f>SUMIFS(uitkomst_veld[Arbeidsbesparing (€/jaar)],uitkomst_veld[Jaar],$B$49,uitkomst_veld[Veld],$B59,uitkomst_veld[Uitgangssituatie/effect beleid],"Effect beleid")/1000000</f>
        <v>748.2281648591412</v>
      </c>
      <c r="E59" s="174">
        <f>SUMIFS(uitkomst_veld[Arbeidsbesparing (FTE/jaar)],uitkomst_veld[Jaar],$B$49,uitkomst_veld[Veld],$B59,uitkomst_veld[Uitgangssituatie/effect beleid],"Effect beleid")</f>
        <v>15319.844434585701</v>
      </c>
      <c r="F59" s="174">
        <f>SUMIFS(uitkomst_veld[Overige besparingen],uitkomst_veld[Jaar],$B$49,uitkomst_veld[Veld],$B59,uitkomst_veld[Uitgangssituatie/effect beleid],"Effect beleid")/1000000</f>
        <v>324.3101431515172</v>
      </c>
      <c r="G59" s="285" cm="1">
        <f t="array" ref="G59">MROUND(SUMIFS(uitkomst_veld[QALY],uitkomst_veld[Jaar],$B$49,uitkomst_veld[Veld],$B59,uitkomst_veld[Uitgangssituatie/effect beleid],"Effect beleid")/QALY[Waarde gezond levensjaar],10)</f>
        <v>1650</v>
      </c>
      <c r="H59" s="174">
        <f t="shared" si="8"/>
        <v>1072.5383080106585</v>
      </c>
      <c r="I59" s="174">
        <f>SUMIFS(uitkomst_veld[Kosten (€)],uitkomst_veld[Jaar],$B$49,uitkomst_veld[Veld],$B59,uitkomst_veld[Uitgangssituatie/effect beleid],"Effect beleid")/1000000</f>
        <v>213.49077619364738</v>
      </c>
      <c r="J59" s="177">
        <f>SUMIFS(uitkomst_veld[Investering (cash flow) (€)],uitkomst_veld[Jaar],$B$49,uitkomst_veld[Veld],$B59,uitkomst_veld[Uitgangssituatie/effect beleid],"Effect beleid")/1000000</f>
        <v>12.382517772700531</v>
      </c>
      <c r="K59" s="177">
        <f t="shared" si="7"/>
        <v>846.66501404431051</v>
      </c>
      <c r="M59" s="70" t="s">
        <v>8</v>
      </c>
      <c r="N59" s="83">
        <f>(SUMIFS(uitkomst_doelgroep[Arbeidsbesparing (€)],uitkomst_doelgroep[Veld],M59,uitkomst_doelgroep[Uitgangssituatie/effect beleid],"Effect beleid",uitkomst_doelgroep[Jaar],$B$49,uitkomst_doelgroep[Direct toepasbaar/extrapolatie],"Huidige toepassing")+SUMIFS(uitkomst_doelgroep[Overige besparingen (€)],uitkomst_doelgroep[Veld],M59,uitkomst_doelgroep[Uitgangssituatie/effect beleid],"Effect beleid",uitkomst_doelgroep[Jaar],$B$49,uitkomst_doelgroep[Direct toepasbaar/extrapolatie],"Huidige toepassing"))/1000000</f>
        <v>1065.888947599653</v>
      </c>
      <c r="O59" s="83">
        <f>(SUMIFS(uitkomst_doelgroep[Arbeidsbesparing (€)],uitkomst_doelgroep[Veld],M59,uitkomst_doelgroep[Uitgangssituatie/effect beleid],"Effect beleid",uitkomst_doelgroep[Jaar],$B$49,uitkomst_doelgroep[Direct toepasbaar/extrapolatie],"Extrapolatie")+SUMIFS(uitkomst_doelgroep[Overige besparingen (€)],uitkomst_doelgroep[Veld],M59,uitkomst_doelgroep[Uitgangssituatie/effect beleid],"Effect beleid",uitkomst_doelgroep[Jaar],$B$49,uitkomst_doelgroep[Direct toepasbaar/extrapolatie],"Extrapolatie"))/1000000</f>
        <v>6.6493604110052784</v>
      </c>
      <c r="P59" s="369">
        <f>IFERROR(AVERAGEIFS(implementatie[2028],implementatie[Veld],M59,implementatie[2028],"&gt;0",implementatie[Uitgangssituatie/effect beleid],"Effect beleid",implementatie[Direct toepasbaar/extrapolatie/incidentie voor QALY],"Extrapolatie"),"NVT")</f>
        <v>0.10920438971384651</v>
      </c>
    </row>
    <row r="60" spans="2:21" ht="17.5" thickBot="1" x14ac:dyDescent="0.55000000000000004">
      <c r="B60" s="70" t="s">
        <v>10</v>
      </c>
      <c r="C60" s="83">
        <f>(SUMIFS(uitkomst_veld[Arbeidsbesparing (€/jaar)],uitkomst_veld[Jaar],"2023",uitkomst_veld[Veld],$B60,uitkomst_veld[Uitgangssituatie/effect beleid],"Effect beleid")+SUMIFS(uitkomst_veld[Overige besparingen],uitkomst_veld[Jaar],"2023",uitkomst_veld[Veld],$B60,uitkomst_veld[Uitgangssituatie/effect beleid],"Effect beleid"))/1000000</f>
        <v>113.01287619534696</v>
      </c>
      <c r="D60" s="174">
        <f>SUMIFS(uitkomst_veld[Arbeidsbesparing (€/jaar)],uitkomst_veld[Jaar],$B$49,uitkomst_veld[Veld],$B60,uitkomst_veld[Uitgangssituatie/effect beleid],"Effect beleid")/1000000</f>
        <v>229.32215162171821</v>
      </c>
      <c r="E60" s="174">
        <f>SUMIFS(uitkomst_veld[Arbeidsbesparing (FTE/jaar)],uitkomst_veld[Jaar],$B$49,uitkomst_veld[Veld],$B60,uitkomst_veld[Uitgangssituatie/effect beleid],"Effect beleid")</f>
        <v>5401.6472121055331</v>
      </c>
      <c r="F60" s="174">
        <f>SUMIFS(uitkomst_veld[Overige besparingen],uitkomst_veld[Jaar],$B$49,uitkomst_veld[Veld],$B60,uitkomst_veld[Uitgangssituatie/effect beleid],"Effect beleid")/1000000</f>
        <v>77.658115854452475</v>
      </c>
      <c r="G60" s="285" cm="1">
        <f t="array" ref="G60">MROUND(SUMIFS(uitkomst_veld[QALY],uitkomst_veld[Jaar],$B$49,uitkomst_veld[Veld],$B60,uitkomst_veld[Uitgangssituatie/effect beleid],"Effect beleid")/QALY[Waarde gezond levensjaar],10)</f>
        <v>0</v>
      </c>
      <c r="H60" s="174">
        <f t="shared" si="8"/>
        <v>306.9802674761707</v>
      </c>
      <c r="I60" s="174">
        <f>SUMIFS(uitkomst_veld[Kosten (€)],uitkomst_veld[Jaar],$B$49,uitkomst_veld[Veld],$B60,uitkomst_veld[Uitgangssituatie/effect beleid],"Effect beleid")/1000000</f>
        <v>181.83102282949528</v>
      </c>
      <c r="J60" s="177">
        <f>SUMIFS(uitkomst_veld[Investering (cash flow) (€)],uitkomst_veld[Jaar],$B$49,uitkomst_veld[Veld],$B60,uitkomst_veld[Uitgangssituatie/effect beleid],"Effect beleid")/1000000</f>
        <v>3.2657340450306931</v>
      </c>
      <c r="K60" s="177">
        <f t="shared" si="7"/>
        <v>121.88351060164472</v>
      </c>
      <c r="M60" s="70" t="s">
        <v>10</v>
      </c>
      <c r="N60" s="83">
        <f>(SUMIFS(uitkomst_doelgroep[Arbeidsbesparing (€)],uitkomst_doelgroep[Veld],M60,uitkomst_doelgroep[Uitgangssituatie/effect beleid],"Effect beleid",uitkomst_doelgroep[Jaar],$B$49,uitkomst_doelgroep[Direct toepasbaar/extrapolatie],"Huidige toepassing")+SUMIFS(uitkomst_doelgroep[Overige besparingen (€)],uitkomst_doelgroep[Veld],M60,uitkomst_doelgroep[Uitgangssituatie/effect beleid],"Effect beleid",uitkomst_doelgroep[Jaar],$B$49,uitkomst_doelgroep[Direct toepasbaar/extrapolatie],"Huidige toepassing"))/1000000</f>
        <v>292.58387141853154</v>
      </c>
      <c r="O60" s="83">
        <f>(SUMIFS(uitkomst_doelgroep[Arbeidsbesparing (€)],uitkomst_doelgroep[Veld],M60,uitkomst_doelgroep[Uitgangssituatie/effect beleid],"Effect beleid",uitkomst_doelgroep[Jaar],$B$49,uitkomst_doelgroep[Direct toepasbaar/extrapolatie],"Extrapolatie")+SUMIFS(uitkomst_doelgroep[Overige besparingen (€)],uitkomst_doelgroep[Veld],M60,uitkomst_doelgroep[Uitgangssituatie/effect beleid],"Effect beleid",uitkomst_doelgroep[Jaar],$B$49,uitkomst_doelgroep[Direct toepasbaar/extrapolatie],"Extrapolatie"))/1000000</f>
        <v>14.396396057639123</v>
      </c>
      <c r="P60" s="369">
        <f>IFERROR(AVERAGEIFS(implementatie[2028],implementatie[Veld],M60,implementatie[2028],"&gt;0",implementatie[Uitgangssituatie/effect beleid],"Effect beleid",implementatie[Direct toepasbaar/extrapolatie/incidentie voor QALY],"Extrapolatie"),"NVT")</f>
        <v>0.11259745511388856</v>
      </c>
    </row>
    <row r="61" spans="2:21" ht="17.5" thickBot="1" x14ac:dyDescent="0.55000000000000004">
      <c r="B61" s="377" t="s">
        <v>634</v>
      </c>
      <c r="C61" s="378">
        <f>SUM(C55:C60)</f>
        <v>803.17595784342871</v>
      </c>
      <c r="D61" s="378">
        <f>SUM(D55:D60)</f>
        <v>1335.2693707270691</v>
      </c>
      <c r="E61" s="378">
        <f t="shared" ref="E61:J61" si="9">SUM(E55:E60)</f>
        <v>27290.620155354914</v>
      </c>
      <c r="F61" s="378">
        <f t="shared" si="9"/>
        <v>560.76883698791073</v>
      </c>
      <c r="G61" s="379">
        <f>SUM(G55:G60)</f>
        <v>12080</v>
      </c>
      <c r="H61" s="378">
        <f>SUM(H55:H60)</f>
        <v>1896.03820771498</v>
      </c>
      <c r="I61" s="378">
        <f t="shared" si="9"/>
        <v>572.22567225730631</v>
      </c>
      <c r="J61" s="378">
        <f t="shared" si="9"/>
        <v>17.109134855813437</v>
      </c>
      <c r="K61" s="380">
        <f t="shared" si="7"/>
        <v>1306.7034006018603</v>
      </c>
      <c r="M61" s="74" t="s">
        <v>634</v>
      </c>
      <c r="N61" s="75">
        <f>SUM(N55:N60)</f>
        <v>1848.7276587710057</v>
      </c>
      <c r="O61" s="75">
        <f>SUM(O55:O60)</f>
        <v>47.310548943974069</v>
      </c>
      <c r="P61" s="367" t="s">
        <v>846</v>
      </c>
    </row>
    <row r="62" spans="2:21" x14ac:dyDescent="0.5">
      <c r="B62" s="370" t="s">
        <v>1039</v>
      </c>
      <c r="C62" s="372"/>
      <c r="D62" s="376">
        <f>1-D63</f>
        <v>0.41714155751975979</v>
      </c>
      <c r="E62" s="372"/>
      <c r="F62" s="376">
        <f>1-F63</f>
        <v>0.50889822583836142</v>
      </c>
      <c r="G62" s="376"/>
      <c r="H62" s="376">
        <f t="shared" ref="H62" si="10">1-H63</f>
        <v>0.44427934407360681</v>
      </c>
      <c r="I62" s="376">
        <f t="shared" ref="I62" si="11">1-I63</f>
        <v>0.52972552591464261</v>
      </c>
      <c r="J62" s="438">
        <f t="shared" ref="J62:K62" si="12">1-J63</f>
        <v>0.27882389118622097</v>
      </c>
      <c r="K62" s="438">
        <f t="shared" si="12"/>
        <v>0.40902750408565691</v>
      </c>
    </row>
    <row r="63" spans="2:21" ht="17.5" thickBot="1" x14ac:dyDescent="0.55000000000000004">
      <c r="B63" s="371" t="s">
        <v>1038</v>
      </c>
      <c r="C63" s="373"/>
      <c r="D63" s="374">
        <f>SUMIFS(uitkomst_doelgroep[Arbeidsbesparing (€) - Wlz],uitkomst_doelgroep[Uitgangssituatie/effect beleid],"Effect beleid",uitkomst_doelgroep[Jaar],$B$49)/1000000/$D$61</f>
        <v>0.58285844248024021</v>
      </c>
      <c r="E63" s="374"/>
      <c r="F63" s="374">
        <f>SUMIFS(uitkomst_doelgroep[Overige besparingen (€) - Wlz],uitkomst_doelgroep[Uitgangssituatie/effect beleid],"Effect beleid",uitkomst_doelgroep[Jaar],$B$49)/1000000/$F$61</f>
        <v>0.49110177416163853</v>
      </c>
      <c r="G63" s="375"/>
      <c r="H63" s="374">
        <f>(SUMIFS(uitkomst_doelgroep[Arbeidsbesparing (€) - Wlz],uitkomst_doelgroep[Uitgangssituatie/effect beleid],"Effect beleid",uitkomst_doelgroep[Jaar],$B$49)+SUMIFS(uitkomst_doelgroep[Overige besparingen (€) - Wlz],uitkomst_doelgroep[Uitgangssituatie/effect beleid],"Effect beleid",uitkomst_doelgroep[Jaar],$B$49))/1000000/$H$61</f>
        <v>0.55572065592639319</v>
      </c>
      <c r="I63" s="374">
        <f>SUMIFS(uitkomst_doelgroep[Kosten (€) - Wlz],uitkomst_doelgroep[Uitgangssituatie/effect beleid],"Effect beleid",uitkomst_doelgroep[Jaar],$B$49)/1000000/$I$61</f>
        <v>0.47027447408535739</v>
      </c>
      <c r="J63" s="434">
        <f>SUMIFS(uitkomst_doelgroep[Investering (cash flow) (€) - Wlz],uitkomst_doelgroep[Uitgangssituatie/effect beleid],"Effect beleid",uitkomst_doelgroep[Jaar],$B$49)/1000000/$J$61</f>
        <v>0.72117610881377903</v>
      </c>
      <c r="K63" s="434">
        <f>(SUMIFS(uitkomst_doelgroep[Arbeidsbesparing (€) - Wlz],uitkomst_doelgroep[Uitgangssituatie/effect beleid],"Effect beleid",uitkomst_doelgroep[Jaar],$B$49)+SUMIFS(uitkomst_doelgroep[Overige besparingen (€) - Wlz],uitkomst_doelgroep[Uitgangssituatie/effect beleid],"Effect beleid",uitkomst_doelgroep[Jaar],$B$49)-SUMIFS(uitkomst_doelgroep[Kosten (€) - Wlz],uitkomst_doelgroep[Uitgangssituatie/effect beleid],"Effect beleid",uitkomst_doelgroep[Jaar],$B$49)-SUMIFS(uitkomst_doelgroep[Investering (cash flow) (€) - Wlz],uitkomst_doelgroep[Uitgangssituatie/effect beleid],"Effect beleid",uitkomst_doelgroep[Jaar],$B$49))/1000000/$K$61</f>
        <v>0.59097249591434309</v>
      </c>
    </row>
    <row r="64" spans="2:21" x14ac:dyDescent="0.5">
      <c r="D64" s="182"/>
      <c r="G64" s="183"/>
    </row>
    <row r="65" spans="1:12" x14ac:dyDescent="0.5">
      <c r="D65" s="182"/>
      <c r="G65" s="183"/>
    </row>
    <row r="66" spans="1:12" x14ac:dyDescent="0.5">
      <c r="D66" s="182"/>
      <c r="G66" s="183"/>
    </row>
    <row r="67" spans="1:12" x14ac:dyDescent="0.5">
      <c r="D67" s="182"/>
      <c r="G67" s="183"/>
    </row>
    <row r="68" spans="1:12" x14ac:dyDescent="0.5">
      <c r="D68" s="182"/>
      <c r="G68" s="183"/>
    </row>
    <row r="69" spans="1:12" x14ac:dyDescent="0.5">
      <c r="D69" s="182"/>
      <c r="G69" s="183"/>
      <c r="H69" s="184"/>
    </row>
    <row r="70" spans="1:12" x14ac:dyDescent="0.5">
      <c r="D70" s="182"/>
      <c r="G70" s="183"/>
      <c r="H70" s="184"/>
    </row>
    <row r="71" spans="1:12" x14ac:dyDescent="0.5">
      <c r="D71" s="182"/>
      <c r="G71" s="183"/>
      <c r="H71" s="184"/>
    </row>
    <row r="72" spans="1:12" x14ac:dyDescent="0.5">
      <c r="D72" s="182"/>
      <c r="G72" s="183"/>
      <c r="H72" s="184"/>
    </row>
    <row r="73" spans="1:12" x14ac:dyDescent="0.5">
      <c r="D73" s="182"/>
      <c r="G73" s="183"/>
      <c r="H73" s="184"/>
    </row>
    <row r="74" spans="1:12" x14ac:dyDescent="0.5">
      <c r="D74" s="182"/>
      <c r="G74" s="183"/>
      <c r="H74" s="184"/>
    </row>
    <row r="75" spans="1:12" x14ac:dyDescent="0.5">
      <c r="D75" s="182"/>
      <c r="G75" s="183"/>
      <c r="H75" s="184"/>
    </row>
    <row r="76" spans="1:12" x14ac:dyDescent="0.5">
      <c r="D76" s="182"/>
      <c r="G76" s="183"/>
      <c r="H76" s="184"/>
    </row>
    <row r="77" spans="1:12" s="196" customFormat="1" x14ac:dyDescent="0.5">
      <c r="A77" s="178"/>
      <c r="B77" s="178"/>
      <c r="C77" s="178"/>
      <c r="D77" s="182"/>
      <c r="E77" s="178"/>
      <c r="F77" s="178"/>
      <c r="G77" s="183"/>
      <c r="H77" s="184"/>
      <c r="I77" s="178"/>
      <c r="J77" s="178"/>
      <c r="K77" s="178"/>
      <c r="L77" s="178"/>
    </row>
    <row r="78" spans="1:12" s="196" customFormat="1" x14ac:dyDescent="0.5">
      <c r="A78" s="178"/>
      <c r="B78" s="178"/>
      <c r="C78" s="178"/>
      <c r="D78" s="182"/>
      <c r="E78" s="178"/>
      <c r="F78" s="178"/>
      <c r="G78" s="183"/>
      <c r="H78" s="184"/>
      <c r="I78" s="178"/>
      <c r="J78" s="178"/>
      <c r="K78" s="178"/>
      <c r="L78" s="178"/>
    </row>
    <row r="79" spans="1:12" x14ac:dyDescent="0.5">
      <c r="D79" s="182"/>
      <c r="G79" s="183"/>
      <c r="H79" s="184"/>
    </row>
    <row r="80" spans="1:12" s="489" customFormat="1" ht="17.5" thickBot="1" x14ac:dyDescent="0.55000000000000004">
      <c r="A80" s="283"/>
      <c r="B80" s="489" t="str">
        <f>CONCATENATE("Wijzigingen opbrengsten digitale zorg ", B49, IF(B51="Huidig beleid gehaald + 3 nieuwe beleidsmaatregelen"," bij slagen huidig beleid en invoeren nieuw beleid", " bij niet slagen huidig beleid"))</f>
        <v>Wijzigingen opbrengsten digitale zorg 2028 bij niet slagen huidig beleid</v>
      </c>
    </row>
    <row r="81" spans="2:12" ht="34.5" thickBot="1" x14ac:dyDescent="0.55000000000000004">
      <c r="B81" s="292" t="s">
        <v>983</v>
      </c>
      <c r="D81" s="196"/>
      <c r="E81" s="196"/>
      <c r="F81" s="196"/>
      <c r="G81" s="196"/>
      <c r="H81" s="196"/>
      <c r="I81" s="196"/>
      <c r="J81" s="196"/>
      <c r="K81" s="196"/>
      <c r="L81" s="196"/>
    </row>
    <row r="82" spans="2:12" ht="17.149999999999999" customHeight="1" x14ac:dyDescent="0.5">
      <c r="B82" s="486" t="str">
        <f xml:space="preserve"> CONCATENATE("Geselecteerde situatie is: ",$B$51)</f>
        <v>Geselecteerde situatie is: Uitgangssituatie (huidig beleid gehaald, geen nieuw beleid)</v>
      </c>
    </row>
    <row r="83" spans="2:12" x14ac:dyDescent="0.5">
      <c r="B83" s="487"/>
    </row>
    <row r="84" spans="2:12" x14ac:dyDescent="0.5">
      <c r="B84" s="487"/>
    </row>
    <row r="85" spans="2:12" ht="17.5" thickBot="1" x14ac:dyDescent="0.55000000000000004">
      <c r="B85" s="488"/>
    </row>
    <row r="88" spans="2:12" ht="46.5" customHeight="1" x14ac:dyDescent="0.5"/>
    <row r="92" spans="2:12" x14ac:dyDescent="0.5">
      <c r="D92" s="182"/>
    </row>
    <row r="93" spans="2:12" x14ac:dyDescent="0.5">
      <c r="D93" s="182"/>
      <c r="G93" s="183"/>
      <c r="H93" s="184"/>
    </row>
    <row r="94" spans="2:12" x14ac:dyDescent="0.5">
      <c r="D94" s="182"/>
      <c r="G94" s="183"/>
      <c r="H94" s="184"/>
    </row>
    <row r="95" spans="2:12" x14ac:dyDescent="0.5">
      <c r="D95" s="182"/>
      <c r="G95" s="183"/>
      <c r="H95" s="184"/>
    </row>
    <row r="96" spans="2:12" x14ac:dyDescent="0.5">
      <c r="D96" s="182"/>
      <c r="G96" s="183"/>
      <c r="H96" s="184"/>
    </row>
    <row r="97" spans="1:12" x14ac:dyDescent="0.5">
      <c r="D97" s="182"/>
      <c r="G97" s="183"/>
      <c r="H97" s="184"/>
    </row>
    <row r="98" spans="1:12" x14ac:dyDescent="0.5">
      <c r="D98" s="182"/>
      <c r="G98" s="183"/>
      <c r="H98" s="184"/>
    </row>
    <row r="99" spans="1:12" s="196" customFormat="1" x14ac:dyDescent="0.5">
      <c r="A99" s="178"/>
      <c r="B99" s="178"/>
      <c r="C99" s="178"/>
      <c r="D99" s="182"/>
      <c r="E99" s="178"/>
      <c r="F99" s="178"/>
      <c r="G99" s="183"/>
      <c r="H99" s="184"/>
      <c r="I99" s="178"/>
      <c r="J99" s="178"/>
      <c r="K99" s="178"/>
      <c r="L99" s="178"/>
    </row>
    <row r="100" spans="1:12" x14ac:dyDescent="0.5">
      <c r="D100" s="182"/>
      <c r="G100" s="183"/>
      <c r="H100" s="184"/>
    </row>
    <row r="101" spans="1:12" x14ac:dyDescent="0.5">
      <c r="D101" s="182"/>
      <c r="G101" s="183"/>
      <c r="H101" s="184"/>
    </row>
    <row r="102" spans="1:12" s="483" customFormat="1" ht="17.5" thickBot="1" x14ac:dyDescent="0.55000000000000004">
      <c r="A102" s="11"/>
      <c r="B102" s="483" t="str">
        <f>CONCATENATE("Wijzigingen opbrengsten ",B49," bij realiseren doelstellingen gegevensuitwisseling in geselecteerde situatie")</f>
        <v>Wijzigingen opbrengsten 2028 bij realiseren doelstellingen gegevensuitwisseling in geselecteerde situatie</v>
      </c>
    </row>
    <row r="103" spans="1:12" ht="34.5" thickBot="1" x14ac:dyDescent="0.55000000000000004">
      <c r="B103" s="292" t="str">
        <f>CONCATENATE("Geselecteerde situatie is: ", $B$51)</f>
        <v>Geselecteerde situatie is: Uitgangssituatie (huidig beleid gehaald, geen nieuw beleid)</v>
      </c>
    </row>
    <row r="109" spans="1:12" ht="16.5" customHeight="1" x14ac:dyDescent="0.5"/>
  </sheetData>
  <sheetProtection algorithmName="SHA-512" hashValue="E/8XmWcWWOOGKZU6zpYTOb31wO/oJS5l50JsXBzbdXG6bmr6BHndxHfZvDOoPcl0pBEB19cjoGlYY9zRJVZK7A==" saltValue="mMOhbXPKyjCjE4SwicLkiQ==" spinCount="100000" sheet="1" objects="1" scenarios="1" selectLockedCells="1" selectUnlockedCells="1"/>
  <mergeCells count="11">
    <mergeCell ref="A1:D2"/>
    <mergeCell ref="N53:Q53"/>
    <mergeCell ref="R53:U53"/>
    <mergeCell ref="B102:XFD102"/>
    <mergeCell ref="B4:XFD4"/>
    <mergeCell ref="B30:XFD30"/>
    <mergeCell ref="B47:XFD47"/>
    <mergeCell ref="B82:B85"/>
    <mergeCell ref="B80:XFD80"/>
    <mergeCell ref="N5:Q5"/>
    <mergeCell ref="R5:U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878DC23E-A067-49BE-9311-2135CA0BC7F8}">
          <x14:formula1>
            <xm:f>Filters!#REF!</xm:f>
          </x14:formula1>
          <xm:sqref>A46</xm:sqref>
        </x14:dataValidation>
        <x14:dataValidation type="list" allowBlank="1" showInputMessage="1" showErrorMessage="1" xr:uid="{3FA8F2B4-229F-4296-B5E9-6EE7A28F3F6C}">
          <x14:formula1>
            <xm:f>Filters!$B$3:$B$13</xm:f>
          </x14:formula1>
          <xm:sqref>B49</xm:sqref>
        </x14:dataValidation>
        <x14:dataValidation type="list" allowBlank="1" showInputMessage="1" showErrorMessage="1" xr:uid="{9B5D4974-2297-4BF5-AB09-1CC21668CD57}">
          <x14:formula1>
            <xm:f>Filters!$C$3:$C$8</xm:f>
          </x14:formula1>
          <xm:sqref>B51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AE3A8-9986-42B9-8218-4FF48D1F87FD}">
  <sheetPr codeName="Blad24">
    <tabColor theme="8"/>
  </sheetPr>
  <dimension ref="A1:L748"/>
  <sheetViews>
    <sheetView showGridLines="0" zoomScale="80" zoomScaleNormal="80" workbookViewId="0">
      <selection activeCell="B26" sqref="B26"/>
    </sheetView>
  </sheetViews>
  <sheetFormatPr defaultRowHeight="17" x14ac:dyDescent="0.5"/>
  <cols>
    <col min="1" max="1" width="28.23046875" bestFit="1" customWidth="1"/>
    <col min="2" max="2" width="35.765625" bestFit="1" customWidth="1"/>
    <col min="3" max="3" width="29.23046875" customWidth="1"/>
    <col min="5" max="5" width="9.07421875" hidden="1" customWidth="1"/>
    <col min="6" max="6" width="14.3046875" bestFit="1" customWidth="1"/>
    <col min="7" max="7" width="15.07421875" bestFit="1" customWidth="1"/>
    <col min="8" max="8" width="15.07421875" customWidth="1"/>
    <col min="9" max="9" width="15.69140625" bestFit="1" customWidth="1"/>
    <col min="10" max="10" width="16.4609375" bestFit="1" customWidth="1"/>
    <col min="11" max="12" width="13.23046875" bestFit="1" customWidth="1"/>
  </cols>
  <sheetData>
    <row r="1" spans="1:12" x14ac:dyDescent="0.5">
      <c r="A1" s="476" t="s">
        <v>1032</v>
      </c>
      <c r="B1" s="477"/>
      <c r="C1" s="478"/>
    </row>
    <row r="2" spans="1:12" ht="17.5" thickBot="1" x14ac:dyDescent="0.55000000000000004">
      <c r="A2" s="479"/>
      <c r="B2" s="480"/>
      <c r="C2" s="481"/>
    </row>
    <row r="3" spans="1:12" ht="17.5" thickBot="1" x14ac:dyDescent="0.55000000000000004"/>
    <row r="4" spans="1:12" s="39" customFormat="1" ht="34.5" thickBot="1" x14ac:dyDescent="0.55000000000000004">
      <c r="A4" s="44" t="s">
        <v>5</v>
      </c>
      <c r="B4" s="16" t="s">
        <v>751</v>
      </c>
      <c r="C4" s="31" t="s">
        <v>811</v>
      </c>
      <c r="D4" s="160" t="s">
        <v>469</v>
      </c>
      <c r="E4" s="160" t="s">
        <v>574</v>
      </c>
      <c r="F4" s="160" t="s">
        <v>203</v>
      </c>
      <c r="G4" s="161" t="s">
        <v>1058</v>
      </c>
      <c r="H4" s="15" t="s">
        <v>1059</v>
      </c>
      <c r="I4" s="15" t="s">
        <v>1060</v>
      </c>
      <c r="J4" s="15" t="s">
        <v>1061</v>
      </c>
      <c r="K4" s="15" t="s">
        <v>505</v>
      </c>
      <c r="L4" s="16" t="s">
        <v>998</v>
      </c>
    </row>
    <row r="5" spans="1:12" x14ac:dyDescent="0.5">
      <c r="A5" s="42" t="str">
        <f>INDEX(Technologieën[Veld],MATCH(B5,Technologieën[Digitale zorgtoepassing],0))</f>
        <v>Sensoren - Behandeling</v>
      </c>
      <c r="B5" s="33" t="s">
        <v>593</v>
      </c>
      <c r="C5" s="33" t="s">
        <v>812</v>
      </c>
      <c r="D5" s="33">
        <v>2023</v>
      </c>
      <c r="E5" s="2">
        <v>23</v>
      </c>
      <c r="F5" s="397">
        <f>SUMIFS(uitkomst_doelgroep[Patiëntaantallen],uitkomst_doelgroep[Digitale zorgtoepassing],B5,uitkomst_doelgroep[Jaar],D5,uitkomst_doelgroep[Arbeidsbesparing (€)],"&gt;0",uitkomst_doelgroep[Uitgangssituatie/effect beleid],uitkomst_tech[[#This Row],[Uitgangssituatie/effect beleid]])</f>
        <v>3376.76</v>
      </c>
      <c r="G5" s="398">
        <f>SUMIFS(uitkomst_doelgroep[Arbeidsbesparing (€)],uitkomst_doelgroep[Digitale zorgtoepassing],B5,uitkomst_doelgroep[Jaar],D5,uitkomst_doelgroep[Arbeidsbesparing (€)],"&gt;0",uitkomst_doelgroep[Uitgangssituatie/effect beleid],uitkomst_tech[[#This Row],[Uitgangssituatie/effect beleid]])</f>
        <v>1799137.7279999999</v>
      </c>
      <c r="H5" s="398">
        <f>SUMIFS(uitkomst_doelgroep[Arbeidsbesparing (FTE)],uitkomst_doelgroep[Digitale zorgtoepassing],B5,uitkomst_doelgroep[Jaar],D5,uitkomst_doelgroep[Arbeidsbesparing (FTE)],"&gt;0",uitkomst_doelgroep[Uitgangssituatie/effect beleid],uitkomst_tech[[#This Row],[Uitgangssituatie/effect beleid]])</f>
        <v>31.181231921457346</v>
      </c>
      <c r="I5" s="398">
        <f>SUMIFS(uitkomst_doelgroep[Overige besparingen (€)],uitkomst_doelgroep[Digitale zorgtoepassing],B5,uitkomst_doelgroep[Jaar],D5,uitkomst_doelgroep[Overige besparingen (€)],"&gt;0",uitkomst_doelgroep[Uitgangssituatie/effect beleid],uitkomst_tech[[#This Row],[Uitgangssituatie/effect beleid]])</f>
        <v>1199425.1520000002</v>
      </c>
      <c r="J5" s="398">
        <f>SUMIFS(uitkomst_doelgroep[QALY (€)],uitkomst_doelgroep[Digitale zorgtoepassing],B5,uitkomst_doelgroep[Jaar],D5,uitkomst_doelgroep[QALY (€)],"&gt;0",uitkomst_doelgroep[Uitgangssituatie/effect beleid],uitkomst_tech[[#This Row],[Uitgangssituatie/effect beleid]])</f>
        <v>0</v>
      </c>
      <c r="K5" s="398">
        <f>SUMIFS(uitkomst_doelgroep[Kosten (€)],uitkomst_doelgroep[Digitale zorgtoepassing],B5,uitkomst_doelgroep[Jaar],D5,uitkomst_doelgroep[Kosten (€)],"&gt;0",uitkomst_doelgroep[Uitgangssituatie/effect beleid],uitkomst_tech[[#This Row],[Uitgangssituatie/effect beleid]])</f>
        <v>228063.7</v>
      </c>
      <c r="L5" s="398">
        <f>SUMIFS(uitkomst_doelgroep[Investering (cash flow) (€)],uitkomst_doelgroep[Digitale zorgtoepassing],B5,uitkomst_doelgroep[Jaar],D5,uitkomst_doelgroep[Investering (cash flow) (€)],"&gt;0",uitkomst_doelgroep[Uitgangssituatie/effect beleid],uitkomst_tech[[#This Row],[Uitgangssituatie/effect beleid]])</f>
        <v>0</v>
      </c>
    </row>
    <row r="6" spans="1:12" x14ac:dyDescent="0.5">
      <c r="A6" s="42" t="str">
        <f>INDEX(Technologieën[Veld],MATCH(B6,Technologieën[Digitale zorgtoepassing],0))</f>
        <v>Sensoren - Behandeling</v>
      </c>
      <c r="B6" s="33" t="s">
        <v>593</v>
      </c>
      <c r="C6" s="33" t="s">
        <v>812</v>
      </c>
      <c r="D6" s="33">
        <v>2024</v>
      </c>
      <c r="E6" s="2">
        <v>55</v>
      </c>
      <c r="F6" s="397">
        <f>SUMIFS(uitkomst_doelgroep[Patiëntaantallen],uitkomst_doelgroep[Digitale zorgtoepassing],B6,uitkomst_doelgroep[Jaar],D6,uitkomst_doelgroep[Arbeidsbesparing (€)],"&gt;0",uitkomst_doelgroep[Uitgangssituatie/effect beleid],uitkomst_tech[[#This Row],[Uitgangssituatie/effect beleid]])</f>
        <v>4727.4639999999999</v>
      </c>
      <c r="G6" s="398">
        <f>SUMIFS(uitkomst_doelgroep[Arbeidsbesparing (€)],uitkomst_doelgroep[Digitale zorgtoepassing],B6,uitkomst_doelgroep[Jaar],D6,uitkomst_doelgroep[Arbeidsbesparing (€)],"&gt;0",uitkomst_doelgroep[Uitgangssituatie/effect beleid],uitkomst_tech[[#This Row],[Uitgangssituatie/effect beleid]])</f>
        <v>2518792.8191999998</v>
      </c>
      <c r="H6" s="398">
        <f>SUMIFS(uitkomst_doelgroep[Arbeidsbesparing (FTE)],uitkomst_doelgroep[Digitale zorgtoepassing],B6,uitkomst_doelgroep[Jaar],D6,uitkomst_doelgroep[Arbeidsbesparing (FTE)],"&gt;0",uitkomst_doelgroep[Uitgangssituatie/effect beleid],uitkomst_tech[[#This Row],[Uitgangssituatie/effect beleid]])</f>
        <v>43.653724690040285</v>
      </c>
      <c r="I6" s="398">
        <f>SUMIFS(uitkomst_doelgroep[Overige besparingen (€)],uitkomst_doelgroep[Digitale zorgtoepassing],B6,uitkomst_doelgroep[Jaar],D6,uitkomst_doelgroep[Overige besparingen (€)],"&gt;0",uitkomst_doelgroep[Uitgangssituatie/effect beleid],uitkomst_tech[[#This Row],[Uitgangssituatie/effect beleid]])</f>
        <v>1679195.2128000003</v>
      </c>
      <c r="J6" s="398">
        <f>SUMIFS(uitkomst_doelgroep[QALY (€)],uitkomst_doelgroep[Digitale zorgtoepassing],B6,uitkomst_doelgroep[Jaar],D6,uitkomst_doelgroep[QALY (€)],"&gt;0",uitkomst_doelgroep[Uitgangssituatie/effect beleid],uitkomst_tech[[#This Row],[Uitgangssituatie/effect beleid]])</f>
        <v>0</v>
      </c>
      <c r="K6" s="398">
        <f>SUMIFS(uitkomst_doelgroep[Kosten (€)],uitkomst_doelgroep[Digitale zorgtoepassing],B6,uitkomst_doelgroep[Jaar],D6,uitkomst_doelgroep[Kosten (€)],"&gt;0",uitkomst_doelgroep[Uitgangssituatie/effect beleid],uitkomst_tech[[#This Row],[Uitgangssituatie/effect beleid]])</f>
        <v>319289.18000000005</v>
      </c>
      <c r="L6" s="398">
        <f>SUMIFS(uitkomst_doelgroep[Investering (cash flow) (€)],uitkomst_doelgroep[Digitale zorgtoepassing],B6,uitkomst_doelgroep[Jaar],D6,uitkomst_doelgroep[Investering (cash flow) (€)],"&gt;0",uitkomst_doelgroep[Uitgangssituatie/effect beleid],uitkomst_tech[[#This Row],[Uitgangssituatie/effect beleid]])</f>
        <v>0</v>
      </c>
    </row>
    <row r="7" spans="1:12" x14ac:dyDescent="0.5">
      <c r="A7" s="42" t="str">
        <f>INDEX(Technologieën[Veld],MATCH(B7,Technologieën[Digitale zorgtoepassing],0))</f>
        <v>Sensoren - Behandeling</v>
      </c>
      <c r="B7" s="33" t="s">
        <v>593</v>
      </c>
      <c r="C7" s="33" t="s">
        <v>812</v>
      </c>
      <c r="D7" s="33">
        <v>2025</v>
      </c>
      <c r="E7" s="2">
        <v>87</v>
      </c>
      <c r="F7" s="397">
        <f>SUMIFS(uitkomst_doelgroep[Patiëntaantallen],uitkomst_doelgroep[Digitale zorgtoepassing],B7,uitkomst_doelgroep[Jaar],D7,uitkomst_doelgroep[Arbeidsbesparing (€)],"&gt;0",uitkomst_doelgroep[Uitgangssituatie/effect beleid],uitkomst_tech[[#This Row],[Uitgangssituatie/effect beleid]])</f>
        <v>6332.1003520000004</v>
      </c>
      <c r="G7" s="398">
        <f>SUMIFS(uitkomst_doelgroep[Arbeidsbesparing (€)],uitkomst_doelgroep[Digitale zorgtoepassing],B7,uitkomst_doelgroep[Jaar],D7,uitkomst_doelgroep[Arbeidsbesparing (€)],"&gt;0",uitkomst_doelgroep[Uitgangssituatie/effect beleid],uitkomst_tech[[#This Row],[Uitgangssituatie/effect beleid]])</f>
        <v>3373743.0675455998</v>
      </c>
      <c r="H7" s="398">
        <f>SUMIFS(uitkomst_doelgroep[Arbeidsbesparing (FTE)],uitkomst_doelgroep[Digitale zorgtoepassing],B7,uitkomst_doelgroep[Jaar],D7,uitkomst_doelgroep[Arbeidsbesparing (FTE)],"&gt;0",uitkomst_doelgroep[Uitgangssituatie/effect beleid],uitkomst_tech[[#This Row],[Uitgangssituatie/effect beleid]])</f>
        <v>58.471046099116819</v>
      </c>
      <c r="I7" s="398">
        <f>SUMIFS(uitkomst_doelgroep[Overige besparingen (€)],uitkomst_doelgroep[Digitale zorgtoepassing],B7,uitkomst_doelgroep[Jaar],D7,uitkomst_doelgroep[Overige besparingen (€)],"&gt;0",uitkomst_doelgroep[Uitgangssituatie/effect beleid],uitkomst_tech[[#This Row],[Uitgangssituatie/effect beleid]])</f>
        <v>2249162.0450304006</v>
      </c>
      <c r="J7" s="398">
        <f>SUMIFS(uitkomst_doelgroep[QALY (€)],uitkomst_doelgroep[Digitale zorgtoepassing],B7,uitkomst_doelgroep[Jaar],D7,uitkomst_doelgroep[QALY (€)],"&gt;0",uitkomst_doelgroep[Uitgangssituatie/effect beleid],uitkomst_tech[[#This Row],[Uitgangssituatie/effect beleid]])</f>
        <v>0</v>
      </c>
      <c r="K7" s="398">
        <f>SUMIFS(uitkomst_doelgroep[Kosten (€)],uitkomst_doelgroep[Digitale zorgtoepassing],B7,uitkomst_doelgroep[Jaar],D7,uitkomst_doelgroep[Kosten (€)],"&gt;0",uitkomst_doelgroep[Uitgangssituatie/effect beleid],uitkomst_tech[[#This Row],[Uitgangssituatie/effect beleid]])</f>
        <v>427665.05024000007</v>
      </c>
      <c r="L7" s="398">
        <f>SUMIFS(uitkomst_doelgroep[Investering (cash flow) (€)],uitkomst_doelgroep[Digitale zorgtoepassing],B7,uitkomst_doelgroep[Jaar],D7,uitkomst_doelgroep[Investering (cash flow) (€)],"&gt;0",uitkomst_doelgroep[Uitgangssituatie/effect beleid],uitkomst_tech[[#This Row],[Uitgangssituatie/effect beleid]])</f>
        <v>0</v>
      </c>
    </row>
    <row r="8" spans="1:12" x14ac:dyDescent="0.5">
      <c r="A8" s="42" t="str">
        <f>INDEX(Technologieën[Veld],MATCH(B8,Technologieën[Digitale zorgtoepassing],0))</f>
        <v>Sensoren - Behandeling</v>
      </c>
      <c r="B8" s="33" t="s">
        <v>593</v>
      </c>
      <c r="C8" s="33" t="s">
        <v>812</v>
      </c>
      <c r="D8" s="33">
        <v>2026</v>
      </c>
      <c r="E8" s="2">
        <v>119</v>
      </c>
      <c r="F8" s="397">
        <f>SUMIFS(uitkomst_doelgroep[Patiëntaantallen],uitkomst_doelgroep[Digitale zorgtoepassing],B8,uitkomst_doelgroep[Jaar],D8,uitkomst_doelgroep[Arbeidsbesparing (€)],"&gt;0",uitkomst_doelgroep[Uitgangssituatie/effect beleid],uitkomst_tech[[#This Row],[Uitgangssituatie/effect beleid]])</f>
        <v>8126.0581193543685</v>
      </c>
      <c r="G8" s="398">
        <f>SUMIFS(uitkomst_doelgroep[Arbeidsbesparing (€)],uitkomst_doelgroep[Digitale zorgtoepassing],B8,uitkomst_doelgroep[Jaar],D8,uitkomst_doelgroep[Arbeidsbesparing (€)],"&gt;0",uitkomst_doelgroep[Uitgangssituatie/effect beleid],uitkomst_tech[[#This Row],[Uitgangssituatie/effect beleid]])</f>
        <v>4329563.7659920072</v>
      </c>
      <c r="H8" s="398">
        <f>SUMIFS(uitkomst_doelgroep[Arbeidsbesparing (FTE)],uitkomst_doelgroep[Digitale zorgtoepassing],B8,uitkomst_doelgroep[Jaar],D8,uitkomst_doelgroep[Arbeidsbesparing (FTE)],"&gt;0",uitkomst_doelgroep[Uitgangssituatie/effect beleid],uitkomst_tech[[#This Row],[Uitgangssituatie/effect beleid]])</f>
        <v>75.03657435732184</v>
      </c>
      <c r="I8" s="398">
        <f>SUMIFS(uitkomst_doelgroep[Overige besparingen (€)],uitkomst_doelgroep[Digitale zorgtoepassing],B8,uitkomst_doelgroep[Jaar],D8,uitkomst_doelgroep[Overige besparingen (€)],"&gt;0",uitkomst_doelgroep[Uitgangssituatie/effect beleid],uitkomst_tech[[#This Row],[Uitgangssituatie/effect beleid]])</f>
        <v>2886375.8439946719</v>
      </c>
      <c r="J8" s="398">
        <f>SUMIFS(uitkomst_doelgroep[QALY (€)],uitkomst_doelgroep[Digitale zorgtoepassing],B8,uitkomst_doelgroep[Jaar],D8,uitkomst_doelgroep[QALY (€)],"&gt;0",uitkomst_doelgroep[Uitgangssituatie/effect beleid],uitkomst_tech[[#This Row],[Uitgangssituatie/effect beleid]])</f>
        <v>0</v>
      </c>
      <c r="K8" s="398">
        <f>SUMIFS(uitkomst_doelgroep[Kosten (€)],uitkomst_doelgroep[Digitale zorgtoepassing],B8,uitkomst_doelgroep[Jaar],D8,uitkomst_doelgroep[Kosten (€)],"&gt;0",uitkomst_doelgroep[Uitgangssituatie/effect beleid],uitkomst_tech[[#This Row],[Uitgangssituatie/effect beleid]])</f>
        <v>548827.53915439616</v>
      </c>
      <c r="L8" s="398">
        <f>SUMIFS(uitkomst_doelgroep[Investering (cash flow) (€)],uitkomst_doelgroep[Digitale zorgtoepassing],B8,uitkomst_doelgroep[Jaar],D8,uitkomst_doelgroep[Investering (cash flow) (€)],"&gt;0",uitkomst_doelgroep[Uitgangssituatie/effect beleid],uitkomst_tech[[#This Row],[Uitgangssituatie/effect beleid]])</f>
        <v>0</v>
      </c>
    </row>
    <row r="9" spans="1:12" x14ac:dyDescent="0.5">
      <c r="A9" s="42" t="str">
        <f>INDEX(Technologieën[Veld],MATCH(B9,Technologieën[Digitale zorgtoepassing],0))</f>
        <v>Sensoren - Behandeling</v>
      </c>
      <c r="B9" s="33" t="s">
        <v>593</v>
      </c>
      <c r="C9" s="33" t="s">
        <v>812</v>
      </c>
      <c r="D9" s="33">
        <v>2027</v>
      </c>
      <c r="E9" s="2">
        <v>151</v>
      </c>
      <c r="F9" s="397">
        <f>SUMIFS(uitkomst_doelgroep[Patiëntaantallen],uitkomst_doelgroep[Digitale zorgtoepassing],B9,uitkomst_doelgroep[Jaar],D9,uitkomst_doelgroep[Arbeidsbesparing (€)],"&gt;0",uitkomst_doelgroep[Uitgangssituatie/effect beleid],uitkomst_tech[[#This Row],[Uitgangssituatie/effect beleid]])</f>
        <v>9987.229600529281</v>
      </c>
      <c r="G9" s="398">
        <f>SUMIFS(uitkomst_doelgroep[Arbeidsbesparing (€)],uitkomst_doelgroep[Digitale zorgtoepassing],B9,uitkomst_doelgroep[Jaar],D9,uitkomst_doelgroep[Arbeidsbesparing (€)],"&gt;0",uitkomst_doelgroep[Uitgangssituatie/effect beleid],uitkomst_tech[[#This Row],[Uitgangssituatie/effect beleid]])</f>
        <v>5321195.9311619997</v>
      </c>
      <c r="H9" s="398">
        <f>SUMIFS(uitkomst_doelgroep[Arbeidsbesparing (FTE)],uitkomst_doelgroep[Digitale zorgtoepassing],B9,uitkomst_doelgroep[Jaar],D9,uitkomst_doelgroep[Arbeidsbesparing (FTE)],"&gt;0",uitkomst_doelgroep[Uitgangssituatie/effect beleid],uitkomst_tech[[#This Row],[Uitgangssituatie/effect beleid]])</f>
        <v>92.222758628669879</v>
      </c>
      <c r="I9" s="398">
        <f>SUMIFS(uitkomst_doelgroep[Overige besparingen (€)],uitkomst_doelgroep[Digitale zorgtoepassing],B9,uitkomst_doelgroep[Jaar],D9,uitkomst_doelgroep[Overige besparingen (€)],"&gt;0",uitkomst_doelgroep[Uitgangssituatie/effect beleid],uitkomst_tech[[#This Row],[Uitgangssituatie/effect beleid]])</f>
        <v>3547463.9541080012</v>
      </c>
      <c r="J9" s="398">
        <f>SUMIFS(uitkomst_doelgroep[QALY (€)],uitkomst_doelgroep[Digitale zorgtoepassing],B9,uitkomst_doelgroep[Jaar],D9,uitkomst_doelgroep[QALY (€)],"&gt;0",uitkomst_doelgroep[Uitgangssituatie/effect beleid],uitkomst_tech[[#This Row],[Uitgangssituatie/effect beleid]])</f>
        <v>0</v>
      </c>
      <c r="K9" s="398">
        <f>SUMIFS(uitkomst_doelgroep[Kosten (€)],uitkomst_doelgroep[Digitale zorgtoepassing],B9,uitkomst_doelgroep[Jaar],D9,uitkomst_doelgroep[Kosten (€)],"&gt;0",uitkomst_doelgroep[Uitgangssituatie/effect beleid],uitkomst_tech[[#This Row],[Uitgangssituatie/effect beleid]])</f>
        <v>674529.58914646879</v>
      </c>
      <c r="L9" s="398">
        <f>SUMIFS(uitkomst_doelgroep[Investering (cash flow) (€)],uitkomst_doelgroep[Digitale zorgtoepassing],B9,uitkomst_doelgroep[Jaar],D9,uitkomst_doelgroep[Investering (cash flow) (€)],"&gt;0",uitkomst_doelgroep[Uitgangssituatie/effect beleid],uitkomst_tech[[#This Row],[Uitgangssituatie/effect beleid]])</f>
        <v>0</v>
      </c>
    </row>
    <row r="10" spans="1:12" x14ac:dyDescent="0.5">
      <c r="A10" s="42" t="str">
        <f>INDEX(Technologieën[Veld],MATCH(B10,Technologieën[Digitale zorgtoepassing],0))</f>
        <v>Sensoren - Behandeling</v>
      </c>
      <c r="B10" s="33" t="s">
        <v>593</v>
      </c>
      <c r="C10" s="33" t="s">
        <v>812</v>
      </c>
      <c r="D10" s="33">
        <v>2028</v>
      </c>
      <c r="E10" s="2">
        <v>183</v>
      </c>
      <c r="F10" s="397">
        <f>SUMIFS(uitkomst_doelgroep[Patiëntaantallen],uitkomst_doelgroep[Digitale zorgtoepassing],B10,uitkomst_doelgroep[Jaar],D10,uitkomst_doelgroep[Arbeidsbesparing (€)],"&gt;0",uitkomst_doelgroep[Uitgangssituatie/effect beleid],uitkomst_tech[[#This Row],[Uitgangssituatie/effect beleid]])</f>
        <v>11756.965034525352</v>
      </c>
      <c r="G10" s="398">
        <f>SUMIFS(uitkomst_doelgroep[Arbeidsbesparing (€)],uitkomst_doelgroep[Digitale zorgtoepassing],B10,uitkomst_doelgroep[Jaar],D10,uitkomst_doelgroep[Arbeidsbesparing (€)],"&gt;0",uitkomst_doelgroep[Uitgangssituatie/effect beleid],uitkomst_tech[[#This Row],[Uitgangssituatie/effect beleid]])</f>
        <v>6264110.9703951078</v>
      </c>
      <c r="H10" s="398">
        <f>SUMIFS(uitkomst_doelgroep[Arbeidsbesparing (FTE)],uitkomst_doelgroep[Digitale zorgtoepassing],B10,uitkomst_doelgroep[Jaar],D10,uitkomst_doelgroep[Arbeidsbesparing (FTE)],"&gt;0",uitkomst_doelgroep[Uitgangssituatie/effect beleid],uitkomst_tech[[#This Row],[Uitgangssituatie/effect beleid]])</f>
        <v>108.56461621021329</v>
      </c>
      <c r="I10" s="398">
        <f>SUMIFS(uitkomst_doelgroep[Overige besparingen (€)],uitkomst_doelgroep[Digitale zorgtoepassing],B10,uitkomst_doelgroep[Jaar],D10,uitkomst_doelgroep[Overige besparingen (€)],"&gt;0",uitkomst_doelgroep[Uitgangssituatie/effect beleid],uitkomst_tech[[#This Row],[Uitgangssituatie/effect beleid]])</f>
        <v>4176073.9802634059</v>
      </c>
      <c r="J10" s="398">
        <f>SUMIFS(uitkomst_doelgroep[QALY (€)],uitkomst_doelgroep[Digitale zorgtoepassing],B10,uitkomst_doelgroep[Jaar],D10,uitkomst_doelgroep[QALY (€)],"&gt;0",uitkomst_doelgroep[Uitgangssituatie/effect beleid],uitkomst_tech[[#This Row],[Uitgangssituatie/effect beleid]])</f>
        <v>0</v>
      </c>
      <c r="K10" s="398">
        <f>SUMIFS(uitkomst_doelgroep[Kosten (€)],uitkomst_doelgroep[Digitale zorgtoepassing],B10,uitkomst_doelgroep[Jaar],D10,uitkomst_doelgroep[Kosten (€)],"&gt;0",uitkomst_doelgroep[Uitgangssituatie/effect beleid],uitkomst_tech[[#This Row],[Uitgangssituatie/effect beleid]])</f>
        <v>794056.12082128425</v>
      </c>
      <c r="L10" s="398">
        <f>SUMIFS(uitkomst_doelgroep[Investering (cash flow) (€)],uitkomst_doelgroep[Digitale zorgtoepassing],B10,uitkomst_doelgroep[Jaar],D10,uitkomst_doelgroep[Investering (cash flow) (€)],"&gt;0",uitkomst_doelgroep[Uitgangssituatie/effect beleid],uitkomst_tech[[#This Row],[Uitgangssituatie/effect beleid]])</f>
        <v>0</v>
      </c>
    </row>
    <row r="11" spans="1:12" x14ac:dyDescent="0.5">
      <c r="A11" s="42" t="str">
        <f>INDEX(Technologieën[Veld],MATCH(B11,Technologieën[Digitale zorgtoepassing],0))</f>
        <v>Sensoren - Behandeling</v>
      </c>
      <c r="B11" s="33" t="s">
        <v>593</v>
      </c>
      <c r="C11" s="33" t="s">
        <v>812</v>
      </c>
      <c r="D11" s="33">
        <v>2029</v>
      </c>
      <c r="E11" s="2">
        <v>215</v>
      </c>
      <c r="F11" s="397">
        <f>SUMIFS(uitkomst_doelgroep[Patiëntaantallen],uitkomst_doelgroep[Digitale zorgtoepassing],B11,uitkomst_doelgroep[Jaar],D11,uitkomst_doelgroep[Arbeidsbesparing (€)],"&gt;0",uitkomst_doelgroep[Uitgangssituatie/effect beleid],uitkomst_tech[[#This Row],[Uitgangssituatie/effect beleid]])</f>
        <v>13287.521952668698</v>
      </c>
      <c r="G11" s="398">
        <f>SUMIFS(uitkomst_doelgroep[Arbeidsbesparing (€)],uitkomst_doelgroep[Digitale zorgtoepassing],B11,uitkomst_doelgroep[Jaar],D11,uitkomst_doelgroep[Arbeidsbesparing (€)],"&gt;0",uitkomst_doelgroep[Uitgangssituatie/effect beleid],uitkomst_tech[[#This Row],[Uitgangssituatie/effect beleid]])</f>
        <v>7079591.6963818809</v>
      </c>
      <c r="H11" s="398">
        <f>SUMIFS(uitkomst_doelgroep[Arbeidsbesparing (FTE)],uitkomst_doelgroep[Digitale zorgtoepassing],B11,uitkomst_doelgroep[Jaar],D11,uitkomst_doelgroep[Arbeidsbesparing (FTE)],"&gt;0",uitkomst_doelgroep[Uitgangssituatie/effect beleid],uitkomst_tech[[#This Row],[Uitgangssituatie/effect beleid]])</f>
        <v>122.69788307952547</v>
      </c>
      <c r="I11" s="398">
        <f>SUMIFS(uitkomst_doelgroep[Overige besparingen (€)],uitkomst_doelgroep[Digitale zorgtoepassing],B11,uitkomst_doelgroep[Jaar],D11,uitkomst_doelgroep[Overige besparingen (€)],"&gt;0",uitkomst_doelgroep[Uitgangssituatie/effect beleid],uitkomst_tech[[#This Row],[Uitgangssituatie/effect beleid]])</f>
        <v>4719727.7975879218</v>
      </c>
      <c r="J11" s="398">
        <f>SUMIFS(uitkomst_doelgroep[QALY (€)],uitkomst_doelgroep[Digitale zorgtoepassing],B11,uitkomst_doelgroep[Jaar],D11,uitkomst_doelgroep[QALY (€)],"&gt;0",uitkomst_doelgroep[Uitgangssituatie/effect beleid],uitkomst_tech[[#This Row],[Uitgangssituatie/effect beleid]])</f>
        <v>0</v>
      </c>
      <c r="K11" s="398">
        <f>SUMIFS(uitkomst_doelgroep[Kosten (€)],uitkomst_doelgroep[Digitale zorgtoepassing],B11,uitkomst_doelgroep[Jaar],D11,uitkomst_doelgroep[Kosten (€)],"&gt;0",uitkomst_doelgroep[Uitgangssituatie/effect beleid],uitkomst_tech[[#This Row],[Uitgangssituatie/effect beleid]])</f>
        <v>897428.7246818986</v>
      </c>
      <c r="L11" s="398">
        <f>SUMIFS(uitkomst_doelgroep[Investering (cash flow) (€)],uitkomst_doelgroep[Digitale zorgtoepassing],B11,uitkomst_doelgroep[Jaar],D11,uitkomst_doelgroep[Investering (cash flow) (€)],"&gt;0",uitkomst_doelgroep[Uitgangssituatie/effect beleid],uitkomst_tech[[#This Row],[Uitgangssituatie/effect beleid]])</f>
        <v>0</v>
      </c>
    </row>
    <row r="12" spans="1:12" x14ac:dyDescent="0.5">
      <c r="A12" s="42" t="str">
        <f>INDEX(Technologieën[Veld],MATCH(B12,Technologieën[Digitale zorgtoepassing],0))</f>
        <v>Sensoren - Behandeling</v>
      </c>
      <c r="B12" s="33" t="s">
        <v>593</v>
      </c>
      <c r="C12" s="33" t="s">
        <v>812</v>
      </c>
      <c r="D12" s="33">
        <v>2030</v>
      </c>
      <c r="E12" s="2">
        <v>247</v>
      </c>
      <c r="F12" s="397">
        <f>SUMIFS(uitkomst_doelgroep[Patiëntaantallen],uitkomst_doelgroep[Digitale zorgtoepassing],B12,uitkomst_doelgroep[Jaar],D12,uitkomst_doelgroep[Arbeidsbesparing (€)],"&gt;0",uitkomst_doelgroep[Uitgangssituatie/effect beleid],uitkomst_tech[[#This Row],[Uitgangssituatie/effect beleid]])</f>
        <v>14491.553402143147</v>
      </c>
      <c r="G12" s="398">
        <f>SUMIFS(uitkomst_doelgroep[Arbeidsbesparing (€)],uitkomst_doelgroep[Digitale zorgtoepassing],B12,uitkomst_doelgroep[Jaar],D12,uitkomst_doelgroep[Arbeidsbesparing (€)],"&gt;0",uitkomst_doelgroep[Uitgangssituatie/effect beleid],uitkomst_tech[[#This Row],[Uitgangssituatie/effect beleid]])</f>
        <v>7721099.6526618674</v>
      </c>
      <c r="H12" s="398">
        <f>SUMIFS(uitkomst_doelgroep[Arbeidsbesparing (FTE)],uitkomst_doelgroep[Digitale zorgtoepassing],B12,uitkomst_doelgroep[Jaar],D12,uitkomst_doelgroep[Arbeidsbesparing (FTE)],"&gt;0",uitkomst_doelgroep[Uitgangssituatie/effect beleid],uitkomst_tech[[#This Row],[Uitgangssituatie/effect beleid]])</f>
        <v>133.81599152276434</v>
      </c>
      <c r="I12" s="398">
        <f>SUMIFS(uitkomst_doelgroep[Overige besparingen (€)],uitkomst_doelgroep[Digitale zorgtoepassing],B12,uitkomst_doelgroep[Jaar],D12,uitkomst_doelgroep[Overige besparingen (€)],"&gt;0",uitkomst_doelgroep[Uitgangssituatie/effect beleid],uitkomst_tech[[#This Row],[Uitgangssituatie/effect beleid]])</f>
        <v>5147399.7684412468</v>
      </c>
      <c r="J12" s="398">
        <f>SUMIFS(uitkomst_doelgroep[QALY (€)],uitkomst_doelgroep[Digitale zorgtoepassing],B12,uitkomst_doelgroep[Jaar],D12,uitkomst_doelgroep[QALY (€)],"&gt;0",uitkomst_doelgroep[Uitgangssituatie/effect beleid],uitkomst_tech[[#This Row],[Uitgangssituatie/effect beleid]])</f>
        <v>0</v>
      </c>
      <c r="K12" s="398">
        <f>SUMIFS(uitkomst_doelgroep[Kosten (€)],uitkomst_doelgroep[Digitale zorgtoepassing],B12,uitkomst_doelgroep[Jaar],D12,uitkomst_doelgroep[Kosten (€)],"&gt;0",uitkomst_doelgroep[Uitgangssituatie/effect beleid],uitkomst_tech[[#This Row],[Uitgangssituatie/effect beleid]])</f>
        <v>978748.05661058356</v>
      </c>
      <c r="L12" s="398">
        <f>SUMIFS(uitkomst_doelgroep[Investering (cash flow) (€)],uitkomst_doelgroep[Digitale zorgtoepassing],B12,uitkomst_doelgroep[Jaar],D12,uitkomst_doelgroep[Investering (cash flow) (€)],"&gt;0",uitkomst_doelgroep[Uitgangssituatie/effect beleid],uitkomst_tech[[#This Row],[Uitgangssituatie/effect beleid]])</f>
        <v>0</v>
      </c>
    </row>
    <row r="13" spans="1:12" x14ac:dyDescent="0.5">
      <c r="A13" s="42" t="str">
        <f>INDEX(Technologieën[Veld],MATCH(B13,Technologieën[Digitale zorgtoepassing],0))</f>
        <v>Sensoren - Behandeling</v>
      </c>
      <c r="B13" s="33" t="s">
        <v>593</v>
      </c>
      <c r="C13" s="33" t="s">
        <v>812</v>
      </c>
      <c r="D13" s="33">
        <v>2031</v>
      </c>
      <c r="E13" s="2">
        <v>279</v>
      </c>
      <c r="F13" s="397">
        <f>SUMIFS(uitkomst_doelgroep[Patiëntaantallen],uitkomst_doelgroep[Digitale zorgtoepassing],B13,uitkomst_doelgroep[Jaar],D13,uitkomst_doelgroep[Arbeidsbesparing (€)],"&gt;0",uitkomst_doelgroep[Uitgangssituatie/effect beleid],uitkomst_tech[[#This Row],[Uitgangssituatie/effect beleid]])</f>
        <v>15360.715083266652</v>
      </c>
      <c r="G13" s="398">
        <f>SUMIFS(uitkomst_doelgroep[Arbeidsbesparing (€)],uitkomst_doelgroep[Digitale zorgtoepassing],B13,uitkomst_doelgroep[Jaar],D13,uitkomst_doelgroep[Arbeidsbesparing (€)],"&gt;0",uitkomst_doelgroep[Uitgangssituatie/effect beleid],uitkomst_tech[[#This Row],[Uitgangssituatie/effect beleid]])</f>
        <v>8184188.9963644715</v>
      </c>
      <c r="H13" s="398">
        <f>SUMIFS(uitkomst_doelgroep[Arbeidsbesparing (FTE)],uitkomst_doelgroep[Digitale zorgtoepassing],B13,uitkomst_doelgroep[Jaar],D13,uitkomst_doelgroep[Arbeidsbesparing (FTE)],"&gt;0",uitkomst_doelgroep[Uitgangssituatie/effect beleid],uitkomst_tech[[#This Row],[Uitgangssituatie/effect beleid]])</f>
        <v>141.84188970811235</v>
      </c>
      <c r="I13" s="398">
        <f>SUMIFS(uitkomst_doelgroep[Overige besparingen (€)],uitkomst_doelgroep[Digitale zorgtoepassing],B13,uitkomst_doelgroep[Jaar],D13,uitkomst_doelgroep[Overige besparingen (€)],"&gt;0",uitkomst_doelgroep[Uitgangssituatie/effect beleid],uitkomst_tech[[#This Row],[Uitgangssituatie/effect beleid]])</f>
        <v>5456125.9975763159</v>
      </c>
      <c r="J13" s="398">
        <f>SUMIFS(uitkomst_doelgroep[QALY (€)],uitkomst_doelgroep[Digitale zorgtoepassing],B13,uitkomst_doelgroep[Jaar],D13,uitkomst_doelgroep[QALY (€)],"&gt;0",uitkomst_doelgroep[Uitgangssituatie/effect beleid],uitkomst_tech[[#This Row],[Uitgangssituatie/effect beleid]])</f>
        <v>0</v>
      </c>
      <c r="K13" s="398">
        <f>SUMIFS(uitkomst_doelgroep[Kosten (€)],uitkomst_doelgroep[Digitale zorgtoepassing],B13,uitkomst_doelgroep[Jaar],D13,uitkomst_doelgroep[Kosten (€)],"&gt;0",uitkomst_doelgroep[Uitgangssituatie/effect beleid],uitkomst_tech[[#This Row],[Uitgangssituatie/effect beleid]])</f>
        <v>1037450.5492056294</v>
      </c>
      <c r="L13" s="398">
        <f>SUMIFS(uitkomst_doelgroep[Investering (cash flow) (€)],uitkomst_doelgroep[Digitale zorgtoepassing],B13,uitkomst_doelgroep[Jaar],D13,uitkomst_doelgroep[Investering (cash flow) (€)],"&gt;0",uitkomst_doelgroep[Uitgangssituatie/effect beleid],uitkomst_tech[[#This Row],[Uitgangssituatie/effect beleid]])</f>
        <v>0</v>
      </c>
    </row>
    <row r="14" spans="1:12" x14ac:dyDescent="0.5">
      <c r="A14" s="42" t="str">
        <f>INDEX(Technologieën[Veld],MATCH(B14,Technologieën[Digitale zorgtoepassing],0))</f>
        <v>Sensoren - Behandeling</v>
      </c>
      <c r="B14" s="33" t="s">
        <v>593</v>
      </c>
      <c r="C14" s="33" t="s">
        <v>812</v>
      </c>
      <c r="D14" s="33">
        <v>2032</v>
      </c>
      <c r="E14" s="2">
        <v>311</v>
      </c>
      <c r="F14" s="397">
        <f>SUMIFS(uitkomst_doelgroep[Patiëntaantallen],uitkomst_doelgroep[Digitale zorgtoepassing],B14,uitkomst_doelgroep[Jaar],D14,uitkomst_doelgroep[Arbeidsbesparing (€)],"&gt;0",uitkomst_doelgroep[Uitgangssituatie/effect beleid],uitkomst_tech[[#This Row],[Uitgangssituatie/effect beleid]])</f>
        <v>15945.451848909908</v>
      </c>
      <c r="G14" s="398">
        <f>SUMIFS(uitkomst_doelgroep[Arbeidsbesparing (€)],uitkomst_doelgroep[Digitale zorgtoepassing],B14,uitkomst_doelgroep[Jaar],D14,uitkomst_doelgroep[Arbeidsbesparing (€)],"&gt;0",uitkomst_doelgroep[Uitgangssituatie/effect beleid],uitkomst_tech[[#This Row],[Uitgangssituatie/effect beleid]])</f>
        <v>8495736.7450991981</v>
      </c>
      <c r="H14" s="398">
        <f>SUMIFS(uitkomst_doelgroep[Arbeidsbesparing (FTE)],uitkomst_doelgroep[Digitale zorgtoepassing],B14,uitkomst_doelgroep[Jaar],D14,uitkomst_doelgroep[Arbeidsbesparing (FTE)],"&gt;0",uitkomst_doelgroep[Uitgangssituatie/effect beleid],uitkomst_tech[[#This Row],[Uitgangssituatie/effect beleid]])</f>
        <v>147.24138884412594</v>
      </c>
      <c r="I14" s="398">
        <f>SUMIFS(uitkomst_doelgroep[Overige besparingen (€)],uitkomst_doelgroep[Digitale zorgtoepassing],B14,uitkomst_doelgroep[Jaar],D14,uitkomst_doelgroep[Overige besparingen (€)],"&gt;0",uitkomst_doelgroep[Uitgangssituatie/effect beleid],uitkomst_tech[[#This Row],[Uitgangssituatie/effect beleid]])</f>
        <v>5663824.4967328003</v>
      </c>
      <c r="J14" s="398">
        <f>SUMIFS(uitkomst_doelgroep[QALY (€)],uitkomst_doelgroep[Digitale zorgtoepassing],B14,uitkomst_doelgroep[Jaar],D14,uitkomst_doelgroep[QALY (€)],"&gt;0",uitkomst_doelgroep[Uitgangssituatie/effect beleid],uitkomst_tech[[#This Row],[Uitgangssituatie/effect beleid]])</f>
        <v>0</v>
      </c>
      <c r="K14" s="398">
        <f>SUMIFS(uitkomst_doelgroep[Kosten (€)],uitkomst_doelgroep[Digitale zorgtoepassing],B14,uitkomst_doelgroep[Jaar],D14,uitkomst_doelgroep[Kosten (€)],"&gt;0",uitkomst_doelgroep[Uitgangssituatie/effect beleid],uitkomst_tech[[#This Row],[Uitgangssituatie/effect beleid]])</f>
        <v>1076943.2079372639</v>
      </c>
      <c r="L14" s="398">
        <f>SUMIFS(uitkomst_doelgroep[Investering (cash flow) (€)],uitkomst_doelgroep[Digitale zorgtoepassing],B14,uitkomst_doelgroep[Jaar],D14,uitkomst_doelgroep[Investering (cash flow) (€)],"&gt;0",uitkomst_doelgroep[Uitgangssituatie/effect beleid],uitkomst_tech[[#This Row],[Uitgangssituatie/effect beleid]])</f>
        <v>0</v>
      </c>
    </row>
    <row r="15" spans="1:12" x14ac:dyDescent="0.5">
      <c r="A15" s="42" t="str">
        <f>INDEX(Technologieën[Veld],MATCH(B15,Technologieën[Digitale zorgtoepassing],0))</f>
        <v>Sensoren - Behandeling</v>
      </c>
      <c r="B15" s="33" t="s">
        <v>593</v>
      </c>
      <c r="C15" s="33" t="s">
        <v>812</v>
      </c>
      <c r="D15" s="33">
        <v>2033</v>
      </c>
      <c r="E15" s="2">
        <v>343</v>
      </c>
      <c r="F15" s="397">
        <f>SUMIFS(uitkomst_doelgroep[Patiëntaantallen],uitkomst_doelgroep[Digitale zorgtoepassing],B15,uitkomst_doelgroep[Jaar],D15,uitkomst_doelgroep[Arbeidsbesparing (€)],"&gt;0",uitkomst_doelgroep[Uitgangssituatie/effect beleid],uitkomst_tech[[#This Row],[Uitgangssituatie/effect beleid]])</f>
        <v>16318.697904570112</v>
      </c>
      <c r="G15" s="398">
        <f>SUMIFS(uitkomst_doelgroep[Arbeidsbesparing (€)],uitkomst_doelgroep[Digitale zorgtoepassing],B15,uitkomst_doelgroep[Jaar],D15,uitkomst_doelgroep[Arbeidsbesparing (€)],"&gt;0",uitkomst_doelgroep[Uitgangssituatie/effect beleid],uitkomst_tech[[#This Row],[Uitgangssituatie/effect beleid]])</f>
        <v>8694602.2435549553</v>
      </c>
      <c r="H15" s="398">
        <f>SUMIFS(uitkomst_doelgroep[Arbeidsbesparing (FTE)],uitkomst_doelgroep[Digitale zorgtoepassing],B15,uitkomst_doelgroep[Jaar],D15,uitkomst_doelgroep[Arbeidsbesparing (FTE)],"&gt;0",uitkomst_doelgroep[Uitgangssituatie/effect beleid],uitkomst_tech[[#This Row],[Uitgangssituatie/effect beleid]])</f>
        <v>150.68796835386604</v>
      </c>
      <c r="I15" s="398">
        <f>SUMIFS(uitkomst_doelgroep[Overige besparingen (€)],uitkomst_doelgroep[Digitale zorgtoepassing],B15,uitkomst_doelgroep[Jaar],D15,uitkomst_doelgroep[Overige besparingen (€)],"&gt;0",uitkomst_doelgroep[Uitgangssituatie/effect beleid],uitkomst_tech[[#This Row],[Uitgangssituatie/effect beleid]])</f>
        <v>5796401.4957033051</v>
      </c>
      <c r="J15" s="398">
        <f>SUMIFS(uitkomst_doelgroep[QALY (€)],uitkomst_doelgroep[Digitale zorgtoepassing],B15,uitkomst_doelgroep[Jaar],D15,uitkomst_doelgroep[QALY (€)],"&gt;0",uitkomst_doelgroep[Uitgangssituatie/effect beleid],uitkomst_tech[[#This Row],[Uitgangssituatie/effect beleid]])</f>
        <v>0</v>
      </c>
      <c r="K15" s="398">
        <f>SUMIFS(uitkomst_doelgroep[Kosten (€)],uitkomst_doelgroep[Digitale zorgtoepassing],B15,uitkomst_doelgroep[Jaar],D15,uitkomst_doelgroep[Kosten (€)],"&gt;0",uitkomst_doelgroep[Uitgangssituatie/effect beleid],uitkomst_tech[[#This Row],[Uitgangssituatie/effect beleid]])</f>
        <v>1102151.951367141</v>
      </c>
      <c r="L15" s="398">
        <f>SUMIFS(uitkomst_doelgroep[Investering (cash flow) (€)],uitkomst_doelgroep[Digitale zorgtoepassing],B15,uitkomst_doelgroep[Jaar],D15,uitkomst_doelgroep[Investering (cash flow) (€)],"&gt;0",uitkomst_doelgroep[Uitgangssituatie/effect beleid],uitkomst_tech[[#This Row],[Uitgangssituatie/effect beleid]])</f>
        <v>0</v>
      </c>
    </row>
    <row r="16" spans="1:12" x14ac:dyDescent="0.5">
      <c r="A16" s="42" t="str">
        <f>INDEX(Technologieën[Veld],MATCH(B16,Technologieën[Digitale zorgtoepassing],0))</f>
        <v>Software - Behandeling</v>
      </c>
      <c r="B16" s="33" t="s">
        <v>609</v>
      </c>
      <c r="C16" s="33" t="s">
        <v>812</v>
      </c>
      <c r="D16" s="33">
        <v>2023</v>
      </c>
      <c r="E16" s="2">
        <v>14</v>
      </c>
      <c r="F16" s="397">
        <f>SUMIFS(uitkomst_doelgroep[Patiëntaantallen],uitkomst_doelgroep[Digitale zorgtoepassing],B16,uitkomst_doelgroep[Jaar],D16,uitkomst_doelgroep[Arbeidsbesparing (€)],"&gt;0",uitkomst_doelgroep[Uitgangssituatie/effect beleid],uitkomst_tech[[#This Row],[Uitgangssituatie/effect beleid]])</f>
        <v>95314.4</v>
      </c>
      <c r="G16" s="398">
        <f>SUMIFS(uitkomst_doelgroep[Arbeidsbesparing (€)],uitkomst_doelgroep[Digitale zorgtoepassing],B16,uitkomst_doelgroep[Jaar],D16,uitkomst_doelgroep[Arbeidsbesparing (€)],"&gt;0",uitkomst_doelgroep[Uitgangssituatie/effect beleid],uitkomst_tech[[#This Row],[Uitgangssituatie/effect beleid]])</f>
        <v>42541060.028065518</v>
      </c>
      <c r="H16" s="398">
        <f>SUMIFS(uitkomst_doelgroep[Arbeidsbesparing (FTE)],uitkomst_doelgroep[Digitale zorgtoepassing],B16,uitkomst_doelgroep[Jaar],D16,uitkomst_doelgroep[Arbeidsbesparing (FTE)],"&gt;0",uitkomst_doelgroep[Uitgangssituatie/effect beleid],uitkomst_tech[[#This Row],[Uitgangssituatie/effect beleid]])</f>
        <v>609.64852808721218</v>
      </c>
      <c r="I16" s="398">
        <f>SUMIFS(uitkomst_doelgroep[Overige besparingen (€)],uitkomst_doelgroep[Digitale zorgtoepassing],B16,uitkomst_doelgroep[Jaar],D16,uitkomst_doelgroep[Overige besparingen (€)],"&gt;0",uitkomst_doelgroep[Uitgangssituatie/effect beleid],uitkomst_tech[[#This Row],[Uitgangssituatie/effect beleid]])</f>
        <v>61695734.6624</v>
      </c>
      <c r="J16" s="398">
        <f>SUMIFS(uitkomst_doelgroep[QALY (€)],uitkomst_doelgroep[Digitale zorgtoepassing],B16,uitkomst_doelgroep[Jaar],D16,uitkomst_doelgroep[QALY (€)],"&gt;0",uitkomst_doelgroep[Uitgangssituatie/effect beleid],uitkomst_tech[[#This Row],[Uitgangssituatie/effect beleid]])</f>
        <v>59249793.103448272</v>
      </c>
      <c r="K16" s="398">
        <f>SUMIFS(uitkomst_doelgroep[Kosten (€)],uitkomst_doelgroep[Digitale zorgtoepassing],B16,uitkomst_doelgroep[Jaar],D16,uitkomst_doelgroep[Kosten (€)],"&gt;0",uitkomst_doelgroep[Uitgangssituatie/effect beleid],uitkomst_tech[[#This Row],[Uitgangssituatie/effect beleid]])</f>
        <v>29671784</v>
      </c>
      <c r="L16" s="398">
        <f>SUMIFS(uitkomst_doelgroep[Investering (cash flow) (€)],uitkomst_doelgroep[Digitale zorgtoepassing],B16,uitkomst_doelgroep[Jaar],D16,uitkomst_doelgroep[Investering (cash flow) (€)],"&gt;0",uitkomst_doelgroep[Uitgangssituatie/effect beleid],uitkomst_tech[[#This Row],[Uitgangssituatie/effect beleid]])</f>
        <v>542119.20000000019</v>
      </c>
    </row>
    <row r="17" spans="1:12" x14ac:dyDescent="0.5">
      <c r="A17" s="42" t="str">
        <f>INDEX(Technologieën[Veld],MATCH(B17,Technologieën[Digitale zorgtoepassing],0))</f>
        <v>Software - Behandeling</v>
      </c>
      <c r="B17" s="33" t="s">
        <v>609</v>
      </c>
      <c r="C17" s="33" t="s">
        <v>812</v>
      </c>
      <c r="D17" s="33">
        <v>2024</v>
      </c>
      <c r="E17" s="2">
        <v>46</v>
      </c>
      <c r="F17" s="397">
        <f>SUMIFS(uitkomst_doelgroep[Patiëntaantallen],uitkomst_doelgroep[Digitale zorgtoepassing],B17,uitkomst_doelgroep[Jaar],D17,uitkomst_doelgroep[Arbeidsbesparing (€)],"&gt;0",uitkomst_doelgroep[Uitgangssituatie/effect beleid],uitkomst_tech[[#This Row],[Uitgangssituatie/effect beleid]])</f>
        <v>117894.76400000001</v>
      </c>
      <c r="G17" s="398">
        <f>SUMIFS(uitkomst_doelgroep[Arbeidsbesparing (€)],uitkomst_doelgroep[Digitale zorgtoepassing],B17,uitkomst_doelgroep[Jaar],D17,uitkomst_doelgroep[Arbeidsbesparing (€)],"&gt;0",uitkomst_doelgroep[Uitgangssituatie/effect beleid],uitkomst_tech[[#This Row],[Uitgangssituatie/effect beleid]])</f>
        <v>51626892.597179733</v>
      </c>
      <c r="H17" s="398">
        <f>SUMIFS(uitkomst_doelgroep[Arbeidsbesparing (FTE)],uitkomst_doelgroep[Digitale zorgtoepassing],B17,uitkomst_doelgroep[Jaar],D17,uitkomst_doelgroep[Arbeidsbesparing (FTE)],"&gt;0",uitkomst_doelgroep[Uitgangssituatie/effect beleid],uitkomst_tech[[#This Row],[Uitgangssituatie/effect beleid]])</f>
        <v>733.33838422409463</v>
      </c>
      <c r="I17" s="398">
        <f>SUMIFS(uitkomst_doelgroep[Overige besparingen (€)],uitkomst_doelgroep[Digitale zorgtoepassing],B17,uitkomst_doelgroep[Jaar],D17,uitkomst_doelgroep[Overige besparingen (€)],"&gt;0",uitkomst_doelgroep[Uitgangssituatie/effect beleid],uitkomst_tech[[#This Row],[Uitgangssituatie/effect beleid]])</f>
        <v>74504478.102623999</v>
      </c>
      <c r="J17" s="398">
        <f>SUMIFS(uitkomst_doelgroep[QALY (€)],uitkomst_doelgroep[Digitale zorgtoepassing],B17,uitkomst_doelgroep[Jaar],D17,uitkomst_doelgroep[QALY (€)],"&gt;0",uitkomst_doelgroep[Uitgangssituatie/effect beleid],uitkomst_tech[[#This Row],[Uitgangssituatie/effect beleid]])</f>
        <v>78159207.931034476</v>
      </c>
      <c r="K17" s="398">
        <f>SUMIFS(uitkomst_doelgroep[Kosten (€)],uitkomst_doelgroep[Digitale zorgtoepassing],B17,uitkomst_doelgroep[Jaar],D17,uitkomst_doelgroep[Kosten (€)],"&gt;0",uitkomst_doelgroep[Uitgangssituatie/effect beleid],uitkomst_tech[[#This Row],[Uitgangssituatie/effect beleid]])</f>
        <v>37558016.079999998</v>
      </c>
      <c r="L17" s="398">
        <f>SUMIFS(uitkomst_doelgroep[Investering (cash flow) (€)],uitkomst_doelgroep[Digitale zorgtoepassing],B17,uitkomst_doelgroep[Jaar],D17,uitkomst_doelgroep[Investering (cash flow) (€)],"&gt;0",uitkomst_doelgroep[Uitgangssituatie/effect beleid],uitkomst_tech[[#This Row],[Uitgangssituatie/effect beleid]])</f>
        <v>652494.66912000021</v>
      </c>
    </row>
    <row r="18" spans="1:12" x14ac:dyDescent="0.5">
      <c r="A18" s="42" t="str">
        <f>INDEX(Technologieën[Veld],MATCH(B18,Technologieën[Digitale zorgtoepassing],0))</f>
        <v>Software - Behandeling</v>
      </c>
      <c r="B18" s="33" t="s">
        <v>609</v>
      </c>
      <c r="C18" s="33" t="s">
        <v>812</v>
      </c>
      <c r="D18" s="33">
        <v>2025</v>
      </c>
      <c r="E18" s="2">
        <v>78</v>
      </c>
      <c r="F18" s="397">
        <f>SUMIFS(uitkomst_doelgroep[Patiëntaantallen],uitkomst_doelgroep[Digitale zorgtoepassing],B18,uitkomst_doelgroep[Jaar],D18,uitkomst_doelgroep[Arbeidsbesparing (€)],"&gt;0",uitkomst_doelgroep[Uitgangssituatie/effect beleid],uitkomst_tech[[#This Row],[Uitgangssituatie/effect beleid]])</f>
        <v>139056.17073139999</v>
      </c>
      <c r="G18" s="398">
        <f>SUMIFS(uitkomst_doelgroep[Arbeidsbesparing (€)],uitkomst_doelgroep[Digitale zorgtoepassing],B18,uitkomst_doelgroep[Jaar],D18,uitkomst_doelgroep[Arbeidsbesparing (€)],"&gt;0",uitkomst_doelgroep[Uitgangssituatie/effect beleid],uitkomst_tech[[#This Row],[Uitgangssituatie/effect beleid]])</f>
        <v>59588286.509737961</v>
      </c>
      <c r="H18" s="398">
        <f>SUMIFS(uitkomst_doelgroep[Arbeidsbesparing (FTE)],uitkomst_doelgroep[Digitale zorgtoepassing],B18,uitkomst_doelgroep[Jaar],D18,uitkomst_doelgroep[Arbeidsbesparing (FTE)],"&gt;0",uitkomst_doelgroep[Uitgangssituatie/effect beleid],uitkomst_tech[[#This Row],[Uitgangssituatie/effect beleid]])</f>
        <v>838.35973527946851</v>
      </c>
      <c r="I18" s="398">
        <f>SUMIFS(uitkomst_doelgroep[Overige besparingen (€)],uitkomst_doelgroep[Digitale zorgtoepassing],B18,uitkomst_doelgroep[Jaar],D18,uitkomst_doelgroep[Overige besparingen (€)],"&gt;0",uitkomst_doelgroep[Uitgangssituatie/effect beleid],uitkomst_tech[[#This Row],[Uitgangssituatie/effect beleid]])</f>
        <v>85525142.506850079</v>
      </c>
      <c r="J18" s="398">
        <f>SUMIFS(uitkomst_doelgroep[QALY (€)],uitkomst_doelgroep[Digitale zorgtoepassing],B18,uitkomst_doelgroep[Jaar],D18,uitkomst_doelgroep[QALY (€)],"&gt;0",uitkomst_doelgroep[Uitgangssituatie/effect beleid],uitkomst_tech[[#This Row],[Uitgangssituatie/effect beleid]])</f>
        <v>97798269.19101724</v>
      </c>
      <c r="K18" s="398">
        <f>SUMIFS(uitkomst_doelgroep[Kosten (€)],uitkomst_doelgroep[Digitale zorgtoepassing],B18,uitkomst_doelgroep[Jaar],D18,uitkomst_doelgroep[Kosten (€)],"&gt;0",uitkomst_doelgroep[Uitgangssituatie/effect beleid],uitkomst_tech[[#This Row],[Uitgangssituatie/effect beleid]])</f>
        <v>45156407.368072003</v>
      </c>
      <c r="L18" s="398">
        <f>SUMIFS(uitkomst_doelgroep[Investering (cash flow) (€)],uitkomst_doelgroep[Digitale zorgtoepassing],B18,uitkomst_doelgroep[Jaar],D18,uitkomst_doelgroep[Investering (cash flow) (€)],"&gt;0",uitkomst_doelgroep[Uitgangssituatie/effect beleid],uitkomst_tech[[#This Row],[Uitgangssituatie/effect beleid]])</f>
        <v>725816.12148389663</v>
      </c>
    </row>
    <row r="19" spans="1:12" x14ac:dyDescent="0.5">
      <c r="A19" s="42" t="str">
        <f>INDEX(Technologieën[Veld],MATCH(B19,Technologieën[Digitale zorgtoepassing],0))</f>
        <v>Software - Behandeling</v>
      </c>
      <c r="B19" s="33" t="s">
        <v>609</v>
      </c>
      <c r="C19" s="33" t="s">
        <v>812</v>
      </c>
      <c r="D19" s="33">
        <v>2026</v>
      </c>
      <c r="E19" s="2">
        <v>110</v>
      </c>
      <c r="F19" s="397">
        <f>SUMIFS(uitkomst_doelgroep[Patiëntaantallen],uitkomst_doelgroep[Digitale zorgtoepassing],B19,uitkomst_doelgroep[Jaar],D19,uitkomst_doelgroep[Arbeidsbesparing (€)],"&gt;0",uitkomst_doelgroep[Uitgangssituatie/effect beleid],uitkomst_tech[[#This Row],[Uitgangssituatie/effect beleid]])</f>
        <v>157404.26965877326</v>
      </c>
      <c r="G19" s="398">
        <f>SUMIFS(uitkomst_doelgroep[Arbeidsbesparing (€)],uitkomst_doelgroep[Digitale zorgtoepassing],B19,uitkomst_doelgroep[Jaar],D19,uitkomst_doelgroep[Arbeidsbesparing (€)],"&gt;0",uitkomst_doelgroep[Uitgangssituatie/effect beleid],uitkomst_tech[[#This Row],[Uitgangssituatie/effect beleid]])</f>
        <v>65870335.252800845</v>
      </c>
      <c r="H19" s="398">
        <f>SUMIFS(uitkomst_doelgroep[Arbeidsbesparing (FTE)],uitkomst_doelgroep[Digitale zorgtoepassing],B19,uitkomst_doelgroep[Jaar],D19,uitkomst_doelgroep[Arbeidsbesparing (FTE)],"&gt;0",uitkomst_doelgroep[Uitgangssituatie/effect beleid],uitkomst_tech[[#This Row],[Uitgangssituatie/effect beleid]])</f>
        <v>917.79575530347108</v>
      </c>
      <c r="I19" s="398">
        <f>SUMIFS(uitkomst_doelgroep[Overige besparingen (€)],uitkomst_doelgroep[Digitale zorgtoepassing],B19,uitkomst_doelgroep[Jaar],D19,uitkomst_doelgroep[Overige besparingen (€)],"&gt;0",uitkomst_doelgroep[Uitgangssituatie/effect beleid],uitkomst_tech[[#This Row],[Uitgangssituatie/effect beleid]])</f>
        <v>93999902.477131322</v>
      </c>
      <c r="J19" s="398">
        <f>SUMIFS(uitkomst_doelgroep[QALY (€)],uitkomst_doelgroep[Digitale zorgtoepassing],B19,uitkomst_doelgroep[Jaar],D19,uitkomst_doelgroep[QALY (€)],"&gt;0",uitkomst_doelgroep[Uitgangssituatie/effect beleid],uitkomst_tech[[#This Row],[Uitgangssituatie/effect beleid]])</f>
        <v>116262981.26015176</v>
      </c>
      <c r="K19" s="398">
        <f>SUMIFS(uitkomst_doelgroep[Kosten (€)],uitkomst_doelgroep[Digitale zorgtoepassing],B19,uitkomst_doelgroep[Jaar],D19,uitkomst_doelgroep[Kosten (€)],"&gt;0",uitkomst_doelgroep[Uitgangssituatie/effect beleid],uitkomst_tech[[#This Row],[Uitgangssituatie/effect beleid]])</f>
        <v>51736180.403723821</v>
      </c>
      <c r="L19" s="398">
        <f>SUMIFS(uitkomst_doelgroep[Investering (cash flow) (€)],uitkomst_doelgroep[Digitale zorgtoepassing],B19,uitkomst_doelgroep[Jaar],D19,uitkomst_doelgroep[Investering (cash flow) (€)],"&gt;0",uitkomst_doelgroep[Uitgangssituatie/effect beleid],uitkomst_tech[[#This Row],[Uitgangssituatie/effect beleid]])</f>
        <v>730979.24563012435</v>
      </c>
    </row>
    <row r="20" spans="1:12" x14ac:dyDescent="0.5">
      <c r="A20" s="42" t="str">
        <f>INDEX(Technologieën[Veld],MATCH(B20,Technologieën[Digitale zorgtoepassing],0))</f>
        <v>Software - Behandeling</v>
      </c>
      <c r="B20" s="33" t="s">
        <v>609</v>
      </c>
      <c r="C20" s="33" t="s">
        <v>812</v>
      </c>
      <c r="D20" s="33">
        <v>2027</v>
      </c>
      <c r="E20" s="2">
        <v>142</v>
      </c>
      <c r="F20" s="397">
        <f>SUMIFS(uitkomst_doelgroep[Patiëntaantallen],uitkomst_doelgroep[Digitale zorgtoepassing],B20,uitkomst_doelgroep[Jaar],D20,uitkomst_doelgroep[Arbeidsbesparing (€)],"&gt;0",uitkomst_doelgroep[Uitgangssituatie/effect beleid],uitkomst_tech[[#This Row],[Uitgangssituatie/effect beleid]])</f>
        <v>181560.09161112891</v>
      </c>
      <c r="G20" s="398">
        <f>SUMIFS(uitkomst_doelgroep[Arbeidsbesparing (€)],uitkomst_doelgroep[Digitale zorgtoepassing],B20,uitkomst_doelgroep[Jaar],D20,uitkomst_doelgroep[Arbeidsbesparing (€)],"&gt;0",uitkomst_doelgroep[Uitgangssituatie/effect beleid],uitkomst_tech[[#This Row],[Uitgangssituatie/effect beleid]])</f>
        <v>74317349.473255739</v>
      </c>
      <c r="H20" s="398">
        <f>SUMIFS(uitkomst_doelgroep[Arbeidsbesparing (FTE)],uitkomst_doelgroep[Digitale zorgtoepassing],B20,uitkomst_doelgroep[Jaar],D20,uitkomst_doelgroep[Arbeidsbesparing (FTE)],"&gt;0",uitkomst_doelgroep[Uitgangssituatie/effect beleid],uitkomst_tech[[#This Row],[Uitgangssituatie/effect beleid]])</f>
        <v>1040.1110776119385</v>
      </c>
      <c r="I20" s="398">
        <f>SUMIFS(uitkomst_doelgroep[Overige besparingen (€)],uitkomst_doelgroep[Digitale zorgtoepassing],B20,uitkomst_doelgroep[Jaar],D20,uitkomst_doelgroep[Overige besparingen (€)],"&gt;0",uitkomst_doelgroep[Uitgangssituatie/effect beleid],uitkomst_tech[[#This Row],[Uitgangssituatie/effect beleid]])</f>
        <v>101151568.60281843</v>
      </c>
      <c r="J20" s="398">
        <f>SUMIFS(uitkomst_doelgroep[QALY (€)],uitkomst_doelgroep[Digitale zorgtoepassing],B20,uitkomst_doelgroep[Jaar],D20,uitkomst_doelgroep[QALY (€)],"&gt;0",uitkomst_doelgroep[Uitgangssituatie/effect beleid],uitkomst_tech[[#This Row],[Uitgangssituatie/effect beleid]])</f>
        <v>146384148.8426435</v>
      </c>
      <c r="K20" s="398">
        <f>SUMIFS(uitkomst_doelgroep[Kosten (€)],uitkomst_doelgroep[Digitale zorgtoepassing],B20,uitkomst_doelgroep[Jaar],D20,uitkomst_doelgroep[Kosten (€)],"&gt;0",uitkomst_doelgroep[Uitgangssituatie/effect beleid],uitkomst_tech[[#This Row],[Uitgangssituatie/effect beleid]])</f>
        <v>60934928.987880975</v>
      </c>
      <c r="L20" s="398">
        <f>SUMIFS(uitkomst_doelgroep[Investering (cash flow) (€)],uitkomst_doelgroep[Digitale zorgtoepassing],B20,uitkomst_doelgroep[Jaar],D20,uitkomst_doelgroep[Investering (cash flow) (€)],"&gt;0",uitkomst_doelgroep[Uitgangssituatie/effect beleid],uitkomst_tech[[#This Row],[Uitgangssituatie/effect beleid]])</f>
        <v>654856.89200977527</v>
      </c>
    </row>
    <row r="21" spans="1:12" x14ac:dyDescent="0.5">
      <c r="A21" s="42" t="str">
        <f>INDEX(Technologieën[Veld],MATCH(B21,Technologieën[Digitale zorgtoepassing],0))</f>
        <v>Software - Behandeling</v>
      </c>
      <c r="B21" s="33" t="s">
        <v>609</v>
      </c>
      <c r="C21" s="33" t="s">
        <v>812</v>
      </c>
      <c r="D21" s="33">
        <v>2028</v>
      </c>
      <c r="E21" s="2">
        <v>174</v>
      </c>
      <c r="F21" s="397">
        <f>SUMIFS(uitkomst_doelgroep[Patiëntaantallen],uitkomst_doelgroep[Digitale zorgtoepassing],B21,uitkomst_doelgroep[Jaar],D21,uitkomst_doelgroep[Arbeidsbesparing (€)],"&gt;0",uitkomst_doelgroep[Uitgangssituatie/effect beleid],uitkomst_tech[[#This Row],[Uitgangssituatie/effect beleid]])</f>
        <v>205960.79284358799</v>
      </c>
      <c r="G21" s="398">
        <f>SUMIFS(uitkomst_doelgroep[Arbeidsbesparing (€)],uitkomst_doelgroep[Digitale zorgtoepassing],B21,uitkomst_doelgroep[Jaar],D21,uitkomst_doelgroep[Arbeidsbesparing (€)],"&gt;0",uitkomst_doelgroep[Uitgangssituatie/effect beleid],uitkomst_tech[[#This Row],[Uitgangssituatie/effect beleid]])</f>
        <v>82888883.866628066</v>
      </c>
      <c r="H21" s="398">
        <f>SUMIFS(uitkomst_doelgroep[Arbeidsbesparing (FTE)],uitkomst_doelgroep[Digitale zorgtoepassing],B21,uitkomst_doelgroep[Jaar],D21,uitkomst_doelgroep[Arbeidsbesparing (FTE)],"&gt;0",uitkomst_doelgroep[Uitgangssituatie/effect beleid],uitkomst_tech[[#This Row],[Uitgangssituatie/effect beleid]])</f>
        <v>1170.5929752616476</v>
      </c>
      <c r="I21" s="398">
        <f>SUMIFS(uitkomst_doelgroep[Overige besparingen (€)],uitkomst_doelgroep[Digitale zorgtoepassing],B21,uitkomst_doelgroep[Jaar],D21,uitkomst_doelgroep[Overige besparingen (€)],"&gt;0",uitkomst_doelgroep[Uitgangssituatie/effect beleid],uitkomst_tech[[#This Row],[Uitgangssituatie/effect beleid]])</f>
        <v>106716544.34488368</v>
      </c>
      <c r="J21" s="398">
        <f>SUMIFS(uitkomst_doelgroep[QALY (€)],uitkomst_doelgroep[Digitale zorgtoepassing],B21,uitkomst_doelgroep[Jaar],D21,uitkomst_doelgroep[QALY (€)],"&gt;0",uitkomst_doelgroep[Uitgangssituatie/effect beleid],uitkomst_tech[[#This Row],[Uitgangssituatie/effect beleid]])</f>
        <v>178785595.19614011</v>
      </c>
      <c r="K21" s="398">
        <f>SUMIFS(uitkomst_doelgroep[Kosten (€)],uitkomst_doelgroep[Digitale zorgtoepassing],B21,uitkomst_doelgroep[Jaar],D21,uitkomst_doelgroep[Kosten (€)],"&gt;0",uitkomst_doelgroep[Uitgangssituatie/effect beleid],uitkomst_tech[[#This Row],[Uitgangssituatie/effect beleid]])</f>
        <v>70292425.935082614</v>
      </c>
      <c r="L21" s="398">
        <f>SUMIFS(uitkomst_doelgroep[Investering (cash flow) (€)],uitkomst_doelgroep[Digitale zorgtoepassing],B21,uitkomst_doelgroep[Jaar],D21,uitkomst_doelgroep[Investering (cash flow) (€)],"&gt;0",uitkomst_doelgroep[Uitgangssituatie/effect beleid],uitkomst_tech[[#This Row],[Uitgangssituatie/effect beleid]])</f>
        <v>517356.84688565304</v>
      </c>
    </row>
    <row r="22" spans="1:12" x14ac:dyDescent="0.5">
      <c r="A22" s="42" t="str">
        <f>INDEX(Technologieën[Veld],MATCH(B22,Technologieën[Digitale zorgtoepassing],0))</f>
        <v>Software - Behandeling</v>
      </c>
      <c r="B22" s="33" t="s">
        <v>609</v>
      </c>
      <c r="C22" s="33" t="s">
        <v>812</v>
      </c>
      <c r="D22" s="33">
        <v>2029</v>
      </c>
      <c r="E22" s="2">
        <v>206</v>
      </c>
      <c r="F22" s="397">
        <f>SUMIFS(uitkomst_doelgroep[Patiëntaantallen],uitkomst_doelgroep[Digitale zorgtoepassing],B22,uitkomst_doelgroep[Jaar],D22,uitkomst_doelgroep[Arbeidsbesparing (€)],"&gt;0",uitkomst_doelgroep[Uitgangssituatie/effect beleid],uitkomst_tech[[#This Row],[Uitgangssituatie/effect beleid]])</f>
        <v>232113.27924883168</v>
      </c>
      <c r="G22" s="398">
        <f>SUMIFS(uitkomst_doelgroep[Arbeidsbesparing (€)],uitkomst_doelgroep[Digitale zorgtoepassing],B22,uitkomst_doelgroep[Jaar],D22,uitkomst_doelgroep[Arbeidsbesparing (€)],"&gt;0",uitkomst_doelgroep[Uitgangssituatie/effect beleid],uitkomst_tech[[#This Row],[Uitgangssituatie/effect beleid]])</f>
        <v>92483569.308690593</v>
      </c>
      <c r="H22" s="398">
        <f>SUMIFS(uitkomst_doelgroep[Arbeidsbesparing (FTE)],uitkomst_doelgroep[Digitale zorgtoepassing],B22,uitkomst_doelgroep[Jaar],D22,uitkomst_doelgroep[Arbeidsbesparing (FTE)],"&gt;0",uitkomst_doelgroep[Uitgangssituatie/effect beleid],uitkomst_tech[[#This Row],[Uitgangssituatie/effect beleid]])</f>
        <v>1324.4051131812207</v>
      </c>
      <c r="I22" s="398">
        <f>SUMIFS(uitkomst_doelgroep[Overige besparingen (€)],uitkomst_doelgroep[Digitale zorgtoepassing],B22,uitkomst_doelgroep[Jaar],D22,uitkomst_doelgroep[Overige besparingen (€)],"&gt;0",uitkomst_doelgroep[Uitgangssituatie/effect beleid],uitkomst_tech[[#This Row],[Uitgangssituatie/effect beleid]])</f>
        <v>111467922.02711742</v>
      </c>
      <c r="J22" s="398">
        <f>SUMIFS(uitkomst_doelgroep[QALY (€)],uitkomst_doelgroep[Digitale zorgtoepassing],B22,uitkomst_doelgroep[Jaar],D22,uitkomst_doelgroep[QALY (€)],"&gt;0",uitkomst_doelgroep[Uitgangssituatie/effect beleid],uitkomst_tech[[#This Row],[Uitgangssituatie/effect beleid]])</f>
        <v>215449477.23525861</v>
      </c>
      <c r="K22" s="398">
        <f>SUMIFS(uitkomst_doelgroep[Kosten (€)],uitkomst_doelgroep[Digitale zorgtoepassing],B22,uitkomst_doelgroep[Jaar],D22,uitkomst_doelgroep[Kosten (€)],"&gt;0",uitkomst_doelgroep[Uitgangssituatie/effect beleid],uitkomst_tech[[#This Row],[Uitgangssituatie/effect beleid]])</f>
        <v>80602495.00631462</v>
      </c>
      <c r="L22" s="398">
        <f>SUMIFS(uitkomst_doelgroep[Investering (cash flow) (€)],uitkomst_doelgroep[Digitale zorgtoepassing],B22,uitkomst_doelgroep[Jaar],D22,uitkomst_doelgroep[Investering (cash flow) (€)],"&gt;0",uitkomst_doelgroep[Uitgangssituatie/effect beleid],uitkomst_tech[[#This Row],[Uitgangssituatie/effect beleid]])</f>
        <v>362414.67006817186</v>
      </c>
    </row>
    <row r="23" spans="1:12" x14ac:dyDescent="0.5">
      <c r="A23" s="42" t="str">
        <f>INDEX(Technologieën[Veld],MATCH(B23,Technologieën[Digitale zorgtoepassing],0))</f>
        <v>Software - Behandeling</v>
      </c>
      <c r="B23" s="33" t="s">
        <v>609</v>
      </c>
      <c r="C23" s="33" t="s">
        <v>812</v>
      </c>
      <c r="D23" s="33">
        <v>2030</v>
      </c>
      <c r="E23" s="2">
        <v>238</v>
      </c>
      <c r="F23" s="397">
        <f>SUMIFS(uitkomst_doelgroep[Patiëntaantallen],uitkomst_doelgroep[Digitale zorgtoepassing],B23,uitkomst_doelgroep[Jaar],D23,uitkomst_doelgroep[Arbeidsbesparing (€)],"&gt;0",uitkomst_doelgroep[Uitgangssituatie/effect beleid],uitkomst_tech[[#This Row],[Uitgangssituatie/effect beleid]])</f>
        <v>261859.61686454256</v>
      </c>
      <c r="G23" s="398">
        <f>SUMIFS(uitkomst_doelgroep[Arbeidsbesparing (€)],uitkomst_doelgroep[Digitale zorgtoepassing],B23,uitkomst_doelgroep[Jaar],D23,uitkomst_doelgroep[Arbeidsbesparing (€)],"&gt;0",uitkomst_doelgroep[Uitgangssituatie/effect beleid],uitkomst_tech[[#This Row],[Uitgangssituatie/effect beleid]])</f>
        <v>103993322.49725902</v>
      </c>
      <c r="H23" s="398">
        <f>SUMIFS(uitkomst_doelgroep[Arbeidsbesparing (FTE)],uitkomst_doelgroep[Digitale zorgtoepassing],B23,uitkomst_doelgroep[Jaar],D23,uitkomst_doelgroep[Arbeidsbesparing (FTE)],"&gt;0",uitkomst_doelgroep[Uitgangssituatie/effect beleid],uitkomst_tech[[#This Row],[Uitgangssituatie/effect beleid]])</f>
        <v>1515.9182858974245</v>
      </c>
      <c r="I23" s="398">
        <f>SUMIFS(uitkomst_doelgroep[Overige besparingen (€)],uitkomst_doelgroep[Digitale zorgtoepassing],B23,uitkomst_doelgroep[Jaar],D23,uitkomst_doelgroep[Overige besparingen (€)],"&gt;0",uitkomst_doelgroep[Uitgangssituatie/effect beleid],uitkomst_tech[[#This Row],[Uitgangssituatie/effect beleid]])</f>
        <v>116103483.05139509</v>
      </c>
      <c r="J23" s="398">
        <f>SUMIFS(uitkomst_doelgroep[QALY (€)],uitkomst_doelgroep[Digitale zorgtoepassing],B23,uitkomst_doelgroep[Jaar],D23,uitkomst_doelgroep[QALY (€)],"&gt;0",uitkomst_doelgroep[Uitgangssituatie/effect beleid],uitkomst_tech[[#This Row],[Uitgangssituatie/effect beleid]])</f>
        <v>259036311.44529933</v>
      </c>
      <c r="K23" s="398">
        <f>SUMIFS(uitkomst_doelgroep[Kosten (€)],uitkomst_doelgroep[Digitale zorgtoepassing],B23,uitkomst_doelgroep[Jaar],D23,uitkomst_doelgroep[Kosten (€)],"&gt;0",uitkomst_doelgroep[Uitgangssituatie/effect beleid],uitkomst_tech[[#This Row],[Uitgangssituatie/effect beleid]])</f>
        <v>92791375.139924914</v>
      </c>
      <c r="L23" s="398">
        <f>SUMIFS(uitkomst_doelgroep[Investering (cash flow) (€)],uitkomst_doelgroep[Digitale zorgtoepassing],B23,uitkomst_doelgroep[Jaar],D23,uitkomst_doelgroep[Investering (cash flow) (€)],"&gt;0",uitkomst_doelgroep[Uitgangssituatie/effect beleid],uitkomst_tech[[#This Row],[Uitgangssituatie/effect beleid]])</f>
        <v>229526.81374048453</v>
      </c>
    </row>
    <row r="24" spans="1:12" x14ac:dyDescent="0.5">
      <c r="A24" s="42" t="str">
        <f>INDEX(Technologieën[Veld],MATCH(B24,Technologieën[Digitale zorgtoepassing],0))</f>
        <v>Software - Behandeling</v>
      </c>
      <c r="B24" s="33" t="s">
        <v>609</v>
      </c>
      <c r="C24" s="33" t="s">
        <v>812</v>
      </c>
      <c r="D24" s="33">
        <v>2031</v>
      </c>
      <c r="E24" s="2">
        <v>270</v>
      </c>
      <c r="F24" s="397">
        <f>SUMIFS(uitkomst_doelgroep[Patiëntaantallen],uitkomst_doelgroep[Digitale zorgtoepassing],B24,uitkomst_doelgroep[Jaar],D24,uitkomst_doelgroep[Arbeidsbesparing (€)],"&gt;0",uitkomst_doelgroep[Uitgangssituatie/effect beleid],uitkomst_tech[[#This Row],[Uitgangssituatie/effect beleid]])</f>
        <v>296873.25890514598</v>
      </c>
      <c r="G24" s="398">
        <f>SUMIFS(uitkomst_doelgroep[Arbeidsbesparing (€)],uitkomst_doelgroep[Digitale zorgtoepassing],B24,uitkomst_doelgroep[Jaar],D24,uitkomst_doelgroep[Arbeidsbesparing (€)],"&gt;0",uitkomst_doelgroep[Uitgangssituatie/effect beleid],uitkomst_tech[[#This Row],[Uitgangssituatie/effect beleid]])</f>
        <v>118094821.45684078</v>
      </c>
      <c r="H24" s="398">
        <f>SUMIFS(uitkomst_doelgroep[Arbeidsbesparing (FTE)],uitkomst_doelgroep[Digitale zorgtoepassing],B24,uitkomst_doelgroep[Jaar],D24,uitkomst_doelgroep[Arbeidsbesparing (FTE)],"&gt;0",uitkomst_doelgroep[Uitgangssituatie/effect beleid],uitkomst_tech[[#This Row],[Uitgangssituatie/effect beleid]])</f>
        <v>1755.5562499602124</v>
      </c>
      <c r="I24" s="398">
        <f>SUMIFS(uitkomst_doelgroep[Overige besparingen (€)],uitkomst_doelgroep[Digitale zorgtoepassing],B24,uitkomst_doelgroep[Jaar],D24,uitkomst_doelgroep[Overige besparingen (€)],"&gt;0",uitkomst_doelgroep[Uitgangssituatie/effect beleid],uitkomst_tech[[#This Row],[Uitgangssituatie/effect beleid]])</f>
        <v>121131321.53010614</v>
      </c>
      <c r="J24" s="398">
        <f>SUMIFS(uitkomst_doelgroep[QALY (€)],uitkomst_doelgroep[Digitale zorgtoepassing],B24,uitkomst_doelgroep[Jaar],D24,uitkomst_doelgroep[QALY (€)],"&gt;0",uitkomst_doelgroep[Uitgangssituatie/effect beleid],uitkomst_tech[[#This Row],[Uitgangssituatie/effect beleid]])</f>
        <v>311888976.90693927</v>
      </c>
      <c r="K24" s="398">
        <f>SUMIFS(uitkomst_doelgroep[Kosten (€)],uitkomst_doelgroep[Digitale zorgtoepassing],B24,uitkomst_doelgroep[Jaar],D24,uitkomst_doelgroep[Kosten (€)],"&gt;0",uitkomst_doelgroep[Uitgangssituatie/effect beleid],uitkomst_tech[[#This Row],[Uitgangssituatie/effect beleid]])</f>
        <v>107605348.37848052</v>
      </c>
      <c r="L24" s="398">
        <f>SUMIFS(uitkomst_doelgroep[Investering (cash flow) (€)],uitkomst_doelgroep[Digitale zorgtoepassing],B24,uitkomst_doelgroep[Jaar],D24,uitkomst_doelgroep[Investering (cash flow) (€)],"&gt;0",uitkomst_doelgroep[Uitgangssituatie/effect beleid],uitkomst_tech[[#This Row],[Uitgangssituatie/effect beleid]])</f>
        <v>134989.70471169983</v>
      </c>
    </row>
    <row r="25" spans="1:12" x14ac:dyDescent="0.5">
      <c r="A25" s="42" t="str">
        <f>INDEX(Technologieën[Veld],MATCH(B25,Technologieën[Digitale zorgtoepassing],0))</f>
        <v>Software - Behandeling</v>
      </c>
      <c r="B25" s="33" t="s">
        <v>609</v>
      </c>
      <c r="C25" s="33" t="s">
        <v>812</v>
      </c>
      <c r="D25" s="33">
        <v>2032</v>
      </c>
      <c r="E25" s="2">
        <v>302</v>
      </c>
      <c r="F25" s="397">
        <f>SUMIFS(uitkomst_doelgroep[Patiëntaantallen],uitkomst_doelgroep[Digitale zorgtoepassing],B25,uitkomst_doelgroep[Jaar],D25,uitkomst_doelgroep[Arbeidsbesparing (€)],"&gt;0",uitkomst_doelgroep[Uitgangssituatie/effect beleid],uitkomst_tech[[#This Row],[Uitgangssituatie/effect beleid]])</f>
        <v>337838.29254248051</v>
      </c>
      <c r="G25" s="398">
        <f>SUMIFS(uitkomst_doelgroep[Arbeidsbesparing (€)],uitkomst_doelgroep[Digitale zorgtoepassing],B25,uitkomst_doelgroep[Jaar],D25,uitkomst_doelgroep[Arbeidsbesparing (€)],"&gt;0",uitkomst_doelgroep[Uitgangssituatie/effect beleid],uitkomst_tech[[#This Row],[Uitgangssituatie/effect beleid]])</f>
        <v>134979066.51301503</v>
      </c>
      <c r="H25" s="398">
        <f>SUMIFS(uitkomst_doelgroep[Arbeidsbesparing (FTE)],uitkomst_doelgroep[Digitale zorgtoepassing],B25,uitkomst_doelgroep[Jaar],D25,uitkomst_doelgroep[Arbeidsbesparing (FTE)],"&gt;0",uitkomst_doelgroep[Uitgangssituatie/effect beleid],uitkomst_tech[[#This Row],[Uitgangssituatie/effect beleid]])</f>
        <v>2045.4769256495247</v>
      </c>
      <c r="I25" s="398">
        <f>SUMIFS(uitkomst_doelgroep[Overige besparingen (€)],uitkomst_doelgroep[Digitale zorgtoepassing],B25,uitkomst_doelgroep[Jaar],D25,uitkomst_doelgroep[Overige besparingen (€)],"&gt;0",uitkomst_doelgroep[Uitgangssituatie/effect beleid],uitkomst_tech[[#This Row],[Uitgangssituatie/effect beleid]])</f>
        <v>126798472.24224046</v>
      </c>
      <c r="J25" s="398">
        <f>SUMIFS(uitkomst_doelgroep[QALY (€)],uitkomst_doelgroep[Digitale zorgtoepassing],B25,uitkomst_doelgroep[Jaar],D25,uitkomst_doelgroep[QALY (€)],"&gt;0",uitkomst_doelgroep[Uitgangssituatie/effect beleid],uitkomst_tech[[#This Row],[Uitgangssituatie/effect beleid]])</f>
        <v>374760177.53477323</v>
      </c>
      <c r="K25" s="398">
        <f>SUMIFS(uitkomst_doelgroep[Kosten (€)],uitkomst_doelgroep[Digitale zorgtoepassing],B25,uitkomst_doelgroep[Jaar],D25,uitkomst_doelgroep[Kosten (€)],"&gt;0",uitkomst_doelgroep[Uitgangssituatie/effect beleid],uitkomst_tech[[#This Row],[Uitgangssituatie/effect beleid]])</f>
        <v>125279050.99070844</v>
      </c>
      <c r="L25" s="398">
        <f>SUMIFS(uitkomst_doelgroep[Investering (cash flow) (€)],uitkomst_doelgroep[Digitale zorgtoepassing],B25,uitkomst_doelgroep[Jaar],D25,uitkomst_doelgroep[Investering (cash flow) (€)],"&gt;0",uitkomst_doelgroep[Uitgangssituatie/effect beleid],uitkomst_tech[[#This Row],[Uitgangssituatie/effect beleid]])</f>
        <v>75632.666129948455</v>
      </c>
    </row>
    <row r="26" spans="1:12" x14ac:dyDescent="0.5">
      <c r="A26" s="42" t="str">
        <f>INDEX(Technologieën[Veld],MATCH(B26,Technologieën[Digitale zorgtoepassing],0))</f>
        <v>Software - Behandeling</v>
      </c>
      <c r="B26" s="33" t="s">
        <v>609</v>
      </c>
      <c r="C26" s="33" t="s">
        <v>812</v>
      </c>
      <c r="D26" s="33">
        <v>2033</v>
      </c>
      <c r="E26" s="2">
        <v>334</v>
      </c>
      <c r="F26" s="397">
        <f>SUMIFS(uitkomst_doelgroep[Patiëntaantallen],uitkomst_doelgroep[Digitale zorgtoepassing],B26,uitkomst_doelgroep[Jaar],D26,uitkomst_doelgroep[Arbeidsbesparing (€)],"&gt;0",uitkomst_doelgroep[Uitgangssituatie/effect beleid],uitkomst_tech[[#This Row],[Uitgangssituatie/effect beleid]])</f>
        <v>383583.40754928073</v>
      </c>
      <c r="G26" s="398">
        <f>SUMIFS(uitkomst_doelgroep[Arbeidsbesparing (€)],uitkomst_doelgroep[Digitale zorgtoepassing],B26,uitkomst_doelgroep[Jaar],D26,uitkomst_doelgroep[Arbeidsbesparing (€)],"&gt;0",uitkomst_doelgroep[Uitgangssituatie/effect beleid],uitkomst_tech[[#This Row],[Uitgangssituatie/effect beleid]])</f>
        <v>154053501.09471667</v>
      </c>
      <c r="H26" s="398">
        <f>SUMIFS(uitkomst_doelgroep[Arbeidsbesparing (FTE)],uitkomst_doelgroep[Digitale zorgtoepassing],B26,uitkomst_doelgroep[Jaar],D26,uitkomst_doelgroep[Arbeidsbesparing (FTE)],"&gt;0",uitkomst_doelgroep[Uitgangssituatie/effect beleid],uitkomst_tech[[#This Row],[Uitgangssituatie/effect beleid]])</f>
        <v>2374.5740991178291</v>
      </c>
      <c r="I26" s="398">
        <f>SUMIFS(uitkomst_doelgroep[Overige besparingen (€)],uitkomst_doelgroep[Digitale zorgtoepassing],B26,uitkomst_doelgroep[Jaar],D26,uitkomst_doelgroep[Overige besparingen (€)],"&gt;0",uitkomst_doelgroep[Uitgangssituatie/effect beleid],uitkomst_tech[[#This Row],[Uitgangssituatie/effect beleid]])</f>
        <v>133026834.69922884</v>
      </c>
      <c r="J26" s="398">
        <f>SUMIFS(uitkomst_doelgroep[QALY (€)],uitkomst_doelgroep[Digitale zorgtoepassing],B26,uitkomst_doelgroep[Jaar],D26,uitkomst_doelgroep[QALY (€)],"&gt;0",uitkomst_doelgroep[Uitgangssituatie/effect beleid],uitkomst_tech[[#This Row],[Uitgangssituatie/effect beleid]])</f>
        <v>445548623.6945743</v>
      </c>
      <c r="K26" s="398">
        <f>SUMIFS(uitkomst_doelgroep[Kosten (€)],uitkomst_doelgroep[Digitale zorgtoepassing],B26,uitkomst_doelgroep[Jaar],D26,uitkomst_doelgroep[Kosten (€)],"&gt;0",uitkomst_doelgroep[Uitgangssituatie/effect beleid],uitkomst_tech[[#This Row],[Uitgangssituatie/effect beleid]])</f>
        <v>145215338.52158999</v>
      </c>
      <c r="L26" s="398">
        <f>SUMIFS(uitkomst_doelgroep[Investering (cash flow) (€)],uitkomst_doelgroep[Digitale zorgtoepassing],B26,uitkomst_doelgroep[Jaar],D26,uitkomst_doelgroep[Investering (cash flow) (€)],"&gt;0",uitkomst_doelgroep[Uitgangssituatie/effect beleid],uitkomst_tech[[#This Row],[Uitgangssituatie/effect beleid]])</f>
        <v>41159.305032039811</v>
      </c>
    </row>
    <row r="27" spans="1:12" x14ac:dyDescent="0.5">
      <c r="A27" s="42" t="str">
        <f>INDEX(Technologieën[Veld],MATCH(B27,Technologieën[Digitale zorgtoepassing],0))</f>
        <v>Software - Diagnose</v>
      </c>
      <c r="B27" s="33" t="s">
        <v>474</v>
      </c>
      <c r="C27" s="33" t="s">
        <v>812</v>
      </c>
      <c r="D27" s="33">
        <v>2023</v>
      </c>
      <c r="E27" s="2">
        <v>24</v>
      </c>
      <c r="F27" s="397">
        <f>SUMIFS(uitkomst_doelgroep[Patiëntaantallen],uitkomst_doelgroep[Digitale zorgtoepassing],B27,uitkomst_doelgroep[Jaar],D27,uitkomst_doelgroep[Arbeidsbesparing (€)],"&gt;0",uitkomst_doelgroep[Uitgangssituatie/effect beleid],uitkomst_tech[[#This Row],[Uitgangssituatie/effect beleid]])</f>
        <v>366160.60800000001</v>
      </c>
      <c r="G27" s="398">
        <f>SUMIFS(uitkomst_doelgroep[Arbeidsbesparing (€)],uitkomst_doelgroep[Digitale zorgtoepassing],B27,uitkomst_doelgroep[Jaar],D27,uitkomst_doelgroep[Arbeidsbesparing (€)],"&gt;0",uitkomst_doelgroep[Uitgangssituatie/effect beleid],uitkomst_tech[[#This Row],[Uitgangssituatie/effect beleid]])</f>
        <v>3218315.0025475873</v>
      </c>
      <c r="H27" s="398">
        <f>SUMIFS(uitkomst_doelgroep[Arbeidsbesparing (FTE)],uitkomst_doelgroep[Digitale zorgtoepassing],B27,uitkomst_doelgroep[Jaar],D27,uitkomst_doelgroep[Arbeidsbesparing (FTE)],"&gt;0",uitkomst_doelgroep[Uitgangssituatie/effect beleid],uitkomst_tech[[#This Row],[Uitgangssituatie/effect beleid]])</f>
        <v>23.765231769230773</v>
      </c>
      <c r="I27" s="398">
        <f>SUMIFS(uitkomst_doelgroep[Overige besparingen (€)],uitkomst_doelgroep[Digitale zorgtoepassing],B27,uitkomst_doelgroep[Jaar],D27,uitkomst_doelgroep[Overige besparingen (€)],"&gt;0",uitkomst_doelgroep[Uitgangssituatie/effect beleid],uitkomst_tech[[#This Row],[Uitgangssituatie/effect beleid]])</f>
        <v>0</v>
      </c>
      <c r="J27" s="398">
        <f>SUMIFS(uitkomst_doelgroep[QALY (€)],uitkomst_doelgroep[Digitale zorgtoepassing],B27,uitkomst_doelgroep[Jaar],D27,uitkomst_doelgroep[QALY (€)],"&gt;0",uitkomst_doelgroep[Uitgangssituatie/effect beleid],uitkomst_tech[[#This Row],[Uitgangssituatie/effect beleid]])</f>
        <v>0</v>
      </c>
      <c r="K27" s="398">
        <f>SUMIFS(uitkomst_doelgroep[Kosten (€)],uitkomst_doelgroep[Digitale zorgtoepassing],B27,uitkomst_doelgroep[Jaar],D27,uitkomst_doelgroep[Kosten (€)],"&gt;0",uitkomst_doelgroep[Uitgangssituatie/effect beleid],uitkomst_tech[[#This Row],[Uitgangssituatie/effect beleid]])</f>
        <v>2559462.6499200002</v>
      </c>
      <c r="L27" s="398">
        <f>SUMIFS(uitkomst_doelgroep[Investering (cash flow) (€)],uitkomst_doelgroep[Digitale zorgtoepassing],B27,uitkomst_doelgroep[Jaar],D27,uitkomst_doelgroep[Investering (cash flow) (€)],"&gt;0",uitkomst_doelgroep[Uitgangssituatie/effect beleid],uitkomst_tech[[#This Row],[Uitgangssituatie/effect beleid]])</f>
        <v>0</v>
      </c>
    </row>
    <row r="28" spans="1:12" x14ac:dyDescent="0.5">
      <c r="A28" s="42" t="str">
        <f>INDEX(Technologieën[Veld],MATCH(B28,Technologieën[Digitale zorgtoepassing],0))</f>
        <v>Software - Diagnose</v>
      </c>
      <c r="B28" s="33" t="s">
        <v>474</v>
      </c>
      <c r="C28" s="33" t="s">
        <v>812</v>
      </c>
      <c r="D28" s="33">
        <v>2024</v>
      </c>
      <c r="E28" s="2">
        <v>56</v>
      </c>
      <c r="F28" s="397">
        <f>SUMIFS(uitkomst_doelgroep[Patiëntaantallen],uitkomst_doelgroep[Digitale zorgtoepassing],B28,uitkomst_doelgroep[Jaar],D28,uitkomst_doelgroep[Arbeidsbesparing (€)],"&gt;0",uitkomst_doelgroep[Uitgangssituatie/effect beleid],uitkomst_tech[[#This Row],[Uitgangssituatie/effect beleid]])</f>
        <v>492486.01776000002</v>
      </c>
      <c r="G28" s="398">
        <f>SUMIFS(uitkomst_doelgroep[Arbeidsbesparing (€)],uitkomst_doelgroep[Digitale zorgtoepassing],B28,uitkomst_doelgroep[Jaar],D28,uitkomst_doelgroep[Arbeidsbesparing (€)],"&gt;0",uitkomst_doelgroep[Uitgangssituatie/effect beleid],uitkomst_tech[[#This Row],[Uitgangssituatie/effect beleid]])</f>
        <v>4328633.6784265051</v>
      </c>
      <c r="H28" s="398">
        <f>SUMIFS(uitkomst_doelgroep[Arbeidsbesparing (FTE)],uitkomst_doelgroep[Digitale zorgtoepassing],B28,uitkomst_doelgroep[Jaar],D28,uitkomst_doelgroep[Arbeidsbesparing (FTE)],"&gt;0",uitkomst_doelgroep[Uitgangssituatie/effect beleid],uitkomst_tech[[#This Row],[Uitgangssituatie/effect beleid]])</f>
        <v>31.96423672961539</v>
      </c>
      <c r="I28" s="398">
        <f>SUMIFS(uitkomst_doelgroep[Overige besparingen (€)],uitkomst_doelgroep[Digitale zorgtoepassing],B28,uitkomst_doelgroep[Jaar],D28,uitkomst_doelgroep[Overige besparingen (€)],"&gt;0",uitkomst_doelgroep[Uitgangssituatie/effect beleid],uitkomst_tech[[#This Row],[Uitgangssituatie/effect beleid]])</f>
        <v>0</v>
      </c>
      <c r="J28" s="398">
        <f>SUMIFS(uitkomst_doelgroep[QALY (€)],uitkomst_doelgroep[Digitale zorgtoepassing],B28,uitkomst_doelgroep[Jaar],D28,uitkomst_doelgroep[QALY (€)],"&gt;0",uitkomst_doelgroep[Uitgangssituatie/effect beleid],uitkomst_tech[[#This Row],[Uitgangssituatie/effect beleid]])</f>
        <v>0</v>
      </c>
      <c r="K28" s="398">
        <f>SUMIFS(uitkomst_doelgroep[Kosten (€)],uitkomst_doelgroep[Digitale zorgtoepassing],B28,uitkomst_doelgroep[Jaar],D28,uitkomst_doelgroep[Kosten (€)],"&gt;0",uitkomst_doelgroep[Uitgangssituatie/effect beleid],uitkomst_tech[[#This Row],[Uitgangssituatie/effect beleid]])</f>
        <v>3442477.2641424006</v>
      </c>
      <c r="L28" s="398">
        <f>SUMIFS(uitkomst_doelgroep[Investering (cash flow) (€)],uitkomst_doelgroep[Digitale zorgtoepassing],B28,uitkomst_doelgroep[Jaar],D28,uitkomst_doelgroep[Investering (cash flow) (€)],"&gt;0",uitkomst_doelgroep[Uitgangssituatie/effect beleid],uitkomst_tech[[#This Row],[Uitgangssituatie/effect beleid]])</f>
        <v>0</v>
      </c>
    </row>
    <row r="29" spans="1:12" x14ac:dyDescent="0.5">
      <c r="A29" s="42" t="str">
        <f>INDEX(Technologieën[Veld],MATCH(B29,Technologieën[Digitale zorgtoepassing],0))</f>
        <v>Software - Diagnose</v>
      </c>
      <c r="B29" s="33" t="s">
        <v>474</v>
      </c>
      <c r="C29" s="33" t="s">
        <v>812</v>
      </c>
      <c r="D29" s="33">
        <v>2025</v>
      </c>
      <c r="E29" s="2">
        <v>88</v>
      </c>
      <c r="F29" s="397">
        <f>SUMIFS(uitkomst_doelgroep[Patiëntaantallen],uitkomst_doelgroep[Digitale zorgtoepassing],B29,uitkomst_doelgroep[Jaar],D29,uitkomst_doelgroep[Arbeidsbesparing (€)],"&gt;0",uitkomst_doelgroep[Uitgangssituatie/effect beleid],uitkomst_tech[[#This Row],[Uitgangssituatie/effect beleid]])</f>
        <v>618937.75292976003</v>
      </c>
      <c r="G29" s="398">
        <f>SUMIFS(uitkomst_doelgroep[Arbeidsbesparing (€)],uitkomst_doelgroep[Digitale zorgtoepassing],B29,uitkomst_doelgroep[Jaar],D29,uitkomst_doelgroep[Arbeidsbesparing (€)],"&gt;0",uitkomst_doelgroep[Uitgangssituatie/effect beleid],uitkomst_tech[[#This Row],[Uitgangssituatie/effect beleid]])</f>
        <v>5440062.6729813013</v>
      </c>
      <c r="H29" s="398">
        <f>SUMIFS(uitkomst_doelgroep[Arbeidsbesparing (FTE)],uitkomst_doelgroep[Digitale zorgtoepassing],B29,uitkomst_doelgroep[Jaar],D29,uitkomst_doelgroep[Arbeidsbesparing (FTE)],"&gt;0",uitkomst_doelgroep[Uitgangssituatie/effect beleid],uitkomst_tech[[#This Row],[Uitgangssituatie/effect beleid]])</f>
        <v>40.171440694960388</v>
      </c>
      <c r="I29" s="398">
        <f>SUMIFS(uitkomst_doelgroep[Overige besparingen (€)],uitkomst_doelgroep[Digitale zorgtoepassing],B29,uitkomst_doelgroep[Jaar],D29,uitkomst_doelgroep[Overige besparingen (€)],"&gt;0",uitkomst_doelgroep[Uitgangssituatie/effect beleid],uitkomst_tech[[#This Row],[Uitgangssituatie/effect beleid]])</f>
        <v>0</v>
      </c>
      <c r="J29" s="398">
        <f>SUMIFS(uitkomst_doelgroep[QALY (€)],uitkomst_doelgroep[Digitale zorgtoepassing],B29,uitkomst_doelgroep[Jaar],D29,uitkomst_doelgroep[QALY (€)],"&gt;0",uitkomst_doelgroep[Uitgangssituatie/effect beleid],uitkomst_tech[[#This Row],[Uitgangssituatie/effect beleid]])</f>
        <v>0</v>
      </c>
      <c r="K29" s="398">
        <f>SUMIFS(uitkomst_doelgroep[Kosten (€)],uitkomst_doelgroep[Digitale zorgtoepassing],B29,uitkomst_doelgroep[Jaar],D29,uitkomst_doelgroep[Kosten (€)],"&gt;0",uitkomst_doelgroep[Uitgangssituatie/effect beleid],uitkomst_tech[[#This Row],[Uitgangssituatie/effect beleid]])</f>
        <v>4326374.892979023</v>
      </c>
      <c r="L29" s="398">
        <f>SUMIFS(uitkomst_doelgroep[Investering (cash flow) (€)],uitkomst_doelgroep[Digitale zorgtoepassing],B29,uitkomst_doelgroep[Jaar],D29,uitkomst_doelgroep[Investering (cash flow) (€)],"&gt;0",uitkomst_doelgroep[Uitgangssituatie/effect beleid],uitkomst_tech[[#This Row],[Uitgangssituatie/effect beleid]])</f>
        <v>0</v>
      </c>
    </row>
    <row r="30" spans="1:12" x14ac:dyDescent="0.5">
      <c r="A30" s="42" t="str">
        <f>INDEX(Technologieën[Veld],MATCH(B30,Technologieën[Digitale zorgtoepassing],0))</f>
        <v>Software - Diagnose</v>
      </c>
      <c r="B30" s="33" t="s">
        <v>474</v>
      </c>
      <c r="C30" s="33" t="s">
        <v>812</v>
      </c>
      <c r="D30" s="33">
        <v>2026</v>
      </c>
      <c r="E30" s="2">
        <v>120</v>
      </c>
      <c r="F30" s="397">
        <f>SUMIFS(uitkomst_doelgroep[Patiëntaantallen],uitkomst_doelgroep[Digitale zorgtoepassing],B30,uitkomst_doelgroep[Jaar],D30,uitkomst_doelgroep[Arbeidsbesparing (€)],"&gt;0",uitkomst_doelgroep[Uitgangssituatie/effect beleid],uitkomst_tech[[#This Row],[Uitgangssituatie/effect beleid]])</f>
        <v>728056.87521153619</v>
      </c>
      <c r="G30" s="398">
        <f>SUMIFS(uitkomst_doelgroep[Arbeidsbesparing (€)],uitkomst_doelgroep[Digitale zorgtoepassing],B30,uitkomst_doelgroep[Jaar],D30,uitkomst_doelgroep[Arbeidsbesparing (€)],"&gt;0",uitkomst_doelgroep[Uitgangssituatie/effect beleid],uitkomst_tech[[#This Row],[Uitgangssituatie/effect beleid]])</f>
        <v>6399149.2066814667</v>
      </c>
      <c r="H30" s="398">
        <f>SUMIFS(uitkomst_doelgroep[Arbeidsbesparing (FTE)],uitkomst_doelgroep[Digitale zorgtoepassing],B30,uitkomst_doelgroep[Jaar],D30,uitkomst_doelgroep[Arbeidsbesparing (FTE)],"&gt;0",uitkomst_doelgroep[Uitgangssituatie/effect beleid],uitkomst_tech[[#This Row],[Uitgangssituatie/effect beleid]])</f>
        <v>47.253691419979518</v>
      </c>
      <c r="I30" s="398">
        <f>SUMIFS(uitkomst_doelgroep[Overige besparingen (€)],uitkomst_doelgroep[Digitale zorgtoepassing],B30,uitkomst_doelgroep[Jaar],D30,uitkomst_doelgroep[Overige besparingen (€)],"&gt;0",uitkomst_doelgroep[Uitgangssituatie/effect beleid],uitkomst_tech[[#This Row],[Uitgangssituatie/effect beleid]])</f>
        <v>0</v>
      </c>
      <c r="J30" s="398">
        <f>SUMIFS(uitkomst_doelgroep[QALY (€)],uitkomst_doelgroep[Digitale zorgtoepassing],B30,uitkomst_doelgroep[Jaar],D30,uitkomst_doelgroep[QALY (€)],"&gt;0",uitkomst_doelgroep[Uitgangssituatie/effect beleid],uitkomst_tech[[#This Row],[Uitgangssituatie/effect beleid]])</f>
        <v>0</v>
      </c>
      <c r="K30" s="398">
        <f>SUMIFS(uitkomst_doelgroep[Kosten (€)],uitkomst_doelgroep[Digitale zorgtoepassing],B30,uitkomst_doelgroep[Jaar],D30,uitkomst_doelgroep[Kosten (€)],"&gt;0",uitkomst_doelgroep[Uitgangssituatie/effect beleid],uitkomst_tech[[#This Row],[Uitgangssituatie/effect beleid]])</f>
        <v>5089117.5577286379</v>
      </c>
      <c r="L30" s="398">
        <f>SUMIFS(uitkomst_doelgroep[Investering (cash flow) (€)],uitkomst_doelgroep[Digitale zorgtoepassing],B30,uitkomst_doelgroep[Jaar],D30,uitkomst_doelgroep[Investering (cash flow) (€)],"&gt;0",uitkomst_doelgroep[Uitgangssituatie/effect beleid],uitkomst_tech[[#This Row],[Uitgangssituatie/effect beleid]])</f>
        <v>0</v>
      </c>
    </row>
    <row r="31" spans="1:12" x14ac:dyDescent="0.5">
      <c r="A31" s="42" t="str">
        <f>INDEX(Technologieën[Veld],MATCH(B31,Technologieën[Digitale zorgtoepassing],0))</f>
        <v>Software - Diagnose</v>
      </c>
      <c r="B31" s="33" t="s">
        <v>474</v>
      </c>
      <c r="C31" s="33" t="s">
        <v>812</v>
      </c>
      <c r="D31" s="33">
        <v>2027</v>
      </c>
      <c r="E31" s="2">
        <v>152</v>
      </c>
      <c r="F31" s="397">
        <f>SUMIFS(uitkomst_doelgroep[Patiëntaantallen],uitkomst_doelgroep[Digitale zorgtoepassing],B31,uitkomst_doelgroep[Jaar],D31,uitkomst_doelgroep[Arbeidsbesparing (€)],"&gt;0",uitkomst_doelgroep[Uitgangssituatie/effect beleid],uitkomst_tech[[#This Row],[Uitgangssituatie/effect beleid]])</f>
        <v>808178.70580916142</v>
      </c>
      <c r="G31" s="398">
        <f>SUMIFS(uitkomst_doelgroep[Arbeidsbesparing (€)],uitkomst_doelgroep[Digitale zorgtoepassing],B31,uitkomst_doelgroep[Jaar],D31,uitkomst_doelgroep[Arbeidsbesparing (€)],"&gt;0",uitkomst_doelgroep[Uitgangssituatie/effect beleid],uitkomst_tech[[#This Row],[Uitgangssituatie/effect beleid]])</f>
        <v>7103368.2947268784</v>
      </c>
      <c r="H31" s="398">
        <f>SUMIFS(uitkomst_doelgroep[Arbeidsbesparing (FTE)],uitkomst_doelgroep[Digitale zorgtoepassing],B31,uitkomst_doelgroep[Jaar],D31,uitkomst_doelgroep[Arbeidsbesparing (FTE)],"&gt;0",uitkomst_doelgroep[Uitgangssituatie/effect beleid],uitkomst_tech[[#This Row],[Uitgangssituatie/effect beleid]])</f>
        <v>52.453906386652307</v>
      </c>
      <c r="I31" s="398">
        <f>SUMIFS(uitkomst_doelgroep[Overige besparingen (€)],uitkomst_doelgroep[Digitale zorgtoepassing],B31,uitkomst_doelgroep[Jaar],D31,uitkomst_doelgroep[Overige besparingen (€)],"&gt;0",uitkomst_doelgroep[Uitgangssituatie/effect beleid],uitkomst_tech[[#This Row],[Uitgangssituatie/effect beleid]])</f>
        <v>0</v>
      </c>
      <c r="J31" s="398">
        <f>SUMIFS(uitkomst_doelgroep[QALY (€)],uitkomst_doelgroep[Digitale zorgtoepassing],B31,uitkomst_doelgroep[Jaar],D31,uitkomst_doelgroep[QALY (€)],"&gt;0",uitkomst_doelgroep[Uitgangssituatie/effect beleid],uitkomst_tech[[#This Row],[Uitgangssituatie/effect beleid]])</f>
        <v>0</v>
      </c>
      <c r="K31" s="398">
        <f>SUMIFS(uitkomst_doelgroep[Kosten (€)],uitkomst_doelgroep[Digitale zorgtoepassing],B31,uitkomst_doelgroep[Jaar],D31,uitkomst_doelgroep[Kosten (€)],"&gt;0",uitkomst_doelgroep[Uitgangssituatie/effect beleid],uitkomst_tech[[#This Row],[Uitgangssituatie/effect beleid]])</f>
        <v>5649169.1536060385</v>
      </c>
      <c r="L31" s="398">
        <f>SUMIFS(uitkomst_doelgroep[Investering (cash flow) (€)],uitkomst_doelgroep[Digitale zorgtoepassing],B31,uitkomst_doelgroep[Jaar],D31,uitkomst_doelgroep[Investering (cash flow) (€)],"&gt;0",uitkomst_doelgroep[Uitgangssituatie/effect beleid],uitkomst_tech[[#This Row],[Uitgangssituatie/effect beleid]])</f>
        <v>0</v>
      </c>
    </row>
    <row r="32" spans="1:12" x14ac:dyDescent="0.5">
      <c r="A32" s="42" t="str">
        <f>INDEX(Technologieën[Veld],MATCH(B32,Technologieën[Digitale zorgtoepassing],0))</f>
        <v>Software - Diagnose</v>
      </c>
      <c r="B32" s="33" t="s">
        <v>474</v>
      </c>
      <c r="C32" s="33" t="s">
        <v>812</v>
      </c>
      <c r="D32" s="33">
        <v>2028</v>
      </c>
      <c r="E32" s="2">
        <v>184</v>
      </c>
      <c r="F32" s="397">
        <f>SUMIFS(uitkomst_doelgroep[Patiëntaantallen],uitkomst_doelgroep[Digitale zorgtoepassing],B32,uitkomst_doelgroep[Jaar],D32,uitkomst_doelgroep[Arbeidsbesparing (€)],"&gt;0",uitkomst_doelgroep[Uitgangssituatie/effect beleid],uitkomst_tech[[#This Row],[Uitgangssituatie/effect beleid]])</f>
        <v>858727.18579819752</v>
      </c>
      <c r="G32" s="398">
        <f>SUMIFS(uitkomst_doelgroep[Arbeidsbesparing (€)],uitkomst_doelgroep[Digitale zorgtoepassing],B32,uitkomst_doelgroep[Jaar],D32,uitkomst_doelgroep[Arbeidsbesparing (€)],"&gt;0",uitkomst_doelgroep[Uitgangssituatie/effect beleid],uitkomst_tech[[#This Row],[Uitgangssituatie/effect beleid]])</f>
        <v>7547656.7516236156</v>
      </c>
      <c r="H32" s="398">
        <f>SUMIFS(uitkomst_doelgroep[Arbeidsbesparing (FTE)],uitkomst_doelgroep[Digitale zorgtoepassing],B32,uitkomst_doelgroep[Jaar],D32,uitkomst_doelgroep[Arbeidsbesparing (FTE)],"&gt;0",uitkomst_doelgroep[Uitgangssituatie/effect beleid],uitkomst_tech[[#This Row],[Uitgangssituatie/effect beleid]])</f>
        <v>55.734697155171474</v>
      </c>
      <c r="I32" s="398">
        <f>SUMIFS(uitkomst_doelgroep[Overige besparingen (€)],uitkomst_doelgroep[Digitale zorgtoepassing],B32,uitkomst_doelgroep[Jaar],D32,uitkomst_doelgroep[Overige besparingen (€)],"&gt;0",uitkomst_doelgroep[Uitgangssituatie/effect beleid],uitkomst_tech[[#This Row],[Uitgangssituatie/effect beleid]])</f>
        <v>0</v>
      </c>
      <c r="J32" s="398">
        <f>SUMIFS(uitkomst_doelgroep[QALY (€)],uitkomst_doelgroep[Digitale zorgtoepassing],B32,uitkomst_doelgroep[Jaar],D32,uitkomst_doelgroep[QALY (€)],"&gt;0",uitkomst_doelgroep[Uitgangssituatie/effect beleid],uitkomst_tech[[#This Row],[Uitgangssituatie/effect beleid]])</f>
        <v>0</v>
      </c>
      <c r="K32" s="398">
        <f>SUMIFS(uitkomst_doelgroep[Kosten (€)],uitkomst_doelgroep[Digitale zorgtoepassing],B32,uitkomst_doelgroep[Jaar],D32,uitkomst_doelgroep[Kosten (€)],"&gt;0",uitkomst_doelgroep[Uitgangssituatie/effect beleid],uitkomst_tech[[#This Row],[Uitgangssituatie/effect beleid]])</f>
        <v>6002503.0287294006</v>
      </c>
      <c r="L32" s="398">
        <f>SUMIFS(uitkomst_doelgroep[Investering (cash flow) (€)],uitkomst_doelgroep[Digitale zorgtoepassing],B32,uitkomst_doelgroep[Jaar],D32,uitkomst_doelgroep[Investering (cash flow) (€)],"&gt;0",uitkomst_doelgroep[Uitgangssituatie/effect beleid],uitkomst_tech[[#This Row],[Uitgangssituatie/effect beleid]])</f>
        <v>0</v>
      </c>
    </row>
    <row r="33" spans="1:12" x14ac:dyDescent="0.5">
      <c r="A33" s="42" t="str">
        <f>INDEX(Technologieën[Veld],MATCH(B33,Technologieën[Digitale zorgtoepassing],0))</f>
        <v>Software - Diagnose</v>
      </c>
      <c r="B33" s="33" t="s">
        <v>474</v>
      </c>
      <c r="C33" s="33" t="s">
        <v>812</v>
      </c>
      <c r="D33" s="33">
        <v>2029</v>
      </c>
      <c r="E33" s="2">
        <v>216</v>
      </c>
      <c r="F33" s="397">
        <f>SUMIFS(uitkomst_doelgroep[Patiëntaantallen],uitkomst_doelgroep[Digitale zorgtoepassing],B33,uitkomst_doelgroep[Jaar],D33,uitkomst_doelgroep[Arbeidsbesparing (€)],"&gt;0",uitkomst_doelgroep[Uitgangssituatie/effect beleid],uitkomst_tech[[#This Row],[Uitgangssituatie/effect beleid]])</f>
        <v>887010.17238123238</v>
      </c>
      <c r="G33" s="398">
        <f>SUMIFS(uitkomst_doelgroep[Arbeidsbesparing (€)],uitkomst_doelgroep[Digitale zorgtoepassing],B33,uitkomst_doelgroep[Jaar],D33,uitkomst_doelgroep[Arbeidsbesparing (€)],"&gt;0",uitkomst_doelgroep[Uitgangssituatie/effect beleid],uitkomst_tech[[#This Row],[Uitgangssituatie/effect beleid]])</f>
        <v>7796245.9172747536</v>
      </c>
      <c r="H33" s="398">
        <f>SUMIFS(uitkomst_doelgroep[Arbeidsbesparing (FTE)],uitkomst_doelgroep[Digitale zorgtoepassing],B33,uitkomst_doelgroep[Jaar],D33,uitkomst_doelgroep[Arbeidsbesparing (FTE)],"&gt;0",uitkomst_doelgroep[Uitgangssituatie/effect beleid],uitkomst_tech[[#This Row],[Uitgangssituatie/effect beleid]])</f>
        <v>57.570371765128066</v>
      </c>
      <c r="I33" s="398">
        <f>SUMIFS(uitkomst_doelgroep[Overige besparingen (€)],uitkomst_doelgroep[Digitale zorgtoepassing],B33,uitkomst_doelgroep[Jaar],D33,uitkomst_doelgroep[Overige besparingen (€)],"&gt;0",uitkomst_doelgroep[Uitgangssituatie/effect beleid],uitkomst_tech[[#This Row],[Uitgangssituatie/effect beleid]])</f>
        <v>0</v>
      </c>
      <c r="J33" s="398">
        <f>SUMIFS(uitkomst_doelgroep[QALY (€)],uitkomst_doelgroep[Digitale zorgtoepassing],B33,uitkomst_doelgroep[Jaar],D33,uitkomst_doelgroep[QALY (€)],"&gt;0",uitkomst_doelgroep[Uitgangssituatie/effect beleid],uitkomst_tech[[#This Row],[Uitgangssituatie/effect beleid]])</f>
        <v>0</v>
      </c>
      <c r="K33" s="398">
        <f>SUMIFS(uitkomst_doelgroep[Kosten (€)],uitkomst_doelgroep[Digitale zorgtoepassing],B33,uitkomst_doelgroep[Jaar],D33,uitkomst_doelgroep[Kosten (€)],"&gt;0",uitkomst_doelgroep[Uitgangssituatie/effect beleid],uitkomst_tech[[#This Row],[Uitgangssituatie/effect beleid]])</f>
        <v>6200201.104944814</v>
      </c>
      <c r="L33" s="398">
        <f>SUMIFS(uitkomst_doelgroep[Investering (cash flow) (€)],uitkomst_doelgroep[Digitale zorgtoepassing],B33,uitkomst_doelgroep[Jaar],D33,uitkomst_doelgroep[Investering (cash flow) (€)],"&gt;0",uitkomst_doelgroep[Uitgangssituatie/effect beleid],uitkomst_tech[[#This Row],[Uitgangssituatie/effect beleid]])</f>
        <v>0</v>
      </c>
    </row>
    <row r="34" spans="1:12" x14ac:dyDescent="0.5">
      <c r="A34" s="42" t="str">
        <f>INDEX(Technologieën[Veld],MATCH(B34,Technologieën[Digitale zorgtoepassing],0))</f>
        <v>Software - Diagnose</v>
      </c>
      <c r="B34" s="33" t="s">
        <v>474</v>
      </c>
      <c r="C34" s="33" t="s">
        <v>812</v>
      </c>
      <c r="D34" s="33">
        <v>2030</v>
      </c>
      <c r="E34" s="2">
        <v>248</v>
      </c>
      <c r="F34" s="397">
        <f>SUMIFS(uitkomst_doelgroep[Patiëntaantallen],uitkomst_doelgroep[Digitale zorgtoepassing],B34,uitkomst_doelgroep[Jaar],D34,uitkomst_doelgroep[Arbeidsbesparing (€)],"&gt;0",uitkomst_doelgroep[Uitgangssituatie/effect beleid],uitkomst_tech[[#This Row],[Uitgangssituatie/effect beleid]])</f>
        <v>901617.30516781693</v>
      </c>
      <c r="G34" s="398">
        <f>SUMIFS(uitkomst_doelgroep[Arbeidsbesparing (€)],uitkomst_doelgroep[Digitale zorgtoepassing],B34,uitkomst_doelgroep[Jaar],D34,uitkomst_doelgroep[Arbeidsbesparing (€)],"&gt;0",uitkomst_doelgroep[Uitgangssituatie/effect beleid],uitkomst_tech[[#This Row],[Uitgangssituatie/effect beleid]])</f>
        <v>7924633.1702019442</v>
      </c>
      <c r="H34" s="398">
        <f>SUMIFS(uitkomst_doelgroep[Arbeidsbesparing (FTE)],uitkomst_doelgroep[Digitale zorgtoepassing],B34,uitkomst_doelgroep[Jaar],D34,uitkomst_doelgroep[Arbeidsbesparing (FTE)],"&gt;0",uitkomst_doelgroep[Uitgangssituatie/effect beleid],uitkomst_tech[[#This Row],[Uitgangssituatie/effect beleid]])</f>
        <v>58.518430864257354</v>
      </c>
      <c r="I34" s="398">
        <f>SUMIFS(uitkomst_doelgroep[Overige besparingen (€)],uitkomst_doelgroep[Digitale zorgtoepassing],B34,uitkomst_doelgroep[Jaar],D34,uitkomst_doelgroep[Overige besparingen (€)],"&gt;0",uitkomst_doelgroep[Uitgangssituatie/effect beleid],uitkomst_tech[[#This Row],[Uitgangssituatie/effect beleid]])</f>
        <v>0</v>
      </c>
      <c r="J34" s="398">
        <f>SUMIFS(uitkomst_doelgroep[QALY (€)],uitkomst_doelgroep[Digitale zorgtoepassing],B34,uitkomst_doelgroep[Jaar],D34,uitkomst_doelgroep[QALY (€)],"&gt;0",uitkomst_doelgroep[Uitgangssituatie/effect beleid],uitkomst_tech[[#This Row],[Uitgangssituatie/effect beleid]])</f>
        <v>0</v>
      </c>
      <c r="K34" s="398">
        <f>SUMIFS(uitkomst_doelgroep[Kosten (€)],uitkomst_doelgroep[Digitale zorgtoepassing],B34,uitkomst_doelgroep[Jaar],D34,uitkomst_doelgroep[Kosten (€)],"&gt;0",uitkomst_doelgroep[Uitgangssituatie/effect beleid],uitkomst_tech[[#This Row],[Uitgangssituatie/effect beleid]])</f>
        <v>6302304.9631230403</v>
      </c>
      <c r="L34" s="398">
        <f>SUMIFS(uitkomst_doelgroep[Investering (cash flow) (€)],uitkomst_doelgroep[Digitale zorgtoepassing],B34,uitkomst_doelgroep[Jaar],D34,uitkomst_doelgroep[Investering (cash flow) (€)],"&gt;0",uitkomst_doelgroep[Uitgangssituatie/effect beleid],uitkomst_tech[[#This Row],[Uitgangssituatie/effect beleid]])</f>
        <v>0</v>
      </c>
    </row>
    <row r="35" spans="1:12" x14ac:dyDescent="0.5">
      <c r="A35" s="42" t="str">
        <f>INDEX(Technologieën[Veld],MATCH(B35,Technologieën[Digitale zorgtoepassing],0))</f>
        <v>Software - Diagnose</v>
      </c>
      <c r="B35" s="33" t="s">
        <v>474</v>
      </c>
      <c r="C35" s="33" t="s">
        <v>812</v>
      </c>
      <c r="D35" s="33">
        <v>2031</v>
      </c>
      <c r="E35" s="2">
        <v>280</v>
      </c>
      <c r="F35" s="397">
        <f>SUMIFS(uitkomst_doelgroep[Patiëntaantallen],uitkomst_doelgroep[Digitale zorgtoepassing],B35,uitkomst_doelgroep[Jaar],D35,uitkomst_doelgroep[Arbeidsbesparing (€)],"&gt;0",uitkomst_doelgroep[Uitgangssituatie/effect beleid],uitkomst_tech[[#This Row],[Uitgangssituatie/effect beleid]])</f>
        <v>908819.15693195339</v>
      </c>
      <c r="G35" s="398">
        <f>SUMIFS(uitkomst_doelgroep[Arbeidsbesparing (€)],uitkomst_doelgroep[Digitale zorgtoepassing],B35,uitkomst_doelgroep[Jaar],D35,uitkomst_doelgroep[Arbeidsbesparing (€)],"&gt;0",uitkomst_doelgroep[Uitgangssituatie/effect beleid],uitkomst_tech[[#This Row],[Uitgangssituatie/effect beleid]])</f>
        <v>7987932.7908390276</v>
      </c>
      <c r="H35" s="398">
        <f>SUMIFS(uitkomst_doelgroep[Arbeidsbesparing (FTE)],uitkomst_doelgroep[Digitale zorgtoepassing],B35,uitkomst_doelgroep[Jaar],D35,uitkomst_doelgroep[Arbeidsbesparing (FTE)],"&gt;0",uitkomst_doelgroep[Uitgangssituatie/effect beleid],uitkomst_tech[[#This Row],[Uitgangssituatie/effect beleid]])</f>
        <v>58.985858743179669</v>
      </c>
      <c r="I35" s="398">
        <f>SUMIFS(uitkomst_doelgroep[Overige besparingen (€)],uitkomst_doelgroep[Digitale zorgtoepassing],B35,uitkomst_doelgroep[Jaar],D35,uitkomst_doelgroep[Overige besparingen (€)],"&gt;0",uitkomst_doelgroep[Uitgangssituatie/effect beleid],uitkomst_tech[[#This Row],[Uitgangssituatie/effect beleid]])</f>
        <v>0</v>
      </c>
      <c r="J35" s="398">
        <f>SUMIFS(uitkomst_doelgroep[QALY (€)],uitkomst_doelgroep[Digitale zorgtoepassing],B35,uitkomst_doelgroep[Jaar],D35,uitkomst_doelgroep[QALY (€)],"&gt;0",uitkomst_doelgroep[Uitgangssituatie/effect beleid],uitkomst_tech[[#This Row],[Uitgangssituatie/effect beleid]])</f>
        <v>0</v>
      </c>
      <c r="K35" s="398">
        <f>SUMIFS(uitkomst_doelgroep[Kosten (€)],uitkomst_doelgroep[Digitale zorgtoepassing],B35,uitkomst_doelgroep[Jaar],D35,uitkomst_doelgroep[Kosten (€)],"&gt;0",uitkomst_doelgroep[Uitgangssituatie/effect beleid],uitkomst_tech[[#This Row],[Uitgangssituatie/effect beleid]])</f>
        <v>6352645.9069543537</v>
      </c>
      <c r="L35" s="398">
        <f>SUMIFS(uitkomst_doelgroep[Investering (cash flow) (€)],uitkomst_doelgroep[Digitale zorgtoepassing],B35,uitkomst_doelgroep[Jaar],D35,uitkomst_doelgroep[Investering (cash flow) (€)],"&gt;0",uitkomst_doelgroep[Uitgangssituatie/effect beleid],uitkomst_tech[[#This Row],[Uitgangssituatie/effect beleid]])</f>
        <v>0</v>
      </c>
    </row>
    <row r="36" spans="1:12" x14ac:dyDescent="0.5">
      <c r="A36" s="42" t="str">
        <f>INDEX(Technologieën[Veld],MATCH(B36,Technologieën[Digitale zorgtoepassing],0))</f>
        <v>Software - Diagnose</v>
      </c>
      <c r="B36" s="33" t="s">
        <v>474</v>
      </c>
      <c r="C36" s="33" t="s">
        <v>812</v>
      </c>
      <c r="D36" s="33">
        <v>2032</v>
      </c>
      <c r="E36" s="2">
        <v>312</v>
      </c>
      <c r="F36" s="397">
        <f>SUMIFS(uitkomst_doelgroep[Patiëntaantallen],uitkomst_doelgroep[Digitale zorgtoepassing],B36,uitkomst_doelgroep[Jaar],D36,uitkomst_doelgroep[Arbeidsbesparing (€)],"&gt;0",uitkomst_doelgroep[Uitgangssituatie/effect beleid],uitkomst_tech[[#This Row],[Uitgangssituatie/effect beleid]])</f>
        <v>912284.1435116037</v>
      </c>
      <c r="G36" s="398">
        <f>SUMIFS(uitkomst_doelgroep[Arbeidsbesparing (€)],uitkomst_doelgroep[Digitale zorgtoepassing],B36,uitkomst_doelgroep[Jaar],D36,uitkomst_doelgroep[Arbeidsbesparing (€)],"&gt;0",uitkomst_doelgroep[Uitgangssituatie/effect beleid],uitkomst_tech[[#This Row],[Uitgangssituatie/effect beleid]])</f>
        <v>8018387.7825811068</v>
      </c>
      <c r="H36" s="398">
        <f>SUMIFS(uitkomst_doelgroep[Arbeidsbesparing (FTE)],uitkomst_doelgroep[Digitale zorgtoepassing],B36,uitkomst_doelgroep[Jaar],D36,uitkomst_doelgroep[Arbeidsbesparing (FTE)],"&gt;0",uitkomst_doelgroep[Uitgangssituatie/effect beleid],uitkomst_tech[[#This Row],[Uitgangssituatie/effect beleid]])</f>
        <v>59.210749699070433</v>
      </c>
      <c r="I36" s="398">
        <f>SUMIFS(uitkomst_doelgroep[Overige besparingen (€)],uitkomst_doelgroep[Digitale zorgtoepassing],B36,uitkomst_doelgroep[Jaar],D36,uitkomst_doelgroep[Overige besparingen (€)],"&gt;0",uitkomst_doelgroep[Uitgangssituatie/effect beleid],uitkomst_tech[[#This Row],[Uitgangssituatie/effect beleid]])</f>
        <v>0</v>
      </c>
      <c r="J36" s="398">
        <f>SUMIFS(uitkomst_doelgroep[QALY (€)],uitkomst_doelgroep[Digitale zorgtoepassing],B36,uitkomst_doelgroep[Jaar],D36,uitkomst_doelgroep[QALY (€)],"&gt;0",uitkomst_doelgroep[Uitgangssituatie/effect beleid],uitkomst_tech[[#This Row],[Uitgangssituatie/effect beleid]])</f>
        <v>0</v>
      </c>
      <c r="K36" s="398">
        <f>SUMIFS(uitkomst_doelgroep[Kosten (€)],uitkomst_doelgroep[Digitale zorgtoepassing],B36,uitkomst_doelgroep[Jaar],D36,uitkomst_doelgroep[Kosten (€)],"&gt;0",uitkomst_doelgroep[Uitgangssituatie/effect beleid],uitkomst_tech[[#This Row],[Uitgangssituatie/effect beleid]])</f>
        <v>6376866.1631461103</v>
      </c>
      <c r="L36" s="398">
        <f>SUMIFS(uitkomst_doelgroep[Investering (cash flow) (€)],uitkomst_doelgroep[Digitale zorgtoepassing],B36,uitkomst_doelgroep[Jaar],D36,uitkomst_doelgroep[Investering (cash flow) (€)],"&gt;0",uitkomst_doelgroep[Uitgangssituatie/effect beleid],uitkomst_tech[[#This Row],[Uitgangssituatie/effect beleid]])</f>
        <v>0</v>
      </c>
    </row>
    <row r="37" spans="1:12" x14ac:dyDescent="0.5">
      <c r="A37" s="42" t="str">
        <f>INDEX(Technologieën[Veld],MATCH(B37,Technologieën[Digitale zorgtoepassing],0))</f>
        <v>Software - Diagnose</v>
      </c>
      <c r="B37" s="33" t="s">
        <v>474</v>
      </c>
      <c r="C37" s="33" t="s">
        <v>812</v>
      </c>
      <c r="D37" s="33">
        <v>2033</v>
      </c>
      <c r="E37" s="2">
        <v>344</v>
      </c>
      <c r="F37" s="397">
        <f>SUMIFS(uitkomst_doelgroep[Patiëntaantallen],uitkomst_doelgroep[Digitale zorgtoepassing],B37,uitkomst_doelgroep[Jaar],D37,uitkomst_doelgroep[Arbeidsbesparing (€)],"&gt;0",uitkomst_doelgroep[Uitgangssituatie/effect beleid],uitkomst_tech[[#This Row],[Uitgangssituatie/effect beleid]])</f>
        <v>913931.04497746169</v>
      </c>
      <c r="G37" s="398">
        <f>SUMIFS(uitkomst_doelgroep[Arbeidsbesparing (€)],uitkomst_doelgroep[Digitale zorgtoepassing],B37,uitkomst_doelgroep[Jaar],D37,uitkomst_doelgroep[Arbeidsbesparing (€)],"&gt;0",uitkomst_doelgroep[Uitgangssituatie/effect beleid],uitkomst_tech[[#This Row],[Uitgangssituatie/effect beleid]])</f>
        <v>8032862.9816590166</v>
      </c>
      <c r="H37" s="398">
        <f>SUMIFS(uitkomst_doelgroep[Arbeidsbesparing (FTE)],uitkomst_doelgroep[Digitale zorgtoepassing],B37,uitkomst_doelgroep[Jaar],D37,uitkomst_doelgroep[Arbeidsbesparing (FTE)],"&gt;0",uitkomst_doelgroep[Uitgangssituatie/effect beleid],uitkomst_tech[[#This Row],[Uitgangssituatie/effect beleid]])</f>
        <v>59.317639938441026</v>
      </c>
      <c r="I37" s="398">
        <f>SUMIFS(uitkomst_doelgroep[Overige besparingen (€)],uitkomst_doelgroep[Digitale zorgtoepassing],B37,uitkomst_doelgroep[Jaar],D37,uitkomst_doelgroep[Overige besparingen (€)],"&gt;0",uitkomst_doelgroep[Uitgangssituatie/effect beleid],uitkomst_tech[[#This Row],[Uitgangssituatie/effect beleid]])</f>
        <v>0</v>
      </c>
      <c r="J37" s="398">
        <f>SUMIFS(uitkomst_doelgroep[QALY (€)],uitkomst_doelgroep[Digitale zorgtoepassing],B37,uitkomst_doelgroep[Jaar],D37,uitkomst_doelgroep[QALY (€)],"&gt;0",uitkomst_doelgroep[Uitgangssituatie/effect beleid],uitkomst_tech[[#This Row],[Uitgangssituatie/effect beleid]])</f>
        <v>0</v>
      </c>
      <c r="K37" s="398">
        <f>SUMIFS(uitkomst_doelgroep[Kosten (€)],uitkomst_doelgroep[Digitale zorgtoepassing],B37,uitkomst_doelgroep[Jaar],D37,uitkomst_doelgroep[Kosten (€)],"&gt;0",uitkomst_doelgroep[Uitgangssituatie/effect beleid],uitkomst_tech[[#This Row],[Uitgangssituatie/effect beleid]])</f>
        <v>6388378.0043924572</v>
      </c>
      <c r="L37" s="398">
        <f>SUMIFS(uitkomst_doelgroep[Investering (cash flow) (€)],uitkomst_doelgroep[Digitale zorgtoepassing],B37,uitkomst_doelgroep[Jaar],D37,uitkomst_doelgroep[Investering (cash flow) (€)],"&gt;0",uitkomst_doelgroep[Uitgangssituatie/effect beleid],uitkomst_tech[[#This Row],[Uitgangssituatie/effect beleid]])</f>
        <v>0</v>
      </c>
    </row>
    <row r="38" spans="1:12" x14ac:dyDescent="0.5">
      <c r="A38" s="42" t="str">
        <f>INDEX(Technologieën[Veld],MATCH(B38,Technologieën[Digitale zorgtoepassing],0))</f>
        <v>Software - Diagnose</v>
      </c>
      <c r="B38" s="33" t="s">
        <v>473</v>
      </c>
      <c r="C38" s="33" t="s">
        <v>812</v>
      </c>
      <c r="D38" s="33">
        <v>2023</v>
      </c>
      <c r="E38" s="2">
        <v>25</v>
      </c>
      <c r="F38" s="397">
        <f>SUMIFS(uitkomst_doelgroep[Patiëntaantallen],uitkomst_doelgroep[Digitale zorgtoepassing],B38,uitkomst_doelgroep[Jaar],D38,uitkomst_doelgroep[Arbeidsbesparing (€)],"&gt;0",uitkomst_doelgroep[Uitgangssituatie/effect beleid],uitkomst_tech[[#This Row],[Uitgangssituatie/effect beleid]])</f>
        <v>33902</v>
      </c>
      <c r="G38" s="398">
        <f>SUMIFS(uitkomst_doelgroep[Arbeidsbesparing (€)],uitkomst_doelgroep[Digitale zorgtoepassing],B38,uitkomst_doelgroep[Jaar],D38,uitkomst_doelgroep[Arbeidsbesparing (€)],"&gt;0",uitkomst_doelgroep[Uitgangssituatie/effect beleid],uitkomst_tech[[#This Row],[Uitgangssituatie/effect beleid]])</f>
        <v>103567.3998681076</v>
      </c>
      <c r="H38" s="398">
        <f>SUMIFS(uitkomst_doelgroep[Arbeidsbesparing (FTE)],uitkomst_doelgroep[Digitale zorgtoepassing],B38,uitkomst_doelgroep[Jaar],D38,uitkomst_doelgroep[Arbeidsbesparing (FTE)],"&gt;0",uitkomst_doelgroep[Uitgangssituatie/effect beleid],uitkomst_tech[[#This Row],[Uitgangssituatie/effect beleid]])</f>
        <v>0.54593656784188038</v>
      </c>
      <c r="I38" s="398">
        <f>SUMIFS(uitkomst_doelgroep[Overige besparingen (€)],uitkomst_doelgroep[Digitale zorgtoepassing],B38,uitkomst_doelgroep[Jaar],D38,uitkomst_doelgroep[Overige besparingen (€)],"&gt;0",uitkomst_doelgroep[Uitgangssituatie/effect beleid],uitkomst_tech[[#This Row],[Uitgangssituatie/effect beleid]])</f>
        <v>840000</v>
      </c>
      <c r="J38" s="398">
        <f>SUMIFS(uitkomst_doelgroep[QALY (€)],uitkomst_doelgroep[Digitale zorgtoepassing],B38,uitkomst_doelgroep[Jaar],D38,uitkomst_doelgroep[QALY (€)],"&gt;0",uitkomst_doelgroep[Uitgangssituatie/effect beleid],uitkomst_tech[[#This Row],[Uitgangssituatie/effect beleid]])</f>
        <v>11706400.000000002</v>
      </c>
      <c r="K38" s="398">
        <f>SUMIFS(uitkomst_doelgroep[Kosten (€)],uitkomst_doelgroep[Digitale zorgtoepassing],B38,uitkomst_doelgroep[Jaar],D38,uitkomst_doelgroep[Kosten (€)],"&gt;0",uitkomst_doelgroep[Uitgangssituatie/effect beleid],uitkomst_tech[[#This Row],[Uitgangssituatie/effect beleid]])</f>
        <v>782146.17166666663</v>
      </c>
      <c r="L38" s="398">
        <f>SUMIFS(uitkomst_doelgroep[Investering (cash flow) (€)],uitkomst_doelgroep[Digitale zorgtoepassing],B38,uitkomst_doelgroep[Jaar],D38,uitkomst_doelgroep[Investering (cash flow) (€)],"&gt;0",uitkomst_doelgroep[Uitgangssituatie/effect beleid],uitkomst_tech[[#This Row],[Uitgangssituatie/effect beleid]])</f>
        <v>0</v>
      </c>
    </row>
    <row r="39" spans="1:12" x14ac:dyDescent="0.5">
      <c r="A39" s="42" t="str">
        <f>INDEX(Technologieën[Veld],MATCH(B39,Technologieën[Digitale zorgtoepassing],0))</f>
        <v>Software - Diagnose</v>
      </c>
      <c r="B39" s="33" t="s">
        <v>473</v>
      </c>
      <c r="C39" s="33" t="s">
        <v>812</v>
      </c>
      <c r="D39" s="33">
        <v>2024</v>
      </c>
      <c r="E39" s="2">
        <v>57</v>
      </c>
      <c r="F39" s="397">
        <f>SUMIFS(uitkomst_doelgroep[Patiëntaantallen],uitkomst_doelgroep[Digitale zorgtoepassing],B39,uitkomst_doelgroep[Jaar],D39,uitkomst_doelgroep[Arbeidsbesparing (€)],"&gt;0",uitkomst_doelgroep[Uitgangssituatie/effect beleid],uitkomst_tech[[#This Row],[Uitgangssituatie/effect beleid]])</f>
        <v>45598.19</v>
      </c>
      <c r="G39" s="398">
        <f>SUMIFS(uitkomst_doelgroep[Arbeidsbesparing (€)],uitkomst_doelgroep[Digitale zorgtoepassing],B39,uitkomst_doelgroep[Jaar],D39,uitkomst_doelgroep[Arbeidsbesparing (€)],"&gt;0",uitkomst_doelgroep[Uitgangssituatie/effect beleid],uitkomst_tech[[#This Row],[Uitgangssituatie/effect beleid]])</f>
        <v>139298.15282260475</v>
      </c>
      <c r="H39" s="398">
        <f>SUMIFS(uitkomst_doelgroep[Arbeidsbesparing (FTE)],uitkomst_doelgroep[Digitale zorgtoepassing],B39,uitkomst_doelgroep[Jaar],D39,uitkomst_doelgroep[Arbeidsbesparing (FTE)],"&gt;0",uitkomst_doelgroep[Uitgangssituatie/effect beleid],uitkomst_tech[[#This Row],[Uitgangssituatie/effect beleid]])</f>
        <v>0.73428468374732903</v>
      </c>
      <c r="I39" s="398">
        <f>SUMIFS(uitkomst_doelgroep[Overige besparingen (€)],uitkomst_doelgroep[Digitale zorgtoepassing],B39,uitkomst_doelgroep[Jaar],D39,uitkomst_doelgroep[Overige besparingen (€)],"&gt;0",uitkomst_doelgroep[Uitgangssituatie/effect beleid],uitkomst_tech[[#This Row],[Uitgangssituatie/effect beleid]])</f>
        <v>1129800</v>
      </c>
      <c r="J39" s="398">
        <f>SUMIFS(uitkomst_doelgroep[QALY (€)],uitkomst_doelgroep[Digitale zorgtoepassing],B39,uitkomst_doelgroep[Jaar],D39,uitkomst_doelgroep[QALY (€)],"&gt;0",uitkomst_doelgroep[Uitgangssituatie/effect beleid],uitkomst_tech[[#This Row],[Uitgangssituatie/effect beleid]])</f>
        <v>15745108.000000004</v>
      </c>
      <c r="K39" s="398">
        <f>SUMIFS(uitkomst_doelgroep[Kosten (€)],uitkomst_doelgroep[Digitale zorgtoepassing],B39,uitkomst_doelgroep[Jaar],D39,uitkomst_doelgroep[Kosten (€)],"&gt;0",uitkomst_doelgroep[Uitgangssituatie/effect beleid],uitkomst_tech[[#This Row],[Uitgangssituatie/effect beleid]])</f>
        <v>1051986.6008916667</v>
      </c>
      <c r="L39" s="398">
        <f>SUMIFS(uitkomst_doelgroep[Investering (cash flow) (€)],uitkomst_doelgroep[Digitale zorgtoepassing],B39,uitkomst_doelgroep[Jaar],D39,uitkomst_doelgroep[Investering (cash flow) (€)],"&gt;0",uitkomst_doelgroep[Uitgangssituatie/effect beleid],uitkomst_tech[[#This Row],[Uitgangssituatie/effect beleid]])</f>
        <v>0</v>
      </c>
    </row>
    <row r="40" spans="1:12" x14ac:dyDescent="0.5">
      <c r="A40" s="42" t="str">
        <f>INDEX(Technologieën[Veld],MATCH(B40,Technologieën[Digitale zorgtoepassing],0))</f>
        <v>Software - Diagnose</v>
      </c>
      <c r="B40" s="33" t="s">
        <v>473</v>
      </c>
      <c r="C40" s="33" t="s">
        <v>812</v>
      </c>
      <c r="D40" s="33">
        <v>2025</v>
      </c>
      <c r="E40" s="2">
        <v>89</v>
      </c>
      <c r="F40" s="397">
        <f>SUMIFS(uitkomst_doelgroep[Patiëntaantallen],uitkomst_doelgroep[Digitale zorgtoepassing],B40,uitkomst_doelgroep[Jaar],D40,uitkomst_doelgroep[Arbeidsbesparing (€)],"&gt;0",uitkomst_doelgroep[Uitgangssituatie/effect beleid],uitkomst_tech[[#This Row],[Uitgangssituatie/effect beleid]])</f>
        <v>57306.07619</v>
      </c>
      <c r="G40" s="398">
        <f>SUMIFS(uitkomst_doelgroep[Arbeidsbesparing (€)],uitkomst_doelgroep[Digitale zorgtoepassing],B40,uitkomst_doelgroep[Jaar],D40,uitkomst_doelgroep[Arbeidsbesparing (€)],"&gt;0",uitkomst_doelgroep[Uitgangssituatie/effect beleid],uitkomst_tech[[#This Row],[Uitgangssituatie/effect beleid]])</f>
        <v>175064.63653005633</v>
      </c>
      <c r="H40" s="398">
        <f>SUMIFS(uitkomst_doelgroep[Arbeidsbesparing (FTE)],uitkomst_doelgroep[Digitale zorgtoepassing],B40,uitkomst_doelgroep[Jaar],D40,uitkomst_doelgroep[Arbeidsbesparing (FTE)],"&gt;0",uitkomst_doelgroep[Uitgangssituatie/effect beleid],uitkomst_tech[[#This Row],[Uitgangssituatie/effect beleid]])</f>
        <v>0.92282114776868329</v>
      </c>
      <c r="I40" s="398">
        <f>SUMIFS(uitkomst_doelgroep[Overige besparingen (€)],uitkomst_doelgroep[Digitale zorgtoepassing],B40,uitkomst_doelgroep[Jaar],D40,uitkomst_doelgroep[Overige besparingen (€)],"&gt;0",uitkomst_doelgroep[Uitgangssituatie/effect beleid],uitkomst_tech[[#This Row],[Uitgangssituatie/effect beleid]])</f>
        <v>1419889.8</v>
      </c>
      <c r="J40" s="398">
        <f>SUMIFS(uitkomst_doelgroep[QALY (€)],uitkomst_doelgroep[Digitale zorgtoepassing],B40,uitkomst_doelgroep[Jaar],D40,uitkomst_doelgroep[QALY (€)],"&gt;0",uitkomst_doelgroep[Uitgangssituatie/effect beleid],uitkomst_tech[[#This Row],[Uitgangssituatie/effect beleid]])</f>
        <v>19787854.708000004</v>
      </c>
      <c r="K40" s="398">
        <f>SUMIFS(uitkomst_doelgroep[Kosten (€)],uitkomst_doelgroep[Digitale zorgtoepassing],B40,uitkomst_doelgroep[Jaar],D40,uitkomst_doelgroep[Kosten (€)],"&gt;0",uitkomst_doelgroep[Uitgangssituatie/effect beleid],uitkomst_tech[[#This Row],[Uitgangssituatie/effect beleid]])</f>
        <v>1322096.8705458916</v>
      </c>
      <c r="L40" s="398">
        <f>SUMIFS(uitkomst_doelgroep[Investering (cash flow) (€)],uitkomst_doelgroep[Digitale zorgtoepassing],B40,uitkomst_doelgroep[Jaar],D40,uitkomst_doelgroep[Investering (cash flow) (€)],"&gt;0",uitkomst_doelgroep[Uitgangssituatie/effect beleid],uitkomst_tech[[#This Row],[Uitgangssituatie/effect beleid]])</f>
        <v>0</v>
      </c>
    </row>
    <row r="41" spans="1:12" x14ac:dyDescent="0.5">
      <c r="A41" s="42" t="str">
        <f>INDEX(Technologieën[Veld],MATCH(B41,Technologieën[Digitale zorgtoepassing],0))</f>
        <v>Software - Diagnose</v>
      </c>
      <c r="B41" s="33" t="s">
        <v>473</v>
      </c>
      <c r="C41" s="33" t="s">
        <v>812</v>
      </c>
      <c r="D41" s="33">
        <v>2026</v>
      </c>
      <c r="E41" s="2">
        <v>121</v>
      </c>
      <c r="F41" s="397">
        <f>SUMIFS(uitkomst_doelgroep[Patiëntaantallen],uitkomst_doelgroep[Digitale zorgtoepassing],B41,uitkomst_doelgroep[Jaar],D41,uitkomst_doelgroep[Arbeidsbesparing (€)],"&gt;0",uitkomst_doelgroep[Uitgangssituatie/effect beleid],uitkomst_tech[[#This Row],[Uitgangssituatie/effect beleid]])</f>
        <v>67409.174127822887</v>
      </c>
      <c r="G41" s="398">
        <f>SUMIFS(uitkomst_doelgroep[Arbeidsbesparing (€)],uitkomst_doelgroep[Digitale zorgtoepassing],B41,uitkomst_doelgroep[Jaar],D41,uitkomst_doelgroep[Arbeidsbesparing (€)],"&gt;0",uitkomst_doelgroep[Uitgangssituatie/effect beleid],uitkomst_tech[[#This Row],[Uitgangssituatie/effect beleid]])</f>
        <v>205928.64408221131</v>
      </c>
      <c r="H41" s="398">
        <f>SUMIFS(uitkomst_doelgroep[Arbeidsbesparing (FTE)],uitkomst_doelgroep[Digitale zorgtoepassing],B41,uitkomst_doelgroep[Jaar],D41,uitkomst_doelgroep[Arbeidsbesparing (FTE)],"&gt;0",uitkomst_doelgroep[Uitgangssituatie/effect beleid],uitkomst_tech[[#This Row],[Uitgangssituatie/effect beleid]])</f>
        <v>1.0855151072030944</v>
      </c>
      <c r="I41" s="398">
        <f>SUMIFS(uitkomst_doelgroep[Overige besparingen (€)],uitkomst_doelgroep[Digitale zorgtoepassing],B41,uitkomst_doelgroep[Jaar],D41,uitkomst_doelgroep[Overige besparingen (€)],"&gt;0",uitkomst_doelgroep[Uitgangssituatie/effect beleid],uitkomst_tech[[#This Row],[Uitgangssituatie/effect beleid]])</f>
        <v>1670217.2812038001</v>
      </c>
      <c r="J41" s="398">
        <f>SUMIFS(uitkomst_doelgroep[QALY (€)],uitkomst_doelgroep[Digitale zorgtoepassing],B41,uitkomst_doelgroep[Jaar],D41,uitkomst_doelgroep[QALY (€)],"&gt;0",uitkomst_doelgroep[Uitgangssituatie/effect beleid],uitkomst_tech[[#This Row],[Uitgangssituatie/effect beleid]])</f>
        <v>23276466.16748115</v>
      </c>
      <c r="K41" s="398">
        <f>SUMIFS(uitkomst_doelgroep[Kosten (€)],uitkomst_doelgroep[Digitale zorgtoepassing],B41,uitkomst_doelgroep[Jaar],D41,uitkomst_doelgroep[Kosten (€)],"&gt;0",uitkomst_doelgroep[Uitgangssituatie/effect beleid],uitkomst_tech[[#This Row],[Uitgangssituatie/effect beleid]])</f>
        <v>1555183.3956488818</v>
      </c>
      <c r="L41" s="398">
        <f>SUMIFS(uitkomst_doelgroep[Investering (cash flow) (€)],uitkomst_doelgroep[Digitale zorgtoepassing],B41,uitkomst_doelgroep[Jaar],D41,uitkomst_doelgroep[Investering (cash flow) (€)],"&gt;0",uitkomst_doelgroep[Uitgangssituatie/effect beleid],uitkomst_tech[[#This Row],[Uitgangssituatie/effect beleid]])</f>
        <v>0</v>
      </c>
    </row>
    <row r="42" spans="1:12" x14ac:dyDescent="0.5">
      <c r="A42" s="42" t="str">
        <f>INDEX(Technologieën[Veld],MATCH(B42,Technologieën[Digitale zorgtoepassing],0))</f>
        <v>Software - Diagnose</v>
      </c>
      <c r="B42" s="33" t="s">
        <v>473</v>
      </c>
      <c r="C42" s="33" t="s">
        <v>812</v>
      </c>
      <c r="D42" s="33">
        <v>2027</v>
      </c>
      <c r="E42" s="2">
        <v>153</v>
      </c>
      <c r="F42" s="397">
        <f>SUMIFS(uitkomst_doelgroep[Patiëntaantallen],uitkomst_doelgroep[Digitale zorgtoepassing],B42,uitkomst_doelgroep[Jaar],D42,uitkomst_doelgroep[Arbeidsbesparing (€)],"&gt;0",uitkomst_doelgroep[Uitgangssituatie/effect beleid],uitkomst_tech[[#This Row],[Uitgangssituatie/effect beleid]])</f>
        <v>132284.82702981253</v>
      </c>
      <c r="G42" s="398">
        <f>SUMIFS(uitkomst_doelgroep[Arbeidsbesparing (€)],uitkomst_doelgroep[Digitale zorgtoepassing],B42,uitkomst_doelgroep[Jaar],D42,uitkomst_doelgroep[Arbeidsbesparing (€)],"&gt;0",uitkomst_doelgroep[Uitgangssituatie/effect beleid],uitkomst_tech[[#This Row],[Uitgangssituatie/effect beleid]])</f>
        <v>393614.44348369638</v>
      </c>
      <c r="H42" s="398">
        <f>SUMIFS(uitkomst_doelgroep[Arbeidsbesparing (FTE)],uitkomst_doelgroep[Digitale zorgtoepassing],B42,uitkomst_doelgroep[Jaar],D42,uitkomst_doelgroep[Arbeidsbesparing (FTE)],"&gt;0",uitkomst_doelgroep[Uitgangssituatie/effect beleid],uitkomst_tech[[#This Row],[Uitgangssituatie/effect beleid]])</f>
        <v>2.0748664019965748</v>
      </c>
      <c r="I42" s="398">
        <f>SUMIFS(uitkomst_doelgroep[Overige besparingen (€)],uitkomst_doelgroep[Digitale zorgtoepassing],B42,uitkomst_doelgroep[Jaar],D42,uitkomst_doelgroep[Overige besparingen (€)],"&gt;0",uitkomst_doelgroep[Uitgangssituatie/effect beleid],uitkomst_tech[[#This Row],[Uitgangssituatie/effect beleid]])</f>
        <v>1854022.7923143923</v>
      </c>
      <c r="J42" s="398">
        <f>SUMIFS(uitkomst_doelgroep[QALY (€)],uitkomst_doelgroep[Digitale zorgtoepassing],B42,uitkomst_doelgroep[Jaar],D42,uitkomst_doelgroep[QALY (€)],"&gt;0",uitkomst_doelgroep[Uitgangssituatie/effect beleid],uitkomst_tech[[#This Row],[Uitgangssituatie/effect beleid]])</f>
        <v>25838014.78089191</v>
      </c>
      <c r="K42" s="398">
        <f>SUMIFS(uitkomst_doelgroep[Kosten (€)],uitkomst_doelgroep[Digitale zorgtoepassing],B42,uitkomst_doelgroep[Jaar],D42,uitkomst_doelgroep[Kosten (€)],"&gt;0",uitkomst_doelgroep[Uitgangssituatie/effect beleid],uitkomst_tech[[#This Row],[Uitgangssituatie/effect beleid]])</f>
        <v>1955943.5956862443</v>
      </c>
      <c r="L42" s="398">
        <f>SUMIFS(uitkomst_doelgroep[Investering (cash flow) (€)],uitkomst_doelgroep[Digitale zorgtoepassing],B42,uitkomst_doelgroep[Jaar],D42,uitkomst_doelgroep[Investering (cash flow) (€)],"&gt;0",uitkomst_doelgroep[Uitgangssituatie/effect beleid],uitkomst_tech[[#This Row],[Uitgangssituatie/effect beleid]])</f>
        <v>0</v>
      </c>
    </row>
    <row r="43" spans="1:12" x14ac:dyDescent="0.5">
      <c r="A43" s="42" t="str">
        <f>INDEX(Technologieën[Veld],MATCH(B43,Technologieën[Digitale zorgtoepassing],0))</f>
        <v>Software - Diagnose</v>
      </c>
      <c r="B43" s="33" t="s">
        <v>473</v>
      </c>
      <c r="C43" s="33" t="s">
        <v>812</v>
      </c>
      <c r="D43" s="33">
        <v>2028</v>
      </c>
      <c r="E43" s="2">
        <v>185</v>
      </c>
      <c r="F43" s="397">
        <f>SUMIFS(uitkomst_doelgroep[Patiëntaantallen],uitkomst_doelgroep[Digitale zorgtoepassing],B43,uitkomst_doelgroep[Jaar],D43,uitkomst_doelgroep[Arbeidsbesparing (€)],"&gt;0",uitkomst_doelgroep[Uitgangssituatie/effect beleid],uitkomst_tech[[#This Row],[Uitgangssituatie/effect beleid]])</f>
        <v>220565.44312557339</v>
      </c>
      <c r="G43" s="398">
        <f>SUMIFS(uitkomst_doelgroep[Arbeidsbesparing (€)],uitkomst_doelgroep[Digitale zorgtoepassing],B43,uitkomst_doelgroep[Jaar],D43,uitkomst_doelgroep[Arbeidsbesparing (€)],"&gt;0",uitkomst_doelgroep[Uitgangssituatie/effect beleid],uitkomst_tech[[#This Row],[Uitgangssituatie/effect beleid]])</f>
        <v>648021.24361941766</v>
      </c>
      <c r="H43" s="398">
        <f>SUMIFS(uitkomst_doelgroep[Arbeidsbesparing (FTE)],uitkomst_doelgroep[Digitale zorgtoepassing],B43,uitkomst_doelgroep[Jaar],D43,uitkomst_doelgroep[Arbeidsbesparing (FTE)],"&gt;0",uitkomst_doelgroep[Uitgangssituatie/effect beleid],uitkomst_tech[[#This Row],[Uitgangssituatie/effect beleid]])</f>
        <v>3.4159252243538649</v>
      </c>
      <c r="I43" s="398">
        <f>SUMIFS(uitkomst_doelgroep[Overige besparingen (€)],uitkomst_doelgroep[Digitale zorgtoepassing],B43,uitkomst_doelgroep[Jaar],D43,uitkomst_doelgroep[Overige besparingen (€)],"&gt;0",uitkomst_doelgroep[Uitgangssituatie/effect beleid],uitkomst_tech[[#This Row],[Uitgangssituatie/effect beleid]])</f>
        <v>1969984.8107923337</v>
      </c>
      <c r="J43" s="398">
        <f>SUMIFS(uitkomst_doelgroep[QALY (€)],uitkomst_doelgroep[Digitale zorgtoepassing],B43,uitkomst_doelgroep[Jaar],D43,uitkomst_doelgroep[QALY (€)],"&gt;0",uitkomst_doelgroep[Uitgangssituatie/effect beleid],uitkomst_tech[[#This Row],[Uitgangssituatie/effect beleid]])</f>
        <v>27454083.558404021</v>
      </c>
      <c r="K43" s="398">
        <f>SUMIFS(uitkomst_doelgroep[Kosten (€)],uitkomst_doelgroep[Digitale zorgtoepassing],B43,uitkomst_doelgroep[Jaar],D43,uitkomst_doelgroep[Kosten (€)],"&gt;0",uitkomst_doelgroep[Uitgangssituatie/effect beleid],uitkomst_tech[[#This Row],[Uitgangssituatie/effect beleid]])</f>
        <v>2398007.3159070015</v>
      </c>
      <c r="L43" s="398">
        <f>SUMIFS(uitkomst_doelgroep[Investering (cash flow) (€)],uitkomst_doelgroep[Digitale zorgtoepassing],B43,uitkomst_doelgroep[Jaar],D43,uitkomst_doelgroep[Investering (cash flow) (€)],"&gt;0",uitkomst_doelgroep[Uitgangssituatie/effect beleid],uitkomst_tech[[#This Row],[Uitgangssituatie/effect beleid]])</f>
        <v>0</v>
      </c>
    </row>
    <row r="44" spans="1:12" x14ac:dyDescent="0.5">
      <c r="A44" s="42" t="str">
        <f>INDEX(Technologieën[Veld],MATCH(B44,Technologieën[Digitale zorgtoepassing],0))</f>
        <v>Software - Diagnose</v>
      </c>
      <c r="B44" s="33" t="s">
        <v>473</v>
      </c>
      <c r="C44" s="33" t="s">
        <v>812</v>
      </c>
      <c r="D44" s="33">
        <v>2029</v>
      </c>
      <c r="E44" s="2">
        <v>217</v>
      </c>
      <c r="F44" s="397">
        <f>SUMIFS(uitkomst_doelgroep[Patiëntaantallen],uitkomst_doelgroep[Digitale zorgtoepassing],B44,uitkomst_doelgroep[Jaar],D44,uitkomst_doelgroep[Arbeidsbesparing (€)],"&gt;0",uitkomst_doelgroep[Uitgangssituatie/effect beleid],uitkomst_tech[[#This Row],[Uitgangssituatie/effect beleid]])</f>
        <v>341744.16225783911</v>
      </c>
      <c r="G44" s="398">
        <f>SUMIFS(uitkomst_doelgroep[Arbeidsbesparing (€)],uitkomst_doelgroep[Digitale zorgtoepassing],B44,uitkomst_doelgroep[Jaar],D44,uitkomst_doelgroep[Arbeidsbesparing (€)],"&gt;0",uitkomst_doelgroep[Uitgangssituatie/effect beleid],uitkomst_tech[[#This Row],[Uitgangssituatie/effect beleid]])</f>
        <v>996538.03172552516</v>
      </c>
      <c r="H44" s="398">
        <f>SUMIFS(uitkomst_doelgroep[Arbeidsbesparing (FTE)],uitkomst_doelgroep[Digitale zorgtoepassing],B44,uitkomst_doelgroep[Jaar],D44,uitkomst_doelgroep[Arbeidsbesparing (FTE)],"&gt;0",uitkomst_doelgroep[Uitgangssituatie/effect beleid],uitkomst_tech[[#This Row],[Uitgangssituatie/effect beleid]])</f>
        <v>5.2530676009726589</v>
      </c>
      <c r="I44" s="398">
        <f>SUMIFS(uitkomst_doelgroep[Overige besparingen (€)],uitkomst_doelgroep[Digitale zorgtoepassing],B44,uitkomst_doelgroep[Jaar],D44,uitkomst_doelgroep[Overige besparingen (€)],"&gt;0",uitkomst_doelgroep[Uitgangssituatie/effect beleid],uitkomst_tech[[#This Row],[Uitgangssituatie/effect beleid]])</f>
        <v>2034868.1112093718</v>
      </c>
      <c r="J44" s="398">
        <f>SUMIFS(uitkomst_doelgroep[QALY (€)],uitkomst_doelgroep[Digitale zorgtoepassing],B44,uitkomst_doelgroep[Jaar],D44,uitkomst_doelgroep[QALY (€)],"&gt;0",uitkomst_doelgroep[Uitgangssituatie/effect beleid],uitkomst_tech[[#This Row],[Uitgangssituatie/effect beleid]])</f>
        <v>28358309.591739751</v>
      </c>
      <c r="K44" s="398">
        <f>SUMIFS(uitkomst_doelgroep[Kosten (€)],uitkomst_doelgroep[Digitale zorgtoepassing],B44,uitkomst_doelgroep[Jaar],D44,uitkomst_doelgroep[Kosten (€)],"&gt;0",uitkomst_doelgroep[Uitgangssituatie/effect beleid],uitkomst_tech[[#This Row],[Uitgangssituatie/effect beleid]])</f>
        <v>2932217.720239853</v>
      </c>
      <c r="L44" s="398">
        <f>SUMIFS(uitkomst_doelgroep[Investering (cash flow) (€)],uitkomst_doelgroep[Digitale zorgtoepassing],B44,uitkomst_doelgroep[Jaar],D44,uitkomst_doelgroep[Investering (cash flow) (€)],"&gt;0",uitkomst_doelgroep[Uitgangssituatie/effect beleid],uitkomst_tech[[#This Row],[Uitgangssituatie/effect beleid]])</f>
        <v>0</v>
      </c>
    </row>
    <row r="45" spans="1:12" x14ac:dyDescent="0.5">
      <c r="A45" s="42" t="str">
        <f>INDEX(Technologieën[Veld],MATCH(B45,Technologieën[Digitale zorgtoepassing],0))</f>
        <v>Software - Diagnose</v>
      </c>
      <c r="B45" s="33" t="s">
        <v>473</v>
      </c>
      <c r="C45" s="33" t="s">
        <v>812</v>
      </c>
      <c r="D45" s="33">
        <v>2030</v>
      </c>
      <c r="E45" s="2">
        <v>249</v>
      </c>
      <c r="F45" s="397">
        <f>SUMIFS(uitkomst_doelgroep[Patiëntaantallen],uitkomst_doelgroep[Digitale zorgtoepassing],B45,uitkomst_doelgroep[Jaar],D45,uitkomst_doelgroep[Arbeidsbesparing (€)],"&gt;0",uitkomst_doelgroep[Uitgangssituatie/effect beleid],uitkomst_tech[[#This Row],[Uitgangssituatie/effect beleid]])</f>
        <v>504978.31237765547</v>
      </c>
      <c r="G45" s="398">
        <f>SUMIFS(uitkomst_doelgroep[Arbeidsbesparing (€)],uitkomst_doelgroep[Digitale zorgtoepassing],B45,uitkomst_doelgroep[Jaar],D45,uitkomst_doelgroep[Arbeidsbesparing (€)],"&gt;0",uitkomst_doelgroep[Uitgangssituatie/effect beleid],uitkomst_tech[[#This Row],[Uitgangssituatie/effect beleid]])</f>
        <v>1465611.0019398248</v>
      </c>
      <c r="H45" s="398">
        <f>SUMIFS(uitkomst_doelgroep[Arbeidsbesparing (FTE)],uitkomst_doelgroep[Digitale zorgtoepassing],B45,uitkomst_doelgroep[Jaar],D45,uitkomst_doelgroep[Arbeidsbesparing (FTE)],"&gt;0",uitkomst_doelgroep[Uitgangssituatie/effect beleid],uitkomst_tech[[#This Row],[Uitgangssituatie/effect beleid]])</f>
        <v>7.7256997975162864</v>
      </c>
      <c r="I45" s="398">
        <f>SUMIFS(uitkomst_doelgroep[Overige besparingen (€)],uitkomst_doelgroep[Digitale zorgtoepassing],B45,uitkomst_doelgroep[Jaar],D45,uitkomst_doelgroep[Overige besparingen (€)],"&gt;0",uitkomst_doelgroep[Uitgangssituatie/effect beleid],uitkomst_tech[[#This Row],[Uitgangssituatie/effect beleid]])</f>
        <v>2068377.9734737775</v>
      </c>
      <c r="J45" s="398">
        <f>SUMIFS(uitkomst_doelgroep[QALY (€)],uitkomst_doelgroep[Digitale zorgtoepassing],B45,uitkomst_doelgroep[Jaar],D45,uitkomst_doelgroep[QALY (€)],"&gt;0",uitkomst_doelgroep[Uitgangssituatie/effect beleid],uitkomst_tech[[#This Row],[Uitgangssituatie/effect beleid]])</f>
        <v>28825309.415087417</v>
      </c>
      <c r="K45" s="398">
        <f>SUMIFS(uitkomst_doelgroep[Kosten (€)],uitkomst_doelgroep[Digitale zorgtoepassing],B45,uitkomst_doelgroep[Jaar],D45,uitkomst_doelgroep[Kosten (€)],"&gt;0",uitkomst_doelgroep[Uitgangssituatie/effect beleid],uitkomst_tech[[#This Row],[Uitgangssituatie/effect beleid]])</f>
        <v>3610339.7011257093</v>
      </c>
      <c r="L45" s="398">
        <f>SUMIFS(uitkomst_doelgroep[Investering (cash flow) (€)],uitkomst_doelgroep[Digitale zorgtoepassing],B45,uitkomst_doelgroep[Jaar],D45,uitkomst_doelgroep[Investering (cash flow) (€)],"&gt;0",uitkomst_doelgroep[Uitgangssituatie/effect beleid],uitkomst_tech[[#This Row],[Uitgangssituatie/effect beleid]])</f>
        <v>0</v>
      </c>
    </row>
    <row r="46" spans="1:12" x14ac:dyDescent="0.5">
      <c r="A46" s="42" t="str">
        <f>INDEX(Technologieën[Veld],MATCH(B46,Technologieën[Digitale zorgtoepassing],0))</f>
        <v>Software - Diagnose</v>
      </c>
      <c r="B46" s="33" t="s">
        <v>473</v>
      </c>
      <c r="C46" s="33" t="s">
        <v>812</v>
      </c>
      <c r="D46" s="33">
        <v>2031</v>
      </c>
      <c r="E46" s="2">
        <v>281</v>
      </c>
      <c r="F46" s="397">
        <f>SUMIFS(uitkomst_doelgroep[Patiëntaantallen],uitkomst_doelgroep[Digitale zorgtoepassing],B46,uitkomst_doelgroep[Jaar],D46,uitkomst_doelgroep[Arbeidsbesparing (€)],"&gt;0",uitkomst_doelgroep[Uitgangssituatie/effect beleid],uitkomst_tech[[#This Row],[Uitgangssituatie/effect beleid]])</f>
        <v>714826.27992572496</v>
      </c>
      <c r="G46" s="398">
        <f>SUMIFS(uitkomst_doelgroep[Arbeidsbesparing (€)],uitkomst_doelgroep[Digitale zorgtoepassing],B46,uitkomst_doelgroep[Jaar],D46,uitkomst_doelgroep[Arbeidsbesparing (€)],"&gt;0",uitkomst_doelgroep[Uitgangssituatie/effect beleid],uitkomst_tech[[#This Row],[Uitgangssituatie/effect beleid]])</f>
        <v>2068438.4517349759</v>
      </c>
      <c r="H46" s="398">
        <f>SUMIFS(uitkomst_doelgroep[Arbeidsbesparing (FTE)],uitkomst_doelgroep[Digitale zorgtoepassing],B46,uitkomst_doelgroep[Jaar],D46,uitkomst_doelgroep[Arbeidsbesparing (FTE)],"&gt;0",uitkomst_doelgroep[Uitgangssituatie/effect beleid],uitkomst_tech[[#This Row],[Uitgangssituatie/effect beleid]])</f>
        <v>10.903394220289785</v>
      </c>
      <c r="I46" s="398">
        <f>SUMIFS(uitkomst_doelgroep[Overige besparingen (€)],uitkomst_doelgroep[Digitale zorgtoepassing],B46,uitkomst_doelgroep[Jaar],D46,uitkomst_doelgroep[Overige besparingen (€)],"&gt;0",uitkomst_doelgroep[Uitgangssituatie/effect beleid],uitkomst_tech[[#This Row],[Uitgangssituatie/effect beleid]])</f>
        <v>2084899.5635894311</v>
      </c>
      <c r="J46" s="398">
        <f>SUMIFS(uitkomst_doelgroep[QALY (€)],uitkomst_doelgroep[Digitale zorgtoepassing],B46,uitkomst_doelgroep[Jaar],D46,uitkomst_doelgroep[QALY (€)],"&gt;0",uitkomst_doelgroep[Uitgangssituatie/effect beleid],uitkomst_tech[[#This Row],[Uitgangssituatie/effect beleid]])</f>
        <v>29055557.441908713</v>
      </c>
      <c r="K46" s="398">
        <f>SUMIFS(uitkomst_doelgroep[Kosten (€)],uitkomst_doelgroep[Digitale zorgtoepassing],B46,uitkomst_doelgroep[Jaar],D46,uitkomst_doelgroep[Kosten (€)],"&gt;0",uitkomst_doelgroep[Uitgangssituatie/effect beleid],uitkomst_tech[[#This Row],[Uitgangssituatie/effect beleid]])</f>
        <v>4461663.9885829575</v>
      </c>
      <c r="L46" s="398">
        <f>SUMIFS(uitkomst_doelgroep[Investering (cash flow) (€)],uitkomst_doelgroep[Digitale zorgtoepassing],B46,uitkomst_doelgroep[Jaar],D46,uitkomst_doelgroep[Investering (cash flow) (€)],"&gt;0",uitkomst_doelgroep[Uitgangssituatie/effect beleid],uitkomst_tech[[#This Row],[Uitgangssituatie/effect beleid]])</f>
        <v>0</v>
      </c>
    </row>
    <row r="47" spans="1:12" x14ac:dyDescent="0.5">
      <c r="A47" s="42" t="str">
        <f>INDEX(Technologieën[Veld],MATCH(B47,Technologieën[Digitale zorgtoepassing],0))</f>
        <v>Software - Diagnose</v>
      </c>
      <c r="B47" s="33" t="s">
        <v>473</v>
      </c>
      <c r="C47" s="33" t="s">
        <v>812</v>
      </c>
      <c r="D47" s="33">
        <v>2032</v>
      </c>
      <c r="E47" s="2">
        <v>313</v>
      </c>
      <c r="F47" s="397">
        <f>SUMIFS(uitkomst_doelgroep[Patiëntaantallen],uitkomst_doelgroep[Digitale zorgtoepassing],B47,uitkomst_doelgroep[Jaar],D47,uitkomst_doelgroep[Arbeidsbesparing (€)],"&gt;0",uitkomst_doelgroep[Uitgangssituatie/effect beleid],uitkomst_tech[[#This Row],[Uitgangssituatie/effect beleid]])</f>
        <v>965184.36142545624</v>
      </c>
      <c r="G47" s="398">
        <f>SUMIFS(uitkomst_doelgroep[Arbeidsbesparing (€)],uitkomst_doelgroep[Digitale zorgtoepassing],B47,uitkomst_doelgroep[Jaar],D47,uitkomst_doelgroep[Arbeidsbesparing (€)],"&gt;0",uitkomst_doelgroep[Uitgangssituatie/effect beleid],uitkomst_tech[[#This Row],[Uitgangssituatie/effect beleid]])</f>
        <v>2787551.9870931585</v>
      </c>
      <c r="H47" s="398">
        <f>SUMIFS(uitkomst_doelgroep[Arbeidsbesparing (FTE)],uitkomst_doelgroep[Digitale zorgtoepassing],B47,uitkomst_doelgroep[Jaar],D47,uitkomst_doelgroep[Arbeidsbesparing (FTE)],"&gt;0",uitkomst_doelgroep[Uitgangssituatie/effect beleid],uitkomst_tech[[#This Row],[Uitgangssituatie/effect beleid]])</f>
        <v>14.69406943162123</v>
      </c>
      <c r="I47" s="398">
        <f>SUMIFS(uitkomst_doelgroep[Overige besparingen (€)],uitkomst_doelgroep[Digitale zorgtoepassing],B47,uitkomst_doelgroep[Jaar],D47,uitkomst_doelgroep[Overige besparingen (€)],"&gt;0",uitkomst_doelgroep[Uitgangssituatie/effect beleid],uitkomst_tech[[#This Row],[Uitgangssituatie/effect beleid]])</f>
        <v>2092848.5036537494</v>
      </c>
      <c r="J47" s="398">
        <f>SUMIFS(uitkomst_doelgroep[QALY (€)],uitkomst_doelgroep[Digitale zorgtoepassing],B47,uitkomst_doelgroep[Jaar],D47,uitkomst_doelgroep[QALY (€)],"&gt;0",uitkomst_doelgroep[Uitgangssituatie/effect beleid],uitkomst_tech[[#This Row],[Uitgangssituatie/effect beleid]])</f>
        <v>29166335.384728875</v>
      </c>
      <c r="K47" s="398">
        <f>SUMIFS(uitkomst_doelgroep[Kosten (€)],uitkomst_doelgroep[Digitale zorgtoepassing],B47,uitkomst_doelgroep[Jaar],D47,uitkomst_doelgroep[Kosten (€)],"&gt;0",uitkomst_doelgroep[Uitgangssituatie/effect beleid],uitkomst_tech[[#This Row],[Uitgangssituatie/effect beleid]])</f>
        <v>5468277.3256854452</v>
      </c>
      <c r="L47" s="398">
        <f>SUMIFS(uitkomst_doelgroep[Investering (cash flow) (€)],uitkomst_doelgroep[Digitale zorgtoepassing],B47,uitkomst_doelgroep[Jaar],D47,uitkomst_doelgroep[Investering (cash flow) (€)],"&gt;0",uitkomst_doelgroep[Uitgangssituatie/effect beleid],uitkomst_tech[[#This Row],[Uitgangssituatie/effect beleid]])</f>
        <v>0</v>
      </c>
    </row>
    <row r="48" spans="1:12" x14ac:dyDescent="0.5">
      <c r="A48" s="42" t="str">
        <f>INDEX(Technologieën[Veld],MATCH(B48,Technologieën[Digitale zorgtoepassing],0))</f>
        <v>Software - Diagnose</v>
      </c>
      <c r="B48" s="33" t="s">
        <v>473</v>
      </c>
      <c r="C48" s="33" t="s">
        <v>812</v>
      </c>
      <c r="D48" s="33">
        <v>2033</v>
      </c>
      <c r="E48" s="2">
        <v>345</v>
      </c>
      <c r="F48" s="397">
        <f>SUMIFS(uitkomst_doelgroep[Patiëntaantallen],uitkomst_doelgroep[Digitale zorgtoepassing],B48,uitkomst_doelgroep[Jaar],D48,uitkomst_doelgroep[Arbeidsbesparing (€)],"&gt;0",uitkomst_doelgroep[Uitgangssituatie/effect beleid],uitkomst_tech[[#This Row],[Uitgangssituatie/effect beleid]])</f>
        <v>1234234.2726359889</v>
      </c>
      <c r="G48" s="398">
        <f>SUMIFS(uitkomst_doelgroep[Arbeidsbesparing (€)],uitkomst_doelgroep[Digitale zorgtoepassing],B48,uitkomst_doelgroep[Jaar],D48,uitkomst_doelgroep[Arbeidsbesparing (€)],"&gt;0",uitkomst_doelgroep[Uitgangssituatie/effect beleid],uitkomst_tech[[#This Row],[Uitgangssituatie/effect beleid]])</f>
        <v>3560319.6633164464</v>
      </c>
      <c r="H48" s="398">
        <f>SUMIFS(uitkomst_doelgroep[Arbeidsbesparing (FTE)],uitkomst_doelgroep[Digitale zorgtoepassing],B48,uitkomst_doelgroep[Jaar],D48,uitkomst_doelgroep[Arbeidsbesparing (FTE)],"&gt;0",uitkomst_doelgroep[Uitgangssituatie/effect beleid],uitkomst_tech[[#This Row],[Uitgangssituatie/effect beleid]])</f>
        <v>18.767572613450177</v>
      </c>
      <c r="I48" s="398">
        <f>SUMIFS(uitkomst_doelgroep[Overige besparingen (€)],uitkomst_doelgroep[Digitale zorgtoepassing],B48,uitkomst_doelgroep[Jaar],D48,uitkomst_doelgroep[Overige besparingen (€)],"&gt;0",uitkomst_doelgroep[Uitgangssituatie/effect beleid],uitkomst_tech[[#This Row],[Uitgangssituatie/effect beleid]])</f>
        <v>2096626.6195982168</v>
      </c>
      <c r="J48" s="398">
        <f>SUMIFS(uitkomst_doelgroep[QALY (€)],uitkomst_doelgroep[Digitale zorgtoepassing],B48,uitkomst_doelgroep[Jaar],D48,uitkomst_doelgroep[QALY (€)],"&gt;0",uitkomst_doelgroep[Uitgangssituatie/effect beleid],uitkomst_tech[[#This Row],[Uitgangssituatie/effect beleid]])</f>
        <v>29218987.928172104</v>
      </c>
      <c r="K48" s="398">
        <f>SUMIFS(uitkomst_doelgroep[Kosten (€)],uitkomst_doelgroep[Digitale zorgtoepassing],B48,uitkomst_doelgroep[Jaar],D48,uitkomst_doelgroep[Kosten (€)],"&gt;0",uitkomst_doelgroep[Uitgangssituatie/effect beleid],uitkomst_tech[[#This Row],[Uitgangssituatie/effect beleid]])</f>
        <v>6546377.0550408559</v>
      </c>
      <c r="L48" s="398">
        <f>SUMIFS(uitkomst_doelgroep[Investering (cash flow) (€)],uitkomst_doelgroep[Digitale zorgtoepassing],B48,uitkomst_doelgroep[Jaar],D48,uitkomst_doelgroep[Investering (cash flow) (€)],"&gt;0",uitkomst_doelgroep[Uitgangssituatie/effect beleid],uitkomst_tech[[#This Row],[Uitgangssituatie/effect beleid]])</f>
        <v>0</v>
      </c>
    </row>
    <row r="49" spans="1:12" x14ac:dyDescent="0.5">
      <c r="A49" s="42" t="str">
        <f>INDEX(Technologieën[Veld],MATCH(B49,Technologieën[Digitale zorgtoepassing],0))</f>
        <v>Software - Diagnose</v>
      </c>
      <c r="B49" s="33" t="s">
        <v>472</v>
      </c>
      <c r="C49" s="33" t="s">
        <v>812</v>
      </c>
      <c r="D49" s="33">
        <v>2023</v>
      </c>
      <c r="E49" s="2">
        <v>26</v>
      </c>
      <c r="F49" s="397">
        <f>SUMIFS(uitkomst_doelgroep[Patiëntaantallen],uitkomst_doelgroep[Digitale zorgtoepassing],B49,uitkomst_doelgroep[Jaar],D49,uitkomst_doelgroep[Arbeidsbesparing (€)],"&gt;0",uitkomst_doelgroep[Uitgangssituatie/effect beleid],uitkomst_tech[[#This Row],[Uitgangssituatie/effect beleid]])</f>
        <v>10324.800000000001</v>
      </c>
      <c r="G49" s="398">
        <f>SUMIFS(uitkomst_doelgroep[Arbeidsbesparing (€)],uitkomst_doelgroep[Digitale zorgtoepassing],B49,uitkomst_doelgroep[Jaar],D49,uitkomst_doelgroep[Arbeidsbesparing (€)],"&gt;0",uitkomst_doelgroep[Uitgangssituatie/effect beleid],uitkomst_tech[[#This Row],[Uitgangssituatie/effect beleid]])</f>
        <v>235417.75262068969</v>
      </c>
      <c r="H49" s="398">
        <f>SUMIFS(uitkomst_doelgroep[Arbeidsbesparing (FTE)],uitkomst_doelgroep[Digitale zorgtoepassing],B49,uitkomst_doelgroep[Jaar],D49,uitkomst_doelgroep[Arbeidsbesparing (FTE)],"&gt;0",uitkomst_doelgroep[Uitgangssituatie/effect beleid],uitkomst_tech[[#This Row],[Uitgangssituatie/effect beleid]])</f>
        <v>1.2409615384615384</v>
      </c>
      <c r="I49" s="398">
        <f>SUMIFS(uitkomst_doelgroep[Overige besparingen (€)],uitkomst_doelgroep[Digitale zorgtoepassing],B49,uitkomst_doelgroep[Jaar],D49,uitkomst_doelgroep[Overige besparingen (€)],"&gt;0",uitkomst_doelgroep[Uitgangssituatie/effect beleid],uitkomst_tech[[#This Row],[Uitgangssituatie/effect beleid]])</f>
        <v>0</v>
      </c>
      <c r="J49" s="398">
        <f>SUMIFS(uitkomst_doelgroep[QALY (€)],uitkomst_doelgroep[Digitale zorgtoepassing],B49,uitkomst_doelgroep[Jaar],D49,uitkomst_doelgroep[QALY (€)],"&gt;0",uitkomst_doelgroep[Uitgangssituatie/effect beleid],uitkomst_tech[[#This Row],[Uitgangssituatie/effect beleid]])</f>
        <v>4043124</v>
      </c>
      <c r="K49" s="398">
        <f>SUMIFS(uitkomst_doelgroep[Kosten (€)],uitkomst_doelgroep[Digitale zorgtoepassing],B49,uitkomst_doelgroep[Jaar],D49,uitkomst_doelgroep[Kosten (€)],"&gt;0",uitkomst_doelgroep[Uitgangssituatie/effect beleid],uitkomst_tech[[#This Row],[Uitgangssituatie/effect beleid]])</f>
        <v>175521.6</v>
      </c>
      <c r="L49" s="398">
        <f>SUMIFS(uitkomst_doelgroep[Investering (cash flow) (€)],uitkomst_doelgroep[Digitale zorgtoepassing],B49,uitkomst_doelgroep[Jaar],D49,uitkomst_doelgroep[Investering (cash flow) (€)],"&gt;0",uitkomst_doelgroep[Uitgangssituatie/effect beleid],uitkomst_tech[[#This Row],[Uitgangssituatie/effect beleid]])</f>
        <v>135600.00000000003</v>
      </c>
    </row>
    <row r="50" spans="1:12" x14ac:dyDescent="0.5">
      <c r="A50" s="42" t="str">
        <f>INDEX(Technologieën[Veld],MATCH(B50,Technologieën[Digitale zorgtoepassing],0))</f>
        <v>Software - Diagnose</v>
      </c>
      <c r="B50" s="33" t="s">
        <v>472</v>
      </c>
      <c r="C50" s="33" t="s">
        <v>812</v>
      </c>
      <c r="D50" s="33">
        <v>2024</v>
      </c>
      <c r="E50" s="2">
        <v>58</v>
      </c>
      <c r="F50" s="397">
        <f>SUMIFS(uitkomst_doelgroep[Patiëntaantallen],uitkomst_doelgroep[Digitale zorgtoepassing],B50,uitkomst_doelgroep[Jaar],D50,uitkomst_doelgroep[Arbeidsbesparing (€)],"&gt;0",uitkomst_doelgroep[Uitgangssituatie/effect beleid],uitkomst_tech[[#This Row],[Uitgangssituatie/effect beleid]])</f>
        <v>13886.856000000002</v>
      </c>
      <c r="G50" s="398">
        <f>SUMIFS(uitkomst_doelgroep[Arbeidsbesparing (€)],uitkomst_doelgroep[Digitale zorgtoepassing],B50,uitkomst_doelgroep[Jaar],D50,uitkomst_doelgroep[Arbeidsbesparing (€)],"&gt;0",uitkomst_doelgroep[Uitgangssituatie/effect beleid],uitkomst_tech[[#This Row],[Uitgangssituatie/effect beleid]])</f>
        <v>316636.87727482762</v>
      </c>
      <c r="H50" s="398">
        <f>SUMIFS(uitkomst_doelgroep[Arbeidsbesparing (FTE)],uitkomst_doelgroep[Digitale zorgtoepassing],B50,uitkomst_doelgroep[Jaar],D50,uitkomst_doelgroep[Arbeidsbesparing (FTE)],"&gt;0",uitkomst_doelgroep[Uitgangssituatie/effect beleid],uitkomst_tech[[#This Row],[Uitgangssituatie/effect beleid]])</f>
        <v>1.6690932692307692</v>
      </c>
      <c r="I50" s="398">
        <f>SUMIFS(uitkomst_doelgroep[Overige besparingen (€)],uitkomst_doelgroep[Digitale zorgtoepassing],B50,uitkomst_doelgroep[Jaar],D50,uitkomst_doelgroep[Overige besparingen (€)],"&gt;0",uitkomst_doelgroep[Uitgangssituatie/effect beleid],uitkomst_tech[[#This Row],[Uitgangssituatie/effect beleid]])</f>
        <v>0</v>
      </c>
      <c r="J50" s="398">
        <f>SUMIFS(uitkomst_doelgroep[QALY (€)],uitkomst_doelgroep[Digitale zorgtoepassing],B50,uitkomst_doelgroep[Jaar],D50,uitkomst_doelgroep[QALY (€)],"&gt;0",uitkomst_doelgroep[Uitgangssituatie/effect beleid],uitkomst_tech[[#This Row],[Uitgangssituatie/effect beleid]])</f>
        <v>5438001.7800000003</v>
      </c>
      <c r="K50" s="398">
        <f>SUMIFS(uitkomst_doelgroep[Kosten (€)],uitkomst_doelgroep[Digitale zorgtoepassing],B50,uitkomst_doelgroep[Jaar],D50,uitkomst_doelgroep[Kosten (€)],"&gt;0",uitkomst_doelgroep[Uitgangssituatie/effect beleid],uitkomst_tech[[#This Row],[Uitgangssituatie/effect beleid]])</f>
        <v>236076.55200000003</v>
      </c>
      <c r="L50" s="398">
        <f>SUMIFS(uitkomst_doelgroep[Investering (cash flow) (€)],uitkomst_doelgroep[Digitale zorgtoepassing],B50,uitkomst_doelgroep[Jaar],D50,uitkomst_doelgroep[Investering (cash flow) (€)],"&gt;0",uitkomst_doelgroep[Uitgangssituatie/effect beleid],uitkomst_tech[[#This Row],[Uitgangssituatie/effect beleid]])</f>
        <v>135735.59999999998</v>
      </c>
    </row>
    <row r="51" spans="1:12" x14ac:dyDescent="0.5">
      <c r="A51" s="42" t="str">
        <f>INDEX(Technologieën[Veld],MATCH(B51,Technologieën[Digitale zorgtoepassing],0))</f>
        <v>Software - Diagnose</v>
      </c>
      <c r="B51" s="33" t="s">
        <v>472</v>
      </c>
      <c r="C51" s="33" t="s">
        <v>812</v>
      </c>
      <c r="D51" s="33">
        <v>2025</v>
      </c>
      <c r="E51" s="2">
        <v>90</v>
      </c>
      <c r="F51" s="397">
        <f>SUMIFS(uitkomst_doelgroep[Patiëntaantallen],uitkomst_doelgroep[Digitale zorgtoepassing],B51,uitkomst_doelgroep[Jaar],D51,uitkomst_doelgroep[Arbeidsbesparing (€)],"&gt;0",uitkomst_doelgroep[Uitgangssituatie/effect beleid],uitkomst_tech[[#This Row],[Uitgangssituatie/effect beleid]])</f>
        <v>17452.474055999999</v>
      </c>
      <c r="G51" s="398">
        <f>SUMIFS(uitkomst_doelgroep[Arbeidsbesparing (€)],uitkomst_doelgroep[Digitale zorgtoepassing],B51,uitkomst_doelgroep[Jaar],D51,uitkomst_doelgroep[Arbeidsbesparing (€)],"&gt;0",uitkomst_doelgroep[Uitgangssituatie/effect beleid],uitkomst_tech[[#This Row],[Uitgangssituatie/effect beleid]])</f>
        <v>397937.22105361969</v>
      </c>
      <c r="H51" s="398">
        <f>SUMIFS(uitkomst_doelgroep[Arbeidsbesparing (FTE)],uitkomst_doelgroep[Digitale zorgtoepassing],B51,uitkomst_doelgroep[Jaar],D51,uitkomst_doelgroep[Arbeidsbesparing (FTE)],"&gt;0",uitkomst_doelgroep[Uitgangssituatie/effect beleid],uitkomst_tech[[#This Row],[Uitgangssituatie/effect beleid]])</f>
        <v>2.0976531317307692</v>
      </c>
      <c r="I51" s="398">
        <f>SUMIFS(uitkomst_doelgroep[Overige besparingen (€)],uitkomst_doelgroep[Digitale zorgtoepassing],B51,uitkomst_doelgroep[Jaar],D51,uitkomst_doelgroep[Overige besparingen (€)],"&gt;0",uitkomst_doelgroep[Uitgangssituatie/effect beleid],uitkomst_tech[[#This Row],[Uitgangssituatie/effect beleid]])</f>
        <v>0</v>
      </c>
      <c r="J51" s="398">
        <f>SUMIFS(uitkomst_doelgroep[QALY (€)],uitkomst_doelgroep[Digitale zorgtoepassing],B51,uitkomst_doelgroep[Jaar],D51,uitkomst_doelgroep[QALY (€)],"&gt;0",uitkomst_doelgroep[Uitgangssituatie/effect beleid],uitkomst_tech[[#This Row],[Uitgangssituatie/effect beleid]])</f>
        <v>6834274.4377800003</v>
      </c>
      <c r="K51" s="398">
        <f>SUMIFS(uitkomst_doelgroep[Kosten (€)],uitkomst_doelgroep[Digitale zorgtoepassing],B51,uitkomst_doelgroep[Jaar],D51,uitkomst_doelgroep[Kosten (€)],"&gt;0",uitkomst_doelgroep[Uitgangssituatie/effect beleid],uitkomst_tech[[#This Row],[Uitgangssituatie/effect beleid]])</f>
        <v>296692.05895199999</v>
      </c>
      <c r="L51" s="398">
        <f>SUMIFS(uitkomst_doelgroep[Investering (cash flow) (€)],uitkomst_doelgroep[Digitale zorgtoepassing],B51,uitkomst_doelgroep[Jaar],D51,uitkomst_doelgroep[Investering (cash flow) (€)],"&gt;0",uitkomst_doelgroep[Uitgangssituatie/effect beleid],uitkomst_tech[[#This Row],[Uitgangssituatie/effect beleid]])</f>
        <v>117130.45704360002</v>
      </c>
    </row>
    <row r="52" spans="1:12" x14ac:dyDescent="0.5">
      <c r="A52" s="42" t="str">
        <f>INDEX(Technologieën[Veld],MATCH(B52,Technologieën[Digitale zorgtoepassing],0))</f>
        <v>Software - Diagnose</v>
      </c>
      <c r="B52" s="33" t="s">
        <v>472</v>
      </c>
      <c r="C52" s="33" t="s">
        <v>812</v>
      </c>
      <c r="D52" s="33">
        <v>2026</v>
      </c>
      <c r="E52" s="2">
        <v>122</v>
      </c>
      <c r="F52" s="397">
        <f>SUMIFS(uitkomst_doelgroep[Patiëntaantallen],uitkomst_doelgroep[Digitale zorgtoepassing],B52,uitkomst_doelgroep[Jaar],D52,uitkomst_doelgroep[Arbeidsbesparing (€)],"&gt;0",uitkomst_doelgroep[Uitgangssituatie/effect beleid],uitkomst_tech[[#This Row],[Uitgangssituatie/effect beleid]])</f>
        <v>20529.356410682136</v>
      </c>
      <c r="G52" s="398">
        <f>SUMIFS(uitkomst_doelgroep[Arbeidsbesparing (€)],uitkomst_doelgroep[Digitale zorgtoepassing],B52,uitkomst_doelgroep[Jaar],D52,uitkomst_doelgroep[Arbeidsbesparing (€)],"&gt;0",uitkomst_doelgroep[Uitgangssituatie/effect beleid],uitkomst_tech[[#This Row],[Uitgangssituatie/effect beleid]])</f>
        <v>468093.80801099649</v>
      </c>
      <c r="H52" s="398">
        <f>SUMIFS(uitkomst_doelgroep[Arbeidsbesparing (FTE)],uitkomst_doelgroep[Digitale zorgtoepassing],B52,uitkomst_doelgroep[Jaar],D52,uitkomst_doelgroep[Arbeidsbesparing (FTE)],"&gt;0",uitkomst_doelgroep[Uitgangssituatie/effect beleid],uitkomst_tech[[#This Row],[Uitgangssituatie/effect beleid]])</f>
        <v>2.4674707224377568</v>
      </c>
      <c r="I52" s="398">
        <f>SUMIFS(uitkomst_doelgroep[Overige besparingen (€)],uitkomst_doelgroep[Digitale zorgtoepassing],B52,uitkomst_doelgroep[Jaar],D52,uitkomst_doelgroep[Overige besparingen (€)],"&gt;0",uitkomst_doelgroep[Uitgangssituatie/effect beleid],uitkomst_tech[[#This Row],[Uitgangssituatie/effect beleid]])</f>
        <v>0</v>
      </c>
      <c r="J52" s="398">
        <f>SUMIFS(uitkomst_doelgroep[QALY (€)],uitkomst_doelgroep[Digitale zorgtoepassing],B52,uitkomst_doelgroep[Jaar],D52,uitkomst_doelgroep[QALY (€)],"&gt;0",uitkomst_doelgroep[Uitgangssituatie/effect beleid],uitkomst_tech[[#This Row],[Uitgangssituatie/effect beleid]])</f>
        <v>8039161.3986307532</v>
      </c>
      <c r="K52" s="398">
        <f>SUMIFS(uitkomst_doelgroep[Kosten (€)],uitkomst_doelgroep[Digitale zorgtoepassing],B52,uitkomst_doelgroep[Jaar],D52,uitkomst_doelgroep[Kosten (€)],"&gt;0",uitkomst_doelgroep[Uitgangssituatie/effect beleid],uitkomst_tech[[#This Row],[Uitgangssituatie/effect beleid]])</f>
        <v>348999.05898159632</v>
      </c>
      <c r="L52" s="398">
        <f>SUMIFS(uitkomst_doelgroep[Investering (cash flow) (€)],uitkomst_doelgroep[Digitale zorgtoepassing],B52,uitkomst_doelgroep[Jaar],D52,uitkomst_doelgroep[Investering (cash flow) (€)],"&gt;0",uitkomst_doelgroep[Uitgangssituatie/effect beleid],uitkomst_tech[[#This Row],[Uitgangssituatie/effect beleid]])</f>
        <v>86004.235012409568</v>
      </c>
    </row>
    <row r="53" spans="1:12" x14ac:dyDescent="0.5">
      <c r="A53" s="42" t="str">
        <f>INDEX(Technologieën[Veld],MATCH(B53,Technologieën[Digitale zorgtoepassing],0))</f>
        <v>Software - Diagnose</v>
      </c>
      <c r="B53" s="33" t="s">
        <v>472</v>
      </c>
      <c r="C53" s="33" t="s">
        <v>812</v>
      </c>
      <c r="D53" s="33">
        <v>2027</v>
      </c>
      <c r="E53" s="2">
        <v>154</v>
      </c>
      <c r="F53" s="397">
        <f>SUMIFS(uitkomst_doelgroep[Patiëntaantallen],uitkomst_doelgroep[Digitale zorgtoepassing],B53,uitkomst_doelgroep[Jaar],D53,uitkomst_doelgroep[Arbeidsbesparing (€)],"&gt;0",uitkomst_doelgroep[Uitgangssituatie/effect beleid],uitkomst_tech[[#This Row],[Uitgangssituatie/effect beleid]])</f>
        <v>52014.228721532898</v>
      </c>
      <c r="G53" s="398">
        <f>SUMIFS(uitkomst_doelgroep[Arbeidsbesparing (€)],uitkomst_doelgroep[Digitale zorgtoepassing],B53,uitkomst_doelgroep[Jaar],D53,uitkomst_doelgroep[Arbeidsbesparing (€)],"&gt;0",uitkomst_doelgroep[Uitgangssituatie/effect beleid],uitkomst_tech[[#This Row],[Uitgangssituatie/effect beleid]])</f>
        <v>1185986.4433133625</v>
      </c>
      <c r="H53" s="398">
        <f>SUMIFS(uitkomst_doelgroep[Arbeidsbesparing (FTE)],uitkomst_doelgroep[Digitale zorgtoepassing],B53,uitkomst_doelgroep[Jaar],D53,uitkomst_doelgroep[Arbeidsbesparing (FTE)],"&gt;0",uitkomst_doelgroep[Uitgangssituatie/effect beleid],uitkomst_tech[[#This Row],[Uitgangssituatie/effect beleid]])</f>
        <v>6.2517101828765504</v>
      </c>
      <c r="I53" s="398">
        <f>SUMIFS(uitkomst_doelgroep[Overige besparingen (€)],uitkomst_doelgroep[Digitale zorgtoepassing],B53,uitkomst_doelgroep[Jaar],D53,uitkomst_doelgroep[Overige besparingen (€)],"&gt;0",uitkomst_doelgroep[Uitgangssituatie/effect beleid],uitkomst_tech[[#This Row],[Uitgangssituatie/effect beleid]])</f>
        <v>0</v>
      </c>
      <c r="J53" s="398">
        <f>SUMIFS(uitkomst_doelgroep[QALY (€)],uitkomst_doelgroep[Digitale zorgtoepassing],B53,uitkomst_doelgroep[Jaar],D53,uitkomst_doelgroep[QALY (€)],"&gt;0",uitkomst_doelgroep[Uitgangssituatie/effect beleid],uitkomst_tech[[#This Row],[Uitgangssituatie/effect beleid]])</f>
        <v>8923861.9620873034</v>
      </c>
      <c r="K53" s="398">
        <f>SUMIFS(uitkomst_doelgroep[Kosten (€)],uitkomst_doelgroep[Digitale zorgtoepassing],B53,uitkomst_doelgroep[Jaar],D53,uitkomst_doelgroep[Kosten (€)],"&gt;0",uitkomst_doelgroep[Uitgangssituatie/effect beleid],uitkomst_tech[[#This Row],[Uitgangssituatie/effect beleid]])</f>
        <v>884241.88826605934</v>
      </c>
      <c r="L53" s="398">
        <f>SUMIFS(uitkomst_doelgroep[Investering (cash flow) (€)],uitkomst_doelgroep[Digitale zorgtoepassing],B53,uitkomst_doelgroep[Jaar],D53,uitkomst_doelgroep[Investering (cash flow) (€)],"&gt;0",uitkomst_doelgroep[Uitgangssituatie/effect beleid],uitkomst_tech[[#This Row],[Uitgangssituatie/effect beleid]])</f>
        <v>54259.660819906399</v>
      </c>
    </row>
    <row r="54" spans="1:12" x14ac:dyDescent="0.5">
      <c r="A54" s="42" t="str">
        <f>INDEX(Technologieën[Veld],MATCH(B54,Technologieën[Digitale zorgtoepassing],0))</f>
        <v>Software - Diagnose</v>
      </c>
      <c r="B54" s="33" t="s">
        <v>472</v>
      </c>
      <c r="C54" s="33" t="s">
        <v>812</v>
      </c>
      <c r="D54" s="33">
        <v>2028</v>
      </c>
      <c r="E54" s="2">
        <v>186</v>
      </c>
      <c r="F54" s="397">
        <f>SUMIFS(uitkomst_doelgroep[Patiëntaantallen],uitkomst_doelgroep[Digitale zorgtoepassing],B54,uitkomst_doelgroep[Jaar],D54,uitkomst_doelgroep[Arbeidsbesparing (€)],"&gt;0",uitkomst_doelgroep[Uitgangssituatie/effect beleid],uitkomst_tech[[#This Row],[Uitgangssituatie/effect beleid]])</f>
        <v>95962.873788653189</v>
      </c>
      <c r="G54" s="398">
        <f>SUMIFS(uitkomst_doelgroep[Arbeidsbesparing (€)],uitkomst_doelgroep[Digitale zorgtoepassing],B54,uitkomst_doelgroep[Jaar],D54,uitkomst_doelgroep[Arbeidsbesparing (€)],"&gt;0",uitkomst_doelgroep[Uitgangssituatie/effect beleid],uitkomst_tech[[#This Row],[Uitgangssituatie/effect beleid]])</f>
        <v>2188067.9608658403</v>
      </c>
      <c r="H54" s="398">
        <f>SUMIFS(uitkomst_doelgroep[Arbeidsbesparing (FTE)],uitkomst_doelgroep[Digitale zorgtoepassing],B54,uitkomst_doelgroep[Jaar],D54,uitkomst_doelgroep[Arbeidsbesparing (FTE)],"&gt;0",uitkomst_doelgroep[Uitgangssituatie/effect beleid],uitkomst_tech[[#This Row],[Uitgangssituatie/effect beleid]])</f>
        <v>11.533999253443895</v>
      </c>
      <c r="I54" s="398">
        <f>SUMIFS(uitkomst_doelgroep[Overige besparingen (€)],uitkomst_doelgroep[Digitale zorgtoepassing],B54,uitkomst_doelgroep[Jaar],D54,uitkomst_doelgroep[Overige besparingen (€)],"&gt;0",uitkomst_doelgroep[Uitgangssituatie/effect beleid],uitkomst_tech[[#This Row],[Uitgangssituatie/effect beleid]])</f>
        <v>0</v>
      </c>
      <c r="J54" s="398">
        <f>SUMIFS(uitkomst_doelgroep[QALY (€)],uitkomst_doelgroep[Digitale zorgtoepassing],B54,uitkomst_doelgroep[Jaar],D54,uitkomst_doelgroep[QALY (€)],"&gt;0",uitkomst_doelgroep[Uitgangssituatie/effect beleid],uitkomst_tech[[#This Row],[Uitgangssituatie/effect beleid]])</f>
        <v>9482015.3192261234</v>
      </c>
      <c r="K54" s="398">
        <f>SUMIFS(uitkomst_doelgroep[Kosten (€)],uitkomst_doelgroep[Digitale zorgtoepassing],B54,uitkomst_doelgroep[Jaar],D54,uitkomst_doelgroep[Kosten (€)],"&gt;0",uitkomst_doelgroep[Uitgangssituatie/effect beleid],uitkomst_tech[[#This Row],[Uitgangssituatie/effect beleid]])</f>
        <v>1631368.8544071044</v>
      </c>
      <c r="L54" s="398">
        <f>SUMIFS(uitkomst_doelgroep[Investering (cash flow) (€)],uitkomst_doelgroep[Digitale zorgtoepassing],B54,uitkomst_doelgroep[Jaar],D54,uitkomst_doelgroep[Investering (cash flow) (€)],"&gt;0",uitkomst_doelgroep[Uitgangssituatie/effect beleid],uitkomst_tech[[#This Row],[Uitgangssituatie/effect beleid]])</f>
        <v>30359.473901139943</v>
      </c>
    </row>
    <row r="55" spans="1:12" x14ac:dyDescent="0.5">
      <c r="A55" s="42" t="str">
        <f>INDEX(Technologieën[Veld],MATCH(B55,Technologieën[Digitale zorgtoepassing],0))</f>
        <v>Software - Diagnose</v>
      </c>
      <c r="B55" s="33" t="s">
        <v>472</v>
      </c>
      <c r="C55" s="33" t="s">
        <v>812</v>
      </c>
      <c r="D55" s="33">
        <v>2029</v>
      </c>
      <c r="E55" s="2">
        <v>218</v>
      </c>
      <c r="F55" s="397">
        <f>SUMIFS(uitkomst_doelgroep[Patiëntaantallen],uitkomst_doelgroep[Digitale zorgtoepassing],B55,uitkomst_doelgroep[Jaar],D55,uitkomst_doelgroep[Arbeidsbesparing (€)],"&gt;0",uitkomst_doelgroep[Uitgangssituatie/effect beleid],uitkomst_tech[[#This Row],[Uitgangssituatie/effect beleid]])</f>
        <v>157065.87201139273</v>
      </c>
      <c r="G55" s="398">
        <f>SUMIFS(uitkomst_doelgroep[Arbeidsbesparing (€)],uitkomst_doelgroep[Digitale zorgtoepassing],B55,uitkomst_doelgroep[Jaar],D55,uitkomst_doelgroep[Arbeidsbesparing (€)],"&gt;0",uitkomst_doelgroep[Uitgangssituatie/effect beleid],uitkomst_tech[[#This Row],[Uitgangssituatie/effect beleid]])</f>
        <v>3581289.1874255156</v>
      </c>
      <c r="H55" s="398">
        <f>SUMIFS(uitkomst_doelgroep[Arbeidsbesparing (FTE)],uitkomst_doelgroep[Digitale zorgtoepassing],B55,uitkomst_doelgroep[Jaar],D55,uitkomst_doelgroep[Arbeidsbesparing (FTE)],"&gt;0",uitkomst_doelgroep[Uitgangssituatie/effect beleid],uitkomst_tech[[#This Row],[Uitgangssituatie/effect beleid]])</f>
        <v>18.878109616753935</v>
      </c>
      <c r="I55" s="398">
        <f>SUMIFS(uitkomst_doelgroep[Overige besparingen (€)],uitkomst_doelgroep[Digitale zorgtoepassing],B55,uitkomst_doelgroep[Jaar],D55,uitkomst_doelgroep[Overige besparingen (€)],"&gt;0",uitkomst_doelgroep[Uitgangssituatie/effect beleid],uitkomst_tech[[#This Row],[Uitgangssituatie/effect beleid]])</f>
        <v>0</v>
      </c>
      <c r="J55" s="398">
        <f>SUMIFS(uitkomst_doelgroep[QALY (€)],uitkomst_doelgroep[Digitale zorgtoepassing],B55,uitkomst_doelgroep[Jaar],D55,uitkomst_doelgroep[QALY (€)],"&gt;0",uitkomst_doelgroep[Uitgangssituatie/effect beleid],uitkomst_tech[[#This Row],[Uitgangssituatie/effect beleid]])</f>
        <v>9794314.4015062861</v>
      </c>
      <c r="K55" s="398">
        <f>SUMIFS(uitkomst_doelgroep[Kosten (€)],uitkomst_doelgroep[Digitale zorgtoepassing],B55,uitkomst_doelgroep[Jaar],D55,uitkomst_doelgroep[Kosten (€)],"&gt;0",uitkomst_doelgroep[Uitgangssituatie/effect beleid],uitkomst_tech[[#This Row],[Uitgangssituatie/effect beleid]])</f>
        <v>2670119.8241936765</v>
      </c>
      <c r="L55" s="398">
        <f>SUMIFS(uitkomst_doelgroep[Investering (cash flow) (€)],uitkomst_doelgroep[Digitale zorgtoepassing],B55,uitkomst_doelgroep[Jaar],D55,uitkomst_doelgroep[Investering (cash flow) (€)],"&gt;0",uitkomst_doelgroep[Uitgangssituatie/effect beleid],uitkomst_tech[[#This Row],[Uitgangssituatie/effect beleid]])</f>
        <v>15679.562881481746</v>
      </c>
    </row>
    <row r="56" spans="1:12" x14ac:dyDescent="0.5">
      <c r="A56" s="42" t="str">
        <f>INDEX(Technologieën[Veld],MATCH(B56,Technologieën[Digitale zorgtoepassing],0))</f>
        <v>Software - Diagnose</v>
      </c>
      <c r="B56" s="33" t="s">
        <v>472</v>
      </c>
      <c r="C56" s="33" t="s">
        <v>812</v>
      </c>
      <c r="D56" s="33">
        <v>2030</v>
      </c>
      <c r="E56" s="2">
        <v>250</v>
      </c>
      <c r="F56" s="397">
        <f>SUMIFS(uitkomst_doelgroep[Patiëntaantallen],uitkomst_doelgroep[Digitale zorgtoepassing],B56,uitkomst_doelgroep[Jaar],D56,uitkomst_doelgroep[Arbeidsbesparing (€)],"&gt;0",uitkomst_doelgroep[Uitgangssituatie/effect beleid],uitkomst_tech[[#This Row],[Uitgangssituatie/effect beleid]])</f>
        <v>239818.7711495877</v>
      </c>
      <c r="G56" s="398">
        <f>SUMIFS(uitkomst_doelgroep[Arbeidsbesparing (€)],uitkomst_doelgroep[Digitale zorgtoepassing],B56,uitkomst_doelgroep[Jaar],D56,uitkomst_doelgroep[Arbeidsbesparing (€)],"&gt;0",uitkomst_doelgroep[Uitgangssituatie/effect beleid],uitkomst_tech[[#This Row],[Uitgangssituatie/effect beleid]])</f>
        <v>5468153.9729865408</v>
      </c>
      <c r="H56" s="398">
        <f>SUMIFS(uitkomst_doelgroep[Arbeidsbesparing (FTE)],uitkomst_doelgroep[Digitale zorgtoepassing],B56,uitkomst_doelgroep[Jaar],D56,uitkomst_doelgroep[Arbeidsbesparing (FTE)],"&gt;0",uitkomst_doelgroep[Uitgangssituatie/effect beleid],uitkomst_tech[[#This Row],[Uitgangssituatie/effect beleid]])</f>
        <v>28.82437153240237</v>
      </c>
      <c r="I56" s="398">
        <f>SUMIFS(uitkomst_doelgroep[Overige besparingen (€)],uitkomst_doelgroep[Digitale zorgtoepassing],B56,uitkomst_doelgroep[Jaar],D56,uitkomst_doelgroep[Overige besparingen (€)],"&gt;0",uitkomst_doelgroep[Uitgangssituatie/effect beleid],uitkomst_tech[[#This Row],[Uitgangssituatie/effect beleid]])</f>
        <v>0</v>
      </c>
      <c r="J56" s="398">
        <f>SUMIFS(uitkomst_doelgroep[QALY (€)],uitkomst_doelgroep[Digitale zorgtoepassing],B56,uitkomst_doelgroep[Jaar],D56,uitkomst_doelgroep[QALY (€)],"&gt;0",uitkomst_doelgroep[Uitgangssituatie/effect beleid],uitkomst_tech[[#This Row],[Uitgangssituatie/effect beleid]])</f>
        <v>9955605.5066942777</v>
      </c>
      <c r="K56" s="398">
        <f>SUMIFS(uitkomst_doelgroep[Kosten (€)],uitkomst_doelgroep[Digitale zorgtoepassing],B56,uitkomst_doelgroep[Jaar],D56,uitkomst_doelgroep[Kosten (€)],"&gt;0",uitkomst_doelgroep[Uitgangssituatie/effect beleid],uitkomst_tech[[#This Row],[Uitgangssituatie/effect beleid]])</f>
        <v>4076919.109542991</v>
      </c>
      <c r="L56" s="398">
        <f>SUMIFS(uitkomst_doelgroep[Investering (cash flow) (€)],uitkomst_doelgroep[Digitale zorgtoepassing],B56,uitkomst_doelgroep[Jaar],D56,uitkomst_doelgroep[Investering (cash flow) (€)],"&gt;0",uitkomst_doelgroep[Uitgangssituatie/effect beleid],uitkomst_tech[[#This Row],[Uitgangssituatie/effect beleid]])</f>
        <v>7730.5991017344877</v>
      </c>
    </row>
    <row r="57" spans="1:12" x14ac:dyDescent="0.5">
      <c r="A57" s="42" t="str">
        <f>INDEX(Technologieën[Veld],MATCH(B57,Technologieën[Digitale zorgtoepassing],0))</f>
        <v>Software - Diagnose</v>
      </c>
      <c r="B57" s="33" t="s">
        <v>472</v>
      </c>
      <c r="C57" s="33" t="s">
        <v>812</v>
      </c>
      <c r="D57" s="33">
        <v>2031</v>
      </c>
      <c r="E57" s="2">
        <v>282</v>
      </c>
      <c r="F57" s="397">
        <f>SUMIFS(uitkomst_doelgroep[Patiëntaantallen],uitkomst_doelgroep[Digitale zorgtoepassing],B57,uitkomst_doelgroep[Jaar],D57,uitkomst_doelgroep[Arbeidsbesparing (€)],"&gt;0",uitkomst_doelgroep[Uitgangssituatie/effect beleid],uitkomst_tech[[#This Row],[Uitgangssituatie/effect beleid]])</f>
        <v>346421.69463439559</v>
      </c>
      <c r="G57" s="398">
        <f>SUMIFS(uitkomst_doelgroep[Arbeidsbesparing (€)],uitkomst_doelgroep[Digitale zorgtoepassing],B57,uitkomst_doelgroep[Jaar],D57,uitkomst_doelgroep[Arbeidsbesparing (€)],"&gt;0",uitkomst_doelgroep[Uitgangssituatie/effect beleid],uitkomst_tech[[#This Row],[Uitgangssituatie/effect beleid]])</f>
        <v>7898827.7554897191</v>
      </c>
      <c r="H57" s="398">
        <f>SUMIFS(uitkomst_doelgroep[Arbeidsbesparing (FTE)],uitkomst_doelgroep[Digitale zorgtoepassing],B57,uitkomst_doelgroep[Jaar],D57,uitkomst_doelgroep[Arbeidsbesparing (FTE)],"&gt;0",uitkomst_doelgroep[Uitgangssituatie/effect beleid],uitkomst_tech[[#This Row],[Uitgangssituatie/effect beleid]])</f>
        <v>41.637222912787934</v>
      </c>
      <c r="I57" s="398">
        <f>SUMIFS(uitkomst_doelgroep[Overige besparingen (€)],uitkomst_doelgroep[Digitale zorgtoepassing],B57,uitkomst_doelgroep[Jaar],D57,uitkomst_doelgroep[Overige besparingen (€)],"&gt;0",uitkomst_doelgroep[Uitgangssituatie/effect beleid],uitkomst_tech[[#This Row],[Uitgangssituatie/effect beleid]])</f>
        <v>0</v>
      </c>
      <c r="J57" s="398">
        <f>SUMIFS(uitkomst_doelgroep[QALY (€)],uitkomst_doelgroep[Digitale zorgtoepassing],B57,uitkomst_doelgroep[Jaar],D57,uitkomst_doelgroep[QALY (€)],"&gt;0",uitkomst_doelgroep[Uitgangssituatie/effect beleid],uitkomst_tech[[#This Row],[Uitgangssituatie/effect beleid]])</f>
        <v>10035127.932307091</v>
      </c>
      <c r="K57" s="398">
        <f>SUMIFS(uitkomst_doelgroep[Kosten (€)],uitkomst_doelgroep[Digitale zorgtoepassing],B57,uitkomst_doelgroep[Jaar],D57,uitkomst_doelgroep[Kosten (€)],"&gt;0",uitkomst_doelgroep[Uitgangssituatie/effect beleid],uitkomst_tech[[#This Row],[Uitgangssituatie/effect beleid]])</f>
        <v>5889168.8087847242</v>
      </c>
      <c r="L57" s="398">
        <f>SUMIFS(uitkomst_doelgroep[Investering (cash flow) (€)],uitkomst_doelgroep[Digitale zorgtoepassing],B57,uitkomst_doelgroep[Jaar],D57,uitkomst_doelgroep[Investering (cash flow) (€)],"&gt;0",uitkomst_doelgroep[Uitgangssituatie/effect beleid],uitkomst_tech[[#This Row],[Uitgangssituatie/effect beleid]])</f>
        <v>3719.3798230556586</v>
      </c>
    </row>
    <row r="58" spans="1:12" x14ac:dyDescent="0.5">
      <c r="A58" s="42" t="str">
        <f>INDEX(Technologieën[Veld],MATCH(B58,Technologieën[Digitale zorgtoepassing],0))</f>
        <v>Software - Diagnose</v>
      </c>
      <c r="B58" s="33" t="s">
        <v>472</v>
      </c>
      <c r="C58" s="33" t="s">
        <v>812</v>
      </c>
      <c r="D58" s="33">
        <v>2032</v>
      </c>
      <c r="E58" s="2">
        <v>314</v>
      </c>
      <c r="F58" s="397">
        <f>SUMIFS(uitkomst_doelgroep[Patiëntaantallen],uitkomst_doelgroep[Digitale zorgtoepassing],B58,uitkomst_doelgroep[Jaar],D58,uitkomst_doelgroep[Arbeidsbesparing (€)],"&gt;0",uitkomst_doelgroep[Uitgangssituatie/effect beleid],uitkomst_tech[[#This Row],[Uitgangssituatie/effect beleid]])</f>
        <v>473700.6750898005</v>
      </c>
      <c r="G58" s="398">
        <f>SUMIFS(uitkomst_doelgroep[Arbeidsbesparing (€)],uitkomst_doelgroep[Digitale zorgtoepassing],B58,uitkomst_doelgroep[Jaar],D58,uitkomst_doelgroep[Arbeidsbesparing (€)],"&gt;0",uitkomst_doelgroep[Uitgangssituatie/effect beleid],uitkomst_tech[[#This Row],[Uitgangssituatie/effect beleid]])</f>
        <v>10800940.293714589</v>
      </c>
      <c r="H58" s="398">
        <f>SUMIFS(uitkomst_doelgroep[Arbeidsbesparing (FTE)],uitkomst_doelgroep[Digitale zorgtoepassing],B58,uitkomst_doelgroep[Jaar],D58,uitkomst_doelgroep[Arbeidsbesparing (FTE)],"&gt;0",uitkomst_doelgroep[Uitgangssituatie/effect beleid],uitkomst_tech[[#This Row],[Uitgangssituatie/effect beleid]])</f>
        <v>56.935177294447186</v>
      </c>
      <c r="I58" s="398">
        <f>SUMIFS(uitkomst_doelgroep[Overige besparingen (€)],uitkomst_doelgroep[Digitale zorgtoepassing],B58,uitkomst_doelgroep[Jaar],D58,uitkomst_doelgroep[Overige besparingen (€)],"&gt;0",uitkomst_doelgroep[Uitgangssituatie/effect beleid],uitkomst_tech[[#This Row],[Uitgangssituatie/effect beleid]])</f>
        <v>0</v>
      </c>
      <c r="J58" s="398">
        <f>SUMIFS(uitkomst_doelgroep[QALY (€)],uitkomst_doelgroep[Digitale zorgtoepassing],B58,uitkomst_doelgroep[Jaar],D58,uitkomst_doelgroep[QALY (€)],"&gt;0",uitkomst_doelgroep[Uitgangssituatie/effect beleid],uitkomst_tech[[#This Row],[Uitgangssituatie/effect beleid]])</f>
        <v>10073388.111293526</v>
      </c>
      <c r="K58" s="398">
        <f>SUMIFS(uitkomst_doelgroep[Kosten (€)],uitkomst_doelgroep[Digitale zorgtoepassing],B58,uitkomst_doelgroep[Jaar],D58,uitkomst_doelgroep[Kosten (€)],"&gt;0",uitkomst_doelgroep[Uitgangssituatie/effect beleid],uitkomst_tech[[#This Row],[Uitgangssituatie/effect beleid]])</f>
        <v>8052911.4765266096</v>
      </c>
      <c r="L58" s="398">
        <f>SUMIFS(uitkomst_doelgroep[Investering (cash flow) (€)],uitkomst_doelgroep[Digitale zorgtoepassing],B58,uitkomst_doelgroep[Jaar],D58,uitkomst_doelgroep[Investering (cash flow) (€)],"&gt;0",uitkomst_doelgroep[Uitgangssituatie/effect beleid],uitkomst_tech[[#This Row],[Uitgangssituatie/effect beleid]])</f>
        <v>1767.8140858171209</v>
      </c>
    </row>
    <row r="59" spans="1:12" x14ac:dyDescent="0.5">
      <c r="A59" s="42" t="str">
        <f>INDEX(Technologieën[Veld],MATCH(B59,Technologieën[Digitale zorgtoepassing],0))</f>
        <v>Software - Diagnose</v>
      </c>
      <c r="B59" s="33" t="s">
        <v>472</v>
      </c>
      <c r="C59" s="33" t="s">
        <v>812</v>
      </c>
      <c r="D59" s="33">
        <v>2033</v>
      </c>
      <c r="E59" s="2">
        <v>346</v>
      </c>
      <c r="F59" s="397">
        <f>SUMIFS(uitkomst_doelgroep[Patiëntaantallen],uitkomst_doelgroep[Digitale zorgtoepassing],B59,uitkomst_doelgroep[Jaar],D59,uitkomst_doelgroep[Arbeidsbesparing (€)],"&gt;0",uitkomst_doelgroep[Uitgangssituatie/effect beleid],uitkomst_tech[[#This Row],[Uitgangssituatie/effect beleid]])</f>
        <v>610521.59817091154</v>
      </c>
      <c r="G59" s="398">
        <f>SUMIFS(uitkomst_doelgroep[Arbeidsbesparing (€)],uitkomst_doelgroep[Digitale zorgtoepassing],B59,uitkomst_doelgroep[Jaar],D59,uitkomst_doelgroep[Arbeidsbesparing (€)],"&gt;0",uitkomst_doelgroep[Uitgangssituatie/effect beleid],uitkomst_tech[[#This Row],[Uitgangssituatie/effect beleid]])</f>
        <v>13920620.50284633</v>
      </c>
      <c r="H59" s="398">
        <f>SUMIFS(uitkomst_doelgroep[Arbeidsbesparing (FTE)],uitkomst_doelgroep[Digitale zorgtoepassing],B59,uitkomst_doelgroep[Jaar],D59,uitkomst_doelgroep[Arbeidsbesparing (FTE)],"&gt;0",uitkomst_doelgroep[Uitgangssituatie/effect beleid],uitkomst_tech[[#This Row],[Uitgangssituatie/effect beleid]])</f>
        <v>73.379999780157661</v>
      </c>
      <c r="I59" s="398">
        <f>SUMIFS(uitkomst_doelgroep[Overige besparingen (€)],uitkomst_doelgroep[Digitale zorgtoepassing],B59,uitkomst_doelgroep[Jaar],D59,uitkomst_doelgroep[Overige besparingen (€)],"&gt;0",uitkomst_doelgroep[Uitgangssituatie/effect beleid],uitkomst_tech[[#This Row],[Uitgangssituatie/effect beleid]])</f>
        <v>0</v>
      </c>
      <c r="J59" s="398">
        <f>SUMIFS(uitkomst_doelgroep[QALY (€)],uitkomst_doelgroep[Digitale zorgtoepassing],B59,uitkomst_doelgroep[Jaar],D59,uitkomst_doelgroep[QALY (€)],"&gt;0",uitkomst_doelgroep[Uitgangssituatie/effect beleid],uitkomst_tech[[#This Row],[Uitgangssituatie/effect beleid]])</f>
        <v>10091573.100876691</v>
      </c>
      <c r="K59" s="398">
        <f>SUMIFS(uitkomst_doelgroep[Kosten (€)],uitkomst_doelgroep[Digitale zorgtoepassing],B59,uitkomst_doelgroep[Jaar],D59,uitkomst_doelgroep[Kosten (€)],"&gt;0",uitkomst_doelgroep[Uitgangssituatie/effect beleid],uitkomst_tech[[#This Row],[Uitgangssituatie/effect beleid]])</f>
        <v>10378867.168905497</v>
      </c>
      <c r="L59" s="398">
        <f>SUMIFS(uitkomst_doelgroep[Investering (cash flow) (€)],uitkomst_doelgroep[Digitale zorgtoepassing],B59,uitkomst_doelgroep[Jaar],D59,uitkomst_doelgroep[Investering (cash flow) (€)],"&gt;0",uitkomst_doelgroep[Uitgangssituatie/effect beleid],uitkomst_tech[[#This Row],[Uitgangssituatie/effect beleid]])</f>
        <v>835.30262637366025</v>
      </c>
    </row>
    <row r="60" spans="1:12" x14ac:dyDescent="0.5">
      <c r="A60" s="42" t="str">
        <f>INDEX(Technologieën[Veld],MATCH(B60,Technologieën[Digitale zorgtoepassing],0))</f>
        <v>Software - Diagnose</v>
      </c>
      <c r="B60" s="33" t="s">
        <v>475</v>
      </c>
      <c r="C60" s="33" t="s">
        <v>812</v>
      </c>
      <c r="D60" s="33">
        <v>2023</v>
      </c>
      <c r="E60" s="2">
        <v>27</v>
      </c>
      <c r="F60" s="397">
        <f>SUMIFS(uitkomst_doelgroep[Patiëntaantallen],uitkomst_doelgroep[Digitale zorgtoepassing],B60,uitkomst_doelgroep[Jaar],D60,uitkomst_doelgroep[Arbeidsbesparing (€)],"&gt;0",uitkomst_doelgroep[Uitgangssituatie/effect beleid],uitkomst_tech[[#This Row],[Uitgangssituatie/effect beleid]])</f>
        <v>80397.200000000012</v>
      </c>
      <c r="G60" s="398">
        <f>SUMIFS(uitkomst_doelgroep[Arbeidsbesparing (€)],uitkomst_doelgroep[Digitale zorgtoepassing],B60,uitkomst_doelgroep[Jaar],D60,uitkomst_doelgroep[Arbeidsbesparing (€)],"&gt;0",uitkomst_doelgroep[Uitgangssituatie/effect beleid],uitkomst_tech[[#This Row],[Uitgangssituatie/effect beleid]])</f>
        <v>20368.355955236268</v>
      </c>
      <c r="H60" s="398">
        <f>SUMIFS(uitkomst_doelgroep[Arbeidsbesparing (FTE)],uitkomst_doelgroep[Digitale zorgtoepassing],B60,uitkomst_doelgroep[Jaar],D60,uitkomst_doelgroep[Arbeidsbesparing (FTE)],"&gt;0",uitkomst_doelgroep[Uitgangssituatie/effect beleid],uitkomst_tech[[#This Row],[Uitgangssituatie/effect beleid]])</f>
        <v>0.10736805555555554</v>
      </c>
      <c r="I60" s="398">
        <f>SUMIFS(uitkomst_doelgroep[Overige besparingen (€)],uitkomst_doelgroep[Digitale zorgtoepassing],B60,uitkomst_doelgroep[Jaar],D60,uitkomst_doelgroep[Overige besparingen (€)],"&gt;0",uitkomst_doelgroep[Uitgangssituatie/effect beleid],uitkomst_tech[[#This Row],[Uitgangssituatie/effect beleid]])</f>
        <v>0</v>
      </c>
      <c r="J60" s="398">
        <f>SUMIFS(uitkomst_doelgroep[QALY (€)],uitkomst_doelgroep[Digitale zorgtoepassing],B60,uitkomst_doelgroep[Jaar],D60,uitkomst_doelgroep[QALY (€)],"&gt;0",uitkomst_doelgroep[Uitgangssituatie/effect beleid],uitkomst_tech[[#This Row],[Uitgangssituatie/effect beleid]])</f>
        <v>0</v>
      </c>
      <c r="K60" s="398">
        <f>SUMIFS(uitkomst_doelgroep[Kosten (€)],uitkomst_doelgroep[Digitale zorgtoepassing],B60,uitkomst_doelgroep[Jaar],D60,uitkomst_doelgroep[Kosten (€)],"&gt;0",uitkomst_doelgroep[Uitgangssituatie/effect beleid],uitkomst_tech[[#This Row],[Uitgangssituatie/effect beleid]])</f>
        <v>17309.674764613756</v>
      </c>
      <c r="L60" s="398">
        <f>SUMIFS(uitkomst_doelgroep[Investering (cash flow) (€)],uitkomst_doelgroep[Digitale zorgtoepassing],B60,uitkomst_doelgroep[Jaar],D60,uitkomst_doelgroep[Investering (cash flow) (€)],"&gt;0",uitkomst_doelgroep[Uitgangssituatie/effect beleid],uitkomst_tech[[#This Row],[Uitgangssituatie/effect beleid]])</f>
        <v>0</v>
      </c>
    </row>
    <row r="61" spans="1:12" x14ac:dyDescent="0.5">
      <c r="A61" s="42" t="str">
        <f>INDEX(Technologieën[Veld],MATCH(B61,Technologieën[Digitale zorgtoepassing],0))</f>
        <v>Software - Diagnose</v>
      </c>
      <c r="B61" s="33" t="s">
        <v>475</v>
      </c>
      <c r="C61" s="33" t="s">
        <v>812</v>
      </c>
      <c r="D61" s="33">
        <v>2024</v>
      </c>
      <c r="E61" s="2">
        <v>59</v>
      </c>
      <c r="F61" s="397">
        <f>SUMIFS(uitkomst_doelgroep[Patiëntaantallen],uitkomst_doelgroep[Digitale zorgtoepassing],B61,uitkomst_doelgroep[Jaar],D61,uitkomst_doelgroep[Arbeidsbesparing (€)],"&gt;0",uitkomst_doelgroep[Uitgangssituatie/effect beleid],uitkomst_tech[[#This Row],[Uitgangssituatie/effect beleid]])</f>
        <v>117379.91200000001</v>
      </c>
      <c r="G61" s="398">
        <f>SUMIFS(uitkomst_doelgroep[Arbeidsbesparing (€)],uitkomst_doelgroep[Digitale zorgtoepassing],B61,uitkomst_doelgroep[Jaar],D61,uitkomst_doelgroep[Arbeidsbesparing (€)],"&gt;0",uitkomst_doelgroep[Uitgangssituatie/effect beleid],uitkomst_tech[[#This Row],[Uitgangssituatie/effect beleid]])</f>
        <v>29737.799694644953</v>
      </c>
      <c r="H61" s="398">
        <f>SUMIFS(uitkomst_doelgroep[Arbeidsbesparing (FTE)],uitkomst_doelgroep[Digitale zorgtoepassing],B61,uitkomst_doelgroep[Jaar],D61,uitkomst_doelgroep[Arbeidsbesparing (FTE)],"&gt;0",uitkomst_doelgroep[Uitgangssituatie/effect beleid],uitkomst_tech[[#This Row],[Uitgangssituatie/effect beleid]])</f>
        <v>0.1567573611111111</v>
      </c>
      <c r="I61" s="398">
        <f>SUMIFS(uitkomst_doelgroep[Overige besparingen (€)],uitkomst_doelgroep[Digitale zorgtoepassing],B61,uitkomst_doelgroep[Jaar],D61,uitkomst_doelgroep[Overige besparingen (€)],"&gt;0",uitkomst_doelgroep[Uitgangssituatie/effect beleid],uitkomst_tech[[#This Row],[Uitgangssituatie/effect beleid]])</f>
        <v>0</v>
      </c>
      <c r="J61" s="398">
        <f>SUMIFS(uitkomst_doelgroep[QALY (€)],uitkomst_doelgroep[Digitale zorgtoepassing],B61,uitkomst_doelgroep[Jaar],D61,uitkomst_doelgroep[QALY (€)],"&gt;0",uitkomst_doelgroep[Uitgangssituatie/effect beleid],uitkomst_tech[[#This Row],[Uitgangssituatie/effect beleid]])</f>
        <v>0</v>
      </c>
      <c r="K61" s="398">
        <f>SUMIFS(uitkomst_doelgroep[Kosten (€)],uitkomst_doelgroep[Digitale zorgtoepassing],B61,uitkomst_doelgroep[Jaar],D61,uitkomst_doelgroep[Kosten (€)],"&gt;0",uitkomst_doelgroep[Uitgangssituatie/effect beleid],uitkomst_tech[[#This Row],[Uitgangssituatie/effect beleid]])</f>
        <v>25272.125156336086</v>
      </c>
      <c r="L61" s="398">
        <f>SUMIFS(uitkomst_doelgroep[Investering (cash flow) (€)],uitkomst_doelgroep[Digitale zorgtoepassing],B61,uitkomst_doelgroep[Jaar],D61,uitkomst_doelgroep[Investering (cash flow) (€)],"&gt;0",uitkomst_doelgroep[Uitgangssituatie/effect beleid],uitkomst_tech[[#This Row],[Uitgangssituatie/effect beleid]])</f>
        <v>0</v>
      </c>
    </row>
    <row r="62" spans="1:12" x14ac:dyDescent="0.5">
      <c r="A62" s="42" t="str">
        <f>INDEX(Technologieën[Veld],MATCH(B62,Technologieën[Digitale zorgtoepassing],0))</f>
        <v>Software - Diagnose</v>
      </c>
      <c r="B62" s="33" t="s">
        <v>475</v>
      </c>
      <c r="C62" s="33" t="s">
        <v>812</v>
      </c>
      <c r="D62" s="33">
        <v>2025</v>
      </c>
      <c r="E62" s="2">
        <v>91</v>
      </c>
      <c r="F62" s="397">
        <f>SUMIFS(uitkomst_doelgroep[Patiëntaantallen],uitkomst_doelgroep[Digitale zorgtoepassing],B62,uitkomst_doelgroep[Jaar],D62,uitkomst_doelgroep[Arbeidsbesparing (€)],"&gt;0",uitkomst_doelgroep[Uitgangssituatie/effect beleid],uitkomst_tech[[#This Row],[Uitgangssituatie/effect beleid]])</f>
        <v>161892.30416320002</v>
      </c>
      <c r="G62" s="398">
        <f>SUMIFS(uitkomst_doelgroep[Arbeidsbesparing (€)],uitkomst_doelgroep[Digitale zorgtoepassing],B62,uitkomst_doelgroep[Jaar],D62,uitkomst_doelgroep[Arbeidsbesparing (€)],"&gt;0",uitkomst_doelgroep[Uitgangssituatie/effect beleid],uitkomst_tech[[#This Row],[Uitgangssituatie/effect beleid]])</f>
        <v>41014.862179397242</v>
      </c>
      <c r="H62" s="398">
        <f>SUMIFS(uitkomst_doelgroep[Arbeidsbesparing (FTE)],uitkomst_doelgroep[Digitale zorgtoepassing],B62,uitkomst_doelgroep[Jaar],D62,uitkomst_doelgroep[Arbeidsbesparing (FTE)],"&gt;0",uitkomst_doelgroep[Uitgangssituatie/effect beleid],uitkomst_tech[[#This Row],[Uitgangssituatie/effect beleid]])</f>
        <v>0.21620232927777777</v>
      </c>
      <c r="I62" s="398">
        <f>SUMIFS(uitkomst_doelgroep[Overige besparingen (€)],uitkomst_doelgroep[Digitale zorgtoepassing],B62,uitkomst_doelgroep[Jaar],D62,uitkomst_doelgroep[Overige besparingen (€)],"&gt;0",uitkomst_doelgroep[Uitgangssituatie/effect beleid],uitkomst_tech[[#This Row],[Uitgangssituatie/effect beleid]])</f>
        <v>0</v>
      </c>
      <c r="J62" s="398">
        <f>SUMIFS(uitkomst_doelgroep[QALY (€)],uitkomst_doelgroep[Digitale zorgtoepassing],B62,uitkomst_doelgroep[Jaar],D62,uitkomst_doelgroep[QALY (€)],"&gt;0",uitkomst_doelgroep[Uitgangssituatie/effect beleid],uitkomst_tech[[#This Row],[Uitgangssituatie/effect beleid]])</f>
        <v>0</v>
      </c>
      <c r="K62" s="398">
        <f>SUMIFS(uitkomst_doelgroep[Kosten (€)],uitkomst_doelgroep[Digitale zorgtoepassing],B62,uitkomst_doelgroep[Jaar],D62,uitkomst_doelgroep[Kosten (€)],"&gt;0",uitkomst_doelgroep[Uitgangssituatie/effect beleid],uitkomst_tech[[#This Row],[Uitgangssituatie/effect beleid]])</f>
        <v>34855.730447813083</v>
      </c>
      <c r="L62" s="398">
        <f>SUMIFS(uitkomst_doelgroep[Investering (cash flow) (€)],uitkomst_doelgroep[Digitale zorgtoepassing],B62,uitkomst_doelgroep[Jaar],D62,uitkomst_doelgroep[Investering (cash flow) (€)],"&gt;0",uitkomst_doelgroep[Uitgangssituatie/effect beleid],uitkomst_tech[[#This Row],[Uitgangssituatie/effect beleid]])</f>
        <v>0</v>
      </c>
    </row>
    <row r="63" spans="1:12" x14ac:dyDescent="0.5">
      <c r="A63" s="42" t="str">
        <f>INDEX(Technologieën[Veld],MATCH(B63,Technologieën[Digitale zorgtoepassing],0))</f>
        <v>Software - Diagnose</v>
      </c>
      <c r="B63" s="33" t="s">
        <v>475</v>
      </c>
      <c r="C63" s="33" t="s">
        <v>812</v>
      </c>
      <c r="D63" s="33">
        <v>2026</v>
      </c>
      <c r="E63" s="2">
        <v>123</v>
      </c>
      <c r="F63" s="397">
        <f>SUMIFS(uitkomst_doelgroep[Patiëntaantallen],uitkomst_doelgroep[Digitale zorgtoepassing],B63,uitkomst_doelgroep[Jaar],D63,uitkomst_doelgroep[Arbeidsbesparing (€)],"&gt;0",uitkomst_doelgroep[Uitgangssituatie/effect beleid],uitkomst_tech[[#This Row],[Uitgangssituatie/effect beleid]])</f>
        <v>211406.59656567528</v>
      </c>
      <c r="G63" s="398">
        <f>SUMIFS(uitkomst_doelgroep[Arbeidsbesparing (€)],uitkomst_doelgroep[Digitale zorgtoepassing],B63,uitkomst_doelgroep[Jaar],D63,uitkomst_doelgroep[Arbeidsbesparing (€)],"&gt;0",uitkomst_doelgroep[Uitgangssituatie/effect beleid],uitkomst_tech[[#This Row],[Uitgangssituatie/effect beleid]])</f>
        <v>53559.139001541131</v>
      </c>
      <c r="H63" s="398">
        <f>SUMIFS(uitkomst_doelgroep[Arbeidsbesparing (FTE)],uitkomst_doelgroep[Digitale zorgtoepassing],B63,uitkomst_doelgroep[Jaar],D63,uitkomst_doelgroep[Arbeidsbesparing (FTE)],"&gt;0",uitkomst_doelgroep[Uitgangssituatie/effect beleid],uitkomst_tech[[#This Row],[Uitgangssituatie/effect beleid]])</f>
        <v>0.28232718558450215</v>
      </c>
      <c r="I63" s="398">
        <f>SUMIFS(uitkomst_doelgroep[Overige besparingen (€)],uitkomst_doelgroep[Digitale zorgtoepassing],B63,uitkomst_doelgroep[Jaar],D63,uitkomst_doelgroep[Overige besparingen (€)],"&gt;0",uitkomst_doelgroep[Uitgangssituatie/effect beleid],uitkomst_tech[[#This Row],[Uitgangssituatie/effect beleid]])</f>
        <v>0</v>
      </c>
      <c r="J63" s="398">
        <f>SUMIFS(uitkomst_doelgroep[QALY (€)],uitkomst_doelgroep[Digitale zorgtoepassing],B63,uitkomst_doelgroep[Jaar],D63,uitkomst_doelgroep[QALY (€)],"&gt;0",uitkomst_doelgroep[Uitgangssituatie/effect beleid],uitkomst_tech[[#This Row],[Uitgangssituatie/effect beleid]])</f>
        <v>0</v>
      </c>
      <c r="K63" s="398">
        <f>SUMIFS(uitkomst_doelgroep[Kosten (€)],uitkomst_doelgroep[Digitale zorgtoepassing],B63,uitkomst_doelgroep[Jaar],D63,uitkomst_doelgroep[Kosten (€)],"&gt;0",uitkomst_doelgroep[Uitgangssituatie/effect beleid],uitkomst_tech[[#This Row],[Uitgangssituatie/effect beleid]])</f>
        <v>45516.254666154418</v>
      </c>
      <c r="L63" s="398">
        <f>SUMIFS(uitkomst_doelgroep[Investering (cash flow) (€)],uitkomst_doelgroep[Digitale zorgtoepassing],B63,uitkomst_doelgroep[Jaar],D63,uitkomst_doelgroep[Investering (cash flow) (€)],"&gt;0",uitkomst_doelgroep[Uitgangssituatie/effect beleid],uitkomst_tech[[#This Row],[Uitgangssituatie/effect beleid]])</f>
        <v>0</v>
      </c>
    </row>
    <row r="64" spans="1:12" x14ac:dyDescent="0.5">
      <c r="A64" s="42" t="str">
        <f>INDEX(Technologieën[Veld],MATCH(B64,Technologieën[Digitale zorgtoepassing],0))</f>
        <v>Software - Diagnose</v>
      </c>
      <c r="B64" s="33" t="s">
        <v>475</v>
      </c>
      <c r="C64" s="33" t="s">
        <v>812</v>
      </c>
      <c r="D64" s="33">
        <v>2027</v>
      </c>
      <c r="E64" s="2">
        <v>155</v>
      </c>
      <c r="F64" s="397">
        <f>SUMIFS(uitkomst_doelgroep[Patiëntaantallen],uitkomst_doelgroep[Digitale zorgtoepassing],B64,uitkomst_doelgroep[Jaar],D64,uitkomst_doelgroep[Arbeidsbesparing (€)],"&gt;0",uitkomst_doelgroep[Uitgangssituatie/effect beleid],uitkomst_tech[[#This Row],[Uitgangssituatie/effect beleid]])</f>
        <v>418723.46101326565</v>
      </c>
      <c r="G64" s="398">
        <f>SUMIFS(uitkomst_doelgroep[Arbeidsbesparing (€)],uitkomst_doelgroep[Digitale zorgtoepassing],B64,uitkomst_doelgroep[Jaar],D64,uitkomst_doelgroep[Arbeidsbesparing (€)],"&gt;0",uitkomst_doelgroep[Uitgangssituatie/effect beleid],uitkomst_tech[[#This Row],[Uitgangssituatie/effect beleid]])</f>
        <v>106082.15834291109</v>
      </c>
      <c r="H64" s="398">
        <f>SUMIFS(uitkomst_doelgroep[Arbeidsbesparing (FTE)],uitkomst_doelgroep[Digitale zorgtoepassing],B64,uitkomst_doelgroep[Jaar],D64,uitkomst_doelgroep[Arbeidsbesparing (FTE)],"&gt;0",uitkomst_doelgroep[Uitgangssituatie/effect beleid],uitkomst_tech[[#This Row],[Uitgangssituatie/effect beleid]])</f>
        <v>0.55919265626771586</v>
      </c>
      <c r="I64" s="398">
        <f>SUMIFS(uitkomst_doelgroep[Overige besparingen (€)],uitkomst_doelgroep[Digitale zorgtoepassing],B64,uitkomst_doelgroep[Jaar],D64,uitkomst_doelgroep[Overige besparingen (€)],"&gt;0",uitkomst_doelgroep[Uitgangssituatie/effect beleid],uitkomst_tech[[#This Row],[Uitgangssituatie/effect beleid]])</f>
        <v>0</v>
      </c>
      <c r="J64" s="398">
        <f>SUMIFS(uitkomst_doelgroep[QALY (€)],uitkomst_doelgroep[Digitale zorgtoepassing],B64,uitkomst_doelgroep[Jaar],D64,uitkomst_doelgroep[QALY (€)],"&gt;0",uitkomst_doelgroep[Uitgangssituatie/effect beleid],uitkomst_tech[[#This Row],[Uitgangssituatie/effect beleid]])</f>
        <v>0</v>
      </c>
      <c r="K64" s="398">
        <f>SUMIFS(uitkomst_doelgroep[Kosten (€)],uitkomst_doelgroep[Digitale zorgtoepassing],B64,uitkomst_doelgroep[Jaar],D64,uitkomst_doelgroep[Kosten (€)],"&gt;0",uitkomst_doelgroep[Uitgangssituatie/effect beleid],uitkomst_tech[[#This Row],[Uitgangssituatie/effect beleid]])</f>
        <v>90151.981990082451</v>
      </c>
      <c r="L64" s="398">
        <f>SUMIFS(uitkomst_doelgroep[Investering (cash flow) (€)],uitkomst_doelgroep[Digitale zorgtoepassing],B64,uitkomst_doelgroep[Jaar],D64,uitkomst_doelgroep[Investering (cash flow) (€)],"&gt;0",uitkomst_doelgroep[Uitgangssituatie/effect beleid],uitkomst_tech[[#This Row],[Uitgangssituatie/effect beleid]])</f>
        <v>0</v>
      </c>
    </row>
    <row r="65" spans="1:12" x14ac:dyDescent="0.5">
      <c r="A65" s="42" t="str">
        <f>INDEX(Technologieën[Veld],MATCH(B65,Technologieën[Digitale zorgtoepassing],0))</f>
        <v>Software - Diagnose</v>
      </c>
      <c r="B65" s="33" t="s">
        <v>475</v>
      </c>
      <c r="C65" s="33" t="s">
        <v>812</v>
      </c>
      <c r="D65" s="33">
        <v>2028</v>
      </c>
      <c r="E65" s="2">
        <v>187</v>
      </c>
      <c r="F65" s="397">
        <f>SUMIFS(uitkomst_doelgroep[Patiëntaantallen],uitkomst_doelgroep[Digitale zorgtoepassing],B65,uitkomst_doelgroep[Jaar],D65,uitkomst_doelgroep[Arbeidsbesparing (€)],"&gt;0",uitkomst_doelgroep[Uitgangssituatie/effect beleid],uitkomst_tech[[#This Row],[Uitgangssituatie/effect beleid]])</f>
        <v>685992.43345939787</v>
      </c>
      <c r="G65" s="398">
        <f>SUMIFS(uitkomst_doelgroep[Arbeidsbesparing (€)],uitkomst_doelgroep[Digitale zorgtoepassing],B65,uitkomst_doelgroep[Jaar],D65,uitkomst_doelgroep[Arbeidsbesparing (€)],"&gt;0",uitkomst_doelgroep[Uitgangssituatie/effect beleid],uitkomst_tech[[#This Row],[Uitgangssituatie/effect beleid]])</f>
        <v>173793.83942848444</v>
      </c>
      <c r="H65" s="398">
        <f>SUMIFS(uitkomst_doelgroep[Arbeidsbesparing (FTE)],uitkomst_doelgroep[Digitale zorgtoepassing],B65,uitkomst_doelgroep[Jaar],D65,uitkomst_doelgroep[Arbeidsbesparing (FTE)],"&gt;0",uitkomst_doelgroep[Uitgangssituatie/effect beleid],uitkomst_tech[[#This Row],[Uitgangssituatie/effect beleid]])</f>
        <v>0.91612237374385397</v>
      </c>
      <c r="I65" s="398">
        <f>SUMIFS(uitkomst_doelgroep[Overige besparingen (€)],uitkomst_doelgroep[Digitale zorgtoepassing],B65,uitkomst_doelgroep[Jaar],D65,uitkomst_doelgroep[Overige besparingen (€)],"&gt;0",uitkomst_doelgroep[Uitgangssituatie/effect beleid],uitkomst_tech[[#This Row],[Uitgangssituatie/effect beleid]])</f>
        <v>0</v>
      </c>
      <c r="J65" s="398">
        <f>SUMIFS(uitkomst_doelgroep[QALY (€)],uitkomst_doelgroep[Digitale zorgtoepassing],B65,uitkomst_doelgroep[Jaar],D65,uitkomst_doelgroep[QALY (€)],"&gt;0",uitkomst_doelgroep[Uitgangssituatie/effect beleid],uitkomst_tech[[#This Row],[Uitgangssituatie/effect beleid]])</f>
        <v>0</v>
      </c>
      <c r="K65" s="398">
        <f>SUMIFS(uitkomst_doelgroep[Kosten (€)],uitkomst_doelgroep[Digitale zorgtoepassing],B65,uitkomst_doelgroep[Jaar],D65,uitkomst_doelgroep[Kosten (€)],"&gt;0",uitkomst_doelgroep[Uitgangssituatie/effect beleid],uitkomst_tech[[#This Row],[Uitgangssituatie/effect beleid]])</f>
        <v>147695.51569169227</v>
      </c>
      <c r="L65" s="398">
        <f>SUMIFS(uitkomst_doelgroep[Investering (cash flow) (€)],uitkomst_doelgroep[Digitale zorgtoepassing],B65,uitkomst_doelgroep[Jaar],D65,uitkomst_doelgroep[Investering (cash flow) (€)],"&gt;0",uitkomst_doelgroep[Uitgangssituatie/effect beleid],uitkomst_tech[[#This Row],[Uitgangssituatie/effect beleid]])</f>
        <v>0</v>
      </c>
    </row>
    <row r="66" spans="1:12" x14ac:dyDescent="0.5">
      <c r="A66" s="42" t="str">
        <f>INDEX(Technologieën[Veld],MATCH(B66,Technologieën[Digitale zorgtoepassing],0))</f>
        <v>Software - Diagnose</v>
      </c>
      <c r="B66" s="33" t="s">
        <v>475</v>
      </c>
      <c r="C66" s="33" t="s">
        <v>812</v>
      </c>
      <c r="D66" s="33">
        <v>2029</v>
      </c>
      <c r="E66" s="2">
        <v>219</v>
      </c>
      <c r="F66" s="397">
        <f>SUMIFS(uitkomst_doelgroep[Patiëntaantallen],uitkomst_doelgroep[Digitale zorgtoepassing],B66,uitkomst_doelgroep[Jaar],D66,uitkomst_doelgroep[Arbeidsbesparing (€)],"&gt;0",uitkomst_doelgroep[Uitgangssituatie/effect beleid],uitkomst_tech[[#This Row],[Uitgangssituatie/effect beleid]])</f>
        <v>1029935.6708971104</v>
      </c>
      <c r="G66" s="398">
        <f>SUMIFS(uitkomst_doelgroep[Arbeidsbesparing (€)],uitkomst_doelgroep[Digitale zorgtoepassing],B66,uitkomst_doelgroep[Jaar],D66,uitkomst_doelgroep[Arbeidsbesparing (€)],"&gt;0",uitkomst_doelgroep[Uitgangssituatie/effect beleid],uitkomst_tech[[#This Row],[Uitgangssituatie/effect beleid]])</f>
        <v>260930.68360375013</v>
      </c>
      <c r="H66" s="398">
        <f>SUMIFS(uitkomst_doelgroep[Arbeidsbesparing (FTE)],uitkomst_doelgroep[Digitale zorgtoepassing],B66,uitkomst_doelgroep[Jaar],D66,uitkomst_doelgroep[Arbeidsbesparing (FTE)],"&gt;0",uitkomst_doelgroep[Uitgangssituatie/effect beleid],uitkomst_tech[[#This Row],[Uitgangssituatie/effect beleid]])</f>
        <v>1.3754482784416537</v>
      </c>
      <c r="I66" s="398">
        <f>SUMIFS(uitkomst_doelgroep[Overige besparingen (€)],uitkomst_doelgroep[Digitale zorgtoepassing],B66,uitkomst_doelgroep[Jaar],D66,uitkomst_doelgroep[Overige besparingen (€)],"&gt;0",uitkomst_doelgroep[Uitgangssituatie/effect beleid],uitkomst_tech[[#This Row],[Uitgangssituatie/effect beleid]])</f>
        <v>0</v>
      </c>
      <c r="J66" s="398">
        <f>SUMIFS(uitkomst_doelgroep[QALY (€)],uitkomst_doelgroep[Digitale zorgtoepassing],B66,uitkomst_doelgroep[Jaar],D66,uitkomst_doelgroep[QALY (€)],"&gt;0",uitkomst_doelgroep[Uitgangssituatie/effect beleid],uitkomst_tech[[#This Row],[Uitgangssituatie/effect beleid]])</f>
        <v>0</v>
      </c>
      <c r="K66" s="398">
        <f>SUMIFS(uitkomst_doelgroep[Kosten (€)],uitkomst_doelgroep[Digitale zorgtoepassing],B66,uitkomst_doelgroep[Jaar],D66,uitkomst_doelgroep[Kosten (€)],"&gt;0",uitkomst_doelgroep[Uitgangssituatie/effect beleid],uitkomst_tech[[#This Row],[Uitgangssituatie/effect beleid]])</f>
        <v>221747.16895244177</v>
      </c>
      <c r="L66" s="398">
        <f>SUMIFS(uitkomst_doelgroep[Investering (cash flow) (€)],uitkomst_doelgroep[Digitale zorgtoepassing],B66,uitkomst_doelgroep[Jaar],D66,uitkomst_doelgroep[Investering (cash flow) (€)],"&gt;0",uitkomst_doelgroep[Uitgangssituatie/effect beleid],uitkomst_tech[[#This Row],[Uitgangssituatie/effect beleid]])</f>
        <v>0</v>
      </c>
    </row>
    <row r="67" spans="1:12" x14ac:dyDescent="0.5">
      <c r="A67" s="42" t="str">
        <f>INDEX(Technologieën[Veld],MATCH(B67,Technologieën[Digitale zorgtoepassing],0))</f>
        <v>Software - Diagnose</v>
      </c>
      <c r="B67" s="33" t="s">
        <v>475</v>
      </c>
      <c r="C67" s="33" t="s">
        <v>812</v>
      </c>
      <c r="D67" s="33">
        <v>2030</v>
      </c>
      <c r="E67" s="2">
        <v>251</v>
      </c>
      <c r="F67" s="397">
        <f>SUMIFS(uitkomst_doelgroep[Patiëntaantallen],uitkomst_doelgroep[Digitale zorgtoepassing],B67,uitkomst_doelgroep[Jaar],D67,uitkomst_doelgroep[Arbeidsbesparing (€)],"&gt;0",uitkomst_doelgroep[Uitgangssituatie/effect beleid],uitkomst_tech[[#This Row],[Uitgangssituatie/effect beleid]])</f>
        <v>1470915.7562287014</v>
      </c>
      <c r="G67" s="398">
        <f>SUMIFS(uitkomst_doelgroep[Arbeidsbesparing (€)],uitkomst_doelgroep[Digitale zorgtoepassing],B67,uitkomst_doelgroep[Jaar],D67,uitkomst_doelgroep[Arbeidsbesparing (€)],"&gt;0",uitkomst_doelgroep[Uitgangssituatie/effect beleid],uitkomst_tech[[#This Row],[Uitgangssituatie/effect beleid]])</f>
        <v>372651.48168134876</v>
      </c>
      <c r="H67" s="398">
        <f>SUMIFS(uitkomst_doelgroep[Arbeidsbesparing (FTE)],uitkomst_doelgroep[Digitale zorgtoepassing],B67,uitkomst_doelgroep[Jaar],D67,uitkomst_doelgroep[Arbeidsbesparing (FTE)],"&gt;0",uitkomst_doelgroep[Uitgangssituatie/effect beleid],uitkomst_tech[[#This Row],[Uitgangssituatie/effect beleid]])</f>
        <v>1.9643639906900392</v>
      </c>
      <c r="I67" s="398">
        <f>SUMIFS(uitkomst_doelgroep[Overige besparingen (€)],uitkomst_doelgroep[Digitale zorgtoepassing],B67,uitkomst_doelgroep[Jaar],D67,uitkomst_doelgroep[Overige besparingen (€)],"&gt;0",uitkomst_doelgroep[Uitgangssituatie/effect beleid],uitkomst_tech[[#This Row],[Uitgangssituatie/effect beleid]])</f>
        <v>0</v>
      </c>
      <c r="J67" s="398">
        <f>SUMIFS(uitkomst_doelgroep[QALY (€)],uitkomst_doelgroep[Digitale zorgtoepassing],B67,uitkomst_doelgroep[Jaar],D67,uitkomst_doelgroep[QALY (€)],"&gt;0",uitkomst_doelgroep[Uitgangssituatie/effect beleid],uitkomst_tech[[#This Row],[Uitgangssituatie/effect beleid]])</f>
        <v>0</v>
      </c>
      <c r="K67" s="398">
        <f>SUMIFS(uitkomst_doelgroep[Kosten (€)],uitkomst_doelgroep[Digitale zorgtoepassing],B67,uitkomst_doelgroep[Jaar],D67,uitkomst_doelgroep[Kosten (€)],"&gt;0",uitkomst_doelgroep[Uitgangssituatie/effect beleid],uitkomst_tech[[#This Row],[Uitgangssituatie/effect beleid]])</f>
        <v>316691.0457884692</v>
      </c>
      <c r="L67" s="398">
        <f>SUMIFS(uitkomst_doelgroep[Investering (cash flow) (€)],uitkomst_doelgroep[Digitale zorgtoepassing],B67,uitkomst_doelgroep[Jaar],D67,uitkomst_doelgroep[Investering (cash flow) (€)],"&gt;0",uitkomst_doelgroep[Uitgangssituatie/effect beleid],uitkomst_tech[[#This Row],[Uitgangssituatie/effect beleid]])</f>
        <v>0</v>
      </c>
    </row>
    <row r="68" spans="1:12" x14ac:dyDescent="0.5">
      <c r="A68" s="42" t="str">
        <f>INDEX(Technologieën[Veld],MATCH(B68,Technologieën[Digitale zorgtoepassing],0))</f>
        <v>Software - Diagnose</v>
      </c>
      <c r="B68" s="33" t="s">
        <v>475</v>
      </c>
      <c r="C68" s="33" t="s">
        <v>812</v>
      </c>
      <c r="D68" s="33">
        <v>2031</v>
      </c>
      <c r="E68" s="2">
        <v>283</v>
      </c>
      <c r="F68" s="397">
        <f>SUMIFS(uitkomst_doelgroep[Patiëntaantallen],uitkomst_doelgroep[Digitale zorgtoepassing],B68,uitkomst_doelgroep[Jaar],D68,uitkomst_doelgroep[Arbeidsbesparing (€)],"&gt;0",uitkomst_doelgroep[Uitgangssituatie/effect beleid],uitkomst_tech[[#This Row],[Uitgangssituatie/effect beleid]])</f>
        <v>2026392.7950740268</v>
      </c>
      <c r="G68" s="398">
        <f>SUMIFS(uitkomst_doelgroep[Arbeidsbesparing (€)],uitkomst_doelgroep[Digitale zorgtoepassing],B68,uitkomst_doelgroep[Jaar],D68,uitkomst_doelgroep[Arbeidsbesparing (€)],"&gt;0",uitkomst_doelgroep[Uitgangssituatie/effect beleid],uitkomst_tech[[#This Row],[Uitgangssituatie/effect beleid]])</f>
        <v>513379.69177028461</v>
      </c>
      <c r="H68" s="398">
        <f>SUMIFS(uitkomst_doelgroep[Arbeidsbesparing (FTE)],uitkomst_doelgroep[Digitale zorgtoepassing],B68,uitkomst_doelgroep[Jaar],D68,uitkomst_doelgroep[Arbeidsbesparing (FTE)],"&gt;0",uitkomst_doelgroep[Uitgangssituatie/effect beleid],uitkomst_tech[[#This Row],[Uitgangssituatie/effect beleid]])</f>
        <v>2.7061869592334755</v>
      </c>
      <c r="I68" s="398">
        <f>SUMIFS(uitkomst_doelgroep[Overige besparingen (€)],uitkomst_doelgroep[Digitale zorgtoepassing],B68,uitkomst_doelgroep[Jaar],D68,uitkomst_doelgroep[Overige besparingen (€)],"&gt;0",uitkomst_doelgroep[Uitgangssituatie/effect beleid],uitkomst_tech[[#This Row],[Uitgangssituatie/effect beleid]])</f>
        <v>0</v>
      </c>
      <c r="J68" s="398">
        <f>SUMIFS(uitkomst_doelgroep[QALY (€)],uitkomst_doelgroep[Digitale zorgtoepassing],B68,uitkomst_doelgroep[Jaar],D68,uitkomst_doelgroep[QALY (€)],"&gt;0",uitkomst_doelgroep[Uitgangssituatie/effect beleid],uitkomst_tech[[#This Row],[Uitgangssituatie/effect beleid]])</f>
        <v>0</v>
      </c>
      <c r="K68" s="398">
        <f>SUMIFS(uitkomst_doelgroep[Kosten (€)],uitkomst_doelgroep[Digitale zorgtoepassing],B68,uitkomst_doelgroep[Jaar],D68,uitkomst_doelgroep[Kosten (€)],"&gt;0",uitkomst_doelgroep[Uitgangssituatie/effect beleid],uitkomst_tech[[#This Row],[Uitgangssituatie/effect beleid]])</f>
        <v>436286.34116720507</v>
      </c>
      <c r="L68" s="398">
        <f>SUMIFS(uitkomst_doelgroep[Investering (cash flow) (€)],uitkomst_doelgroep[Digitale zorgtoepassing],B68,uitkomst_doelgroep[Jaar],D68,uitkomst_doelgroep[Investering (cash flow) (€)],"&gt;0",uitkomst_doelgroep[Uitgangssituatie/effect beleid],uitkomst_tech[[#This Row],[Uitgangssituatie/effect beleid]])</f>
        <v>0</v>
      </c>
    </row>
    <row r="69" spans="1:12" x14ac:dyDescent="0.5">
      <c r="A69" s="42" t="str">
        <f>INDEX(Technologieën[Veld],MATCH(B69,Technologieën[Digitale zorgtoepassing],0))</f>
        <v>Software - Diagnose</v>
      </c>
      <c r="B69" s="33" t="s">
        <v>475</v>
      </c>
      <c r="C69" s="33" t="s">
        <v>812</v>
      </c>
      <c r="D69" s="33">
        <v>2032</v>
      </c>
      <c r="E69" s="2">
        <v>315</v>
      </c>
      <c r="F69" s="397">
        <f>SUMIFS(uitkomst_doelgroep[Patiëntaantallen],uitkomst_doelgroep[Digitale zorgtoepassing],B69,uitkomst_doelgroep[Jaar],D69,uitkomst_doelgroep[Arbeidsbesparing (€)],"&gt;0",uitkomst_doelgroep[Uitgangssituatie/effect beleid],uitkomst_tech[[#This Row],[Uitgangssituatie/effect beleid]])</f>
        <v>2698785.0616213493</v>
      </c>
      <c r="G69" s="398">
        <f>SUMIFS(uitkomst_doelgroep[Arbeidsbesparing (€)],uitkomst_doelgroep[Digitale zorgtoepassing],B69,uitkomst_doelgroep[Jaar],D69,uitkomst_doelgroep[Arbeidsbesparing (€)],"&gt;0",uitkomst_doelgroep[Uitgangssituatie/effect beleid],uitkomst_tech[[#This Row],[Uitgangssituatie/effect beleid]])</f>
        <v>683727.97537448932</v>
      </c>
      <c r="H69" s="398">
        <f>SUMIFS(uitkomst_doelgroep[Arbeidsbesparing (FTE)],uitkomst_doelgroep[Digitale zorgtoepassing],B69,uitkomst_doelgroep[Jaar],D69,uitkomst_doelgroep[Arbeidsbesparing (FTE)],"&gt;0",uitkomst_doelgroep[Uitgangssituatie/effect beleid],uitkomst_tech[[#This Row],[Uitgangssituatie/effect beleid]])</f>
        <v>3.6041467169088532</v>
      </c>
      <c r="I69" s="398">
        <f>SUMIFS(uitkomst_doelgroep[Overige besparingen (€)],uitkomst_doelgroep[Digitale zorgtoepassing],B69,uitkomst_doelgroep[Jaar],D69,uitkomst_doelgroep[Overige besparingen (€)],"&gt;0",uitkomst_doelgroep[Uitgangssituatie/effect beleid],uitkomst_tech[[#This Row],[Uitgangssituatie/effect beleid]])</f>
        <v>0</v>
      </c>
      <c r="J69" s="398">
        <f>SUMIFS(uitkomst_doelgroep[QALY (€)],uitkomst_doelgroep[Digitale zorgtoepassing],B69,uitkomst_doelgroep[Jaar],D69,uitkomst_doelgroep[QALY (€)],"&gt;0",uitkomst_doelgroep[Uitgangssituatie/effect beleid],uitkomst_tech[[#This Row],[Uitgangssituatie/effect beleid]])</f>
        <v>0</v>
      </c>
      <c r="K69" s="398">
        <f>SUMIFS(uitkomst_doelgroep[Kosten (€)],uitkomst_doelgroep[Digitale zorgtoepassing],B69,uitkomst_doelgroep[Jaar],D69,uitkomst_doelgroep[Kosten (€)],"&gt;0",uitkomst_doelgroep[Uitgangssituatie/effect beleid],uitkomst_tech[[#This Row],[Uitgangssituatie/effect beleid]])</f>
        <v>581053.71426198492</v>
      </c>
      <c r="L69" s="398">
        <f>SUMIFS(uitkomst_doelgroep[Investering (cash flow) (€)],uitkomst_doelgroep[Digitale zorgtoepassing],B69,uitkomst_doelgroep[Jaar],D69,uitkomst_doelgroep[Investering (cash flow) (€)],"&gt;0",uitkomst_doelgroep[Uitgangssituatie/effect beleid],uitkomst_tech[[#This Row],[Uitgangssituatie/effect beleid]])</f>
        <v>0</v>
      </c>
    </row>
    <row r="70" spans="1:12" x14ac:dyDescent="0.5">
      <c r="A70" s="42" t="str">
        <f>INDEX(Technologieën[Veld],MATCH(B70,Technologieën[Digitale zorgtoepassing],0))</f>
        <v>Software - Diagnose</v>
      </c>
      <c r="B70" s="33" t="s">
        <v>475</v>
      </c>
      <c r="C70" s="33" t="s">
        <v>812</v>
      </c>
      <c r="D70" s="33">
        <v>2033</v>
      </c>
      <c r="E70" s="2">
        <v>347</v>
      </c>
      <c r="F70" s="397">
        <f>SUMIFS(uitkomst_doelgroep[Patiëntaantallen],uitkomst_doelgroep[Digitale zorgtoepassing],B70,uitkomst_doelgroep[Jaar],D70,uitkomst_doelgroep[Arbeidsbesparing (€)],"&gt;0",uitkomst_doelgroep[Uitgangssituatie/effect beleid],uitkomst_tech[[#This Row],[Uitgangssituatie/effect beleid]])</f>
        <v>3461680.3896199544</v>
      </c>
      <c r="G70" s="398">
        <f>SUMIFS(uitkomst_doelgroep[Arbeidsbesparing (€)],uitkomst_doelgroep[Digitale zorgtoepassing],B70,uitkomst_doelgroep[Jaar],D70,uitkomst_doelgroep[Arbeidsbesparing (€)],"&gt;0",uitkomst_doelgroep[Uitgangssituatie/effect beleid],uitkomst_tech[[#This Row],[Uitgangssituatie/effect beleid]])</f>
        <v>877004.90040747949</v>
      </c>
      <c r="H70" s="398">
        <f>SUMIFS(uitkomst_doelgroep[Arbeidsbesparing (FTE)],uitkomst_doelgroep[Digitale zorgtoepassing],B70,uitkomst_doelgroep[Jaar],D70,uitkomst_doelgroep[Arbeidsbesparing (FTE)],"&gt;0",uitkomst_doelgroep[Uitgangssituatie/effect beleid],uitkomst_tech[[#This Row],[Uitgangssituatie/effect beleid]])</f>
        <v>4.6229706057958788</v>
      </c>
      <c r="I70" s="398">
        <f>SUMIFS(uitkomst_doelgroep[Overige besparingen (€)],uitkomst_doelgroep[Digitale zorgtoepassing],B70,uitkomst_doelgroep[Jaar],D70,uitkomst_doelgroep[Overige besparingen (€)],"&gt;0",uitkomst_doelgroep[Uitgangssituatie/effect beleid],uitkomst_tech[[#This Row],[Uitgangssituatie/effect beleid]])</f>
        <v>0</v>
      </c>
      <c r="J70" s="398">
        <f>SUMIFS(uitkomst_doelgroep[QALY (€)],uitkomst_doelgroep[Digitale zorgtoepassing],B70,uitkomst_doelgroep[Jaar],D70,uitkomst_doelgroep[QALY (€)],"&gt;0",uitkomst_doelgroep[Uitgangssituatie/effect beleid],uitkomst_tech[[#This Row],[Uitgangssituatie/effect beleid]])</f>
        <v>0</v>
      </c>
      <c r="K70" s="398">
        <f>SUMIFS(uitkomst_doelgroep[Kosten (€)],uitkomst_doelgroep[Digitale zorgtoepassing],B70,uitkomst_doelgroep[Jaar],D70,uitkomst_doelgroep[Kosten (€)],"&gt;0",uitkomst_doelgroep[Uitgangssituatie/effect beleid],uitkomst_tech[[#This Row],[Uitgangssituatie/effect beleid]])</f>
        <v>745306.57390260918</v>
      </c>
      <c r="L70" s="398">
        <f>SUMIFS(uitkomst_doelgroep[Investering (cash flow) (€)],uitkomst_doelgroep[Digitale zorgtoepassing],B70,uitkomst_doelgroep[Jaar],D70,uitkomst_doelgroep[Investering (cash flow) (€)],"&gt;0",uitkomst_doelgroep[Uitgangssituatie/effect beleid],uitkomst_tech[[#This Row],[Uitgangssituatie/effect beleid]])</f>
        <v>0</v>
      </c>
    </row>
    <row r="71" spans="1:12" x14ac:dyDescent="0.5">
      <c r="A71" s="42" t="str">
        <f>INDEX(Technologieën[Veld],MATCH(B71,Technologieën[Digitale zorgtoepassing],0))</f>
        <v>Software - Behandeling</v>
      </c>
      <c r="B71" s="33" t="s">
        <v>716</v>
      </c>
      <c r="C71" s="33" t="s">
        <v>812</v>
      </c>
      <c r="D71" s="33">
        <v>2023</v>
      </c>
      <c r="E71" s="2">
        <v>20</v>
      </c>
      <c r="F71" s="397">
        <f>SUMIFS(uitkomst_doelgroep[Patiëntaantallen],uitkomst_doelgroep[Digitale zorgtoepassing],B71,uitkomst_doelgroep[Jaar],D71,uitkomst_doelgroep[Arbeidsbesparing (€)],"&gt;0",uitkomst_doelgroep[Uitgangssituatie/effect beleid],uitkomst_tech[[#This Row],[Uitgangssituatie/effect beleid]])</f>
        <v>0</v>
      </c>
      <c r="G71" s="398">
        <f>SUMIFS(uitkomst_doelgroep[Arbeidsbesparing (€)],uitkomst_doelgroep[Digitale zorgtoepassing],B71,uitkomst_doelgroep[Jaar],D71,uitkomst_doelgroep[Arbeidsbesparing (€)],"&gt;0",uitkomst_doelgroep[Uitgangssituatie/effect beleid],uitkomst_tech[[#This Row],[Uitgangssituatie/effect beleid]])</f>
        <v>0</v>
      </c>
      <c r="H71" s="398">
        <f>SUMIFS(uitkomst_doelgroep[Arbeidsbesparing (FTE)],uitkomst_doelgroep[Digitale zorgtoepassing],B71,uitkomst_doelgroep[Jaar],D71,uitkomst_doelgroep[Arbeidsbesparing (FTE)],"&gt;0",uitkomst_doelgroep[Uitgangssituatie/effect beleid],uitkomst_tech[[#This Row],[Uitgangssituatie/effect beleid]])</f>
        <v>0</v>
      </c>
      <c r="I71" s="398">
        <f>SUMIFS(uitkomst_doelgroep[Overige besparingen (€)],uitkomst_doelgroep[Digitale zorgtoepassing],B71,uitkomst_doelgroep[Jaar],D71,uitkomst_doelgroep[Overige besparingen (€)],"&gt;0",uitkomst_doelgroep[Uitgangssituatie/effect beleid],uitkomst_tech[[#This Row],[Uitgangssituatie/effect beleid]])</f>
        <v>0</v>
      </c>
      <c r="J71" s="398">
        <f>SUMIFS(uitkomst_doelgroep[QALY (€)],uitkomst_doelgroep[Digitale zorgtoepassing],B71,uitkomst_doelgroep[Jaar],D71,uitkomst_doelgroep[QALY (€)],"&gt;0",uitkomst_doelgroep[Uitgangssituatie/effect beleid],uitkomst_tech[[#This Row],[Uitgangssituatie/effect beleid]])</f>
        <v>0</v>
      </c>
      <c r="K71" s="398">
        <f>SUMIFS(uitkomst_doelgroep[Kosten (€)],uitkomst_doelgroep[Digitale zorgtoepassing],B71,uitkomst_doelgroep[Jaar],D71,uitkomst_doelgroep[Kosten (€)],"&gt;0",uitkomst_doelgroep[Uitgangssituatie/effect beleid],uitkomst_tech[[#This Row],[Uitgangssituatie/effect beleid]])</f>
        <v>0</v>
      </c>
      <c r="L71" s="398">
        <f>SUMIFS(uitkomst_doelgroep[Investering (cash flow) (€)],uitkomst_doelgroep[Digitale zorgtoepassing],B71,uitkomst_doelgroep[Jaar],D71,uitkomst_doelgroep[Investering (cash flow) (€)],"&gt;0",uitkomst_doelgroep[Uitgangssituatie/effect beleid],uitkomst_tech[[#This Row],[Uitgangssituatie/effect beleid]])</f>
        <v>0</v>
      </c>
    </row>
    <row r="72" spans="1:12" x14ac:dyDescent="0.5">
      <c r="A72" s="42" t="str">
        <f>INDEX(Technologieën[Veld],MATCH(B72,Technologieën[Digitale zorgtoepassing],0))</f>
        <v>Software - Behandeling</v>
      </c>
      <c r="B72" s="33" t="s">
        <v>716</v>
      </c>
      <c r="C72" s="33" t="s">
        <v>812</v>
      </c>
      <c r="D72" s="33">
        <v>2024</v>
      </c>
      <c r="E72" s="2">
        <v>52</v>
      </c>
      <c r="F72" s="397">
        <f>SUMIFS(uitkomst_doelgroep[Patiëntaantallen],uitkomst_doelgroep[Digitale zorgtoepassing],B72,uitkomst_doelgroep[Jaar],D72,uitkomst_doelgroep[Arbeidsbesparing (€)],"&gt;0",uitkomst_doelgroep[Uitgangssituatie/effect beleid],uitkomst_tech[[#This Row],[Uitgangssituatie/effect beleid]])</f>
        <v>0</v>
      </c>
      <c r="G72" s="398">
        <f>SUMIFS(uitkomst_doelgroep[Arbeidsbesparing (€)],uitkomst_doelgroep[Digitale zorgtoepassing],B72,uitkomst_doelgroep[Jaar],D72,uitkomst_doelgroep[Arbeidsbesparing (€)],"&gt;0",uitkomst_doelgroep[Uitgangssituatie/effect beleid],uitkomst_tech[[#This Row],[Uitgangssituatie/effect beleid]])</f>
        <v>0</v>
      </c>
      <c r="H72" s="398">
        <f>SUMIFS(uitkomst_doelgroep[Arbeidsbesparing (FTE)],uitkomst_doelgroep[Digitale zorgtoepassing],B72,uitkomst_doelgroep[Jaar],D72,uitkomst_doelgroep[Arbeidsbesparing (FTE)],"&gt;0",uitkomst_doelgroep[Uitgangssituatie/effect beleid],uitkomst_tech[[#This Row],[Uitgangssituatie/effect beleid]])</f>
        <v>0</v>
      </c>
      <c r="I72" s="398">
        <f>SUMIFS(uitkomst_doelgroep[Overige besparingen (€)],uitkomst_doelgroep[Digitale zorgtoepassing],B72,uitkomst_doelgroep[Jaar],D72,uitkomst_doelgroep[Overige besparingen (€)],"&gt;0",uitkomst_doelgroep[Uitgangssituatie/effect beleid],uitkomst_tech[[#This Row],[Uitgangssituatie/effect beleid]])</f>
        <v>0</v>
      </c>
      <c r="J72" s="398">
        <f>SUMIFS(uitkomst_doelgroep[QALY (€)],uitkomst_doelgroep[Digitale zorgtoepassing],B72,uitkomst_doelgroep[Jaar],D72,uitkomst_doelgroep[QALY (€)],"&gt;0",uitkomst_doelgroep[Uitgangssituatie/effect beleid],uitkomst_tech[[#This Row],[Uitgangssituatie/effect beleid]])</f>
        <v>0</v>
      </c>
      <c r="K72" s="398">
        <f>SUMIFS(uitkomst_doelgroep[Kosten (€)],uitkomst_doelgroep[Digitale zorgtoepassing],B72,uitkomst_doelgroep[Jaar],D72,uitkomst_doelgroep[Kosten (€)],"&gt;0",uitkomst_doelgroep[Uitgangssituatie/effect beleid],uitkomst_tech[[#This Row],[Uitgangssituatie/effect beleid]])</f>
        <v>0</v>
      </c>
      <c r="L72" s="398">
        <f>SUMIFS(uitkomst_doelgroep[Investering (cash flow) (€)],uitkomst_doelgroep[Digitale zorgtoepassing],B72,uitkomst_doelgroep[Jaar],D72,uitkomst_doelgroep[Investering (cash flow) (€)],"&gt;0",uitkomst_doelgroep[Uitgangssituatie/effect beleid],uitkomst_tech[[#This Row],[Uitgangssituatie/effect beleid]])</f>
        <v>0</v>
      </c>
    </row>
    <row r="73" spans="1:12" x14ac:dyDescent="0.5">
      <c r="A73" s="42" t="str">
        <f>INDEX(Technologieën[Veld],MATCH(B73,Technologieën[Digitale zorgtoepassing],0))</f>
        <v>Software - Behandeling</v>
      </c>
      <c r="B73" s="33" t="s">
        <v>716</v>
      </c>
      <c r="C73" s="33" t="s">
        <v>812</v>
      </c>
      <c r="D73" s="33">
        <v>2025</v>
      </c>
      <c r="E73" s="2">
        <v>84</v>
      </c>
      <c r="F73" s="397">
        <f>SUMIFS(uitkomst_doelgroep[Patiëntaantallen],uitkomst_doelgroep[Digitale zorgtoepassing],B73,uitkomst_doelgroep[Jaar],D73,uitkomst_doelgroep[Arbeidsbesparing (€)],"&gt;0",uitkomst_doelgroep[Uitgangssituatie/effect beleid],uitkomst_tech[[#This Row],[Uitgangssituatie/effect beleid]])</f>
        <v>0</v>
      </c>
      <c r="G73" s="398">
        <f>SUMIFS(uitkomst_doelgroep[Arbeidsbesparing (€)],uitkomst_doelgroep[Digitale zorgtoepassing],B73,uitkomst_doelgroep[Jaar],D73,uitkomst_doelgroep[Arbeidsbesparing (€)],"&gt;0",uitkomst_doelgroep[Uitgangssituatie/effect beleid],uitkomst_tech[[#This Row],[Uitgangssituatie/effect beleid]])</f>
        <v>0</v>
      </c>
      <c r="H73" s="398">
        <f>SUMIFS(uitkomst_doelgroep[Arbeidsbesparing (FTE)],uitkomst_doelgroep[Digitale zorgtoepassing],B73,uitkomst_doelgroep[Jaar],D73,uitkomst_doelgroep[Arbeidsbesparing (FTE)],"&gt;0",uitkomst_doelgroep[Uitgangssituatie/effect beleid],uitkomst_tech[[#This Row],[Uitgangssituatie/effect beleid]])</f>
        <v>0</v>
      </c>
      <c r="I73" s="398">
        <f>SUMIFS(uitkomst_doelgroep[Overige besparingen (€)],uitkomst_doelgroep[Digitale zorgtoepassing],B73,uitkomst_doelgroep[Jaar],D73,uitkomst_doelgroep[Overige besparingen (€)],"&gt;0",uitkomst_doelgroep[Uitgangssituatie/effect beleid],uitkomst_tech[[#This Row],[Uitgangssituatie/effect beleid]])</f>
        <v>0</v>
      </c>
      <c r="J73" s="398">
        <f>SUMIFS(uitkomst_doelgroep[QALY (€)],uitkomst_doelgroep[Digitale zorgtoepassing],B73,uitkomst_doelgroep[Jaar],D73,uitkomst_doelgroep[QALY (€)],"&gt;0",uitkomst_doelgroep[Uitgangssituatie/effect beleid],uitkomst_tech[[#This Row],[Uitgangssituatie/effect beleid]])</f>
        <v>0</v>
      </c>
      <c r="K73" s="398">
        <f>SUMIFS(uitkomst_doelgroep[Kosten (€)],uitkomst_doelgroep[Digitale zorgtoepassing],B73,uitkomst_doelgroep[Jaar],D73,uitkomst_doelgroep[Kosten (€)],"&gt;0",uitkomst_doelgroep[Uitgangssituatie/effect beleid],uitkomst_tech[[#This Row],[Uitgangssituatie/effect beleid]])</f>
        <v>0</v>
      </c>
      <c r="L73" s="398">
        <f>SUMIFS(uitkomst_doelgroep[Investering (cash flow) (€)],uitkomst_doelgroep[Digitale zorgtoepassing],B73,uitkomst_doelgroep[Jaar],D73,uitkomst_doelgroep[Investering (cash flow) (€)],"&gt;0",uitkomst_doelgroep[Uitgangssituatie/effect beleid],uitkomst_tech[[#This Row],[Uitgangssituatie/effect beleid]])</f>
        <v>0</v>
      </c>
    </row>
    <row r="74" spans="1:12" x14ac:dyDescent="0.5">
      <c r="A74" s="42" t="str">
        <f>INDEX(Technologieën[Veld],MATCH(B74,Technologieën[Digitale zorgtoepassing],0))</f>
        <v>Software - Behandeling</v>
      </c>
      <c r="B74" s="33" t="s">
        <v>716</v>
      </c>
      <c r="C74" s="33" t="s">
        <v>812</v>
      </c>
      <c r="D74" s="33">
        <v>2026</v>
      </c>
      <c r="E74" s="2">
        <v>116</v>
      </c>
      <c r="F74" s="397">
        <f>SUMIFS(uitkomst_doelgroep[Patiëntaantallen],uitkomst_doelgroep[Digitale zorgtoepassing],B74,uitkomst_doelgroep[Jaar],D74,uitkomst_doelgroep[Arbeidsbesparing (€)],"&gt;0",uitkomst_doelgroep[Uitgangssituatie/effect beleid],uitkomst_tech[[#This Row],[Uitgangssituatie/effect beleid]])</f>
        <v>1297.3600000000001</v>
      </c>
      <c r="G74" s="398">
        <f>SUMIFS(uitkomst_doelgroep[Arbeidsbesparing (€)],uitkomst_doelgroep[Digitale zorgtoepassing],B74,uitkomst_doelgroep[Jaar],D74,uitkomst_doelgroep[Arbeidsbesparing (€)],"&gt;0",uitkomst_doelgroep[Uitgangssituatie/effect beleid],uitkomst_tech[[#This Row],[Uitgangssituatie/effect beleid]])</f>
        <v>19530.457440000006</v>
      </c>
      <c r="H74" s="398">
        <f>SUMIFS(uitkomst_doelgroep[Arbeidsbesparing (FTE)],uitkomst_doelgroep[Digitale zorgtoepassing],B74,uitkomst_doelgroep[Jaar],D74,uitkomst_doelgroep[Arbeidsbesparing (FTE)],"&gt;0",uitkomst_doelgroep[Uitgangssituatie/effect beleid],uitkomst_tech[[#This Row],[Uitgangssituatie/effect beleid]])</f>
        <v>0.33848643908199577</v>
      </c>
      <c r="I74" s="398">
        <f>SUMIFS(uitkomst_doelgroep[Overige besparingen (€)],uitkomst_doelgroep[Digitale zorgtoepassing],B74,uitkomst_doelgroep[Jaar],D74,uitkomst_doelgroep[Overige besparingen (€)],"&gt;0",uitkomst_doelgroep[Uitgangssituatie/effect beleid],uitkomst_tech[[#This Row],[Uitgangssituatie/effect beleid]])</f>
        <v>13020.304960000003</v>
      </c>
      <c r="J74" s="398">
        <f>SUMIFS(uitkomst_doelgroep[QALY (€)],uitkomst_doelgroep[Digitale zorgtoepassing],B74,uitkomst_doelgroep[Jaar],D74,uitkomst_doelgroep[QALY (€)],"&gt;0",uitkomst_doelgroep[Uitgangssituatie/effect beleid],uitkomst_tech[[#This Row],[Uitgangssituatie/effect beleid]])</f>
        <v>116762.40000000001</v>
      </c>
      <c r="K74" s="398">
        <f>SUMIFS(uitkomst_doelgroep[Kosten (€)],uitkomst_doelgroep[Digitale zorgtoepassing],B74,uitkomst_doelgroep[Jaar],D74,uitkomst_doelgroep[Kosten (€)],"&gt;0",uitkomst_doelgroep[Uitgangssituatie/effect beleid],uitkomst_tech[[#This Row],[Uitgangssituatie/effect beleid]])</f>
        <v>77841.600000000006</v>
      </c>
      <c r="L74" s="398">
        <f>SUMIFS(uitkomst_doelgroep[Investering (cash flow) (€)],uitkomst_doelgroep[Digitale zorgtoepassing],B74,uitkomst_doelgroep[Jaar],D74,uitkomst_doelgroep[Investering (cash flow) (€)],"&gt;0",uitkomst_doelgroep[Uitgangssituatie/effect beleid],uitkomst_tech[[#This Row],[Uitgangssituatie/effect beleid]])</f>
        <v>0</v>
      </c>
    </row>
    <row r="75" spans="1:12" x14ac:dyDescent="0.5">
      <c r="A75" s="42" t="str">
        <f>INDEX(Technologieën[Veld],MATCH(B75,Technologieën[Digitale zorgtoepassing],0))</f>
        <v>Software - Behandeling</v>
      </c>
      <c r="B75" s="33" t="s">
        <v>716</v>
      </c>
      <c r="C75" s="33" t="s">
        <v>812</v>
      </c>
      <c r="D75" s="33">
        <v>2027</v>
      </c>
      <c r="E75" s="2">
        <v>148</v>
      </c>
      <c r="F75" s="397">
        <f>SUMIFS(uitkomst_doelgroep[Patiëntaantallen],uitkomst_doelgroep[Digitale zorgtoepassing],B75,uitkomst_doelgroep[Jaar],D75,uitkomst_doelgroep[Arbeidsbesparing (€)],"&gt;0",uitkomst_doelgroep[Uitgangssituatie/effect beleid],uitkomst_tech[[#This Row],[Uitgangssituatie/effect beleid]])</f>
        <v>3077.3379199999999</v>
      </c>
      <c r="G75" s="398">
        <f>SUMIFS(uitkomst_doelgroep[Arbeidsbesparing (€)],uitkomst_doelgroep[Digitale zorgtoepassing],B75,uitkomst_doelgroep[Jaar],D75,uitkomst_doelgroep[Arbeidsbesparing (€)],"&gt;0",uitkomst_doelgroep[Uitgangssituatie/effect beleid],uitkomst_tech[[#This Row],[Uitgangssituatie/effect beleid]])</f>
        <v>46326.245047680008</v>
      </c>
      <c r="H75" s="398">
        <f>SUMIFS(uitkomst_doelgroep[Arbeidsbesparing (FTE)],uitkomst_doelgroep[Digitale zorgtoepassing],B75,uitkomst_doelgroep[Jaar],D75,uitkomst_doelgroep[Arbeidsbesparing (FTE)],"&gt;0",uitkomst_doelgroep[Uitgangssituatie/effect beleid],uitkomst_tech[[#This Row],[Uitgangssituatie/effect beleid]])</f>
        <v>0.80288983350249388</v>
      </c>
      <c r="I75" s="398">
        <f>SUMIFS(uitkomst_doelgroep[Overige besparingen (€)],uitkomst_doelgroep[Digitale zorgtoepassing],B75,uitkomst_doelgroep[Jaar],D75,uitkomst_doelgroep[Overige besparingen (€)],"&gt;0",uitkomst_doelgroep[Uitgangssituatie/effect beleid],uitkomst_tech[[#This Row],[Uitgangssituatie/effect beleid]])</f>
        <v>30884.163365120003</v>
      </c>
      <c r="J75" s="398">
        <f>SUMIFS(uitkomst_doelgroep[QALY (€)],uitkomst_doelgroep[Digitale zorgtoepassing],B75,uitkomst_doelgroep[Jaar],D75,uitkomst_doelgroep[QALY (€)],"&gt;0",uitkomst_doelgroep[Uitgangssituatie/effect beleid],uitkomst_tech[[#This Row],[Uitgangssituatie/effect beleid]])</f>
        <v>276960.41279999999</v>
      </c>
      <c r="K75" s="398">
        <f>SUMIFS(uitkomst_doelgroep[Kosten (€)],uitkomst_doelgroep[Digitale zorgtoepassing],B75,uitkomst_doelgroep[Jaar],D75,uitkomst_doelgroep[Kosten (€)],"&gt;0",uitkomst_doelgroep[Uitgangssituatie/effect beleid],uitkomst_tech[[#This Row],[Uitgangssituatie/effect beleid]])</f>
        <v>184640.27519999997</v>
      </c>
      <c r="L75" s="398">
        <f>SUMIFS(uitkomst_doelgroep[Investering (cash flow) (€)],uitkomst_doelgroep[Digitale zorgtoepassing],B75,uitkomst_doelgroep[Jaar],D75,uitkomst_doelgroep[Investering (cash flow) (€)],"&gt;0",uitkomst_doelgroep[Uitgangssituatie/effect beleid],uitkomst_tech[[#This Row],[Uitgangssituatie/effect beleid]])</f>
        <v>0</v>
      </c>
    </row>
    <row r="76" spans="1:12" x14ac:dyDescent="0.5">
      <c r="A76" s="42" t="str">
        <f>INDEX(Technologieën[Veld],MATCH(B76,Technologieën[Digitale zorgtoepassing],0))</f>
        <v>Software - Behandeling</v>
      </c>
      <c r="B76" s="33" t="s">
        <v>716</v>
      </c>
      <c r="C76" s="33" t="s">
        <v>812</v>
      </c>
      <c r="D76" s="33">
        <v>2028</v>
      </c>
      <c r="E76" s="2">
        <v>180</v>
      </c>
      <c r="F76" s="397">
        <f>SUMIFS(uitkomst_doelgroep[Patiëntaantallen],uitkomst_doelgroep[Digitale zorgtoepassing],B76,uitkomst_doelgroep[Jaar],D76,uitkomst_doelgroep[Arbeidsbesparing (€)],"&gt;0",uitkomst_doelgroep[Uitgangssituatie/effect beleid],uitkomst_tech[[#This Row],[Uitgangssituatie/effect beleid]])</f>
        <v>5485.6907652300806</v>
      </c>
      <c r="G76" s="398">
        <f>SUMIFS(uitkomst_doelgroep[Arbeidsbesparing (€)],uitkomst_doelgroep[Digitale zorgtoepassing],B76,uitkomst_doelgroep[Jaar],D76,uitkomst_doelgroep[Arbeidsbesparing (€)],"&gt;0",uitkomst_doelgroep[Uitgangssituatie/effect beleid],uitkomst_tech[[#This Row],[Uitgangssituatie/effect beleid]])</f>
        <v>82581.58877977365</v>
      </c>
      <c r="H76" s="398">
        <f>SUMIFS(uitkomst_doelgroep[Arbeidsbesparing (FTE)],uitkomst_doelgroep[Digitale zorgtoepassing],B76,uitkomst_doelgroep[Jaar],D76,uitkomst_doelgroep[Arbeidsbesparing (FTE)],"&gt;0",uitkomst_doelgroep[Uitgangssituatie/effect beleid],uitkomst_tech[[#This Row],[Uitgangssituatie/effect beleid]])</f>
        <v>1.4312387718348942</v>
      </c>
      <c r="I76" s="398">
        <f>SUMIFS(uitkomst_doelgroep[Overige besparingen (€)],uitkomst_doelgroep[Digitale zorgtoepassing],B76,uitkomst_doelgroep[Jaar],D76,uitkomst_doelgroep[Overige besparingen (€)],"&gt;0",uitkomst_doelgroep[Uitgangssituatie/effect beleid],uitkomst_tech[[#This Row],[Uitgangssituatie/effect beleid]])</f>
        <v>55054.392519849098</v>
      </c>
      <c r="J76" s="398">
        <f>SUMIFS(uitkomst_doelgroep[QALY (€)],uitkomst_doelgroep[Digitale zorgtoepassing],B76,uitkomst_doelgroep[Jaar],D76,uitkomst_doelgroep[QALY (€)],"&gt;0",uitkomst_doelgroep[Uitgangssituatie/effect beleid],uitkomst_tech[[#This Row],[Uitgangssituatie/effect beleid]])</f>
        <v>493712.16887070722</v>
      </c>
      <c r="K76" s="398">
        <f>SUMIFS(uitkomst_doelgroep[Kosten (€)],uitkomst_doelgroep[Digitale zorgtoepassing],B76,uitkomst_doelgroep[Jaar],D76,uitkomst_doelgroep[Kosten (€)],"&gt;0",uitkomst_doelgroep[Uitgangssituatie/effect beleid],uitkomst_tech[[#This Row],[Uitgangssituatie/effect beleid]])</f>
        <v>329141.44591380481</v>
      </c>
      <c r="L76" s="398">
        <f>SUMIFS(uitkomst_doelgroep[Investering (cash flow) (€)],uitkomst_doelgroep[Digitale zorgtoepassing],B76,uitkomst_doelgroep[Jaar],D76,uitkomst_doelgroep[Investering (cash flow) (€)],"&gt;0",uitkomst_doelgroep[Uitgangssituatie/effect beleid],uitkomst_tech[[#This Row],[Uitgangssituatie/effect beleid]])</f>
        <v>0</v>
      </c>
    </row>
    <row r="77" spans="1:12" x14ac:dyDescent="0.5">
      <c r="A77" s="42" t="str">
        <f>INDEX(Technologieën[Veld],MATCH(B77,Technologieën[Digitale zorgtoepassing],0))</f>
        <v>Software - Behandeling</v>
      </c>
      <c r="B77" s="33" t="s">
        <v>716</v>
      </c>
      <c r="C77" s="33" t="s">
        <v>812</v>
      </c>
      <c r="D77" s="33">
        <v>2029</v>
      </c>
      <c r="E77" s="2">
        <v>212</v>
      </c>
      <c r="F77" s="397">
        <f>SUMIFS(uitkomst_doelgroep[Patiëntaantallen],uitkomst_doelgroep[Digitale zorgtoepassing],B77,uitkomst_doelgroep[Jaar],D77,uitkomst_doelgroep[Arbeidsbesparing (€)],"&gt;0",uitkomst_doelgroep[Uitgangssituatie/effect beleid],uitkomst_tech[[#This Row],[Uitgangssituatie/effect beleid]])</f>
        <v>8682.0499386855099</v>
      </c>
      <c r="G77" s="398">
        <f>SUMIFS(uitkomst_doelgroep[Arbeidsbesparing (€)],uitkomst_doelgroep[Digitale zorgtoepassing],B77,uitkomst_doelgroep[Jaar],D77,uitkomst_doelgroep[Arbeidsbesparing (€)],"&gt;0",uitkomst_doelgroep[Uitgangssituatie/effect beleid],uitkomst_tech[[#This Row],[Uitgangssituatie/effect beleid]])</f>
        <v>130699.5797769717</v>
      </c>
      <c r="H77" s="398">
        <f>SUMIFS(uitkomst_doelgroep[Arbeidsbesparing (FTE)],uitkomst_doelgroep[Digitale zorgtoepassing],B77,uitkomst_doelgroep[Jaar],D77,uitkomst_doelgroep[Arbeidsbesparing (FTE)],"&gt;0",uitkomst_doelgroep[Uitgangssituatie/effect beleid],uitkomst_tech[[#This Row],[Uitgangssituatie/effect beleid]])</f>
        <v>2.2651817288013492</v>
      </c>
      <c r="I77" s="398">
        <f>SUMIFS(uitkomst_doelgroep[Overige besparingen (€)],uitkomst_doelgroep[Digitale zorgtoepassing],B77,uitkomst_doelgroep[Jaar],D77,uitkomst_doelgroep[Overige besparingen (€)],"&gt;0",uitkomst_doelgroep[Uitgangssituatie/effect beleid],uitkomst_tech[[#This Row],[Uitgangssituatie/effect beleid]])</f>
        <v>87133.053184647797</v>
      </c>
      <c r="J77" s="398">
        <f>SUMIFS(uitkomst_doelgroep[QALY (€)],uitkomst_doelgroep[Digitale zorgtoepassing],B77,uitkomst_doelgroep[Jaar],D77,uitkomst_doelgroep[QALY (€)],"&gt;0",uitkomst_doelgroep[Uitgangssituatie/effect beleid],uitkomst_tech[[#This Row],[Uitgangssituatie/effect beleid]])</f>
        <v>781384.49448169593</v>
      </c>
      <c r="K77" s="398">
        <f>SUMIFS(uitkomst_doelgroep[Kosten (€)],uitkomst_doelgroep[Digitale zorgtoepassing],B77,uitkomst_doelgroep[Jaar],D77,uitkomst_doelgroep[Kosten (€)],"&gt;0",uitkomst_doelgroep[Uitgangssituatie/effect beleid],uitkomst_tech[[#This Row],[Uitgangssituatie/effect beleid]])</f>
        <v>520922.9963211306</v>
      </c>
      <c r="L77" s="398">
        <f>SUMIFS(uitkomst_doelgroep[Investering (cash flow) (€)],uitkomst_doelgroep[Digitale zorgtoepassing],B77,uitkomst_doelgroep[Jaar],D77,uitkomst_doelgroep[Investering (cash flow) (€)],"&gt;0",uitkomst_doelgroep[Uitgangssituatie/effect beleid],uitkomst_tech[[#This Row],[Uitgangssituatie/effect beleid]])</f>
        <v>0</v>
      </c>
    </row>
    <row r="78" spans="1:12" x14ac:dyDescent="0.5">
      <c r="A78" s="42" t="str">
        <f>INDEX(Technologieën[Veld],MATCH(B78,Technologieën[Digitale zorgtoepassing],0))</f>
        <v>Software - Behandeling</v>
      </c>
      <c r="B78" s="33" t="s">
        <v>716</v>
      </c>
      <c r="C78" s="33" t="s">
        <v>812</v>
      </c>
      <c r="D78" s="33">
        <v>2030</v>
      </c>
      <c r="E78" s="2">
        <v>244</v>
      </c>
      <c r="F78" s="397">
        <f>SUMIFS(uitkomst_doelgroep[Patiëntaantallen],uitkomst_doelgroep[Digitale zorgtoepassing],B78,uitkomst_doelgroep[Jaar],D78,uitkomst_doelgroep[Arbeidsbesparing (€)],"&gt;0",uitkomst_doelgroep[Uitgangssituatie/effect beleid],uitkomst_tech[[#This Row],[Uitgangssituatie/effect beleid]])</f>
        <v>12813.780435779239</v>
      </c>
      <c r="G78" s="398">
        <f>SUMIFS(uitkomst_doelgroep[Arbeidsbesparing (€)],uitkomst_doelgroep[Digitale zorgtoepassing],B78,uitkomst_doelgroep[Jaar],D78,uitkomst_doelgroep[Arbeidsbesparing (€)],"&gt;0",uitkomst_doelgroep[Uitgangssituatie/effect beleid],uitkomst_tech[[#This Row],[Uitgangssituatie/effect beleid]])</f>
        <v>192898.65068022072</v>
      </c>
      <c r="H78" s="398">
        <f>SUMIFS(uitkomst_doelgroep[Arbeidsbesparing (FTE)],uitkomst_doelgroep[Digitale zorgtoepassing],B78,uitkomst_doelgroep[Jaar],D78,uitkomst_doelgroep[Arbeidsbesparing (FTE)],"&gt;0",uitkomst_doelgroep[Uitgangssituatie/effect beleid],uitkomst_tech[[#This Row],[Uitgangssituatie/effect beleid]])</f>
        <v>3.3431668240777106</v>
      </c>
      <c r="I78" s="398">
        <f>SUMIFS(uitkomst_doelgroep[Overige besparingen (€)],uitkomst_doelgroep[Digitale zorgtoepassing],B78,uitkomst_doelgroep[Jaar],D78,uitkomst_doelgroep[Overige besparingen (€)],"&gt;0",uitkomst_doelgroep[Uitgangssituatie/effect beleid],uitkomst_tech[[#This Row],[Uitgangssituatie/effect beleid]])</f>
        <v>128599.10045348048</v>
      </c>
      <c r="J78" s="398">
        <f>SUMIFS(uitkomst_doelgroep[QALY (€)],uitkomst_doelgroep[Digitale zorgtoepassing],B78,uitkomst_doelgroep[Jaar],D78,uitkomst_doelgroep[QALY (€)],"&gt;0",uitkomst_doelgroep[Uitgangssituatie/effect beleid],uitkomst_tech[[#This Row],[Uitgangssituatie/effect beleid]])</f>
        <v>1153240.2392201317</v>
      </c>
      <c r="K78" s="398">
        <f>SUMIFS(uitkomst_doelgroep[Kosten (€)],uitkomst_doelgroep[Digitale zorgtoepassing],B78,uitkomst_doelgroep[Jaar],D78,uitkomst_doelgroep[Kosten (€)],"&gt;0",uitkomst_doelgroep[Uitgangssituatie/effect beleid],uitkomst_tech[[#This Row],[Uitgangssituatie/effect beleid]])</f>
        <v>768826.82614675444</v>
      </c>
      <c r="L78" s="398">
        <f>SUMIFS(uitkomst_doelgroep[Investering (cash flow) (€)],uitkomst_doelgroep[Digitale zorgtoepassing],B78,uitkomst_doelgroep[Jaar],D78,uitkomst_doelgroep[Investering (cash flow) (€)],"&gt;0",uitkomst_doelgroep[Uitgangssituatie/effect beleid],uitkomst_tech[[#This Row],[Uitgangssituatie/effect beleid]])</f>
        <v>0</v>
      </c>
    </row>
    <row r="79" spans="1:12" x14ac:dyDescent="0.5">
      <c r="A79" s="42" t="str">
        <f>INDEX(Technologieën[Veld],MATCH(B79,Technologieën[Digitale zorgtoepassing],0))</f>
        <v>Software - Behandeling</v>
      </c>
      <c r="B79" s="33" t="s">
        <v>716</v>
      </c>
      <c r="C79" s="33" t="s">
        <v>812</v>
      </c>
      <c r="D79" s="33">
        <v>2031</v>
      </c>
      <c r="E79" s="2">
        <v>276</v>
      </c>
      <c r="F79" s="397">
        <f>SUMIFS(uitkomst_doelgroep[Patiëntaantallen],uitkomst_doelgroep[Digitale zorgtoepassing],B79,uitkomst_doelgroep[Jaar],D79,uitkomst_doelgroep[Arbeidsbesparing (€)],"&gt;0",uitkomst_doelgroep[Uitgangssituatie/effect beleid],uitkomst_tech[[#This Row],[Uitgangssituatie/effect beleid]])</f>
        <v>17967.902628455831</v>
      </c>
      <c r="G79" s="398">
        <f>SUMIFS(uitkomst_doelgroep[Arbeidsbesparing (€)],uitkomst_doelgroep[Digitale zorgtoepassing],B79,uitkomst_doelgroep[Jaar],D79,uitkomst_doelgroep[Arbeidsbesparing (€)],"&gt;0",uitkomst_doelgroep[Uitgangssituatie/effect beleid],uitkomst_tech[[#This Row],[Uitgangssituatie/effect beleid]])</f>
        <v>270488.80616877414</v>
      </c>
      <c r="H79" s="398">
        <f>SUMIFS(uitkomst_doelgroep[Arbeidsbesparing (FTE)],uitkomst_doelgroep[Digitale zorgtoepassing],B79,uitkomst_doelgroep[Jaar],D79,uitkomst_doelgroep[Arbeidsbesparing (FTE)],"&gt;0",uitkomst_doelgroep[Uitgangssituatie/effect beleid],uitkomst_tech[[#This Row],[Uitgangssituatie/effect beleid]])</f>
        <v>4.6878980225057392</v>
      </c>
      <c r="I79" s="398">
        <f>SUMIFS(uitkomst_doelgroep[Overige besparingen (€)],uitkomst_doelgroep[Digitale zorgtoepassing],B79,uitkomst_doelgroep[Jaar],D79,uitkomst_doelgroep[Overige besparingen (€)],"&gt;0",uitkomst_doelgroep[Uitgangssituatie/effect beleid],uitkomst_tech[[#This Row],[Uitgangssituatie/effect beleid]])</f>
        <v>180325.87077918273</v>
      </c>
      <c r="J79" s="398">
        <f>SUMIFS(uitkomst_doelgroep[QALY (€)],uitkomst_doelgroep[Digitale zorgtoepassing],B79,uitkomst_doelgroep[Jaar],D79,uitkomst_doelgroep[QALY (€)],"&gt;0",uitkomst_doelgroep[Uitgangssituatie/effect beleid],uitkomst_tech[[#This Row],[Uitgangssituatie/effect beleid]])</f>
        <v>1617111.2365610246</v>
      </c>
      <c r="K79" s="398">
        <f>SUMIFS(uitkomst_doelgroep[Kosten (€)],uitkomst_doelgroep[Digitale zorgtoepassing],B79,uitkomst_doelgroep[Jaar],D79,uitkomst_doelgroep[Kosten (€)],"&gt;0",uitkomst_doelgroep[Uitgangssituatie/effect beleid],uitkomst_tech[[#This Row],[Uitgangssituatie/effect beleid]])</f>
        <v>1078074.1577073499</v>
      </c>
      <c r="L79" s="398">
        <f>SUMIFS(uitkomst_doelgroep[Investering (cash flow) (€)],uitkomst_doelgroep[Digitale zorgtoepassing],B79,uitkomst_doelgroep[Jaar],D79,uitkomst_doelgroep[Investering (cash flow) (€)],"&gt;0",uitkomst_doelgroep[Uitgangssituatie/effect beleid],uitkomst_tech[[#This Row],[Uitgangssituatie/effect beleid]])</f>
        <v>0</v>
      </c>
    </row>
    <row r="80" spans="1:12" x14ac:dyDescent="0.5">
      <c r="A80" s="42" t="str">
        <f>INDEX(Technologieën[Veld],MATCH(B80,Technologieën[Digitale zorgtoepassing],0))</f>
        <v>Software - Behandeling</v>
      </c>
      <c r="B80" s="33" t="s">
        <v>716</v>
      </c>
      <c r="C80" s="33" t="s">
        <v>812</v>
      </c>
      <c r="D80" s="33">
        <v>2032</v>
      </c>
      <c r="E80" s="2">
        <v>308</v>
      </c>
      <c r="F80" s="397">
        <f>SUMIFS(uitkomst_doelgroep[Patiëntaantallen],uitkomst_doelgroep[Digitale zorgtoepassing],B80,uitkomst_doelgroep[Jaar],D80,uitkomst_doelgroep[Arbeidsbesparing (€)],"&gt;0",uitkomst_doelgroep[Uitgangssituatie/effect beleid],uitkomst_tech[[#This Row],[Uitgangssituatie/effect beleid]])</f>
        <v>24102.281111848995</v>
      </c>
      <c r="G80" s="398">
        <f>SUMIFS(uitkomst_doelgroep[Arbeidsbesparing (€)],uitkomst_doelgroep[Digitale zorgtoepassing],B80,uitkomst_doelgroep[Jaar],D80,uitkomst_doelgroep[Arbeidsbesparing (€)],"&gt;0",uitkomst_doelgroep[Uitgangssituatie/effect beleid],uitkomst_tech[[#This Row],[Uitgangssituatie/effect beleid]])</f>
        <v>362835.73985777487</v>
      </c>
      <c r="H80" s="398">
        <f>SUMIFS(uitkomst_doelgroep[Arbeidsbesparing (FTE)],uitkomst_doelgroep[Digitale zorgtoepassing],B80,uitkomst_doelgroep[Jaar],D80,uitkomst_doelgroep[Arbeidsbesparing (FTE)],"&gt;0",uitkomst_doelgroep[Uitgangssituatie/effect beleid],uitkomst_tech[[#This Row],[Uitgangssituatie/effect beleid]])</f>
        <v>6.2883820275814051</v>
      </c>
      <c r="I80" s="398">
        <f>SUMIFS(uitkomst_doelgroep[Overige besparingen (€)],uitkomst_doelgroep[Digitale zorgtoepassing],B80,uitkomst_doelgroep[Jaar],D80,uitkomst_doelgroep[Overige besparingen (€)],"&gt;0",uitkomst_doelgroep[Uitgangssituatie/effect beleid],uitkomst_tech[[#This Row],[Uitgangssituatie/effect beleid]])</f>
        <v>241890.49323851656</v>
      </c>
      <c r="J80" s="398">
        <f>SUMIFS(uitkomst_doelgroep[QALY (€)],uitkomst_doelgroep[Digitale zorgtoepassing],B80,uitkomst_doelgroep[Jaar],D80,uitkomst_doelgroep[QALY (€)],"&gt;0",uitkomst_doelgroep[Uitgangssituatie/effect beleid],uitkomst_tech[[#This Row],[Uitgangssituatie/effect beleid]])</f>
        <v>2169205.3000664096</v>
      </c>
      <c r="K80" s="398">
        <f>SUMIFS(uitkomst_doelgroep[Kosten (€)],uitkomst_doelgroep[Digitale zorgtoepassing],B80,uitkomst_doelgroep[Jaar],D80,uitkomst_doelgroep[Kosten (€)],"&gt;0",uitkomst_doelgroep[Uitgangssituatie/effect beleid],uitkomst_tech[[#This Row],[Uitgangssituatie/effect beleid]])</f>
        <v>1446136.8667109397</v>
      </c>
      <c r="L80" s="398">
        <f>SUMIFS(uitkomst_doelgroep[Investering (cash flow) (€)],uitkomst_doelgroep[Digitale zorgtoepassing],B80,uitkomst_doelgroep[Jaar],D80,uitkomst_doelgroep[Investering (cash flow) (€)],"&gt;0",uitkomst_doelgroep[Uitgangssituatie/effect beleid],uitkomst_tech[[#This Row],[Uitgangssituatie/effect beleid]])</f>
        <v>0</v>
      </c>
    </row>
    <row r="81" spans="1:12" x14ac:dyDescent="0.5">
      <c r="A81" s="42" t="str">
        <f>INDEX(Technologieën[Veld],MATCH(B81,Technologieën[Digitale zorgtoepassing],0))</f>
        <v>Software - Behandeling</v>
      </c>
      <c r="B81" s="33" t="s">
        <v>716</v>
      </c>
      <c r="C81" s="33" t="s">
        <v>812</v>
      </c>
      <c r="D81" s="33">
        <v>2033</v>
      </c>
      <c r="E81" s="2">
        <v>340</v>
      </c>
      <c r="F81" s="397">
        <f>SUMIFS(uitkomst_doelgroep[Patiëntaantallen],uitkomst_doelgroep[Digitale zorgtoepassing],B81,uitkomst_doelgroep[Jaar],D81,uitkomst_doelgroep[Arbeidsbesparing (€)],"&gt;0",uitkomst_doelgroep[Uitgangssituatie/effect beleid],uitkomst_tech[[#This Row],[Uitgangssituatie/effect beleid]])</f>
        <v>30976.341351169809</v>
      </c>
      <c r="G81" s="398">
        <f>SUMIFS(uitkomst_doelgroep[Arbeidsbesparing (€)],uitkomst_doelgroep[Digitale zorgtoepassing],B81,uitkomst_doelgroep[Jaar],D81,uitkomst_doelgroep[Arbeidsbesparing (€)],"&gt;0",uitkomst_doelgroep[Uitgangssituatie/effect beleid],uitkomst_tech[[#This Row],[Uitgangssituatie/effect beleid]])</f>
        <v>466317.8427005104</v>
      </c>
      <c r="H81" s="398">
        <f>SUMIFS(uitkomst_doelgroep[Arbeidsbesparing (FTE)],uitkomst_doelgroep[Digitale zorgtoepassing],B81,uitkomst_doelgroep[Jaar],D81,uitkomst_doelgroep[Arbeidsbesparing (FTE)],"&gt;0",uitkomst_doelgroep[Uitgangssituatie/effect beleid],uitkomst_tech[[#This Row],[Uitgangssituatie/effect beleid]])</f>
        <v>8.0818519761252432</v>
      </c>
      <c r="I81" s="398">
        <f>SUMIFS(uitkomst_doelgroep[Overige besparingen (€)],uitkomst_doelgroep[Digitale zorgtoepassing],B81,uitkomst_doelgroep[Jaar],D81,uitkomst_doelgroep[Overige besparingen (€)],"&gt;0",uitkomst_doelgroep[Uitgangssituatie/effect beleid],uitkomst_tech[[#This Row],[Uitgangssituatie/effect beleid]])</f>
        <v>310878.56180034031</v>
      </c>
      <c r="J81" s="398">
        <f>SUMIFS(uitkomst_doelgroep[QALY (€)],uitkomst_doelgroep[Digitale zorgtoepassing],B81,uitkomst_doelgroep[Jaar],D81,uitkomst_doelgroep[QALY (€)],"&gt;0",uitkomst_doelgroep[Uitgangssituatie/effect beleid],uitkomst_tech[[#This Row],[Uitgangssituatie/effect beleid]])</f>
        <v>2787870.7216052827</v>
      </c>
      <c r="K81" s="398">
        <f>SUMIFS(uitkomst_doelgroep[Kosten (€)],uitkomst_doelgroep[Digitale zorgtoepassing],B81,uitkomst_doelgroep[Jaar],D81,uitkomst_doelgroep[Kosten (€)],"&gt;0",uitkomst_doelgroep[Uitgangssituatie/effect beleid],uitkomst_tech[[#This Row],[Uitgangssituatie/effect beleid]])</f>
        <v>1858580.4810701886</v>
      </c>
      <c r="L81" s="398">
        <f>SUMIFS(uitkomst_doelgroep[Investering (cash flow) (€)],uitkomst_doelgroep[Digitale zorgtoepassing],B81,uitkomst_doelgroep[Jaar],D81,uitkomst_doelgroep[Investering (cash flow) (€)],"&gt;0",uitkomst_doelgroep[Uitgangssituatie/effect beleid],uitkomst_tech[[#This Row],[Uitgangssituatie/effect beleid]])</f>
        <v>0</v>
      </c>
    </row>
    <row r="82" spans="1:12" x14ac:dyDescent="0.5">
      <c r="A82" s="42" t="str">
        <f>INDEX(Technologieën[Veld],MATCH(B82,Technologieën[Digitale zorgtoepassing],0))</f>
        <v>Software - Diagnose</v>
      </c>
      <c r="B82" s="2" t="s">
        <v>66</v>
      </c>
      <c r="C82" s="33" t="s">
        <v>812</v>
      </c>
      <c r="D82" s="33">
        <v>2023</v>
      </c>
      <c r="E82" s="2">
        <v>28</v>
      </c>
      <c r="F82" s="397">
        <f>SUMIFS(uitkomst_doelgroep[Patiëntaantallen],uitkomst_doelgroep[Digitale zorgtoepassing],B82,uitkomst_doelgroep[Jaar],D82,uitkomst_doelgroep[Arbeidsbesparing (€)],"&gt;0",uitkomst_doelgroep[Uitgangssituatie/effect beleid],uitkomst_tech[[#This Row],[Uitgangssituatie/effect beleid]])</f>
        <v>0</v>
      </c>
      <c r="G82" s="398">
        <f>SUMIFS(uitkomst_doelgroep[Arbeidsbesparing (€)],uitkomst_doelgroep[Digitale zorgtoepassing],B82,uitkomst_doelgroep[Jaar],D82,uitkomst_doelgroep[Arbeidsbesparing (€)],"&gt;0",uitkomst_doelgroep[Uitgangssituatie/effect beleid],uitkomst_tech[[#This Row],[Uitgangssituatie/effect beleid]])</f>
        <v>0</v>
      </c>
      <c r="H82" s="398">
        <f>SUMIFS(uitkomst_doelgroep[Arbeidsbesparing (FTE)],uitkomst_doelgroep[Digitale zorgtoepassing],B82,uitkomst_doelgroep[Jaar],D82,uitkomst_doelgroep[Arbeidsbesparing (FTE)],"&gt;0",uitkomst_doelgroep[Uitgangssituatie/effect beleid],uitkomst_tech[[#This Row],[Uitgangssituatie/effect beleid]])</f>
        <v>0</v>
      </c>
      <c r="I82" s="398">
        <f>SUMIFS(uitkomst_doelgroep[Overige besparingen (€)],uitkomst_doelgroep[Digitale zorgtoepassing],B82,uitkomst_doelgroep[Jaar],D82,uitkomst_doelgroep[Overige besparingen (€)],"&gt;0",uitkomst_doelgroep[Uitgangssituatie/effect beleid],uitkomst_tech[[#This Row],[Uitgangssituatie/effect beleid]])</f>
        <v>0</v>
      </c>
      <c r="J82" s="398">
        <f>SUMIFS(uitkomst_doelgroep[QALY (€)],uitkomst_doelgroep[Digitale zorgtoepassing],B82,uitkomst_doelgroep[Jaar],D82,uitkomst_doelgroep[QALY (€)],"&gt;0",uitkomst_doelgroep[Uitgangssituatie/effect beleid],uitkomst_tech[[#This Row],[Uitgangssituatie/effect beleid]])</f>
        <v>0</v>
      </c>
      <c r="K82" s="398">
        <f>SUMIFS(uitkomst_doelgroep[Kosten (€)],uitkomst_doelgroep[Digitale zorgtoepassing],B82,uitkomst_doelgroep[Jaar],D82,uitkomst_doelgroep[Kosten (€)],"&gt;0",uitkomst_doelgroep[Uitgangssituatie/effect beleid],uitkomst_tech[[#This Row],[Uitgangssituatie/effect beleid]])</f>
        <v>0</v>
      </c>
      <c r="L82" s="398">
        <f>SUMIFS(uitkomst_doelgroep[Investering (cash flow) (€)],uitkomst_doelgroep[Digitale zorgtoepassing],B82,uitkomst_doelgroep[Jaar],D82,uitkomst_doelgroep[Investering (cash flow) (€)],"&gt;0",uitkomst_doelgroep[Uitgangssituatie/effect beleid],uitkomst_tech[[#This Row],[Uitgangssituatie/effect beleid]])</f>
        <v>0</v>
      </c>
    </row>
    <row r="83" spans="1:12" x14ac:dyDescent="0.5">
      <c r="A83" s="42" t="str">
        <f>INDEX(Technologieën[Veld],MATCH(B83,Technologieën[Digitale zorgtoepassing],0))</f>
        <v>Software - Diagnose</v>
      </c>
      <c r="B83" s="33" t="s">
        <v>66</v>
      </c>
      <c r="C83" s="33" t="s">
        <v>812</v>
      </c>
      <c r="D83" s="33">
        <v>2024</v>
      </c>
      <c r="E83" s="2">
        <v>60</v>
      </c>
      <c r="F83" s="397">
        <f>SUMIFS(uitkomst_doelgroep[Patiëntaantallen],uitkomst_doelgroep[Digitale zorgtoepassing],B83,uitkomst_doelgroep[Jaar],D83,uitkomst_doelgroep[Arbeidsbesparing (€)],"&gt;0",uitkomst_doelgroep[Uitgangssituatie/effect beleid],uitkomst_tech[[#This Row],[Uitgangssituatie/effect beleid]])</f>
        <v>0</v>
      </c>
      <c r="G83" s="398">
        <f>SUMIFS(uitkomst_doelgroep[Arbeidsbesparing (€)],uitkomst_doelgroep[Digitale zorgtoepassing],B83,uitkomst_doelgroep[Jaar],D83,uitkomst_doelgroep[Arbeidsbesparing (€)],"&gt;0",uitkomst_doelgroep[Uitgangssituatie/effect beleid],uitkomst_tech[[#This Row],[Uitgangssituatie/effect beleid]])</f>
        <v>0</v>
      </c>
      <c r="H83" s="398">
        <f>SUMIFS(uitkomst_doelgroep[Arbeidsbesparing (FTE)],uitkomst_doelgroep[Digitale zorgtoepassing],B83,uitkomst_doelgroep[Jaar],D83,uitkomst_doelgroep[Arbeidsbesparing (FTE)],"&gt;0",uitkomst_doelgroep[Uitgangssituatie/effect beleid],uitkomst_tech[[#This Row],[Uitgangssituatie/effect beleid]])</f>
        <v>0</v>
      </c>
      <c r="I83" s="398">
        <f>SUMIFS(uitkomst_doelgroep[Overige besparingen (€)],uitkomst_doelgroep[Digitale zorgtoepassing],B83,uitkomst_doelgroep[Jaar],D83,uitkomst_doelgroep[Overige besparingen (€)],"&gt;0",uitkomst_doelgroep[Uitgangssituatie/effect beleid],uitkomst_tech[[#This Row],[Uitgangssituatie/effect beleid]])</f>
        <v>0</v>
      </c>
      <c r="J83" s="398">
        <f>SUMIFS(uitkomst_doelgroep[QALY (€)],uitkomst_doelgroep[Digitale zorgtoepassing],B83,uitkomst_doelgroep[Jaar],D83,uitkomst_doelgroep[QALY (€)],"&gt;0",uitkomst_doelgroep[Uitgangssituatie/effect beleid],uitkomst_tech[[#This Row],[Uitgangssituatie/effect beleid]])</f>
        <v>0</v>
      </c>
      <c r="K83" s="398">
        <f>SUMIFS(uitkomst_doelgroep[Kosten (€)],uitkomst_doelgroep[Digitale zorgtoepassing],B83,uitkomst_doelgroep[Jaar],D83,uitkomst_doelgroep[Kosten (€)],"&gt;0",uitkomst_doelgroep[Uitgangssituatie/effect beleid],uitkomst_tech[[#This Row],[Uitgangssituatie/effect beleid]])</f>
        <v>0</v>
      </c>
      <c r="L83" s="398">
        <f>SUMIFS(uitkomst_doelgroep[Investering (cash flow) (€)],uitkomst_doelgroep[Digitale zorgtoepassing],B83,uitkomst_doelgroep[Jaar],D83,uitkomst_doelgroep[Investering (cash flow) (€)],"&gt;0",uitkomst_doelgroep[Uitgangssituatie/effect beleid],uitkomst_tech[[#This Row],[Uitgangssituatie/effect beleid]])</f>
        <v>0</v>
      </c>
    </row>
    <row r="84" spans="1:12" x14ac:dyDescent="0.5">
      <c r="A84" s="42" t="str">
        <f>INDEX(Technologieën[Veld],MATCH(B84,Technologieën[Digitale zorgtoepassing],0))</f>
        <v>Software - Diagnose</v>
      </c>
      <c r="B84" s="33" t="s">
        <v>66</v>
      </c>
      <c r="C84" s="33" t="s">
        <v>812</v>
      </c>
      <c r="D84" s="33">
        <v>2025</v>
      </c>
      <c r="E84" s="2">
        <v>92</v>
      </c>
      <c r="F84" s="397">
        <f>SUMIFS(uitkomst_doelgroep[Patiëntaantallen],uitkomst_doelgroep[Digitale zorgtoepassing],B84,uitkomst_doelgroep[Jaar],D84,uitkomst_doelgroep[Arbeidsbesparing (€)],"&gt;0",uitkomst_doelgroep[Uitgangssituatie/effect beleid],uitkomst_tech[[#This Row],[Uitgangssituatie/effect beleid]])</f>
        <v>0</v>
      </c>
      <c r="G84" s="398">
        <f>SUMIFS(uitkomst_doelgroep[Arbeidsbesparing (€)],uitkomst_doelgroep[Digitale zorgtoepassing],B84,uitkomst_doelgroep[Jaar],D84,uitkomst_doelgroep[Arbeidsbesparing (€)],"&gt;0",uitkomst_doelgroep[Uitgangssituatie/effect beleid],uitkomst_tech[[#This Row],[Uitgangssituatie/effect beleid]])</f>
        <v>0</v>
      </c>
      <c r="H84" s="398">
        <f>SUMIFS(uitkomst_doelgroep[Arbeidsbesparing (FTE)],uitkomst_doelgroep[Digitale zorgtoepassing],B84,uitkomst_doelgroep[Jaar],D84,uitkomst_doelgroep[Arbeidsbesparing (FTE)],"&gt;0",uitkomst_doelgroep[Uitgangssituatie/effect beleid],uitkomst_tech[[#This Row],[Uitgangssituatie/effect beleid]])</f>
        <v>0</v>
      </c>
      <c r="I84" s="398">
        <f>SUMIFS(uitkomst_doelgroep[Overige besparingen (€)],uitkomst_doelgroep[Digitale zorgtoepassing],B84,uitkomst_doelgroep[Jaar],D84,uitkomst_doelgroep[Overige besparingen (€)],"&gt;0",uitkomst_doelgroep[Uitgangssituatie/effect beleid],uitkomst_tech[[#This Row],[Uitgangssituatie/effect beleid]])</f>
        <v>0</v>
      </c>
      <c r="J84" s="398">
        <f>SUMIFS(uitkomst_doelgroep[QALY (€)],uitkomst_doelgroep[Digitale zorgtoepassing],B84,uitkomst_doelgroep[Jaar],D84,uitkomst_doelgroep[QALY (€)],"&gt;0",uitkomst_doelgroep[Uitgangssituatie/effect beleid],uitkomst_tech[[#This Row],[Uitgangssituatie/effect beleid]])</f>
        <v>0</v>
      </c>
      <c r="K84" s="398">
        <f>SUMIFS(uitkomst_doelgroep[Kosten (€)],uitkomst_doelgroep[Digitale zorgtoepassing],B84,uitkomst_doelgroep[Jaar],D84,uitkomst_doelgroep[Kosten (€)],"&gt;0",uitkomst_doelgroep[Uitgangssituatie/effect beleid],uitkomst_tech[[#This Row],[Uitgangssituatie/effect beleid]])</f>
        <v>0</v>
      </c>
      <c r="L84" s="398">
        <f>SUMIFS(uitkomst_doelgroep[Investering (cash flow) (€)],uitkomst_doelgroep[Digitale zorgtoepassing],B84,uitkomst_doelgroep[Jaar],D84,uitkomst_doelgroep[Investering (cash flow) (€)],"&gt;0",uitkomst_doelgroep[Uitgangssituatie/effect beleid],uitkomst_tech[[#This Row],[Uitgangssituatie/effect beleid]])</f>
        <v>0</v>
      </c>
    </row>
    <row r="85" spans="1:12" x14ac:dyDescent="0.5">
      <c r="A85" s="42" t="str">
        <f>INDEX(Technologieën[Veld],MATCH(B85,Technologieën[Digitale zorgtoepassing],0))</f>
        <v>Software - Diagnose</v>
      </c>
      <c r="B85" s="33" t="s">
        <v>66</v>
      </c>
      <c r="C85" s="33" t="s">
        <v>812</v>
      </c>
      <c r="D85" s="33">
        <v>2026</v>
      </c>
      <c r="E85" s="2">
        <v>124</v>
      </c>
      <c r="F85" s="397">
        <f>SUMIFS(uitkomst_doelgroep[Patiëntaantallen],uitkomst_doelgroep[Digitale zorgtoepassing],B85,uitkomst_doelgroep[Jaar],D85,uitkomst_doelgroep[Arbeidsbesparing (€)],"&gt;0",uitkomst_doelgroep[Uitgangssituatie/effect beleid],uitkomst_tech[[#This Row],[Uitgangssituatie/effect beleid]])</f>
        <v>3471.63375</v>
      </c>
      <c r="G85" s="398">
        <f>SUMIFS(uitkomst_doelgroep[Arbeidsbesparing (€)],uitkomst_doelgroep[Digitale zorgtoepassing],B85,uitkomst_doelgroep[Jaar],D85,uitkomst_doelgroep[Arbeidsbesparing (€)],"&gt;0",uitkomst_doelgroep[Uitgangssituatie/effect beleid],uitkomst_tech[[#This Row],[Uitgangssituatie/effect beleid]])</f>
        <v>95437.981787895114</v>
      </c>
      <c r="H85" s="398">
        <f>SUMIFS(uitkomst_doelgroep[Arbeidsbesparing (FTE)],uitkomst_doelgroep[Digitale zorgtoepassing],B85,uitkomst_doelgroep[Jaar],D85,uitkomst_doelgroep[Arbeidsbesparing (FTE)],"&gt;0",uitkomst_doelgroep[Uitgangssituatie/effect beleid],uitkomst_tech[[#This Row],[Uitgangssituatie/effect beleid]])</f>
        <v>1.1373679387019229</v>
      </c>
      <c r="I85" s="398">
        <f>SUMIFS(uitkomst_doelgroep[Overige besparingen (€)],uitkomst_doelgroep[Digitale zorgtoepassing],B85,uitkomst_doelgroep[Jaar],D85,uitkomst_doelgroep[Overige besparingen (€)],"&gt;0",uitkomst_doelgroep[Uitgangssituatie/effect beleid],uitkomst_tech[[#This Row],[Uitgangssituatie/effect beleid]])</f>
        <v>0</v>
      </c>
      <c r="J85" s="398">
        <f>SUMIFS(uitkomst_doelgroep[QALY (€)],uitkomst_doelgroep[Digitale zorgtoepassing],B85,uitkomst_doelgroep[Jaar],D85,uitkomst_doelgroep[QALY (€)],"&gt;0",uitkomst_doelgroep[Uitgangssituatie/effect beleid],uitkomst_tech[[#This Row],[Uitgangssituatie/effect beleid]])</f>
        <v>0</v>
      </c>
      <c r="K85" s="398">
        <f>SUMIFS(uitkomst_doelgroep[Kosten (€)],uitkomst_doelgroep[Digitale zorgtoepassing],B85,uitkomst_doelgroep[Jaar],D85,uitkomst_doelgroep[Kosten (€)],"&gt;0",uitkomst_doelgroep[Uitgangssituatie/effect beleid],uitkomst_tech[[#This Row],[Uitgangssituatie/effect beleid]])</f>
        <v>81106.223230299627</v>
      </c>
      <c r="L85" s="398">
        <f>SUMIFS(uitkomst_doelgroep[Investering (cash flow) (€)],uitkomst_doelgroep[Digitale zorgtoepassing],B85,uitkomst_doelgroep[Jaar],D85,uitkomst_doelgroep[Investering (cash flow) (€)],"&gt;0",uitkomst_doelgroep[Uitgangssituatie/effect beleid],uitkomst_tech[[#This Row],[Uitgangssituatie/effect beleid]])</f>
        <v>0</v>
      </c>
    </row>
    <row r="86" spans="1:12" x14ac:dyDescent="0.5">
      <c r="A86" s="42" t="str">
        <f>INDEX(Technologieën[Veld],MATCH(B86,Technologieën[Digitale zorgtoepassing],0))</f>
        <v>Software - Diagnose</v>
      </c>
      <c r="B86" s="33" t="s">
        <v>66</v>
      </c>
      <c r="C86" s="33" t="s">
        <v>812</v>
      </c>
      <c r="D86" s="33">
        <v>2027</v>
      </c>
      <c r="E86" s="2">
        <v>156</v>
      </c>
      <c r="F86" s="397">
        <f>SUMIFS(uitkomst_doelgroep[Patiëntaantallen],uitkomst_doelgroep[Digitale zorgtoepassing],B86,uitkomst_doelgroep[Jaar],D86,uitkomst_doelgroep[Arbeidsbesparing (€)],"&gt;0",uitkomst_doelgroep[Uitgangssituatie/effect beleid],uitkomst_tech[[#This Row],[Uitgangssituatie/effect beleid]])</f>
        <v>8234.7152549999992</v>
      </c>
      <c r="G86" s="398">
        <f>SUMIFS(uitkomst_doelgroep[Arbeidsbesparing (€)],uitkomst_doelgroep[Digitale zorgtoepassing],B86,uitkomst_doelgroep[Jaar],D86,uitkomst_doelgroep[Arbeidsbesparing (€)],"&gt;0",uitkomst_doelgroep[Uitgangssituatie/effect beleid],uitkomst_tech[[#This Row],[Uitgangssituatie/effect beleid]])</f>
        <v>226378.89280088723</v>
      </c>
      <c r="H86" s="398">
        <f>SUMIFS(uitkomst_doelgroep[Arbeidsbesparing (FTE)],uitkomst_doelgroep[Digitale zorgtoepassing],B86,uitkomst_doelgroep[Jaar],D86,uitkomst_doelgroep[Arbeidsbesparing (FTE)],"&gt;0",uitkomst_doelgroep[Uitgangssituatie/effect beleid],uitkomst_tech[[#This Row],[Uitgangssituatie/effect beleid]])</f>
        <v>2.6978367506009606</v>
      </c>
      <c r="I86" s="398">
        <f>SUMIFS(uitkomst_doelgroep[Overige besparingen (€)],uitkomst_doelgroep[Digitale zorgtoepassing],B86,uitkomst_doelgroep[Jaar],D86,uitkomst_doelgroep[Overige besparingen (€)],"&gt;0",uitkomst_doelgroep[Uitgangssituatie/effect beleid],uitkomst_tech[[#This Row],[Uitgangssituatie/effect beleid]])</f>
        <v>0</v>
      </c>
      <c r="J86" s="398">
        <f>SUMIFS(uitkomst_doelgroep[QALY (€)],uitkomst_doelgroep[Digitale zorgtoepassing],B86,uitkomst_doelgroep[Jaar],D86,uitkomst_doelgroep[QALY (€)],"&gt;0",uitkomst_doelgroep[Uitgangssituatie/effect beleid],uitkomst_tech[[#This Row],[Uitgangssituatie/effect beleid]])</f>
        <v>0</v>
      </c>
      <c r="K86" s="398">
        <f>SUMIFS(uitkomst_doelgroep[Kosten (€)],uitkomst_doelgroep[Digitale zorgtoepassing],B86,uitkomst_doelgroep[Jaar],D86,uitkomst_doelgroep[Kosten (€)],"&gt;0",uitkomst_doelgroep[Uitgangssituatie/effect beleid],uitkomst_tech[[#This Row],[Uitgangssituatie/effect beleid]])</f>
        <v>192383.96150227071</v>
      </c>
      <c r="L86" s="398">
        <f>SUMIFS(uitkomst_doelgroep[Investering (cash flow) (€)],uitkomst_doelgroep[Digitale zorgtoepassing],B86,uitkomst_doelgroep[Jaar],D86,uitkomst_doelgroep[Investering (cash flow) (€)],"&gt;0",uitkomst_doelgroep[Uitgangssituatie/effect beleid],uitkomst_tech[[#This Row],[Uitgangssituatie/effect beleid]])</f>
        <v>0</v>
      </c>
    </row>
    <row r="87" spans="1:12" x14ac:dyDescent="0.5">
      <c r="A87" s="42" t="str">
        <f>INDEX(Technologieën[Veld],MATCH(B87,Technologieën[Digitale zorgtoepassing],0))</f>
        <v>Software - Diagnose</v>
      </c>
      <c r="B87" s="33" t="s">
        <v>66</v>
      </c>
      <c r="C87" s="33" t="s">
        <v>812</v>
      </c>
      <c r="D87" s="33">
        <v>2028</v>
      </c>
      <c r="E87" s="2">
        <v>188</v>
      </c>
      <c r="F87" s="397">
        <f>SUMIFS(uitkomst_doelgroep[Patiëntaantallen],uitkomst_doelgroep[Digitale zorgtoepassing],B87,uitkomst_doelgroep[Jaar],D87,uitkomst_doelgroep[Arbeidsbesparing (€)],"&gt;0",uitkomst_doelgroep[Uitgangssituatie/effect beleid],uitkomst_tech[[#This Row],[Uitgangssituatie/effect beleid]])</f>
        <v>14679.278845221121</v>
      </c>
      <c r="G87" s="398">
        <f>SUMIFS(uitkomst_doelgroep[Arbeidsbesparing (€)],uitkomst_doelgroep[Digitale zorgtoepassing],B87,uitkomst_doelgroep[Jaar],D87,uitkomst_doelgroep[Arbeidsbesparing (€)],"&gt;0",uitkomst_doelgroep[Uitgangssituatie/effect beleid],uitkomst_tech[[#This Row],[Uitgangssituatie/effect beleid]])</f>
        <v>403545.0879833299</v>
      </c>
      <c r="H87" s="398">
        <f>SUMIFS(uitkomst_doelgroep[Arbeidsbesparing (FTE)],uitkomst_doelgroep[Digitale zorgtoepassing],B87,uitkomst_doelgroep[Jaar],D87,uitkomst_doelgroep[Arbeidsbesparing (FTE)],"&gt;0",uitkomst_doelgroep[Uitgangssituatie/effect beleid],uitkomst_tech[[#This Row],[Uitgangssituatie/effect beleid]])</f>
        <v>4.8091885043518454</v>
      </c>
      <c r="I87" s="398">
        <f>SUMIFS(uitkomst_doelgroep[Overige besparingen (€)],uitkomst_doelgroep[Digitale zorgtoepassing],B87,uitkomst_doelgroep[Jaar],D87,uitkomst_doelgroep[Overige besparingen (€)],"&gt;0",uitkomst_doelgroep[Uitgangssituatie/effect beleid],uitkomst_tech[[#This Row],[Uitgangssituatie/effect beleid]])</f>
        <v>0</v>
      </c>
      <c r="J87" s="398">
        <f>SUMIFS(uitkomst_doelgroep[QALY (€)],uitkomst_doelgroep[Digitale zorgtoepassing],B87,uitkomst_doelgroep[Jaar],D87,uitkomst_doelgroep[QALY (€)],"&gt;0",uitkomst_doelgroep[Uitgangssituatie/effect beleid],uitkomst_tech[[#This Row],[Uitgangssituatie/effect beleid]])</f>
        <v>0</v>
      </c>
      <c r="K87" s="398">
        <f>SUMIFS(uitkomst_doelgroep[Kosten (€)],uitkomst_doelgroep[Digitale zorgtoepassing],B87,uitkomst_doelgroep[Jaar],D87,uitkomst_doelgroep[Kosten (€)],"&gt;0",uitkomst_doelgroep[Uitgangssituatie/effect beleid],uitkomst_tech[[#This Row],[Uitgangssituatie/effect beleid]])</f>
        <v>342945.41204996611</v>
      </c>
      <c r="L87" s="398">
        <f>SUMIFS(uitkomst_doelgroep[Investering (cash flow) (€)],uitkomst_doelgroep[Digitale zorgtoepassing],B87,uitkomst_doelgroep[Jaar],D87,uitkomst_doelgroep[Investering (cash flow) (€)],"&gt;0",uitkomst_doelgroep[Uitgangssituatie/effect beleid],uitkomst_tech[[#This Row],[Uitgangssituatie/effect beleid]])</f>
        <v>0</v>
      </c>
    </row>
    <row r="88" spans="1:12" x14ac:dyDescent="0.5">
      <c r="A88" s="42" t="str">
        <f>INDEX(Technologieën[Veld],MATCH(B88,Technologieën[Digitale zorgtoepassing],0))</f>
        <v>Software - Diagnose</v>
      </c>
      <c r="B88" s="33" t="s">
        <v>66</v>
      </c>
      <c r="C88" s="33" t="s">
        <v>812</v>
      </c>
      <c r="D88" s="33">
        <v>2029</v>
      </c>
      <c r="E88" s="2">
        <v>220</v>
      </c>
      <c r="F88" s="397">
        <f>SUMIFS(uitkomst_doelgroep[Patiëntaantallen],uitkomst_doelgroep[Digitale zorgtoepassing],B88,uitkomst_doelgroep[Jaar],D88,uitkomst_doelgroep[Arbeidsbesparing (€)],"&gt;0",uitkomst_doelgroep[Uitgangssituatie/effect beleid],uitkomst_tech[[#This Row],[Uitgangssituatie/effect beleid]])</f>
        <v>23232.485652653118</v>
      </c>
      <c r="G88" s="398">
        <f>SUMIFS(uitkomst_doelgroep[Arbeidsbesparing (€)],uitkomst_doelgroep[Digitale zorgtoepassing],B88,uitkomst_doelgroep[Jaar],D88,uitkomst_doelgroep[Arbeidsbesparing (€)],"&gt;0",uitkomst_doelgroep[Uitgangssituatie/effect beleid],uitkomst_tech[[#This Row],[Uitgangssituatie/effect beleid]])</f>
        <v>638679.56768349849</v>
      </c>
      <c r="H88" s="398">
        <f>SUMIFS(uitkomst_doelgroep[Arbeidsbesparing (FTE)],uitkomst_doelgroep[Digitale zorgtoepassing],B88,uitkomst_doelgroep[Jaar],D88,uitkomst_doelgroep[Arbeidsbesparing (FTE)],"&gt;0",uitkomst_doelgroep[Uitgangssituatie/effect beleid],uitkomst_tech[[#This Row],[Uitgangssituatie/effect beleid]])</f>
        <v>7.6113686582520623</v>
      </c>
      <c r="I88" s="398">
        <f>SUMIFS(uitkomst_doelgroep[Overige besparingen (€)],uitkomst_doelgroep[Digitale zorgtoepassing],B88,uitkomst_doelgroep[Jaar],D88,uitkomst_doelgroep[Overige besparingen (€)],"&gt;0",uitkomst_doelgroep[Uitgangssituatie/effect beleid],uitkomst_tech[[#This Row],[Uitgangssituatie/effect beleid]])</f>
        <v>0</v>
      </c>
      <c r="J88" s="398">
        <f>SUMIFS(uitkomst_doelgroep[QALY (€)],uitkomst_doelgroep[Digitale zorgtoepassing],B88,uitkomst_doelgroep[Jaar],D88,uitkomst_doelgroep[QALY (€)],"&gt;0",uitkomst_doelgroep[Uitgangssituatie/effect beleid],uitkomst_tech[[#This Row],[Uitgangssituatie/effect beleid]])</f>
        <v>0</v>
      </c>
      <c r="K88" s="398">
        <f>SUMIFS(uitkomst_doelgroep[Kosten (€)],uitkomst_doelgroep[Digitale zorgtoepassing],B88,uitkomst_doelgroep[Jaar],D88,uitkomst_doelgroep[Kosten (€)],"&gt;0",uitkomst_doelgroep[Uitgangssituatie/effect beleid],uitkomst_tech[[#This Row],[Uitgangssituatie/effect beleid]])</f>
        <v>542770.14893602103</v>
      </c>
      <c r="L88" s="398">
        <f>SUMIFS(uitkomst_doelgroep[Investering (cash flow) (€)],uitkomst_doelgroep[Digitale zorgtoepassing],B88,uitkomst_doelgroep[Jaar],D88,uitkomst_doelgroep[Investering (cash flow) (€)],"&gt;0",uitkomst_doelgroep[Uitgangssituatie/effect beleid],uitkomst_tech[[#This Row],[Uitgangssituatie/effect beleid]])</f>
        <v>0</v>
      </c>
    </row>
    <row r="89" spans="1:12" x14ac:dyDescent="0.5">
      <c r="A89" s="42" t="str">
        <f>INDEX(Technologieën[Veld],MATCH(B89,Technologieën[Digitale zorgtoepassing],0))</f>
        <v>Software - Diagnose</v>
      </c>
      <c r="B89" s="33" t="s">
        <v>66</v>
      </c>
      <c r="C89" s="33" t="s">
        <v>812</v>
      </c>
      <c r="D89" s="33">
        <v>2030</v>
      </c>
      <c r="E89" s="2">
        <v>252</v>
      </c>
      <c r="F89" s="397">
        <f>SUMIFS(uitkomst_doelgroep[Patiëntaantallen],uitkomst_doelgroep[Digitale zorgtoepassing],B89,uitkomst_doelgroep[Jaar],D89,uitkomst_doelgroep[Arbeidsbesparing (€)],"&gt;0",uitkomst_doelgroep[Uitgangssituatie/effect beleid],uitkomst_tech[[#This Row],[Uitgangssituatie/effect beleid]])</f>
        <v>34288.672863307729</v>
      </c>
      <c r="G89" s="398">
        <f>SUMIFS(uitkomst_doelgroep[Arbeidsbesparing (€)],uitkomst_doelgroep[Digitale zorgtoepassing],B89,uitkomst_doelgroep[Jaar],D89,uitkomst_doelgroep[Arbeidsbesparing (€)],"&gt;0",uitkomst_doelgroep[Uitgangssituatie/effect beleid],uitkomst_tech[[#This Row],[Uitgangssituatie/effect beleid]])</f>
        <v>942622.9757846595</v>
      </c>
      <c r="H89" s="398">
        <f>SUMIFS(uitkomst_doelgroep[Arbeidsbesparing (FTE)],uitkomst_doelgroep[Digitale zorgtoepassing],B89,uitkomst_doelgroep[Jaar],D89,uitkomst_doelgroep[Arbeidsbesparing (FTE)],"&gt;0",uitkomst_doelgroep[Uitgangssituatie/effect beleid],uitkomst_tech[[#This Row],[Uitgangssituatie/effect beleid]])</f>
        <v>11.233568971774419</v>
      </c>
      <c r="I89" s="398">
        <f>SUMIFS(uitkomst_doelgroep[Overige besparingen (€)],uitkomst_doelgroep[Digitale zorgtoepassing],B89,uitkomst_doelgroep[Jaar],D89,uitkomst_doelgroep[Overige besparingen (€)],"&gt;0",uitkomst_doelgroep[Uitgangssituatie/effect beleid],uitkomst_tech[[#This Row],[Uitgangssituatie/effect beleid]])</f>
        <v>0</v>
      </c>
      <c r="J89" s="398">
        <f>SUMIFS(uitkomst_doelgroep[QALY (€)],uitkomst_doelgroep[Digitale zorgtoepassing],B89,uitkomst_doelgroep[Jaar],D89,uitkomst_doelgroep[QALY (€)],"&gt;0",uitkomst_doelgroep[Uitgangssituatie/effect beleid],uitkomst_tech[[#This Row],[Uitgangssituatie/effect beleid]])</f>
        <v>0</v>
      </c>
      <c r="K89" s="398">
        <f>SUMIFS(uitkomst_doelgroep[Kosten (€)],uitkomst_doelgroep[Digitale zorgtoepassing],B89,uitkomst_doelgroep[Jaar],D89,uitkomst_doelgroep[Kosten (€)],"&gt;0",uitkomst_doelgroep[Uitgangssituatie/effect beleid],uitkomst_tech[[#This Row],[Uitgangssituatie/effect beleid]])</f>
        <v>801070.89508567937</v>
      </c>
      <c r="L89" s="398">
        <f>SUMIFS(uitkomst_doelgroep[Investering (cash flow) (€)],uitkomst_doelgroep[Digitale zorgtoepassing],B89,uitkomst_doelgroep[Jaar],D89,uitkomst_doelgroep[Investering (cash flow) (€)],"&gt;0",uitkomst_doelgroep[Uitgangssituatie/effect beleid],uitkomst_tech[[#This Row],[Uitgangssituatie/effect beleid]])</f>
        <v>0</v>
      </c>
    </row>
    <row r="90" spans="1:12" x14ac:dyDescent="0.5">
      <c r="A90" s="42" t="str">
        <f>INDEX(Technologieën[Veld],MATCH(B90,Technologieën[Digitale zorgtoepassing],0))</f>
        <v>Software - Diagnose</v>
      </c>
      <c r="B90" s="33" t="s">
        <v>66</v>
      </c>
      <c r="C90" s="33" t="s">
        <v>812</v>
      </c>
      <c r="D90" s="33">
        <v>2031</v>
      </c>
      <c r="E90" s="2">
        <v>284</v>
      </c>
      <c r="F90" s="397">
        <f>SUMIFS(uitkomst_doelgroep[Patiëntaantallen],uitkomst_doelgroep[Digitale zorgtoepassing],B90,uitkomst_doelgroep[Jaar],D90,uitkomst_doelgroep[Arbeidsbesparing (€)],"&gt;0",uitkomst_doelgroep[Uitgangssituatie/effect beleid],uitkomst_tech[[#This Row],[Uitgangssituatie/effect beleid]])</f>
        <v>48080.700177021776</v>
      </c>
      <c r="G90" s="398">
        <f>SUMIFS(uitkomst_doelgroep[Arbeidsbesparing (€)],uitkomst_doelgroep[Digitale zorgtoepassing],B90,uitkomst_doelgroep[Jaar],D90,uitkomst_doelgroep[Arbeidsbesparing (€)],"&gt;0",uitkomst_doelgroep[Uitgangssituatie/effect beleid],uitkomst_tech[[#This Row],[Uitgangssituatie/effect beleid]])</f>
        <v>1321776.8112329964</v>
      </c>
      <c r="H90" s="398">
        <f>SUMIFS(uitkomst_doelgroep[Arbeidsbesparing (FTE)],uitkomst_doelgroep[Digitale zorgtoepassing],B90,uitkomst_doelgroep[Jaar],D90,uitkomst_doelgroep[Arbeidsbesparing (FTE)],"&gt;0",uitkomst_doelgroep[Uitgangssituatie/effect beleid],uitkomst_tech[[#This Row],[Uitgangssituatie/effect beleid]])</f>
        <v>15.752078355524812</v>
      </c>
      <c r="I90" s="398">
        <f>SUMIFS(uitkomst_doelgroep[Overige besparingen (€)],uitkomst_doelgroep[Digitale zorgtoepassing],B90,uitkomst_doelgroep[Jaar],D90,uitkomst_doelgroep[Overige besparingen (€)],"&gt;0",uitkomst_doelgroep[Uitgangssituatie/effect beleid],uitkomst_tech[[#This Row],[Uitgangssituatie/effect beleid]])</f>
        <v>0</v>
      </c>
      <c r="J90" s="398">
        <f>SUMIFS(uitkomst_doelgroep[QALY (€)],uitkomst_doelgroep[Digitale zorgtoepassing],B90,uitkomst_doelgroep[Jaar],D90,uitkomst_doelgroep[QALY (€)],"&gt;0",uitkomst_doelgroep[Uitgangssituatie/effect beleid],uitkomst_tech[[#This Row],[Uitgangssituatie/effect beleid]])</f>
        <v>0</v>
      </c>
      <c r="K90" s="398">
        <f>SUMIFS(uitkomst_doelgroep[Kosten (€)],uitkomst_doelgroep[Digitale zorgtoepassing],B90,uitkomst_doelgroep[Jaar],D90,uitkomst_doelgroep[Kosten (€)],"&gt;0",uitkomst_doelgroep[Uitgangssituatie/effect beleid],uitkomst_tech[[#This Row],[Uitgangssituatie/effect beleid]])</f>
        <v>1123287.84729283</v>
      </c>
      <c r="L90" s="398">
        <f>SUMIFS(uitkomst_doelgroep[Investering (cash flow) (€)],uitkomst_doelgroep[Digitale zorgtoepassing],B90,uitkomst_doelgroep[Jaar],D90,uitkomst_doelgroep[Investering (cash flow) (€)],"&gt;0",uitkomst_doelgroep[Uitgangssituatie/effect beleid],uitkomst_tech[[#This Row],[Uitgangssituatie/effect beleid]])</f>
        <v>0</v>
      </c>
    </row>
    <row r="91" spans="1:12" x14ac:dyDescent="0.5">
      <c r="A91" s="42" t="str">
        <f>INDEX(Technologieën[Veld],MATCH(B91,Technologieën[Digitale zorgtoepassing],0))</f>
        <v>Software - Diagnose</v>
      </c>
      <c r="B91" s="33" t="s">
        <v>66</v>
      </c>
      <c r="C91" s="33" t="s">
        <v>812</v>
      </c>
      <c r="D91" s="33">
        <v>2032</v>
      </c>
      <c r="E91" s="2">
        <v>316</v>
      </c>
      <c r="F91" s="397">
        <f>SUMIFS(uitkomst_doelgroep[Patiëntaantallen],uitkomst_doelgroep[Digitale zorgtoepassing],B91,uitkomst_doelgroep[Jaar],D91,uitkomst_doelgroep[Arbeidsbesparing (€)],"&gt;0",uitkomst_doelgroep[Uitgangssituatie/effect beleid],uitkomst_tech[[#This Row],[Uitgangssituatie/effect beleid]])</f>
        <v>64495.816550442818</v>
      </c>
      <c r="G91" s="398">
        <f>SUMIFS(uitkomst_doelgroep[Arbeidsbesparing (€)],uitkomst_doelgroep[Digitale zorgtoepassing],B91,uitkomst_doelgroep[Jaar],D91,uitkomst_doelgroep[Arbeidsbesparing (€)],"&gt;0",uitkomst_doelgroep[Uitgangssituatie/effect beleid],uitkomst_tech[[#This Row],[Uitgangssituatie/effect beleid]])</f>
        <v>1773041.457883219</v>
      </c>
      <c r="H91" s="398">
        <f>SUMIFS(uitkomst_doelgroep[Arbeidsbesparing (FTE)],uitkomst_doelgroep[Digitale zorgtoepassing],B91,uitkomst_doelgroep[Jaar],D91,uitkomst_doelgroep[Arbeidsbesparing (FTE)],"&gt;0",uitkomst_doelgroep[Uitgangssituatie/effect beleid],uitkomst_tech[[#This Row],[Uitgangssituatie/effect beleid]])</f>
        <v>21.12995759557716</v>
      </c>
      <c r="I91" s="398">
        <f>SUMIFS(uitkomst_doelgroep[Overige besparingen (€)],uitkomst_doelgroep[Digitale zorgtoepassing],B91,uitkomst_doelgroep[Jaar],D91,uitkomst_doelgroep[Overige besparingen (€)],"&gt;0",uitkomst_doelgroep[Uitgangssituatie/effect beleid],uitkomst_tech[[#This Row],[Uitgangssituatie/effect beleid]])</f>
        <v>0</v>
      </c>
      <c r="J91" s="398">
        <f>SUMIFS(uitkomst_doelgroep[QALY (€)],uitkomst_doelgroep[Digitale zorgtoepassing],B91,uitkomst_doelgroep[Jaar],D91,uitkomst_doelgroep[QALY (€)],"&gt;0",uitkomst_doelgroep[Uitgangssituatie/effect beleid],uitkomst_tech[[#This Row],[Uitgangssituatie/effect beleid]])</f>
        <v>0</v>
      </c>
      <c r="K91" s="398">
        <f>SUMIFS(uitkomst_doelgroep[Kosten (€)],uitkomst_doelgroep[Digitale zorgtoepassing],B91,uitkomst_doelgroep[Jaar],D91,uitkomst_doelgroep[Kosten (€)],"&gt;0",uitkomst_doelgroep[Uitgangssituatie/effect beleid],uitkomst_tech[[#This Row],[Uitgangssituatie/effect beleid]])</f>
        <v>1506786.8534693986</v>
      </c>
      <c r="L91" s="398">
        <f>SUMIFS(uitkomst_doelgroep[Investering (cash flow) (€)],uitkomst_doelgroep[Digitale zorgtoepassing],B91,uitkomst_doelgroep[Jaar],D91,uitkomst_doelgroep[Investering (cash flow) (€)],"&gt;0",uitkomst_doelgroep[Uitgangssituatie/effect beleid],uitkomst_tech[[#This Row],[Uitgangssituatie/effect beleid]])</f>
        <v>0</v>
      </c>
    </row>
    <row r="92" spans="1:12" x14ac:dyDescent="0.5">
      <c r="A92" s="42" t="str">
        <f>INDEX(Technologieën[Veld],MATCH(B92,Technologieën[Digitale zorgtoepassing],0))</f>
        <v>Software - Diagnose</v>
      </c>
      <c r="B92" s="33" t="s">
        <v>66</v>
      </c>
      <c r="C92" s="33" t="s">
        <v>812</v>
      </c>
      <c r="D92" s="33">
        <v>2033</v>
      </c>
      <c r="E92" s="2">
        <v>348</v>
      </c>
      <c r="F92" s="397">
        <f>SUMIFS(uitkomst_doelgroep[Patiëntaantallen],uitkomst_doelgroep[Digitale zorgtoepassing],B92,uitkomst_doelgroep[Jaar],D92,uitkomst_doelgroep[Arbeidsbesparing (€)],"&gt;0",uitkomst_doelgroep[Uitgangssituatie/effect beleid],uitkomst_tech[[#This Row],[Uitgangssituatie/effect beleid]])</f>
        <v>82890.263370415079</v>
      </c>
      <c r="G92" s="398">
        <f>SUMIFS(uitkomst_doelgroep[Arbeidsbesparing (€)],uitkomst_doelgroep[Digitale zorgtoepassing],B92,uitkomst_doelgroep[Jaar],D92,uitkomst_doelgroep[Arbeidsbesparing (€)],"&gt;0",uitkomst_doelgroep[Uitgangssituatie/effect beleid],uitkomst_tech[[#This Row],[Uitgangssituatie/effect beleid]])</f>
        <v>2278719.4778076764</v>
      </c>
      <c r="H92" s="398">
        <f>SUMIFS(uitkomst_doelgroep[Arbeidsbesparing (FTE)],uitkomst_doelgroep[Digitale zorgtoepassing],B92,uitkomst_doelgroep[Jaar],D92,uitkomst_doelgroep[Arbeidsbesparing (FTE)],"&gt;0",uitkomst_doelgroep[Uitgangssituatie/effect beleid],uitkomst_tech[[#This Row],[Uitgangssituatie/effect beleid]])</f>
        <v>27.156300110306425</v>
      </c>
      <c r="I92" s="398">
        <f>SUMIFS(uitkomst_doelgroep[Overige besparingen (€)],uitkomst_doelgroep[Digitale zorgtoepassing],B92,uitkomst_doelgroep[Jaar],D92,uitkomst_doelgroep[Overige besparingen (€)],"&gt;0",uitkomst_doelgroep[Uitgangssituatie/effect beleid],uitkomst_tech[[#This Row],[Uitgangssituatie/effect beleid]])</f>
        <v>0</v>
      </c>
      <c r="J92" s="398">
        <f>SUMIFS(uitkomst_doelgroep[QALY (€)],uitkomst_doelgroep[Digitale zorgtoepassing],B92,uitkomst_doelgroep[Jaar],D92,uitkomst_doelgroep[QALY (€)],"&gt;0",uitkomst_doelgroep[Uitgangssituatie/effect beleid],uitkomst_tech[[#This Row],[Uitgangssituatie/effect beleid]])</f>
        <v>0</v>
      </c>
      <c r="K92" s="398">
        <f>SUMIFS(uitkomst_doelgroep[Kosten (€)],uitkomst_doelgroep[Digitale zorgtoepassing],B92,uitkomst_doelgroep[Jaar],D92,uitkomst_doelgroep[Kosten (€)],"&gt;0",uitkomst_doelgroep[Uitgangssituatie/effect beleid],uitkomst_tech[[#This Row],[Uitgangssituatie/effect beleid]])</f>
        <v>1936528.0696845436</v>
      </c>
      <c r="L92" s="398">
        <f>SUMIFS(uitkomst_doelgroep[Investering (cash flow) (€)],uitkomst_doelgroep[Digitale zorgtoepassing],B92,uitkomst_doelgroep[Jaar],D92,uitkomst_doelgroep[Investering (cash flow) (€)],"&gt;0",uitkomst_doelgroep[Uitgangssituatie/effect beleid],uitkomst_tech[[#This Row],[Uitgangssituatie/effect beleid]])</f>
        <v>0</v>
      </c>
    </row>
    <row r="93" spans="1:12" x14ac:dyDescent="0.5">
      <c r="A93" s="42" t="str">
        <f>INDEX(Technologieën[Veld],MATCH(B93,Technologieën[Digitale zorgtoepassing],0))</f>
        <v>Software - Diagnose</v>
      </c>
      <c r="B93" s="43" t="s">
        <v>76</v>
      </c>
      <c r="C93" s="33" t="s">
        <v>812</v>
      </c>
      <c r="D93" s="33">
        <v>2023</v>
      </c>
      <c r="E93" s="2">
        <v>29</v>
      </c>
      <c r="F93" s="397">
        <f>SUMIFS(uitkomst_doelgroep[Patiëntaantallen],uitkomst_doelgroep[Digitale zorgtoepassing],B93,uitkomst_doelgroep[Jaar],D93,uitkomst_doelgroep[Arbeidsbesparing (€)],"&gt;0",uitkomst_doelgroep[Uitgangssituatie/effect beleid],uitkomst_tech[[#This Row],[Uitgangssituatie/effect beleid]])</f>
        <v>48000</v>
      </c>
      <c r="G93" s="398">
        <f>SUMIFS(uitkomst_doelgroep[Arbeidsbesparing (€)],uitkomst_doelgroep[Digitale zorgtoepassing],B93,uitkomst_doelgroep[Jaar],D93,uitkomst_doelgroep[Arbeidsbesparing (€)],"&gt;0",uitkomst_doelgroep[Uitgangssituatie/effect beleid],uitkomst_tech[[#This Row],[Uitgangssituatie/effect beleid]])</f>
        <v>2930716.9011494266</v>
      </c>
      <c r="H93" s="398">
        <f>SUMIFS(uitkomst_doelgroep[Arbeidsbesparing (FTE)],uitkomst_doelgroep[Digitale zorgtoepassing],B93,uitkomst_doelgroep[Jaar],D93,uitkomst_doelgroep[Arbeidsbesparing (FTE)],"&gt;0",uitkomst_doelgroep[Uitgangssituatie/effect beleid],uitkomst_tech[[#This Row],[Uitgangssituatie/effect beleid]])</f>
        <v>49.923076923076934</v>
      </c>
      <c r="I93" s="398">
        <f>SUMIFS(uitkomst_doelgroep[Overige besparingen (€)],uitkomst_doelgroep[Digitale zorgtoepassing],B93,uitkomst_doelgroep[Jaar],D93,uitkomst_doelgroep[Overige besparingen (€)],"&gt;0",uitkomst_doelgroep[Uitgangssituatie/effect beleid],uitkomst_tech[[#This Row],[Uitgangssituatie/effect beleid]])</f>
        <v>0</v>
      </c>
      <c r="J93" s="398">
        <f>SUMIFS(uitkomst_doelgroep[QALY (€)],uitkomst_doelgroep[Digitale zorgtoepassing],B93,uitkomst_doelgroep[Jaar],D93,uitkomst_doelgroep[QALY (€)],"&gt;0",uitkomst_doelgroep[Uitgangssituatie/effect beleid],uitkomst_tech[[#This Row],[Uitgangssituatie/effect beleid]])</f>
        <v>0</v>
      </c>
      <c r="K93" s="398">
        <f>SUMIFS(uitkomst_doelgroep[Kosten (€)],uitkomst_doelgroep[Digitale zorgtoepassing],B93,uitkomst_doelgroep[Jaar],D93,uitkomst_doelgroep[Kosten (€)],"&gt;0",uitkomst_doelgroep[Uitgangssituatie/effect beleid],uitkomst_tech[[#This Row],[Uitgangssituatie/effect beleid]])</f>
        <v>2490616.1546637602</v>
      </c>
      <c r="L93" s="398">
        <f>SUMIFS(uitkomst_doelgroep[Investering (cash flow) (€)],uitkomst_doelgroep[Digitale zorgtoepassing],B93,uitkomst_doelgroep[Jaar],D93,uitkomst_doelgroep[Investering (cash flow) (€)],"&gt;0",uitkomst_doelgroep[Uitgangssituatie/effect beleid],uitkomst_tech[[#This Row],[Uitgangssituatie/effect beleid]])</f>
        <v>0</v>
      </c>
    </row>
    <row r="94" spans="1:12" x14ac:dyDescent="0.5">
      <c r="A94" s="42" t="str">
        <f>INDEX(Technologieën[Veld],MATCH(B94,Technologieën[Digitale zorgtoepassing],0))</f>
        <v>Software - Diagnose</v>
      </c>
      <c r="B94" s="33" t="s">
        <v>76</v>
      </c>
      <c r="C94" s="33" t="s">
        <v>812</v>
      </c>
      <c r="D94" s="33">
        <v>2024</v>
      </c>
      <c r="E94" s="2">
        <v>61</v>
      </c>
      <c r="F94" s="397">
        <f>SUMIFS(uitkomst_doelgroep[Patiëntaantallen],uitkomst_doelgroep[Digitale zorgtoepassing],B94,uitkomst_doelgroep[Jaar],D94,uitkomst_doelgroep[Arbeidsbesparing (€)],"&gt;0",uitkomst_doelgroep[Uitgangssituatie/effect beleid],uitkomst_tech[[#This Row],[Uitgangssituatie/effect beleid]])</f>
        <v>62760</v>
      </c>
      <c r="G94" s="398">
        <f>SUMIFS(uitkomst_doelgroep[Arbeidsbesparing (€)],uitkomst_doelgroep[Digitale zorgtoepassing],B94,uitkomst_doelgroep[Jaar],D94,uitkomst_doelgroep[Arbeidsbesparing (€)],"&gt;0",uitkomst_doelgroep[Uitgangssituatie/effect beleid],uitkomst_tech[[#This Row],[Uitgangssituatie/effect beleid]])</f>
        <v>3831912.3482528753</v>
      </c>
      <c r="H94" s="398">
        <f>SUMIFS(uitkomst_doelgroep[Arbeidsbesparing (FTE)],uitkomst_doelgroep[Digitale zorgtoepassing],B94,uitkomst_doelgroep[Jaar],D94,uitkomst_doelgroep[Arbeidsbesparing (FTE)],"&gt;0",uitkomst_doelgroep[Uitgangssituatie/effect beleid],uitkomst_tech[[#This Row],[Uitgangssituatie/effect beleid]])</f>
        <v>65.2744230769231</v>
      </c>
      <c r="I94" s="398">
        <f>SUMIFS(uitkomst_doelgroep[Overige besparingen (€)],uitkomst_doelgroep[Digitale zorgtoepassing],B94,uitkomst_doelgroep[Jaar],D94,uitkomst_doelgroep[Overige besparingen (€)],"&gt;0",uitkomst_doelgroep[Uitgangssituatie/effect beleid],uitkomst_tech[[#This Row],[Uitgangssituatie/effect beleid]])</f>
        <v>0</v>
      </c>
      <c r="J94" s="398">
        <f>SUMIFS(uitkomst_doelgroep[QALY (€)],uitkomst_doelgroep[Digitale zorgtoepassing],B94,uitkomst_doelgroep[Jaar],D94,uitkomst_doelgroep[QALY (€)],"&gt;0",uitkomst_doelgroep[Uitgangssituatie/effect beleid],uitkomst_tech[[#This Row],[Uitgangssituatie/effect beleid]])</f>
        <v>0</v>
      </c>
      <c r="K94" s="398">
        <f>SUMIFS(uitkomst_doelgroep[Kosten (€)],uitkomst_doelgroep[Digitale zorgtoepassing],B94,uitkomst_doelgroep[Jaar],D94,uitkomst_doelgroep[Kosten (€)],"&gt;0",uitkomst_doelgroep[Uitgangssituatie/effect beleid],uitkomst_tech[[#This Row],[Uitgangssituatie/effect beleid]])</f>
        <v>3256480.6222228664</v>
      </c>
      <c r="L94" s="398">
        <f>SUMIFS(uitkomst_doelgroep[Investering (cash flow) (€)],uitkomst_doelgroep[Digitale zorgtoepassing],B94,uitkomst_doelgroep[Jaar],D94,uitkomst_doelgroep[Investering (cash flow) (€)],"&gt;0",uitkomst_doelgroep[Uitgangssituatie/effect beleid],uitkomst_tech[[#This Row],[Uitgangssituatie/effect beleid]])</f>
        <v>0</v>
      </c>
    </row>
    <row r="95" spans="1:12" x14ac:dyDescent="0.5">
      <c r="A95" s="42" t="str">
        <f>INDEX(Technologieën[Veld],MATCH(B95,Technologieën[Digitale zorgtoepassing],0))</f>
        <v>Software - Diagnose</v>
      </c>
      <c r="B95" s="33" t="s">
        <v>76</v>
      </c>
      <c r="C95" s="33" t="s">
        <v>812</v>
      </c>
      <c r="D95" s="33">
        <v>2025</v>
      </c>
      <c r="E95" s="2">
        <v>93</v>
      </c>
      <c r="F95" s="397">
        <f>SUMIFS(uitkomst_doelgroep[Patiëntaantallen],uitkomst_doelgroep[Digitale zorgtoepassing],B95,uitkomst_doelgroep[Jaar],D95,uitkomst_doelgroep[Arbeidsbesparing (€)],"&gt;0",uitkomst_doelgroep[Uitgangssituatie/effect beleid],uitkomst_tech[[#This Row],[Uitgangssituatie/effect beleid]])</f>
        <v>77662.434000000008</v>
      </c>
      <c r="G95" s="398">
        <f>SUMIFS(uitkomst_doelgroep[Arbeidsbesparing (€)],uitkomst_doelgroep[Digitale zorgtoepassing],B95,uitkomst_doelgroep[Jaar],D95,uitkomst_doelgroep[Arbeidsbesparing (€)],"&gt;0",uitkomst_doelgroep[Uitgangssituatie/effect beleid],uitkomst_tech[[#This Row],[Uitgangssituatie/effect beleid]])</f>
        <v>4741804.3314208724</v>
      </c>
      <c r="H95" s="398">
        <f>SUMIFS(uitkomst_doelgroep[Arbeidsbesparing (FTE)],uitkomst_doelgroep[Digitale zorgtoepassing],B95,uitkomst_doelgroep[Jaar],D95,uitkomst_doelgroep[Arbeidsbesparing (FTE)],"&gt;0",uitkomst_doelgroep[Uitgangssituatie/effect beleid],uitkomst_tech[[#This Row],[Uitgangssituatie/effect beleid]])</f>
        <v>80.773909721153871</v>
      </c>
      <c r="I95" s="398">
        <f>SUMIFS(uitkomst_doelgroep[Overige besparingen (€)],uitkomst_doelgroep[Digitale zorgtoepassing],B95,uitkomst_doelgroep[Jaar],D95,uitkomst_doelgroep[Overige besparingen (€)],"&gt;0",uitkomst_doelgroep[Uitgangssituatie/effect beleid],uitkomst_tech[[#This Row],[Uitgangssituatie/effect beleid]])</f>
        <v>0</v>
      </c>
      <c r="J95" s="398">
        <f>SUMIFS(uitkomst_doelgroep[QALY (€)],uitkomst_doelgroep[Digitale zorgtoepassing],B95,uitkomst_doelgroep[Jaar],D95,uitkomst_doelgroep[QALY (€)],"&gt;0",uitkomst_doelgroep[Uitgangssituatie/effect beleid],uitkomst_tech[[#This Row],[Uitgangssituatie/effect beleid]])</f>
        <v>0</v>
      </c>
      <c r="K95" s="398">
        <f>SUMIFS(uitkomst_doelgroep[Kosten (€)],uitkomst_doelgroep[Digitale zorgtoepassing],B95,uitkomst_doelgroep[Jaar],D95,uitkomst_doelgroep[Kosten (€)],"&gt;0",uitkomst_doelgroep[Uitgangssituatie/effect beleid],uitkomst_tech[[#This Row],[Uitgangssituatie/effect beleid]])</f>
        <v>4029735.6818939182</v>
      </c>
      <c r="L95" s="398">
        <f>SUMIFS(uitkomst_doelgroep[Investering (cash flow) (€)],uitkomst_doelgroep[Digitale zorgtoepassing],B95,uitkomst_doelgroep[Jaar],D95,uitkomst_doelgroep[Investering (cash flow) (€)],"&gt;0",uitkomst_doelgroep[Uitgangssituatie/effect beleid],uitkomst_tech[[#This Row],[Uitgangssituatie/effect beleid]])</f>
        <v>0</v>
      </c>
    </row>
    <row r="96" spans="1:12" x14ac:dyDescent="0.5">
      <c r="A96" s="42" t="str">
        <f>INDEX(Technologieën[Veld],MATCH(B96,Technologieën[Digitale zorgtoepassing],0))</f>
        <v>Software - Diagnose</v>
      </c>
      <c r="B96" s="33" t="s">
        <v>76</v>
      </c>
      <c r="C96" s="33" t="s">
        <v>812</v>
      </c>
      <c r="D96" s="33">
        <v>2026</v>
      </c>
      <c r="E96" s="2">
        <v>125</v>
      </c>
      <c r="F96" s="397">
        <f>SUMIFS(uitkomst_doelgroep[Patiëntaantallen],uitkomst_doelgroep[Digitale zorgtoepassing],B96,uitkomst_doelgroep[Jaar],D96,uitkomst_doelgroep[Arbeidsbesparing (€)],"&gt;0",uitkomst_doelgroep[Uitgangssituatie/effect beleid],uitkomst_tech[[#This Row],[Uitgangssituatie/effect beleid]])</f>
        <v>91051.017244483664</v>
      </c>
      <c r="G96" s="398">
        <f>SUMIFS(uitkomst_doelgroep[Arbeidsbesparing (€)],uitkomst_doelgroep[Digitale zorgtoepassing],B96,uitkomst_doelgroep[Jaar],D96,uitkomst_doelgroep[Arbeidsbesparing (€)],"&gt;0",uitkomst_doelgroep[Uitgangssituatie/effect beleid],uitkomst_tech[[#This Row],[Uitgangssituatie/effect beleid]])</f>
        <v>5559265.7313595032</v>
      </c>
      <c r="H96" s="398">
        <f>SUMIFS(uitkomst_doelgroep[Arbeidsbesparing (FTE)],uitkomst_doelgroep[Digitale zorgtoepassing],B96,uitkomst_doelgroep[Jaar],D96,uitkomst_doelgroep[Arbeidsbesparing (FTE)],"&gt;0",uitkomst_doelgroep[Uitgangssituatie/effect beleid],uitkomst_tech[[#This Row],[Uitgangssituatie/effect beleid]])</f>
        <v>94.698894537932546</v>
      </c>
      <c r="I96" s="398">
        <f>SUMIFS(uitkomst_doelgroep[Overige besparingen (€)],uitkomst_doelgroep[Digitale zorgtoepassing],B96,uitkomst_doelgroep[Jaar],D96,uitkomst_doelgroep[Overige besparingen (€)],"&gt;0",uitkomst_doelgroep[Uitgangssituatie/effect beleid],uitkomst_tech[[#This Row],[Uitgangssituatie/effect beleid]])</f>
        <v>0</v>
      </c>
      <c r="J96" s="398">
        <f>SUMIFS(uitkomst_doelgroep[QALY (€)],uitkomst_doelgroep[Digitale zorgtoepassing],B96,uitkomst_doelgroep[Jaar],D96,uitkomst_doelgroep[QALY (€)],"&gt;0",uitkomst_doelgroep[Uitgangssituatie/effect beleid],uitkomst_tech[[#This Row],[Uitgangssituatie/effect beleid]])</f>
        <v>0</v>
      </c>
      <c r="K96" s="398">
        <f>SUMIFS(uitkomst_doelgroep[Kosten (€)],uitkomst_doelgroep[Digitale zorgtoepassing],B96,uitkomst_doelgroep[Jaar],D96,uitkomst_doelgroep[Kosten (€)],"&gt;0",uitkomst_doelgroep[Uitgangssituatie/effect beleid],uitkomst_tech[[#This Row],[Uitgangssituatie/effect beleid]])</f>
        <v>4724440.3009933252</v>
      </c>
      <c r="L96" s="398">
        <f>SUMIFS(uitkomst_doelgroep[Investering (cash flow) (€)],uitkomst_doelgroep[Digitale zorgtoepassing],B96,uitkomst_doelgroep[Jaar],D96,uitkomst_doelgroep[Investering (cash flow) (€)],"&gt;0",uitkomst_doelgroep[Uitgangssituatie/effect beleid],uitkomst_tech[[#This Row],[Uitgangssituatie/effect beleid]])</f>
        <v>0</v>
      </c>
    </row>
    <row r="97" spans="1:12" x14ac:dyDescent="0.5">
      <c r="A97" s="42" t="str">
        <f>INDEX(Technologieën[Veld],MATCH(B97,Technologieën[Digitale zorgtoepassing],0))</f>
        <v>Software - Diagnose</v>
      </c>
      <c r="B97" s="33" t="s">
        <v>76</v>
      </c>
      <c r="C97" s="33" t="s">
        <v>812</v>
      </c>
      <c r="D97" s="33">
        <v>2027</v>
      </c>
      <c r="E97" s="2">
        <v>157</v>
      </c>
      <c r="F97" s="397">
        <f>SUMIFS(uitkomst_doelgroep[Patiëntaantallen],uitkomst_doelgroep[Digitale zorgtoepassing],B97,uitkomst_doelgroep[Jaar],D97,uitkomst_doelgroep[Arbeidsbesparing (€)],"&gt;0",uitkomst_doelgroep[Uitgangssituatie/effect beleid],uitkomst_tech[[#This Row],[Uitgangssituatie/effect beleid]])</f>
        <v>101659.120543682</v>
      </c>
      <c r="G97" s="398">
        <f>SUMIFS(uitkomst_doelgroep[Arbeidsbesparing (€)],uitkomst_doelgroep[Digitale zorgtoepassing],B97,uitkomst_doelgroep[Jaar],D97,uitkomst_doelgroep[Arbeidsbesparing (€)],"&gt;0",uitkomst_doelgroep[Uitgangssituatie/effect beleid],uitkomst_tech[[#This Row],[Uitgangssituatie/effect beleid]])</f>
        <v>6206960.4736115774</v>
      </c>
      <c r="H97" s="398">
        <f>SUMIFS(uitkomst_doelgroep[Arbeidsbesparing (FTE)],uitkomst_doelgroep[Digitale zorgtoepassing],B97,uitkomst_doelgroep[Jaar],D97,uitkomst_doelgroep[Arbeidsbesparing (FTE)],"&gt;0",uitkomst_doelgroep[Uitgangssituatie/effect beleid],uitkomst_tech[[#This Row],[Uitgangssituatie/effect beleid]])</f>
        <v>105.73200197572056</v>
      </c>
      <c r="I97" s="398">
        <f>SUMIFS(uitkomst_doelgroep[Overige besparingen (€)],uitkomst_doelgroep[Digitale zorgtoepassing],B97,uitkomst_doelgroep[Jaar],D97,uitkomst_doelgroep[Overige besparingen (€)],"&gt;0",uitkomst_doelgroep[Uitgangssituatie/effect beleid],uitkomst_tech[[#This Row],[Uitgangssituatie/effect beleid]])</f>
        <v>0</v>
      </c>
      <c r="J97" s="398">
        <f>SUMIFS(uitkomst_doelgroep[QALY (€)],uitkomst_doelgroep[Digitale zorgtoepassing],B97,uitkomst_doelgroep[Jaar],D97,uitkomst_doelgroep[QALY (€)],"&gt;0",uitkomst_doelgroep[Uitgangssituatie/effect beleid],uitkomst_tech[[#This Row],[Uitgangssituatie/effect beleid]])</f>
        <v>0</v>
      </c>
      <c r="K97" s="398">
        <f>SUMIFS(uitkomst_doelgroep[Kosten (€)],uitkomst_doelgroep[Digitale zorgtoepassing],B97,uitkomst_doelgroep[Jaar],D97,uitkomst_doelgroep[Kosten (€)],"&gt;0",uitkomst_doelgroep[Uitgangssituatie/effect beleid],uitkomst_tech[[#This Row],[Uitgangssituatie/effect beleid]])</f>
        <v>5274871.8311459357</v>
      </c>
      <c r="L97" s="398">
        <f>SUMIFS(uitkomst_doelgroep[Investering (cash flow) (€)],uitkomst_doelgroep[Digitale zorgtoepassing],B97,uitkomst_doelgroep[Jaar],D97,uitkomst_doelgroep[Investering (cash flow) (€)],"&gt;0",uitkomst_doelgroep[Uitgangssituatie/effect beleid],uitkomst_tech[[#This Row],[Uitgangssituatie/effect beleid]])</f>
        <v>0</v>
      </c>
    </row>
    <row r="98" spans="1:12" x14ac:dyDescent="0.5">
      <c r="A98" s="42" t="str">
        <f>INDEX(Technologieën[Veld],MATCH(B98,Technologieën[Digitale zorgtoepassing],0))</f>
        <v>Software - Diagnose</v>
      </c>
      <c r="B98" s="33" t="s">
        <v>76</v>
      </c>
      <c r="C98" s="33" t="s">
        <v>812</v>
      </c>
      <c r="D98" s="33">
        <v>2028</v>
      </c>
      <c r="E98" s="2">
        <v>189</v>
      </c>
      <c r="F98" s="397">
        <f>SUMIFS(uitkomst_doelgroep[Patiëntaantallen],uitkomst_doelgroep[Digitale zorgtoepassing],B98,uitkomst_doelgroep[Jaar],D98,uitkomst_doelgroep[Arbeidsbesparing (€)],"&gt;0",uitkomst_doelgroep[Uitgangssituatie/effect beleid],uitkomst_tech[[#This Row],[Uitgangssituatie/effect beleid]])</f>
        <v>109109.5838133161</v>
      </c>
      <c r="G98" s="398">
        <f>SUMIFS(uitkomst_doelgroep[Arbeidsbesparing (€)],uitkomst_doelgroep[Digitale zorgtoepassing],B98,uitkomst_doelgroep[Jaar],D98,uitkomst_doelgroep[Arbeidsbesparing (€)],"&gt;0",uitkomst_doelgroep[Uitgangssituatie/effect beleid],uitkomst_tech[[#This Row],[Uitgangssituatie/effect beleid]])</f>
        <v>6661860.4449805282</v>
      </c>
      <c r="H98" s="398">
        <f>SUMIFS(uitkomst_doelgroep[Arbeidsbesparing (FTE)],uitkomst_doelgroep[Digitale zorgtoepassing],B98,uitkomst_doelgroep[Jaar],D98,uitkomst_doelgroep[Arbeidsbesparing (FTE)],"&gt;0",uitkomst_doelgroep[Uitgangssituatie/effect beleid],uitkomst_tech[[#This Row],[Uitgangssituatie/effect beleid]])</f>
        <v>113.48096136993937</v>
      </c>
      <c r="I98" s="398">
        <f>SUMIFS(uitkomst_doelgroep[Overige besparingen (€)],uitkomst_doelgroep[Digitale zorgtoepassing],B98,uitkomst_doelgroep[Jaar],D98,uitkomst_doelgroep[Overige besparingen (€)],"&gt;0",uitkomst_doelgroep[Uitgangssituatie/effect beleid],uitkomst_tech[[#This Row],[Uitgangssituatie/effect beleid]])</f>
        <v>0</v>
      </c>
      <c r="J98" s="398">
        <f>SUMIFS(uitkomst_doelgroep[QALY (€)],uitkomst_doelgroep[Digitale zorgtoepassing],B98,uitkomst_doelgroep[Jaar],D98,uitkomst_doelgroep[QALY (€)],"&gt;0",uitkomst_doelgroep[Uitgangssituatie/effect beleid],uitkomst_tech[[#This Row],[Uitgangssituatie/effect beleid]])</f>
        <v>0</v>
      </c>
      <c r="K98" s="398">
        <f>SUMIFS(uitkomst_doelgroep[Kosten (€)],uitkomst_doelgroep[Digitale zorgtoepassing],B98,uitkomst_doelgroep[Jaar],D98,uitkomst_doelgroep[Kosten (€)],"&gt;0",uitkomst_doelgroep[Uitgangssituatie/effect beleid],uitkomst_tech[[#This Row],[Uitgangssituatie/effect beleid]])</f>
        <v>5661460.2515434287</v>
      </c>
      <c r="L98" s="398">
        <f>SUMIFS(uitkomst_doelgroep[Investering (cash flow) (€)],uitkomst_doelgroep[Digitale zorgtoepassing],B98,uitkomst_doelgroep[Jaar],D98,uitkomst_doelgroep[Investering (cash flow) (€)],"&gt;0",uitkomst_doelgroep[Uitgangssituatie/effect beleid],uitkomst_tech[[#This Row],[Uitgangssituatie/effect beleid]])</f>
        <v>0</v>
      </c>
    </row>
    <row r="99" spans="1:12" x14ac:dyDescent="0.5">
      <c r="A99" s="42" t="str">
        <f>INDEX(Technologieën[Veld],MATCH(B99,Technologieën[Digitale zorgtoepassing],0))</f>
        <v>Software - Diagnose</v>
      </c>
      <c r="B99" s="33" t="s">
        <v>76</v>
      </c>
      <c r="C99" s="33" t="s">
        <v>812</v>
      </c>
      <c r="D99" s="33">
        <v>2029</v>
      </c>
      <c r="E99" s="2">
        <v>221</v>
      </c>
      <c r="F99" s="397">
        <f>SUMIFS(uitkomst_doelgroep[Patiëntaantallen],uitkomst_doelgroep[Digitale zorgtoepassing],B99,uitkomst_doelgroep[Jaar],D99,uitkomst_doelgroep[Arbeidsbesparing (€)],"&gt;0",uitkomst_doelgroep[Uitgangssituatie/effect beleid],uitkomst_tech[[#This Row],[Uitgangssituatie/effect beleid]])</f>
        <v>113837.777134294</v>
      </c>
      <c r="G99" s="398">
        <f>SUMIFS(uitkomst_doelgroep[Arbeidsbesparing (€)],uitkomst_doelgroep[Digitale zorgtoepassing],B99,uitkomst_doelgroep[Jaar],D99,uitkomst_doelgroep[Arbeidsbesparing (€)],"&gt;0",uitkomst_doelgroep[Uitgangssituatie/effect beleid],uitkomst_tech[[#This Row],[Uitgangssituatie/effect beleid]])</f>
        <v>6950547.8632657742</v>
      </c>
      <c r="H99" s="398">
        <f>SUMIFS(uitkomst_doelgroep[Arbeidsbesparing (FTE)],uitkomst_doelgroep[Digitale zorgtoepassing],B99,uitkomst_doelgroep[Jaar],D99,uitkomst_doelgroep[Arbeidsbesparing (FTE)],"&gt;0",uitkomst_doelgroep[Uitgangssituatie/effect beleid],uitkomst_tech[[#This Row],[Uitgangssituatie/effect beleid]])</f>
        <v>118.39858551307184</v>
      </c>
      <c r="I99" s="398">
        <f>SUMIFS(uitkomst_doelgroep[Overige besparingen (€)],uitkomst_doelgroep[Digitale zorgtoepassing],B99,uitkomst_doelgroep[Jaar],D99,uitkomst_doelgroep[Overige besparingen (€)],"&gt;0",uitkomst_doelgroep[Uitgangssituatie/effect beleid],uitkomst_tech[[#This Row],[Uitgangssituatie/effect beleid]])</f>
        <v>0</v>
      </c>
      <c r="J99" s="398">
        <f>SUMIFS(uitkomst_doelgroep[QALY (€)],uitkomst_doelgroep[Digitale zorgtoepassing],B99,uitkomst_doelgroep[Jaar],D99,uitkomst_doelgroep[QALY (€)],"&gt;0",uitkomst_doelgroep[Uitgangssituatie/effect beleid],uitkomst_tech[[#This Row],[Uitgangssituatie/effect beleid]])</f>
        <v>0</v>
      </c>
      <c r="K99" s="398">
        <f>SUMIFS(uitkomst_doelgroep[Kosten (€)],uitkomst_doelgroep[Digitale zorgtoepassing],B99,uitkomst_doelgroep[Jaar],D99,uitkomst_doelgroep[Kosten (€)],"&gt;0",uitkomst_doelgroep[Uitgangssituatie/effect beleid],uitkomst_tech[[#This Row],[Uitgangssituatie/effect beleid]])</f>
        <v>5906795.9737851135</v>
      </c>
      <c r="L99" s="398">
        <f>SUMIFS(uitkomst_doelgroep[Investering (cash flow) (€)],uitkomst_doelgroep[Digitale zorgtoepassing],B99,uitkomst_doelgroep[Jaar],D99,uitkomst_doelgroep[Investering (cash flow) (€)],"&gt;0",uitkomst_doelgroep[Uitgangssituatie/effect beleid],uitkomst_tech[[#This Row],[Uitgangssituatie/effect beleid]])</f>
        <v>0</v>
      </c>
    </row>
    <row r="100" spans="1:12" x14ac:dyDescent="0.5">
      <c r="A100" s="42" t="str">
        <f>INDEX(Technologieën[Veld],MATCH(B100,Technologieën[Digitale zorgtoepassing],0))</f>
        <v>Software - Diagnose</v>
      </c>
      <c r="B100" s="33" t="s">
        <v>76</v>
      </c>
      <c r="C100" s="33" t="s">
        <v>812</v>
      </c>
      <c r="D100" s="33">
        <v>2030</v>
      </c>
      <c r="E100" s="2">
        <v>253</v>
      </c>
      <c r="F100" s="397">
        <f>SUMIFS(uitkomst_doelgroep[Patiëntaantallen],uitkomst_doelgroep[Digitale zorgtoepassing],B100,uitkomst_doelgroep[Jaar],D100,uitkomst_doelgroep[Arbeidsbesparing (€)],"&gt;0",uitkomst_doelgroep[Uitgangssituatie/effect beleid],uitkomst_tech[[#This Row],[Uitgangssituatie/effect beleid]])</f>
        <v>116622.43428057949</v>
      </c>
      <c r="G100" s="398">
        <f>SUMIFS(uitkomst_doelgroep[Arbeidsbesparing (€)],uitkomst_doelgroep[Digitale zorgtoepassing],B100,uitkomst_doelgroep[Jaar],D100,uitkomst_doelgroep[Arbeidsbesparing (€)],"&gt;0",uitkomst_doelgroep[Uitgangssituatie/effect beleid],uitkomst_tech[[#This Row],[Uitgangssituatie/effect beleid]])</f>
        <v>7120569.5666517196</v>
      </c>
      <c r="H100" s="398">
        <f>SUMIFS(uitkomst_doelgroep[Arbeidsbesparing (FTE)],uitkomst_doelgroep[Digitale zorgtoepassing],B100,uitkomst_doelgroep[Jaar],D100,uitkomst_doelgroep[Arbeidsbesparing (FTE)],"&gt;0",uitkomst_doelgroep[Uitgangssituatie/effect beleid],uitkomst_tech[[#This Row],[Uitgangssituatie/effect beleid]])</f>
        <v>121.29480744887196</v>
      </c>
      <c r="I100" s="398">
        <f>SUMIFS(uitkomst_doelgroep[Overige besparingen (€)],uitkomst_doelgroep[Digitale zorgtoepassing],B100,uitkomst_doelgroep[Jaar],D100,uitkomst_doelgroep[Overige besparingen (€)],"&gt;0",uitkomst_doelgroep[Uitgangssituatie/effect beleid],uitkomst_tech[[#This Row],[Uitgangssituatie/effect beleid]])</f>
        <v>0</v>
      </c>
      <c r="J100" s="398">
        <f>SUMIFS(uitkomst_doelgroep[QALY (€)],uitkomst_doelgroep[Digitale zorgtoepassing],B100,uitkomst_doelgroep[Jaar],D100,uitkomst_doelgroep[QALY (€)],"&gt;0",uitkomst_doelgroep[Uitgangssituatie/effect beleid],uitkomst_tech[[#This Row],[Uitgangssituatie/effect beleid]])</f>
        <v>0</v>
      </c>
      <c r="K100" s="398">
        <f>SUMIFS(uitkomst_doelgroep[Kosten (€)],uitkomst_doelgroep[Digitale zorgtoepassing],B100,uitkomst_doelgroep[Jaar],D100,uitkomst_doelgroep[Kosten (€)],"&gt;0",uitkomst_doelgroep[Uitgangssituatie/effect beleid],uitkomst_tech[[#This Row],[Uitgangssituatie/effect beleid]])</f>
        <v>6051285.8086546659</v>
      </c>
      <c r="L100" s="398">
        <f>SUMIFS(uitkomst_doelgroep[Investering (cash flow) (€)],uitkomst_doelgroep[Digitale zorgtoepassing],B100,uitkomst_doelgroep[Jaar],D100,uitkomst_doelgroep[Investering (cash flow) (€)],"&gt;0",uitkomst_doelgroep[Uitgangssituatie/effect beleid],uitkomst_tech[[#This Row],[Uitgangssituatie/effect beleid]])</f>
        <v>0</v>
      </c>
    </row>
    <row r="101" spans="1:12" x14ac:dyDescent="0.5">
      <c r="A101" s="42" t="str">
        <f>INDEX(Technologieën[Veld],MATCH(B101,Technologieën[Digitale zorgtoepassing],0))</f>
        <v>Software - Diagnose</v>
      </c>
      <c r="B101" s="33" t="s">
        <v>76</v>
      </c>
      <c r="C101" s="33" t="s">
        <v>812</v>
      </c>
      <c r="D101" s="33">
        <v>2031</v>
      </c>
      <c r="E101" s="2">
        <v>285</v>
      </c>
      <c r="F101" s="397">
        <f>SUMIFS(uitkomst_doelgroep[Patiëntaantallen],uitkomst_doelgroep[Digitale zorgtoepassing],B101,uitkomst_doelgroep[Jaar],D101,uitkomst_doelgroep[Arbeidsbesparing (€)],"&gt;0",uitkomst_doelgroep[Uitgangssituatie/effect beleid],uitkomst_tech[[#This Row],[Uitgangssituatie/effect beleid]])</f>
        <v>118183.99818409547</v>
      </c>
      <c r="G101" s="398">
        <f>SUMIFS(uitkomst_doelgroep[Arbeidsbesparing (€)],uitkomst_doelgroep[Digitale zorgtoepassing],B101,uitkomst_doelgroep[Jaar],D101,uitkomst_doelgroep[Arbeidsbesparing (€)],"&gt;0",uitkomst_doelgroep[Uitgangssituatie/effect beleid],uitkomst_tech[[#This Row],[Uitgangssituatie/effect beleid]])</f>
        <v>7215913.3525737859</v>
      </c>
      <c r="H101" s="398">
        <f>SUMIFS(uitkomst_doelgroep[Arbeidsbesparing (FTE)],uitkomst_doelgroep[Digitale zorgtoepassing],B101,uitkomst_doelgroep[Jaar],D101,uitkomst_doelgroep[Arbeidsbesparing (FTE)],"&gt;0",uitkomst_doelgroep[Uitgangssituatie/effect beleid],uitkomst_tech[[#This Row],[Uitgangssituatie/effect beleid]])</f>
        <v>122.91893400877881</v>
      </c>
      <c r="I101" s="398">
        <f>SUMIFS(uitkomst_doelgroep[Overige besparingen (€)],uitkomst_doelgroep[Digitale zorgtoepassing],B101,uitkomst_doelgroep[Jaar],D101,uitkomst_doelgroep[Overige besparingen (€)],"&gt;0",uitkomst_doelgroep[Uitgangssituatie/effect beleid],uitkomst_tech[[#This Row],[Uitgangssituatie/effect beleid]])</f>
        <v>0</v>
      </c>
      <c r="J101" s="398">
        <f>SUMIFS(uitkomst_doelgroep[QALY (€)],uitkomst_doelgroep[Digitale zorgtoepassing],B101,uitkomst_doelgroep[Jaar],D101,uitkomst_doelgroep[QALY (€)],"&gt;0",uitkomst_doelgroep[Uitgangssituatie/effect beleid],uitkomst_tech[[#This Row],[Uitgangssituatie/effect beleid]])</f>
        <v>0</v>
      </c>
      <c r="K101" s="398">
        <f>SUMIFS(uitkomst_doelgroep[Kosten (€)],uitkomst_doelgroep[Digitale zorgtoepassing],B101,uitkomst_doelgroep[Jaar],D101,uitkomst_doelgroep[Kosten (€)],"&gt;0",uitkomst_doelgroep[Uitgangssituatie/effect beleid],uitkomst_tech[[#This Row],[Uitgangssituatie/effect beleid]])</f>
        <v>6132311.981251264</v>
      </c>
      <c r="L101" s="398">
        <f>SUMIFS(uitkomst_doelgroep[Investering (cash flow) (€)],uitkomst_doelgroep[Digitale zorgtoepassing],B101,uitkomst_doelgroep[Jaar],D101,uitkomst_doelgroep[Investering (cash flow) (€)],"&gt;0",uitkomst_doelgroep[Uitgangssituatie/effect beleid],uitkomst_tech[[#This Row],[Uitgangssituatie/effect beleid]])</f>
        <v>0</v>
      </c>
    </row>
    <row r="102" spans="1:12" x14ac:dyDescent="0.5">
      <c r="A102" s="42" t="str">
        <f>INDEX(Technologieën[Veld],MATCH(B102,Technologieën[Digitale zorgtoepassing],0))</f>
        <v>Software - Diagnose</v>
      </c>
      <c r="B102" s="33" t="s">
        <v>76</v>
      </c>
      <c r="C102" s="33" t="s">
        <v>812</v>
      </c>
      <c r="D102" s="33">
        <v>2032</v>
      </c>
      <c r="E102" s="2">
        <v>317</v>
      </c>
      <c r="F102" s="397">
        <f>SUMIFS(uitkomst_doelgroep[Patiëntaantallen],uitkomst_doelgroep[Digitale zorgtoepassing],B102,uitkomst_doelgroep[Jaar],D102,uitkomst_doelgroep[Arbeidsbesparing (€)],"&gt;0",uitkomst_doelgroep[Uitgangssituatie/effect beleid],uitkomst_tech[[#This Row],[Uitgangssituatie/effect beleid]])</f>
        <v>119034.23206191749</v>
      </c>
      <c r="G102" s="398">
        <f>SUMIFS(uitkomst_doelgroep[Arbeidsbesparing (€)],uitkomst_doelgroep[Digitale zorgtoepassing],B102,uitkomst_doelgroep[Jaar],D102,uitkomst_doelgroep[Arbeidsbesparing (€)],"&gt;0",uitkomst_doelgroep[Uitgangssituatie/effect beleid],uitkomst_tech[[#This Row],[Uitgangssituatie/effect beleid]])</f>
        <v>7267825.7441500938</v>
      </c>
      <c r="H102" s="398">
        <f>SUMIFS(uitkomst_doelgroep[Arbeidsbesparing (FTE)],uitkomst_doelgroep[Digitale zorgtoepassing],B102,uitkomst_doelgroep[Jaar],D102,uitkomst_doelgroep[Arbeidsbesparing (FTE)],"&gt;0",uitkomst_doelgroep[Uitgangssituatie/effect beleid],uitkomst_tech[[#This Row],[Uitgangssituatie/effect beleid]])</f>
        <v>123.80323174388536</v>
      </c>
      <c r="I102" s="398">
        <f>SUMIFS(uitkomst_doelgroep[Overige besparingen (€)],uitkomst_doelgroep[Digitale zorgtoepassing],B102,uitkomst_doelgroep[Jaar],D102,uitkomst_doelgroep[Overige besparingen (€)],"&gt;0",uitkomst_doelgroep[Uitgangssituatie/effect beleid],uitkomst_tech[[#This Row],[Uitgangssituatie/effect beleid]])</f>
        <v>0</v>
      </c>
      <c r="J102" s="398">
        <f>SUMIFS(uitkomst_doelgroep[QALY (€)],uitkomst_doelgroep[Digitale zorgtoepassing],B102,uitkomst_doelgroep[Jaar],D102,uitkomst_doelgroep[QALY (€)],"&gt;0",uitkomst_doelgroep[Uitgangssituatie/effect beleid],uitkomst_tech[[#This Row],[Uitgangssituatie/effect beleid]])</f>
        <v>0</v>
      </c>
      <c r="K102" s="398">
        <f>SUMIFS(uitkomst_doelgroep[Kosten (€)],uitkomst_doelgroep[Digitale zorgtoepassing],B102,uitkomst_doelgroep[Jaar],D102,uitkomst_doelgroep[Kosten (€)],"&gt;0",uitkomst_doelgroep[Uitgangssituatie/effect beleid],uitkomst_tech[[#This Row],[Uitgangssituatie/effect beleid]])</f>
        <v>6176428.7777376371</v>
      </c>
      <c r="L102" s="398">
        <f>SUMIFS(uitkomst_doelgroep[Investering (cash flow) (€)],uitkomst_doelgroep[Digitale zorgtoepassing],B102,uitkomst_doelgroep[Jaar],D102,uitkomst_doelgroep[Investering (cash flow) (€)],"&gt;0",uitkomst_doelgroep[Uitgangssituatie/effect beleid],uitkomst_tech[[#This Row],[Uitgangssituatie/effect beleid]])</f>
        <v>0</v>
      </c>
    </row>
    <row r="103" spans="1:12" x14ac:dyDescent="0.5">
      <c r="A103" s="42" t="str">
        <f>INDEX(Technologieën[Veld],MATCH(B103,Technologieën[Digitale zorgtoepassing],0))</f>
        <v>Software - Diagnose</v>
      </c>
      <c r="B103" s="33" t="s">
        <v>76</v>
      </c>
      <c r="C103" s="33" t="s">
        <v>812</v>
      </c>
      <c r="D103" s="33">
        <v>2033</v>
      </c>
      <c r="E103" s="2">
        <v>349</v>
      </c>
      <c r="F103" s="397">
        <f>SUMIFS(uitkomst_doelgroep[Patiëntaantallen],uitkomst_doelgroep[Digitale zorgtoepassing],B103,uitkomst_doelgroep[Jaar],D103,uitkomst_doelgroep[Arbeidsbesparing (€)],"&gt;0",uitkomst_doelgroep[Uitgangssituatie/effect beleid],uitkomst_tech[[#This Row],[Uitgangssituatie/effect beleid]])</f>
        <v>119489.47417859331</v>
      </c>
      <c r="G103" s="398">
        <f>SUMIFS(uitkomst_doelgroep[Arbeidsbesparing (€)],uitkomst_doelgroep[Digitale zorgtoepassing],B103,uitkomst_doelgroep[Jaar],D103,uitkomst_doelgroep[Arbeidsbesparing (€)],"&gt;0",uitkomst_doelgroep[Uitgangssituatie/effect beleid],uitkomst_tech[[#This Row],[Uitgangssituatie/effect beleid]])</f>
        <v>7295621.2809304465</v>
      </c>
      <c r="H103" s="398">
        <f>SUMIFS(uitkomst_doelgroep[Arbeidsbesparing (FTE)],uitkomst_doelgroep[Digitale zorgtoepassing],B103,uitkomst_doelgroep[Jaar],D103,uitkomst_doelgroep[Arbeidsbesparing (FTE)],"&gt;0",uitkomst_doelgroep[Uitgangssituatie/effect beleid],uitkomst_tech[[#This Row],[Uitgangssituatie/effect beleid]])</f>
        <v>124.2767127274152</v>
      </c>
      <c r="I103" s="398">
        <f>SUMIFS(uitkomst_doelgroep[Overige besparingen (€)],uitkomst_doelgroep[Digitale zorgtoepassing],B103,uitkomst_doelgroep[Jaar],D103,uitkomst_doelgroep[Overige besparingen (€)],"&gt;0",uitkomst_doelgroep[Uitgangssituatie/effect beleid],uitkomst_tech[[#This Row],[Uitgangssituatie/effect beleid]])</f>
        <v>0</v>
      </c>
      <c r="J103" s="398">
        <f>SUMIFS(uitkomst_doelgroep[QALY (€)],uitkomst_doelgroep[Digitale zorgtoepassing],B103,uitkomst_doelgroep[Jaar],D103,uitkomst_doelgroep[QALY (€)],"&gt;0",uitkomst_doelgroep[Uitgangssituatie/effect beleid],uitkomst_tech[[#This Row],[Uitgangssituatie/effect beleid]])</f>
        <v>0</v>
      </c>
      <c r="K103" s="398">
        <f>SUMIFS(uitkomst_doelgroep[Kosten (€)],uitkomst_doelgroep[Digitale zorgtoepassing],B103,uitkomst_doelgroep[Jaar],D103,uitkomst_doelgroep[Kosten (€)],"&gt;0",uitkomst_doelgroep[Uitgangssituatie/effect beleid],uitkomst_tech[[#This Row],[Uitgangssituatie/effect beleid]])</f>
        <v>6200050.3062808905</v>
      </c>
      <c r="L103" s="398">
        <f>SUMIFS(uitkomst_doelgroep[Investering (cash flow) (€)],uitkomst_doelgroep[Digitale zorgtoepassing],B103,uitkomst_doelgroep[Jaar],D103,uitkomst_doelgroep[Investering (cash flow) (€)],"&gt;0",uitkomst_doelgroep[Uitgangssituatie/effect beleid],uitkomst_tech[[#This Row],[Uitgangssituatie/effect beleid]])</f>
        <v>0</v>
      </c>
    </row>
    <row r="104" spans="1:12" x14ac:dyDescent="0.5">
      <c r="A104" s="42" t="str">
        <f>INDEX(Technologieën[Veld],MATCH(B104,Technologieën[Digitale zorgtoepassing],0))</f>
        <v>Software - Behandeling</v>
      </c>
      <c r="B104" s="33" t="s">
        <v>578</v>
      </c>
      <c r="C104" s="33" t="s">
        <v>812</v>
      </c>
      <c r="D104" s="33">
        <v>2023</v>
      </c>
      <c r="E104" s="2">
        <v>353</v>
      </c>
      <c r="F104" s="397">
        <f>SUMIFS(uitkomst_doelgroep[Patiëntaantallen],uitkomst_doelgroep[Digitale zorgtoepassing],B104,uitkomst_doelgroep[Jaar],D104,uitkomst_doelgroep[Arbeidsbesparing (€)],"&gt;0",uitkomst_doelgroep[Uitgangssituatie/effect beleid],uitkomst_tech[[#This Row],[Uitgangssituatie/effect beleid]])</f>
        <v>7200</v>
      </c>
      <c r="G104" s="398">
        <f>SUMIFS(uitkomst_doelgroep[Arbeidsbesparing (€)],uitkomst_doelgroep[Digitale zorgtoepassing],B104,uitkomst_doelgroep[Jaar],D104,uitkomst_doelgroep[Arbeidsbesparing (€)],"&gt;0",uitkomst_doelgroep[Uitgangssituatie/effect beleid],uitkomst_tech[[#This Row],[Uitgangssituatie/effect beleid]])</f>
        <v>2776236.455172414</v>
      </c>
      <c r="H104" s="398">
        <f>SUMIFS(uitkomst_doelgroep[Arbeidsbesparing (FTE)],uitkomst_doelgroep[Digitale zorgtoepassing],B104,uitkomst_doelgroep[Jaar],D104,uitkomst_doelgroep[Arbeidsbesparing (FTE)],"&gt;0",uitkomst_doelgroep[Uitgangssituatie/effect beleid],uitkomst_tech[[#This Row],[Uitgangssituatie/effect beleid]])</f>
        <v>33.085384615384612</v>
      </c>
      <c r="I104" s="398">
        <f>SUMIFS(uitkomst_doelgroep[Overige besparingen (€)],uitkomst_doelgroep[Digitale zorgtoepassing],B104,uitkomst_doelgroep[Jaar],D104,uitkomst_doelgroep[Overige besparingen (€)],"&gt;0",uitkomst_doelgroep[Uitgangssituatie/effect beleid],uitkomst_tech[[#This Row],[Uitgangssituatie/effect beleid]])</f>
        <v>0</v>
      </c>
      <c r="J104" s="398">
        <f>SUMIFS(uitkomst_doelgroep[QALY (€)],uitkomst_doelgroep[Digitale zorgtoepassing],B104,uitkomst_doelgroep[Jaar],D104,uitkomst_doelgroep[QALY (€)],"&gt;0",uitkomst_doelgroep[Uitgangssituatie/effect beleid],uitkomst_tech[[#This Row],[Uitgangssituatie/effect beleid]])</f>
        <v>0</v>
      </c>
      <c r="K104" s="398">
        <f>SUMIFS(uitkomst_doelgroep[Kosten (€)],uitkomst_doelgroep[Digitale zorgtoepassing],B104,uitkomst_doelgroep[Jaar],D104,uitkomst_doelgroep[Kosten (€)],"&gt;0",uitkomst_doelgroep[Uitgangssituatie/effect beleid],uitkomst_tech[[#This Row],[Uitgangssituatie/effect beleid]])</f>
        <v>1521573.4005066629</v>
      </c>
      <c r="L104" s="398">
        <f>SUMIFS(uitkomst_doelgroep[Investering (cash flow) (€)],uitkomst_doelgroep[Digitale zorgtoepassing],B104,uitkomst_doelgroep[Jaar],D104,uitkomst_doelgroep[Investering (cash flow) (€)],"&gt;0",uitkomst_doelgroep[Uitgangssituatie/effect beleid],uitkomst_tech[[#This Row],[Uitgangssituatie/effect beleid]])</f>
        <v>0</v>
      </c>
    </row>
    <row r="105" spans="1:12" x14ac:dyDescent="0.5">
      <c r="A105" s="42" t="str">
        <f>INDEX(Technologieën[Veld],MATCH(B105,Technologieën[Digitale zorgtoepassing],0))</f>
        <v>Software - Behandeling</v>
      </c>
      <c r="B105" s="33" t="s">
        <v>578</v>
      </c>
      <c r="C105" s="33" t="s">
        <v>812</v>
      </c>
      <c r="D105" s="33">
        <v>2024</v>
      </c>
      <c r="E105" s="2">
        <v>354</v>
      </c>
      <c r="F105" s="397">
        <f>SUMIFS(uitkomst_doelgroep[Patiëntaantallen],uitkomst_doelgroep[Digitale zorgtoepassing],B105,uitkomst_doelgroep[Jaar],D105,uitkomst_doelgroep[Arbeidsbesparing (€)],"&gt;0",uitkomst_doelgroep[Uitgangssituatie/effect beleid],uitkomst_tech[[#This Row],[Uitgangssituatie/effect beleid]])</f>
        <v>9648</v>
      </c>
      <c r="G105" s="398">
        <f>SUMIFS(uitkomst_doelgroep[Arbeidsbesparing (€)],uitkomst_doelgroep[Digitale zorgtoepassing],B105,uitkomst_doelgroep[Jaar],D105,uitkomst_doelgroep[Arbeidsbesparing (€)],"&gt;0",uitkomst_doelgroep[Uitgangssituatie/effect beleid],uitkomst_tech[[#This Row],[Uitgangssituatie/effect beleid]])</f>
        <v>3720156.8499310347</v>
      </c>
      <c r="H105" s="398">
        <f>SUMIFS(uitkomst_doelgroep[Arbeidsbesparing (FTE)],uitkomst_doelgroep[Digitale zorgtoepassing],B105,uitkomst_doelgroep[Jaar],D105,uitkomst_doelgroep[Arbeidsbesparing (FTE)],"&gt;0",uitkomst_doelgroep[Uitgangssituatie/effect beleid],uitkomst_tech[[#This Row],[Uitgangssituatie/effect beleid]])</f>
        <v>44.334415384615383</v>
      </c>
      <c r="I105" s="398">
        <f>SUMIFS(uitkomst_doelgroep[Overige besparingen (€)],uitkomst_doelgroep[Digitale zorgtoepassing],B105,uitkomst_doelgroep[Jaar],D105,uitkomst_doelgroep[Overige besparingen (€)],"&gt;0",uitkomst_doelgroep[Uitgangssituatie/effect beleid],uitkomst_tech[[#This Row],[Uitgangssituatie/effect beleid]])</f>
        <v>0</v>
      </c>
      <c r="J105" s="398">
        <f>SUMIFS(uitkomst_doelgroep[QALY (€)],uitkomst_doelgroep[Digitale zorgtoepassing],B105,uitkomst_doelgroep[Jaar],D105,uitkomst_doelgroep[QALY (€)],"&gt;0",uitkomst_doelgroep[Uitgangssituatie/effect beleid],uitkomst_tech[[#This Row],[Uitgangssituatie/effect beleid]])</f>
        <v>0</v>
      </c>
      <c r="K105" s="398">
        <f>SUMIFS(uitkomst_doelgroep[Kosten (€)],uitkomst_doelgroep[Digitale zorgtoepassing],B105,uitkomst_doelgroep[Jaar],D105,uitkomst_doelgroep[Kosten (€)],"&gt;0",uitkomst_doelgroep[Uitgangssituatie/effect beleid],uitkomst_tech[[#This Row],[Uitgangssituatie/effect beleid]])</f>
        <v>2038908.3566789282</v>
      </c>
      <c r="L105" s="398">
        <f>SUMIFS(uitkomst_doelgroep[Investering (cash flow) (€)],uitkomst_doelgroep[Digitale zorgtoepassing],B105,uitkomst_doelgroep[Jaar],D105,uitkomst_doelgroep[Investering (cash flow) (€)],"&gt;0",uitkomst_doelgroep[Uitgangssituatie/effect beleid],uitkomst_tech[[#This Row],[Uitgangssituatie/effect beleid]])</f>
        <v>0</v>
      </c>
    </row>
    <row r="106" spans="1:12" x14ac:dyDescent="0.5">
      <c r="A106" s="42" t="str">
        <f>INDEX(Technologieën[Veld],MATCH(B106,Technologieën[Digitale zorgtoepassing],0))</f>
        <v>Software - Behandeling</v>
      </c>
      <c r="B106" s="33" t="s">
        <v>578</v>
      </c>
      <c r="C106" s="33" t="s">
        <v>812</v>
      </c>
      <c r="D106" s="33">
        <v>2025</v>
      </c>
      <c r="E106" s="2">
        <v>355</v>
      </c>
      <c r="F106" s="397">
        <f>SUMIFS(uitkomst_doelgroep[Patiëntaantallen],uitkomst_doelgroep[Digitale zorgtoepassing],B106,uitkomst_doelgroep[Jaar],D106,uitkomst_doelgroep[Arbeidsbesparing (€)],"&gt;0",uitkomst_doelgroep[Uitgangssituatie/effect beleid],uitkomst_tech[[#This Row],[Uitgangssituatie/effect beleid]])</f>
        <v>12515.097599999999</v>
      </c>
      <c r="G106" s="398">
        <f>SUMIFS(uitkomst_doelgroep[Arbeidsbesparing (€)],uitkomst_doelgroep[Digitale zorgtoepassing],B106,uitkomst_doelgroep[Jaar],D106,uitkomst_doelgroep[Arbeidsbesparing (€)],"&gt;0",uitkomst_doelgroep[Uitgangssituatie/effect beleid],uitkomst_tech[[#This Row],[Uitgangssituatie/effect beleid]])</f>
        <v>4825676.416272331</v>
      </c>
      <c r="H106" s="398">
        <f>SUMIFS(uitkomst_doelgroep[Arbeidsbesparing (FTE)],uitkomst_doelgroep[Digitale zorgtoepassing],B106,uitkomst_doelgroep[Jaar],D106,uitkomst_doelgroep[Arbeidsbesparing (FTE)],"&gt;0",uitkomst_doelgroep[Uitgangssituatie/effect beleid],uitkomst_tech[[#This Row],[Uitgangssituatie/effect beleid]])</f>
        <v>57.509280221538454</v>
      </c>
      <c r="I106" s="398">
        <f>SUMIFS(uitkomst_doelgroep[Overige besparingen (€)],uitkomst_doelgroep[Digitale zorgtoepassing],B106,uitkomst_doelgroep[Jaar],D106,uitkomst_doelgroep[Overige besparingen (€)],"&gt;0",uitkomst_doelgroep[Uitgangssituatie/effect beleid],uitkomst_tech[[#This Row],[Uitgangssituatie/effect beleid]])</f>
        <v>0</v>
      </c>
      <c r="J106" s="398">
        <f>SUMIFS(uitkomst_doelgroep[QALY (€)],uitkomst_doelgroep[Digitale zorgtoepassing],B106,uitkomst_doelgroep[Jaar],D106,uitkomst_doelgroep[QALY (€)],"&gt;0",uitkomst_doelgroep[Uitgangssituatie/effect beleid],uitkomst_tech[[#This Row],[Uitgangssituatie/effect beleid]])</f>
        <v>0</v>
      </c>
      <c r="K106" s="398">
        <f>SUMIFS(uitkomst_doelgroep[Kosten (€)],uitkomst_doelgroep[Digitale zorgtoepassing],B106,uitkomst_doelgroep[Jaar],D106,uitkomst_doelgroep[Kosten (€)],"&gt;0",uitkomst_doelgroep[Uitgangssituatie/effect beleid],uitkomst_tech[[#This Row],[Uitgangssituatie/effect beleid]])</f>
        <v>2644811.0573478853</v>
      </c>
      <c r="L106" s="398">
        <f>SUMIFS(uitkomst_doelgroep[Investering (cash flow) (€)],uitkomst_doelgroep[Digitale zorgtoepassing],B106,uitkomst_doelgroep[Jaar],D106,uitkomst_doelgroep[Investering (cash flow) (€)],"&gt;0",uitkomst_doelgroep[Uitgangssituatie/effect beleid],uitkomst_tech[[#This Row],[Uitgangssituatie/effect beleid]])</f>
        <v>0</v>
      </c>
    </row>
    <row r="107" spans="1:12" x14ac:dyDescent="0.5">
      <c r="A107" s="42" t="str">
        <f>INDEX(Technologieën[Veld],MATCH(B107,Technologieën[Digitale zorgtoepassing],0))</f>
        <v>Software - Behandeling</v>
      </c>
      <c r="B107" s="33" t="s">
        <v>578</v>
      </c>
      <c r="C107" s="33" t="s">
        <v>812</v>
      </c>
      <c r="D107" s="33">
        <v>2026</v>
      </c>
      <c r="E107" s="2">
        <v>356</v>
      </c>
      <c r="F107" s="397">
        <f>SUMIFS(uitkomst_doelgroep[Patiëntaantallen],uitkomst_doelgroep[Digitale zorgtoepassing],B107,uitkomst_doelgroep[Jaar],D107,uitkomst_doelgroep[Arbeidsbesparing (€)],"&gt;0",uitkomst_doelgroep[Uitgangssituatie/effect beleid],uitkomst_tech[[#This Row],[Uitgangssituatie/effect beleid]])</f>
        <v>15724.886302162942</v>
      </c>
      <c r="G107" s="398">
        <f>SUMIFS(uitkomst_doelgroep[Arbeidsbesparing (€)],uitkomst_doelgroep[Digitale zorgtoepassing],B107,uitkomst_doelgroep[Jaar],D107,uitkomst_doelgroep[Arbeidsbesparing (€)],"&gt;0",uitkomst_doelgroep[Uitgangssituatie/effect beleid],uitkomst_tech[[#This Row],[Uitgangssituatie/effect beleid]])</f>
        <v>6063333.69520918</v>
      </c>
      <c r="H107" s="398">
        <f>SUMIFS(uitkomst_doelgroep[Arbeidsbesparing (FTE)],uitkomst_doelgroep[Digitale zorgtoepassing],B107,uitkomst_doelgroep[Jaar],D107,uitkomst_doelgroep[Arbeidsbesparing (FTE)],"&gt;0",uitkomst_doelgroep[Uitgangssituatie/effect beleid],uitkomst_tech[[#This Row],[Uitgangssituatie/effect beleid]])</f>
        <v>72.258876575035288</v>
      </c>
      <c r="I107" s="398">
        <f>SUMIFS(uitkomst_doelgroep[Overige besparingen (€)],uitkomst_doelgroep[Digitale zorgtoepassing],B107,uitkomst_doelgroep[Jaar],D107,uitkomst_doelgroep[Overige besparingen (€)],"&gt;0",uitkomst_doelgroep[Uitgangssituatie/effect beleid],uitkomst_tech[[#This Row],[Uitgangssituatie/effect beleid]])</f>
        <v>0</v>
      </c>
      <c r="J107" s="398">
        <f>SUMIFS(uitkomst_doelgroep[QALY (€)],uitkomst_doelgroep[Digitale zorgtoepassing],B107,uitkomst_doelgroep[Jaar],D107,uitkomst_doelgroep[QALY (€)],"&gt;0",uitkomst_doelgroep[Uitgangssituatie/effect beleid],uitkomst_tech[[#This Row],[Uitgangssituatie/effect beleid]])</f>
        <v>0</v>
      </c>
      <c r="K107" s="398">
        <f>SUMIFS(uitkomst_doelgroep[Kosten (€)],uitkomst_doelgroep[Digitale zorgtoepassing],B107,uitkomst_doelgroep[Jaar],D107,uitkomst_doelgroep[Kosten (€)],"&gt;0",uitkomst_doelgroep[Uitgangssituatie/effect beleid],uitkomst_tech[[#This Row],[Uitgangssituatie/effect beleid]])</f>
        <v>3323134.5449114875</v>
      </c>
      <c r="L107" s="398">
        <f>SUMIFS(uitkomst_doelgroep[Investering (cash flow) (€)],uitkomst_doelgroep[Digitale zorgtoepassing],B107,uitkomst_doelgroep[Jaar],D107,uitkomst_doelgroep[Investering (cash flow) (€)],"&gt;0",uitkomst_doelgroep[Uitgangssituatie/effect beleid],uitkomst_tech[[#This Row],[Uitgangssituatie/effect beleid]])</f>
        <v>0</v>
      </c>
    </row>
    <row r="108" spans="1:12" x14ac:dyDescent="0.5">
      <c r="A108" s="42" t="str">
        <f>INDEX(Technologieën[Veld],MATCH(B108,Technologieën[Digitale zorgtoepassing],0))</f>
        <v>Software - Behandeling</v>
      </c>
      <c r="B108" s="33" t="s">
        <v>578</v>
      </c>
      <c r="C108" s="33" t="s">
        <v>812</v>
      </c>
      <c r="D108" s="33">
        <v>2027</v>
      </c>
      <c r="E108" s="2">
        <v>357</v>
      </c>
      <c r="F108" s="397">
        <f>SUMIFS(uitkomst_doelgroep[Patiëntaantallen],uitkomst_doelgroep[Digitale zorgtoepassing],B108,uitkomst_doelgroep[Jaar],D108,uitkomst_doelgroep[Arbeidsbesparing (€)],"&gt;0",uitkomst_doelgroep[Uitgangssituatie/effect beleid],uitkomst_tech[[#This Row],[Uitgangssituatie/effect beleid]])</f>
        <v>19128.689401565774</v>
      </c>
      <c r="G108" s="398">
        <f>SUMIFS(uitkomst_doelgroep[Arbeidsbesparing (€)],uitkomst_doelgroep[Digitale zorgtoepassing],B108,uitkomst_doelgroep[Jaar],D108,uitkomst_doelgroep[Arbeidsbesparing (€)],"&gt;0",uitkomst_doelgroep[Uitgangssituatie/effect beleid],uitkomst_tech[[#This Row],[Uitgangssituatie/effect beleid]])</f>
        <v>7375800.6744857067</v>
      </c>
      <c r="H108" s="398">
        <f>SUMIFS(uitkomst_doelgroep[Arbeidsbesparing (FTE)],uitkomst_doelgroep[Digitale zorgtoepassing],B108,uitkomst_doelgroep[Jaar],D108,uitkomst_doelgroep[Arbeidsbesparing (FTE)],"&gt;0",uitkomst_doelgroep[Uitgangssituatie/effect beleid],uitkomst_tech[[#This Row],[Uitgangssituatie/effect beleid]])</f>
        <v>87.90000639431041</v>
      </c>
      <c r="I108" s="398">
        <f>SUMIFS(uitkomst_doelgroep[Overige besparingen (€)],uitkomst_doelgroep[Digitale zorgtoepassing],B108,uitkomst_doelgroep[Jaar],D108,uitkomst_doelgroep[Overige besparingen (€)],"&gt;0",uitkomst_doelgroep[Uitgangssituatie/effect beleid],uitkomst_tech[[#This Row],[Uitgangssituatie/effect beleid]])</f>
        <v>0</v>
      </c>
      <c r="J108" s="398">
        <f>SUMIFS(uitkomst_doelgroep[QALY (€)],uitkomst_doelgroep[Digitale zorgtoepassing],B108,uitkomst_doelgroep[Jaar],D108,uitkomst_doelgroep[QALY (€)],"&gt;0",uitkomst_doelgroep[Uitgangssituatie/effect beleid],uitkomst_tech[[#This Row],[Uitgangssituatie/effect beleid]])</f>
        <v>0</v>
      </c>
      <c r="K108" s="398">
        <f>SUMIFS(uitkomst_doelgroep[Kosten (€)],uitkomst_doelgroep[Digitale zorgtoepassing],B108,uitkomst_doelgroep[Jaar],D108,uitkomst_doelgroep[Kosten (€)],"&gt;0",uitkomst_doelgroep[Uitgangssituatie/effect beleid],uitkomst_tech[[#This Row],[Uitgangssituatie/effect beleid]])</f>
        <v>4042459.0249966937</v>
      </c>
      <c r="L108" s="398">
        <f>SUMIFS(uitkomst_doelgroep[Investering (cash flow) (€)],uitkomst_doelgroep[Digitale zorgtoepassing],B108,uitkomst_doelgroep[Jaar],D108,uitkomst_doelgroep[Investering (cash flow) (€)],"&gt;0",uitkomst_doelgroep[Uitgangssituatie/effect beleid],uitkomst_tech[[#This Row],[Uitgangssituatie/effect beleid]])</f>
        <v>0</v>
      </c>
    </row>
    <row r="109" spans="1:12" x14ac:dyDescent="0.5">
      <c r="A109" s="42" t="str">
        <f>INDEX(Technologieën[Veld],MATCH(B109,Technologieën[Digitale zorgtoepassing],0))</f>
        <v>Software - Behandeling</v>
      </c>
      <c r="B109" s="33" t="s">
        <v>578</v>
      </c>
      <c r="C109" s="33" t="s">
        <v>812</v>
      </c>
      <c r="D109" s="33">
        <v>2028</v>
      </c>
      <c r="E109" s="2">
        <v>358</v>
      </c>
      <c r="F109" s="397">
        <f>SUMIFS(uitkomst_doelgroep[Patiëntaantallen],uitkomst_doelgroep[Digitale zorgtoepassing],B109,uitkomst_doelgroep[Jaar],D109,uitkomst_doelgroep[Arbeidsbesparing (€)],"&gt;0",uitkomst_doelgroep[Uitgangssituatie/effect beleid],uitkomst_tech[[#This Row],[Uitgangssituatie/effect beleid]])</f>
        <v>22519.373535047223</v>
      </c>
      <c r="G109" s="398">
        <f>SUMIFS(uitkomst_doelgroep[Arbeidsbesparing (€)],uitkomst_doelgroep[Digitale zorgtoepassing],B109,uitkomst_doelgroep[Jaar],D109,uitkomst_doelgroep[Arbeidsbesparing (€)],"&gt;0",uitkomst_doelgroep[Uitgangssituatie/effect beleid],uitkomst_tech[[#This Row],[Uitgangssituatie/effect beleid]])</f>
        <v>8683209.1327281911</v>
      </c>
      <c r="H109" s="398">
        <f>SUMIFS(uitkomst_doelgroep[Arbeidsbesparing (FTE)],uitkomst_doelgroep[Digitale zorgtoepassing],B109,uitkomst_doelgroep[Jaar],D109,uitkomst_doelgroep[Arbeidsbesparing (FTE)],"&gt;0",uitkomst_doelgroep[Uitgangssituatie/effect beleid],uitkomst_tech[[#This Row],[Uitgangssituatie/effect beleid]])</f>
        <v>103.48085204229871</v>
      </c>
      <c r="I109" s="398">
        <f>SUMIFS(uitkomst_doelgroep[Overige besparingen (€)],uitkomst_doelgroep[Digitale zorgtoepassing],B109,uitkomst_doelgroep[Jaar],D109,uitkomst_doelgroep[Overige besparingen (€)],"&gt;0",uitkomst_doelgroep[Uitgangssituatie/effect beleid],uitkomst_tech[[#This Row],[Uitgangssituatie/effect beleid]])</f>
        <v>0</v>
      </c>
      <c r="J109" s="398">
        <f>SUMIFS(uitkomst_doelgroep[QALY (€)],uitkomst_doelgroep[Digitale zorgtoepassing],B109,uitkomst_doelgroep[Jaar],D109,uitkomst_doelgroep[QALY (€)],"&gt;0",uitkomst_doelgroep[Uitgangssituatie/effect beleid],uitkomst_tech[[#This Row],[Uitgangssituatie/effect beleid]])</f>
        <v>0</v>
      </c>
      <c r="K109" s="398">
        <f>SUMIFS(uitkomst_doelgroep[Kosten (€)],uitkomst_doelgroep[Digitale zorgtoepassing],B109,uitkomst_doelgroep[Jaar],D109,uitkomst_doelgroep[Kosten (€)],"&gt;0",uitkomst_doelgroep[Uitgangssituatie/effect beleid],uitkomst_tech[[#This Row],[Uitgangssituatie/effect beleid]])</f>
        <v>4759011.0787502155</v>
      </c>
      <c r="L109" s="398">
        <f>SUMIFS(uitkomst_doelgroep[Investering (cash flow) (€)],uitkomst_doelgroep[Digitale zorgtoepassing],B109,uitkomst_doelgroep[Jaar],D109,uitkomst_doelgroep[Investering (cash flow) (€)],"&gt;0",uitkomst_doelgroep[Uitgangssituatie/effect beleid],uitkomst_tech[[#This Row],[Uitgangssituatie/effect beleid]])</f>
        <v>0</v>
      </c>
    </row>
    <row r="110" spans="1:12" x14ac:dyDescent="0.5">
      <c r="A110" s="42" t="str">
        <f>INDEX(Technologieën[Veld],MATCH(B110,Technologieën[Digitale zorgtoepassing],0))</f>
        <v>Software - Behandeling</v>
      </c>
      <c r="B110" s="33" t="s">
        <v>578</v>
      </c>
      <c r="C110" s="33" t="s">
        <v>812</v>
      </c>
      <c r="D110" s="33">
        <v>2029</v>
      </c>
      <c r="E110" s="2">
        <v>359</v>
      </c>
      <c r="F110" s="397">
        <f>SUMIFS(uitkomst_doelgroep[Patiëntaantallen],uitkomst_doelgroep[Digitale zorgtoepassing],B110,uitkomst_doelgroep[Jaar],D110,uitkomst_doelgroep[Arbeidsbesparing (€)],"&gt;0",uitkomst_doelgroep[Uitgangssituatie/effect beleid],uitkomst_tech[[#This Row],[Uitgangssituatie/effect beleid]])</f>
        <v>25673.009098625684</v>
      </c>
      <c r="G110" s="398">
        <f>SUMIFS(uitkomst_doelgroep[Arbeidsbesparing (€)],uitkomst_doelgroep[Digitale zorgtoepassing],B110,uitkomst_doelgroep[Jaar],D110,uitkomst_doelgroep[Arbeidsbesparing (€)],"&gt;0",uitkomst_doelgroep[Uitgangssituatie/effect beleid],uitkomst_tech[[#This Row],[Uitgangssituatie/effect beleid]])</f>
        <v>9899214.4129969031</v>
      </c>
      <c r="H110" s="398">
        <f>SUMIFS(uitkomst_doelgroep[Arbeidsbesparing (FTE)],uitkomst_doelgroep[Digitale zorgtoepassing],B110,uitkomst_doelgroep[Jaar],D110,uitkomst_doelgroep[Arbeidsbesparing (FTE)],"&gt;0",uitkomst_doelgroep[Uitgangssituatie/effect beleid],uitkomst_tech[[#This Row],[Uitgangssituatie/effect beleid]])</f>
        <v>117.97241392531936</v>
      </c>
      <c r="I110" s="398">
        <f>SUMIFS(uitkomst_doelgroep[Overige besparingen (€)],uitkomst_doelgroep[Digitale zorgtoepassing],B110,uitkomst_doelgroep[Jaar],D110,uitkomst_doelgroep[Overige besparingen (€)],"&gt;0",uitkomst_doelgroep[Uitgangssituatie/effect beleid],uitkomst_tech[[#This Row],[Uitgangssituatie/effect beleid]])</f>
        <v>0</v>
      </c>
      <c r="J110" s="398">
        <f>SUMIFS(uitkomst_doelgroep[QALY (€)],uitkomst_doelgroep[Digitale zorgtoepassing],B110,uitkomst_doelgroep[Jaar],D110,uitkomst_doelgroep[QALY (€)],"&gt;0",uitkomst_doelgroep[Uitgangssituatie/effect beleid],uitkomst_tech[[#This Row],[Uitgangssituatie/effect beleid]])</f>
        <v>0</v>
      </c>
      <c r="K110" s="398">
        <f>SUMIFS(uitkomst_doelgroep[Kosten (€)],uitkomst_doelgroep[Digitale zorgtoepassing],B110,uitkomst_doelgroep[Jaar],D110,uitkomst_doelgroep[Kosten (€)],"&gt;0",uitkomst_doelgroep[Uitgangssituatie/effect beleid],uitkomst_tech[[#This Row],[Uitgangssituatie/effect beleid]])</f>
        <v>5425467.7438103296</v>
      </c>
      <c r="L110" s="398">
        <f>SUMIFS(uitkomst_doelgroep[Investering (cash flow) (€)],uitkomst_doelgroep[Digitale zorgtoepassing],B110,uitkomst_doelgroep[Jaar],D110,uitkomst_doelgroep[Investering (cash flow) (€)],"&gt;0",uitkomst_doelgroep[Uitgangssituatie/effect beleid],uitkomst_tech[[#This Row],[Uitgangssituatie/effect beleid]])</f>
        <v>0</v>
      </c>
    </row>
    <row r="111" spans="1:12" x14ac:dyDescent="0.5">
      <c r="A111" s="42" t="str">
        <f>INDEX(Technologieën[Veld],MATCH(B111,Technologieën[Digitale zorgtoepassing],0))</f>
        <v>Software - Behandeling</v>
      </c>
      <c r="B111" s="33" t="s">
        <v>578</v>
      </c>
      <c r="C111" s="33" t="s">
        <v>812</v>
      </c>
      <c r="D111" s="33">
        <v>2030</v>
      </c>
      <c r="E111" s="2">
        <v>360</v>
      </c>
      <c r="F111" s="397">
        <f>SUMIFS(uitkomst_doelgroep[Patiëntaantallen],uitkomst_doelgroep[Digitale zorgtoepassing],B111,uitkomst_doelgroep[Jaar],D111,uitkomst_doelgroep[Arbeidsbesparing (€)],"&gt;0",uitkomst_doelgroep[Uitgangssituatie/effect beleid],uitkomst_tech[[#This Row],[Uitgangssituatie/effect beleid]])</f>
        <v>28405.517461600262</v>
      </c>
      <c r="G111" s="398">
        <f>SUMIFS(uitkomst_doelgroep[Arbeidsbesparing (€)],uitkomst_doelgroep[Digitale zorgtoepassing],B111,uitkomst_doelgroep[Jaar],D111,uitkomst_doelgroep[Arbeidsbesparing (€)],"&gt;0",uitkomst_doelgroep[Uitgangssituatie/effect beleid],uitkomst_tech[[#This Row],[Uitgangssituatie/effect beleid]])</f>
        <v>10952837.931240447</v>
      </c>
      <c r="H111" s="398">
        <f>SUMIFS(uitkomst_doelgroep[Arbeidsbesparing (FTE)],uitkomst_doelgroep[Digitale zorgtoepassing],B111,uitkomst_doelgroep[Jaar],D111,uitkomst_doelgroep[Arbeidsbesparing (FTE)],"&gt;0",uitkomst_doelgroep[Uitgangssituatie/effect beleid],uitkomst_tech[[#This Row],[Uitgangssituatie/effect beleid]])</f>
        <v>130.52881533556504</v>
      </c>
      <c r="I111" s="398">
        <f>SUMIFS(uitkomst_doelgroep[Overige besparingen (€)],uitkomst_doelgroep[Digitale zorgtoepassing],B111,uitkomst_doelgroep[Jaar],D111,uitkomst_doelgroep[Overige besparingen (€)],"&gt;0",uitkomst_doelgroep[Uitgangssituatie/effect beleid],uitkomst_tech[[#This Row],[Uitgangssituatie/effect beleid]])</f>
        <v>0</v>
      </c>
      <c r="J111" s="398">
        <f>SUMIFS(uitkomst_doelgroep[QALY (€)],uitkomst_doelgroep[Digitale zorgtoepassing],B111,uitkomst_doelgroep[Jaar],D111,uitkomst_doelgroep[QALY (€)],"&gt;0",uitkomst_doelgroep[Uitgangssituatie/effect beleid],uitkomst_tech[[#This Row],[Uitgangssituatie/effect beleid]])</f>
        <v>0</v>
      </c>
      <c r="K111" s="398">
        <f>SUMIFS(uitkomst_doelgroep[Kosten (€)],uitkomst_doelgroep[Digitale zorgtoepassing],B111,uitkomst_doelgroep[Jaar],D111,uitkomst_doelgroep[Kosten (€)],"&gt;0",uitkomst_doelgroep[Uitgangssituatie/effect beleid],uitkomst_tech[[#This Row],[Uitgangssituatie/effect beleid]])</f>
        <v>6002927.7496109018</v>
      </c>
      <c r="L111" s="398">
        <f>SUMIFS(uitkomst_doelgroep[Investering (cash flow) (€)],uitkomst_doelgroep[Digitale zorgtoepassing],B111,uitkomst_doelgroep[Jaar],D111,uitkomst_doelgroep[Investering (cash flow) (€)],"&gt;0",uitkomst_doelgroep[Uitgangssituatie/effect beleid],uitkomst_tech[[#This Row],[Uitgangssituatie/effect beleid]])</f>
        <v>0</v>
      </c>
    </row>
    <row r="112" spans="1:12" x14ac:dyDescent="0.5">
      <c r="A112" s="42" t="str">
        <f>INDEX(Technologieën[Veld],MATCH(B112,Technologieën[Digitale zorgtoepassing],0))</f>
        <v>Software - Behandeling</v>
      </c>
      <c r="B112" s="33" t="s">
        <v>578</v>
      </c>
      <c r="C112" s="33" t="s">
        <v>812</v>
      </c>
      <c r="D112" s="33">
        <v>2031</v>
      </c>
      <c r="E112" s="2">
        <v>361</v>
      </c>
      <c r="F112" s="397">
        <f>SUMIFS(uitkomst_doelgroep[Patiëntaantallen],uitkomst_doelgroep[Digitale zorgtoepassing],B112,uitkomst_doelgroep[Jaar],D112,uitkomst_doelgroep[Arbeidsbesparing (€)],"&gt;0",uitkomst_doelgroep[Uitgangssituatie/effect beleid],uitkomst_tech[[#This Row],[Uitgangssituatie/effect beleid]])</f>
        <v>30616.763094807262</v>
      </c>
      <c r="G112" s="398">
        <f>SUMIFS(uitkomst_doelgroep[Arbeidsbesparing (€)],uitkomst_doelgroep[Digitale zorgtoepassing],B112,uitkomst_doelgroep[Jaar],D112,uitkomst_doelgroep[Arbeidsbesparing (€)],"&gt;0",uitkomst_doelgroep[Uitgangssituatie/effect beleid],uitkomst_tech[[#This Row],[Uitgangssituatie/effect beleid]])</f>
        <v>11805468.589330737</v>
      </c>
      <c r="H112" s="398">
        <f>SUMIFS(uitkomst_doelgroep[Arbeidsbesparing (FTE)],uitkomst_doelgroep[Digitale zorgtoepassing],B112,uitkomst_doelgroep[Jaar],D112,uitkomst_doelgroep[Arbeidsbesparing (FTE)],"&gt;0",uitkomst_doelgroep[Uitgangssituatie/effect beleid],uitkomst_tech[[#This Row],[Uitgangssituatie/effect beleid]])</f>
        <v>140.68991425969605</v>
      </c>
      <c r="I112" s="398">
        <f>SUMIFS(uitkomst_doelgroep[Overige besparingen (€)],uitkomst_doelgroep[Digitale zorgtoepassing],B112,uitkomst_doelgroep[Jaar],D112,uitkomst_doelgroep[Overige besparingen (€)],"&gt;0",uitkomst_doelgroep[Uitgangssituatie/effect beleid],uitkomst_tech[[#This Row],[Uitgangssituatie/effect beleid]])</f>
        <v>0</v>
      </c>
      <c r="J112" s="398">
        <f>SUMIFS(uitkomst_doelgroep[QALY (€)],uitkomst_doelgroep[Digitale zorgtoepassing],B112,uitkomst_doelgroep[Jaar],D112,uitkomst_doelgroep[QALY (€)],"&gt;0",uitkomst_doelgroep[Uitgangssituatie/effect beleid],uitkomst_tech[[#This Row],[Uitgangssituatie/effect beleid]])</f>
        <v>0</v>
      </c>
      <c r="K112" s="398">
        <f>SUMIFS(uitkomst_doelgroep[Kosten (€)],uitkomst_doelgroep[Digitale zorgtoepassing],B112,uitkomst_doelgroep[Jaar],D112,uitkomst_doelgroep[Kosten (€)],"&gt;0",uitkomst_doelgroep[Uitgangssituatie/effect beleid],uitkomst_tech[[#This Row],[Uitgangssituatie/effect beleid]])</f>
        <v>6470229.4909267752</v>
      </c>
      <c r="L112" s="398">
        <f>SUMIFS(uitkomst_doelgroep[Investering (cash flow) (€)],uitkomst_doelgroep[Digitale zorgtoepassing],B112,uitkomst_doelgroep[Jaar],D112,uitkomst_doelgroep[Investering (cash flow) (€)],"&gt;0",uitkomst_doelgroep[Uitgangssituatie/effect beleid],uitkomst_tech[[#This Row],[Uitgangssituatie/effect beleid]])</f>
        <v>0</v>
      </c>
    </row>
    <row r="113" spans="1:12" x14ac:dyDescent="0.5">
      <c r="A113" s="42" t="str">
        <f>INDEX(Technologieën[Veld],MATCH(B113,Technologieën[Digitale zorgtoepassing],0))</f>
        <v>Software - Behandeling</v>
      </c>
      <c r="B113" s="33" t="s">
        <v>578</v>
      </c>
      <c r="C113" s="33" t="s">
        <v>812</v>
      </c>
      <c r="D113" s="33">
        <v>2032</v>
      </c>
      <c r="E113" s="2">
        <v>362</v>
      </c>
      <c r="F113" s="397">
        <f>SUMIFS(uitkomst_doelgroep[Patiëntaantallen],uitkomst_doelgroep[Digitale zorgtoepassing],B113,uitkomst_doelgroep[Jaar],D113,uitkomst_doelgroep[Arbeidsbesparing (€)],"&gt;0",uitkomst_doelgroep[Uitgangssituatie/effect beleid],uitkomst_tech[[#This Row],[Uitgangssituatie/effect beleid]])</f>
        <v>32299.901958199829</v>
      </c>
      <c r="G113" s="398">
        <f>SUMIFS(uitkomst_doelgroep[Arbeidsbesparing (€)],uitkomst_doelgroep[Digitale zorgtoepassing],B113,uitkomst_doelgroep[Jaar],D113,uitkomst_doelgroep[Arbeidsbesparing (€)],"&gt;0",uitkomst_doelgroep[Uitgangssituatie/effect beleid],uitkomst_tech[[#This Row],[Uitgangssituatie/effect beleid]])</f>
        <v>12454467.404840168</v>
      </c>
      <c r="H113" s="398">
        <f>SUMIFS(uitkomst_doelgroep[Arbeidsbesparing (FTE)],uitkomst_doelgroep[Digitale zorgtoepassing],B113,uitkomst_doelgroep[Jaar],D113,uitkomst_doelgroep[Arbeidsbesparing (FTE)],"&gt;0",uitkomst_doelgroep[Uitgangssituatie/effect beleid],uitkomst_tech[[#This Row],[Uitgangssituatie/effect beleid]])</f>
        <v>148.42426101753554</v>
      </c>
      <c r="I113" s="398">
        <f>SUMIFS(uitkomst_doelgroep[Overige besparingen (€)],uitkomst_doelgroep[Digitale zorgtoepassing],B113,uitkomst_doelgroep[Jaar],D113,uitkomst_doelgroep[Overige besparingen (€)],"&gt;0",uitkomst_doelgroep[Uitgangssituatie/effect beleid],uitkomst_tech[[#This Row],[Uitgangssituatie/effect beleid]])</f>
        <v>0</v>
      </c>
      <c r="J113" s="398">
        <f>SUMIFS(uitkomst_doelgroep[QALY (€)],uitkomst_doelgroep[Digitale zorgtoepassing],B113,uitkomst_doelgroep[Jaar],D113,uitkomst_doelgroep[QALY (€)],"&gt;0",uitkomst_doelgroep[Uitgangssituatie/effect beleid],uitkomst_tech[[#This Row],[Uitgangssituatie/effect beleid]])</f>
        <v>0</v>
      </c>
      <c r="K113" s="398">
        <f>SUMIFS(uitkomst_doelgroep[Kosten (€)],uitkomst_doelgroep[Digitale zorgtoepassing],B113,uitkomst_doelgroep[Jaar],D113,uitkomst_doelgroep[Kosten (€)],"&gt;0",uitkomst_doelgroep[Uitgangssituatie/effect beleid],uitkomst_tech[[#This Row],[Uitgangssituatie/effect beleid]])</f>
        <v>6825926.6192458235</v>
      </c>
      <c r="L113" s="398">
        <f>SUMIFS(uitkomst_doelgroep[Investering (cash flow) (€)],uitkomst_doelgroep[Digitale zorgtoepassing],B113,uitkomst_doelgroep[Jaar],D113,uitkomst_doelgroep[Investering (cash flow) (€)],"&gt;0",uitkomst_doelgroep[Uitgangssituatie/effect beleid],uitkomst_tech[[#This Row],[Uitgangssituatie/effect beleid]])</f>
        <v>0</v>
      </c>
    </row>
    <row r="114" spans="1:12" x14ac:dyDescent="0.5">
      <c r="A114" s="42" t="str">
        <f>INDEX(Technologieën[Veld],MATCH(B114,Technologieën[Digitale zorgtoepassing],0))</f>
        <v>Software - Behandeling</v>
      </c>
      <c r="B114" s="33" t="s">
        <v>578</v>
      </c>
      <c r="C114" s="33" t="s">
        <v>812</v>
      </c>
      <c r="D114" s="33">
        <v>2033</v>
      </c>
      <c r="E114" s="2">
        <v>363</v>
      </c>
      <c r="F114" s="397">
        <f>SUMIFS(uitkomst_doelgroep[Patiëntaantallen],uitkomst_doelgroep[Digitale zorgtoepassing],B114,uitkomst_doelgroep[Jaar],D114,uitkomst_doelgroep[Arbeidsbesparing (€)],"&gt;0",uitkomst_doelgroep[Uitgangssituatie/effect beleid],uitkomst_tech[[#This Row],[Uitgangssituatie/effect beleid]])</f>
        <v>33517.333467578377</v>
      </c>
      <c r="G114" s="398">
        <f>SUMIFS(uitkomst_doelgroep[Arbeidsbesparing (€)],uitkomst_doelgroep[Digitale zorgtoepassing],B114,uitkomst_doelgroep[Jaar],D114,uitkomst_doelgroep[Arbeidsbesparing (€)],"&gt;0",uitkomst_doelgroep[Uitgangssituatie/effect beleid],uitkomst_tech[[#This Row],[Uitgangssituatie/effect beleid]])</f>
        <v>12923894.868452987</v>
      </c>
      <c r="H114" s="398">
        <f>SUMIFS(uitkomst_doelgroep[Arbeidsbesparing (FTE)],uitkomst_doelgroep[Digitale zorgtoepassing],B114,uitkomst_doelgroep[Jaar],D114,uitkomst_doelgroep[Arbeidsbesparing (FTE)],"&gt;0",uitkomst_doelgroep[Uitgangssituatie/effect beleid],uitkomst_tech[[#This Row],[Uitgangssituatie/effect beleid]])</f>
        <v>154.01859292457408</v>
      </c>
      <c r="I114" s="398">
        <f>SUMIFS(uitkomst_doelgroep[Overige besparingen (€)],uitkomst_doelgroep[Digitale zorgtoepassing],B114,uitkomst_doelgroep[Jaar],D114,uitkomst_doelgroep[Overige besparingen (€)],"&gt;0",uitkomst_doelgroep[Uitgangssituatie/effect beleid],uitkomst_tech[[#This Row],[Uitgangssituatie/effect beleid]])</f>
        <v>0</v>
      </c>
      <c r="J114" s="398">
        <f>SUMIFS(uitkomst_doelgroep[QALY (€)],uitkomst_doelgroep[Digitale zorgtoepassing],B114,uitkomst_doelgroep[Jaar],D114,uitkomst_doelgroep[QALY (€)],"&gt;0",uitkomst_doelgroep[Uitgangssituatie/effect beleid],uitkomst_tech[[#This Row],[Uitgangssituatie/effect beleid]])</f>
        <v>0</v>
      </c>
      <c r="K114" s="398">
        <f>SUMIFS(uitkomst_doelgroep[Kosten (€)],uitkomst_doelgroep[Digitale zorgtoepassing],B114,uitkomst_doelgroep[Jaar],D114,uitkomst_doelgroep[Kosten (€)],"&gt;0",uitkomst_doelgroep[Uitgangssituatie/effect beleid],uitkomst_tech[[#This Row],[Uitgangssituatie/effect beleid]])</f>
        <v>7083205.9805804174</v>
      </c>
      <c r="L114" s="398">
        <f>SUMIFS(uitkomst_doelgroep[Investering (cash flow) (€)],uitkomst_doelgroep[Digitale zorgtoepassing],B114,uitkomst_doelgroep[Jaar],D114,uitkomst_doelgroep[Investering (cash flow) (€)],"&gt;0",uitkomst_doelgroep[Uitgangssituatie/effect beleid],uitkomst_tech[[#This Row],[Uitgangssituatie/effect beleid]])</f>
        <v>0</v>
      </c>
    </row>
    <row r="115" spans="1:12" x14ac:dyDescent="0.5">
      <c r="A115" s="42" t="str">
        <f>INDEX(Technologieën[Veld],MATCH(B115,Technologieën[Digitale zorgtoepassing],0))</f>
        <v>Software - Diagnose</v>
      </c>
      <c r="B115" s="33" t="s">
        <v>139</v>
      </c>
      <c r="C115" s="33" t="s">
        <v>812</v>
      </c>
      <c r="D115" s="33">
        <v>2023</v>
      </c>
      <c r="E115" s="2">
        <v>1</v>
      </c>
      <c r="F115" s="397">
        <f>SUMIFS(uitkomst_doelgroep[Patiëntaantallen],uitkomst_doelgroep[Digitale zorgtoepassing],B115,uitkomst_doelgroep[Jaar],D115,uitkomst_doelgroep[Arbeidsbesparing (€)],"&gt;0",uitkomst_doelgroep[Uitgangssituatie/effect beleid],uitkomst_tech[[#This Row],[Uitgangssituatie/effect beleid]])</f>
        <v>799999.20000000007</v>
      </c>
      <c r="G115" s="398">
        <f>SUMIFS(uitkomst_doelgroep[Arbeidsbesparing (€)],uitkomst_doelgroep[Digitale zorgtoepassing],B115,uitkomst_doelgroep[Jaar],D115,uitkomst_doelgroep[Arbeidsbesparing (€)],"&gt;0",uitkomst_doelgroep[Uitgangssituatie/effect beleid],uitkomst_tech[[#This Row],[Uitgangssituatie/effect beleid]])</f>
        <v>9409413.7232183926</v>
      </c>
      <c r="H115" s="398">
        <f>SUMIFS(uitkomst_doelgroep[Arbeidsbesparing (FTE)],uitkomst_doelgroep[Digitale zorgtoepassing],B115,uitkomst_doelgroep[Jaar],D115,uitkomst_doelgroep[Arbeidsbesparing (FTE)],"&gt;0",uitkomst_doelgroep[Uitgangssituatie/effect beleid],uitkomst_tech[[#This Row],[Uitgangssituatie/effect beleid]])</f>
        <v>49.6</v>
      </c>
      <c r="I115" s="398">
        <f>SUMIFS(uitkomst_doelgroep[Overige besparingen (€)],uitkomst_doelgroep[Digitale zorgtoepassing],B115,uitkomst_doelgroep[Jaar],D115,uitkomst_doelgroep[Overige besparingen (€)],"&gt;0",uitkomst_doelgroep[Uitgangssituatie/effect beleid],uitkomst_tech[[#This Row],[Uitgangssituatie/effect beleid]])</f>
        <v>0</v>
      </c>
      <c r="J115" s="398">
        <f>SUMIFS(uitkomst_doelgroep[QALY (€)],uitkomst_doelgroep[Digitale zorgtoepassing],B115,uitkomst_doelgroep[Jaar],D115,uitkomst_doelgroep[QALY (€)],"&gt;0",uitkomst_doelgroep[Uitgangssituatie/effect beleid],uitkomst_tech[[#This Row],[Uitgangssituatie/effect beleid]])</f>
        <v>0</v>
      </c>
      <c r="K115" s="398">
        <f>SUMIFS(uitkomst_doelgroep[Kosten (€)],uitkomst_doelgroep[Digitale zorgtoepassing],B115,uitkomst_doelgroep[Jaar],D115,uitkomst_doelgroep[Kosten (€)],"&gt;0",uitkomst_doelgroep[Uitgangssituatie/effect beleid],uitkomst_tech[[#This Row],[Uitgangssituatie/effect beleid]])</f>
        <v>7996418.1513988301</v>
      </c>
      <c r="L115" s="398">
        <f>SUMIFS(uitkomst_doelgroep[Investering (cash flow) (€)],uitkomst_doelgroep[Digitale zorgtoepassing],B115,uitkomst_doelgroep[Jaar],D115,uitkomst_doelgroep[Investering (cash flow) (€)],"&gt;0",uitkomst_doelgroep[Uitgangssituatie/effect beleid],uitkomst_tech[[#This Row],[Uitgangssituatie/effect beleid]])</f>
        <v>0</v>
      </c>
    </row>
    <row r="116" spans="1:12" x14ac:dyDescent="0.5">
      <c r="A116" s="42" t="str">
        <f>INDEX(Technologieën[Veld],MATCH(B116,Technologieën[Digitale zorgtoepassing],0))</f>
        <v>Software - Diagnose</v>
      </c>
      <c r="B116" s="33" t="s">
        <v>139</v>
      </c>
      <c r="C116" s="33" t="s">
        <v>812</v>
      </c>
      <c r="D116" s="33">
        <v>2024</v>
      </c>
      <c r="E116" s="2">
        <v>33</v>
      </c>
      <c r="F116" s="397">
        <f>SUMIFS(uitkomst_doelgroep[Patiëntaantallen],uitkomst_doelgroep[Digitale zorgtoepassing],B116,uitkomst_doelgroep[Jaar],D116,uitkomst_doelgroep[Arbeidsbesparing (€)],"&gt;0",uitkomst_doelgroep[Uitgangssituatie/effect beleid],uitkomst_tech[[#This Row],[Uitgangssituatie/effect beleid]])</f>
        <v>876999.12300000002</v>
      </c>
      <c r="G116" s="398">
        <f>SUMIFS(uitkomst_doelgroep[Arbeidsbesparing (€)],uitkomst_doelgroep[Digitale zorgtoepassing],B116,uitkomst_doelgroep[Jaar],D116,uitkomst_doelgroep[Arbeidsbesparing (€)],"&gt;0",uitkomst_doelgroep[Uitgangssituatie/effect beleid],uitkomst_tech[[#This Row],[Uitgangssituatie/effect beleid]])</f>
        <v>10315069.794078162</v>
      </c>
      <c r="H116" s="398">
        <f>SUMIFS(uitkomst_doelgroep[Arbeidsbesparing (FTE)],uitkomst_doelgroep[Digitale zorgtoepassing],B116,uitkomst_doelgroep[Jaar],D116,uitkomst_doelgroep[Arbeidsbesparing (FTE)],"&gt;0",uitkomst_doelgroep[Uitgangssituatie/effect beleid],uitkomst_tech[[#This Row],[Uitgangssituatie/effect beleid]])</f>
        <v>54.374000000000002</v>
      </c>
      <c r="I116" s="398">
        <f>SUMIFS(uitkomst_doelgroep[Overige besparingen (€)],uitkomst_doelgroep[Digitale zorgtoepassing],B116,uitkomst_doelgroep[Jaar],D116,uitkomst_doelgroep[Overige besparingen (€)],"&gt;0",uitkomst_doelgroep[Uitgangssituatie/effect beleid],uitkomst_tech[[#This Row],[Uitgangssituatie/effect beleid]])</f>
        <v>0</v>
      </c>
      <c r="J116" s="398">
        <f>SUMIFS(uitkomst_doelgroep[QALY (€)],uitkomst_doelgroep[Digitale zorgtoepassing],B116,uitkomst_doelgroep[Jaar],D116,uitkomst_doelgroep[QALY (€)],"&gt;0",uitkomst_doelgroep[Uitgangssituatie/effect beleid],uitkomst_tech[[#This Row],[Uitgangssituatie/effect beleid]])</f>
        <v>0</v>
      </c>
      <c r="K116" s="398">
        <f>SUMIFS(uitkomst_doelgroep[Kosten (€)],uitkomst_doelgroep[Digitale zorgtoepassing],B116,uitkomst_doelgroep[Jaar],D116,uitkomst_doelgroep[Kosten (€)],"&gt;0",uitkomst_doelgroep[Uitgangssituatie/effect beleid],uitkomst_tech[[#This Row],[Uitgangssituatie/effect beleid]])</f>
        <v>8766073.398470968</v>
      </c>
      <c r="L116" s="398">
        <f>SUMIFS(uitkomst_doelgroep[Investering (cash flow) (€)],uitkomst_doelgroep[Digitale zorgtoepassing],B116,uitkomst_doelgroep[Jaar],D116,uitkomst_doelgroep[Investering (cash flow) (€)],"&gt;0",uitkomst_doelgroep[Uitgangssituatie/effect beleid],uitkomst_tech[[#This Row],[Uitgangssituatie/effect beleid]])</f>
        <v>0</v>
      </c>
    </row>
    <row r="117" spans="1:12" x14ac:dyDescent="0.5">
      <c r="A117" s="42" t="str">
        <f>INDEX(Technologieën[Veld],MATCH(B117,Technologieën[Digitale zorgtoepassing],0))</f>
        <v>Software - Diagnose</v>
      </c>
      <c r="B117" s="33" t="s">
        <v>139</v>
      </c>
      <c r="C117" s="33" t="s">
        <v>812</v>
      </c>
      <c r="D117" s="33">
        <v>2025</v>
      </c>
      <c r="E117" s="2">
        <v>65</v>
      </c>
      <c r="F117" s="397">
        <f>SUMIFS(uitkomst_doelgroep[Patiëntaantallen],uitkomst_doelgroep[Digitale zorgtoepassing],B117,uitkomst_doelgroep[Jaar],D117,uitkomst_doelgroep[Arbeidsbesparing (€)],"&gt;0",uitkomst_doelgroep[Uitgangssituatie/effect beleid],uitkomst_tech[[#This Row],[Uitgangssituatie/effect beleid]])</f>
        <v>928616.02138305013</v>
      </c>
      <c r="G117" s="398">
        <f>SUMIFS(uitkomst_doelgroep[Arbeidsbesparing (€)],uitkomst_doelgroep[Digitale zorgtoepassing],B117,uitkomst_doelgroep[Jaar],D117,uitkomst_doelgroep[Arbeidsbesparing (€)],"&gt;0",uitkomst_doelgroep[Uitgangssituatie/effect beleid],uitkomst_tech[[#This Row],[Uitgangssituatie/effect beleid]])</f>
        <v>10922176.34117901</v>
      </c>
      <c r="H117" s="398">
        <f>SUMIFS(uitkomst_doelgroep[Arbeidsbesparing (FTE)],uitkomst_doelgroep[Digitale zorgtoepassing],B117,uitkomst_doelgroep[Jaar],D117,uitkomst_doelgroep[Arbeidsbesparing (FTE)],"&gt;0",uitkomst_doelgroep[Uitgangssituatie/effect beleid],uitkomst_tech[[#This Row],[Uitgangssituatie/effect beleid]])</f>
        <v>57.57425090000001</v>
      </c>
      <c r="I117" s="398">
        <f>SUMIFS(uitkomst_doelgroep[Overige besparingen (€)],uitkomst_doelgroep[Digitale zorgtoepassing],B117,uitkomst_doelgroep[Jaar],D117,uitkomst_doelgroep[Overige besparingen (€)],"&gt;0",uitkomst_doelgroep[Uitgangssituatie/effect beleid],uitkomst_tech[[#This Row],[Uitgangssituatie/effect beleid]])</f>
        <v>0</v>
      </c>
      <c r="J117" s="398">
        <f>SUMIFS(uitkomst_doelgroep[QALY (€)],uitkomst_doelgroep[Digitale zorgtoepassing],B117,uitkomst_doelgroep[Jaar],D117,uitkomst_doelgroep[QALY (€)],"&gt;0",uitkomst_doelgroep[Uitgangssituatie/effect beleid],uitkomst_tech[[#This Row],[Uitgangssituatie/effect beleid]])</f>
        <v>0</v>
      </c>
      <c r="K117" s="398">
        <f>SUMIFS(uitkomst_doelgroep[Kosten (€)],uitkomst_doelgroep[Digitale zorgtoepassing],B117,uitkomst_doelgroep[Jaar],D117,uitkomst_doelgroep[Kosten (€)],"&gt;0",uitkomst_doelgroep[Uitgangssituatie/effect beleid],uitkomst_tech[[#This Row],[Uitgangssituatie/effect beleid]])</f>
        <v>9282011.7933457755</v>
      </c>
      <c r="L117" s="398">
        <f>SUMIFS(uitkomst_doelgroep[Investering (cash flow) (€)],uitkomst_doelgroep[Digitale zorgtoepassing],B117,uitkomst_doelgroep[Jaar],D117,uitkomst_doelgroep[Investering (cash flow) (€)],"&gt;0",uitkomst_doelgroep[Uitgangssituatie/effect beleid],uitkomst_tech[[#This Row],[Uitgangssituatie/effect beleid]])</f>
        <v>0</v>
      </c>
    </row>
    <row r="118" spans="1:12" x14ac:dyDescent="0.5">
      <c r="A118" s="42" t="str">
        <f>INDEX(Technologieën[Veld],MATCH(B118,Technologieën[Digitale zorgtoepassing],0))</f>
        <v>Software - Diagnose</v>
      </c>
      <c r="B118" s="33" t="s">
        <v>139</v>
      </c>
      <c r="C118" s="33" t="s">
        <v>812</v>
      </c>
      <c r="D118" s="33">
        <v>2026</v>
      </c>
      <c r="E118" s="2">
        <v>97</v>
      </c>
      <c r="F118" s="397">
        <f>SUMIFS(uitkomst_doelgroep[Patiëntaantallen],uitkomst_doelgroep[Digitale zorgtoepassing],B118,uitkomst_doelgroep[Jaar],D118,uitkomst_doelgroep[Arbeidsbesparing (€)],"&gt;0",uitkomst_doelgroep[Uitgangssituatie/effect beleid],uitkomst_tech[[#This Row],[Uitgangssituatie/effect beleid]])</f>
        <v>960229.94559680799</v>
      </c>
      <c r="G118" s="398">
        <f>SUMIFS(uitkomst_doelgroep[Arbeidsbesparing (€)],uitkomst_doelgroep[Digitale zorgtoepassing],B118,uitkomst_doelgroep[Jaar],D118,uitkomst_doelgroep[Arbeidsbesparing (€)],"&gt;0",uitkomst_doelgroep[Uitgangssituatie/effect beleid],uitkomst_tech[[#This Row],[Uitgangssituatie/effect beleid]])</f>
        <v>11294012.328442147</v>
      </c>
      <c r="H118" s="398">
        <f>SUMIFS(uitkomst_doelgroep[Arbeidsbesparing (FTE)],uitkomst_doelgroep[Digitale zorgtoepassing],B118,uitkomst_doelgroep[Jaar],D118,uitkomst_doelgroep[Arbeidsbesparing (FTE)],"&gt;0",uitkomst_doelgroep[Uitgangssituatie/effect beleid],uitkomst_tech[[#This Row],[Uitgangssituatie/effect beleid]])</f>
        <v>59.534316161318259</v>
      </c>
      <c r="I118" s="398">
        <f>SUMIFS(uitkomst_doelgroep[Overige besparingen (€)],uitkomst_doelgroep[Digitale zorgtoepassing],B118,uitkomst_doelgroep[Jaar],D118,uitkomst_doelgroep[Overige besparingen (€)],"&gt;0",uitkomst_doelgroep[Uitgangssituatie/effect beleid],uitkomst_tech[[#This Row],[Uitgangssituatie/effect beleid]])</f>
        <v>0</v>
      </c>
      <c r="J118" s="398">
        <f>SUMIFS(uitkomst_doelgroep[QALY (€)],uitkomst_doelgroep[Digitale zorgtoepassing],B118,uitkomst_doelgroep[Jaar],D118,uitkomst_doelgroep[QALY (€)],"&gt;0",uitkomst_doelgroep[Uitgangssituatie/effect beleid],uitkomst_tech[[#This Row],[Uitgangssituatie/effect beleid]])</f>
        <v>0</v>
      </c>
      <c r="K118" s="398">
        <f>SUMIFS(uitkomst_doelgroep[Kosten (€)],uitkomst_doelgroep[Digitale zorgtoepassing],B118,uitkomst_doelgroep[Jaar],D118,uitkomst_doelgroep[Kosten (€)],"&gt;0",uitkomst_doelgroep[Uitgangssituatie/effect beleid],uitkomst_tech[[#This Row],[Uitgangssituatie/effect beleid]])</f>
        <v>9598009.8061185889</v>
      </c>
      <c r="L118" s="398">
        <f>SUMIFS(uitkomst_doelgroep[Investering (cash flow) (€)],uitkomst_doelgroep[Digitale zorgtoepassing],B118,uitkomst_doelgroep[Jaar],D118,uitkomst_doelgroep[Investering (cash flow) (€)],"&gt;0",uitkomst_doelgroep[Uitgangssituatie/effect beleid],uitkomst_tech[[#This Row],[Uitgangssituatie/effect beleid]])</f>
        <v>0</v>
      </c>
    </row>
    <row r="119" spans="1:12" x14ac:dyDescent="0.5">
      <c r="A119" s="42" t="str">
        <f>INDEX(Technologieën[Veld],MATCH(B119,Technologieën[Digitale zorgtoepassing],0))</f>
        <v>Software - Diagnose</v>
      </c>
      <c r="B119" s="33" t="s">
        <v>139</v>
      </c>
      <c r="C119" s="33" t="s">
        <v>812</v>
      </c>
      <c r="D119" s="33">
        <v>2027</v>
      </c>
      <c r="E119" s="2">
        <v>129</v>
      </c>
      <c r="F119" s="397">
        <f>SUMIFS(uitkomst_doelgroep[Patiëntaantallen],uitkomst_doelgroep[Digitale zorgtoepassing],B119,uitkomst_doelgroep[Jaar],D119,uitkomst_doelgroep[Arbeidsbesparing (€)],"&gt;0",uitkomst_doelgroep[Uitgangssituatie/effect beleid],uitkomst_tech[[#This Row],[Uitgangssituatie/effect beleid]])</f>
        <v>978408.53576695768</v>
      </c>
      <c r="G119" s="398">
        <f>SUMIFS(uitkomst_doelgroep[Arbeidsbesparing (€)],uitkomst_doelgroep[Digitale zorgtoepassing],B119,uitkomst_doelgroep[Jaar],D119,uitkomst_doelgroep[Arbeidsbesparing (€)],"&gt;0",uitkomst_doelgroep[Uitgangssituatie/effect beleid],uitkomst_tech[[#This Row],[Uitgangssituatie/effect beleid]])</f>
        <v>11507824.887024418</v>
      </c>
      <c r="H119" s="398">
        <f>SUMIFS(uitkomst_doelgroep[Arbeidsbesparing (FTE)],uitkomst_doelgroep[Digitale zorgtoepassing],B119,uitkomst_doelgroep[Jaar],D119,uitkomst_doelgroep[Arbeidsbesparing (FTE)],"&gt;0",uitkomst_doelgroep[Uitgangssituatie/effect beleid],uitkomst_tech[[#This Row],[Uitgangssituatie/effect beleid]])</f>
        <v>60.66138987894125</v>
      </c>
      <c r="I119" s="398">
        <f>SUMIFS(uitkomst_doelgroep[Overige besparingen (€)],uitkomst_doelgroep[Digitale zorgtoepassing],B119,uitkomst_doelgroep[Jaar],D119,uitkomst_doelgroep[Overige besparingen (€)],"&gt;0",uitkomst_doelgroep[Uitgangssituatie/effect beleid],uitkomst_tech[[#This Row],[Uitgangssituatie/effect beleid]])</f>
        <v>0</v>
      </c>
      <c r="J119" s="398">
        <f>SUMIFS(uitkomst_doelgroep[QALY (€)],uitkomst_doelgroep[Digitale zorgtoepassing],B119,uitkomst_doelgroep[Jaar],D119,uitkomst_doelgroep[QALY (€)],"&gt;0",uitkomst_doelgroep[Uitgangssituatie/effect beleid],uitkomst_tech[[#This Row],[Uitgangssituatie/effect beleid]])</f>
        <v>0</v>
      </c>
      <c r="K119" s="398">
        <f>SUMIFS(uitkomst_doelgroep[Kosten (€)],uitkomst_doelgroep[Digitale zorgtoepassing],B119,uitkomst_doelgroep[Jaar],D119,uitkomst_doelgroep[Kosten (€)],"&gt;0",uitkomst_doelgroep[Uitgangssituatie/effect beleid],uitkomst_tech[[#This Row],[Uitgangssituatie/effect beleid]])</f>
        <v>9779714.4983275626</v>
      </c>
      <c r="L119" s="398">
        <f>SUMIFS(uitkomst_doelgroep[Investering (cash flow) (€)],uitkomst_doelgroep[Digitale zorgtoepassing],B119,uitkomst_doelgroep[Jaar],D119,uitkomst_doelgroep[Investering (cash flow) (€)],"&gt;0",uitkomst_doelgroep[Uitgangssituatie/effect beleid],uitkomst_tech[[#This Row],[Uitgangssituatie/effect beleid]])</f>
        <v>0</v>
      </c>
    </row>
    <row r="120" spans="1:12" x14ac:dyDescent="0.5">
      <c r="A120" s="42" t="str">
        <f>INDEX(Technologieën[Veld],MATCH(B120,Technologieën[Digitale zorgtoepassing],0))</f>
        <v>Software - Diagnose</v>
      </c>
      <c r="B120" s="33" t="s">
        <v>139</v>
      </c>
      <c r="C120" s="33" t="s">
        <v>812</v>
      </c>
      <c r="D120" s="33">
        <v>2028</v>
      </c>
      <c r="E120" s="2">
        <v>161</v>
      </c>
      <c r="F120" s="397">
        <f>SUMIFS(uitkomst_doelgroep[Patiëntaantallen],uitkomst_doelgroep[Digitale zorgtoepassing],B120,uitkomst_doelgroep[Jaar],D120,uitkomst_doelgroep[Arbeidsbesparing (€)],"&gt;0",uitkomst_doelgroep[Uitgangssituatie/effect beleid],uitkomst_tech[[#This Row],[Uitgangssituatie/effect beleid]])</f>
        <v>988454.2394022767</v>
      </c>
      <c r="G120" s="398">
        <f>SUMIFS(uitkomst_doelgroep[Arbeidsbesparing (€)],uitkomst_doelgroep[Digitale zorgtoepassing],B120,uitkomst_doelgroep[Jaar],D120,uitkomst_doelgroep[Arbeidsbesparing (€)],"&gt;0",uitkomst_doelgroep[Uitgangssituatie/effect beleid],uitkomst_tech[[#This Row],[Uitgangssituatie/effect beleid]])</f>
        <v>11625980.232236706</v>
      </c>
      <c r="H120" s="398">
        <f>SUMIFS(uitkomst_doelgroep[Arbeidsbesparing (FTE)],uitkomst_doelgroep[Digitale zorgtoepassing],B120,uitkomst_doelgroep[Jaar],D120,uitkomst_doelgroep[Arbeidsbesparing (FTE)],"&gt;0",uitkomst_doelgroep[Uitgangssituatie/effect beleid],uitkomst_tech[[#This Row],[Uitgangssituatie/effect beleid]])</f>
        <v>61.284224127165281</v>
      </c>
      <c r="I120" s="398">
        <f>SUMIFS(uitkomst_doelgroep[Overige besparingen (€)],uitkomst_doelgroep[Digitale zorgtoepassing],B120,uitkomst_doelgroep[Jaar],D120,uitkomst_doelgroep[Overige besparingen (€)],"&gt;0",uitkomst_doelgroep[Uitgangssituatie/effect beleid],uitkomst_tech[[#This Row],[Uitgangssituatie/effect beleid]])</f>
        <v>0</v>
      </c>
      <c r="J120" s="398">
        <f>SUMIFS(uitkomst_doelgroep[QALY (€)],uitkomst_doelgroep[Digitale zorgtoepassing],B120,uitkomst_doelgroep[Jaar],D120,uitkomst_doelgroep[QALY (€)],"&gt;0",uitkomst_doelgroep[Uitgangssituatie/effect beleid],uitkomst_tech[[#This Row],[Uitgangssituatie/effect beleid]])</f>
        <v>0</v>
      </c>
      <c r="K120" s="398">
        <f>SUMIFS(uitkomst_doelgroep[Kosten (€)],uitkomst_doelgroep[Digitale zorgtoepassing],B120,uitkomst_doelgroep[Jaar],D120,uitkomst_doelgroep[Kosten (€)],"&gt;0",uitkomst_doelgroep[Uitgangssituatie/effect beleid],uitkomst_tech[[#This Row],[Uitgangssituatie/effect beleid]])</f>
        <v>9880126.6573560201</v>
      </c>
      <c r="L120" s="398">
        <f>SUMIFS(uitkomst_doelgroep[Investering (cash flow) (€)],uitkomst_doelgroep[Digitale zorgtoepassing],B120,uitkomst_doelgroep[Jaar],D120,uitkomst_doelgroep[Investering (cash flow) (€)],"&gt;0",uitkomst_doelgroep[Uitgangssituatie/effect beleid],uitkomst_tech[[#This Row],[Uitgangssituatie/effect beleid]])</f>
        <v>0</v>
      </c>
    </row>
    <row r="121" spans="1:12" x14ac:dyDescent="0.5">
      <c r="A121" s="42" t="str">
        <f>INDEX(Technologieën[Veld],MATCH(B121,Technologieën[Digitale zorgtoepassing],0))</f>
        <v>Software - Diagnose</v>
      </c>
      <c r="B121" s="33" t="s">
        <v>139</v>
      </c>
      <c r="C121" s="33" t="s">
        <v>812</v>
      </c>
      <c r="D121" s="33">
        <v>2029</v>
      </c>
      <c r="E121" s="2">
        <v>193</v>
      </c>
      <c r="F121" s="397">
        <f>SUMIFS(uitkomst_doelgroep[Patiëntaantallen],uitkomst_doelgroep[Digitale zorgtoepassing],B121,uitkomst_doelgroep[Jaar],D121,uitkomst_doelgroep[Arbeidsbesparing (€)],"&gt;0",uitkomst_doelgroep[Uitgangssituatie/effect beleid],uitkomst_tech[[#This Row],[Uitgangssituatie/effect beleid]])</f>
        <v>993878.02395245212</v>
      </c>
      <c r="G121" s="398">
        <f>SUMIFS(uitkomst_doelgroep[Arbeidsbesparing (€)],uitkomst_doelgroep[Digitale zorgtoepassing],B121,uitkomst_doelgroep[Jaar],D121,uitkomst_doelgroep[Arbeidsbesparing (€)],"&gt;0",uitkomst_doelgroep[Uitgangssituatie/effect beleid],uitkomst_tech[[#This Row],[Uitgangssituatie/effect beleid]])</f>
        <v>11689773.587002812</v>
      </c>
      <c r="H121" s="398">
        <f>SUMIFS(uitkomst_doelgroep[Arbeidsbesparing (FTE)],uitkomst_doelgroep[Digitale zorgtoepassing],B121,uitkomst_doelgroep[Jaar],D121,uitkomst_doelgroep[Arbeidsbesparing (FTE)],"&gt;0",uitkomst_doelgroep[Uitgangssituatie/effect beleid],uitkomst_tech[[#This Row],[Uitgangssituatie/effect beleid]])</f>
        <v>61.620499105551133</v>
      </c>
      <c r="I121" s="398">
        <f>SUMIFS(uitkomst_doelgroep[Overige besparingen (€)],uitkomst_doelgroep[Digitale zorgtoepassing],B121,uitkomst_doelgroep[Jaar],D121,uitkomst_doelgroep[Overige besparingen (€)],"&gt;0",uitkomst_doelgroep[Uitgangssituatie/effect beleid],uitkomst_tech[[#This Row],[Uitgangssituatie/effect beleid]])</f>
        <v>0</v>
      </c>
      <c r="J121" s="398">
        <f>SUMIFS(uitkomst_doelgroep[QALY (€)],uitkomst_doelgroep[Digitale zorgtoepassing],B121,uitkomst_doelgroep[Jaar],D121,uitkomst_doelgroep[QALY (€)],"&gt;0",uitkomst_doelgroep[Uitgangssituatie/effect beleid],uitkomst_tech[[#This Row],[Uitgangssituatie/effect beleid]])</f>
        <v>0</v>
      </c>
      <c r="K121" s="398">
        <f>SUMIFS(uitkomst_doelgroep[Kosten (€)],uitkomst_doelgroep[Digitale zorgtoepassing],B121,uitkomst_doelgroep[Jaar],D121,uitkomst_doelgroep[Kosten (€)],"&gt;0",uitkomst_doelgroep[Uitgangssituatie/effect beleid],uitkomst_tech[[#This Row],[Uitgangssituatie/effect beleid]])</f>
        <v>9934340.2731025089</v>
      </c>
      <c r="L121" s="398">
        <f>SUMIFS(uitkomst_doelgroep[Investering (cash flow) (€)],uitkomst_doelgroep[Digitale zorgtoepassing],B121,uitkomst_doelgroep[Jaar],D121,uitkomst_doelgroep[Investering (cash flow) (€)],"&gt;0",uitkomst_doelgroep[Uitgangssituatie/effect beleid],uitkomst_tech[[#This Row],[Uitgangssituatie/effect beleid]])</f>
        <v>0</v>
      </c>
    </row>
    <row r="122" spans="1:12" x14ac:dyDescent="0.5">
      <c r="A122" s="42" t="str">
        <f>INDEX(Technologieën[Veld],MATCH(B122,Technologieën[Digitale zorgtoepassing],0))</f>
        <v>Software - Diagnose</v>
      </c>
      <c r="B122" s="33" t="s">
        <v>139</v>
      </c>
      <c r="C122" s="33" t="s">
        <v>812</v>
      </c>
      <c r="D122" s="33">
        <v>2030</v>
      </c>
      <c r="E122" s="2">
        <v>225</v>
      </c>
      <c r="F122" s="397">
        <f>SUMIFS(uitkomst_doelgroep[Patiëntaantallen],uitkomst_doelgroep[Digitale zorgtoepassing],B122,uitkomst_doelgroep[Jaar],D122,uitkomst_doelgroep[Arbeidsbesparing (€)],"&gt;0",uitkomst_doelgroep[Uitgangssituatie/effect beleid],uitkomst_tech[[#This Row],[Uitgangssituatie/effect beleid]])</f>
        <v>996768.6277016789</v>
      </c>
      <c r="G122" s="398">
        <f>SUMIFS(uitkomst_doelgroep[Arbeidsbesparing (€)],uitkomst_doelgroep[Digitale zorgtoepassing],B122,uitkomst_doelgroep[Jaar],D122,uitkomst_doelgroep[Arbeidsbesparing (€)],"&gt;0",uitkomst_doelgroep[Uitgangssituatie/effect beleid],uitkomst_tech[[#This Row],[Uitgangssituatie/effect beleid]])</f>
        <v>11723772.229234407</v>
      </c>
      <c r="H122" s="398">
        <f>SUMIFS(uitkomst_doelgroep[Arbeidsbesparing (FTE)],uitkomst_doelgroep[Digitale zorgtoepassing],B122,uitkomst_doelgroep[Jaar],D122,uitkomst_doelgroep[Arbeidsbesparing (FTE)],"&gt;0",uitkomst_doelgroep[Uitgangssituatie/effect beleid],uitkomst_tech[[#This Row],[Uitgangssituatie/effect beleid]])</f>
        <v>61.799716717220811</v>
      </c>
      <c r="I122" s="398">
        <f>SUMIFS(uitkomst_doelgroep[Overige besparingen (€)],uitkomst_doelgroep[Digitale zorgtoepassing],B122,uitkomst_doelgroep[Jaar],D122,uitkomst_doelgroep[Overige besparingen (€)],"&gt;0",uitkomst_doelgroep[Uitgangssituatie/effect beleid],uitkomst_tech[[#This Row],[Uitgangssituatie/effect beleid]])</f>
        <v>0</v>
      </c>
      <c r="J122" s="398">
        <f>SUMIFS(uitkomst_doelgroep[QALY (€)],uitkomst_doelgroep[Digitale zorgtoepassing],B122,uitkomst_doelgroep[Jaar],D122,uitkomst_doelgroep[QALY (€)],"&gt;0",uitkomst_doelgroep[Uitgangssituatie/effect beleid],uitkomst_tech[[#This Row],[Uitgangssituatie/effect beleid]])</f>
        <v>0</v>
      </c>
      <c r="K122" s="398">
        <f>SUMIFS(uitkomst_doelgroep[Kosten (€)],uitkomst_doelgroep[Digitale zorgtoepassing],B122,uitkomst_doelgroep[Jaar],D122,uitkomst_doelgroep[Kosten (€)],"&gt;0",uitkomst_doelgroep[Uitgangssituatie/effect beleid],uitkomst_tech[[#This Row],[Uitgangssituatie/effect beleid]])</f>
        <v>9963233.3973566573</v>
      </c>
      <c r="L122" s="398">
        <f>SUMIFS(uitkomst_doelgroep[Investering (cash flow) (€)],uitkomst_doelgroep[Digitale zorgtoepassing],B122,uitkomst_doelgroep[Jaar],D122,uitkomst_doelgroep[Investering (cash flow) (€)],"&gt;0",uitkomst_doelgroep[Uitgangssituatie/effect beleid],uitkomst_tech[[#This Row],[Uitgangssituatie/effect beleid]])</f>
        <v>0</v>
      </c>
    </row>
    <row r="123" spans="1:12" x14ac:dyDescent="0.5">
      <c r="A123" s="42" t="str">
        <f>INDEX(Technologieën[Veld],MATCH(B123,Technologieën[Digitale zorgtoepassing],0))</f>
        <v>Software - Diagnose</v>
      </c>
      <c r="B123" s="33" t="s">
        <v>139</v>
      </c>
      <c r="C123" s="33" t="s">
        <v>812</v>
      </c>
      <c r="D123" s="33">
        <v>2031</v>
      </c>
      <c r="E123" s="2">
        <v>257</v>
      </c>
      <c r="F123" s="397">
        <f>SUMIFS(uitkomst_doelgroep[Patiëntaantallen],uitkomst_doelgroep[Digitale zorgtoepassing],B123,uitkomst_doelgroep[Jaar],D123,uitkomst_doelgroep[Arbeidsbesparing (€)],"&gt;0",uitkomst_doelgroep[Uitgangssituatie/effect beleid],uitkomst_tech[[#This Row],[Uitgangssituatie/effect beleid]])</f>
        <v>998298.35865135188</v>
      </c>
      <c r="G123" s="398">
        <f>SUMIFS(uitkomst_doelgroep[Arbeidsbesparing (€)],uitkomst_doelgroep[Digitale zorgtoepassing],B123,uitkomst_doelgroep[Jaar],D123,uitkomst_doelgroep[Arbeidsbesparing (€)],"&gt;0",uitkomst_doelgroep[Uitgangssituatie/effect beleid],uitkomst_tech[[#This Row],[Uitgangssituatie/effect beleid]])</f>
        <v>11741764.586465118</v>
      </c>
      <c r="H123" s="398">
        <f>SUMIFS(uitkomst_doelgroep[Arbeidsbesparing (FTE)],uitkomst_doelgroep[Digitale zorgtoepassing],B123,uitkomst_doelgroep[Jaar],D123,uitkomst_doelgroep[Arbeidsbesparing (FTE)],"&gt;0",uitkomst_doelgroep[Uitgangssituatie/effect beleid],uitkomst_tech[[#This Row],[Uitgangssituatie/effect beleid]])</f>
        <v>61.894560130943944</v>
      </c>
      <c r="I123" s="398">
        <f>SUMIFS(uitkomst_doelgroep[Overige besparingen (€)],uitkomst_doelgroep[Digitale zorgtoepassing],B123,uitkomst_doelgroep[Jaar],D123,uitkomst_doelgroep[Overige besparingen (€)],"&gt;0",uitkomst_doelgroep[Uitgangssituatie/effect beleid],uitkomst_tech[[#This Row],[Uitgangssituatie/effect beleid]])</f>
        <v>0</v>
      </c>
      <c r="J123" s="398">
        <f>SUMIFS(uitkomst_doelgroep[QALY (€)],uitkomst_doelgroep[Digitale zorgtoepassing],B123,uitkomst_doelgroep[Jaar],D123,uitkomst_doelgroep[QALY (€)],"&gt;0",uitkomst_doelgroep[Uitgangssituatie/effect beleid],uitkomst_tech[[#This Row],[Uitgangssituatie/effect beleid]])</f>
        <v>0</v>
      </c>
      <c r="K123" s="398">
        <f>SUMIFS(uitkomst_doelgroep[Kosten (€)],uitkomst_doelgroep[Digitale zorgtoepassing],B123,uitkomst_doelgroep[Jaar],D123,uitkomst_doelgroep[Kosten (€)],"&gt;0",uitkomst_doelgroep[Uitgangssituatie/effect beleid],uitkomst_tech[[#This Row],[Uitgangssituatie/effect beleid]])</f>
        <v>9978523.8730630353</v>
      </c>
      <c r="L123" s="398">
        <f>SUMIFS(uitkomst_doelgroep[Investering (cash flow) (€)],uitkomst_doelgroep[Digitale zorgtoepassing],B123,uitkomst_doelgroep[Jaar],D123,uitkomst_doelgroep[Investering (cash flow) (€)],"&gt;0",uitkomst_doelgroep[Uitgangssituatie/effect beleid],uitkomst_tech[[#This Row],[Uitgangssituatie/effect beleid]])</f>
        <v>0</v>
      </c>
    </row>
    <row r="124" spans="1:12" x14ac:dyDescent="0.5">
      <c r="A124" s="42" t="str">
        <f>INDEX(Technologieën[Veld],MATCH(B124,Technologieën[Digitale zorgtoepassing],0))</f>
        <v>Software - Diagnose</v>
      </c>
      <c r="B124" s="33" t="s">
        <v>139</v>
      </c>
      <c r="C124" s="33" t="s">
        <v>812</v>
      </c>
      <c r="D124" s="33">
        <v>2032</v>
      </c>
      <c r="E124" s="2">
        <v>289</v>
      </c>
      <c r="F124" s="397">
        <f>SUMIFS(uitkomst_doelgroep[Patiëntaantallen],uitkomst_doelgroep[Digitale zorgtoepassing],B124,uitkomst_doelgroep[Jaar],D124,uitkomst_doelgroep[Arbeidsbesparing (€)],"&gt;0",uitkomst_doelgroep[Uitgangssituatie/effect beleid],uitkomst_tech[[#This Row],[Uitgangssituatie/effect beleid]])</f>
        <v>999104.8618092098</v>
      </c>
      <c r="G124" s="398">
        <f>SUMIFS(uitkomst_doelgroep[Arbeidsbesparing (€)],uitkomst_doelgroep[Digitale zorgtoepassing],B124,uitkomst_doelgroep[Jaar],D124,uitkomst_doelgroep[Arbeidsbesparing (€)],"&gt;0",uitkomst_doelgroep[Uitgangssituatie/effect beleid],uitkomst_tech[[#This Row],[Uitgangssituatie/effect beleid]])</f>
        <v>11751250.498302741</v>
      </c>
      <c r="H124" s="398">
        <f>SUMIFS(uitkomst_doelgroep[Arbeidsbesparing (FTE)],uitkomst_doelgroep[Digitale zorgtoepassing],B124,uitkomst_doelgroep[Jaar],D124,uitkomst_doelgroep[Arbeidsbesparing (FTE)],"&gt;0",uitkomst_doelgroep[Uitgangssituatie/effect beleid],uitkomst_tech[[#This Row],[Uitgangssituatie/effect beleid]])</f>
        <v>61.944563376734386</v>
      </c>
      <c r="I124" s="398">
        <f>SUMIFS(uitkomst_doelgroep[Overige besparingen (€)],uitkomst_doelgroep[Digitale zorgtoepassing],B124,uitkomst_doelgroep[Jaar],D124,uitkomst_doelgroep[Overige besparingen (€)],"&gt;0",uitkomst_doelgroep[Uitgangssituatie/effect beleid],uitkomst_tech[[#This Row],[Uitgangssituatie/effect beleid]])</f>
        <v>0</v>
      </c>
      <c r="J124" s="398">
        <f>SUMIFS(uitkomst_doelgroep[QALY (€)],uitkomst_doelgroep[Digitale zorgtoepassing],B124,uitkomst_doelgroep[Jaar],D124,uitkomst_doelgroep[QALY (€)],"&gt;0",uitkomst_doelgroep[Uitgangssituatie/effect beleid],uitkomst_tech[[#This Row],[Uitgangssituatie/effect beleid]])</f>
        <v>0</v>
      </c>
      <c r="K124" s="398">
        <f>SUMIFS(uitkomst_doelgroep[Kosten (€)],uitkomst_doelgroep[Digitale zorgtoepassing],B124,uitkomst_doelgroep[Jaar],D124,uitkomst_doelgroep[Kosten (€)],"&gt;0",uitkomst_doelgroep[Uitgangssituatie/effect beleid],uitkomst_tech[[#This Row],[Uitgangssituatie/effect beleid]])</f>
        <v>9986585.3017377835</v>
      </c>
      <c r="L124" s="398">
        <f>SUMIFS(uitkomst_doelgroep[Investering (cash flow) (€)],uitkomst_doelgroep[Digitale zorgtoepassing],B124,uitkomst_doelgroep[Jaar],D124,uitkomst_doelgroep[Investering (cash flow) (€)],"&gt;0",uitkomst_doelgroep[Uitgangssituatie/effect beleid],uitkomst_tech[[#This Row],[Uitgangssituatie/effect beleid]])</f>
        <v>0</v>
      </c>
    </row>
    <row r="125" spans="1:12" x14ac:dyDescent="0.5">
      <c r="A125" s="42" t="str">
        <f>INDEX(Technologieën[Veld],MATCH(B125,Technologieën[Digitale zorgtoepassing],0))</f>
        <v>Software - Diagnose</v>
      </c>
      <c r="B125" s="33" t="s">
        <v>139</v>
      </c>
      <c r="C125" s="33" t="s">
        <v>812</v>
      </c>
      <c r="D125" s="33">
        <v>2033</v>
      </c>
      <c r="E125" s="2">
        <v>321</v>
      </c>
      <c r="F125" s="397">
        <f>SUMIFS(uitkomst_doelgroep[Patiëntaantallen],uitkomst_doelgroep[Digitale zorgtoepassing],B125,uitkomst_doelgroep[Jaar],D125,uitkomst_doelgroep[Arbeidsbesparing (€)],"&gt;0",uitkomst_doelgroep[Uitgangssituatie/effect beleid],uitkomst_tech[[#This Row],[Uitgangssituatie/effect beleid]])</f>
        <v>999529.21768207836</v>
      </c>
      <c r="G125" s="398">
        <f>SUMIFS(uitkomst_doelgroep[Arbeidsbesparing (€)],uitkomst_doelgroep[Digitale zorgtoepassing],B125,uitkomst_doelgroep[Jaar],D125,uitkomst_doelgroep[Arbeidsbesparing (€)],"&gt;0",uitkomst_doelgroep[Uitgangssituatie/effect beleid],uitkomst_tech[[#This Row],[Uitgangssituatie/effect beleid]])</f>
        <v>11756241.678261044</v>
      </c>
      <c r="H125" s="398">
        <f>SUMIFS(uitkomst_doelgroep[Arbeidsbesparing (FTE)],uitkomst_doelgroep[Digitale zorgtoepassing],B125,uitkomst_doelgroep[Jaar],D125,uitkomst_doelgroep[Arbeidsbesparing (FTE)],"&gt;0",uitkomst_doelgroep[Uitgangssituatie/effect beleid],uitkomst_tech[[#This Row],[Uitgangssituatie/effect beleid]])</f>
        <v>61.970873467162328</v>
      </c>
      <c r="I125" s="398">
        <f>SUMIFS(uitkomst_doelgroep[Overige besparingen (€)],uitkomst_doelgroep[Digitale zorgtoepassing],B125,uitkomst_doelgroep[Jaar],D125,uitkomst_doelgroep[Overige besparingen (€)],"&gt;0",uitkomst_doelgroep[Uitgangssituatie/effect beleid],uitkomst_tech[[#This Row],[Uitgangssituatie/effect beleid]])</f>
        <v>0</v>
      </c>
      <c r="J125" s="398">
        <f>SUMIFS(uitkomst_doelgroep[QALY (€)],uitkomst_doelgroep[Digitale zorgtoepassing],B125,uitkomst_doelgroep[Jaar],D125,uitkomst_doelgroep[QALY (€)],"&gt;0",uitkomst_doelgroep[Uitgangssituatie/effect beleid],uitkomst_tech[[#This Row],[Uitgangssituatie/effect beleid]])</f>
        <v>0</v>
      </c>
      <c r="K125" s="398">
        <f>SUMIFS(uitkomst_doelgroep[Kosten (€)],uitkomst_doelgroep[Digitale zorgtoepassing],B125,uitkomst_doelgroep[Jaar],D125,uitkomst_doelgroep[Kosten (€)],"&gt;0",uitkomst_doelgroep[Uitgangssituatie/effect beleid],uitkomst_tech[[#This Row],[Uitgangssituatie/effect beleid]])</f>
        <v>9990826.96473502</v>
      </c>
      <c r="L125" s="398">
        <f>SUMIFS(uitkomst_doelgroep[Investering (cash flow) (€)],uitkomst_doelgroep[Digitale zorgtoepassing],B125,uitkomst_doelgroep[Jaar],D125,uitkomst_doelgroep[Investering (cash flow) (€)],"&gt;0",uitkomst_doelgroep[Uitgangssituatie/effect beleid],uitkomst_tech[[#This Row],[Uitgangssituatie/effect beleid]])</f>
        <v>0</v>
      </c>
    </row>
    <row r="126" spans="1:12" x14ac:dyDescent="0.5">
      <c r="A126" s="42" t="str">
        <f>INDEX(Technologieën[Veld],MATCH(B126,Technologieën[Digitale zorgtoepassing],0))</f>
        <v>Software - Behandeling</v>
      </c>
      <c r="B126" s="33" t="s">
        <v>588</v>
      </c>
      <c r="C126" s="33" t="s">
        <v>812</v>
      </c>
      <c r="D126" s="33">
        <v>2023</v>
      </c>
      <c r="E126" s="2">
        <v>364</v>
      </c>
      <c r="F126" s="397">
        <f>SUMIFS(uitkomst_doelgroep[Patiëntaantallen],uitkomst_doelgroep[Digitale zorgtoepassing],B126,uitkomst_doelgroep[Jaar],D126,uitkomst_doelgroep[Arbeidsbesparing (€)],"&gt;0",uitkomst_doelgroep[Uitgangssituatie/effect beleid],uitkomst_tech[[#This Row],[Uitgangssituatie/effect beleid]])</f>
        <v>1600</v>
      </c>
      <c r="G126" s="398">
        <f>SUMIFS(uitkomst_doelgroep[Arbeidsbesparing (€)],uitkomst_doelgroep[Digitale zorgtoepassing],B126,uitkomst_doelgroep[Jaar],D126,uitkomst_doelgroep[Arbeidsbesparing (€)],"&gt;0",uitkomst_doelgroep[Uitgangssituatie/effect beleid],uitkomst_tech[[#This Row],[Uitgangssituatie/effect beleid]])</f>
        <v>1719765.5172413797</v>
      </c>
      <c r="H126" s="398">
        <f>SUMIFS(uitkomst_doelgroep[Arbeidsbesparing (FTE)],uitkomst_doelgroep[Digitale zorgtoepassing],B126,uitkomst_doelgroep[Jaar],D126,uitkomst_doelgroep[Arbeidsbesparing (FTE)],"&gt;0",uitkomst_doelgroep[Uitgangssituatie/effect beleid],uitkomst_tech[[#This Row],[Uitgangssituatie/effect beleid]])</f>
        <v>40</v>
      </c>
      <c r="I126" s="398">
        <f>SUMIFS(uitkomst_doelgroep[Overige besparingen (€)],uitkomst_doelgroep[Digitale zorgtoepassing],B126,uitkomst_doelgroep[Jaar],D126,uitkomst_doelgroep[Overige besparingen (€)],"&gt;0",uitkomst_doelgroep[Uitgangssituatie/effect beleid],uitkomst_tech[[#This Row],[Uitgangssituatie/effect beleid]])</f>
        <v>0</v>
      </c>
      <c r="J126" s="398">
        <f>SUMIFS(uitkomst_doelgroep[QALY (€)],uitkomst_doelgroep[Digitale zorgtoepassing],B126,uitkomst_doelgroep[Jaar],D126,uitkomst_doelgroep[QALY (€)],"&gt;0",uitkomst_doelgroep[Uitgangssituatie/effect beleid],uitkomst_tech[[#This Row],[Uitgangssituatie/effect beleid]])</f>
        <v>0</v>
      </c>
      <c r="K126" s="398">
        <f>SUMIFS(uitkomst_doelgroep[Kosten (€)],uitkomst_doelgroep[Digitale zorgtoepassing],B126,uitkomst_doelgroep[Jaar],D126,uitkomst_doelgroep[Kosten (€)],"&gt;0",uitkomst_doelgroep[Uitgangssituatie/effect beleid],uitkomst_tech[[#This Row],[Uitgangssituatie/effect beleid]])</f>
        <v>224000.136</v>
      </c>
      <c r="L126" s="398">
        <f>SUMIFS(uitkomst_doelgroep[Investering (cash flow) (€)],uitkomst_doelgroep[Digitale zorgtoepassing],B126,uitkomst_doelgroep[Jaar],D126,uitkomst_doelgroep[Investering (cash flow) (€)],"&gt;0",uitkomst_doelgroep[Uitgangssituatie/effect beleid],uitkomst_tech[[#This Row],[Uitgangssituatie/effect beleid]])</f>
        <v>0</v>
      </c>
    </row>
    <row r="127" spans="1:12" x14ac:dyDescent="0.5">
      <c r="A127" s="42" t="str">
        <f>INDEX(Technologieën[Veld],MATCH(B127,Technologieën[Digitale zorgtoepassing],0))</f>
        <v>Software - Behandeling</v>
      </c>
      <c r="B127" s="33" t="s">
        <v>588</v>
      </c>
      <c r="C127" s="33" t="s">
        <v>812</v>
      </c>
      <c r="D127" s="33">
        <v>2024</v>
      </c>
      <c r="E127" s="2">
        <v>365</v>
      </c>
      <c r="F127" s="397">
        <f>SUMIFS(uitkomst_doelgroep[Patiëntaantallen],uitkomst_doelgroep[Digitale zorgtoepassing],B127,uitkomst_doelgroep[Jaar],D127,uitkomst_doelgroep[Arbeidsbesparing (€)],"&gt;0",uitkomst_doelgroep[Uitgangssituatie/effect beleid],uitkomst_tech[[#This Row],[Uitgangssituatie/effect beleid]])</f>
        <v>2144</v>
      </c>
      <c r="G127" s="398">
        <f>SUMIFS(uitkomst_doelgroep[Arbeidsbesparing (€)],uitkomst_doelgroep[Digitale zorgtoepassing],B127,uitkomst_doelgroep[Jaar],D127,uitkomst_doelgroep[Arbeidsbesparing (€)],"&gt;0",uitkomst_doelgroep[Uitgangssituatie/effect beleid],uitkomst_tech[[#This Row],[Uitgangssituatie/effect beleid]])</f>
        <v>2304485.793103449</v>
      </c>
      <c r="H127" s="398">
        <f>SUMIFS(uitkomst_doelgroep[Arbeidsbesparing (FTE)],uitkomst_doelgroep[Digitale zorgtoepassing],B127,uitkomst_doelgroep[Jaar],D127,uitkomst_doelgroep[Arbeidsbesparing (FTE)],"&gt;0",uitkomst_doelgroep[Uitgangssituatie/effect beleid],uitkomst_tech[[#This Row],[Uitgangssituatie/effect beleid]])</f>
        <v>53.6</v>
      </c>
      <c r="I127" s="398">
        <f>SUMIFS(uitkomst_doelgroep[Overige besparingen (€)],uitkomst_doelgroep[Digitale zorgtoepassing],B127,uitkomst_doelgroep[Jaar],D127,uitkomst_doelgroep[Overige besparingen (€)],"&gt;0",uitkomst_doelgroep[Uitgangssituatie/effect beleid],uitkomst_tech[[#This Row],[Uitgangssituatie/effect beleid]])</f>
        <v>0</v>
      </c>
      <c r="J127" s="398">
        <f>SUMIFS(uitkomst_doelgroep[QALY (€)],uitkomst_doelgroep[Digitale zorgtoepassing],B127,uitkomst_doelgroep[Jaar],D127,uitkomst_doelgroep[QALY (€)],"&gt;0",uitkomst_doelgroep[Uitgangssituatie/effect beleid],uitkomst_tech[[#This Row],[Uitgangssituatie/effect beleid]])</f>
        <v>0</v>
      </c>
      <c r="K127" s="398">
        <f>SUMIFS(uitkomst_doelgroep[Kosten (€)],uitkomst_doelgroep[Digitale zorgtoepassing],B127,uitkomst_doelgroep[Jaar],D127,uitkomst_doelgroep[Kosten (€)],"&gt;0",uitkomst_doelgroep[Uitgangssituatie/effect beleid],uitkomst_tech[[#This Row],[Uitgangssituatie/effect beleid]])</f>
        <v>300160.18223999999</v>
      </c>
      <c r="L127" s="398">
        <f>SUMIFS(uitkomst_doelgroep[Investering (cash flow) (€)],uitkomst_doelgroep[Digitale zorgtoepassing],B127,uitkomst_doelgroep[Jaar],D127,uitkomst_doelgroep[Investering (cash flow) (€)],"&gt;0",uitkomst_doelgroep[Uitgangssituatie/effect beleid],uitkomst_tech[[#This Row],[Uitgangssituatie/effect beleid]])</f>
        <v>0</v>
      </c>
    </row>
    <row r="128" spans="1:12" x14ac:dyDescent="0.5">
      <c r="A128" s="42" t="str">
        <f>INDEX(Technologieën[Veld],MATCH(B128,Technologieën[Digitale zorgtoepassing],0))</f>
        <v>Software - Behandeling</v>
      </c>
      <c r="B128" s="33" t="s">
        <v>588</v>
      </c>
      <c r="C128" s="33" t="s">
        <v>812</v>
      </c>
      <c r="D128" s="33">
        <v>2025</v>
      </c>
      <c r="E128" s="2">
        <v>366</v>
      </c>
      <c r="F128" s="397">
        <f>SUMIFS(uitkomst_doelgroep[Patiëntaantallen],uitkomst_doelgroep[Digitale zorgtoepassing],B128,uitkomst_doelgroep[Jaar],D128,uitkomst_doelgroep[Arbeidsbesparing (€)],"&gt;0",uitkomst_doelgroep[Uitgangssituatie/effect beleid],uitkomst_tech[[#This Row],[Uitgangssituatie/effect beleid]])</f>
        <v>2781.1327999999999</v>
      </c>
      <c r="G128" s="398">
        <f>SUMIFS(uitkomst_doelgroep[Arbeidsbesparing (€)],uitkomst_doelgroep[Digitale zorgtoepassing],B128,uitkomst_doelgroep[Jaar],D128,uitkomst_doelgroep[Arbeidsbesparing (€)],"&gt;0",uitkomst_doelgroep[Uitgangssituatie/effect beleid],uitkomst_tech[[#This Row],[Uitgangssituatie/effect beleid]])</f>
        <v>2989310.1801931038</v>
      </c>
      <c r="H128" s="398">
        <f>SUMIFS(uitkomst_doelgroep[Arbeidsbesparing (FTE)],uitkomst_doelgroep[Digitale zorgtoepassing],B128,uitkomst_doelgroep[Jaar],D128,uitkomst_doelgroep[Arbeidsbesparing (FTE)],"&gt;0",uitkomst_doelgroep[Uitgangssituatie/effect beleid],uitkomst_tech[[#This Row],[Uitgangssituatie/effect beleid]])</f>
        <v>69.528319999999994</v>
      </c>
      <c r="I128" s="398">
        <f>SUMIFS(uitkomst_doelgroep[Overige besparingen (€)],uitkomst_doelgroep[Digitale zorgtoepassing],B128,uitkomst_doelgroep[Jaar],D128,uitkomst_doelgroep[Overige besparingen (€)],"&gt;0",uitkomst_doelgroep[Uitgangssituatie/effect beleid],uitkomst_tech[[#This Row],[Uitgangssituatie/effect beleid]])</f>
        <v>0</v>
      </c>
      <c r="J128" s="398">
        <f>SUMIFS(uitkomst_doelgroep[QALY (€)],uitkomst_doelgroep[Digitale zorgtoepassing],B128,uitkomst_doelgroep[Jaar],D128,uitkomst_doelgroep[QALY (€)],"&gt;0",uitkomst_doelgroep[Uitgangssituatie/effect beleid],uitkomst_tech[[#This Row],[Uitgangssituatie/effect beleid]])</f>
        <v>0</v>
      </c>
      <c r="K128" s="398">
        <f>SUMIFS(uitkomst_doelgroep[Kosten (€)],uitkomst_doelgroep[Digitale zorgtoepassing],B128,uitkomst_doelgroep[Jaar],D128,uitkomst_doelgroep[Kosten (€)],"&gt;0",uitkomst_doelgroep[Uitgangssituatie/effect beleid],uitkomst_tech[[#This Row],[Uitgangssituatie/effect beleid]])</f>
        <v>389358.82839628798</v>
      </c>
      <c r="L128" s="398">
        <f>SUMIFS(uitkomst_doelgroep[Investering (cash flow) (€)],uitkomst_doelgroep[Digitale zorgtoepassing],B128,uitkomst_doelgroep[Jaar],D128,uitkomst_doelgroep[Investering (cash flow) (€)],"&gt;0",uitkomst_doelgroep[Uitgangssituatie/effect beleid],uitkomst_tech[[#This Row],[Uitgangssituatie/effect beleid]])</f>
        <v>0</v>
      </c>
    </row>
    <row r="129" spans="1:12" x14ac:dyDescent="0.5">
      <c r="A129" s="42" t="str">
        <f>INDEX(Technologieën[Veld],MATCH(B129,Technologieën[Digitale zorgtoepassing],0))</f>
        <v>Software - Behandeling</v>
      </c>
      <c r="B129" s="33" t="s">
        <v>588</v>
      </c>
      <c r="C129" s="33" t="s">
        <v>812</v>
      </c>
      <c r="D129" s="33">
        <v>2026</v>
      </c>
      <c r="E129" s="2">
        <v>367</v>
      </c>
      <c r="F129" s="397">
        <f>SUMIFS(uitkomst_doelgroep[Patiëntaantallen],uitkomst_doelgroep[Digitale zorgtoepassing],B129,uitkomst_doelgroep[Jaar],D129,uitkomst_doelgroep[Arbeidsbesparing (€)],"&gt;0",uitkomst_doelgroep[Uitgangssituatie/effect beleid],uitkomst_tech[[#This Row],[Uitgangssituatie/effect beleid]])</f>
        <v>3494.4191782584317</v>
      </c>
      <c r="G129" s="398">
        <f>SUMIFS(uitkomst_doelgroep[Arbeidsbesparing (€)],uitkomst_doelgroep[Digitale zorgtoepassing],B129,uitkomst_doelgroep[Jaar],D129,uitkomst_doelgroep[Arbeidsbesparing (€)],"&gt;0",uitkomst_doelgroep[Uitgangssituatie/effect beleid],uitkomst_tech[[#This Row],[Uitgangssituatie/effect beleid]])</f>
        <v>3755988.5034723803</v>
      </c>
      <c r="H129" s="398">
        <f>SUMIFS(uitkomst_doelgroep[Arbeidsbesparing (FTE)],uitkomst_doelgroep[Digitale zorgtoepassing],B129,uitkomst_doelgroep[Jaar],D129,uitkomst_doelgroep[Arbeidsbesparing (FTE)],"&gt;0",uitkomst_doelgroep[Uitgangssituatie/effect beleid],uitkomst_tech[[#This Row],[Uitgangssituatie/effect beleid]])</f>
        <v>87.360479456460794</v>
      </c>
      <c r="I129" s="398">
        <f>SUMIFS(uitkomst_doelgroep[Overige besparingen (€)],uitkomst_doelgroep[Digitale zorgtoepassing],B129,uitkomst_doelgroep[Jaar],D129,uitkomst_doelgroep[Overige besparingen (€)],"&gt;0",uitkomst_doelgroep[Uitgangssituatie/effect beleid],uitkomst_tech[[#This Row],[Uitgangssituatie/effect beleid]])</f>
        <v>0</v>
      </c>
      <c r="J129" s="398">
        <f>SUMIFS(uitkomst_doelgroep[QALY (€)],uitkomst_doelgroep[Digitale zorgtoepassing],B129,uitkomst_doelgroep[Jaar],D129,uitkomst_doelgroep[QALY (€)],"&gt;0",uitkomst_doelgroep[Uitgangssituatie/effect beleid],uitkomst_tech[[#This Row],[Uitgangssituatie/effect beleid]])</f>
        <v>0</v>
      </c>
      <c r="K129" s="398">
        <f>SUMIFS(uitkomst_doelgroep[Kosten (€)],uitkomst_doelgroep[Digitale zorgtoepassing],B129,uitkomst_doelgroep[Jaar],D129,uitkomst_doelgroep[Kosten (€)],"&gt;0",uitkomst_doelgroep[Uitgangssituatie/effect beleid],uitkomst_tech[[#This Row],[Uitgangssituatie/effect beleid]])</f>
        <v>489218.98198181059</v>
      </c>
      <c r="L129" s="398">
        <f>SUMIFS(uitkomst_doelgroep[Investering (cash flow) (€)],uitkomst_doelgroep[Digitale zorgtoepassing],B129,uitkomst_doelgroep[Jaar],D129,uitkomst_doelgroep[Investering (cash flow) (€)],"&gt;0",uitkomst_doelgroep[Uitgangssituatie/effect beleid],uitkomst_tech[[#This Row],[Uitgangssituatie/effect beleid]])</f>
        <v>0</v>
      </c>
    </row>
    <row r="130" spans="1:12" x14ac:dyDescent="0.5">
      <c r="A130" s="42" t="str">
        <f>INDEX(Technologieën[Veld],MATCH(B130,Technologieën[Digitale zorgtoepassing],0))</f>
        <v>Software - Behandeling</v>
      </c>
      <c r="B130" s="33" t="s">
        <v>588</v>
      </c>
      <c r="C130" s="33" t="s">
        <v>812</v>
      </c>
      <c r="D130" s="33">
        <v>2027</v>
      </c>
      <c r="E130" s="2">
        <v>368</v>
      </c>
      <c r="F130" s="397">
        <f>SUMIFS(uitkomst_doelgroep[Patiëntaantallen],uitkomst_doelgroep[Digitale zorgtoepassing],B130,uitkomst_doelgroep[Jaar],D130,uitkomst_doelgroep[Arbeidsbesparing (€)],"&gt;0",uitkomst_doelgroep[Uitgangssituatie/effect beleid],uitkomst_tech[[#This Row],[Uitgangssituatie/effect beleid]])</f>
        <v>4250.8198670146166</v>
      </c>
      <c r="G130" s="398">
        <f>SUMIFS(uitkomst_doelgroep[Arbeidsbesparing (€)],uitkomst_doelgroep[Digitale zorgtoepassing],B130,uitkomst_doelgroep[Jaar],D130,uitkomst_doelgroep[Arbeidsbesparing (€)],"&gt;0",uitkomst_doelgroep[Uitgangssituatie/effect beleid],uitkomst_tech[[#This Row],[Uitgangssituatie/effect beleid]])</f>
        <v>4569008.3920602025</v>
      </c>
      <c r="H130" s="398">
        <f>SUMIFS(uitkomst_doelgroep[Arbeidsbesparing (FTE)],uitkomst_doelgroep[Digitale zorgtoepassing],B130,uitkomst_doelgroep[Jaar],D130,uitkomst_doelgroep[Arbeidsbesparing (FTE)],"&gt;0",uitkomst_doelgroep[Uitgangssituatie/effect beleid],uitkomst_tech[[#This Row],[Uitgangssituatie/effect beleid]])</f>
        <v>106.27049667536541</v>
      </c>
      <c r="I130" s="398">
        <f>SUMIFS(uitkomst_doelgroep[Overige besparingen (€)],uitkomst_doelgroep[Digitale zorgtoepassing],B130,uitkomst_doelgroep[Jaar],D130,uitkomst_doelgroep[Overige besparingen (€)],"&gt;0",uitkomst_doelgroep[Uitgangssituatie/effect beleid],uitkomst_tech[[#This Row],[Uitgangssituatie/effect beleid]])</f>
        <v>0</v>
      </c>
      <c r="J130" s="398">
        <f>SUMIFS(uitkomst_doelgroep[QALY (€)],uitkomst_doelgroep[Digitale zorgtoepassing],B130,uitkomst_doelgroep[Jaar],D130,uitkomst_doelgroep[QALY (€)],"&gt;0",uitkomst_doelgroep[Uitgangssituatie/effect beleid],uitkomst_tech[[#This Row],[Uitgangssituatie/effect beleid]])</f>
        <v>0</v>
      </c>
      <c r="K130" s="398">
        <f>SUMIFS(uitkomst_doelgroep[Kosten (€)],uitkomst_doelgroep[Digitale zorgtoepassing],B130,uitkomst_doelgroep[Jaar],D130,uitkomst_doelgroep[Kosten (€)],"&gt;0",uitkomst_doelgroep[Uitgangssituatie/effect beleid],uitkomst_tech[[#This Row],[Uitgangssituatie/effect beleid]])</f>
        <v>595115.14270173502</v>
      </c>
      <c r="L130" s="398">
        <f>SUMIFS(uitkomst_doelgroep[Investering (cash flow) (€)],uitkomst_doelgroep[Digitale zorgtoepassing],B130,uitkomst_doelgroep[Jaar],D130,uitkomst_doelgroep[Investering (cash flow) (€)],"&gt;0",uitkomst_doelgroep[Uitgangssituatie/effect beleid],uitkomst_tech[[#This Row],[Uitgangssituatie/effect beleid]])</f>
        <v>0</v>
      </c>
    </row>
    <row r="131" spans="1:12" x14ac:dyDescent="0.5">
      <c r="A131" s="42" t="str">
        <f>INDEX(Technologieën[Veld],MATCH(B131,Technologieën[Digitale zorgtoepassing],0))</f>
        <v>Software - Behandeling</v>
      </c>
      <c r="B131" s="33" t="s">
        <v>588</v>
      </c>
      <c r="C131" s="33" t="s">
        <v>812</v>
      </c>
      <c r="D131" s="33">
        <v>2028</v>
      </c>
      <c r="E131" s="2">
        <v>369</v>
      </c>
      <c r="F131" s="397">
        <f>SUMIFS(uitkomst_doelgroep[Patiëntaantallen],uitkomst_doelgroep[Digitale zorgtoepassing],B131,uitkomst_doelgroep[Jaar],D131,uitkomst_doelgroep[Arbeidsbesparing (€)],"&gt;0",uitkomst_doelgroep[Uitgangssituatie/effect beleid],uitkomst_tech[[#This Row],[Uitgangssituatie/effect beleid]])</f>
        <v>5354.3052300104937</v>
      </c>
      <c r="G131" s="398">
        <f>SUMIFS(uitkomst_doelgroep[Arbeidsbesparing (€)],uitkomst_doelgroep[Digitale zorgtoepassing],B131,uitkomst_doelgroep[Jaar],D131,uitkomst_doelgroep[Arbeidsbesparing (€)],"&gt;0",uitkomst_doelgroep[Uitgangssituatie/effect beleid],uitkomst_tech[[#This Row],[Uitgangssituatie/effect beleid]])</f>
        <v>5755093.4395982632</v>
      </c>
      <c r="H131" s="398">
        <f>SUMIFS(uitkomst_doelgroep[Arbeidsbesparing (FTE)],uitkomst_doelgroep[Digitale zorgtoepassing],B131,uitkomst_doelgroep[Jaar],D131,uitkomst_doelgroep[Arbeidsbesparing (FTE)],"&gt;0",uitkomst_doelgroep[Uitgangssituatie/effect beleid],uitkomst_tech[[#This Row],[Uitgangssituatie/effect beleid]])</f>
        <v>133.85763075026233</v>
      </c>
      <c r="I131" s="398">
        <f>SUMIFS(uitkomst_doelgroep[Overige besparingen (€)],uitkomst_doelgroep[Digitale zorgtoepassing],B131,uitkomst_doelgroep[Jaar],D131,uitkomst_doelgroep[Overige besparingen (€)],"&gt;0",uitkomst_doelgroep[Uitgangssituatie/effect beleid],uitkomst_tech[[#This Row],[Uitgangssituatie/effect beleid]])</f>
        <v>0</v>
      </c>
      <c r="J131" s="398">
        <f>SUMIFS(uitkomst_doelgroep[QALY (€)],uitkomst_doelgroep[Digitale zorgtoepassing],B131,uitkomst_doelgroep[Jaar],D131,uitkomst_doelgroep[QALY (€)],"&gt;0",uitkomst_doelgroep[Uitgangssituatie/effect beleid],uitkomst_tech[[#This Row],[Uitgangssituatie/effect beleid]])</f>
        <v>0</v>
      </c>
      <c r="K131" s="398">
        <f>SUMIFS(uitkomst_doelgroep[Kosten (€)],uitkomst_doelgroep[Digitale zorgtoepassing],B131,uitkomst_doelgroep[Jaar],D131,uitkomst_doelgroep[Kosten (€)],"&gt;0",uitkomst_doelgroep[Uitgangssituatie/effect beleid],uitkomst_tech[[#This Row],[Uitgangssituatie/effect beleid]])</f>
        <v>749603.18731741363</v>
      </c>
      <c r="L131" s="398">
        <f>SUMIFS(uitkomst_doelgroep[Investering (cash flow) (€)],uitkomst_doelgroep[Digitale zorgtoepassing],B131,uitkomst_doelgroep[Jaar],D131,uitkomst_doelgroep[Investering (cash flow) (€)],"&gt;0",uitkomst_doelgroep[Uitgangssituatie/effect beleid],uitkomst_tech[[#This Row],[Uitgangssituatie/effect beleid]])</f>
        <v>0</v>
      </c>
    </row>
    <row r="132" spans="1:12" x14ac:dyDescent="0.5">
      <c r="A132" s="42" t="str">
        <f>INDEX(Technologieën[Veld],MATCH(B132,Technologieën[Digitale zorgtoepassing],0))</f>
        <v>Software - Behandeling</v>
      </c>
      <c r="B132" s="33" t="s">
        <v>588</v>
      </c>
      <c r="C132" s="33" t="s">
        <v>812</v>
      </c>
      <c r="D132" s="33">
        <v>2029</v>
      </c>
      <c r="E132" s="2">
        <v>370</v>
      </c>
      <c r="F132" s="397">
        <f>SUMIFS(uitkomst_doelgroep[Patiëntaantallen],uitkomst_doelgroep[Digitale zorgtoepassing],B132,uitkomst_doelgroep[Jaar],D132,uitkomst_doelgroep[Arbeidsbesparing (€)],"&gt;0",uitkomst_doelgroep[Uitgangssituatie/effect beleid],uitkomst_tech[[#This Row],[Uitgangssituatie/effect beleid]])</f>
        <v>6505.5631330279293</v>
      </c>
      <c r="G132" s="398">
        <f>SUMIFS(uitkomst_doelgroep[Arbeidsbesparing (€)],uitkomst_doelgroep[Digitale zorgtoepassing],B132,uitkomst_doelgroep[Jaar],D132,uitkomst_doelgroep[Arbeidsbesparing (€)],"&gt;0",uitkomst_doelgroep[Uitgangssituatie/effect beleid],uitkomst_tech[[#This Row],[Uitgangssituatie/effect beleid]])</f>
        <v>6992526.966511392</v>
      </c>
      <c r="H132" s="398">
        <f>SUMIFS(uitkomst_doelgroep[Arbeidsbesparing (FTE)],uitkomst_doelgroep[Digitale zorgtoepassing],B132,uitkomst_doelgroep[Jaar],D132,uitkomst_doelgroep[Arbeidsbesparing (FTE)],"&gt;0",uitkomst_doelgroep[Uitgangssituatie/effect beleid],uitkomst_tech[[#This Row],[Uitgangssituatie/effect beleid]])</f>
        <v>162.63907832569825</v>
      </c>
      <c r="I132" s="398">
        <f>SUMIFS(uitkomst_doelgroep[Overige besparingen (€)],uitkomst_doelgroep[Digitale zorgtoepassing],B132,uitkomst_doelgroep[Jaar],D132,uitkomst_doelgroep[Overige besparingen (€)],"&gt;0",uitkomst_doelgroep[Uitgangssituatie/effect beleid],uitkomst_tech[[#This Row],[Uitgangssituatie/effect beleid]])</f>
        <v>0</v>
      </c>
      <c r="J132" s="398">
        <f>SUMIFS(uitkomst_doelgroep[QALY (€)],uitkomst_doelgroep[Digitale zorgtoepassing],B132,uitkomst_doelgroep[Jaar],D132,uitkomst_doelgroep[QALY (€)],"&gt;0",uitkomst_doelgroep[Uitgangssituatie/effect beleid],uitkomst_tech[[#This Row],[Uitgangssituatie/effect beleid]])</f>
        <v>0</v>
      </c>
      <c r="K132" s="398">
        <f>SUMIFS(uitkomst_doelgroep[Kosten (€)],uitkomst_doelgroep[Digitale zorgtoepassing],B132,uitkomst_doelgroep[Jaar],D132,uitkomst_doelgroep[Kosten (€)],"&gt;0",uitkomst_doelgroep[Uitgangssituatie/effect beleid],uitkomst_tech[[#This Row],[Uitgangssituatie/effect beleid]])</f>
        <v>910779.39159677643</v>
      </c>
      <c r="L132" s="398">
        <f>SUMIFS(uitkomst_doelgroep[Investering (cash flow) (€)],uitkomst_doelgroep[Digitale zorgtoepassing],B132,uitkomst_doelgroep[Jaar],D132,uitkomst_doelgroep[Investering (cash flow) (€)],"&gt;0",uitkomst_doelgroep[Uitgangssituatie/effect beleid],uitkomst_tech[[#This Row],[Uitgangssituatie/effect beleid]])</f>
        <v>0</v>
      </c>
    </row>
    <row r="133" spans="1:12" x14ac:dyDescent="0.5">
      <c r="A133" s="42" t="str">
        <f>INDEX(Technologieën[Veld],MATCH(B133,Technologieën[Digitale zorgtoepassing],0))</f>
        <v>Software - Behandeling</v>
      </c>
      <c r="B133" s="33" t="s">
        <v>588</v>
      </c>
      <c r="C133" s="33" t="s">
        <v>812</v>
      </c>
      <c r="D133" s="33">
        <v>2030</v>
      </c>
      <c r="E133" s="2">
        <v>371</v>
      </c>
      <c r="F133" s="397">
        <f>SUMIFS(uitkomst_doelgroep[Patiëntaantallen],uitkomst_doelgroep[Digitale zorgtoepassing],B133,uitkomst_doelgroep[Jaar],D133,uitkomst_doelgroep[Arbeidsbesparing (€)],"&gt;0",uitkomst_doelgroep[Uitgangssituatie/effect beleid],uitkomst_tech[[#This Row],[Uitgangssituatie/effect beleid]])</f>
        <v>7689.4258262389467</v>
      </c>
      <c r="G133" s="398">
        <f>SUMIFS(uitkomst_doelgroep[Arbeidsbesparing (€)],uitkomst_doelgroep[Digitale zorgtoepassing],B133,uitkomst_doelgroep[Jaar],D133,uitkomst_doelgroep[Arbeidsbesparing (€)],"&gt;0",uitkomst_doelgroep[Uitgangssituatie/effect beleid],uitkomst_tech[[#This Row],[Uitgangssituatie/effect beleid]])</f>
        <v>8265005.8645944027</v>
      </c>
      <c r="H133" s="398">
        <f>SUMIFS(uitkomst_doelgroep[Arbeidsbesparing (FTE)],uitkomst_doelgroep[Digitale zorgtoepassing],B133,uitkomst_doelgroep[Jaar],D133,uitkomst_doelgroep[Arbeidsbesparing (FTE)],"&gt;0",uitkomst_doelgroep[Uitgangssituatie/effect beleid],uitkomst_tech[[#This Row],[Uitgangssituatie/effect beleid]])</f>
        <v>192.23564565597366</v>
      </c>
      <c r="I133" s="398">
        <f>SUMIFS(uitkomst_doelgroep[Overige besparingen (€)],uitkomst_doelgroep[Digitale zorgtoepassing],B133,uitkomst_doelgroep[Jaar],D133,uitkomst_doelgroep[Overige besparingen (€)],"&gt;0",uitkomst_doelgroep[Uitgangssituatie/effect beleid],uitkomst_tech[[#This Row],[Uitgangssituatie/effect beleid]])</f>
        <v>0</v>
      </c>
      <c r="J133" s="398">
        <f>SUMIFS(uitkomst_doelgroep[QALY (€)],uitkomst_doelgroep[Digitale zorgtoepassing],B133,uitkomst_doelgroep[Jaar],D133,uitkomst_doelgroep[QALY (€)],"&gt;0",uitkomst_doelgroep[Uitgangssituatie/effect beleid],uitkomst_tech[[#This Row],[Uitgangssituatie/effect beleid]])</f>
        <v>0</v>
      </c>
      <c r="K133" s="398">
        <f>SUMIFS(uitkomst_doelgroep[Kosten (€)],uitkomst_doelgroep[Digitale zorgtoepassing],B133,uitkomst_doelgroep[Jaar],D133,uitkomst_doelgroep[Kosten (€)],"&gt;0",uitkomst_doelgroep[Uitgangssituatie/effect beleid],uitkomst_tech[[#This Row],[Uitgangssituatie/effect beleid]])</f>
        <v>1076520.2692746478</v>
      </c>
      <c r="L133" s="398">
        <f>SUMIFS(uitkomst_doelgroep[Investering (cash flow) (€)],uitkomst_doelgroep[Digitale zorgtoepassing],B133,uitkomst_doelgroep[Jaar],D133,uitkomst_doelgroep[Investering (cash flow) (€)],"&gt;0",uitkomst_doelgroep[Uitgangssituatie/effect beleid],uitkomst_tech[[#This Row],[Uitgangssituatie/effect beleid]])</f>
        <v>0</v>
      </c>
    </row>
    <row r="134" spans="1:12" x14ac:dyDescent="0.5">
      <c r="A134" s="42" t="str">
        <f>INDEX(Technologieën[Veld],MATCH(B134,Technologieën[Digitale zorgtoepassing],0))</f>
        <v>Software - Behandeling</v>
      </c>
      <c r="B134" s="33" t="s">
        <v>588</v>
      </c>
      <c r="C134" s="33" t="s">
        <v>812</v>
      </c>
      <c r="D134" s="33">
        <v>2031</v>
      </c>
      <c r="E134" s="2">
        <v>372</v>
      </c>
      <c r="F134" s="397">
        <f>SUMIFS(uitkomst_doelgroep[Patiëntaantallen],uitkomst_doelgroep[Digitale zorgtoepassing],B134,uitkomst_doelgroep[Jaar],D134,uitkomst_doelgroep[Arbeidsbesparing (€)],"&gt;0",uitkomst_doelgroep[Uitgangssituatie/effect beleid],uitkomst_tech[[#This Row],[Uitgangssituatie/effect beleid]])</f>
        <v>8913.9148162533347</v>
      </c>
      <c r="G134" s="398">
        <f>SUMIFS(uitkomst_doelgroep[Arbeidsbesparing (€)],uitkomst_doelgroep[Digitale zorgtoepassing],B134,uitkomst_doelgroep[Jaar],D134,uitkomst_doelgroep[Arbeidsbesparing (€)],"&gt;0",uitkomst_doelgroep[Uitgangssituatie/effect beleid],uitkomst_tech[[#This Row],[Uitgangssituatie/effect beleid]])</f>
        <v>9581152.0778871961</v>
      </c>
      <c r="H134" s="398">
        <f>SUMIFS(uitkomst_doelgroep[Arbeidsbesparing (FTE)],uitkomst_doelgroep[Digitale zorgtoepassing],B134,uitkomst_doelgroep[Jaar],D134,uitkomst_doelgroep[Arbeidsbesparing (FTE)],"&gt;0",uitkomst_doelgroep[Uitgangssituatie/effect beleid],uitkomst_tech[[#This Row],[Uitgangssituatie/effect beleid]])</f>
        <v>222.84787040633339</v>
      </c>
      <c r="I134" s="398">
        <f>SUMIFS(uitkomst_doelgroep[Overige besparingen (€)],uitkomst_doelgroep[Digitale zorgtoepassing],B134,uitkomst_doelgroep[Jaar],D134,uitkomst_doelgroep[Overige besparingen (€)],"&gt;0",uitkomst_doelgroep[Uitgangssituatie/effect beleid],uitkomst_tech[[#This Row],[Uitgangssituatie/effect beleid]])</f>
        <v>0</v>
      </c>
      <c r="J134" s="398">
        <f>SUMIFS(uitkomst_doelgroep[QALY (€)],uitkomst_doelgroep[Digitale zorgtoepassing],B134,uitkomst_doelgroep[Jaar],D134,uitkomst_doelgroep[QALY (€)],"&gt;0",uitkomst_doelgroep[Uitgangssituatie/effect beleid],uitkomst_tech[[#This Row],[Uitgangssituatie/effect beleid]])</f>
        <v>0</v>
      </c>
      <c r="K134" s="398">
        <f>SUMIFS(uitkomst_doelgroep[Kosten (€)],uitkomst_doelgroep[Digitale zorgtoepassing],B134,uitkomst_doelgroep[Jaar],D134,uitkomst_doelgroep[Kosten (€)],"&gt;0",uitkomst_doelgroep[Uitgangssituatie/effect beleid],uitkomst_tech[[#This Row],[Uitgangssituatie/effect beleid]])</f>
        <v>1247948.8319582264</v>
      </c>
      <c r="L134" s="398">
        <f>SUMIFS(uitkomst_doelgroep[Investering (cash flow) (€)],uitkomst_doelgroep[Digitale zorgtoepassing],B134,uitkomst_doelgroep[Jaar],D134,uitkomst_doelgroep[Investering (cash flow) (€)],"&gt;0",uitkomst_doelgroep[Uitgangssituatie/effect beleid],uitkomst_tech[[#This Row],[Uitgangssituatie/effect beleid]])</f>
        <v>0</v>
      </c>
    </row>
    <row r="135" spans="1:12" x14ac:dyDescent="0.5">
      <c r="A135" s="42" t="str">
        <f>INDEX(Technologieën[Veld],MATCH(B135,Technologieën[Digitale zorgtoepassing],0))</f>
        <v>Software - Behandeling</v>
      </c>
      <c r="B135" s="33" t="s">
        <v>588</v>
      </c>
      <c r="C135" s="33" t="s">
        <v>812</v>
      </c>
      <c r="D135" s="33">
        <v>2032</v>
      </c>
      <c r="E135" s="2">
        <v>373</v>
      </c>
      <c r="F135" s="397">
        <f>SUMIFS(uitkomst_doelgroep[Patiëntaantallen],uitkomst_doelgroep[Digitale zorgtoepassing],B135,uitkomst_doelgroep[Jaar],D135,uitkomst_doelgroep[Arbeidsbesparing (€)],"&gt;0",uitkomst_doelgroep[Uitgangssituatie/effect beleid],uitkomst_tech[[#This Row],[Uitgangssituatie/effect beleid]])</f>
        <v>10211.732964571271</v>
      </c>
      <c r="G135" s="398">
        <f>SUMIFS(uitkomst_doelgroep[Arbeidsbesparing (€)],uitkomst_doelgroep[Digitale zorgtoepassing],B135,uitkomst_doelgroep[Jaar],D135,uitkomst_doelgroep[Arbeidsbesparing (€)],"&gt;0",uitkomst_doelgroep[Uitgangssituatie/effect beleid],uitkomst_tech[[#This Row],[Uitgangssituatie/effect beleid]])</f>
        <v>10976116.389841724</v>
      </c>
      <c r="H135" s="398">
        <f>SUMIFS(uitkomst_doelgroep[Arbeidsbesparing (FTE)],uitkomst_doelgroep[Digitale zorgtoepassing],B135,uitkomst_doelgroep[Jaar],D135,uitkomst_doelgroep[Arbeidsbesparing (FTE)],"&gt;0",uitkomst_doelgroep[Uitgangssituatie/effect beleid],uitkomst_tech[[#This Row],[Uitgangssituatie/effect beleid]])</f>
        <v>255.29332411428177</v>
      </c>
      <c r="I135" s="398">
        <f>SUMIFS(uitkomst_doelgroep[Overige besparingen (€)],uitkomst_doelgroep[Digitale zorgtoepassing],B135,uitkomst_doelgroep[Jaar],D135,uitkomst_doelgroep[Overige besparingen (€)],"&gt;0",uitkomst_doelgroep[Uitgangssituatie/effect beleid],uitkomst_tech[[#This Row],[Uitgangssituatie/effect beleid]])</f>
        <v>0</v>
      </c>
      <c r="J135" s="398">
        <f>SUMIFS(uitkomst_doelgroep[QALY (€)],uitkomst_doelgroep[Digitale zorgtoepassing],B135,uitkomst_doelgroep[Jaar],D135,uitkomst_doelgroep[QALY (€)],"&gt;0",uitkomst_doelgroep[Uitgangssituatie/effect beleid],uitkomst_tech[[#This Row],[Uitgangssituatie/effect beleid]])</f>
        <v>0</v>
      </c>
      <c r="K135" s="398">
        <f>SUMIFS(uitkomst_doelgroep[Kosten (€)],uitkomst_doelgroep[Digitale zorgtoepassing],B135,uitkomst_doelgroep[Jaar],D135,uitkomst_doelgroep[Kosten (€)],"&gt;0",uitkomst_doelgroep[Uitgangssituatie/effect beleid],uitkomst_tech[[#This Row],[Uitgangssituatie/effect beleid]])</f>
        <v>1429643.4830372799</v>
      </c>
      <c r="L135" s="398">
        <f>SUMIFS(uitkomst_doelgroep[Investering (cash flow) (€)],uitkomst_doelgroep[Digitale zorgtoepassing],B135,uitkomst_doelgroep[Jaar],D135,uitkomst_doelgroep[Investering (cash flow) (€)],"&gt;0",uitkomst_doelgroep[Uitgangssituatie/effect beleid],uitkomst_tech[[#This Row],[Uitgangssituatie/effect beleid]])</f>
        <v>0</v>
      </c>
    </row>
    <row r="136" spans="1:12" x14ac:dyDescent="0.5">
      <c r="A136" s="42" t="str">
        <f>INDEX(Technologieën[Veld],MATCH(B136,Technologieën[Digitale zorgtoepassing],0))</f>
        <v>Software - Behandeling</v>
      </c>
      <c r="B136" s="33" t="s">
        <v>588</v>
      </c>
      <c r="C136" s="33" t="s">
        <v>812</v>
      </c>
      <c r="D136" s="33">
        <v>2033</v>
      </c>
      <c r="E136" s="2">
        <v>374</v>
      </c>
      <c r="F136" s="397">
        <f>SUMIFS(uitkomst_doelgroep[Patiëntaantallen],uitkomst_doelgroep[Digitale zorgtoepassing],B136,uitkomst_doelgroep[Jaar],D136,uitkomst_doelgroep[Arbeidsbesparing (€)],"&gt;0",uitkomst_doelgroep[Uitgangssituatie/effect beleid],uitkomst_tech[[#This Row],[Uitgangssituatie/effect beleid]])</f>
        <v>11633.226482883207</v>
      </c>
      <c r="G136" s="398">
        <f>SUMIFS(uitkomst_doelgroep[Arbeidsbesparing (€)],uitkomst_doelgroep[Digitale zorgtoepassing],B136,uitkomst_doelgroep[Jaar],D136,uitkomst_doelgroep[Arbeidsbesparing (€)],"&gt;0",uitkomst_doelgroep[Uitgangssituatie/effect beleid],uitkomst_tech[[#This Row],[Uitgangssituatie/effect beleid]])</f>
        <v>12504013.599701095</v>
      </c>
      <c r="H136" s="398">
        <f>SUMIFS(uitkomst_doelgroep[Arbeidsbesparing (FTE)],uitkomst_doelgroep[Digitale zorgtoepassing],B136,uitkomst_doelgroep[Jaar],D136,uitkomst_doelgroep[Arbeidsbesparing (FTE)],"&gt;0",uitkomst_doelgroep[Uitgangssituatie/effect beleid],uitkomst_tech[[#This Row],[Uitgangssituatie/effect beleid]])</f>
        <v>290.83066207208014</v>
      </c>
      <c r="I136" s="398">
        <f>SUMIFS(uitkomst_doelgroep[Overige besparingen (€)],uitkomst_doelgroep[Digitale zorgtoepassing],B136,uitkomst_doelgroep[Jaar],D136,uitkomst_doelgroep[Overige besparingen (€)],"&gt;0",uitkomst_doelgroep[Uitgangssituatie/effect beleid],uitkomst_tech[[#This Row],[Uitgangssituatie/effect beleid]])</f>
        <v>0</v>
      </c>
      <c r="J136" s="398">
        <f>SUMIFS(uitkomst_doelgroep[QALY (€)],uitkomst_doelgroep[Digitale zorgtoepassing],B136,uitkomst_doelgroep[Jaar],D136,uitkomst_doelgroep[QALY (€)],"&gt;0",uitkomst_doelgroep[Uitgangssituatie/effect beleid],uitkomst_tech[[#This Row],[Uitgangssituatie/effect beleid]])</f>
        <v>0</v>
      </c>
      <c r="K136" s="398">
        <f>SUMIFS(uitkomst_doelgroep[Kosten (€)],uitkomst_doelgroep[Digitale zorgtoepassing],B136,uitkomst_doelgroep[Jaar],D136,uitkomst_doelgroep[Kosten (€)],"&gt;0",uitkomst_doelgroep[Uitgangssituatie/effect beleid],uitkomst_tech[[#This Row],[Uitgangssituatie/effect beleid]])</f>
        <v>1628652.6964278999</v>
      </c>
      <c r="L136" s="398">
        <f>SUMIFS(uitkomst_doelgroep[Investering (cash flow) (€)],uitkomst_doelgroep[Digitale zorgtoepassing],B136,uitkomst_doelgroep[Jaar],D136,uitkomst_doelgroep[Investering (cash flow) (€)],"&gt;0",uitkomst_doelgroep[Uitgangssituatie/effect beleid],uitkomst_tech[[#This Row],[Uitgangssituatie/effect beleid]])</f>
        <v>0</v>
      </c>
    </row>
    <row r="137" spans="1:12" x14ac:dyDescent="0.5">
      <c r="A137" s="42" t="str">
        <f>INDEX(Technologieën[Veld],MATCH(B137,Technologieën[Digitale zorgtoepassing],0))</f>
        <v>Software - Behandeling</v>
      </c>
      <c r="B137" s="33" t="s">
        <v>585</v>
      </c>
      <c r="C137" s="33" t="s">
        <v>812</v>
      </c>
      <c r="D137" s="33">
        <v>2023</v>
      </c>
      <c r="E137" s="2">
        <v>21</v>
      </c>
      <c r="F137" s="397">
        <f>SUMIFS(uitkomst_doelgroep[Patiëntaantallen],uitkomst_doelgroep[Digitale zorgtoepassing],B137,uitkomst_doelgroep[Jaar],D137,uitkomst_doelgroep[Arbeidsbesparing (€)],"&gt;0",uitkomst_doelgroep[Uitgangssituatie/effect beleid],uitkomst_tech[[#This Row],[Uitgangssituatie/effect beleid]])</f>
        <v>23100</v>
      </c>
      <c r="G137" s="398">
        <f>SUMIFS(uitkomst_doelgroep[Arbeidsbesparing (€)],uitkomst_doelgroep[Digitale zorgtoepassing],B137,uitkomst_doelgroep[Jaar],D137,uitkomst_doelgroep[Arbeidsbesparing (€)],"&gt;0",uitkomst_doelgroep[Uitgangssituatie/effect beleid],uitkomst_tech[[#This Row],[Uitgangssituatie/effect beleid]])</f>
        <v>2328480.0000000005</v>
      </c>
      <c r="H137" s="398">
        <f>SUMIFS(uitkomst_doelgroep[Arbeidsbesparing (FTE)],uitkomst_doelgroep[Digitale zorgtoepassing],B137,uitkomst_doelgroep[Jaar],D137,uitkomst_doelgroep[Arbeidsbesparing (FTE)],"&gt;0",uitkomst_doelgroep[Uitgangssituatie/effect beleid],uitkomst_tech[[#This Row],[Uitgangssituatie/effect beleid]])</f>
        <v>12.274155584743168</v>
      </c>
      <c r="I137" s="398">
        <f>SUMIFS(uitkomst_doelgroep[Overige besparingen (€)],uitkomst_doelgroep[Digitale zorgtoepassing],B137,uitkomst_doelgroep[Jaar],D137,uitkomst_doelgroep[Overige besparingen (€)],"&gt;0",uitkomst_doelgroep[Uitgangssituatie/effect beleid],uitkomst_tech[[#This Row],[Uitgangssituatie/effect beleid]])</f>
        <v>1552320</v>
      </c>
      <c r="J137" s="398">
        <f>SUMIFS(uitkomst_doelgroep[QALY (€)],uitkomst_doelgroep[Digitale zorgtoepassing],B137,uitkomst_doelgroep[Jaar],D137,uitkomst_doelgroep[QALY (€)],"&gt;0",uitkomst_doelgroep[Uitgangssituatie/effect beleid],uitkomst_tech[[#This Row],[Uitgangssituatie/effect beleid]])</f>
        <v>0</v>
      </c>
      <c r="K137" s="398">
        <f>SUMIFS(uitkomst_doelgroep[Kosten (€)],uitkomst_doelgroep[Digitale zorgtoepassing],B137,uitkomst_doelgroep[Jaar],D137,uitkomst_doelgroep[Kosten (€)],"&gt;0",uitkomst_doelgroep[Uitgangssituatie/effect beleid],uitkomst_tech[[#This Row],[Uitgangssituatie/effect beleid]])</f>
        <v>0</v>
      </c>
      <c r="L137" s="398">
        <f>SUMIFS(uitkomst_doelgroep[Investering (cash flow) (€)],uitkomst_doelgroep[Digitale zorgtoepassing],B137,uitkomst_doelgroep[Jaar],D137,uitkomst_doelgroep[Investering (cash flow) (€)],"&gt;0",uitkomst_doelgroep[Uitgangssituatie/effect beleid],uitkomst_tech[[#This Row],[Uitgangssituatie/effect beleid]])</f>
        <v>0</v>
      </c>
    </row>
    <row r="138" spans="1:12" x14ac:dyDescent="0.5">
      <c r="A138" s="42" t="str">
        <f>INDEX(Technologieën[Veld],MATCH(B138,Technologieën[Digitale zorgtoepassing],0))</f>
        <v>Software - Behandeling</v>
      </c>
      <c r="B138" s="33" t="s">
        <v>585</v>
      </c>
      <c r="C138" s="33" t="s">
        <v>812</v>
      </c>
      <c r="D138" s="33">
        <v>2024</v>
      </c>
      <c r="E138" s="2">
        <v>53</v>
      </c>
      <c r="F138" s="397">
        <f>SUMIFS(uitkomst_doelgroep[Patiëntaantallen],uitkomst_doelgroep[Digitale zorgtoepassing],B138,uitkomst_doelgroep[Jaar],D138,uitkomst_doelgroep[Arbeidsbesparing (€)],"&gt;0",uitkomst_doelgroep[Uitgangssituatie/effect beleid],uitkomst_tech[[#This Row],[Uitgangssituatie/effect beleid]])</f>
        <v>140203.25</v>
      </c>
      <c r="G138" s="398">
        <f>SUMIFS(uitkomst_doelgroep[Arbeidsbesparing (€)],uitkomst_doelgroep[Digitale zorgtoepassing],B138,uitkomst_doelgroep[Jaar],D138,uitkomst_doelgroep[Arbeidsbesparing (€)],"&gt;0",uitkomst_doelgroep[Uitgangssituatie/effect beleid],uitkomst_tech[[#This Row],[Uitgangssituatie/effect beleid]])</f>
        <v>3546113.8356321845</v>
      </c>
      <c r="H138" s="398">
        <f>SUMIFS(uitkomst_doelgroep[Arbeidsbesparing (FTE)],uitkomst_doelgroep[Digitale zorgtoepassing],B138,uitkomst_doelgroep[Jaar],D138,uitkomst_doelgroep[Arbeidsbesparing (FTE)],"&gt;0",uitkomst_doelgroep[Uitgangssituatie/effect beleid],uitkomst_tech[[#This Row],[Uitgangssituatie/effect beleid]])</f>
        <v>18.692689196282462</v>
      </c>
      <c r="I138" s="398">
        <f>SUMIFS(uitkomst_doelgroep[Overige besparingen (€)],uitkomst_doelgroep[Digitale zorgtoepassing],B138,uitkomst_doelgroep[Jaar],D138,uitkomst_doelgroep[Overige besparingen (€)],"&gt;0",uitkomst_doelgroep[Uitgangssituatie/effect beleid],uitkomst_tech[[#This Row],[Uitgangssituatie/effect beleid]])</f>
        <v>2029658.4000000001</v>
      </c>
      <c r="J138" s="398">
        <f>SUMIFS(uitkomst_doelgroep[QALY (€)],uitkomst_doelgroep[Digitale zorgtoepassing],B138,uitkomst_doelgroep[Jaar],D138,uitkomst_doelgroep[QALY (€)],"&gt;0",uitkomst_doelgroep[Uitgangssituatie/effect beleid],uitkomst_tech[[#This Row],[Uitgangssituatie/effect beleid]])</f>
        <v>0</v>
      </c>
      <c r="K138" s="398">
        <f>SUMIFS(uitkomst_doelgroep[Kosten (€)],uitkomst_doelgroep[Digitale zorgtoepassing],B138,uitkomst_doelgroep[Jaar],D138,uitkomst_doelgroep[Kosten (€)],"&gt;0",uitkomst_doelgroep[Uitgangssituatie/effect beleid],uitkomst_tech[[#This Row],[Uitgangssituatie/effect beleid]])</f>
        <v>274926.5595558997</v>
      </c>
      <c r="L138" s="398">
        <f>SUMIFS(uitkomst_doelgroep[Investering (cash flow) (€)],uitkomst_doelgroep[Digitale zorgtoepassing],B138,uitkomst_doelgroep[Jaar],D138,uitkomst_doelgroep[Investering (cash flow) (€)],"&gt;0",uitkomst_doelgroep[Uitgangssituatie/effect beleid],uitkomst_tech[[#This Row],[Uitgangssituatie/effect beleid]])</f>
        <v>0</v>
      </c>
    </row>
    <row r="139" spans="1:12" x14ac:dyDescent="0.5">
      <c r="A139" s="42" t="str">
        <f>INDEX(Technologieën[Veld],MATCH(B139,Technologieën[Digitale zorgtoepassing],0))</f>
        <v>Software - Behandeling</v>
      </c>
      <c r="B139" s="33" t="s">
        <v>585</v>
      </c>
      <c r="C139" s="33" t="s">
        <v>812</v>
      </c>
      <c r="D139" s="33">
        <v>2025</v>
      </c>
      <c r="E139" s="2">
        <v>85</v>
      </c>
      <c r="F139" s="397">
        <f>SUMIFS(uitkomst_doelgroep[Patiëntaantallen],uitkomst_doelgroep[Digitale zorgtoepassing],B139,uitkomst_doelgroep[Jaar],D139,uitkomst_doelgroep[Arbeidsbesparing (€)],"&gt;0",uitkomst_doelgroep[Uitgangssituatie/effect beleid],uitkomst_tech[[#This Row],[Uitgangssituatie/effect beleid]])</f>
        <v>298295.0463625</v>
      </c>
      <c r="G139" s="398">
        <f>SUMIFS(uitkomst_doelgroep[Arbeidsbesparing (€)],uitkomst_doelgroep[Digitale zorgtoepassing],B139,uitkomst_doelgroep[Jaar],D139,uitkomst_doelgroep[Arbeidsbesparing (€)],"&gt;0",uitkomst_doelgroep[Uitgangssituatie/effect beleid],uitkomst_tech[[#This Row],[Uitgangssituatie/effect beleid]])</f>
        <v>4957262.1042595413</v>
      </c>
      <c r="H139" s="398">
        <f>SUMIFS(uitkomst_doelgroep[Arbeidsbesparing (FTE)],uitkomst_doelgroep[Digitale zorgtoepassing],B139,uitkomst_doelgroep[Jaar],D139,uitkomst_doelgroep[Arbeidsbesparing (FTE)],"&gt;0",uitkomst_doelgroep[Uitgangssituatie/effect beleid],uitkomst_tech[[#This Row],[Uitgangssituatie/effect beleid]])</f>
        <v>26.131298676403876</v>
      </c>
      <c r="I139" s="398">
        <f>SUMIFS(uitkomst_doelgroep[Overige besparingen (€)],uitkomst_doelgroep[Digitale zorgtoepassing],B139,uitkomst_doelgroep[Jaar],D139,uitkomst_doelgroep[Overige besparingen (€)],"&gt;0",uitkomst_doelgroep[Uitgangssituatie/effect beleid],uitkomst_tech[[#This Row],[Uitgangssituatie/effect beleid]])</f>
        <v>2511603.1155600003</v>
      </c>
      <c r="J139" s="398">
        <f>SUMIFS(uitkomst_doelgroep[QALY (€)],uitkomst_doelgroep[Digitale zorgtoepassing],B139,uitkomst_doelgroep[Jaar],D139,uitkomst_doelgroep[QALY (€)],"&gt;0",uitkomst_doelgroep[Uitgangssituatie/effect beleid],uitkomst_tech[[#This Row],[Uitgangssituatie/effect beleid]])</f>
        <v>0</v>
      </c>
      <c r="K139" s="398">
        <f>SUMIFS(uitkomst_doelgroep[Kosten (€)],uitkomst_doelgroep[Digitale zorgtoepassing],B139,uitkomst_doelgroep[Jaar],D139,uitkomst_doelgroep[Kosten (€)],"&gt;0",uitkomst_doelgroep[Uitgangssituatie/effect beleid],uitkomst_tech[[#This Row],[Uitgangssituatie/effect beleid]])</f>
        <v>652125.79926659411</v>
      </c>
      <c r="L139" s="398">
        <f>SUMIFS(uitkomst_doelgroep[Investering (cash flow) (€)],uitkomst_doelgroep[Digitale zorgtoepassing],B139,uitkomst_doelgroep[Jaar],D139,uitkomst_doelgroep[Investering (cash flow) (€)],"&gt;0",uitkomst_doelgroep[Uitgangssituatie/effect beleid],uitkomst_tech[[#This Row],[Uitgangssituatie/effect beleid]])</f>
        <v>0</v>
      </c>
    </row>
    <row r="140" spans="1:12" x14ac:dyDescent="0.5">
      <c r="A140" s="42" t="str">
        <f>INDEX(Technologieën[Veld],MATCH(B140,Technologieën[Digitale zorgtoepassing],0))</f>
        <v>Software - Behandeling</v>
      </c>
      <c r="B140" s="33" t="s">
        <v>585</v>
      </c>
      <c r="C140" s="33" t="s">
        <v>812</v>
      </c>
      <c r="D140" s="33">
        <v>2026</v>
      </c>
      <c r="E140" s="2">
        <v>117</v>
      </c>
      <c r="F140" s="397">
        <f>SUMIFS(uitkomst_doelgroep[Patiëntaantallen],uitkomst_doelgroep[Digitale zorgtoepassing],B140,uitkomst_doelgroep[Jaar],D140,uitkomst_doelgroep[Arbeidsbesparing (€)],"&gt;0",uitkomst_doelgroep[Uitgangssituatie/effect beleid],uitkomst_tech[[#This Row],[Uitgangssituatie/effect beleid]])</f>
        <v>508936.68412890774</v>
      </c>
      <c r="G140" s="398">
        <f>SUMIFS(uitkomst_doelgroep[Arbeidsbesparing (€)],uitkomst_doelgroep[Digitale zorgtoepassing],B140,uitkomst_doelgroep[Jaar],D140,uitkomst_doelgroep[Arbeidsbesparing (€)],"&gt;0",uitkomst_doelgroep[Uitgangssituatie/effect beleid],uitkomst_tech[[#This Row],[Uitgangssituatie/effect beleid]])</f>
        <v>6537935.6022219229</v>
      </c>
      <c r="H140" s="398">
        <f>SUMIFS(uitkomst_doelgroep[Arbeidsbesparing (FTE)],uitkomst_doelgroep[Digitale zorgtoepassing],B140,uitkomst_doelgroep[Jaar],D140,uitkomst_doelgroep[Arbeidsbesparing (FTE)],"&gt;0",uitkomst_doelgroep[Uitgangssituatie/effect beleid],uitkomst_tech[[#This Row],[Uitgangssituatie/effect beleid]])</f>
        <v>34.463529334459984</v>
      </c>
      <c r="I140" s="398">
        <f>SUMIFS(uitkomst_doelgroep[Overige besparingen (€)],uitkomst_doelgroep[Digitale zorgtoepassing],B140,uitkomst_doelgroep[Jaar],D140,uitkomst_doelgroep[Overige besparingen (€)],"&gt;0",uitkomst_doelgroep[Uitgangssituatie/effect beleid],uitkomst_tech[[#This Row],[Uitgangssituatie/effect beleid]])</f>
        <v>2944589.8976866016</v>
      </c>
      <c r="J140" s="398">
        <f>SUMIFS(uitkomst_doelgroep[QALY (€)],uitkomst_doelgroep[Digitale zorgtoepassing],B140,uitkomst_doelgroep[Jaar],D140,uitkomst_doelgroep[QALY (€)],"&gt;0",uitkomst_doelgroep[Uitgangssituatie/effect beleid],uitkomst_tech[[#This Row],[Uitgangssituatie/effect beleid]])</f>
        <v>0</v>
      </c>
      <c r="K140" s="398">
        <f>SUMIFS(uitkomst_doelgroep[Kosten (€)],uitkomst_doelgroep[Digitale zorgtoepassing],B140,uitkomst_doelgroep[Jaar],D140,uitkomst_doelgroep[Kosten (€)],"&gt;0",uitkomst_doelgroep[Uitgangssituatie/effect beleid],uitkomst_tech[[#This Row],[Uitgangssituatie/effect beleid]])</f>
        <v>1162485.4233769169</v>
      </c>
      <c r="L140" s="398">
        <f>SUMIFS(uitkomst_doelgroep[Investering (cash flow) (€)],uitkomst_doelgroep[Digitale zorgtoepassing],B140,uitkomst_doelgroep[Jaar],D140,uitkomst_doelgroep[Investering (cash flow) (€)],"&gt;0",uitkomst_doelgroep[Uitgangssituatie/effect beleid],uitkomst_tech[[#This Row],[Uitgangssituatie/effect beleid]])</f>
        <v>0</v>
      </c>
    </row>
    <row r="141" spans="1:12" x14ac:dyDescent="0.5">
      <c r="A141" s="42" t="str">
        <f>INDEX(Technologieën[Veld],MATCH(B141,Technologieën[Digitale zorgtoepassing],0))</f>
        <v>Software - Behandeling</v>
      </c>
      <c r="B141" s="33" t="s">
        <v>585</v>
      </c>
      <c r="C141" s="33" t="s">
        <v>812</v>
      </c>
      <c r="D141" s="33">
        <v>2027</v>
      </c>
      <c r="E141" s="2">
        <v>149</v>
      </c>
      <c r="F141" s="397">
        <f>SUMIFS(uitkomst_doelgroep[Patiëntaantallen],uitkomst_doelgroep[Digitale zorgtoepassing],B141,uitkomst_doelgroep[Jaar],D141,uitkomst_doelgroep[Arbeidsbesparing (€)],"&gt;0",uitkomst_doelgroep[Uitgangssituatie/effect beleid],uitkomst_tech[[#This Row],[Uitgangssituatie/effect beleid]])</f>
        <v>785053.35653395858</v>
      </c>
      <c r="G141" s="398">
        <f>SUMIFS(uitkomst_doelgroep[Arbeidsbesparing (€)],uitkomst_doelgroep[Digitale zorgtoepassing],B141,uitkomst_doelgroep[Jaar],D141,uitkomst_doelgroep[Arbeidsbesparing (€)],"&gt;0",uitkomst_doelgroep[Uitgangssituatie/effect beleid],uitkomst_tech[[#This Row],[Uitgangssituatie/effect beleid]])</f>
        <v>8288411.8745486746</v>
      </c>
      <c r="H141" s="398">
        <f>SUMIFS(uitkomst_doelgroep[Arbeidsbesparing (FTE)],uitkomst_doelgroep[Digitale zorgtoepassing],B141,uitkomst_doelgroep[Jaar],D141,uitkomst_doelgroep[Arbeidsbesparing (FTE)],"&gt;0",uitkomst_doelgroep[Uitgangssituatie/effect beleid],uitkomst_tech[[#This Row],[Uitgangssituatie/effect beleid]])</f>
        <v>43.690844198207927</v>
      </c>
      <c r="I141" s="398">
        <f>SUMIFS(uitkomst_doelgroep[Overige besparingen (€)],uitkomst_doelgroep[Digitale zorgtoepassing],B141,uitkomst_doelgroep[Jaar],D141,uitkomst_doelgroep[Overige besparingen (€)],"&gt;0",uitkomst_doelgroep[Uitgangssituatie/effect beleid],uitkomst_tech[[#This Row],[Uitgangssituatie/effect beleid]])</f>
        <v>3287655.9583826759</v>
      </c>
      <c r="J141" s="398">
        <f>SUMIFS(uitkomst_doelgroep[QALY (€)],uitkomst_doelgroep[Digitale zorgtoepassing],B141,uitkomst_doelgroep[Jaar],D141,uitkomst_doelgroep[QALY (€)],"&gt;0",uitkomst_doelgroep[Uitgangssituatie/effect beleid],uitkomst_tech[[#This Row],[Uitgangssituatie/effect beleid]])</f>
        <v>0</v>
      </c>
      <c r="K141" s="398">
        <f>SUMIFS(uitkomst_doelgroep[Kosten (€)],uitkomst_doelgroep[Digitale zorgtoepassing],B141,uitkomst_doelgroep[Jaar],D141,uitkomst_doelgroep[Kosten (€)],"&gt;0",uitkomst_doelgroep[Uitgangssituatie/effect beleid],uitkomst_tech[[#This Row],[Uitgangssituatie/effect beleid]])</f>
        <v>1839833.2918660338</v>
      </c>
      <c r="L141" s="398">
        <f>SUMIFS(uitkomst_doelgroep[Investering (cash flow) (€)],uitkomst_doelgroep[Digitale zorgtoepassing],B141,uitkomst_doelgroep[Jaar],D141,uitkomst_doelgroep[Investering (cash flow) (€)],"&gt;0",uitkomst_doelgroep[Uitgangssituatie/effect beleid],uitkomst_tech[[#This Row],[Uitgangssituatie/effect beleid]])</f>
        <v>0</v>
      </c>
    </row>
    <row r="142" spans="1:12" x14ac:dyDescent="0.5">
      <c r="A142" s="42" t="str">
        <f>INDEX(Technologieën[Veld],MATCH(B142,Technologieën[Digitale zorgtoepassing],0))</f>
        <v>Software - Behandeling</v>
      </c>
      <c r="B142" s="33" t="s">
        <v>585</v>
      </c>
      <c r="C142" s="33" t="s">
        <v>812</v>
      </c>
      <c r="D142" s="33">
        <v>2028</v>
      </c>
      <c r="E142" s="2">
        <v>181</v>
      </c>
      <c r="F142" s="397">
        <f>SUMIFS(uitkomst_doelgroep[Patiëntaantallen],uitkomst_doelgroep[Digitale zorgtoepassing],B142,uitkomst_doelgroep[Jaar],D142,uitkomst_doelgroep[Arbeidsbesparing (€)],"&gt;0",uitkomst_doelgroep[Uitgangssituatie/effect beleid],uitkomst_tech[[#This Row],[Uitgangssituatie/effect beleid]])</f>
        <v>1138958.2749450328</v>
      </c>
      <c r="G142" s="398">
        <f>SUMIFS(uitkomst_doelgroep[Arbeidsbesparing (€)],uitkomst_doelgroep[Digitale zorgtoepassing],B142,uitkomst_doelgroep[Jaar],D142,uitkomst_doelgroep[Arbeidsbesparing (€)],"&gt;0",uitkomst_doelgroep[Uitgangssituatie/effect beleid],uitkomst_tech[[#This Row],[Uitgangssituatie/effect beleid]])</f>
        <v>10247373.787254076</v>
      </c>
      <c r="H142" s="398">
        <f>SUMIFS(uitkomst_doelgroep[Arbeidsbesparing (FTE)],uitkomst_doelgroep[Digitale zorgtoepassing],B142,uitkomst_doelgroep[Jaar],D142,uitkomst_doelgroep[Arbeidsbesparing (FTE)],"&gt;0",uitkomst_doelgroep[Uitgangssituatie/effect beleid],uitkomst_tech[[#This Row],[Uitgangssituatie/effect beleid]])</f>
        <v>54.017152906520714</v>
      </c>
      <c r="I142" s="398">
        <f>SUMIFS(uitkomst_doelgroep[Overige besparingen (€)],uitkomst_doelgroep[Digitale zorgtoepassing],B142,uitkomst_doelgroep[Jaar],D142,uitkomst_doelgroep[Overige besparingen (€)],"&gt;0",uitkomst_doelgroep[Uitgangssituatie/effect beleid],uitkomst_tech[[#This Row],[Uitgangssituatie/effect beleid]])</f>
        <v>3528603.9405226428</v>
      </c>
      <c r="J142" s="398">
        <f>SUMIFS(uitkomst_doelgroep[QALY (€)],uitkomst_doelgroep[Digitale zorgtoepassing],B142,uitkomst_doelgroep[Jaar],D142,uitkomst_doelgroep[QALY (€)],"&gt;0",uitkomst_doelgroep[Uitgangssituatie/effect beleid],uitkomst_tech[[#This Row],[Uitgangssituatie/effect beleid]])</f>
        <v>0</v>
      </c>
      <c r="K142" s="398">
        <f>SUMIFS(uitkomst_doelgroep[Kosten (€)],uitkomst_doelgroep[Digitale zorgtoepassing],B142,uitkomst_doelgroep[Jaar],D142,uitkomst_doelgroep[Kosten (€)],"&gt;0",uitkomst_doelgroep[Uitgangssituatie/effect beleid],uitkomst_tech[[#This Row],[Uitgangssituatie/effect beleid]])</f>
        <v>2715397.8618991519</v>
      </c>
      <c r="L142" s="398">
        <f>SUMIFS(uitkomst_doelgroep[Investering (cash flow) (€)],uitkomst_doelgroep[Digitale zorgtoepassing],B142,uitkomst_doelgroep[Jaar],D142,uitkomst_doelgroep[Investering (cash flow) (€)],"&gt;0",uitkomst_doelgroep[Uitgangssituatie/effect beleid],uitkomst_tech[[#This Row],[Uitgangssituatie/effect beleid]])</f>
        <v>0</v>
      </c>
    </row>
    <row r="143" spans="1:12" x14ac:dyDescent="0.5">
      <c r="A143" s="42" t="str">
        <f>INDEX(Technologieën[Veld],MATCH(B143,Technologieën[Digitale zorgtoepassing],0))</f>
        <v>Software - Behandeling</v>
      </c>
      <c r="B143" s="33" t="s">
        <v>585</v>
      </c>
      <c r="C143" s="33" t="s">
        <v>812</v>
      </c>
      <c r="D143" s="33">
        <v>2029</v>
      </c>
      <c r="E143" s="2">
        <v>213</v>
      </c>
      <c r="F143" s="397">
        <f>SUMIFS(uitkomst_doelgroep[Patiëntaantallen],uitkomst_doelgroep[Digitale zorgtoepassing],B143,uitkomst_doelgroep[Jaar],D143,uitkomst_doelgroep[Arbeidsbesparing (€)],"&gt;0",uitkomst_doelgroep[Uitgangssituatie/effect beleid],uitkomst_tech[[#This Row],[Uitgangssituatie/effect beleid]])</f>
        <v>1578239.2069694879</v>
      </c>
      <c r="G143" s="398">
        <f>SUMIFS(uitkomst_doelgroep[Arbeidsbesparing (€)],uitkomst_doelgroep[Digitale zorgtoepassing],B143,uitkomst_doelgroep[Jaar],D143,uitkomst_doelgroep[Arbeidsbesparing (€)],"&gt;0",uitkomst_doelgroep[Uitgangssituatie/effect beleid],uitkomst_tech[[#This Row],[Uitgangssituatie/effect beleid]])</f>
        <v>12469587.703363996</v>
      </c>
      <c r="H143" s="398">
        <f>SUMIFS(uitkomst_doelgroep[Arbeidsbesparing (FTE)],uitkomst_doelgroep[Digitale zorgtoepassing],B143,uitkomst_doelgroep[Jaar],D143,uitkomst_doelgroep[Arbeidsbesparing (FTE)],"&gt;0",uitkomst_doelgroep[Uitgangssituatie/effect beleid],uitkomst_tech[[#This Row],[Uitgangssituatie/effect beleid]])</f>
        <v>65.731146305181866</v>
      </c>
      <c r="I143" s="398">
        <f>SUMIFS(uitkomst_doelgroep[Overige besparingen (€)],uitkomst_doelgroep[Digitale zorgtoepassing],B143,uitkomst_doelgroep[Jaar],D143,uitkomst_doelgroep[Overige besparingen (€)],"&gt;0",uitkomst_doelgroep[Uitgangssituatie/effect beleid],uitkomst_tech[[#This Row],[Uitgangssituatie/effect beleid]])</f>
        <v>3681513.7125230678</v>
      </c>
      <c r="J143" s="398">
        <f>SUMIFS(uitkomst_doelgroep[QALY (€)],uitkomst_doelgroep[Digitale zorgtoepassing],B143,uitkomst_doelgroep[Jaar],D143,uitkomst_doelgroep[QALY (€)],"&gt;0",uitkomst_doelgroep[Uitgangssituatie/effect beleid],uitkomst_tech[[#This Row],[Uitgangssituatie/effect beleid]])</f>
        <v>0</v>
      </c>
      <c r="K143" s="398">
        <f>SUMIFS(uitkomst_doelgroep[Kosten (€)],uitkomst_doelgroep[Digitale zorgtoepassing],B143,uitkomst_doelgroep[Jaar],D143,uitkomst_doelgroep[Kosten (€)],"&gt;0",uitkomst_doelgroep[Uitgangssituatie/effect beleid],uitkomst_tech[[#This Row],[Uitgangssituatie/effect beleid]])</f>
        <v>3807619.8218511199</v>
      </c>
      <c r="L143" s="398">
        <f>SUMIFS(uitkomst_doelgroep[Investering (cash flow) (€)],uitkomst_doelgroep[Digitale zorgtoepassing],B143,uitkomst_doelgroep[Jaar],D143,uitkomst_doelgroep[Investering (cash flow) (€)],"&gt;0",uitkomst_doelgroep[Uitgangssituatie/effect beleid],uitkomst_tech[[#This Row],[Uitgangssituatie/effect beleid]])</f>
        <v>0</v>
      </c>
    </row>
    <row r="144" spans="1:12" x14ac:dyDescent="0.5">
      <c r="A144" s="42" t="str">
        <f>INDEX(Technologieën[Veld],MATCH(B144,Technologieën[Digitale zorgtoepassing],0))</f>
        <v>Software - Behandeling</v>
      </c>
      <c r="B144" s="33" t="s">
        <v>585</v>
      </c>
      <c r="C144" s="33" t="s">
        <v>812</v>
      </c>
      <c r="D144" s="33">
        <v>2030</v>
      </c>
      <c r="E144" s="2">
        <v>245</v>
      </c>
      <c r="F144" s="397">
        <f>SUMIFS(uitkomst_doelgroep[Patiëntaantallen],uitkomst_doelgroep[Digitale zorgtoepassing],B144,uitkomst_doelgroep[Jaar],D144,uitkomst_doelgroep[Arbeidsbesparing (€)],"&gt;0",uitkomst_doelgroep[Uitgangssituatie/effect beleid],uitkomst_tech[[#This Row],[Uitgangssituatie/effect beleid]])</f>
        <v>2099698.3597054197</v>
      </c>
      <c r="G144" s="398">
        <f>SUMIFS(uitkomst_doelgroep[Arbeidsbesparing (€)],uitkomst_doelgroep[Digitale zorgtoepassing],B144,uitkomst_doelgroep[Jaar],D144,uitkomst_doelgroep[Arbeidsbesparing (€)],"&gt;0",uitkomst_doelgroep[Uitgangssituatie/effect beleid],uitkomst_tech[[#This Row],[Uitgangssituatie/effect beleid]])</f>
        <v>14976538.279278021</v>
      </c>
      <c r="H144" s="398">
        <f>SUMIFS(uitkomst_doelgroep[Arbeidsbesparing (FTE)],uitkomst_doelgroep[Digitale zorgtoepassing],B144,uitkomst_doelgroep[Jaar],D144,uitkomst_doelgroep[Arbeidsbesparing (FTE)],"&gt;0",uitkomst_doelgroep[Uitgangssituatie/effect beleid],uitkomst_tech[[#This Row],[Uitgangssituatie/effect beleid]])</f>
        <v>78.946076822957522</v>
      </c>
      <c r="I144" s="398">
        <f>SUMIFS(uitkomst_doelgroep[Overige besparingen (€)],uitkomst_doelgroep[Digitale zorgtoepassing],B144,uitkomst_doelgroep[Jaar],D144,uitkomst_doelgroep[Overige besparingen (€)],"&gt;0",uitkomst_doelgroep[Uitgangssituatie/effect beleid],uitkomst_tech[[#This Row],[Uitgangssituatie/effect beleid]])</f>
        <v>3771569.5246339403</v>
      </c>
      <c r="J144" s="398">
        <f>SUMIFS(uitkomst_doelgroep[QALY (€)],uitkomst_doelgroep[Digitale zorgtoepassing],B144,uitkomst_doelgroep[Jaar],D144,uitkomst_doelgroep[QALY (€)],"&gt;0",uitkomst_doelgroep[Uitgangssituatie/effect beleid],uitkomst_tech[[#This Row],[Uitgangssituatie/effect beleid]])</f>
        <v>0</v>
      </c>
      <c r="K144" s="398">
        <f>SUMIFS(uitkomst_doelgroep[Kosten (€)],uitkomst_doelgroep[Digitale zorgtoepassing],B144,uitkomst_doelgroep[Jaar],D144,uitkomst_doelgroep[Kosten (€)],"&gt;0",uitkomst_doelgroep[Uitgangssituatie/effect beleid],uitkomst_tech[[#This Row],[Uitgangssituatie/effect beleid]])</f>
        <v>5107570.1605797848</v>
      </c>
      <c r="L144" s="398">
        <f>SUMIFS(uitkomst_doelgroep[Investering (cash flow) (€)],uitkomst_doelgroep[Digitale zorgtoepassing],B144,uitkomst_doelgroep[Jaar],D144,uitkomst_doelgroep[Investering (cash flow) (€)],"&gt;0",uitkomst_doelgroep[Uitgangssituatie/effect beleid],uitkomst_tech[[#This Row],[Uitgangssituatie/effect beleid]])</f>
        <v>0</v>
      </c>
    </row>
    <row r="145" spans="1:12" x14ac:dyDescent="0.5">
      <c r="A145" s="42" t="str">
        <f>INDEX(Technologieën[Veld],MATCH(B145,Technologieën[Digitale zorgtoepassing],0))</f>
        <v>Software - Behandeling</v>
      </c>
      <c r="B145" s="33" t="s">
        <v>585</v>
      </c>
      <c r="C145" s="33" t="s">
        <v>812</v>
      </c>
      <c r="D145" s="33">
        <v>2031</v>
      </c>
      <c r="E145" s="2">
        <v>277</v>
      </c>
      <c r="F145" s="397">
        <f>SUMIFS(uitkomst_doelgroep[Patiëntaantallen],uitkomst_doelgroep[Digitale zorgtoepassing],B145,uitkomst_doelgroep[Jaar],D145,uitkomst_doelgroep[Arbeidsbesparing (€)],"&gt;0",uitkomst_doelgroep[Uitgangssituatie/effect beleid],uitkomst_tech[[#This Row],[Uitgangssituatie/effect beleid]])</f>
        <v>2683284.7164417827</v>
      </c>
      <c r="G145" s="398">
        <f>SUMIFS(uitkomst_doelgroep[Arbeidsbesparing (€)],uitkomst_doelgroep[Digitale zorgtoepassing],B145,uitkomst_doelgroep[Jaar],D145,uitkomst_doelgroep[Arbeidsbesparing (€)],"&gt;0",uitkomst_doelgroep[Uitgangssituatie/effect beleid],uitkomst_tech[[#This Row],[Uitgangssituatie/effect beleid]])</f>
        <v>17710155.68843146</v>
      </c>
      <c r="H145" s="398">
        <f>SUMIFS(uitkomst_doelgroep[Arbeidsbesparing (FTE)],uitkomst_doelgroep[Digitale zorgtoepassing],B145,uitkomst_doelgroep[Jaar],D145,uitkomst_doelgroep[Arbeidsbesparing (FTE)],"&gt;0",uitkomst_doelgroep[Uitgangssituatie/effect beleid],uitkomst_tech[[#This Row],[Uitgangssituatie/effect beleid]])</f>
        <v>93.355840011437479</v>
      </c>
      <c r="I145" s="398">
        <f>SUMIFS(uitkomst_doelgroep[Overige besparingen (€)],uitkomst_doelgroep[Digitale zorgtoepassing],B145,uitkomst_doelgroep[Jaar],D145,uitkomst_doelgroep[Overige besparingen (€)],"&gt;0",uitkomst_doelgroep[Uitgangssituatie/effect beleid],uitkomst_tech[[#This Row],[Uitgangssituatie/effect beleid]])</f>
        <v>3822070.5012736474</v>
      </c>
      <c r="J145" s="398">
        <f>SUMIFS(uitkomst_doelgroep[QALY (€)],uitkomst_doelgroep[Digitale zorgtoepassing],B145,uitkomst_doelgroep[Jaar],D145,uitkomst_doelgroep[QALY (€)],"&gt;0",uitkomst_doelgroep[Uitgangssituatie/effect beleid],uitkomst_tech[[#This Row],[Uitgangssituatie/effect beleid]])</f>
        <v>0</v>
      </c>
      <c r="K145" s="398">
        <f>SUMIFS(uitkomst_doelgroep[Kosten (€)],uitkomst_doelgroep[Digitale zorgtoepassing],B145,uitkomst_doelgroep[Jaar],D145,uitkomst_doelgroep[Kosten (€)],"&gt;0",uitkomst_doelgroep[Uitgangssituatie/effect beleid],uitkomst_tech[[#This Row],[Uitgangssituatie/effect beleid]])</f>
        <v>6564268.1717536123</v>
      </c>
      <c r="L145" s="398">
        <f>SUMIFS(uitkomst_doelgroep[Investering (cash flow) (€)],uitkomst_doelgroep[Digitale zorgtoepassing],B145,uitkomst_doelgroep[Jaar],D145,uitkomst_doelgroep[Investering (cash flow) (€)],"&gt;0",uitkomst_doelgroep[Uitgangssituatie/effect beleid],uitkomst_tech[[#This Row],[Uitgangssituatie/effect beleid]])</f>
        <v>0</v>
      </c>
    </row>
    <row r="146" spans="1:12" x14ac:dyDescent="0.5">
      <c r="A146" s="42" t="str">
        <f>INDEX(Technologieën[Veld],MATCH(B146,Technologieën[Digitale zorgtoepassing],0))</f>
        <v>Software - Behandeling</v>
      </c>
      <c r="B146" s="33" t="s">
        <v>585</v>
      </c>
      <c r="C146" s="33" t="s">
        <v>812</v>
      </c>
      <c r="D146" s="33">
        <v>2032</v>
      </c>
      <c r="E146" s="2">
        <v>309</v>
      </c>
      <c r="F146" s="397">
        <f>SUMIFS(uitkomst_doelgroep[Patiëntaantallen],uitkomst_doelgroep[Digitale zorgtoepassing],B146,uitkomst_doelgroep[Jaar],D146,uitkomst_doelgroep[Arbeidsbesparing (€)],"&gt;0",uitkomst_doelgroep[Uitgangssituatie/effect beleid],uitkomst_tech[[#This Row],[Uitgangssituatie/effect beleid]])</f>
        <v>3290054.8223299207</v>
      </c>
      <c r="G146" s="398">
        <f>SUMIFS(uitkomst_doelgroep[Arbeidsbesparing (€)],uitkomst_doelgroep[Digitale zorgtoepassing],B146,uitkomst_doelgroep[Jaar],D146,uitkomst_doelgroep[Arbeidsbesparing (€)],"&gt;0",uitkomst_doelgroep[Uitgangssituatie/effect beleid],uitkomst_tech[[#This Row],[Uitgangssituatie/effect beleid]])</f>
        <v>20516550.999016471</v>
      </c>
      <c r="H146" s="398">
        <f>SUMIFS(uitkomst_doelgroep[Arbeidsbesparing (FTE)],uitkomst_doelgroep[Digitale zorgtoepassing],B146,uitkomst_doelgroep[Jaar],D146,uitkomst_doelgroep[Arbeidsbesparing (FTE)],"&gt;0",uitkomst_doelgroep[Uitgangssituatie/effect beleid],uitkomst_tech[[#This Row],[Uitgangssituatie/effect beleid]])</f>
        <v>108.1492385694728</v>
      </c>
      <c r="I146" s="398">
        <f>SUMIFS(uitkomst_doelgroep[Overige besparingen (€)],uitkomst_doelgroep[Digitale zorgtoepassing],B146,uitkomst_doelgroep[Jaar],D146,uitkomst_doelgroep[Overige besparingen (€)],"&gt;0",uitkomst_doelgroep[Uitgangssituatie/effect beleid],uitkomst_tech[[#This Row],[Uitgangssituatie/effect beleid]])</f>
        <v>3849567.0648824112</v>
      </c>
      <c r="J146" s="398">
        <f>SUMIFS(uitkomst_doelgroep[QALY (€)],uitkomst_doelgroep[Digitale zorgtoepassing],B146,uitkomst_doelgroep[Jaar],D146,uitkomst_doelgroep[QALY (€)],"&gt;0",uitkomst_doelgroep[Uitgangssituatie/effect beleid],uitkomst_tech[[#This Row],[Uitgangssituatie/effect beleid]])</f>
        <v>0</v>
      </c>
      <c r="K146" s="398">
        <f>SUMIFS(uitkomst_doelgroep[Kosten (€)],uitkomst_doelgroep[Digitale zorgtoepassing],B146,uitkomst_doelgroep[Jaar],D146,uitkomst_doelgroep[Kosten (€)],"&gt;0",uitkomst_doelgroep[Uitgangssituatie/effect beleid],uitkomst_tech[[#This Row],[Uitgangssituatie/effect beleid]])</f>
        <v>8079765.667784743</v>
      </c>
      <c r="L146" s="398">
        <f>SUMIFS(uitkomst_doelgroep[Investering (cash flow) (€)],uitkomst_doelgroep[Digitale zorgtoepassing],B146,uitkomst_doelgroep[Jaar],D146,uitkomst_doelgroep[Investering (cash flow) (€)],"&gt;0",uitkomst_doelgroep[Uitgangssituatie/effect beleid],uitkomst_tech[[#This Row],[Uitgangssituatie/effect beleid]])</f>
        <v>0</v>
      </c>
    </row>
    <row r="147" spans="1:12" x14ac:dyDescent="0.5">
      <c r="A147" s="42" t="str">
        <f>INDEX(Technologieën[Veld],MATCH(B147,Technologieën[Digitale zorgtoepassing],0))</f>
        <v>Software - Behandeling</v>
      </c>
      <c r="B147" s="33" t="s">
        <v>585</v>
      </c>
      <c r="C147" s="33" t="s">
        <v>812</v>
      </c>
      <c r="D147" s="33">
        <v>2033</v>
      </c>
      <c r="E147" s="2">
        <v>341</v>
      </c>
      <c r="F147" s="397">
        <f>SUMIFS(uitkomst_doelgroep[Patiëntaantallen],uitkomst_doelgroep[Digitale zorgtoepassing],B147,uitkomst_doelgroep[Jaar],D147,uitkomst_doelgroep[Arbeidsbesparing (€)],"&gt;0",uitkomst_doelgroep[Uitgangssituatie/effect beleid],uitkomst_tech[[#This Row],[Uitgangssituatie/effect beleid]])</f>
        <v>3868668.2258248026</v>
      </c>
      <c r="G147" s="398">
        <f>SUMIFS(uitkomst_doelgroep[Arbeidsbesparing (€)],uitkomst_doelgroep[Digitale zorgtoepassing],B147,uitkomst_doelgroep[Jaar],D147,uitkomst_doelgroep[Arbeidsbesparing (€)],"&gt;0",uitkomst_doelgroep[Uitgangssituatie/effect beleid],uitkomst_tech[[#This Row],[Uitgangssituatie/effect beleid]])</f>
        <v>23176250.835577033</v>
      </c>
      <c r="H147" s="398">
        <f>SUMIFS(uitkomst_doelgroep[Arbeidsbesparing (FTE)],uitkomst_doelgroep[Digitale zorgtoepassing],B147,uitkomst_doelgroep[Jaar],D147,uitkomst_doelgroep[Arbeidsbesparing (FTE)],"&gt;0",uitkomst_doelgroep[Uitgangssituatie/effect beleid],uitkomst_tech[[#This Row],[Uitgangssituatie/effect beleid]])</f>
        <v>122.16935882073555</v>
      </c>
      <c r="I147" s="398">
        <f>SUMIFS(uitkomst_doelgroep[Overige besparingen (€)],uitkomst_doelgroep[Digitale zorgtoepassing],B147,uitkomst_doelgroep[Jaar],D147,uitkomst_doelgroep[Overige besparingen (€)],"&gt;0",uitkomst_doelgroep[Uitgangssituatie/effect beleid],uitkomst_tech[[#This Row],[Uitgangssituatie/effect beleid]])</f>
        <v>3864289.5949357077</v>
      </c>
      <c r="J147" s="398">
        <f>SUMIFS(uitkomst_doelgroep[QALY (€)],uitkomst_doelgroep[Digitale zorgtoepassing],B147,uitkomst_doelgroep[Jaar],D147,uitkomst_doelgroep[QALY (€)],"&gt;0",uitkomst_doelgroep[Uitgangssituatie/effect beleid],uitkomst_tech[[#This Row],[Uitgangssituatie/effect beleid]])</f>
        <v>0</v>
      </c>
      <c r="K147" s="398">
        <f>SUMIFS(uitkomst_doelgroep[Kosten (€)],uitkomst_doelgroep[Digitale zorgtoepassing],B147,uitkomst_doelgroep[Jaar],D147,uitkomst_doelgroep[Kosten (€)],"&gt;0",uitkomst_doelgroep[Uitgangssituatie/effect beleid],uitkomst_tech[[#This Row],[Uitgangssituatie/effect beleid]])</f>
        <v>9525365.3039358165</v>
      </c>
      <c r="L147" s="398">
        <f>SUMIFS(uitkomst_doelgroep[Investering (cash flow) (€)],uitkomst_doelgroep[Digitale zorgtoepassing],B147,uitkomst_doelgroep[Jaar],D147,uitkomst_doelgroep[Investering (cash flow) (€)],"&gt;0",uitkomst_doelgroep[Uitgangssituatie/effect beleid],uitkomst_tech[[#This Row],[Uitgangssituatie/effect beleid]])</f>
        <v>0</v>
      </c>
    </row>
    <row r="148" spans="1:12" x14ac:dyDescent="0.5">
      <c r="A148" s="42" t="str">
        <f>INDEX(Technologieën[Veld],MATCH(B148,Technologieën[Digitale zorgtoepassing],0))</f>
        <v>Digitale hulpmiddelen - Verpleging</v>
      </c>
      <c r="B148" s="33" t="s">
        <v>58</v>
      </c>
      <c r="C148" s="33" t="s">
        <v>812</v>
      </c>
      <c r="D148" s="33">
        <v>2023</v>
      </c>
      <c r="E148" s="2">
        <v>4</v>
      </c>
      <c r="F148" s="397">
        <f>SUMIFS(uitkomst_doelgroep[Patiëntaantallen],uitkomst_doelgroep[Digitale zorgtoepassing],B148,uitkomst_doelgroep[Jaar],D148,uitkomst_doelgroep[Arbeidsbesparing (€)],"&gt;0",uitkomst_doelgroep[Uitgangssituatie/effect beleid],uitkomst_tech[[#This Row],[Uitgangssituatie/effect beleid]])</f>
        <v>60000</v>
      </c>
      <c r="G148" s="398">
        <f>SUMIFS(uitkomst_doelgroep[Arbeidsbesparing (€)],uitkomst_doelgroep[Digitale zorgtoepassing],B148,uitkomst_doelgroep[Jaar],D148,uitkomst_doelgroep[Arbeidsbesparing (€)],"&gt;0",uitkomst_doelgroep[Uitgangssituatie/effect beleid],uitkomst_tech[[#This Row],[Uitgangssituatie/effect beleid]])</f>
        <v>7429470.1149425283</v>
      </c>
      <c r="H148" s="398">
        <f>SUMIFS(uitkomst_doelgroep[Arbeidsbesparing (FTE)],uitkomst_doelgroep[Digitale zorgtoepassing],B148,uitkomst_doelgroep[Jaar],D148,uitkomst_doelgroep[Arbeidsbesparing (FTE)],"&gt;0",uitkomst_doelgroep[Uitgangssituatie/effect beleid],uitkomst_tech[[#This Row],[Uitgangssituatie/effect beleid]])</f>
        <v>175</v>
      </c>
      <c r="I148" s="398">
        <f>SUMIFS(uitkomst_doelgroep[Overige besparingen (€)],uitkomst_doelgroep[Digitale zorgtoepassing],B148,uitkomst_doelgroep[Jaar],D148,uitkomst_doelgroep[Overige besparingen (€)],"&gt;0",uitkomst_doelgroep[Uitgangssituatie/effect beleid],uitkomst_tech[[#This Row],[Uitgangssituatie/effect beleid]])</f>
        <v>4542963.5409161095</v>
      </c>
      <c r="J148" s="398">
        <f>SUMIFS(uitkomst_doelgroep[QALY (€)],uitkomst_doelgroep[Digitale zorgtoepassing],B148,uitkomst_doelgroep[Jaar],D148,uitkomst_doelgroep[QALY (€)],"&gt;0",uitkomst_doelgroep[Uitgangssituatie/effect beleid],uitkomst_tech[[#This Row],[Uitgangssituatie/effect beleid]])</f>
        <v>0</v>
      </c>
      <c r="K148" s="398">
        <f>SUMIFS(uitkomst_doelgroep[Kosten (€)],uitkomst_doelgroep[Digitale zorgtoepassing],B148,uitkomst_doelgroep[Jaar],D148,uitkomst_doelgroep[Kosten (€)],"&gt;0",uitkomst_doelgroep[Uitgangssituatie/effect beleid],uitkomst_tech[[#This Row],[Uitgangssituatie/effect beleid]])</f>
        <v>11484000</v>
      </c>
      <c r="L148" s="398">
        <f>SUMIFS(uitkomst_doelgroep[Investering (cash flow) (€)],uitkomst_doelgroep[Digitale zorgtoepassing],B148,uitkomst_doelgroep[Jaar],D148,uitkomst_doelgroep[Investering (cash flow) (€)],"&gt;0",uitkomst_doelgroep[Uitgangssituatie/effect beleid],uitkomst_tech[[#This Row],[Uitgangssituatie/effect beleid]])</f>
        <v>1475077.5</v>
      </c>
    </row>
    <row r="149" spans="1:12" x14ac:dyDescent="0.5">
      <c r="A149" s="42" t="str">
        <f>INDEX(Technologieën[Veld],MATCH(B149,Technologieën[Digitale zorgtoepassing],0))</f>
        <v>Digitale hulpmiddelen - Verpleging</v>
      </c>
      <c r="B149" s="33" t="s">
        <v>58</v>
      </c>
      <c r="C149" s="33" t="s">
        <v>812</v>
      </c>
      <c r="D149" s="33">
        <v>2024</v>
      </c>
      <c r="E149" s="2">
        <v>36</v>
      </c>
      <c r="F149" s="397">
        <f>SUMIFS(uitkomst_doelgroep[Patiëntaantallen],uitkomst_doelgroep[Digitale zorgtoepassing],B149,uitkomst_doelgroep[Jaar],D149,uitkomst_doelgroep[Arbeidsbesparing (€)],"&gt;0",uitkomst_doelgroep[Uitgangssituatie/effect beleid],uitkomst_tech[[#This Row],[Uitgangssituatie/effect beleid]])</f>
        <v>78450</v>
      </c>
      <c r="G149" s="398">
        <f>SUMIFS(uitkomst_doelgroep[Arbeidsbesparing (€)],uitkomst_doelgroep[Digitale zorgtoepassing],B149,uitkomst_doelgroep[Jaar],D149,uitkomst_doelgroep[Arbeidsbesparing (€)],"&gt;0",uitkomst_doelgroep[Uitgangssituatie/effect beleid],uitkomst_tech[[#This Row],[Uitgangssituatie/effect beleid]])</f>
        <v>9714032.1752873566</v>
      </c>
      <c r="H149" s="398">
        <f>SUMIFS(uitkomst_doelgroep[Arbeidsbesparing (FTE)],uitkomst_doelgroep[Digitale zorgtoepassing],B149,uitkomst_doelgroep[Jaar],D149,uitkomst_doelgroep[Arbeidsbesparing (FTE)],"&gt;0",uitkomst_doelgroep[Uitgangssituatie/effect beleid],uitkomst_tech[[#This Row],[Uitgangssituatie/effect beleid]])</f>
        <v>228.8125</v>
      </c>
      <c r="I149" s="398">
        <f>SUMIFS(uitkomst_doelgroep[Overige besparingen (€)],uitkomst_doelgroep[Digitale zorgtoepassing],B149,uitkomst_doelgroep[Jaar],D149,uitkomst_doelgroep[Overige besparingen (€)],"&gt;0",uitkomst_doelgroep[Uitgangssituatie/effect beleid],uitkomst_tech[[#This Row],[Uitgangssituatie/effect beleid]])</f>
        <v>5939924.8297478128</v>
      </c>
      <c r="J149" s="398">
        <f>SUMIFS(uitkomst_doelgroep[QALY (€)],uitkomst_doelgroep[Digitale zorgtoepassing],B149,uitkomst_doelgroep[Jaar],D149,uitkomst_doelgroep[QALY (€)],"&gt;0",uitkomst_doelgroep[Uitgangssituatie/effect beleid],uitkomst_tech[[#This Row],[Uitgangssituatie/effect beleid]])</f>
        <v>0</v>
      </c>
      <c r="K149" s="398">
        <f>SUMIFS(uitkomst_doelgroep[Kosten (€)],uitkomst_doelgroep[Digitale zorgtoepassing],B149,uitkomst_doelgroep[Jaar],D149,uitkomst_doelgroep[Kosten (€)],"&gt;0",uitkomst_doelgroep[Uitgangssituatie/effect beleid],uitkomst_tech[[#This Row],[Uitgangssituatie/effect beleid]])</f>
        <v>15015329.999999998</v>
      </c>
      <c r="L149" s="398">
        <f>SUMIFS(uitkomst_doelgroep[Investering (cash flow) (€)],uitkomst_doelgroep[Digitale zorgtoepassing],B149,uitkomst_doelgroep[Jaar],D149,uitkomst_doelgroep[Investering (cash flow) (€)],"&gt;0",uitkomst_doelgroep[Uitgangssituatie/effect beleid],uitkomst_tech[[#This Row],[Uitgangssituatie/effect beleid]])</f>
        <v>1489311.9978750001</v>
      </c>
    </row>
    <row r="150" spans="1:12" x14ac:dyDescent="0.5">
      <c r="A150" s="42" t="str">
        <f>INDEX(Technologieën[Veld],MATCH(B150,Technologieën[Digitale zorgtoepassing],0))</f>
        <v>Digitale hulpmiddelen - Verpleging</v>
      </c>
      <c r="B150" s="33" t="s">
        <v>58</v>
      </c>
      <c r="C150" s="33" t="s">
        <v>812</v>
      </c>
      <c r="D150" s="33">
        <v>2025</v>
      </c>
      <c r="E150" s="2">
        <v>68</v>
      </c>
      <c r="F150" s="397">
        <f>SUMIFS(uitkomst_doelgroep[Patiëntaantallen],uitkomst_doelgroep[Digitale zorgtoepassing],B150,uitkomst_doelgroep[Jaar],D150,uitkomst_doelgroep[Arbeidsbesparing (€)],"&gt;0",uitkomst_doelgroep[Uitgangssituatie/effect beleid],uitkomst_tech[[#This Row],[Uitgangssituatie/effect beleid]])</f>
        <v>97078.04250000001</v>
      </c>
      <c r="G150" s="398">
        <f>SUMIFS(uitkomst_doelgroep[Arbeidsbesparing (€)],uitkomst_doelgroep[Digitale zorgtoepassing],B150,uitkomst_doelgroep[Jaar],D150,uitkomst_doelgroep[Arbeidsbesparing (€)],"&gt;0",uitkomst_doelgroep[Uitgangssituatie/effect beleid],uitkomst_tech[[#This Row],[Uitgangssituatie/effect beleid]])</f>
        <v>12020640.259514511</v>
      </c>
      <c r="H150" s="398">
        <f>SUMIFS(uitkomst_doelgroep[Arbeidsbesparing (FTE)],uitkomst_doelgroep[Digitale zorgtoepassing],B150,uitkomst_doelgroep[Jaar],D150,uitkomst_doelgroep[Arbeidsbesparing (FTE)],"&gt;0",uitkomst_doelgroep[Uitgangssituatie/effect beleid],uitkomst_tech[[#This Row],[Uitgangssituatie/effect beleid]])</f>
        <v>283.144290625</v>
      </c>
      <c r="I150" s="398">
        <f>SUMIFS(uitkomst_doelgroep[Overige besparingen (€)],uitkomst_doelgroep[Digitale zorgtoepassing],B150,uitkomst_doelgroep[Jaar],D150,uitkomst_doelgroep[Overige besparingen (€)],"&gt;0",uitkomst_doelgroep[Uitgangssituatie/effect beleid],uitkomst_tech[[#This Row],[Uitgangssituatie/effect beleid]])</f>
        <v>7350366.7950167423</v>
      </c>
      <c r="J150" s="398">
        <f>SUMIFS(uitkomst_doelgroep[QALY (€)],uitkomst_doelgroep[Digitale zorgtoepassing],B150,uitkomst_doelgroep[Jaar],D150,uitkomst_doelgroep[QALY (€)],"&gt;0",uitkomst_doelgroep[Uitgangssituatie/effect beleid],uitkomst_tech[[#This Row],[Uitgangssituatie/effect beleid]])</f>
        <v>0</v>
      </c>
      <c r="K150" s="398">
        <f>SUMIFS(uitkomst_doelgroep[Kosten (€)],uitkomst_doelgroep[Digitale zorgtoepassing],B150,uitkomst_doelgroep[Jaar],D150,uitkomst_doelgroep[Kosten (€)],"&gt;0",uitkomst_doelgroep[Uitgangssituatie/effect beleid],uitkomst_tech[[#This Row],[Uitgangssituatie/effect beleid]])</f>
        <v>18580737.3345</v>
      </c>
      <c r="L150" s="398">
        <f>SUMIFS(uitkomst_doelgroep[Investering (cash flow) (€)],uitkomst_doelgroep[Digitale zorgtoepassing],B150,uitkomst_doelgroep[Jaar],D150,uitkomst_doelgroep[Investering (cash flow) (€)],"&gt;0",uitkomst_doelgroep[Uitgangssituatie/effect beleid],uitkomst_tech[[#This Row],[Uitgangssituatie/effect beleid]])</f>
        <v>1338021.5379955859</v>
      </c>
    </row>
    <row r="151" spans="1:12" x14ac:dyDescent="0.5">
      <c r="A151" s="42" t="str">
        <f>INDEX(Technologieën[Veld],MATCH(B151,Technologieën[Digitale zorgtoepassing],0))</f>
        <v>Digitale hulpmiddelen - Verpleging</v>
      </c>
      <c r="B151" s="33" t="s">
        <v>58</v>
      </c>
      <c r="C151" s="33" t="s">
        <v>812</v>
      </c>
      <c r="D151" s="33">
        <v>2026</v>
      </c>
      <c r="E151" s="2">
        <v>100</v>
      </c>
      <c r="F151" s="397">
        <f>SUMIFS(uitkomst_doelgroep[Patiëntaantallen],uitkomst_doelgroep[Digitale zorgtoepassing],B151,uitkomst_doelgroep[Jaar],D151,uitkomst_doelgroep[Arbeidsbesparing (€)],"&gt;0",uitkomst_doelgroep[Uitgangssituatie/effect beleid],uitkomst_tech[[#This Row],[Uitgangssituatie/effect beleid]])</f>
        <v>113813.77155560459</v>
      </c>
      <c r="G151" s="398">
        <f>SUMIFS(uitkomst_doelgroep[Arbeidsbesparing (€)],uitkomst_doelgroep[Digitale zorgtoepassing],B151,uitkomst_doelgroep[Jaar],D151,uitkomst_doelgroep[Arbeidsbesparing (€)],"&gt;0",uitkomst_doelgroep[Uitgangssituatie/effect beleid],uitkomst_tech[[#This Row],[Uitgangssituatie/effect beleid]])</f>
        <v>14092933.574021004</v>
      </c>
      <c r="H151" s="398">
        <f>SUMIFS(uitkomst_doelgroep[Arbeidsbesparing (FTE)],uitkomst_doelgroep[Digitale zorgtoepassing],B151,uitkomst_doelgroep[Jaar],D151,uitkomst_doelgroep[Arbeidsbesparing (FTE)],"&gt;0",uitkomst_doelgroep[Uitgangssituatie/effect beleid],uitkomst_tech[[#This Row],[Uitgangssituatie/effect beleid]])</f>
        <v>331.95683370384671</v>
      </c>
      <c r="I151" s="398">
        <f>SUMIFS(uitkomst_doelgroep[Overige besparingen (€)],uitkomst_doelgroep[Digitale zorgtoepassing],B151,uitkomst_doelgroep[Jaar],D151,uitkomst_doelgroep[Overige besparingen (€)],"&gt;0",uitkomst_doelgroep[Uitgangssituatie/effect beleid],uitkomst_tech[[#This Row],[Uitgangssituatie/effect beleid]])</f>
        <v>8617530.2438544426</v>
      </c>
      <c r="J151" s="398">
        <f>SUMIFS(uitkomst_doelgroep[QALY (€)],uitkomst_doelgroep[Digitale zorgtoepassing],B151,uitkomst_doelgroep[Jaar],D151,uitkomst_doelgroep[QALY (€)],"&gt;0",uitkomst_doelgroep[Uitgangssituatie/effect beleid],uitkomst_tech[[#This Row],[Uitgangssituatie/effect beleid]])</f>
        <v>0</v>
      </c>
      <c r="K151" s="398">
        <f>SUMIFS(uitkomst_doelgroep[Kosten (€)],uitkomst_doelgroep[Digitale zorgtoepassing],B151,uitkomst_doelgroep[Jaar],D151,uitkomst_doelgroep[Kosten (€)],"&gt;0",uitkomst_doelgroep[Uitgangssituatie/effect beleid],uitkomst_tech[[#This Row],[Uitgangssituatie/effect beleid]])</f>
        <v>21783955.875742715</v>
      </c>
      <c r="L151" s="398">
        <f>SUMIFS(uitkomst_doelgroep[Investering (cash flow) (€)],uitkomst_doelgroep[Digitale zorgtoepassing],B151,uitkomst_doelgroep[Jaar],D151,uitkomst_doelgroep[Investering (cash flow) (€)],"&gt;0",uitkomst_doelgroep[Uitgangssituatie/effect beleid],uitkomst_tech[[#This Row],[Uitgangssituatie/effect beleid]])</f>
        <v>1060147.3234636334</v>
      </c>
    </row>
    <row r="152" spans="1:12" x14ac:dyDescent="0.5">
      <c r="A152" s="42" t="str">
        <f>INDEX(Technologieën[Veld],MATCH(B152,Technologieën[Digitale zorgtoepassing],0))</f>
        <v>Digitale hulpmiddelen - Verpleging</v>
      </c>
      <c r="B152" s="33" t="s">
        <v>58</v>
      </c>
      <c r="C152" s="33" t="s">
        <v>812</v>
      </c>
      <c r="D152" s="33">
        <v>2027</v>
      </c>
      <c r="E152" s="2">
        <v>132</v>
      </c>
      <c r="F152" s="397">
        <f>SUMIFS(uitkomst_doelgroep[Patiëntaantallen],uitkomst_doelgroep[Digitale zorgtoepassing],B152,uitkomst_doelgroep[Jaar],D152,uitkomst_doelgroep[Arbeidsbesparing (€)],"&gt;0",uitkomst_doelgroep[Uitgangssituatie/effect beleid],uitkomst_tech[[#This Row],[Uitgangssituatie/effect beleid]])</f>
        <v>127073.90067960249</v>
      </c>
      <c r="G152" s="398">
        <f>SUMIFS(uitkomst_doelgroep[Arbeidsbesparing (€)],uitkomst_doelgroep[Digitale zorgtoepassing],B152,uitkomst_doelgroep[Jaar],D152,uitkomst_doelgroep[Arbeidsbesparing (€)],"&gt;0",uitkomst_doelgroep[Uitgangssituatie/effect beleid],uitkomst_tech[[#This Row],[Uitgangssituatie/effect beleid]])</f>
        <v>15734862.45813803</v>
      </c>
      <c r="H152" s="398">
        <f>SUMIFS(uitkomst_doelgroep[Arbeidsbesparing (FTE)],uitkomst_doelgroep[Digitale zorgtoepassing],B152,uitkomst_doelgroep[Jaar],D152,uitkomst_doelgroep[Arbeidsbesparing (FTE)],"&gt;0",uitkomst_doelgroep[Uitgangssituatie/effect beleid],uitkomst_tech[[#This Row],[Uitgangssituatie/effect beleid]])</f>
        <v>370.63221031550728</v>
      </c>
      <c r="I152" s="398">
        <f>SUMIFS(uitkomst_doelgroep[Overige besparingen (€)],uitkomst_doelgroep[Digitale zorgtoepassing],B152,uitkomst_doelgroep[Jaar],D152,uitkomst_doelgroep[Overige besparingen (€)],"&gt;0",uitkomst_doelgroep[Uitgangssituatie/effect beleid],uitkomst_tech[[#This Row],[Uitgangssituatie/effect beleid]])</f>
        <v>9621534.963157149</v>
      </c>
      <c r="J152" s="398">
        <f>SUMIFS(uitkomst_doelgroep[QALY (€)],uitkomst_doelgroep[Digitale zorgtoepassing],B152,uitkomst_doelgroep[Jaar],D152,uitkomst_doelgroep[QALY (€)],"&gt;0",uitkomst_doelgroep[Uitgangssituatie/effect beleid],uitkomst_tech[[#This Row],[Uitgangssituatie/effect beleid]])</f>
        <v>0</v>
      </c>
      <c r="K152" s="398">
        <f>SUMIFS(uitkomst_doelgroep[Kosten (€)],uitkomst_doelgroep[Digitale zorgtoepassing],B152,uitkomst_doelgroep[Jaar],D152,uitkomst_doelgroep[Kosten (€)],"&gt;0",uitkomst_doelgroep[Uitgangssituatie/effect beleid],uitkomst_tech[[#This Row],[Uitgangssituatie/effect beleid]])</f>
        <v>24321944.590075914</v>
      </c>
      <c r="L152" s="398">
        <f>SUMIFS(uitkomst_doelgroep[Investering (cash flow) (€)],uitkomst_doelgroep[Digitale zorgtoepassing],B152,uitkomst_doelgroep[Jaar],D152,uitkomst_doelgroep[Investering (cash flow) (€)],"&gt;0",uitkomst_doelgroep[Uitgangssituatie/effect beleid],uitkomst_tech[[#This Row],[Uitgangssituatie/effect beleid]])</f>
        <v>744580.67300905788</v>
      </c>
    </row>
    <row r="153" spans="1:12" x14ac:dyDescent="0.5">
      <c r="A153" s="42" t="str">
        <f>INDEX(Technologieën[Veld],MATCH(B153,Technologieën[Digitale zorgtoepassing],0))</f>
        <v>Digitale hulpmiddelen - Verpleging</v>
      </c>
      <c r="B153" s="33" t="s">
        <v>58</v>
      </c>
      <c r="C153" s="33" t="s">
        <v>812</v>
      </c>
      <c r="D153" s="33">
        <v>2028</v>
      </c>
      <c r="E153" s="2">
        <v>164</v>
      </c>
      <c r="F153" s="397">
        <f>SUMIFS(uitkomst_doelgroep[Patiëntaantallen],uitkomst_doelgroep[Digitale zorgtoepassing],B153,uitkomst_doelgroep[Jaar],D153,uitkomst_doelgroep[Arbeidsbesparing (€)],"&gt;0",uitkomst_doelgroep[Uitgangssituatie/effect beleid],uitkomst_tech[[#This Row],[Uitgangssituatie/effect beleid]])</f>
        <v>136386.97976664512</v>
      </c>
      <c r="G153" s="398">
        <f>SUMIFS(uitkomst_doelgroep[Arbeidsbesparing (€)],uitkomst_doelgroep[Digitale zorgtoepassing],B153,uitkomst_doelgroep[Jaar],D153,uitkomst_doelgroep[Arbeidsbesparing (€)],"&gt;0",uitkomst_doelgroep[Uitgangssituatie/effect beleid],uitkomst_tech[[#This Row],[Uitgangssituatie/effect beleid]])</f>
        <v>16888049.837392688</v>
      </c>
      <c r="H153" s="398">
        <f>SUMIFS(uitkomst_doelgroep[Arbeidsbesparing (FTE)],uitkomst_doelgroep[Digitale zorgtoepassing],B153,uitkomst_doelgroep[Jaar],D153,uitkomst_doelgroep[Arbeidsbesparing (FTE)],"&gt;0",uitkomst_doelgroep[Uitgangssituatie/effect beleid],uitkomst_tech[[#This Row],[Uitgangssituatie/effect beleid]])</f>
        <v>397.79535765271493</v>
      </c>
      <c r="I153" s="398">
        <f>SUMIFS(uitkomst_doelgroep[Overige besparingen (€)],uitkomst_doelgroep[Digitale zorgtoepassing],B153,uitkomst_doelgroep[Jaar],D153,uitkomst_doelgroep[Overige besparingen (€)],"&gt;0",uitkomst_doelgroep[Uitgangssituatie/effect beleid],uitkomst_tech[[#This Row],[Uitgangssituatie/effect beleid]])</f>
        <v>10326684.608925531</v>
      </c>
      <c r="J153" s="398">
        <f>SUMIFS(uitkomst_doelgroep[QALY (€)],uitkomst_doelgroep[Digitale zorgtoepassing],B153,uitkomst_doelgroep[Jaar],D153,uitkomst_doelgroep[QALY (€)],"&gt;0",uitkomst_doelgroep[Uitgangssituatie/effect beleid],uitkomst_tech[[#This Row],[Uitgangssituatie/effect beleid]])</f>
        <v>0</v>
      </c>
      <c r="K153" s="398">
        <f>SUMIFS(uitkomst_doelgroep[Kosten (€)],uitkomst_doelgroep[Digitale zorgtoepassing],B153,uitkomst_doelgroep[Jaar],D153,uitkomst_doelgroep[Kosten (€)],"&gt;0",uitkomst_doelgroep[Uitgangssituatie/effect beleid],uitkomst_tech[[#This Row],[Uitgangssituatie/effect beleid]])</f>
        <v>26104467.927335873</v>
      </c>
      <c r="L153" s="398">
        <f>SUMIFS(uitkomst_doelgroep[Investering (cash flow) (€)],uitkomst_doelgroep[Digitale zorgtoepassing],B153,uitkomst_doelgroep[Jaar],D153,uitkomst_doelgroep[Investering (cash flow) (€)],"&gt;0",uitkomst_doelgroep[Uitgangssituatie/effect beleid],uitkomst_tech[[#This Row],[Uitgangssituatie/effect beleid]])</f>
        <v>472523.82001522934</v>
      </c>
    </row>
    <row r="154" spans="1:12" x14ac:dyDescent="0.5">
      <c r="A154" s="42" t="str">
        <f>INDEX(Technologieën[Veld],MATCH(B154,Technologieën[Digitale zorgtoepassing],0))</f>
        <v>Digitale hulpmiddelen - Verpleging</v>
      </c>
      <c r="B154" s="33" t="s">
        <v>58</v>
      </c>
      <c r="C154" s="33" t="s">
        <v>812</v>
      </c>
      <c r="D154" s="33">
        <v>2029</v>
      </c>
      <c r="E154" s="2">
        <v>196</v>
      </c>
      <c r="F154" s="397">
        <f>SUMIFS(uitkomst_doelgroep[Patiëntaantallen],uitkomst_doelgroep[Digitale zorgtoepassing],B154,uitkomst_doelgroep[Jaar],D154,uitkomst_doelgroep[Arbeidsbesparing (€)],"&gt;0",uitkomst_doelgroep[Uitgangssituatie/effect beleid],uitkomst_tech[[#This Row],[Uitgangssituatie/effect beleid]])</f>
        <v>142297.22141786749</v>
      </c>
      <c r="G154" s="398">
        <f>SUMIFS(uitkomst_doelgroep[Arbeidsbesparing (€)],uitkomst_doelgroep[Digitale zorgtoepassing],B154,uitkomst_doelgroep[Jaar],D154,uitkomst_doelgroep[Arbeidsbesparing (€)],"&gt;0",uitkomst_doelgroep[Uitgangssituatie/effect beleid],uitkomst_tech[[#This Row],[Uitgangssituatie/effect beleid]])</f>
        <v>17619882.566056773</v>
      </c>
      <c r="H154" s="398">
        <f>SUMIFS(uitkomst_doelgroep[Arbeidsbesparing (FTE)],uitkomst_doelgroep[Digitale zorgtoepassing],B154,uitkomst_doelgroep[Jaar],D154,uitkomst_doelgroep[Arbeidsbesparing (FTE)],"&gt;0",uitkomst_doelgroep[Uitgangssituatie/effect beleid],uitkomst_tech[[#This Row],[Uitgangssituatie/effect beleid]])</f>
        <v>415.03356246878019</v>
      </c>
      <c r="I154" s="398">
        <f>SUMIFS(uitkomst_doelgroep[Overige besparingen (€)],uitkomst_doelgroep[Digitale zorgtoepassing],B154,uitkomst_doelgroep[Jaar],D154,uitkomst_doelgroep[Overige besparingen (€)],"&gt;0",uitkomst_doelgroep[Uitgangssituatie/effect beleid],uitkomst_tech[[#This Row],[Uitgangssituatie/effect beleid]])</f>
        <v>10774184.814583983</v>
      </c>
      <c r="J154" s="398">
        <f>SUMIFS(uitkomst_doelgroep[QALY (€)],uitkomst_doelgroep[Digitale zorgtoepassing],B154,uitkomst_doelgroep[Jaar],D154,uitkomst_doelgroep[QALY (€)],"&gt;0",uitkomst_doelgroep[Uitgangssituatie/effect beleid],uitkomst_tech[[#This Row],[Uitgangssituatie/effect beleid]])</f>
        <v>0</v>
      </c>
      <c r="K154" s="398">
        <f>SUMIFS(uitkomst_doelgroep[Kosten (€)],uitkomst_doelgroep[Digitale zorgtoepassing],B154,uitkomst_doelgroep[Jaar],D154,uitkomst_doelgroep[Kosten (€)],"&gt;0",uitkomst_doelgroep[Uitgangssituatie/effect beleid],uitkomst_tech[[#This Row],[Uitgangssituatie/effect beleid]])</f>
        <v>27235688.179379836</v>
      </c>
      <c r="L154" s="398">
        <f>SUMIFS(uitkomst_doelgroep[Investering (cash flow) (€)],uitkomst_doelgroep[Digitale zorgtoepassing],B154,uitkomst_doelgroep[Jaar],D154,uitkomst_doelgroep[Investering (cash flow) (€)],"&gt;0",uitkomst_doelgroep[Uitgangssituatie/effect beleid],uitkomst_tech[[#This Row],[Uitgangssituatie/effect beleid]])</f>
        <v>278291.67355690524</v>
      </c>
    </row>
    <row r="155" spans="1:12" x14ac:dyDescent="0.5">
      <c r="A155" s="42" t="str">
        <f>INDEX(Technologieën[Veld],MATCH(B155,Technologieën[Digitale zorgtoepassing],0))</f>
        <v>Digitale hulpmiddelen - Verpleging</v>
      </c>
      <c r="B155" s="33" t="s">
        <v>58</v>
      </c>
      <c r="C155" s="33" t="s">
        <v>812</v>
      </c>
      <c r="D155" s="33">
        <v>2030</v>
      </c>
      <c r="E155" s="2">
        <v>228</v>
      </c>
      <c r="F155" s="397">
        <f>SUMIFS(uitkomst_doelgroep[Patiëntaantallen],uitkomst_doelgroep[Digitale zorgtoepassing],B155,uitkomst_doelgroep[Jaar],D155,uitkomst_doelgroep[Arbeidsbesparing (€)],"&gt;0",uitkomst_doelgroep[Uitgangssituatie/effect beleid],uitkomst_tech[[#This Row],[Uitgangssituatie/effect beleid]])</f>
        <v>145778.04285072436</v>
      </c>
      <c r="G155" s="398">
        <f>SUMIFS(uitkomst_doelgroep[Arbeidsbesparing (€)],uitkomst_doelgroep[Digitale zorgtoepassing],B155,uitkomst_doelgroep[Jaar],D155,uitkomst_doelgroep[Arbeidsbesparing (€)],"&gt;0",uitkomst_doelgroep[Uitgangssituatie/effect beleid],uitkomst_tech[[#This Row],[Uitgangssituatie/effect beleid]])</f>
        <v>18050893.546237797</v>
      </c>
      <c r="H155" s="398">
        <f>SUMIFS(uitkomst_doelgroep[Arbeidsbesparing (FTE)],uitkomst_doelgroep[Digitale zorgtoepassing],B155,uitkomst_doelgroep[Jaar],D155,uitkomst_doelgroep[Arbeidsbesparing (FTE)],"&gt;0",uitkomst_doelgroep[Uitgangssituatie/effect beleid],uitkomst_tech[[#This Row],[Uitgangssituatie/effect beleid]])</f>
        <v>425.18595831461272</v>
      </c>
      <c r="I155" s="398">
        <f>SUMIFS(uitkomst_doelgroep[Overige besparingen (€)],uitkomst_doelgroep[Digitale zorgtoepassing],B155,uitkomst_doelgroep[Jaar],D155,uitkomst_doelgroep[Overige besparingen (€)],"&gt;0",uitkomst_doelgroep[Uitgangssituatie/effect beleid],uitkomst_tech[[#This Row],[Uitgangssituatie/effect beleid]])</f>
        <v>11037738.895615783</v>
      </c>
      <c r="J155" s="398">
        <f>SUMIFS(uitkomst_doelgroep[QALY (€)],uitkomst_doelgroep[Digitale zorgtoepassing],B155,uitkomst_doelgroep[Jaar],D155,uitkomst_doelgroep[QALY (€)],"&gt;0",uitkomst_doelgroep[Uitgangssituatie/effect beleid],uitkomst_tech[[#This Row],[Uitgangssituatie/effect beleid]])</f>
        <v>0</v>
      </c>
      <c r="K155" s="398">
        <f>SUMIFS(uitkomst_doelgroep[Kosten (€)],uitkomst_doelgroep[Digitale zorgtoepassing],B155,uitkomst_doelgroep[Jaar],D155,uitkomst_doelgroep[Kosten (€)],"&gt;0",uitkomst_doelgroep[Uitgangssituatie/effect beleid],uitkomst_tech[[#This Row],[Uitgangssituatie/effect beleid]])</f>
        <v>27901917.40162864</v>
      </c>
      <c r="L155" s="398">
        <f>SUMIFS(uitkomst_doelgroep[Investering (cash flow) (€)],uitkomst_doelgroep[Digitale zorgtoepassing],B155,uitkomst_doelgroep[Jaar],D155,uitkomst_doelgroep[Investering (cash flow) (€)],"&gt;0",uitkomst_doelgroep[Uitgangssituatie/effect beleid],uitkomst_tech[[#This Row],[Uitgangssituatie/effect beleid]])</f>
        <v>156058.79260762859</v>
      </c>
    </row>
    <row r="156" spans="1:12" x14ac:dyDescent="0.5">
      <c r="A156" s="42" t="str">
        <f>INDEX(Technologieën[Veld],MATCH(B156,Technologieën[Digitale zorgtoepassing],0))</f>
        <v>Digitale hulpmiddelen - Verpleging</v>
      </c>
      <c r="B156" s="33" t="s">
        <v>58</v>
      </c>
      <c r="C156" s="33" t="s">
        <v>812</v>
      </c>
      <c r="D156" s="33">
        <v>2031</v>
      </c>
      <c r="E156" s="2">
        <v>260</v>
      </c>
      <c r="F156" s="397">
        <f>SUMIFS(uitkomst_doelgroep[Patiëntaantallen],uitkomst_doelgroep[Digitale zorgtoepassing],B156,uitkomst_doelgroep[Jaar],D156,uitkomst_doelgroep[Arbeidsbesparing (€)],"&gt;0",uitkomst_doelgroep[Uitgangssituatie/effect beleid],uitkomst_tech[[#This Row],[Uitgangssituatie/effect beleid]])</f>
        <v>147729.99773011933</v>
      </c>
      <c r="G156" s="398">
        <f>SUMIFS(uitkomst_doelgroep[Arbeidsbesparing (€)],uitkomst_doelgroep[Digitale zorgtoepassing],B156,uitkomst_doelgroep[Jaar],D156,uitkomst_doelgroep[Arbeidsbesparing (€)],"&gt;0",uitkomst_doelgroep[Uitgangssituatie/effect beleid],uitkomst_tech[[#This Row],[Uitgangssituatie/effect beleid]])</f>
        <v>18292593.386940818</v>
      </c>
      <c r="H156" s="398">
        <f>SUMIFS(uitkomst_doelgroep[Arbeidsbesparing (FTE)],uitkomst_doelgroep[Digitale zorgtoepassing],B156,uitkomst_doelgroep[Jaar],D156,uitkomst_doelgroep[Arbeidsbesparing (FTE)],"&gt;0",uitkomst_doelgroep[Uitgangssituatie/effect beleid],uitkomst_tech[[#This Row],[Uitgangssituatie/effect beleid]])</f>
        <v>430.87916004618137</v>
      </c>
      <c r="I156" s="398">
        <f>SUMIFS(uitkomst_doelgroep[Overige besparingen (€)],uitkomst_doelgroep[Digitale zorgtoepassing],B156,uitkomst_doelgroep[Jaar],D156,uitkomst_doelgroep[Overige besparingen (€)],"&gt;0",uitkomst_doelgroep[Uitgangssituatie/effect beleid],uitkomst_tech[[#This Row],[Uitgangssituatie/effect beleid]])</f>
        <v>11185533.226459194</v>
      </c>
      <c r="J156" s="398">
        <f>SUMIFS(uitkomst_doelgroep[QALY (€)],uitkomst_doelgroep[Digitale zorgtoepassing],B156,uitkomst_doelgroep[Jaar],D156,uitkomst_doelgroep[QALY (€)],"&gt;0",uitkomst_doelgroep[Uitgangssituatie/effect beleid],uitkomst_tech[[#This Row],[Uitgangssituatie/effect beleid]])</f>
        <v>0</v>
      </c>
      <c r="K156" s="398">
        <f>SUMIFS(uitkomst_doelgroep[Kosten (€)],uitkomst_doelgroep[Digitale zorgtoepassing],B156,uitkomst_doelgroep[Jaar],D156,uitkomst_doelgroep[Kosten (€)],"&gt;0",uitkomst_doelgroep[Uitgangssituatie/effect beleid],uitkomst_tech[[#This Row],[Uitgangssituatie/effect beleid]])</f>
        <v>28275521.565544836</v>
      </c>
      <c r="L156" s="398">
        <f>SUMIFS(uitkomst_doelgroep[Investering (cash flow) (€)],uitkomst_doelgroep[Digitale zorgtoepassing],B156,uitkomst_doelgroep[Jaar],D156,uitkomst_doelgroep[Investering (cash flow) (€)],"&gt;0",uitkomst_doelgroep[Uitgangssituatie/effect beleid],uitkomst_tech[[#This Row],[Uitgangssituatie/effect beleid]])</f>
        <v>84970.248164837656</v>
      </c>
    </row>
    <row r="157" spans="1:12" x14ac:dyDescent="0.5">
      <c r="A157" s="42" t="str">
        <f>INDEX(Technologieën[Veld],MATCH(B157,Technologieën[Digitale zorgtoepassing],0))</f>
        <v>Digitale hulpmiddelen - Verpleging</v>
      </c>
      <c r="B157" s="33" t="s">
        <v>58</v>
      </c>
      <c r="C157" s="33" t="s">
        <v>812</v>
      </c>
      <c r="D157" s="33">
        <v>2032</v>
      </c>
      <c r="E157" s="2">
        <v>292</v>
      </c>
      <c r="F157" s="397">
        <f>SUMIFS(uitkomst_doelgroep[Patiëntaantallen],uitkomst_doelgroep[Digitale zorgtoepassing],B157,uitkomst_doelgroep[Jaar],D157,uitkomst_doelgroep[Arbeidsbesparing (€)],"&gt;0",uitkomst_doelgroep[Uitgangssituatie/effect beleid],uitkomst_tech[[#This Row],[Uitgangssituatie/effect beleid]])</f>
        <v>148792.79007739684</v>
      </c>
      <c r="G157" s="398">
        <f>SUMIFS(uitkomst_doelgroep[Arbeidsbesparing (€)],uitkomst_doelgroep[Digitale zorgtoepassing],B157,uitkomst_doelgroep[Jaar],D157,uitkomst_doelgroep[Arbeidsbesparing (€)],"&gt;0",uitkomst_doelgroep[Uitgangssituatie/effect beleid],uitkomst_tech[[#This Row],[Uitgangssituatie/effect beleid]])</f>
        <v>18424193.119982284</v>
      </c>
      <c r="H157" s="398">
        <f>SUMIFS(uitkomst_doelgroep[Arbeidsbesparing (FTE)],uitkomst_doelgroep[Digitale zorgtoepassing],B157,uitkomst_doelgroep[Jaar],D157,uitkomst_doelgroep[Arbeidsbesparing (FTE)],"&gt;0",uitkomst_doelgroep[Uitgangssituatie/effect beleid],uitkomst_tech[[#This Row],[Uitgangssituatie/effect beleid]])</f>
        <v>433.97897105907413</v>
      </c>
      <c r="I157" s="398">
        <f>SUMIFS(uitkomst_doelgroep[Overige besparingen (€)],uitkomst_doelgroep[Digitale zorgtoepassing],B157,uitkomst_doelgroep[Jaar],D157,uitkomst_doelgroep[Overige besparingen (€)],"&gt;0",uitkomst_doelgroep[Uitgangssituatie/effect beleid],uitkomst_tech[[#This Row],[Uitgangssituatie/effect beleid]])</f>
        <v>11266003.674546635</v>
      </c>
      <c r="J157" s="398">
        <f>SUMIFS(uitkomst_doelgroep[QALY (€)],uitkomst_doelgroep[Digitale zorgtoepassing],B157,uitkomst_doelgroep[Jaar],D157,uitkomst_doelgroep[QALY (€)],"&gt;0",uitkomst_doelgroep[Uitgangssituatie/effect beleid],uitkomst_tech[[#This Row],[Uitgangssituatie/effect beleid]])</f>
        <v>0</v>
      </c>
      <c r="K157" s="398">
        <f>SUMIFS(uitkomst_doelgroep[Kosten (€)],uitkomst_doelgroep[Digitale zorgtoepassing],B157,uitkomst_doelgroep[Jaar],D157,uitkomst_doelgroep[Kosten (€)],"&gt;0",uitkomst_doelgroep[Uitgangssituatie/effect beleid],uitkomst_tech[[#This Row],[Uitgangssituatie/effect beleid]])</f>
        <v>28478940.020813756</v>
      </c>
      <c r="L157" s="398">
        <f>SUMIFS(uitkomst_doelgroep[Investering (cash flow) (€)],uitkomst_doelgroep[Digitale zorgtoepassing],B157,uitkomst_doelgroep[Jaar],D157,uitkomst_doelgroep[Investering (cash flow) (€)],"&gt;0",uitkomst_doelgroep[Uitgangssituatie/effect beleid],uitkomst_tech[[#This Row],[Uitgangssituatie/effect beleid]])</f>
        <v>45495.759035291565</v>
      </c>
    </row>
    <row r="158" spans="1:12" x14ac:dyDescent="0.5">
      <c r="A158" s="42" t="str">
        <f>INDEX(Technologieën[Veld],MATCH(B158,Technologieën[Digitale zorgtoepassing],0))</f>
        <v>Digitale hulpmiddelen - Verpleging</v>
      </c>
      <c r="B158" s="33" t="s">
        <v>58</v>
      </c>
      <c r="C158" s="33" t="s">
        <v>812</v>
      </c>
      <c r="D158" s="33">
        <v>2033</v>
      </c>
      <c r="E158" s="2">
        <v>324</v>
      </c>
      <c r="F158" s="397">
        <f>SUMIFS(uitkomst_doelgroep[Patiëntaantallen],uitkomst_doelgroep[Digitale zorgtoepassing],B158,uitkomst_doelgroep[Jaar],D158,uitkomst_doelgroep[Arbeidsbesparing (€)],"&gt;0",uitkomst_doelgroep[Uitgangssituatie/effect beleid],uitkomst_tech[[#This Row],[Uitgangssituatie/effect beleid]])</f>
        <v>149361.84272324166</v>
      </c>
      <c r="G158" s="398">
        <f>SUMIFS(uitkomst_doelgroep[Arbeidsbesparing (€)],uitkomst_doelgroep[Digitale zorgtoepassing],B158,uitkomst_doelgroep[Jaar],D158,uitkomst_doelgroep[Arbeidsbesparing (€)],"&gt;0",uitkomst_doelgroep[Uitgangssituatie/effect beleid],uitkomst_tech[[#This Row],[Uitgangssituatie/effect beleid]])</f>
        <v>18494655.780417833</v>
      </c>
      <c r="H158" s="398">
        <f>SUMIFS(uitkomst_doelgroep[Arbeidsbesparing (FTE)],uitkomst_doelgroep[Digitale zorgtoepassing],B158,uitkomst_doelgroep[Jaar],D158,uitkomst_doelgroep[Arbeidsbesparing (FTE)],"&gt;0",uitkomst_doelgroep[Uitgangssituatie/effect beleid],uitkomst_tech[[#This Row],[Uitgangssituatie/effect beleid]])</f>
        <v>435.63870794278813</v>
      </c>
      <c r="I158" s="398">
        <f>SUMIFS(uitkomst_doelgroep[Overige besparingen (€)],uitkomst_doelgroep[Digitale zorgtoepassing],B158,uitkomst_doelgroep[Jaar],D158,uitkomst_doelgroep[Overige besparingen (€)],"&gt;0",uitkomst_doelgroep[Uitgangssituatie/effect beleid],uitkomst_tech[[#This Row],[Uitgangssituatie/effect beleid]])</f>
        <v>11309090.098262215</v>
      </c>
      <c r="J158" s="398">
        <f>SUMIFS(uitkomst_doelgroep[QALY (€)],uitkomst_doelgroep[Digitale zorgtoepassing],B158,uitkomst_doelgroep[Jaar],D158,uitkomst_doelgroep[QALY (€)],"&gt;0",uitkomst_doelgroep[Uitgangssituatie/effect beleid],uitkomst_tech[[#This Row],[Uitgangssituatie/effect beleid]])</f>
        <v>0</v>
      </c>
      <c r="K158" s="398">
        <f>SUMIFS(uitkomst_doelgroep[Kosten (€)],uitkomst_doelgroep[Digitale zorgtoepassing],B158,uitkomst_doelgroep[Jaar],D158,uitkomst_doelgroep[Kosten (€)],"&gt;0",uitkomst_doelgroep[Uitgangssituatie/effect beleid],uitkomst_tech[[#This Row],[Uitgangssituatie/effect beleid]])</f>
        <v>28587856.697228447</v>
      </c>
      <c r="L158" s="398">
        <f>SUMIFS(uitkomst_doelgroep[Investering (cash flow) (€)],uitkomst_doelgroep[Digitale zorgtoepassing],B158,uitkomst_doelgroep[Jaar],D158,uitkomst_doelgroep[Investering (cash flow) (€)],"&gt;0",uitkomst_doelgroep[Uitgangssituatie/effect beleid],uitkomst_tech[[#This Row],[Uitgangssituatie/effect beleid]])</f>
        <v>24137.142637829955</v>
      </c>
    </row>
    <row r="159" spans="1:12" x14ac:dyDescent="0.5">
      <c r="A159" s="42" t="e">
        <f>INDEX(Technologieën[Veld],MATCH(B159,Technologieën[Digitale zorgtoepassing],0))</f>
        <v>#N/A</v>
      </c>
      <c r="B159" s="33" t="s">
        <v>93</v>
      </c>
      <c r="C159" s="33" t="s">
        <v>812</v>
      </c>
      <c r="D159" s="33">
        <v>2023</v>
      </c>
      <c r="E159" s="2">
        <v>12</v>
      </c>
      <c r="F159" s="397">
        <f>SUMIFS(uitkomst_doelgroep[Patiëntaantallen],uitkomst_doelgroep[Digitale zorgtoepassing],B159,uitkomst_doelgroep[Jaar],D159,uitkomst_doelgroep[Arbeidsbesparing (€)],"&gt;0",uitkomst_doelgroep[Uitgangssituatie/effect beleid],uitkomst_tech[[#This Row],[Uitgangssituatie/effect beleid]])</f>
        <v>0</v>
      </c>
      <c r="G159" s="398">
        <f>SUMIFS(uitkomst_doelgroep[Arbeidsbesparing (€)],uitkomst_doelgroep[Digitale zorgtoepassing],B159,uitkomst_doelgroep[Jaar],D159,uitkomst_doelgroep[Arbeidsbesparing (€)],"&gt;0",uitkomst_doelgroep[Uitgangssituatie/effect beleid],uitkomst_tech[[#This Row],[Uitgangssituatie/effect beleid]])</f>
        <v>0</v>
      </c>
      <c r="H159" s="398">
        <f>SUMIFS(uitkomst_doelgroep[Arbeidsbesparing (FTE)],uitkomst_doelgroep[Digitale zorgtoepassing],B159,uitkomst_doelgroep[Jaar],D159,uitkomst_doelgroep[Arbeidsbesparing (FTE)],"&gt;0",uitkomst_doelgroep[Uitgangssituatie/effect beleid],uitkomst_tech[[#This Row],[Uitgangssituatie/effect beleid]])</f>
        <v>0</v>
      </c>
      <c r="I159" s="398">
        <f>SUMIFS(uitkomst_doelgroep[Overige besparingen (€)],uitkomst_doelgroep[Digitale zorgtoepassing],B159,uitkomst_doelgroep[Jaar],D159,uitkomst_doelgroep[Overige besparingen (€)],"&gt;0",uitkomst_doelgroep[Uitgangssituatie/effect beleid],uitkomst_tech[[#This Row],[Uitgangssituatie/effect beleid]])</f>
        <v>0</v>
      </c>
      <c r="J159" s="398">
        <f>SUMIFS(uitkomst_doelgroep[QALY (€)],uitkomst_doelgroep[Digitale zorgtoepassing],B159,uitkomst_doelgroep[Jaar],D159,uitkomst_doelgroep[QALY (€)],"&gt;0",uitkomst_doelgroep[Uitgangssituatie/effect beleid],uitkomst_tech[[#This Row],[Uitgangssituatie/effect beleid]])</f>
        <v>0</v>
      </c>
      <c r="K159" s="398">
        <f>SUMIFS(uitkomst_doelgroep[Kosten (€)],uitkomst_doelgroep[Digitale zorgtoepassing],B159,uitkomst_doelgroep[Jaar],D159,uitkomst_doelgroep[Kosten (€)],"&gt;0",uitkomst_doelgroep[Uitgangssituatie/effect beleid],uitkomst_tech[[#This Row],[Uitgangssituatie/effect beleid]])</f>
        <v>0</v>
      </c>
      <c r="L159" s="398">
        <f>SUMIFS(uitkomst_doelgroep[Investering (cash flow) (€)],uitkomst_doelgroep[Digitale zorgtoepassing],B159,uitkomst_doelgroep[Jaar],D159,uitkomst_doelgroep[Investering (cash flow) (€)],"&gt;0",uitkomst_doelgroep[Uitgangssituatie/effect beleid],uitkomst_tech[[#This Row],[Uitgangssituatie/effect beleid]])</f>
        <v>0</v>
      </c>
    </row>
    <row r="160" spans="1:12" x14ac:dyDescent="0.5">
      <c r="A160" s="42" t="e">
        <f>INDEX(Technologieën[Veld],MATCH(B160,Technologieën[Digitale zorgtoepassing],0))</f>
        <v>#N/A</v>
      </c>
      <c r="B160" s="33" t="s">
        <v>93</v>
      </c>
      <c r="C160" s="33" t="s">
        <v>812</v>
      </c>
      <c r="D160" s="33">
        <v>2024</v>
      </c>
      <c r="E160" s="2">
        <v>44</v>
      </c>
      <c r="F160" s="397">
        <f>SUMIFS(uitkomst_doelgroep[Patiëntaantallen],uitkomst_doelgroep[Digitale zorgtoepassing],B160,uitkomst_doelgroep[Jaar],D160,uitkomst_doelgroep[Arbeidsbesparing (€)],"&gt;0",uitkomst_doelgroep[Uitgangssituatie/effect beleid],uitkomst_tech[[#This Row],[Uitgangssituatie/effect beleid]])</f>
        <v>0</v>
      </c>
      <c r="G160" s="398">
        <f>SUMIFS(uitkomst_doelgroep[Arbeidsbesparing (€)],uitkomst_doelgroep[Digitale zorgtoepassing],B160,uitkomst_doelgroep[Jaar],D160,uitkomst_doelgroep[Arbeidsbesparing (€)],"&gt;0",uitkomst_doelgroep[Uitgangssituatie/effect beleid],uitkomst_tech[[#This Row],[Uitgangssituatie/effect beleid]])</f>
        <v>0</v>
      </c>
      <c r="H160" s="398">
        <f>SUMIFS(uitkomst_doelgroep[Arbeidsbesparing (FTE)],uitkomst_doelgroep[Digitale zorgtoepassing],B160,uitkomst_doelgroep[Jaar],D160,uitkomst_doelgroep[Arbeidsbesparing (FTE)],"&gt;0",uitkomst_doelgroep[Uitgangssituatie/effect beleid],uitkomst_tech[[#This Row],[Uitgangssituatie/effect beleid]])</f>
        <v>0</v>
      </c>
      <c r="I160" s="398">
        <f>SUMIFS(uitkomst_doelgroep[Overige besparingen (€)],uitkomst_doelgroep[Digitale zorgtoepassing],B160,uitkomst_doelgroep[Jaar],D160,uitkomst_doelgroep[Overige besparingen (€)],"&gt;0",uitkomst_doelgroep[Uitgangssituatie/effect beleid],uitkomst_tech[[#This Row],[Uitgangssituatie/effect beleid]])</f>
        <v>0</v>
      </c>
      <c r="J160" s="398">
        <f>SUMIFS(uitkomst_doelgroep[QALY (€)],uitkomst_doelgroep[Digitale zorgtoepassing],B160,uitkomst_doelgroep[Jaar],D160,uitkomst_doelgroep[QALY (€)],"&gt;0",uitkomst_doelgroep[Uitgangssituatie/effect beleid],uitkomst_tech[[#This Row],[Uitgangssituatie/effect beleid]])</f>
        <v>0</v>
      </c>
      <c r="K160" s="398">
        <f>SUMIFS(uitkomst_doelgroep[Kosten (€)],uitkomst_doelgroep[Digitale zorgtoepassing],B160,uitkomst_doelgroep[Jaar],D160,uitkomst_doelgroep[Kosten (€)],"&gt;0",uitkomst_doelgroep[Uitgangssituatie/effect beleid],uitkomst_tech[[#This Row],[Uitgangssituatie/effect beleid]])</f>
        <v>0</v>
      </c>
      <c r="L160" s="398">
        <f>SUMIFS(uitkomst_doelgroep[Investering (cash flow) (€)],uitkomst_doelgroep[Digitale zorgtoepassing],B160,uitkomst_doelgroep[Jaar],D160,uitkomst_doelgroep[Investering (cash flow) (€)],"&gt;0",uitkomst_doelgroep[Uitgangssituatie/effect beleid],uitkomst_tech[[#This Row],[Uitgangssituatie/effect beleid]])</f>
        <v>0</v>
      </c>
    </row>
    <row r="161" spans="1:12" x14ac:dyDescent="0.5">
      <c r="A161" s="42" t="e">
        <f>INDEX(Technologieën[Veld],MATCH(B161,Technologieën[Digitale zorgtoepassing],0))</f>
        <v>#N/A</v>
      </c>
      <c r="B161" s="33" t="s">
        <v>93</v>
      </c>
      <c r="C161" s="33" t="s">
        <v>812</v>
      </c>
      <c r="D161" s="33">
        <v>2025</v>
      </c>
      <c r="E161" s="2">
        <v>76</v>
      </c>
      <c r="F161" s="397">
        <f>SUMIFS(uitkomst_doelgroep[Patiëntaantallen],uitkomst_doelgroep[Digitale zorgtoepassing],B161,uitkomst_doelgroep[Jaar],D161,uitkomst_doelgroep[Arbeidsbesparing (€)],"&gt;0",uitkomst_doelgroep[Uitgangssituatie/effect beleid],uitkomst_tech[[#This Row],[Uitgangssituatie/effect beleid]])</f>
        <v>0</v>
      </c>
      <c r="G161" s="398">
        <f>SUMIFS(uitkomst_doelgroep[Arbeidsbesparing (€)],uitkomst_doelgroep[Digitale zorgtoepassing],B161,uitkomst_doelgroep[Jaar],D161,uitkomst_doelgroep[Arbeidsbesparing (€)],"&gt;0",uitkomst_doelgroep[Uitgangssituatie/effect beleid],uitkomst_tech[[#This Row],[Uitgangssituatie/effect beleid]])</f>
        <v>0</v>
      </c>
      <c r="H161" s="398">
        <f>SUMIFS(uitkomst_doelgroep[Arbeidsbesparing (FTE)],uitkomst_doelgroep[Digitale zorgtoepassing],B161,uitkomst_doelgroep[Jaar],D161,uitkomst_doelgroep[Arbeidsbesparing (FTE)],"&gt;0",uitkomst_doelgroep[Uitgangssituatie/effect beleid],uitkomst_tech[[#This Row],[Uitgangssituatie/effect beleid]])</f>
        <v>0</v>
      </c>
      <c r="I161" s="398">
        <f>SUMIFS(uitkomst_doelgroep[Overige besparingen (€)],uitkomst_doelgroep[Digitale zorgtoepassing],B161,uitkomst_doelgroep[Jaar],D161,uitkomst_doelgroep[Overige besparingen (€)],"&gt;0",uitkomst_doelgroep[Uitgangssituatie/effect beleid],uitkomst_tech[[#This Row],[Uitgangssituatie/effect beleid]])</f>
        <v>0</v>
      </c>
      <c r="J161" s="398">
        <f>SUMIFS(uitkomst_doelgroep[QALY (€)],uitkomst_doelgroep[Digitale zorgtoepassing],B161,uitkomst_doelgroep[Jaar],D161,uitkomst_doelgroep[QALY (€)],"&gt;0",uitkomst_doelgroep[Uitgangssituatie/effect beleid],uitkomst_tech[[#This Row],[Uitgangssituatie/effect beleid]])</f>
        <v>0</v>
      </c>
      <c r="K161" s="398">
        <f>SUMIFS(uitkomst_doelgroep[Kosten (€)],uitkomst_doelgroep[Digitale zorgtoepassing],B161,uitkomst_doelgroep[Jaar],D161,uitkomst_doelgroep[Kosten (€)],"&gt;0",uitkomst_doelgroep[Uitgangssituatie/effect beleid],uitkomst_tech[[#This Row],[Uitgangssituatie/effect beleid]])</f>
        <v>0</v>
      </c>
      <c r="L161" s="398">
        <f>SUMIFS(uitkomst_doelgroep[Investering (cash flow) (€)],uitkomst_doelgroep[Digitale zorgtoepassing],B161,uitkomst_doelgroep[Jaar],D161,uitkomst_doelgroep[Investering (cash flow) (€)],"&gt;0",uitkomst_doelgroep[Uitgangssituatie/effect beleid],uitkomst_tech[[#This Row],[Uitgangssituatie/effect beleid]])</f>
        <v>0</v>
      </c>
    </row>
    <row r="162" spans="1:12" x14ac:dyDescent="0.5">
      <c r="A162" s="42" t="e">
        <f>INDEX(Technologieën[Veld],MATCH(B162,Technologieën[Digitale zorgtoepassing],0))</f>
        <v>#N/A</v>
      </c>
      <c r="B162" s="33" t="s">
        <v>93</v>
      </c>
      <c r="C162" s="33" t="s">
        <v>812</v>
      </c>
      <c r="D162" s="33">
        <v>2026</v>
      </c>
      <c r="E162" s="2">
        <v>108</v>
      </c>
      <c r="F162" s="397">
        <f>SUMIFS(uitkomst_doelgroep[Patiëntaantallen],uitkomst_doelgroep[Digitale zorgtoepassing],B162,uitkomst_doelgroep[Jaar],D162,uitkomst_doelgroep[Arbeidsbesparing (€)],"&gt;0",uitkomst_doelgroep[Uitgangssituatie/effect beleid],uitkomst_tech[[#This Row],[Uitgangssituatie/effect beleid]])</f>
        <v>0</v>
      </c>
      <c r="G162" s="398">
        <f>SUMIFS(uitkomst_doelgroep[Arbeidsbesparing (€)],uitkomst_doelgroep[Digitale zorgtoepassing],B162,uitkomst_doelgroep[Jaar],D162,uitkomst_doelgroep[Arbeidsbesparing (€)],"&gt;0",uitkomst_doelgroep[Uitgangssituatie/effect beleid],uitkomst_tech[[#This Row],[Uitgangssituatie/effect beleid]])</f>
        <v>0</v>
      </c>
      <c r="H162" s="398">
        <f>SUMIFS(uitkomst_doelgroep[Arbeidsbesparing (FTE)],uitkomst_doelgroep[Digitale zorgtoepassing],B162,uitkomst_doelgroep[Jaar],D162,uitkomst_doelgroep[Arbeidsbesparing (FTE)],"&gt;0",uitkomst_doelgroep[Uitgangssituatie/effect beleid],uitkomst_tech[[#This Row],[Uitgangssituatie/effect beleid]])</f>
        <v>0</v>
      </c>
      <c r="I162" s="398">
        <f>SUMIFS(uitkomst_doelgroep[Overige besparingen (€)],uitkomst_doelgroep[Digitale zorgtoepassing],B162,uitkomst_doelgroep[Jaar],D162,uitkomst_doelgroep[Overige besparingen (€)],"&gt;0",uitkomst_doelgroep[Uitgangssituatie/effect beleid],uitkomst_tech[[#This Row],[Uitgangssituatie/effect beleid]])</f>
        <v>0</v>
      </c>
      <c r="J162" s="398">
        <f>SUMIFS(uitkomst_doelgroep[QALY (€)],uitkomst_doelgroep[Digitale zorgtoepassing],B162,uitkomst_doelgroep[Jaar],D162,uitkomst_doelgroep[QALY (€)],"&gt;0",uitkomst_doelgroep[Uitgangssituatie/effect beleid],uitkomst_tech[[#This Row],[Uitgangssituatie/effect beleid]])</f>
        <v>0</v>
      </c>
      <c r="K162" s="398">
        <f>SUMIFS(uitkomst_doelgroep[Kosten (€)],uitkomst_doelgroep[Digitale zorgtoepassing],B162,uitkomst_doelgroep[Jaar],D162,uitkomst_doelgroep[Kosten (€)],"&gt;0",uitkomst_doelgroep[Uitgangssituatie/effect beleid],uitkomst_tech[[#This Row],[Uitgangssituatie/effect beleid]])</f>
        <v>0</v>
      </c>
      <c r="L162" s="398">
        <f>SUMIFS(uitkomst_doelgroep[Investering (cash flow) (€)],uitkomst_doelgroep[Digitale zorgtoepassing],B162,uitkomst_doelgroep[Jaar],D162,uitkomst_doelgroep[Investering (cash flow) (€)],"&gt;0",uitkomst_doelgroep[Uitgangssituatie/effect beleid],uitkomst_tech[[#This Row],[Uitgangssituatie/effect beleid]])</f>
        <v>0</v>
      </c>
    </row>
    <row r="163" spans="1:12" x14ac:dyDescent="0.5">
      <c r="A163" s="42" t="e">
        <f>INDEX(Technologieën[Veld],MATCH(B163,Technologieën[Digitale zorgtoepassing],0))</f>
        <v>#N/A</v>
      </c>
      <c r="B163" s="33" t="s">
        <v>93</v>
      </c>
      <c r="C163" s="33" t="s">
        <v>812</v>
      </c>
      <c r="D163" s="33">
        <v>2027</v>
      </c>
      <c r="E163" s="2">
        <v>140</v>
      </c>
      <c r="F163" s="397">
        <f>SUMIFS(uitkomst_doelgroep[Patiëntaantallen],uitkomst_doelgroep[Digitale zorgtoepassing],B163,uitkomst_doelgroep[Jaar],D163,uitkomst_doelgroep[Arbeidsbesparing (€)],"&gt;0",uitkomst_doelgroep[Uitgangssituatie/effect beleid],uitkomst_tech[[#This Row],[Uitgangssituatie/effect beleid]])</f>
        <v>0</v>
      </c>
      <c r="G163" s="398">
        <f>SUMIFS(uitkomst_doelgroep[Arbeidsbesparing (€)],uitkomst_doelgroep[Digitale zorgtoepassing],B163,uitkomst_doelgroep[Jaar],D163,uitkomst_doelgroep[Arbeidsbesparing (€)],"&gt;0",uitkomst_doelgroep[Uitgangssituatie/effect beleid],uitkomst_tech[[#This Row],[Uitgangssituatie/effect beleid]])</f>
        <v>0</v>
      </c>
      <c r="H163" s="398">
        <f>SUMIFS(uitkomst_doelgroep[Arbeidsbesparing (FTE)],uitkomst_doelgroep[Digitale zorgtoepassing],B163,uitkomst_doelgroep[Jaar],D163,uitkomst_doelgroep[Arbeidsbesparing (FTE)],"&gt;0",uitkomst_doelgroep[Uitgangssituatie/effect beleid],uitkomst_tech[[#This Row],[Uitgangssituatie/effect beleid]])</f>
        <v>0</v>
      </c>
      <c r="I163" s="398">
        <f>SUMIFS(uitkomst_doelgroep[Overige besparingen (€)],uitkomst_doelgroep[Digitale zorgtoepassing],B163,uitkomst_doelgroep[Jaar],D163,uitkomst_doelgroep[Overige besparingen (€)],"&gt;0",uitkomst_doelgroep[Uitgangssituatie/effect beleid],uitkomst_tech[[#This Row],[Uitgangssituatie/effect beleid]])</f>
        <v>0</v>
      </c>
      <c r="J163" s="398">
        <f>SUMIFS(uitkomst_doelgroep[QALY (€)],uitkomst_doelgroep[Digitale zorgtoepassing],B163,uitkomst_doelgroep[Jaar],D163,uitkomst_doelgroep[QALY (€)],"&gt;0",uitkomst_doelgroep[Uitgangssituatie/effect beleid],uitkomst_tech[[#This Row],[Uitgangssituatie/effect beleid]])</f>
        <v>0</v>
      </c>
      <c r="K163" s="398">
        <f>SUMIFS(uitkomst_doelgroep[Kosten (€)],uitkomst_doelgroep[Digitale zorgtoepassing],B163,uitkomst_doelgroep[Jaar],D163,uitkomst_doelgroep[Kosten (€)],"&gt;0",uitkomst_doelgroep[Uitgangssituatie/effect beleid],uitkomst_tech[[#This Row],[Uitgangssituatie/effect beleid]])</f>
        <v>0</v>
      </c>
      <c r="L163" s="398">
        <f>SUMIFS(uitkomst_doelgroep[Investering (cash flow) (€)],uitkomst_doelgroep[Digitale zorgtoepassing],B163,uitkomst_doelgroep[Jaar],D163,uitkomst_doelgroep[Investering (cash flow) (€)],"&gt;0",uitkomst_doelgroep[Uitgangssituatie/effect beleid],uitkomst_tech[[#This Row],[Uitgangssituatie/effect beleid]])</f>
        <v>0</v>
      </c>
    </row>
    <row r="164" spans="1:12" x14ac:dyDescent="0.5">
      <c r="A164" s="42" t="e">
        <f>INDEX(Technologieën[Veld],MATCH(B164,Technologieën[Digitale zorgtoepassing],0))</f>
        <v>#N/A</v>
      </c>
      <c r="B164" s="33" t="s">
        <v>93</v>
      </c>
      <c r="C164" s="33" t="s">
        <v>812</v>
      </c>
      <c r="D164" s="33">
        <v>2029</v>
      </c>
      <c r="E164" s="2">
        <v>204</v>
      </c>
      <c r="F164" s="397">
        <f>SUMIFS(uitkomst_doelgroep[Patiëntaantallen],uitkomst_doelgroep[Digitale zorgtoepassing],B164,uitkomst_doelgroep[Jaar],D164,uitkomst_doelgroep[Arbeidsbesparing (€)],"&gt;0",uitkomst_doelgroep[Uitgangssituatie/effect beleid],uitkomst_tech[[#This Row],[Uitgangssituatie/effect beleid]])</f>
        <v>0</v>
      </c>
      <c r="G164" s="398">
        <f>SUMIFS(uitkomst_doelgroep[Arbeidsbesparing (€)],uitkomst_doelgroep[Digitale zorgtoepassing],B164,uitkomst_doelgroep[Jaar],D164,uitkomst_doelgroep[Arbeidsbesparing (€)],"&gt;0",uitkomst_doelgroep[Uitgangssituatie/effect beleid],uitkomst_tech[[#This Row],[Uitgangssituatie/effect beleid]])</f>
        <v>0</v>
      </c>
      <c r="H164" s="398">
        <f>SUMIFS(uitkomst_doelgroep[Arbeidsbesparing (FTE)],uitkomst_doelgroep[Digitale zorgtoepassing],B164,uitkomst_doelgroep[Jaar],D164,uitkomst_doelgroep[Arbeidsbesparing (FTE)],"&gt;0",uitkomst_doelgroep[Uitgangssituatie/effect beleid],uitkomst_tech[[#This Row],[Uitgangssituatie/effect beleid]])</f>
        <v>0</v>
      </c>
      <c r="I164" s="398">
        <f>SUMIFS(uitkomst_doelgroep[Overige besparingen (€)],uitkomst_doelgroep[Digitale zorgtoepassing],B164,uitkomst_doelgroep[Jaar],D164,uitkomst_doelgroep[Overige besparingen (€)],"&gt;0",uitkomst_doelgroep[Uitgangssituatie/effect beleid],uitkomst_tech[[#This Row],[Uitgangssituatie/effect beleid]])</f>
        <v>0</v>
      </c>
      <c r="J164" s="398">
        <f>SUMIFS(uitkomst_doelgroep[QALY (€)],uitkomst_doelgroep[Digitale zorgtoepassing],B164,uitkomst_doelgroep[Jaar],D164,uitkomst_doelgroep[QALY (€)],"&gt;0",uitkomst_doelgroep[Uitgangssituatie/effect beleid],uitkomst_tech[[#This Row],[Uitgangssituatie/effect beleid]])</f>
        <v>0</v>
      </c>
      <c r="K164" s="398">
        <f>SUMIFS(uitkomst_doelgroep[Kosten (€)],uitkomst_doelgroep[Digitale zorgtoepassing],B164,uitkomst_doelgroep[Jaar],D164,uitkomst_doelgroep[Kosten (€)],"&gt;0",uitkomst_doelgroep[Uitgangssituatie/effect beleid],uitkomst_tech[[#This Row],[Uitgangssituatie/effect beleid]])</f>
        <v>0</v>
      </c>
      <c r="L164" s="398">
        <f>SUMIFS(uitkomst_doelgroep[Investering (cash flow) (€)],uitkomst_doelgroep[Digitale zorgtoepassing],B164,uitkomst_doelgroep[Jaar],D164,uitkomst_doelgroep[Investering (cash flow) (€)],"&gt;0",uitkomst_doelgroep[Uitgangssituatie/effect beleid],uitkomst_tech[[#This Row],[Uitgangssituatie/effect beleid]])</f>
        <v>0</v>
      </c>
    </row>
    <row r="165" spans="1:12" x14ac:dyDescent="0.5">
      <c r="A165" s="42" t="e">
        <f>INDEX(Technologieën[Veld],MATCH(B165,Technologieën[Digitale zorgtoepassing],0))</f>
        <v>#N/A</v>
      </c>
      <c r="B165" s="33" t="s">
        <v>93</v>
      </c>
      <c r="C165" s="33" t="s">
        <v>812</v>
      </c>
      <c r="D165" s="33">
        <v>2030</v>
      </c>
      <c r="E165" s="2">
        <v>236</v>
      </c>
      <c r="F165" s="397">
        <f>SUMIFS(uitkomst_doelgroep[Patiëntaantallen],uitkomst_doelgroep[Digitale zorgtoepassing],B165,uitkomst_doelgroep[Jaar],D165,uitkomst_doelgroep[Arbeidsbesparing (€)],"&gt;0",uitkomst_doelgroep[Uitgangssituatie/effect beleid],uitkomst_tech[[#This Row],[Uitgangssituatie/effect beleid]])</f>
        <v>0</v>
      </c>
      <c r="G165" s="398">
        <f>SUMIFS(uitkomst_doelgroep[Arbeidsbesparing (€)],uitkomst_doelgroep[Digitale zorgtoepassing],B165,uitkomst_doelgroep[Jaar],D165,uitkomst_doelgroep[Arbeidsbesparing (€)],"&gt;0",uitkomst_doelgroep[Uitgangssituatie/effect beleid],uitkomst_tech[[#This Row],[Uitgangssituatie/effect beleid]])</f>
        <v>0</v>
      </c>
      <c r="H165" s="398">
        <f>SUMIFS(uitkomst_doelgroep[Arbeidsbesparing (FTE)],uitkomst_doelgroep[Digitale zorgtoepassing],B165,uitkomst_doelgroep[Jaar],D165,uitkomst_doelgroep[Arbeidsbesparing (FTE)],"&gt;0",uitkomst_doelgroep[Uitgangssituatie/effect beleid],uitkomst_tech[[#This Row],[Uitgangssituatie/effect beleid]])</f>
        <v>0</v>
      </c>
      <c r="I165" s="398">
        <f>SUMIFS(uitkomst_doelgroep[Overige besparingen (€)],uitkomst_doelgroep[Digitale zorgtoepassing],B165,uitkomst_doelgroep[Jaar],D165,uitkomst_doelgroep[Overige besparingen (€)],"&gt;0",uitkomst_doelgroep[Uitgangssituatie/effect beleid],uitkomst_tech[[#This Row],[Uitgangssituatie/effect beleid]])</f>
        <v>0</v>
      </c>
      <c r="J165" s="398">
        <f>SUMIFS(uitkomst_doelgroep[QALY (€)],uitkomst_doelgroep[Digitale zorgtoepassing],B165,uitkomst_doelgroep[Jaar],D165,uitkomst_doelgroep[QALY (€)],"&gt;0",uitkomst_doelgroep[Uitgangssituatie/effect beleid],uitkomst_tech[[#This Row],[Uitgangssituatie/effect beleid]])</f>
        <v>0</v>
      </c>
      <c r="K165" s="398">
        <f>SUMIFS(uitkomst_doelgroep[Kosten (€)],uitkomst_doelgroep[Digitale zorgtoepassing],B165,uitkomst_doelgroep[Jaar],D165,uitkomst_doelgroep[Kosten (€)],"&gt;0",uitkomst_doelgroep[Uitgangssituatie/effect beleid],uitkomst_tech[[#This Row],[Uitgangssituatie/effect beleid]])</f>
        <v>0</v>
      </c>
      <c r="L165" s="398">
        <f>SUMIFS(uitkomst_doelgroep[Investering (cash flow) (€)],uitkomst_doelgroep[Digitale zorgtoepassing],B165,uitkomst_doelgroep[Jaar],D165,uitkomst_doelgroep[Investering (cash flow) (€)],"&gt;0",uitkomst_doelgroep[Uitgangssituatie/effect beleid],uitkomst_tech[[#This Row],[Uitgangssituatie/effect beleid]])</f>
        <v>0</v>
      </c>
    </row>
    <row r="166" spans="1:12" x14ac:dyDescent="0.5">
      <c r="A166" s="42" t="e">
        <f>INDEX(Technologieën[Veld],MATCH(B166,Technologieën[Digitale zorgtoepassing],0))</f>
        <v>#N/A</v>
      </c>
      <c r="B166" s="33" t="s">
        <v>93</v>
      </c>
      <c r="C166" s="33" t="s">
        <v>812</v>
      </c>
      <c r="D166" s="33">
        <v>2031</v>
      </c>
      <c r="E166" s="2">
        <v>268</v>
      </c>
      <c r="F166" s="397">
        <f>SUMIFS(uitkomst_doelgroep[Patiëntaantallen],uitkomst_doelgroep[Digitale zorgtoepassing],B166,uitkomst_doelgroep[Jaar],D166,uitkomst_doelgroep[Arbeidsbesparing (€)],"&gt;0",uitkomst_doelgroep[Uitgangssituatie/effect beleid],uitkomst_tech[[#This Row],[Uitgangssituatie/effect beleid]])</f>
        <v>0</v>
      </c>
      <c r="G166" s="398">
        <f>SUMIFS(uitkomst_doelgroep[Arbeidsbesparing (€)],uitkomst_doelgroep[Digitale zorgtoepassing],B166,uitkomst_doelgroep[Jaar],D166,uitkomst_doelgroep[Arbeidsbesparing (€)],"&gt;0",uitkomst_doelgroep[Uitgangssituatie/effect beleid],uitkomst_tech[[#This Row],[Uitgangssituatie/effect beleid]])</f>
        <v>0</v>
      </c>
      <c r="H166" s="398">
        <f>SUMIFS(uitkomst_doelgroep[Arbeidsbesparing (FTE)],uitkomst_doelgroep[Digitale zorgtoepassing],B166,uitkomst_doelgroep[Jaar],D166,uitkomst_doelgroep[Arbeidsbesparing (FTE)],"&gt;0",uitkomst_doelgroep[Uitgangssituatie/effect beleid],uitkomst_tech[[#This Row],[Uitgangssituatie/effect beleid]])</f>
        <v>0</v>
      </c>
      <c r="I166" s="398">
        <f>SUMIFS(uitkomst_doelgroep[Overige besparingen (€)],uitkomst_doelgroep[Digitale zorgtoepassing],B166,uitkomst_doelgroep[Jaar],D166,uitkomst_doelgroep[Overige besparingen (€)],"&gt;0",uitkomst_doelgroep[Uitgangssituatie/effect beleid],uitkomst_tech[[#This Row],[Uitgangssituatie/effect beleid]])</f>
        <v>0</v>
      </c>
      <c r="J166" s="398">
        <f>SUMIFS(uitkomst_doelgroep[QALY (€)],uitkomst_doelgroep[Digitale zorgtoepassing],B166,uitkomst_doelgroep[Jaar],D166,uitkomst_doelgroep[QALY (€)],"&gt;0",uitkomst_doelgroep[Uitgangssituatie/effect beleid],uitkomst_tech[[#This Row],[Uitgangssituatie/effect beleid]])</f>
        <v>0</v>
      </c>
      <c r="K166" s="398">
        <f>SUMIFS(uitkomst_doelgroep[Kosten (€)],uitkomst_doelgroep[Digitale zorgtoepassing],B166,uitkomst_doelgroep[Jaar],D166,uitkomst_doelgroep[Kosten (€)],"&gt;0",uitkomst_doelgroep[Uitgangssituatie/effect beleid],uitkomst_tech[[#This Row],[Uitgangssituatie/effect beleid]])</f>
        <v>0</v>
      </c>
      <c r="L166" s="398">
        <f>SUMIFS(uitkomst_doelgroep[Investering (cash flow) (€)],uitkomst_doelgroep[Digitale zorgtoepassing],B166,uitkomst_doelgroep[Jaar],D166,uitkomst_doelgroep[Investering (cash flow) (€)],"&gt;0",uitkomst_doelgroep[Uitgangssituatie/effect beleid],uitkomst_tech[[#This Row],[Uitgangssituatie/effect beleid]])</f>
        <v>0</v>
      </c>
    </row>
    <row r="167" spans="1:12" x14ac:dyDescent="0.5">
      <c r="A167" s="42" t="e">
        <f>INDEX(Technologieën[Veld],MATCH(B167,Technologieën[Digitale zorgtoepassing],0))</f>
        <v>#N/A</v>
      </c>
      <c r="B167" s="33" t="s">
        <v>93</v>
      </c>
      <c r="C167" s="33" t="s">
        <v>812</v>
      </c>
      <c r="D167" s="33">
        <v>2032</v>
      </c>
      <c r="E167" s="2">
        <v>300</v>
      </c>
      <c r="F167" s="397">
        <f>SUMIFS(uitkomst_doelgroep[Patiëntaantallen],uitkomst_doelgroep[Digitale zorgtoepassing],B167,uitkomst_doelgroep[Jaar],D167,uitkomst_doelgroep[Arbeidsbesparing (€)],"&gt;0",uitkomst_doelgroep[Uitgangssituatie/effect beleid],uitkomst_tech[[#This Row],[Uitgangssituatie/effect beleid]])</f>
        <v>0</v>
      </c>
      <c r="G167" s="398">
        <f>SUMIFS(uitkomst_doelgroep[Arbeidsbesparing (€)],uitkomst_doelgroep[Digitale zorgtoepassing],B167,uitkomst_doelgroep[Jaar],D167,uitkomst_doelgroep[Arbeidsbesparing (€)],"&gt;0",uitkomst_doelgroep[Uitgangssituatie/effect beleid],uitkomst_tech[[#This Row],[Uitgangssituatie/effect beleid]])</f>
        <v>0</v>
      </c>
      <c r="H167" s="398">
        <f>SUMIFS(uitkomst_doelgroep[Arbeidsbesparing (FTE)],uitkomst_doelgroep[Digitale zorgtoepassing],B167,uitkomst_doelgroep[Jaar],D167,uitkomst_doelgroep[Arbeidsbesparing (FTE)],"&gt;0",uitkomst_doelgroep[Uitgangssituatie/effect beleid],uitkomst_tech[[#This Row],[Uitgangssituatie/effect beleid]])</f>
        <v>0</v>
      </c>
      <c r="I167" s="398">
        <f>SUMIFS(uitkomst_doelgroep[Overige besparingen (€)],uitkomst_doelgroep[Digitale zorgtoepassing],B167,uitkomst_doelgroep[Jaar],D167,uitkomst_doelgroep[Overige besparingen (€)],"&gt;0",uitkomst_doelgroep[Uitgangssituatie/effect beleid],uitkomst_tech[[#This Row],[Uitgangssituatie/effect beleid]])</f>
        <v>0</v>
      </c>
      <c r="J167" s="398">
        <f>SUMIFS(uitkomst_doelgroep[QALY (€)],uitkomst_doelgroep[Digitale zorgtoepassing],B167,uitkomst_doelgroep[Jaar],D167,uitkomst_doelgroep[QALY (€)],"&gt;0",uitkomst_doelgroep[Uitgangssituatie/effect beleid],uitkomst_tech[[#This Row],[Uitgangssituatie/effect beleid]])</f>
        <v>0</v>
      </c>
      <c r="K167" s="398">
        <f>SUMIFS(uitkomst_doelgroep[Kosten (€)],uitkomst_doelgroep[Digitale zorgtoepassing],B167,uitkomst_doelgroep[Jaar],D167,uitkomst_doelgroep[Kosten (€)],"&gt;0",uitkomst_doelgroep[Uitgangssituatie/effect beleid],uitkomst_tech[[#This Row],[Uitgangssituatie/effect beleid]])</f>
        <v>0</v>
      </c>
      <c r="L167" s="398">
        <f>SUMIFS(uitkomst_doelgroep[Investering (cash flow) (€)],uitkomst_doelgroep[Digitale zorgtoepassing],B167,uitkomst_doelgroep[Jaar],D167,uitkomst_doelgroep[Investering (cash flow) (€)],"&gt;0",uitkomst_doelgroep[Uitgangssituatie/effect beleid],uitkomst_tech[[#This Row],[Uitgangssituatie/effect beleid]])</f>
        <v>0</v>
      </c>
    </row>
    <row r="168" spans="1:12" x14ac:dyDescent="0.5">
      <c r="A168" s="42" t="e">
        <f>INDEX(Technologieën[Veld],MATCH(B168,Technologieën[Digitale zorgtoepassing],0))</f>
        <v>#N/A</v>
      </c>
      <c r="B168" s="33" t="s">
        <v>93</v>
      </c>
      <c r="C168" s="33" t="s">
        <v>812</v>
      </c>
      <c r="D168" s="33">
        <v>2033</v>
      </c>
      <c r="E168" s="2">
        <v>332</v>
      </c>
      <c r="F168" s="397">
        <f>SUMIFS(uitkomst_doelgroep[Patiëntaantallen],uitkomst_doelgroep[Digitale zorgtoepassing],B168,uitkomst_doelgroep[Jaar],D168,uitkomst_doelgroep[Arbeidsbesparing (€)],"&gt;0",uitkomst_doelgroep[Uitgangssituatie/effect beleid],uitkomst_tech[[#This Row],[Uitgangssituatie/effect beleid]])</f>
        <v>0</v>
      </c>
      <c r="G168" s="398">
        <f>SUMIFS(uitkomst_doelgroep[Arbeidsbesparing (€)],uitkomst_doelgroep[Digitale zorgtoepassing],B168,uitkomst_doelgroep[Jaar],D168,uitkomst_doelgroep[Arbeidsbesparing (€)],"&gt;0",uitkomst_doelgroep[Uitgangssituatie/effect beleid],uitkomst_tech[[#This Row],[Uitgangssituatie/effect beleid]])</f>
        <v>0</v>
      </c>
      <c r="H168" s="398">
        <f>SUMIFS(uitkomst_doelgroep[Arbeidsbesparing (FTE)],uitkomst_doelgroep[Digitale zorgtoepassing],B168,uitkomst_doelgroep[Jaar],D168,uitkomst_doelgroep[Arbeidsbesparing (FTE)],"&gt;0",uitkomst_doelgroep[Uitgangssituatie/effect beleid],uitkomst_tech[[#This Row],[Uitgangssituatie/effect beleid]])</f>
        <v>0</v>
      </c>
      <c r="I168" s="398">
        <f>SUMIFS(uitkomst_doelgroep[Overige besparingen (€)],uitkomst_doelgroep[Digitale zorgtoepassing],B168,uitkomst_doelgroep[Jaar],D168,uitkomst_doelgroep[Overige besparingen (€)],"&gt;0",uitkomst_doelgroep[Uitgangssituatie/effect beleid],uitkomst_tech[[#This Row],[Uitgangssituatie/effect beleid]])</f>
        <v>0</v>
      </c>
      <c r="J168" s="398">
        <f>SUMIFS(uitkomst_doelgroep[QALY (€)],uitkomst_doelgroep[Digitale zorgtoepassing],B168,uitkomst_doelgroep[Jaar],D168,uitkomst_doelgroep[QALY (€)],"&gt;0",uitkomst_doelgroep[Uitgangssituatie/effect beleid],uitkomst_tech[[#This Row],[Uitgangssituatie/effect beleid]])</f>
        <v>0</v>
      </c>
      <c r="K168" s="398">
        <f>SUMIFS(uitkomst_doelgroep[Kosten (€)],uitkomst_doelgroep[Digitale zorgtoepassing],B168,uitkomst_doelgroep[Jaar],D168,uitkomst_doelgroep[Kosten (€)],"&gt;0",uitkomst_doelgroep[Uitgangssituatie/effect beleid],uitkomst_tech[[#This Row],[Uitgangssituatie/effect beleid]])</f>
        <v>0</v>
      </c>
      <c r="L168" s="398">
        <f>SUMIFS(uitkomst_doelgroep[Investering (cash flow) (€)],uitkomst_doelgroep[Digitale zorgtoepassing],B168,uitkomst_doelgroep[Jaar],D168,uitkomst_doelgroep[Investering (cash flow) (€)],"&gt;0",uitkomst_doelgroep[Uitgangssituatie/effect beleid],uitkomst_tech[[#This Row],[Uitgangssituatie/effect beleid]])</f>
        <v>0</v>
      </c>
    </row>
    <row r="169" spans="1:12" x14ac:dyDescent="0.5">
      <c r="A169" s="42" t="str">
        <f>INDEX(Technologieën[Veld],MATCH(B169,Technologieën[Digitale zorgtoepassing],0))</f>
        <v>Digitale hulpmiddelen - Verpleging</v>
      </c>
      <c r="B169" s="33" t="s">
        <v>105</v>
      </c>
      <c r="C169" s="33" t="s">
        <v>812</v>
      </c>
      <c r="D169" s="33">
        <v>2023</v>
      </c>
      <c r="E169" s="2">
        <v>5</v>
      </c>
      <c r="F169" s="397">
        <f>SUMIFS(uitkomst_doelgroep[Patiëntaantallen],uitkomst_doelgroep[Digitale zorgtoepassing],B169,uitkomst_doelgroep[Jaar],D169,uitkomst_doelgroep[Arbeidsbesparing (€)],"&gt;0",uitkomst_doelgroep[Uitgangssituatie/effect beleid],uitkomst_tech[[#This Row],[Uitgangssituatie/effect beleid]])</f>
        <v>0</v>
      </c>
      <c r="G169" s="398">
        <f>SUMIFS(uitkomst_doelgroep[Arbeidsbesparing (€)],uitkomst_doelgroep[Digitale zorgtoepassing],B169,uitkomst_doelgroep[Jaar],D169,uitkomst_doelgroep[Arbeidsbesparing (€)],"&gt;0",uitkomst_doelgroep[Uitgangssituatie/effect beleid],uitkomst_tech[[#This Row],[Uitgangssituatie/effect beleid]])</f>
        <v>0</v>
      </c>
      <c r="H169" s="398">
        <f>SUMIFS(uitkomst_doelgroep[Arbeidsbesparing (FTE)],uitkomst_doelgroep[Digitale zorgtoepassing],B169,uitkomst_doelgroep[Jaar],D169,uitkomst_doelgroep[Arbeidsbesparing (FTE)],"&gt;0",uitkomst_doelgroep[Uitgangssituatie/effect beleid],uitkomst_tech[[#This Row],[Uitgangssituatie/effect beleid]])</f>
        <v>0</v>
      </c>
      <c r="I169" s="398">
        <f>SUMIFS(uitkomst_doelgroep[Overige besparingen (€)],uitkomst_doelgroep[Digitale zorgtoepassing],B169,uitkomst_doelgroep[Jaar],D169,uitkomst_doelgroep[Overige besparingen (€)],"&gt;0",uitkomst_doelgroep[Uitgangssituatie/effect beleid],uitkomst_tech[[#This Row],[Uitgangssituatie/effect beleid]])</f>
        <v>0</v>
      </c>
      <c r="J169" s="398">
        <f>SUMIFS(uitkomst_doelgroep[QALY (€)],uitkomst_doelgroep[Digitale zorgtoepassing],B169,uitkomst_doelgroep[Jaar],D169,uitkomst_doelgroep[QALY (€)],"&gt;0",uitkomst_doelgroep[Uitgangssituatie/effect beleid],uitkomst_tech[[#This Row],[Uitgangssituatie/effect beleid]])</f>
        <v>0</v>
      </c>
      <c r="K169" s="398">
        <f>SUMIFS(uitkomst_doelgroep[Kosten (€)],uitkomst_doelgroep[Digitale zorgtoepassing],B169,uitkomst_doelgroep[Jaar],D169,uitkomst_doelgroep[Kosten (€)],"&gt;0",uitkomst_doelgroep[Uitgangssituatie/effect beleid],uitkomst_tech[[#This Row],[Uitgangssituatie/effect beleid]])</f>
        <v>0</v>
      </c>
      <c r="L169" s="398">
        <f>SUMIFS(uitkomst_doelgroep[Investering (cash flow) (€)],uitkomst_doelgroep[Digitale zorgtoepassing],B169,uitkomst_doelgroep[Jaar],D169,uitkomst_doelgroep[Investering (cash flow) (€)],"&gt;0",uitkomst_doelgroep[Uitgangssituatie/effect beleid],uitkomst_tech[[#This Row],[Uitgangssituatie/effect beleid]])</f>
        <v>0</v>
      </c>
    </row>
    <row r="170" spans="1:12" x14ac:dyDescent="0.5">
      <c r="A170" s="42" t="str">
        <f>INDEX(Technologieën[Veld],MATCH(B170,Technologieën[Digitale zorgtoepassing],0))</f>
        <v>Digitale hulpmiddelen - Verpleging</v>
      </c>
      <c r="B170" s="33" t="s">
        <v>105</v>
      </c>
      <c r="C170" s="33" t="s">
        <v>812</v>
      </c>
      <c r="D170" s="33">
        <v>2024</v>
      </c>
      <c r="E170" s="2">
        <v>37</v>
      </c>
      <c r="F170" s="397">
        <f>SUMIFS(uitkomst_doelgroep[Patiëntaantallen],uitkomst_doelgroep[Digitale zorgtoepassing],B170,uitkomst_doelgroep[Jaar],D170,uitkomst_doelgroep[Arbeidsbesparing (€)],"&gt;0",uitkomst_doelgroep[Uitgangssituatie/effect beleid],uitkomst_tech[[#This Row],[Uitgangssituatie/effect beleid]])</f>
        <v>0</v>
      </c>
      <c r="G170" s="398">
        <f>SUMIFS(uitkomst_doelgroep[Arbeidsbesparing (€)],uitkomst_doelgroep[Digitale zorgtoepassing],B170,uitkomst_doelgroep[Jaar],D170,uitkomst_doelgroep[Arbeidsbesparing (€)],"&gt;0",uitkomst_doelgroep[Uitgangssituatie/effect beleid],uitkomst_tech[[#This Row],[Uitgangssituatie/effect beleid]])</f>
        <v>0</v>
      </c>
      <c r="H170" s="398">
        <f>SUMIFS(uitkomst_doelgroep[Arbeidsbesparing (FTE)],uitkomst_doelgroep[Digitale zorgtoepassing],B170,uitkomst_doelgroep[Jaar],D170,uitkomst_doelgroep[Arbeidsbesparing (FTE)],"&gt;0",uitkomst_doelgroep[Uitgangssituatie/effect beleid],uitkomst_tech[[#This Row],[Uitgangssituatie/effect beleid]])</f>
        <v>0</v>
      </c>
      <c r="I170" s="398">
        <f>SUMIFS(uitkomst_doelgroep[Overige besparingen (€)],uitkomst_doelgroep[Digitale zorgtoepassing],B170,uitkomst_doelgroep[Jaar],D170,uitkomst_doelgroep[Overige besparingen (€)],"&gt;0",uitkomst_doelgroep[Uitgangssituatie/effect beleid],uitkomst_tech[[#This Row],[Uitgangssituatie/effect beleid]])</f>
        <v>0</v>
      </c>
      <c r="J170" s="398">
        <f>SUMIFS(uitkomst_doelgroep[QALY (€)],uitkomst_doelgroep[Digitale zorgtoepassing],B170,uitkomst_doelgroep[Jaar],D170,uitkomst_doelgroep[QALY (€)],"&gt;0",uitkomst_doelgroep[Uitgangssituatie/effect beleid],uitkomst_tech[[#This Row],[Uitgangssituatie/effect beleid]])</f>
        <v>0</v>
      </c>
      <c r="K170" s="398">
        <f>SUMIFS(uitkomst_doelgroep[Kosten (€)],uitkomst_doelgroep[Digitale zorgtoepassing],B170,uitkomst_doelgroep[Jaar],D170,uitkomst_doelgroep[Kosten (€)],"&gt;0",uitkomst_doelgroep[Uitgangssituatie/effect beleid],uitkomst_tech[[#This Row],[Uitgangssituatie/effect beleid]])</f>
        <v>0</v>
      </c>
      <c r="L170" s="398">
        <f>SUMIFS(uitkomst_doelgroep[Investering (cash flow) (€)],uitkomst_doelgroep[Digitale zorgtoepassing],B170,uitkomst_doelgroep[Jaar],D170,uitkomst_doelgroep[Investering (cash flow) (€)],"&gt;0",uitkomst_doelgroep[Uitgangssituatie/effect beleid],uitkomst_tech[[#This Row],[Uitgangssituatie/effect beleid]])</f>
        <v>0</v>
      </c>
    </row>
    <row r="171" spans="1:12" x14ac:dyDescent="0.5">
      <c r="A171" s="42" t="str">
        <f>INDEX(Technologieën[Veld],MATCH(B171,Technologieën[Digitale zorgtoepassing],0))</f>
        <v>Digitale hulpmiddelen - Verpleging</v>
      </c>
      <c r="B171" s="33" t="s">
        <v>105</v>
      </c>
      <c r="C171" s="33" t="s">
        <v>812</v>
      </c>
      <c r="D171" s="33">
        <v>2025</v>
      </c>
      <c r="E171" s="2">
        <v>69</v>
      </c>
      <c r="F171" s="397">
        <f>SUMIFS(uitkomst_doelgroep[Patiëntaantallen],uitkomst_doelgroep[Digitale zorgtoepassing],B171,uitkomst_doelgroep[Jaar],D171,uitkomst_doelgroep[Arbeidsbesparing (€)],"&gt;0",uitkomst_doelgroep[Uitgangssituatie/effect beleid],uitkomst_tech[[#This Row],[Uitgangssituatie/effect beleid]])</f>
        <v>0</v>
      </c>
      <c r="G171" s="398">
        <f>SUMIFS(uitkomst_doelgroep[Arbeidsbesparing (€)],uitkomst_doelgroep[Digitale zorgtoepassing],B171,uitkomst_doelgroep[Jaar],D171,uitkomst_doelgroep[Arbeidsbesparing (€)],"&gt;0",uitkomst_doelgroep[Uitgangssituatie/effect beleid],uitkomst_tech[[#This Row],[Uitgangssituatie/effect beleid]])</f>
        <v>0</v>
      </c>
      <c r="H171" s="398">
        <f>SUMIFS(uitkomst_doelgroep[Arbeidsbesparing (FTE)],uitkomst_doelgroep[Digitale zorgtoepassing],B171,uitkomst_doelgroep[Jaar],D171,uitkomst_doelgroep[Arbeidsbesparing (FTE)],"&gt;0",uitkomst_doelgroep[Uitgangssituatie/effect beleid],uitkomst_tech[[#This Row],[Uitgangssituatie/effect beleid]])</f>
        <v>0</v>
      </c>
      <c r="I171" s="398">
        <f>SUMIFS(uitkomst_doelgroep[Overige besparingen (€)],uitkomst_doelgroep[Digitale zorgtoepassing],B171,uitkomst_doelgroep[Jaar],D171,uitkomst_doelgroep[Overige besparingen (€)],"&gt;0",uitkomst_doelgroep[Uitgangssituatie/effect beleid],uitkomst_tech[[#This Row],[Uitgangssituatie/effect beleid]])</f>
        <v>0</v>
      </c>
      <c r="J171" s="398">
        <f>SUMIFS(uitkomst_doelgroep[QALY (€)],uitkomst_doelgroep[Digitale zorgtoepassing],B171,uitkomst_doelgroep[Jaar],D171,uitkomst_doelgroep[QALY (€)],"&gt;0",uitkomst_doelgroep[Uitgangssituatie/effect beleid],uitkomst_tech[[#This Row],[Uitgangssituatie/effect beleid]])</f>
        <v>0</v>
      </c>
      <c r="K171" s="398">
        <f>SUMIFS(uitkomst_doelgroep[Kosten (€)],uitkomst_doelgroep[Digitale zorgtoepassing],B171,uitkomst_doelgroep[Jaar],D171,uitkomst_doelgroep[Kosten (€)],"&gt;0",uitkomst_doelgroep[Uitgangssituatie/effect beleid],uitkomst_tech[[#This Row],[Uitgangssituatie/effect beleid]])</f>
        <v>0</v>
      </c>
      <c r="L171" s="398">
        <f>SUMIFS(uitkomst_doelgroep[Investering (cash flow) (€)],uitkomst_doelgroep[Digitale zorgtoepassing],B171,uitkomst_doelgroep[Jaar],D171,uitkomst_doelgroep[Investering (cash flow) (€)],"&gt;0",uitkomst_doelgroep[Uitgangssituatie/effect beleid],uitkomst_tech[[#This Row],[Uitgangssituatie/effect beleid]])</f>
        <v>20853.450000000004</v>
      </c>
    </row>
    <row r="172" spans="1:12" x14ac:dyDescent="0.5">
      <c r="A172" s="42" t="str">
        <f>INDEX(Technologieën[Veld],MATCH(B172,Technologieën[Digitale zorgtoepassing],0))</f>
        <v>Digitale hulpmiddelen - Verpleging</v>
      </c>
      <c r="B172" s="33" t="s">
        <v>105</v>
      </c>
      <c r="C172" s="33" t="s">
        <v>812</v>
      </c>
      <c r="D172" s="33">
        <v>2026</v>
      </c>
      <c r="E172" s="2">
        <v>101</v>
      </c>
      <c r="F172" s="397">
        <f>SUMIFS(uitkomst_doelgroep[Patiëntaantallen],uitkomst_doelgroep[Digitale zorgtoepassing],B172,uitkomst_doelgroep[Jaar],D172,uitkomst_doelgroep[Arbeidsbesparing (€)],"&gt;0",uitkomst_doelgroep[Uitgangssituatie/effect beleid],uitkomst_tech[[#This Row],[Uitgangssituatie/effect beleid]])</f>
        <v>4.634100000000001</v>
      </c>
      <c r="G172" s="398">
        <f>SUMIFS(uitkomst_doelgroep[Arbeidsbesparing (€)],uitkomst_doelgroep[Digitale zorgtoepassing],B172,uitkomst_doelgroep[Jaar],D172,uitkomst_doelgroep[Arbeidsbesparing (€)],"&gt;0",uitkomst_doelgroep[Uitgangssituatie/effect beleid],uitkomst_tech[[#This Row],[Uitgangssituatie/effect beleid]])</f>
        <v>79680.63871129656</v>
      </c>
      <c r="H172" s="398">
        <f>SUMIFS(uitkomst_doelgroep[Arbeidsbesparing (FTE)],uitkomst_doelgroep[Digitale zorgtoepassing],B172,uitkomst_doelgroep[Jaar],D172,uitkomst_doelgroep[Arbeidsbesparing (FTE)],"&gt;0",uitkomst_doelgroep[Uitgangssituatie/effect beleid],uitkomst_tech[[#This Row],[Uitgangssituatie/effect beleid]])</f>
        <v>1.3809617999999999</v>
      </c>
      <c r="I172" s="398">
        <f>SUMIFS(uitkomst_doelgroep[Overige besparingen (€)],uitkomst_doelgroep[Digitale zorgtoepassing],B172,uitkomst_doelgroep[Jaar],D172,uitkomst_doelgroep[Overige besparingen (€)],"&gt;0",uitkomst_doelgroep[Uitgangssituatie/effect beleid],uitkomst_tech[[#This Row],[Uitgangssituatie/effect beleid]])</f>
        <v>0</v>
      </c>
      <c r="J172" s="398">
        <f>SUMIFS(uitkomst_doelgroep[QALY (€)],uitkomst_doelgroep[Digitale zorgtoepassing],B172,uitkomst_doelgroep[Jaar],D172,uitkomst_doelgroep[QALY (€)],"&gt;0",uitkomst_doelgroep[Uitgangssituatie/effect beleid],uitkomst_tech[[#This Row],[Uitgangssituatie/effect beleid]])</f>
        <v>0</v>
      </c>
      <c r="K172" s="398">
        <f>SUMIFS(uitkomst_doelgroep[Kosten (€)],uitkomst_doelgroep[Digitale zorgtoepassing],B172,uitkomst_doelgroep[Jaar],D172,uitkomst_doelgroep[Kosten (€)],"&gt;0",uitkomst_doelgroep[Uitgangssituatie/effect beleid],uitkomst_tech[[#This Row],[Uitgangssituatie/effect beleid]])</f>
        <v>0</v>
      </c>
      <c r="L172" s="398">
        <f>SUMIFS(uitkomst_doelgroep[Investering (cash flow) (€)],uitkomst_doelgroep[Digitale zorgtoepassing],B172,uitkomst_doelgroep[Jaar],D172,uitkomst_doelgroep[Investering (cash flow) (€)],"&gt;0",uitkomst_doelgroep[Uitgangssituatie/effect beleid],uitkomst_tech[[#This Row],[Uitgangssituatie/effect beleid]])</f>
        <v>27729.875137500003</v>
      </c>
    </row>
    <row r="173" spans="1:12" x14ac:dyDescent="0.5">
      <c r="A173" s="42" t="str">
        <f>INDEX(Technologieën[Veld],MATCH(B173,Technologieën[Digitale zorgtoepassing],0))</f>
        <v>Digitale hulpmiddelen - Verpleging</v>
      </c>
      <c r="B173" s="33" t="s">
        <v>105</v>
      </c>
      <c r="C173" s="33" t="s">
        <v>812</v>
      </c>
      <c r="D173" s="33">
        <v>2027</v>
      </c>
      <c r="E173" s="2">
        <v>133</v>
      </c>
      <c r="F173" s="397">
        <f>SUMIFS(uitkomst_doelgroep[Patiëntaantallen],uitkomst_doelgroep[Digitale zorgtoepassing],B173,uitkomst_doelgroep[Jaar],D173,uitkomst_doelgroep[Arbeidsbesparing (€)],"&gt;0",uitkomst_doelgroep[Uitgangssituatie/effect beleid],uitkomst_tech[[#This Row],[Uitgangssituatie/effect beleid]])</f>
        <v>10.796294475000002</v>
      </c>
      <c r="G173" s="398">
        <f>SUMIFS(uitkomst_doelgroep[Arbeidsbesparing (€)],uitkomst_doelgroep[Digitale zorgtoepassing],B173,uitkomst_doelgroep[Jaar],D173,uitkomst_doelgroep[Arbeidsbesparing (€)],"&gt;0",uitkomst_doelgroep[Uitgangssituatie/effect beleid],uitkomst_tech[[#This Row],[Uitgangssituatie/effect beleid]])</f>
        <v>185635.96803764315</v>
      </c>
      <c r="H173" s="398">
        <f>SUMIFS(uitkomst_doelgroep[Arbeidsbesparing (FTE)],uitkomst_doelgroep[Digitale zorgtoepassing],B173,uitkomst_doelgroep[Jaar],D173,uitkomst_doelgroep[Arbeidsbesparing (FTE)],"&gt;0",uitkomst_doelgroep[Uitgangssituatie/effect beleid],uitkomst_tech[[#This Row],[Uitgangssituatie/effect beleid]])</f>
        <v>3.2172957535499997</v>
      </c>
      <c r="I173" s="398">
        <f>SUMIFS(uitkomst_doelgroep[Overige besparingen (€)],uitkomst_doelgroep[Digitale zorgtoepassing],B173,uitkomst_doelgroep[Jaar],D173,uitkomst_doelgroep[Overige besparingen (€)],"&gt;0",uitkomst_doelgroep[Uitgangssituatie/effect beleid],uitkomst_tech[[#This Row],[Uitgangssituatie/effect beleid]])</f>
        <v>0</v>
      </c>
      <c r="J173" s="398">
        <f>SUMIFS(uitkomst_doelgroep[QALY (€)],uitkomst_doelgroep[Digitale zorgtoepassing],B173,uitkomst_doelgroep[Jaar],D173,uitkomst_doelgroep[QALY (€)],"&gt;0",uitkomst_doelgroep[Uitgangssituatie/effect beleid],uitkomst_tech[[#This Row],[Uitgangssituatie/effect beleid]])</f>
        <v>0</v>
      </c>
      <c r="K173" s="398">
        <f>SUMIFS(uitkomst_doelgroep[Kosten (€)],uitkomst_doelgroep[Digitale zorgtoepassing],B173,uitkomst_doelgroep[Jaar],D173,uitkomst_doelgroep[Kosten (€)],"&gt;0",uitkomst_doelgroep[Uitgangssituatie/effect beleid],uitkomst_tech[[#This Row],[Uitgangssituatie/effect beleid]])</f>
        <v>0</v>
      </c>
      <c r="L173" s="398">
        <f>SUMIFS(uitkomst_doelgroep[Investering (cash flow) (€)],uitkomst_doelgroep[Digitale zorgtoepassing],B173,uitkomst_doelgroep[Jaar],D173,uitkomst_doelgroep[Investering (cash flow) (€)],"&gt;0",uitkomst_doelgroep[Uitgangssituatie/effect beleid],uitkomst_tech[[#This Row],[Uitgangssituatie/effect beleid]])</f>
        <v>36534.632161932277</v>
      </c>
    </row>
    <row r="174" spans="1:12" x14ac:dyDescent="0.5">
      <c r="A174" s="42" t="str">
        <f>INDEX(Technologieën[Veld],MATCH(B174,Technologieën[Digitale zorgtoepassing],0))</f>
        <v>Digitale hulpmiddelen - Verpleging</v>
      </c>
      <c r="B174" s="33" t="s">
        <v>105</v>
      </c>
      <c r="C174" s="33" t="s">
        <v>812</v>
      </c>
      <c r="D174" s="33">
        <v>2028</v>
      </c>
      <c r="E174" s="2">
        <v>165</v>
      </c>
      <c r="F174" s="397">
        <f>SUMIFS(uitkomst_doelgroep[Patiëntaantallen],uitkomst_doelgroep[Digitale zorgtoepassing],B174,uitkomst_doelgroep[Jaar],D174,uitkomst_doelgroep[Arbeidsbesparing (€)],"&gt;0",uitkomst_doelgroep[Uitgangssituatie/effect beleid],uitkomst_tech[[#This Row],[Uitgangssituatie/effect beleid]])</f>
        <v>18.915101622096063</v>
      </c>
      <c r="G174" s="398">
        <f>SUMIFS(uitkomst_doelgroep[Arbeidsbesparing (€)],uitkomst_doelgroep[Digitale zorgtoepassing],B174,uitkomst_doelgroep[Jaar],D174,uitkomst_doelgroep[Arbeidsbesparing (€)],"&gt;0",uitkomst_doelgroep[Uitgangssituatie/effect beleid],uitkomst_tech[[#This Row],[Uitgangssituatie/effect beleid]])</f>
        <v>325234.10770973773</v>
      </c>
      <c r="H174" s="398">
        <f>SUMIFS(uitkomst_doelgroep[Arbeidsbesparing (FTE)],uitkomst_doelgroep[Digitale zorgtoepassing],B174,uitkomst_doelgroep[Jaar],D174,uitkomst_doelgroep[Arbeidsbesparing (FTE)],"&gt;0",uitkomst_doelgroep[Uitgangssituatie/effect beleid],uitkomst_tech[[#This Row],[Uitgangssituatie/effect beleid]])</f>
        <v>5.6367002833846254</v>
      </c>
      <c r="I174" s="398">
        <f>SUMIFS(uitkomst_doelgroep[Overige besparingen (€)],uitkomst_doelgroep[Digitale zorgtoepassing],B174,uitkomst_doelgroep[Jaar],D174,uitkomst_doelgroep[Overige besparingen (€)],"&gt;0",uitkomst_doelgroep[Uitgangssituatie/effect beleid],uitkomst_tech[[#This Row],[Uitgangssituatie/effect beleid]])</f>
        <v>0</v>
      </c>
      <c r="J174" s="398">
        <f>SUMIFS(uitkomst_doelgroep[QALY (€)],uitkomst_doelgroep[Digitale zorgtoepassing],B174,uitkomst_doelgroep[Jaar],D174,uitkomst_doelgroep[QALY (€)],"&gt;0",uitkomst_doelgroep[Uitgangssituatie/effect beleid],uitkomst_tech[[#This Row],[Uitgangssituatie/effect beleid]])</f>
        <v>0</v>
      </c>
      <c r="K174" s="398">
        <f>SUMIFS(uitkomst_doelgroep[Kosten (€)],uitkomst_doelgroep[Digitale zorgtoepassing],B174,uitkomst_doelgroep[Jaar],D174,uitkomst_doelgroep[Kosten (€)],"&gt;0",uitkomst_doelgroep[Uitgangssituatie/effect beleid],uitkomst_tech[[#This Row],[Uitgangssituatie/effect beleid]])</f>
        <v>0</v>
      </c>
      <c r="L174" s="398">
        <f>SUMIFS(uitkomst_doelgroep[Investering (cash flow) (€)],uitkomst_doelgroep[Digitale zorgtoepassing],B174,uitkomst_doelgroep[Jaar],D174,uitkomst_doelgroep[Investering (cash flow) (€)],"&gt;0",uitkomst_doelgroep[Uitgangssituatie/effect beleid],uitkomst_tech[[#This Row],[Uitgangssituatie/effect beleid]])</f>
        <v>47543.970148393288</v>
      </c>
    </row>
    <row r="175" spans="1:12" x14ac:dyDescent="0.5">
      <c r="A175" s="42" t="str">
        <f>INDEX(Technologieën[Veld],MATCH(B175,Technologieën[Digitale zorgtoepassing],0))</f>
        <v>Digitale hulpmiddelen - Verpleging</v>
      </c>
      <c r="B175" s="33" t="s">
        <v>105</v>
      </c>
      <c r="C175" s="33" t="s">
        <v>812</v>
      </c>
      <c r="D175" s="33">
        <v>2029</v>
      </c>
      <c r="E175" s="2">
        <v>197</v>
      </c>
      <c r="F175" s="397">
        <f>SUMIFS(uitkomst_doelgroep[Patiëntaantallen],uitkomst_doelgroep[Digitale zorgtoepassing],B175,uitkomst_doelgroep[Jaar],D175,uitkomst_doelgroep[Arbeidsbesparing (€)],"&gt;0",uitkomst_doelgroep[Uitgangssituatie/effect beleid],uitkomst_tech[[#This Row],[Uitgangssituatie/effect beleid]])</f>
        <v>29.480428321739016</v>
      </c>
      <c r="G175" s="398">
        <f>SUMIFS(uitkomst_doelgroep[Arbeidsbesparing (€)],uitkomst_doelgroep[Digitale zorgtoepassing],B175,uitkomst_doelgroep[Jaar],D175,uitkomst_doelgroep[Arbeidsbesparing (€)],"&gt;0",uitkomst_doelgroep[Uitgangssituatie/effect beleid],uitkomst_tech[[#This Row],[Uitgangssituatie/effect beleid]])</f>
        <v>506898.71995830059</v>
      </c>
      <c r="H175" s="398">
        <f>SUMIFS(uitkomst_doelgroep[Arbeidsbesparing (FTE)],uitkomst_doelgroep[Digitale zorgtoepassing],B175,uitkomst_doelgroep[Jaar],D175,uitkomst_doelgroep[Arbeidsbesparing (FTE)],"&gt;0",uitkomst_doelgroep[Uitgangssituatie/effect beleid],uitkomst_tech[[#This Row],[Uitgangssituatie/effect beleid]])</f>
        <v>8.7851676398782246</v>
      </c>
      <c r="I175" s="398">
        <f>SUMIFS(uitkomst_doelgroep[Overige besparingen (€)],uitkomst_doelgroep[Digitale zorgtoepassing],B175,uitkomst_doelgroep[Jaar],D175,uitkomst_doelgroep[Overige besparingen (€)],"&gt;0",uitkomst_doelgroep[Uitgangssituatie/effect beleid],uitkomst_tech[[#This Row],[Uitgangssituatie/effect beleid]])</f>
        <v>0</v>
      </c>
      <c r="J175" s="398">
        <f>SUMIFS(uitkomst_doelgroep[QALY (€)],uitkomst_doelgroep[Digitale zorgtoepassing],B175,uitkomst_doelgroep[Jaar],D175,uitkomst_doelgroep[QALY (€)],"&gt;0",uitkomst_doelgroep[Uitgangssituatie/effect beleid],uitkomst_tech[[#This Row],[Uitgangssituatie/effect beleid]])</f>
        <v>0</v>
      </c>
      <c r="K175" s="398">
        <f>SUMIFS(uitkomst_doelgroep[Kosten (€)],uitkomst_doelgroep[Digitale zorgtoepassing],B175,uitkomst_doelgroep[Jaar],D175,uitkomst_doelgroep[Kosten (€)],"&gt;0",uitkomst_doelgroep[Uitgangssituatie/effect beleid],uitkomst_tech[[#This Row],[Uitgangssituatie/effect beleid]])</f>
        <v>0</v>
      </c>
      <c r="L175" s="398">
        <f>SUMIFS(uitkomst_doelgroep[Investering (cash flow) (€)],uitkomst_doelgroep[Digitale zorgtoepassing],B175,uitkomst_doelgroep[Jaar],D175,uitkomst_doelgroep[Investering (cash flow) (€)],"&gt;0",uitkomst_doelgroep[Uitgangssituatie/effect beleid],uitkomst_tech[[#This Row],[Uitgangssituatie/effect beleid]])</f>
        <v>60864.47887265389</v>
      </c>
    </row>
    <row r="176" spans="1:12" x14ac:dyDescent="0.5">
      <c r="A176" s="42" t="str">
        <f>INDEX(Technologieën[Veld],MATCH(B176,Technologieën[Digitale zorgtoepassing],0))</f>
        <v>Digitale hulpmiddelen - Verpleging</v>
      </c>
      <c r="B176" s="33" t="s">
        <v>105</v>
      </c>
      <c r="C176" s="33" t="s">
        <v>812</v>
      </c>
      <c r="D176" s="33">
        <v>2030</v>
      </c>
      <c r="E176" s="2">
        <v>229</v>
      </c>
      <c r="F176" s="397">
        <f>SUMIFS(uitkomst_doelgroep[Patiëntaantallen],uitkomst_doelgroep[Digitale zorgtoepassing],B176,uitkomst_doelgroep[Jaar],D176,uitkomst_doelgroep[Arbeidsbesparing (€)],"&gt;0",uitkomst_doelgroep[Uitgangssituatie/effect beleid],uitkomst_tech[[#This Row],[Uitgangssituatie/effect beleid]])</f>
        <v>43.005868071217655</v>
      </c>
      <c r="G176" s="398">
        <f>SUMIFS(uitkomst_doelgroep[Arbeidsbesparing (€)],uitkomst_doelgroep[Digitale zorgtoepassing],B176,uitkomst_doelgroep[Jaar],D176,uitkomst_doelgroep[Arbeidsbesparing (€)],"&gt;0",uitkomst_doelgroep[Uitgangssituatie/effect beleid],uitkomst_tech[[#This Row],[Uitgangssituatie/effect beleid]])</f>
        <v>739460.74453472684</v>
      </c>
      <c r="H176" s="398">
        <f>SUMIFS(uitkomst_doelgroep[Arbeidsbesparing (FTE)],uitkomst_doelgroep[Digitale zorgtoepassing],B176,uitkomst_doelgroep[Jaar],D176,uitkomst_doelgroep[Arbeidsbesparing (FTE)],"&gt;0",uitkomst_doelgroep[Uitgangssituatie/effect beleid],uitkomst_tech[[#This Row],[Uitgangssituatie/effect beleid]])</f>
        <v>12.815748685222861</v>
      </c>
      <c r="I176" s="398">
        <f>SUMIFS(uitkomst_doelgroep[Overige besparingen (€)],uitkomst_doelgroep[Digitale zorgtoepassing],B176,uitkomst_doelgroep[Jaar],D176,uitkomst_doelgroep[Overige besparingen (€)],"&gt;0",uitkomst_doelgroep[Uitgangssituatie/effect beleid],uitkomst_tech[[#This Row],[Uitgangssituatie/effect beleid]])</f>
        <v>0</v>
      </c>
      <c r="J176" s="398">
        <f>SUMIFS(uitkomst_doelgroep[QALY (€)],uitkomst_doelgroep[Digitale zorgtoepassing],B176,uitkomst_doelgroep[Jaar],D176,uitkomst_doelgroep[QALY (€)],"&gt;0",uitkomst_doelgroep[Uitgangssituatie/effect beleid],uitkomst_tech[[#This Row],[Uitgangssituatie/effect beleid]])</f>
        <v>0</v>
      </c>
      <c r="K176" s="398">
        <f>SUMIFS(uitkomst_doelgroep[Kosten (€)],uitkomst_doelgroep[Digitale zorgtoepassing],B176,uitkomst_doelgroep[Jaar],D176,uitkomst_doelgroep[Kosten (€)],"&gt;0",uitkomst_doelgroep[Uitgangssituatie/effect beleid],uitkomst_tech[[#This Row],[Uitgangssituatie/effect beleid]])</f>
        <v>0</v>
      </c>
      <c r="L176" s="398">
        <f>SUMIFS(uitkomst_doelgroep[Investering (cash flow) (€)],uitkomst_doelgroep[Digitale zorgtoepassing],B176,uitkomst_doelgroep[Jaar],D176,uitkomst_doelgroep[Investering (cash flow) (€)],"&gt;0",uitkomst_doelgroep[Uitgangssituatie/effect beleid],uitkomst_tech[[#This Row],[Uitgangssituatie/effect beleid]])</f>
        <v>76255.878254732306</v>
      </c>
    </row>
    <row r="177" spans="1:12" x14ac:dyDescent="0.5">
      <c r="A177" s="42" t="str">
        <f>INDEX(Technologieën[Veld],MATCH(B177,Technologieën[Digitale zorgtoepassing],0))</f>
        <v>Digitale hulpmiddelen - Verpleging</v>
      </c>
      <c r="B177" s="33" t="s">
        <v>105</v>
      </c>
      <c r="C177" s="33" t="s">
        <v>812</v>
      </c>
      <c r="D177" s="33">
        <v>2031</v>
      </c>
      <c r="E177" s="2">
        <v>261</v>
      </c>
      <c r="F177" s="397">
        <f>SUMIFS(uitkomst_doelgroep[Patiëntaantallen],uitkomst_doelgroep[Digitale zorgtoepassing],B177,uitkomst_doelgroep[Jaar],D177,uitkomst_doelgroep[Arbeidsbesparing (€)],"&gt;0",uitkomst_doelgroep[Uitgangssituatie/effect beleid],uitkomst_tech[[#This Row],[Uitgangssituatie/effect beleid]])</f>
        <v>59.951618794491502</v>
      </c>
      <c r="G177" s="398">
        <f>SUMIFS(uitkomst_doelgroep[Arbeidsbesparing (€)],uitkomst_doelgroep[Digitale zorgtoepassing],B177,uitkomst_doelgroep[Jaar],D177,uitkomst_doelgroep[Arbeidsbesparing (€)],"&gt;0",uitkomst_doelgroep[Uitgangssituatie/effect beleid],uitkomst_tech[[#This Row],[Uitgangssituatie/effect beleid]])</f>
        <v>1030833.0155415838</v>
      </c>
      <c r="H177" s="398">
        <f>SUMIFS(uitkomst_doelgroep[Arbeidsbesparing (FTE)],uitkomst_doelgroep[Digitale zorgtoepassing],B177,uitkomst_doelgroep[Jaar],D177,uitkomst_doelgroep[Arbeidsbesparing (FTE)],"&gt;0",uitkomst_doelgroep[Uitgangssituatie/effect beleid],uitkomst_tech[[#This Row],[Uitgangssituatie/effect beleid]])</f>
        <v>17.865582400758466</v>
      </c>
      <c r="I177" s="398">
        <f>SUMIFS(uitkomst_doelgroep[Overige besparingen (€)],uitkomst_doelgroep[Digitale zorgtoepassing],B177,uitkomst_doelgroep[Jaar],D177,uitkomst_doelgroep[Overige besparingen (€)],"&gt;0",uitkomst_doelgroep[Uitgangssituatie/effect beleid],uitkomst_tech[[#This Row],[Uitgangssituatie/effect beleid]])</f>
        <v>0</v>
      </c>
      <c r="J177" s="398">
        <f>SUMIFS(uitkomst_doelgroep[QALY (€)],uitkomst_doelgroep[Digitale zorgtoepassing],B177,uitkomst_doelgroep[Jaar],D177,uitkomst_doelgroep[QALY (€)],"&gt;0",uitkomst_doelgroep[Uitgangssituatie/effect beleid],uitkomst_tech[[#This Row],[Uitgangssituatie/effect beleid]])</f>
        <v>0</v>
      </c>
      <c r="K177" s="398">
        <f>SUMIFS(uitkomst_doelgroep[Kosten (€)],uitkomst_doelgroep[Digitale zorgtoepassing],B177,uitkomst_doelgroep[Jaar],D177,uitkomst_doelgroep[Kosten (€)],"&gt;0",uitkomst_doelgroep[Uitgangssituatie/effect beleid],uitkomst_tech[[#This Row],[Uitgangssituatie/effect beleid]])</f>
        <v>0</v>
      </c>
      <c r="L177" s="398">
        <f>SUMIFS(uitkomst_doelgroep[Investering (cash flow) (€)],uitkomst_doelgroep[Digitale zorgtoepassing],B177,uitkomst_doelgroep[Jaar],D177,uitkomst_doelgroep[Investering (cash flow) (€)],"&gt;0",uitkomst_doelgroep[Uitgangssituatie/effect beleid],uitkomst_tech[[#This Row],[Uitgangssituatie/effect beleid]])</f>
        <v>92907.023266838354</v>
      </c>
    </row>
    <row r="178" spans="1:12" x14ac:dyDescent="0.5">
      <c r="A178" s="42" t="str">
        <f>INDEX(Technologieën[Veld],MATCH(B178,Technologieën[Digitale zorgtoepassing],0))</f>
        <v>Digitale hulpmiddelen - Verpleging</v>
      </c>
      <c r="B178" s="33" t="s">
        <v>105</v>
      </c>
      <c r="C178" s="33" t="s">
        <v>812</v>
      </c>
      <c r="D178" s="33">
        <v>2032</v>
      </c>
      <c r="E178" s="2">
        <v>293</v>
      </c>
      <c r="F178" s="397">
        <f>SUMIFS(uitkomst_doelgroep[Patiëntaantallen],uitkomst_doelgroep[Digitale zorgtoepassing],B178,uitkomst_doelgroep[Jaar],D178,uitkomst_doelgroep[Arbeidsbesparing (€)],"&gt;0",uitkomst_doelgroep[Uitgangssituatie/effect beleid],uitkomst_tech[[#This Row],[Uitgangssituatie/effect beleid]])</f>
        <v>80.597623964900023</v>
      </c>
      <c r="G178" s="398">
        <f>SUMIFS(uitkomst_doelgroep[Arbeidsbesparing (€)],uitkomst_doelgroep[Digitale zorgtoepassing],B178,uitkomst_doelgroep[Jaar],D178,uitkomst_doelgroep[Arbeidsbesparing (€)],"&gt;0",uitkomst_doelgroep[Uitgangssituatie/effect beleid],uitkomst_tech[[#This Row],[Uitgangssituatie/effect beleid]])</f>
        <v>1385828.9972456647</v>
      </c>
      <c r="H178" s="398">
        <f>SUMIFS(uitkomst_doelgroep[Arbeidsbesparing (FTE)],uitkomst_doelgroep[Digitale zorgtoepassing],B178,uitkomst_doelgroep[Jaar],D178,uitkomst_doelgroep[Arbeidsbesparing (FTE)],"&gt;0",uitkomst_doelgroep[Uitgangssituatie/effect beleid],uitkomst_tech[[#This Row],[Uitgangssituatie/effect beleid]])</f>
        <v>24.018091941540206</v>
      </c>
      <c r="I178" s="398">
        <f>SUMIFS(uitkomst_doelgroep[Overige besparingen (€)],uitkomst_doelgroep[Digitale zorgtoepassing],B178,uitkomst_doelgroep[Jaar],D178,uitkomst_doelgroep[Overige besparingen (€)],"&gt;0",uitkomst_doelgroep[Uitgangssituatie/effect beleid],uitkomst_tech[[#This Row],[Uitgangssituatie/effect beleid]])</f>
        <v>0</v>
      </c>
      <c r="J178" s="398">
        <f>SUMIFS(uitkomst_doelgroep[QALY (€)],uitkomst_doelgroep[Digitale zorgtoepassing],B178,uitkomst_doelgroep[Jaar],D178,uitkomst_doelgroep[QALY (€)],"&gt;0",uitkomst_doelgroep[Uitgangssituatie/effect beleid],uitkomst_tech[[#This Row],[Uitgangssituatie/effect beleid]])</f>
        <v>0</v>
      </c>
      <c r="K178" s="398">
        <f>SUMIFS(uitkomst_doelgroep[Kosten (€)],uitkomst_doelgroep[Digitale zorgtoepassing],B178,uitkomst_doelgroep[Jaar],D178,uitkomst_doelgroep[Kosten (€)],"&gt;0",uitkomst_doelgroep[Uitgangssituatie/effect beleid],uitkomst_tech[[#This Row],[Uitgangssituatie/effect beleid]])</f>
        <v>0</v>
      </c>
      <c r="L178" s="398">
        <f>SUMIFS(uitkomst_doelgroep[Investering (cash flow) (€)],uitkomst_doelgroep[Digitale zorgtoepassing],B178,uitkomst_doelgroep[Jaar],D178,uitkomst_doelgroep[Investering (cash flow) (€)],"&gt;0",uitkomst_doelgroep[Uitgangssituatie/effect beleid],uitkomst_tech[[#This Row],[Uitgangssituatie/effect beleid]])</f>
        <v>109237.37532155759</v>
      </c>
    </row>
    <row r="179" spans="1:12" x14ac:dyDescent="0.5">
      <c r="A179" s="42" t="str">
        <f>INDEX(Technologieën[Veld],MATCH(B179,Technologieën[Digitale zorgtoepassing],0))</f>
        <v>Digitale hulpmiddelen - Verpleging</v>
      </c>
      <c r="B179" s="33" t="s">
        <v>105</v>
      </c>
      <c r="C179" s="33" t="s">
        <v>812</v>
      </c>
      <c r="D179" s="33">
        <v>2033</v>
      </c>
      <c r="E179" s="2">
        <v>325</v>
      </c>
      <c r="F179" s="397">
        <f>SUMIFS(uitkomst_doelgroep[Patiëntaantallen],uitkomst_doelgroep[Digitale zorgtoepassing],B179,uitkomst_doelgroep[Jaar],D179,uitkomst_doelgroep[Arbeidsbesparing (€)],"&gt;0",uitkomst_doelgroep[Uitgangssituatie/effect beleid],uitkomst_tech[[#This Row],[Uitgangssituatie/effect beleid]])</f>
        <v>104.87259625857949</v>
      </c>
      <c r="G179" s="398">
        <f>SUMIFS(uitkomst_doelgroep[Arbeidsbesparing (€)],uitkomst_doelgroep[Digitale zorgtoepassing],B179,uitkomst_doelgroep[Jaar],D179,uitkomst_doelgroep[Arbeidsbesparing (€)],"&gt;0",uitkomst_doelgroep[Uitgangssituatie/effect beleid],uitkomst_tech[[#This Row],[Uitgangssituatie/effect beleid]])</f>
        <v>1803222.9458137592</v>
      </c>
      <c r="H179" s="398">
        <f>SUMIFS(uitkomst_doelgroep[Arbeidsbesparing (FTE)],uitkomst_doelgroep[Digitale zorgtoepassing],B179,uitkomst_doelgroep[Jaar],D179,uitkomst_doelgroep[Arbeidsbesparing (FTE)],"&gt;0",uitkomst_doelgroep[Uitgangssituatie/effect beleid],uitkomst_tech[[#This Row],[Uitgangssituatie/effect beleid]])</f>
        <v>31.252033685056684</v>
      </c>
      <c r="I179" s="398">
        <f>SUMIFS(uitkomst_doelgroep[Overige besparingen (€)],uitkomst_doelgroep[Digitale zorgtoepassing],B179,uitkomst_doelgroep[Jaar],D179,uitkomst_doelgroep[Overige besparingen (€)],"&gt;0",uitkomst_doelgroep[Uitgangssituatie/effect beleid],uitkomst_tech[[#This Row],[Uitgangssituatie/effect beleid]])</f>
        <v>0</v>
      </c>
      <c r="J179" s="398">
        <f>SUMIFS(uitkomst_doelgroep[QALY (€)],uitkomst_doelgroep[Digitale zorgtoepassing],B179,uitkomst_doelgroep[Jaar],D179,uitkomst_doelgroep[QALY (€)],"&gt;0",uitkomst_doelgroep[Uitgangssituatie/effect beleid],uitkomst_tech[[#This Row],[Uitgangssituatie/effect beleid]])</f>
        <v>0</v>
      </c>
      <c r="K179" s="398">
        <f>SUMIFS(uitkomst_doelgroep[Kosten (€)],uitkomst_doelgroep[Digitale zorgtoepassing],B179,uitkomst_doelgroep[Jaar],D179,uitkomst_doelgroep[Kosten (€)],"&gt;0",uitkomst_doelgroep[Uitgangssituatie/effect beleid],uitkomst_tech[[#This Row],[Uitgangssituatie/effect beleid]])</f>
        <v>0</v>
      </c>
      <c r="L179" s="398">
        <f>SUMIFS(uitkomst_doelgroep[Investering (cash flow) (€)],uitkomst_doelgroep[Digitale zorgtoepassing],B179,uitkomst_doelgroep[Jaar],D179,uitkomst_doelgroep[Investering (cash flow) (€)],"&gt;0",uitkomst_doelgroep[Uitgangssituatie/effect beleid],uitkomst_tech[[#This Row],[Uitgangssituatie/effect beleid]])</f>
        <v>122878.90188022146</v>
      </c>
    </row>
    <row r="180" spans="1:12" x14ac:dyDescent="0.5">
      <c r="A180" s="42" t="str">
        <f>INDEX(Technologieën[Veld],MATCH(B180,Technologieën[Digitale zorgtoepassing],0))</f>
        <v>Digitale hulpmiddelen - Verpleging</v>
      </c>
      <c r="B180" s="41" t="s">
        <v>32</v>
      </c>
      <c r="C180" s="33" t="s">
        <v>812</v>
      </c>
      <c r="D180" s="33">
        <v>2023</v>
      </c>
      <c r="E180" s="2">
        <v>6</v>
      </c>
      <c r="F180" s="397">
        <f>SUMIFS(uitkomst_doelgroep[Patiëntaantallen],uitkomst_doelgroep[Digitale zorgtoepassing],B180,uitkomst_doelgroep[Jaar],D180,uitkomst_doelgroep[Arbeidsbesparing (€)],"&gt;0",uitkomst_doelgroep[Uitgangssituatie/effect beleid],uitkomst_tech[[#This Row],[Uitgangssituatie/effect beleid]])</f>
        <v>3680</v>
      </c>
      <c r="G180" s="398">
        <f>SUMIFS(uitkomst_doelgroep[Arbeidsbesparing (€)],uitkomst_doelgroep[Digitale zorgtoepassing],B180,uitkomst_doelgroep[Jaar],D180,uitkomst_doelgroep[Arbeidsbesparing (€)],"&gt;0",uitkomst_doelgroep[Uitgangssituatie/effect beleid],uitkomst_tech[[#This Row],[Uitgangssituatie/effect beleid]])</f>
        <v>9364390.1219485495</v>
      </c>
      <c r="H180" s="398">
        <f>SUMIFS(uitkomst_doelgroep[Arbeidsbesparing (FTE)],uitkomst_doelgroep[Digitale zorgtoepassing],B180,uitkomst_doelgroep[Jaar],D180,uitkomst_doelgroep[Arbeidsbesparing (FTE)],"&gt;0",uitkomst_doelgroep[Uitgangssituatie/effect beleid],uitkomst_tech[[#This Row],[Uitgangssituatie/effect beleid]])</f>
        <v>220.57673642767901</v>
      </c>
      <c r="I180" s="398">
        <f>SUMIFS(uitkomst_doelgroep[Overige besparingen (€)],uitkomst_doelgroep[Digitale zorgtoepassing],B180,uitkomst_doelgroep[Jaar],D180,uitkomst_doelgroep[Overige besparingen (€)],"&gt;0",uitkomst_doelgroep[Uitgangssituatie/effect beleid],uitkomst_tech[[#This Row],[Uitgangssituatie/effect beleid]])</f>
        <v>3268752.2535267882</v>
      </c>
      <c r="J180" s="398">
        <f>SUMIFS(uitkomst_doelgroep[QALY (€)],uitkomst_doelgroep[Digitale zorgtoepassing],B180,uitkomst_doelgroep[Jaar],D180,uitkomst_doelgroep[QALY (€)],"&gt;0",uitkomst_doelgroep[Uitgangssituatie/effect beleid],uitkomst_tech[[#This Row],[Uitgangssituatie/effect beleid]])</f>
        <v>37800000.000000007</v>
      </c>
      <c r="K180" s="398">
        <f>SUMIFS(uitkomst_doelgroep[Kosten (€)],uitkomst_doelgroep[Digitale zorgtoepassing],B180,uitkomst_doelgroep[Jaar],D180,uitkomst_doelgroep[Kosten (€)],"&gt;0",uitkomst_doelgroep[Uitgangssituatie/effect beleid],uitkomst_tech[[#This Row],[Uitgangssituatie/effect beleid]])</f>
        <v>5256056.3809523806</v>
      </c>
      <c r="L180" s="398">
        <f>SUMIFS(uitkomst_doelgroep[Investering (cash flow) (€)],uitkomst_doelgroep[Digitale zorgtoepassing],B180,uitkomst_doelgroep[Jaar],D180,uitkomst_doelgroep[Investering (cash flow) (€)],"&gt;0",uitkomst_doelgroep[Uitgangssituatie/effect beleid],uitkomst_tech[[#This Row],[Uitgangssituatie/effect beleid]])</f>
        <v>239150.84571428565</v>
      </c>
    </row>
    <row r="181" spans="1:12" x14ac:dyDescent="0.5">
      <c r="A181" s="42" t="str">
        <f>INDEX(Technologieën[Veld],MATCH(B181,Technologieën[Digitale zorgtoepassing],0))</f>
        <v>Digitale hulpmiddelen - Verpleging</v>
      </c>
      <c r="B181" s="33" t="s">
        <v>32</v>
      </c>
      <c r="C181" s="33" t="s">
        <v>812</v>
      </c>
      <c r="D181" s="33">
        <v>2024</v>
      </c>
      <c r="E181" s="2">
        <v>38</v>
      </c>
      <c r="F181" s="397">
        <f>SUMIFS(uitkomst_doelgroep[Patiëntaantallen],uitkomst_doelgroep[Digitale zorgtoepassing],B181,uitkomst_doelgroep[Jaar],D181,uitkomst_doelgroep[Arbeidsbesparing (€)],"&gt;0",uitkomst_doelgroep[Uitgangssituatie/effect beleid],uitkomst_tech[[#This Row],[Uitgangssituatie/effect beleid]])</f>
        <v>4673.6000000000004</v>
      </c>
      <c r="G181" s="398">
        <f>SUMIFS(uitkomst_doelgroep[Arbeidsbesparing (€)],uitkomst_doelgroep[Digitale zorgtoepassing],B181,uitkomst_doelgroep[Jaar],D181,uitkomst_doelgroep[Arbeidsbesparing (€)],"&gt;0",uitkomst_doelgroep[Uitgangssituatie/effect beleid],uitkomst_tech[[#This Row],[Uitgangssituatie/effect beleid]])</f>
        <v>11892775.454874657</v>
      </c>
      <c r="H181" s="398">
        <f>SUMIFS(uitkomst_doelgroep[Arbeidsbesparing (FTE)],uitkomst_doelgroep[Digitale zorgtoepassing],B181,uitkomst_doelgroep[Jaar],D181,uitkomst_doelgroep[Arbeidsbesparing (FTE)],"&gt;0",uitkomst_doelgroep[Uitgangssituatie/effect beleid],uitkomst_tech[[#This Row],[Uitgangssituatie/effect beleid]])</f>
        <v>280.13245526315234</v>
      </c>
      <c r="I181" s="398">
        <f>SUMIFS(uitkomst_doelgroep[Overige besparingen (€)],uitkomst_doelgroep[Digitale zorgtoepassing],B181,uitkomst_doelgroep[Jaar],D181,uitkomst_doelgroep[Overige besparingen (€)],"&gt;0",uitkomst_doelgroep[Uitgangssituatie/effect beleid],uitkomst_tech[[#This Row],[Uitgangssituatie/effect beleid]])</f>
        <v>4151315.3619790212</v>
      </c>
      <c r="J181" s="398">
        <f>SUMIFS(uitkomst_doelgroep[QALY (€)],uitkomst_doelgroep[Digitale zorgtoepassing],B181,uitkomst_doelgroep[Jaar],D181,uitkomst_doelgroep[QALY (€)],"&gt;0",uitkomst_doelgroep[Uitgangssituatie/effect beleid],uitkomst_tech[[#This Row],[Uitgangssituatie/effect beleid]])</f>
        <v>48006000.000000007</v>
      </c>
      <c r="K181" s="398">
        <f>SUMIFS(uitkomst_doelgroep[Kosten (€)],uitkomst_doelgroep[Digitale zorgtoepassing],B181,uitkomst_doelgroep[Jaar],D181,uitkomst_doelgroep[Kosten (€)],"&gt;0",uitkomst_doelgroep[Uitgangssituatie/effect beleid],uitkomst_tech[[#This Row],[Uitgangssituatie/effect beleid]])</f>
        <v>6675191.6038095234</v>
      </c>
      <c r="L181" s="398">
        <f>SUMIFS(uitkomst_doelgroep[Investering (cash flow) (€)],uitkomst_doelgroep[Digitale zorgtoepassing],B181,uitkomst_doelgroep[Jaar],D181,uitkomst_doelgroep[Investering (cash flow) (€)],"&gt;0",uitkomst_doelgroep[Uitgangssituatie/effect beleid],uitkomst_tech[[#This Row],[Uitgangssituatie/effect beleid]])</f>
        <v>243168.57992228566</v>
      </c>
    </row>
    <row r="182" spans="1:12" x14ac:dyDescent="0.5">
      <c r="A182" s="42" t="str">
        <f>INDEX(Technologieën[Veld],MATCH(B182,Technologieën[Digitale zorgtoepassing],0))</f>
        <v>Digitale hulpmiddelen - Verpleging</v>
      </c>
      <c r="B182" s="33" t="s">
        <v>32</v>
      </c>
      <c r="C182" s="33" t="s">
        <v>812</v>
      </c>
      <c r="D182" s="33">
        <v>2025</v>
      </c>
      <c r="E182" s="2">
        <v>70</v>
      </c>
      <c r="F182" s="397">
        <f>SUMIFS(uitkomst_doelgroep[Patiëntaantallen],uitkomst_doelgroep[Digitale zorgtoepassing],B182,uitkomst_doelgroep[Jaar],D182,uitkomst_doelgroep[Arbeidsbesparing (€)],"&gt;0",uitkomst_doelgroep[Uitgangssituatie/effect beleid],uitkomst_tech[[#This Row],[Uitgangssituatie/effect beleid]])</f>
        <v>5683.8924799999995</v>
      </c>
      <c r="G182" s="398">
        <f>SUMIFS(uitkomst_doelgroep[Arbeidsbesparing (€)],uitkomst_doelgroep[Digitale zorgtoepassing],B182,uitkomst_doelgroep[Jaar],D182,uitkomst_doelgroep[Arbeidsbesparing (€)],"&gt;0",uitkomst_doelgroep[Uitgangssituatie/effect beleid],uitkomst_tech[[#This Row],[Uitgangssituatie/effect beleid]])</f>
        <v>14463637.661393924</v>
      </c>
      <c r="H182" s="398">
        <f>SUMIFS(uitkomst_doelgroep[Arbeidsbesparing (FTE)],uitkomst_doelgroep[Digitale zorgtoepassing],B182,uitkomst_doelgroep[Jaar],D182,uitkomst_doelgroep[Arbeidsbesparing (FTE)],"&gt;0",uitkomst_doelgroep[Uitgangssituatie/effect beleid],uitkomst_tech[[#This Row],[Uitgangssituatie/effect beleid]])</f>
        <v>340.6887101750616</v>
      </c>
      <c r="I182" s="398">
        <f>SUMIFS(uitkomst_doelgroep[Overige besparingen (€)],uitkomst_doelgroep[Digitale zorgtoepassing],B182,uitkomst_doelgroep[Jaar],D182,uitkomst_doelgroep[Overige besparingen (€)],"&gt;0",uitkomst_doelgroep[Uitgangssituatie/effect beleid],uitkomst_tech[[#This Row],[Uitgangssituatie/effect beleid]])</f>
        <v>5048705.5306532513</v>
      </c>
      <c r="J182" s="398">
        <f>SUMIFS(uitkomst_doelgroep[QALY (€)],uitkomst_doelgroep[Digitale zorgtoepassing],B182,uitkomst_doelgroep[Jaar],D182,uitkomst_doelgroep[QALY (€)],"&gt;0",uitkomst_doelgroep[Uitgangssituatie/effect beleid],uitkomst_tech[[#This Row],[Uitgangssituatie/effect beleid]])</f>
        <v>58383460.800000004</v>
      </c>
      <c r="K182" s="398">
        <f>SUMIFS(uitkomst_doelgroep[Kosten (€)],uitkomst_doelgroep[Digitale zorgtoepassing],B182,uitkomst_doelgroep[Jaar],D182,uitkomst_doelgroep[Kosten (€)],"&gt;0",uitkomst_doelgroep[Uitgangssituatie/effect beleid],uitkomst_tech[[#This Row],[Uitgangssituatie/effect beleid]])</f>
        <v>8118168.2984106662</v>
      </c>
      <c r="L182" s="398">
        <f>SUMIFS(uitkomst_doelgroep[Investering (cash flow) (€)],uitkomst_doelgroep[Digitale zorgtoepassing],B182,uitkomst_doelgroep[Jaar],D182,uitkomst_doelgroep[Investering (cash flow) (€)],"&gt;0",uitkomst_doelgroep[Uitgangssituatie/effect beleid],uitkomst_tech[[#This Row],[Uitgangssituatie/effect beleid]])</f>
        <v>226067.5647311302</v>
      </c>
    </row>
    <row r="183" spans="1:12" x14ac:dyDescent="0.5">
      <c r="A183" s="42" t="str">
        <f>INDEX(Technologieën[Veld],MATCH(B183,Technologieën[Digitale zorgtoepassing],0))</f>
        <v>Digitale hulpmiddelen - Verpleging</v>
      </c>
      <c r="B183" s="33" t="s">
        <v>32</v>
      </c>
      <c r="C183" s="33" t="s">
        <v>812</v>
      </c>
      <c r="D183" s="33">
        <v>2026</v>
      </c>
      <c r="E183" s="2">
        <v>102</v>
      </c>
      <c r="F183" s="397">
        <f>SUMIFS(uitkomst_doelgroep[Patiëntaantallen],uitkomst_doelgroep[Digitale zorgtoepassing],B183,uitkomst_doelgroep[Jaar],D183,uitkomst_doelgroep[Arbeidsbesparing (€)],"&gt;0",uitkomst_doelgroep[Uitgangssituatie/effect beleid],uitkomst_tech[[#This Row],[Uitgangssituatie/effect beleid]])</f>
        <v>6623.1353735217153</v>
      </c>
      <c r="G183" s="398">
        <f>SUMIFS(uitkomst_doelgroep[Arbeidsbesparing (€)],uitkomst_doelgroep[Digitale zorgtoepassing],B183,uitkomst_doelgroep[Jaar],D183,uitkomst_doelgroep[Arbeidsbesparing (€)],"&gt;0",uitkomst_doelgroep[Uitgangssituatie/effect beleid],uitkomst_tech[[#This Row],[Uitgangssituatie/effect beleid]])</f>
        <v>16853702.029384445</v>
      </c>
      <c r="H183" s="398">
        <f>SUMIFS(uitkomst_doelgroep[Arbeidsbesparing (FTE)],uitkomst_doelgroep[Digitale zorgtoepassing],B183,uitkomst_doelgroep[Jaar],D183,uitkomst_doelgroep[Arbeidsbesparing (FTE)],"&gt;0",uitkomst_doelgroep[Uitgangssituatie/effect beleid],uitkomst_tech[[#This Row],[Uitgangssituatie/effect beleid]])</f>
        <v>396.98630043753712</v>
      </c>
      <c r="I183" s="398">
        <f>SUMIFS(uitkomst_doelgroep[Overige besparingen (€)],uitkomst_doelgroep[Digitale zorgtoepassing],B183,uitkomst_doelgroep[Jaar],D183,uitkomst_doelgroep[Overige besparingen (€)],"&gt;0",uitkomst_doelgroep[Uitgangssituatie/effect beleid],uitkomst_tech[[#This Row],[Uitgangssituatie/effect beleid]])</f>
        <v>5882986.0536989383</v>
      </c>
      <c r="J183" s="398">
        <f>SUMIFS(uitkomst_doelgroep[QALY (€)],uitkomst_doelgroep[Digitale zorgtoepassing],B183,uitkomst_doelgroep[Jaar],D183,uitkomst_doelgroep[QALY (€)],"&gt;0",uitkomst_doelgroep[Uitgangssituatie/effect beleid],uitkomst_tech[[#This Row],[Uitgangssituatie/effect beleid]])</f>
        <v>68031118.782369807</v>
      </c>
      <c r="K183" s="398">
        <f>SUMIFS(uitkomst_doelgroep[Kosten (€)],uitkomst_doelgroep[Digitale zorgtoepassing],B183,uitkomst_doelgroep[Jaar],D183,uitkomst_doelgroep[Kosten (€)],"&gt;0",uitkomst_doelgroep[Uitgangssituatie/effect beleid],uitkomst_tech[[#This Row],[Uitgangssituatie/effect beleid]])</f>
        <v>9459666.560301695</v>
      </c>
      <c r="L183" s="398">
        <f>SUMIFS(uitkomst_doelgroep[Investering (cash flow) (€)],uitkomst_doelgroep[Digitale zorgtoepassing],B183,uitkomst_doelgroep[Jaar],D183,uitkomst_doelgroep[Investering (cash flow) (€)],"&gt;0",uitkomst_doelgroep[Uitgangssituatie/effect beleid],uitkomst_tech[[#This Row],[Uitgangssituatie/effect beleid]])</f>
        <v>191007.1603757492</v>
      </c>
    </row>
    <row r="184" spans="1:12" x14ac:dyDescent="0.5">
      <c r="A184" s="42" t="str">
        <f>INDEX(Technologieën[Veld],MATCH(B184,Technologieën[Digitale zorgtoepassing],0))</f>
        <v>Digitale hulpmiddelen - Verpleging</v>
      </c>
      <c r="B184" s="33" t="s">
        <v>32</v>
      </c>
      <c r="C184" s="33" t="s">
        <v>812</v>
      </c>
      <c r="D184" s="33">
        <v>2027</v>
      </c>
      <c r="E184" s="2">
        <v>134</v>
      </c>
      <c r="F184" s="397">
        <f>SUMIFS(uitkomst_doelgroep[Patiëntaantallen],uitkomst_doelgroep[Digitale zorgtoepassing],B184,uitkomst_doelgroep[Jaar],D184,uitkomst_doelgroep[Arbeidsbesparing (€)],"&gt;0",uitkomst_doelgroep[Uitgangssituatie/effect beleid],uitkomst_tech[[#This Row],[Uitgangssituatie/effect beleid]])</f>
        <v>7416.7128078080268</v>
      </c>
      <c r="G184" s="398">
        <f>SUMIFS(uitkomst_doelgroep[Arbeidsbesparing (€)],uitkomst_doelgroep[Digitale zorgtoepassing],B184,uitkomst_doelgroep[Jaar],D184,uitkomst_doelgroep[Arbeidsbesparing (€)],"&gt;0",uitkomst_doelgroep[Uitgangssituatie/effect beleid],uitkomst_tech[[#This Row],[Uitgangssituatie/effect beleid]])</f>
        <v>18873095.694230102</v>
      </c>
      <c r="H184" s="398">
        <f>SUMIFS(uitkomst_doelgroep[Arbeidsbesparing (FTE)],uitkomst_doelgroep[Digitale zorgtoepassing],B184,uitkomst_doelgroep[Jaar],D184,uitkomst_doelgroep[Arbeidsbesparing (FTE)],"&gt;0",uitkomst_doelgroep[Uitgangssituatie/effect beleid],uitkomst_tech[[#This Row],[Uitgangssituatie/effect beleid]])</f>
        <v>444.55280058903861</v>
      </c>
      <c r="I184" s="398">
        <f>SUMIFS(uitkomst_doelgroep[Overige besparingen (€)],uitkomst_doelgroep[Digitale zorgtoepassing],B184,uitkomst_doelgroep[Jaar],D184,uitkomst_doelgroep[Overige besparingen (€)],"&gt;0",uitkomst_doelgroep[Uitgangssituatie/effect beleid],uitkomst_tech[[#This Row],[Uitgangssituatie/effect beleid]])</f>
        <v>6587879.5392074678</v>
      </c>
      <c r="J184" s="398">
        <f>SUMIFS(uitkomst_doelgroep[QALY (€)],uitkomst_doelgroep[Digitale zorgtoepassing],B184,uitkomst_doelgroep[Jaar],D184,uitkomst_doelgroep[QALY (€)],"&gt;0",uitkomst_doelgroep[Uitgangssituatie/effect beleid],uitkomst_tech[[#This Row],[Uitgangssituatie/effect beleid]])</f>
        <v>76182539.167158544</v>
      </c>
      <c r="K184" s="398">
        <f>SUMIFS(uitkomst_doelgroep[Kosten (€)],uitkomst_doelgroep[Digitale zorgtoepassing],B184,uitkomst_doelgroep[Jaar],D184,uitkomst_doelgroep[Kosten (€)],"&gt;0",uitkomst_doelgroep[Uitgangssituatie/effect beleid],uitkomst_tech[[#This Row],[Uitgangssituatie/effect beleid]])</f>
        <v>10593114.314992018</v>
      </c>
      <c r="L184" s="398">
        <f>SUMIFS(uitkomst_doelgroep[Investering (cash flow) (€)],uitkomst_doelgroep[Digitale zorgtoepassing],B184,uitkomst_doelgroep[Jaar],D184,uitkomst_doelgroep[Investering (cash flow) (€)],"&gt;0",uitkomst_doelgroep[Uitgangssituatie/effect beleid],uitkomst_tech[[#This Row],[Uitgangssituatie/effect beleid]])</f>
        <v>146993.72770016774</v>
      </c>
    </row>
    <row r="185" spans="1:12" x14ac:dyDescent="0.5">
      <c r="A185" s="42" t="str">
        <f>INDEX(Technologieën[Veld],MATCH(B185,Technologieën[Digitale zorgtoepassing],0))</f>
        <v>Digitale hulpmiddelen - Verpleging</v>
      </c>
      <c r="B185" s="33" t="s">
        <v>32</v>
      </c>
      <c r="C185" s="33" t="s">
        <v>812</v>
      </c>
      <c r="D185" s="33">
        <v>2028</v>
      </c>
      <c r="E185" s="2">
        <v>166</v>
      </c>
      <c r="F185" s="397">
        <f>SUMIFS(uitkomst_doelgroep[Patiëntaantallen],uitkomst_doelgroep[Digitale zorgtoepassing],B185,uitkomst_doelgroep[Jaar],D185,uitkomst_doelgroep[Arbeidsbesparing (€)],"&gt;0",uitkomst_doelgroep[Uitgangssituatie/effect beleid],uitkomst_tech[[#This Row],[Uitgangssituatie/effect beleid]])</f>
        <v>8027.4276367966586</v>
      </c>
      <c r="G185" s="398">
        <f>SUMIFS(uitkomst_doelgroep[Arbeidsbesparing (€)],uitkomst_doelgroep[Digitale zorgtoepassing],B185,uitkomst_doelgroep[Jaar],D185,uitkomst_doelgroep[Arbeidsbesparing (€)],"&gt;0",uitkomst_doelgroep[Uitgangssituatie/effect beleid],uitkomst_tech[[#This Row],[Uitgangssituatie/effect beleid]])</f>
        <v>20427164.148553103</v>
      </c>
      <c r="H185" s="398">
        <f>SUMIFS(uitkomst_doelgroep[Arbeidsbesparing (FTE)],uitkomst_doelgroep[Digitale zorgtoepassing],B185,uitkomst_doelgroep[Jaar],D185,uitkomst_doelgroep[Arbeidsbesparing (FTE)],"&gt;0",uitkomst_doelgroep[Uitgangssituatie/effect beleid],uitkomst_tech[[#This Row],[Uitgangssituatie/effect beleid]])</f>
        <v>481.15863859618548</v>
      </c>
      <c r="I185" s="398">
        <f>SUMIFS(uitkomst_doelgroep[Overige besparingen (€)],uitkomst_doelgroep[Digitale zorgtoepassing],B185,uitkomst_doelgroep[Jaar],D185,uitkomst_doelgroep[Overige besparingen (€)],"&gt;0",uitkomst_doelgroep[Uitgangssituatie/effect beleid],uitkomst_tech[[#This Row],[Uitgangssituatie/effect beleid]])</f>
        <v>7130345.7004897548</v>
      </c>
      <c r="J185" s="398">
        <f>SUMIFS(uitkomst_doelgroep[QALY (€)],uitkomst_doelgroep[Digitale zorgtoepassing],B185,uitkomst_doelgroep[Jaar],D185,uitkomst_doelgroep[QALY (€)],"&gt;0",uitkomst_doelgroep[Uitgangssituatie/effect beleid],uitkomst_tech[[#This Row],[Uitgangssituatie/effect beleid]])</f>
        <v>82455642.573617861</v>
      </c>
      <c r="K185" s="398">
        <f>SUMIFS(uitkomst_doelgroep[Kosten (€)],uitkomst_doelgroep[Digitale zorgtoepassing],B185,uitkomst_doelgroep[Jaar],D185,uitkomst_doelgroep[Kosten (€)],"&gt;0",uitkomst_doelgroep[Uitgangssituatie/effect beleid],uitkomst_tech[[#This Row],[Uitgangssituatie/effect beleid]])</f>
        <v>11465383.764407219</v>
      </c>
      <c r="L185" s="398">
        <f>SUMIFS(uitkomst_doelgroep[Investering (cash flow) (€)],uitkomst_doelgroep[Digitale zorgtoepassing],B185,uitkomst_doelgroep[Jaar],D185,uitkomst_doelgroep[Investering (cash flow) (€)],"&gt;0",uitkomst_doelgroep[Uitgangssituatie/effect beleid],uitkomst_tech[[#This Row],[Uitgangssituatie/effect beleid]])</f>
        <v>104147.35400547629</v>
      </c>
    </row>
    <row r="186" spans="1:12" x14ac:dyDescent="0.5">
      <c r="A186" s="42" t="str">
        <f>INDEX(Technologieën[Veld],MATCH(B186,Technologieën[Digitale zorgtoepassing],0))</f>
        <v>Digitale hulpmiddelen - Verpleging</v>
      </c>
      <c r="B186" s="33" t="s">
        <v>32</v>
      </c>
      <c r="C186" s="33" t="s">
        <v>812</v>
      </c>
      <c r="D186" s="33">
        <v>2029</v>
      </c>
      <c r="E186" s="2">
        <v>198</v>
      </c>
      <c r="F186" s="397">
        <f>SUMIFS(uitkomst_doelgroep[Patiëntaantallen],uitkomst_doelgroep[Digitale zorgtoepassing],B186,uitkomst_doelgroep[Jaar],D186,uitkomst_doelgroep[Arbeidsbesparing (€)],"&gt;0",uitkomst_doelgroep[Uitgangssituatie/effect beleid],uitkomst_tech[[#This Row],[Uitgangssituatie/effect beleid]])</f>
        <v>8460.1286403443119</v>
      </c>
      <c r="G186" s="398">
        <f>SUMIFS(uitkomst_doelgroep[Arbeidsbesparing (€)],uitkomst_doelgroep[Digitale zorgtoepassing],B186,uitkomst_doelgroep[Jaar],D186,uitkomst_doelgroep[Arbeidsbesparing (€)],"&gt;0",uitkomst_doelgroep[Uitgangssituatie/effect beleid],uitkomst_tech[[#This Row],[Uitgangssituatie/effect beleid]])</f>
        <v>21528245.94294953</v>
      </c>
      <c r="H186" s="398">
        <f>SUMIFS(uitkomst_doelgroep[Arbeidsbesparing (FTE)],uitkomst_doelgroep[Digitale zorgtoepassing],B186,uitkomst_doelgroep[Jaar],D186,uitkomst_doelgroep[Arbeidsbesparing (FTE)],"&gt;0",uitkomst_doelgroep[Uitgangssituatie/effect beleid],uitkomst_tech[[#This Row],[Uitgangssituatie/effect beleid]])</f>
        <v>507.09444707757757</v>
      </c>
      <c r="I186" s="398">
        <f>SUMIFS(uitkomst_doelgroep[Overige besparingen (€)],uitkomst_doelgroep[Digitale zorgtoepassing],B186,uitkomst_doelgroep[Jaar],D186,uitkomst_doelgroep[Overige besparingen (€)],"&gt;0",uitkomst_doelgroep[Uitgangssituatie/effect beleid],uitkomst_tech[[#This Row],[Uitgangssituatie/effect beleid]])</f>
        <v>7514691.4560467359</v>
      </c>
      <c r="J186" s="398">
        <f>SUMIFS(uitkomst_doelgroep[QALY (€)],uitkomst_doelgroep[Digitale zorgtoepassing],B186,uitkomst_doelgroep[Jaar],D186,uitkomst_doelgroep[QALY (€)],"&gt;0",uitkomst_doelgroep[Uitgangssituatie/effect beleid],uitkomst_tech[[#This Row],[Uitgangssituatie/effect beleid]])</f>
        <v>86900234.403536692</v>
      </c>
      <c r="K186" s="398">
        <f>SUMIFS(uitkomst_doelgroep[Kosten (€)],uitkomst_doelgroep[Digitale zorgtoepassing],B186,uitkomst_doelgroep[Jaar],D186,uitkomst_doelgroep[Kosten (€)],"&gt;0",uitkomst_doelgroep[Uitgangssituatie/effect beleid],uitkomst_tech[[#This Row],[Uitgangssituatie/effect beleid]])</f>
        <v>12083400.305369485</v>
      </c>
      <c r="L186" s="398">
        <f>SUMIFS(uitkomst_doelgroep[Investering (cash flow) (€)],uitkomst_doelgroep[Digitale zorgtoepassing],B186,uitkomst_doelgroep[Jaar],D186,uitkomst_doelgroep[Investering (cash flow) (€)],"&gt;0",uitkomst_doelgroep[Uitgangssituatie/effect beleid],uitkomst_tech[[#This Row],[Uitgangssituatie/effect beleid]])</f>
        <v>69065.289384922158</v>
      </c>
    </row>
    <row r="187" spans="1:12" x14ac:dyDescent="0.5">
      <c r="A187" s="42" t="str">
        <f>INDEX(Technologieën[Veld],MATCH(B187,Technologieën[Digitale zorgtoepassing],0))</f>
        <v>Digitale hulpmiddelen - Verpleging</v>
      </c>
      <c r="B187" s="33" t="s">
        <v>32</v>
      </c>
      <c r="C187" s="33" t="s">
        <v>812</v>
      </c>
      <c r="D187" s="33">
        <v>2030</v>
      </c>
      <c r="E187" s="2">
        <v>230</v>
      </c>
      <c r="F187" s="397">
        <f>SUMIFS(uitkomst_doelgroep[Patiëntaantallen],uitkomst_doelgroep[Digitale zorgtoepassing],B187,uitkomst_doelgroep[Jaar],D187,uitkomst_doelgroep[Arbeidsbesparing (€)],"&gt;0",uitkomst_doelgroep[Uitgangssituatie/effect beleid],uitkomst_tech[[#This Row],[Uitgangssituatie/effect beleid]])</f>
        <v>8747.0741927545387</v>
      </c>
      <c r="G187" s="398">
        <f>SUMIFS(uitkomst_doelgroep[Arbeidsbesparing (€)],uitkomst_doelgroep[Digitale zorgtoepassing],B187,uitkomst_doelgroep[Jaar],D187,uitkomst_doelgroep[Arbeidsbesparing (€)],"&gt;0",uitkomst_doelgroep[Uitgangssituatie/effect beleid],uitkomst_tech[[#This Row],[Uitgangssituatie/effect beleid]])</f>
        <v>22258428.034397192</v>
      </c>
      <c r="H187" s="398">
        <f>SUMIFS(uitkomst_doelgroep[Arbeidsbesparing (FTE)],uitkomst_doelgroep[Digitale zorgtoepassing],B187,uitkomst_doelgroep[Jaar],D187,uitkomst_doelgroep[Arbeidsbesparing (FTE)],"&gt;0",uitkomst_doelgroep[Uitgangssituatie/effect beleid],uitkomst_tech[[#This Row],[Uitgangssituatie/effect beleid]])</f>
        <v>524.29377139363339</v>
      </c>
      <c r="I187" s="398">
        <f>SUMIFS(uitkomst_doelgroep[Overige besparingen (€)],uitkomst_doelgroep[Digitale zorgtoepassing],B187,uitkomst_doelgroep[Jaar],D187,uitkomst_doelgroep[Overige besparingen (€)],"&gt;0",uitkomst_doelgroep[Uitgangssituatie/effect beleid],uitkomst_tech[[#This Row],[Uitgangssituatie/effect beleid]])</f>
        <v>7769570.2389490241</v>
      </c>
      <c r="J187" s="398">
        <f>SUMIFS(uitkomst_doelgroep[QALY (€)],uitkomst_doelgroep[Digitale zorgtoepassing],B187,uitkomst_doelgroep[Jaar],D187,uitkomst_doelgroep[QALY (€)],"&gt;0",uitkomst_doelgroep[Uitgangssituatie/effect beleid],uitkomst_tech[[#This Row],[Uitgangssituatie/effect beleid]])</f>
        <v>89847664.262533039</v>
      </c>
      <c r="K187" s="398">
        <f>SUMIFS(uitkomst_doelgroep[Kosten (€)],uitkomst_doelgroep[Digitale zorgtoepassing],B187,uitkomst_doelgroep[Jaar],D187,uitkomst_doelgroep[Kosten (€)],"&gt;0",uitkomst_doelgroep[Uitgangssituatie/effect beleid],uitkomst_tech[[#This Row],[Uitgangssituatie/effect beleid]])</f>
        <v>12493237.805840049</v>
      </c>
      <c r="L187" s="398">
        <f>SUMIFS(uitkomst_doelgroep[Investering (cash flow) (€)],uitkomst_doelgroep[Digitale zorgtoepassing],B187,uitkomst_doelgroep[Jaar],D187,uitkomst_doelgroep[Investering (cash flow) (€)],"&gt;0",uitkomst_doelgroep[Uitgangssituatie/effect beleid],uitkomst_tech[[#This Row],[Uitgangssituatie/effect beleid]])</f>
        <v>43639.645300191121</v>
      </c>
    </row>
    <row r="188" spans="1:12" x14ac:dyDescent="0.5">
      <c r="A188" s="42" t="str">
        <f>INDEX(Technologieën[Veld],MATCH(B188,Technologieën[Digitale zorgtoepassing],0))</f>
        <v>Digitale hulpmiddelen - Verpleging</v>
      </c>
      <c r="B188" s="33" t="s">
        <v>32</v>
      </c>
      <c r="C188" s="33" t="s">
        <v>812</v>
      </c>
      <c r="D188" s="33">
        <v>2031</v>
      </c>
      <c r="E188" s="2">
        <v>262</v>
      </c>
      <c r="F188" s="397">
        <f>SUMIFS(uitkomst_doelgroep[Patiëntaantallen],uitkomst_doelgroep[Digitale zorgtoepassing],B188,uitkomst_doelgroep[Jaar],D188,uitkomst_doelgroep[Arbeidsbesparing (€)],"&gt;0",uitkomst_doelgroep[Uitgangssituatie/effect beleid],uitkomst_tech[[#This Row],[Uitgangssituatie/effect beleid]])</f>
        <v>8928.3838236728934</v>
      </c>
      <c r="G188" s="398">
        <f>SUMIFS(uitkomst_doelgroep[Arbeidsbesparing (€)],uitkomst_doelgroep[Digitale zorgtoepassing],B188,uitkomst_doelgroep[Jaar],D188,uitkomst_doelgroep[Arbeidsbesparing (€)],"&gt;0",uitkomst_doelgroep[Uitgangssituatie/effect beleid],uitkomst_tech[[#This Row],[Uitgangssituatie/effect beleid]])</f>
        <v>22719801.435697734</v>
      </c>
      <c r="H188" s="398">
        <f>SUMIFS(uitkomst_doelgroep[Arbeidsbesparing (FTE)],uitkomst_doelgroep[Digitale zorgtoepassing],B188,uitkomst_doelgroep[Jaar],D188,uitkomst_doelgroep[Arbeidsbesparing (FTE)],"&gt;0",uitkomst_doelgroep[Uitgangssituatie/effect beleid],uitkomst_tech[[#This Row],[Uitgangssituatie/effect beleid]])</f>
        <v>535.1613492933285</v>
      </c>
      <c r="I188" s="398">
        <f>SUMIFS(uitkomst_doelgroep[Overige besparingen (€)],uitkomst_doelgroep[Digitale zorgtoepassing],B188,uitkomst_doelgroep[Jaar],D188,uitkomst_doelgroep[Overige besparingen (€)],"&gt;0",uitkomst_doelgroep[Uitgangssituatie/effect beleid],uitkomst_tech[[#This Row],[Uitgangssituatie/effect beleid]])</f>
        <v>7930618.136951874</v>
      </c>
      <c r="J188" s="398">
        <f>SUMIFS(uitkomst_doelgroep[QALY (€)],uitkomst_doelgroep[Digitale zorgtoepassing],B188,uitkomst_doelgroep[Jaar],D188,uitkomst_doelgroep[QALY (€)],"&gt;0",uitkomst_doelgroep[Uitgangssituatie/effect beleid],uitkomst_tech[[#This Row],[Uitgangssituatie/effect beleid]])</f>
        <v>91710029.493161812</v>
      </c>
      <c r="K188" s="398">
        <f>SUMIFS(uitkomst_doelgroep[Kosten (€)],uitkomst_doelgroep[Digitale zorgtoepassing],B188,uitkomst_doelgroep[Jaar],D188,uitkomst_doelgroep[Kosten (€)],"&gt;0",uitkomst_doelgroep[Uitgangssituatie/effect beleid],uitkomst_tech[[#This Row],[Uitgangssituatie/effect beleid]])</f>
        <v>12752198.034784764</v>
      </c>
      <c r="L188" s="398">
        <f>SUMIFS(uitkomst_doelgroep[Investering (cash flow) (€)],uitkomst_doelgroep[Digitale zorgtoepassing],B188,uitkomst_doelgroep[Jaar],D188,uitkomst_doelgroep[Investering (cash flow) (€)],"&gt;0",uitkomst_doelgroep[Uitgangssituatie/effect beleid],uitkomst_tech[[#This Row],[Uitgangssituatie/effect beleid]])</f>
        <v>26685.722759685174</v>
      </c>
    </row>
    <row r="189" spans="1:12" x14ac:dyDescent="0.5">
      <c r="A189" s="42" t="str">
        <f>INDEX(Technologieën[Veld],MATCH(B189,Technologieën[Digitale zorgtoepassing],0))</f>
        <v>Digitale hulpmiddelen - Verpleging</v>
      </c>
      <c r="B189" s="33" t="s">
        <v>32</v>
      </c>
      <c r="C189" s="33" t="s">
        <v>812</v>
      </c>
      <c r="D189" s="33">
        <v>2032</v>
      </c>
      <c r="E189" s="2">
        <v>294</v>
      </c>
      <c r="F189" s="397">
        <f>SUMIFS(uitkomst_doelgroep[Patiëntaantallen],uitkomst_doelgroep[Digitale zorgtoepassing],B189,uitkomst_doelgroep[Jaar],D189,uitkomst_doelgroep[Arbeidsbesparing (€)],"&gt;0",uitkomst_doelgroep[Uitgangssituatie/effect beleid],uitkomst_tech[[#This Row],[Uitgangssituatie/effect beleid]])</f>
        <v>9039.2549939371238</v>
      </c>
      <c r="G189" s="398">
        <f>SUMIFS(uitkomst_doelgroep[Arbeidsbesparing (€)],uitkomst_doelgroep[Digitale zorgtoepassing],B189,uitkomst_doelgroep[Jaar],D189,uitkomst_doelgroep[Arbeidsbesparing (€)],"&gt;0",uitkomst_doelgroep[Uitgangssituatie/effect beleid],uitkomst_tech[[#This Row],[Uitgangssituatie/effect beleid]])</f>
        <v>23001932.11277144</v>
      </c>
      <c r="H189" s="398">
        <f>SUMIFS(uitkomst_doelgroep[Arbeidsbesparing (FTE)],uitkomst_doelgroep[Digitale zorgtoepassing],B189,uitkomst_doelgroep[Jaar],D189,uitkomst_doelgroep[Arbeidsbesparing (FTE)],"&gt;0",uitkomst_doelgroep[Uitgangssituatie/effect beleid],uitkomst_tech[[#This Row],[Uitgangssituatie/effect beleid]])</f>
        <v>541.80689301637233</v>
      </c>
      <c r="I189" s="398">
        <f>SUMIFS(uitkomst_doelgroep[Overige besparingen (€)],uitkomst_doelgroep[Digitale zorgtoepassing],B189,uitkomst_doelgroep[Jaar],D189,uitkomst_doelgroep[Overige besparingen (€)],"&gt;0",uitkomst_doelgroep[Uitgangssituatie/effect beleid],uitkomst_tech[[#This Row],[Uitgangssituatie/effect beleid]])</f>
        <v>8029099.2205530563</v>
      </c>
      <c r="J189" s="398">
        <f>SUMIFS(uitkomst_doelgroep[QALY (€)],uitkomst_doelgroep[Digitale zorgtoepassing],B189,uitkomst_doelgroep[Jaar],D189,uitkomst_doelgroep[QALY (€)],"&gt;0",uitkomst_doelgroep[Uitgangssituatie/effect beleid],uitkomst_tech[[#This Row],[Uitgangssituatie/effect beleid]])</f>
        <v>92848869.231201991</v>
      </c>
      <c r="K189" s="398">
        <f>SUMIFS(uitkomst_doelgroep[Kosten (€)],uitkomst_doelgroep[Digitale zorgtoepassing],B189,uitkomst_doelgroep[Jaar],D189,uitkomst_doelgroep[Kosten (€)],"&gt;0",uitkomst_doelgroep[Uitgangssituatie/effect beleid],uitkomst_tech[[#This Row],[Uitgangssituatie/effect beleid]])</f>
        <v>12910552.687483395</v>
      </c>
      <c r="L189" s="398">
        <f>SUMIFS(uitkomst_doelgroep[Investering (cash flow) (€)],uitkomst_doelgroep[Digitale zorgtoepassing],B189,uitkomst_doelgroep[Jaar],D189,uitkomst_doelgroep[Investering (cash flow) (€)],"&gt;0",uitkomst_doelgroep[Uitgangssituatie/effect beleid],uitkomst_tech[[#This Row],[Uitgangssituatie/effect beleid]])</f>
        <v>15979.365750413424</v>
      </c>
    </row>
    <row r="190" spans="1:12" x14ac:dyDescent="0.5">
      <c r="A190" s="42" t="str">
        <f>INDEX(Technologieën[Veld],MATCH(B190,Technologieën[Digitale zorgtoepassing],0))</f>
        <v>Digitale hulpmiddelen - Verpleging</v>
      </c>
      <c r="B190" s="33" t="s">
        <v>32</v>
      </c>
      <c r="C190" s="33" t="s">
        <v>812</v>
      </c>
      <c r="D190" s="33">
        <v>2033</v>
      </c>
      <c r="E190" s="2">
        <v>326</v>
      </c>
      <c r="F190" s="397">
        <f>SUMIFS(uitkomst_doelgroep[Patiëntaantallen],uitkomst_doelgroep[Digitale zorgtoepassing],B190,uitkomst_doelgroep[Jaar],D190,uitkomst_doelgroep[Arbeidsbesparing (€)],"&gt;0",uitkomst_doelgroep[Uitgangssituatie/effect beleid],uitkomst_tech[[#This Row],[Uitgangssituatie/effect beleid]])</f>
        <v>9105.6444635716125</v>
      </c>
      <c r="G190" s="398">
        <f>SUMIFS(uitkomst_doelgroep[Arbeidsbesparing (€)],uitkomst_doelgroep[Digitale zorgtoepassing],B190,uitkomst_doelgroep[Jaar],D190,uitkomst_doelgroep[Arbeidsbesparing (€)],"&gt;0",uitkomst_doelgroep[Uitgangssituatie/effect beleid],uitkomst_tech[[#This Row],[Uitgangssituatie/effect beleid]])</f>
        <v>23170871.486044973</v>
      </c>
      <c r="H190" s="398">
        <f>SUMIFS(uitkomst_doelgroep[Arbeidsbesparing (FTE)],uitkomst_doelgroep[Digitale zorgtoepassing],B190,uitkomst_doelgroep[Jaar],D190,uitkomst_doelgroep[Arbeidsbesparing (FTE)],"&gt;0",uitkomst_doelgroep[Uitgangssituatie/effect beleid],uitkomst_tech[[#This Row],[Uitgangssituatie/effect beleid]])</f>
        <v>545.78623338189948</v>
      </c>
      <c r="I190" s="398">
        <f>SUMIFS(uitkomst_doelgroep[Overige besparingen (€)],uitkomst_doelgroep[Digitale zorgtoepassing],B190,uitkomst_doelgroep[Jaar],D190,uitkomst_doelgroep[Overige besparingen (€)],"&gt;0",uitkomst_doelgroep[Uitgangssituatie/effect beleid],uitkomst_tech[[#This Row],[Uitgangssituatie/effect beleid]])</f>
        <v>8088069.5272047371</v>
      </c>
      <c r="J190" s="398">
        <f>SUMIFS(uitkomst_doelgroep[QALY (€)],uitkomst_doelgroep[Digitale zorgtoepassing],B190,uitkomst_doelgroep[Jaar],D190,uitkomst_doelgroep[QALY (€)],"&gt;0",uitkomst_doelgroep[Uitgangssituatie/effect beleid],uitkomst_tech[[#This Row],[Uitgangssituatie/effect beleid]])</f>
        <v>93530804.544295385</v>
      </c>
      <c r="K190" s="398">
        <f>SUMIFS(uitkomst_doelgroep[Kosten (€)],uitkomst_doelgroep[Digitale zorgtoepassing],B190,uitkomst_doelgroep[Jaar],D190,uitkomst_doelgroep[Kosten (€)],"&gt;0",uitkomst_doelgroep[Uitgangssituatie/effect beleid],uitkomst_tech[[#This Row],[Uitgangssituatie/effect beleid]])</f>
        <v>13005375.186260676</v>
      </c>
      <c r="L190" s="398">
        <f>SUMIFS(uitkomst_doelgroep[Investering (cash flow) (€)],uitkomst_doelgroep[Digitale zorgtoepassing],B190,uitkomst_doelgroep[Jaar],D190,uitkomst_doelgroep[Investering (cash flow) (€)],"&gt;0",uitkomst_doelgroep[Uitgangssituatie/effect beleid],uitkomst_tech[[#This Row],[Uitgangssituatie/effect beleid]])</f>
        <v>9445.2645209612147</v>
      </c>
    </row>
    <row r="191" spans="1:12" x14ac:dyDescent="0.5">
      <c r="A191" s="42" t="str">
        <f>INDEX(Technologieën[Veld],MATCH(B191,Technologieën[Digitale zorgtoepassing],0))</f>
        <v>Software - Diagnose</v>
      </c>
      <c r="B191" s="32" t="s">
        <v>725</v>
      </c>
      <c r="C191" s="33" t="s">
        <v>812</v>
      </c>
      <c r="D191" s="33">
        <v>2023</v>
      </c>
      <c r="E191" s="2">
        <v>30</v>
      </c>
      <c r="F191" s="397">
        <f>SUMIFS(uitkomst_doelgroep[Patiëntaantallen],uitkomst_doelgroep[Digitale zorgtoepassing],B191,uitkomst_doelgroep[Jaar],D191,uitkomst_doelgroep[Arbeidsbesparing (€)],"&gt;0",uitkomst_doelgroep[Uitgangssituatie/effect beleid],uitkomst_tech[[#This Row],[Uitgangssituatie/effect beleid]])</f>
        <v>395421</v>
      </c>
      <c r="G191" s="398">
        <f>SUMIFS(uitkomst_doelgroep[Arbeidsbesparing (€)],uitkomst_doelgroep[Digitale zorgtoepassing],B191,uitkomst_doelgroep[Jaar],D191,uitkomst_doelgroep[Arbeidsbesparing (€)],"&gt;0",uitkomst_doelgroep[Uitgangssituatie/effect beleid],uitkomst_tech[[#This Row],[Uitgangssituatie/effect beleid]])</f>
        <v>183103.80354985641</v>
      </c>
      <c r="H191" s="398">
        <f>SUMIFS(uitkomst_doelgroep[Arbeidsbesparing (FTE)],uitkomst_doelgroep[Digitale zorgtoepassing],B191,uitkomst_doelgroep[Jaar],D191,uitkomst_doelgroep[Arbeidsbesparing (FTE)],"&gt;0",uitkomst_doelgroep[Uitgangssituatie/effect beleid],uitkomst_tech[[#This Row],[Uitgangssituatie/effect beleid]])</f>
        <v>4.2140218750000011</v>
      </c>
      <c r="I191" s="398">
        <f>SUMIFS(uitkomst_doelgroep[Overige besparingen (€)],uitkomst_doelgroep[Digitale zorgtoepassing],B191,uitkomst_doelgroep[Jaar],D191,uitkomst_doelgroep[Overige besparingen (€)],"&gt;0",uitkomst_doelgroep[Uitgangssituatie/effect beleid],uitkomst_tech[[#This Row],[Uitgangssituatie/effect beleid]])</f>
        <v>0</v>
      </c>
      <c r="J191" s="398">
        <f>SUMIFS(uitkomst_doelgroep[QALY (€)],uitkomst_doelgroep[Digitale zorgtoepassing],B191,uitkomst_doelgroep[Jaar],D191,uitkomst_doelgroep[QALY (€)],"&gt;0",uitkomst_doelgroep[Uitgangssituatie/effect beleid],uitkomst_tech[[#This Row],[Uitgangssituatie/effect beleid]])</f>
        <v>0</v>
      </c>
      <c r="K191" s="398">
        <f>SUMIFS(uitkomst_doelgroep[Kosten (€)],uitkomst_doelgroep[Digitale zorgtoepassing],B191,uitkomst_doelgroep[Jaar],D191,uitkomst_doelgroep[Kosten (€)],"&gt;0",uitkomst_doelgroep[Uitgangssituatie/effect beleid],uitkomst_tech[[#This Row],[Uitgangssituatie/effect beleid]])</f>
        <v>102868.79795500002</v>
      </c>
      <c r="L191" s="398">
        <f>SUMIFS(uitkomst_doelgroep[Investering (cash flow) (€)],uitkomst_doelgroep[Digitale zorgtoepassing],B191,uitkomst_doelgroep[Jaar],D191,uitkomst_doelgroep[Investering (cash flow) (€)],"&gt;0",uitkomst_doelgroep[Uitgangssituatie/effect beleid],uitkomst_tech[[#This Row],[Uitgangssituatie/effect beleid]])</f>
        <v>13999.763125708576</v>
      </c>
    </row>
    <row r="192" spans="1:12" x14ac:dyDescent="0.5">
      <c r="A192" s="42" t="str">
        <f>INDEX(Technologieën[Veld],MATCH(B192,Technologieën[Digitale zorgtoepassing],0))</f>
        <v>Software - Diagnose</v>
      </c>
      <c r="B192" s="32" t="s">
        <v>725</v>
      </c>
      <c r="C192" s="33" t="s">
        <v>812</v>
      </c>
      <c r="D192" s="33">
        <v>2024</v>
      </c>
      <c r="E192" s="2">
        <v>62</v>
      </c>
      <c r="F192" s="397">
        <f>SUMIFS(uitkomst_doelgroep[Patiëntaantallen],uitkomst_doelgroep[Digitale zorgtoepassing],B192,uitkomst_doelgroep[Jaar],D192,uitkomst_doelgroep[Arbeidsbesparing (€)],"&gt;0",uitkomst_doelgroep[Uitgangssituatie/effect beleid],uitkomst_tech[[#This Row],[Uitgangssituatie/effect beleid]])</f>
        <v>529864.14</v>
      </c>
      <c r="G192" s="398">
        <f>SUMIFS(uitkomst_doelgroep[Arbeidsbesparing (€)],uitkomst_doelgroep[Digitale zorgtoepassing],B192,uitkomst_doelgroep[Jaar],D192,uitkomst_doelgroep[Arbeidsbesparing (€)],"&gt;0",uitkomst_doelgroep[Uitgangssituatie/effect beleid],uitkomst_tech[[#This Row],[Uitgangssituatie/effect beleid]])</f>
        <v>245359.09675680759</v>
      </c>
      <c r="H192" s="398">
        <f>SUMIFS(uitkomst_doelgroep[Arbeidsbesparing (FTE)],uitkomst_doelgroep[Digitale zorgtoepassing],B192,uitkomst_doelgroep[Jaar],D192,uitkomst_doelgroep[Arbeidsbesparing (FTE)],"&gt;0",uitkomst_doelgroep[Uitgangssituatie/effect beleid],uitkomst_tech[[#This Row],[Uitgangssituatie/effect beleid]])</f>
        <v>5.6467893125000019</v>
      </c>
      <c r="I192" s="398">
        <f>SUMIFS(uitkomst_doelgroep[Overige besparingen (€)],uitkomst_doelgroep[Digitale zorgtoepassing],B192,uitkomst_doelgroep[Jaar],D192,uitkomst_doelgroep[Overige besparingen (€)],"&gt;0",uitkomst_doelgroep[Uitgangssituatie/effect beleid],uitkomst_tech[[#This Row],[Uitgangssituatie/effect beleid]])</f>
        <v>0</v>
      </c>
      <c r="J192" s="398">
        <f>SUMIFS(uitkomst_doelgroep[QALY (€)],uitkomst_doelgroep[Digitale zorgtoepassing],B192,uitkomst_doelgroep[Jaar],D192,uitkomst_doelgroep[QALY (€)],"&gt;0",uitkomst_doelgroep[Uitgangssituatie/effect beleid],uitkomst_tech[[#This Row],[Uitgangssituatie/effect beleid]])</f>
        <v>0</v>
      </c>
      <c r="K192" s="398">
        <f>SUMIFS(uitkomst_doelgroep[Kosten (€)],uitkomst_doelgroep[Digitale zorgtoepassing],B192,uitkomst_doelgroep[Jaar],D192,uitkomst_doelgroep[Kosten (€)],"&gt;0",uitkomst_doelgroep[Uitgangssituatie/effect beleid],uitkomst_tech[[#This Row],[Uitgangssituatie/effect beleid]])</f>
        <v>137844.18925970001</v>
      </c>
      <c r="L192" s="398">
        <f>SUMIFS(uitkomst_doelgroep[Investering (cash flow) (€)],uitkomst_doelgroep[Digitale zorgtoepassing],B192,uitkomst_doelgroep[Jaar],D192,uitkomst_doelgroep[Investering (cash flow) (€)],"&gt;0",uitkomst_doelgroep[Uitgangssituatie/effect beleid],uitkomst_tech[[#This Row],[Uitgangssituatie/effect beleid]])</f>
        <v>16396.522572829879</v>
      </c>
    </row>
    <row r="193" spans="1:12" x14ac:dyDescent="0.5">
      <c r="A193" s="42" t="str">
        <f>INDEX(Technologieën[Veld],MATCH(B193,Technologieën[Digitale zorgtoepassing],0))</f>
        <v>Software - Diagnose</v>
      </c>
      <c r="B193" s="32" t="s">
        <v>725</v>
      </c>
      <c r="C193" s="33" t="s">
        <v>812</v>
      </c>
      <c r="D193" s="33">
        <v>2025</v>
      </c>
      <c r="E193" s="2">
        <v>94</v>
      </c>
      <c r="F193" s="397">
        <f>SUMIFS(uitkomst_doelgroep[Patiëntaantallen],uitkomst_doelgroep[Digitale zorgtoepassing],B193,uitkomst_doelgroep[Jaar],D193,uitkomst_doelgroep[Arbeidsbesparing (€)],"&gt;0",uitkomst_doelgroep[Uitgangssituatie/effect beleid],uitkomst_tech[[#This Row],[Uitgangssituatie/effect beleid]])</f>
        <v>687323.94556799997</v>
      </c>
      <c r="G193" s="398">
        <f>SUMIFS(uitkomst_doelgroep[Arbeidsbesparing (€)],uitkomst_doelgroep[Digitale zorgtoepassing],B193,uitkomst_doelgroep[Jaar],D193,uitkomst_doelgroep[Arbeidsbesparing (€)],"&gt;0",uitkomst_doelgroep[Uitgangssituatie/effect beleid],uitkomst_tech[[#This Row],[Uitgangssituatie/effect beleid]])</f>
        <v>318272.49616078875</v>
      </c>
      <c r="H193" s="398">
        <f>SUMIFS(uitkomst_doelgroep[Arbeidsbesparing (FTE)],uitkomst_doelgroep[Digitale zorgtoepassing],B193,uitkomst_doelgroep[Jaar],D193,uitkomst_doelgroep[Arbeidsbesparing (FTE)],"&gt;0",uitkomst_doelgroep[Uitgangssituatie/effect beleid],uitkomst_tech[[#This Row],[Uitgangssituatie/effect beleid]])</f>
        <v>7.3248465353000016</v>
      </c>
      <c r="I193" s="398">
        <f>SUMIFS(uitkomst_doelgroep[Overige besparingen (€)],uitkomst_doelgroep[Digitale zorgtoepassing],B193,uitkomst_doelgroep[Jaar],D193,uitkomst_doelgroep[Overige besparingen (€)],"&gt;0",uitkomst_doelgroep[Uitgangssituatie/effect beleid],uitkomst_tech[[#This Row],[Uitgangssituatie/effect beleid]])</f>
        <v>0</v>
      </c>
      <c r="J193" s="398">
        <f>SUMIFS(uitkomst_doelgroep[QALY (€)],uitkomst_doelgroep[Digitale zorgtoepassing],B193,uitkomst_doelgroep[Jaar],D193,uitkomst_doelgroep[QALY (€)],"&gt;0",uitkomst_doelgroep[Uitgangssituatie/effect beleid],uitkomst_tech[[#This Row],[Uitgangssituatie/effect beleid]])</f>
        <v>0</v>
      </c>
      <c r="K193" s="398">
        <f>SUMIFS(uitkomst_doelgroep[Kosten (€)],uitkomst_doelgroep[Digitale zorgtoepassing],B193,uitkomst_doelgroep[Jaar],D193,uitkomst_doelgroep[Kosten (€)],"&gt;0",uitkomst_doelgroep[Uitgangssituatie/effect beleid],uitkomst_tech[[#This Row],[Uitgangssituatie/effect beleid]])</f>
        <v>178807.36755576465</v>
      </c>
      <c r="L193" s="398">
        <f>SUMIFS(uitkomst_doelgroep[Investering (cash flow) (€)],uitkomst_doelgroep[Digitale zorgtoepassing],B193,uitkomst_doelgroep[Jaar],D193,uitkomst_doelgroep[Investering (cash flow) (€)],"&gt;0",uitkomst_doelgroep[Uitgangssituatie/effect beleid],uitkomst_tech[[#This Row],[Uitgangssituatie/effect beleid]])</f>
        <v>18356.3241478173</v>
      </c>
    </row>
    <row r="194" spans="1:12" x14ac:dyDescent="0.5">
      <c r="A194" s="42" t="str">
        <f>INDEX(Technologieën[Veld],MATCH(B194,Technologieën[Digitale zorgtoepassing],0))</f>
        <v>Software - Diagnose</v>
      </c>
      <c r="B194" s="32" t="s">
        <v>725</v>
      </c>
      <c r="C194" s="33" t="s">
        <v>812</v>
      </c>
      <c r="D194" s="33">
        <v>2026</v>
      </c>
      <c r="E194" s="2">
        <v>126</v>
      </c>
      <c r="F194" s="397">
        <f>SUMIFS(uitkomst_doelgroep[Patiëntaantallen],uitkomst_doelgroep[Digitale zorgtoepassing],B194,uitkomst_doelgroep[Jaar],D194,uitkomst_doelgroep[Arbeidsbesparing (€)],"&gt;0",uitkomst_doelgroep[Uitgangssituatie/effect beleid],uitkomst_tech[[#This Row],[Uitgangssituatie/effect beleid]])</f>
        <v>863604.2036788296</v>
      </c>
      <c r="G194" s="398">
        <f>SUMIFS(uitkomst_doelgroep[Arbeidsbesparing (€)],uitkomst_doelgroep[Digitale zorgtoepassing],B194,uitkomst_doelgroep[Jaar],D194,uitkomst_doelgroep[Arbeidsbesparing (€)],"&gt;0",uitkomst_doelgroep[Uitgangssituatie/effect beleid],uitkomst_tech[[#This Row],[Uitgangssituatie/effect beleid]])</f>
        <v>399900.90171042655</v>
      </c>
      <c r="H194" s="398">
        <f>SUMIFS(uitkomst_doelgroep[Arbeidsbesparing (FTE)],uitkomst_doelgroep[Digitale zorgtoepassing],B194,uitkomst_doelgroep[Jaar],D194,uitkomst_doelgroep[Arbeidsbesparing (FTE)],"&gt;0",uitkomst_doelgroep[Uitgangssituatie/effect beleid],uitkomst_tech[[#This Row],[Uitgangssituatie/effect beleid]])</f>
        <v>9.2034742860003487</v>
      </c>
      <c r="I194" s="398">
        <f>SUMIFS(uitkomst_doelgroep[Overige besparingen (€)],uitkomst_doelgroep[Digitale zorgtoepassing],B194,uitkomst_doelgroep[Jaar],D194,uitkomst_doelgroep[Overige besparingen (€)],"&gt;0",uitkomst_doelgroep[Uitgangssituatie/effect beleid],uitkomst_tech[[#This Row],[Uitgangssituatie/effect beleid]])</f>
        <v>0</v>
      </c>
      <c r="J194" s="398">
        <f>SUMIFS(uitkomst_doelgroep[QALY (€)],uitkomst_doelgroep[Digitale zorgtoepassing],B194,uitkomst_doelgroep[Jaar],D194,uitkomst_doelgroep[QALY (€)],"&gt;0",uitkomst_doelgroep[Uitgangssituatie/effect beleid],uitkomst_tech[[#This Row],[Uitgangssituatie/effect beleid]])</f>
        <v>0</v>
      </c>
      <c r="K194" s="398">
        <f>SUMIFS(uitkomst_doelgroep[Kosten (€)],uitkomst_doelgroep[Digitale zorgtoepassing],B194,uitkomst_doelgroep[Jaar],D194,uitkomst_doelgroep[Kosten (€)],"&gt;0",uitkomst_doelgroep[Uitgangssituatie/effect beleid],uitkomst_tech[[#This Row],[Uitgangssituatie/effect beleid]])</f>
        <v>224666.68776146485</v>
      </c>
      <c r="L194" s="398">
        <f>SUMIFS(uitkomst_doelgroep[Investering (cash flow) (€)],uitkomst_doelgroep[Digitale zorgtoepassing],B194,uitkomst_doelgroep[Jaar],D194,uitkomst_doelgroep[Investering (cash flow) (€)],"&gt;0",uitkomst_doelgroep[Uitgangssituatie/effect beleid],uitkomst_tech[[#This Row],[Uitgangssituatie/effect beleid]])</f>
        <v>19465.864835862874</v>
      </c>
    </row>
    <row r="195" spans="1:12" x14ac:dyDescent="0.5">
      <c r="A195" s="42" t="str">
        <f>INDEX(Technologieën[Veld],MATCH(B195,Technologieën[Digitale zorgtoepassing],0))</f>
        <v>Software - Diagnose</v>
      </c>
      <c r="B195" s="32" t="s">
        <v>725</v>
      </c>
      <c r="C195" s="33" t="s">
        <v>812</v>
      </c>
      <c r="D195" s="33">
        <v>2027</v>
      </c>
      <c r="E195" s="2">
        <v>158</v>
      </c>
      <c r="F195" s="397">
        <f>SUMIFS(uitkomst_doelgroep[Patiëntaantallen],uitkomst_doelgroep[Digitale zorgtoepassing],B195,uitkomst_doelgroep[Jaar],D195,uitkomst_doelgroep[Arbeidsbesparing (€)],"&gt;0",uitkomst_doelgroep[Uitgangssituatie/effect beleid],uitkomst_tech[[#This Row],[Uitgangssituatie/effect beleid]])</f>
        <v>1050539.6516467417</v>
      </c>
      <c r="G195" s="398">
        <f>SUMIFS(uitkomst_doelgroep[Arbeidsbesparing (€)],uitkomst_doelgroep[Digitale zorgtoepassing],B195,uitkomst_doelgroep[Jaar],D195,uitkomst_doelgroep[Arbeidsbesparing (€)],"&gt;0",uitkomst_doelgroep[Uitgangssituatie/effect beleid],uitkomst_tech[[#This Row],[Uitgangssituatie/effect beleid]])</f>
        <v>486463.30365979439</v>
      </c>
      <c r="H195" s="398">
        <f>SUMIFS(uitkomst_doelgroep[Arbeidsbesparing (FTE)],uitkomst_doelgroep[Digitale zorgtoepassing],B195,uitkomst_doelgroep[Jaar],D195,uitkomst_doelgroep[Arbeidsbesparing (FTE)],"&gt;0",uitkomst_doelgroep[Uitgangssituatie/effect beleid],uitkomst_tech[[#This Row],[Uitgangssituatie/effect beleid]])</f>
        <v>11.195654941427618</v>
      </c>
      <c r="I195" s="398">
        <f>SUMIFS(uitkomst_doelgroep[Overige besparingen (€)],uitkomst_doelgroep[Digitale zorgtoepassing],B195,uitkomst_doelgroep[Jaar],D195,uitkomst_doelgroep[Overige besparingen (€)],"&gt;0",uitkomst_doelgroep[Uitgangssituatie/effect beleid],uitkomst_tech[[#This Row],[Uitgangssituatie/effect beleid]])</f>
        <v>0</v>
      </c>
      <c r="J195" s="398">
        <f>SUMIFS(uitkomst_doelgroep[QALY (€)],uitkomst_doelgroep[Digitale zorgtoepassing],B195,uitkomst_doelgroep[Jaar],D195,uitkomst_doelgroep[QALY (€)],"&gt;0",uitkomst_doelgroep[Uitgangssituatie/effect beleid],uitkomst_tech[[#This Row],[Uitgangssituatie/effect beleid]])</f>
        <v>0</v>
      </c>
      <c r="K195" s="398">
        <f>SUMIFS(uitkomst_doelgroep[Kosten (€)],uitkomst_doelgroep[Digitale zorgtoepassing],B195,uitkomst_doelgroep[Jaar],D195,uitkomst_doelgroep[Kosten (€)],"&gt;0",uitkomst_doelgroep[Uitgangssituatie/effect beleid],uitkomst_tech[[#This Row],[Uitgangssituatie/effect beleid]])</f>
        <v>273297.95627689158</v>
      </c>
      <c r="L195" s="398">
        <f>SUMIFS(uitkomst_doelgroep[Investering (cash flow) (€)],uitkomst_doelgroep[Digitale zorgtoepassing],B195,uitkomst_doelgroep[Jaar],D195,uitkomst_doelgroep[Investering (cash flow) (€)],"&gt;0",uitkomst_doelgroep[Uitgangssituatie/effect beleid],uitkomst_tech[[#This Row],[Uitgangssituatie/effect beleid]])</f>
        <v>19390.839339394897</v>
      </c>
    </row>
    <row r="196" spans="1:12" x14ac:dyDescent="0.5">
      <c r="A196" s="42" t="str">
        <f>INDEX(Technologieën[Veld],MATCH(B196,Technologieën[Digitale zorgtoepassing],0))</f>
        <v>Software - Diagnose</v>
      </c>
      <c r="B196" s="32" t="s">
        <v>725</v>
      </c>
      <c r="C196" s="33" t="s">
        <v>812</v>
      </c>
      <c r="D196" s="33">
        <v>2028</v>
      </c>
      <c r="E196" s="2">
        <v>190</v>
      </c>
      <c r="F196" s="397">
        <f>SUMIFS(uitkomst_doelgroep[Patiëntaantallen],uitkomst_doelgroep[Digitale zorgtoepassing],B196,uitkomst_doelgroep[Jaar],D196,uitkomst_doelgroep[Arbeidsbesparing (€)],"&gt;0",uitkomst_doelgroep[Uitgangssituatie/effect beleid],uitkomst_tech[[#This Row],[Uitgangssituatie/effect beleid]])</f>
        <v>1236754.6114724872</v>
      </c>
      <c r="G196" s="398">
        <f>SUMIFS(uitkomst_doelgroep[Arbeidsbesparing (€)],uitkomst_doelgroep[Digitale zorgtoepassing],B196,uitkomst_doelgroep[Jaar],D196,uitkomst_doelgroep[Arbeidsbesparing (€)],"&gt;0",uitkomst_doelgroep[Uitgangssituatie/effect beleid],uitkomst_tech[[#This Row],[Uitgangssituatie/effect beleid]])</f>
        <v>572692.0760871002</v>
      </c>
      <c r="H196" s="398">
        <f>SUMIFS(uitkomst_doelgroep[Arbeidsbesparing (FTE)],uitkomst_doelgroep[Digitale zorgtoepassing],B196,uitkomst_doelgroep[Jaar],D196,uitkomst_doelgroep[Arbeidsbesparing (FTE)],"&gt;0",uitkomst_doelgroep[Uitgangssituatie/effect beleid],uitkomst_tech[[#This Row],[Uitgangssituatie/effect beleid]])</f>
        <v>13.180157317775707</v>
      </c>
      <c r="I196" s="398">
        <f>SUMIFS(uitkomst_doelgroep[Overige besparingen (€)],uitkomst_doelgroep[Digitale zorgtoepassing],B196,uitkomst_doelgroep[Jaar],D196,uitkomst_doelgroep[Overige besparingen (€)],"&gt;0",uitkomst_doelgroep[Uitgangssituatie/effect beleid],uitkomst_tech[[#This Row],[Uitgangssituatie/effect beleid]])</f>
        <v>0</v>
      </c>
      <c r="J196" s="398">
        <f>SUMIFS(uitkomst_doelgroep[QALY (€)],uitkomst_doelgroep[Digitale zorgtoepassing],B196,uitkomst_doelgroep[Jaar],D196,uitkomst_doelgroep[QALY (€)],"&gt;0",uitkomst_doelgroep[Uitgangssituatie/effect beleid],uitkomst_tech[[#This Row],[Uitgangssituatie/effect beleid]])</f>
        <v>0</v>
      </c>
      <c r="K196" s="398">
        <f>SUMIFS(uitkomst_doelgroep[Kosten (€)],uitkomst_doelgroep[Digitale zorgtoepassing],B196,uitkomst_doelgroep[Jaar],D196,uitkomst_doelgroep[Kosten (€)],"&gt;0",uitkomst_doelgroep[Uitgangssituatie/effect beleid],uitkomst_tech[[#This Row],[Uitgangssituatie/effect beleid]])</f>
        <v>321741.78975693707</v>
      </c>
      <c r="L196" s="398">
        <f>SUMIFS(uitkomst_doelgroep[Investering (cash flow) (€)],uitkomst_doelgroep[Digitale zorgtoepassing],B196,uitkomst_doelgroep[Jaar],D196,uitkomst_doelgroep[Investering (cash flow) (€)],"&gt;0",uitkomst_doelgroep[Uitgangssituatie/effect beleid],uitkomst_tech[[#This Row],[Uitgangssituatie/effect beleid]])</f>
        <v>18035.192350861496</v>
      </c>
    </row>
    <row r="197" spans="1:12" x14ac:dyDescent="0.5">
      <c r="A197" s="42" t="str">
        <f>INDEX(Technologieën[Veld],MATCH(B197,Technologieën[Digitale zorgtoepassing],0))</f>
        <v>Software - Diagnose</v>
      </c>
      <c r="B197" s="32" t="s">
        <v>725</v>
      </c>
      <c r="C197" s="33" t="s">
        <v>812</v>
      </c>
      <c r="D197" s="33">
        <v>2029</v>
      </c>
      <c r="E197" s="2">
        <v>222</v>
      </c>
      <c r="F197" s="397">
        <f>SUMIFS(uitkomst_doelgroep[Patiëntaantallen],uitkomst_doelgroep[Digitale zorgtoepassing],B197,uitkomst_doelgroep[Jaar],D197,uitkomst_doelgroep[Arbeidsbesparing (€)],"&gt;0",uitkomst_doelgroep[Uitgangssituatie/effect beleid],uitkomst_tech[[#This Row],[Uitgangssituatie/effect beleid]])</f>
        <v>1409950.9626093982</v>
      </c>
      <c r="G197" s="398">
        <f>SUMIFS(uitkomst_doelgroep[Arbeidsbesparing (€)],uitkomst_doelgroep[Digitale zorgtoepassing],B197,uitkomst_doelgroep[Jaar],D197,uitkomst_doelgroep[Arbeidsbesparing (€)],"&gt;0",uitkomst_doelgroep[Uitgangssituatie/effect beleid],uitkomst_tech[[#This Row],[Uitgangssituatie/effect beleid]])</f>
        <v>652892.44646228233</v>
      </c>
      <c r="H197" s="398">
        <f>SUMIFS(uitkomst_doelgroep[Arbeidsbesparing (FTE)],uitkomst_doelgroep[Digitale zorgtoepassing],B197,uitkomst_doelgroep[Jaar],D197,uitkomst_doelgroep[Arbeidsbesparing (FTE)],"&gt;0",uitkomst_doelgroep[Uitgangssituatie/effect beleid],uitkomst_tech[[#This Row],[Uitgangssituatie/effect beleid]])</f>
        <v>15.02591971370593</v>
      </c>
      <c r="I197" s="398">
        <f>SUMIFS(uitkomst_doelgroep[Overige besparingen (€)],uitkomst_doelgroep[Digitale zorgtoepassing],B197,uitkomst_doelgroep[Jaar],D197,uitkomst_doelgroep[Overige besparingen (€)],"&gt;0",uitkomst_doelgroep[Uitgangssituatie/effect beleid],uitkomst_tech[[#This Row],[Uitgangssituatie/effect beleid]])</f>
        <v>0</v>
      </c>
      <c r="J197" s="398">
        <f>SUMIFS(uitkomst_doelgroep[QALY (€)],uitkomst_doelgroep[Digitale zorgtoepassing],B197,uitkomst_doelgroep[Jaar],D197,uitkomst_doelgroep[QALY (€)],"&gt;0",uitkomst_doelgroep[Uitgangssituatie/effect beleid],uitkomst_tech[[#This Row],[Uitgangssituatie/effect beleid]])</f>
        <v>0</v>
      </c>
      <c r="K197" s="398">
        <f>SUMIFS(uitkomst_doelgroep[Kosten (€)],uitkomst_doelgroep[Digitale zorgtoepassing],B197,uitkomst_doelgroep[Jaar],D197,uitkomst_doelgroep[Kosten (€)],"&gt;0",uitkomst_doelgroep[Uitgangssituatie/effect beleid],uitkomst_tech[[#This Row],[Uitgangssituatie/effect beleid]])</f>
        <v>366798.83136991697</v>
      </c>
      <c r="L197" s="398">
        <f>SUMIFS(uitkomst_doelgroep[Investering (cash flow) (€)],uitkomst_doelgroep[Digitale zorgtoepassing],B197,uitkomst_doelgroep[Jaar],D197,uitkomst_doelgroep[Investering (cash flow) (€)],"&gt;0",uitkomst_doelgroep[Uitgangssituatie/effect beleid],uitkomst_tech[[#This Row],[Uitgangssituatie/effect beleid]])</f>
        <v>15626.825907133079</v>
      </c>
    </row>
    <row r="198" spans="1:12" x14ac:dyDescent="0.5">
      <c r="A198" s="42" t="str">
        <f>INDEX(Technologieën[Veld],MATCH(B198,Technologieën[Digitale zorgtoepassing],0))</f>
        <v>Software - Diagnose</v>
      </c>
      <c r="B198" s="32" t="s">
        <v>725</v>
      </c>
      <c r="C198" s="33" t="s">
        <v>812</v>
      </c>
      <c r="D198" s="33">
        <v>2030</v>
      </c>
      <c r="E198" s="2">
        <v>254</v>
      </c>
      <c r="F198" s="397">
        <f>SUMIFS(uitkomst_doelgroep[Patiëntaantallen],uitkomst_doelgroep[Digitale zorgtoepassing],B198,uitkomst_doelgroep[Jaar],D198,uitkomst_doelgroep[Arbeidsbesparing (€)],"&gt;0",uitkomst_doelgroep[Uitgangssituatie/effect beleid],uitkomst_tech[[#This Row],[Uitgangssituatie/effect beleid]])</f>
        <v>1560019.1833588106</v>
      </c>
      <c r="G198" s="398">
        <f>SUMIFS(uitkomst_doelgroep[Arbeidsbesparing (€)],uitkomst_doelgroep[Digitale zorgtoepassing],B198,uitkomst_doelgroep[Jaar],D198,uitkomst_doelgroep[Arbeidsbesparing (€)],"&gt;0",uitkomst_doelgroep[Uitgangssituatie/effect beleid],uitkomst_tech[[#This Row],[Uitgangssituatie/effect beleid]])</f>
        <v>722383.095697343</v>
      </c>
      <c r="H198" s="398">
        <f>SUMIFS(uitkomst_doelgroep[Arbeidsbesparing (FTE)],uitkomst_doelgroep[Digitale zorgtoepassing],B198,uitkomst_doelgroep[Jaar],D198,uitkomst_doelgroep[Arbeidsbesparing (FTE)],"&gt;0",uitkomst_doelgroep[Uitgangssituatie/effect beleid],uitkomst_tech[[#This Row],[Uitgangssituatie/effect beleid]])</f>
        <v>16.625204438038612</v>
      </c>
      <c r="I198" s="398">
        <f>SUMIFS(uitkomst_doelgroep[Overige besparingen (€)],uitkomst_doelgroep[Digitale zorgtoepassing],B198,uitkomst_doelgroep[Jaar],D198,uitkomst_doelgroep[Overige besparingen (€)],"&gt;0",uitkomst_doelgroep[Uitgangssituatie/effect beleid],uitkomst_tech[[#This Row],[Uitgangssituatie/effect beleid]])</f>
        <v>0</v>
      </c>
      <c r="J198" s="398">
        <f>SUMIFS(uitkomst_doelgroep[QALY (€)],uitkomst_doelgroep[Digitale zorgtoepassing],B198,uitkomst_doelgroep[Jaar],D198,uitkomst_doelgroep[QALY (€)],"&gt;0",uitkomst_doelgroep[Uitgangssituatie/effect beleid],uitkomst_tech[[#This Row],[Uitgangssituatie/effect beleid]])</f>
        <v>0</v>
      </c>
      <c r="K198" s="398">
        <f>SUMIFS(uitkomst_doelgroep[Kosten (€)],uitkomst_doelgroep[Digitale zorgtoepassing],B198,uitkomst_doelgroep[Jaar],D198,uitkomst_doelgroep[Kosten (€)],"&gt;0",uitkomst_doelgroep[Uitgangssituatie/effect beleid],uitkomst_tech[[#This Row],[Uitgangssituatie/effect beleid]])</f>
        <v>405839.08841174748</v>
      </c>
      <c r="L198" s="398">
        <f>SUMIFS(uitkomst_doelgroep[Investering (cash flow) (€)],uitkomst_doelgroep[Digitale zorgtoepassing],B198,uitkomst_doelgroep[Jaar],D198,uitkomst_doelgroep[Investering (cash flow) (€)],"&gt;0",uitkomst_doelgroep[Uitgangssituatie/effect beleid],uitkomst_tech[[#This Row],[Uitgangssituatie/effect beleid]])</f>
        <v>12645.798642833131</v>
      </c>
    </row>
    <row r="199" spans="1:12" x14ac:dyDescent="0.5">
      <c r="A199" s="42" t="str">
        <f>INDEX(Technologieën[Veld],MATCH(B199,Technologieën[Digitale zorgtoepassing],0))</f>
        <v>Software - Diagnose</v>
      </c>
      <c r="B199" s="32" t="s">
        <v>725</v>
      </c>
      <c r="C199" s="33" t="s">
        <v>812</v>
      </c>
      <c r="D199" s="33">
        <v>2031</v>
      </c>
      <c r="E199" s="2">
        <v>286</v>
      </c>
      <c r="F199" s="397">
        <f>SUMIFS(uitkomst_doelgroep[Patiëntaantallen],uitkomst_doelgroep[Digitale zorgtoepassing],B199,uitkomst_doelgroep[Jaar],D199,uitkomst_doelgroep[Arbeidsbesparing (€)],"&gt;0",uitkomst_doelgroep[Uitgangssituatie/effect beleid],uitkomst_tech[[#This Row],[Uitgangssituatie/effect beleid]])</f>
        <v>1681459.872182192</v>
      </c>
      <c r="G199" s="398">
        <f>SUMIFS(uitkomst_doelgroep[Arbeidsbesparing (€)],uitkomst_doelgroep[Digitale zorgtoepassing],B199,uitkomst_doelgroep[Jaar],D199,uitkomst_doelgroep[Arbeidsbesparing (€)],"&gt;0",uitkomst_doelgroep[Uitgangssituatie/effect beleid],uitkomst_tech[[#This Row],[Uitgangssituatie/effect beleid]])</f>
        <v>778617.46875612251</v>
      </c>
      <c r="H199" s="398">
        <f>SUMIFS(uitkomst_doelgroep[Arbeidsbesparing (FTE)],uitkomst_doelgroep[Digitale zorgtoepassing],B199,uitkomst_doelgroep[Jaar],D199,uitkomst_doelgroep[Arbeidsbesparing (FTE)],"&gt;0",uitkomst_doelgroep[Uitgangssituatie/effect beleid],uitkomst_tech[[#This Row],[Uitgangssituatie/effect beleid]])</f>
        <v>17.919404086557019</v>
      </c>
      <c r="I199" s="398">
        <f>SUMIFS(uitkomst_doelgroep[Overige besparingen (€)],uitkomst_doelgroep[Digitale zorgtoepassing],B199,uitkomst_doelgroep[Jaar],D199,uitkomst_doelgroep[Overige besparingen (€)],"&gt;0",uitkomst_doelgroep[Uitgangssituatie/effect beleid],uitkomst_tech[[#This Row],[Uitgangssituatie/effect beleid]])</f>
        <v>0</v>
      </c>
      <c r="J199" s="398">
        <f>SUMIFS(uitkomst_doelgroep[QALY (€)],uitkomst_doelgroep[Digitale zorgtoepassing],B199,uitkomst_doelgroep[Jaar],D199,uitkomst_doelgroep[QALY (€)],"&gt;0",uitkomst_doelgroep[Uitgangssituatie/effect beleid],uitkomst_tech[[#This Row],[Uitgangssituatie/effect beleid]])</f>
        <v>0</v>
      </c>
      <c r="K199" s="398">
        <f>SUMIFS(uitkomst_doelgroep[Kosten (€)],uitkomst_doelgroep[Digitale zorgtoepassing],B199,uitkomst_doelgroep[Jaar],D199,uitkomst_doelgroep[Kosten (€)],"&gt;0",uitkomst_doelgroep[Uitgangssituatie/effect beleid],uitkomst_tech[[#This Row],[Uitgangssituatie/effect beleid]])</f>
        <v>437431.89122719847</v>
      </c>
      <c r="L199" s="398">
        <f>SUMIFS(uitkomst_doelgroep[Investering (cash flow) (€)],uitkomst_doelgroep[Digitale zorgtoepassing],B199,uitkomst_doelgroep[Jaar],D199,uitkomst_doelgroep[Investering (cash flow) (€)],"&gt;0",uitkomst_doelgroep[Uitgangssituatie/effect beleid],uitkomst_tech[[#This Row],[Uitgangssituatie/effect beleid]])</f>
        <v>9625.6312888767588</v>
      </c>
    </row>
    <row r="200" spans="1:12" x14ac:dyDescent="0.5">
      <c r="A200" s="42" t="str">
        <f>INDEX(Technologieën[Veld],MATCH(B200,Technologieën[Digitale zorgtoepassing],0))</f>
        <v>Software - Diagnose</v>
      </c>
      <c r="B200" s="32" t="s">
        <v>725</v>
      </c>
      <c r="C200" s="33" t="s">
        <v>812</v>
      </c>
      <c r="D200" s="33">
        <v>2032</v>
      </c>
      <c r="E200" s="2">
        <v>318</v>
      </c>
      <c r="F200" s="397">
        <f>SUMIFS(uitkomst_doelgroep[Patiëntaantallen],uitkomst_doelgroep[Digitale zorgtoepassing],B200,uitkomst_doelgroep[Jaar],D200,uitkomst_doelgroep[Arbeidsbesparing (€)],"&gt;0",uitkomst_doelgroep[Uitgangssituatie/effect beleid],uitkomst_tech[[#This Row],[Uitgangssituatie/effect beleid]])</f>
        <v>1773897.1572518521</v>
      </c>
      <c r="G200" s="398">
        <f>SUMIFS(uitkomst_doelgroep[Arbeidsbesparing (€)],uitkomst_doelgroep[Digitale zorgtoepassing],B200,uitkomst_doelgroep[Jaar],D200,uitkomst_doelgroep[Arbeidsbesparing (€)],"&gt;0",uitkomst_doelgroep[Uitgangssituatie/effect beleid],uitkomst_tech[[#This Row],[Uitgangssituatie/effect beleid]])</f>
        <v>821421.51428247825</v>
      </c>
      <c r="H200" s="398">
        <f>SUMIFS(uitkomst_doelgroep[Arbeidsbesparing (FTE)],uitkomst_doelgroep[Digitale zorgtoepassing],B200,uitkomst_doelgroep[Jaar],D200,uitkomst_doelgroep[Arbeidsbesparing (FTE)],"&gt;0",uitkomst_doelgroep[Uitgangssituatie/effect beleid],uitkomst_tech[[#This Row],[Uitgangssituatie/effect beleid]])</f>
        <v>18.904512973917981</v>
      </c>
      <c r="I200" s="398">
        <f>SUMIFS(uitkomst_doelgroep[Overige besparingen (€)],uitkomst_doelgroep[Digitale zorgtoepassing],B200,uitkomst_doelgroep[Jaar],D200,uitkomst_doelgroep[Overige besparingen (€)],"&gt;0",uitkomst_doelgroep[Uitgangssituatie/effect beleid],uitkomst_tech[[#This Row],[Uitgangssituatie/effect beleid]])</f>
        <v>0</v>
      </c>
      <c r="J200" s="398">
        <f>SUMIFS(uitkomst_doelgroep[QALY (€)],uitkomst_doelgroep[Digitale zorgtoepassing],B200,uitkomst_doelgroep[Jaar],D200,uitkomst_doelgroep[QALY (€)],"&gt;0",uitkomst_doelgroep[Uitgangssituatie/effect beleid],uitkomst_tech[[#This Row],[Uitgangssituatie/effect beleid]])</f>
        <v>0</v>
      </c>
      <c r="K200" s="398">
        <f>SUMIFS(uitkomst_doelgroep[Kosten (€)],uitkomst_doelgroep[Digitale zorgtoepassing],B200,uitkomst_doelgroep[Jaar],D200,uitkomst_doelgroep[Kosten (€)],"&gt;0",uitkomst_doelgroep[Uitgangssituatie/effect beleid],uitkomst_tech[[#This Row],[Uitgangssituatie/effect beleid]])</f>
        <v>461479.45673671772</v>
      </c>
      <c r="L200" s="398">
        <f>SUMIFS(uitkomst_doelgroep[Investering (cash flow) (€)],uitkomst_doelgroep[Digitale zorgtoepassing],B200,uitkomst_doelgroep[Jaar],D200,uitkomst_doelgroep[Investering (cash flow) (€)],"&gt;0",uitkomst_doelgroep[Uitgangssituatie/effect beleid],uitkomst_tech[[#This Row],[Uitgangssituatie/effect beleid]])</f>
        <v>6962.3173010921064</v>
      </c>
    </row>
    <row r="201" spans="1:12" x14ac:dyDescent="0.5">
      <c r="A201" s="42" t="str">
        <f>INDEX(Technologieën[Veld],MATCH(B201,Technologieën[Digitale zorgtoepassing],0))</f>
        <v>Software - Diagnose</v>
      </c>
      <c r="B201" s="32" t="s">
        <v>725</v>
      </c>
      <c r="C201" s="33" t="s">
        <v>812</v>
      </c>
      <c r="D201" s="33">
        <v>2033</v>
      </c>
      <c r="E201" s="2">
        <v>350</v>
      </c>
      <c r="F201" s="397">
        <f>SUMIFS(uitkomst_doelgroep[Patiëntaantallen],uitkomst_doelgroep[Digitale zorgtoepassing],B201,uitkomst_doelgroep[Jaar],D201,uitkomst_doelgroep[Arbeidsbesparing (€)],"&gt;0",uitkomst_doelgroep[Uitgangssituatie/effect beleid],uitkomst_tech[[#This Row],[Uitgangssituatie/effect beleid]])</f>
        <v>1840757.9884837929</v>
      </c>
      <c r="G201" s="398">
        <f>SUMIFS(uitkomst_doelgroep[Arbeidsbesparing (€)],uitkomst_doelgroep[Digitale zorgtoepassing],B201,uitkomst_doelgroep[Jaar],D201,uitkomst_doelgroep[Arbeidsbesparing (€)],"&gt;0",uitkomst_doelgroep[Uitgangssituatie/effect beleid],uitkomst_tech[[#This Row],[Uitgangssituatie/effect beleid]])</f>
        <v>852382.11705034692</v>
      </c>
      <c r="H201" s="398">
        <f>SUMIFS(uitkomst_doelgroep[Arbeidsbesparing (FTE)],uitkomst_doelgroep[Digitale zorgtoepassing],B201,uitkomst_doelgroep[Jaar],D201,uitkomst_doelgroep[Arbeidsbesparing (FTE)],"&gt;0",uitkomst_doelgroep[Uitgangssituatie/effect beleid],uitkomst_tech[[#This Row],[Uitgangssituatie/effect beleid]])</f>
        <v>19.617052281117349</v>
      </c>
      <c r="I201" s="398">
        <f>SUMIFS(uitkomst_doelgroep[Overige besparingen (€)],uitkomst_doelgroep[Digitale zorgtoepassing],B201,uitkomst_doelgroep[Jaar],D201,uitkomst_doelgroep[Overige besparingen (€)],"&gt;0",uitkomst_doelgroep[Uitgangssituatie/effect beleid],uitkomst_tech[[#This Row],[Uitgangssituatie/effect beleid]])</f>
        <v>0</v>
      </c>
      <c r="J201" s="398">
        <f>SUMIFS(uitkomst_doelgroep[QALY (€)],uitkomst_doelgroep[Digitale zorgtoepassing],B201,uitkomst_doelgroep[Jaar],D201,uitkomst_doelgroep[QALY (€)],"&gt;0",uitkomst_doelgroep[Uitgangssituatie/effect beleid],uitkomst_tech[[#This Row],[Uitgangssituatie/effect beleid]])</f>
        <v>0</v>
      </c>
      <c r="K201" s="398">
        <f>SUMIFS(uitkomst_doelgroep[Kosten (€)],uitkomst_doelgroep[Digitale zorgtoepassing],B201,uitkomst_doelgroep[Jaar],D201,uitkomst_doelgroep[Kosten (€)],"&gt;0",uitkomst_doelgroep[Uitgangssituatie/effect beleid],uitkomst_tech[[#This Row],[Uitgangssituatie/effect beleid]])</f>
        <v>478873.30617592769</v>
      </c>
      <c r="L201" s="398">
        <f>SUMIFS(uitkomst_doelgroep[Investering (cash flow) (€)],uitkomst_doelgroep[Digitale zorgtoepassing],B201,uitkomst_doelgroep[Jaar],D201,uitkomst_doelgroep[Investering (cash flow) (€)],"&gt;0",uitkomst_doelgroep[Uitgangssituatie/effect beleid],uitkomst_tech[[#This Row],[Uitgangssituatie/effect beleid]])</f>
        <v>4839.5778491737228</v>
      </c>
    </row>
    <row r="202" spans="1:12" x14ac:dyDescent="0.5">
      <c r="A202" s="42" t="str">
        <f>INDEX(Technologieën[Veld],MATCH(B202,Technologieën[Digitale zorgtoepassing],0))</f>
        <v>Software - Diagnose</v>
      </c>
      <c r="B202" s="33" t="s">
        <v>720</v>
      </c>
      <c r="C202" s="33" t="s">
        <v>812</v>
      </c>
      <c r="D202" s="33">
        <v>2023</v>
      </c>
      <c r="E202" s="2">
        <v>31</v>
      </c>
      <c r="F202" s="397">
        <f>SUMIFS(uitkomst_doelgroep[Patiëntaantallen],uitkomst_doelgroep[Digitale zorgtoepassing],B202,uitkomst_doelgroep[Jaar],D202,uitkomst_doelgroep[Arbeidsbesparing (€)],"&gt;0",uitkomst_doelgroep[Uitgangssituatie/effect beleid],uitkomst_tech[[#This Row],[Uitgangssituatie/effect beleid]])</f>
        <v>286580</v>
      </c>
      <c r="G202" s="398">
        <f>SUMIFS(uitkomst_doelgroep[Arbeidsbesparing (€)],uitkomst_doelgroep[Digitale zorgtoepassing],B202,uitkomst_doelgroep[Jaar],D202,uitkomst_doelgroep[Arbeidsbesparing (€)],"&gt;0",uitkomst_doelgroep[Uitgangssituatie/effect beleid],uitkomst_tech[[#This Row],[Uitgangssituatie/effect beleid]])</f>
        <v>124721.66103927205</v>
      </c>
      <c r="H202" s="398">
        <f>SUMIFS(uitkomst_doelgroep[Arbeidsbesparing (FTE)],uitkomst_doelgroep[Digitale zorgtoepassing],B202,uitkomst_doelgroep[Jaar],D202,uitkomst_doelgroep[Arbeidsbesparing (FTE)],"&gt;0",uitkomst_doelgroep[Uitgangssituatie/effect beleid],uitkomst_tech[[#This Row],[Uitgangssituatie/effect beleid]])</f>
        <v>2.8703926282051282</v>
      </c>
      <c r="I202" s="398">
        <f>SUMIFS(uitkomst_doelgroep[Overige besparingen (€)],uitkomst_doelgroep[Digitale zorgtoepassing],B202,uitkomst_doelgroep[Jaar],D202,uitkomst_doelgroep[Overige besparingen (€)],"&gt;0",uitkomst_doelgroep[Uitgangssituatie/effect beleid],uitkomst_tech[[#This Row],[Uitgangssituatie/effect beleid]])</f>
        <v>0</v>
      </c>
      <c r="J202" s="398">
        <f>SUMIFS(uitkomst_doelgroep[QALY (€)],uitkomst_doelgroep[Digitale zorgtoepassing],B202,uitkomst_doelgroep[Jaar],D202,uitkomst_doelgroep[QALY (€)],"&gt;0",uitkomst_doelgroep[Uitgangssituatie/effect beleid],uitkomst_tech[[#This Row],[Uitgangssituatie/effect beleid]])</f>
        <v>0</v>
      </c>
      <c r="K202" s="398">
        <f>SUMIFS(uitkomst_doelgroep[Kosten (€)],uitkomst_doelgroep[Digitale zorgtoepassing],B202,uitkomst_doelgroep[Jaar],D202,uitkomst_doelgroep[Kosten (€)],"&gt;0",uitkomst_doelgroep[Uitgangssituatie/effect beleid],uitkomst_tech[[#This Row],[Uitgangssituatie/effect beleid]])</f>
        <v>136000</v>
      </c>
      <c r="L202" s="398">
        <f>SUMIFS(uitkomst_doelgroep[Investering (cash flow) (€)],uitkomst_doelgroep[Digitale zorgtoepassing],B202,uitkomst_doelgroep[Jaar],D202,uitkomst_doelgroep[Investering (cash flow) (€)],"&gt;0",uitkomst_doelgroep[Uitgangssituatie/effect beleid],uitkomst_tech[[#This Row],[Uitgangssituatie/effect beleid]])</f>
        <v>54570.000000000007</v>
      </c>
    </row>
    <row r="203" spans="1:12" x14ac:dyDescent="0.5">
      <c r="A203" s="42" t="str">
        <f>INDEX(Technologieën[Veld],MATCH(B203,Technologieën[Digitale zorgtoepassing],0))</f>
        <v>Software - Diagnose</v>
      </c>
      <c r="B203" s="33" t="s">
        <v>720</v>
      </c>
      <c r="C203" s="33" t="s">
        <v>812</v>
      </c>
      <c r="D203" s="33">
        <v>2024</v>
      </c>
      <c r="E203" s="2">
        <v>63</v>
      </c>
      <c r="F203" s="397">
        <f>SUMIFS(uitkomst_doelgroep[Patiëntaantallen],uitkomst_doelgroep[Digitale zorgtoepassing],B203,uitkomst_doelgroep[Jaar],D203,uitkomst_doelgroep[Arbeidsbesparing (€)],"&gt;0",uitkomst_doelgroep[Uitgangssituatie/effect beleid],uitkomst_tech[[#This Row],[Uitgangssituatie/effect beleid]])</f>
        <v>384017.2</v>
      </c>
      <c r="G203" s="398">
        <f>SUMIFS(uitkomst_doelgroep[Arbeidsbesparing (€)],uitkomst_doelgroep[Digitale zorgtoepassing],B203,uitkomst_doelgroep[Jaar],D203,uitkomst_doelgroep[Arbeidsbesparing (€)],"&gt;0",uitkomst_doelgroep[Uitgangssituatie/effect beleid],uitkomst_tech[[#This Row],[Uitgangssituatie/effect beleid]])</f>
        <v>167127.02579262454</v>
      </c>
      <c r="H203" s="398">
        <f>SUMIFS(uitkomst_doelgroep[Arbeidsbesparing (FTE)],uitkomst_doelgroep[Digitale zorgtoepassing],B203,uitkomst_doelgroep[Jaar],D203,uitkomst_doelgroep[Arbeidsbesparing (FTE)],"&gt;0",uitkomst_doelgroep[Uitgangssituatie/effect beleid],uitkomst_tech[[#This Row],[Uitgangssituatie/effect beleid]])</f>
        <v>3.8463261217948719</v>
      </c>
      <c r="I203" s="398">
        <f>SUMIFS(uitkomst_doelgroep[Overige besparingen (€)],uitkomst_doelgroep[Digitale zorgtoepassing],B203,uitkomst_doelgroep[Jaar],D203,uitkomst_doelgroep[Overige besparingen (€)],"&gt;0",uitkomst_doelgroep[Uitgangssituatie/effect beleid],uitkomst_tech[[#This Row],[Uitgangssituatie/effect beleid]])</f>
        <v>0</v>
      </c>
      <c r="J203" s="398">
        <f>SUMIFS(uitkomst_doelgroep[QALY (€)],uitkomst_doelgroep[Digitale zorgtoepassing],B203,uitkomst_doelgroep[Jaar],D203,uitkomst_doelgroep[QALY (€)],"&gt;0",uitkomst_doelgroep[Uitgangssituatie/effect beleid],uitkomst_tech[[#This Row],[Uitgangssituatie/effect beleid]])</f>
        <v>0</v>
      </c>
      <c r="K203" s="398">
        <f>SUMIFS(uitkomst_doelgroep[Kosten (€)],uitkomst_doelgroep[Digitale zorgtoepassing],B203,uitkomst_doelgroep[Jaar],D203,uitkomst_doelgroep[Kosten (€)],"&gt;0",uitkomst_doelgroep[Uitgangssituatie/effect beleid],uitkomst_tech[[#This Row],[Uitgangssituatie/effect beleid]])</f>
        <v>182240</v>
      </c>
      <c r="L203" s="398">
        <f>SUMIFS(uitkomst_doelgroep[Investering (cash flow) (€)],uitkomst_doelgroep[Digitale zorgtoepassing],B203,uitkomst_doelgroep[Jaar],D203,uitkomst_doelgroep[Investering (cash flow) (€)],"&gt;0",uitkomst_doelgroep[Uitgangssituatie/effect beleid],uitkomst_tech[[#This Row],[Uitgangssituatie/effect beleid]])</f>
        <v>63912.383999999984</v>
      </c>
    </row>
    <row r="204" spans="1:12" x14ac:dyDescent="0.5">
      <c r="A204" s="42" t="str">
        <f>INDEX(Technologieën[Veld],MATCH(B204,Technologieën[Digitale zorgtoepassing],0))</f>
        <v>Software - Diagnose</v>
      </c>
      <c r="B204" s="33" t="s">
        <v>720</v>
      </c>
      <c r="C204" s="33" t="s">
        <v>812</v>
      </c>
      <c r="D204" s="33">
        <v>2025</v>
      </c>
      <c r="E204" s="2">
        <v>95</v>
      </c>
      <c r="F204" s="397">
        <f>SUMIFS(uitkomst_doelgroep[Patiëntaantallen],uitkomst_doelgroep[Digitale zorgtoepassing],B204,uitkomst_doelgroep[Jaar],D204,uitkomst_doelgroep[Arbeidsbesparing (€)],"&gt;0",uitkomst_doelgroep[Uitgangssituatie/effect beleid],uitkomst_tech[[#This Row],[Uitgangssituatie/effect beleid]])</f>
        <v>498135.64863999997</v>
      </c>
      <c r="G204" s="398">
        <f>SUMIFS(uitkomst_doelgroep[Arbeidsbesparing (€)],uitkomst_doelgroep[Digitale zorgtoepassing],B204,uitkomst_doelgroep[Jaar],D204,uitkomst_doelgroep[Arbeidsbesparing (€)],"&gt;0",uitkomst_doelgroep[Uitgangssituatie/effect beleid],uitkomst_tech[[#This Row],[Uitgangssituatie/effect beleid]])</f>
        <v>216792.18899175097</v>
      </c>
      <c r="H204" s="398">
        <f>SUMIFS(uitkomst_doelgroep[Arbeidsbesparing (FTE)],uitkomst_doelgroep[Digitale zorgtoepassing],B204,uitkomst_doelgroep[Jaar],D204,uitkomst_doelgroep[Arbeidsbesparing (FTE)],"&gt;0",uitkomst_doelgroep[Uitgangssituatie/effect beleid],uitkomst_tech[[#This Row],[Uitgangssituatie/effect beleid]])</f>
        <v>4.9893394294871793</v>
      </c>
      <c r="I204" s="398">
        <f>SUMIFS(uitkomst_doelgroep[Overige besparingen (€)],uitkomst_doelgroep[Digitale zorgtoepassing],B204,uitkomst_doelgroep[Jaar],D204,uitkomst_doelgroep[Overige besparingen (€)],"&gt;0",uitkomst_doelgroep[Uitgangssituatie/effect beleid],uitkomst_tech[[#This Row],[Uitgangssituatie/effect beleid]])</f>
        <v>0</v>
      </c>
      <c r="J204" s="398">
        <f>SUMIFS(uitkomst_doelgroep[QALY (€)],uitkomst_doelgroep[Digitale zorgtoepassing],B204,uitkomst_doelgroep[Jaar],D204,uitkomst_doelgroep[QALY (€)],"&gt;0",uitkomst_doelgroep[Uitgangssituatie/effect beleid],uitkomst_tech[[#This Row],[Uitgangssituatie/effect beleid]])</f>
        <v>0</v>
      </c>
      <c r="K204" s="398">
        <f>SUMIFS(uitkomst_doelgroep[Kosten (€)],uitkomst_doelgroep[Digitale zorgtoepassing],B204,uitkomst_doelgroep[Jaar],D204,uitkomst_doelgroep[Kosten (€)],"&gt;0",uitkomst_doelgroep[Uitgangssituatie/effect beleid],uitkomst_tech[[#This Row],[Uitgangssituatie/effect beleid]])</f>
        <v>236396.288</v>
      </c>
      <c r="L204" s="398">
        <f>SUMIFS(uitkomst_doelgroep[Investering (cash flow) (€)],uitkomst_doelgroep[Digitale zorgtoepassing],B204,uitkomst_doelgroep[Jaar],D204,uitkomst_doelgroep[Investering (cash flow) (€)],"&gt;0",uitkomst_doelgroep[Uitgangssituatie/effect beleid],uitkomst_tech[[#This Row],[Uitgangssituatie/effect beleid]])</f>
        <v>71551.539819048936</v>
      </c>
    </row>
    <row r="205" spans="1:12" x14ac:dyDescent="0.5">
      <c r="A205" s="42" t="str">
        <f>INDEX(Technologieën[Veld],MATCH(B205,Technologieën[Digitale zorgtoepassing],0))</f>
        <v>Software - Diagnose</v>
      </c>
      <c r="B205" s="33" t="s">
        <v>720</v>
      </c>
      <c r="C205" s="33" t="s">
        <v>812</v>
      </c>
      <c r="D205" s="33">
        <v>2026</v>
      </c>
      <c r="E205" s="2">
        <v>127</v>
      </c>
      <c r="F205" s="397">
        <f>SUMIFS(uitkomst_doelgroep[Patiëntaantallen],uitkomst_doelgroep[Digitale zorgtoepassing],B205,uitkomst_doelgroep[Jaar],D205,uitkomst_doelgroep[Arbeidsbesparing (€)],"&gt;0",uitkomst_doelgroep[Uitgangssituatie/effect beleid],uitkomst_tech[[#This Row],[Uitgangssituatie/effect beleid]])</f>
        <v>625894.15506581333</v>
      </c>
      <c r="G205" s="398">
        <f>SUMIFS(uitkomst_doelgroep[Arbeidsbesparing (€)],uitkomst_doelgroep[Digitale zorgtoepassing],B205,uitkomst_doelgroep[Jaar],D205,uitkomst_doelgroep[Arbeidsbesparing (€)],"&gt;0",uitkomst_doelgroep[Uitgangssituatie/effect beleid],uitkomst_tech[[#This Row],[Uitgangssituatie/effect beleid]])</f>
        <v>272393.60267492483</v>
      </c>
      <c r="H205" s="398">
        <f>SUMIFS(uitkomst_doelgroep[Arbeidsbesparing (FTE)],uitkomst_doelgroep[Digitale zorgtoepassing],B205,uitkomst_doelgroep[Jaar],D205,uitkomst_doelgroep[Arbeidsbesparing (FTE)],"&gt;0",uitkomst_doelgroep[Uitgangssituatie/effect beleid],uitkomst_tech[[#This Row],[Uitgangssituatie/effect beleid]])</f>
        <v>6.2689719057072653</v>
      </c>
      <c r="I205" s="398">
        <f>SUMIFS(uitkomst_doelgroep[Overige besparingen (€)],uitkomst_doelgroep[Digitale zorgtoepassing],B205,uitkomst_doelgroep[Jaar],D205,uitkomst_doelgroep[Overige besparingen (€)],"&gt;0",uitkomst_doelgroep[Uitgangssituatie/effect beleid],uitkomst_tech[[#This Row],[Uitgangssituatie/effect beleid]])</f>
        <v>0</v>
      </c>
      <c r="J205" s="398">
        <f>SUMIFS(uitkomst_doelgroep[QALY (€)],uitkomst_doelgroep[Digitale zorgtoepassing],B205,uitkomst_doelgroep[Jaar],D205,uitkomst_doelgroep[QALY (€)],"&gt;0",uitkomst_doelgroep[Uitgangssituatie/effect beleid],uitkomst_tech[[#This Row],[Uitgangssituatie/effect beleid]])</f>
        <v>0</v>
      </c>
      <c r="K205" s="398">
        <f>SUMIFS(uitkomst_doelgroep[Kosten (€)],uitkomst_doelgroep[Digitale zorgtoepassing],B205,uitkomst_doelgroep[Jaar],D205,uitkomst_doelgroep[Kosten (€)],"&gt;0",uitkomst_doelgroep[Uitgangssituatie/effect beleid],uitkomst_tech[[#This Row],[Uitgangssituatie/effect beleid]])</f>
        <v>297025.6301519667</v>
      </c>
      <c r="L205" s="398">
        <f>SUMIFS(uitkomst_doelgroep[Investering (cash flow) (€)],uitkomst_doelgroep[Digitale zorgtoepassing],B205,uitkomst_doelgroep[Jaar],D205,uitkomst_doelgroep[Investering (cash flow) (€)],"&gt;0",uitkomst_doelgroep[Uitgangssituatie/effect beleid],uitkomst_tech[[#This Row],[Uitgangssituatie/effect beleid]])</f>
        <v>75876.444090854784</v>
      </c>
    </row>
    <row r="206" spans="1:12" x14ac:dyDescent="0.5">
      <c r="A206" s="42" t="str">
        <f>INDEX(Technologieën[Veld],MATCH(B206,Technologieën[Digitale zorgtoepassing],0))</f>
        <v>Software - Diagnose</v>
      </c>
      <c r="B206" s="33" t="s">
        <v>720</v>
      </c>
      <c r="C206" s="33" t="s">
        <v>812</v>
      </c>
      <c r="D206" s="33">
        <v>2027</v>
      </c>
      <c r="E206" s="2">
        <v>159</v>
      </c>
      <c r="F206" s="397">
        <f>SUMIFS(uitkomst_doelgroep[Patiëntaantallen],uitkomst_doelgroep[Digitale zorgtoepassing],B206,uitkomst_doelgroep[Jaar],D206,uitkomst_doelgroep[Arbeidsbesparing (€)],"&gt;0",uitkomst_doelgroep[Uitgangssituatie/effect beleid],uitkomst_tech[[#This Row],[Uitgangssituatie/effect beleid]])</f>
        <v>761374.97343065543</v>
      </c>
      <c r="G206" s="398">
        <f>SUMIFS(uitkomst_doelgroep[Arbeidsbesparing (€)],uitkomst_doelgroep[Digitale zorgtoepassing],B206,uitkomst_doelgroep[Jaar],D206,uitkomst_doelgroep[Arbeidsbesparing (€)],"&gt;0",uitkomst_doelgroep[Uitgangssituatie/effect beleid],uitkomst_tech[[#This Row],[Uitgangssituatie/effect beleid]])</f>
        <v>331355.8216205003</v>
      </c>
      <c r="H206" s="398">
        <f>SUMIFS(uitkomst_doelgroep[Arbeidsbesparing (FTE)],uitkomst_doelgroep[Digitale zorgtoepassing],B206,uitkomst_doelgroep[Jaar],D206,uitkomst_doelgroep[Arbeidsbesparing (FTE)],"&gt;0",uitkomst_doelgroep[Uitgangssituatie/effect beleid],uitkomst_tech[[#This Row],[Uitgangssituatie/effect beleid]])</f>
        <v>7.6259512563166609</v>
      </c>
      <c r="I206" s="398">
        <f>SUMIFS(uitkomst_doelgroep[Overige besparingen (€)],uitkomst_doelgroep[Digitale zorgtoepassing],B206,uitkomst_doelgroep[Jaar],D206,uitkomst_doelgroep[Overige besparingen (€)],"&gt;0",uitkomst_doelgroep[Uitgangssituatie/effect beleid],uitkomst_tech[[#This Row],[Uitgangssituatie/effect beleid]])</f>
        <v>0</v>
      </c>
      <c r="J206" s="398">
        <f>SUMIFS(uitkomst_doelgroep[QALY (€)],uitkomst_doelgroep[Digitale zorgtoepassing],B206,uitkomst_doelgroep[Jaar],D206,uitkomst_doelgroep[QALY (€)],"&gt;0",uitkomst_doelgroep[Uitgangssituatie/effect beleid],uitkomst_tech[[#This Row],[Uitgangssituatie/effect beleid]])</f>
        <v>0</v>
      </c>
      <c r="K206" s="398">
        <f>SUMIFS(uitkomst_doelgroep[Kosten (€)],uitkomst_doelgroep[Digitale zorgtoepassing],B206,uitkomst_doelgroep[Jaar],D206,uitkomst_doelgroep[Kosten (€)],"&gt;0",uitkomst_doelgroep[Uitgangssituatie/effect beleid],uitkomst_tech[[#This Row],[Uitgangssituatie/effect beleid]])</f>
        <v>361319.6886962424</v>
      </c>
      <c r="L206" s="398">
        <f>SUMIFS(uitkomst_doelgroep[Investering (cash flow) (€)],uitkomst_doelgroep[Digitale zorgtoepassing],B206,uitkomst_doelgroep[Jaar],D206,uitkomst_doelgroep[Investering (cash flow) (€)],"&gt;0",uitkomst_doelgroep[Uitgangssituatie/effect beleid],uitkomst_tech[[#This Row],[Uitgangssituatie/effect beleid]])</f>
        <v>75584.00047552395</v>
      </c>
    </row>
    <row r="207" spans="1:12" x14ac:dyDescent="0.5">
      <c r="A207" s="42" t="str">
        <f>INDEX(Technologieën[Veld],MATCH(B207,Technologieën[Digitale zorgtoepassing],0))</f>
        <v>Software - Diagnose</v>
      </c>
      <c r="B207" s="33" t="s">
        <v>720</v>
      </c>
      <c r="C207" s="33" t="s">
        <v>812</v>
      </c>
      <c r="D207" s="33">
        <v>2028</v>
      </c>
      <c r="E207" s="2">
        <v>191</v>
      </c>
      <c r="F207" s="397">
        <f>SUMIFS(uitkomst_doelgroep[Patiëntaantallen],uitkomst_doelgroep[Digitale zorgtoepassing],B207,uitkomst_doelgroep[Jaar],D207,uitkomst_doelgroep[Arbeidsbesparing (€)],"&gt;0",uitkomst_doelgroep[Uitgangssituatie/effect beleid],uitkomst_tech[[#This Row],[Uitgangssituatie/effect beleid]])</f>
        <v>896333.62051025452</v>
      </c>
      <c r="G207" s="398">
        <f>SUMIFS(uitkomst_doelgroep[Arbeidsbesparing (€)],uitkomst_doelgroep[Digitale zorgtoepassing],B207,uitkomst_doelgroep[Jaar],D207,uitkomst_doelgroep[Arbeidsbesparing (€)],"&gt;0",uitkomst_doelgroep[Uitgangssituatie/effect beleid],uitkomst_tech[[#This Row],[Uitgangssituatie/effect beleid]])</f>
        <v>390090.78789651569</v>
      </c>
      <c r="H207" s="398">
        <f>SUMIFS(uitkomst_doelgroep[Arbeidsbesparing (FTE)],uitkomst_doelgroep[Digitale zorgtoepassing],B207,uitkomst_doelgroep[Jaar],D207,uitkomst_doelgroep[Arbeidsbesparing (FTE)],"&gt;0",uitkomst_doelgroep[Uitgangssituatie/effect beleid],uitkomst_tech[[#This Row],[Uitgangssituatie/effect beleid]])</f>
        <v>8.977700525944055</v>
      </c>
      <c r="I207" s="398">
        <f>SUMIFS(uitkomst_doelgroep[Overige besparingen (€)],uitkomst_doelgroep[Digitale zorgtoepassing],B207,uitkomst_doelgroep[Jaar],D207,uitkomst_doelgroep[Overige besparingen (€)],"&gt;0",uitkomst_doelgroep[Uitgangssituatie/effect beleid],uitkomst_tech[[#This Row],[Uitgangssituatie/effect beleid]])</f>
        <v>0</v>
      </c>
      <c r="J207" s="398">
        <f>SUMIFS(uitkomst_doelgroep[QALY (€)],uitkomst_doelgroep[Digitale zorgtoepassing],B207,uitkomst_doelgroep[Jaar],D207,uitkomst_doelgroep[QALY (€)],"&gt;0",uitkomst_doelgroep[Uitgangssituatie/effect beleid],uitkomst_tech[[#This Row],[Uitgangssituatie/effect beleid]])</f>
        <v>0</v>
      </c>
      <c r="K207" s="398">
        <f>SUMIFS(uitkomst_doelgroep[Kosten (€)],uitkomst_doelgroep[Digitale zorgtoepassing],B207,uitkomst_doelgroep[Jaar],D207,uitkomst_doelgroep[Kosten (€)],"&gt;0",uitkomst_doelgroep[Uitgangssituatie/effect beleid],uitkomst_tech[[#This Row],[Uitgangssituatie/effect beleid]])</f>
        <v>425365.94455089199</v>
      </c>
      <c r="L207" s="398">
        <f>SUMIFS(uitkomst_doelgroep[Investering (cash flow) (€)],uitkomst_doelgroep[Digitale zorgtoepassing],B207,uitkomst_doelgroep[Jaar],D207,uitkomst_doelgroep[Investering (cash flow) (€)],"&gt;0",uitkomst_doelgroep[Uitgangssituatie/effect beleid],uitkomst_tech[[#This Row],[Uitgangssituatie/effect beleid]])</f>
        <v>70299.792771436565</v>
      </c>
    </row>
    <row r="208" spans="1:12" x14ac:dyDescent="0.5">
      <c r="A208" s="42" t="str">
        <f>INDEX(Technologieën[Veld],MATCH(B208,Technologieën[Digitale zorgtoepassing],0))</f>
        <v>Software - Diagnose</v>
      </c>
      <c r="B208" s="33" t="s">
        <v>720</v>
      </c>
      <c r="C208" s="33" t="s">
        <v>812</v>
      </c>
      <c r="D208" s="33">
        <v>2029</v>
      </c>
      <c r="E208" s="2">
        <v>223</v>
      </c>
      <c r="F208" s="397">
        <f>SUMIFS(uitkomst_doelgroep[Patiëntaantallen],uitkomst_doelgroep[Digitale zorgtoepassing],B208,uitkomst_doelgroep[Jaar],D208,uitkomst_doelgroep[Arbeidsbesparing (€)],"&gt;0",uitkomst_doelgroep[Uitgangssituatie/effect beleid],uitkomst_tech[[#This Row],[Uitgangssituatie/effect beleid]])</f>
        <v>1021857.0760394651</v>
      </c>
      <c r="G208" s="398">
        <f>SUMIFS(uitkomst_doelgroep[Arbeidsbesparing (€)],uitkomst_doelgroep[Digitale zorgtoepassing],B208,uitkomst_doelgroep[Jaar],D208,uitkomst_doelgroep[Arbeidsbesparing (€)],"&gt;0",uitkomst_doelgroep[Uitgangssituatie/effect beleid],uitkomst_tech[[#This Row],[Uitgangssituatie/effect beleid]])</f>
        <v>444719.49148013053</v>
      </c>
      <c r="H208" s="398">
        <f>SUMIFS(uitkomst_doelgroep[Arbeidsbesparing (FTE)],uitkomst_doelgroep[Digitale zorgtoepassing],B208,uitkomst_doelgroep[Jaar],D208,uitkomst_doelgroep[Arbeidsbesparing (FTE)],"&gt;0",uitkomst_doelgroep[Uitgangssituatie/effect beleid],uitkomst_tech[[#This Row],[Uitgangssituatie/effect beleid]])</f>
        <v>10.23494667507477</v>
      </c>
      <c r="I208" s="398">
        <f>SUMIFS(uitkomst_doelgroep[Overige besparingen (€)],uitkomst_doelgroep[Digitale zorgtoepassing],B208,uitkomst_doelgroep[Jaar],D208,uitkomst_doelgroep[Overige besparingen (€)],"&gt;0",uitkomst_doelgroep[Uitgangssituatie/effect beleid],uitkomst_tech[[#This Row],[Uitgangssituatie/effect beleid]])</f>
        <v>0</v>
      </c>
      <c r="J208" s="398">
        <f>SUMIFS(uitkomst_doelgroep[QALY (€)],uitkomst_doelgroep[Digitale zorgtoepassing],B208,uitkomst_doelgroep[Jaar],D208,uitkomst_doelgroep[QALY (€)],"&gt;0",uitkomst_doelgroep[Uitgangssituatie/effect beleid],uitkomst_tech[[#This Row],[Uitgangssituatie/effect beleid]])</f>
        <v>0</v>
      </c>
      <c r="K208" s="398">
        <f>SUMIFS(uitkomst_doelgroep[Kosten (€)],uitkomst_doelgroep[Digitale zorgtoepassing],B208,uitkomst_doelgroep[Jaar],D208,uitkomst_doelgroep[Kosten (€)],"&gt;0",uitkomst_doelgroep[Uitgangssituatie/effect beleid],uitkomst_tech[[#This Row],[Uitgangssituatie/effect beleid]])</f>
        <v>484934.61630737403</v>
      </c>
      <c r="L208" s="398">
        <f>SUMIFS(uitkomst_doelgroep[Investering (cash flow) (€)],uitkomst_doelgroep[Digitale zorgtoepassing],B208,uitkomst_doelgroep[Jaar],D208,uitkomst_doelgroep[Investering (cash flow) (€)],"&gt;0",uitkomst_doelgroep[Uitgangssituatie/effect beleid],uitkomst_tech[[#This Row],[Uitgangssituatie/effect beleid]])</f>
        <v>60912.165591308265</v>
      </c>
    </row>
    <row r="209" spans="1:12" x14ac:dyDescent="0.5">
      <c r="A209" s="42" t="str">
        <f>INDEX(Technologieën[Veld],MATCH(B209,Technologieën[Digitale zorgtoepassing],0))</f>
        <v>Software - Diagnose</v>
      </c>
      <c r="B209" s="33" t="s">
        <v>720</v>
      </c>
      <c r="C209" s="33" t="s">
        <v>812</v>
      </c>
      <c r="D209" s="33">
        <v>2030</v>
      </c>
      <c r="E209" s="2">
        <v>255</v>
      </c>
      <c r="F209" s="397">
        <f>SUMIFS(uitkomst_doelgroep[Patiëntaantallen],uitkomst_doelgroep[Digitale zorgtoepassing],B209,uitkomst_doelgroep[Jaar],D209,uitkomst_doelgroep[Arbeidsbesparing (€)],"&gt;0",uitkomst_doelgroep[Uitgangssituatie/effect beleid],uitkomst_tech[[#This Row],[Uitgangssituatie/effect beleid]])</f>
        <v>1130618.4991868616</v>
      </c>
      <c r="G209" s="398">
        <f>SUMIFS(uitkomst_doelgroep[Arbeidsbesparing (€)],uitkomst_doelgroep[Digitale zorgtoepassing],B209,uitkomst_doelgroep[Jaar],D209,uitkomst_doelgroep[Arbeidsbesparing (€)],"&gt;0",uitkomst_doelgroep[Uitgangssituatie/effect beleid],uitkomst_tech[[#This Row],[Uitgangssituatie/effect beleid]])</f>
        <v>492053.23895705986</v>
      </c>
      <c r="H209" s="398">
        <f>SUMIFS(uitkomst_doelgroep[Arbeidsbesparing (FTE)],uitkomst_doelgroep[Digitale zorgtoepassing],B209,uitkomst_doelgroep[Jaar],D209,uitkomst_doelgroep[Arbeidsbesparing (FTE)],"&gt;0",uitkomst_doelgroep[Uitgangssituatie/effect beleid],uitkomst_tech[[#This Row],[Uitgangssituatie/effect beleid]])</f>
        <v>11.324303878073533</v>
      </c>
      <c r="I209" s="398">
        <f>SUMIFS(uitkomst_doelgroep[Overige besparingen (€)],uitkomst_doelgroep[Digitale zorgtoepassing],B209,uitkomst_doelgroep[Jaar],D209,uitkomst_doelgroep[Overige besparingen (€)],"&gt;0",uitkomst_doelgroep[Uitgangssituatie/effect beleid],uitkomst_tech[[#This Row],[Uitgangssituatie/effect beleid]])</f>
        <v>0</v>
      </c>
      <c r="J209" s="398">
        <f>SUMIFS(uitkomst_doelgroep[QALY (€)],uitkomst_doelgroep[Digitale zorgtoepassing],B209,uitkomst_doelgroep[Jaar],D209,uitkomst_doelgroep[QALY (€)],"&gt;0",uitkomst_doelgroep[Uitgangssituatie/effect beleid],uitkomst_tech[[#This Row],[Uitgangssituatie/effect beleid]])</f>
        <v>0</v>
      </c>
      <c r="K209" s="398">
        <f>SUMIFS(uitkomst_doelgroep[Kosten (€)],uitkomst_doelgroep[Digitale zorgtoepassing],B209,uitkomst_doelgroep[Jaar],D209,uitkomst_doelgroep[Kosten (€)],"&gt;0",uitkomst_doelgroep[Uitgangssituatie/effect beleid],uitkomst_tech[[#This Row],[Uitgangssituatie/effect beleid]])</f>
        <v>536548.66316356044</v>
      </c>
      <c r="L209" s="398">
        <f>SUMIFS(uitkomst_doelgroep[Investering (cash flow) (€)],uitkomst_doelgroep[Digitale zorgtoepassing],B209,uitkomst_doelgroep[Jaar],D209,uitkomst_doelgroep[Investering (cash flow) (€)],"&gt;0",uitkomst_doelgroep[Uitgangssituatie/effect beleid],uitkomst_tech[[#This Row],[Uitgangssituatie/effect beleid]])</f>
        <v>49292.350573572767</v>
      </c>
    </row>
    <row r="210" spans="1:12" x14ac:dyDescent="0.5">
      <c r="A210" s="42" t="str">
        <f>INDEX(Technologieën[Veld],MATCH(B210,Technologieën[Digitale zorgtoepassing],0))</f>
        <v>Software - Diagnose</v>
      </c>
      <c r="B210" s="33" t="s">
        <v>720</v>
      </c>
      <c r="C210" s="33" t="s">
        <v>812</v>
      </c>
      <c r="D210" s="33">
        <v>2031</v>
      </c>
      <c r="E210" s="2">
        <v>287</v>
      </c>
      <c r="F210" s="397">
        <f>SUMIFS(uitkomst_doelgroep[Patiëntaantallen],uitkomst_doelgroep[Digitale zorgtoepassing],B210,uitkomst_doelgroep[Jaar],D210,uitkomst_doelgroep[Arbeidsbesparing (€)],"&gt;0",uitkomst_doelgroep[Uitgangssituatie/effect beleid],uitkomst_tech[[#This Row],[Uitgangssituatie/effect beleid]])</f>
        <v>1218632.2177374812</v>
      </c>
      <c r="G210" s="398">
        <f>SUMIFS(uitkomst_doelgroep[Arbeidsbesparing (€)],uitkomst_doelgroep[Digitale zorgtoepassing],B210,uitkomst_doelgroep[Jaar],D210,uitkomst_doelgroep[Arbeidsbesparing (€)],"&gt;0",uitkomst_doelgroep[Uitgangssituatie/effect beleid],uitkomst_tech[[#This Row],[Uitgangssituatie/effect beleid]])</f>
        <v>530357.43733753404</v>
      </c>
      <c r="H210" s="398">
        <f>SUMIFS(uitkomst_doelgroep[Arbeidsbesparing (FTE)],uitkomst_doelgroep[Digitale zorgtoepassing],B210,uitkomst_doelgroep[Jaar],D210,uitkomst_doelgroep[Arbeidsbesparing (FTE)],"&gt;0",uitkomst_doelgroep[Uitgangssituatie/effect beleid],uitkomst_tech[[#This Row],[Uitgangssituatie/effect beleid]])</f>
        <v>12.205851539838555</v>
      </c>
      <c r="I210" s="398">
        <f>SUMIFS(uitkomst_doelgroep[Overige besparingen (€)],uitkomst_doelgroep[Digitale zorgtoepassing],B210,uitkomst_doelgroep[Jaar],D210,uitkomst_doelgroep[Overige besparingen (€)],"&gt;0",uitkomst_doelgroep[Uitgangssituatie/effect beleid],uitkomst_tech[[#This Row],[Uitgangssituatie/effect beleid]])</f>
        <v>0</v>
      </c>
      <c r="J210" s="398">
        <f>SUMIFS(uitkomst_doelgroep[QALY (€)],uitkomst_doelgroep[Digitale zorgtoepassing],B210,uitkomst_doelgroep[Jaar],D210,uitkomst_doelgroep[QALY (€)],"&gt;0",uitkomst_doelgroep[Uitgangssituatie/effect beleid],uitkomst_tech[[#This Row],[Uitgangssituatie/effect beleid]])</f>
        <v>0</v>
      </c>
      <c r="K210" s="398">
        <f>SUMIFS(uitkomst_doelgroep[Kosten (€)],uitkomst_doelgroep[Digitale zorgtoepassing],B210,uitkomst_doelgroep[Jaar],D210,uitkomst_doelgroep[Kosten (€)],"&gt;0",uitkomst_doelgroep[Uitgangssituatie/effect beleid],uitkomst_tech[[#This Row],[Uitgangssituatie/effect beleid]])</f>
        <v>578316.6362352483</v>
      </c>
      <c r="L210" s="398">
        <f>SUMIFS(uitkomst_doelgroep[Investering (cash flow) (€)],uitkomst_doelgroep[Digitale zorgtoepassing],B210,uitkomst_doelgroep[Jaar],D210,uitkomst_doelgroep[Investering (cash flow) (€)],"&gt;0",uitkomst_doelgroep[Uitgangssituatie/effect beleid],uitkomst_tech[[#This Row],[Uitgangssituatie/effect beleid]])</f>
        <v>37519.970496459311</v>
      </c>
    </row>
    <row r="211" spans="1:12" x14ac:dyDescent="0.5">
      <c r="A211" s="42" t="str">
        <f>INDEX(Technologieën[Veld],MATCH(B211,Technologieën[Digitale zorgtoepassing],0))</f>
        <v>Software - Diagnose</v>
      </c>
      <c r="B211" s="33" t="s">
        <v>720</v>
      </c>
      <c r="C211" s="33" t="s">
        <v>812</v>
      </c>
      <c r="D211" s="33">
        <v>2032</v>
      </c>
      <c r="E211" s="2">
        <v>319</v>
      </c>
      <c r="F211" s="397">
        <f>SUMIFS(uitkomst_doelgroep[Patiëntaantallen],uitkomst_doelgroep[Digitale zorgtoepassing],B211,uitkomst_doelgroep[Jaar],D211,uitkomst_doelgroep[Arbeidsbesparing (€)],"&gt;0",uitkomst_doelgroep[Uitgangssituatie/effect beleid],uitkomst_tech[[#This Row],[Uitgangssituatie/effect beleid]])</f>
        <v>1285625.8198862372</v>
      </c>
      <c r="G211" s="398">
        <f>SUMIFS(uitkomst_doelgroep[Arbeidsbesparing (€)],uitkomst_doelgroep[Digitale zorgtoepassing],B211,uitkomst_doelgroep[Jaar],D211,uitkomst_doelgroep[Arbeidsbesparing (€)],"&gt;0",uitkomst_doelgroep[Uitgangssituatie/effect beleid],uitkomst_tech[[#This Row],[Uitgangssituatie/effect beleid]])</f>
        <v>559513.5310600443</v>
      </c>
      <c r="H211" s="398">
        <f>SUMIFS(uitkomst_doelgroep[Arbeidsbesparing (FTE)],uitkomst_doelgroep[Digitale zorgtoepassing],B211,uitkomst_doelgroep[Jaar],D211,uitkomst_doelgroep[Arbeidsbesparing (FTE)],"&gt;0",uitkomst_doelgroep[Uitgangssituatie/effect beleid],uitkomst_tech[[#This Row],[Uitgangssituatie/effect beleid]])</f>
        <v>12.876861176745164</v>
      </c>
      <c r="I211" s="398">
        <f>SUMIFS(uitkomst_doelgroep[Overige besparingen (€)],uitkomst_doelgroep[Digitale zorgtoepassing],B211,uitkomst_doelgroep[Jaar],D211,uitkomst_doelgroep[Overige besparingen (€)],"&gt;0",uitkomst_doelgroep[Uitgangssituatie/effect beleid],uitkomst_tech[[#This Row],[Uitgangssituatie/effect beleid]])</f>
        <v>0</v>
      </c>
      <c r="J211" s="398">
        <f>SUMIFS(uitkomst_doelgroep[QALY (€)],uitkomst_doelgroep[Digitale zorgtoepassing],B211,uitkomst_doelgroep[Jaar],D211,uitkomst_doelgroep[QALY (€)],"&gt;0",uitkomst_doelgroep[Uitgangssituatie/effect beleid],uitkomst_tech[[#This Row],[Uitgangssituatie/effect beleid]])</f>
        <v>0</v>
      </c>
      <c r="K211" s="398">
        <f>SUMIFS(uitkomst_doelgroep[Kosten (€)],uitkomst_doelgroep[Digitale zorgtoepassing],B211,uitkomst_doelgroep[Jaar],D211,uitkomst_doelgroep[Kosten (€)],"&gt;0",uitkomst_doelgroep[Uitgangssituatie/effect beleid],uitkomst_tech[[#This Row],[Uitgangssituatie/effect beleid]])</f>
        <v>610109.25921044126</v>
      </c>
      <c r="L211" s="398">
        <f>SUMIFS(uitkomst_doelgroep[Investering (cash flow) (€)],uitkomst_doelgroep[Digitale zorgtoepassing],B211,uitkomst_doelgroep[Jaar],D211,uitkomst_doelgroep[Investering (cash flow) (€)],"&gt;0",uitkomst_doelgroep[Uitgangssituatie/effect beleid],uitkomst_tech[[#This Row],[Uitgangssituatie/effect beleid]])</f>
        <v>27138.577396563382</v>
      </c>
    </row>
    <row r="212" spans="1:12" x14ac:dyDescent="0.5">
      <c r="A212" s="42" t="str">
        <f>INDEX(Technologieën[Veld],MATCH(B212,Technologieën[Digitale zorgtoepassing],0))</f>
        <v>Software - Diagnose</v>
      </c>
      <c r="B212" s="33" t="s">
        <v>720</v>
      </c>
      <c r="C212" s="33" t="s">
        <v>812</v>
      </c>
      <c r="D212" s="33">
        <v>2033</v>
      </c>
      <c r="E212" s="2">
        <v>351</v>
      </c>
      <c r="F212" s="397">
        <f>SUMIFS(uitkomst_doelgroep[Patiëntaantallen],uitkomst_doelgroep[Digitale zorgtoepassing],B212,uitkomst_doelgroep[Jaar],D212,uitkomst_doelgroep[Arbeidsbesparing (€)],"&gt;0",uitkomst_doelgroep[Uitgangssituatie/effect beleid],uitkomst_tech[[#This Row],[Uitgangssituatie/effect beleid]])</f>
        <v>1334082.9757136959</v>
      </c>
      <c r="G212" s="398">
        <f>SUMIFS(uitkomst_doelgroep[Arbeidsbesparing (€)],uitkomst_doelgroep[Digitale zorgtoepassing],B212,uitkomst_doelgroep[Jaar],D212,uitkomst_doelgroep[Arbeidsbesparing (€)],"&gt;0",uitkomst_doelgroep[Uitgangssituatie/effect beleid],uitkomst_tech[[#This Row],[Uitgangssituatie/effect beleid]])</f>
        <v>580602.43106716091</v>
      </c>
      <c r="H212" s="398">
        <f>SUMIFS(uitkomst_doelgroep[Arbeidsbesparing (FTE)],uitkomst_doelgroep[Digitale zorgtoepassing],B212,uitkomst_doelgroep[Jaar],D212,uitkomst_doelgroep[Arbeidsbesparing (FTE)],"&gt;0",uitkomst_doelgroep[Uitgangssituatie/effect beleid],uitkomst_tech[[#This Row],[Uitgangssituatie/effect beleid]])</f>
        <v>13.362209292004165</v>
      </c>
      <c r="I212" s="398">
        <f>SUMIFS(uitkomst_doelgroep[Overige besparingen (€)],uitkomst_doelgroep[Digitale zorgtoepassing],B212,uitkomst_doelgroep[Jaar],D212,uitkomst_doelgroep[Overige besparingen (€)],"&gt;0",uitkomst_doelgroep[Uitgangssituatie/effect beleid],uitkomst_tech[[#This Row],[Uitgangssituatie/effect beleid]])</f>
        <v>0</v>
      </c>
      <c r="J212" s="398">
        <f>SUMIFS(uitkomst_doelgroep[QALY (€)],uitkomst_doelgroep[Digitale zorgtoepassing],B212,uitkomst_doelgroep[Jaar],D212,uitkomst_doelgroep[QALY (€)],"&gt;0",uitkomst_doelgroep[Uitgangssituatie/effect beleid],uitkomst_tech[[#This Row],[Uitgangssituatie/effect beleid]])</f>
        <v>0</v>
      </c>
      <c r="K212" s="398">
        <f>SUMIFS(uitkomst_doelgroep[Kosten (€)],uitkomst_doelgroep[Digitale zorgtoepassing],B212,uitkomst_doelgroep[Jaar],D212,uitkomst_doelgroep[Kosten (€)],"&gt;0",uitkomst_doelgroep[Uitgangssituatie/effect beleid],uitkomst_tech[[#This Row],[Uitgangssituatie/effect beleid]])</f>
        <v>633105.18772092485</v>
      </c>
      <c r="L212" s="398">
        <f>SUMIFS(uitkomst_doelgroep[Investering (cash flow) (€)],uitkomst_doelgroep[Digitale zorgtoepassing],B212,uitkomst_doelgroep[Jaar],D212,uitkomst_doelgroep[Investering (cash flow) (€)],"&gt;0",uitkomst_doelgroep[Uitgangssituatie/effect beleid],uitkomst_tech[[#This Row],[Uitgangssituatie/effect beleid]])</f>
        <v>18864.30226411729</v>
      </c>
    </row>
    <row r="213" spans="1:12" x14ac:dyDescent="0.5">
      <c r="A213" s="42" t="str">
        <f>INDEX(Technologieën[Veld],MATCH(B213,Technologieën[Digitale zorgtoepassing],0))</f>
        <v>Sensoren - Verpleging</v>
      </c>
      <c r="B213" s="33" t="s">
        <v>46</v>
      </c>
      <c r="C213" s="33" t="s">
        <v>812</v>
      </c>
      <c r="D213" s="33">
        <v>2023</v>
      </c>
      <c r="E213" s="2">
        <v>16</v>
      </c>
      <c r="F213" s="397">
        <f>SUMIFS(uitkomst_doelgroep[Patiëntaantallen],uitkomst_doelgroep[Digitale zorgtoepassing],B213,uitkomst_doelgroep[Jaar],D213,uitkomst_doelgroep[Arbeidsbesparing (€)],"&gt;0",uitkomst_doelgroep[Uitgangssituatie/effect beleid],uitkomst_tech[[#This Row],[Uitgangssituatie/effect beleid]])</f>
        <v>15660</v>
      </c>
      <c r="G213" s="398">
        <f>SUMIFS(uitkomst_doelgroep[Arbeidsbesparing (€)],uitkomst_doelgroep[Digitale zorgtoepassing],B213,uitkomst_doelgroep[Jaar],D213,uitkomst_doelgroep[Arbeidsbesparing (€)],"&gt;0",uitkomst_doelgroep[Uitgangssituatie/effect beleid],uitkomst_tech[[#This Row],[Uitgangssituatie/effect beleid]])</f>
        <v>8317241.2772727283</v>
      </c>
      <c r="H213" s="398">
        <f>SUMIFS(uitkomst_doelgroep[Arbeidsbesparing (FTE)],uitkomst_doelgroep[Digitale zorgtoepassing],B213,uitkomst_doelgroep[Jaar],D213,uitkomst_doelgroep[Arbeidsbesparing (FTE)],"&gt;0",uitkomst_doelgroep[Uitgangssituatie/effect beleid],uitkomst_tech[[#This Row],[Uitgangssituatie/effect beleid]])</f>
        <v>195.91131009401556</v>
      </c>
      <c r="I213" s="398">
        <f>SUMIFS(uitkomst_doelgroep[Overige besparingen (€)],uitkomst_doelgroep[Digitale zorgtoepassing],B213,uitkomst_doelgroep[Jaar],D213,uitkomst_doelgroep[Overige besparingen (€)],"&gt;0",uitkomst_doelgroep[Uitgangssituatie/effect beleid],uitkomst_tech[[#This Row],[Uitgangssituatie/effect beleid]])</f>
        <v>791423.81434426247</v>
      </c>
      <c r="J213" s="398">
        <f>SUMIFS(uitkomst_doelgroep[QALY (€)],uitkomst_doelgroep[Digitale zorgtoepassing],B213,uitkomst_doelgroep[Jaar],D213,uitkomst_doelgroep[QALY (€)],"&gt;0",uitkomst_doelgroep[Uitgangssituatie/effect beleid],uitkomst_tech[[#This Row],[Uitgangssituatie/effect beleid]])</f>
        <v>0</v>
      </c>
      <c r="K213" s="398">
        <f>SUMIFS(uitkomst_doelgroep[Kosten (€)],uitkomst_doelgroep[Digitale zorgtoepassing],B213,uitkomst_doelgroep[Jaar],D213,uitkomst_doelgroep[Kosten (€)],"&gt;0",uitkomst_doelgroep[Uitgangssituatie/effect beleid],uitkomst_tech[[#This Row],[Uitgangssituatie/effect beleid]])</f>
        <v>2231550</v>
      </c>
      <c r="L213" s="398">
        <f>SUMIFS(uitkomst_doelgroep[Investering (cash flow) (€)],uitkomst_doelgroep[Digitale zorgtoepassing],B213,uitkomst_doelgroep[Jaar],D213,uitkomst_doelgroep[Investering (cash flow) (€)],"&gt;0",uitkomst_doelgroep[Uitgangssituatie/effect beleid],uitkomst_tech[[#This Row],[Uitgangssituatie/effect beleid]])</f>
        <v>2417646.9590000003</v>
      </c>
    </row>
    <row r="214" spans="1:12" x14ac:dyDescent="0.5">
      <c r="A214" s="42" t="str">
        <f>INDEX(Technologieën[Veld],MATCH(B214,Technologieën[Digitale zorgtoepassing],0))</f>
        <v>Sensoren - Verpleging</v>
      </c>
      <c r="B214" s="33" t="s">
        <v>46</v>
      </c>
      <c r="C214" s="33" t="s">
        <v>812</v>
      </c>
      <c r="D214" s="33">
        <v>2024</v>
      </c>
      <c r="E214" s="2">
        <v>48</v>
      </c>
      <c r="F214" s="397">
        <f>SUMIFS(uitkomst_doelgroep[Patiëntaantallen],uitkomst_doelgroep[Digitale zorgtoepassing],B214,uitkomst_doelgroep[Jaar],D214,uitkomst_doelgroep[Arbeidsbesparing (€)],"&gt;0",uitkomst_doelgroep[Uitgangssituatie/effect beleid],uitkomst_tech[[#This Row],[Uitgangssituatie/effect beleid]])</f>
        <v>20984.400000000001</v>
      </c>
      <c r="G214" s="398">
        <f>SUMIFS(uitkomst_doelgroep[Arbeidsbesparing (€)],uitkomst_doelgroep[Digitale zorgtoepassing],B214,uitkomst_doelgroep[Jaar],D214,uitkomst_doelgroep[Arbeidsbesparing (€)],"&gt;0",uitkomst_doelgroep[Uitgangssituatie/effect beleid],uitkomst_tech[[#This Row],[Uitgangssituatie/effect beleid]])</f>
        <v>11145103.311545456</v>
      </c>
      <c r="H214" s="398">
        <f>SUMIFS(uitkomst_doelgroep[Arbeidsbesparing (FTE)],uitkomst_doelgroep[Digitale zorgtoepassing],B214,uitkomst_doelgroep[Jaar],D214,uitkomst_doelgroep[Arbeidsbesparing (FTE)],"&gt;0",uitkomst_doelgroep[Uitgangssituatie/effect beleid],uitkomst_tech[[#This Row],[Uitgangssituatie/effect beleid]])</f>
        <v>262.52115552598087</v>
      </c>
      <c r="I214" s="398">
        <f>SUMIFS(uitkomst_doelgroep[Overige besparingen (€)],uitkomst_doelgroep[Digitale zorgtoepassing],B214,uitkomst_doelgroep[Jaar],D214,uitkomst_doelgroep[Overige besparingen (€)],"&gt;0",uitkomst_doelgroep[Uitgangssituatie/effect beleid],uitkomst_tech[[#This Row],[Uitgangssituatie/effect beleid]])</f>
        <v>1060507.9112213117</v>
      </c>
      <c r="J214" s="398">
        <f>SUMIFS(uitkomst_doelgroep[QALY (€)],uitkomst_doelgroep[Digitale zorgtoepassing],B214,uitkomst_doelgroep[Jaar],D214,uitkomst_doelgroep[QALY (€)],"&gt;0",uitkomst_doelgroep[Uitgangssituatie/effect beleid],uitkomst_tech[[#This Row],[Uitgangssituatie/effect beleid]])</f>
        <v>0</v>
      </c>
      <c r="K214" s="398">
        <f>SUMIFS(uitkomst_doelgroep[Kosten (€)],uitkomst_doelgroep[Digitale zorgtoepassing],B214,uitkomst_doelgroep[Jaar],D214,uitkomst_doelgroep[Kosten (€)],"&gt;0",uitkomst_doelgroep[Uitgangssituatie/effect beleid],uitkomst_tech[[#This Row],[Uitgangssituatie/effect beleid]])</f>
        <v>2990277</v>
      </c>
      <c r="L214" s="398">
        <f>SUMIFS(uitkomst_doelgroep[Investering (cash flow) (€)],uitkomst_doelgroep[Digitale zorgtoepassing],B214,uitkomst_doelgroep[Jaar],D214,uitkomst_doelgroep[Investering (cash flow) (€)],"&gt;0",uitkomst_doelgroep[Uitgangssituatie/effect beleid],uitkomst_tech[[#This Row],[Uitgangssituatie/effect beleid]])</f>
        <v>2831548.1183807994</v>
      </c>
    </row>
    <row r="215" spans="1:12" x14ac:dyDescent="0.5">
      <c r="A215" s="42" t="str">
        <f>INDEX(Technologieën[Veld],MATCH(B215,Technologieën[Digitale zorgtoepassing],0))</f>
        <v>Sensoren - Verpleging</v>
      </c>
      <c r="B215" s="33" t="s">
        <v>46</v>
      </c>
      <c r="C215" s="33" t="s">
        <v>812</v>
      </c>
      <c r="D215" s="33">
        <v>2025</v>
      </c>
      <c r="E215" s="2">
        <v>80</v>
      </c>
      <c r="F215" s="397">
        <f>SUMIFS(uitkomst_doelgroep[Patiëntaantallen],uitkomst_doelgroep[Digitale zorgtoepassing],B215,uitkomst_doelgroep[Jaar],D215,uitkomst_doelgroep[Arbeidsbesparing (€)],"&gt;0",uitkomst_doelgroep[Uitgangssituatie/effect beleid],uitkomst_tech[[#This Row],[Uitgangssituatie/effect beleid]])</f>
        <v>27220.33728</v>
      </c>
      <c r="G215" s="398">
        <f>SUMIFS(uitkomst_doelgroep[Arbeidsbesparing (€)],uitkomst_doelgroep[Digitale zorgtoepassing],B215,uitkomst_doelgroep[Jaar],D215,uitkomst_doelgroep[Arbeidsbesparing (€)],"&gt;0",uitkomst_doelgroep[Uitgangssituatie/effect beleid],uitkomst_tech[[#This Row],[Uitgangssituatie/effect beleid]])</f>
        <v>14457095.326085674</v>
      </c>
      <c r="H215" s="398">
        <f>SUMIFS(uitkomst_doelgroep[Arbeidsbesparing (FTE)],uitkomst_doelgroep[Digitale zorgtoepassing],B215,uitkomst_doelgroep[Jaar],D215,uitkomst_doelgroep[Arbeidsbesparing (FTE)],"&gt;0",uitkomst_doelgroep[Uitgangssituatie/effect beleid],uitkomst_tech[[#This Row],[Uitgangssituatie/effect beleid]])</f>
        <v>340.53460649589857</v>
      </c>
      <c r="I215" s="398">
        <f>SUMIFS(uitkomst_doelgroep[Overige besparingen (€)],uitkomst_doelgroep[Digitale zorgtoepassing],B215,uitkomst_doelgroep[Jaar],D215,uitkomst_doelgroep[Overige besparingen (€)],"&gt;0",uitkomst_doelgroep[Uitgangssituatie/effect beleid],uitkomst_tech[[#This Row],[Uitgangssituatie/effect beleid]])</f>
        <v>1375659.2054837118</v>
      </c>
      <c r="J215" s="398">
        <f>SUMIFS(uitkomst_doelgroep[QALY (€)],uitkomst_doelgroep[Digitale zorgtoepassing],B215,uitkomst_doelgroep[Jaar],D215,uitkomst_doelgroep[QALY (€)],"&gt;0",uitkomst_doelgroep[Uitgangssituatie/effect beleid],uitkomst_tech[[#This Row],[Uitgangssituatie/effect beleid]])</f>
        <v>0</v>
      </c>
      <c r="K215" s="398">
        <f>SUMIFS(uitkomst_doelgroep[Kosten (€)],uitkomst_doelgroep[Digitale zorgtoepassing],B215,uitkomst_doelgroep[Jaar],D215,uitkomst_doelgroep[Kosten (€)],"&gt;0",uitkomst_doelgroep[Uitgangssituatie/effect beleid],uitkomst_tech[[#This Row],[Uitgangssituatie/effect beleid]])</f>
        <v>3878898.0624000002</v>
      </c>
      <c r="L215" s="398">
        <f>SUMIFS(uitkomst_doelgroep[Investering (cash flow) (€)],uitkomst_doelgroep[Digitale zorgtoepassing],B215,uitkomst_doelgroep[Jaar],D215,uitkomst_doelgroep[Investering (cash flow) (€)],"&gt;0",uitkomst_doelgroep[Uitgangssituatie/effect beleid],uitkomst_tech[[#This Row],[Uitgangssituatie/effect beleid]])</f>
        <v>3169990.1531114364</v>
      </c>
    </row>
    <row r="216" spans="1:12" x14ac:dyDescent="0.5">
      <c r="A216" s="42" t="str">
        <f>INDEX(Technologieën[Veld],MATCH(B216,Technologieën[Digitale zorgtoepassing],0))</f>
        <v>Sensoren - Verpleging</v>
      </c>
      <c r="B216" s="33" t="s">
        <v>46</v>
      </c>
      <c r="C216" s="33" t="s">
        <v>812</v>
      </c>
      <c r="D216" s="33">
        <v>2026</v>
      </c>
      <c r="E216" s="2">
        <v>112</v>
      </c>
      <c r="F216" s="397">
        <f>SUMIFS(uitkomst_doelgroep[Patiëntaantallen],uitkomst_doelgroep[Digitale zorgtoepassing],B216,uitkomst_doelgroep[Jaar],D216,uitkomst_doelgroep[Arbeidsbesparing (€)],"&gt;0",uitkomst_doelgroep[Uitgangssituatie/effect beleid],uitkomst_tech[[#This Row],[Uitgangssituatie/effect beleid]])</f>
        <v>34201.627707204403</v>
      </c>
      <c r="G216" s="398">
        <f>SUMIFS(uitkomst_doelgroep[Arbeidsbesparing (€)],uitkomst_doelgroep[Digitale zorgtoepassing],B216,uitkomst_doelgroep[Jaar],D216,uitkomst_doelgroep[Arbeidsbesparing (€)],"&gt;0",uitkomst_doelgroep[Uitgangssituatie/effect beleid],uitkomst_tech[[#This Row],[Uitgangssituatie/effect beleid]])</f>
        <v>18164954.643440299</v>
      </c>
      <c r="H216" s="398">
        <f>SUMIFS(uitkomst_doelgroep[Arbeidsbesparing (FTE)],uitkomst_doelgroep[Digitale zorgtoepassing],B216,uitkomst_doelgroep[Jaar],D216,uitkomst_doelgroep[Arbeidsbesparing (FTE)],"&gt;0",uitkomst_doelgroep[Uitgangssituatie/effect beleid],uitkomst_tech[[#This Row],[Uitgangssituatie/effect beleid]])</f>
        <v>427.87264951891416</v>
      </c>
      <c r="I216" s="398">
        <f>SUMIFS(uitkomst_doelgroep[Overige besparingen (€)],uitkomst_doelgroep[Digitale zorgtoepassing],B216,uitkomst_doelgroep[Jaar],D216,uitkomst_doelgroep[Overige besparingen (€)],"&gt;0",uitkomst_doelgroep[Uitgangssituatie/effect beleid],uitkomst_tech[[#This Row],[Uitgangssituatie/effect beleid]])</f>
        <v>1728479.0968593946</v>
      </c>
      <c r="J216" s="398">
        <f>SUMIFS(uitkomst_doelgroep[QALY (€)],uitkomst_doelgroep[Digitale zorgtoepassing],B216,uitkomst_doelgroep[Jaar],D216,uitkomst_doelgroep[QALY (€)],"&gt;0",uitkomst_doelgroep[Uitgangssituatie/effect beleid],uitkomst_tech[[#This Row],[Uitgangssituatie/effect beleid]])</f>
        <v>0</v>
      </c>
      <c r="K216" s="398">
        <f>SUMIFS(uitkomst_doelgroep[Kosten (€)],uitkomst_doelgroep[Digitale zorgtoepassing],B216,uitkomst_doelgroep[Jaar],D216,uitkomst_doelgroep[Kosten (€)],"&gt;0",uitkomst_doelgroep[Uitgangssituatie/effect beleid],uitkomst_tech[[#This Row],[Uitgangssituatie/effect beleid]])</f>
        <v>4873731.9482766269</v>
      </c>
      <c r="L216" s="398">
        <f>SUMIFS(uitkomst_doelgroep[Investering (cash flow) (€)],uitkomst_doelgroep[Digitale zorgtoepassing],B216,uitkomst_doelgroep[Jaar],D216,uitkomst_doelgroep[Investering (cash flow) (€)],"&gt;0",uitkomst_doelgroep[Uitgangssituatie/effect beleid],uitkomst_tech[[#This Row],[Uitgangssituatie/effect beleid]])</f>
        <v>3361598.9429354696</v>
      </c>
    </row>
    <row r="217" spans="1:12" x14ac:dyDescent="0.5">
      <c r="A217" s="42" t="str">
        <f>INDEX(Technologieën[Veld],MATCH(B217,Technologieën[Digitale zorgtoepassing],0))</f>
        <v>Sensoren - Verpleging</v>
      </c>
      <c r="B217" s="33" t="s">
        <v>46</v>
      </c>
      <c r="C217" s="33" t="s">
        <v>812</v>
      </c>
      <c r="D217" s="33">
        <v>2027</v>
      </c>
      <c r="E217" s="2">
        <v>144</v>
      </c>
      <c r="F217" s="397">
        <f>SUMIFS(uitkomst_doelgroep[Patiëntaantallen],uitkomst_doelgroep[Digitale zorgtoepassing],B217,uitkomst_doelgroep[Jaar],D217,uitkomst_doelgroep[Arbeidsbesparing (€)],"&gt;0",uitkomst_doelgroep[Uitgangssituatie/effect beleid],uitkomst_tech[[#This Row],[Uitgangssituatie/effect beleid]])</f>
        <v>41604.899448405558</v>
      </c>
      <c r="G217" s="398">
        <f>SUMIFS(uitkomst_doelgroep[Arbeidsbesparing (€)],uitkomst_doelgroep[Digitale zorgtoepassing],B217,uitkomst_doelgroep[Jaar],D217,uitkomst_doelgroep[Arbeidsbesparing (€)],"&gt;0",uitkomst_doelgroep[Uitgangssituatie/effect beleid],uitkomst_tech[[#This Row],[Uitgangssituatie/effect beleid]])</f>
        <v>22096934.037615586</v>
      </c>
      <c r="H217" s="398">
        <f>SUMIFS(uitkomst_doelgroep[Arbeidsbesparing (FTE)],uitkomst_doelgroep[Digitale zorgtoepassing],B217,uitkomst_doelgroep[Jaar],D217,uitkomst_doelgroep[Arbeidsbesparing (FTE)],"&gt;0",uitkomst_doelgroep[Uitgangssituatie/effect beleid],uitkomst_tech[[#This Row],[Uitgangssituatie/effect beleid]])</f>
        <v>520.48980570031404</v>
      </c>
      <c r="I217" s="398">
        <f>SUMIFS(uitkomst_doelgroep[Overige besparingen (€)],uitkomst_doelgroep[Digitale zorgtoepassing],B217,uitkomst_doelgroep[Jaar],D217,uitkomst_doelgroep[Overige besparingen (€)],"&gt;0",uitkomst_doelgroep[Uitgangssituatie/effect beleid],uitkomst_tech[[#This Row],[Uitgangssituatie/effect beleid]])</f>
        <v>2102625.0457769237</v>
      </c>
      <c r="J217" s="398">
        <f>SUMIFS(uitkomst_doelgroep[QALY (€)],uitkomst_doelgroep[Digitale zorgtoepassing],B217,uitkomst_doelgroep[Jaar],D217,uitkomst_doelgroep[QALY (€)],"&gt;0",uitkomst_doelgroep[Uitgangssituatie/effect beleid],uitkomst_tech[[#This Row],[Uitgangssituatie/effect beleid]])</f>
        <v>0</v>
      </c>
      <c r="K217" s="398">
        <f>SUMIFS(uitkomst_doelgroep[Kosten (€)],uitkomst_doelgroep[Digitale zorgtoepassing],B217,uitkomst_doelgroep[Jaar],D217,uitkomst_doelgroep[Kosten (€)],"&gt;0",uitkomst_doelgroep[Uitgangssituatie/effect beleid],uitkomst_tech[[#This Row],[Uitgangssituatie/effect beleid]])</f>
        <v>5928698.1713977922</v>
      </c>
      <c r="L217" s="398">
        <f>SUMIFS(uitkomst_doelgroep[Investering (cash flow) (€)],uitkomst_doelgroep[Digitale zorgtoepassing],B217,uitkomst_doelgroep[Jaar],D217,uitkomst_doelgroep[Investering (cash flow) (€)],"&gt;0",uitkomst_doelgroep[Uitgangssituatie/effect beleid],uitkomst_tech[[#This Row],[Uitgangssituatie/effect beleid]])</f>
        <v>3348642.6406213124</v>
      </c>
    </row>
    <row r="218" spans="1:12" x14ac:dyDescent="0.5">
      <c r="A218" s="42" t="str">
        <f>INDEX(Technologieën[Veld],MATCH(B218,Technologieën[Digitale zorgtoepassing],0))</f>
        <v>Sensoren - Verpleging</v>
      </c>
      <c r="B218" s="33" t="s">
        <v>46</v>
      </c>
      <c r="C218" s="33" t="s">
        <v>812</v>
      </c>
      <c r="D218" s="33">
        <v>2028</v>
      </c>
      <c r="E218" s="2">
        <v>176</v>
      </c>
      <c r="F218" s="397">
        <f>SUMIFS(uitkomst_doelgroep[Patiëntaantallen],uitkomst_doelgroep[Digitale zorgtoepassing],B218,uitkomst_doelgroep[Jaar],D218,uitkomst_doelgroep[Arbeidsbesparing (€)],"&gt;0",uitkomst_doelgroep[Uitgangssituatie/effect beleid],uitkomst_tech[[#This Row],[Uitgangssituatie/effect beleid]])</f>
        <v>48979.63743872771</v>
      </c>
      <c r="G218" s="398">
        <f>SUMIFS(uitkomst_doelgroep[Arbeidsbesparing (€)],uitkomst_doelgroep[Digitale zorgtoepassing],B218,uitkomst_doelgroep[Jaar],D218,uitkomst_doelgroep[Arbeidsbesparing (€)],"&gt;0",uitkomst_doelgroep[Uitgangssituatie/effect beleid],uitkomst_tech[[#This Row],[Uitgangssituatie/effect beleid]])</f>
        <v>26013758.764446922</v>
      </c>
      <c r="H218" s="398">
        <f>SUMIFS(uitkomst_doelgroep[Arbeidsbesparing (FTE)],uitkomst_doelgroep[Digitale zorgtoepassing],B218,uitkomst_doelgroep[Jaar],D218,uitkomst_doelgroep[Arbeidsbesparing (FTE)],"&gt;0",uitkomst_doelgroep[Uitgangssituatie/effect beleid],uitkomst_tech[[#This Row],[Uitgangssituatie/effect beleid]])</f>
        <v>612.74999607605605</v>
      </c>
      <c r="I218" s="398">
        <f>SUMIFS(uitkomst_doelgroep[Overige besparingen (€)],uitkomst_doelgroep[Digitale zorgtoepassing],B218,uitkomst_doelgroep[Jaar],D218,uitkomst_doelgroep[Overige besparingen (€)],"&gt;0",uitkomst_doelgroep[Uitgangssituatie/effect beleid],uitkomst_tech[[#This Row],[Uitgangssituatie/effect beleid]])</f>
        <v>2475328.9582986538</v>
      </c>
      <c r="J218" s="398">
        <f>SUMIFS(uitkomst_doelgroep[QALY (€)],uitkomst_doelgroep[Digitale zorgtoepassing],B218,uitkomst_doelgroep[Jaar],D218,uitkomst_doelgroep[QALY (€)],"&gt;0",uitkomst_doelgroep[Uitgangssituatie/effect beleid],uitkomst_tech[[#This Row],[Uitgangssituatie/effect beleid]])</f>
        <v>0</v>
      </c>
      <c r="K218" s="398">
        <f>SUMIFS(uitkomst_doelgroep[Kosten (€)],uitkomst_doelgroep[Digitale zorgtoepassing],B218,uitkomst_doelgroep[Jaar],D218,uitkomst_doelgroep[Kosten (€)],"&gt;0",uitkomst_doelgroep[Uitgangssituatie/effect beleid],uitkomst_tech[[#This Row],[Uitgangssituatie/effect beleid]])</f>
        <v>6979598.3350186981</v>
      </c>
      <c r="L218" s="398">
        <f>SUMIFS(uitkomst_doelgroep[Investering (cash flow) (€)],uitkomst_doelgroep[Digitale zorgtoepassing],B218,uitkomst_doelgroep[Jaar],D218,uitkomst_doelgroep[Investering (cash flow) (€)],"&gt;0",uitkomst_doelgroep[Uitgangssituatie/effect beleid],uitkomst_tech[[#This Row],[Uitgangssituatie/effect beleid]])</f>
        <v>3114533.2639214545</v>
      </c>
    </row>
    <row r="219" spans="1:12" x14ac:dyDescent="0.5">
      <c r="A219" s="42" t="str">
        <f>INDEX(Technologieën[Veld],MATCH(B219,Technologieën[Digitale zorgtoepassing],0))</f>
        <v>Sensoren - Verpleging</v>
      </c>
      <c r="B219" s="33" t="s">
        <v>46</v>
      </c>
      <c r="C219" s="33" t="s">
        <v>812</v>
      </c>
      <c r="D219" s="33">
        <v>2029</v>
      </c>
      <c r="E219" s="2">
        <v>208</v>
      </c>
      <c r="F219" s="397">
        <f>SUMIFS(uitkomst_doelgroep[Patiëntaantallen],uitkomst_doelgroep[Digitale zorgtoepassing],B219,uitkomst_doelgroep[Jaar],D219,uitkomst_doelgroep[Arbeidsbesparing (€)],"&gt;0",uitkomst_doelgroep[Uitgangssituatie/effect beleid],uitkomst_tech[[#This Row],[Uitgangssituatie/effect beleid]])</f>
        <v>55838.794789510866</v>
      </c>
      <c r="G219" s="398">
        <f>SUMIFS(uitkomst_doelgroep[Arbeidsbesparing (€)],uitkomst_doelgroep[Digitale zorgtoepassing],B219,uitkomst_doelgroep[Jaar],D219,uitkomst_doelgroep[Arbeidsbesparing (€)],"&gt;0",uitkomst_doelgroep[Uitgangssituatie/effect beleid],uitkomst_tech[[#This Row],[Uitgangssituatie/effect beleid]])</f>
        <v>29656751.525956646</v>
      </c>
      <c r="H219" s="398">
        <f>SUMIFS(uitkomst_doelgroep[Arbeidsbesparing (FTE)],uitkomst_doelgroep[Digitale zorgtoepassing],B219,uitkomst_doelgroep[Jaar],D219,uitkomst_doelgroep[Arbeidsbesparing (FTE)],"&gt;0",uitkomst_doelgroep[Uitgangssituatie/effect beleid],uitkomst_tech[[#This Row],[Uitgangssituatie/effect beleid]])</f>
        <v>698.56011757879719</v>
      </c>
      <c r="I219" s="398">
        <f>SUMIFS(uitkomst_doelgroep[Overige besparingen (€)],uitkomst_doelgroep[Digitale zorgtoepassing],B219,uitkomst_doelgroep[Jaar],D219,uitkomst_doelgroep[Overige besparingen (€)],"&gt;0",uitkomst_doelgroep[Uitgangssituatie/effect beleid],uitkomst_tech[[#This Row],[Uitgangssituatie/effect beleid]])</f>
        <v>2821976.4981290684</v>
      </c>
      <c r="J219" s="398">
        <f>SUMIFS(uitkomst_doelgroep[QALY (€)],uitkomst_doelgroep[Digitale zorgtoepassing],B219,uitkomst_doelgroep[Jaar],D219,uitkomst_doelgroep[QALY (€)],"&gt;0",uitkomst_doelgroep[Uitgangssituatie/effect beleid],uitkomst_tech[[#This Row],[Uitgangssituatie/effect beleid]])</f>
        <v>0</v>
      </c>
      <c r="K219" s="398">
        <f>SUMIFS(uitkomst_doelgroep[Kosten (€)],uitkomst_doelgroep[Digitale zorgtoepassing],B219,uitkomst_doelgroep[Jaar],D219,uitkomst_doelgroep[Kosten (€)],"&gt;0",uitkomst_doelgroep[Uitgangssituatie/effect beleid],uitkomst_tech[[#This Row],[Uitgangssituatie/effect beleid]])</f>
        <v>7957028.2575052977</v>
      </c>
      <c r="L219" s="398">
        <f>SUMIFS(uitkomst_doelgroep[Investering (cash flow) (€)],uitkomst_doelgroep[Digitale zorgtoepassing],B219,uitkomst_doelgroep[Jaar],D219,uitkomst_doelgroep[Investering (cash flow) (€)],"&gt;0",uitkomst_doelgroep[Uitgangssituatie/effect beleid],uitkomst_tech[[#This Row],[Uitgangssituatie/effect beleid]])</f>
        <v>2698627.6691942615</v>
      </c>
    </row>
    <row r="220" spans="1:12" x14ac:dyDescent="0.5">
      <c r="A220" s="42" t="str">
        <f>INDEX(Technologieën[Veld],MATCH(B220,Technologieën[Digitale zorgtoepassing],0))</f>
        <v>Sensoren - Verpleging</v>
      </c>
      <c r="B220" s="33" t="s">
        <v>46</v>
      </c>
      <c r="C220" s="33" t="s">
        <v>812</v>
      </c>
      <c r="D220" s="33">
        <v>2030</v>
      </c>
      <c r="E220" s="2">
        <v>240</v>
      </c>
      <c r="F220" s="397">
        <f>SUMIFS(uitkomst_doelgroep[Patiëntaantallen],uitkomst_doelgroep[Digitale zorgtoepassing],B220,uitkomst_doelgroep[Jaar],D220,uitkomst_doelgroep[Arbeidsbesparing (€)],"&gt;0",uitkomst_doelgroep[Uitgangssituatie/effect beleid],uitkomst_tech[[#This Row],[Uitgangssituatie/effect beleid]])</f>
        <v>61782.000478980568</v>
      </c>
      <c r="G220" s="398">
        <f>SUMIFS(uitkomst_doelgroep[Arbeidsbesparing (€)],uitkomst_doelgroep[Digitale zorgtoepassing],B220,uitkomst_doelgroep[Jaar],D220,uitkomst_doelgroep[Arbeidsbesparing (€)],"&gt;0",uitkomst_doelgroep[Uitgangssituatie/effect beleid],uitkomst_tech[[#This Row],[Uitgangssituatie/effect beleid]])</f>
        <v>32813269.768599018</v>
      </c>
      <c r="H220" s="398">
        <f>SUMIFS(uitkomst_doelgroep[Arbeidsbesparing (FTE)],uitkomst_doelgroep[Digitale zorgtoepassing],B220,uitkomst_doelgroep[Jaar],D220,uitkomst_doelgroep[Arbeidsbesparing (FTE)],"&gt;0",uitkomst_doelgroep[Uitgangssituatie/effect beleid],uitkomst_tech[[#This Row],[Uitgangssituatie/effect beleid]])</f>
        <v>772.91140830563086</v>
      </c>
      <c r="I220" s="398">
        <f>SUMIFS(uitkomst_doelgroep[Overige besparingen (€)],uitkomst_doelgroep[Digitale zorgtoepassing],B220,uitkomst_doelgroep[Jaar],D220,uitkomst_doelgroep[Overige besparingen (€)],"&gt;0",uitkomst_doelgroep[Uitgangssituatie/effect beleid],uitkomst_tech[[#This Row],[Uitgangssituatie/effect beleid]])</f>
        <v>3122333.7469280874</v>
      </c>
      <c r="J220" s="398">
        <f>SUMIFS(uitkomst_doelgroep[QALY (€)],uitkomst_doelgroep[Digitale zorgtoepassing],B220,uitkomst_doelgroep[Jaar],D220,uitkomst_doelgroep[QALY (€)],"&gt;0",uitkomst_doelgroep[Uitgangssituatie/effect beleid],uitkomst_tech[[#This Row],[Uitgangssituatie/effect beleid]])</f>
        <v>0</v>
      </c>
      <c r="K220" s="398">
        <f>SUMIFS(uitkomst_doelgroep[Kosten (€)],uitkomst_doelgroep[Digitale zorgtoepassing],B220,uitkomst_doelgroep[Jaar],D220,uitkomst_doelgroep[Kosten (€)],"&gt;0",uitkomst_doelgroep[Uitgangssituatie/effect beleid],uitkomst_tech[[#This Row],[Uitgangssituatie/effect beleid]])</f>
        <v>8803935.0682547316</v>
      </c>
      <c r="L220" s="398">
        <f>SUMIFS(uitkomst_doelgroep[Investering (cash flow) (€)],uitkomst_doelgroep[Digitale zorgtoepassing],B220,uitkomst_doelgroep[Jaar],D220,uitkomst_doelgroep[Investering (cash flow) (€)],"&gt;0",uitkomst_doelgroep[Uitgangssituatie/effect beleid],uitkomst_tech[[#This Row],[Uitgangssituatie/effect beleid]])</f>
        <v>2183828.1375510376</v>
      </c>
    </row>
    <row r="221" spans="1:12" x14ac:dyDescent="0.5">
      <c r="A221" s="42" t="str">
        <f>INDEX(Technologieën[Veld],MATCH(B221,Technologieën[Digitale zorgtoepassing],0))</f>
        <v>Sensoren - Verpleging</v>
      </c>
      <c r="B221" s="33" t="s">
        <v>46</v>
      </c>
      <c r="C221" s="33" t="s">
        <v>812</v>
      </c>
      <c r="D221" s="33">
        <v>2031</v>
      </c>
      <c r="E221" s="2">
        <v>272</v>
      </c>
      <c r="F221" s="397">
        <f>SUMIFS(uitkomst_doelgroep[Patiëntaantallen],uitkomst_doelgroep[Digitale zorgtoepassing],B221,uitkomst_doelgroep[Jaar],D221,uitkomst_doelgroep[Arbeidsbesparing (€)],"&gt;0",uitkomst_doelgroep[Uitgangssituatie/effect beleid],uitkomst_tech[[#This Row],[Uitgangssituatie/effect beleid]])</f>
        <v>66591.459731205803</v>
      </c>
      <c r="G221" s="398">
        <f>SUMIFS(uitkomst_doelgroep[Arbeidsbesparing (€)],uitkomst_doelgroep[Digitale zorgtoepassing],B221,uitkomst_doelgroep[Jaar],D221,uitkomst_doelgroep[Arbeidsbesparing (€)],"&gt;0",uitkomst_doelgroep[Uitgangssituatie/effect beleid],uitkomst_tech[[#This Row],[Uitgangssituatie/effect beleid]])</f>
        <v>35367639.692862682</v>
      </c>
      <c r="H221" s="398">
        <f>SUMIFS(uitkomst_doelgroep[Arbeidsbesparing (FTE)],uitkomst_doelgroep[Digitale zorgtoepassing],B221,uitkomst_doelgroep[Jaar],D221,uitkomst_doelgroep[Arbeidsbesparing (FTE)],"&gt;0",uitkomst_doelgroep[Uitgangssituatie/effect beleid],uitkomst_tech[[#This Row],[Uitgangssituatie/effect beleid]])</f>
        <v>833.07919010302737</v>
      </c>
      <c r="I221" s="398">
        <f>SUMIFS(uitkomst_doelgroep[Overige besparingen (€)],uitkomst_doelgroep[Digitale zorgtoepassing],B221,uitkomst_doelgroep[Jaar],D221,uitkomst_doelgroep[Overige besparingen (€)],"&gt;0",uitkomst_doelgroep[Uitgangssituatie/effect beleid],uitkomst_tech[[#This Row],[Uitgangssituatie/effect beleid]])</f>
        <v>3365393.8099120846</v>
      </c>
      <c r="J221" s="398">
        <f>SUMIFS(uitkomst_doelgroep[QALY (€)],uitkomst_doelgroep[Digitale zorgtoepassing],B221,uitkomst_doelgroep[Jaar],D221,uitkomst_doelgroep[QALY (€)],"&gt;0",uitkomst_doelgroep[Uitgangssituatie/effect beleid],uitkomst_tech[[#This Row],[Uitgangssituatie/effect beleid]])</f>
        <v>0</v>
      </c>
      <c r="K221" s="398">
        <f>SUMIFS(uitkomst_doelgroep[Kosten (€)],uitkomst_doelgroep[Digitale zorgtoepassing],B221,uitkomst_doelgroep[Jaar],D221,uitkomst_doelgroep[Kosten (€)],"&gt;0",uitkomst_doelgroep[Uitgangssituatie/effect beleid],uitkomst_tech[[#This Row],[Uitgangssituatie/effect beleid]])</f>
        <v>9489283.0116968267</v>
      </c>
      <c r="L221" s="398">
        <f>SUMIFS(uitkomst_doelgroep[Investering (cash flow) (€)],uitkomst_doelgroep[Digitale zorgtoepassing],B221,uitkomst_doelgroep[Jaar],D221,uitkomst_doelgroep[Investering (cash flow) (€)],"&gt;0",uitkomst_doelgroep[Uitgangssituatie/effect beleid],uitkomst_tech[[#This Row],[Uitgangssituatie/effect beleid]])</f>
        <v>1662269.4259214692</v>
      </c>
    </row>
    <row r="222" spans="1:12" x14ac:dyDescent="0.5">
      <c r="A222" s="42" t="str">
        <f>INDEX(Technologieën[Veld],MATCH(B222,Technologieën[Digitale zorgtoepassing],0))</f>
        <v>Sensoren - Verpleging</v>
      </c>
      <c r="B222" s="33" t="s">
        <v>46</v>
      </c>
      <c r="C222" s="33" t="s">
        <v>812</v>
      </c>
      <c r="D222" s="33">
        <v>2032</v>
      </c>
      <c r="E222" s="2">
        <v>304</v>
      </c>
      <c r="F222" s="397">
        <f>SUMIFS(uitkomst_doelgroep[Patiëntaantallen],uitkomst_doelgroep[Digitale zorgtoepassing],B222,uitkomst_doelgroep[Jaar],D222,uitkomst_doelgroep[Arbeidsbesparing (€)],"&gt;0",uitkomst_doelgroep[Uitgangssituatie/effect beleid],uitkomst_tech[[#This Row],[Uitgangssituatie/effect beleid]])</f>
        <v>70252.286759084629</v>
      </c>
      <c r="G222" s="398">
        <f>SUMIFS(uitkomst_doelgroep[Arbeidsbesparing (€)],uitkomst_doelgroep[Digitale zorgtoepassing],B222,uitkomst_doelgroep[Jaar],D222,uitkomst_doelgroep[Arbeidsbesparing (€)],"&gt;0",uitkomst_doelgroep[Uitgangssituatie/effect beleid],uitkomst_tech[[#This Row],[Uitgangssituatie/effect beleid]])</f>
        <v>37311955.252583593</v>
      </c>
      <c r="H222" s="398">
        <f>SUMIFS(uitkomst_doelgroep[Arbeidsbesparing (FTE)],uitkomst_doelgroep[Digitale zorgtoepassing],B222,uitkomst_doelgroep[Jaar],D222,uitkomst_doelgroep[Arbeidsbesparing (FTE)],"&gt;0",uitkomst_doelgroep[Uitgangssituatie/effect beleid],uitkomst_tech[[#This Row],[Uitgangssituatie/effect beleid]])</f>
        <v>878.87723729710933</v>
      </c>
      <c r="I222" s="398">
        <f>SUMIFS(uitkomst_doelgroep[Overige besparingen (€)],uitkomst_doelgroep[Digitale zorgtoepassing],B222,uitkomst_doelgroep[Jaar],D222,uitkomst_doelgroep[Overige besparingen (€)],"&gt;0",uitkomst_doelgroep[Uitgangssituatie/effect beleid],uitkomst_tech[[#This Row],[Uitgangssituatie/effect beleid]])</f>
        <v>3550404.3903755862</v>
      </c>
      <c r="J222" s="398">
        <f>SUMIFS(uitkomst_doelgroep[QALY (€)],uitkomst_doelgroep[Digitale zorgtoepassing],B222,uitkomst_doelgroep[Jaar],D222,uitkomst_doelgroep[QALY (€)],"&gt;0",uitkomst_doelgroep[Uitgangssituatie/effect beleid],uitkomst_tech[[#This Row],[Uitgangssituatie/effect beleid]])</f>
        <v>0</v>
      </c>
      <c r="K222" s="398">
        <f>SUMIFS(uitkomst_doelgroep[Kosten (€)],uitkomst_doelgroep[Digitale zorgtoepassing],B222,uitkomst_doelgroep[Jaar],D222,uitkomst_doelgroep[Kosten (€)],"&gt;0",uitkomst_doelgroep[Uitgangssituatie/effect beleid],uitkomst_tech[[#This Row],[Uitgangssituatie/effect beleid]])</f>
        <v>10010950.86316956</v>
      </c>
      <c r="L222" s="398">
        <f>SUMIFS(uitkomst_doelgroep[Investering (cash flow) (€)],uitkomst_doelgroep[Digitale zorgtoepassing],B222,uitkomst_doelgroep[Jaar],D222,uitkomst_doelgroep[Investering (cash flow) (€)],"&gt;0",uitkomst_doelgroep[Uitgangssituatie/effect beleid],uitkomst_tech[[#This Row],[Uitgangssituatie/effect beleid]])</f>
        <v>1202336.4323692063</v>
      </c>
    </row>
    <row r="223" spans="1:12" x14ac:dyDescent="0.5">
      <c r="A223" s="42" t="str">
        <f>INDEX(Technologieën[Veld],MATCH(B223,Technologieën[Digitale zorgtoepassing],0))</f>
        <v>Sensoren - Verpleging</v>
      </c>
      <c r="B223" s="33" t="s">
        <v>46</v>
      </c>
      <c r="C223" s="33" t="s">
        <v>812</v>
      </c>
      <c r="D223" s="33">
        <v>2033</v>
      </c>
      <c r="E223" s="2">
        <v>336</v>
      </c>
      <c r="F223" s="397">
        <f>SUMIFS(uitkomst_doelgroep[Patiëntaantallen],uitkomst_doelgroep[Digitale zorgtoepassing],B223,uitkomst_doelgroep[Jaar],D223,uitkomst_doelgroep[Arbeidsbesparing (€)],"&gt;0",uitkomst_doelgroep[Uitgangssituatie/effect beleid],uitkomst_tech[[#This Row],[Uitgangssituatie/effect beleid]])</f>
        <v>72900.200291982968</v>
      </c>
      <c r="G223" s="398">
        <f>SUMIFS(uitkomst_doelgroep[Arbeidsbesparing (€)],uitkomst_doelgroep[Digitale zorgtoepassing],B223,uitkomst_doelgroep[Jaar],D223,uitkomst_doelgroep[Arbeidsbesparing (€)],"&gt;0",uitkomst_doelgroep[Uitgangssituatie/effect beleid],uitkomst_tech[[#This Row],[Uitgangssituatie/effect beleid]])</f>
        <v>38718298.530646876</v>
      </c>
      <c r="H223" s="398">
        <f>SUMIFS(uitkomst_doelgroep[Arbeidsbesparing (FTE)],uitkomst_doelgroep[Digitale zorgtoepassing],B223,uitkomst_doelgroep[Jaar],D223,uitkomst_doelgroep[Arbeidsbesparing (FTE)],"&gt;0",uitkomst_doelgroep[Uitgangssituatie/effect beleid],uitkomst_tech[[#This Row],[Uitgangssituatie/effect beleid]])</f>
        <v>912.00343201267674</v>
      </c>
      <c r="I223" s="398">
        <f>SUMIFS(uitkomst_doelgroep[Overige besparingen (€)],uitkomst_doelgroep[Digitale zorgtoepassing],B223,uitkomst_doelgroep[Jaar],D223,uitkomst_doelgroep[Overige besparingen (€)],"&gt;0",uitkomst_doelgroep[Uitgangssituatie/effect beleid],uitkomst_tech[[#This Row],[Uitgangssituatie/effect beleid]])</f>
        <v>3684224.4304943723</v>
      </c>
      <c r="J223" s="398">
        <f>SUMIFS(uitkomst_doelgroep[QALY (€)],uitkomst_doelgroep[Digitale zorgtoepassing],B223,uitkomst_doelgroep[Jaar],D223,uitkomst_doelgroep[QALY (€)],"&gt;0",uitkomst_doelgroep[Uitgangssituatie/effect beleid],uitkomst_tech[[#This Row],[Uitgangssituatie/effect beleid]])</f>
        <v>0</v>
      </c>
      <c r="K223" s="398">
        <f>SUMIFS(uitkomst_doelgroep[Kosten (€)],uitkomst_doelgroep[Digitale zorgtoepassing],B223,uitkomst_doelgroep[Jaar],D223,uitkomst_doelgroep[Kosten (€)],"&gt;0",uitkomst_doelgroep[Uitgangssituatie/effect beleid],uitkomst_tech[[#This Row],[Uitgangssituatie/effect beleid]])</f>
        <v>10388278.541607572</v>
      </c>
      <c r="L223" s="398">
        <f>SUMIFS(uitkomst_doelgroep[Investering (cash flow) (€)],uitkomst_doelgroep[Digitale zorgtoepassing],B223,uitkomst_doelgroep[Jaar],D223,uitkomst_doelgroep[Investering (cash flow) (€)],"&gt;0",uitkomst_doelgroep[Uitgangssituatie/effect beleid],uitkomst_tech[[#This Row],[Uitgangssituatie/effect beleid]])</f>
        <v>835756.33136338613</v>
      </c>
    </row>
    <row r="224" spans="1:12" x14ac:dyDescent="0.5">
      <c r="A224" s="42" t="str">
        <f>INDEX(Technologieën[Veld],MATCH(B224,Technologieën[Digitale zorgtoepassing],0))</f>
        <v>Sensoren - Verpleging</v>
      </c>
      <c r="B224" s="41" t="s">
        <v>36</v>
      </c>
      <c r="C224" s="33" t="s">
        <v>812</v>
      </c>
      <c r="D224" s="33">
        <v>2023</v>
      </c>
      <c r="E224" s="2">
        <v>17</v>
      </c>
      <c r="F224" s="397">
        <f>SUMIFS(uitkomst_doelgroep[Patiëntaantallen],uitkomst_doelgroep[Digitale zorgtoepassing],B224,uitkomst_doelgroep[Jaar],D224,uitkomst_doelgroep[Arbeidsbesparing (€)],"&gt;0",uitkomst_doelgroep[Uitgangssituatie/effect beleid],uitkomst_tech[[#This Row],[Uitgangssituatie/effect beleid]])</f>
        <v>6612.87</v>
      </c>
      <c r="G224" s="398">
        <f>SUMIFS(uitkomst_doelgroep[Arbeidsbesparing (€)],uitkomst_doelgroep[Digitale zorgtoepassing],B224,uitkomst_doelgroep[Jaar],D224,uitkomst_doelgroep[Arbeidsbesparing (€)],"&gt;0",uitkomst_doelgroep[Uitgangssituatie/effect beleid],uitkomst_tech[[#This Row],[Uitgangssituatie/effect beleid]])</f>
        <v>22810548.326879766</v>
      </c>
      <c r="H224" s="398">
        <f>SUMIFS(uitkomst_doelgroep[Arbeidsbesparing (FTE)],uitkomst_doelgroep[Digitale zorgtoepassing],B224,uitkomst_doelgroep[Jaar],D224,uitkomst_doelgroep[Arbeidsbesparing (FTE)],"&gt;0",uitkomst_doelgroep[Uitgangssituatie/effect beleid],uitkomst_tech[[#This Row],[Uitgangssituatie/effect beleid]])</f>
        <v>537.29887804183431</v>
      </c>
      <c r="I224" s="398">
        <f>SUMIFS(uitkomst_doelgroep[Overige besparingen (€)],uitkomst_doelgroep[Digitale zorgtoepassing],B224,uitkomst_doelgroep[Jaar],D224,uitkomst_doelgroep[Overige besparingen (€)],"&gt;0",uitkomst_doelgroep[Uitgangssituatie/effect beleid],uitkomst_tech[[#This Row],[Uitgangssituatie/effect beleid]])</f>
        <v>3137769.0271714278</v>
      </c>
      <c r="J224" s="398">
        <f>SUMIFS(uitkomst_doelgroep[QALY (€)],uitkomst_doelgroep[Digitale zorgtoepassing],B224,uitkomst_doelgroep[Jaar],D224,uitkomst_doelgroep[QALY (€)],"&gt;0",uitkomst_doelgroep[Uitgangssituatie/effect beleid],uitkomst_tech[[#This Row],[Uitgangssituatie/effect beleid]])</f>
        <v>0</v>
      </c>
      <c r="K224" s="398">
        <f>SUMIFS(uitkomst_doelgroep[Kosten (€)],uitkomst_doelgroep[Digitale zorgtoepassing],B224,uitkomst_doelgroep[Jaar],D224,uitkomst_doelgroep[Kosten (€)],"&gt;0",uitkomst_doelgroep[Uitgangssituatie/effect beleid],uitkomst_tech[[#This Row],[Uitgangssituatie/effect beleid]])</f>
        <v>12418969.859999999</v>
      </c>
      <c r="L224" s="398">
        <f>SUMIFS(uitkomst_doelgroep[Investering (cash flow) (€)],uitkomst_doelgroep[Digitale zorgtoepassing],B224,uitkomst_doelgroep[Jaar],D224,uitkomst_doelgroep[Investering (cash flow) (€)],"&gt;0",uitkomst_doelgroep[Uitgangssituatie/effect beleid],uitkomst_tech[[#This Row],[Uitgangssituatie/effect beleid]])</f>
        <v>0</v>
      </c>
    </row>
    <row r="225" spans="1:12" x14ac:dyDescent="0.5">
      <c r="A225" s="42" t="str">
        <f>INDEX(Technologieën[Veld],MATCH(B225,Technologieën[Digitale zorgtoepassing],0))</f>
        <v>Sensoren - Verpleging</v>
      </c>
      <c r="B225" s="33" t="s">
        <v>36</v>
      </c>
      <c r="C225" s="33" t="s">
        <v>812</v>
      </c>
      <c r="D225" s="33">
        <v>2024</v>
      </c>
      <c r="E225" s="2">
        <v>49</v>
      </c>
      <c r="F225" s="397">
        <f>SUMIFS(uitkomst_doelgroep[Patiëntaantallen],uitkomst_doelgroep[Digitale zorgtoepassing],B225,uitkomst_doelgroep[Jaar],D225,uitkomst_doelgroep[Arbeidsbesparing (€)],"&gt;0",uitkomst_doelgroep[Uitgangssituatie/effect beleid],uitkomst_tech[[#This Row],[Uitgangssituatie/effect beleid]])</f>
        <v>9258.018</v>
      </c>
      <c r="G225" s="398">
        <f>SUMIFS(uitkomst_doelgroep[Arbeidsbesparing (€)],uitkomst_doelgroep[Digitale zorgtoepassing],B225,uitkomst_doelgroep[Jaar],D225,uitkomst_doelgroep[Arbeidsbesparing (€)],"&gt;0",uitkomst_doelgroep[Uitgangssituatie/effect beleid],uitkomst_tech[[#This Row],[Uitgangssituatie/effect beleid]])</f>
        <v>31934767.657631673</v>
      </c>
      <c r="H225" s="398">
        <f>SUMIFS(uitkomst_doelgroep[Arbeidsbesparing (FTE)],uitkomst_doelgroep[Digitale zorgtoepassing],B225,uitkomst_doelgroep[Jaar],D225,uitkomst_doelgroep[Arbeidsbesparing (FTE)],"&gt;0",uitkomst_doelgroep[Uitgangssituatie/effect beleid],uitkomst_tech[[#This Row],[Uitgangssituatie/effect beleid]])</f>
        <v>752.21842925856799</v>
      </c>
      <c r="I225" s="398">
        <f>SUMIFS(uitkomst_doelgroep[Overige besparingen (€)],uitkomst_doelgroep[Digitale zorgtoepassing],B225,uitkomst_doelgroep[Jaar],D225,uitkomst_doelgroep[Overige besparingen (€)],"&gt;0",uitkomst_doelgroep[Uitgangssituatie/effect beleid],uitkomst_tech[[#This Row],[Uitgangssituatie/effect beleid]])</f>
        <v>4392876.6380399996</v>
      </c>
      <c r="J225" s="398">
        <f>SUMIFS(uitkomst_doelgroep[QALY (€)],uitkomst_doelgroep[Digitale zorgtoepassing],B225,uitkomst_doelgroep[Jaar],D225,uitkomst_doelgroep[QALY (€)],"&gt;0",uitkomst_doelgroep[Uitgangssituatie/effect beleid],uitkomst_tech[[#This Row],[Uitgangssituatie/effect beleid]])</f>
        <v>0</v>
      </c>
      <c r="K225" s="398">
        <f>SUMIFS(uitkomst_doelgroep[Kosten (€)],uitkomst_doelgroep[Digitale zorgtoepassing],B225,uitkomst_doelgroep[Jaar],D225,uitkomst_doelgroep[Kosten (€)],"&gt;0",uitkomst_doelgroep[Uitgangssituatie/effect beleid],uitkomst_tech[[#This Row],[Uitgangssituatie/effect beleid]])</f>
        <v>17386557.804000001</v>
      </c>
      <c r="L225" s="398">
        <f>SUMIFS(uitkomst_doelgroep[Investering (cash flow) (€)],uitkomst_doelgroep[Digitale zorgtoepassing],B225,uitkomst_doelgroep[Jaar],D225,uitkomst_doelgroep[Investering (cash flow) (€)],"&gt;0",uitkomst_doelgroep[Uitgangssituatie/effect beleid],uitkomst_tech[[#This Row],[Uitgangssituatie/effect beleid]])</f>
        <v>0</v>
      </c>
    </row>
    <row r="226" spans="1:12" x14ac:dyDescent="0.5">
      <c r="A226" s="42" t="str">
        <f>INDEX(Technologieën[Veld],MATCH(B226,Technologieën[Digitale zorgtoepassing],0))</f>
        <v>Sensoren - Verpleging</v>
      </c>
      <c r="B226" s="33" t="s">
        <v>36</v>
      </c>
      <c r="C226" s="33" t="s">
        <v>812</v>
      </c>
      <c r="D226" s="33">
        <v>2025</v>
      </c>
      <c r="E226" s="2">
        <v>81</v>
      </c>
      <c r="F226" s="397">
        <f>SUMIFS(uitkomst_doelgroep[Patiëntaantallen],uitkomst_doelgroep[Digitale zorgtoepassing],B226,uitkomst_doelgroep[Jaar],D226,uitkomst_doelgroep[Arbeidsbesparing (€)],"&gt;0",uitkomst_doelgroep[Uitgangssituatie/effect beleid],uitkomst_tech[[#This Row],[Uitgangssituatie/effect beleid]])</f>
        <v>12400.453824</v>
      </c>
      <c r="G226" s="398">
        <f>SUMIFS(uitkomst_doelgroep[Arbeidsbesparing (€)],uitkomst_doelgroep[Digitale zorgtoepassing],B226,uitkomst_doelgroep[Jaar],D226,uitkomst_doelgroep[Arbeidsbesparing (€)],"&gt;0",uitkomst_doelgroep[Uitgangssituatie/effect beleid],uitkomst_tech[[#This Row],[Uitgangssituatie/effect beleid]])</f>
        <v>42774340.222564936</v>
      </c>
      <c r="H226" s="398">
        <f>SUMIFS(uitkomst_doelgroep[Arbeidsbesparing (FTE)],uitkomst_doelgroep[Digitale zorgtoepassing],B226,uitkomst_doelgroep[Jaar],D226,uitkomst_doelgroep[Arbeidsbesparing (FTE)],"&gt;0",uitkomst_doelgroep[Uitgangssituatie/effect beleid],uitkomst_tech[[#This Row],[Uitgangssituatie/effect beleid]])</f>
        <v>1007.5428561040477</v>
      </c>
      <c r="I226" s="398">
        <f>SUMIFS(uitkomst_doelgroep[Overige besparingen (€)],uitkomst_doelgroep[Digitale zorgtoepassing],B226,uitkomst_doelgroep[Jaar],D226,uitkomst_doelgroep[Overige besparingen (€)],"&gt;0",uitkomst_doelgroep[Uitgangssituatie/effect beleid],uitkomst_tech[[#This Row],[Uitgangssituatie/effect beleid]])</f>
        <v>5883944.4797518617</v>
      </c>
      <c r="J226" s="398">
        <f>SUMIFS(uitkomst_doelgroep[QALY (€)],uitkomst_doelgroep[Digitale zorgtoepassing],B226,uitkomst_doelgroep[Jaar],D226,uitkomst_doelgroep[QALY (€)],"&gt;0",uitkomst_doelgroep[Uitgangssituatie/effect beleid],uitkomst_tech[[#This Row],[Uitgangssituatie/effect beleid]])</f>
        <v>0</v>
      </c>
      <c r="K226" s="398">
        <f>SUMIFS(uitkomst_doelgroep[Kosten (€)],uitkomst_doelgroep[Digitale zorgtoepassing],B226,uitkomst_doelgroep[Jaar],D226,uitkomst_doelgroep[Kosten (€)],"&gt;0",uitkomst_doelgroep[Uitgangssituatie/effect beleid],uitkomst_tech[[#This Row],[Uitgangssituatie/effect beleid]])</f>
        <v>23288052.281472001</v>
      </c>
      <c r="L226" s="398">
        <f>SUMIFS(uitkomst_doelgroep[Investering (cash flow) (€)],uitkomst_doelgroep[Digitale zorgtoepassing],B226,uitkomst_doelgroep[Jaar],D226,uitkomst_doelgroep[Investering (cash flow) (€)],"&gt;0",uitkomst_doelgroep[Uitgangssituatie/effect beleid],uitkomst_tech[[#This Row],[Uitgangssituatie/effect beleid]])</f>
        <v>0</v>
      </c>
    </row>
    <row r="227" spans="1:12" x14ac:dyDescent="0.5">
      <c r="A227" s="42" t="str">
        <f>INDEX(Technologieën[Veld],MATCH(B227,Technologieën[Digitale zorgtoepassing],0))</f>
        <v>Sensoren - Verpleging</v>
      </c>
      <c r="B227" s="33" t="s">
        <v>36</v>
      </c>
      <c r="C227" s="33" t="s">
        <v>812</v>
      </c>
      <c r="D227" s="33">
        <v>2026</v>
      </c>
      <c r="E227" s="2">
        <v>113</v>
      </c>
      <c r="F227" s="397">
        <f>SUMIFS(uitkomst_doelgroep[Patiëntaantallen],uitkomst_doelgroep[Digitale zorgtoepassing],B227,uitkomst_doelgroep[Jaar],D227,uitkomst_doelgroep[Arbeidsbesparing (€)],"&gt;0",uitkomst_doelgroep[Uitgangssituatie/effect beleid],uitkomst_tech[[#This Row],[Uitgangssituatie/effect beleid]])</f>
        <v>16578.790356258814</v>
      </c>
      <c r="G227" s="398">
        <f>SUMIFS(uitkomst_doelgroep[Arbeidsbesparing (€)],uitkomst_doelgroep[Digitale zorgtoepassing],B227,uitkomst_doelgroep[Jaar],D227,uitkomst_doelgroep[Arbeidsbesparing (€)],"&gt;0",uitkomst_doelgroep[Uitgangssituatie/effect beleid],uitkomst_tech[[#This Row],[Uitgangssituatie/effect beleid]])</f>
        <v>57187166.634555034</v>
      </c>
      <c r="H227" s="398">
        <f>SUMIFS(uitkomst_doelgroep[Arbeidsbesparing (FTE)],uitkomst_doelgroep[Digitale zorgtoepassing],B227,uitkomst_doelgroep[Jaar],D227,uitkomst_doelgroep[Arbeidsbesparing (FTE)],"&gt;0",uitkomst_doelgroep[Uitgangssituatie/effect beleid],uitkomst_tech[[#This Row],[Uitgangssituatie/effect beleid]])</f>
        <v>1347.0347152913403</v>
      </c>
      <c r="I227" s="398">
        <f>SUMIFS(uitkomst_doelgroep[Overige besparingen (€)],uitkomst_doelgroep[Digitale zorgtoepassing],B227,uitkomst_doelgroep[Jaar],D227,uitkomst_doelgroep[Overige besparingen (€)],"&gt;0",uitkomst_doelgroep[Uitgangssituatie/effect beleid],uitkomst_tech[[#This Row],[Uitgangssituatie/effect beleid]])</f>
        <v>7866541.2880999139</v>
      </c>
      <c r="J227" s="398">
        <f>SUMIFS(uitkomst_doelgroep[QALY (€)],uitkomst_doelgroep[Digitale zorgtoepassing],B227,uitkomst_doelgroep[Jaar],D227,uitkomst_doelgroep[QALY (€)],"&gt;0",uitkomst_doelgroep[Uitgangssituatie/effect beleid],uitkomst_tech[[#This Row],[Uitgangssituatie/effect beleid]])</f>
        <v>0</v>
      </c>
      <c r="K227" s="398">
        <f>SUMIFS(uitkomst_doelgroep[Kosten (€)],uitkomst_doelgroep[Digitale zorgtoepassing],B227,uitkomst_doelgroep[Jaar],D227,uitkomst_doelgroep[Kosten (€)],"&gt;0",uitkomst_doelgroep[Uitgangssituatie/effect beleid],uitkomst_tech[[#This Row],[Uitgangssituatie/effect beleid]])</f>
        <v>31134968.289054058</v>
      </c>
      <c r="L227" s="398">
        <f>SUMIFS(uitkomst_doelgroep[Investering (cash flow) (€)],uitkomst_doelgroep[Digitale zorgtoepassing],B227,uitkomst_doelgroep[Jaar],D227,uitkomst_doelgroep[Investering (cash flow) (€)],"&gt;0",uitkomst_doelgroep[Uitgangssituatie/effect beleid],uitkomst_tech[[#This Row],[Uitgangssituatie/effect beleid]])</f>
        <v>0</v>
      </c>
    </row>
    <row r="228" spans="1:12" x14ac:dyDescent="0.5">
      <c r="A228" s="42" t="str">
        <f>INDEX(Technologieën[Veld],MATCH(B228,Technologieën[Digitale zorgtoepassing],0))</f>
        <v>Sensoren - Verpleging</v>
      </c>
      <c r="B228" s="33" t="s">
        <v>36</v>
      </c>
      <c r="C228" s="33" t="s">
        <v>812</v>
      </c>
      <c r="D228" s="33">
        <v>2027</v>
      </c>
      <c r="E228" s="2">
        <v>145</v>
      </c>
      <c r="F228" s="397">
        <f>SUMIFS(uitkomst_doelgroep[Patiëntaantallen],uitkomst_doelgroep[Digitale zorgtoepassing],B228,uitkomst_doelgroep[Jaar],D228,uitkomst_doelgroep[Arbeidsbesparing (€)],"&gt;0",uitkomst_doelgroep[Uitgangssituatie/effect beleid],uitkomst_tech[[#This Row],[Uitgangssituatie/effect beleid]])</f>
        <v>21136.188111134597</v>
      </c>
      <c r="G228" s="398">
        <f>SUMIFS(uitkomst_doelgroep[Arbeidsbesparing (€)],uitkomst_doelgroep[Digitale zorgtoepassing],B228,uitkomst_doelgroep[Jaar],D228,uitkomst_doelgroep[Arbeidsbesparing (€)],"&gt;0",uitkomst_doelgroep[Uitgangssituatie/effect beleid],uitkomst_tech[[#This Row],[Uitgangssituatie/effect beleid]])</f>
        <v>72907533.393981323</v>
      </c>
      <c r="H228" s="398">
        <f>SUMIFS(uitkomst_doelgroep[Arbeidsbesparing (FTE)],uitkomst_doelgroep[Digitale zorgtoepassing],B228,uitkomst_doelgroep[Jaar],D228,uitkomst_doelgroep[Arbeidsbesparing (FTE)],"&gt;0",uitkomst_doelgroep[Uitgangssituatie/effect beleid],uitkomst_tech[[#This Row],[Uitgangssituatie/effect beleid]])</f>
        <v>1717.3254817036741</v>
      </c>
      <c r="I228" s="398">
        <f>SUMIFS(uitkomst_doelgroep[Overige besparingen (€)],uitkomst_doelgroep[Digitale zorgtoepassing],B228,uitkomst_doelgroep[Jaar],D228,uitkomst_doelgroep[Overige besparingen (€)],"&gt;0",uitkomst_doelgroep[Uitgangssituatie/effect beleid],uitkomst_tech[[#This Row],[Uitgangssituatie/effect beleid]])</f>
        <v>10029000.480515588</v>
      </c>
      <c r="J228" s="398">
        <f>SUMIFS(uitkomst_doelgroep[QALY (€)],uitkomst_doelgroep[Digitale zorgtoepassing],B228,uitkomst_doelgroep[Jaar],D228,uitkomst_doelgroep[QALY (€)],"&gt;0",uitkomst_doelgroep[Uitgangssituatie/effect beleid],uitkomst_tech[[#This Row],[Uitgangssituatie/effect beleid]])</f>
        <v>0</v>
      </c>
      <c r="K228" s="398">
        <f>SUMIFS(uitkomst_doelgroep[Kosten (€)],uitkomst_doelgroep[Digitale zorgtoepassing],B228,uitkomst_doelgroep[Jaar],D228,uitkomst_doelgroep[Kosten (€)],"&gt;0",uitkomst_doelgroep[Uitgangssituatie/effect beleid],uitkomst_tech[[#This Row],[Uitgangssituatie/effect beleid]])</f>
        <v>39693761.272710778</v>
      </c>
      <c r="L228" s="398">
        <f>SUMIFS(uitkomst_doelgroep[Investering (cash flow) (€)],uitkomst_doelgroep[Digitale zorgtoepassing],B228,uitkomst_doelgroep[Jaar],D228,uitkomst_doelgroep[Investering (cash flow) (€)],"&gt;0",uitkomst_doelgroep[Uitgangssituatie/effect beleid],uitkomst_tech[[#This Row],[Uitgangssituatie/effect beleid]])</f>
        <v>0</v>
      </c>
    </row>
    <row r="229" spans="1:12" x14ac:dyDescent="0.5">
      <c r="A229" s="42" t="str">
        <f>INDEX(Technologieën[Veld],MATCH(B229,Technologieën[Digitale zorgtoepassing],0))</f>
        <v>Sensoren - Verpleging</v>
      </c>
      <c r="B229" s="33" t="s">
        <v>36</v>
      </c>
      <c r="C229" s="33" t="s">
        <v>812</v>
      </c>
      <c r="D229" s="33">
        <v>2028</v>
      </c>
      <c r="E229" s="2">
        <v>177</v>
      </c>
      <c r="F229" s="397">
        <f>SUMIFS(uitkomst_doelgroep[Patiëntaantallen],uitkomst_doelgroep[Digitale zorgtoepassing],B229,uitkomst_doelgroep[Jaar],D229,uitkomst_doelgroep[Arbeidsbesparing (€)],"&gt;0",uitkomst_doelgroep[Uitgangssituatie/effect beleid],uitkomst_tech[[#This Row],[Uitgangssituatie/effect beleid]])</f>
        <v>25836.683868431923</v>
      </c>
      <c r="G229" s="398">
        <f>SUMIFS(uitkomst_doelgroep[Arbeidsbesparing (€)],uitkomst_doelgroep[Digitale zorgtoepassing],B229,uitkomst_doelgroep[Jaar],D229,uitkomst_doelgroep[Arbeidsbesparing (€)],"&gt;0",uitkomst_doelgroep[Uitgangssituatie/effect beleid],uitkomst_tech[[#This Row],[Uitgangssituatie/effect beleid]])</f>
        <v>89121504.8817202</v>
      </c>
      <c r="H229" s="398">
        <f>SUMIFS(uitkomst_doelgroep[Arbeidsbesparing (FTE)],uitkomst_doelgroep[Digitale zorgtoepassing],B229,uitkomst_doelgroep[Jaar],D229,uitkomst_doelgroep[Arbeidsbesparing (FTE)],"&gt;0",uitkomst_doelgroep[Uitgangssituatie/effect beleid],uitkomst_tech[[#This Row],[Uitgangssituatie/effect beleid]])</f>
        <v>2099.2430298539107</v>
      </c>
      <c r="I229" s="398">
        <f>SUMIFS(uitkomst_doelgroep[Overige besparingen (€)],uitkomst_doelgroep[Digitale zorgtoepassing],B229,uitkomst_doelgroep[Jaar],D229,uitkomst_doelgroep[Overige besparingen (€)],"&gt;0",uitkomst_doelgroep[Uitgangssituatie/effect beleid],uitkomst_tech[[#This Row],[Uitgangssituatie/effect beleid]])</f>
        <v>12259358.85737741</v>
      </c>
      <c r="J229" s="398">
        <f>SUMIFS(uitkomst_doelgroep[QALY (€)],uitkomst_doelgroep[Digitale zorgtoepassing],B229,uitkomst_doelgroep[Jaar],D229,uitkomst_doelgroep[QALY (€)],"&gt;0",uitkomst_doelgroep[Uitgangssituatie/effect beleid],uitkomst_tech[[#This Row],[Uitgangssituatie/effect beleid]])</f>
        <v>0</v>
      </c>
      <c r="K229" s="398">
        <f>SUMIFS(uitkomst_doelgroep[Kosten (€)],uitkomst_doelgroep[Digitale zorgtoepassing],B229,uitkomst_doelgroep[Jaar],D229,uitkomst_doelgroep[Kosten (€)],"&gt;0",uitkomst_doelgroep[Uitgangssituatie/effect beleid],uitkomst_tech[[#This Row],[Uitgangssituatie/effect beleid]])</f>
        <v>48521292.304915145</v>
      </c>
      <c r="L229" s="398">
        <f>SUMIFS(uitkomst_doelgroep[Investering (cash flow) (€)],uitkomst_doelgroep[Digitale zorgtoepassing],B229,uitkomst_doelgroep[Jaar],D229,uitkomst_doelgroep[Investering (cash flow) (€)],"&gt;0",uitkomst_doelgroep[Uitgangssituatie/effect beleid],uitkomst_tech[[#This Row],[Uitgangssituatie/effect beleid]])</f>
        <v>0</v>
      </c>
    </row>
    <row r="230" spans="1:12" x14ac:dyDescent="0.5">
      <c r="A230" s="42" t="str">
        <f>INDEX(Technologieën[Veld],MATCH(B230,Technologieën[Digitale zorgtoepassing],0))</f>
        <v>Sensoren - Verpleging</v>
      </c>
      <c r="B230" s="33" t="s">
        <v>36</v>
      </c>
      <c r="C230" s="33" t="s">
        <v>812</v>
      </c>
      <c r="D230" s="33">
        <v>2029</v>
      </c>
      <c r="E230" s="2">
        <v>209</v>
      </c>
      <c r="F230" s="397">
        <f>SUMIFS(uitkomst_doelgroep[Patiëntaantallen],uitkomst_doelgroep[Digitale zorgtoepassing],B230,uitkomst_doelgroep[Jaar],D230,uitkomst_doelgroep[Arbeidsbesparing (€)],"&gt;0",uitkomst_doelgroep[Uitgangssituatie/effect beleid],uitkomst_tech[[#This Row],[Uitgangssituatie/effect beleid]])</f>
        <v>30472.787943863575</v>
      </c>
      <c r="G230" s="398">
        <f>SUMIFS(uitkomst_doelgroep[Arbeidsbesparing (€)],uitkomst_doelgroep[Digitale zorgtoepassing],B230,uitkomst_doelgroep[Jaar],D230,uitkomst_doelgroep[Arbeidsbesparing (€)],"&gt;0",uitkomst_doelgroep[Uitgangssituatie/effect beleid],uitkomst_tech[[#This Row],[Uitgangssituatie/effect beleid]])</f>
        <v>105113362.5866317</v>
      </c>
      <c r="H230" s="398">
        <f>SUMIFS(uitkomst_doelgroep[Arbeidsbesparing (FTE)],uitkomst_doelgroep[Digitale zorgtoepassing],B230,uitkomst_doelgroep[Jaar],D230,uitkomst_doelgroep[Arbeidsbesparing (FTE)],"&gt;0",uitkomst_doelgroep[Uitgangssituatie/effect beleid],uitkomst_tech[[#This Row],[Uitgangssituatie/effect beleid]])</f>
        <v>2475.9287227852101</v>
      </c>
      <c r="I230" s="398">
        <f>SUMIFS(uitkomst_doelgroep[Overige besparingen (€)],uitkomst_doelgroep[Digitale zorgtoepassing],B230,uitkomst_doelgroep[Jaar],D230,uitkomst_doelgroep[Overige besparingen (€)],"&gt;0",uitkomst_doelgroep[Uitgangssituatie/effect beleid],uitkomst_tech[[#This Row],[Uitgangssituatie/effect beleid]])</f>
        <v>14459163.749146441</v>
      </c>
      <c r="J230" s="398">
        <f>SUMIFS(uitkomst_doelgroep[QALY (€)],uitkomst_doelgroep[Digitale zorgtoepassing],B230,uitkomst_doelgroep[Jaar],D230,uitkomst_doelgroep[QALY (€)],"&gt;0",uitkomst_doelgroep[Uitgangssituatie/effect beleid],uitkomst_tech[[#This Row],[Uitgangssituatie/effect beleid]])</f>
        <v>0</v>
      </c>
      <c r="K230" s="398">
        <f>SUMIFS(uitkomst_doelgroep[Kosten (€)],uitkomst_doelgroep[Digitale zorgtoepassing],B230,uitkomst_doelgroep[Jaar],D230,uitkomst_doelgroep[Kosten (€)],"&gt;0",uitkomst_doelgroep[Uitgangssituatie/effect beleid],uitkomst_tech[[#This Row],[Uitgangssituatie/effect beleid]])</f>
        <v>57227895.758575797</v>
      </c>
      <c r="L230" s="398">
        <f>SUMIFS(uitkomst_doelgroep[Investering (cash flow) (€)],uitkomst_doelgroep[Digitale zorgtoepassing],B230,uitkomst_doelgroep[Jaar],D230,uitkomst_doelgroep[Investering (cash flow) (€)],"&gt;0",uitkomst_doelgroep[Uitgangssituatie/effect beleid],uitkomst_tech[[#This Row],[Uitgangssituatie/effect beleid]])</f>
        <v>0</v>
      </c>
    </row>
    <row r="231" spans="1:12" x14ac:dyDescent="0.5">
      <c r="A231" s="42" t="str">
        <f>INDEX(Technologieën[Veld],MATCH(B231,Technologieën[Digitale zorgtoepassing],0))</f>
        <v>Sensoren - Verpleging</v>
      </c>
      <c r="B231" s="33" t="s">
        <v>36</v>
      </c>
      <c r="C231" s="33" t="s">
        <v>812</v>
      </c>
      <c r="D231" s="33">
        <v>2030</v>
      </c>
      <c r="E231" s="2">
        <v>241</v>
      </c>
      <c r="F231" s="397">
        <f>SUMIFS(uitkomst_doelgroep[Patiëntaantallen],uitkomst_doelgroep[Digitale zorgtoepassing],B231,uitkomst_doelgroep[Jaar],D231,uitkomst_doelgroep[Arbeidsbesparing (€)],"&gt;0",uitkomst_doelgroep[Uitgangssituatie/effect beleid],uitkomst_tech[[#This Row],[Uitgangssituatie/effect beleid]])</f>
        <v>34948.997204417225</v>
      </c>
      <c r="G231" s="398">
        <f>SUMIFS(uitkomst_doelgroep[Arbeidsbesparing (€)],uitkomst_doelgroep[Digitale zorgtoepassing],B231,uitkomst_doelgroep[Jaar],D231,uitkomst_doelgroep[Arbeidsbesparing (€)],"&gt;0",uitkomst_doelgroep[Uitgangssituatie/effect beleid],uitkomst_tech[[#This Row],[Uitgangssituatie/effect beleid]])</f>
        <v>120553676.34738697</v>
      </c>
      <c r="H231" s="398">
        <f>SUMIFS(uitkomst_doelgroep[Arbeidsbesparing (FTE)],uitkomst_doelgroep[Digitale zorgtoepassing],B231,uitkomst_doelgroep[Jaar],D231,uitkomst_doelgroep[Arbeidsbesparing (FTE)],"&gt;0",uitkomst_doelgroep[Uitgangssituatie/effect beleid],uitkomst_tech[[#This Row],[Uitgangssituatie/effect beleid]])</f>
        <v>2839.6228848624846</v>
      </c>
      <c r="I231" s="398">
        <f>SUMIFS(uitkomst_doelgroep[Overige besparingen (€)],uitkomst_doelgroep[Digitale zorgtoepassing],B231,uitkomst_doelgroep[Jaar],D231,uitkomst_doelgroep[Overige besparingen (€)],"&gt;0",uitkomst_doelgroep[Uitgangssituatie/effect beleid],uitkomst_tech[[#This Row],[Uitgangssituatie/effect beleid]])</f>
        <v>16583099.464940514</v>
      </c>
      <c r="J231" s="398">
        <f>SUMIFS(uitkomst_doelgroep[QALY (€)],uitkomst_doelgroep[Digitale zorgtoepassing],B231,uitkomst_doelgroep[Jaar],D231,uitkomst_doelgroep[QALY (€)],"&gt;0",uitkomst_doelgroep[Uitgangssituatie/effect beleid],uitkomst_tech[[#This Row],[Uitgangssituatie/effect beleid]])</f>
        <v>0</v>
      </c>
      <c r="K231" s="398">
        <f>SUMIFS(uitkomst_doelgroep[Kosten (€)],uitkomst_doelgroep[Digitale zorgtoepassing],B231,uitkomst_doelgroep[Jaar],D231,uitkomst_doelgroep[Kosten (€)],"&gt;0",uitkomst_doelgroep[Uitgangssituatie/effect beleid],uitkomst_tech[[#This Row],[Uitgangssituatie/effect beleid]])</f>
        <v>65634216.74989555</v>
      </c>
      <c r="L231" s="398">
        <f>SUMIFS(uitkomst_doelgroep[Investering (cash flow) (€)],uitkomst_doelgroep[Digitale zorgtoepassing],B231,uitkomst_doelgroep[Jaar],D231,uitkomst_doelgroep[Investering (cash flow) (€)],"&gt;0",uitkomst_doelgroep[Uitgangssituatie/effect beleid],uitkomst_tech[[#This Row],[Uitgangssituatie/effect beleid]])</f>
        <v>0</v>
      </c>
    </row>
    <row r="232" spans="1:12" x14ac:dyDescent="0.5">
      <c r="A232" s="42" t="str">
        <f>INDEX(Technologieën[Veld],MATCH(B232,Technologieën[Digitale zorgtoepassing],0))</f>
        <v>Sensoren - Verpleging</v>
      </c>
      <c r="B232" s="33" t="s">
        <v>36</v>
      </c>
      <c r="C232" s="33" t="s">
        <v>812</v>
      </c>
      <c r="D232" s="33">
        <v>2031</v>
      </c>
      <c r="E232" s="2">
        <v>273</v>
      </c>
      <c r="F232" s="397">
        <f>SUMIFS(uitkomst_doelgroep[Patiëntaantallen],uitkomst_doelgroep[Digitale zorgtoepassing],B232,uitkomst_doelgroep[Jaar],D232,uitkomst_doelgroep[Arbeidsbesparing (€)],"&gt;0",uitkomst_doelgroep[Uitgangssituatie/effect beleid],uitkomst_tech[[#This Row],[Uitgangssituatie/effect beleid]])</f>
        <v>39293.585089069937</v>
      </c>
      <c r="G232" s="398">
        <f>SUMIFS(uitkomst_doelgroep[Arbeidsbesparing (€)],uitkomst_doelgroep[Digitale zorgtoepassing],B232,uitkomst_doelgroep[Jaar],D232,uitkomst_doelgroep[Arbeidsbesparing (€)],"&gt;0",uitkomst_doelgroep[Uitgangssituatie/effect beleid],uitkomst_tech[[#This Row],[Uitgangssituatie/effect beleid]])</f>
        <v>135539973.05414924</v>
      </c>
      <c r="H232" s="398">
        <f>SUMIFS(uitkomst_doelgroep[Arbeidsbesparing (FTE)],uitkomst_doelgroep[Digitale zorgtoepassing],B232,uitkomst_doelgroep[Jaar],D232,uitkomst_doelgroep[Arbeidsbesparing (FTE)],"&gt;0",uitkomst_doelgroep[Uitgangssituatie/effect beleid],uitkomst_tech[[#This Row],[Uitgangssituatie/effect beleid]])</f>
        <v>3192.6227466438363</v>
      </c>
      <c r="I232" s="398">
        <f>SUMIFS(uitkomst_doelgroep[Overige besparingen (€)],uitkomst_doelgroep[Digitale zorgtoepassing],B232,uitkomst_doelgroep[Jaar],D232,uitkomst_doelgroep[Overige besparingen (€)],"&gt;0",uitkomst_doelgroep[Uitgangssituatie/effect beleid],uitkomst_tech[[#This Row],[Uitgangssituatie/effect beleid]])</f>
        <v>18644581.589991745</v>
      </c>
      <c r="J232" s="398">
        <f>SUMIFS(uitkomst_doelgroep[QALY (€)],uitkomst_doelgroep[Digitale zorgtoepassing],B232,uitkomst_doelgroep[Jaar],D232,uitkomst_doelgroep[QALY (€)],"&gt;0",uitkomst_doelgroep[Uitgangssituatie/effect beleid],uitkomst_tech[[#This Row],[Uitgangssituatie/effect beleid]])</f>
        <v>0</v>
      </c>
      <c r="K232" s="398">
        <f>SUMIFS(uitkomst_doelgroep[Kosten (€)],uitkomst_doelgroep[Digitale zorgtoepassing],B232,uitkomst_doelgroep[Jaar],D232,uitkomst_doelgroep[Kosten (€)],"&gt;0",uitkomst_doelgroep[Uitgangssituatie/effect beleid],uitkomst_tech[[#This Row],[Uitgangssituatie/effect beleid]])</f>
        <v>73793352.797273338</v>
      </c>
      <c r="L232" s="398">
        <f>SUMIFS(uitkomst_doelgroep[Investering (cash flow) (€)],uitkomst_doelgroep[Digitale zorgtoepassing],B232,uitkomst_doelgroep[Jaar],D232,uitkomst_doelgroep[Investering (cash flow) (€)],"&gt;0",uitkomst_doelgroep[Uitgangssituatie/effect beleid],uitkomst_tech[[#This Row],[Uitgangssituatie/effect beleid]])</f>
        <v>0</v>
      </c>
    </row>
    <row r="233" spans="1:12" x14ac:dyDescent="0.5">
      <c r="A233" s="42" t="str">
        <f>INDEX(Technologieën[Veld],MATCH(B233,Technologieën[Digitale zorgtoepassing],0))</f>
        <v>Sensoren - Verpleging</v>
      </c>
      <c r="B233" s="33" t="s">
        <v>36</v>
      </c>
      <c r="C233" s="33" t="s">
        <v>812</v>
      </c>
      <c r="D233" s="33">
        <v>2032</v>
      </c>
      <c r="E233" s="2">
        <v>305</v>
      </c>
      <c r="F233" s="397">
        <f>SUMIFS(uitkomst_doelgroep[Patiëntaantallen],uitkomst_doelgroep[Digitale zorgtoepassing],B233,uitkomst_doelgroep[Jaar],D233,uitkomst_doelgroep[Arbeidsbesparing (€)],"&gt;0",uitkomst_doelgroep[Uitgangssituatie/effect beleid],uitkomst_tech[[#This Row],[Uitgangssituatie/effect beleid]])</f>
        <v>43583.737754015536</v>
      </c>
      <c r="G233" s="398">
        <f>SUMIFS(uitkomst_doelgroep[Arbeidsbesparing (€)],uitkomst_doelgroep[Digitale zorgtoepassing],B233,uitkomst_doelgroep[Jaar],D233,uitkomst_doelgroep[Arbeidsbesparing (€)],"&gt;0",uitkomst_doelgroep[Uitgangssituatie/effect beleid],uitkomst_tech[[#This Row],[Uitgangssituatie/effect beleid]])</f>
        <v>150338499.97112077</v>
      </c>
      <c r="H233" s="398">
        <f>SUMIFS(uitkomst_doelgroep[Arbeidsbesparing (FTE)],uitkomst_doelgroep[Digitale zorgtoepassing],B233,uitkomst_doelgroep[Jaar],D233,uitkomst_doelgroep[Arbeidsbesparing (FTE)],"&gt;0",uitkomst_doelgroep[Uitgangssituatie/effect beleid],uitkomst_tech[[#This Row],[Uitgangssituatie/effect beleid]])</f>
        <v>3541.1997205603743</v>
      </c>
      <c r="I233" s="398">
        <f>SUMIFS(uitkomst_doelgroep[Overige besparingen (€)],uitkomst_doelgroep[Digitale zorgtoepassing],B233,uitkomst_doelgroep[Jaar],D233,uitkomst_doelgroep[Overige besparingen (€)],"&gt;0",uitkomst_doelgroep[Uitgangssituatie/effect beleid],uitkomst_tech[[#This Row],[Uitgangssituatie/effect beleid]])</f>
        <v>20680234.514350347</v>
      </c>
      <c r="J233" s="398">
        <f>SUMIFS(uitkomst_doelgroep[QALY (€)],uitkomst_doelgroep[Digitale zorgtoepassing],B233,uitkomst_doelgroep[Jaar],D233,uitkomst_doelgroep[QALY (€)],"&gt;0",uitkomst_doelgroep[Uitgangssituatie/effect beleid],uitkomst_tech[[#This Row],[Uitgangssituatie/effect beleid]])</f>
        <v>0</v>
      </c>
      <c r="K233" s="398">
        <f>SUMIFS(uitkomst_doelgroep[Kosten (€)],uitkomst_doelgroep[Digitale zorgtoepassing],B233,uitkomst_doelgroep[Jaar],D233,uitkomst_doelgroep[Kosten (€)],"&gt;0",uitkomst_doelgroep[Uitgangssituatie/effect beleid],uitkomst_tech[[#This Row],[Uitgangssituatie/effect beleid]])</f>
        <v>81850259.502041176</v>
      </c>
      <c r="L233" s="398">
        <f>SUMIFS(uitkomst_doelgroep[Investering (cash flow) (€)],uitkomst_doelgroep[Digitale zorgtoepassing],B233,uitkomst_doelgroep[Jaar],D233,uitkomst_doelgroep[Investering (cash flow) (€)],"&gt;0",uitkomst_doelgroep[Uitgangssituatie/effect beleid],uitkomst_tech[[#This Row],[Uitgangssituatie/effect beleid]])</f>
        <v>0</v>
      </c>
    </row>
    <row r="234" spans="1:12" x14ac:dyDescent="0.5">
      <c r="A234" s="42" t="str">
        <f>INDEX(Technologieën[Veld],MATCH(B234,Technologieën[Digitale zorgtoepassing],0))</f>
        <v>Sensoren - Verpleging</v>
      </c>
      <c r="B234" s="33" t="s">
        <v>36</v>
      </c>
      <c r="C234" s="33" t="s">
        <v>812</v>
      </c>
      <c r="D234" s="33">
        <v>2033</v>
      </c>
      <c r="E234" s="2">
        <v>337</v>
      </c>
      <c r="F234" s="397">
        <f>SUMIFS(uitkomst_doelgroep[Patiëntaantallen],uitkomst_doelgroep[Digitale zorgtoepassing],B234,uitkomst_doelgroep[Jaar],D234,uitkomst_doelgroep[Arbeidsbesparing (€)],"&gt;0",uitkomst_doelgroep[Uitgangssituatie/effect beleid],uitkomst_tech[[#This Row],[Uitgangssituatie/effect beleid]])</f>
        <v>47838.945559301166</v>
      </c>
      <c r="G234" s="398">
        <f>SUMIFS(uitkomst_doelgroep[Arbeidsbesparing (€)],uitkomst_doelgroep[Digitale zorgtoepassing],B234,uitkomst_doelgroep[Jaar],D234,uitkomst_doelgroep[Arbeidsbesparing (€)],"&gt;0",uitkomst_doelgroep[Uitgangssituatie/effect beleid],uitkomst_tech[[#This Row],[Uitgangssituatie/effect beleid]])</f>
        <v>165016487.48386243</v>
      </c>
      <c r="H234" s="398">
        <f>SUMIFS(uitkomst_doelgroep[Arbeidsbesparing (FTE)],uitkomst_doelgroep[Digitale zorgtoepassing],B234,uitkomst_doelgroep[Jaar],D234,uitkomst_doelgroep[Arbeidsbesparing (FTE)],"&gt;0",uitkomst_doelgroep[Uitgangssituatie/effect beleid],uitkomst_tech[[#This Row],[Uitgangssituatie/effect beleid]])</f>
        <v>3886.9374077695325</v>
      </c>
      <c r="I234" s="398">
        <f>SUMIFS(uitkomst_doelgroep[Overige besparingen (€)],uitkomst_doelgroep[Digitale zorgtoepassing],B234,uitkomst_doelgroep[Jaar],D234,uitkomst_doelgroep[Overige besparingen (€)],"&gt;0",uitkomst_doelgroep[Uitgangssituatie/effect beleid],uitkomst_tech[[#This Row],[Uitgangssituatie/effect beleid]])</f>
        <v>22699306.302485205</v>
      </c>
      <c r="J234" s="398">
        <f>SUMIFS(uitkomst_doelgroep[QALY (€)],uitkomst_doelgroep[Digitale zorgtoepassing],B234,uitkomst_doelgroep[Jaar],D234,uitkomst_doelgroep[QALY (€)],"&gt;0",uitkomst_doelgroep[Uitgangssituatie/effect beleid],uitkomst_tech[[#This Row],[Uitgangssituatie/effect beleid]])</f>
        <v>0</v>
      </c>
      <c r="K234" s="398">
        <f>SUMIFS(uitkomst_doelgroep[Kosten (€)],uitkomst_doelgroep[Digitale zorgtoepassing],B234,uitkomst_doelgroep[Jaar],D234,uitkomst_doelgroep[Kosten (€)],"&gt;0",uitkomst_doelgroep[Uitgangssituatie/effect beleid],uitkomst_tech[[#This Row],[Uitgangssituatie/effect beleid]])</f>
        <v>89841539.760367587</v>
      </c>
      <c r="L234" s="398">
        <f>SUMIFS(uitkomst_doelgroep[Investering (cash flow) (€)],uitkomst_doelgroep[Digitale zorgtoepassing],B234,uitkomst_doelgroep[Jaar],D234,uitkomst_doelgroep[Investering (cash flow) (€)],"&gt;0",uitkomst_doelgroep[Uitgangssituatie/effect beleid],uitkomst_tech[[#This Row],[Uitgangssituatie/effect beleid]])</f>
        <v>0</v>
      </c>
    </row>
    <row r="235" spans="1:12" x14ac:dyDescent="0.5">
      <c r="A235" s="42" t="str">
        <f>INDEX(Technologieën[Veld],MATCH(B235,Technologieën[Digitale zorgtoepassing],0))</f>
        <v>Digitale hulpmiddelen - Verpleging</v>
      </c>
      <c r="B235" s="41" t="s">
        <v>26</v>
      </c>
      <c r="C235" s="33" t="s">
        <v>812</v>
      </c>
      <c r="D235" s="33">
        <v>2023</v>
      </c>
      <c r="E235" s="2">
        <v>7</v>
      </c>
      <c r="F235" s="397">
        <f>SUMIFS(uitkomst_doelgroep[Patiëntaantallen],uitkomst_doelgroep[Digitale zorgtoepassing],B235,uitkomst_doelgroep[Jaar],D235,uitkomst_doelgroep[Arbeidsbesparing (€)],"&gt;0",uitkomst_doelgroep[Uitgangssituatie/effect beleid],uitkomst_tech[[#This Row],[Uitgangssituatie/effect beleid]])</f>
        <v>51885.479999999996</v>
      </c>
      <c r="G235" s="398">
        <f>SUMIFS(uitkomst_doelgroep[Arbeidsbesparing (€)],uitkomst_doelgroep[Digitale zorgtoepassing],B235,uitkomst_doelgroep[Jaar],D235,uitkomst_doelgroep[Arbeidsbesparing (€)],"&gt;0",uitkomst_doelgroep[Uitgangssituatie/effect beleid],uitkomst_tech[[#This Row],[Uitgangssituatie/effect beleid]])</f>
        <v>229009110.91197327</v>
      </c>
      <c r="H235" s="398">
        <f>SUMIFS(uitkomst_doelgroep[Arbeidsbesparing (FTE)],uitkomst_doelgroep[Digitale zorgtoepassing],B235,uitkomst_doelgroep[Jaar],D235,uitkomst_doelgroep[Arbeidsbesparing (FTE)],"&gt;0",uitkomst_doelgroep[Uitgangssituatie/effect beleid],uitkomst_tech[[#This Row],[Uitgangssituatie/effect beleid]])</f>
        <v>4345.0091474999999</v>
      </c>
      <c r="I235" s="398">
        <f>SUMIFS(uitkomst_doelgroep[Overige besparingen (€)],uitkomst_doelgroep[Digitale zorgtoepassing],B235,uitkomst_doelgroep[Jaar],D235,uitkomst_doelgroep[Overige besparingen (€)],"&gt;0",uitkomst_doelgroep[Uitgangssituatie/effect beleid],uitkomst_tech[[#This Row],[Uitgangssituatie/effect beleid]])</f>
        <v>112795532.24022564</v>
      </c>
      <c r="J235" s="398">
        <f>SUMIFS(uitkomst_doelgroep[QALY (€)],uitkomst_doelgroep[Digitale zorgtoepassing],B235,uitkomst_doelgroep[Jaar],D235,uitkomst_doelgroep[QALY (€)],"&gt;0",uitkomst_doelgroep[Uitgangssituatie/effect beleid],uitkomst_tech[[#This Row],[Uitgangssituatie/effect beleid]])</f>
        <v>0</v>
      </c>
      <c r="K235" s="398">
        <f>SUMIFS(uitkomst_doelgroep[Kosten (€)],uitkomst_doelgroep[Digitale zorgtoepassing],B235,uitkomst_doelgroep[Jaar],D235,uitkomst_doelgroep[Kosten (€)],"&gt;0",uitkomst_doelgroep[Uitgangssituatie/effect beleid],uitkomst_tech[[#This Row],[Uitgangssituatie/effect beleid]])</f>
        <v>54973635.021146409</v>
      </c>
      <c r="L235" s="398">
        <f>SUMIFS(uitkomst_doelgroep[Investering (cash flow) (€)],uitkomst_doelgroep[Digitale zorgtoepassing],B235,uitkomst_doelgroep[Jaar],D235,uitkomst_doelgroep[Investering (cash flow) (€)],"&gt;0",uitkomst_doelgroep[Uitgangssituatie/effect beleid],uitkomst_tech[[#This Row],[Uitgangssituatie/effect beleid]])</f>
        <v>1144458.6490205217</v>
      </c>
    </row>
    <row r="236" spans="1:12" x14ac:dyDescent="0.5">
      <c r="A236" s="42" t="str">
        <f>INDEX(Technologieën[Veld],MATCH(B236,Technologieën[Digitale zorgtoepassing],0))</f>
        <v>Digitale hulpmiddelen - Verpleging</v>
      </c>
      <c r="B236" s="41" t="s">
        <v>26</v>
      </c>
      <c r="C236" s="33" t="s">
        <v>812</v>
      </c>
      <c r="D236" s="33">
        <v>2024</v>
      </c>
      <c r="E236" s="2">
        <v>39</v>
      </c>
      <c r="F236" s="397">
        <f>SUMIFS(uitkomst_doelgroep[Patiëntaantallen],uitkomst_doelgroep[Digitale zorgtoepassing],B236,uitkomst_doelgroep[Jaar],D236,uitkomst_doelgroep[Arbeidsbesparing (€)],"&gt;0",uitkomst_doelgroep[Uitgangssituatie/effect beleid],uitkomst_tech[[#This Row],[Uitgangssituatie/effect beleid]])</f>
        <v>65894.559600000008</v>
      </c>
      <c r="G236" s="398">
        <f>SUMIFS(uitkomst_doelgroep[Arbeidsbesparing (€)],uitkomst_doelgroep[Digitale zorgtoepassing],B236,uitkomst_doelgroep[Jaar],D236,uitkomst_doelgroep[Arbeidsbesparing (€)],"&gt;0",uitkomst_doelgroep[Uitgangssituatie/effect beleid],uitkomst_tech[[#This Row],[Uitgangssituatie/effect beleid]])</f>
        <v>290841570.85820603</v>
      </c>
      <c r="H236" s="398">
        <f>SUMIFS(uitkomst_doelgroep[Arbeidsbesparing (FTE)],uitkomst_doelgroep[Digitale zorgtoepassing],B236,uitkomst_doelgroep[Jaar],D236,uitkomst_doelgroep[Arbeidsbesparing (FTE)],"&gt;0",uitkomst_doelgroep[Uitgangssituatie/effect beleid],uitkomst_tech[[#This Row],[Uitgangssituatie/effect beleid]])</f>
        <v>5518.1616173250004</v>
      </c>
      <c r="I236" s="398">
        <f>SUMIFS(uitkomst_doelgroep[Overige besparingen (€)],uitkomst_doelgroep[Digitale zorgtoepassing],B236,uitkomst_doelgroep[Jaar],D236,uitkomst_doelgroep[Overige besparingen (€)],"&gt;0",uitkomst_doelgroep[Uitgangssituatie/effect beleid],uitkomst_tech[[#This Row],[Uitgangssituatie/effect beleid]])</f>
        <v>143250325.94508657</v>
      </c>
      <c r="J236" s="398">
        <f>SUMIFS(uitkomst_doelgroep[QALY (€)],uitkomst_doelgroep[Digitale zorgtoepassing],B236,uitkomst_doelgroep[Jaar],D236,uitkomst_doelgroep[QALY (€)],"&gt;0",uitkomst_doelgroep[Uitgangssituatie/effect beleid],uitkomst_tech[[#This Row],[Uitgangssituatie/effect beleid]])</f>
        <v>0</v>
      </c>
      <c r="K236" s="398">
        <f>SUMIFS(uitkomst_doelgroep[Kosten (€)],uitkomst_doelgroep[Digitale zorgtoepassing],B236,uitkomst_doelgroep[Jaar],D236,uitkomst_doelgroep[Kosten (€)],"&gt;0",uitkomst_doelgroep[Uitgangssituatie/effect beleid],uitkomst_tech[[#This Row],[Uitgangssituatie/effect beleid]])</f>
        <v>69816516.476855934</v>
      </c>
      <c r="L236" s="398">
        <f>SUMIFS(uitkomst_doelgroep[Investering (cash flow) (€)],uitkomst_doelgroep[Digitale zorgtoepassing],B236,uitkomst_doelgroep[Jaar],D236,uitkomst_doelgroep[Investering (cash flow) (€)],"&gt;0",uitkomst_doelgroep[Uitgangssituatie/effect beleid],uitkomst_tech[[#This Row],[Uitgangssituatie/effect beleid]])</f>
        <v>1163685.5543240663</v>
      </c>
    </row>
    <row r="237" spans="1:12" x14ac:dyDescent="0.5">
      <c r="A237" s="42" t="str">
        <f>INDEX(Technologieën[Veld],MATCH(B237,Technologieën[Digitale zorgtoepassing],0))</f>
        <v>Digitale hulpmiddelen - Verpleging</v>
      </c>
      <c r="B237" s="41" t="s">
        <v>26</v>
      </c>
      <c r="C237" s="33" t="s">
        <v>812</v>
      </c>
      <c r="D237" s="33">
        <v>2025</v>
      </c>
      <c r="E237" s="2">
        <v>71</v>
      </c>
      <c r="F237" s="397">
        <f>SUMIFS(uitkomst_doelgroep[Patiëntaantallen],uitkomst_doelgroep[Digitale zorgtoepassing],B237,uitkomst_doelgroep[Jaar],D237,uitkomst_doelgroep[Arbeidsbesparing (€)],"&gt;0",uitkomst_doelgroep[Uitgangssituatie/effect beleid],uitkomst_tech[[#This Row],[Uitgangssituatie/effect beleid]])</f>
        <v>80138.991737280012</v>
      </c>
      <c r="G237" s="398">
        <f>SUMIFS(uitkomst_doelgroep[Arbeidsbesparing (€)],uitkomst_doelgroep[Digitale zorgtoepassing],B237,uitkomst_doelgroep[Jaar],D237,uitkomst_doelgroep[Arbeidsbesparing (€)],"&gt;0",uitkomst_doelgroep[Uitgangssituatie/effect beleid],uitkomst_tech[[#This Row],[Uitgangssituatie/effect beleid]])</f>
        <v>353712816.13153553</v>
      </c>
      <c r="H237" s="398">
        <f>SUMIFS(uitkomst_doelgroep[Arbeidsbesparing (FTE)],uitkomst_doelgroep[Digitale zorgtoepassing],B237,uitkomst_doelgroep[Jaar],D237,uitkomst_doelgroep[Arbeidsbesparing (FTE)],"&gt;0",uitkomst_doelgroep[Uitgangssituatie/effect beleid],uitkomst_tech[[#This Row],[Uitgangssituatie/effect beleid]])</f>
        <v>6711.0230486430592</v>
      </c>
      <c r="I237" s="398">
        <f>SUMIFS(uitkomst_doelgroep[Overige besparingen (€)],uitkomst_doelgroep[Digitale zorgtoepassing],B237,uitkomst_doelgroep[Jaar],D237,uitkomst_doelgroep[Overige besparingen (€)],"&gt;0",uitkomst_doelgroep[Uitgangssituatie/effect beleid],uitkomst_tech[[#This Row],[Uitgangssituatie/effect beleid]])</f>
        <v>174216760.18418914</v>
      </c>
      <c r="J237" s="398">
        <f>SUMIFS(uitkomst_doelgroep[QALY (€)],uitkomst_doelgroep[Digitale zorgtoepassing],B237,uitkomst_doelgroep[Jaar],D237,uitkomst_doelgroep[QALY (€)],"&gt;0",uitkomst_doelgroep[Uitgangssituatie/effect beleid],uitkomst_tech[[#This Row],[Uitgangssituatie/effect beleid]])</f>
        <v>0</v>
      </c>
      <c r="K237" s="398">
        <f>SUMIFS(uitkomst_doelgroep[Kosten (€)],uitkomst_doelgroep[Digitale zorgtoepassing],B237,uitkomst_doelgroep[Jaar],D237,uitkomst_doelgroep[Kosten (€)],"&gt;0",uitkomst_doelgroep[Uitgangssituatie/effect beleid],uitkomst_tech[[#This Row],[Uitgangssituatie/effect beleid]])</f>
        <v>84908758.341021389</v>
      </c>
      <c r="L237" s="398">
        <f>SUMIFS(uitkomst_doelgroep[Investering (cash flow) (€)],uitkomst_doelgroep[Digitale zorgtoepassing],B237,uitkomst_doelgroep[Jaar],D237,uitkomst_doelgroep[Investering (cash flow) (€)],"&gt;0",uitkomst_doelgroep[Uitgangssituatie/effect beleid],uitkomst_tech[[#This Row],[Uitgangssituatie/effect beleid]])</f>
        <v>1081848.4833152052</v>
      </c>
    </row>
    <row r="238" spans="1:12" x14ac:dyDescent="0.5">
      <c r="A238" s="42" t="str">
        <f>INDEX(Technologieën[Veld],MATCH(B238,Technologieën[Digitale zorgtoepassing],0))</f>
        <v>Digitale hulpmiddelen - Verpleging</v>
      </c>
      <c r="B238" s="41" t="s">
        <v>26</v>
      </c>
      <c r="C238" s="33" t="s">
        <v>812</v>
      </c>
      <c r="D238" s="33">
        <v>2026</v>
      </c>
      <c r="E238" s="2">
        <v>103</v>
      </c>
      <c r="F238" s="397">
        <f>SUMIFS(uitkomst_doelgroep[Patiëntaantallen],uitkomst_doelgroep[Digitale zorgtoepassing],B238,uitkomst_doelgroep[Jaar],D238,uitkomst_doelgroep[Arbeidsbesparing (€)],"&gt;0",uitkomst_doelgroep[Uitgangssituatie/effect beleid],uitkomst_tech[[#This Row],[Uitgangssituatie/effect beleid]])</f>
        <v>93541.869758737361</v>
      </c>
      <c r="G238" s="398">
        <f>SUMIFS(uitkomst_doelgroep[Arbeidsbesparing (€)],uitkomst_doelgroep[Digitale zorgtoepassing],B238,uitkomst_doelgroep[Jaar],D238,uitkomst_doelgroep[Arbeidsbesparing (€)],"&gt;0",uitkomst_doelgroep[Uitgangssituatie/effect beleid],uitkomst_tech[[#This Row],[Uitgangssituatie/effect beleid]])</f>
        <v>412869658.84274447</v>
      </c>
      <c r="H238" s="398">
        <f>SUMIFS(uitkomst_doelgroep[Arbeidsbesparing (FTE)],uitkomst_doelgroep[Digitale zorgtoepassing],B238,uitkomst_doelgroep[Jaar],D238,uitkomst_doelgroep[Arbeidsbesparing (FTE)],"&gt;0",uitkomst_doelgroep[Uitgangssituatie/effect beleid],uitkomst_tech[[#This Row],[Uitgangssituatie/effect beleid]])</f>
        <v>7833.4108073389216</v>
      </c>
      <c r="I238" s="398">
        <f>SUMIFS(uitkomst_doelgroep[Overige besparingen (€)],uitkomst_doelgroep[Digitale zorgtoepassing],B238,uitkomst_doelgroep[Jaar],D238,uitkomst_doelgroep[Overige besparingen (€)],"&gt;0",uitkomst_doelgroep[Uitgangssituatie/effect beleid],uitkomst_tech[[#This Row],[Uitgangssituatie/effect beleid]])</f>
        <v>203353712.56433684</v>
      </c>
      <c r="J238" s="398">
        <f>SUMIFS(uitkomst_doelgroep[QALY (€)],uitkomst_doelgroep[Digitale zorgtoepassing],B238,uitkomst_doelgroep[Jaar],D238,uitkomst_doelgroep[QALY (€)],"&gt;0",uitkomst_doelgroep[Uitgangssituatie/effect beleid],uitkomst_tech[[#This Row],[Uitgangssituatie/effect beleid]])</f>
        <v>0</v>
      </c>
      <c r="K238" s="398">
        <f>SUMIFS(uitkomst_doelgroep[Kosten (€)],uitkomst_doelgroep[Digitale zorgtoepassing],B238,uitkomst_doelgroep[Jaar],D238,uitkomst_doelgroep[Kosten (€)],"&gt;0",uitkomst_doelgroep[Uitgangssituatie/effect beleid],uitkomst_tech[[#This Row],[Uitgangssituatie/effect beleid]])</f>
        <v>99109390.18619892</v>
      </c>
      <c r="L238" s="398">
        <f>SUMIFS(uitkomst_doelgroep[Investering (cash flow) (€)],uitkomst_doelgroep[Digitale zorgtoepassing],B238,uitkomst_doelgroep[Jaar],D238,uitkomst_doelgroep[Investering (cash flow) (€)],"&gt;0",uitkomst_doelgroep[Uitgangssituatie/effect beleid],uitkomst_tech[[#This Row],[Uitgangssituatie/effect beleid]])</f>
        <v>914066.58447713777</v>
      </c>
    </row>
    <row r="239" spans="1:12" x14ac:dyDescent="0.5">
      <c r="A239" s="42" t="str">
        <f>INDEX(Technologieën[Veld],MATCH(B239,Technologieën[Digitale zorgtoepassing],0))</f>
        <v>Digitale hulpmiddelen - Verpleging</v>
      </c>
      <c r="B239" s="41" t="s">
        <v>26</v>
      </c>
      <c r="C239" s="33" t="s">
        <v>812</v>
      </c>
      <c r="D239" s="33">
        <v>2027</v>
      </c>
      <c r="E239" s="2">
        <v>135</v>
      </c>
      <c r="F239" s="397">
        <f>SUMIFS(uitkomst_doelgroep[Patiëntaantallen],uitkomst_doelgroep[Digitale zorgtoepassing],B239,uitkomst_doelgroep[Jaar],D239,uitkomst_doelgroep[Arbeidsbesparing (€)],"&gt;0",uitkomst_doelgroep[Uitgangssituatie/effect beleid],uitkomst_tech[[#This Row],[Uitgangssituatie/effect beleid]])</f>
        <v>104950.55761494869</v>
      </c>
      <c r="G239" s="398">
        <f>SUMIFS(uitkomst_doelgroep[Arbeidsbesparing (€)],uitkomst_doelgroep[Digitale zorgtoepassing],B239,uitkomst_doelgroep[Jaar],D239,uitkomst_doelgroep[Arbeidsbesparing (€)],"&gt;0",uitkomst_doelgroep[Uitgangssituatie/effect beleid],uitkomst_tech[[#This Row],[Uitgangssituatie/effect beleid]])</f>
        <v>463224661.10201204</v>
      </c>
      <c r="H239" s="398">
        <f>SUMIFS(uitkomst_doelgroep[Arbeidsbesparing (FTE)],uitkomst_doelgroep[Digitale zorgtoepassing],B239,uitkomst_doelgroep[Jaar],D239,uitkomst_doelgroep[Arbeidsbesparing (FTE)],"&gt;0",uitkomst_doelgroep[Uitgangssituatie/effect beleid],uitkomst_tech[[#This Row],[Uitgangssituatie/effect beleid]])</f>
        <v>8788.8005058867693</v>
      </c>
      <c r="I239" s="398">
        <f>SUMIFS(uitkomst_doelgroep[Overige besparingen (€)],uitkomst_doelgroep[Digitale zorgtoepassing],B239,uitkomst_doelgroep[Jaar],D239,uitkomst_doelgroep[Overige besparingen (€)],"&gt;0",uitkomst_doelgroep[Uitgangssituatie/effect beleid],uitkomst_tech[[#This Row],[Uitgangssituatie/effect beleid]])</f>
        <v>228155430.09502086</v>
      </c>
      <c r="J239" s="398">
        <f>SUMIFS(uitkomst_doelgroep[QALY (€)],uitkomst_doelgroep[Digitale zorgtoepassing],B239,uitkomst_doelgroep[Jaar],D239,uitkomst_doelgroep[QALY (€)],"&gt;0",uitkomst_doelgroep[Uitgangssituatie/effect beleid],uitkomst_tech[[#This Row],[Uitgangssituatie/effect beleid]])</f>
        <v>0</v>
      </c>
      <c r="K239" s="398">
        <f>SUMIFS(uitkomst_doelgroep[Kosten (€)],uitkomst_doelgroep[Digitale zorgtoepassing],B239,uitkomst_doelgroep[Jaar],D239,uitkomst_doelgroep[Kosten (€)],"&gt;0",uitkomst_doelgroep[Uitgangssituatie/effect beleid],uitkomst_tech[[#This Row],[Uitgangssituatie/effect beleid]])</f>
        <v>111197152.31898592</v>
      </c>
      <c r="L239" s="398">
        <f>SUMIFS(uitkomst_doelgroep[Investering (cash flow) (€)],uitkomst_doelgroep[Digitale zorgtoepassing],B239,uitkomst_doelgroep[Jaar],D239,uitkomst_doelgroep[Investering (cash flow) (€)],"&gt;0",uitkomst_doelgroep[Uitgangssituatie/effect beleid],uitkomst_tech[[#This Row],[Uitgangssituatie/effect beleid]])</f>
        <v>703439.88337472687</v>
      </c>
    </row>
    <row r="240" spans="1:12" x14ac:dyDescent="0.5">
      <c r="A240" s="42" t="str">
        <f>INDEX(Technologieën[Veld],MATCH(B240,Technologieën[Digitale zorgtoepassing],0))</f>
        <v>Digitale hulpmiddelen - Verpleging</v>
      </c>
      <c r="B240" s="41" t="s">
        <v>26</v>
      </c>
      <c r="C240" s="33" t="s">
        <v>812</v>
      </c>
      <c r="D240" s="33">
        <v>2028</v>
      </c>
      <c r="E240" s="2">
        <v>167</v>
      </c>
      <c r="F240" s="397">
        <f>SUMIFS(uitkomst_doelgroep[Patiëntaantallen],uitkomst_doelgroep[Digitale zorgtoepassing],B240,uitkomst_doelgroep[Jaar],D240,uitkomst_doelgroep[Arbeidsbesparing (€)],"&gt;0",uitkomst_doelgroep[Uitgangssituatie/effect beleid],uitkomst_tech[[#This Row],[Uitgangssituatie/effect beleid]])</f>
        <v>113858.59891220411</v>
      </c>
      <c r="G240" s="398">
        <f>SUMIFS(uitkomst_doelgroep[Arbeidsbesparing (€)],uitkomst_doelgroep[Digitale zorgtoepassing],B240,uitkomst_doelgroep[Jaar],D240,uitkomst_doelgroep[Arbeidsbesparing (€)],"&gt;0",uitkomst_doelgroep[Uitgangssituatie/effect beleid],uitkomst_tech[[#This Row],[Uitgangssituatie/effect beleid]])</f>
        <v>502542455.1640811</v>
      </c>
      <c r="H240" s="398">
        <f>SUMIFS(uitkomst_doelgroep[Arbeidsbesparing (FTE)],uitkomst_doelgroep[Digitale zorgtoepassing],B240,uitkomst_doelgroep[Jaar],D240,uitkomst_doelgroep[Arbeidsbesparing (FTE)],"&gt;0",uitkomst_doelgroep[Uitgangssituatie/effect beleid],uitkomst_tech[[#This Row],[Uitgangssituatie/effect beleid]])</f>
        <v>9534.7803238027354</v>
      </c>
      <c r="I240" s="398">
        <f>SUMIFS(uitkomst_doelgroep[Overige besparingen (€)],uitkomst_doelgroep[Digitale zorgtoepassing],B240,uitkomst_doelgroep[Jaar],D240,uitkomst_doelgroep[Overige besparingen (€)],"&gt;0",uitkomst_doelgroep[Uitgangssituatie/effect beleid],uitkomst_tech[[#This Row],[Uitgangssituatie/effect beleid]])</f>
        <v>247520910.75245786</v>
      </c>
      <c r="J240" s="398">
        <f>SUMIFS(uitkomst_doelgroep[QALY (€)],uitkomst_doelgroep[Digitale zorgtoepassing],B240,uitkomst_doelgroep[Jaar],D240,uitkomst_doelgroep[QALY (€)],"&gt;0",uitkomst_doelgroep[Uitgangssituatie/effect beleid],uitkomst_tech[[#This Row],[Uitgangssituatie/effect beleid]])</f>
        <v>0</v>
      </c>
      <c r="K240" s="398">
        <f>SUMIFS(uitkomst_doelgroep[Kosten (€)],uitkomst_doelgroep[Digitale zorgtoepassing],B240,uitkomst_doelgroep[Jaar],D240,uitkomst_doelgroep[Kosten (€)],"&gt;0",uitkomst_doelgroep[Uitgangssituatie/effect beleid],uitkomst_tech[[#This Row],[Uitgangssituatie/effect beleid]])</f>
        <v>120635448.3591074</v>
      </c>
      <c r="L240" s="398">
        <f>SUMIFS(uitkomst_doelgroep[Investering (cash flow) (€)],uitkomst_doelgroep[Digitale zorgtoepassing],B240,uitkomst_doelgroep[Jaar],D240,uitkomst_doelgroep[Investering (cash flow) (€)],"&gt;0",uitkomst_doelgroep[Uitgangssituatie/effect beleid],uitkomst_tech[[#This Row],[Uitgangssituatie/effect beleid]])</f>
        <v>498398.15413644363</v>
      </c>
    </row>
    <row r="241" spans="1:12" x14ac:dyDescent="0.5">
      <c r="A241" s="42" t="str">
        <f>INDEX(Technologieën[Veld],MATCH(B241,Technologieën[Digitale zorgtoepassing],0))</f>
        <v>Digitale hulpmiddelen - Verpleging</v>
      </c>
      <c r="B241" s="41" t="s">
        <v>26</v>
      </c>
      <c r="C241" s="33" t="s">
        <v>812</v>
      </c>
      <c r="D241" s="33">
        <v>2029</v>
      </c>
      <c r="E241" s="2">
        <v>199</v>
      </c>
      <c r="F241" s="397">
        <f>SUMIFS(uitkomst_doelgroep[Patiëntaantallen],uitkomst_doelgroep[Digitale zorgtoepassing],B241,uitkomst_doelgroep[Jaar],D241,uitkomst_doelgroep[Arbeidsbesparing (€)],"&gt;0",uitkomst_doelgroep[Uitgangssituatie/effect beleid],uitkomst_tech[[#This Row],[Uitgangssituatie/effect beleid]])</f>
        <v>120354.06921332062</v>
      </c>
      <c r="G241" s="398">
        <f>SUMIFS(uitkomst_doelgroep[Arbeidsbesparing (€)],uitkomst_doelgroep[Digitale zorgtoepassing],B241,uitkomst_doelgroep[Jaar],D241,uitkomst_doelgroep[Arbeidsbesparing (€)],"&gt;0",uitkomst_doelgroep[Uitgangssituatie/effect beleid],uitkomst_tech[[#This Row],[Uitgangssituatie/effect beleid]])</f>
        <v>531211783.82045698</v>
      </c>
      <c r="H241" s="398">
        <f>SUMIFS(uitkomst_doelgroep[Arbeidsbesparing (FTE)],uitkomst_doelgroep[Digitale zorgtoepassing],B241,uitkomst_doelgroep[Jaar],D241,uitkomst_doelgroep[Arbeidsbesparing (FTE)],"&gt;0",uitkomst_doelgroep[Uitgangssituatie/effect beleid],uitkomst_tech[[#This Row],[Uitgangssituatie/effect beleid]])</f>
        <v>10078.725910808307</v>
      </c>
      <c r="I241" s="398">
        <f>SUMIFS(uitkomst_doelgroep[Overige besparingen (€)],uitkomst_doelgroep[Digitale zorgtoepassing],B241,uitkomst_doelgroep[Jaar],D241,uitkomst_doelgroep[Overige besparingen (€)],"&gt;0",uitkomst_doelgroep[Uitgangssituatie/effect beleid],uitkomst_tech[[#This Row],[Uitgangssituatie/effect beleid]])</f>
        <v>261641624.86679229</v>
      </c>
      <c r="J241" s="398">
        <f>SUMIFS(uitkomst_doelgroep[QALY (€)],uitkomst_doelgroep[Digitale zorgtoepassing],B241,uitkomst_doelgroep[Jaar],D241,uitkomst_doelgroep[QALY (€)],"&gt;0",uitkomst_doelgroep[Uitgangssituatie/effect beleid],uitkomst_tech[[#This Row],[Uitgangssituatie/effect beleid]])</f>
        <v>0</v>
      </c>
      <c r="K241" s="398">
        <f>SUMIFS(uitkomst_doelgroep[Kosten (€)],uitkomst_doelgroep[Digitale zorgtoepassing],B241,uitkomst_doelgroep[Jaar],D241,uitkomst_doelgroep[Kosten (€)],"&gt;0",uitkomst_doelgroep[Uitgangssituatie/effect beleid],uitkomst_tech[[#This Row],[Uitgangssituatie/effect beleid]])</f>
        <v>127517599.98235315</v>
      </c>
      <c r="L241" s="398">
        <f>SUMIFS(uitkomst_doelgroep[Investering (cash flow) (€)],uitkomst_doelgroep[Digitale zorgtoepassing],B241,uitkomst_doelgroep[Jaar],D241,uitkomst_doelgroep[Investering (cash flow) (€)],"&gt;0",uitkomst_doelgroep[Uitgangssituatie/effect beleid],uitkomst_tech[[#This Row],[Uitgangssituatie/effect beleid]])</f>
        <v>330512.59989317192</v>
      </c>
    </row>
    <row r="242" spans="1:12" x14ac:dyDescent="0.5">
      <c r="A242" s="42" t="str">
        <f>INDEX(Technologieën[Veld],MATCH(B242,Technologieën[Digitale zorgtoepassing],0))</f>
        <v>Digitale hulpmiddelen - Verpleging</v>
      </c>
      <c r="B242" s="41" t="s">
        <v>26</v>
      </c>
      <c r="C242" s="33" t="s">
        <v>812</v>
      </c>
      <c r="D242" s="33">
        <v>2030</v>
      </c>
      <c r="E242" s="2">
        <v>231</v>
      </c>
      <c r="F242" s="397">
        <f>SUMIFS(uitkomst_doelgroep[Patiëntaantallen],uitkomst_doelgroep[Digitale zorgtoepassing],B242,uitkomst_doelgroep[Jaar],D242,uitkomst_doelgroep[Arbeidsbesparing (€)],"&gt;0",uitkomst_doelgroep[Uitgangssituatie/effect beleid],uitkomst_tech[[#This Row],[Uitgangssituatie/effect beleid]])</f>
        <v>124909.98595244292</v>
      </c>
      <c r="G242" s="398">
        <f>SUMIFS(uitkomst_doelgroep[Arbeidsbesparing (€)],uitkomst_doelgroep[Digitale zorgtoepassing],B242,uitkomst_doelgroep[Jaar],D242,uitkomst_doelgroep[Arbeidsbesparing (€)],"&gt;0",uitkomst_doelgroep[Uitgangssituatie/effect beleid],uitkomst_tech[[#This Row],[Uitgangssituatie/effect beleid]])</f>
        <v>551320423.88344526</v>
      </c>
      <c r="H242" s="398">
        <f>SUMIFS(uitkomst_doelgroep[Arbeidsbesparing (FTE)],uitkomst_doelgroep[Digitale zorgtoepassing],B242,uitkomst_doelgroep[Jaar],D242,uitkomst_doelgroep[Arbeidsbesparing (FTE)],"&gt;0",uitkomst_doelgroep[Uitgangssituatie/effect beleid],uitkomst_tech[[#This Row],[Uitgangssituatie/effect beleid]])</f>
        <v>10460.248832186981</v>
      </c>
      <c r="I242" s="398">
        <f>SUMIFS(uitkomst_doelgroep[Overige besparingen (€)],uitkomst_doelgroep[Digitale zorgtoepassing],B242,uitkomst_doelgroep[Jaar],D242,uitkomst_doelgroep[Overige besparingen (€)],"&gt;0",uitkomst_doelgroep[Uitgangssituatie/effect beleid],uitkomst_tech[[#This Row],[Uitgangssituatie/effect beleid]])</f>
        <v>271545880.4202044</v>
      </c>
      <c r="J242" s="398">
        <f>SUMIFS(uitkomst_doelgroep[QALY (€)],uitkomst_doelgroep[Digitale zorgtoepassing],B242,uitkomst_doelgroep[Jaar],D242,uitkomst_doelgroep[QALY (€)],"&gt;0",uitkomst_doelgroep[Uitgangssituatie/effect beleid],uitkomst_tech[[#This Row],[Uitgangssituatie/effect beleid]])</f>
        <v>0</v>
      </c>
      <c r="K242" s="398">
        <f>SUMIFS(uitkomst_doelgroep[Kosten (€)],uitkomst_doelgroep[Digitale zorgtoepassing],B242,uitkomst_doelgroep[Jaar],D242,uitkomst_doelgroep[Kosten (€)],"&gt;0",uitkomst_doelgroep[Uitgangssituatie/effect beleid],uitkomst_tech[[#This Row],[Uitgangssituatie/effect beleid]])</f>
        <v>132344781.66074246</v>
      </c>
      <c r="L242" s="398">
        <f>SUMIFS(uitkomst_doelgroep[Investering (cash flow) (€)],uitkomst_doelgroep[Digitale zorgtoepassing],B242,uitkomst_doelgroep[Jaar],D242,uitkomst_doelgroep[Investering (cash flow) (€)],"&gt;0",uitkomst_doelgroep[Uitgangssituatie/effect beleid],uitkomst_tech[[#This Row],[Uitgangssituatie/effect beleid]])</f>
        <v>208837.93805880781</v>
      </c>
    </row>
    <row r="243" spans="1:12" x14ac:dyDescent="0.5">
      <c r="A243" s="42" t="str">
        <f>INDEX(Technologieën[Veld],MATCH(B243,Technologieën[Digitale zorgtoepassing],0))</f>
        <v>Digitale hulpmiddelen - Verpleging</v>
      </c>
      <c r="B243" s="41" t="s">
        <v>26</v>
      </c>
      <c r="C243" s="33" t="s">
        <v>812</v>
      </c>
      <c r="D243" s="33">
        <v>2031</v>
      </c>
      <c r="E243" s="2">
        <v>263</v>
      </c>
      <c r="F243" s="397">
        <f>SUMIFS(uitkomst_doelgroep[Patiëntaantallen],uitkomst_doelgroep[Digitale zorgtoepassing],B243,uitkomst_doelgroep[Jaar],D243,uitkomst_doelgroep[Arbeidsbesparing (€)],"&gt;0",uitkomst_doelgroep[Uitgangssituatie/effect beleid],uitkomst_tech[[#This Row],[Uitgangssituatie/effect beleid]])</f>
        <v>128102.7521917664</v>
      </c>
      <c r="G243" s="398">
        <f>SUMIFS(uitkomst_doelgroep[Arbeidsbesparing (€)],uitkomst_doelgroep[Digitale zorgtoepassing],B243,uitkomst_doelgroep[Jaar],D243,uitkomst_doelgroep[Arbeidsbesparing (€)],"&gt;0",uitkomst_doelgroep[Uitgangssituatie/effect beleid],uitkomst_tech[[#This Row],[Uitgangssituatie/effect beleid]])</f>
        <v>565412469.63145089</v>
      </c>
      <c r="H243" s="398">
        <f>SUMIFS(uitkomst_doelgroep[Arbeidsbesparing (FTE)],uitkomst_doelgroep[Digitale zorgtoepassing],B243,uitkomst_doelgroep[Jaar],D243,uitkomst_doelgroep[Arbeidsbesparing (FTE)],"&gt;0",uitkomst_doelgroep[Uitgangssituatie/effect beleid],uitkomst_tech[[#This Row],[Uitgangssituatie/effect beleid]])</f>
        <v>10727.618402935668</v>
      </c>
      <c r="I243" s="398">
        <f>SUMIFS(uitkomst_doelgroep[Overige besparingen (€)],uitkomst_doelgroep[Digitale zorgtoepassing],B243,uitkomst_doelgroep[Jaar],D243,uitkomst_doelgroep[Overige besparingen (€)],"&gt;0",uitkomst_doelgroep[Uitgangssituatie/effect beleid],uitkomst_tech[[#This Row],[Uitgangssituatie/effect beleid]])</f>
        <v>278486738.7736997</v>
      </c>
      <c r="J243" s="398">
        <f>SUMIFS(uitkomst_doelgroep[QALY (€)],uitkomst_doelgroep[Digitale zorgtoepassing],B243,uitkomst_doelgroep[Jaar],D243,uitkomst_doelgroep[QALY (€)],"&gt;0",uitkomst_doelgroep[Uitgangssituatie/effect beleid],uitkomst_tech[[#This Row],[Uitgangssituatie/effect beleid]])</f>
        <v>0</v>
      </c>
      <c r="K243" s="398">
        <f>SUMIFS(uitkomst_doelgroep[Kosten (€)],uitkomst_doelgroep[Digitale zorgtoepassing],B243,uitkomst_doelgroep[Jaar],D243,uitkomst_doelgroep[Kosten (€)],"&gt;0",uitkomst_doelgroep[Uitgangssituatie/effect beleid],uitkomst_tech[[#This Row],[Uitgangssituatie/effect beleid]])</f>
        <v>135727705.36836034</v>
      </c>
      <c r="L243" s="398">
        <f>SUMIFS(uitkomst_doelgroep[Investering (cash flow) (€)],uitkomst_doelgroep[Digitale zorgtoepassing],B243,uitkomst_doelgroep[Jaar],D243,uitkomst_doelgroep[Investering (cash flow) (€)],"&gt;0",uitkomst_doelgroep[Uitgangssituatie/effect beleid],uitkomst_tech[[#This Row],[Uitgangssituatie/effect beleid]])</f>
        <v>127704.78033003723</v>
      </c>
    </row>
    <row r="244" spans="1:12" x14ac:dyDescent="0.5">
      <c r="A244" s="42" t="str">
        <f>INDEX(Technologieën[Veld],MATCH(B244,Technologieën[Digitale zorgtoepassing],0))</f>
        <v>Digitale hulpmiddelen - Verpleging</v>
      </c>
      <c r="B244" s="41" t="s">
        <v>26</v>
      </c>
      <c r="C244" s="33" t="s">
        <v>812</v>
      </c>
      <c r="D244" s="33">
        <v>2032</v>
      </c>
      <c r="E244" s="2">
        <v>295</v>
      </c>
      <c r="F244" s="397">
        <f>SUMIFS(uitkomst_doelgroep[Patiëntaantallen],uitkomst_doelgroep[Digitale zorgtoepassing],B244,uitkomst_doelgroep[Jaar],D244,uitkomst_doelgroep[Arbeidsbesparing (€)],"&gt;0",uitkomst_doelgroep[Uitgangssituatie/effect beleid],uitkomst_tech[[#This Row],[Uitgangssituatie/effect beleid]])</f>
        <v>130423.42519908148</v>
      </c>
      <c r="G244" s="398">
        <f>SUMIFS(uitkomst_doelgroep[Arbeidsbesparing (€)],uitkomst_doelgroep[Digitale zorgtoepassing],B244,uitkomst_doelgroep[Jaar],D244,uitkomst_doelgroep[Arbeidsbesparing (€)],"&gt;0",uitkomst_doelgroep[Uitgangssituatie/effect beleid],uitkomst_tech[[#This Row],[Uitgangssituatie/effect beleid]])</f>
        <v>575655321.04426694</v>
      </c>
      <c r="H244" s="398">
        <f>SUMIFS(uitkomst_doelgroep[Arbeidsbesparing (FTE)],uitkomst_doelgroep[Digitale zorgtoepassing],B244,uitkomst_doelgroep[Jaar],D244,uitkomst_doelgroep[Arbeidsbesparing (FTE)],"&gt;0",uitkomst_doelgroep[Uitgangssituatie/effect beleid],uitkomst_tech[[#This Row],[Uitgangssituatie/effect beleid]])</f>
        <v>10921.956885400134</v>
      </c>
      <c r="I244" s="398">
        <f>SUMIFS(uitkomst_doelgroep[Overige besparingen (€)],uitkomst_doelgroep[Digitale zorgtoepassing],B244,uitkomst_doelgroep[Jaar],D244,uitkomst_doelgroep[Overige besparingen (€)],"&gt;0",uitkomst_doelgroep[Uitgangssituatie/effect beleid],uitkomst_tech[[#This Row],[Uitgangssituatie/effect beleid]])</f>
        <v>283531725.29045987</v>
      </c>
      <c r="J244" s="398">
        <f>SUMIFS(uitkomst_doelgroep[QALY (€)],uitkomst_doelgroep[Digitale zorgtoepassing],B244,uitkomst_doelgroep[Jaar],D244,uitkomst_doelgroep[QALY (€)],"&gt;0",uitkomst_doelgroep[Uitgangssituatie/effect beleid],uitkomst_tech[[#This Row],[Uitgangssituatie/effect beleid]])</f>
        <v>0</v>
      </c>
      <c r="K244" s="398">
        <f>SUMIFS(uitkomst_doelgroep[Kosten (€)],uitkomst_doelgroep[Digitale zorgtoepassing],B244,uitkomst_doelgroep[Jaar],D244,uitkomst_doelgroep[Kosten (€)],"&gt;0",uitkomst_doelgroep[Uitgangssituatie/effect beleid],uitkomst_tech[[#This Row],[Uitgangssituatie/effect beleid]])</f>
        <v>138186654.40245071</v>
      </c>
      <c r="L244" s="398">
        <f>SUMIFS(uitkomst_doelgroep[Investering (cash flow) (€)],uitkomst_doelgroep[Digitale zorgtoepassing],B244,uitkomst_doelgroep[Jaar],D244,uitkomst_doelgroep[Investering (cash flow) (€)],"&gt;0",uitkomst_doelgroep[Uitgangssituatie/effect beleid],uitkomst_tech[[#This Row],[Uitgangssituatie/effect beleid]])</f>
        <v>76469.406931436679</v>
      </c>
    </row>
    <row r="245" spans="1:12" x14ac:dyDescent="0.5">
      <c r="A245" s="42" t="str">
        <f>INDEX(Technologieën[Veld],MATCH(B245,Technologieën[Digitale zorgtoepassing],0))</f>
        <v>Digitale hulpmiddelen - Verpleging</v>
      </c>
      <c r="B245" s="41" t="s">
        <v>26</v>
      </c>
      <c r="C245" s="33" t="s">
        <v>812</v>
      </c>
      <c r="D245" s="33">
        <v>2033</v>
      </c>
      <c r="E245" s="2">
        <v>327</v>
      </c>
      <c r="F245" s="397">
        <f>SUMIFS(uitkomst_doelgroep[Patiëntaantallen],uitkomst_doelgroep[Digitale zorgtoepassing],B245,uitkomst_doelgroep[Jaar],D245,uitkomst_doelgroep[Arbeidsbesparing (€)],"&gt;0",uitkomst_doelgroep[Uitgangssituatie/effect beleid],uitkomst_tech[[#This Row],[Uitgangssituatie/effect beleid]])</f>
        <v>132208.27167150623</v>
      </c>
      <c r="G245" s="398">
        <f>SUMIFS(uitkomst_doelgroep[Arbeidsbesparing (€)],uitkomst_doelgroep[Digitale zorgtoepassing],B245,uitkomst_doelgroep[Jaar],D245,uitkomst_doelgroep[Arbeidsbesparing (€)],"&gt;0",uitkomst_doelgroep[Uitgangssituatie/effect beleid],uitkomst_tech[[#This Row],[Uitgangssituatie/effect beleid]])</f>
        <v>583533172.49257898</v>
      </c>
      <c r="H245" s="398">
        <f>SUMIFS(uitkomst_doelgroep[Arbeidsbesparing (FTE)],uitkomst_doelgroep[Digitale zorgtoepassing],B245,uitkomst_doelgroep[Jaar],D245,uitkomst_doelgroep[Arbeidsbesparing (FTE)],"&gt;0",uitkomst_doelgroep[Uitgangssituatie/effect beleid],uitkomst_tech[[#This Row],[Uitgangssituatie/effect beleid]])</f>
        <v>11071.424024367891</v>
      </c>
      <c r="I245" s="398">
        <f>SUMIFS(uitkomst_doelgroep[Overige besparingen (€)],uitkomst_doelgroep[Digitale zorgtoepassing],B245,uitkomst_doelgroep[Jaar],D245,uitkomst_doelgroep[Overige besparingen (€)],"&gt;0",uitkomst_doelgroep[Uitgangssituatie/effect beleid],uitkomst_tech[[#This Row],[Uitgangssituatie/effect beleid]])</f>
        <v>287411861.07843447</v>
      </c>
      <c r="J245" s="398">
        <f>SUMIFS(uitkomst_doelgroep[QALY (€)],uitkomst_doelgroep[Digitale zorgtoepassing],B245,uitkomst_doelgroep[Jaar],D245,uitkomst_doelgroep[QALY (€)],"&gt;0",uitkomst_doelgroep[Uitgangssituatie/effect beleid],uitkomst_tech[[#This Row],[Uitgangssituatie/effect beleid]])</f>
        <v>0</v>
      </c>
      <c r="K245" s="398">
        <f>SUMIFS(uitkomst_doelgroep[Kosten (€)],uitkomst_doelgroep[Digitale zorgtoepassing],B245,uitkomst_doelgroep[Jaar],D245,uitkomst_doelgroep[Kosten (€)],"&gt;0",uitkomst_doelgroep[Uitgangssituatie/effect beleid],uitkomst_tech[[#This Row],[Uitgangssituatie/effect beleid]])</f>
        <v>140077903.62207368</v>
      </c>
      <c r="L245" s="398">
        <f>SUMIFS(uitkomst_doelgroep[Investering (cash flow) (€)],uitkomst_doelgroep[Digitale zorgtoepassing],B245,uitkomst_doelgroep[Jaar],D245,uitkomst_doelgroep[Investering (cash flow) (€)],"&gt;0",uitkomst_doelgroep[Uitgangssituatie/effect beleid],uitkomst_tech[[#This Row],[Uitgangssituatie/effect beleid]])</f>
        <v>45200.403289458322</v>
      </c>
    </row>
    <row r="246" spans="1:12" x14ac:dyDescent="0.5">
      <c r="A246" s="42" t="str">
        <f>INDEX(Technologieën[Veld],MATCH(B246,Technologieën[Digitale zorgtoepassing],0))</f>
        <v>Digitale hulpmiddelen - Diagnose</v>
      </c>
      <c r="B246" s="33" t="s">
        <v>78</v>
      </c>
      <c r="C246" s="33" t="s">
        <v>812</v>
      </c>
      <c r="D246" s="33">
        <v>2023</v>
      </c>
      <c r="E246" s="2">
        <v>2</v>
      </c>
      <c r="F246" s="397">
        <f>SUMIFS(uitkomst_doelgroep[Patiëntaantallen],uitkomst_doelgroep[Digitale zorgtoepassing],B246,uitkomst_doelgroep[Jaar],D246,uitkomst_doelgroep[Arbeidsbesparing (€)],"&gt;0",uitkomst_doelgroep[Uitgangssituatie/effect beleid],uitkomst_tech[[#This Row],[Uitgangssituatie/effect beleid]])</f>
        <v>849208</v>
      </c>
      <c r="G246" s="398">
        <f>SUMIFS(uitkomst_doelgroep[Arbeidsbesparing (€)],uitkomst_doelgroep[Digitale zorgtoepassing],B246,uitkomst_doelgroep[Jaar],D246,uitkomst_doelgroep[Arbeidsbesparing (€)],"&gt;0",uitkomst_doelgroep[Uitgangssituatie/effect beleid],uitkomst_tech[[#This Row],[Uitgangssituatie/effect beleid]])</f>
        <v>1782189.1497318009</v>
      </c>
      <c r="H246" s="398">
        <f>SUMIFS(uitkomst_doelgroep[Arbeidsbesparing (FTE)],uitkomst_doelgroep[Digitale zorgtoepassing],B246,uitkomst_doelgroep[Jaar],D246,uitkomst_doelgroep[Arbeidsbesparing (FTE)],"&gt;0",uitkomst_doelgroep[Uitgangssituatie/effect beleid],uitkomst_tech[[#This Row],[Uitgangssituatie/effect beleid]])</f>
        <v>34.022756410256413</v>
      </c>
      <c r="I246" s="398">
        <f>SUMIFS(uitkomst_doelgroep[Overige besparingen (€)],uitkomst_doelgroep[Digitale zorgtoepassing],B246,uitkomst_doelgroep[Jaar],D246,uitkomst_doelgroep[Overige besparingen (€)],"&gt;0",uitkomst_doelgroep[Uitgangssituatie/effect beleid],uitkomst_tech[[#This Row],[Uitgangssituatie/effect beleid]])</f>
        <v>1308539.5097828868</v>
      </c>
      <c r="J246" s="398">
        <f>SUMIFS(uitkomst_doelgroep[QALY (€)],uitkomst_doelgroep[Digitale zorgtoepassing],B246,uitkomst_doelgroep[Jaar],D246,uitkomst_doelgroep[QALY (€)],"&gt;0",uitkomst_doelgroep[Uitgangssituatie/effect beleid],uitkomst_tech[[#This Row],[Uitgangssituatie/effect beleid]])</f>
        <v>0</v>
      </c>
      <c r="K246" s="398">
        <f>SUMIFS(uitkomst_doelgroep[Kosten (€)],uitkomst_doelgroep[Digitale zorgtoepassing],B246,uitkomst_doelgroep[Jaar],D246,uitkomst_doelgroep[Kosten (€)],"&gt;0",uitkomst_doelgroep[Uitgangssituatie/effect beleid],uitkomst_tech[[#This Row],[Uitgangssituatie/effect beleid]])</f>
        <v>356901.60000000003</v>
      </c>
      <c r="L246" s="398">
        <f>SUMIFS(uitkomst_doelgroep[Investering (cash flow) (€)],uitkomst_doelgroep[Digitale zorgtoepassing],B246,uitkomst_doelgroep[Jaar],D246,uitkomst_doelgroep[Investering (cash flow) (€)],"&gt;0",uitkomst_doelgroep[Uitgangssituatie/effect beleid],uitkomst_tech[[#This Row],[Uitgangssituatie/effect beleid]])</f>
        <v>0</v>
      </c>
    </row>
    <row r="247" spans="1:12" x14ac:dyDescent="0.5">
      <c r="A247" s="42" t="str">
        <f>INDEX(Technologieën[Veld],MATCH(B247,Technologieën[Digitale zorgtoepassing],0))</f>
        <v>Digitale hulpmiddelen - Diagnose</v>
      </c>
      <c r="B247" s="33" t="s">
        <v>78</v>
      </c>
      <c r="C247" s="33" t="s">
        <v>812</v>
      </c>
      <c r="D247" s="33">
        <v>2024</v>
      </c>
      <c r="E247" s="2">
        <v>34</v>
      </c>
      <c r="F247" s="397">
        <f>SUMIFS(uitkomst_doelgroep[Patiëntaantallen],uitkomst_doelgroep[Digitale zorgtoepassing],B247,uitkomst_doelgroep[Jaar],D247,uitkomst_doelgroep[Arbeidsbesparing (€)],"&gt;0",uitkomst_doelgroep[Uitgangssituatie/effect beleid],uitkomst_tech[[#This Row],[Uitgangssituatie/effect beleid]])</f>
        <v>1239843.6800000002</v>
      </c>
      <c r="G247" s="398">
        <f>SUMIFS(uitkomst_doelgroep[Arbeidsbesparing (€)],uitkomst_doelgroep[Digitale zorgtoepassing],B247,uitkomst_doelgroep[Jaar],D247,uitkomst_doelgroep[Arbeidsbesparing (€)],"&gt;0",uitkomst_doelgroep[Uitgangssituatie/effect beleid],uitkomst_tech[[#This Row],[Uitgangssituatie/effect beleid]])</f>
        <v>2601996.1586084301</v>
      </c>
      <c r="H247" s="398">
        <f>SUMIFS(uitkomst_doelgroep[Arbeidsbesparing (FTE)],uitkomst_doelgroep[Digitale zorgtoepassing],B247,uitkomst_doelgroep[Jaar],D247,uitkomst_doelgroep[Arbeidsbesparing (FTE)],"&gt;0",uitkomst_doelgroep[Uitgangssituatie/effect beleid],uitkomst_tech[[#This Row],[Uitgangssituatie/effect beleid]])</f>
        <v>49.673224358974366</v>
      </c>
      <c r="I247" s="398">
        <f>SUMIFS(uitkomst_doelgroep[Overige besparingen (€)],uitkomst_doelgroep[Digitale zorgtoepassing],B247,uitkomst_doelgroep[Jaar],D247,uitkomst_doelgroep[Overige besparingen (€)],"&gt;0",uitkomst_doelgroep[Uitgangssituatie/effect beleid],uitkomst_tech[[#This Row],[Uitgangssituatie/effect beleid]])</f>
        <v>1910467.6842830151</v>
      </c>
      <c r="J247" s="398">
        <f>SUMIFS(uitkomst_doelgroep[QALY (€)],uitkomst_doelgroep[Digitale zorgtoepassing],B247,uitkomst_doelgroep[Jaar],D247,uitkomst_doelgroep[QALY (€)],"&gt;0",uitkomst_doelgroep[Uitgangssituatie/effect beleid],uitkomst_tech[[#This Row],[Uitgangssituatie/effect beleid]])</f>
        <v>0</v>
      </c>
      <c r="K247" s="398">
        <f>SUMIFS(uitkomst_doelgroep[Kosten (€)],uitkomst_doelgroep[Digitale zorgtoepassing],B247,uitkomst_doelgroep[Jaar],D247,uitkomst_doelgroep[Kosten (€)],"&gt;0",uitkomst_doelgroep[Uitgangssituatie/effect beleid],uitkomst_tech[[#This Row],[Uitgangssituatie/effect beleid]])</f>
        <v>521076.33600000007</v>
      </c>
      <c r="L247" s="398">
        <f>SUMIFS(uitkomst_doelgroep[Investering (cash flow) (€)],uitkomst_doelgroep[Digitale zorgtoepassing],B247,uitkomst_doelgroep[Jaar],D247,uitkomst_doelgroep[Investering (cash flow) (€)],"&gt;0",uitkomst_doelgroep[Uitgangssituatie/effect beleid],uitkomst_tech[[#This Row],[Uitgangssituatie/effect beleid]])</f>
        <v>0</v>
      </c>
    </row>
    <row r="248" spans="1:12" x14ac:dyDescent="0.5">
      <c r="A248" s="42" t="str">
        <f>INDEX(Technologieën[Veld],MATCH(B248,Technologieën[Digitale zorgtoepassing],0))</f>
        <v>Digitale hulpmiddelen - Diagnose</v>
      </c>
      <c r="B248" s="33" t="s">
        <v>78</v>
      </c>
      <c r="C248" s="33" t="s">
        <v>812</v>
      </c>
      <c r="D248" s="33">
        <v>2025</v>
      </c>
      <c r="E248" s="2">
        <v>66</v>
      </c>
      <c r="F248" s="397">
        <f>SUMIFS(uitkomst_doelgroep[Patiëntaantallen],uitkomst_doelgroep[Digitale zorgtoepassing],B248,uitkomst_doelgroep[Jaar],D248,uitkomst_doelgroep[Arbeidsbesparing (€)],"&gt;0",uitkomst_doelgroep[Uitgangssituatie/effect beleid],uitkomst_tech[[#This Row],[Uitgangssituatie/effect beleid]])</f>
        <v>1710012.7844480004</v>
      </c>
      <c r="G248" s="398">
        <f>SUMIFS(uitkomst_doelgroep[Arbeidsbesparing (€)],uitkomst_doelgroep[Digitale zorgtoepassing],B248,uitkomst_doelgroep[Jaar],D248,uitkomst_doelgroep[Arbeidsbesparing (€)],"&gt;0",uitkomst_doelgroep[Uitgangssituatie/effect beleid],uitkomst_tech[[#This Row],[Uitgangssituatie/effect beleid]])</f>
        <v>3588715.8744923398</v>
      </c>
      <c r="H248" s="398">
        <f>SUMIFS(uitkomst_doelgroep[Arbeidsbesparing (FTE)],uitkomst_doelgroep[Digitale zorgtoepassing],B248,uitkomst_doelgroep[Jaar],D248,uitkomst_doelgroep[Arbeidsbesparing (FTE)],"&gt;0",uitkomst_doelgroep[Uitgangssituatie/effect beleid],uitkomst_tech[[#This Row],[Uitgangssituatie/effect beleid]])</f>
        <v>68.510127582051297</v>
      </c>
      <c r="I248" s="398">
        <f>SUMIFS(uitkomst_doelgroep[Overige besparingen (€)],uitkomst_doelgroep[Digitale zorgtoepassing],B248,uitkomst_doelgroep[Jaar],D248,uitkomst_doelgroep[Overige besparingen (€)],"&gt;0",uitkomst_doelgroep[Uitgangssituatie/effect beleid],uitkomst_tech[[#This Row],[Uitgangssituatie/effect beleid]])</f>
        <v>2634948.435111369</v>
      </c>
      <c r="J248" s="398">
        <f>SUMIFS(uitkomst_doelgroep[QALY (€)],uitkomst_doelgroep[Digitale zorgtoepassing],B248,uitkomst_doelgroep[Jaar],D248,uitkomst_doelgroep[QALY (€)],"&gt;0",uitkomst_doelgroep[Uitgangssituatie/effect beleid],uitkomst_tech[[#This Row],[Uitgangssituatie/effect beleid]])</f>
        <v>0</v>
      </c>
      <c r="K248" s="398">
        <f>SUMIFS(uitkomst_doelgroep[Kosten (€)],uitkomst_doelgroep[Digitale zorgtoepassing],B248,uitkomst_doelgroep[Jaar],D248,uitkomst_doelgroep[Kosten (€)],"&gt;0",uitkomst_doelgroep[Uitgangssituatie/effect beleid],uitkomst_tech[[#This Row],[Uitgangssituatie/effect beleid]])</f>
        <v>718677.04824960011</v>
      </c>
      <c r="L248" s="398">
        <f>SUMIFS(uitkomst_doelgroep[Investering (cash flow) (€)],uitkomst_doelgroep[Digitale zorgtoepassing],B248,uitkomst_doelgroep[Jaar],D248,uitkomst_doelgroep[Investering (cash flow) (€)],"&gt;0",uitkomst_doelgroep[Uitgangssituatie/effect beleid],uitkomst_tech[[#This Row],[Uitgangssituatie/effect beleid]])</f>
        <v>0</v>
      </c>
    </row>
    <row r="249" spans="1:12" x14ac:dyDescent="0.5">
      <c r="A249" s="42" t="str">
        <f>INDEX(Technologieën[Veld],MATCH(B249,Technologieën[Digitale zorgtoepassing],0))</f>
        <v>Digitale hulpmiddelen - Diagnose</v>
      </c>
      <c r="B249" s="33" t="s">
        <v>78</v>
      </c>
      <c r="C249" s="33" t="s">
        <v>812</v>
      </c>
      <c r="D249" s="33">
        <v>2026</v>
      </c>
      <c r="E249" s="2">
        <v>98</v>
      </c>
      <c r="F249" s="397">
        <f>SUMIFS(uitkomst_doelgroep[Patiëntaantallen],uitkomst_doelgroep[Digitale zorgtoepassing],B249,uitkomst_doelgroep[Jaar],D249,uitkomst_doelgroep[Arbeidsbesparing (€)],"&gt;0",uitkomst_doelgroep[Uitgangssituatie/effect beleid],uitkomst_tech[[#This Row],[Uitgangssituatie/effect beleid]])</f>
        <v>2233015.2425251622</v>
      </c>
      <c r="G249" s="398">
        <f>SUMIFS(uitkomst_doelgroep[Arbeidsbesparing (€)],uitkomst_doelgroep[Digitale zorgtoepassing],B249,uitkomst_doelgroep[Jaar],D249,uitkomst_doelgroep[Arbeidsbesparing (€)],"&gt;0",uitkomst_doelgroep[Uitgangssituatie/effect beleid],uitkomst_tech[[#This Row],[Uitgangssituatie/effect beleid]])</f>
        <v>4686314.2321010521</v>
      </c>
      <c r="H249" s="398">
        <f>SUMIFS(uitkomst_doelgroep[Arbeidsbesparing (FTE)],uitkomst_doelgroep[Digitale zorgtoepassing],B249,uitkomst_doelgroep[Jaar],D249,uitkomst_doelgroep[Arbeidsbesparing (FTE)],"&gt;0",uitkomst_doelgroep[Uitgangssituatie/effect beleid],uitkomst_tech[[#This Row],[Uitgangssituatie/effect beleid]])</f>
        <v>89.46375170373247</v>
      </c>
      <c r="I249" s="398">
        <f>SUMIFS(uitkomst_doelgroep[Overige besparingen (€)],uitkomst_doelgroep[Digitale zorgtoepassing],B249,uitkomst_doelgroep[Jaar],D249,uitkomst_doelgroep[Overige besparingen (€)],"&gt;0",uitkomst_doelgroep[Uitgangssituatie/effect beleid],uitkomst_tech[[#This Row],[Uitgangssituatie/effect beleid]])</f>
        <v>3440839.783411826</v>
      </c>
      <c r="J249" s="398">
        <f>SUMIFS(uitkomst_doelgroep[QALY (€)],uitkomst_doelgroep[Digitale zorgtoepassing],B249,uitkomst_doelgroep[Jaar],D249,uitkomst_doelgroep[QALY (€)],"&gt;0",uitkomst_doelgroep[Uitgangssituatie/effect beleid],uitkomst_tech[[#This Row],[Uitgangssituatie/effect beleid]])</f>
        <v>0</v>
      </c>
      <c r="K249" s="398">
        <f>SUMIFS(uitkomst_doelgroep[Kosten (€)],uitkomst_doelgroep[Digitale zorgtoepassing],B249,uitkomst_doelgroep[Jaar],D249,uitkomst_doelgroep[Kosten (€)],"&gt;0",uitkomst_doelgroep[Uitgangssituatie/effect beleid],uitkomst_tech[[#This Row],[Uitgangssituatie/effect beleid]])</f>
        <v>938482.34223137144</v>
      </c>
      <c r="L249" s="398">
        <f>SUMIFS(uitkomst_doelgroep[Investering (cash flow) (€)],uitkomst_doelgroep[Digitale zorgtoepassing],B249,uitkomst_doelgroep[Jaar],D249,uitkomst_doelgroep[Investering (cash flow) (€)],"&gt;0",uitkomst_doelgroep[Uitgangssituatie/effect beleid],uitkomst_tech[[#This Row],[Uitgangssituatie/effect beleid]])</f>
        <v>0</v>
      </c>
    </row>
    <row r="250" spans="1:12" x14ac:dyDescent="0.5">
      <c r="A250" s="42" t="str">
        <f>INDEX(Technologieën[Veld],MATCH(B250,Technologieën[Digitale zorgtoepassing],0))</f>
        <v>Digitale hulpmiddelen - Diagnose</v>
      </c>
      <c r="B250" s="33" t="s">
        <v>78</v>
      </c>
      <c r="C250" s="33" t="s">
        <v>812</v>
      </c>
      <c r="D250" s="33">
        <v>2027</v>
      </c>
      <c r="E250" s="2">
        <v>130</v>
      </c>
      <c r="F250" s="397">
        <f>SUMIFS(uitkomst_doelgroep[Patiëntaantallen],uitkomst_doelgroep[Digitale zorgtoepassing],B250,uitkomst_doelgroep[Jaar],D250,uitkomst_doelgroep[Arbeidsbesparing (€)],"&gt;0",uitkomst_doelgroep[Uitgangssituatie/effect beleid],uitkomst_tech[[#This Row],[Uitgangssituatie/effect beleid]])</f>
        <v>2759738.1010452267</v>
      </c>
      <c r="G250" s="398">
        <f>SUMIFS(uitkomst_doelgroep[Arbeidsbesparing (€)],uitkomst_doelgroep[Digitale zorgtoepassing],B250,uitkomst_doelgroep[Jaar],D250,uitkomst_doelgroep[Arbeidsbesparing (€)],"&gt;0",uitkomst_doelgroep[Uitgangssituatie/effect beleid],uitkomst_tech[[#This Row],[Uitgangssituatie/effect beleid]])</f>
        <v>5791720.4027567422</v>
      </c>
      <c r="H250" s="398">
        <f>SUMIFS(uitkomst_doelgroep[Arbeidsbesparing (FTE)],uitkomst_doelgroep[Digitale zorgtoepassing],B250,uitkomst_doelgroep[Jaar],D250,uitkomst_doelgroep[Arbeidsbesparing (FTE)],"&gt;0",uitkomst_doelgroep[Uitgangssituatie/effect beleid],uitkomst_tech[[#This Row],[Uitgangssituatie/effect beleid]])</f>
        <v>110.56643033033762</v>
      </c>
      <c r="I250" s="398">
        <f>SUMIFS(uitkomst_doelgroep[Overige besparingen (€)],uitkomst_doelgroep[Digitale zorgtoepassing],B250,uitkomst_doelgroep[Jaar],D250,uitkomst_doelgroep[Overige besparingen (€)],"&gt;0",uitkomst_doelgroep[Uitgangssituatie/effect beleid],uitkomst_tech[[#This Row],[Uitgangssituatie/effect beleid]])</f>
        <v>4252463.8744228454</v>
      </c>
      <c r="J250" s="398">
        <f>SUMIFS(uitkomst_doelgroep[QALY (€)],uitkomst_doelgroep[Digitale zorgtoepassing],B250,uitkomst_doelgroep[Jaar],D250,uitkomst_doelgroep[QALY (€)],"&gt;0",uitkomst_doelgroep[Uitgangssituatie/effect beleid],uitkomst_tech[[#This Row],[Uitgangssituatie/effect beleid]])</f>
        <v>0</v>
      </c>
      <c r="K250" s="398">
        <f>SUMIFS(uitkomst_doelgroep[Kosten (€)],uitkomst_doelgroep[Digitale zorgtoepassing],B250,uitkomst_doelgroep[Jaar],D250,uitkomst_doelgroep[Kosten (€)],"&gt;0",uitkomst_doelgroep[Uitgangssituatie/effect beleid],uitkomst_tech[[#This Row],[Uitgangssituatie/effect beleid]])</f>
        <v>1159851.2306101723</v>
      </c>
      <c r="L250" s="398">
        <f>SUMIFS(uitkomst_doelgroep[Investering (cash flow) (€)],uitkomst_doelgroep[Digitale zorgtoepassing],B250,uitkomst_doelgroep[Jaar],D250,uitkomst_doelgroep[Investering (cash flow) (€)],"&gt;0",uitkomst_doelgroep[Uitgangssituatie/effect beleid],uitkomst_tech[[#This Row],[Uitgangssituatie/effect beleid]])</f>
        <v>0</v>
      </c>
    </row>
    <row r="251" spans="1:12" x14ac:dyDescent="0.5">
      <c r="A251" s="42" t="str">
        <f>INDEX(Technologieën[Veld],MATCH(B251,Technologieën[Digitale zorgtoepassing],0))</f>
        <v>Digitale hulpmiddelen - Diagnose</v>
      </c>
      <c r="B251" s="33" t="s">
        <v>78</v>
      </c>
      <c r="C251" s="33" t="s">
        <v>812</v>
      </c>
      <c r="D251" s="33">
        <v>2028</v>
      </c>
      <c r="E251" s="2">
        <v>162</v>
      </c>
      <c r="F251" s="397">
        <f>SUMIFS(uitkomst_doelgroep[Patiëntaantallen],uitkomst_doelgroep[Digitale zorgtoepassing],B251,uitkomst_doelgroep[Jaar],D251,uitkomst_doelgroep[Arbeidsbesparing (€)],"&gt;0",uitkomst_doelgroep[Uitgangssituatie/effect beleid],uitkomst_tech[[#This Row],[Uitgangssituatie/effect beleid]])</f>
        <v>3231609.35613622</v>
      </c>
      <c r="G251" s="398">
        <f>SUMIFS(uitkomst_doelgroep[Arbeidsbesparing (€)],uitkomst_doelgroep[Digitale zorgtoepassing],B251,uitkomst_doelgroep[Jaar],D251,uitkomst_doelgroep[Arbeidsbesparing (€)],"&gt;0",uitkomst_doelgroep[Uitgangssituatie/effect beleid],uitkomst_tech[[#This Row],[Uitgangssituatie/effect beleid]])</f>
        <v>6782012.3346432708</v>
      </c>
      <c r="H251" s="398">
        <f>SUMIFS(uitkomst_doelgroep[Arbeidsbesparing (FTE)],uitkomst_doelgroep[Digitale zorgtoepassing],B251,uitkomst_doelgroep[Jaar],D251,uitkomst_doelgroep[Arbeidsbesparing (FTE)],"&gt;0",uitkomst_doelgroep[Uitgangssituatie/effect beleid],uitkomst_tech[[#This Row],[Uitgangssituatie/effect beleid]])</f>
        <v>129.47152869135499</v>
      </c>
      <c r="I251" s="398">
        <f>SUMIFS(uitkomst_doelgroep[Overige besparingen (€)],uitkomst_doelgroep[Digitale zorgtoepassing],B251,uitkomst_doelgroep[Jaar],D251,uitkomst_doelgroep[Overige besparingen (€)],"&gt;0",uitkomst_doelgroep[Uitgangssituatie/effect beleid],uitkomst_tech[[#This Row],[Uitgangssituatie/effect beleid]])</f>
        <v>4979567.4589597359</v>
      </c>
      <c r="J251" s="398">
        <f>SUMIFS(uitkomst_doelgroep[QALY (€)],uitkomst_doelgroep[Digitale zorgtoepassing],B251,uitkomst_doelgroep[Jaar],D251,uitkomst_doelgroep[QALY (€)],"&gt;0",uitkomst_doelgroep[Uitgangssituatie/effect beleid],uitkomst_tech[[#This Row],[Uitgangssituatie/effect beleid]])</f>
        <v>0</v>
      </c>
      <c r="K251" s="398">
        <f>SUMIFS(uitkomst_doelgroep[Kosten (€)],uitkomst_doelgroep[Digitale zorgtoepassing],B251,uitkomst_doelgroep[Jaar],D251,uitkomst_doelgroep[Kosten (€)],"&gt;0",uitkomst_doelgroep[Uitgangssituatie/effect beleid],uitkomst_tech[[#This Row],[Uitgangssituatie/effect beleid]])</f>
        <v>1358167.315639969</v>
      </c>
      <c r="L251" s="398">
        <f>SUMIFS(uitkomst_doelgroep[Investering (cash flow) (€)],uitkomst_doelgroep[Digitale zorgtoepassing],B251,uitkomst_doelgroep[Jaar],D251,uitkomst_doelgroep[Investering (cash flow) (€)],"&gt;0",uitkomst_doelgroep[Uitgangssituatie/effect beleid],uitkomst_tech[[#This Row],[Uitgangssituatie/effect beleid]])</f>
        <v>0</v>
      </c>
    </row>
    <row r="252" spans="1:12" x14ac:dyDescent="0.5">
      <c r="A252" s="42" t="str">
        <f>INDEX(Technologieën[Veld],MATCH(B252,Technologieën[Digitale zorgtoepassing],0))</f>
        <v>Digitale hulpmiddelen - Diagnose</v>
      </c>
      <c r="B252" s="33" t="s">
        <v>78</v>
      </c>
      <c r="C252" s="33" t="s">
        <v>812</v>
      </c>
      <c r="D252" s="33">
        <v>2029</v>
      </c>
      <c r="E252" s="2">
        <v>194</v>
      </c>
      <c r="F252" s="397">
        <f>SUMIFS(uitkomst_doelgroep[Patiëntaantallen],uitkomst_doelgroep[Digitale zorgtoepassing],B252,uitkomst_doelgroep[Jaar],D252,uitkomst_doelgroep[Arbeidsbesparing (€)],"&gt;0",uitkomst_doelgroep[Uitgangssituatie/effect beleid],uitkomst_tech[[#This Row],[Uitgangssituatie/effect beleid]])</f>
        <v>3604401.9886160009</v>
      </c>
      <c r="G252" s="398">
        <f>SUMIFS(uitkomst_doelgroep[Arbeidsbesparing (€)],uitkomst_doelgroep[Digitale zorgtoepassing],B252,uitkomst_doelgroep[Jaar],D252,uitkomst_doelgroep[Arbeidsbesparing (€)],"&gt;0",uitkomst_doelgroep[Uitgangssituatie/effect beleid],uitkomst_tech[[#This Row],[Uitgangssituatie/effect beleid]])</f>
        <v>7564373.0574643239</v>
      </c>
      <c r="H252" s="398">
        <f>SUMIFS(uitkomst_doelgroep[Arbeidsbesparing (FTE)],uitkomst_doelgroep[Digitale zorgtoepassing],B252,uitkomst_doelgroep[Jaar],D252,uitkomst_doelgroep[Arbeidsbesparing (FTE)],"&gt;0",uitkomst_doelgroep[Uitgangssituatie/effect beleid],uitkomst_tech[[#This Row],[Uitgangssituatie/effect beleid]])</f>
        <v>144.40713095416672</v>
      </c>
      <c r="I252" s="398">
        <f>SUMIFS(uitkomst_doelgroep[Overige besparingen (€)],uitkomst_doelgroep[Digitale zorgtoepassing],B252,uitkomst_doelgroep[Jaar],D252,uitkomst_doelgroep[Overige besparingen (€)],"&gt;0",uitkomst_doelgroep[Uitgangssituatie/effect beleid],uitkomst_tech[[#This Row],[Uitgangssituatie/effect beleid]])</f>
        <v>5554001.3886398207</v>
      </c>
      <c r="J252" s="398">
        <f>SUMIFS(uitkomst_doelgroep[QALY (€)],uitkomst_doelgroep[Digitale zorgtoepassing],B252,uitkomst_doelgroep[Jaar],D252,uitkomst_doelgroep[QALY (€)],"&gt;0",uitkomst_doelgroep[Uitgangssituatie/effect beleid],uitkomst_tech[[#This Row],[Uitgangssituatie/effect beleid]])</f>
        <v>0</v>
      </c>
      <c r="K252" s="398">
        <f>SUMIFS(uitkomst_doelgroep[Kosten (€)],uitkomst_doelgroep[Digitale zorgtoepassing],B252,uitkomst_doelgroep[Jaar],D252,uitkomst_doelgroep[Kosten (€)],"&gt;0",uitkomst_doelgroep[Uitgangssituatie/effect beleid],uitkomst_tech[[#This Row],[Uitgangssituatie/effect beleid]])</f>
        <v>1514843.0499715412</v>
      </c>
      <c r="L252" s="398">
        <f>SUMIFS(uitkomst_doelgroep[Investering (cash flow) (€)],uitkomst_doelgroep[Digitale zorgtoepassing],B252,uitkomst_doelgroep[Jaar],D252,uitkomst_doelgroep[Investering (cash flow) (€)],"&gt;0",uitkomst_doelgroep[Uitgangssituatie/effect beleid],uitkomst_tech[[#This Row],[Uitgangssituatie/effect beleid]])</f>
        <v>0</v>
      </c>
    </row>
    <row r="253" spans="1:12" x14ac:dyDescent="0.5">
      <c r="A253" s="42" t="str">
        <f>INDEX(Technologieën[Veld],MATCH(B253,Technologieën[Digitale zorgtoepassing],0))</f>
        <v>Digitale hulpmiddelen - Diagnose</v>
      </c>
      <c r="B253" s="33" t="s">
        <v>78</v>
      </c>
      <c r="C253" s="33" t="s">
        <v>812</v>
      </c>
      <c r="D253" s="33">
        <v>2030</v>
      </c>
      <c r="E253" s="2">
        <v>226</v>
      </c>
      <c r="F253" s="397">
        <f>SUMIFS(uitkomst_doelgroep[Patiëntaantallen],uitkomst_doelgroep[Digitale zorgtoepassing],B253,uitkomst_doelgroep[Jaar],D253,uitkomst_doelgroep[Arbeidsbesparing (€)],"&gt;0",uitkomst_doelgroep[Uitgangssituatie/effect beleid],uitkomst_tech[[#This Row],[Uitgangssituatie/effect beleid]])</f>
        <v>3865547.6943649505</v>
      </c>
      <c r="G253" s="398">
        <f>SUMIFS(uitkomst_doelgroep[Arbeidsbesparing (€)],uitkomst_doelgroep[Digitale zorgtoepassing],B253,uitkomst_doelgroep[Jaar],D253,uitkomst_doelgroep[Arbeidsbesparing (€)],"&gt;0",uitkomst_doelgroep[Uitgangssituatie/effect beleid],uitkomst_tech[[#This Row],[Uitgangssituatie/effect beleid]])</f>
        <v>8112426.1178274285</v>
      </c>
      <c r="H253" s="398">
        <f>SUMIFS(uitkomst_doelgroep[Arbeidsbesparing (FTE)],uitkomst_doelgroep[Digitale zorgtoepassing],B253,uitkomst_doelgroep[Jaar],D253,uitkomst_doelgroep[Arbeidsbesparing (FTE)],"&gt;0",uitkomst_doelgroep[Uitgangssituatie/effect beleid],uitkomst_tech[[#This Row],[Uitgangssituatie/effect beleid]])</f>
        <v>154.86969929346759</v>
      </c>
      <c r="I253" s="398">
        <f>SUMIFS(uitkomst_doelgroep[Overige besparingen (€)],uitkomst_doelgroep[Digitale zorgtoepassing],B253,uitkomst_doelgroep[Jaar],D253,uitkomst_doelgroep[Overige besparingen (€)],"&gt;0",uitkomst_doelgroep[Uitgangssituatie/effect beleid],uitkomst_tech[[#This Row],[Uitgangssituatie/effect beleid]])</f>
        <v>5956399.2390871029</v>
      </c>
      <c r="J253" s="398">
        <f>SUMIFS(uitkomst_doelgroep[QALY (€)],uitkomst_doelgroep[Digitale zorgtoepassing],B253,uitkomst_doelgroep[Jaar],D253,uitkomst_doelgroep[QALY (€)],"&gt;0",uitkomst_doelgroep[Uitgangssituatie/effect beleid],uitkomst_tech[[#This Row],[Uitgangssituatie/effect beleid]])</f>
        <v>0</v>
      </c>
      <c r="K253" s="398">
        <f>SUMIFS(uitkomst_doelgroep[Kosten (€)],uitkomst_doelgroep[Digitale zorgtoepassing],B253,uitkomst_doelgroep[Jaar],D253,uitkomst_doelgroep[Kosten (€)],"&gt;0",uitkomst_doelgroep[Uitgangssituatie/effect beleid],uitkomst_tech[[#This Row],[Uitgangssituatie/effect beleid]])</f>
        <v>1624596.2791155546</v>
      </c>
      <c r="L253" s="398">
        <f>SUMIFS(uitkomst_doelgroep[Investering (cash flow) (€)],uitkomst_doelgroep[Digitale zorgtoepassing],B253,uitkomst_doelgroep[Jaar],D253,uitkomst_doelgroep[Investering (cash flow) (€)],"&gt;0",uitkomst_doelgroep[Uitgangssituatie/effect beleid],uitkomst_tech[[#This Row],[Uitgangssituatie/effect beleid]])</f>
        <v>0</v>
      </c>
    </row>
    <row r="254" spans="1:12" x14ac:dyDescent="0.5">
      <c r="A254" s="42" t="str">
        <f>INDEX(Technologieën[Veld],MATCH(B254,Technologieën[Digitale zorgtoepassing],0))</f>
        <v>Digitale hulpmiddelen - Diagnose</v>
      </c>
      <c r="B254" s="33" t="s">
        <v>78</v>
      </c>
      <c r="C254" s="33" t="s">
        <v>812</v>
      </c>
      <c r="D254" s="33">
        <v>2031</v>
      </c>
      <c r="E254" s="2">
        <v>258</v>
      </c>
      <c r="F254" s="397">
        <f>SUMIFS(uitkomst_doelgroep[Patiëntaantallen],uitkomst_doelgroep[Digitale zorgtoepassing],B254,uitkomst_doelgroep[Jaar],D254,uitkomst_doelgroep[Arbeidsbesparing (€)],"&gt;0",uitkomst_doelgroep[Uitgangssituatie/effect beleid],uitkomst_tech[[#This Row],[Uitgangssituatie/effect beleid]])</f>
        <v>4030938.1895987433</v>
      </c>
      <c r="G254" s="398">
        <f>SUMIFS(uitkomst_doelgroep[Arbeidsbesparing (€)],uitkomst_doelgroep[Digitale zorgtoepassing],B254,uitkomst_doelgroep[Jaar],D254,uitkomst_doelgroep[Arbeidsbesparing (€)],"&gt;0",uitkomst_doelgroep[Uitgangssituatie/effect beleid],uitkomst_tech[[#This Row],[Uitgangssituatie/effect beleid]])</f>
        <v>8459522.6431480031</v>
      </c>
      <c r="H254" s="398">
        <f>SUMIFS(uitkomst_doelgroep[Arbeidsbesparing (FTE)],uitkomst_doelgroep[Digitale zorgtoepassing],B254,uitkomst_doelgroep[Jaar],D254,uitkomst_doelgroep[Arbeidsbesparing (FTE)],"&gt;0",uitkomst_doelgroep[Uitgangssituatie/effect beleid],uitkomst_tech[[#This Row],[Uitgangssituatie/effect beleid]])</f>
        <v>161.49592105764197</v>
      </c>
      <c r="I254" s="398">
        <f>SUMIFS(uitkomst_doelgroep[Overige besparingen (€)],uitkomst_doelgroep[Digitale zorgtoepassing],B254,uitkomst_doelgroep[Jaar],D254,uitkomst_doelgroep[Overige besparingen (€)],"&gt;0",uitkomst_doelgroep[Uitgangssituatie/effect beleid],uitkomst_tech[[#This Row],[Uitgangssituatie/effect beleid]])</f>
        <v>6211248.4604274305</v>
      </c>
      <c r="J254" s="398">
        <f>SUMIFS(uitkomst_doelgroep[QALY (€)],uitkomst_doelgroep[Digitale zorgtoepassing],B254,uitkomst_doelgroep[Jaar],D254,uitkomst_doelgroep[QALY (€)],"&gt;0",uitkomst_doelgroep[Uitgangssituatie/effect beleid],uitkomst_tech[[#This Row],[Uitgangssituatie/effect beleid]])</f>
        <v>0</v>
      </c>
      <c r="K254" s="398">
        <f>SUMIFS(uitkomst_doelgroep[Kosten (€)],uitkomst_doelgroep[Digitale zorgtoepassing],B254,uitkomst_doelgroep[Jaar],D254,uitkomst_doelgroep[Kosten (€)],"&gt;0",uitkomst_doelgroep[Uitgangssituatie/effect beleid],uitkomst_tech[[#This Row],[Uitgangssituatie/effect beleid]])</f>
        <v>1694105.9073500189</v>
      </c>
      <c r="L254" s="398">
        <f>SUMIFS(uitkomst_doelgroep[Investering (cash flow) (€)],uitkomst_doelgroep[Digitale zorgtoepassing],B254,uitkomst_doelgroep[Jaar],D254,uitkomst_doelgroep[Investering (cash flow) (€)],"&gt;0",uitkomst_doelgroep[Uitgangssituatie/effect beleid],uitkomst_tech[[#This Row],[Uitgangssituatie/effect beleid]])</f>
        <v>0</v>
      </c>
    </row>
    <row r="255" spans="1:12" x14ac:dyDescent="0.5">
      <c r="A255" s="42" t="str">
        <f>INDEX(Technologieën[Veld],MATCH(B255,Technologieën[Digitale zorgtoepassing],0))</f>
        <v>Digitale hulpmiddelen - Diagnose</v>
      </c>
      <c r="B255" s="33" t="s">
        <v>78</v>
      </c>
      <c r="C255" s="33" t="s">
        <v>812</v>
      </c>
      <c r="D255" s="33">
        <v>2032</v>
      </c>
      <c r="E255" s="2">
        <v>290</v>
      </c>
      <c r="F255" s="397">
        <f>SUMIFS(uitkomst_doelgroep[Patiëntaantallen],uitkomst_doelgroep[Digitale zorgtoepassing],B255,uitkomst_doelgroep[Jaar],D255,uitkomst_doelgroep[Arbeidsbesparing (€)],"&gt;0",uitkomst_doelgroep[Uitgangssituatie/effect beleid],uitkomst_tech[[#This Row],[Uitgangssituatie/effect beleid]])</f>
        <v>4128207.9322919631</v>
      </c>
      <c r="G255" s="398">
        <f>SUMIFS(uitkomst_doelgroep[Arbeidsbesparing (€)],uitkomst_doelgroep[Digitale zorgtoepassing],B255,uitkomst_doelgroep[Jaar],D255,uitkomst_doelgroep[Arbeidsbesparing (€)],"&gt;0",uitkomst_doelgroep[Uitgangssituatie/effect beleid],uitkomst_tech[[#This Row],[Uitgangssituatie/effect beleid]])</f>
        <v>8663657.648971146</v>
      </c>
      <c r="H255" s="398">
        <f>SUMIFS(uitkomst_doelgroep[Arbeidsbesparing (FTE)],uitkomst_doelgroep[Digitale zorgtoepassing],B255,uitkomst_doelgroep[Jaar],D255,uitkomst_doelgroep[Arbeidsbesparing (FTE)],"&gt;0",uitkomst_doelgroep[Uitgangssituatie/effect beleid],uitkomst_tech[[#This Row],[Uitgangssituatie/effect beleid]])</f>
        <v>165.39294600528697</v>
      </c>
      <c r="I255" s="398">
        <f>SUMIFS(uitkomst_doelgroep[Overige besparingen (€)],uitkomst_doelgroep[Digitale zorgtoepassing],B255,uitkomst_doelgroep[Jaar],D255,uitkomst_doelgroep[Overige besparingen (€)],"&gt;0",uitkomst_doelgroep[Uitgangssituatie/effect beleid],uitkomst_tech[[#This Row],[Uitgangssituatie/effect beleid]])</f>
        <v>6361130.8230765024</v>
      </c>
      <c r="J255" s="398">
        <f>SUMIFS(uitkomst_doelgroep[QALY (€)],uitkomst_doelgroep[Digitale zorgtoepassing],B255,uitkomst_doelgroep[Jaar],D255,uitkomst_doelgroep[QALY (€)],"&gt;0",uitkomst_doelgroep[Uitgangssituatie/effect beleid],uitkomst_tech[[#This Row],[Uitgangssituatie/effect beleid]])</f>
        <v>0</v>
      </c>
      <c r="K255" s="398">
        <f>SUMIFS(uitkomst_doelgroep[Kosten (€)],uitkomst_doelgroep[Digitale zorgtoepassing],B255,uitkomst_doelgroep[Jaar],D255,uitkomst_doelgroep[Kosten (€)],"&gt;0",uitkomst_doelgroep[Uitgangssituatie/effect beleid],uitkomst_tech[[#This Row],[Uitgangssituatie/effect beleid]])</f>
        <v>1734986.0295330393</v>
      </c>
      <c r="L255" s="398">
        <f>SUMIFS(uitkomst_doelgroep[Investering (cash flow) (€)],uitkomst_doelgroep[Digitale zorgtoepassing],B255,uitkomst_doelgroep[Jaar],D255,uitkomst_doelgroep[Investering (cash flow) (€)],"&gt;0",uitkomst_doelgroep[Uitgangssituatie/effect beleid],uitkomst_tech[[#This Row],[Uitgangssituatie/effect beleid]])</f>
        <v>0</v>
      </c>
    </row>
    <row r="256" spans="1:12" x14ac:dyDescent="0.5">
      <c r="A256" s="42" t="str">
        <f>INDEX(Technologieën[Veld],MATCH(B256,Technologieën[Digitale zorgtoepassing],0))</f>
        <v>Digitale hulpmiddelen - Diagnose</v>
      </c>
      <c r="B256" s="33" t="s">
        <v>78</v>
      </c>
      <c r="C256" s="33" t="s">
        <v>812</v>
      </c>
      <c r="D256" s="33">
        <v>2033</v>
      </c>
      <c r="E256" s="2">
        <v>322</v>
      </c>
      <c r="F256" s="397">
        <f>SUMIFS(uitkomst_doelgroep[Patiëntaantallen],uitkomst_doelgroep[Digitale zorgtoepassing],B256,uitkomst_doelgroep[Jaar],D256,uitkomst_doelgroep[Arbeidsbesparing (€)],"&gt;0",uitkomst_doelgroep[Uitgangssituatie/effect beleid],uitkomst_tech[[#This Row],[Uitgangssituatie/effect beleid]])</f>
        <v>4182706.6808400415</v>
      </c>
      <c r="G256" s="398">
        <f>SUMIFS(uitkomst_doelgroep[Arbeidsbesparing (€)],uitkomst_doelgroep[Digitale zorgtoepassing],B256,uitkomst_doelgroep[Jaar],D256,uitkomst_doelgroep[Arbeidsbesparing (€)],"&gt;0",uitkomst_doelgroep[Uitgangssituatie/effect beleid],uitkomst_tech[[#This Row],[Uitgangssituatie/effect beleid]])</f>
        <v>8778031.3693510145</v>
      </c>
      <c r="H256" s="398">
        <f>SUMIFS(uitkomst_doelgroep[Arbeidsbesparing (FTE)],uitkomst_doelgroep[Digitale zorgtoepassing],B256,uitkomst_doelgroep[Jaar],D256,uitkomst_doelgroep[Arbeidsbesparing (FTE)],"&gt;0",uitkomst_doelgroep[Uitgangssituatie/effect beleid],uitkomst_tech[[#This Row],[Uitgangssituatie/effect beleid]])</f>
        <v>167.57638945673244</v>
      </c>
      <c r="I256" s="398">
        <f>SUMIFS(uitkomst_doelgroep[Overige besparingen (€)],uitkomst_doelgroep[Digitale zorgtoepassing],B256,uitkomst_doelgroep[Jaar],D256,uitkomst_doelgroep[Overige besparingen (€)],"&gt;0",uitkomst_doelgroep[Uitgangssituatie/effect beleid],uitkomst_tech[[#This Row],[Uitgangssituatie/effect beleid]])</f>
        <v>6445107.6175825391</v>
      </c>
      <c r="J256" s="398">
        <f>SUMIFS(uitkomst_doelgroep[QALY (€)],uitkomst_doelgroep[Digitale zorgtoepassing],B256,uitkomst_doelgroep[Jaar],D256,uitkomst_doelgroep[QALY (€)],"&gt;0",uitkomst_doelgroep[Uitgangssituatie/effect beleid],uitkomst_tech[[#This Row],[Uitgangssituatie/effect beleid]])</f>
        <v>0</v>
      </c>
      <c r="K256" s="398">
        <f>SUMIFS(uitkomst_doelgroep[Kosten (€)],uitkomst_doelgroep[Digitale zorgtoepassing],B256,uitkomst_doelgroep[Jaar],D256,uitkomst_doelgroep[Kosten (€)],"&gt;0",uitkomst_doelgroep[Uitgangssituatie/effect beleid],uitkomst_tech[[#This Row],[Uitgangssituatie/effect beleid]])</f>
        <v>1757890.5365028358</v>
      </c>
      <c r="L256" s="398">
        <f>SUMIFS(uitkomst_doelgroep[Investering (cash flow) (€)],uitkomst_doelgroep[Digitale zorgtoepassing],B256,uitkomst_doelgroep[Jaar],D256,uitkomst_doelgroep[Investering (cash flow) (€)],"&gt;0",uitkomst_doelgroep[Uitgangssituatie/effect beleid],uitkomst_tech[[#This Row],[Uitgangssituatie/effect beleid]])</f>
        <v>0</v>
      </c>
    </row>
    <row r="257" spans="1:12" x14ac:dyDescent="0.5">
      <c r="A257" s="42" t="str">
        <f>INDEX(Technologieën[Veld],MATCH(B257,Technologieën[Digitale zorgtoepassing],0))</f>
        <v>Digitale hulpmiddelen - Diagnose</v>
      </c>
      <c r="B257" s="33" t="s">
        <v>82</v>
      </c>
      <c r="C257" s="33" t="s">
        <v>812</v>
      </c>
      <c r="D257" s="33">
        <v>2023</v>
      </c>
      <c r="E257" s="2">
        <v>3</v>
      </c>
      <c r="F257" s="397">
        <f>SUMIFS(uitkomst_doelgroep[Patiëntaantallen],uitkomst_doelgroep[Digitale zorgtoepassing],B257,uitkomst_doelgroep[Jaar],D257,uitkomst_doelgroep[Arbeidsbesparing (€)],"&gt;0",uitkomst_doelgroep[Uitgangssituatie/effect beleid],uitkomst_tech[[#This Row],[Uitgangssituatie/effect beleid]])</f>
        <v>85633.68</v>
      </c>
      <c r="G257" s="398">
        <f>SUMIFS(uitkomst_doelgroep[Arbeidsbesparing (€)],uitkomst_doelgroep[Digitale zorgtoepassing],B257,uitkomst_doelgroep[Jaar],D257,uitkomst_doelgroep[Arbeidsbesparing (€)],"&gt;0",uitkomst_doelgroep[Uitgangssituatie/effect beleid],uitkomst_tech[[#This Row],[Uitgangssituatie/effect beleid]])</f>
        <v>5257509.6558139538</v>
      </c>
      <c r="H257" s="398">
        <f>SUMIFS(uitkomst_doelgroep[Arbeidsbesparing (FTE)],uitkomst_doelgroep[Digitale zorgtoepassing],B257,uitkomst_doelgroep[Jaar],D257,uitkomst_doelgroep[Arbeidsbesparing (FTE)],"&gt;0",uitkomst_doelgroep[Uitgangssituatie/effect beleid],uitkomst_tech[[#This Row],[Uitgangssituatie/effect beleid]])</f>
        <v>96.027533301999114</v>
      </c>
      <c r="I257" s="398">
        <f>SUMIFS(uitkomst_doelgroep[Overige besparingen (€)],uitkomst_doelgroep[Digitale zorgtoepassing],B257,uitkomst_doelgroep[Jaar],D257,uitkomst_doelgroep[Overige besparingen (€)],"&gt;0",uitkomst_doelgroep[Uitgangssituatie/effect beleid],uitkomst_tech[[#This Row],[Uitgangssituatie/effect beleid]])</f>
        <v>6731205.5441860463</v>
      </c>
      <c r="J257" s="398">
        <f>SUMIFS(uitkomst_doelgroep[QALY (€)],uitkomst_doelgroep[Digitale zorgtoepassing],B257,uitkomst_doelgroep[Jaar],D257,uitkomst_doelgroep[QALY (€)],"&gt;0",uitkomst_doelgroep[Uitgangssituatie/effect beleid],uitkomst_tech[[#This Row],[Uitgangssituatie/effect beleid]])</f>
        <v>0</v>
      </c>
      <c r="K257" s="398">
        <f>SUMIFS(uitkomst_doelgroep[Kosten (€)],uitkomst_doelgroep[Digitale zorgtoepassing],B257,uitkomst_doelgroep[Jaar],D257,uitkomst_doelgroep[Kosten (€)],"&gt;0",uitkomst_doelgroep[Uitgangssituatie/effect beleid],uitkomst_tech[[#This Row],[Uitgangssituatie/effect beleid]])</f>
        <v>2631808.432</v>
      </c>
      <c r="L257" s="398">
        <f>SUMIFS(uitkomst_doelgroep[Investering (cash flow) (€)],uitkomst_doelgroep[Digitale zorgtoepassing],B257,uitkomst_doelgroep[Jaar],D257,uitkomst_doelgroep[Investering (cash flow) (€)],"&gt;0",uitkomst_doelgroep[Uitgangssituatie/effect beleid],uitkomst_tech[[#This Row],[Uitgangssituatie/effect beleid]])</f>
        <v>0</v>
      </c>
    </row>
    <row r="258" spans="1:12" x14ac:dyDescent="0.5">
      <c r="A258" s="42" t="str">
        <f>INDEX(Technologieën[Veld],MATCH(B258,Technologieën[Digitale zorgtoepassing],0))</f>
        <v>Digitale hulpmiddelen - Diagnose</v>
      </c>
      <c r="B258" s="33" t="s">
        <v>82</v>
      </c>
      <c r="C258" s="33" t="s">
        <v>812</v>
      </c>
      <c r="D258" s="33">
        <v>2024</v>
      </c>
      <c r="E258" s="2">
        <v>35</v>
      </c>
      <c r="F258" s="397">
        <f>SUMIFS(uitkomst_doelgroep[Patiëntaantallen],uitkomst_doelgroep[Digitale zorgtoepassing],B258,uitkomst_doelgroep[Jaar],D258,uitkomst_doelgroep[Arbeidsbesparing (€)],"&gt;0",uitkomst_doelgroep[Uitgangssituatie/effect beleid],uitkomst_tech[[#This Row],[Uitgangssituatie/effect beleid]])</f>
        <v>108754.7736</v>
      </c>
      <c r="G258" s="398">
        <f>SUMIFS(uitkomst_doelgroep[Arbeidsbesparing (€)],uitkomst_doelgroep[Digitale zorgtoepassing],B258,uitkomst_doelgroep[Jaar],D258,uitkomst_doelgroep[Arbeidsbesparing (€)],"&gt;0",uitkomst_doelgroep[Uitgangssituatie/effect beleid],uitkomst_tech[[#This Row],[Uitgangssituatie/effect beleid]])</f>
        <v>6677037.2628837209</v>
      </c>
      <c r="H258" s="398">
        <f>SUMIFS(uitkomst_doelgroep[Arbeidsbesparing (FTE)],uitkomst_doelgroep[Digitale zorgtoepassing],B258,uitkomst_doelgroep[Jaar],D258,uitkomst_doelgroep[Arbeidsbesparing (FTE)],"&gt;0",uitkomst_doelgroep[Uitgangssituatie/effect beleid],uitkomst_tech[[#This Row],[Uitgangssituatie/effect beleid]])</f>
        <v>121.95496729353889</v>
      </c>
      <c r="I258" s="398">
        <f>SUMIFS(uitkomst_doelgroep[Overige besparingen (€)],uitkomst_doelgroep[Digitale zorgtoepassing],B258,uitkomst_doelgroep[Jaar],D258,uitkomst_doelgroep[Overige besparingen (€)],"&gt;0",uitkomst_doelgroep[Uitgangssituatie/effect beleid],uitkomst_tech[[#This Row],[Uitgangssituatie/effect beleid]])</f>
        <v>8548631.0411162786</v>
      </c>
      <c r="J258" s="398">
        <f>SUMIFS(uitkomst_doelgroep[QALY (€)],uitkomst_doelgroep[Digitale zorgtoepassing],B258,uitkomst_doelgroep[Jaar],D258,uitkomst_doelgroep[QALY (€)],"&gt;0",uitkomst_doelgroep[Uitgangssituatie/effect beleid],uitkomst_tech[[#This Row],[Uitgangssituatie/effect beleid]])</f>
        <v>0</v>
      </c>
      <c r="K258" s="398">
        <f>SUMIFS(uitkomst_doelgroep[Kosten (€)],uitkomst_doelgroep[Digitale zorgtoepassing],B258,uitkomst_doelgroep[Jaar],D258,uitkomst_doelgroep[Kosten (€)],"&gt;0",uitkomst_doelgroep[Uitgangssituatie/effect beleid],uitkomst_tech[[#This Row],[Uitgangssituatie/effect beleid]])</f>
        <v>3342396.7086399999</v>
      </c>
      <c r="L258" s="398">
        <f>SUMIFS(uitkomst_doelgroep[Investering (cash flow) (€)],uitkomst_doelgroep[Digitale zorgtoepassing],B258,uitkomst_doelgroep[Jaar],D258,uitkomst_doelgroep[Investering (cash flow) (€)],"&gt;0",uitkomst_doelgroep[Uitgangssituatie/effect beleid],uitkomst_tech[[#This Row],[Uitgangssituatie/effect beleid]])</f>
        <v>0</v>
      </c>
    </row>
    <row r="259" spans="1:12" x14ac:dyDescent="0.5">
      <c r="A259" s="42" t="str">
        <f>INDEX(Technologieën[Veld],MATCH(B259,Technologieën[Digitale zorgtoepassing],0))</f>
        <v>Digitale hulpmiddelen - Diagnose</v>
      </c>
      <c r="B259" s="33" t="s">
        <v>82</v>
      </c>
      <c r="C259" s="33" t="s">
        <v>812</v>
      </c>
      <c r="D259" s="33">
        <v>2025</v>
      </c>
      <c r="E259" s="2">
        <v>67</v>
      </c>
      <c r="F259" s="397">
        <f>SUMIFS(uitkomst_doelgroep[Patiëntaantallen],uitkomst_doelgroep[Digitale zorgtoepassing],B259,uitkomst_doelgroep[Jaar],D259,uitkomst_doelgroep[Arbeidsbesparing (€)],"&gt;0",uitkomst_doelgroep[Uitgangssituatie/effect beleid],uitkomst_tech[[#This Row],[Uitgangssituatie/effect beleid]])</f>
        <v>132264.30157248001</v>
      </c>
      <c r="G259" s="398">
        <f>SUMIFS(uitkomst_doelgroep[Arbeidsbesparing (€)],uitkomst_doelgroep[Digitale zorgtoepassing],B259,uitkomst_doelgroep[Jaar],D259,uitkomst_doelgroep[Arbeidsbesparing (€)],"&gt;0",uitkomst_doelgroep[Uitgangssituatie/effect beleid],uitkomst_tech[[#This Row],[Uitgangssituatie/effect beleid]])</f>
        <v>8120412.9337522602</v>
      </c>
      <c r="H259" s="398">
        <f>SUMIFS(uitkomst_doelgroep[Arbeidsbesparing (FTE)],uitkomst_doelgroep[Digitale zorgtoepassing],B259,uitkomst_doelgroep[Jaar],D259,uitkomst_doelgroep[Arbeidsbesparing (FTE)],"&gt;0",uitkomst_doelgroep[Uitgangssituatie/effect beleid],uitkomst_tech[[#This Row],[Uitgangssituatie/effect beleid]])</f>
        <v>148.3179821761365</v>
      </c>
      <c r="I259" s="398">
        <f>SUMIFS(uitkomst_doelgroep[Overige besparingen (€)],uitkomst_doelgroep[Digitale zorgtoepassing],B259,uitkomst_doelgroep[Jaar],D259,uitkomst_doelgroep[Overige besparingen (€)],"&gt;0",uitkomst_doelgroep[Uitgangssituatie/effect beleid],uitkomst_tech[[#This Row],[Uitgangssituatie/effect beleid]])</f>
        <v>10396589.286394939</v>
      </c>
      <c r="J259" s="398">
        <f>SUMIFS(uitkomst_doelgroep[QALY (€)],uitkomst_doelgroep[Digitale zorgtoepassing],B259,uitkomst_doelgroep[Jaar],D259,uitkomst_doelgroep[QALY (€)],"&gt;0",uitkomst_doelgroep[Uitgangssituatie/effect beleid],uitkomst_tech[[#This Row],[Uitgangssituatie/effect beleid]])</f>
        <v>0</v>
      </c>
      <c r="K259" s="398">
        <f>SUMIFS(uitkomst_doelgroep[Kosten (€)],uitkomst_doelgroep[Digitale zorgtoepassing],B259,uitkomst_doelgroep[Jaar],D259,uitkomst_doelgroep[Kosten (€)],"&gt;0",uitkomst_doelgroep[Uitgangssituatie/effect beleid],uitkomst_tech[[#This Row],[Uitgangssituatie/effect beleid]])</f>
        <v>4064922.8683275515</v>
      </c>
      <c r="L259" s="398">
        <f>SUMIFS(uitkomst_doelgroep[Investering (cash flow) (€)],uitkomst_doelgroep[Digitale zorgtoepassing],B259,uitkomst_doelgroep[Jaar],D259,uitkomst_doelgroep[Investering (cash flow) (€)],"&gt;0",uitkomst_doelgroep[Uitgangssituatie/effect beleid],uitkomst_tech[[#This Row],[Uitgangssituatie/effect beleid]])</f>
        <v>0</v>
      </c>
    </row>
    <row r="260" spans="1:12" x14ac:dyDescent="0.5">
      <c r="A260" s="42" t="str">
        <f>INDEX(Technologieën[Veld],MATCH(B260,Technologieën[Digitale zorgtoepassing],0))</f>
        <v>Digitale hulpmiddelen - Diagnose</v>
      </c>
      <c r="B260" s="33" t="s">
        <v>82</v>
      </c>
      <c r="C260" s="33" t="s">
        <v>812</v>
      </c>
      <c r="D260" s="33">
        <v>2026</v>
      </c>
      <c r="E260" s="2">
        <v>99</v>
      </c>
      <c r="F260" s="397">
        <f>SUMIFS(uitkomst_doelgroep[Patiëntaantallen],uitkomst_doelgroep[Digitale zorgtoepassing],B260,uitkomst_doelgroep[Jaar],D260,uitkomst_doelgroep[Arbeidsbesparing (€)],"&gt;0",uitkomst_doelgroep[Uitgangssituatie/effect beleid],uitkomst_tech[[#This Row],[Uitgangssituatie/effect beleid]])</f>
        <v>154120.50412305407</v>
      </c>
      <c r="G260" s="398">
        <f>SUMIFS(uitkomst_doelgroep[Arbeidsbesparing (€)],uitkomst_doelgroep[Digitale zorgtoepassing],B260,uitkomst_doelgroep[Jaar],D260,uitkomst_doelgroep[Arbeidsbesparing (€)],"&gt;0",uitkomst_doelgroep[Uitgangssituatie/effect beleid],uitkomst_tech[[#This Row],[Uitgangssituatie/effect beleid]])</f>
        <v>9462282.1136014592</v>
      </c>
      <c r="H260" s="398">
        <f>SUMIFS(uitkomst_doelgroep[Arbeidsbesparing (FTE)],uitkomst_doelgroep[Digitale zorgtoepassing],B260,uitkomst_doelgroep[Jaar],D260,uitkomst_doelgroep[Arbeidsbesparing (FTE)],"&gt;0",uitkomst_doelgroep[Uitgangssituatie/effect beleid],uitkomst_tech[[#This Row],[Uitgangssituatie/effect beleid]])</f>
        <v>172.82699800122413</v>
      </c>
      <c r="I260" s="398">
        <f>SUMIFS(uitkomst_doelgroep[Overige besparingen (€)],uitkomst_doelgroep[Digitale zorgtoepassing],B260,uitkomst_doelgroep[Jaar],D260,uitkomst_doelgroep[Overige besparingen (€)],"&gt;0",uitkomst_doelgroep[Uitgangssituatie/effect beleid],uitkomst_tech[[#This Row],[Uitgangssituatie/effect beleid]])</f>
        <v>12114588.463626113</v>
      </c>
      <c r="J260" s="398">
        <f>SUMIFS(uitkomst_doelgroep[QALY (€)],uitkomst_doelgroep[Digitale zorgtoepassing],B260,uitkomst_doelgroep[Jaar],D260,uitkomst_doelgroep[QALY (€)],"&gt;0",uitkomst_doelgroep[Uitgangssituatie/effect beleid],uitkomst_tech[[#This Row],[Uitgangssituatie/effect beleid]])</f>
        <v>0</v>
      </c>
      <c r="K260" s="398">
        <f>SUMIFS(uitkomst_doelgroep[Kosten (€)],uitkomst_doelgroep[Digitale zorgtoepassing],B260,uitkomst_doelgroep[Jaar],D260,uitkomst_doelgroep[Kosten (€)],"&gt;0",uitkomst_doelgroep[Uitgangssituatie/effect beleid],uitkomst_tech[[#This Row],[Uitgangssituatie/effect beleid]])</f>
        <v>4736636.8267151956</v>
      </c>
      <c r="L260" s="398">
        <f>SUMIFS(uitkomst_doelgroep[Investering (cash flow) (€)],uitkomst_doelgroep[Digitale zorgtoepassing],B260,uitkomst_doelgroep[Jaar],D260,uitkomst_doelgroep[Investering (cash flow) (€)],"&gt;0",uitkomst_doelgroep[Uitgangssituatie/effect beleid],uitkomst_tech[[#This Row],[Uitgangssituatie/effect beleid]])</f>
        <v>0</v>
      </c>
    </row>
    <row r="261" spans="1:12" x14ac:dyDescent="0.5">
      <c r="A261" s="42" t="str">
        <f>INDEX(Technologieën[Veld],MATCH(B261,Technologieën[Digitale zorgtoepassing],0))</f>
        <v>Digitale hulpmiddelen - Diagnose</v>
      </c>
      <c r="B261" s="33" t="s">
        <v>82</v>
      </c>
      <c r="C261" s="33" t="s">
        <v>812</v>
      </c>
      <c r="D261" s="33">
        <v>2027</v>
      </c>
      <c r="E261" s="2">
        <v>131</v>
      </c>
      <c r="F261" s="397">
        <f>SUMIFS(uitkomst_doelgroep[Patiëntaantallen],uitkomst_doelgroep[Digitale zorgtoepassing],B261,uitkomst_doelgroep[Jaar],D261,uitkomst_doelgroep[Arbeidsbesparing (€)],"&gt;0",uitkomst_doelgroep[Uitgangssituatie/effect beleid],uitkomst_tech[[#This Row],[Uitgangssituatie/effect beleid]])</f>
        <v>172587.06827057991</v>
      </c>
      <c r="G261" s="398">
        <f>SUMIFS(uitkomst_doelgroep[Arbeidsbesparing (€)],uitkomst_doelgroep[Digitale zorgtoepassing],B261,uitkomst_doelgroep[Jaar],D261,uitkomst_doelgroep[Arbeidsbesparing (€)],"&gt;0",uitkomst_doelgroep[Uitgangssituatie/effect beleid],uitkomst_tech[[#This Row],[Uitgangssituatie/effect beleid]])</f>
        <v>10596043.26126351</v>
      </c>
      <c r="H261" s="398">
        <f>SUMIFS(uitkomst_doelgroep[Arbeidsbesparing (FTE)],uitkomst_doelgroep[Digitale zorgtoepassing],B261,uitkomst_doelgroep[Jaar],D261,uitkomst_doelgroep[Arbeidsbesparing (FTE)],"&gt;0",uitkomst_doelgroep[Uitgangssituatie/effect beleid],uitkomst_tech[[#This Row],[Uitgangssituatie/effect beleid]])</f>
        <v>193.53495547368169</v>
      </c>
      <c r="I261" s="398">
        <f>SUMIFS(uitkomst_doelgroep[Overige besparingen (€)],uitkomst_doelgroep[Digitale zorgtoepassing],B261,uitkomst_doelgroep[Jaar],D261,uitkomst_doelgroep[Overige besparingen (€)],"&gt;0",uitkomst_doelgroep[Uitgangssituatie/effect beleid],uitkomst_tech[[#This Row],[Uitgangssituatie/effect beleid]])</f>
        <v>13566146.296617676</v>
      </c>
      <c r="J261" s="398">
        <f>SUMIFS(uitkomst_doelgroep[QALY (€)],uitkomst_doelgroep[Digitale zorgtoepassing],B261,uitkomst_doelgroep[Jaar],D261,uitkomst_doelgroep[QALY (€)],"&gt;0",uitkomst_doelgroep[Uitgangssituatie/effect beleid],uitkomst_tech[[#This Row],[Uitgangssituatie/effect beleid]])</f>
        <v>0</v>
      </c>
      <c r="K261" s="398">
        <f>SUMIFS(uitkomst_doelgroep[Kosten (€)],uitkomst_doelgroep[Digitale zorgtoepassing],B261,uitkomst_doelgroep[Jaar],D261,uitkomst_doelgroep[Kosten (€)],"&gt;0",uitkomst_doelgroep[Uitgangssituatie/effect beleid],uitkomst_tech[[#This Row],[Uitgangssituatie/effect beleid]])</f>
        <v>5304175.898182489</v>
      </c>
      <c r="L261" s="398">
        <f>SUMIFS(uitkomst_doelgroep[Investering (cash flow) (€)],uitkomst_doelgroep[Digitale zorgtoepassing],B261,uitkomst_doelgroep[Jaar],D261,uitkomst_doelgroep[Investering (cash flow) (€)],"&gt;0",uitkomst_doelgroep[Uitgangssituatie/effect beleid],uitkomst_tech[[#This Row],[Uitgangssituatie/effect beleid]])</f>
        <v>0</v>
      </c>
    </row>
    <row r="262" spans="1:12" x14ac:dyDescent="0.5">
      <c r="A262" s="42" t="str">
        <f>INDEX(Technologieën[Veld],MATCH(B262,Technologieën[Digitale zorgtoepassing],0))</f>
        <v>Digitale hulpmiddelen - Diagnose</v>
      </c>
      <c r="B262" s="33" t="s">
        <v>82</v>
      </c>
      <c r="C262" s="33" t="s">
        <v>812</v>
      </c>
      <c r="D262" s="33">
        <v>2028</v>
      </c>
      <c r="E262" s="2">
        <v>163</v>
      </c>
      <c r="F262" s="397">
        <f>SUMIFS(uitkomst_doelgroep[Patiëntaantallen],uitkomst_doelgroep[Digitale zorgtoepassing],B262,uitkomst_doelgroep[Jaar],D262,uitkomst_doelgroep[Arbeidsbesparing (€)],"&gt;0",uitkomst_doelgroep[Uitgangssituatie/effect beleid],uitkomst_tech[[#This Row],[Uitgangssituatie/effect beleid]])</f>
        <v>186798.41561755468</v>
      </c>
      <c r="G262" s="398">
        <f>SUMIFS(uitkomst_doelgroep[Arbeidsbesparing (€)],uitkomst_doelgroep[Digitale zorgtoepassing],B262,uitkomst_doelgroep[Jaar],D262,uitkomst_doelgroep[Arbeidsbesparing (€)],"&gt;0",uitkomst_doelgroep[Uitgangssituatie/effect beleid],uitkomst_tech[[#This Row],[Uitgangssituatie/effect beleid]])</f>
        <v>11468553.889077775</v>
      </c>
      <c r="H262" s="398">
        <f>SUMIFS(uitkomst_doelgroep[Arbeidsbesparing (FTE)],uitkomst_doelgroep[Digitale zorgtoepassing],B262,uitkomst_doelgroep[Jaar],D262,uitkomst_doelgroep[Arbeidsbesparing (FTE)],"&gt;0",uitkomst_doelgroep[Uitgangssituatie/effect beleid],uitkomst_tech[[#This Row],[Uitgangssituatie/effect beleid]])</f>
        <v>209.4712159570324</v>
      </c>
      <c r="I262" s="398">
        <f>SUMIFS(uitkomst_doelgroep[Overige besparingen (€)],uitkomst_doelgroep[Digitale zorgtoepassing],B262,uitkomst_doelgroep[Jaar],D262,uitkomst_doelgroep[Overige besparingen (€)],"&gt;0",uitkomst_doelgroep[Uitgangssituatie/effect beleid],uitkomst_tech[[#This Row],[Uitgangssituatie/effect beleid]])</f>
        <v>14683224.297379881</v>
      </c>
      <c r="J262" s="398">
        <f>SUMIFS(uitkomst_doelgroep[QALY (€)],uitkomst_doelgroep[Digitale zorgtoepassing],B262,uitkomst_doelgroep[Jaar],D262,uitkomst_doelgroep[QALY (€)],"&gt;0",uitkomst_doelgroep[Uitgangssituatie/effect beleid],uitkomst_tech[[#This Row],[Uitgangssituatie/effect beleid]])</f>
        <v>0</v>
      </c>
      <c r="K262" s="398">
        <f>SUMIFS(uitkomst_doelgroep[Kosten (€)],uitkomst_doelgroep[Digitale zorgtoepassing],B262,uitkomst_doelgroep[Jaar],D262,uitkomst_doelgroep[Kosten (€)],"&gt;0",uitkomst_doelgroep[Uitgangssituatie/effect beleid],uitkomst_tech[[#This Row],[Uitgangssituatie/effect beleid]])</f>
        <v>5740937.9733128473</v>
      </c>
      <c r="L262" s="398">
        <f>SUMIFS(uitkomst_doelgroep[Investering (cash flow) (€)],uitkomst_doelgroep[Digitale zorgtoepassing],B262,uitkomst_doelgroep[Jaar],D262,uitkomst_doelgroep[Investering (cash flow) (€)],"&gt;0",uitkomst_doelgroep[Uitgangssituatie/effect beleid],uitkomst_tech[[#This Row],[Uitgangssituatie/effect beleid]])</f>
        <v>0</v>
      </c>
    </row>
    <row r="263" spans="1:12" x14ac:dyDescent="0.5">
      <c r="A263" s="42" t="str">
        <f>INDEX(Technologieën[Veld],MATCH(B263,Technologieën[Digitale zorgtoepassing],0))</f>
        <v>Digitale hulpmiddelen - Diagnose</v>
      </c>
      <c r="B263" s="33" t="s">
        <v>82</v>
      </c>
      <c r="C263" s="33" t="s">
        <v>812</v>
      </c>
      <c r="D263" s="33">
        <v>2029</v>
      </c>
      <c r="E263" s="2">
        <v>195</v>
      </c>
      <c r="F263" s="397">
        <f>SUMIFS(uitkomst_doelgroep[Patiëntaantallen],uitkomst_doelgroep[Digitale zorgtoepassing],B263,uitkomst_doelgroep[Jaar],D263,uitkomst_doelgroep[Arbeidsbesparing (€)],"&gt;0",uitkomst_doelgroep[Uitgangssituatie/effect beleid],uitkomst_tech[[#This Row],[Uitgangssituatie/effect beleid]])</f>
        <v>196867.37737665212</v>
      </c>
      <c r="G263" s="398">
        <f>SUMIFS(uitkomst_doelgroep[Arbeidsbesparing (€)],uitkomst_doelgroep[Digitale zorgtoepassing],B263,uitkomst_doelgroep[Jaar],D263,uitkomst_doelgroep[Arbeidsbesparing (€)],"&gt;0",uitkomst_doelgroep[Uitgangssituatie/effect beleid],uitkomst_tech[[#This Row],[Uitgangssituatie/effect beleid]])</f>
        <v>12086741.308706082</v>
      </c>
      <c r="H263" s="398">
        <f>SUMIFS(uitkomst_doelgroep[Arbeidsbesparing (FTE)],uitkomst_doelgroep[Digitale zorgtoepassing],B263,uitkomst_doelgroep[Jaar],D263,uitkomst_doelgroep[Arbeidsbesparing (FTE)],"&gt;0",uitkomst_doelgroep[Uitgangssituatie/effect beleid],uitkomst_tech[[#This Row],[Uitgangssituatie/effect beleid]])</f>
        <v>220.76230563854887</v>
      </c>
      <c r="I263" s="398">
        <f>SUMIFS(uitkomst_doelgroep[Overige besparingen (€)],uitkomst_doelgroep[Digitale zorgtoepassing],B263,uitkomst_doelgroep[Jaar],D263,uitkomst_doelgroep[Overige besparingen (€)],"&gt;0",uitkomst_doelgroep[Uitgangssituatie/effect beleid],uitkomst_tech[[#This Row],[Uitgangssituatie/effect beleid]])</f>
        <v>15474691.524025215</v>
      </c>
      <c r="J263" s="398">
        <f>SUMIFS(uitkomst_doelgroep[QALY (€)],uitkomst_doelgroep[Digitale zorgtoepassing],B263,uitkomst_doelgroep[Jaar],D263,uitkomst_doelgroep[QALY (€)],"&gt;0",uitkomst_doelgroep[Uitgangssituatie/effect beleid],uitkomst_tech[[#This Row],[Uitgangssituatie/effect beleid]])</f>
        <v>0</v>
      </c>
      <c r="K263" s="398">
        <f>SUMIFS(uitkomst_doelgroep[Kosten (€)],uitkomst_doelgroep[Digitale zorgtoepassing],B263,uitkomst_doelgroep[Jaar],D263,uitkomst_doelgroep[Kosten (€)],"&gt;0",uitkomst_doelgroep[Uitgangssituatie/effect beleid],uitkomst_tech[[#This Row],[Uitgangssituatie/effect beleid]])</f>
        <v>6050390.7313757753</v>
      </c>
      <c r="L263" s="398">
        <f>SUMIFS(uitkomst_doelgroep[Investering (cash flow) (€)],uitkomst_doelgroep[Digitale zorgtoepassing],B263,uitkomst_doelgroep[Jaar],D263,uitkomst_doelgroep[Investering (cash flow) (€)],"&gt;0",uitkomst_doelgroep[Uitgangssituatie/effect beleid],uitkomst_tech[[#This Row],[Uitgangssituatie/effect beleid]])</f>
        <v>0</v>
      </c>
    </row>
    <row r="264" spans="1:12" x14ac:dyDescent="0.5">
      <c r="A264" s="42" t="str">
        <f>INDEX(Technologieën[Veld],MATCH(B264,Technologieën[Digitale zorgtoepassing],0))</f>
        <v>Digitale hulpmiddelen - Diagnose</v>
      </c>
      <c r="B264" s="33" t="s">
        <v>82</v>
      </c>
      <c r="C264" s="33" t="s">
        <v>812</v>
      </c>
      <c r="D264" s="33">
        <v>2030</v>
      </c>
      <c r="E264" s="2">
        <v>227</v>
      </c>
      <c r="F264" s="397">
        <f>SUMIFS(uitkomst_doelgroep[Patiëntaantallen],uitkomst_doelgroep[Digitale zorgtoepassing],B264,uitkomst_doelgroep[Jaar],D264,uitkomst_doelgroep[Arbeidsbesparing (€)],"&gt;0",uitkomst_doelgroep[Uitgangssituatie/effect beleid],uitkomst_tech[[#This Row],[Uitgangssituatie/effect beleid]])</f>
        <v>203544.60661918489</v>
      </c>
      <c r="G264" s="398">
        <f>SUMIFS(uitkomst_doelgroep[Arbeidsbesparing (€)],uitkomst_doelgroep[Digitale zorgtoepassing],B264,uitkomst_doelgroep[Jaar],D264,uitkomst_doelgroep[Arbeidsbesparing (€)],"&gt;0",uitkomst_doelgroep[Uitgangssituatie/effect beleid],uitkomst_tech[[#This Row],[Uitgangssituatie/effect beleid]])</f>
        <v>12496692.127317399</v>
      </c>
      <c r="H264" s="398">
        <f>SUMIFS(uitkomst_doelgroep[Arbeidsbesparing (FTE)],uitkomst_doelgroep[Digitale zorgtoepassing],B264,uitkomst_doelgroep[Jaar],D264,uitkomst_doelgroep[Arbeidsbesparing (FTE)],"&gt;0",uitkomst_doelgroep[Uitgangssituatie/effect beleid],uitkomst_tech[[#This Row],[Uitgangssituatie/effect beleid]])</f>
        <v>228.24998867929168</v>
      </c>
      <c r="I264" s="398">
        <f>SUMIFS(uitkomst_doelgroep[Overige besparingen (€)],uitkomst_doelgroep[Digitale zorgtoepassing],B264,uitkomst_doelgroep[Jaar],D264,uitkomst_doelgroep[Overige besparingen (€)],"&gt;0",uitkomst_doelgroep[Uitgangssituatie/effect beleid],uitkomst_tech[[#This Row],[Uitgangssituatie/effect beleid]])</f>
        <v>15999552.799368486</v>
      </c>
      <c r="J264" s="398">
        <f>SUMIFS(uitkomst_doelgroep[QALY (€)],uitkomst_doelgroep[Digitale zorgtoepassing],B264,uitkomst_doelgroep[Jaar],D264,uitkomst_doelgroep[QALY (€)],"&gt;0",uitkomst_doelgroep[Uitgangssituatie/effect beleid],uitkomst_tech[[#This Row],[Uitgangssituatie/effect beleid]])</f>
        <v>0</v>
      </c>
      <c r="K264" s="398">
        <f>SUMIFS(uitkomst_doelgroep[Kosten (€)],uitkomst_doelgroep[Digitale zorgtoepassing],B264,uitkomst_doelgroep[Jaar],D264,uitkomst_doelgroep[Kosten (€)],"&gt;0",uitkomst_doelgroep[Uitgangssituatie/effect beleid],uitkomst_tech[[#This Row],[Uitgangssituatie/effect beleid]])</f>
        <v>6255604.2434296161</v>
      </c>
      <c r="L264" s="398">
        <f>SUMIFS(uitkomst_doelgroep[Investering (cash flow) (€)],uitkomst_doelgroep[Digitale zorgtoepassing],B264,uitkomst_doelgroep[Jaar],D264,uitkomst_doelgroep[Investering (cash flow) (€)],"&gt;0",uitkomst_doelgroep[Uitgangssituatie/effect beleid],uitkomst_tech[[#This Row],[Uitgangssituatie/effect beleid]])</f>
        <v>0</v>
      </c>
    </row>
    <row r="265" spans="1:12" x14ac:dyDescent="0.5">
      <c r="A265" s="42" t="str">
        <f>INDEX(Technologieën[Veld],MATCH(B265,Technologieën[Digitale zorgtoepassing],0))</f>
        <v>Digitale hulpmiddelen - Diagnose</v>
      </c>
      <c r="B265" s="33" t="s">
        <v>82</v>
      </c>
      <c r="C265" s="33" t="s">
        <v>812</v>
      </c>
      <c r="D265" s="33">
        <v>2031</v>
      </c>
      <c r="E265" s="2">
        <v>259</v>
      </c>
      <c r="F265" s="397">
        <f>SUMIFS(uitkomst_doelgroep[Patiëntaantallen],uitkomst_doelgroep[Digitale zorgtoepassing],B265,uitkomst_doelgroep[Jaar],D265,uitkomst_doelgroep[Arbeidsbesparing (€)],"&gt;0",uitkomst_doelgroep[Uitgangssituatie/effect beleid],uitkomst_tech[[#This Row],[Uitgangssituatie/effect beleid]])</f>
        <v>207763.68567216877</v>
      </c>
      <c r="G265" s="398">
        <f>SUMIFS(uitkomst_doelgroep[Arbeidsbesparing (€)],uitkomst_doelgroep[Digitale zorgtoepassing],B265,uitkomst_doelgroep[Jaar],D265,uitkomst_doelgroep[Arbeidsbesparing (€)],"&gt;0",uitkomst_doelgroep[Uitgangssituatie/effect beleid],uitkomst_tech[[#This Row],[Uitgangssituatie/effect beleid]])</f>
        <v>12755723.957547106</v>
      </c>
      <c r="H265" s="398">
        <f>SUMIFS(uitkomst_doelgroep[Arbeidsbesparing (FTE)],uitkomst_doelgroep[Digitale zorgtoepassing],B265,uitkomst_doelgroep[Jaar],D265,uitkomst_doelgroep[Arbeidsbesparing (FTE)],"&gt;0",uitkomst_doelgroep[Uitgangssituatie/effect beleid],uitkomst_tech[[#This Row],[Uitgangssituatie/effect beleid]])</f>
        <v>232.98116167412473</v>
      </c>
      <c r="I265" s="398">
        <f>SUMIFS(uitkomst_doelgroep[Overige besparingen (€)],uitkomst_doelgroep[Digitale zorgtoepassing],B265,uitkomst_doelgroep[Jaar],D265,uitkomst_doelgroep[Overige besparingen (€)],"&gt;0",uitkomst_doelgroep[Uitgangssituatie/effect beleid],uitkomst_tech[[#This Row],[Uitgangssituatie/effect beleid]])</f>
        <v>16331192.036556521</v>
      </c>
      <c r="J265" s="398">
        <f>SUMIFS(uitkomst_doelgroep[QALY (€)],uitkomst_doelgroep[Digitale zorgtoepassing],B265,uitkomst_doelgroep[Jaar],D265,uitkomst_doelgroep[QALY (€)],"&gt;0",uitkomst_doelgroep[Uitgangssituatie/effect beleid],uitkomst_tech[[#This Row],[Uitgangssituatie/effect beleid]])</f>
        <v>0</v>
      </c>
      <c r="K265" s="398">
        <f>SUMIFS(uitkomst_doelgroep[Kosten (€)],uitkomst_doelgroep[Digitale zorgtoepassing],B265,uitkomst_doelgroep[Jaar],D265,uitkomst_doelgroep[Kosten (€)],"&gt;0",uitkomst_doelgroep[Uitgangssituatie/effect beleid],uitkomst_tech[[#This Row],[Uitgangssituatie/effect beleid]])</f>
        <v>6385270.6063246531</v>
      </c>
      <c r="L265" s="398">
        <f>SUMIFS(uitkomst_doelgroep[Investering (cash flow) (€)],uitkomst_doelgroep[Digitale zorgtoepassing],B265,uitkomst_doelgroep[Jaar],D265,uitkomst_doelgroep[Investering (cash flow) (€)],"&gt;0",uitkomst_doelgroep[Uitgangssituatie/effect beleid],uitkomst_tech[[#This Row],[Uitgangssituatie/effect beleid]])</f>
        <v>0</v>
      </c>
    </row>
    <row r="266" spans="1:12" x14ac:dyDescent="0.5">
      <c r="A266" s="42" t="str">
        <f>INDEX(Technologieën[Veld],MATCH(B266,Technologieën[Digitale zorgtoepassing],0))</f>
        <v>Digitale hulpmiddelen - Diagnose</v>
      </c>
      <c r="B266" s="33" t="s">
        <v>82</v>
      </c>
      <c r="C266" s="33" t="s">
        <v>812</v>
      </c>
      <c r="D266" s="33">
        <v>2032</v>
      </c>
      <c r="E266" s="2">
        <v>291</v>
      </c>
      <c r="F266" s="397">
        <f>SUMIFS(uitkomst_doelgroep[Patiëntaantallen],uitkomst_doelgroep[Digitale zorgtoepassing],B266,uitkomst_doelgroep[Jaar],D266,uitkomst_doelgroep[Arbeidsbesparing (€)],"&gt;0",uitkomst_doelgroep[Uitgangssituatie/effect beleid],uitkomst_tech[[#This Row],[Uitgangssituatie/effect beleid]])</f>
        <v>210343.66021446022</v>
      </c>
      <c r="G266" s="398">
        <f>SUMIFS(uitkomst_doelgroep[Arbeidsbesparing (€)],uitkomst_doelgroep[Digitale zorgtoepassing],B266,uitkomst_doelgroep[Jaar],D266,uitkomst_doelgroep[Arbeidsbesparing (€)],"&gt;0",uitkomst_doelgroep[Uitgangssituatie/effect beleid],uitkomst_tech[[#This Row],[Uitgangssituatie/effect beleid]])</f>
        <v>12914122.394562209</v>
      </c>
      <c r="H266" s="398">
        <f>SUMIFS(uitkomst_doelgroep[Arbeidsbesparing (FTE)],uitkomst_doelgroep[Digitale zorgtoepassing],B266,uitkomst_doelgroep[Jaar],D266,uitkomst_doelgroep[Arbeidsbesparing (FTE)],"&gt;0",uitkomst_doelgroep[Uitgangssituatie/effect beleid],uitkomst_tech[[#This Row],[Uitgangssituatie/effect beleid]])</f>
        <v>235.87428259661931</v>
      </c>
      <c r="I266" s="398">
        <f>SUMIFS(uitkomst_doelgroep[Overige besparingen (€)],uitkomst_doelgroep[Digitale zorgtoepassing],B266,uitkomst_doelgroep[Jaar],D266,uitkomst_doelgroep[Overige besparingen (€)],"&gt;0",uitkomst_doelgroep[Uitgangssituatie/effect beleid],uitkomst_tech[[#This Row],[Uitgangssituatie/effect beleid]])</f>
        <v>16533990.035462223</v>
      </c>
      <c r="J266" s="398">
        <f>SUMIFS(uitkomst_doelgroep[QALY (€)],uitkomst_doelgroep[Digitale zorgtoepassing],B266,uitkomst_doelgroep[Jaar],D266,uitkomst_doelgroep[QALY (€)],"&gt;0",uitkomst_doelgroep[Uitgangssituatie/effect beleid],uitkomst_tech[[#This Row],[Uitgangssituatie/effect beleid]])</f>
        <v>0</v>
      </c>
      <c r="K266" s="398">
        <f>SUMIFS(uitkomst_doelgroep[Kosten (€)],uitkomst_doelgroep[Digitale zorgtoepassing],B266,uitkomst_doelgroep[Jaar],D266,uitkomst_doelgroep[Kosten (€)],"&gt;0",uitkomst_doelgroep[Uitgangssituatie/effect beleid],uitkomst_tech[[#This Row],[Uitgangssituatie/effect beleid]])</f>
        <v>6464561.8239244111</v>
      </c>
      <c r="L266" s="398">
        <f>SUMIFS(uitkomst_doelgroep[Investering (cash flow) (€)],uitkomst_doelgroep[Digitale zorgtoepassing],B266,uitkomst_doelgroep[Jaar],D266,uitkomst_doelgroep[Investering (cash flow) (€)],"&gt;0",uitkomst_doelgroep[Uitgangssituatie/effect beleid],uitkomst_tech[[#This Row],[Uitgangssituatie/effect beleid]])</f>
        <v>0</v>
      </c>
    </row>
    <row r="267" spans="1:12" x14ac:dyDescent="0.5">
      <c r="A267" s="42" t="str">
        <f>INDEX(Technologieën[Veld],MATCH(B267,Technologieën[Digitale zorgtoepassing],0))</f>
        <v>Digitale hulpmiddelen - Diagnose</v>
      </c>
      <c r="B267" s="33" t="s">
        <v>82</v>
      </c>
      <c r="C267" s="33" t="s">
        <v>812</v>
      </c>
      <c r="D267" s="33">
        <v>2033</v>
      </c>
      <c r="E267" s="2">
        <v>323</v>
      </c>
      <c r="F267" s="397">
        <f>SUMIFS(uitkomst_doelgroep[Patiëntaantallen],uitkomst_doelgroep[Digitale zorgtoepassing],B267,uitkomst_doelgroep[Jaar],D267,uitkomst_doelgroep[Arbeidsbesparing (€)],"&gt;0",uitkomst_doelgroep[Uitgangssituatie/effect beleid],uitkomst_tech[[#This Row],[Uitgangssituatie/effect beleid]])</f>
        <v>211888.5446161041</v>
      </c>
      <c r="G267" s="398">
        <f>SUMIFS(uitkomst_doelgroep[Arbeidsbesparing (€)],uitkomst_doelgroep[Digitale zorgtoepassing],B267,uitkomst_doelgroep[Jaar],D267,uitkomst_doelgroep[Arbeidsbesparing (€)],"&gt;0",uitkomst_doelgroep[Uitgangssituatie/effect beleid],uitkomst_tech[[#This Row],[Uitgangssituatie/effect beleid]])</f>
        <v>13008971.111314299</v>
      </c>
      <c r="H267" s="398">
        <f>SUMIFS(uitkomst_doelgroep[Arbeidsbesparing (FTE)],uitkomst_doelgroep[Digitale zorgtoepassing],B267,uitkomst_doelgroep[Jaar],D267,uitkomst_doelgroep[Arbeidsbesparing (FTE)],"&gt;0",uitkomst_doelgroep[Uitgangssituatie/effect beleid],uitkomst_tech[[#This Row],[Uitgangssituatie/effect beleid]])</f>
        <v>237.60667852222468</v>
      </c>
      <c r="I267" s="398">
        <f>SUMIFS(uitkomst_doelgroep[Overige besparingen (€)],uitkomst_doelgroep[Digitale zorgtoepassing],B267,uitkomst_doelgroep[Jaar],D267,uitkomst_doelgroep[Overige besparingen (€)],"&gt;0",uitkomst_doelgroep[Uitgangssituatie/effect beleid],uitkomst_tech[[#This Row],[Uitgangssituatie/effect beleid]])</f>
        <v>16655425.134940278</v>
      </c>
      <c r="J267" s="398">
        <f>SUMIFS(uitkomst_doelgroep[QALY (€)],uitkomst_doelgroep[Digitale zorgtoepassing],B267,uitkomst_doelgroep[Jaar],D267,uitkomst_doelgroep[QALY (€)],"&gt;0",uitkomst_doelgroep[Uitgangssituatie/effect beleid],uitkomst_tech[[#This Row],[Uitgangssituatie/effect beleid]])</f>
        <v>0</v>
      </c>
      <c r="K267" s="398">
        <f>SUMIFS(uitkomst_doelgroep[Kosten (€)],uitkomst_doelgroep[Digitale zorgtoepassing],B267,uitkomst_doelgroep[Jaar],D267,uitkomst_doelgroep[Kosten (€)],"&gt;0",uitkomst_doelgroep[Uitgangssituatie/effect beleid],uitkomst_tech[[#This Row],[Uitgangssituatie/effect beleid]])</f>
        <v>6512041.2712015994</v>
      </c>
      <c r="L267" s="398">
        <f>SUMIFS(uitkomst_doelgroep[Investering (cash flow) (€)],uitkomst_doelgroep[Digitale zorgtoepassing],B267,uitkomst_doelgroep[Jaar],D267,uitkomst_doelgroep[Investering (cash flow) (€)],"&gt;0",uitkomst_doelgroep[Uitgangssituatie/effect beleid],uitkomst_tech[[#This Row],[Uitgangssituatie/effect beleid]])</f>
        <v>0</v>
      </c>
    </row>
    <row r="268" spans="1:12" x14ac:dyDescent="0.5">
      <c r="A268" s="42" t="str">
        <f>INDEX(Technologieën[Veld],MATCH(B268,Technologieën[Digitale zorgtoepassing],0))</f>
        <v>Sensoren - Behandeling</v>
      </c>
      <c r="B268" s="33" t="s">
        <v>88</v>
      </c>
      <c r="C268" s="33" t="s">
        <v>812</v>
      </c>
      <c r="D268" s="33">
        <v>2023</v>
      </c>
      <c r="E268" s="2">
        <v>13</v>
      </c>
      <c r="F268" s="397">
        <f>SUMIFS(uitkomst_doelgroep[Patiëntaantallen],uitkomst_doelgroep[Digitale zorgtoepassing],B268,uitkomst_doelgroep[Jaar],D268,uitkomst_doelgroep[Arbeidsbesparing (€)],"&gt;0",uitkomst_doelgroep[Uitgangssituatie/effect beleid],uitkomst_tech[[#This Row],[Uitgangssituatie/effect beleid]])</f>
        <v>89051.199999999997</v>
      </c>
      <c r="G268" s="398">
        <f>SUMIFS(uitkomst_doelgroep[Arbeidsbesparing (€)],uitkomst_doelgroep[Digitale zorgtoepassing],B268,uitkomst_doelgroep[Jaar],D268,uitkomst_doelgroep[Arbeidsbesparing (€)],"&gt;0",uitkomst_doelgroep[Uitgangssituatie/effect beleid],uitkomst_tech[[#This Row],[Uitgangssituatie/effect beleid]])</f>
        <v>19123105.195586208</v>
      </c>
      <c r="H268" s="398">
        <f>SUMIFS(uitkomst_doelgroep[Arbeidsbesparing (FTE)],uitkomst_doelgroep[Digitale zorgtoepassing],B268,uitkomst_doelgroep[Jaar],D268,uitkomst_doelgroep[Arbeidsbesparing (FTE)],"&gt;0",uitkomst_doelgroep[Uitgangssituatie/effect beleid],uitkomst_tech[[#This Row],[Uitgangssituatie/effect beleid]])</f>
        <v>360.82140910139469</v>
      </c>
      <c r="I268" s="398">
        <f>SUMIFS(uitkomst_doelgroep[Overige besparingen (€)],uitkomst_doelgroep[Digitale zorgtoepassing],B268,uitkomst_doelgroep[Jaar],D268,uitkomst_doelgroep[Overige besparingen (€)],"&gt;0",uitkomst_doelgroep[Uitgangssituatie/effect beleid],uitkomst_tech[[#This Row],[Uitgangssituatie/effect beleid]])</f>
        <v>9600000</v>
      </c>
      <c r="J268" s="398">
        <f>SUMIFS(uitkomst_doelgroep[QALY (€)],uitkomst_doelgroep[Digitale zorgtoepassing],B268,uitkomst_doelgroep[Jaar],D268,uitkomst_doelgroep[QALY (€)],"&gt;0",uitkomst_doelgroep[Uitgangssituatie/effect beleid],uitkomst_tech[[#This Row],[Uitgangssituatie/effect beleid]])</f>
        <v>132000000</v>
      </c>
      <c r="K268" s="398">
        <f>SUMIFS(uitkomst_doelgroep[Kosten (€)],uitkomst_doelgroep[Digitale zorgtoepassing],B268,uitkomst_doelgroep[Jaar],D268,uitkomst_doelgroep[Kosten (€)],"&gt;0",uitkomst_doelgroep[Uitgangssituatie/effect beleid],uitkomst_tech[[#This Row],[Uitgangssituatie/effect beleid]])</f>
        <v>41052000</v>
      </c>
      <c r="L268" s="398">
        <f>SUMIFS(uitkomst_doelgroep[Investering (cash flow) (€)],uitkomst_doelgroep[Digitale zorgtoepassing],B268,uitkomst_doelgroep[Jaar],D268,uitkomst_doelgroep[Investering (cash flow) (€)],"&gt;0",uitkomst_doelgroep[Uitgangssituatie/effect beleid],uitkomst_tech[[#This Row],[Uitgangssituatie/effect beleid]])</f>
        <v>8152374.9999999953</v>
      </c>
    </row>
    <row r="269" spans="1:12" x14ac:dyDescent="0.5">
      <c r="A269" s="42" t="str">
        <f>INDEX(Technologieën[Veld],MATCH(B269,Technologieën[Digitale zorgtoepassing],0))</f>
        <v>Sensoren - Behandeling</v>
      </c>
      <c r="B269" s="33" t="s">
        <v>88</v>
      </c>
      <c r="C269" s="33" t="s">
        <v>812</v>
      </c>
      <c r="D269" s="33">
        <v>2024</v>
      </c>
      <c r="E269" s="2">
        <v>45</v>
      </c>
      <c r="F269" s="397">
        <f>SUMIFS(uitkomst_doelgroep[Patiëntaantallen],uitkomst_doelgroep[Digitale zorgtoepassing],B269,uitkomst_doelgroep[Jaar],D269,uitkomst_doelgroep[Arbeidsbesparing (€)],"&gt;0",uitkomst_doelgroep[Uitgangssituatie/effect beleid],uitkomst_tech[[#This Row],[Uitgangssituatie/effect beleid]])</f>
        <v>97727.936000000002</v>
      </c>
      <c r="G269" s="398">
        <f>SUMIFS(uitkomst_doelgroep[Arbeidsbesparing (€)],uitkomst_doelgroep[Digitale zorgtoepassing],B269,uitkomst_doelgroep[Jaar],D269,uitkomst_doelgroep[Arbeidsbesparing (€)],"&gt;0",uitkomst_doelgroep[Uitgangssituatie/effect beleid],uitkomst_tech[[#This Row],[Uitgangssituatie/effect beleid]])</f>
        <v>21437982.550718162</v>
      </c>
      <c r="H269" s="398">
        <f>SUMIFS(uitkomst_doelgroep[Arbeidsbesparing (FTE)],uitkomst_doelgroep[Digitale zorgtoepassing],B269,uitkomst_doelgroep[Jaar],D269,uitkomst_doelgroep[Arbeidsbesparing (FTE)],"&gt;0",uitkomst_doelgroep[Uitgangssituatie/effect beleid],uitkomst_tech[[#This Row],[Uitgangssituatie/effect beleid]])</f>
        <v>406.72202472740389</v>
      </c>
      <c r="I269" s="398">
        <f>SUMIFS(uitkomst_doelgroep[Overige besparingen (€)],uitkomst_doelgroep[Digitale zorgtoepassing],B269,uitkomst_doelgroep[Jaar],D269,uitkomst_doelgroep[Overige besparingen (€)],"&gt;0",uitkomst_doelgroep[Uitgangssituatie/effect beleid],uitkomst_tech[[#This Row],[Uitgangssituatie/effect beleid]])</f>
        <v>10524000</v>
      </c>
      <c r="J269" s="398">
        <f>SUMIFS(uitkomst_doelgroep[QALY (€)],uitkomst_doelgroep[Digitale zorgtoepassing],B269,uitkomst_doelgroep[Jaar],D269,uitkomst_doelgroep[QALY (€)],"&gt;0",uitkomst_doelgroep[Uitgangssituatie/effect beleid],uitkomst_tech[[#This Row],[Uitgangssituatie/effect beleid]])</f>
        <v>144705000</v>
      </c>
      <c r="K269" s="398">
        <f>SUMIFS(uitkomst_doelgroep[Kosten (€)],uitkomst_doelgroep[Digitale zorgtoepassing],B269,uitkomst_doelgroep[Jaar],D269,uitkomst_doelgroep[Kosten (€)],"&gt;0",uitkomst_doelgroep[Uitgangssituatie/effect beleid],uitkomst_tech[[#This Row],[Uitgangssituatie/effect beleid]])</f>
        <v>45003255</v>
      </c>
      <c r="L269" s="398">
        <f>SUMIFS(uitkomst_doelgroep[Investering (cash flow) (€)],uitkomst_doelgroep[Digitale zorgtoepassing],B269,uitkomst_doelgroep[Jaar],D269,uitkomst_doelgroep[Investering (cash flow) (€)],"&gt;0",uitkomst_doelgroep[Uitgangssituatie/effect beleid],uitkomst_tech[[#This Row],[Uitgangssituatie/effect beleid]])</f>
        <v>5464944.581250011</v>
      </c>
    </row>
    <row r="270" spans="1:12" x14ac:dyDescent="0.5">
      <c r="A270" s="42" t="str">
        <f>INDEX(Technologieën[Veld],MATCH(B270,Technologieën[Digitale zorgtoepassing],0))</f>
        <v>Sensoren - Behandeling</v>
      </c>
      <c r="B270" s="33" t="s">
        <v>88</v>
      </c>
      <c r="C270" s="33" t="s">
        <v>812</v>
      </c>
      <c r="D270" s="33">
        <v>2025</v>
      </c>
      <c r="E270" s="2">
        <v>77</v>
      </c>
      <c r="F270" s="397">
        <f>SUMIFS(uitkomst_doelgroep[Patiëntaantallen],uitkomst_doelgroep[Digitale zorgtoepassing],B270,uitkomst_doelgroep[Jaar],D270,uitkomst_doelgroep[Arbeidsbesparing (€)],"&gt;0",uitkomst_doelgroep[Uitgangssituatie/effect beleid],uitkomst_tech[[#This Row],[Uitgangssituatie/effect beleid]])</f>
        <v>103577.7841784</v>
      </c>
      <c r="G270" s="398">
        <f>SUMIFS(uitkomst_doelgroep[Arbeidsbesparing (€)],uitkomst_doelgroep[Digitale zorgtoepassing],B270,uitkomst_doelgroep[Jaar],D270,uitkomst_doelgroep[Arbeidsbesparing (€)],"&gt;0",uitkomst_doelgroep[Uitgangssituatie/effect beleid],uitkomst_tech[[#This Row],[Uitgangssituatie/effect beleid]])</f>
        <v>23139820.722452436</v>
      </c>
      <c r="H270" s="398">
        <f>SUMIFS(uitkomst_doelgroep[Arbeidsbesparing (FTE)],uitkomst_doelgroep[Digitale zorgtoepassing],B270,uitkomst_doelgroep[Jaar],D270,uitkomst_doelgroep[Arbeidsbesparing (FTE)],"&gt;0",uitkomst_doelgroep[Uitgangssituatie/effect beleid],uitkomst_tech[[#This Row],[Uitgangssituatie/effect beleid]])</f>
        <v>441.0261453302993</v>
      </c>
      <c r="I270" s="398">
        <f>SUMIFS(uitkomst_doelgroep[Overige besparingen (€)],uitkomst_doelgroep[Digitale zorgtoepassing],B270,uitkomst_doelgroep[Jaar],D270,uitkomst_doelgroep[Overige besparingen (€)],"&gt;0",uitkomst_doelgroep[Uitgangssituatie/effect beleid],uitkomst_tech[[#This Row],[Uitgangssituatie/effect beleid]])</f>
        <v>11143403.4</v>
      </c>
      <c r="J270" s="398">
        <f>SUMIFS(uitkomst_doelgroep[QALY (€)],uitkomst_doelgroep[Digitale zorgtoepassing],B270,uitkomst_doelgroep[Jaar],D270,uitkomst_doelgroep[QALY (€)],"&gt;0",uitkomst_doelgroep[Uitgangssituatie/effect beleid],uitkomst_tech[[#This Row],[Uitgangssituatie/effect beleid]])</f>
        <v>153221796.75000003</v>
      </c>
      <c r="K270" s="398">
        <f>SUMIFS(uitkomst_doelgroep[Kosten (€)],uitkomst_doelgroep[Digitale zorgtoepassing],B270,uitkomst_doelgroep[Jaar],D270,uitkomst_doelgroep[Kosten (€)],"&gt;0",uitkomst_doelgroep[Uitgangssituatie/effect beleid],uitkomst_tech[[#This Row],[Uitgangssituatie/effect beleid]])</f>
        <v>47651978.789250009</v>
      </c>
      <c r="L270" s="398">
        <f>SUMIFS(uitkomst_doelgroep[Investering (cash flow) (€)],uitkomst_doelgroep[Digitale zorgtoepassing],B270,uitkomst_doelgroep[Jaar],D270,uitkomst_doelgroep[Investering (cash flow) (€)],"&gt;0",uitkomst_doelgroep[Uitgangssituatie/effect beleid],uitkomst_tech[[#This Row],[Uitgangssituatie/effect beleid]])</f>
        <v>3347127.5732591939</v>
      </c>
    </row>
    <row r="271" spans="1:12" x14ac:dyDescent="0.5">
      <c r="A271" s="42" t="str">
        <f>INDEX(Technologieën[Veld],MATCH(B271,Technologieën[Digitale zorgtoepassing],0))</f>
        <v>Sensoren - Behandeling</v>
      </c>
      <c r="B271" s="33" t="s">
        <v>88</v>
      </c>
      <c r="C271" s="33" t="s">
        <v>812</v>
      </c>
      <c r="D271" s="33">
        <v>2026</v>
      </c>
      <c r="E271" s="2">
        <v>109</v>
      </c>
      <c r="F271" s="397">
        <f>SUMIFS(uitkomst_doelgroep[Patiëntaantallen],uitkomst_doelgroep[Digitale zorgtoepassing],B271,uitkomst_doelgroep[Jaar],D271,uitkomst_doelgroep[Arbeidsbesparing (€)],"&gt;0",uitkomst_doelgroep[Uitgangssituatie/effect beleid],uitkomst_tech[[#This Row],[Uitgangssituatie/effect beleid]])</f>
        <v>107181.66302009502</v>
      </c>
      <c r="G271" s="398">
        <f>SUMIFS(uitkomst_doelgroep[Arbeidsbesparing (€)],uitkomst_doelgroep[Digitale zorgtoepassing],B271,uitkomst_doelgroep[Jaar],D271,uitkomst_doelgroep[Arbeidsbesparing (€)],"&gt;0",uitkomst_doelgroep[Uitgangssituatie/effect beleid],uitkomst_tech[[#This Row],[Uitgangssituatie/effect beleid]])</f>
        <v>24276541.817907784</v>
      </c>
      <c r="H271" s="398">
        <f>SUMIFS(uitkomst_doelgroep[Arbeidsbesparing (FTE)],uitkomst_doelgroep[Digitale zorgtoepassing],B271,uitkomst_doelgroep[Jaar],D271,uitkomst_doelgroep[Arbeidsbesparing (FTE)],"&gt;0",uitkomst_doelgroep[Uitgangssituatie/effect beleid],uitkomst_tech[[#This Row],[Uitgangssituatie/effect beleid]])</f>
        <v>464.25986565948557</v>
      </c>
      <c r="I271" s="398">
        <f>SUMIFS(uitkomst_doelgroep[Overige besparingen (€)],uitkomst_doelgroep[Digitale zorgtoepassing],B271,uitkomst_doelgroep[Jaar],D271,uitkomst_doelgroep[Overige besparingen (€)],"&gt;0",uitkomst_doelgroep[Uitgangssituatie/effect beleid],uitkomst_tech[[#This Row],[Uitgangssituatie/effect beleid]])</f>
        <v>11522770.869932566</v>
      </c>
      <c r="J271" s="398">
        <f>SUMIFS(uitkomst_doelgroep[QALY (€)],uitkomst_doelgroep[Digitale zorgtoepassing],B271,uitkomst_doelgroep[Jaar],D271,uitkomst_doelgroep[QALY (€)],"&gt;0",uitkomst_doelgroep[Uitgangssituatie/effect beleid],uitkomst_tech[[#This Row],[Uitgangssituatie/effect beleid]])</f>
        <v>158438099.4615728</v>
      </c>
      <c r="K271" s="398">
        <f>SUMIFS(uitkomst_doelgroep[Kosten (€)],uitkomst_doelgroep[Digitale zorgtoepassing],B271,uitkomst_doelgroep[Jaar],D271,uitkomst_doelgroep[Kosten (€)],"&gt;0",uitkomst_doelgroep[Uitgangssituatie/effect beleid],uitkomst_tech[[#This Row],[Uitgangssituatie/effect beleid]])</f>
        <v>49274248.932549134</v>
      </c>
      <c r="L271" s="398">
        <f>SUMIFS(uitkomst_doelgroep[Investering (cash flow) (€)],uitkomst_doelgroep[Digitale zorgtoepassing],B271,uitkomst_doelgroep[Jaar],D271,uitkomst_doelgroep[Investering (cash flow) (€)],"&gt;0",uitkomst_doelgroep[Uitgangssituatie/effect beleid],uitkomst_tech[[#This Row],[Uitgangssituatie/effect beleid]])</f>
        <v>1924660.1589247482</v>
      </c>
    </row>
    <row r="272" spans="1:12" x14ac:dyDescent="0.5">
      <c r="A272" s="42" t="str">
        <f>INDEX(Technologieën[Veld],MATCH(B272,Technologieën[Digitale zorgtoepassing],0))</f>
        <v>Sensoren - Behandeling</v>
      </c>
      <c r="B272" s="33" t="s">
        <v>88</v>
      </c>
      <c r="C272" s="33" t="s">
        <v>812</v>
      </c>
      <c r="D272" s="33">
        <v>2027</v>
      </c>
      <c r="E272" s="2">
        <v>141</v>
      </c>
      <c r="F272" s="397">
        <f>SUMIFS(uitkomst_doelgroep[Patiëntaantallen],uitkomst_doelgroep[Digitale zorgtoepassing],B272,uitkomst_doelgroep[Jaar],D272,uitkomst_doelgroep[Arbeidsbesparing (€)],"&gt;0",uitkomst_doelgroep[Uitgangssituatie/effect beleid],uitkomst_tech[[#This Row],[Uitgangssituatie/effect beleid]])</f>
        <v>109264.44421060763</v>
      </c>
      <c r="G272" s="398">
        <f>SUMIFS(uitkomst_doelgroep[Arbeidsbesparing (€)],uitkomst_doelgroep[Digitale zorgtoepassing],B272,uitkomst_doelgroep[Jaar],D272,uitkomst_doelgroep[Arbeidsbesparing (€)],"&gt;0",uitkomst_doelgroep[Uitgangssituatie/effect beleid],uitkomst_tech[[#This Row],[Uitgangssituatie/effect beleid]])</f>
        <v>24977284.082416199</v>
      </c>
      <c r="H272" s="398">
        <f>SUMIFS(uitkomst_doelgroep[Arbeidsbesparing (FTE)],uitkomst_doelgroep[Digitale zorgtoepassing],B272,uitkomst_doelgroep[Jaar],D272,uitkomst_doelgroep[Arbeidsbesparing (FTE)],"&gt;0",uitkomst_doelgroep[Uitgangssituatie/effect beleid],uitkomst_tech[[#This Row],[Uitgangssituatie/effect beleid]])</f>
        <v>478.72927347513735</v>
      </c>
      <c r="I272" s="398">
        <f>SUMIFS(uitkomst_doelgroep[Overige besparingen (€)],uitkomst_doelgroep[Digitale zorgtoepassing],B272,uitkomst_doelgroep[Jaar],D272,uitkomst_doelgroep[Overige besparingen (€)],"&gt;0",uitkomst_doelgroep[Uitgangssituatie/effect beleid],uitkomst_tech[[#This Row],[Uitgangssituatie/effect beleid]])</f>
        <v>11740914.170117661</v>
      </c>
      <c r="J272" s="398">
        <f>SUMIFS(uitkomst_doelgroep[QALY (€)],uitkomst_doelgroep[Digitale zorgtoepassing],B272,uitkomst_doelgroep[Jaar],D272,uitkomst_doelgroep[QALY (€)],"&gt;0",uitkomst_doelgroep[Uitgangssituatie/effect beleid],uitkomst_tech[[#This Row],[Uitgangssituatie/effect beleid]])</f>
        <v>161437569.83911785</v>
      </c>
      <c r="K272" s="398">
        <f>SUMIFS(uitkomst_doelgroep[Kosten (€)],uitkomst_doelgroep[Digitale zorgtoepassing],B272,uitkomst_doelgroep[Jaar],D272,uitkomst_doelgroep[Kosten (€)],"&gt;0",uitkomst_doelgroep[Uitgangssituatie/effect beleid],uitkomst_tech[[#This Row],[Uitgangssituatie/effect beleid]])</f>
        <v>50207084.219965652</v>
      </c>
      <c r="L272" s="398">
        <f>SUMIFS(uitkomst_doelgroep[Investering (cash flow) (€)],uitkomst_doelgroep[Digitale zorgtoepassing],B272,uitkomst_doelgroep[Jaar],D272,uitkomst_doelgroep[Investering (cash flow) (€)],"&gt;0",uitkomst_doelgroep[Uitgangssituatie/effect beleid],uitkomst_tech[[#This Row],[Uitgangssituatie/effect beleid]])</f>
        <v>1063589.9359793356</v>
      </c>
    </row>
    <row r="273" spans="1:12" x14ac:dyDescent="0.5">
      <c r="A273" s="42" t="str">
        <f>INDEX(Technologieën[Veld],MATCH(B273,Technologieën[Digitale zorgtoepassing],0))</f>
        <v>Sensoren - Behandeling</v>
      </c>
      <c r="B273" s="33" t="s">
        <v>88</v>
      </c>
      <c r="C273" s="33" t="s">
        <v>812</v>
      </c>
      <c r="D273" s="33">
        <v>2028</v>
      </c>
      <c r="E273" s="2">
        <v>173</v>
      </c>
      <c r="F273" s="397">
        <f>SUMIFS(uitkomst_doelgroep[Patiëntaantallen],uitkomst_doelgroep[Digitale zorgtoepassing],B273,uitkomst_doelgroep[Jaar],D273,uitkomst_doelgroep[Arbeidsbesparing (€)],"&gt;0",uitkomst_doelgroep[Uitgangssituatie/effect beleid],uitkomst_tech[[#This Row],[Uitgangssituatie/effect beleid]])</f>
        <v>110419.70216451929</v>
      </c>
      <c r="G273" s="398">
        <f>SUMIFS(uitkomst_doelgroep[Arbeidsbesparing (€)],uitkomst_doelgroep[Digitale zorgtoepassing],B273,uitkomst_doelgroep[Jaar],D273,uitkomst_doelgroep[Arbeidsbesparing (€)],"&gt;0",uitkomst_doelgroep[Uitgangssituatie/effect beleid],uitkomst_tech[[#This Row],[Uitgangssituatie/effect beleid]])</f>
        <v>25383790.881808519</v>
      </c>
      <c r="H273" s="398">
        <f>SUMIFS(uitkomst_doelgroep[Arbeidsbesparing (FTE)],uitkomst_doelgroep[Digitale zorgtoepassing],B273,uitkomst_doelgroep[Jaar],D273,uitkomst_doelgroep[Arbeidsbesparing (FTE)],"&gt;0",uitkomst_doelgroep[Uitgangssituatie/effect beleid],uitkomst_tech[[#This Row],[Uitgangssituatie/effect beleid]])</f>
        <v>487.17910202832047</v>
      </c>
      <c r="I273" s="398">
        <f>SUMIFS(uitkomst_doelgroep[Overige besparingen (€)],uitkomst_doelgroep[Digitale zorgtoepassing],B273,uitkomst_doelgroep[Jaar],D273,uitkomst_doelgroep[Overige besparingen (€)],"&gt;0",uitkomst_doelgroep[Uitgangssituatie/effect beleid],uitkomst_tech[[#This Row],[Uitgangssituatie/effect beleid]])</f>
        <v>11861462.734290054</v>
      </c>
      <c r="J273" s="398">
        <f>SUMIFS(uitkomst_doelgroep[QALY (€)],uitkomst_doelgroep[Digitale zorgtoepassing],B273,uitkomst_doelgroep[Jaar],D273,uitkomst_doelgroep[QALY (€)],"&gt;0",uitkomst_doelgroep[Uitgangssituatie/effect beleid],uitkomst_tech[[#This Row],[Uitgangssituatie/effect beleid]])</f>
        <v>163095112.59648824</v>
      </c>
      <c r="K273" s="398">
        <f>SUMIFS(uitkomst_doelgroep[Kosten (€)],uitkomst_doelgroep[Digitale zorgtoepassing],B273,uitkomst_doelgroep[Jaar],D273,uitkomst_doelgroep[Kosten (€)],"&gt;0",uitkomst_doelgroep[Uitgangssituatie/effect beleid],uitkomst_tech[[#This Row],[Uitgangssituatie/effect beleid]])</f>
        <v>50722580.017507844</v>
      </c>
      <c r="L273" s="398">
        <f>SUMIFS(uitkomst_doelgroep[Investering (cash flow) (€)],uitkomst_doelgroep[Digitale zorgtoepassing],B273,uitkomst_doelgroep[Jaar],D273,uitkomst_doelgroep[Investering (cash flow) (€)],"&gt;0",uitkomst_doelgroep[Uitgangssituatie/effect beleid],uitkomst_tech[[#This Row],[Uitgangssituatie/effect beleid]])</f>
        <v>574243.76349358889</v>
      </c>
    </row>
    <row r="274" spans="1:12" x14ac:dyDescent="0.5">
      <c r="A274" s="42" t="str">
        <f>INDEX(Technologieën[Veld],MATCH(B274,Technologieën[Digitale zorgtoepassing],0))</f>
        <v>Sensoren - Behandeling</v>
      </c>
      <c r="B274" s="33" t="s">
        <v>88</v>
      </c>
      <c r="C274" s="33" t="s">
        <v>812</v>
      </c>
      <c r="D274" s="33">
        <v>2029</v>
      </c>
      <c r="E274" s="2">
        <v>205</v>
      </c>
      <c r="F274" s="397">
        <f>SUMIFS(uitkomst_doelgroep[Patiëntaantallen],uitkomst_doelgroep[Digitale zorgtoepassing],B274,uitkomst_doelgroep[Jaar],D274,uitkomst_doelgroep[Arbeidsbesparing (€)],"&gt;0",uitkomst_doelgroep[Uitgangssituatie/effect beleid],uitkomst_tech[[#This Row],[Uitgangssituatie/effect beleid]])</f>
        <v>111044.9469479769</v>
      </c>
      <c r="G274" s="398">
        <f>SUMIFS(uitkomst_doelgroep[Arbeidsbesparing (€)],uitkomst_doelgroep[Digitale zorgtoepassing],B274,uitkomst_doelgroep[Jaar],D274,uitkomst_doelgroep[Arbeidsbesparing (€)],"&gt;0",uitkomst_doelgroep[Uitgangssituatie/effect beleid],uitkomst_tech[[#This Row],[Uitgangssituatie/effect beleid]])</f>
        <v>25610045.926514298</v>
      </c>
      <c r="H274" s="398">
        <f>SUMIFS(uitkomst_doelgroep[Arbeidsbesparing (FTE)],uitkomst_doelgroep[Digitale zorgtoepassing],B274,uitkomst_doelgroep[Jaar],D274,uitkomst_doelgroep[Arbeidsbesparing (FTE)],"&gt;0",uitkomst_doelgroep[Uitgangssituatie/effect beleid],uitkomst_tech[[#This Row],[Uitgangssituatie/effect beleid]])</f>
        <v>491.90090173761934</v>
      </c>
      <c r="I274" s="398">
        <f>SUMIFS(uitkomst_doelgroep[Overige besparingen (€)],uitkomst_doelgroep[Digitale zorgtoepassing],B274,uitkomst_doelgroep[Jaar],D274,uitkomst_doelgroep[Overige besparingen (€)],"&gt;0",uitkomst_doelgroep[Uitgangssituatie/effect beleid],uitkomst_tech[[#This Row],[Uitgangssituatie/effect beleid]])</f>
        <v>11926548.213977639</v>
      </c>
      <c r="J274" s="398">
        <f>SUMIFS(uitkomst_doelgroep[QALY (€)],uitkomst_doelgroep[Digitale zorgtoepassing],B274,uitkomst_doelgroep[Jaar],D274,uitkomst_doelgroep[QALY (€)],"&gt;0",uitkomst_doelgroep[Uitgangssituatie/effect beleid],uitkomst_tech[[#This Row],[Uitgangssituatie/effect beleid]])</f>
        <v>163990037.94219252</v>
      </c>
      <c r="K274" s="398">
        <f>SUMIFS(uitkomst_doelgroep[Kosten (€)],uitkomst_doelgroep[Digitale zorgtoepassing],B274,uitkomst_doelgroep[Jaar],D274,uitkomst_doelgroep[Kosten (€)],"&gt;0",uitkomst_doelgroep[Uitgangssituatie/effect beleid],uitkomst_tech[[#This Row],[Uitgangssituatie/effect beleid]])</f>
        <v>51000901.800021879</v>
      </c>
      <c r="L274" s="398">
        <f>SUMIFS(uitkomst_doelgroep[Investering (cash flow) (€)],uitkomst_doelgroep[Digitale zorgtoepassing],B274,uitkomst_doelgroep[Jaar],D274,uitkomst_doelgroep[Investering (cash flow) (€)],"&gt;0",uitkomst_doelgroep[Uitgangssituatie/effect beleid],uitkomst_tech[[#This Row],[Uitgangssituatie/effect beleid]])</f>
        <v>306042.97799236403</v>
      </c>
    </row>
    <row r="275" spans="1:12" x14ac:dyDescent="0.5">
      <c r="A275" s="42" t="str">
        <f>INDEX(Technologieën[Veld],MATCH(B275,Technologieën[Digitale zorgtoepassing],0))</f>
        <v>Sensoren - Behandeling</v>
      </c>
      <c r="B275" s="33" t="s">
        <v>88</v>
      </c>
      <c r="C275" s="33" t="s">
        <v>812</v>
      </c>
      <c r="D275" s="33">
        <v>2030</v>
      </c>
      <c r="E275" s="2">
        <v>237</v>
      </c>
      <c r="F275" s="397">
        <f>SUMIFS(uitkomst_doelgroep[Patiëntaantallen],uitkomst_doelgroep[Digitale zorgtoepassing],B275,uitkomst_doelgroep[Jaar],D275,uitkomst_doelgroep[Arbeidsbesparing (€)],"&gt;0",uitkomst_doelgroep[Uitgangssituatie/effect beleid],uitkomst_tech[[#This Row],[Uitgangssituatie/effect beleid]])</f>
        <v>111378.65007878738</v>
      </c>
      <c r="G275" s="398">
        <f>SUMIFS(uitkomst_doelgroep[Arbeidsbesparing (€)],uitkomst_doelgroep[Digitale zorgtoepassing],B275,uitkomst_doelgroep[Jaar],D275,uitkomst_doelgroep[Arbeidsbesparing (€)],"&gt;0",uitkomst_doelgroep[Uitgangssituatie/effect beleid],uitkomst_tech[[#This Row],[Uitgangssituatie/effect beleid]])</f>
        <v>25732781.445179965</v>
      </c>
      <c r="H275" s="398">
        <f>SUMIFS(uitkomst_doelgroep[Arbeidsbesparing (FTE)],uitkomst_doelgroep[Digitale zorgtoepassing],B275,uitkomst_doelgroep[Jaar],D275,uitkomst_doelgroep[Arbeidsbesparing (FTE)],"&gt;0",uitkomst_doelgroep[Uitgangssituatie/effect beleid],uitkomst_tech[[#This Row],[Uitgangssituatie/effect beleid]])</f>
        <v>494.46809618847681</v>
      </c>
      <c r="I275" s="398">
        <f>SUMIFS(uitkomst_doelgroep[Overige besparingen (€)],uitkomst_doelgroep[Digitale zorgtoepassing],B275,uitkomst_doelgroep[Jaar],D275,uitkomst_doelgroep[Overige besparingen (€)],"&gt;0",uitkomst_doelgroep[Uitgangssituatie/effect beleid],uitkomst_tech[[#This Row],[Uitgangssituatie/effect beleid]])</f>
        <v>11961235.493655641</v>
      </c>
      <c r="J275" s="398">
        <f>SUMIFS(uitkomst_doelgroep[QALY (€)],uitkomst_doelgroep[Digitale zorgtoepassing],B275,uitkomst_doelgroep[Jaar],D275,uitkomst_doelgroep[QALY (€)],"&gt;0",uitkomst_doelgroep[Uitgangssituatie/effect beleid],uitkomst_tech[[#This Row],[Uitgangssituatie/effect beleid]])</f>
        <v>164466988.03776506</v>
      </c>
      <c r="K275" s="398">
        <f>SUMIFS(uitkomst_doelgroep[Kosten (€)],uitkomst_doelgroep[Digitale zorgtoepassing],B275,uitkomst_doelgroep[Jaar],D275,uitkomst_doelgroep[Kosten (€)],"&gt;0",uitkomst_doelgroep[Uitgangssituatie/effect beleid],uitkomst_tech[[#This Row],[Uitgangssituatie/effect beleid]])</f>
        <v>51149233.279744931</v>
      </c>
      <c r="L275" s="398">
        <f>SUMIFS(uitkomst_doelgroep[Investering (cash flow) (€)],uitkomst_doelgroep[Digitale zorgtoepassing],B275,uitkomst_doelgroep[Jaar],D275,uitkomst_doelgroep[Investering (cash flow) (€)],"&gt;0",uitkomst_doelgroep[Uitgangssituatie/effect beleid],uitkomst_tech[[#This Row],[Uitgangssituatie/effect beleid]])</f>
        <v>161960.42625705368</v>
      </c>
    </row>
    <row r="276" spans="1:12" x14ac:dyDescent="0.5">
      <c r="A276" s="42" t="str">
        <f>INDEX(Technologieën[Veld],MATCH(B276,Technologieën[Digitale zorgtoepassing],0))</f>
        <v>Sensoren - Behandeling</v>
      </c>
      <c r="B276" s="33" t="s">
        <v>88</v>
      </c>
      <c r="C276" s="33" t="s">
        <v>812</v>
      </c>
      <c r="D276" s="33">
        <v>2031</v>
      </c>
      <c r="E276" s="2">
        <v>269</v>
      </c>
      <c r="F276" s="397">
        <f>SUMIFS(uitkomst_doelgroep[Patiëntaantallen],uitkomst_doelgroep[Digitale zorgtoepassing],B276,uitkomst_doelgroep[Jaar],D276,uitkomst_doelgroep[Arbeidsbesparing (€)],"&gt;0",uitkomst_doelgroep[Uitgangssituatie/effect beleid],uitkomst_tech[[#This Row],[Uitgangssituatie/effect beleid]])</f>
        <v>111555.39144388516</v>
      </c>
      <c r="G276" s="398">
        <f>SUMIFS(uitkomst_doelgroep[Arbeidsbesparing (€)],uitkomst_doelgroep[Digitale zorgtoepassing],B276,uitkomst_doelgroep[Jaar],D276,uitkomst_doelgroep[Arbeidsbesparing (€)],"&gt;0",uitkomst_doelgroep[Uitgangssituatie/effect beleid],uitkomst_tech[[#This Row],[Uitgangssituatie/effect beleid]])</f>
        <v>25798376.412363786</v>
      </c>
      <c r="H276" s="398">
        <f>SUMIFS(uitkomst_doelgroep[Arbeidsbesparing (FTE)],uitkomst_doelgroep[Digitale zorgtoepassing],B276,uitkomst_doelgroep[Jaar],D276,uitkomst_doelgroep[Arbeidsbesparing (FTE)],"&gt;0",uitkomst_doelgroep[Uitgangssituatie/effect beleid],uitkomst_tech[[#This Row],[Uitgangssituatie/effect beleid]])</f>
        <v>495.84180641895824</v>
      </c>
      <c r="I276" s="398">
        <f>SUMIFS(uitkomst_doelgroep[Overige besparingen (€)],uitkomst_doelgroep[Digitale zorgtoepassing],B276,uitkomst_doelgroep[Jaar],D276,uitkomst_doelgroep[Overige besparingen (€)],"&gt;0",uitkomst_doelgroep[Uitgangssituatie/effect beleid],uitkomst_tech[[#This Row],[Uitgangssituatie/effect beleid]])</f>
        <v>11979592.283408506</v>
      </c>
      <c r="J276" s="398">
        <f>SUMIFS(uitkomst_doelgroep[QALY (€)],uitkomst_doelgroep[Digitale zorgtoepassing],B276,uitkomst_doelgroep[Jaar],D276,uitkomst_doelgroep[QALY (€)],"&gt;0",uitkomst_doelgroep[Uitgangssituatie/effect beleid],uitkomst_tech[[#This Row],[Uitgangssituatie/effect beleid]])</f>
        <v>164719393.89686695</v>
      </c>
      <c r="K276" s="398">
        <f>SUMIFS(uitkomst_doelgroep[Kosten (€)],uitkomst_doelgroep[Digitale zorgtoepassing],B276,uitkomst_doelgroep[Jaar],D276,uitkomst_doelgroep[Kosten (€)],"&gt;0",uitkomst_doelgroep[Uitgangssituatie/effect beleid],uitkomst_tech[[#This Row],[Uitgangssituatie/effect beleid]])</f>
        <v>51227731.501925625</v>
      </c>
      <c r="L276" s="398">
        <f>SUMIFS(uitkomst_doelgroep[Investering (cash flow) (€)],uitkomst_doelgroep[Digitale zorgtoepassing],B276,uitkomst_doelgroep[Jaar],D276,uitkomst_doelgroep[Investering (cash flow) (€)],"&gt;0",uitkomst_doelgroep[Uitgangssituatie/effect beleid],uitkomst_tech[[#This Row],[Uitgangssituatie/effect beleid]])</f>
        <v>85388.607226814274</v>
      </c>
    </row>
    <row r="277" spans="1:12" x14ac:dyDescent="0.5">
      <c r="A277" s="42" t="str">
        <f>INDEX(Technologieën[Veld],MATCH(B277,Technologieën[Digitale zorgtoepassing],0))</f>
        <v>Sensoren - Behandeling</v>
      </c>
      <c r="B277" s="33" t="s">
        <v>88</v>
      </c>
      <c r="C277" s="33" t="s">
        <v>812</v>
      </c>
      <c r="D277" s="33">
        <v>2032</v>
      </c>
      <c r="E277" s="2">
        <v>301</v>
      </c>
      <c r="F277" s="397">
        <f>SUMIFS(uitkomst_doelgroep[Patiëntaantallen],uitkomst_doelgroep[Digitale zorgtoepassing],B277,uitkomst_doelgroep[Jaar],D277,uitkomst_doelgroep[Arbeidsbesparing (€)],"&gt;0",uitkomst_doelgroep[Uitgangssituatie/effect beleid],uitkomst_tech[[#This Row],[Uitgangssituatie/effect beleid]])</f>
        <v>111648.61397920581</v>
      </c>
      <c r="G277" s="398">
        <f>SUMIFS(uitkomst_doelgroep[Arbeidsbesparing (€)],uitkomst_doelgroep[Digitale zorgtoepassing],B277,uitkomst_doelgroep[Jaar],D277,uitkomst_doelgroep[Arbeidsbesparing (€)],"&gt;0",uitkomst_doelgroep[Uitgangssituatie/effect beleid],uitkomst_tech[[#This Row],[Uitgangssituatie/effect beleid]])</f>
        <v>25833144.153282247</v>
      </c>
      <c r="H277" s="398">
        <f>SUMIFS(uitkomst_doelgroep[Arbeidsbesparing (FTE)],uitkomst_doelgroep[Digitale zorgtoepassing],B277,uitkomst_doelgroep[Jaar],D277,uitkomst_doelgroep[Arbeidsbesparing (FTE)],"&gt;0",uitkomst_doelgroep[Uitgangssituatie/effect beleid],uitkomst_tech[[#This Row],[Uitgangssituatie/effect beleid]])</f>
        <v>496.57040615255983</v>
      </c>
      <c r="I277" s="398">
        <f>SUMIFS(uitkomst_doelgroep[Overige besparingen (€)],uitkomst_doelgroep[Digitale zorgtoepassing],B277,uitkomst_doelgroep[Jaar],D277,uitkomst_doelgroep[Overige besparingen (€)],"&gt;0",uitkomst_doelgroep[Uitgangssituatie/effect beleid],uitkomst_tech[[#This Row],[Uitgangssituatie/effect beleid]])</f>
        <v>11989270.330980849</v>
      </c>
      <c r="J277" s="398">
        <f>SUMIFS(uitkomst_doelgroep[QALY (€)],uitkomst_doelgroep[Digitale zorgtoepassing],B277,uitkomst_doelgroep[Jaar],D277,uitkomst_doelgroep[QALY (€)],"&gt;0",uitkomst_doelgroep[Uitgangssituatie/effect beleid],uitkomst_tech[[#This Row],[Uitgangssituatie/effect beleid]])</f>
        <v>164852467.05098668</v>
      </c>
      <c r="K277" s="398">
        <f>SUMIFS(uitkomst_doelgroep[Kosten (€)],uitkomst_doelgroep[Digitale zorgtoepassing],B277,uitkomst_doelgroep[Jaar],D277,uitkomst_doelgroep[Kosten (€)],"&gt;0",uitkomst_doelgroep[Uitgangssituatie/effect beleid],uitkomst_tech[[#This Row],[Uitgangssituatie/effect beleid]])</f>
        <v>51269117.252856851</v>
      </c>
      <c r="L277" s="398">
        <f>SUMIFS(uitkomst_doelgroep[Investering (cash flow) (€)],uitkomst_doelgroep[Digitale zorgtoepassing],B277,uitkomst_doelgroep[Jaar],D277,uitkomst_doelgroep[Investering (cash flow) (€)],"&gt;0",uitkomst_doelgroep[Uitgangssituatie/effect beleid],uitkomst_tech[[#This Row],[Uitgangssituatie/effect beleid]])</f>
        <v>44928.722968689035</v>
      </c>
    </row>
    <row r="278" spans="1:12" x14ac:dyDescent="0.5">
      <c r="A278" s="42" t="str">
        <f>INDEX(Technologieën[Veld],MATCH(B278,Technologieën[Digitale zorgtoepassing],0))</f>
        <v>Sensoren - Behandeling</v>
      </c>
      <c r="B278" s="33" t="s">
        <v>88</v>
      </c>
      <c r="C278" s="33" t="s">
        <v>812</v>
      </c>
      <c r="D278" s="33">
        <v>2033</v>
      </c>
      <c r="E278" s="2">
        <v>333</v>
      </c>
      <c r="F278" s="397">
        <f>SUMIFS(uitkomst_doelgroep[Patiëntaantallen],uitkomst_doelgroep[Digitale zorgtoepassing],B278,uitkomst_doelgroep[Jaar],D278,uitkomst_doelgroep[Arbeidsbesparing (€)],"&gt;0",uitkomst_doelgroep[Uitgangssituatie/effect beleid],uitkomst_tech[[#This Row],[Uitgangssituatie/effect beleid]])</f>
        <v>111697.6762642071</v>
      </c>
      <c r="G278" s="398">
        <f>SUMIFS(uitkomst_doelgroep[Arbeidsbesparing (€)],uitkomst_doelgroep[Digitale zorgtoepassing],B278,uitkomst_doelgroep[Jaar],D278,uitkomst_doelgroep[Arbeidsbesparing (€)],"&gt;0",uitkomst_doelgroep[Uitgangssituatie/effect beleid],uitkomst_tech[[#This Row],[Uitgangssituatie/effect beleid]])</f>
        <v>25851489.944538157</v>
      </c>
      <c r="H278" s="398">
        <f>SUMIFS(uitkomst_doelgroep[Arbeidsbesparing (FTE)],uitkomst_doelgroep[Digitale zorgtoepassing],B278,uitkomst_doelgroep[Jaar],D278,uitkomst_doelgroep[Arbeidsbesparing (FTE)],"&gt;0",uitkomst_doelgroep[Uitgangssituatie/effect beleid],uitkomst_tech[[#This Row],[Uitgangssituatie/effect beleid]])</f>
        <v>496.95499969293689</v>
      </c>
      <c r="I278" s="398">
        <f>SUMIFS(uitkomst_doelgroep[Overige besparingen (€)],uitkomst_doelgroep[Digitale zorgtoepassing],B278,uitkomst_doelgroep[Jaar],D278,uitkomst_doelgroep[Overige besparingen (€)],"&gt;0",uitkomst_doelgroep[Uitgangssituatie/effect beleid],uitkomst_tech[[#This Row],[Uitgangssituatie/effect beleid]])</f>
        <v>11994362.606547548</v>
      </c>
      <c r="J278" s="398">
        <f>SUMIFS(uitkomst_doelgroep[QALY (€)],uitkomst_doelgroep[Digitale zorgtoepassing],B278,uitkomst_doelgroep[Jaar],D278,uitkomst_doelgroep[QALY (€)],"&gt;0",uitkomst_doelgroep[Uitgangssituatie/effect beleid],uitkomst_tech[[#This Row],[Uitgangssituatie/effect beleid]])</f>
        <v>164922485.84002879</v>
      </c>
      <c r="K278" s="398">
        <f>SUMIFS(uitkomst_doelgroep[Kosten (€)],uitkomst_doelgroep[Digitale zorgtoepassing],B278,uitkomst_doelgroep[Jaar],D278,uitkomst_doelgroep[Kosten (€)],"&gt;0",uitkomst_doelgroep[Uitgangssituatie/effect beleid],uitkomst_tech[[#This Row],[Uitgangssituatie/effect beleid]])</f>
        <v>51290893.096248947</v>
      </c>
      <c r="L278" s="398">
        <f>SUMIFS(uitkomst_doelgroep[Investering (cash flow) (€)],uitkomst_doelgroep[Digitale zorgtoepassing],B278,uitkomst_doelgroep[Jaar],D278,uitkomst_doelgroep[Investering (cash flow) (€)],"&gt;0",uitkomst_doelgroep[Uitgangssituatie/effect beleid],uitkomst_tech[[#This Row],[Uitgangssituatie/effect beleid]])</f>
        <v>23615.155229158136</v>
      </c>
    </row>
    <row r="279" spans="1:12" x14ac:dyDescent="0.5">
      <c r="A279" s="42" t="str">
        <f>INDEX(Technologieën[Veld],MATCH(B279,Technologieën[Digitale zorgtoepassing],0))</f>
        <v>Sensoren - Verpleging</v>
      </c>
      <c r="B279" s="33" t="s">
        <v>42</v>
      </c>
      <c r="C279" s="33" t="s">
        <v>812</v>
      </c>
      <c r="D279" s="33">
        <v>2023</v>
      </c>
      <c r="E279" s="2">
        <v>18</v>
      </c>
      <c r="F279" s="397">
        <f>SUMIFS(uitkomst_doelgroep[Patiëntaantallen],uitkomst_doelgroep[Digitale zorgtoepassing],B279,uitkomst_doelgroep[Jaar],D279,uitkomst_doelgroep[Arbeidsbesparing (€)],"&gt;0",uitkomst_doelgroep[Uitgangssituatie/effect beleid],uitkomst_tech[[#This Row],[Uitgangssituatie/effect beleid]])</f>
        <v>13041</v>
      </c>
      <c r="G279" s="398">
        <f>SUMIFS(uitkomst_doelgroep[Arbeidsbesparing (€)],uitkomst_doelgroep[Digitale zorgtoepassing],B279,uitkomst_doelgroep[Jaar],D279,uitkomst_doelgroep[Arbeidsbesparing (€)],"&gt;0",uitkomst_doelgroep[Uitgangssituatie/effect beleid],uitkomst_tech[[#This Row],[Uitgangssituatie/effect beleid]])</f>
        <v>30104398.642499998</v>
      </c>
      <c r="H279" s="398">
        <f>SUMIFS(uitkomst_doelgroep[Arbeidsbesparing (FTE)],uitkomst_doelgroep[Digitale zorgtoepassing],B279,uitkomst_doelgroep[Jaar],D279,uitkomst_doelgroep[Arbeidsbesparing (FTE)],"&gt;0",uitkomst_doelgroep[Uitgangssituatie/effect beleid],uitkomst_tech[[#This Row],[Uitgangssituatie/effect beleid]])</f>
        <v>709.10437499999989</v>
      </c>
      <c r="I279" s="398">
        <f>SUMIFS(uitkomst_doelgroep[Overige besparingen (€)],uitkomst_doelgroep[Digitale zorgtoepassing],B279,uitkomst_doelgroep[Jaar],D279,uitkomst_doelgroep[Overige besparingen (€)],"&gt;0",uitkomst_doelgroep[Uitgangssituatie/effect beleid],uitkomst_tech[[#This Row],[Uitgangssituatie/effect beleid]])</f>
        <v>10216076.083801232</v>
      </c>
      <c r="J279" s="398">
        <f>SUMIFS(uitkomst_doelgroep[QALY (€)],uitkomst_doelgroep[Digitale zorgtoepassing],B279,uitkomst_doelgroep[Jaar],D279,uitkomst_doelgroep[QALY (€)],"&gt;0",uitkomst_doelgroep[Uitgangssituatie/effect beleid],uitkomst_tech[[#This Row],[Uitgangssituatie/effect beleid]])</f>
        <v>0</v>
      </c>
      <c r="K279" s="398">
        <f>SUMIFS(uitkomst_doelgroep[Kosten (€)],uitkomst_doelgroep[Digitale zorgtoepassing],B279,uitkomst_doelgroep[Jaar],D279,uitkomst_doelgroep[Kosten (€)],"&gt;0",uitkomst_doelgroep[Uitgangssituatie/effect beleid],uitkomst_tech[[#This Row],[Uitgangssituatie/effect beleid]])</f>
        <v>37543626.225000001</v>
      </c>
      <c r="L279" s="398">
        <f>SUMIFS(uitkomst_doelgroep[Investering (cash flow) (€)],uitkomst_doelgroep[Digitale zorgtoepassing],B279,uitkomst_doelgroep[Jaar],D279,uitkomst_doelgroep[Investering (cash flow) (€)],"&gt;0",uitkomst_doelgroep[Uitgangssituatie/effect beleid],uitkomst_tech[[#This Row],[Uitgangssituatie/effect beleid]])</f>
        <v>0</v>
      </c>
    </row>
    <row r="280" spans="1:12" x14ac:dyDescent="0.5">
      <c r="A280" s="42" t="str">
        <f>INDEX(Technologieën[Veld],MATCH(B280,Technologieën[Digitale zorgtoepassing],0))</f>
        <v>Sensoren - Verpleging</v>
      </c>
      <c r="B280" s="33" t="s">
        <v>42</v>
      </c>
      <c r="C280" s="33" t="s">
        <v>812</v>
      </c>
      <c r="D280" s="33">
        <v>2024</v>
      </c>
      <c r="E280" s="2">
        <v>50</v>
      </c>
      <c r="F280" s="397">
        <f>SUMIFS(uitkomst_doelgroep[Patiëntaantallen],uitkomst_doelgroep[Digitale zorgtoepassing],B280,uitkomst_doelgroep[Jaar],D280,uitkomst_doelgroep[Arbeidsbesparing (€)],"&gt;0",uitkomst_doelgroep[Uitgangssituatie/effect beleid],uitkomst_tech[[#This Row],[Uitgangssituatie/effect beleid]])</f>
        <v>17051.107499999998</v>
      </c>
      <c r="G280" s="398">
        <f>SUMIFS(uitkomst_doelgroep[Arbeidsbesparing (€)],uitkomst_doelgroep[Digitale zorgtoepassing],B280,uitkomst_doelgroep[Jaar],D280,uitkomst_doelgroep[Arbeidsbesparing (€)],"&gt;0",uitkomst_doelgroep[Uitgangssituatie/effect beleid],uitkomst_tech[[#This Row],[Uitgangssituatie/effect beleid]])</f>
        <v>39361501.225068748</v>
      </c>
      <c r="H280" s="398">
        <f>SUMIFS(uitkomst_doelgroep[Arbeidsbesparing (FTE)],uitkomst_doelgroep[Digitale zorgtoepassing],B280,uitkomst_doelgroep[Jaar],D280,uitkomst_doelgroep[Arbeidsbesparing (FTE)],"&gt;0",uitkomst_doelgroep[Uitgangssituatie/effect beleid],uitkomst_tech[[#This Row],[Uitgangssituatie/effect beleid]])</f>
        <v>927.15397031249984</v>
      </c>
      <c r="I280" s="398">
        <f>SUMIFS(uitkomst_doelgroep[Overige besparingen (€)],uitkomst_doelgroep[Digitale zorgtoepassing],B280,uitkomst_doelgroep[Jaar],D280,uitkomst_doelgroep[Overige besparingen (€)],"&gt;0",uitkomst_doelgroep[Uitgangssituatie/effect beleid],uitkomst_tech[[#This Row],[Uitgangssituatie/effect beleid]])</f>
        <v>13357519.479570109</v>
      </c>
      <c r="J280" s="398">
        <f>SUMIFS(uitkomst_doelgroep[QALY (€)],uitkomst_doelgroep[Digitale zorgtoepassing],B280,uitkomst_doelgroep[Jaar],D280,uitkomst_doelgroep[QALY (€)],"&gt;0",uitkomst_doelgroep[Uitgangssituatie/effect beleid],uitkomst_tech[[#This Row],[Uitgangssituatie/effect beleid]])</f>
        <v>0</v>
      </c>
      <c r="K280" s="398">
        <f>SUMIFS(uitkomst_doelgroep[Kosten (€)],uitkomst_doelgroep[Digitale zorgtoepassing],B280,uitkomst_doelgroep[Jaar],D280,uitkomst_doelgroep[Kosten (€)],"&gt;0",uitkomst_doelgroep[Uitgangssituatie/effect beleid],uitkomst_tech[[#This Row],[Uitgangssituatie/effect beleid]])</f>
        <v>49088291.289187498</v>
      </c>
      <c r="L280" s="398">
        <f>SUMIFS(uitkomst_doelgroep[Investering (cash flow) (€)],uitkomst_doelgroep[Digitale zorgtoepassing],B280,uitkomst_doelgroep[Jaar],D280,uitkomst_doelgroep[Investering (cash flow) (€)],"&gt;0",uitkomst_doelgroep[Uitgangssituatie/effect beleid],uitkomst_tech[[#This Row],[Uitgangssituatie/effect beleid]])</f>
        <v>0</v>
      </c>
    </row>
    <row r="281" spans="1:12" x14ac:dyDescent="0.5">
      <c r="A281" s="42" t="str">
        <f>INDEX(Technologieën[Veld],MATCH(B281,Technologieën[Digitale zorgtoepassing],0))</f>
        <v>Sensoren - Verpleging</v>
      </c>
      <c r="B281" s="33" t="s">
        <v>42</v>
      </c>
      <c r="C281" s="33" t="s">
        <v>812</v>
      </c>
      <c r="D281" s="33">
        <v>2025</v>
      </c>
      <c r="E281" s="2">
        <v>82</v>
      </c>
      <c r="F281" s="397">
        <f>SUMIFS(uitkomst_doelgroep[Patiëntaantallen],uitkomst_doelgroep[Digitale zorgtoepassing],B281,uitkomst_doelgroep[Jaar],D281,uitkomst_doelgroep[Arbeidsbesparing (€)],"&gt;0",uitkomst_doelgroep[Uitgangssituatie/effect beleid],uitkomst_tech[[#This Row],[Uitgangssituatie/effect beleid]])</f>
        <v>21156.318787374999</v>
      </c>
      <c r="G281" s="398">
        <f>SUMIFS(uitkomst_doelgroep[Arbeidsbesparing (€)],uitkomst_doelgroep[Digitale zorgtoepassing],B281,uitkomst_doelgroep[Jaar],D281,uitkomst_doelgroep[Arbeidsbesparing (€)],"&gt;0",uitkomst_doelgroep[Uitgangssituatie/effect beleid],uitkomst_tech[[#This Row],[Uitgangssituatie/effect beleid]])</f>
        <v>48838145.432324909</v>
      </c>
      <c r="H281" s="398">
        <f>SUMIFS(uitkomst_doelgroep[Arbeidsbesparing (FTE)],uitkomst_doelgroep[Digitale zorgtoepassing],B281,uitkomst_doelgroep[Jaar],D281,uitkomst_doelgroep[Arbeidsbesparing (FTE)],"&gt;0",uitkomst_doelgroep[Uitgangssituatie/effect beleid],uitkomst_tech[[#This Row],[Uitgangssituatie/effect beleid]])</f>
        <v>1150.3748340635154</v>
      </c>
      <c r="I281" s="398">
        <f>SUMIFS(uitkomst_doelgroep[Overige besparingen (€)],uitkomst_doelgroep[Digitale zorgtoepassing],B281,uitkomst_doelgroep[Jaar],D281,uitkomst_doelgroep[Overige besparingen (€)],"&gt;0",uitkomst_doelgroep[Uitgangssituatie/effect beleid],uitkomst_tech[[#This Row],[Uitgangssituatie/effect beleid]])</f>
        <v>16573465.407942366</v>
      </c>
      <c r="J281" s="398">
        <f>SUMIFS(uitkomst_doelgroep[QALY (€)],uitkomst_doelgroep[Digitale zorgtoepassing],B281,uitkomst_doelgroep[Jaar],D281,uitkomst_doelgroep[QALY (€)],"&gt;0",uitkomst_doelgroep[Uitgangssituatie/effect beleid],uitkomst_tech[[#This Row],[Uitgangssituatie/effect beleid]])</f>
        <v>0</v>
      </c>
      <c r="K281" s="398">
        <f>SUMIFS(uitkomst_doelgroep[Kosten (€)],uitkomst_doelgroep[Digitale zorgtoepassing],B281,uitkomst_doelgroep[Jaar],D281,uitkomst_doelgroep[Kosten (€)],"&gt;0",uitkomst_doelgroep[Uitgangssituatie/effect beleid],uitkomst_tech[[#This Row],[Uitgangssituatie/effect beleid]])</f>
        <v>60906749.85431733</v>
      </c>
      <c r="L281" s="398">
        <f>SUMIFS(uitkomst_doelgroep[Investering (cash flow) (€)],uitkomst_doelgroep[Digitale zorgtoepassing],B281,uitkomst_doelgroep[Jaar],D281,uitkomst_doelgroep[Investering (cash flow) (€)],"&gt;0",uitkomst_doelgroep[Uitgangssituatie/effect beleid],uitkomst_tech[[#This Row],[Uitgangssituatie/effect beleid]])</f>
        <v>0</v>
      </c>
    </row>
    <row r="282" spans="1:12" x14ac:dyDescent="0.5">
      <c r="A282" s="42" t="str">
        <f>INDEX(Technologieën[Veld],MATCH(B282,Technologieën[Digitale zorgtoepassing],0))</f>
        <v>Sensoren - Verpleging</v>
      </c>
      <c r="B282" s="33" t="s">
        <v>42</v>
      </c>
      <c r="C282" s="33" t="s">
        <v>812</v>
      </c>
      <c r="D282" s="33">
        <v>2026</v>
      </c>
      <c r="E282" s="2">
        <v>114</v>
      </c>
      <c r="F282" s="397">
        <f>SUMIFS(uitkomst_doelgroep[Patiëntaantallen],uitkomst_doelgroep[Digitale zorgtoepassing],B282,uitkomst_doelgroep[Jaar],D282,uitkomst_doelgroep[Arbeidsbesparing (€)],"&gt;0",uitkomst_doelgroep[Uitgangssituatie/effect beleid],uitkomst_tech[[#This Row],[Uitgangssituatie/effect beleid]])</f>
        <v>24873.573833548151</v>
      </c>
      <c r="G282" s="398">
        <f>SUMIFS(uitkomst_doelgroep[Arbeidsbesparing (€)],uitkomst_doelgroep[Digitale zorgtoepassing],B282,uitkomst_doelgroep[Jaar],D282,uitkomst_doelgroep[Arbeidsbesparing (€)],"&gt;0",uitkomst_doelgroep[Uitgangssituatie/effect beleid],uitkomst_tech[[#This Row],[Uitgangssituatie/effect beleid]])</f>
        <v>57419214.964250483</v>
      </c>
      <c r="H282" s="398">
        <f>SUMIFS(uitkomst_doelgroep[Arbeidsbesparing (FTE)],uitkomst_doelgroep[Digitale zorgtoepassing],B282,uitkomst_doelgroep[Jaar],D282,uitkomst_doelgroep[Arbeidsbesparing (FTE)],"&gt;0",uitkomst_doelgroep[Uitgangssituatie/effect beleid],uitkomst_tech[[#This Row],[Uitgangssituatie/effect beleid]])</f>
        <v>1352.5005771991807</v>
      </c>
      <c r="I282" s="398">
        <f>SUMIFS(uitkomst_doelgroep[Overige besparingen (€)],uitkomst_doelgroep[Digitale zorgtoepassing],B282,uitkomst_doelgroep[Jaar],D282,uitkomst_doelgroep[Overige besparingen (€)],"&gt;0",uitkomst_doelgroep[Uitgangssituatie/effect beleid],uitkomst_tech[[#This Row],[Uitgangssituatie/effect beleid]])</f>
        <v>19485493.655361965</v>
      </c>
      <c r="J282" s="398">
        <f>SUMIFS(uitkomst_doelgroep[QALY (€)],uitkomst_doelgroep[Digitale zorgtoepassing],B282,uitkomst_doelgroep[Jaar],D282,uitkomst_doelgroep[QALY (€)],"&gt;0",uitkomst_doelgroep[Uitgangssituatie/effect beleid],uitkomst_tech[[#This Row],[Uitgangssituatie/effect beleid]])</f>
        <v>0</v>
      </c>
      <c r="K282" s="398">
        <f>SUMIFS(uitkomst_doelgroep[Kosten (€)],uitkomst_doelgroep[Digitale zorgtoepassing],B282,uitkomst_doelgroep[Jaar],D282,uitkomst_doelgroep[Kosten (€)],"&gt;0",uitkomst_doelgroep[Uitgangssituatie/effect beleid],uitkomst_tech[[#This Row],[Uitgangssituatie/effect beleid]])</f>
        <v>71608324.429619834</v>
      </c>
      <c r="L282" s="398">
        <f>SUMIFS(uitkomst_doelgroep[Investering (cash flow) (€)],uitkomst_doelgroep[Digitale zorgtoepassing],B282,uitkomst_doelgroep[Jaar],D282,uitkomst_doelgroep[Investering (cash flow) (€)],"&gt;0",uitkomst_doelgroep[Uitgangssituatie/effect beleid],uitkomst_tech[[#This Row],[Uitgangssituatie/effect beleid]])</f>
        <v>0</v>
      </c>
    </row>
    <row r="283" spans="1:12" x14ac:dyDescent="0.5">
      <c r="A283" s="42" t="str">
        <f>INDEX(Technologieën[Veld],MATCH(B283,Technologieën[Digitale zorgtoepassing],0))</f>
        <v>Sensoren - Verpleging</v>
      </c>
      <c r="B283" s="33" t="s">
        <v>42</v>
      </c>
      <c r="C283" s="33" t="s">
        <v>812</v>
      </c>
      <c r="D283" s="33">
        <v>2027</v>
      </c>
      <c r="E283" s="2">
        <v>146</v>
      </c>
      <c r="F283" s="397">
        <f>SUMIFS(uitkomst_doelgroep[Patiëntaantallen],uitkomst_doelgroep[Digitale zorgtoepassing],B283,uitkomst_doelgroep[Jaar],D283,uitkomst_doelgroep[Arbeidsbesparing (€)],"&gt;0",uitkomst_doelgroep[Uitgangssituatie/effect beleid],uitkomst_tech[[#This Row],[Uitgangssituatie/effect beleid]])</f>
        <v>27866.236021058463</v>
      </c>
      <c r="G283" s="398">
        <f>SUMIFS(uitkomst_doelgroep[Arbeidsbesparing (€)],uitkomst_doelgroep[Digitale zorgtoepassing],B283,uitkomst_doelgroep[Jaar],D283,uitkomst_doelgroep[Arbeidsbesparing (€)],"&gt;0",uitkomst_doelgroep[Uitgangssituatie/effect beleid],uitkomst_tech[[#This Row],[Uitgangssituatie/effect beleid]])</f>
        <v>64327603.546042249</v>
      </c>
      <c r="H283" s="398">
        <f>SUMIFS(uitkomst_doelgroep[Arbeidsbesparing (FTE)],uitkomst_doelgroep[Digitale zorgtoepassing],B283,uitkomst_doelgroep[Jaar],D283,uitkomst_doelgroep[Arbeidsbesparing (FTE)],"&gt;0",uitkomst_doelgroep[Uitgangssituatie/effect beleid],uitkomst_tech[[#This Row],[Uitgangssituatie/effect beleid]])</f>
        <v>1515.2265836450538</v>
      </c>
      <c r="I283" s="398">
        <f>SUMIFS(uitkomst_doelgroep[Overige besparingen (€)],uitkomst_doelgroep[Digitale zorgtoepassing],B283,uitkomst_doelgroep[Jaar],D283,uitkomst_doelgroep[Overige besparingen (€)],"&gt;0",uitkomst_doelgroep[Uitgangssituatie/effect beleid],uitkomst_tech[[#This Row],[Uitgangssituatie/effect beleid]])</f>
        <v>21829889.376604229</v>
      </c>
      <c r="J283" s="398">
        <f>SUMIFS(uitkomst_doelgroep[QALY (€)],uitkomst_doelgroep[Digitale zorgtoepassing],B283,uitkomst_doelgroep[Jaar],D283,uitkomst_doelgroep[QALY (€)],"&gt;0",uitkomst_doelgroep[Uitgangssituatie/effect beleid],uitkomst_tech[[#This Row],[Uitgangssituatie/effect beleid]])</f>
        <v>0</v>
      </c>
      <c r="K283" s="398">
        <f>SUMIFS(uitkomst_doelgroep[Kosten (€)],uitkomst_doelgroep[Digitale zorgtoepassing],B283,uitkomst_doelgroep[Jaar],D283,uitkomst_doelgroep[Kosten (€)],"&gt;0",uitkomst_doelgroep[Uitgangssituatie/effect beleid],uitkomst_tech[[#This Row],[Uitgangssituatie/effect beleid]])</f>
        <v>80223874.662391707</v>
      </c>
      <c r="L283" s="398">
        <f>SUMIFS(uitkomst_doelgroep[Investering (cash flow) (€)],uitkomst_doelgroep[Digitale zorgtoepassing],B283,uitkomst_doelgroep[Jaar],D283,uitkomst_doelgroep[Investering (cash flow) (€)],"&gt;0",uitkomst_doelgroep[Uitgangssituatie/effect beleid],uitkomst_tech[[#This Row],[Uitgangssituatie/effect beleid]])</f>
        <v>0</v>
      </c>
    </row>
    <row r="284" spans="1:12" x14ac:dyDescent="0.5">
      <c r="A284" s="42" t="str">
        <f>INDEX(Technologieën[Veld],MATCH(B284,Technologieën[Digitale zorgtoepassing],0))</f>
        <v>Sensoren - Verpleging</v>
      </c>
      <c r="B284" s="33" t="s">
        <v>42</v>
      </c>
      <c r="C284" s="33" t="s">
        <v>812</v>
      </c>
      <c r="D284" s="33">
        <v>2028</v>
      </c>
      <c r="E284" s="2">
        <v>178</v>
      </c>
      <c r="F284" s="397">
        <f>SUMIFS(uitkomst_doelgroep[Patiëntaantallen],uitkomst_doelgroep[Digitale zorgtoepassing],B284,uitkomst_doelgroep[Jaar],D284,uitkomst_doelgroep[Arbeidsbesparing (€)],"&gt;0",uitkomst_doelgroep[Uitgangssituatie/effect beleid],uitkomst_tech[[#This Row],[Uitgangssituatie/effect beleid]])</f>
        <v>30039.556793448137</v>
      </c>
      <c r="G284" s="398">
        <f>SUMIFS(uitkomst_doelgroep[Arbeidsbesparing (€)],uitkomst_doelgroep[Digitale zorgtoepassing],B284,uitkomst_doelgroep[Jaar],D284,uitkomst_doelgroep[Arbeidsbesparing (€)],"&gt;0",uitkomst_doelgroep[Uitgangssituatie/effect beleid],uitkomst_tech[[#This Row],[Uitgangssituatie/effect beleid]])</f>
        <v>69344589.583159387</v>
      </c>
      <c r="H284" s="398">
        <f>SUMIFS(uitkomst_doelgroep[Arbeidsbesparing (FTE)],uitkomst_doelgroep[Digitale zorgtoepassing],B284,uitkomst_doelgroep[Jaar],D284,uitkomst_doelgroep[Arbeidsbesparing (FTE)],"&gt;0",uitkomst_doelgroep[Uitgangssituatie/effect beleid],uitkomst_tech[[#This Row],[Uitgangssituatie/effect beleid]])</f>
        <v>1633.4009006437425</v>
      </c>
      <c r="I284" s="398">
        <f>SUMIFS(uitkomst_doelgroep[Overige besparingen (€)],uitkomst_doelgroep[Digitale zorgtoepassing],B284,uitkomst_doelgroep[Jaar],D284,uitkomst_doelgroep[Overige besparingen (€)],"&gt;0",uitkomst_doelgroep[Uitgangssituatie/effect beleid],uitkomst_tech[[#This Row],[Uitgangssituatie/effect beleid]])</f>
        <v>23532428.320338495</v>
      </c>
      <c r="J284" s="398">
        <f>SUMIFS(uitkomst_doelgroep[QALY (€)],uitkomst_doelgroep[Digitale zorgtoepassing],B284,uitkomst_doelgroep[Jaar],D284,uitkomst_doelgroep[QALY (€)],"&gt;0",uitkomst_doelgroep[Uitgangssituatie/effect beleid],uitkomst_tech[[#This Row],[Uitgangssituatie/effect beleid]])</f>
        <v>0</v>
      </c>
      <c r="K284" s="398">
        <f>SUMIFS(uitkomst_doelgroep[Kosten (€)],uitkomst_doelgroep[Digitale zorgtoepassing],B284,uitkomst_doelgroep[Jaar],D284,uitkomst_doelgroep[Kosten (€)],"&gt;0",uitkomst_doelgroep[Uitgangssituatie/effect beleid],uitkomst_tech[[#This Row],[Uitgangssituatie/effect beleid]])</f>
        <v>86480629.723017916</v>
      </c>
      <c r="L284" s="398">
        <f>SUMIFS(uitkomst_doelgroep[Investering (cash flow) (€)],uitkomst_doelgroep[Digitale zorgtoepassing],B284,uitkomst_doelgroep[Jaar],D284,uitkomst_doelgroep[Investering (cash flow) (€)],"&gt;0",uitkomst_doelgroep[Uitgangssituatie/effect beleid],uitkomst_tech[[#This Row],[Uitgangssituatie/effect beleid]])</f>
        <v>0</v>
      </c>
    </row>
    <row r="285" spans="1:12" x14ac:dyDescent="0.5">
      <c r="A285" s="42" t="str">
        <f>INDEX(Technologieën[Veld],MATCH(B285,Technologieën[Digitale zorgtoepassing],0))</f>
        <v>Sensoren - Verpleging</v>
      </c>
      <c r="B285" s="33" t="s">
        <v>42</v>
      </c>
      <c r="C285" s="33" t="s">
        <v>812</v>
      </c>
      <c r="D285" s="33">
        <v>2029</v>
      </c>
      <c r="E285" s="2">
        <v>210</v>
      </c>
      <c r="F285" s="397">
        <f>SUMIFS(uitkomst_doelgroep[Patiëntaantallen],uitkomst_doelgroep[Digitale zorgtoepassing],B285,uitkomst_doelgroep[Jaar],D285,uitkomst_doelgroep[Arbeidsbesparing (€)],"&gt;0",uitkomst_doelgroep[Uitgangssituatie/effect beleid],uitkomst_tech[[#This Row],[Uitgangssituatie/effect beleid]])</f>
        <v>31517.536814275292</v>
      </c>
      <c r="G285" s="398">
        <f>SUMIFS(uitkomst_doelgroep[Arbeidsbesparing (€)],uitkomst_doelgroep[Digitale zorgtoepassing],B285,uitkomst_doelgroep[Jaar],D285,uitkomst_doelgroep[Arbeidsbesparing (€)],"&gt;0",uitkomst_doelgroep[Uitgangssituatie/effect beleid],uitkomst_tech[[#This Row],[Uitgangssituatie/effect beleid]])</f>
        <v>72756421.477387682</v>
      </c>
      <c r="H285" s="398">
        <f>SUMIFS(uitkomst_doelgroep[Arbeidsbesparing (FTE)],uitkomst_doelgroep[Digitale zorgtoepassing],B285,uitkomst_doelgroep[Jaar],D285,uitkomst_doelgroep[Arbeidsbesparing (FTE)],"&gt;0",uitkomst_doelgroep[Uitgangssituatie/effect beleid],uitkomst_tech[[#This Row],[Uitgangssituatie/effect beleid]])</f>
        <v>1713.7660642762189</v>
      </c>
      <c r="I285" s="398">
        <f>SUMIFS(uitkomst_doelgroep[Overige besparingen (€)],uitkomst_doelgroep[Digitale zorgtoepassing],B285,uitkomst_doelgroep[Jaar],D285,uitkomst_doelgroep[Overige besparingen (€)],"&gt;0",uitkomst_doelgroep[Uitgangssituatie/effect beleid],uitkomst_tech[[#This Row],[Uitgangssituatie/effect beleid]])</f>
        <v>24690250.292818241</v>
      </c>
      <c r="J285" s="398">
        <f>SUMIFS(uitkomst_doelgroep[QALY (€)],uitkomst_doelgroep[Digitale zorgtoepassing],B285,uitkomst_doelgroep[Jaar],D285,uitkomst_doelgroep[QALY (€)],"&gt;0",uitkomst_doelgroep[Uitgangssituatie/effect beleid],uitkomst_tech[[#This Row],[Uitgangssituatie/effect beleid]])</f>
        <v>0</v>
      </c>
      <c r="K285" s="398">
        <f>SUMIFS(uitkomst_doelgroep[Kosten (€)],uitkomst_doelgroep[Digitale zorgtoepassing],B285,uitkomst_doelgroep[Jaar],D285,uitkomst_doelgroep[Kosten (€)],"&gt;0",uitkomst_doelgroep[Uitgangssituatie/effect beleid],uitkomst_tech[[#This Row],[Uitgangssituatie/effect beleid]])</f>
        <v>90735574.088477045</v>
      </c>
      <c r="L285" s="398">
        <f>SUMIFS(uitkomst_doelgroep[Investering (cash flow) (€)],uitkomst_doelgroep[Digitale zorgtoepassing],B285,uitkomst_doelgroep[Jaar],D285,uitkomst_doelgroep[Investering (cash flow) (€)],"&gt;0",uitkomst_doelgroep[Uitgangssituatie/effect beleid],uitkomst_tech[[#This Row],[Uitgangssituatie/effect beleid]])</f>
        <v>0</v>
      </c>
    </row>
    <row r="286" spans="1:12" x14ac:dyDescent="0.5">
      <c r="A286" s="42" t="str">
        <f>INDEX(Technologieën[Veld],MATCH(B286,Technologieën[Digitale zorgtoepassing],0))</f>
        <v>Sensoren - Verpleging</v>
      </c>
      <c r="B286" s="33" t="s">
        <v>42</v>
      </c>
      <c r="C286" s="33" t="s">
        <v>812</v>
      </c>
      <c r="D286" s="33">
        <v>2030</v>
      </c>
      <c r="E286" s="2">
        <v>242</v>
      </c>
      <c r="F286" s="397">
        <f>SUMIFS(uitkomst_doelgroep[Patiëntaantallen],uitkomst_doelgroep[Digitale zorgtoepassing],B286,uitkomst_doelgroep[Jaar],D286,uitkomst_doelgroep[Arbeidsbesparing (€)],"&gt;0",uitkomst_doelgroep[Uitgangssituatie/effect beleid],uitkomst_tech[[#This Row],[Uitgangssituatie/effect beleid]])</f>
        <v>32511.677394459595</v>
      </c>
      <c r="G286" s="398">
        <f>SUMIFS(uitkomst_doelgroep[Arbeidsbesparing (€)],uitkomst_doelgroep[Digitale zorgtoepassing],B286,uitkomst_doelgroep[Jaar],D286,uitkomst_doelgroep[Arbeidsbesparing (€)],"&gt;0",uitkomst_doelgroep[Uitgangssituatie/effect beleid],uitkomst_tech[[#This Row],[Uitgangssituatie/effect beleid]])</f>
        <v>75051337.843659788</v>
      </c>
      <c r="H286" s="398">
        <f>SUMIFS(uitkomst_doelgroep[Arbeidsbesparing (FTE)],uitkomst_doelgroep[Digitale zorgtoepassing],B286,uitkomst_doelgroep[Jaar],D286,uitkomst_doelgroep[Arbeidsbesparing (FTE)],"&gt;0",uitkomst_doelgroep[Uitgangssituatie/effect beleid],uitkomst_tech[[#This Row],[Uitgangssituatie/effect beleid]])</f>
        <v>1767.8224583237404</v>
      </c>
      <c r="I286" s="398">
        <f>SUMIFS(uitkomst_doelgroep[Overige besparingen (€)],uitkomst_doelgroep[Digitale zorgtoepassing],B286,uitkomst_doelgroep[Jaar],D286,uitkomst_doelgroep[Overige besparingen (€)],"&gt;0",uitkomst_doelgroep[Uitgangssituatie/effect beleid],uitkomst_tech[[#This Row],[Uitgangssituatie/effect beleid]])</f>
        <v>25469041.474871546</v>
      </c>
      <c r="J286" s="398">
        <f>SUMIFS(uitkomst_doelgroep[QALY (€)],uitkomst_doelgroep[Digitale zorgtoepassing],B286,uitkomst_doelgroep[Jaar],D286,uitkomst_doelgroep[QALY (€)],"&gt;0",uitkomst_doelgroep[Uitgangssituatie/effect beleid],uitkomst_tech[[#This Row],[Uitgangssituatie/effect beleid]])</f>
        <v>0</v>
      </c>
      <c r="K286" s="398">
        <f>SUMIFS(uitkomst_doelgroep[Kosten (€)],uitkomst_doelgroep[Digitale zorgtoepassing],B286,uitkomst_doelgroep[Jaar],D286,uitkomst_doelgroep[Kosten (€)],"&gt;0",uitkomst_doelgroep[Uitgangssituatie/effect beleid],uitkomst_tech[[#This Row],[Uitgangssituatie/effect beleid]])</f>
        <v>93597597.120264784</v>
      </c>
      <c r="L286" s="398">
        <f>SUMIFS(uitkomst_doelgroep[Investering (cash flow) (€)],uitkomst_doelgroep[Digitale zorgtoepassing],B286,uitkomst_doelgroep[Jaar],D286,uitkomst_doelgroep[Investering (cash flow) (€)],"&gt;0",uitkomst_doelgroep[Uitgangssituatie/effect beleid],uitkomst_tech[[#This Row],[Uitgangssituatie/effect beleid]])</f>
        <v>0</v>
      </c>
    </row>
    <row r="287" spans="1:12" x14ac:dyDescent="0.5">
      <c r="A287" s="42" t="str">
        <f>INDEX(Technologieën[Veld],MATCH(B287,Technologieën[Digitale zorgtoepassing],0))</f>
        <v>Sensoren - Verpleging</v>
      </c>
      <c r="B287" s="33" t="s">
        <v>42</v>
      </c>
      <c r="C287" s="33" t="s">
        <v>812</v>
      </c>
      <c r="D287" s="33">
        <v>2031</v>
      </c>
      <c r="E287" s="2">
        <v>274</v>
      </c>
      <c r="F287" s="397">
        <f>SUMIFS(uitkomst_doelgroep[Patiëntaantallen],uitkomst_doelgroep[Digitale zorgtoepassing],B287,uitkomst_doelgroep[Jaar],D287,uitkomst_doelgroep[Arbeidsbesparing (€)],"&gt;0",uitkomst_doelgroep[Uitgangssituatie/effect beleid],uitkomst_tech[[#This Row],[Uitgangssituatie/effect beleid]])</f>
        <v>33207.391997265411</v>
      </c>
      <c r="G287" s="398">
        <f>SUMIFS(uitkomst_doelgroep[Arbeidsbesparing (€)],uitkomst_doelgroep[Digitale zorgtoepassing],B287,uitkomst_doelgroep[Jaar],D287,uitkomst_doelgroep[Arbeidsbesparing (€)],"&gt;0",uitkomst_doelgroep[Uitgangssituatie/effect beleid],uitkomst_tech[[#This Row],[Uitgangssituatie/effect beleid]])</f>
        <v>76657355.000647336</v>
      </c>
      <c r="H287" s="398">
        <f>SUMIFS(uitkomst_doelgroep[Arbeidsbesparing (FTE)],uitkomst_doelgroep[Digitale zorgtoepassing],B287,uitkomst_doelgroep[Jaar],D287,uitkomst_doelgroep[Arbeidsbesparing (FTE)],"&gt;0",uitkomst_doelgroep[Uitgangssituatie/effect beleid],uitkomst_tech[[#This Row],[Uitgangssituatie/effect beleid]])</f>
        <v>1805.6519398513065</v>
      </c>
      <c r="I287" s="398">
        <f>SUMIFS(uitkomst_doelgroep[Overige besparingen (€)],uitkomst_doelgroep[Digitale zorgtoepassing],B287,uitkomst_doelgroep[Jaar],D287,uitkomst_doelgroep[Overige besparingen (€)],"&gt;0",uitkomst_doelgroep[Uitgangssituatie/effect beleid],uitkomst_tech[[#This Row],[Uitgangssituatie/effect beleid]])</f>
        <v>26014051.314214826</v>
      </c>
      <c r="J287" s="398">
        <f>SUMIFS(uitkomst_doelgroep[QALY (€)],uitkomst_doelgroep[Digitale zorgtoepassing],B287,uitkomst_doelgroep[Jaar],D287,uitkomst_doelgroep[QALY (€)],"&gt;0",uitkomst_doelgroep[Uitgangssituatie/effect beleid],uitkomst_tech[[#This Row],[Uitgangssituatie/effect beleid]])</f>
        <v>0</v>
      </c>
      <c r="K287" s="398">
        <f>SUMIFS(uitkomst_doelgroep[Kosten (€)],uitkomst_doelgroep[Digitale zorgtoepassing],B287,uitkomst_doelgroep[Jaar],D287,uitkomst_doelgroep[Kosten (€)],"&gt;0",uitkomst_doelgroep[Uitgangssituatie/effect beleid],uitkomst_tech[[#This Row],[Uitgangssituatie/effect beleid]])</f>
        <v>95600484.09266074</v>
      </c>
      <c r="L287" s="398">
        <f>SUMIFS(uitkomst_doelgroep[Investering (cash flow) (€)],uitkomst_doelgroep[Digitale zorgtoepassing],B287,uitkomst_doelgroep[Jaar],D287,uitkomst_doelgroep[Investering (cash flow) (€)],"&gt;0",uitkomst_doelgroep[Uitgangssituatie/effect beleid],uitkomst_tech[[#This Row],[Uitgangssituatie/effect beleid]])</f>
        <v>0</v>
      </c>
    </row>
    <row r="288" spans="1:12" x14ac:dyDescent="0.5">
      <c r="A288" s="42" t="str">
        <f>INDEX(Technologieën[Veld],MATCH(B288,Technologieën[Digitale zorgtoepassing],0))</f>
        <v>Sensoren - Verpleging</v>
      </c>
      <c r="B288" s="33" t="s">
        <v>42</v>
      </c>
      <c r="C288" s="33" t="s">
        <v>812</v>
      </c>
      <c r="D288" s="33">
        <v>2032</v>
      </c>
      <c r="E288" s="2">
        <v>306</v>
      </c>
      <c r="F288" s="397">
        <f>SUMIFS(uitkomst_doelgroep[Patiëntaantallen],uitkomst_doelgroep[Digitale zorgtoepassing],B288,uitkomst_doelgroep[Jaar],D288,uitkomst_doelgroep[Arbeidsbesparing (€)],"&gt;0",uitkomst_doelgroep[Uitgangssituatie/effect beleid],uitkomst_tech[[#This Row],[Uitgangssituatie/effect beleid]])</f>
        <v>33720.989677023274</v>
      </c>
      <c r="G288" s="398">
        <f>SUMIFS(uitkomst_doelgroep[Arbeidsbesparing (€)],uitkomst_doelgroep[Digitale zorgtoepassing],B288,uitkomst_doelgroep[Jaar],D288,uitkomst_doelgroep[Arbeidsbesparing (€)],"&gt;0",uitkomst_doelgroep[Uitgangssituatie/effect beleid],uitkomst_tech[[#This Row],[Uitgangssituatie/effect beleid]])</f>
        <v>77842965.712501794</v>
      </c>
      <c r="H288" s="398">
        <f>SUMIFS(uitkomst_doelgroep[Arbeidsbesparing (FTE)],uitkomst_doelgroep[Digitale zorgtoepassing],B288,uitkomst_doelgroep[Jaar],D288,uitkomst_doelgroep[Arbeidsbesparing (FTE)],"&gt;0",uitkomst_doelgroep[Uitgangssituatie/effect beleid],uitkomst_tech[[#This Row],[Uitgangssituatie/effect beleid]])</f>
        <v>1833.5788136881404</v>
      </c>
      <c r="I288" s="398">
        <f>SUMIFS(uitkomst_doelgroep[Overige besparingen (€)],uitkomst_doelgroep[Digitale zorgtoepassing],B288,uitkomst_doelgroep[Jaar],D288,uitkomst_doelgroep[Overige besparingen (€)],"&gt;0",uitkomst_doelgroep[Uitgangssituatie/effect beleid],uitkomst_tech[[#This Row],[Uitgangssituatie/effect beleid]])</f>
        <v>26416394.153941087</v>
      </c>
      <c r="J288" s="398">
        <f>SUMIFS(uitkomst_doelgroep[QALY (€)],uitkomst_doelgroep[Digitale zorgtoepassing],B288,uitkomst_doelgroep[Jaar],D288,uitkomst_doelgroep[QALY (€)],"&gt;0",uitkomst_doelgroep[Uitgangssituatie/effect beleid],uitkomst_tech[[#This Row],[Uitgangssituatie/effect beleid]])</f>
        <v>0</v>
      </c>
      <c r="K288" s="398">
        <f>SUMIFS(uitkomst_doelgroep[Kosten (€)],uitkomst_doelgroep[Digitale zorgtoepassing],B288,uitkomst_doelgroep[Jaar],D288,uitkomst_doelgroep[Kosten (€)],"&gt;0",uitkomst_doelgroep[Uitgangssituatie/effect beleid],uitkomst_tech[[#This Row],[Uitgangssituatie/effect beleid]])</f>
        <v>97079076.172935009</v>
      </c>
      <c r="L288" s="398">
        <f>SUMIFS(uitkomst_doelgroep[Investering (cash flow) (€)],uitkomst_doelgroep[Digitale zorgtoepassing],B288,uitkomst_doelgroep[Jaar],D288,uitkomst_doelgroep[Investering (cash flow) (€)],"&gt;0",uitkomst_doelgroep[Uitgangssituatie/effect beleid],uitkomst_tech[[#This Row],[Uitgangssituatie/effect beleid]])</f>
        <v>0</v>
      </c>
    </row>
    <row r="289" spans="1:12" x14ac:dyDescent="0.5">
      <c r="A289" s="42" t="str">
        <f>INDEX(Technologieën[Veld],MATCH(B289,Technologieën[Digitale zorgtoepassing],0))</f>
        <v>Sensoren - Verpleging</v>
      </c>
      <c r="B289" s="33" t="s">
        <v>42</v>
      </c>
      <c r="C289" s="33" t="s">
        <v>812</v>
      </c>
      <c r="D289" s="33">
        <v>2033</v>
      </c>
      <c r="E289" s="2">
        <v>338</v>
      </c>
      <c r="F289" s="397">
        <f>SUMIFS(uitkomst_doelgroep[Patiëntaantallen],uitkomst_doelgroep[Digitale zorgtoepassing],B289,uitkomst_doelgroep[Jaar],D289,uitkomst_doelgroep[Arbeidsbesparing (€)],"&gt;0",uitkomst_doelgroep[Uitgangssituatie/effect beleid],uitkomst_tech[[#This Row],[Uitgangssituatie/effect beleid]])</f>
        <v>34107.644428447842</v>
      </c>
      <c r="G289" s="398">
        <f>SUMIFS(uitkomst_doelgroep[Arbeidsbesparing (€)],uitkomst_doelgroep[Digitale zorgtoepassing],B289,uitkomst_doelgroep[Jaar],D289,uitkomst_doelgroep[Arbeidsbesparing (€)],"&gt;0",uitkomst_doelgroep[Uitgangssituatie/effect beleid],uitkomst_tech[[#This Row],[Uitgangssituatie/effect beleid]])</f>
        <v>78735535.973517194</v>
      </c>
      <c r="H289" s="398">
        <f>SUMIFS(uitkomst_doelgroep[Arbeidsbesparing (FTE)],uitkomst_doelgroep[Digitale zorgtoepassing],B289,uitkomst_doelgroep[Jaar],D289,uitkomst_doelgroep[Arbeidsbesparing (FTE)],"&gt;0",uitkomst_doelgroep[Uitgangssituatie/effect beleid],uitkomst_tech[[#This Row],[Uitgangssituatie/effect beleid]])</f>
        <v>1854.6031657968513</v>
      </c>
      <c r="I289" s="398">
        <f>SUMIFS(uitkomst_doelgroep[Overige besparingen (€)],uitkomst_doelgroep[Digitale zorgtoepassing],B289,uitkomst_doelgroep[Jaar],D289,uitkomst_doelgroep[Overige besparingen (€)],"&gt;0",uitkomst_doelgroep[Uitgangssituatie/effect beleid],uitkomst_tech[[#This Row],[Uitgangssituatie/effect beleid]])</f>
        <v>26719292.272085141</v>
      </c>
      <c r="J289" s="398">
        <f>SUMIFS(uitkomst_doelgroep[QALY (€)],uitkomst_doelgroep[Digitale zorgtoepassing],B289,uitkomst_doelgroep[Jaar],D289,uitkomst_doelgroep[QALY (€)],"&gt;0",uitkomst_doelgroep[Uitgangssituatie/effect beleid],uitkomst_tech[[#This Row],[Uitgangssituatie/effect beleid]])</f>
        <v>0</v>
      </c>
      <c r="K289" s="398">
        <f>SUMIFS(uitkomst_doelgroep[Kosten (€)],uitkomst_doelgroep[Digitale zorgtoepassing],B289,uitkomst_doelgroep[Jaar],D289,uitkomst_doelgroep[Kosten (€)],"&gt;0",uitkomst_doelgroep[Uitgangssituatie/effect beleid],uitkomst_tech[[#This Row],[Uitgangssituatie/effect beleid]])</f>
        <v>98192213.314688265</v>
      </c>
      <c r="L289" s="398">
        <f>SUMIFS(uitkomst_doelgroep[Investering (cash flow) (€)],uitkomst_doelgroep[Digitale zorgtoepassing],B289,uitkomst_doelgroep[Jaar],D289,uitkomst_doelgroep[Investering (cash flow) (€)],"&gt;0",uitkomst_doelgroep[Uitgangssituatie/effect beleid],uitkomst_tech[[#This Row],[Uitgangssituatie/effect beleid]])</f>
        <v>0</v>
      </c>
    </row>
    <row r="290" spans="1:12" x14ac:dyDescent="0.5">
      <c r="A290" s="42" t="str">
        <f>INDEX(Technologieën[Veld],MATCH(B290,Technologieën[Digitale zorgtoepassing],0))</f>
        <v>Sensoren - Verpleging</v>
      </c>
      <c r="B290" s="33" t="s">
        <v>61</v>
      </c>
      <c r="C290" s="33" t="s">
        <v>812</v>
      </c>
      <c r="D290" s="33">
        <v>2023</v>
      </c>
      <c r="E290" s="2">
        <v>19</v>
      </c>
      <c r="F290" s="397">
        <f>SUMIFS(uitkomst_doelgroep[Patiëntaantallen],uitkomst_doelgroep[Digitale zorgtoepassing],B290,uitkomst_doelgroep[Jaar],D290,uitkomst_doelgroep[Arbeidsbesparing (€)],"&gt;0",uitkomst_doelgroep[Uitgangssituatie/effect beleid],uitkomst_tech[[#This Row],[Uitgangssituatie/effect beleid]])</f>
        <v>37720</v>
      </c>
      <c r="G290" s="398">
        <f>SUMIFS(uitkomst_doelgroep[Arbeidsbesparing (€)],uitkomst_doelgroep[Digitale zorgtoepassing],B290,uitkomst_doelgroep[Jaar],D290,uitkomst_doelgroep[Arbeidsbesparing (€)],"&gt;0",uitkomst_doelgroep[Uitgangssituatie/effect beleid],uitkomst_tech[[#This Row],[Uitgangssituatie/effect beleid]])</f>
        <v>20035529.034473527</v>
      </c>
      <c r="H290" s="398">
        <f>SUMIFS(uitkomst_doelgroep[Arbeidsbesparing (FTE)],uitkomst_doelgroep[Digitale zorgtoepassing],B290,uitkomst_doelgroep[Jaar],D290,uitkomst_doelgroep[Arbeidsbesparing (FTE)],"&gt;0",uitkomst_doelgroep[Uitgangssituatie/effect beleid],uitkomst_tech[[#This Row],[Uitgangssituatie/effect beleid]])</f>
        <v>471.93373508306922</v>
      </c>
      <c r="I290" s="398">
        <f>SUMIFS(uitkomst_doelgroep[Overige besparingen (€)],uitkomst_doelgroep[Digitale zorgtoepassing],B290,uitkomst_doelgroep[Jaar],D290,uitkomst_doelgroep[Overige besparingen (€)],"&gt;0",uitkomst_doelgroep[Uitgangssituatie/effect beleid],uitkomst_tech[[#This Row],[Uitgangssituatie/effect beleid]])</f>
        <v>17599889.988904025</v>
      </c>
      <c r="J290" s="398">
        <f>SUMIFS(uitkomst_doelgroep[QALY (€)],uitkomst_doelgroep[Digitale zorgtoepassing],B290,uitkomst_doelgroep[Jaar],D290,uitkomst_doelgroep[QALY (€)],"&gt;0",uitkomst_doelgroep[Uitgangssituatie/effect beleid],uitkomst_tech[[#This Row],[Uitgangssituatie/effect beleid]])</f>
        <v>0</v>
      </c>
      <c r="K290" s="398">
        <f>SUMIFS(uitkomst_doelgroep[Kosten (€)],uitkomst_doelgroep[Digitale zorgtoepassing],B290,uitkomst_doelgroep[Jaar],D290,uitkomst_doelgroep[Kosten (€)],"&gt;0",uitkomst_doelgroep[Uitgangssituatie/effect beleid],uitkomst_tech[[#This Row],[Uitgangssituatie/effect beleid]])</f>
        <v>17804748.915662654</v>
      </c>
      <c r="L290" s="398">
        <f>SUMIFS(uitkomst_doelgroep[Investering (cash flow) (€)],uitkomst_doelgroep[Digitale zorgtoepassing],B290,uitkomst_doelgroep[Jaar],D290,uitkomst_doelgroep[Investering (cash flow) (€)],"&gt;0",uitkomst_doelgroep[Uitgangssituatie/effect beleid],uitkomst_tech[[#This Row],[Uitgangssituatie/effect beleid]])</f>
        <v>347198.39999999991</v>
      </c>
    </row>
    <row r="291" spans="1:12" x14ac:dyDescent="0.5">
      <c r="A291" s="42" t="str">
        <f>INDEX(Technologieën[Veld],MATCH(B291,Technologieën[Digitale zorgtoepassing],0))</f>
        <v>Sensoren - Verpleging</v>
      </c>
      <c r="B291" s="33" t="s">
        <v>61</v>
      </c>
      <c r="C291" s="33" t="s">
        <v>812</v>
      </c>
      <c r="D291" s="33">
        <v>2024</v>
      </c>
      <c r="E291" s="2">
        <v>51</v>
      </c>
      <c r="F291" s="397">
        <f>SUMIFS(uitkomst_doelgroep[Patiëntaantallen],uitkomst_doelgroep[Digitale zorgtoepassing],B291,uitkomst_doelgroep[Jaar],D291,uitkomst_doelgroep[Arbeidsbesparing (€)],"&gt;0",uitkomst_doelgroep[Uitgangssituatie/effect beleid],uitkomst_tech[[#This Row],[Uitgangssituatie/effect beleid]])</f>
        <v>47904.4</v>
      </c>
      <c r="G291" s="398">
        <f>SUMIFS(uitkomst_doelgroep[Arbeidsbesparing (€)],uitkomst_doelgroep[Digitale zorgtoepassing],B291,uitkomst_doelgroep[Jaar],D291,uitkomst_doelgroep[Arbeidsbesparing (€)],"&gt;0",uitkomst_doelgroep[Uitgangssituatie/effect beleid],uitkomst_tech[[#This Row],[Uitgangssituatie/effect beleid]])</f>
        <v>25445121.873781379</v>
      </c>
      <c r="H291" s="398">
        <f>SUMIFS(uitkomst_doelgroep[Arbeidsbesparing (FTE)],uitkomst_doelgroep[Digitale zorgtoepassing],B291,uitkomst_doelgroep[Jaar],D291,uitkomst_doelgroep[Arbeidsbesparing (FTE)],"&gt;0",uitkomst_doelgroep[Uitgangssituatie/effect beleid],uitkomst_tech[[#This Row],[Uitgangssituatie/effect beleid]])</f>
        <v>599.35584355549793</v>
      </c>
      <c r="I291" s="398">
        <f>SUMIFS(uitkomst_doelgroep[Overige besparingen (€)],uitkomst_doelgroep[Digitale zorgtoepassing],B291,uitkomst_doelgroep[Jaar],D291,uitkomst_doelgroep[Overige besparingen (€)],"&gt;0",uitkomst_doelgroep[Uitgangssituatie/effect beleid],uitkomst_tech[[#This Row],[Uitgangssituatie/effect beleid]])</f>
        <v>22351860.28590811</v>
      </c>
      <c r="J291" s="398">
        <f>SUMIFS(uitkomst_doelgroep[QALY (€)],uitkomst_doelgroep[Digitale zorgtoepassing],B291,uitkomst_doelgroep[Jaar],D291,uitkomst_doelgroep[QALY (€)],"&gt;0",uitkomst_doelgroep[Uitgangssituatie/effect beleid],uitkomst_tech[[#This Row],[Uitgangssituatie/effect beleid]])</f>
        <v>0</v>
      </c>
      <c r="K291" s="398">
        <f>SUMIFS(uitkomst_doelgroep[Kosten (€)],uitkomst_doelgroep[Digitale zorgtoepassing],B291,uitkomst_doelgroep[Jaar],D291,uitkomst_doelgroep[Kosten (€)],"&gt;0",uitkomst_doelgroep[Uitgangssituatie/effect beleid],uitkomst_tech[[#This Row],[Uitgangssituatie/effect beleid]])</f>
        <v>22612031.122891568</v>
      </c>
      <c r="L291" s="398">
        <f>SUMIFS(uitkomst_doelgroep[Investering (cash flow) (€)],uitkomst_doelgroep[Digitale zorgtoepassing],B291,uitkomst_doelgroep[Jaar],D291,uitkomst_doelgroep[Investering (cash flow) (€)],"&gt;0",uitkomst_doelgroep[Uitgangssituatie/effect beleid],uitkomst_tech[[#This Row],[Uitgangssituatie/effect beleid]])</f>
        <v>353031.33311999991</v>
      </c>
    </row>
    <row r="292" spans="1:12" x14ac:dyDescent="0.5">
      <c r="A292" s="42" t="str">
        <f>INDEX(Technologieën[Veld],MATCH(B292,Technologieën[Digitale zorgtoepassing],0))</f>
        <v>Sensoren - Verpleging</v>
      </c>
      <c r="B292" s="33" t="s">
        <v>61</v>
      </c>
      <c r="C292" s="33" t="s">
        <v>812</v>
      </c>
      <c r="D292" s="33">
        <v>2025</v>
      </c>
      <c r="E292" s="2">
        <v>83</v>
      </c>
      <c r="F292" s="397">
        <f>SUMIFS(uitkomst_doelgroep[Patiëntaantallen],uitkomst_doelgroep[Digitale zorgtoepassing],B292,uitkomst_doelgroep[Jaar],D292,uitkomst_doelgroep[Arbeidsbesparing (€)],"&gt;0",uitkomst_doelgroep[Uitgangssituatie/effect beleid],uitkomst_tech[[#This Row],[Uitgangssituatie/effect beleid]])</f>
        <v>58579.897919999996</v>
      </c>
      <c r="G292" s="398">
        <f>SUMIFS(uitkomst_doelgroep[Arbeidsbesparing (€)],uitkomst_doelgroep[Digitale zorgtoepassing],B292,uitkomst_doelgroep[Jaar],D292,uitkomst_doelgroep[Arbeidsbesparing (€)],"&gt;0",uitkomst_doelgroep[Uitgangssituatie/effect beleid],uitkomst_tech[[#This Row],[Uitgangssituatie/effect beleid]])</f>
        <v>31115568.547525328</v>
      </c>
      <c r="H292" s="398">
        <f>SUMIFS(uitkomst_doelgroep[Arbeidsbesparing (FTE)],uitkomst_doelgroep[Digitale zorgtoepassing],B292,uitkomst_doelgroep[Jaar],D292,uitkomst_doelgroep[Arbeidsbesparing (FTE)],"&gt;0",uitkomst_doelgroep[Uitgangssituatie/effect beleid],uitkomst_tech[[#This Row],[Uitgangssituatie/effect beleid]])</f>
        <v>732.92232306920778</v>
      </c>
      <c r="I292" s="398">
        <f>SUMIFS(uitkomst_doelgroep[Overige besparingen (€)],uitkomst_doelgroep[Digitale zorgtoepassing],B292,uitkomst_doelgroep[Jaar],D292,uitkomst_doelgroep[Overige besparingen (€)],"&gt;0",uitkomst_doelgroep[Uitgangssituatie/effect beleid],uitkomst_tech[[#This Row],[Uitgangssituatie/effect beleid]])</f>
        <v>27332973.461114202</v>
      </c>
      <c r="J292" s="398">
        <f>SUMIFS(uitkomst_doelgroep[QALY (€)],uitkomst_doelgroep[Digitale zorgtoepassing],B292,uitkomst_doelgroep[Jaar],D292,uitkomst_doelgroep[QALY (€)],"&gt;0",uitkomst_doelgroep[Uitgangssituatie/effect beleid],uitkomst_tech[[#This Row],[Uitgangssituatie/effect beleid]])</f>
        <v>0</v>
      </c>
      <c r="K292" s="398">
        <f>SUMIFS(uitkomst_doelgroep[Kosten (€)],uitkomst_doelgroep[Digitale zorgtoepassing],B292,uitkomst_doelgroep[Jaar],D292,uitkomst_doelgroep[Kosten (€)],"&gt;0",uitkomst_doelgroep[Uitgangssituatie/effect beleid],uitkomst_tech[[#This Row],[Uitgangssituatie/effect beleid]])</f>
        <v>27651123.382045303</v>
      </c>
      <c r="L292" s="398">
        <f>SUMIFS(uitkomst_doelgroep[Investering (cash flow) (€)],uitkomst_doelgroep[Digitale zorgtoepassing],B292,uitkomst_doelgroep[Jaar],D292,uitkomst_doelgroep[Investering (cash flow) (€)],"&gt;0",uitkomst_doelgroep[Uitgangssituatie/effect beleid],uitkomst_tech[[#This Row],[Uitgangssituatie/effect beleid]])</f>
        <v>328204.13631452277</v>
      </c>
    </row>
    <row r="293" spans="1:12" x14ac:dyDescent="0.5">
      <c r="A293" s="42" t="str">
        <f>INDEX(Technologieën[Veld],MATCH(B293,Technologieën[Digitale zorgtoepassing],0))</f>
        <v>Sensoren - Verpleging</v>
      </c>
      <c r="B293" s="33" t="s">
        <v>61</v>
      </c>
      <c r="C293" s="33" t="s">
        <v>812</v>
      </c>
      <c r="D293" s="33">
        <v>2026</v>
      </c>
      <c r="E293" s="2">
        <v>115</v>
      </c>
      <c r="F293" s="397">
        <f>SUMIFS(uitkomst_doelgroep[Patiëntaantallen],uitkomst_doelgroep[Digitale zorgtoepassing],B293,uitkomst_doelgroep[Jaar],D293,uitkomst_doelgroep[Arbeidsbesparing (€)],"&gt;0",uitkomst_doelgroep[Uitgangssituatie/effect beleid],uitkomst_tech[[#This Row],[Uitgangssituatie/effect beleid]])</f>
        <v>68646.177578597577</v>
      </c>
      <c r="G293" s="398">
        <f>SUMIFS(uitkomst_doelgroep[Arbeidsbesparing (€)],uitkomst_doelgroep[Digitale zorgtoepassing],B293,uitkomst_doelgroep[Jaar],D293,uitkomst_doelgroep[Arbeidsbesparing (€)],"&gt;0",uitkomst_doelgroep[Uitgangssituatie/effect beleid],uitkomst_tech[[#This Row],[Uitgangssituatie/effect beleid]])</f>
        <v>36462420.041930474</v>
      </c>
      <c r="H293" s="398">
        <f>SUMIFS(uitkomst_doelgroep[Arbeidsbesparing (FTE)],uitkomst_doelgroep[Digitale zorgtoepassing],B293,uitkomst_doelgroep[Jaar],D293,uitkomst_doelgroep[Arbeidsbesparing (FTE)],"&gt;0",uitkomst_doelgroep[Uitgangssituatie/effect beleid],uitkomst_tech[[#This Row],[Uitgangssituatie/effect beleid]])</f>
        <v>858.86656903083758</v>
      </c>
      <c r="I293" s="398">
        <f>SUMIFS(uitkomst_doelgroep[Overige besparingen (€)],uitkomst_doelgroep[Digitale zorgtoepassing],B293,uitkomst_doelgroep[Jaar],D293,uitkomst_doelgroep[Overige besparingen (€)],"&gt;0",uitkomst_doelgroep[Uitgangssituatie/effect beleid],uitkomst_tech[[#This Row],[Uitgangssituatie/effect beleid]])</f>
        <v>32029829.627308786</v>
      </c>
      <c r="J293" s="398">
        <f>SUMIFS(uitkomst_doelgroep[QALY (€)],uitkomst_doelgroep[Digitale zorgtoepassing],B293,uitkomst_doelgroep[Jaar],D293,uitkomst_doelgroep[QALY (€)],"&gt;0",uitkomst_doelgroep[Uitgangssituatie/effect beleid],uitkomst_tech[[#This Row],[Uitgangssituatie/effect beleid]])</f>
        <v>0</v>
      </c>
      <c r="K293" s="398">
        <f>SUMIFS(uitkomst_doelgroep[Kosten (€)],uitkomst_doelgroep[Digitale zorgtoepassing],B293,uitkomst_doelgroep[Jaar],D293,uitkomst_doelgroep[Kosten (€)],"&gt;0",uitkomst_doelgroep[Uitgangssituatie/effect beleid],uitkomst_tech[[#This Row],[Uitgangssituatie/effect beleid]])</f>
        <v>32402649.941858988</v>
      </c>
      <c r="L293" s="398">
        <f>SUMIFS(uitkomst_doelgroep[Investering (cash flow) (€)],uitkomst_doelgroep[Digitale zorgtoepassing],B293,uitkomst_doelgroep[Jaar],D293,uitkomst_doelgroep[Investering (cash flow) (€)],"&gt;0",uitkomst_doelgroep[Uitgangssituatie/effect beleid],uitkomst_tech[[#This Row],[Uitgangssituatie/effect beleid]])</f>
        <v>277303.55823300371</v>
      </c>
    </row>
    <row r="294" spans="1:12" x14ac:dyDescent="0.5">
      <c r="A294" s="42" t="str">
        <f>INDEX(Technologieën[Veld],MATCH(B294,Technologieën[Digitale zorgtoepassing],0))</f>
        <v>Sensoren - Verpleging</v>
      </c>
      <c r="B294" s="33" t="s">
        <v>61</v>
      </c>
      <c r="C294" s="33" t="s">
        <v>812</v>
      </c>
      <c r="D294" s="33">
        <v>2027</v>
      </c>
      <c r="E294" s="2">
        <v>147</v>
      </c>
      <c r="F294" s="397">
        <f>SUMIFS(uitkomst_doelgroep[Patiëntaantallen],uitkomst_doelgroep[Digitale zorgtoepassing],B294,uitkomst_doelgroep[Jaar],D294,uitkomst_doelgroep[Arbeidsbesparing (€)],"&gt;0",uitkomst_doelgroep[Uitgangssituatie/effect beleid],uitkomst_tech[[#This Row],[Uitgangssituatie/effect beleid]])</f>
        <v>77374.37793699227</v>
      </c>
      <c r="G294" s="398">
        <f>SUMIFS(uitkomst_doelgroep[Arbeidsbesparing (€)],uitkomst_doelgroep[Digitale zorgtoepassing],B294,uitkomst_doelgroep[Jaar],D294,uitkomst_doelgroep[Arbeidsbesparing (€)],"&gt;0",uitkomst_doelgroep[Uitgangssituatie/effect beleid],uitkomst_tech[[#This Row],[Uitgangssituatie/effect beleid]])</f>
        <v>41098531.168635644</v>
      </c>
      <c r="H294" s="398">
        <f>SUMIFS(uitkomst_doelgroep[Arbeidsbesparing (FTE)],uitkomst_doelgroep[Digitale zorgtoepassing],B294,uitkomst_doelgroep[Jaar],D294,uitkomst_doelgroep[Arbeidsbesparing (FTE)],"&gt;0",uitkomst_doelgroep[Uitgangssituatie/effect beleid],uitkomst_tech[[#This Row],[Uitgangssituatie/effect beleid]])</f>
        <v>968.0694374213623</v>
      </c>
      <c r="I294" s="398">
        <f>SUMIFS(uitkomst_doelgroep[Overige besparingen (€)],uitkomst_doelgroep[Digitale zorgtoepassing],B294,uitkomst_doelgroep[Jaar],D294,uitkomst_doelgroep[Overige besparingen (€)],"&gt;0",uitkomst_doelgroep[Uitgangssituatie/effect beleid],uitkomst_tech[[#This Row],[Uitgangssituatie/effect beleid]])</f>
        <v>36102347.286610469</v>
      </c>
      <c r="J294" s="398">
        <f>SUMIFS(uitkomst_doelgroep[QALY (€)],uitkomst_doelgroep[Digitale zorgtoepassing],B294,uitkomst_doelgroep[Jaar],D294,uitkomst_doelgroep[QALY (€)],"&gt;0",uitkomst_doelgroep[Uitgangssituatie/effect beleid],uitkomst_tech[[#This Row],[Uitgangssituatie/effect beleid]])</f>
        <v>0</v>
      </c>
      <c r="K294" s="398">
        <f>SUMIFS(uitkomst_doelgroep[Kosten (€)],uitkomst_doelgroep[Digitale zorgtoepassing],B294,uitkomst_doelgroep[Jaar],D294,uitkomst_doelgroep[Kosten (€)],"&gt;0",uitkomst_doelgroep[Uitgangssituatie/effect beleid],uitkomst_tech[[#This Row],[Uitgangssituatie/effect beleid]])</f>
        <v>36522570.829102211</v>
      </c>
      <c r="L294" s="398">
        <f>SUMIFS(uitkomst_doelgroep[Investering (cash flow) (€)],uitkomst_doelgroep[Digitale zorgtoepassing],B294,uitkomst_doelgroep[Jaar],D294,uitkomst_doelgroep[Investering (cash flow) (€)],"&gt;0",uitkomst_doelgroep[Uitgangssituatie/effect beleid],uitkomst_tech[[#This Row],[Uitgangssituatie/effect beleid]])</f>
        <v>213405.00350354926</v>
      </c>
    </row>
    <row r="295" spans="1:12" x14ac:dyDescent="0.5">
      <c r="A295" s="42" t="str">
        <f>INDEX(Technologieën[Veld],MATCH(B295,Technologieën[Digitale zorgtoepassing],0))</f>
        <v>Sensoren - Verpleging</v>
      </c>
      <c r="B295" s="33" t="s">
        <v>61</v>
      </c>
      <c r="C295" s="33" t="s">
        <v>812</v>
      </c>
      <c r="D295" s="33">
        <v>2028</v>
      </c>
      <c r="E295" s="2">
        <v>179</v>
      </c>
      <c r="F295" s="397">
        <f>SUMIFS(uitkomst_doelgroep[Patiëntaantallen],uitkomst_doelgroep[Digitale zorgtoepassing],B295,uitkomst_doelgroep[Jaar],D295,uitkomst_doelgroep[Arbeidsbesparing (€)],"&gt;0",uitkomst_doelgroep[Uitgangssituatie/effect beleid],uitkomst_tech[[#This Row],[Uitgangssituatie/effect beleid]])</f>
        <v>84422.60209104883</v>
      </c>
      <c r="G295" s="398">
        <f>SUMIFS(uitkomst_doelgroep[Arbeidsbesparing (€)],uitkomst_doelgroep[Digitale zorgtoepassing],B295,uitkomst_doelgroep[Jaar],D295,uitkomst_doelgroep[Arbeidsbesparing (€)],"&gt;0",uitkomst_doelgroep[Uitgangssituatie/effect beleid],uitkomst_tech[[#This Row],[Uitgangssituatie/effect beleid]])</f>
        <v>44842298.392391682</v>
      </c>
      <c r="H295" s="398">
        <f>SUMIFS(uitkomst_doelgroep[Arbeidsbesparing (FTE)],uitkomst_doelgroep[Digitale zorgtoepassing],B295,uitkomst_doelgroep[Jaar],D295,uitkomst_doelgroep[Arbeidsbesparing (FTE)],"&gt;0",uitkomst_doelgroep[Uitgangssituatie/effect beleid],uitkomst_tech[[#This Row],[Uitgangssituatie/effect beleid]])</f>
        <v>1056.2532855318241</v>
      </c>
      <c r="I295" s="398">
        <f>SUMIFS(uitkomst_doelgroep[Overige besparingen (€)],uitkomst_doelgroep[Digitale zorgtoepassing],B295,uitkomst_doelgroep[Jaar],D295,uitkomst_doelgroep[Overige besparingen (€)],"&gt;0",uitkomst_doelgroep[Uitgangssituatie/effect beleid],uitkomst_tech[[#This Row],[Uitgangssituatie/effect beleid]])</f>
        <v>39390999.718437918</v>
      </c>
      <c r="J295" s="398">
        <f>SUMIFS(uitkomst_doelgroep[QALY (€)],uitkomst_doelgroep[Digitale zorgtoepassing],B295,uitkomst_doelgroep[Jaar],D295,uitkomst_doelgroep[QALY (€)],"&gt;0",uitkomst_doelgroep[Uitgangssituatie/effect beleid],uitkomst_tech[[#This Row],[Uitgangssituatie/effect beleid]])</f>
        <v>0</v>
      </c>
      <c r="K295" s="398">
        <f>SUMIFS(uitkomst_doelgroep[Kosten (€)],uitkomst_doelgroep[Digitale zorgtoepassing],B295,uitkomst_doelgroep[Jaar],D295,uitkomst_doelgroep[Kosten (€)],"&gt;0",uitkomst_doelgroep[Uitgangssituatie/effect beleid],uitkomst_tech[[#This Row],[Uitgangssituatie/effect beleid]])</f>
        <v>39849502.466543518</v>
      </c>
      <c r="L295" s="398">
        <f>SUMIFS(uitkomst_doelgroep[Investering (cash flow) (€)],uitkomst_doelgroep[Digitale zorgtoepassing],B295,uitkomst_doelgroep[Jaar],D295,uitkomst_doelgroep[Investering (cash flow) (€)],"&gt;0",uitkomst_doelgroep[Uitgangssituatie/effect beleid],uitkomst_tech[[#This Row],[Uitgangssituatie/effect beleid]])</f>
        <v>151200.78110923839</v>
      </c>
    </row>
    <row r="296" spans="1:12" x14ac:dyDescent="0.5">
      <c r="A296" s="42" t="str">
        <f>INDEX(Technologieën[Veld],MATCH(B296,Technologieën[Digitale zorgtoepassing],0))</f>
        <v>Sensoren - Verpleging</v>
      </c>
      <c r="B296" s="33" t="s">
        <v>61</v>
      </c>
      <c r="C296" s="33" t="s">
        <v>812</v>
      </c>
      <c r="D296" s="33">
        <v>2029</v>
      </c>
      <c r="E296" s="2">
        <v>211</v>
      </c>
      <c r="F296" s="397">
        <f>SUMIFS(uitkomst_doelgroep[Patiëntaantallen],uitkomst_doelgroep[Digitale zorgtoepassing],B296,uitkomst_doelgroep[Jaar],D296,uitkomst_doelgroep[Arbeidsbesparing (€)],"&gt;0",uitkomst_doelgroep[Uitgangssituatie/effect beleid],uitkomst_tech[[#This Row],[Uitgangssituatie/effect beleid]])</f>
        <v>89876.898309666998</v>
      </c>
      <c r="G296" s="398">
        <f>SUMIFS(uitkomst_doelgroep[Arbeidsbesparing (€)],uitkomst_doelgroep[Digitale zorgtoepassing],B296,uitkomst_doelgroep[Jaar],D296,uitkomst_doelgroep[Arbeidsbesparing (€)],"&gt;0",uitkomst_doelgroep[Uitgangssituatie/effect beleid],uitkomst_tech[[#This Row],[Uitgangssituatie/effect beleid]])</f>
        <v>47739427.508265056</v>
      </c>
      <c r="H296" s="398">
        <f>SUMIFS(uitkomst_doelgroep[Arbeidsbesparing (FTE)],uitkomst_doelgroep[Digitale zorgtoepassing],B296,uitkomst_doelgroep[Jaar],D296,uitkomst_doelgroep[Arbeidsbesparing (FTE)],"&gt;0",uitkomst_doelgroep[Uitgangssituatie/effect beleid],uitkomst_tech[[#This Row],[Uitgangssituatie/effect beleid]])</f>
        <v>1124.4947061760959</v>
      </c>
      <c r="I296" s="398">
        <f>SUMIFS(uitkomst_doelgroep[Overige besparingen (€)],uitkomst_doelgroep[Digitale zorgtoepassing],B296,uitkomst_doelgroep[Jaar],D296,uitkomst_doelgroep[Overige besparingen (€)],"&gt;0",uitkomst_doelgroep[Uitgangssituatie/effect beleid],uitkomst_tech[[#This Row],[Uitgangssituatie/effect beleid]])</f>
        <v>41935936.447350301</v>
      </c>
      <c r="J296" s="398">
        <f>SUMIFS(uitkomst_doelgroep[QALY (€)],uitkomst_doelgroep[Digitale zorgtoepassing],B296,uitkomst_doelgroep[Jaar],D296,uitkomst_doelgroep[QALY (€)],"&gt;0",uitkomst_doelgroep[Uitgangssituatie/effect beleid],uitkomst_tech[[#This Row],[Uitgangssituatie/effect beleid]])</f>
        <v>0</v>
      </c>
      <c r="K296" s="398">
        <f>SUMIFS(uitkomst_doelgroep[Kosten (€)],uitkomst_doelgroep[Digitale zorgtoepassing],B296,uitkomst_doelgroep[Jaar],D296,uitkomst_doelgroep[Kosten (€)],"&gt;0",uitkomst_doelgroep[Uitgangssituatie/effect beleid],uitkomst_tech[[#This Row],[Uitgangssituatie/effect beleid]])</f>
        <v>42424061.710555837</v>
      </c>
      <c r="L296" s="398">
        <f>SUMIFS(uitkomst_doelgroep[Investering (cash flow) (€)],uitkomst_doelgroep[Digitale zorgtoepassing],B296,uitkomst_doelgroep[Jaar],D296,uitkomst_doelgroep[Investering (cash flow) (€)],"&gt;0",uitkomst_doelgroep[Uitgangssituatie/effect beleid],uitkomst_tech[[#This Row],[Uitgangssituatie/effect beleid]])</f>
        <v>100268.75672699971</v>
      </c>
    </row>
    <row r="297" spans="1:12" x14ac:dyDescent="0.5">
      <c r="A297" s="42" t="str">
        <f>INDEX(Technologieën[Veld],MATCH(B297,Technologieën[Digitale zorgtoepassing],0))</f>
        <v>Sensoren - Verpleging</v>
      </c>
      <c r="B297" s="33" t="s">
        <v>61</v>
      </c>
      <c r="C297" s="33" t="s">
        <v>812</v>
      </c>
      <c r="D297" s="33">
        <v>2030</v>
      </c>
      <c r="E297" s="2">
        <v>243</v>
      </c>
      <c r="F297" s="397">
        <f>SUMIFS(uitkomst_doelgroep[Patiëntaantallen],uitkomst_doelgroep[Digitale zorgtoepassing],B297,uitkomst_doelgroep[Jaar],D297,uitkomst_doelgroep[Arbeidsbesparing (€)],"&gt;0",uitkomst_doelgroep[Uitgangssituatie/effect beleid],uitkomst_tech[[#This Row],[Uitgangssituatie/effect beleid]])</f>
        <v>94089.378917111782</v>
      </c>
      <c r="G297" s="398">
        <f>SUMIFS(uitkomst_doelgroep[Arbeidsbesparing (€)],uitkomst_doelgroep[Digitale zorgtoepassing],B297,uitkomst_doelgroep[Jaar],D297,uitkomst_doelgroep[Arbeidsbesparing (€)],"&gt;0",uitkomst_doelgroep[Uitgangssituatie/effect beleid],uitkomst_tech[[#This Row],[Uitgangssituatie/effect beleid]])</f>
        <v>49976948.121139303</v>
      </c>
      <c r="H297" s="398">
        <f>SUMIFS(uitkomst_doelgroep[Arbeidsbesparing (FTE)],uitkomst_doelgroep[Digitale zorgtoepassing],B297,uitkomst_doelgroep[Jaar],D297,uitkomst_doelgroep[Arbeidsbesparing (FTE)],"&gt;0",uitkomst_doelgroep[Uitgangssituatie/effect beleid],uitkomst_tech[[#This Row],[Uitgangssituatie/effect beleid]])</f>
        <v>1177.1991522799244</v>
      </c>
      <c r="I297" s="398">
        <f>SUMIFS(uitkomst_doelgroep[Overige besparingen (€)],uitkomst_doelgroep[Digitale zorgtoepassing],B297,uitkomst_doelgroep[Jaar],D297,uitkomst_doelgroep[Overige besparingen (€)],"&gt;0",uitkomst_doelgroep[Uitgangssituatie/effect beleid],uitkomst_tech[[#This Row],[Uitgangssituatie/effect beleid]])</f>
        <v>43901450.638002992</v>
      </c>
      <c r="J297" s="398">
        <f>SUMIFS(uitkomst_doelgroep[QALY (€)],uitkomst_doelgroep[Digitale zorgtoepassing],B297,uitkomst_doelgroep[Jaar],D297,uitkomst_doelgroep[QALY (€)],"&gt;0",uitkomst_doelgroep[Uitgangssituatie/effect beleid],uitkomst_tech[[#This Row],[Uitgangssituatie/effect beleid]])</f>
        <v>0</v>
      </c>
      <c r="K297" s="398">
        <f>SUMIFS(uitkomst_doelgroep[Kosten (€)],uitkomst_doelgroep[Digitale zorgtoepassing],B297,uitkomst_doelgroep[Jaar],D297,uitkomst_doelgroep[Kosten (€)],"&gt;0",uitkomst_doelgroep[Uitgangssituatie/effect beleid],uitkomst_tech[[#This Row],[Uitgangssituatie/effect beleid]])</f>
        <v>44412454.062826574</v>
      </c>
      <c r="L297" s="398">
        <f>SUMIFS(uitkomst_doelgroep[Investering (cash flow) (€)],uitkomst_doelgroep[Digitale zorgtoepassing],B297,uitkomst_doelgroep[Jaar],D297,uitkomst_doelgroep[Investering (cash flow) (€)],"&gt;0",uitkomst_doelgroep[Uitgangssituatie/effect beleid],uitkomst_tech[[#This Row],[Uitgangssituatie/effect beleid]])</f>
        <v>63355.891464818655</v>
      </c>
    </row>
    <row r="298" spans="1:12" x14ac:dyDescent="0.5">
      <c r="A298" s="42" t="str">
        <f>INDEX(Technologieën[Veld],MATCH(B298,Technologieën[Digitale zorgtoepassing],0))</f>
        <v>Sensoren - Verpleging</v>
      </c>
      <c r="B298" s="33" t="s">
        <v>61</v>
      </c>
      <c r="C298" s="33" t="s">
        <v>812</v>
      </c>
      <c r="D298" s="33">
        <v>2031</v>
      </c>
      <c r="E298" s="2">
        <v>275</v>
      </c>
      <c r="F298" s="397">
        <f>SUMIFS(uitkomst_doelgroep[Patiëntaantallen],uitkomst_doelgroep[Digitale zorgtoepassing],B298,uitkomst_doelgroep[Jaar],D298,uitkomst_doelgroep[Arbeidsbesparing (€)],"&gt;0",uitkomst_doelgroep[Uitgangssituatie/effect beleid],uitkomst_tech[[#This Row],[Uitgangssituatie/effect beleid]])</f>
        <v>97460.876194706492</v>
      </c>
      <c r="G298" s="398">
        <f>SUMIFS(uitkomst_doelgroep[Arbeidsbesparing (€)],uitkomst_doelgroep[Digitale zorgtoepassing],B298,uitkomst_doelgroep[Jaar],D298,uitkomst_doelgroep[Arbeidsbesparing (€)],"&gt;0",uitkomst_doelgroep[Uitgangssituatie/effect beleid],uitkomst_tech[[#This Row],[Uitgangssituatie/effect beleid]])</f>
        <v>51767768.152817376</v>
      </c>
      <c r="H298" s="398">
        <f>SUMIFS(uitkomst_doelgroep[Arbeidsbesparing (FTE)],uitkomst_doelgroep[Digitale zorgtoepassing],B298,uitkomst_doelgroep[Jaar],D298,uitkomst_doelgroep[Arbeidsbesparing (FTE)],"&gt;0",uitkomst_doelgroep[Uitgangssituatie/effect beleid],uitkomst_tech[[#This Row],[Uitgangssituatie/effect beleid]])</f>
        <v>1219.3816364537756</v>
      </c>
      <c r="I298" s="398">
        <f>SUMIFS(uitkomst_doelgroep[Overige besparingen (€)],uitkomst_doelgroep[Digitale zorgtoepassing],B298,uitkomst_doelgroep[Jaar],D298,uitkomst_doelgroep[Overige besparingen (€)],"&gt;0",uitkomst_doelgroep[Uitgangssituatie/effect beleid],uitkomst_tech[[#This Row],[Uitgangssituatie/effect beleid]])</f>
        <v>45474567.848595679</v>
      </c>
      <c r="J298" s="398">
        <f>SUMIFS(uitkomst_doelgroep[QALY (€)],uitkomst_doelgroep[Digitale zorgtoepassing],B298,uitkomst_doelgroep[Jaar],D298,uitkomst_doelgroep[QALY (€)],"&gt;0",uitkomst_doelgroep[Uitgangssituatie/effect beleid],uitkomst_tech[[#This Row],[Uitgangssituatie/effect beleid]])</f>
        <v>0</v>
      </c>
      <c r="K298" s="398">
        <f>SUMIFS(uitkomst_doelgroep[Kosten (€)],uitkomst_doelgroep[Digitale zorgtoepassing],B298,uitkomst_doelgroep[Jaar],D298,uitkomst_doelgroep[Kosten (€)],"&gt;0",uitkomst_doelgroep[Uitgangssituatie/effect beleid],uitkomst_tech[[#This Row],[Uitgangssituatie/effect beleid]])</f>
        <v>46003882.018749528</v>
      </c>
      <c r="L298" s="398">
        <f>SUMIFS(uitkomst_doelgroep[Investering (cash flow) (€)],uitkomst_doelgroep[Digitale zorgtoepassing],B298,uitkomst_doelgroep[Jaar],D298,uitkomst_doelgroep[Investering (cash flow) (€)],"&gt;0",uitkomst_doelgroep[Uitgangssituatie/effect beleid],uitkomst_tech[[#This Row],[Uitgangssituatie/effect beleid]])</f>
        <v>38742.243278852911</v>
      </c>
    </row>
    <row r="299" spans="1:12" x14ac:dyDescent="0.5">
      <c r="A299" s="42" t="str">
        <f>INDEX(Technologieën[Veld],MATCH(B299,Technologieën[Digitale zorgtoepassing],0))</f>
        <v>Sensoren - Verpleging</v>
      </c>
      <c r="B299" s="33" t="s">
        <v>61</v>
      </c>
      <c r="C299" s="33" t="s">
        <v>812</v>
      </c>
      <c r="D299" s="33">
        <v>2032</v>
      </c>
      <c r="E299" s="2">
        <v>307</v>
      </c>
      <c r="F299" s="397">
        <f>SUMIFS(uitkomst_doelgroep[Patiëntaantallen],uitkomst_doelgroep[Digitale zorgtoepassing],B299,uitkomst_doelgroep[Jaar],D299,uitkomst_doelgroep[Arbeidsbesparing (€)],"&gt;0",uitkomst_doelgroep[Uitgangssituatie/effect beleid],uitkomst_tech[[#This Row],[Uitgangssituatie/effect beleid]])</f>
        <v>100292.82526550116</v>
      </c>
      <c r="G299" s="398">
        <f>SUMIFS(uitkomst_doelgroep[Arbeidsbesparing (€)],uitkomst_doelgroep[Digitale zorgtoepassing],B299,uitkomst_doelgroep[Jaar],D299,uitkomst_doelgroep[Arbeidsbesparing (€)],"&gt;0",uitkomst_doelgroep[Uitgangssituatie/effect beleid],uitkomst_tech[[#This Row],[Uitgangssituatie/effect beleid]])</f>
        <v>53271999.272437125</v>
      </c>
      <c r="H299" s="398">
        <f>SUMIFS(uitkomst_doelgroep[Arbeidsbesparing (FTE)],uitkomst_doelgroep[Digitale zorgtoepassing],B299,uitkomst_doelgroep[Jaar],D299,uitkomst_doelgroep[Arbeidsbesparing (FTE)],"&gt;0",uitkomst_doelgroep[Uitgangssituatie/effect beleid],uitkomst_tech[[#This Row],[Uitgangssituatie/effect beleid]])</f>
        <v>1254.8135638807416</v>
      </c>
      <c r="I299" s="398">
        <f>SUMIFS(uitkomst_doelgroep[Overige besparingen (€)],uitkomst_doelgroep[Digitale zorgtoepassing],B299,uitkomst_doelgroep[Jaar],D299,uitkomst_doelgroep[Overige besparingen (€)],"&gt;0",uitkomst_doelgroep[Uitgangssituatie/effect beleid],uitkomst_tech[[#This Row],[Uitgangssituatie/effect beleid]])</f>
        <v>46795935.613711409</v>
      </c>
      <c r="J299" s="398">
        <f>SUMIFS(uitkomst_doelgroep[QALY (€)],uitkomst_doelgroep[Digitale zorgtoepassing],B299,uitkomst_doelgroep[Jaar],D299,uitkomst_doelgroep[QALY (€)],"&gt;0",uitkomst_doelgroep[Uitgangssituatie/effect beleid],uitkomst_tech[[#This Row],[Uitgangssituatie/effect beleid]])</f>
        <v>0</v>
      </c>
      <c r="K299" s="398">
        <f>SUMIFS(uitkomst_doelgroep[Kosten (€)],uitkomst_doelgroep[Digitale zorgtoepassing],B299,uitkomst_doelgroep[Jaar],D299,uitkomst_doelgroep[Kosten (€)],"&gt;0",uitkomst_doelgroep[Uitgangssituatie/effect beleid],uitkomst_tech[[#This Row],[Uitgangssituatie/effect beleid]])</f>
        <v>47340630.219901264</v>
      </c>
      <c r="L299" s="398">
        <f>SUMIFS(uitkomst_doelgroep[Investering (cash flow) (€)],uitkomst_doelgroep[Digitale zorgtoepassing],B299,uitkomst_doelgroep[Jaar],D299,uitkomst_doelgroep[Investering (cash flow) (€)],"&gt;0",uitkomst_doelgroep[Uitgangssituatie/effect beleid],uitkomst_tech[[#This Row],[Uitgangssituatie/effect beleid]])</f>
        <v>23198.789889234034</v>
      </c>
    </row>
    <row r="300" spans="1:12" x14ac:dyDescent="0.5">
      <c r="A300" s="42" t="str">
        <f>INDEX(Technologieën[Veld],MATCH(B300,Technologieën[Digitale zorgtoepassing],0))</f>
        <v>Sensoren - Verpleging</v>
      </c>
      <c r="B300" s="33" t="s">
        <v>61</v>
      </c>
      <c r="C300" s="33" t="s">
        <v>812</v>
      </c>
      <c r="D300" s="33">
        <v>2033</v>
      </c>
      <c r="E300" s="2">
        <v>339</v>
      </c>
      <c r="F300" s="397">
        <f>SUMIFS(uitkomst_doelgroep[Patiëntaantallen],uitkomst_doelgroep[Digitale zorgtoepassing],B300,uitkomst_doelgroep[Jaar],D300,uitkomst_doelgroep[Arbeidsbesparing (€)],"&gt;0",uitkomst_doelgroep[Uitgangssituatie/effect beleid],uitkomst_tech[[#This Row],[Uitgangssituatie/effect beleid]])</f>
        <v>102737.27640077301</v>
      </c>
      <c r="G300" s="398">
        <f>SUMIFS(uitkomst_doelgroep[Arbeidsbesparing (€)],uitkomst_doelgroep[Digitale zorgtoepassing],B300,uitkomst_doelgroep[Jaar],D300,uitkomst_doelgroep[Arbeidsbesparing (€)],"&gt;0",uitkomst_doelgroep[Uitgangssituatie/effect beleid],uitkomst_tech[[#This Row],[Uitgangssituatie/effect beleid]])</f>
        <v>54570405.202821307</v>
      </c>
      <c r="H300" s="398">
        <f>SUMIFS(uitkomst_doelgroep[Arbeidsbesparing (FTE)],uitkomst_doelgroep[Digitale zorgtoepassing],B300,uitkomst_doelgroep[Jaar],D300,uitkomst_doelgroep[Arbeidsbesparing (FTE)],"&gt;0",uitkomst_doelgroep[Uitgangssituatie/effect beleid],uitkomst_tech[[#This Row],[Uitgangssituatie/effect beleid]])</f>
        <v>1285.397311348846</v>
      </c>
      <c r="I300" s="398">
        <f>SUMIFS(uitkomst_doelgroep[Overige besparingen (€)],uitkomst_doelgroep[Digitale zorgtoepassing],B300,uitkomst_doelgroep[Jaar],D300,uitkomst_doelgroep[Overige besparingen (€)],"&gt;0",uitkomst_doelgroep[Uitgangssituatie/effect beleid],uitkomst_tech[[#This Row],[Uitgangssituatie/effect beleid]])</f>
        <v>47936499.533754788</v>
      </c>
      <c r="J300" s="398">
        <f>SUMIFS(uitkomst_doelgroep[QALY (€)],uitkomst_doelgroep[Digitale zorgtoepassing],B300,uitkomst_doelgroep[Jaar],D300,uitkomst_doelgroep[QALY (€)],"&gt;0",uitkomst_doelgroep[Uitgangssituatie/effect beleid],uitkomst_tech[[#This Row],[Uitgangssituatie/effect beleid]])</f>
        <v>0</v>
      </c>
      <c r="K300" s="398">
        <f>SUMIFS(uitkomst_doelgroep[Kosten (€)],uitkomst_doelgroep[Digitale zorgtoepassing],B300,uitkomst_doelgroep[Jaar],D300,uitkomst_doelgroep[Kosten (€)],"&gt;0",uitkomst_doelgroep[Uitgangssituatie/effect beleid],uitkomst_tech[[#This Row],[Uitgangssituatie/effect beleid]])</f>
        <v>48494470.058186576</v>
      </c>
      <c r="L300" s="398">
        <f>SUMIFS(uitkomst_doelgroep[Investering (cash flow) (€)],uitkomst_doelgroep[Digitale zorgtoepassing],B300,uitkomst_doelgroep[Jaar],D300,uitkomst_doelgroep[Investering (cash flow) (€)],"&gt;0",uitkomst_doelgroep[Uitgangssituatie/effect beleid],uitkomst_tech[[#This Row],[Uitgangssituatie/effect beleid]])</f>
        <v>13712.603522098296</v>
      </c>
    </row>
    <row r="301" spans="1:12" x14ac:dyDescent="0.5">
      <c r="A301" s="42" t="e">
        <f>INDEX(Technologieën[Veld],MATCH(B301,Technologieën[Digitale zorgtoepassing],0))</f>
        <v>#N/A</v>
      </c>
      <c r="B301" s="33" t="s">
        <v>60</v>
      </c>
      <c r="C301" s="33" t="s">
        <v>812</v>
      </c>
      <c r="D301" s="33">
        <v>2023</v>
      </c>
      <c r="E301" s="2">
        <v>8</v>
      </c>
      <c r="F301" s="397">
        <f>SUMIFS(uitkomst_doelgroep[Patiëntaantallen],uitkomst_doelgroep[Digitale zorgtoepassing],B301,uitkomst_doelgroep[Jaar],D301,uitkomst_doelgroep[Arbeidsbesparing (€)],"&gt;0",uitkomst_doelgroep[Uitgangssituatie/effect beleid],uitkomst_tech[[#This Row],[Uitgangssituatie/effect beleid]])</f>
        <v>0</v>
      </c>
      <c r="G301" s="398">
        <f>SUMIFS(uitkomst_doelgroep[Arbeidsbesparing (€)],uitkomst_doelgroep[Digitale zorgtoepassing],B301,uitkomst_doelgroep[Jaar],D301,uitkomst_doelgroep[Arbeidsbesparing (€)],"&gt;0",uitkomst_doelgroep[Uitgangssituatie/effect beleid],uitkomst_tech[[#This Row],[Uitgangssituatie/effect beleid]])</f>
        <v>0</v>
      </c>
      <c r="H301" s="398">
        <f>SUMIFS(uitkomst_doelgroep[Arbeidsbesparing (FTE)],uitkomst_doelgroep[Digitale zorgtoepassing],B301,uitkomst_doelgroep[Jaar],D301,uitkomst_doelgroep[Arbeidsbesparing (FTE)],"&gt;0",uitkomst_doelgroep[Uitgangssituatie/effect beleid],uitkomst_tech[[#This Row],[Uitgangssituatie/effect beleid]])</f>
        <v>0</v>
      </c>
      <c r="I301" s="398">
        <f>SUMIFS(uitkomst_doelgroep[Overige besparingen (€)],uitkomst_doelgroep[Digitale zorgtoepassing],B301,uitkomst_doelgroep[Jaar],D301,uitkomst_doelgroep[Overige besparingen (€)],"&gt;0",uitkomst_doelgroep[Uitgangssituatie/effect beleid],uitkomst_tech[[#This Row],[Uitgangssituatie/effect beleid]])</f>
        <v>0</v>
      </c>
      <c r="J301" s="398">
        <f>SUMIFS(uitkomst_doelgroep[QALY (€)],uitkomst_doelgroep[Digitale zorgtoepassing],B301,uitkomst_doelgroep[Jaar],D301,uitkomst_doelgroep[QALY (€)],"&gt;0",uitkomst_doelgroep[Uitgangssituatie/effect beleid],uitkomst_tech[[#This Row],[Uitgangssituatie/effect beleid]])</f>
        <v>0</v>
      </c>
      <c r="K301" s="398">
        <f>SUMIFS(uitkomst_doelgroep[Kosten (€)],uitkomst_doelgroep[Digitale zorgtoepassing],B301,uitkomst_doelgroep[Jaar],D301,uitkomst_doelgroep[Kosten (€)],"&gt;0",uitkomst_doelgroep[Uitgangssituatie/effect beleid],uitkomst_tech[[#This Row],[Uitgangssituatie/effect beleid]])</f>
        <v>0</v>
      </c>
      <c r="L301" s="398">
        <f>SUMIFS(uitkomst_doelgroep[Investering (cash flow) (€)],uitkomst_doelgroep[Digitale zorgtoepassing],B301,uitkomst_doelgroep[Jaar],D301,uitkomst_doelgroep[Investering (cash flow) (€)],"&gt;0",uitkomst_doelgroep[Uitgangssituatie/effect beleid],uitkomst_tech[[#This Row],[Uitgangssituatie/effect beleid]])</f>
        <v>0</v>
      </c>
    </row>
    <row r="302" spans="1:12" x14ac:dyDescent="0.5">
      <c r="A302" s="42" t="e">
        <f>INDEX(Technologieën[Veld],MATCH(B302,Technologieën[Digitale zorgtoepassing],0))</f>
        <v>#N/A</v>
      </c>
      <c r="B302" s="33" t="s">
        <v>60</v>
      </c>
      <c r="C302" s="33" t="s">
        <v>812</v>
      </c>
      <c r="D302" s="33">
        <v>2024</v>
      </c>
      <c r="E302" s="2">
        <v>40</v>
      </c>
      <c r="F302" s="397">
        <f>SUMIFS(uitkomst_doelgroep[Patiëntaantallen],uitkomst_doelgroep[Digitale zorgtoepassing],B302,uitkomst_doelgroep[Jaar],D302,uitkomst_doelgroep[Arbeidsbesparing (€)],"&gt;0",uitkomst_doelgroep[Uitgangssituatie/effect beleid],uitkomst_tech[[#This Row],[Uitgangssituatie/effect beleid]])</f>
        <v>0</v>
      </c>
      <c r="G302" s="398">
        <f>SUMIFS(uitkomst_doelgroep[Arbeidsbesparing (€)],uitkomst_doelgroep[Digitale zorgtoepassing],B302,uitkomst_doelgroep[Jaar],D302,uitkomst_doelgroep[Arbeidsbesparing (€)],"&gt;0",uitkomst_doelgroep[Uitgangssituatie/effect beleid],uitkomst_tech[[#This Row],[Uitgangssituatie/effect beleid]])</f>
        <v>0</v>
      </c>
      <c r="H302" s="398">
        <f>SUMIFS(uitkomst_doelgroep[Arbeidsbesparing (FTE)],uitkomst_doelgroep[Digitale zorgtoepassing],B302,uitkomst_doelgroep[Jaar],D302,uitkomst_doelgroep[Arbeidsbesparing (FTE)],"&gt;0",uitkomst_doelgroep[Uitgangssituatie/effect beleid],uitkomst_tech[[#This Row],[Uitgangssituatie/effect beleid]])</f>
        <v>0</v>
      </c>
      <c r="I302" s="398">
        <f>SUMIFS(uitkomst_doelgroep[Overige besparingen (€)],uitkomst_doelgroep[Digitale zorgtoepassing],B302,uitkomst_doelgroep[Jaar],D302,uitkomst_doelgroep[Overige besparingen (€)],"&gt;0",uitkomst_doelgroep[Uitgangssituatie/effect beleid],uitkomst_tech[[#This Row],[Uitgangssituatie/effect beleid]])</f>
        <v>0</v>
      </c>
      <c r="J302" s="398">
        <f>SUMIFS(uitkomst_doelgroep[QALY (€)],uitkomst_doelgroep[Digitale zorgtoepassing],B302,uitkomst_doelgroep[Jaar],D302,uitkomst_doelgroep[QALY (€)],"&gt;0",uitkomst_doelgroep[Uitgangssituatie/effect beleid],uitkomst_tech[[#This Row],[Uitgangssituatie/effect beleid]])</f>
        <v>0</v>
      </c>
      <c r="K302" s="398">
        <f>SUMIFS(uitkomst_doelgroep[Kosten (€)],uitkomst_doelgroep[Digitale zorgtoepassing],B302,uitkomst_doelgroep[Jaar],D302,uitkomst_doelgroep[Kosten (€)],"&gt;0",uitkomst_doelgroep[Uitgangssituatie/effect beleid],uitkomst_tech[[#This Row],[Uitgangssituatie/effect beleid]])</f>
        <v>0</v>
      </c>
      <c r="L302" s="398">
        <f>SUMIFS(uitkomst_doelgroep[Investering (cash flow) (€)],uitkomst_doelgroep[Digitale zorgtoepassing],B302,uitkomst_doelgroep[Jaar],D302,uitkomst_doelgroep[Investering (cash flow) (€)],"&gt;0",uitkomst_doelgroep[Uitgangssituatie/effect beleid],uitkomst_tech[[#This Row],[Uitgangssituatie/effect beleid]])</f>
        <v>0</v>
      </c>
    </row>
    <row r="303" spans="1:12" x14ac:dyDescent="0.5">
      <c r="A303" s="42" t="e">
        <f>INDEX(Technologieën[Veld],MATCH(B303,Technologieën[Digitale zorgtoepassing],0))</f>
        <v>#N/A</v>
      </c>
      <c r="B303" s="33" t="s">
        <v>60</v>
      </c>
      <c r="C303" s="33" t="s">
        <v>812</v>
      </c>
      <c r="D303" s="33">
        <v>2025</v>
      </c>
      <c r="E303" s="2">
        <v>72</v>
      </c>
      <c r="F303" s="397">
        <f>SUMIFS(uitkomst_doelgroep[Patiëntaantallen],uitkomst_doelgroep[Digitale zorgtoepassing],B303,uitkomst_doelgroep[Jaar],D303,uitkomst_doelgroep[Arbeidsbesparing (€)],"&gt;0",uitkomst_doelgroep[Uitgangssituatie/effect beleid],uitkomst_tech[[#This Row],[Uitgangssituatie/effect beleid]])</f>
        <v>0</v>
      </c>
      <c r="G303" s="398">
        <f>SUMIFS(uitkomst_doelgroep[Arbeidsbesparing (€)],uitkomst_doelgroep[Digitale zorgtoepassing],B303,uitkomst_doelgroep[Jaar],D303,uitkomst_doelgroep[Arbeidsbesparing (€)],"&gt;0",uitkomst_doelgroep[Uitgangssituatie/effect beleid],uitkomst_tech[[#This Row],[Uitgangssituatie/effect beleid]])</f>
        <v>0</v>
      </c>
      <c r="H303" s="398">
        <f>SUMIFS(uitkomst_doelgroep[Arbeidsbesparing (FTE)],uitkomst_doelgroep[Digitale zorgtoepassing],B303,uitkomst_doelgroep[Jaar],D303,uitkomst_doelgroep[Arbeidsbesparing (FTE)],"&gt;0",uitkomst_doelgroep[Uitgangssituatie/effect beleid],uitkomst_tech[[#This Row],[Uitgangssituatie/effect beleid]])</f>
        <v>0</v>
      </c>
      <c r="I303" s="398">
        <f>SUMIFS(uitkomst_doelgroep[Overige besparingen (€)],uitkomst_doelgroep[Digitale zorgtoepassing],B303,uitkomst_doelgroep[Jaar],D303,uitkomst_doelgroep[Overige besparingen (€)],"&gt;0",uitkomst_doelgroep[Uitgangssituatie/effect beleid],uitkomst_tech[[#This Row],[Uitgangssituatie/effect beleid]])</f>
        <v>0</v>
      </c>
      <c r="J303" s="398">
        <f>SUMIFS(uitkomst_doelgroep[QALY (€)],uitkomst_doelgroep[Digitale zorgtoepassing],B303,uitkomst_doelgroep[Jaar],D303,uitkomst_doelgroep[QALY (€)],"&gt;0",uitkomst_doelgroep[Uitgangssituatie/effect beleid],uitkomst_tech[[#This Row],[Uitgangssituatie/effect beleid]])</f>
        <v>0</v>
      </c>
      <c r="K303" s="398">
        <f>SUMIFS(uitkomst_doelgroep[Kosten (€)],uitkomst_doelgroep[Digitale zorgtoepassing],B303,uitkomst_doelgroep[Jaar],D303,uitkomst_doelgroep[Kosten (€)],"&gt;0",uitkomst_doelgroep[Uitgangssituatie/effect beleid],uitkomst_tech[[#This Row],[Uitgangssituatie/effect beleid]])</f>
        <v>0</v>
      </c>
      <c r="L303" s="398">
        <f>SUMIFS(uitkomst_doelgroep[Investering (cash flow) (€)],uitkomst_doelgroep[Digitale zorgtoepassing],B303,uitkomst_doelgroep[Jaar],D303,uitkomst_doelgroep[Investering (cash flow) (€)],"&gt;0",uitkomst_doelgroep[Uitgangssituatie/effect beleid],uitkomst_tech[[#This Row],[Uitgangssituatie/effect beleid]])</f>
        <v>0</v>
      </c>
    </row>
    <row r="304" spans="1:12" x14ac:dyDescent="0.5">
      <c r="A304" s="42" t="e">
        <f>INDEX(Technologieën[Veld],MATCH(B304,Technologieën[Digitale zorgtoepassing],0))</f>
        <v>#N/A</v>
      </c>
      <c r="B304" s="33" t="s">
        <v>60</v>
      </c>
      <c r="C304" s="33" t="s">
        <v>812</v>
      </c>
      <c r="D304" s="33">
        <v>2026</v>
      </c>
      <c r="E304" s="2">
        <v>104</v>
      </c>
      <c r="F304" s="397">
        <f>SUMIFS(uitkomst_doelgroep[Patiëntaantallen],uitkomst_doelgroep[Digitale zorgtoepassing],B304,uitkomst_doelgroep[Jaar],D304,uitkomst_doelgroep[Arbeidsbesparing (€)],"&gt;0",uitkomst_doelgroep[Uitgangssituatie/effect beleid],uitkomst_tech[[#This Row],[Uitgangssituatie/effect beleid]])</f>
        <v>0</v>
      </c>
      <c r="G304" s="398">
        <f>SUMIFS(uitkomst_doelgroep[Arbeidsbesparing (€)],uitkomst_doelgroep[Digitale zorgtoepassing],B304,uitkomst_doelgroep[Jaar],D304,uitkomst_doelgroep[Arbeidsbesparing (€)],"&gt;0",uitkomst_doelgroep[Uitgangssituatie/effect beleid],uitkomst_tech[[#This Row],[Uitgangssituatie/effect beleid]])</f>
        <v>0</v>
      </c>
      <c r="H304" s="398">
        <f>SUMIFS(uitkomst_doelgroep[Arbeidsbesparing (FTE)],uitkomst_doelgroep[Digitale zorgtoepassing],B304,uitkomst_doelgroep[Jaar],D304,uitkomst_doelgroep[Arbeidsbesparing (FTE)],"&gt;0",uitkomst_doelgroep[Uitgangssituatie/effect beleid],uitkomst_tech[[#This Row],[Uitgangssituatie/effect beleid]])</f>
        <v>0</v>
      </c>
      <c r="I304" s="398">
        <f>SUMIFS(uitkomst_doelgroep[Overige besparingen (€)],uitkomst_doelgroep[Digitale zorgtoepassing],B304,uitkomst_doelgroep[Jaar],D304,uitkomst_doelgroep[Overige besparingen (€)],"&gt;0",uitkomst_doelgroep[Uitgangssituatie/effect beleid],uitkomst_tech[[#This Row],[Uitgangssituatie/effect beleid]])</f>
        <v>0</v>
      </c>
      <c r="J304" s="398">
        <f>SUMIFS(uitkomst_doelgroep[QALY (€)],uitkomst_doelgroep[Digitale zorgtoepassing],B304,uitkomst_doelgroep[Jaar],D304,uitkomst_doelgroep[QALY (€)],"&gt;0",uitkomst_doelgroep[Uitgangssituatie/effect beleid],uitkomst_tech[[#This Row],[Uitgangssituatie/effect beleid]])</f>
        <v>0</v>
      </c>
      <c r="K304" s="398">
        <f>SUMIFS(uitkomst_doelgroep[Kosten (€)],uitkomst_doelgroep[Digitale zorgtoepassing],B304,uitkomst_doelgroep[Jaar],D304,uitkomst_doelgroep[Kosten (€)],"&gt;0",uitkomst_doelgroep[Uitgangssituatie/effect beleid],uitkomst_tech[[#This Row],[Uitgangssituatie/effect beleid]])</f>
        <v>0</v>
      </c>
      <c r="L304" s="398">
        <f>SUMIFS(uitkomst_doelgroep[Investering (cash flow) (€)],uitkomst_doelgroep[Digitale zorgtoepassing],B304,uitkomst_doelgroep[Jaar],D304,uitkomst_doelgroep[Investering (cash flow) (€)],"&gt;0",uitkomst_doelgroep[Uitgangssituatie/effect beleid],uitkomst_tech[[#This Row],[Uitgangssituatie/effect beleid]])</f>
        <v>0</v>
      </c>
    </row>
    <row r="305" spans="1:12" x14ac:dyDescent="0.5">
      <c r="A305" s="42" t="e">
        <f>INDEX(Technologieën[Veld],MATCH(B305,Technologieën[Digitale zorgtoepassing],0))</f>
        <v>#N/A</v>
      </c>
      <c r="B305" s="33" t="s">
        <v>60</v>
      </c>
      <c r="C305" s="33" t="s">
        <v>812</v>
      </c>
      <c r="D305" s="33">
        <v>2027</v>
      </c>
      <c r="E305" s="2">
        <v>136</v>
      </c>
      <c r="F305" s="397">
        <f>SUMIFS(uitkomst_doelgroep[Patiëntaantallen],uitkomst_doelgroep[Digitale zorgtoepassing],B305,uitkomst_doelgroep[Jaar],D305,uitkomst_doelgroep[Arbeidsbesparing (€)],"&gt;0",uitkomst_doelgroep[Uitgangssituatie/effect beleid],uitkomst_tech[[#This Row],[Uitgangssituatie/effect beleid]])</f>
        <v>0</v>
      </c>
      <c r="G305" s="398">
        <f>SUMIFS(uitkomst_doelgroep[Arbeidsbesparing (€)],uitkomst_doelgroep[Digitale zorgtoepassing],B305,uitkomst_doelgroep[Jaar],D305,uitkomst_doelgroep[Arbeidsbesparing (€)],"&gt;0",uitkomst_doelgroep[Uitgangssituatie/effect beleid],uitkomst_tech[[#This Row],[Uitgangssituatie/effect beleid]])</f>
        <v>0</v>
      </c>
      <c r="H305" s="398">
        <f>SUMIFS(uitkomst_doelgroep[Arbeidsbesparing (FTE)],uitkomst_doelgroep[Digitale zorgtoepassing],B305,uitkomst_doelgroep[Jaar],D305,uitkomst_doelgroep[Arbeidsbesparing (FTE)],"&gt;0",uitkomst_doelgroep[Uitgangssituatie/effect beleid],uitkomst_tech[[#This Row],[Uitgangssituatie/effect beleid]])</f>
        <v>0</v>
      </c>
      <c r="I305" s="398">
        <f>SUMIFS(uitkomst_doelgroep[Overige besparingen (€)],uitkomst_doelgroep[Digitale zorgtoepassing],B305,uitkomst_doelgroep[Jaar],D305,uitkomst_doelgroep[Overige besparingen (€)],"&gt;0",uitkomst_doelgroep[Uitgangssituatie/effect beleid],uitkomst_tech[[#This Row],[Uitgangssituatie/effect beleid]])</f>
        <v>0</v>
      </c>
      <c r="J305" s="398">
        <f>SUMIFS(uitkomst_doelgroep[QALY (€)],uitkomst_doelgroep[Digitale zorgtoepassing],B305,uitkomst_doelgroep[Jaar],D305,uitkomst_doelgroep[QALY (€)],"&gt;0",uitkomst_doelgroep[Uitgangssituatie/effect beleid],uitkomst_tech[[#This Row],[Uitgangssituatie/effect beleid]])</f>
        <v>0</v>
      </c>
      <c r="K305" s="398">
        <f>SUMIFS(uitkomst_doelgroep[Kosten (€)],uitkomst_doelgroep[Digitale zorgtoepassing],B305,uitkomst_doelgroep[Jaar],D305,uitkomst_doelgroep[Kosten (€)],"&gt;0",uitkomst_doelgroep[Uitgangssituatie/effect beleid],uitkomst_tech[[#This Row],[Uitgangssituatie/effect beleid]])</f>
        <v>0</v>
      </c>
      <c r="L305" s="398">
        <f>SUMIFS(uitkomst_doelgroep[Investering (cash flow) (€)],uitkomst_doelgroep[Digitale zorgtoepassing],B305,uitkomst_doelgroep[Jaar],D305,uitkomst_doelgroep[Investering (cash flow) (€)],"&gt;0",uitkomst_doelgroep[Uitgangssituatie/effect beleid],uitkomst_tech[[#This Row],[Uitgangssituatie/effect beleid]])</f>
        <v>0</v>
      </c>
    </row>
    <row r="306" spans="1:12" x14ac:dyDescent="0.5">
      <c r="A306" s="42" t="e">
        <f>INDEX(Technologieën[Veld],MATCH(B306,Technologieën[Digitale zorgtoepassing],0))</f>
        <v>#N/A</v>
      </c>
      <c r="B306" s="33" t="s">
        <v>60</v>
      </c>
      <c r="C306" s="33" t="s">
        <v>812</v>
      </c>
      <c r="D306" s="33">
        <v>2029</v>
      </c>
      <c r="E306" s="2">
        <v>200</v>
      </c>
      <c r="F306" s="397">
        <f>SUMIFS(uitkomst_doelgroep[Patiëntaantallen],uitkomst_doelgroep[Digitale zorgtoepassing],B306,uitkomst_doelgroep[Jaar],D306,uitkomst_doelgroep[Arbeidsbesparing (€)],"&gt;0",uitkomst_doelgroep[Uitgangssituatie/effect beleid],uitkomst_tech[[#This Row],[Uitgangssituatie/effect beleid]])</f>
        <v>0</v>
      </c>
      <c r="G306" s="398">
        <f>SUMIFS(uitkomst_doelgroep[Arbeidsbesparing (€)],uitkomst_doelgroep[Digitale zorgtoepassing],B306,uitkomst_doelgroep[Jaar],D306,uitkomst_doelgroep[Arbeidsbesparing (€)],"&gt;0",uitkomst_doelgroep[Uitgangssituatie/effect beleid],uitkomst_tech[[#This Row],[Uitgangssituatie/effect beleid]])</f>
        <v>0</v>
      </c>
      <c r="H306" s="398">
        <f>SUMIFS(uitkomst_doelgroep[Arbeidsbesparing (FTE)],uitkomst_doelgroep[Digitale zorgtoepassing],B306,uitkomst_doelgroep[Jaar],D306,uitkomst_doelgroep[Arbeidsbesparing (FTE)],"&gt;0",uitkomst_doelgroep[Uitgangssituatie/effect beleid],uitkomst_tech[[#This Row],[Uitgangssituatie/effect beleid]])</f>
        <v>0</v>
      </c>
      <c r="I306" s="398">
        <f>SUMIFS(uitkomst_doelgroep[Overige besparingen (€)],uitkomst_doelgroep[Digitale zorgtoepassing],B306,uitkomst_doelgroep[Jaar],D306,uitkomst_doelgroep[Overige besparingen (€)],"&gt;0",uitkomst_doelgroep[Uitgangssituatie/effect beleid],uitkomst_tech[[#This Row],[Uitgangssituatie/effect beleid]])</f>
        <v>0</v>
      </c>
      <c r="J306" s="398">
        <f>SUMIFS(uitkomst_doelgroep[QALY (€)],uitkomst_doelgroep[Digitale zorgtoepassing],B306,uitkomst_doelgroep[Jaar],D306,uitkomst_doelgroep[QALY (€)],"&gt;0",uitkomst_doelgroep[Uitgangssituatie/effect beleid],uitkomst_tech[[#This Row],[Uitgangssituatie/effect beleid]])</f>
        <v>0</v>
      </c>
      <c r="K306" s="398">
        <f>SUMIFS(uitkomst_doelgroep[Kosten (€)],uitkomst_doelgroep[Digitale zorgtoepassing],B306,uitkomst_doelgroep[Jaar],D306,uitkomst_doelgroep[Kosten (€)],"&gt;0",uitkomst_doelgroep[Uitgangssituatie/effect beleid],uitkomst_tech[[#This Row],[Uitgangssituatie/effect beleid]])</f>
        <v>0</v>
      </c>
      <c r="L306" s="398">
        <f>SUMIFS(uitkomst_doelgroep[Investering (cash flow) (€)],uitkomst_doelgroep[Digitale zorgtoepassing],B306,uitkomst_doelgroep[Jaar],D306,uitkomst_doelgroep[Investering (cash flow) (€)],"&gt;0",uitkomst_doelgroep[Uitgangssituatie/effect beleid],uitkomst_tech[[#This Row],[Uitgangssituatie/effect beleid]])</f>
        <v>0</v>
      </c>
    </row>
    <row r="307" spans="1:12" x14ac:dyDescent="0.5">
      <c r="A307" s="42" t="e">
        <f>INDEX(Technologieën[Veld],MATCH(B307,Technologieën[Digitale zorgtoepassing],0))</f>
        <v>#N/A</v>
      </c>
      <c r="B307" s="33" t="s">
        <v>60</v>
      </c>
      <c r="C307" s="33" t="s">
        <v>812</v>
      </c>
      <c r="D307" s="33">
        <v>2030</v>
      </c>
      <c r="E307" s="2">
        <v>232</v>
      </c>
      <c r="F307" s="397">
        <f>SUMIFS(uitkomst_doelgroep[Patiëntaantallen],uitkomst_doelgroep[Digitale zorgtoepassing],B307,uitkomst_doelgroep[Jaar],D307,uitkomst_doelgroep[Arbeidsbesparing (€)],"&gt;0",uitkomst_doelgroep[Uitgangssituatie/effect beleid],uitkomst_tech[[#This Row],[Uitgangssituatie/effect beleid]])</f>
        <v>0</v>
      </c>
      <c r="G307" s="398">
        <f>SUMIFS(uitkomst_doelgroep[Arbeidsbesparing (€)],uitkomst_doelgroep[Digitale zorgtoepassing],B307,uitkomst_doelgroep[Jaar],D307,uitkomst_doelgroep[Arbeidsbesparing (€)],"&gt;0",uitkomst_doelgroep[Uitgangssituatie/effect beleid],uitkomst_tech[[#This Row],[Uitgangssituatie/effect beleid]])</f>
        <v>0</v>
      </c>
      <c r="H307" s="398">
        <f>SUMIFS(uitkomst_doelgroep[Arbeidsbesparing (FTE)],uitkomst_doelgroep[Digitale zorgtoepassing],B307,uitkomst_doelgroep[Jaar],D307,uitkomst_doelgroep[Arbeidsbesparing (FTE)],"&gt;0",uitkomst_doelgroep[Uitgangssituatie/effect beleid],uitkomst_tech[[#This Row],[Uitgangssituatie/effect beleid]])</f>
        <v>0</v>
      </c>
      <c r="I307" s="398">
        <f>SUMIFS(uitkomst_doelgroep[Overige besparingen (€)],uitkomst_doelgroep[Digitale zorgtoepassing],B307,uitkomst_doelgroep[Jaar],D307,uitkomst_doelgroep[Overige besparingen (€)],"&gt;0",uitkomst_doelgroep[Uitgangssituatie/effect beleid],uitkomst_tech[[#This Row],[Uitgangssituatie/effect beleid]])</f>
        <v>0</v>
      </c>
      <c r="J307" s="398">
        <f>SUMIFS(uitkomst_doelgroep[QALY (€)],uitkomst_doelgroep[Digitale zorgtoepassing],B307,uitkomst_doelgroep[Jaar],D307,uitkomst_doelgroep[QALY (€)],"&gt;0",uitkomst_doelgroep[Uitgangssituatie/effect beleid],uitkomst_tech[[#This Row],[Uitgangssituatie/effect beleid]])</f>
        <v>0</v>
      </c>
      <c r="K307" s="398">
        <f>SUMIFS(uitkomst_doelgroep[Kosten (€)],uitkomst_doelgroep[Digitale zorgtoepassing],B307,uitkomst_doelgroep[Jaar],D307,uitkomst_doelgroep[Kosten (€)],"&gt;0",uitkomst_doelgroep[Uitgangssituatie/effect beleid],uitkomst_tech[[#This Row],[Uitgangssituatie/effect beleid]])</f>
        <v>0</v>
      </c>
      <c r="L307" s="398">
        <f>SUMIFS(uitkomst_doelgroep[Investering (cash flow) (€)],uitkomst_doelgroep[Digitale zorgtoepassing],B307,uitkomst_doelgroep[Jaar],D307,uitkomst_doelgroep[Investering (cash flow) (€)],"&gt;0",uitkomst_doelgroep[Uitgangssituatie/effect beleid],uitkomst_tech[[#This Row],[Uitgangssituatie/effect beleid]])</f>
        <v>0</v>
      </c>
    </row>
    <row r="308" spans="1:12" x14ac:dyDescent="0.5">
      <c r="A308" s="42" t="e">
        <f>INDEX(Technologieën[Veld],MATCH(B308,Technologieën[Digitale zorgtoepassing],0))</f>
        <v>#N/A</v>
      </c>
      <c r="B308" s="33" t="s">
        <v>60</v>
      </c>
      <c r="C308" s="33" t="s">
        <v>812</v>
      </c>
      <c r="D308" s="33">
        <v>2031</v>
      </c>
      <c r="E308" s="2">
        <v>264</v>
      </c>
      <c r="F308" s="397">
        <f>SUMIFS(uitkomst_doelgroep[Patiëntaantallen],uitkomst_doelgroep[Digitale zorgtoepassing],B308,uitkomst_doelgroep[Jaar],D308,uitkomst_doelgroep[Arbeidsbesparing (€)],"&gt;0",uitkomst_doelgroep[Uitgangssituatie/effect beleid],uitkomst_tech[[#This Row],[Uitgangssituatie/effect beleid]])</f>
        <v>0</v>
      </c>
      <c r="G308" s="398">
        <f>SUMIFS(uitkomst_doelgroep[Arbeidsbesparing (€)],uitkomst_doelgroep[Digitale zorgtoepassing],B308,uitkomst_doelgroep[Jaar],D308,uitkomst_doelgroep[Arbeidsbesparing (€)],"&gt;0",uitkomst_doelgroep[Uitgangssituatie/effect beleid],uitkomst_tech[[#This Row],[Uitgangssituatie/effect beleid]])</f>
        <v>0</v>
      </c>
      <c r="H308" s="398">
        <f>SUMIFS(uitkomst_doelgroep[Arbeidsbesparing (FTE)],uitkomst_doelgroep[Digitale zorgtoepassing],B308,uitkomst_doelgroep[Jaar],D308,uitkomst_doelgroep[Arbeidsbesparing (FTE)],"&gt;0",uitkomst_doelgroep[Uitgangssituatie/effect beleid],uitkomst_tech[[#This Row],[Uitgangssituatie/effect beleid]])</f>
        <v>0</v>
      </c>
      <c r="I308" s="398">
        <f>SUMIFS(uitkomst_doelgroep[Overige besparingen (€)],uitkomst_doelgroep[Digitale zorgtoepassing],B308,uitkomst_doelgroep[Jaar],D308,uitkomst_doelgroep[Overige besparingen (€)],"&gt;0",uitkomst_doelgroep[Uitgangssituatie/effect beleid],uitkomst_tech[[#This Row],[Uitgangssituatie/effect beleid]])</f>
        <v>0</v>
      </c>
      <c r="J308" s="398">
        <f>SUMIFS(uitkomst_doelgroep[QALY (€)],uitkomst_doelgroep[Digitale zorgtoepassing],B308,uitkomst_doelgroep[Jaar],D308,uitkomst_doelgroep[QALY (€)],"&gt;0",uitkomst_doelgroep[Uitgangssituatie/effect beleid],uitkomst_tech[[#This Row],[Uitgangssituatie/effect beleid]])</f>
        <v>0</v>
      </c>
      <c r="K308" s="398">
        <f>SUMIFS(uitkomst_doelgroep[Kosten (€)],uitkomst_doelgroep[Digitale zorgtoepassing],B308,uitkomst_doelgroep[Jaar],D308,uitkomst_doelgroep[Kosten (€)],"&gt;0",uitkomst_doelgroep[Uitgangssituatie/effect beleid],uitkomst_tech[[#This Row],[Uitgangssituatie/effect beleid]])</f>
        <v>0</v>
      </c>
      <c r="L308" s="398">
        <f>SUMIFS(uitkomst_doelgroep[Investering (cash flow) (€)],uitkomst_doelgroep[Digitale zorgtoepassing],B308,uitkomst_doelgroep[Jaar],D308,uitkomst_doelgroep[Investering (cash flow) (€)],"&gt;0",uitkomst_doelgroep[Uitgangssituatie/effect beleid],uitkomst_tech[[#This Row],[Uitgangssituatie/effect beleid]])</f>
        <v>0</v>
      </c>
    </row>
    <row r="309" spans="1:12" x14ac:dyDescent="0.5">
      <c r="A309" s="42" t="e">
        <f>INDEX(Technologieën[Veld],MATCH(B309,Technologieën[Digitale zorgtoepassing],0))</f>
        <v>#N/A</v>
      </c>
      <c r="B309" s="33" t="s">
        <v>60</v>
      </c>
      <c r="C309" s="33" t="s">
        <v>812</v>
      </c>
      <c r="D309" s="33">
        <v>2032</v>
      </c>
      <c r="E309" s="2">
        <v>296</v>
      </c>
      <c r="F309" s="397">
        <f>SUMIFS(uitkomst_doelgroep[Patiëntaantallen],uitkomst_doelgroep[Digitale zorgtoepassing],B309,uitkomst_doelgroep[Jaar],D309,uitkomst_doelgroep[Arbeidsbesparing (€)],"&gt;0",uitkomst_doelgroep[Uitgangssituatie/effect beleid],uitkomst_tech[[#This Row],[Uitgangssituatie/effect beleid]])</f>
        <v>0</v>
      </c>
      <c r="G309" s="398">
        <f>SUMIFS(uitkomst_doelgroep[Arbeidsbesparing (€)],uitkomst_doelgroep[Digitale zorgtoepassing],B309,uitkomst_doelgroep[Jaar],D309,uitkomst_doelgroep[Arbeidsbesparing (€)],"&gt;0",uitkomst_doelgroep[Uitgangssituatie/effect beleid],uitkomst_tech[[#This Row],[Uitgangssituatie/effect beleid]])</f>
        <v>0</v>
      </c>
      <c r="H309" s="398">
        <f>SUMIFS(uitkomst_doelgroep[Arbeidsbesparing (FTE)],uitkomst_doelgroep[Digitale zorgtoepassing],B309,uitkomst_doelgroep[Jaar],D309,uitkomst_doelgroep[Arbeidsbesparing (FTE)],"&gt;0",uitkomst_doelgroep[Uitgangssituatie/effect beleid],uitkomst_tech[[#This Row],[Uitgangssituatie/effect beleid]])</f>
        <v>0</v>
      </c>
      <c r="I309" s="398">
        <f>SUMIFS(uitkomst_doelgroep[Overige besparingen (€)],uitkomst_doelgroep[Digitale zorgtoepassing],B309,uitkomst_doelgroep[Jaar],D309,uitkomst_doelgroep[Overige besparingen (€)],"&gt;0",uitkomst_doelgroep[Uitgangssituatie/effect beleid],uitkomst_tech[[#This Row],[Uitgangssituatie/effect beleid]])</f>
        <v>0</v>
      </c>
      <c r="J309" s="398">
        <f>SUMIFS(uitkomst_doelgroep[QALY (€)],uitkomst_doelgroep[Digitale zorgtoepassing],B309,uitkomst_doelgroep[Jaar],D309,uitkomst_doelgroep[QALY (€)],"&gt;0",uitkomst_doelgroep[Uitgangssituatie/effect beleid],uitkomst_tech[[#This Row],[Uitgangssituatie/effect beleid]])</f>
        <v>0</v>
      </c>
      <c r="K309" s="398">
        <f>SUMIFS(uitkomst_doelgroep[Kosten (€)],uitkomst_doelgroep[Digitale zorgtoepassing],B309,uitkomst_doelgroep[Jaar],D309,uitkomst_doelgroep[Kosten (€)],"&gt;0",uitkomst_doelgroep[Uitgangssituatie/effect beleid],uitkomst_tech[[#This Row],[Uitgangssituatie/effect beleid]])</f>
        <v>0</v>
      </c>
      <c r="L309" s="398">
        <f>SUMIFS(uitkomst_doelgroep[Investering (cash flow) (€)],uitkomst_doelgroep[Digitale zorgtoepassing],B309,uitkomst_doelgroep[Jaar],D309,uitkomst_doelgroep[Investering (cash flow) (€)],"&gt;0",uitkomst_doelgroep[Uitgangssituatie/effect beleid],uitkomst_tech[[#This Row],[Uitgangssituatie/effect beleid]])</f>
        <v>0</v>
      </c>
    </row>
    <row r="310" spans="1:12" x14ac:dyDescent="0.5">
      <c r="A310" s="42" t="e">
        <f>INDEX(Technologieën[Veld],MATCH(B310,Technologieën[Digitale zorgtoepassing],0))</f>
        <v>#N/A</v>
      </c>
      <c r="B310" s="33" t="s">
        <v>60</v>
      </c>
      <c r="C310" s="33" t="s">
        <v>812</v>
      </c>
      <c r="D310" s="33">
        <v>2033</v>
      </c>
      <c r="E310" s="2">
        <v>328</v>
      </c>
      <c r="F310" s="397">
        <f>SUMIFS(uitkomst_doelgroep[Patiëntaantallen],uitkomst_doelgroep[Digitale zorgtoepassing],B310,uitkomst_doelgroep[Jaar],D310,uitkomst_doelgroep[Arbeidsbesparing (€)],"&gt;0",uitkomst_doelgroep[Uitgangssituatie/effect beleid],uitkomst_tech[[#This Row],[Uitgangssituatie/effect beleid]])</f>
        <v>0</v>
      </c>
      <c r="G310" s="398">
        <f>SUMIFS(uitkomst_doelgroep[Arbeidsbesparing (€)],uitkomst_doelgroep[Digitale zorgtoepassing],B310,uitkomst_doelgroep[Jaar],D310,uitkomst_doelgroep[Arbeidsbesparing (€)],"&gt;0",uitkomst_doelgroep[Uitgangssituatie/effect beleid],uitkomst_tech[[#This Row],[Uitgangssituatie/effect beleid]])</f>
        <v>0</v>
      </c>
      <c r="H310" s="398">
        <f>SUMIFS(uitkomst_doelgroep[Arbeidsbesparing (FTE)],uitkomst_doelgroep[Digitale zorgtoepassing],B310,uitkomst_doelgroep[Jaar],D310,uitkomst_doelgroep[Arbeidsbesparing (FTE)],"&gt;0",uitkomst_doelgroep[Uitgangssituatie/effect beleid],uitkomst_tech[[#This Row],[Uitgangssituatie/effect beleid]])</f>
        <v>0</v>
      </c>
      <c r="I310" s="398">
        <f>SUMIFS(uitkomst_doelgroep[Overige besparingen (€)],uitkomst_doelgroep[Digitale zorgtoepassing],B310,uitkomst_doelgroep[Jaar],D310,uitkomst_doelgroep[Overige besparingen (€)],"&gt;0",uitkomst_doelgroep[Uitgangssituatie/effect beleid],uitkomst_tech[[#This Row],[Uitgangssituatie/effect beleid]])</f>
        <v>0</v>
      </c>
      <c r="J310" s="398">
        <f>SUMIFS(uitkomst_doelgroep[QALY (€)],uitkomst_doelgroep[Digitale zorgtoepassing],B310,uitkomst_doelgroep[Jaar],D310,uitkomst_doelgroep[QALY (€)],"&gt;0",uitkomst_doelgroep[Uitgangssituatie/effect beleid],uitkomst_tech[[#This Row],[Uitgangssituatie/effect beleid]])</f>
        <v>0</v>
      </c>
      <c r="K310" s="398">
        <f>SUMIFS(uitkomst_doelgroep[Kosten (€)],uitkomst_doelgroep[Digitale zorgtoepassing],B310,uitkomst_doelgroep[Jaar],D310,uitkomst_doelgroep[Kosten (€)],"&gt;0",uitkomst_doelgroep[Uitgangssituatie/effect beleid],uitkomst_tech[[#This Row],[Uitgangssituatie/effect beleid]])</f>
        <v>0</v>
      </c>
      <c r="L310" s="398">
        <f>SUMIFS(uitkomst_doelgroep[Investering (cash flow) (€)],uitkomst_doelgroep[Digitale zorgtoepassing],B310,uitkomst_doelgroep[Jaar],D310,uitkomst_doelgroep[Investering (cash flow) (€)],"&gt;0",uitkomst_doelgroep[Uitgangssituatie/effect beleid],uitkomst_tech[[#This Row],[Uitgangssituatie/effect beleid]])</f>
        <v>0</v>
      </c>
    </row>
    <row r="311" spans="1:12" x14ac:dyDescent="0.5">
      <c r="A311" s="42" t="str">
        <f>INDEX(Technologieën[Veld],MATCH(B311,Technologieën[Digitale zorgtoepassing],0))</f>
        <v>Sensoren - Behandeling</v>
      </c>
      <c r="B311" s="33" t="s">
        <v>53</v>
      </c>
      <c r="C311" s="33" t="s">
        <v>812</v>
      </c>
      <c r="D311" s="33">
        <v>2023</v>
      </c>
      <c r="E311" s="2">
        <v>15</v>
      </c>
      <c r="F311" s="397">
        <f>SUMIFS(uitkomst_doelgroep[Patiëntaantallen],uitkomst_doelgroep[Digitale zorgtoepassing],B311,uitkomst_doelgroep[Jaar],D311,uitkomst_doelgroep[Arbeidsbesparing (€)],"&gt;0",uitkomst_doelgroep[Uitgangssituatie/effect beleid],uitkomst_tech[[#This Row],[Uitgangssituatie/effect beleid]])</f>
        <v>13200</v>
      </c>
      <c r="G311" s="398">
        <f>SUMIFS(uitkomst_doelgroep[Arbeidsbesparing (€)],uitkomst_doelgroep[Digitale zorgtoepassing],B311,uitkomst_doelgroep[Jaar],D311,uitkomst_doelgroep[Arbeidsbesparing (€)],"&gt;0",uitkomst_doelgroep[Uitgangssituatie/effect beleid],uitkomst_tech[[#This Row],[Uitgangssituatie/effect beleid]])</f>
        <v>4238071.1999999993</v>
      </c>
      <c r="H311" s="398">
        <f>SUMIFS(uitkomst_doelgroep[Arbeidsbesparing (FTE)],uitkomst_doelgroep[Digitale zorgtoepassing],B311,uitkomst_doelgroep[Jaar],D311,uitkomst_doelgroep[Arbeidsbesparing (FTE)],"&gt;0",uitkomst_doelgroep[Uitgangssituatie/effect beleid],uitkomst_tech[[#This Row],[Uitgangssituatie/effect beleid]])</f>
        <v>73.450897577336008</v>
      </c>
      <c r="I311" s="398">
        <f>SUMIFS(uitkomst_doelgroep[Overige besparingen (€)],uitkomst_doelgroep[Digitale zorgtoepassing],B311,uitkomst_doelgroep[Jaar],D311,uitkomst_doelgroep[Overige besparingen (€)],"&gt;0",uitkomst_doelgroep[Uitgangssituatie/effect beleid],uitkomst_tech[[#This Row],[Uitgangssituatie/effect beleid]])</f>
        <v>2825380.8</v>
      </c>
      <c r="J311" s="398">
        <f>SUMIFS(uitkomst_doelgroep[QALY (€)],uitkomst_doelgroep[Digitale zorgtoepassing],B311,uitkomst_doelgroep[Jaar],D311,uitkomst_doelgroep[QALY (€)],"&gt;0",uitkomst_doelgroep[Uitgangssituatie/effect beleid],uitkomst_tech[[#This Row],[Uitgangssituatie/effect beleid]])</f>
        <v>37620000</v>
      </c>
      <c r="K311" s="398">
        <f>SUMIFS(uitkomst_doelgroep[Kosten (€)],uitkomst_doelgroep[Digitale zorgtoepassing],B311,uitkomst_doelgroep[Jaar],D311,uitkomst_doelgroep[Kosten (€)],"&gt;0",uitkomst_doelgroep[Uitgangssituatie/effect beleid],uitkomst_tech[[#This Row],[Uitgangssituatie/effect beleid]])</f>
        <v>2664833.3333333335</v>
      </c>
      <c r="L311" s="398">
        <f>SUMIFS(uitkomst_doelgroep[Investering (cash flow) (€)],uitkomst_doelgroep[Digitale zorgtoepassing],B311,uitkomst_doelgroep[Jaar],D311,uitkomst_doelgroep[Investering (cash flow) (€)],"&gt;0",uitkomst_doelgroep[Uitgangssituatie/effect beleid],uitkomst_tech[[#This Row],[Uitgangssituatie/effect beleid]])</f>
        <v>575418.59999999986</v>
      </c>
    </row>
    <row r="312" spans="1:12" x14ac:dyDescent="0.5">
      <c r="A312" s="42" t="str">
        <f>INDEX(Technologieën[Veld],MATCH(B312,Technologieën[Digitale zorgtoepassing],0))</f>
        <v>Sensoren - Behandeling</v>
      </c>
      <c r="B312" s="33" t="s">
        <v>53</v>
      </c>
      <c r="C312" s="33" t="s">
        <v>812</v>
      </c>
      <c r="D312" s="33">
        <v>2024</v>
      </c>
      <c r="E312" s="2">
        <v>47</v>
      </c>
      <c r="F312" s="397">
        <f>SUMIFS(uitkomst_doelgroep[Patiëntaantallen],uitkomst_doelgroep[Digitale zorgtoepassing],B312,uitkomst_doelgroep[Jaar],D312,uitkomst_doelgroep[Arbeidsbesparing (€)],"&gt;0",uitkomst_doelgroep[Uitgangssituatie/effect beleid],uitkomst_tech[[#This Row],[Uitgangssituatie/effect beleid]])</f>
        <v>16764</v>
      </c>
      <c r="G312" s="398">
        <f>SUMIFS(uitkomst_doelgroep[Arbeidsbesparing (€)],uitkomst_doelgroep[Digitale zorgtoepassing],B312,uitkomst_doelgroep[Jaar],D312,uitkomst_doelgroep[Arbeidsbesparing (€)],"&gt;0",uitkomst_doelgroep[Uitgangssituatie/effect beleid],uitkomst_tech[[#This Row],[Uitgangssituatie/effect beleid]])</f>
        <v>5382350.4239999987</v>
      </c>
      <c r="H312" s="398">
        <f>SUMIFS(uitkomst_doelgroep[Arbeidsbesparing (FTE)],uitkomst_doelgroep[Digitale zorgtoepassing],B312,uitkomst_doelgroep[Jaar],D312,uitkomst_doelgroep[Arbeidsbesparing (FTE)],"&gt;0",uitkomst_doelgroep[Uitgangssituatie/effect beleid],uitkomst_tech[[#This Row],[Uitgangssituatie/effect beleid]])</f>
        <v>93.282639923216735</v>
      </c>
      <c r="I312" s="398">
        <f>SUMIFS(uitkomst_doelgroep[Overige besparingen (€)],uitkomst_doelgroep[Digitale zorgtoepassing],B312,uitkomst_doelgroep[Jaar],D312,uitkomst_doelgroep[Overige besparingen (€)],"&gt;0",uitkomst_doelgroep[Uitgangssituatie/effect beleid],uitkomst_tech[[#This Row],[Uitgangssituatie/effect beleid]])</f>
        <v>3588233.6159999995</v>
      </c>
      <c r="J312" s="398">
        <f>SUMIFS(uitkomst_doelgroep[QALY (€)],uitkomst_doelgroep[Digitale zorgtoepassing],B312,uitkomst_doelgroep[Jaar],D312,uitkomst_doelgroep[QALY (€)],"&gt;0",uitkomst_doelgroep[Uitgangssituatie/effect beleid],uitkomst_tech[[#This Row],[Uitgangssituatie/effect beleid]])</f>
        <v>47777400</v>
      </c>
      <c r="K312" s="398">
        <f>SUMIFS(uitkomst_doelgroep[Kosten (€)],uitkomst_doelgroep[Digitale zorgtoepassing],B312,uitkomst_doelgroep[Jaar],D312,uitkomst_doelgroep[Kosten (€)],"&gt;0",uitkomst_doelgroep[Uitgangssituatie/effect beleid],uitkomst_tech[[#This Row],[Uitgangssituatie/effect beleid]])</f>
        <v>3384338.333333333</v>
      </c>
      <c r="L312" s="398">
        <f>SUMIFS(uitkomst_doelgroep[Investering (cash flow) (€)],uitkomst_doelgroep[Digitale zorgtoepassing],B312,uitkomst_doelgroep[Jaar],D312,uitkomst_doelgroep[Investering (cash flow) (€)],"&gt;0",uitkomst_doelgroep[Uitgangssituatie/effect beleid],uitkomst_tech[[#This Row],[Uitgangssituatie/effect beleid]])</f>
        <v>585085.6324799998</v>
      </c>
    </row>
    <row r="313" spans="1:12" x14ac:dyDescent="0.5">
      <c r="A313" s="42" t="str">
        <f>INDEX(Technologieën[Veld],MATCH(B313,Technologieën[Digitale zorgtoepassing],0))</f>
        <v>Sensoren - Behandeling</v>
      </c>
      <c r="B313" s="33" t="s">
        <v>53</v>
      </c>
      <c r="C313" s="33" t="s">
        <v>812</v>
      </c>
      <c r="D313" s="33">
        <v>2025</v>
      </c>
      <c r="E313" s="2">
        <v>79</v>
      </c>
      <c r="F313" s="397">
        <f>SUMIFS(uitkomst_doelgroep[Patiëntaantallen],uitkomst_doelgroep[Digitale zorgtoepassing],B313,uitkomst_doelgroep[Jaar],D313,uitkomst_doelgroep[Arbeidsbesparing (€)],"&gt;0",uitkomst_doelgroep[Uitgangssituatie/effect beleid],uitkomst_tech[[#This Row],[Uitgangssituatie/effect beleid]])</f>
        <v>20387.875200000002</v>
      </c>
      <c r="G313" s="398">
        <f>SUMIFS(uitkomst_doelgroep[Arbeidsbesparing (€)],uitkomst_doelgroep[Digitale zorgtoepassing],B313,uitkomst_doelgroep[Jaar],D313,uitkomst_doelgroep[Arbeidsbesparing (€)],"&gt;0",uitkomst_doelgroep[Uitgangssituatie/effect beleid],uitkomst_tech[[#This Row],[Uitgangssituatie/effect beleid]])</f>
        <v>6545853.5389631987</v>
      </c>
      <c r="H313" s="398">
        <f>SUMIFS(uitkomst_doelgroep[Arbeidsbesparing (FTE)],uitkomst_doelgroep[Digitale zorgtoepassing],B313,uitkomst_doelgroep[Jaar],D313,uitkomst_doelgroep[Arbeidsbesparing (FTE)],"&gt;0",uitkomst_doelgroep[Uitgangssituatie/effect beleid],uitkomst_tech[[#This Row],[Uitgangssituatie/effect beleid]])</f>
        <v>113.44755554050823</v>
      </c>
      <c r="I313" s="398">
        <f>SUMIFS(uitkomst_doelgroep[Overige besparingen (€)],uitkomst_doelgroep[Digitale zorgtoepassing],B313,uitkomst_doelgroep[Jaar],D313,uitkomst_doelgroep[Overige besparingen (€)],"&gt;0",uitkomst_doelgroep[Uitgangssituatie/effect beleid],uitkomst_tech[[#This Row],[Uitgangssituatie/effect beleid]])</f>
        <v>4363902.3593087988</v>
      </c>
      <c r="J313" s="398">
        <f>SUMIFS(uitkomst_doelgroep[QALY (€)],uitkomst_doelgroep[Digitale zorgtoepassing],B313,uitkomst_doelgroep[Jaar],D313,uitkomst_doelgroep[QALY (€)],"&gt;0",uitkomst_doelgroep[Uitgangssituatie/effect beleid],uitkomst_tech[[#This Row],[Uitgangssituatie/effect beleid]])</f>
        <v>58105444.319999993</v>
      </c>
      <c r="K313" s="398">
        <f>SUMIFS(uitkomst_doelgroep[Kosten (€)],uitkomst_doelgroep[Digitale zorgtoepassing],B313,uitkomst_doelgroep[Jaar],D313,uitkomst_doelgroep[Kosten (€)],"&gt;0",uitkomst_doelgroep[Uitgangssituatie/effect beleid],uitkomst_tech[[#This Row],[Uitgangssituatie/effect beleid]])</f>
        <v>4115931.0173333334</v>
      </c>
      <c r="L313" s="398">
        <f>SUMIFS(uitkomst_doelgroep[Investering (cash flow) (€)],uitkomst_doelgroep[Digitale zorgtoepassing],B313,uitkomst_doelgroep[Jaar],D313,uitkomst_doelgroep[Investering (cash flow) (€)],"&gt;0",uitkomst_doelgroep[Uitgangssituatie/effect beleid],uitkomst_tech[[#This Row],[Uitgangssituatie/effect beleid]])</f>
        <v>543939.04071076319</v>
      </c>
    </row>
    <row r="314" spans="1:12" x14ac:dyDescent="0.5">
      <c r="A314" s="42" t="str">
        <f>INDEX(Technologieën[Veld],MATCH(B314,Technologieën[Digitale zorgtoepassing],0))</f>
        <v>Sensoren - Behandeling</v>
      </c>
      <c r="B314" s="33" t="s">
        <v>53</v>
      </c>
      <c r="C314" s="33" t="s">
        <v>812</v>
      </c>
      <c r="D314" s="33">
        <v>2026</v>
      </c>
      <c r="E314" s="2">
        <v>111</v>
      </c>
      <c r="F314" s="397">
        <f>SUMIFS(uitkomst_doelgroep[Patiëntaantallen],uitkomst_doelgroep[Digitale zorgtoepassing],B314,uitkomst_doelgroep[Jaar],D314,uitkomst_doelgroep[Arbeidsbesparing (€)],"&gt;0",uitkomst_doelgroep[Uitgangssituatie/effect beleid],uitkomst_tech[[#This Row],[Uitgangssituatie/effect beleid]])</f>
        <v>28737.084761386563</v>
      </c>
      <c r="G314" s="398">
        <f>SUMIFS(uitkomst_doelgroep[Arbeidsbesparing (€)],uitkomst_doelgroep[Digitale zorgtoepassing],B314,uitkomst_doelgroep[Jaar],D314,uitkomst_doelgroep[Arbeidsbesparing (€)],"&gt;0",uitkomst_doelgroep[Uitgangssituatie/effect beleid],uitkomst_tech[[#This Row],[Uitgangssituatie/effect beleid]])</f>
        <v>9226500.8559993356</v>
      </c>
      <c r="H314" s="398">
        <f>SUMIFS(uitkomst_doelgroep[Arbeidsbesparing (FTE)],uitkomst_doelgroep[Digitale zorgtoepassing],B314,uitkomst_doelgroep[Jaar],D314,uitkomst_doelgroep[Arbeidsbesparing (FTE)],"&gt;0",uitkomst_doelgroep[Uitgangssituatie/effect beleid],uitkomst_tech[[#This Row],[Uitgangssituatie/effect beleid]])</f>
        <v>159.90641435453242</v>
      </c>
      <c r="I314" s="398">
        <f>SUMIFS(uitkomst_doelgroep[Overige besparingen (€)],uitkomst_doelgroep[Digitale zorgtoepassing],B314,uitkomst_doelgroep[Jaar],D314,uitkomst_doelgroep[Overige besparingen (€)],"&gt;0",uitkomst_doelgroep[Uitgangssituatie/effect beleid],uitkomst_tech[[#This Row],[Uitgangssituatie/effect beleid]])</f>
        <v>6151000.5706662256</v>
      </c>
      <c r="J314" s="398">
        <f>SUMIFS(uitkomst_doelgroep[QALY (€)],uitkomst_doelgroep[Digitale zorgtoepassing],B314,uitkomst_doelgroep[Jaar],D314,uitkomst_doelgroep[QALY (€)],"&gt;0",uitkomst_doelgroep[Uitgangssituatie/effect beleid],uitkomst_tech[[#This Row],[Uitgangssituatie/effect beleid]])</f>
        <v>81900691.569951713</v>
      </c>
      <c r="K314" s="398">
        <f>SUMIFS(uitkomst_doelgroep[Kosten (€)],uitkomst_doelgroep[Digitale zorgtoepassing],B314,uitkomst_doelgroep[Jaar],D314,uitkomst_doelgroep[Kosten (€)],"&gt;0",uitkomst_doelgroep[Uitgangssituatie/effect beleid],uitkomst_tech[[#This Row],[Uitgangssituatie/effect beleid]])</f>
        <v>5496282.584588822</v>
      </c>
      <c r="L314" s="398">
        <f>SUMIFS(uitkomst_doelgroep[Investering (cash flow) (€)],uitkomst_doelgroep[Digitale zorgtoepassing],B314,uitkomst_doelgroep[Jaar],D314,uitkomst_doelgroep[Investering (cash flow) (€)],"&gt;0",uitkomst_doelgroep[Uitgangssituatie/effect beleid],uitkomst_tech[[#This Row],[Uitgangssituatie/effect beleid]])</f>
        <v>459580.53163106012</v>
      </c>
    </row>
    <row r="315" spans="1:12" x14ac:dyDescent="0.5">
      <c r="A315" s="42" t="str">
        <f>INDEX(Technologieën[Veld],MATCH(B315,Technologieën[Digitale zorgtoepassing],0))</f>
        <v>Sensoren - Behandeling</v>
      </c>
      <c r="B315" s="33" t="s">
        <v>53</v>
      </c>
      <c r="C315" s="33" t="s">
        <v>812</v>
      </c>
      <c r="D315" s="33">
        <v>2027</v>
      </c>
      <c r="E315" s="2">
        <v>143</v>
      </c>
      <c r="F315" s="397">
        <f>SUMIFS(uitkomst_doelgroep[Patiëntaantallen],uitkomst_doelgroep[Digitale zorgtoepassing],B315,uitkomst_doelgroep[Jaar],D315,uitkomst_doelgroep[Arbeidsbesparing (€)],"&gt;0",uitkomst_doelgroep[Uitgangssituatie/effect beleid],uitkomst_tech[[#This Row],[Uitgangssituatie/effect beleid]])</f>
        <v>38416.427897474045</v>
      </c>
      <c r="G315" s="398">
        <f>SUMIFS(uitkomst_doelgroep[Arbeidsbesparing (€)],uitkomst_doelgroep[Digitale zorgtoepassing],B315,uitkomst_doelgroep[Jaar],D315,uitkomst_doelgroep[Arbeidsbesparing (€)],"&gt;0",uitkomst_doelgroep[Uitgangssituatie/effect beleid],uitkomst_tech[[#This Row],[Uitgangssituatie/effect beleid]])</f>
        <v>12334208.839330401</v>
      </c>
      <c r="H315" s="398">
        <f>SUMIFS(uitkomst_doelgroep[Arbeidsbesparing (FTE)],uitkomst_doelgroep[Digitale zorgtoepassing],B315,uitkomst_doelgroep[Jaar],D315,uitkomst_doelgroep[Arbeidsbesparing (FTE)],"&gt;0",uitkomst_doelgroep[Uitgangssituatie/effect beleid],uitkomst_tech[[#This Row],[Uitgangssituatie/effect beleid]])</f>
        <v>213.76675081700608</v>
      </c>
      <c r="I315" s="398">
        <f>SUMIFS(uitkomst_doelgroep[Overige besparingen (€)],uitkomst_doelgroep[Digitale zorgtoepassing],B315,uitkomst_doelgroep[Jaar],D315,uitkomst_doelgroep[Overige besparingen (€)],"&gt;0",uitkomst_doelgroep[Uitgangssituatie/effect beleid],uitkomst_tech[[#This Row],[Uitgangssituatie/effect beleid]])</f>
        <v>8222805.8928869348</v>
      </c>
      <c r="J315" s="398">
        <f>SUMIFS(uitkomst_doelgroep[QALY (€)],uitkomst_doelgroep[Digitale zorgtoepassing],B315,uitkomst_doelgroep[Jaar],D315,uitkomst_doelgroep[QALY (€)],"&gt;0",uitkomst_doelgroep[Uitgangssituatie/effect beleid],uitkomst_tech[[#This Row],[Uitgangssituatie/effect beleid]])</f>
        <v>109486819.50780106</v>
      </c>
      <c r="K315" s="398">
        <f>SUMIFS(uitkomst_doelgroep[Kosten (€)],uitkomst_doelgroep[Digitale zorgtoepassing],B315,uitkomst_doelgroep[Jaar],D315,uitkomst_doelgroep[Kosten (€)],"&gt;0",uitkomst_doelgroep[Uitgangssituatie/effect beleid],uitkomst_tech[[#This Row],[Uitgangssituatie/effect beleid]])</f>
        <v>7031629.6745356461</v>
      </c>
      <c r="L315" s="398">
        <f>SUMIFS(uitkomst_doelgroep[Investering (cash flow) (€)],uitkomst_doelgroep[Digitale zorgtoepassing],B315,uitkomst_doelgroep[Jaar],D315,uitkomst_doelgroep[Investering (cash flow) (€)],"&gt;0",uitkomst_doelgroep[Uitgangssituatie/effect beleid],uitkomst_tech[[#This Row],[Uitgangssituatie/effect beleid]])</f>
        <v>353680.22533804132</v>
      </c>
    </row>
    <row r="316" spans="1:12" x14ac:dyDescent="0.5">
      <c r="A316" s="42" t="str">
        <f>INDEX(Technologieën[Veld],MATCH(B316,Technologieën[Digitale zorgtoepassing],0))</f>
        <v>Sensoren - Behandeling</v>
      </c>
      <c r="B316" s="33" t="s">
        <v>53</v>
      </c>
      <c r="C316" s="33" t="s">
        <v>812</v>
      </c>
      <c r="D316" s="33">
        <v>2028</v>
      </c>
      <c r="E316" s="2">
        <v>175</v>
      </c>
      <c r="F316" s="397">
        <f>SUMIFS(uitkomst_doelgroep[Patiëntaantallen],uitkomst_doelgroep[Digitale zorgtoepassing],B316,uitkomst_doelgroep[Jaar],D316,uitkomst_doelgroep[Arbeidsbesparing (€)],"&gt;0",uitkomst_doelgroep[Uitgangssituatie/effect beleid],uitkomst_tech[[#This Row],[Uitgangssituatie/effect beleid]])</f>
        <v>49851.99863655823</v>
      </c>
      <c r="G316" s="398">
        <f>SUMIFS(uitkomst_doelgroep[Arbeidsbesparing (€)],uitkomst_doelgroep[Digitale zorgtoepassing],B316,uitkomst_doelgroep[Jaar],D316,uitkomst_doelgroep[Arbeidsbesparing (€)],"&gt;0",uitkomst_doelgroep[Uitgangssituatie/effect beleid],uitkomst_tech[[#This Row],[Uitgangssituatie/effect beleid]])</f>
        <v>16005781.794245202</v>
      </c>
      <c r="H316" s="398">
        <f>SUMIFS(uitkomst_doelgroep[Arbeidsbesparing (FTE)],uitkomst_doelgroep[Digitale zorgtoepassing],B316,uitkomst_doelgroep[Jaar],D316,uitkomst_doelgroep[Arbeidsbesparing (FTE)],"&gt;0",uitkomst_doelgroep[Uitgangssituatie/effect beleid],uitkomst_tech[[#This Row],[Uitgangssituatie/effect beleid]])</f>
        <v>277.39954893025254</v>
      </c>
      <c r="I316" s="398">
        <f>SUMIFS(uitkomst_doelgroep[Overige besparingen (€)],uitkomst_doelgroep[Digitale zorgtoepassing],B316,uitkomst_doelgroep[Jaar],D316,uitkomst_doelgroep[Overige besparingen (€)],"&gt;0",uitkomst_doelgroep[Uitgangssituatie/effect beleid],uitkomst_tech[[#This Row],[Uitgangssituatie/effect beleid]])</f>
        <v>10670521.196163468</v>
      </c>
      <c r="J316" s="398">
        <f>SUMIFS(uitkomst_doelgroep[QALY (€)],uitkomst_doelgroep[Digitale zorgtoepassing],B316,uitkomst_doelgroep[Jaar],D316,uitkomst_doelgroep[QALY (€)],"&gt;0",uitkomst_doelgroep[Uitgangssituatie/effect beleid],uitkomst_tech[[#This Row],[Uitgangssituatie/effect beleid]])</f>
        <v>142078196.11419097</v>
      </c>
      <c r="K316" s="398">
        <f>SUMIFS(uitkomst_doelgroep[Kosten (€)],uitkomst_doelgroep[Digitale zorgtoepassing],B316,uitkomst_doelgroep[Jaar],D316,uitkomst_doelgroep[Kosten (€)],"&gt;0",uitkomst_doelgroep[Uitgangssituatie/effect beleid],uitkomst_tech[[#This Row],[Uitgangssituatie/effect beleid]])</f>
        <v>8773704.0609258711</v>
      </c>
      <c r="L316" s="398">
        <f>SUMIFS(uitkomst_doelgroep[Investering (cash flow) (€)],uitkomst_doelgroep[Digitale zorgtoepassing],B316,uitkomst_doelgroep[Jaar],D316,uitkomst_doelgroep[Investering (cash flow) (€)],"&gt;0",uitkomst_doelgroep[Uitgangssituatie/effect beleid],uitkomst_tech[[#This Row],[Uitgangssituatie/effect beleid]])</f>
        <v>250587.96867953421</v>
      </c>
    </row>
    <row r="317" spans="1:12" x14ac:dyDescent="0.5">
      <c r="A317" s="42" t="str">
        <f>INDEX(Technologieën[Veld],MATCH(B317,Technologieën[Digitale zorgtoepassing],0))</f>
        <v>Sensoren - Behandeling</v>
      </c>
      <c r="B317" s="33" t="s">
        <v>53</v>
      </c>
      <c r="C317" s="33" t="s">
        <v>812</v>
      </c>
      <c r="D317" s="33">
        <v>2029</v>
      </c>
      <c r="E317" s="2">
        <v>207</v>
      </c>
      <c r="F317" s="397">
        <f>SUMIFS(uitkomst_doelgroep[Patiëntaantallen],uitkomst_doelgroep[Digitale zorgtoepassing],B317,uitkomst_doelgroep[Jaar],D317,uitkomst_doelgroep[Arbeidsbesparing (€)],"&gt;0",uitkomst_doelgroep[Uitgangssituatie/effect beleid],uitkomst_tech[[#This Row],[Uitgangssituatie/effect beleid]])</f>
        <v>63673.967676049899</v>
      </c>
      <c r="G317" s="398">
        <f>SUMIFS(uitkomst_doelgroep[Arbeidsbesparing (€)],uitkomst_doelgroep[Digitale zorgtoepassing],B317,uitkomst_doelgroep[Jaar],D317,uitkomst_doelgroep[Arbeidsbesparing (€)],"&gt;0",uitkomst_doelgroep[Uitgangssituatie/effect beleid],uitkomst_tech[[#This Row],[Uitgangssituatie/effect beleid]])</f>
        <v>20443546.105878633</v>
      </c>
      <c r="H317" s="398">
        <f>SUMIFS(uitkomst_doelgroep[Arbeidsbesparing (FTE)],uitkomst_doelgroep[Digitale zorgtoepassing],B317,uitkomst_doelgroep[Jaar],D317,uitkomst_doelgroep[Arbeidsbesparing (FTE)],"&gt;0",uitkomst_doelgroep[Uitgangssituatie/effect beleid],uitkomst_tech[[#This Row],[Uitgangssituatie/effect beleid]])</f>
        <v>354.31136955425347</v>
      </c>
      <c r="I317" s="398">
        <f>SUMIFS(uitkomst_doelgroep[Overige besparingen (€)],uitkomst_doelgroep[Digitale zorgtoepassing],B317,uitkomst_doelgroep[Jaar],D317,uitkomst_doelgroep[Overige besparingen (€)],"&gt;0",uitkomst_doelgroep[Uitgangssituatie/effect beleid],uitkomst_tech[[#This Row],[Uitgangssituatie/effect beleid]])</f>
        <v>13629030.737252425</v>
      </c>
      <c r="J317" s="398">
        <f>SUMIFS(uitkomst_doelgroep[QALY (€)],uitkomst_doelgroep[Digitale zorgtoepassing],B317,uitkomst_doelgroep[Jaar],D317,uitkomst_doelgroep[QALY (€)],"&gt;0",uitkomst_doelgroep[Uitgangssituatie/effect beleid],uitkomst_tech[[#This Row],[Uitgangssituatie/effect beleid]])</f>
        <v>181470807.87674224</v>
      </c>
      <c r="K317" s="398">
        <f>SUMIFS(uitkomst_doelgroep[Kosten (€)],uitkomst_doelgroep[Digitale zorgtoepassing],B317,uitkomst_doelgroep[Jaar],D317,uitkomst_doelgroep[Kosten (€)],"&gt;0",uitkomst_doelgroep[Uitgangssituatie/effect beleid],uitkomst_tech[[#This Row],[Uitgangssituatie/effect beleid]])</f>
        <v>10812172.896799162</v>
      </c>
      <c r="L317" s="398">
        <f>SUMIFS(uitkomst_doelgroep[Investering (cash flow) (€)],uitkomst_doelgroep[Digitale zorgtoepassing],B317,uitkomst_doelgroep[Jaar],D317,uitkomst_doelgroep[Investering (cash flow) (€)],"&gt;0",uitkomst_doelgroep[Uitgangssituatie/effect beleid],uitkomst_tech[[#This Row],[Uitgangssituatie/effect beleid]])</f>
        <v>166177.34303957262</v>
      </c>
    </row>
    <row r="318" spans="1:12" x14ac:dyDescent="0.5">
      <c r="A318" s="42" t="str">
        <f>INDEX(Technologieën[Veld],MATCH(B318,Technologieën[Digitale zorgtoepassing],0))</f>
        <v>Sensoren - Behandeling</v>
      </c>
      <c r="B318" s="33" t="s">
        <v>53</v>
      </c>
      <c r="C318" s="33" t="s">
        <v>812</v>
      </c>
      <c r="D318" s="33">
        <v>2030</v>
      </c>
      <c r="E318" s="2">
        <v>239</v>
      </c>
      <c r="F318" s="397">
        <f>SUMIFS(uitkomst_doelgroep[Patiëntaantallen],uitkomst_doelgroep[Digitale zorgtoepassing],B318,uitkomst_doelgroep[Jaar],D318,uitkomst_doelgroep[Arbeidsbesparing (€)],"&gt;0",uitkomst_doelgroep[Uitgangssituatie/effect beleid],uitkomst_tech[[#This Row],[Uitgangssituatie/effect beleid]])</f>
        <v>80563.735580681619</v>
      </c>
      <c r="G318" s="398">
        <f>SUMIFS(uitkomst_doelgroep[Arbeidsbesparing (€)],uitkomst_doelgroep[Digitale zorgtoepassing],B318,uitkomst_doelgroep[Jaar],D318,uitkomst_doelgroep[Arbeidsbesparing (€)],"&gt;0",uitkomst_doelgroep[Uitgangssituatie/effect beleid],uitkomst_tech[[#This Row],[Uitgangssituatie/effect beleid]])</f>
        <v>25866276.327947117</v>
      </c>
      <c r="H318" s="398">
        <f>SUMIFS(uitkomst_doelgroep[Arbeidsbesparing (FTE)],uitkomst_doelgroep[Digitale zorgtoepassing],B318,uitkomst_doelgroep[Jaar],D318,uitkomst_doelgroep[Arbeidsbesparing (FTE)],"&gt;0",uitkomst_doelgroep[Uitgangssituatie/effect beleid],uitkomst_tech[[#This Row],[Uitgangssituatie/effect beleid]])</f>
        <v>448.29384019577475</v>
      </c>
      <c r="I318" s="398">
        <f>SUMIFS(uitkomst_doelgroep[Overige besparingen (€)],uitkomst_doelgroep[Digitale zorgtoepassing],B318,uitkomst_doelgroep[Jaar],D318,uitkomst_doelgroep[Overige besparingen (€)],"&gt;0",uitkomst_doelgroep[Uitgangssituatie/effect beleid],uitkomst_tech[[#This Row],[Uitgangssituatie/effect beleid]])</f>
        <v>17244184.218631417</v>
      </c>
      <c r="J318" s="398">
        <f>SUMIFS(uitkomst_doelgroep[QALY (€)],uitkomst_doelgroep[Digitale zorgtoepassing],B318,uitkomst_doelgroep[Jaar],D318,uitkomst_doelgroep[QALY (€)],"&gt;0",uitkomst_doelgroep[Uitgangssituatie/effect beleid],uitkomst_tech[[#This Row],[Uitgangssituatie/effect beleid]])</f>
        <v>229606646.4049426</v>
      </c>
      <c r="K318" s="398">
        <f>SUMIFS(uitkomst_doelgroep[Kosten (€)],uitkomst_doelgroep[Digitale zorgtoepassing],B318,uitkomst_doelgroep[Jaar],D318,uitkomst_doelgroep[Kosten (€)],"&gt;0",uitkomst_doelgroep[Uitgangssituatie/effect beleid],uitkomst_tech[[#This Row],[Uitgangssituatie/effect beleid]])</f>
        <v>13249931.302626025</v>
      </c>
      <c r="L318" s="398">
        <f>SUMIFS(uitkomst_doelgroep[Investering (cash flow) (€)],uitkomst_doelgroep[Digitale zorgtoepassing],B318,uitkomst_doelgroep[Jaar],D318,uitkomst_doelgroep[Investering (cash flow) (€)],"&gt;0",uitkomst_doelgroep[Uitgangssituatie/effect beleid],uitkomst_tech[[#This Row],[Uitgangssituatie/effect beleid]])</f>
        <v>105000.94000559305</v>
      </c>
    </row>
    <row r="319" spans="1:12" x14ac:dyDescent="0.5">
      <c r="A319" s="42" t="str">
        <f>INDEX(Technologieën[Veld],MATCH(B319,Technologieën[Digitale zorgtoepassing],0))</f>
        <v>Sensoren - Behandeling</v>
      </c>
      <c r="B319" s="33" t="s">
        <v>53</v>
      </c>
      <c r="C319" s="33" t="s">
        <v>812</v>
      </c>
      <c r="D319" s="33">
        <v>2031</v>
      </c>
      <c r="E319" s="2">
        <v>271</v>
      </c>
      <c r="F319" s="397">
        <f>SUMIFS(uitkomst_doelgroep[Patiëntaantallen],uitkomst_doelgroep[Digitale zorgtoepassing],B319,uitkomst_doelgroep[Jaar],D319,uitkomst_doelgroep[Arbeidsbesparing (€)],"&gt;0",uitkomst_doelgroep[Uitgangssituatie/effect beleid],uitkomst_tech[[#This Row],[Uitgangssituatie/effect beleid]])</f>
        <v>100999.25515208791</v>
      </c>
      <c r="G319" s="398">
        <f>SUMIFS(uitkomst_doelgroep[Arbeidsbesparing (€)],uitkomst_doelgroep[Digitale zorgtoepassing],B319,uitkomst_doelgroep[Jaar],D319,uitkomst_doelgroep[Arbeidsbesparing (€)],"&gt;0",uitkomst_doelgroep[Uitgangssituatie/effect beleid],uitkomst_tech[[#This Row],[Uitgangssituatie/effect beleid]])</f>
        <v>32427426.854660247</v>
      </c>
      <c r="H319" s="398">
        <f>SUMIFS(uitkomst_doelgroep[Arbeidsbesparing (FTE)],uitkomst_doelgroep[Digitale zorgtoepassing],B319,uitkomst_doelgroep[Jaar],D319,uitkomst_doelgroep[Arbeidsbesparing (FTE)],"&gt;0",uitkomst_doelgroep[Uitgangssituatie/effect beleid],uitkomst_tech[[#This Row],[Uitgangssituatie/effect beleid]])</f>
        <v>562.00651102751783</v>
      </c>
      <c r="I319" s="398">
        <f>SUMIFS(uitkomst_doelgroep[Overige besparingen (€)],uitkomst_doelgroep[Digitale zorgtoepassing],B319,uitkomst_doelgroep[Jaar],D319,uitkomst_doelgroep[Overige besparingen (€)],"&gt;0",uitkomst_doelgroep[Uitgangssituatie/effect beleid],uitkomst_tech[[#This Row],[Uitgangssituatie/effect beleid]])</f>
        <v>21618284.569773503</v>
      </c>
      <c r="J319" s="398">
        <f>SUMIFS(uitkomst_doelgroep[QALY (€)],uitkomst_doelgroep[Digitale zorgtoepassing],B319,uitkomst_doelgroep[Jaar],D319,uitkomst_doelgroep[QALY (€)],"&gt;0",uitkomst_doelgroep[Uitgangssituatie/effect beleid],uitkomst_tech[[#This Row],[Uitgangssituatie/effect beleid]])</f>
        <v>287847877.18345058</v>
      </c>
      <c r="K319" s="398">
        <f>SUMIFS(uitkomst_doelgroep[Kosten (€)],uitkomst_doelgroep[Digitale zorgtoepassing],B319,uitkomst_doelgroep[Jaar],D319,uitkomst_doelgroep[Kosten (€)],"&gt;0",uitkomst_doelgroep[Uitgangssituatie/effect beleid],uitkomst_tech[[#This Row],[Uitgangssituatie/effect beleid]])</f>
        <v>16162997.885439262</v>
      </c>
      <c r="L319" s="398">
        <f>SUMIFS(uitkomst_doelgroep[Investering (cash flow) (€)],uitkomst_doelgroep[Digitale zorgtoepassing],B319,uitkomst_doelgroep[Jaar],D319,uitkomst_doelgroep[Investering (cash flow) (€)],"&gt;0",uitkomst_doelgroep[Uitgangssituatie/effect beleid],uitkomst_tech[[#This Row],[Uitgangssituatie/effect beleid]])</f>
        <v>64208.266479272235</v>
      </c>
    </row>
    <row r="320" spans="1:12" x14ac:dyDescent="0.5">
      <c r="A320" s="42" t="str">
        <f>INDEX(Technologieën[Veld],MATCH(B320,Technologieën[Digitale zorgtoepassing],0))</f>
        <v>Sensoren - Behandeling</v>
      </c>
      <c r="B320" s="33" t="s">
        <v>53</v>
      </c>
      <c r="C320" s="33" t="s">
        <v>812</v>
      </c>
      <c r="D320" s="33">
        <v>2032</v>
      </c>
      <c r="E320" s="2">
        <v>303</v>
      </c>
      <c r="F320" s="397">
        <f>SUMIFS(uitkomst_doelgroep[Patiëntaantallen],uitkomst_doelgroep[Digitale zorgtoepassing],B320,uitkomst_doelgroep[Jaar],D320,uitkomst_doelgroep[Arbeidsbesparing (€)],"&gt;0",uitkomst_doelgroep[Uitgangssituatie/effect beleid],uitkomst_tech[[#This Row],[Uitgangssituatie/effect beleid]])</f>
        <v>124945.03263856137</v>
      </c>
      <c r="G320" s="398">
        <f>SUMIFS(uitkomst_doelgroep[Arbeidsbesparing (€)],uitkomst_doelgroep[Digitale zorgtoepassing],B320,uitkomst_doelgroep[Jaar],D320,uitkomst_doelgroep[Arbeidsbesparing (€)],"&gt;0",uitkomst_doelgroep[Uitgangssituatie/effect beleid],uitkomst_tech[[#This Row],[Uitgangssituatie/effect beleid]])</f>
        <v>40115601.849132337</v>
      </c>
      <c r="H320" s="398">
        <f>SUMIFS(uitkomst_doelgroep[Arbeidsbesparing (FTE)],uitkomst_doelgroep[Digitale zorgtoepassing],B320,uitkomst_doelgroep[Jaar],D320,uitkomst_doelgroep[Arbeidsbesparing (FTE)],"&gt;0",uitkomst_doelgroep[Uitgangssituatie/effect beleid],uitkomst_tech[[#This Row],[Uitgangssituatie/effect beleid]])</f>
        <v>695.25187841908155</v>
      </c>
      <c r="I320" s="398">
        <f>SUMIFS(uitkomst_doelgroep[Overige besparingen (€)],uitkomst_doelgroep[Digitale zorgtoepassing],B320,uitkomst_doelgroep[Jaar],D320,uitkomst_doelgroep[Overige besparingen (€)],"&gt;0",uitkomst_doelgroep[Uitgangssituatie/effect beleid],uitkomst_tech[[#This Row],[Uitgangssituatie/effect beleid]])</f>
        <v>26743734.566088229</v>
      </c>
      <c r="J320" s="398">
        <f>SUMIFS(uitkomst_doelgroep[QALY (€)],uitkomst_doelgroep[Digitale zorgtoepassing],B320,uitkomst_doelgroep[Jaar],D320,uitkomst_doelgroep[QALY (€)],"&gt;0",uitkomst_doelgroep[Uitgangssituatie/effect beleid],uitkomst_tech[[#This Row],[Uitgangssituatie/effect beleid]])</f>
        <v>356093343.01989996</v>
      </c>
      <c r="K320" s="398">
        <f>SUMIFS(uitkomst_doelgroep[Kosten (€)],uitkomst_doelgroep[Digitale zorgtoepassing],B320,uitkomst_doelgroep[Jaar],D320,uitkomst_doelgroep[Kosten (€)],"&gt;0",uitkomst_doelgroep[Uitgangssituatie/effect beleid],uitkomst_tech[[#This Row],[Uitgangssituatie/effect beleid]])</f>
        <v>19554119.27535148</v>
      </c>
      <c r="L320" s="398">
        <f>SUMIFS(uitkomst_doelgroep[Investering (cash flow) (€)],uitkomst_doelgroep[Digitale zorgtoepassing],B320,uitkomst_doelgroep[Jaar],D320,uitkomst_doelgroep[Investering (cash flow) (€)],"&gt;0",uitkomst_doelgroep[Uitgangssituatie/effect beleid],uitkomst_tech[[#This Row],[Uitgangssituatie/effect beleid]])</f>
        <v>38447.801602073057</v>
      </c>
    </row>
    <row r="321" spans="1:12" x14ac:dyDescent="0.5">
      <c r="A321" s="42" t="str">
        <f>INDEX(Technologieën[Veld],MATCH(B321,Technologieën[Digitale zorgtoepassing],0))</f>
        <v>Sensoren - Behandeling</v>
      </c>
      <c r="B321" s="33" t="s">
        <v>53</v>
      </c>
      <c r="C321" s="33" t="s">
        <v>812</v>
      </c>
      <c r="D321" s="33">
        <v>2033</v>
      </c>
      <c r="E321" s="2">
        <v>335</v>
      </c>
      <c r="F321" s="397">
        <f>SUMIFS(uitkomst_doelgroep[Patiëntaantallen],uitkomst_doelgroep[Digitale zorgtoepassing],B321,uitkomst_doelgroep[Jaar],D321,uitkomst_doelgroep[Arbeidsbesparing (€)],"&gt;0",uitkomst_doelgroep[Uitgangssituatie/effect beleid],uitkomst_tech[[#This Row],[Uitgangssituatie/effect beleid]])</f>
        <v>151570.67843179841</v>
      </c>
      <c r="G321" s="398">
        <f>SUMIFS(uitkomst_doelgroep[Arbeidsbesparing (€)],uitkomst_doelgroep[Digitale zorgtoepassing],B321,uitkomst_doelgroep[Jaar],D321,uitkomst_doelgroep[Arbeidsbesparing (€)],"&gt;0",uitkomst_doelgroep[Uitgangssituatie/effect beleid],uitkomst_tech[[#This Row],[Uitgangssituatie/effect beleid]])</f>
        <v>48664191.441383772</v>
      </c>
      <c r="H321" s="398">
        <f>SUMIFS(uitkomst_doelgroep[Arbeidsbesparing (FTE)],uitkomst_doelgroep[Digitale zorgtoepassing],B321,uitkomst_doelgroep[Jaar],D321,uitkomst_doelgroep[Arbeidsbesparing (FTE)],"&gt;0",uitkomst_doelgroep[Uitgangssituatie/effect beleid],uitkomst_tech[[#This Row],[Uitgangssituatie/effect beleid]])</f>
        <v>843.40927100161798</v>
      </c>
      <c r="I321" s="398">
        <f>SUMIFS(uitkomst_doelgroep[Overige besparingen (€)],uitkomst_doelgroep[Digitale zorgtoepassing],B321,uitkomst_doelgroep[Jaar],D321,uitkomst_doelgroep[Overige besparingen (€)],"&gt;0",uitkomst_doelgroep[Uitgangssituatie/effect beleid],uitkomst_tech[[#This Row],[Uitgangssituatie/effect beleid]])</f>
        <v>32442794.294255853</v>
      </c>
      <c r="J321" s="398">
        <f>SUMIFS(uitkomst_doelgroep[QALY (€)],uitkomst_doelgroep[Digitale zorgtoepassing],B321,uitkomst_doelgroep[Jaar],D321,uitkomst_doelgroep[QALY (€)],"&gt;0",uitkomst_doelgroep[Uitgangssituatie/effect beleid],uitkomst_tech[[#This Row],[Uitgangssituatie/effect beleid]])</f>
        <v>431976433.53062546</v>
      </c>
      <c r="K321" s="398">
        <f>SUMIFS(uitkomst_doelgroep[Kosten (€)],uitkomst_doelgroep[Digitale zorgtoepassing],B321,uitkomst_doelgroep[Jaar],D321,uitkomst_doelgroep[Kosten (€)],"&gt;0",uitkomst_doelgroep[Uitgangssituatie/effect beleid],uitkomst_tech[[#This Row],[Uitgangssituatie/effect beleid]])</f>
        <v>23312249.352764517</v>
      </c>
      <c r="L321" s="398">
        <f>SUMIFS(uitkomst_doelgroep[Investering (cash flow) (€)],uitkomst_doelgroep[Digitale zorgtoepassing],B321,uitkomst_doelgroep[Jaar],D321,uitkomst_doelgroep[Investering (cash flow) (€)],"&gt;0",uitkomst_doelgroep[Uitgangssituatie/effect beleid],uitkomst_tech[[#This Row],[Uitgangssituatie/effect beleid]])</f>
        <v>22726.162105127412</v>
      </c>
    </row>
    <row r="322" spans="1:12" x14ac:dyDescent="0.5">
      <c r="A322" s="42" t="str">
        <f>INDEX(Technologieën[Veld],MATCH(B322,Technologieën[Digitale zorgtoepassing],0))</f>
        <v>Software - Behandeling</v>
      </c>
      <c r="B322" s="33" t="s">
        <v>101</v>
      </c>
      <c r="C322" s="33" t="s">
        <v>812</v>
      </c>
      <c r="D322" s="33">
        <v>2023</v>
      </c>
      <c r="E322" s="2">
        <v>22</v>
      </c>
      <c r="F322" s="397">
        <f>SUMIFS(uitkomst_doelgroep[Patiëntaantallen],uitkomst_doelgroep[Digitale zorgtoepassing],B322,uitkomst_doelgroep[Jaar],D322,uitkomst_doelgroep[Arbeidsbesparing (€)],"&gt;0",uitkomst_doelgroep[Uitgangssituatie/effect beleid],uitkomst_tech[[#This Row],[Uitgangssituatie/effect beleid]])</f>
        <v>47222.329968454258</v>
      </c>
      <c r="G322" s="398">
        <f>SUMIFS(uitkomst_doelgroep[Arbeidsbesparing (€)],uitkomst_doelgroep[Digitale zorgtoepassing],B322,uitkomst_doelgroep[Jaar],D322,uitkomst_doelgroep[Arbeidsbesparing (€)],"&gt;0",uitkomst_doelgroep[Uitgangssituatie/effect beleid],uitkomst_tech[[#This Row],[Uitgangssituatie/effect beleid]])</f>
        <v>55626930.56171035</v>
      </c>
      <c r="H322" s="398">
        <f>SUMIFS(uitkomst_doelgroep[Arbeidsbesparing (FTE)],uitkomst_doelgroep[Digitale zorgtoepassing],B322,uitkomst_doelgroep[Jaar],D322,uitkomst_doelgroep[Arbeidsbesparing (FTE)],"&gt;0",uitkomst_doelgroep[Uitgangssituatie/effect beleid],uitkomst_tech[[#This Row],[Uitgangssituatie/effect beleid]])</f>
        <v>1310.2836</v>
      </c>
      <c r="I322" s="398">
        <f>SUMIFS(uitkomst_doelgroep[Overige besparingen (€)],uitkomst_doelgroep[Digitale zorgtoepassing],B322,uitkomst_doelgroep[Jaar],D322,uitkomst_doelgroep[Overige besparingen (€)],"&gt;0",uitkomst_doelgroep[Uitgangssituatie/effect beleid],uitkomst_tech[[#This Row],[Uitgangssituatie/effect beleid]])</f>
        <v>57976.013705095218</v>
      </c>
      <c r="J322" s="398">
        <f>SUMIFS(uitkomst_doelgroep[QALY (€)],uitkomst_doelgroep[Digitale zorgtoepassing],B322,uitkomst_doelgroep[Jaar],D322,uitkomst_doelgroep[QALY (€)],"&gt;0",uitkomst_doelgroep[Uitgangssituatie/effect beleid],uitkomst_tech[[#This Row],[Uitgangssituatie/effect beleid]])</f>
        <v>0</v>
      </c>
      <c r="K322" s="398">
        <f>SUMIFS(uitkomst_doelgroep[Kosten (€)],uitkomst_doelgroep[Digitale zorgtoepassing],B322,uitkomst_doelgroep[Jaar],D322,uitkomst_doelgroep[Kosten (€)],"&gt;0",uitkomst_doelgroep[Uitgangssituatie/effect beleid],uitkomst_tech[[#This Row],[Uitgangssituatie/effect beleid]])</f>
        <v>1133335.9192429022</v>
      </c>
      <c r="L322" s="398">
        <f>SUMIFS(uitkomst_doelgroep[Investering (cash flow) (€)],uitkomst_doelgroep[Digitale zorgtoepassing],B322,uitkomst_doelgroep[Jaar],D322,uitkomst_doelgroep[Investering (cash flow) (€)],"&gt;0",uitkomst_doelgroep[Uitgangssituatie/effect beleid],uitkomst_tech[[#This Row],[Uitgangssituatie/effect beleid]])</f>
        <v>0</v>
      </c>
    </row>
    <row r="323" spans="1:12" x14ac:dyDescent="0.5">
      <c r="A323" s="42" t="str">
        <f>INDEX(Technologieën[Veld],MATCH(B323,Technologieën[Digitale zorgtoepassing],0))</f>
        <v>Software - Behandeling</v>
      </c>
      <c r="B323" s="33" t="s">
        <v>101</v>
      </c>
      <c r="C323" s="33" t="s">
        <v>812</v>
      </c>
      <c r="D323" s="33">
        <v>2024</v>
      </c>
      <c r="E323" s="2">
        <v>54</v>
      </c>
      <c r="F323" s="397">
        <f>SUMIFS(uitkomst_doelgroep[Patiëntaantallen],uitkomst_doelgroep[Digitale zorgtoepassing],B323,uitkomst_doelgroep[Jaar],D323,uitkomst_doelgroep[Arbeidsbesparing (€)],"&gt;0",uitkomst_doelgroep[Uitgangssituatie/effect beleid],uitkomst_tech[[#This Row],[Uitgangssituatie/effect beleid]])</f>
        <v>60444.582359621447</v>
      </c>
      <c r="G323" s="398">
        <f>SUMIFS(uitkomst_doelgroep[Arbeidsbesparing (€)],uitkomst_doelgroep[Digitale zorgtoepassing],B323,uitkomst_doelgroep[Jaar],D323,uitkomst_doelgroep[Arbeidsbesparing (€)],"&gt;0",uitkomst_doelgroep[Uitgangssituatie/effect beleid],uitkomst_tech[[#This Row],[Uitgangssituatie/effect beleid]])</f>
        <v>71202471.118989244</v>
      </c>
      <c r="H323" s="398">
        <f>SUMIFS(uitkomst_doelgroep[Arbeidsbesparing (FTE)],uitkomst_doelgroep[Digitale zorgtoepassing],B323,uitkomst_doelgroep[Jaar],D323,uitkomst_doelgroep[Arbeidsbesparing (FTE)],"&gt;0",uitkomst_doelgroep[Uitgangssituatie/effect beleid],uitkomst_tech[[#This Row],[Uitgangssituatie/effect beleid]])</f>
        <v>1677.163008</v>
      </c>
      <c r="I323" s="398">
        <f>SUMIFS(uitkomst_doelgroep[Overige besparingen (€)],uitkomst_doelgroep[Digitale zorgtoepassing],B323,uitkomst_doelgroep[Jaar],D323,uitkomst_doelgroep[Overige besparingen (€)],"&gt;0",uitkomst_doelgroep[Uitgangssituatie/effect beleid],uitkomst_tech[[#This Row],[Uitgangssituatie/effect beleid]])</f>
        <v>74209.297542521876</v>
      </c>
      <c r="J323" s="398">
        <f>SUMIFS(uitkomst_doelgroep[QALY (€)],uitkomst_doelgroep[Digitale zorgtoepassing],B323,uitkomst_doelgroep[Jaar],D323,uitkomst_doelgroep[QALY (€)],"&gt;0",uitkomst_doelgroep[Uitgangssituatie/effect beleid],uitkomst_tech[[#This Row],[Uitgangssituatie/effect beleid]])</f>
        <v>0</v>
      </c>
      <c r="K323" s="398">
        <f>SUMIFS(uitkomst_doelgroep[Kosten (€)],uitkomst_doelgroep[Digitale zorgtoepassing],B323,uitkomst_doelgroep[Jaar],D323,uitkomst_doelgroep[Kosten (€)],"&gt;0",uitkomst_doelgroep[Uitgangssituatie/effect beleid],uitkomst_tech[[#This Row],[Uitgangssituatie/effect beleid]])</f>
        <v>1450669.976630915</v>
      </c>
      <c r="L323" s="398">
        <f>SUMIFS(uitkomst_doelgroep[Investering (cash flow) (€)],uitkomst_doelgroep[Digitale zorgtoepassing],B323,uitkomst_doelgroep[Jaar],D323,uitkomst_doelgroep[Investering (cash flow) (€)],"&gt;0",uitkomst_doelgroep[Uitgangssituatie/effect beleid],uitkomst_tech[[#This Row],[Uitgangssituatie/effect beleid]])</f>
        <v>0</v>
      </c>
    </row>
    <row r="324" spans="1:12" x14ac:dyDescent="0.5">
      <c r="A324" s="42" t="str">
        <f>INDEX(Technologieën[Veld],MATCH(B324,Technologieën[Digitale zorgtoepassing],0))</f>
        <v>Software - Behandeling</v>
      </c>
      <c r="B324" s="33" t="s">
        <v>101</v>
      </c>
      <c r="C324" s="33" t="s">
        <v>812</v>
      </c>
      <c r="D324" s="33">
        <v>2025</v>
      </c>
      <c r="E324" s="2">
        <v>86</v>
      </c>
      <c r="F324" s="397">
        <f>SUMIFS(uitkomst_doelgroep[Patiëntaantallen],uitkomst_doelgroep[Digitale zorgtoepassing],B324,uitkomst_doelgroep[Jaar],D324,uitkomst_doelgroep[Arbeidsbesparing (€)],"&gt;0",uitkomst_doelgroep[Uitgangssituatie/effect beleid],uitkomst_tech[[#This Row],[Uitgangssituatie/effect beleid]])</f>
        <v>75692.483817115455</v>
      </c>
      <c r="G324" s="398">
        <f>SUMIFS(uitkomst_doelgroep[Arbeidsbesparing (€)],uitkomst_doelgroep[Digitale zorgtoepassing],B324,uitkomst_doelgroep[Jaar],D324,uitkomst_doelgroep[Arbeidsbesparing (€)],"&gt;0",uitkomst_doelgroep[Uitgangssituatie/effect beleid],uitkomst_tech[[#This Row],[Uitgangssituatie/effect beleid]])</f>
        <v>89164184.489643261</v>
      </c>
      <c r="H324" s="398">
        <f>SUMIFS(uitkomst_doelgroep[Arbeidsbesparing (FTE)],uitkomst_doelgroep[Digitale zorgtoepassing],B324,uitkomst_doelgroep[Jaar],D324,uitkomst_doelgroep[Arbeidsbesparing (FTE)],"&gt;0",uitkomst_doelgroep[Uitgangssituatie/effect beleid],uitkomst_tech[[#This Row],[Uitgangssituatie/effect beleid]])</f>
        <v>2100.2483413055998</v>
      </c>
      <c r="I324" s="398">
        <f>SUMIFS(uitkomst_doelgroep[Overige besparingen (€)],uitkomst_doelgroep[Digitale zorgtoepassing],B324,uitkomst_doelgroep[Jaar],D324,uitkomst_doelgroep[Overige besparingen (€)],"&gt;0",uitkomst_doelgroep[Uitgangssituatie/effect beleid],uitkomst_tech[[#This Row],[Uitgangssituatie/effect beleid]])</f>
        <v>92929.520463842302</v>
      </c>
      <c r="J324" s="398">
        <f>SUMIFS(uitkomst_doelgroep[QALY (€)],uitkomst_doelgroep[Digitale zorgtoepassing],B324,uitkomst_doelgroep[Jaar],D324,uitkomst_doelgroep[QALY (€)],"&gt;0",uitkomst_doelgroep[Uitgangssituatie/effect beleid],uitkomst_tech[[#This Row],[Uitgangssituatie/effect beleid]])</f>
        <v>0</v>
      </c>
      <c r="K324" s="398">
        <f>SUMIFS(uitkomst_doelgroep[Kosten (€)],uitkomst_doelgroep[Digitale zorgtoepassing],B324,uitkomst_doelgroep[Jaar],D324,uitkomst_doelgroep[Kosten (€)],"&gt;0",uitkomst_doelgroep[Uitgangssituatie/effect beleid],uitkomst_tech[[#This Row],[Uitgangssituatie/effect beleid]])</f>
        <v>1816619.6116107712</v>
      </c>
      <c r="L324" s="398">
        <f>SUMIFS(uitkomst_doelgroep[Investering (cash flow) (€)],uitkomst_doelgroep[Digitale zorgtoepassing],B324,uitkomst_doelgroep[Jaar],D324,uitkomst_doelgroep[Investering (cash flow) (€)],"&gt;0",uitkomst_doelgroep[Uitgangssituatie/effect beleid],uitkomst_tech[[#This Row],[Uitgangssituatie/effect beleid]])</f>
        <v>0</v>
      </c>
    </row>
    <row r="325" spans="1:12" x14ac:dyDescent="0.5">
      <c r="A325" s="42" t="str">
        <f>INDEX(Technologieën[Veld],MATCH(B325,Technologieën[Digitale zorgtoepassing],0))</f>
        <v>Software - Behandeling</v>
      </c>
      <c r="B325" s="33" t="s">
        <v>101</v>
      </c>
      <c r="C325" s="33" t="s">
        <v>812</v>
      </c>
      <c r="D325" s="33">
        <v>2026</v>
      </c>
      <c r="E325" s="2">
        <v>118</v>
      </c>
      <c r="F325" s="397">
        <f>SUMIFS(uitkomst_doelgroep[Patiëntaantallen],uitkomst_doelgroep[Digitale zorgtoepassing],B325,uitkomst_doelgroep[Jaar],D325,uitkomst_doelgroep[Arbeidsbesparing (€)],"&gt;0",uitkomst_doelgroep[Uitgangssituatie/effect beleid],uitkomst_tech[[#This Row],[Uitgangssituatie/effect beleid]])</f>
        <v>92724.78985007052</v>
      </c>
      <c r="G325" s="398">
        <f>SUMIFS(uitkomst_doelgroep[Arbeidsbesparing (€)],uitkomst_doelgroep[Digitale zorgtoepassing],B325,uitkomst_doelgroep[Jaar],D325,uitkomst_doelgroep[Arbeidsbesparing (€)],"&gt;0",uitkomst_doelgroep[Uitgangssituatie/effect beleid],uitkomst_tech[[#This Row],[Uitgangssituatie/effect beleid]])</f>
        <v>109227889.64002267</v>
      </c>
      <c r="H325" s="398">
        <f>SUMIFS(uitkomst_doelgroep[Arbeidsbesparing (FTE)],uitkomst_doelgroep[Digitale zorgtoepassing],B325,uitkomst_doelgroep[Jaar],D325,uitkomst_doelgroep[Arbeidsbesparing (FTE)],"&gt;0",uitkomst_doelgroep[Uitgangssituatie/effect beleid],uitkomst_tech[[#This Row],[Uitgangssituatie/effect beleid]])</f>
        <v>2572.8457603671009</v>
      </c>
      <c r="I325" s="398">
        <f>SUMIFS(uitkomst_doelgroep[Overige besparingen (€)],uitkomst_doelgroep[Digitale zorgtoepassing],B325,uitkomst_doelgroep[Jaar],D325,uitkomst_doelgroep[Overige besparingen (€)],"&gt;0",uitkomst_doelgroep[Uitgangssituatie/effect beleid],uitkomst_tech[[#This Row],[Uitgangssituatie/effect beleid]])</f>
        <v>113840.50068560669</v>
      </c>
      <c r="J325" s="398">
        <f>SUMIFS(uitkomst_doelgroep[QALY (€)],uitkomst_doelgroep[Digitale zorgtoepassing],B325,uitkomst_doelgroep[Jaar],D325,uitkomst_doelgroep[QALY (€)],"&gt;0",uitkomst_doelgroep[Uitgangssituatie/effect beleid],uitkomst_tech[[#This Row],[Uitgangssituatie/effect beleid]])</f>
        <v>0</v>
      </c>
      <c r="K325" s="398">
        <f>SUMIFS(uitkomst_doelgroep[Kosten (€)],uitkomst_doelgroep[Digitale zorgtoepassing],B325,uitkomst_doelgroep[Jaar],D325,uitkomst_doelgroep[Kosten (€)],"&gt;0",uitkomst_doelgroep[Uitgangssituatie/effect beleid],uitkomst_tech[[#This Row],[Uitgangssituatie/effect beleid]])</f>
        <v>2225394.9564016922</v>
      </c>
      <c r="L325" s="398">
        <f>SUMIFS(uitkomst_doelgroep[Investering (cash flow) (€)],uitkomst_doelgroep[Digitale zorgtoepassing],B325,uitkomst_doelgroep[Jaar],D325,uitkomst_doelgroep[Investering (cash flow) (€)],"&gt;0",uitkomst_doelgroep[Uitgangssituatie/effect beleid],uitkomst_tech[[#This Row],[Uitgangssituatie/effect beleid]])</f>
        <v>0</v>
      </c>
    </row>
    <row r="326" spans="1:12" x14ac:dyDescent="0.5">
      <c r="A326" s="42" t="str">
        <f>INDEX(Technologieën[Veld],MATCH(B326,Technologieën[Digitale zorgtoepassing],0))</f>
        <v>Software - Behandeling</v>
      </c>
      <c r="B326" s="33" t="s">
        <v>101</v>
      </c>
      <c r="C326" s="33" t="s">
        <v>812</v>
      </c>
      <c r="D326" s="33">
        <v>2027</v>
      </c>
      <c r="E326" s="2">
        <v>150</v>
      </c>
      <c r="F326" s="397">
        <f>SUMIFS(uitkomst_doelgroep[Patiëntaantallen],uitkomst_doelgroep[Digitale zorgtoepassing],B326,uitkomst_doelgroep[Jaar],D326,uitkomst_doelgroep[Arbeidsbesparing (€)],"&gt;0",uitkomst_doelgroep[Uitgangssituatie/effect beleid],uitkomst_tech[[#This Row],[Uitgangssituatie/effect beleid]])</f>
        <v>111051.74670157189</v>
      </c>
      <c r="G326" s="398">
        <f>SUMIFS(uitkomst_doelgroep[Arbeidsbesparing (€)],uitkomst_doelgroep[Digitale zorgtoepassing],B326,uitkomst_doelgroep[Jaar],D326,uitkomst_doelgroep[Arbeidsbesparing (€)],"&gt;0",uitkomst_doelgroep[Uitgangssituatie/effect beleid],uitkomst_tech[[#This Row],[Uitgangssituatie/effect beleid]])</f>
        <v>130816666.74752587</v>
      </c>
      <c r="H326" s="398">
        <f>SUMIFS(uitkomst_doelgroep[Arbeidsbesparing (FTE)],uitkomst_doelgroep[Digitale zorgtoepassing],B326,uitkomst_doelgroep[Jaar],D326,uitkomst_doelgroep[Arbeidsbesparing (FTE)],"&gt;0",uitkomst_doelgroep[Uitgangssituatie/effect beleid],uitkomst_tech[[#This Row],[Uitgangssituatie/effect beleid]])</f>
        <v>3081.3660095049881</v>
      </c>
      <c r="I326" s="398">
        <f>SUMIFS(uitkomst_doelgroep[Overige besparingen (€)],uitkomst_doelgroep[Digitale zorgtoepassing],B326,uitkomst_doelgroep[Jaar],D326,uitkomst_doelgroep[Overige besparingen (€)],"&gt;0",uitkomst_doelgroep[Uitgangssituatie/effect beleid],uitkomst_tech[[#This Row],[Uitgangssituatie/effect beleid]])</f>
        <v>136340.95549808894</v>
      </c>
      <c r="J326" s="398">
        <f>SUMIFS(uitkomst_doelgroep[QALY (€)],uitkomst_doelgroep[Digitale zorgtoepassing],B326,uitkomst_doelgroep[Jaar],D326,uitkomst_doelgroep[QALY (€)],"&gt;0",uitkomst_doelgroep[Uitgangssituatie/effect beleid],uitkomst_tech[[#This Row],[Uitgangssituatie/effect beleid]])</f>
        <v>0</v>
      </c>
      <c r="K326" s="398">
        <f>SUMIFS(uitkomst_doelgroep[Kosten (€)],uitkomst_doelgroep[Digitale zorgtoepassing],B326,uitkomst_doelgroep[Jaar],D326,uitkomst_doelgroep[Kosten (€)],"&gt;0",uitkomst_doelgroep[Uitgangssituatie/effect beleid],uitkomst_tech[[#This Row],[Uitgangssituatie/effect beleid]])</f>
        <v>2665241.9208377246</v>
      </c>
      <c r="L326" s="398">
        <f>SUMIFS(uitkomst_doelgroep[Investering (cash flow) (€)],uitkomst_doelgroep[Digitale zorgtoepassing],B326,uitkomst_doelgroep[Jaar],D326,uitkomst_doelgroep[Investering (cash flow) (€)],"&gt;0",uitkomst_doelgroep[Uitgangssituatie/effect beleid],uitkomst_tech[[#This Row],[Uitgangssituatie/effect beleid]])</f>
        <v>0</v>
      </c>
    </row>
    <row r="327" spans="1:12" x14ac:dyDescent="0.5">
      <c r="A327" s="42" t="str">
        <f>INDEX(Technologieën[Veld],MATCH(B327,Technologieën[Digitale zorgtoepassing],0))</f>
        <v>Software - Behandeling</v>
      </c>
      <c r="B327" s="33" t="s">
        <v>101</v>
      </c>
      <c r="C327" s="33" t="s">
        <v>812</v>
      </c>
      <c r="D327" s="33">
        <v>2028</v>
      </c>
      <c r="E327" s="2">
        <v>182</v>
      </c>
      <c r="F327" s="397">
        <f>SUMIFS(uitkomst_doelgroep[Patiëntaantallen],uitkomst_doelgroep[Digitale zorgtoepassing],B327,uitkomst_doelgroep[Jaar],D327,uitkomst_doelgroep[Arbeidsbesparing (€)],"&gt;0",uitkomst_doelgroep[Uitgangssituatie/effect beleid],uitkomst_tech[[#This Row],[Uitgangssituatie/effect beleid]])</f>
        <v>129948.38822437864</v>
      </c>
      <c r="G327" s="398">
        <f>SUMIFS(uitkomst_doelgroep[Arbeidsbesparing (€)],uitkomst_doelgroep[Digitale zorgtoepassing],B327,uitkomst_doelgroep[Jaar],D327,uitkomst_doelgroep[Arbeidsbesparing (€)],"&gt;0",uitkomst_doelgroep[Uitgangssituatie/effect beleid],uitkomst_tech[[#This Row],[Uitgangssituatie/effect beleid]])</f>
        <v>153076520.64590207</v>
      </c>
      <c r="H327" s="398">
        <f>SUMIFS(uitkomst_doelgroep[Arbeidsbesparing (FTE)],uitkomst_doelgroep[Digitale zorgtoepassing],B327,uitkomst_doelgroep[Jaar],D327,uitkomst_doelgroep[Arbeidsbesparing (FTE)],"&gt;0",uitkomst_doelgroep[Uitgangssituatie/effect beleid],uitkomst_tech[[#This Row],[Uitgangssituatie/effect beleid]])</f>
        <v>3605.6933669003774</v>
      </c>
      <c r="I327" s="398">
        <f>SUMIFS(uitkomst_doelgroep[Overige besparingen (€)],uitkomst_doelgroep[Digitale zorgtoepassing],B327,uitkomst_doelgroep[Jaar],D327,uitkomst_doelgroep[Overige besparingen (€)],"&gt;0",uitkomst_doelgroep[Uitgangssituatie/effect beleid],uitkomst_tech[[#This Row],[Uitgangssituatie/effect beleid]])</f>
        <v>159540.82616602024</v>
      </c>
      <c r="J327" s="398">
        <f>SUMIFS(uitkomst_doelgroep[QALY (€)],uitkomst_doelgroep[Digitale zorgtoepassing],B327,uitkomst_doelgroep[Jaar],D327,uitkomst_doelgroep[QALY (€)],"&gt;0",uitkomst_doelgroep[Uitgangssituatie/effect beleid],uitkomst_tech[[#This Row],[Uitgangssituatie/effect beleid]])</f>
        <v>0</v>
      </c>
      <c r="K327" s="398">
        <f>SUMIFS(uitkomst_doelgroep[Kosten (€)],uitkomst_doelgroep[Digitale zorgtoepassing],B327,uitkomst_doelgroep[Jaar],D327,uitkomst_doelgroep[Kosten (€)],"&gt;0",uitkomst_doelgroep[Uitgangssituatie/effect beleid],uitkomst_tech[[#This Row],[Uitgangssituatie/effect beleid]])</f>
        <v>3118761.3173850868</v>
      </c>
      <c r="L327" s="398">
        <f>SUMIFS(uitkomst_doelgroep[Investering (cash flow) (€)],uitkomst_doelgroep[Digitale zorgtoepassing],B327,uitkomst_doelgroep[Jaar],D327,uitkomst_doelgroep[Investering (cash flow) (€)],"&gt;0",uitkomst_doelgroep[Uitgangssituatie/effect beleid],uitkomst_tech[[#This Row],[Uitgangssituatie/effect beleid]])</f>
        <v>0</v>
      </c>
    </row>
    <row r="328" spans="1:12" x14ac:dyDescent="0.5">
      <c r="A328" s="42" t="str">
        <f>INDEX(Technologieën[Veld],MATCH(B328,Technologieën[Digitale zorgtoepassing],0))</f>
        <v>Software - Behandeling</v>
      </c>
      <c r="B328" s="33" t="s">
        <v>101</v>
      </c>
      <c r="C328" s="33" t="s">
        <v>812</v>
      </c>
      <c r="D328" s="33">
        <v>2029</v>
      </c>
      <c r="E328" s="2">
        <v>214</v>
      </c>
      <c r="F328" s="397">
        <f>SUMIFS(uitkomst_doelgroep[Patiëntaantallen],uitkomst_doelgroep[Digitale zorgtoepassing],B328,uitkomst_doelgroep[Jaar],D328,uitkomst_doelgroep[Arbeidsbesparing (€)],"&gt;0",uitkomst_doelgroep[Uitgangssituatie/effect beleid],uitkomst_tech[[#This Row],[Uitgangssituatie/effect beleid]])</f>
        <v>148538.69180419378</v>
      </c>
      <c r="G328" s="398">
        <f>SUMIFS(uitkomst_doelgroep[Arbeidsbesparing (€)],uitkomst_doelgroep[Digitale zorgtoepassing],B328,uitkomst_doelgroep[Jaar],D328,uitkomst_doelgroep[Arbeidsbesparing (€)],"&gt;0",uitkomst_doelgroep[Uitgangssituatie/effect beleid],uitkomst_tech[[#This Row],[Uitgangssituatie/effect beleid]])</f>
        <v>174975514.76682562</v>
      </c>
      <c r="H328" s="398">
        <f>SUMIFS(uitkomst_doelgroep[Arbeidsbesparing (FTE)],uitkomst_doelgroep[Digitale zorgtoepassing],B328,uitkomst_doelgroep[Jaar],D328,uitkomst_doelgroep[Arbeidsbesparing (FTE)],"&gt;0",uitkomst_doelgroep[Uitgangssituatie/effect beleid],uitkomst_tech[[#This Row],[Uitgangssituatie/effect beleid]])</f>
        <v>4121.5207289963437</v>
      </c>
      <c r="I328" s="398">
        <f>SUMIFS(uitkomst_doelgroep[Overige besparingen (€)],uitkomst_doelgroep[Digitale zorgtoepassing],B328,uitkomst_doelgroep[Jaar],D328,uitkomst_doelgroep[Overige besparingen (€)],"&gt;0",uitkomst_doelgroep[Uitgangssituatie/effect beleid],uitkomst_tech[[#This Row],[Uitgangssituatie/effect beleid]])</f>
        <v>182364.59822142785</v>
      </c>
      <c r="J328" s="398">
        <f>SUMIFS(uitkomst_doelgroep[QALY (€)],uitkomst_doelgroep[Digitale zorgtoepassing],B328,uitkomst_doelgroep[Jaar],D328,uitkomst_doelgroep[QALY (€)],"&gt;0",uitkomst_doelgroep[Uitgangssituatie/effect beleid],uitkomst_tech[[#This Row],[Uitgangssituatie/effect beleid]])</f>
        <v>0</v>
      </c>
      <c r="K328" s="398">
        <f>SUMIFS(uitkomst_doelgroep[Kosten (€)],uitkomst_doelgroep[Digitale zorgtoepassing],B328,uitkomst_doelgroep[Jaar],D328,uitkomst_doelgroep[Kosten (€)],"&gt;0",uitkomst_doelgroep[Uitgangssituatie/effect beleid],uitkomst_tech[[#This Row],[Uitgangssituatie/effect beleid]])</f>
        <v>3564928.6033006501</v>
      </c>
      <c r="L328" s="398">
        <f>SUMIFS(uitkomst_doelgroep[Investering (cash flow) (€)],uitkomst_doelgroep[Digitale zorgtoepassing],B328,uitkomst_doelgroep[Jaar],D328,uitkomst_doelgroep[Investering (cash flow) (€)],"&gt;0",uitkomst_doelgroep[Uitgangssituatie/effect beleid],uitkomst_tech[[#This Row],[Uitgangssituatie/effect beleid]])</f>
        <v>0</v>
      </c>
    </row>
    <row r="329" spans="1:12" x14ac:dyDescent="0.5">
      <c r="A329" s="42" t="str">
        <f>INDEX(Technologieën[Veld],MATCH(B329,Technologieën[Digitale zorgtoepassing],0))</f>
        <v>Software - Behandeling</v>
      </c>
      <c r="B329" s="33" t="s">
        <v>101</v>
      </c>
      <c r="C329" s="33" t="s">
        <v>812</v>
      </c>
      <c r="D329" s="33">
        <v>2030</v>
      </c>
      <c r="E329" s="2">
        <v>246</v>
      </c>
      <c r="F329" s="397">
        <f>SUMIFS(uitkomst_doelgroep[Patiëntaantallen],uitkomst_doelgroep[Digitale zorgtoepassing],B329,uitkomst_doelgroep[Jaar],D329,uitkomst_doelgroep[Arbeidsbesparing (€)],"&gt;0",uitkomst_doelgroep[Uitgangssituatie/effect beleid],uitkomst_tech[[#This Row],[Uitgangssituatie/effect beleid]])</f>
        <v>165942.16065507126</v>
      </c>
      <c r="G329" s="398">
        <f>SUMIFS(uitkomst_doelgroep[Arbeidsbesparing (€)],uitkomst_doelgroep[Digitale zorgtoepassing],B329,uitkomst_doelgroep[Jaar],D329,uitkomst_doelgroep[Arbeidsbesparing (€)],"&gt;0",uitkomst_doelgroep[Uitgangssituatie/effect beleid],uitkomst_tech[[#This Row],[Uitgangssituatie/effect beleid]])</f>
        <v>195476442.06006524</v>
      </c>
      <c r="H329" s="398">
        <f>SUMIFS(uitkomst_doelgroep[Arbeidsbesparing (FTE)],uitkomst_doelgroep[Digitale zorgtoepassing],B329,uitkomst_doelgroep[Jaar],D329,uitkomst_doelgroep[Arbeidsbesparing (FTE)],"&gt;0",uitkomst_doelgroep[Uitgangssituatie/effect beleid],uitkomst_tech[[#This Row],[Uitgangssituatie/effect beleid]])</f>
        <v>4604.4168468636526</v>
      </c>
      <c r="I329" s="398">
        <f>SUMIFS(uitkomst_doelgroep[Overige besparingen (€)],uitkomst_doelgroep[Digitale zorgtoepassing],B329,uitkomst_doelgroep[Jaar],D329,uitkomst_doelgroep[Overige besparingen (€)],"&gt;0",uitkomst_doelgroep[Uitgangssituatie/effect beleid],uitkomst_tech[[#This Row],[Uitgangssituatie/effect beleid]])</f>
        <v>203731.26414597454</v>
      </c>
      <c r="J329" s="398">
        <f>SUMIFS(uitkomst_doelgroep[QALY (€)],uitkomst_doelgroep[Digitale zorgtoepassing],B329,uitkomst_doelgroep[Jaar],D329,uitkomst_doelgroep[QALY (€)],"&gt;0",uitkomst_doelgroep[Uitgangssituatie/effect beleid],uitkomst_tech[[#This Row],[Uitgangssituatie/effect beleid]])</f>
        <v>0</v>
      </c>
      <c r="K329" s="398">
        <f>SUMIFS(uitkomst_doelgroep[Kosten (€)],uitkomst_doelgroep[Digitale zorgtoepassing],B329,uitkomst_doelgroep[Jaar],D329,uitkomst_doelgroep[Kosten (€)],"&gt;0",uitkomst_doelgroep[Uitgangssituatie/effect beleid],uitkomst_tech[[#This Row],[Uitgangssituatie/effect beleid]])</f>
        <v>3982611.8557217102</v>
      </c>
      <c r="L329" s="398">
        <f>SUMIFS(uitkomst_doelgroep[Investering (cash flow) (€)],uitkomst_doelgroep[Digitale zorgtoepassing],B329,uitkomst_doelgroep[Jaar],D329,uitkomst_doelgroep[Investering (cash flow) (€)],"&gt;0",uitkomst_doelgroep[Uitgangssituatie/effect beleid],uitkomst_tech[[#This Row],[Uitgangssituatie/effect beleid]])</f>
        <v>0</v>
      </c>
    </row>
    <row r="330" spans="1:12" x14ac:dyDescent="0.5">
      <c r="A330" s="42" t="str">
        <f>INDEX(Technologieën[Veld],MATCH(B330,Technologieën[Digitale zorgtoepassing],0))</f>
        <v>Software - Behandeling</v>
      </c>
      <c r="B330" s="33" t="s">
        <v>101</v>
      </c>
      <c r="C330" s="33" t="s">
        <v>812</v>
      </c>
      <c r="D330" s="33">
        <v>2031</v>
      </c>
      <c r="E330" s="2">
        <v>278</v>
      </c>
      <c r="F330" s="397">
        <f>SUMIFS(uitkomst_doelgroep[Patiëntaantallen],uitkomst_doelgroep[Digitale zorgtoepassing],B330,uitkomst_doelgroep[Jaar],D330,uitkomst_doelgroep[Arbeidsbesparing (€)],"&gt;0",uitkomst_doelgroep[Uitgangssituatie/effect beleid],uitkomst_tech[[#This Row],[Uitgangssituatie/effect beleid]])</f>
        <v>181438.64858942784</v>
      </c>
      <c r="G330" s="398">
        <f>SUMIFS(uitkomst_doelgroep[Arbeidsbesparing (€)],uitkomst_doelgroep[Digitale zorgtoepassing],B330,uitkomst_doelgroep[Jaar],D330,uitkomst_doelgroep[Arbeidsbesparing (€)],"&gt;0",uitkomst_doelgroep[Uitgangssituatie/effect beleid],uitkomst_tech[[#This Row],[Uitgangssituatie/effect beleid]])</f>
        <v>213730985.17241672</v>
      </c>
      <c r="H330" s="398">
        <f>SUMIFS(uitkomst_doelgroep[Arbeidsbesparing (FTE)],uitkomst_doelgroep[Digitale zorgtoepassing],B330,uitkomst_doelgroep[Jaar],D330,uitkomst_doelgroep[Arbeidsbesparing (FTE)],"&gt;0",uitkomst_doelgroep[Uitgangssituatie/effect beleid],uitkomst_tech[[#This Row],[Uitgangssituatie/effect beleid]])</f>
        <v>5034.3997386766878</v>
      </c>
      <c r="I330" s="398">
        <f>SUMIFS(uitkomst_doelgroep[Overige besparingen (€)],uitkomst_doelgroep[Digitale zorgtoepassing],B330,uitkomst_doelgroep[Jaar],D330,uitkomst_doelgroep[Overige besparingen (€)],"&gt;0",uitkomst_doelgroep[Uitgangssituatie/effect beleid],uitkomst_tech[[#This Row],[Uitgangssituatie/effect beleid]])</f>
        <v>222756.68278718242</v>
      </c>
      <c r="J330" s="398">
        <f>SUMIFS(uitkomst_doelgroep[QALY (€)],uitkomst_doelgroep[Digitale zorgtoepassing],B330,uitkomst_doelgroep[Jaar],D330,uitkomst_doelgroep[QALY (€)],"&gt;0",uitkomst_doelgroep[Uitgangssituatie/effect beleid],uitkomst_tech[[#This Row],[Uitgangssituatie/effect beleid]])</f>
        <v>0</v>
      </c>
      <c r="K330" s="398">
        <f>SUMIFS(uitkomst_doelgroep[Kosten (€)],uitkomst_doelgroep[Digitale zorgtoepassing],B330,uitkomst_doelgroep[Jaar],D330,uitkomst_doelgroep[Kosten (€)],"&gt;0",uitkomst_doelgroep[Uitgangssituatie/effect beleid],uitkomst_tech[[#This Row],[Uitgangssituatie/effect beleid]])</f>
        <v>4354527.5661462676</v>
      </c>
      <c r="L330" s="398">
        <f>SUMIFS(uitkomst_doelgroep[Investering (cash flow) (€)],uitkomst_doelgroep[Digitale zorgtoepassing],B330,uitkomst_doelgroep[Jaar],D330,uitkomst_doelgroep[Investering (cash flow) (€)],"&gt;0",uitkomst_doelgroep[Uitgangssituatie/effect beleid],uitkomst_tech[[#This Row],[Uitgangssituatie/effect beleid]])</f>
        <v>0</v>
      </c>
    </row>
    <row r="331" spans="1:12" x14ac:dyDescent="0.5">
      <c r="A331" s="42" t="str">
        <f>INDEX(Technologieën[Veld],MATCH(B331,Technologieën[Digitale zorgtoepassing],0))</f>
        <v>Software - Behandeling</v>
      </c>
      <c r="B331" s="33" t="s">
        <v>101</v>
      </c>
      <c r="C331" s="33" t="s">
        <v>812</v>
      </c>
      <c r="D331" s="33">
        <v>2032</v>
      </c>
      <c r="E331" s="2">
        <v>310</v>
      </c>
      <c r="F331" s="397">
        <f>SUMIFS(uitkomst_doelgroep[Patiëntaantallen],uitkomst_doelgroep[Digitale zorgtoepassing],B331,uitkomst_doelgroep[Jaar],D331,uitkomst_doelgroep[Arbeidsbesparing (€)],"&gt;0",uitkomst_doelgroep[Uitgangssituatie/effect beleid],uitkomst_tech[[#This Row],[Uitgangssituatie/effect beleid]])</f>
        <v>194589.32525381021</v>
      </c>
      <c r="G331" s="398">
        <f>SUMIFS(uitkomst_doelgroep[Arbeidsbesparing (€)],uitkomst_doelgroep[Digitale zorgtoepassing],B331,uitkomst_doelgroep[Jaar],D331,uitkomst_doelgroep[Arbeidsbesparing (€)],"&gt;0",uitkomst_doelgroep[Uitgangssituatie/effect beleid],uitkomst_tech[[#This Row],[Uitgangssituatie/effect beleid]])</f>
        <v>229222211.00006619</v>
      </c>
      <c r="H331" s="398">
        <f>SUMIFS(uitkomst_doelgroep[Arbeidsbesparing (FTE)],uitkomst_doelgroep[Digitale zorgtoepassing],B331,uitkomst_doelgroep[Jaar],D331,uitkomst_doelgroep[Arbeidsbesparing (FTE)],"&gt;0",uitkomst_doelgroep[Uitgangssituatie/effect beleid],uitkomst_tech[[#This Row],[Uitgangssituatie/effect beleid]])</f>
        <v>5399.2931264818581</v>
      </c>
      <c r="I331" s="398">
        <f>SUMIFS(uitkomst_doelgroep[Overige besparingen (€)],uitkomst_doelgroep[Digitale zorgtoepassing],B331,uitkomst_doelgroep[Jaar],D331,uitkomst_doelgroep[Overige besparingen (€)],"&gt;0",uitkomst_doelgroep[Uitgangssituatie/effect beleid],uitkomst_tech[[#This Row],[Uitgangssituatie/effect beleid]])</f>
        <v>238902.09134781099</v>
      </c>
      <c r="J331" s="398">
        <f>SUMIFS(uitkomst_doelgroep[QALY (€)],uitkomst_doelgroep[Digitale zorgtoepassing],B331,uitkomst_doelgroep[Jaar],D331,uitkomst_doelgroep[QALY (€)],"&gt;0",uitkomst_doelgroep[Uitgangssituatie/effect beleid],uitkomst_tech[[#This Row],[Uitgangssituatie/effect beleid]])</f>
        <v>0</v>
      </c>
      <c r="K331" s="398">
        <f>SUMIFS(uitkomst_doelgroep[Kosten (€)],uitkomst_doelgroep[Digitale zorgtoepassing],B331,uitkomst_doelgroep[Jaar],D331,uitkomst_doelgroep[Kosten (€)],"&gt;0",uitkomst_doelgroep[Uitgangssituatie/effect beleid],uitkomst_tech[[#This Row],[Uitgangssituatie/effect beleid]])</f>
        <v>4670143.8060914446</v>
      </c>
      <c r="L331" s="398">
        <f>SUMIFS(uitkomst_doelgroep[Investering (cash flow) (€)],uitkomst_doelgroep[Digitale zorgtoepassing],B331,uitkomst_doelgroep[Jaar],D331,uitkomst_doelgroep[Investering (cash flow) (€)],"&gt;0",uitkomst_doelgroep[Uitgangssituatie/effect beleid],uitkomst_tech[[#This Row],[Uitgangssituatie/effect beleid]])</f>
        <v>0</v>
      </c>
    </row>
    <row r="332" spans="1:12" x14ac:dyDescent="0.5">
      <c r="A332" s="42" t="str">
        <f>INDEX(Technologieën[Veld],MATCH(B332,Technologieën[Digitale zorgtoepassing],0))</f>
        <v>Software - Behandeling</v>
      </c>
      <c r="B332" s="33" t="s">
        <v>101</v>
      </c>
      <c r="C332" s="33" t="s">
        <v>812</v>
      </c>
      <c r="D332" s="33">
        <v>2033</v>
      </c>
      <c r="E332" s="2">
        <v>342</v>
      </c>
      <c r="F332" s="397">
        <f>SUMIFS(uitkomst_doelgroep[Patiëntaantallen],uitkomst_doelgroep[Digitale zorgtoepassing],B332,uitkomst_doelgroep[Jaar],D332,uitkomst_doelgroep[Arbeidsbesparing (€)],"&gt;0",uitkomst_doelgroep[Uitgangssituatie/effect beleid],uitkomst_tech[[#This Row],[Uitgangssituatie/effect beleid]])</f>
        <v>205270.62532822386</v>
      </c>
      <c r="G332" s="398">
        <f>SUMIFS(uitkomst_doelgroep[Arbeidsbesparing (€)],uitkomst_doelgroep[Digitale zorgtoepassing],B332,uitkomst_doelgroep[Jaar],D332,uitkomst_doelgroep[Arbeidsbesparing (€)],"&gt;0",uitkomst_doelgroep[Uitgangssituatie/effect beleid],uitkomst_tech[[#This Row],[Uitgangssituatie/effect beleid]])</f>
        <v>241804562.14506724</v>
      </c>
      <c r="H332" s="398">
        <f>SUMIFS(uitkomst_doelgroep[Arbeidsbesparing (FTE)],uitkomst_doelgroep[Digitale zorgtoepassing],B332,uitkomst_doelgroep[Jaar],D332,uitkomst_doelgroep[Arbeidsbesparing (FTE)],"&gt;0",uitkomst_doelgroep[Uitgangssituatie/effect beleid],uitkomst_tech[[#This Row],[Uitgangssituatie/effect beleid]])</f>
        <v>5695.6684286647951</v>
      </c>
      <c r="I332" s="398">
        <f>SUMIFS(uitkomst_doelgroep[Overige besparingen (€)],uitkomst_doelgroep[Digitale zorgtoepassing],B332,uitkomst_doelgroep[Jaar],D332,uitkomst_doelgroep[Overige besparingen (€)],"&gt;0",uitkomst_doelgroep[Uitgangssituatie/effect beleid],uitkomst_tech[[#This Row],[Uitgangssituatie/effect beleid]])</f>
        <v>252015.78565125007</v>
      </c>
      <c r="J332" s="398">
        <f>SUMIFS(uitkomst_doelgroep[QALY (€)],uitkomst_doelgroep[Digitale zorgtoepassing],B332,uitkomst_doelgroep[Jaar],D332,uitkomst_doelgroep[QALY (€)],"&gt;0",uitkomst_doelgroep[Uitgangssituatie/effect beleid],uitkomst_tech[[#This Row],[Uitgangssituatie/effect beleid]])</f>
        <v>0</v>
      </c>
      <c r="K332" s="398">
        <f>SUMIFS(uitkomst_doelgroep[Kosten (€)],uitkomst_doelgroep[Digitale zorgtoepassing],B332,uitkomst_doelgroep[Jaar],D332,uitkomst_doelgroep[Kosten (€)],"&gt;0",uitkomst_doelgroep[Uitgangssituatie/effect beleid],uitkomst_tech[[#This Row],[Uitgangssituatie/effect beleid]])</f>
        <v>4926495.0078773722</v>
      </c>
      <c r="L332" s="398">
        <f>SUMIFS(uitkomst_doelgroep[Investering (cash flow) (€)],uitkomst_doelgroep[Digitale zorgtoepassing],B332,uitkomst_doelgroep[Jaar],D332,uitkomst_doelgroep[Investering (cash flow) (€)],"&gt;0",uitkomst_doelgroep[Uitgangssituatie/effect beleid],uitkomst_tech[[#This Row],[Uitgangssituatie/effect beleid]])</f>
        <v>0</v>
      </c>
    </row>
    <row r="333" spans="1:12" x14ac:dyDescent="0.5">
      <c r="A333" s="42" t="str">
        <f>INDEX(Technologieën[Veld],MATCH(B333,Technologieën[Digitale zorgtoepassing],0))</f>
        <v>Digitale hulpmiddelen - Verpleging</v>
      </c>
      <c r="B333" s="33" t="s">
        <v>48</v>
      </c>
      <c r="C333" s="33" t="s">
        <v>812</v>
      </c>
      <c r="D333" s="33">
        <v>2023</v>
      </c>
      <c r="E333" s="2">
        <v>9</v>
      </c>
      <c r="F333" s="397">
        <f>SUMIFS(uitkomst_doelgroep[Patiëntaantallen],uitkomst_doelgroep[Digitale zorgtoepassing],B333,uitkomst_doelgroep[Jaar],D333,uitkomst_doelgroep[Arbeidsbesparing (€)],"&gt;0",uitkomst_doelgroep[Uitgangssituatie/effect beleid],uitkomst_tech[[#This Row],[Uitgangssituatie/effect beleid]])</f>
        <v>19200</v>
      </c>
      <c r="G333" s="398">
        <f>SUMIFS(uitkomst_doelgroep[Arbeidsbesparing (€)],uitkomst_doelgroep[Digitale zorgtoepassing],B333,uitkomst_doelgroep[Jaar],D333,uitkomst_doelgroep[Arbeidsbesparing (€)],"&gt;0",uitkomst_doelgroep[Uitgangssituatie/effect beleid],uitkomst_tech[[#This Row],[Uitgangssituatie/effect beleid]])</f>
        <v>32095310.896551728</v>
      </c>
      <c r="H333" s="398">
        <f>SUMIFS(uitkomst_doelgroep[Arbeidsbesparing (FTE)],uitkomst_doelgroep[Digitale zorgtoepassing],B333,uitkomst_doelgroep[Jaar],D333,uitkomst_doelgroep[Arbeidsbesparing (FTE)],"&gt;0",uitkomst_doelgroep[Uitgangssituatie/effect beleid],uitkomst_tech[[#This Row],[Uitgangssituatie/effect beleid]])</f>
        <v>756</v>
      </c>
      <c r="I333" s="398">
        <f>SUMIFS(uitkomst_doelgroep[Overige besparingen (€)],uitkomst_doelgroep[Digitale zorgtoepassing],B333,uitkomst_doelgroep[Jaar],D333,uitkomst_doelgroep[Overige besparingen (€)],"&gt;0",uitkomst_doelgroep[Uitgangssituatie/effect beleid],uitkomst_tech[[#This Row],[Uitgangssituatie/effect beleid]])</f>
        <v>4472297.4200113062</v>
      </c>
      <c r="J333" s="398">
        <f>SUMIFS(uitkomst_doelgroep[QALY (€)],uitkomst_doelgroep[Digitale zorgtoepassing],B333,uitkomst_doelgroep[Jaar],D333,uitkomst_doelgroep[QALY (€)],"&gt;0",uitkomst_doelgroep[Uitgangssituatie/effect beleid],uitkomst_tech[[#This Row],[Uitgangssituatie/effect beleid]])</f>
        <v>0</v>
      </c>
      <c r="K333" s="398">
        <f>SUMIFS(uitkomst_doelgroep[Kosten (€)],uitkomst_doelgroep[Digitale zorgtoepassing],B333,uitkomst_doelgroep[Jaar],D333,uitkomst_doelgroep[Kosten (€)],"&gt;0",uitkomst_doelgroep[Uitgangssituatie/effect beleid],uitkomst_tech[[#This Row],[Uitgangssituatie/effect beleid]])</f>
        <v>0</v>
      </c>
      <c r="L333" s="398">
        <f>SUMIFS(uitkomst_doelgroep[Investering (cash flow) (€)],uitkomst_doelgroep[Digitale zorgtoepassing],B333,uitkomst_doelgroep[Jaar],D333,uitkomst_doelgroep[Investering (cash flow) (€)],"&gt;0",uitkomst_doelgroep[Uitgangssituatie/effect beleid],uitkomst_tech[[#This Row],[Uitgangssituatie/effect beleid]])</f>
        <v>7904640.0000000019</v>
      </c>
    </row>
    <row r="334" spans="1:12" x14ac:dyDescent="0.5">
      <c r="A334" s="42" t="str">
        <f>INDEX(Technologieën[Veld],MATCH(B334,Technologieën[Digitale zorgtoepassing],0))</f>
        <v>Digitale hulpmiddelen - Verpleging</v>
      </c>
      <c r="B334" s="33" t="s">
        <v>48</v>
      </c>
      <c r="C334" s="33" t="s">
        <v>812</v>
      </c>
      <c r="D334" s="33">
        <v>2024</v>
      </c>
      <c r="E334" s="2">
        <v>41</v>
      </c>
      <c r="F334" s="397">
        <f>SUMIFS(uitkomst_doelgroep[Patiëntaantallen],uitkomst_doelgroep[Digitale zorgtoepassing],B334,uitkomst_doelgroep[Jaar],D334,uitkomst_doelgroep[Arbeidsbesparing (€)],"&gt;0",uitkomst_doelgroep[Uitgangssituatie/effect beleid],uitkomst_tech[[#This Row],[Uitgangssituatie/effect beleid]])</f>
        <v>28032.000000000004</v>
      </c>
      <c r="G334" s="398">
        <f>SUMIFS(uitkomst_doelgroep[Arbeidsbesparing (€)],uitkomst_doelgroep[Digitale zorgtoepassing],B334,uitkomst_doelgroep[Jaar],D334,uitkomst_doelgroep[Arbeidsbesparing (€)],"&gt;0",uitkomst_doelgroep[Uitgangssituatie/effect beleid],uitkomst_tech[[#This Row],[Uitgangssituatie/effect beleid]])</f>
        <v>46859153.908965528</v>
      </c>
      <c r="H334" s="398">
        <f>SUMIFS(uitkomst_doelgroep[Arbeidsbesparing (FTE)],uitkomst_doelgroep[Digitale zorgtoepassing],B334,uitkomst_doelgroep[Jaar],D334,uitkomst_doelgroep[Arbeidsbesparing (FTE)],"&gt;0",uitkomst_doelgroep[Uitgangssituatie/effect beleid],uitkomst_tech[[#This Row],[Uitgangssituatie/effect beleid]])</f>
        <v>1103.7600000000002</v>
      </c>
      <c r="I334" s="398">
        <f>SUMIFS(uitkomst_doelgroep[Overige besparingen (€)],uitkomst_doelgroep[Digitale zorgtoepassing],B334,uitkomst_doelgroep[Jaar],D334,uitkomst_doelgroep[Overige besparingen (€)],"&gt;0",uitkomst_doelgroep[Uitgangssituatie/effect beleid],uitkomst_tech[[#This Row],[Uitgangssituatie/effect beleid]])</f>
        <v>6529554.2332165074</v>
      </c>
      <c r="J334" s="398">
        <f>SUMIFS(uitkomst_doelgroep[QALY (€)],uitkomst_doelgroep[Digitale zorgtoepassing],B334,uitkomst_doelgroep[Jaar],D334,uitkomst_doelgroep[QALY (€)],"&gt;0",uitkomst_doelgroep[Uitgangssituatie/effect beleid],uitkomst_tech[[#This Row],[Uitgangssituatie/effect beleid]])</f>
        <v>0</v>
      </c>
      <c r="K334" s="398">
        <f>SUMIFS(uitkomst_doelgroep[Kosten (€)],uitkomst_doelgroep[Digitale zorgtoepassing],B334,uitkomst_doelgroep[Jaar],D334,uitkomst_doelgroep[Kosten (€)],"&gt;0",uitkomst_doelgroep[Uitgangssituatie/effect beleid],uitkomst_tech[[#This Row],[Uitgangssituatie/effect beleid]])</f>
        <v>0</v>
      </c>
      <c r="L334" s="398">
        <f>SUMIFS(uitkomst_doelgroep[Investering (cash flow) (€)],uitkomst_doelgroep[Digitale zorgtoepassing],B334,uitkomst_doelgroep[Jaar],D334,uitkomst_doelgroep[Investering (cash flow) (€)],"&gt;0",uitkomst_doelgroep[Uitgangssituatie/effect beleid],uitkomst_tech[[#This Row],[Uitgangssituatie/effect beleid]])</f>
        <v>9514024.7040000018</v>
      </c>
    </row>
    <row r="335" spans="1:12" x14ac:dyDescent="0.5">
      <c r="A335" s="42" t="str">
        <f>INDEX(Technologieën[Veld],MATCH(B335,Technologieën[Digitale zorgtoepassing],0))</f>
        <v>Digitale hulpmiddelen - Verpleging</v>
      </c>
      <c r="B335" s="33" t="s">
        <v>48</v>
      </c>
      <c r="C335" s="33" t="s">
        <v>812</v>
      </c>
      <c r="D335" s="33">
        <v>2025</v>
      </c>
      <c r="E335" s="2">
        <v>73</v>
      </c>
      <c r="F335" s="397">
        <f>SUMIFS(uitkomst_doelgroep[Patiëntaantallen],uitkomst_doelgroep[Digitale zorgtoepassing],B335,uitkomst_doelgroep[Jaar],D335,uitkomst_doelgroep[Arbeidsbesparing (€)],"&gt;0",uitkomst_doelgroep[Uitgangssituatie/effect beleid],uitkomst_tech[[#This Row],[Uitgangssituatie/effect beleid]])</f>
        <v>38662.195200000009</v>
      </c>
      <c r="G335" s="398">
        <f>SUMIFS(uitkomst_doelgroep[Arbeidsbesparing (€)],uitkomst_doelgroep[Digitale zorgtoepassing],B335,uitkomst_doelgroep[Jaar],D335,uitkomst_doelgroep[Arbeidsbesparing (€)],"&gt;0",uitkomst_doelgroep[Uitgangssituatie/effect beleid],uitkomst_tech[[#This Row],[Uitgangssituatie/effect beleid]])</f>
        <v>64628915.35870678</v>
      </c>
      <c r="H335" s="398">
        <f>SUMIFS(uitkomst_doelgroep[Arbeidsbesparing (FTE)],uitkomst_doelgroep[Digitale zorgtoepassing],B335,uitkomst_doelgroep[Jaar],D335,uitkomst_doelgroep[Arbeidsbesparing (FTE)],"&gt;0",uitkomst_doelgroep[Uitgangssituatie/effect beleid],uitkomst_tech[[#This Row],[Uitgangssituatie/effect beleid]])</f>
        <v>1522.3239360000002</v>
      </c>
      <c r="I335" s="398">
        <f>SUMIFS(uitkomst_doelgroep[Overige besparingen (€)],uitkomst_doelgroep[Digitale zorgtoepassing],B335,uitkomst_doelgroep[Jaar],D335,uitkomst_doelgroep[Overige besparingen (€)],"&gt;0",uitkomst_doelgroep[Uitgangssituatie/effect beleid],uitkomst_tech[[#This Row],[Uitgangssituatie/effect beleid]])</f>
        <v>9005668.533590287</v>
      </c>
      <c r="J335" s="398">
        <f>SUMIFS(uitkomst_doelgroep[QALY (€)],uitkomst_doelgroep[Digitale zorgtoepassing],B335,uitkomst_doelgroep[Jaar],D335,uitkomst_doelgroep[QALY (€)],"&gt;0",uitkomst_doelgroep[Uitgangssituatie/effect beleid],uitkomst_tech[[#This Row],[Uitgangssituatie/effect beleid]])</f>
        <v>0</v>
      </c>
      <c r="K335" s="398">
        <f>SUMIFS(uitkomst_doelgroep[Kosten (€)],uitkomst_doelgroep[Digitale zorgtoepassing],B335,uitkomst_doelgroep[Jaar],D335,uitkomst_doelgroep[Kosten (€)],"&gt;0",uitkomst_doelgroep[Uitgangssituatie/effect beleid],uitkomst_tech[[#This Row],[Uitgangssituatie/effect beleid]])</f>
        <v>0</v>
      </c>
      <c r="L335" s="398">
        <f>SUMIFS(uitkomst_doelgroep[Investering (cash flow) (€)],uitkomst_doelgroep[Digitale zorgtoepassing],B335,uitkomst_doelgroep[Jaar],D335,uitkomst_doelgroep[Investering (cash flow) (€)],"&gt;0",uitkomst_doelgroep[Uitgangssituatie/effect beleid],uitkomst_tech[[#This Row],[Uitgangssituatie/effect beleid]])</f>
        <v>10583124.793452194</v>
      </c>
    </row>
    <row r="336" spans="1:12" x14ac:dyDescent="0.5">
      <c r="A336" s="42" t="str">
        <f>INDEX(Technologieën[Veld],MATCH(B336,Technologieën[Digitale zorgtoepassing],0))</f>
        <v>Digitale hulpmiddelen - Verpleging</v>
      </c>
      <c r="B336" s="33" t="s">
        <v>48</v>
      </c>
      <c r="C336" s="33" t="s">
        <v>812</v>
      </c>
      <c r="D336" s="33">
        <v>2026</v>
      </c>
      <c r="E336" s="2">
        <v>105</v>
      </c>
      <c r="F336" s="397">
        <f>SUMIFS(uitkomst_doelgroep[Patiëntaantallen],uitkomst_doelgroep[Digitale zorgtoepassing],B336,uitkomst_doelgroep[Jaar],D336,uitkomst_doelgroep[Arbeidsbesparing (€)],"&gt;0",uitkomst_doelgroep[Uitgangssituatie/effect beleid],uitkomst_tech[[#This Row],[Uitgangssituatie/effect beleid]])</f>
        <v>50486.915639611398</v>
      </c>
      <c r="G336" s="398">
        <f>SUMIFS(uitkomst_doelgroep[Arbeidsbesparing (€)],uitkomst_doelgroep[Digitale zorgtoepassing],B336,uitkomst_doelgroep[Jaar],D336,uitkomst_doelgroep[Arbeidsbesparing (€)],"&gt;0",uitkomst_doelgroep[Uitgangssituatie/effect beleid],uitkomst_tech[[#This Row],[Uitgangssituatie/effect beleid]])</f>
        <v>84395481.961526439</v>
      </c>
      <c r="H336" s="398">
        <f>SUMIFS(uitkomst_doelgroep[Arbeidsbesparing (FTE)],uitkomst_doelgroep[Digitale zorgtoepassing],B336,uitkomst_doelgroep[Jaar],D336,uitkomst_doelgroep[Arbeidsbesparing (FTE)],"&gt;0",uitkomst_doelgroep[Uitgangssituatie/effect beleid],uitkomst_tech[[#This Row],[Uitgangssituatie/effect beleid]])</f>
        <v>1987.9223033096987</v>
      </c>
      <c r="I336" s="398">
        <f>SUMIFS(uitkomst_doelgroep[Overige besparingen (€)],uitkomst_doelgroep[Digitale zorgtoepassing],B336,uitkomst_doelgroep[Jaar],D336,uitkomst_doelgroep[Overige besparingen (€)],"&gt;0",uitkomst_doelgroep[Uitgangssituatie/effect beleid],uitkomst_tech[[#This Row],[Uitgangssituatie/effect beleid]])</f>
        <v>11760026.174966797</v>
      </c>
      <c r="J336" s="398">
        <f>SUMIFS(uitkomst_doelgroep[QALY (€)],uitkomst_doelgroep[Digitale zorgtoepassing],B336,uitkomst_doelgroep[Jaar],D336,uitkomst_doelgroep[QALY (€)],"&gt;0",uitkomst_doelgroep[Uitgangssituatie/effect beleid],uitkomst_tech[[#This Row],[Uitgangssituatie/effect beleid]])</f>
        <v>0</v>
      </c>
      <c r="K336" s="398">
        <f>SUMIFS(uitkomst_doelgroep[Kosten (€)],uitkomst_doelgroep[Digitale zorgtoepassing],B336,uitkomst_doelgroep[Jaar],D336,uitkomst_doelgroep[Kosten (€)],"&gt;0",uitkomst_doelgroep[Uitgangssituatie/effect beleid],uitkomst_tech[[#This Row],[Uitgangssituatie/effect beleid]])</f>
        <v>0</v>
      </c>
      <c r="L336" s="398">
        <f>SUMIFS(uitkomst_doelgroep[Investering (cash flow) (€)],uitkomst_doelgroep[Digitale zorgtoepassing],B336,uitkomst_doelgroep[Jaar],D336,uitkomst_doelgroep[Investering (cash flow) (€)],"&gt;0",uitkomst_doelgroep[Uitgangssituatie/effect beleid],uitkomst_tech[[#This Row],[Uitgangssituatie/effect beleid]])</f>
        <v>10658408.306102617</v>
      </c>
    </row>
    <row r="337" spans="1:12" x14ac:dyDescent="0.5">
      <c r="A337" s="42" t="str">
        <f>INDEX(Technologieën[Veld],MATCH(B337,Technologieën[Digitale zorgtoepassing],0))</f>
        <v>Digitale hulpmiddelen - Verpleging</v>
      </c>
      <c r="B337" s="33" t="s">
        <v>48</v>
      </c>
      <c r="C337" s="33" t="s">
        <v>812</v>
      </c>
      <c r="D337" s="33">
        <v>2027</v>
      </c>
      <c r="E337" s="2">
        <v>137</v>
      </c>
      <c r="F337" s="397">
        <f>SUMIFS(uitkomst_doelgroep[Patiëntaantallen],uitkomst_doelgroep[Digitale zorgtoepassing],B337,uitkomst_doelgroep[Jaar],D337,uitkomst_doelgroep[Arbeidsbesparing (€)],"&gt;0",uitkomst_doelgroep[Uitgangssituatie/effect beleid],uitkomst_tech[[#This Row],[Uitgangssituatie/effect beleid]])</f>
        <v>62395.751735815436</v>
      </c>
      <c r="G337" s="398">
        <f>SUMIFS(uitkomst_doelgroep[Arbeidsbesparing (€)],uitkomst_doelgroep[Digitale zorgtoepassing],B337,uitkomst_doelgroep[Jaar],D337,uitkomst_doelgroep[Arbeidsbesparing (€)],"&gt;0",uitkomst_doelgroep[Uitgangssituatie/effect beleid],uitkomst_tech[[#This Row],[Uitgangssituatie/effect beleid]])</f>
        <v>104302658.88463821</v>
      </c>
      <c r="H337" s="398">
        <f>SUMIFS(uitkomst_doelgroep[Arbeidsbesparing (FTE)],uitkomst_doelgroep[Digitale zorgtoepassing],B337,uitkomst_doelgroep[Jaar],D337,uitkomst_doelgroep[Arbeidsbesparing (FTE)],"&gt;0",uitkomst_doelgroep[Uitgangssituatie/effect beleid],uitkomst_tech[[#This Row],[Uitgangssituatie/effect beleid]])</f>
        <v>2456.832724597733</v>
      </c>
      <c r="I337" s="398">
        <f>SUMIFS(uitkomst_doelgroep[Overige besparingen (€)],uitkomst_doelgroep[Digitale zorgtoepassing],B337,uitkomst_doelgroep[Jaar],D337,uitkomst_doelgroep[Overige besparingen (€)],"&gt;0",uitkomst_doelgroep[Uitgangssituatie/effect beleid],uitkomst_tech[[#This Row],[Uitgangssituatie/effect beleid]])</f>
        <v>14533977.057695486</v>
      </c>
      <c r="J337" s="398">
        <f>SUMIFS(uitkomst_doelgroep[QALY (€)],uitkomst_doelgroep[Digitale zorgtoepassing],B337,uitkomst_doelgroep[Jaar],D337,uitkomst_doelgroep[QALY (€)],"&gt;0",uitkomst_doelgroep[Uitgangssituatie/effect beleid],uitkomst_tech[[#This Row],[Uitgangssituatie/effect beleid]])</f>
        <v>0</v>
      </c>
      <c r="K337" s="398">
        <f>SUMIFS(uitkomst_doelgroep[Kosten (€)],uitkomst_doelgroep[Digitale zorgtoepassing],B337,uitkomst_doelgroep[Jaar],D337,uitkomst_doelgroep[Kosten (€)],"&gt;0",uitkomst_doelgroep[Uitgangssituatie/effect beleid],uitkomst_tech[[#This Row],[Uitgangssituatie/effect beleid]])</f>
        <v>0</v>
      </c>
      <c r="L337" s="398">
        <f>SUMIFS(uitkomst_doelgroep[Investering (cash flow) (€)],uitkomst_doelgroep[Digitale zorgtoepassing],B337,uitkomst_doelgroep[Jaar],D337,uitkomst_doelgroep[Investering (cash flow) (€)],"&gt;0",uitkomst_doelgroep[Uitgangssituatie/effect beleid],uitkomst_tech[[#This Row],[Uitgangssituatie/effect beleid]])</f>
        <v>9548468.2757152859</v>
      </c>
    </row>
    <row r="338" spans="1:12" x14ac:dyDescent="0.5">
      <c r="A338" s="42" t="str">
        <f>INDEX(Technologieën[Veld],MATCH(B338,Technologieën[Digitale zorgtoepassing],0))</f>
        <v>Digitale hulpmiddelen - Verpleging</v>
      </c>
      <c r="B338" s="33" t="s">
        <v>48</v>
      </c>
      <c r="C338" s="33" t="s">
        <v>812</v>
      </c>
      <c r="D338" s="33">
        <v>2028</v>
      </c>
      <c r="E338" s="2">
        <v>169</v>
      </c>
      <c r="F338" s="397">
        <f>SUMIFS(uitkomst_doelgroep[Patiëntaantallen],uitkomst_doelgroep[Digitale zorgtoepassing],B338,uitkomst_doelgroep[Jaar],D338,uitkomst_doelgroep[Arbeidsbesparing (€)],"&gt;0",uitkomst_doelgroep[Uitgangssituatie/effect beleid],uitkomst_tech[[#This Row],[Uitgangssituatie/effect beleid]])</f>
        <v>73064.43137348615</v>
      </c>
      <c r="G338" s="398">
        <f>SUMIFS(uitkomst_doelgroep[Arbeidsbesparing (€)],uitkomst_doelgroep[Digitale zorgtoepassing],B338,uitkomst_doelgroep[Jaar],D338,uitkomst_doelgroep[Arbeidsbesparing (€)],"&gt;0",uitkomst_doelgroep[Uitgangssituatie/effect beleid],uitkomst_tech[[#This Row],[Uitgangssituatie/effect beleid]])</f>
        <v>122136752.10478155</v>
      </c>
      <c r="H338" s="398">
        <f>SUMIFS(uitkomst_doelgroep[Arbeidsbesparing (FTE)],uitkomst_doelgroep[Digitale zorgtoepassing],B338,uitkomst_doelgroep[Jaar],D338,uitkomst_doelgroep[Arbeidsbesparing (FTE)],"&gt;0",uitkomst_doelgroep[Uitgangssituatie/effect beleid],uitkomst_tech[[#This Row],[Uitgangssituatie/effect beleid]])</f>
        <v>2876.9119853310171</v>
      </c>
      <c r="I338" s="398">
        <f>SUMIFS(uitkomst_doelgroep[Overige besparingen (€)],uitkomst_doelgroep[Digitale zorgtoepassing],B338,uitkomst_doelgroep[Jaar],D338,uitkomst_doelgroep[Overige besparingen (€)],"&gt;0",uitkomst_doelgroep[Uitgangssituatie/effect beleid],uitkomst_tech[[#This Row],[Uitgangssituatie/effect beleid]])</f>
        <v>17019055.621158082</v>
      </c>
      <c r="J338" s="398">
        <f>SUMIFS(uitkomst_doelgroep[QALY (€)],uitkomst_doelgroep[Digitale zorgtoepassing],B338,uitkomst_doelgroep[Jaar],D338,uitkomst_doelgroep[QALY (€)],"&gt;0",uitkomst_doelgroep[Uitgangssituatie/effect beleid],uitkomst_tech[[#This Row],[Uitgangssituatie/effect beleid]])</f>
        <v>0</v>
      </c>
      <c r="K338" s="398">
        <f>SUMIFS(uitkomst_doelgroep[Kosten (€)],uitkomst_doelgroep[Digitale zorgtoepassing],B338,uitkomst_doelgroep[Jaar],D338,uitkomst_doelgroep[Kosten (€)],"&gt;0",uitkomst_doelgroep[Uitgangssituatie/effect beleid],uitkomst_tech[[#This Row],[Uitgangssituatie/effect beleid]])</f>
        <v>0</v>
      </c>
      <c r="L338" s="398">
        <f>SUMIFS(uitkomst_doelgroep[Investering (cash flow) (€)],uitkomst_doelgroep[Digitale zorgtoepassing],B338,uitkomst_doelgroep[Jaar],D338,uitkomst_doelgroep[Investering (cash flow) (€)],"&gt;0",uitkomst_doelgroep[Uitgangssituatie/effect beleid],uitkomst_tech[[#This Row],[Uitgangssituatie/effect beleid]])</f>
        <v>7543580.1317610741</v>
      </c>
    </row>
    <row r="339" spans="1:12" x14ac:dyDescent="0.5">
      <c r="A339" s="42" t="str">
        <f>INDEX(Technologieën[Veld],MATCH(B339,Technologieën[Digitale zorgtoepassing],0))</f>
        <v>Digitale hulpmiddelen - Verpleging</v>
      </c>
      <c r="B339" s="33" t="s">
        <v>48</v>
      </c>
      <c r="C339" s="33" t="s">
        <v>812</v>
      </c>
      <c r="D339" s="33">
        <v>2029</v>
      </c>
      <c r="E339" s="2">
        <v>201</v>
      </c>
      <c r="F339" s="397">
        <f>SUMIFS(uitkomst_doelgroep[Patiëntaantallen],uitkomst_doelgroep[Digitale zorgtoepassing],B339,uitkomst_doelgroep[Jaar],D339,uitkomst_doelgroep[Arbeidsbesparing (€)],"&gt;0",uitkomst_doelgroep[Uitgangssituatie/effect beleid],uitkomst_tech[[#This Row],[Uitgangssituatie/effect beleid]])</f>
        <v>81493.012526291815</v>
      </c>
      <c r="G339" s="398">
        <f>SUMIFS(uitkomst_doelgroep[Arbeidsbesparing (€)],uitkomst_doelgroep[Digitale zorgtoepassing],B339,uitkomst_doelgroep[Jaar],D339,uitkomst_doelgroep[Arbeidsbesparing (€)],"&gt;0",uitkomst_doelgroep[Uitgangssituatie/effect beleid],uitkomst_tech[[#This Row],[Uitgangssituatie/effect beleid]])</f>
        <v>136226227.75666252</v>
      </c>
      <c r="H339" s="398">
        <f>SUMIFS(uitkomst_doelgroep[Arbeidsbesparing (FTE)],uitkomst_doelgroep[Digitale zorgtoepassing],B339,uitkomst_doelgroep[Jaar],D339,uitkomst_doelgroep[Arbeidsbesparing (FTE)],"&gt;0",uitkomst_doelgroep[Uitgangssituatie/effect beleid],uitkomst_tech[[#This Row],[Uitgangssituatie/effect beleid]])</f>
        <v>3208.7873682227405</v>
      </c>
      <c r="I339" s="398">
        <f>SUMIFS(uitkomst_doelgroep[Overige besparingen (€)],uitkomst_doelgroep[Digitale zorgtoepassing],B339,uitkomst_doelgroep[Jaar],D339,uitkomst_doelgroep[Overige besparingen (€)],"&gt;0",uitkomst_doelgroep[Uitgangssituatie/effect beleid],uitkomst_tech[[#This Row],[Uitgangssituatie/effect beleid]])</f>
        <v>18982343.211993955</v>
      </c>
      <c r="J339" s="398">
        <f>SUMIFS(uitkomst_doelgroep[QALY (€)],uitkomst_doelgroep[Digitale zorgtoepassing],B339,uitkomst_doelgroep[Jaar],D339,uitkomst_doelgroep[QALY (€)],"&gt;0",uitkomst_doelgroep[Uitgangssituatie/effect beleid],uitkomst_tech[[#This Row],[Uitgangssituatie/effect beleid]])</f>
        <v>0</v>
      </c>
      <c r="K339" s="398">
        <f>SUMIFS(uitkomst_doelgroep[Kosten (€)],uitkomst_doelgroep[Digitale zorgtoepassing],B339,uitkomst_doelgroep[Jaar],D339,uitkomst_doelgroep[Kosten (€)],"&gt;0",uitkomst_doelgroep[Uitgangssituatie/effect beleid],uitkomst_tech[[#This Row],[Uitgangssituatie/effect beleid]])</f>
        <v>0</v>
      </c>
      <c r="L339" s="398">
        <f>SUMIFS(uitkomst_doelgroep[Investering (cash flow) (€)],uitkomst_doelgroep[Digitale zorgtoepassing],B339,uitkomst_doelgroep[Jaar],D339,uitkomst_doelgroep[Investering (cash flow) (€)],"&gt;0",uitkomst_doelgroep[Uitgangssituatie/effect beleid],uitkomst_tech[[#This Row],[Uitgangssituatie/effect beleid]])</f>
        <v>5284368.2673620004</v>
      </c>
    </row>
    <row r="340" spans="1:12" x14ac:dyDescent="0.5">
      <c r="A340" s="42" t="str">
        <f>INDEX(Technologieën[Veld],MATCH(B340,Technologieën[Digitale zorgtoepassing],0))</f>
        <v>Digitale hulpmiddelen - Verpleging</v>
      </c>
      <c r="B340" s="33" t="s">
        <v>48</v>
      </c>
      <c r="C340" s="33" t="s">
        <v>812</v>
      </c>
      <c r="D340" s="33">
        <v>2030</v>
      </c>
      <c r="E340" s="2">
        <v>233</v>
      </c>
      <c r="F340" s="397">
        <f>SUMIFS(uitkomst_doelgroep[Patiëntaantallen],uitkomst_doelgroep[Digitale zorgtoepassing],B340,uitkomst_doelgroep[Jaar],D340,uitkomst_doelgroep[Arbeidsbesparing (€)],"&gt;0",uitkomst_doelgroep[Uitgangssituatie/effect beleid],uitkomst_tech[[#This Row],[Uitgangssituatie/effect beleid]])</f>
        <v>87397.334612729814</v>
      </c>
      <c r="G340" s="398">
        <f>SUMIFS(uitkomst_doelgroep[Arbeidsbesparing (€)],uitkomst_doelgroep[Digitale zorgtoepassing],B340,uitkomst_doelgroep[Jaar],D340,uitkomst_doelgroep[Arbeidsbesparing (€)],"&gt;0",uitkomst_doelgroep[Uitgangssituatie/effect beleid],uitkomst_tech[[#This Row],[Uitgangssituatie/effect beleid]])</f>
        <v>146096074.26695439</v>
      </c>
      <c r="H340" s="398">
        <f>SUMIFS(uitkomst_doelgroep[Arbeidsbesparing (FTE)],uitkomst_doelgroep[Digitale zorgtoepassing],B340,uitkomst_doelgroep[Jaar],D340,uitkomst_doelgroep[Arbeidsbesparing (FTE)],"&gt;0",uitkomst_doelgroep[Uitgangssituatie/effect beleid],uitkomst_tech[[#This Row],[Uitgangssituatie/effect beleid]])</f>
        <v>3441.2700503762362</v>
      </c>
      <c r="I340" s="398">
        <f>SUMIFS(uitkomst_doelgroep[Overige besparingen (€)],uitkomst_doelgroep[Digitale zorgtoepassing],B340,uitkomst_doelgroep[Jaar],D340,uitkomst_doelgroep[Overige besparingen (€)],"&gt;0",uitkomst_doelgroep[Uitgangssituatie/effect beleid],uitkomst_tech[[#This Row],[Uitgangssituatie/effect beleid]])</f>
        <v>20357649.692936268</v>
      </c>
      <c r="J340" s="398">
        <f>SUMIFS(uitkomst_doelgroep[QALY (€)],uitkomst_doelgroep[Digitale zorgtoepassing],B340,uitkomst_doelgroep[Jaar],D340,uitkomst_doelgroep[QALY (€)],"&gt;0",uitkomst_doelgroep[Uitgangssituatie/effect beleid],uitkomst_tech[[#This Row],[Uitgangssituatie/effect beleid]])</f>
        <v>0</v>
      </c>
      <c r="K340" s="398">
        <f>SUMIFS(uitkomst_doelgroep[Kosten (€)],uitkomst_doelgroep[Digitale zorgtoepassing],B340,uitkomst_doelgroep[Jaar],D340,uitkomst_doelgroep[Kosten (€)],"&gt;0",uitkomst_doelgroep[Uitgangssituatie/effect beleid],uitkomst_tech[[#This Row],[Uitgangssituatie/effect beleid]])</f>
        <v>0</v>
      </c>
      <c r="L340" s="398">
        <f>SUMIFS(uitkomst_doelgroep[Investering (cash flow) (€)],uitkomst_doelgroep[Digitale zorgtoepassing],B340,uitkomst_doelgroep[Jaar],D340,uitkomst_doelgroep[Investering (cash flow) (€)],"&gt;0",uitkomst_doelgroep[Uitgangssituatie/effect beleid],uitkomst_tech[[#This Row],[Uitgangssituatie/effect beleid]])</f>
        <v>3346730.4477789821</v>
      </c>
    </row>
    <row r="341" spans="1:12" x14ac:dyDescent="0.5">
      <c r="A341" s="42" t="str">
        <f>INDEX(Technologieën[Veld],MATCH(B341,Technologieën[Digitale zorgtoepassing],0))</f>
        <v>Digitale hulpmiddelen - Verpleging</v>
      </c>
      <c r="B341" s="33" t="s">
        <v>48</v>
      </c>
      <c r="C341" s="33" t="s">
        <v>812</v>
      </c>
      <c r="D341" s="33">
        <v>2031</v>
      </c>
      <c r="E341" s="2">
        <v>265</v>
      </c>
      <c r="F341" s="397">
        <f>SUMIFS(uitkomst_doelgroep[Patiëntaantallen],uitkomst_doelgroep[Digitale zorgtoepassing],B341,uitkomst_doelgroep[Jaar],D341,uitkomst_doelgroep[Arbeidsbesparing (€)],"&gt;0",uitkomst_doelgroep[Uitgangssituatie/effect beleid],uitkomst_tech[[#This Row],[Uitgangssituatie/effect beleid]])</f>
        <v>91136.698241533144</v>
      </c>
      <c r="G341" s="398">
        <f>SUMIFS(uitkomst_doelgroep[Arbeidsbesparing (€)],uitkomst_doelgroep[Digitale zorgtoepassing],B341,uitkomst_doelgroep[Jaar],D341,uitkomst_doelgroep[Arbeidsbesparing (€)],"&gt;0",uitkomst_doelgroep[Uitgangssituatie/effect beleid],uitkomst_tech[[#This Row],[Uitgangssituatie/effect beleid]])</f>
        <v>152346909.59100133</v>
      </c>
      <c r="H341" s="398">
        <f>SUMIFS(uitkomst_doelgroep[Arbeidsbesparing (FTE)],uitkomst_doelgroep[Digitale zorgtoepassing],B341,uitkomst_doelgroep[Jaar],D341,uitkomst_doelgroep[Arbeidsbesparing (FTE)],"&gt;0",uitkomst_doelgroep[Uitgangssituatie/effect beleid],uitkomst_tech[[#This Row],[Uitgangssituatie/effect beleid]])</f>
        <v>3588.5074932603675</v>
      </c>
      <c r="I341" s="398">
        <f>SUMIFS(uitkomst_doelgroep[Overige besparingen (€)],uitkomst_doelgroep[Digitale zorgtoepassing],B341,uitkomst_doelgroep[Jaar],D341,uitkomst_doelgroep[Overige besparingen (€)],"&gt;0",uitkomst_doelgroep[Uitgangssituatie/effect beleid],uitkomst_tech[[#This Row],[Uitgangssituatie/effect beleid]])</f>
        <v>21228667.729893625</v>
      </c>
      <c r="J341" s="398">
        <f>SUMIFS(uitkomst_doelgroep[QALY (€)],uitkomst_doelgroep[Digitale zorgtoepassing],B341,uitkomst_doelgroep[Jaar],D341,uitkomst_doelgroep[QALY (€)],"&gt;0",uitkomst_doelgroep[Uitgangssituatie/effect beleid],uitkomst_tech[[#This Row],[Uitgangssituatie/effect beleid]])</f>
        <v>0</v>
      </c>
      <c r="K341" s="398">
        <f>SUMIFS(uitkomst_doelgroep[Kosten (€)],uitkomst_doelgroep[Digitale zorgtoepassing],B341,uitkomst_doelgroep[Jaar],D341,uitkomst_doelgroep[Kosten (€)],"&gt;0",uitkomst_doelgroep[Uitgangssituatie/effect beleid],uitkomst_tech[[#This Row],[Uitgangssituatie/effect beleid]])</f>
        <v>0</v>
      </c>
      <c r="L341" s="398">
        <f>SUMIFS(uitkomst_doelgroep[Investering (cash flow) (€)],uitkomst_doelgroep[Digitale zorgtoepassing],B341,uitkomst_doelgroep[Jaar],D341,uitkomst_doelgroep[Investering (cash flow) (€)],"&gt;0",uitkomst_doelgroep[Uitgangssituatie/effect beleid],uitkomst_tech[[#This Row],[Uitgangssituatie/effect beleid]])</f>
        <v>1968284.8706562894</v>
      </c>
    </row>
    <row r="342" spans="1:12" x14ac:dyDescent="0.5">
      <c r="A342" s="42" t="str">
        <f>INDEX(Technologieën[Veld],MATCH(B342,Technologieën[Digitale zorgtoepassing],0))</f>
        <v>Digitale hulpmiddelen - Verpleging</v>
      </c>
      <c r="B342" s="33" t="s">
        <v>48</v>
      </c>
      <c r="C342" s="33" t="s">
        <v>812</v>
      </c>
      <c r="D342" s="33">
        <v>2032</v>
      </c>
      <c r="E342" s="2">
        <v>297</v>
      </c>
      <c r="F342" s="397">
        <f>SUMIFS(uitkomst_doelgroep[Patiëntaantallen],uitkomst_doelgroep[Digitale zorgtoepassing],B342,uitkomst_doelgroep[Jaar],D342,uitkomst_doelgroep[Arbeidsbesparing (€)],"&gt;0",uitkomst_doelgroep[Uitgangssituatie/effect beleid],uitkomst_tech[[#This Row],[Uitgangssituatie/effect beleid]])</f>
        <v>93335.899214333462</v>
      </c>
      <c r="G342" s="398">
        <f>SUMIFS(uitkomst_doelgroep[Arbeidsbesparing (€)],uitkomst_doelgroep[Digitale zorgtoepassing],B342,uitkomst_doelgroep[Jaar],D342,uitkomst_doelgroep[Arbeidsbesparing (€)],"&gt;0",uitkomst_doelgroep[Uitgangssituatie/effect beleid],uitkomst_tech[[#This Row],[Uitgangssituatie/effect beleid]])</f>
        <v>156023161.61944014</v>
      </c>
      <c r="H342" s="398">
        <f>SUMIFS(uitkomst_doelgroep[Arbeidsbesparing (FTE)],uitkomst_doelgroep[Digitale zorgtoepassing],B342,uitkomst_doelgroep[Jaar],D342,uitkomst_doelgroep[Arbeidsbesparing (FTE)],"&gt;0",uitkomst_doelgroep[Uitgangssituatie/effect beleid],uitkomst_tech[[#This Row],[Uitgangssituatie/effect beleid]])</f>
        <v>3675.1010315643803</v>
      </c>
      <c r="I342" s="398">
        <f>SUMIFS(uitkomst_doelgroep[Overige besparingen (€)],uitkomst_doelgroep[Digitale zorgtoepassing],B342,uitkomst_doelgroep[Jaar],D342,uitkomst_doelgroep[Overige besparingen (€)],"&gt;0",uitkomst_doelgroep[Uitgangssituatie/effect beleid],uitkomst_tech[[#This Row],[Uitgangssituatie/effect beleid]])</f>
        <v>21740932.356807228</v>
      </c>
      <c r="J342" s="398">
        <f>SUMIFS(uitkomst_doelgroep[QALY (€)],uitkomst_doelgroep[Digitale zorgtoepassing],B342,uitkomst_doelgroep[Jaar],D342,uitkomst_doelgroep[QALY (€)],"&gt;0",uitkomst_doelgroep[Uitgangssituatie/effect beleid],uitkomst_tech[[#This Row],[Uitgangssituatie/effect beleid]])</f>
        <v>0</v>
      </c>
      <c r="K342" s="398">
        <f>SUMIFS(uitkomst_doelgroep[Kosten (€)],uitkomst_doelgroep[Digitale zorgtoepassing],B342,uitkomst_doelgroep[Jaar],D342,uitkomst_doelgroep[Kosten (€)],"&gt;0",uitkomst_doelgroep[Uitgangssituatie/effect beleid],uitkomst_tech[[#This Row],[Uitgangssituatie/effect beleid]])</f>
        <v>0</v>
      </c>
      <c r="L342" s="398">
        <f>SUMIFS(uitkomst_doelgroep[Investering (cash flow) (€)],uitkomst_doelgroep[Digitale zorgtoepassing],B342,uitkomst_doelgroep[Jaar],D342,uitkomst_doelgroep[Investering (cash flow) (€)],"&gt;0",uitkomst_doelgroep[Uitgangssituatie/effect beleid],uitkomst_tech[[#This Row],[Uitgangssituatie/effect beleid]])</f>
        <v>1102799.8971396617</v>
      </c>
    </row>
    <row r="343" spans="1:12" x14ac:dyDescent="0.5">
      <c r="A343" s="42" t="str">
        <f>INDEX(Technologieën[Veld],MATCH(B343,Technologieën[Digitale zorgtoepassing],0))</f>
        <v>Digitale hulpmiddelen - Verpleging</v>
      </c>
      <c r="B343" s="33" t="s">
        <v>48</v>
      </c>
      <c r="C343" s="33" t="s">
        <v>812</v>
      </c>
      <c r="D343" s="33">
        <v>2033</v>
      </c>
      <c r="E343" s="2">
        <v>329</v>
      </c>
      <c r="F343" s="397">
        <f>SUMIFS(uitkomst_doelgroep[Patiëntaantallen],uitkomst_doelgroep[Digitale zorgtoepassing],B343,uitkomst_doelgroep[Jaar],D343,uitkomst_doelgroep[Arbeidsbesparing (€)],"&gt;0",uitkomst_doelgroep[Uitgangssituatie/effect beleid],uitkomst_tech[[#This Row],[Uitgangssituatie/effect beleid]])</f>
        <v>94568.077870355424</v>
      </c>
      <c r="G343" s="398">
        <f>SUMIFS(uitkomst_doelgroep[Arbeidsbesparing (€)],uitkomst_doelgroep[Digitale zorgtoepassing],B343,uitkomst_doelgroep[Jaar],D343,uitkomst_doelgroep[Arbeidsbesparing (€)],"&gt;0",uitkomst_doelgroep[Uitgangssituatie/effect beleid],uitkomst_tech[[#This Row],[Uitgangssituatie/effect beleid]])</f>
        <v>158082909.38220683</v>
      </c>
      <c r="H343" s="398">
        <f>SUMIFS(uitkomst_doelgroep[Arbeidsbesparing (FTE)],uitkomst_doelgroep[Digitale zorgtoepassing],B343,uitkomst_doelgroep[Jaar],D343,uitkomst_doelgroep[Arbeidsbesparing (FTE)],"&gt;0",uitkomst_doelgroep[Uitgangssituatie/effect beleid],uitkomst_tech[[#This Row],[Uitgangssituatie/effect beleid]])</f>
        <v>3723.6180661452449</v>
      </c>
      <c r="I343" s="398">
        <f>SUMIFS(uitkomst_doelgroep[Overige besparingen (€)],uitkomst_doelgroep[Digitale zorgtoepassing],B343,uitkomst_doelgroep[Jaar],D343,uitkomst_doelgroep[Overige besparingen (€)],"&gt;0",uitkomst_doelgroep[Uitgangssituatie/effect beleid],uitkomst_tech[[#This Row],[Uitgangssituatie/effect beleid]])</f>
        <v>22027946.389323898</v>
      </c>
      <c r="J343" s="398">
        <f>SUMIFS(uitkomst_doelgroep[QALY (€)],uitkomst_doelgroep[Digitale zorgtoepassing],B343,uitkomst_doelgroep[Jaar],D343,uitkomst_doelgroep[QALY (€)],"&gt;0",uitkomst_doelgroep[Uitgangssituatie/effect beleid],uitkomst_tech[[#This Row],[Uitgangssituatie/effect beleid]])</f>
        <v>0</v>
      </c>
      <c r="K343" s="398">
        <f>SUMIFS(uitkomst_doelgroep[Kosten (€)],uitkomst_doelgroep[Digitale zorgtoepassing],B343,uitkomst_doelgroep[Jaar],D343,uitkomst_doelgroep[Kosten (€)],"&gt;0",uitkomst_doelgroep[Uitgangssituatie/effect beleid],uitkomst_tech[[#This Row],[Uitgangssituatie/effect beleid]])</f>
        <v>0</v>
      </c>
      <c r="L343" s="398">
        <f>SUMIFS(uitkomst_doelgroep[Investering (cash flow) (€)],uitkomst_doelgroep[Digitale zorgtoepassing],B343,uitkomst_doelgroep[Jaar],D343,uitkomst_doelgroep[Investering (cash flow) (€)],"&gt;0",uitkomst_doelgroep[Uitgangssituatie/effect beleid],uitkomst_tech[[#This Row],[Uitgangssituatie/effect beleid]])</f>
        <v>600143.82248122396</v>
      </c>
    </row>
    <row r="344" spans="1:12" x14ac:dyDescent="0.5">
      <c r="A344" s="42" t="str">
        <f>INDEX(Technologieën[Veld],MATCH(B344,Technologieën[Digitale zorgtoepassing],0))</f>
        <v>Digitale hulpmiddelen - Verpleging</v>
      </c>
      <c r="B344" s="41" t="s">
        <v>19</v>
      </c>
      <c r="C344" s="33" t="s">
        <v>812</v>
      </c>
      <c r="D344" s="33">
        <v>2023</v>
      </c>
      <c r="E344" s="2">
        <v>10</v>
      </c>
      <c r="F344" s="397">
        <f>SUMIFS(uitkomst_doelgroep[Patiëntaantallen],uitkomst_doelgroep[Digitale zorgtoepassing],B344,uitkomst_doelgroep[Jaar],D344,uitkomst_doelgroep[Arbeidsbesparing (€)],"&gt;0",uitkomst_doelgroep[Uitgangssituatie/effect beleid],uitkomst_tech[[#This Row],[Uitgangssituatie/effect beleid]])</f>
        <v>7048.3860000000004</v>
      </c>
      <c r="G344" s="398">
        <f>SUMIFS(uitkomst_doelgroep[Arbeidsbesparing (€)],uitkomst_doelgroep[Digitale zorgtoepassing],B344,uitkomst_doelgroep[Jaar],D344,uitkomst_doelgroep[Arbeidsbesparing (€)],"&gt;0",uitkomst_doelgroep[Uitgangssituatie/effect beleid],uitkomst_tech[[#This Row],[Uitgangssituatie/effect beleid]])</f>
        <v>9725072.1556075886</v>
      </c>
      <c r="H344" s="398">
        <f>SUMIFS(uitkomst_doelgroep[Arbeidsbesparing (FTE)],uitkomst_doelgroep[Digitale zorgtoepassing],B344,uitkomst_doelgroep[Jaar],D344,uitkomst_doelgroep[Arbeidsbesparing (FTE)],"&gt;0",uitkomst_doelgroep[Uitgangssituatie/effect beleid],uitkomst_tech[[#This Row],[Uitgangssituatie/effect beleid]])</f>
        <v>229.07254500000005</v>
      </c>
      <c r="I344" s="398">
        <f>SUMIFS(uitkomst_doelgroep[Overige besparingen (€)],uitkomst_doelgroep[Digitale zorgtoepassing],B344,uitkomst_doelgroep[Jaar],D344,uitkomst_doelgroep[Overige besparingen (€)],"&gt;0",uitkomst_doelgroep[Uitgangssituatie/effect beleid],uitkomst_tech[[#This Row],[Uitgangssituatie/effect beleid]])</f>
        <v>4789960.9124634387</v>
      </c>
      <c r="J344" s="398">
        <f>SUMIFS(uitkomst_doelgroep[QALY (€)],uitkomst_doelgroep[Digitale zorgtoepassing],B344,uitkomst_doelgroep[Jaar],D344,uitkomst_doelgroep[QALY (€)],"&gt;0",uitkomst_doelgroep[Uitgangssituatie/effect beleid],uitkomst_tech[[#This Row],[Uitgangssituatie/effect beleid]])</f>
        <v>0</v>
      </c>
      <c r="K344" s="398">
        <f>SUMIFS(uitkomst_doelgroep[Kosten (€)],uitkomst_doelgroep[Digitale zorgtoepassing],B344,uitkomst_doelgroep[Jaar],D344,uitkomst_doelgroep[Kosten (€)],"&gt;0",uitkomst_doelgroep[Uitgangssituatie/effect beleid],uitkomst_tech[[#This Row],[Uitgangssituatie/effect beleid]])</f>
        <v>3748983.6505049998</v>
      </c>
      <c r="L344" s="398">
        <f>SUMIFS(uitkomst_doelgroep[Investering (cash flow) (€)],uitkomst_doelgroep[Digitale zorgtoepassing],B344,uitkomst_doelgroep[Jaar],D344,uitkomst_doelgroep[Investering (cash flow) (€)],"&gt;0",uitkomst_doelgroep[Uitgangssituatie/effect beleid],uitkomst_tech[[#This Row],[Uitgangssituatie/effect beleid]])</f>
        <v>2291222.3240000005</v>
      </c>
    </row>
    <row r="345" spans="1:12" x14ac:dyDescent="0.5">
      <c r="A345" s="42" t="str">
        <f>INDEX(Technologieën[Veld],MATCH(B345,Technologieën[Digitale zorgtoepassing],0))</f>
        <v>Digitale hulpmiddelen - Verpleging</v>
      </c>
      <c r="B345" s="33" t="s">
        <v>19</v>
      </c>
      <c r="C345" s="33" t="s">
        <v>812</v>
      </c>
      <c r="D345" s="33">
        <v>2024</v>
      </c>
      <c r="E345" s="2">
        <v>42</v>
      </c>
      <c r="F345" s="397">
        <f>SUMIFS(uitkomst_doelgroep[Patiëntaantallen],uitkomst_doelgroep[Digitale zorgtoepassing],B345,uitkomst_doelgroep[Jaar],D345,uitkomst_doelgroep[Arbeidsbesparing (€)],"&gt;0",uitkomst_doelgroep[Uitgangssituatie/effect beleid],uitkomst_tech[[#This Row],[Uitgangssituatie/effect beleid]])</f>
        <v>9867.7404000000006</v>
      </c>
      <c r="G345" s="398">
        <f>SUMIFS(uitkomst_doelgroep[Arbeidsbesparing (€)],uitkomst_doelgroep[Digitale zorgtoepassing],B345,uitkomst_doelgroep[Jaar],D345,uitkomst_doelgroep[Arbeidsbesparing (€)],"&gt;0",uitkomst_doelgroep[Uitgangssituatie/effect beleid],uitkomst_tech[[#This Row],[Uitgangssituatie/effect beleid]])</f>
        <v>13615101.017850624</v>
      </c>
      <c r="H345" s="398">
        <f>SUMIFS(uitkomst_doelgroep[Arbeidsbesparing (FTE)],uitkomst_doelgroep[Digitale zorgtoepassing],B345,uitkomst_doelgroep[Jaar],D345,uitkomst_doelgroep[Arbeidsbesparing (FTE)],"&gt;0",uitkomst_doelgroep[Uitgangssituatie/effect beleid],uitkomst_tech[[#This Row],[Uitgangssituatie/effect beleid]])</f>
        <v>320.70156300000008</v>
      </c>
      <c r="I345" s="398">
        <f>SUMIFS(uitkomst_doelgroep[Overige besparingen (€)],uitkomst_doelgroep[Digitale zorgtoepassing],B345,uitkomst_doelgroep[Jaar],D345,uitkomst_doelgroep[Overige besparingen (€)],"&gt;0",uitkomst_doelgroep[Uitgangssituatie/effect beleid],uitkomst_tech[[#This Row],[Uitgangssituatie/effect beleid]])</f>
        <v>6705945.2774488144</v>
      </c>
      <c r="J345" s="398">
        <f>SUMIFS(uitkomst_doelgroep[QALY (€)],uitkomst_doelgroep[Digitale zorgtoepassing],B345,uitkomst_doelgroep[Jaar],D345,uitkomst_doelgroep[QALY (€)],"&gt;0",uitkomst_doelgroep[Uitgangssituatie/effect beleid],uitkomst_tech[[#This Row],[Uitgangssituatie/effect beleid]])</f>
        <v>0</v>
      </c>
      <c r="K345" s="398">
        <f>SUMIFS(uitkomst_doelgroep[Kosten (€)],uitkomst_doelgroep[Digitale zorgtoepassing],B345,uitkomst_doelgroep[Jaar],D345,uitkomst_doelgroep[Kosten (€)],"&gt;0",uitkomst_doelgroep[Uitgangssituatie/effect beleid],uitkomst_tech[[#This Row],[Uitgangssituatie/effect beleid]])</f>
        <v>5248577.1107069999</v>
      </c>
      <c r="L345" s="398">
        <f>SUMIFS(uitkomst_doelgroep[Investering (cash flow) (€)],uitkomst_doelgroep[Digitale zorgtoepassing],B345,uitkomst_doelgroep[Jaar],D345,uitkomst_doelgroep[Investering (cash flow) (€)],"&gt;0",uitkomst_doelgroep[Uitgangssituatie/effect beleid],uitkomst_tech[[#This Row],[Uitgangssituatie/effect beleid]])</f>
        <v>2721972.1209120005</v>
      </c>
    </row>
    <row r="346" spans="1:12" x14ac:dyDescent="0.5">
      <c r="A346" s="42" t="str">
        <f>INDEX(Technologieën[Veld],MATCH(B346,Technologieën[Digitale zorgtoepassing],0))</f>
        <v>Digitale hulpmiddelen - Verpleging</v>
      </c>
      <c r="B346" s="33" t="s">
        <v>19</v>
      </c>
      <c r="C346" s="33" t="s">
        <v>812</v>
      </c>
      <c r="D346" s="33">
        <v>2025</v>
      </c>
      <c r="E346" s="2">
        <v>74</v>
      </c>
      <c r="F346" s="397">
        <f>SUMIFS(uitkomst_doelgroep[Patiëntaantallen],uitkomst_doelgroep[Digitale zorgtoepassing],B346,uitkomst_doelgroep[Jaar],D346,uitkomst_doelgroep[Arbeidsbesparing (€)],"&gt;0",uitkomst_doelgroep[Uitgangssituatie/effect beleid],uitkomst_tech[[#This Row],[Uitgangssituatie/effect beleid]])</f>
        <v>13375.833427200001</v>
      </c>
      <c r="G346" s="398">
        <f>SUMIFS(uitkomst_doelgroep[Arbeidsbesparing (€)],uitkomst_doelgroep[Digitale zorgtoepassing],B346,uitkomst_doelgroep[Jaar],D346,uitkomst_doelgroep[Arbeidsbesparing (€)],"&gt;0",uitkomst_doelgroep[Uitgangssituatie/effect beleid],uitkomst_tech[[#This Row],[Uitgangssituatie/effect beleid]])</f>
        <v>18455423.017540179</v>
      </c>
      <c r="H346" s="398">
        <f>SUMIFS(uitkomst_doelgroep[Arbeidsbesparing (FTE)],uitkomst_doelgroep[Digitale zorgtoepassing],B346,uitkomst_doelgroep[Jaar],D346,uitkomst_doelgroep[Arbeidsbesparing (FTE)],"&gt;0",uitkomst_doelgroep[Uitgangssituatie/effect beleid],uitkomst_tech[[#This Row],[Uitgangssituatie/effect beleid]])</f>
        <v>434.71458638400009</v>
      </c>
      <c r="I346" s="398">
        <f>SUMIFS(uitkomst_doelgroep[Overige besparingen (€)],uitkomst_doelgroep[Digitale zorgtoepassing],B346,uitkomst_doelgroep[Jaar],D346,uitkomst_doelgroep[Overige besparingen (€)],"&gt;0",uitkomst_doelgroep[Uitgangssituatie/effect beleid],uitkomst_tech[[#This Row],[Uitgangssituatie/effect beleid]])</f>
        <v>9089984.4713257588</v>
      </c>
      <c r="J346" s="398">
        <f>SUMIFS(uitkomst_doelgroep[QALY (€)],uitkomst_doelgroep[Digitale zorgtoepassing],B346,uitkomst_doelgroep[Jaar],D346,uitkomst_doelgroep[QALY (€)],"&gt;0",uitkomst_doelgroep[Uitgangssituatie/effect beleid],uitkomst_tech[[#This Row],[Uitgangssituatie/effect beleid]])</f>
        <v>0</v>
      </c>
      <c r="K346" s="398">
        <f>SUMIFS(uitkomst_doelgroep[Kosten (€)],uitkomst_doelgroep[Digitale zorgtoepassing],B346,uitkomst_doelgroep[Jaar],D346,uitkomst_doelgroep[Kosten (€)],"&gt;0",uitkomst_doelgroep[Uitgangssituatie/effect beleid],uitkomst_tech[[#This Row],[Uitgangssituatie/effect beleid]])</f>
        <v>7114505.4811769761</v>
      </c>
      <c r="L346" s="398">
        <f>SUMIFS(uitkomst_doelgroep[Investering (cash flow) (€)],uitkomst_doelgroep[Digitale zorgtoepassing],B346,uitkomst_doelgroep[Jaar],D346,uitkomst_doelgroep[Investering (cash flow) (€)],"&gt;0",uitkomst_doelgroep[Uitgangssituatie/effect beleid],uitkomst_tech[[#This Row],[Uitgangssituatie/effect beleid]])</f>
        <v>3043121.2796256812</v>
      </c>
    </row>
    <row r="347" spans="1:12" x14ac:dyDescent="0.5">
      <c r="A347" s="42" t="str">
        <f>INDEX(Technologieën[Veld],MATCH(B347,Technologieën[Digitale zorgtoepassing],0))</f>
        <v>Digitale hulpmiddelen - Verpleging</v>
      </c>
      <c r="B347" s="33" t="s">
        <v>19</v>
      </c>
      <c r="C347" s="33" t="s">
        <v>812</v>
      </c>
      <c r="D347" s="33">
        <v>2026</v>
      </c>
      <c r="E347" s="2">
        <v>106</v>
      </c>
      <c r="F347" s="397">
        <f>SUMIFS(uitkomst_doelgroep[Patiëntaantallen],uitkomst_doelgroep[Digitale zorgtoepassing],B347,uitkomst_doelgroep[Jaar],D347,uitkomst_doelgroep[Arbeidsbesparing (€)],"&gt;0",uitkomst_doelgroep[Uitgangssituatie/effect beleid],uitkomst_tech[[#This Row],[Uitgangssituatie/effect beleid]])</f>
        <v>17338.137641321166</v>
      </c>
      <c r="G347" s="398">
        <f>SUMIFS(uitkomst_doelgroep[Arbeidsbesparing (€)],uitkomst_doelgroep[Digitale zorgtoepassing],B347,uitkomst_doelgroep[Jaar],D347,uitkomst_doelgroep[Arbeidsbesparing (€)],"&gt;0",uitkomst_doelgroep[Uitgangssituatie/effect beleid],uitkomst_tech[[#This Row],[Uitgangssituatie/effect beleid]])</f>
        <v>23922446.870206069</v>
      </c>
      <c r="H347" s="398">
        <f>SUMIFS(uitkomst_doelgroep[Arbeidsbesparing (FTE)],uitkomst_doelgroep[Digitale zorgtoepassing],B347,uitkomst_doelgroep[Jaar],D347,uitkomst_doelgroep[Arbeidsbesparing (FTE)],"&gt;0",uitkomst_doelgroep[Uitgangssituatie/effect beleid],uitkomst_tech[[#This Row],[Uitgangssituatie/effect beleid]])</f>
        <v>563.48947334293791</v>
      </c>
      <c r="I347" s="398">
        <f>SUMIFS(uitkomst_doelgroep[Overige besparingen (€)],uitkomst_doelgroep[Digitale zorgtoepassing],B347,uitkomst_doelgroep[Jaar],D347,uitkomst_doelgroep[Overige besparingen (€)],"&gt;0",uitkomst_doelgroep[Uitgangssituatie/effect beleid],uitkomst_tech[[#This Row],[Uitgangssituatie/effect beleid]])</f>
        <v>11782697.712191049</v>
      </c>
      <c r="J347" s="398">
        <f>SUMIFS(uitkomst_doelgroep[QALY (€)],uitkomst_doelgroep[Digitale zorgtoepassing],B347,uitkomst_doelgroep[Jaar],D347,uitkomst_doelgroep[QALY (€)],"&gt;0",uitkomst_doelgroep[Uitgangssituatie/effect beleid],uitkomst_tech[[#This Row],[Uitgangssituatie/effect beleid]])</f>
        <v>0</v>
      </c>
      <c r="K347" s="398">
        <f>SUMIFS(uitkomst_doelgroep[Kosten (€)],uitkomst_doelgroep[Digitale zorgtoepassing],B347,uitkomst_doelgroep[Jaar],D347,uitkomst_doelgroep[Kosten (€)],"&gt;0",uitkomst_doelgroep[Uitgangssituatie/effect beleid],uitkomst_tech[[#This Row],[Uitgangssituatie/effect beleid]])</f>
        <v>9222025.3753864169</v>
      </c>
      <c r="L347" s="398">
        <f>SUMIFS(uitkomst_doelgroep[Investering (cash flow) (€)],uitkomst_doelgroep[Digitale zorgtoepassing],B347,uitkomst_doelgroep[Jaar],D347,uitkomst_doelgroep[Investering (cash flow) (€)],"&gt;0",uitkomst_doelgroep[Uitgangssituatie/effect beleid],uitkomst_tech[[#This Row],[Uitgangssituatie/effect beleid]])</f>
        <v>3157137.0533144972</v>
      </c>
    </row>
    <row r="348" spans="1:12" x14ac:dyDescent="0.5">
      <c r="A348" s="42" t="str">
        <f>INDEX(Technologieën[Veld],MATCH(B348,Technologieën[Digitale zorgtoepassing],0))</f>
        <v>Digitale hulpmiddelen - Verpleging</v>
      </c>
      <c r="B348" s="33" t="s">
        <v>19</v>
      </c>
      <c r="C348" s="33" t="s">
        <v>812</v>
      </c>
      <c r="D348" s="33">
        <v>2027</v>
      </c>
      <c r="E348" s="2">
        <v>138</v>
      </c>
      <c r="F348" s="397">
        <f>SUMIFS(uitkomst_doelgroep[Patiëntaantallen],uitkomst_doelgroep[Digitale zorgtoepassing],B348,uitkomst_doelgroep[Jaar],D348,uitkomst_doelgroep[Arbeidsbesparing (€)],"&gt;0",uitkomst_doelgroep[Uitgangssituatie/effect beleid],uitkomst_tech[[#This Row],[Uitgangssituatie/effect beleid]])</f>
        <v>21517.604705087229</v>
      </c>
      <c r="G348" s="398">
        <f>SUMIFS(uitkomst_doelgroep[Arbeidsbesparing (€)],uitkomst_doelgroep[Digitale zorgtoepassing],B348,uitkomst_doelgroep[Jaar],D348,uitkomst_doelgroep[Arbeidsbesparing (€)],"&gt;0",uitkomst_doelgroep[Uitgangssituatie/effect beleid],uitkomst_tech[[#This Row],[Uitgangssituatie/effect beleid]])</f>
        <v>29689103.06172429</v>
      </c>
      <c r="H348" s="398">
        <f>SUMIFS(uitkomst_doelgroep[Arbeidsbesparing (FTE)],uitkomst_doelgroep[Digitale zorgtoepassing],B348,uitkomst_doelgroep[Jaar],D348,uitkomst_doelgroep[Arbeidsbesparing (FTE)],"&gt;0",uitkomst_doelgroep[Uitgangssituatie/effect beleid],uitkomst_tech[[#This Row],[Uitgangssituatie/effect beleid]])</f>
        <v>699.32215291533498</v>
      </c>
      <c r="I348" s="398">
        <f>SUMIFS(uitkomst_doelgroep[Overige besparingen (€)],uitkomst_doelgroep[Digitale zorgtoepassing],B348,uitkomst_doelgroep[Jaar],D348,uitkomst_doelgroep[Overige besparingen (€)],"&gt;0",uitkomst_doelgroep[Uitgangssituatie/effect beleid],uitkomst_tech[[#This Row],[Uitgangssituatie/effect beleid]])</f>
        <v>14622991.060252262</v>
      </c>
      <c r="J348" s="398">
        <f>SUMIFS(uitkomst_doelgroep[QALY (€)],uitkomst_doelgroep[Digitale zorgtoepassing],B348,uitkomst_doelgroep[Jaar],D348,uitkomst_doelgroep[QALY (€)],"&gt;0",uitkomst_doelgroep[Uitgangssituatie/effect beleid],uitkomst_tech[[#This Row],[Uitgangssituatie/effect beleid]])</f>
        <v>0</v>
      </c>
      <c r="K348" s="398">
        <f>SUMIFS(uitkomst_doelgroep[Kosten (€)],uitkomst_doelgroep[Digitale zorgtoepassing],B348,uitkomst_doelgroep[Jaar],D348,uitkomst_doelgroep[Kosten (€)],"&gt;0",uitkomst_doelgroep[Uitgangssituatie/effect beleid],uitkomst_tech[[#This Row],[Uitgangssituatie/effect beleid]])</f>
        <v>11445052.560600609</v>
      </c>
      <c r="L348" s="398">
        <f>SUMIFS(uitkomst_doelgroep[Investering (cash flow) (€)],uitkomst_doelgroep[Digitale zorgtoepassing],B348,uitkomst_doelgroep[Jaar],D348,uitkomst_doelgroep[Investering (cash flow) (€)],"&gt;0",uitkomst_doelgroep[Uitgangssituatie/effect beleid],uitkomst_tech[[#This Row],[Uitgangssituatie/effect beleid]])</f>
        <v>3002032.5207785196</v>
      </c>
    </row>
    <row r="349" spans="1:12" x14ac:dyDescent="0.5">
      <c r="A349" s="42" t="str">
        <f>INDEX(Technologieën[Veld],MATCH(B349,Technologieën[Digitale zorgtoepassing],0))</f>
        <v>Digitale hulpmiddelen - Verpleging</v>
      </c>
      <c r="B349" s="33" t="s">
        <v>19</v>
      </c>
      <c r="C349" s="33" t="s">
        <v>812</v>
      </c>
      <c r="D349" s="33">
        <v>2028</v>
      </c>
      <c r="E349" s="2">
        <v>170</v>
      </c>
      <c r="F349" s="397">
        <f>SUMIFS(uitkomst_doelgroep[Patiëntaantallen],uitkomst_doelgroep[Digitale zorgtoepassing],B349,uitkomst_doelgroep[Jaar],D349,uitkomst_doelgroep[Arbeidsbesparing (€)],"&gt;0",uitkomst_doelgroep[Uitgangssituatie/effect beleid],uitkomst_tech[[#This Row],[Uitgangssituatie/effect beleid]])</f>
        <v>25602.608420869288</v>
      </c>
      <c r="G349" s="398">
        <f>SUMIFS(uitkomst_doelgroep[Arbeidsbesparing (€)],uitkomst_doelgroep[Digitale zorgtoepassing],B349,uitkomst_doelgroep[Jaar],D349,uitkomst_doelgroep[Arbeidsbesparing (€)],"&gt;0",uitkomst_doelgroep[Uitgangssituatie/effect beleid],uitkomst_tech[[#This Row],[Uitgangssituatie/effect beleid]])</f>
        <v>35325422.623664513</v>
      </c>
      <c r="H349" s="398">
        <f>SUMIFS(uitkomst_doelgroep[Arbeidsbesparing (FTE)],uitkomst_doelgroep[Digitale zorgtoepassing],B349,uitkomst_doelgroep[Jaar],D349,uitkomst_doelgroep[Arbeidsbesparing (FTE)],"&gt;0",uitkomst_doelgroep[Uitgangssituatie/effect beleid],uitkomst_tech[[#This Row],[Uitgangssituatie/effect beleid]])</f>
        <v>832.08477367825185</v>
      </c>
      <c r="I349" s="398">
        <f>SUMIFS(uitkomst_doelgroep[Overige besparingen (€)],uitkomst_doelgroep[Digitale zorgtoepassing],B349,uitkomst_doelgroep[Jaar],D349,uitkomst_doelgroep[Overige besparingen (€)],"&gt;0",uitkomst_doelgroep[Uitgangssituatie/effect beleid],uitkomst_tech[[#This Row],[Uitgangssituatie/effect beleid]])</f>
        <v>17399088.754939236</v>
      </c>
      <c r="J349" s="398">
        <f>SUMIFS(uitkomst_doelgroep[QALY (€)],uitkomst_doelgroep[Digitale zorgtoepassing],B349,uitkomst_doelgroep[Jaar],D349,uitkomst_doelgroep[QALY (€)],"&gt;0",uitkomst_doelgroep[Uitgangssituatie/effect beleid],uitkomst_tech[[#This Row],[Uitgangssituatie/effect beleid]])</f>
        <v>0</v>
      </c>
      <c r="K349" s="398">
        <f>SUMIFS(uitkomst_doelgroep[Kosten (€)],uitkomst_doelgroep[Digitale zorgtoepassing],B349,uitkomst_doelgroep[Jaar],D349,uitkomst_doelgroep[Kosten (€)],"&gt;0",uitkomst_doelgroep[Uitgangssituatie/effect beleid],uitkomst_tech[[#This Row],[Uitgangssituatie/effect beleid]])</f>
        <v>13617835.399497215</v>
      </c>
      <c r="L349" s="398">
        <f>SUMIFS(uitkomst_doelgroep[Investering (cash flow) (€)],uitkomst_doelgroep[Digitale zorgtoepassing],B349,uitkomst_doelgroep[Jaar],D349,uitkomst_doelgroep[Investering (cash flow) (€)],"&gt;0",uitkomst_doelgroep[Uitgangssituatie/effect beleid],uitkomst_tech[[#This Row],[Uitgangssituatie/effect beleid]])</f>
        <v>2596309.9087606696</v>
      </c>
    </row>
    <row r="350" spans="1:12" x14ac:dyDescent="0.5">
      <c r="A350" s="42" t="str">
        <f>INDEX(Technologieën[Veld],MATCH(B350,Technologieën[Digitale zorgtoepassing],0))</f>
        <v>Digitale hulpmiddelen - Verpleging</v>
      </c>
      <c r="B350" s="33" t="s">
        <v>19</v>
      </c>
      <c r="C350" s="33" t="s">
        <v>812</v>
      </c>
      <c r="D350" s="33">
        <v>2029</v>
      </c>
      <c r="E350" s="2">
        <v>202</v>
      </c>
      <c r="F350" s="397">
        <f>SUMIFS(uitkomst_doelgroep[Patiëntaantallen],uitkomst_doelgroep[Digitale zorgtoepassing],B350,uitkomst_doelgroep[Jaar],D350,uitkomst_doelgroep[Arbeidsbesparing (€)],"&gt;0",uitkomst_doelgroep[Uitgangssituatie/effect beleid],uitkomst_tech[[#This Row],[Uitgangssituatie/effect beleid]])</f>
        <v>29302.789131640577</v>
      </c>
      <c r="G350" s="398">
        <f>SUMIFS(uitkomst_doelgroep[Arbeidsbesparing (€)],uitkomst_doelgroep[Digitale zorgtoepassing],B350,uitkomst_doelgroep[Jaar],D350,uitkomst_doelgroep[Arbeidsbesparing (€)],"&gt;0",uitkomst_doelgroep[Uitgangssituatie/effect beleid],uitkomst_tech[[#This Row],[Uitgangssituatie/effect beleid]])</f>
        <v>40430779.282768905</v>
      </c>
      <c r="H350" s="398">
        <f>SUMIFS(uitkomst_doelgroep[Arbeidsbesparing (FTE)],uitkomst_doelgroep[Digitale zorgtoepassing],B350,uitkomst_doelgroep[Jaar],D350,uitkomst_doelgroep[Arbeidsbesparing (FTE)],"&gt;0",uitkomst_doelgroep[Uitgangssituatie/effect beleid],uitkomst_tech[[#This Row],[Uitgangssituatie/effect beleid]])</f>
        <v>952.34064677831884</v>
      </c>
      <c r="I350" s="398">
        <f>SUMIFS(uitkomst_doelgroep[Overige besparingen (€)],uitkomst_doelgroep[Digitale zorgtoepassing],B350,uitkomst_doelgroep[Jaar],D350,uitkomst_doelgroep[Overige besparingen (€)],"&gt;0",uitkomst_doelgroep[Uitgangssituatie/effect beleid],uitkomst_tech[[#This Row],[Uitgangssituatie/effect beleid]])</f>
        <v>19913667.407930952</v>
      </c>
      <c r="J350" s="398">
        <f>SUMIFS(uitkomst_doelgroep[QALY (€)],uitkomst_doelgroep[Digitale zorgtoepassing],B350,uitkomst_doelgroep[Jaar],D350,uitkomst_doelgroep[QALY (€)],"&gt;0",uitkomst_doelgroep[Uitgangssituatie/effect beleid],uitkomst_tech[[#This Row],[Uitgangssituatie/effect beleid]])</f>
        <v>0</v>
      </c>
      <c r="K350" s="398">
        <f>SUMIFS(uitkomst_doelgroep[Kosten (€)],uitkomst_doelgroep[Digitale zorgtoepassing],B350,uitkomst_doelgroep[Jaar],D350,uitkomst_doelgroep[Kosten (€)],"&gt;0",uitkomst_doelgroep[Uitgangssituatie/effect beleid],uitkomst_tech[[#This Row],[Uitgangssituatie/effect beleid]])</f>
        <v>15585933.768201131</v>
      </c>
      <c r="L350" s="398">
        <f>SUMIFS(uitkomst_doelgroep[Investering (cash flow) (€)],uitkomst_doelgroep[Digitale zorgtoepassing],B350,uitkomst_doelgroep[Jaar],D350,uitkomst_doelgroep[Investering (cash flow) (€)],"&gt;0",uitkomst_doelgroep[Uitgangssituatie/effect beleid],uitkomst_tech[[#This Row],[Uitgangssituatie/effect beleid]])</f>
        <v>2042419.164993912</v>
      </c>
    </row>
    <row r="351" spans="1:12" x14ac:dyDescent="0.5">
      <c r="A351" s="42" t="str">
        <f>INDEX(Technologieën[Veld],MATCH(B351,Technologieën[Digitale zorgtoepassing],0))</f>
        <v>Digitale hulpmiddelen - Verpleging</v>
      </c>
      <c r="B351" s="33" t="s">
        <v>19</v>
      </c>
      <c r="C351" s="33" t="s">
        <v>812</v>
      </c>
      <c r="D351" s="33">
        <v>2030</v>
      </c>
      <c r="E351" s="2">
        <v>234</v>
      </c>
      <c r="F351" s="397">
        <f>SUMIFS(uitkomst_doelgroep[Patiëntaantallen],uitkomst_doelgroep[Digitale zorgtoepassing],B351,uitkomst_doelgroep[Jaar],D351,uitkomst_doelgroep[Arbeidsbesparing (€)],"&gt;0",uitkomst_doelgroep[Uitgangssituatie/effect beleid],uitkomst_tech[[#This Row],[Uitgangssituatie/effect beleid]])</f>
        <v>32446.470402961484</v>
      </c>
      <c r="G351" s="398">
        <f>SUMIFS(uitkomst_doelgroep[Arbeidsbesparing (€)],uitkomst_doelgroep[Digitale zorgtoepassing],B351,uitkomst_doelgroep[Jaar],D351,uitkomst_doelgroep[Arbeidsbesparing (€)],"&gt;0",uitkomst_doelgroep[Uitgangssituatie/effect beleid],uitkomst_tech[[#This Row],[Uitgangssituatie/effect beleid]])</f>
        <v>44768300.978917211</v>
      </c>
      <c r="H351" s="398">
        <f>SUMIFS(uitkomst_doelgroep[Arbeidsbesparing (FTE)],uitkomst_doelgroep[Digitale zorgtoepassing],B351,uitkomst_doelgroep[Jaar],D351,uitkomst_doelgroep[Arbeidsbesparing (FTE)],"&gt;0",uitkomst_doelgroep[Uitgangssituatie/effect beleid],uitkomst_tech[[#This Row],[Uitgangssituatie/effect beleid]])</f>
        <v>1054.5102880962481</v>
      </c>
      <c r="I351" s="398">
        <f>SUMIFS(uitkomst_doelgroep[Overige besparingen (€)],uitkomst_doelgroep[Digitale zorgtoepassing],B351,uitkomst_doelgroep[Jaar],D351,uitkomst_doelgroep[Overige besparingen (€)],"&gt;0",uitkomst_doelgroep[Uitgangssituatie/effect beleid],uitkomst_tech[[#This Row],[Uitgangssituatie/effect beleid]])</f>
        <v>22050058.69110848</v>
      </c>
      <c r="J351" s="398">
        <f>SUMIFS(uitkomst_doelgroep[QALY (€)],uitkomst_doelgroep[Digitale zorgtoepassing],B351,uitkomst_doelgroep[Jaar],D351,uitkomst_doelgroep[QALY (€)],"&gt;0",uitkomst_doelgroep[Uitgangssituatie/effect beleid],uitkomst_tech[[#This Row],[Uitgangssituatie/effect beleid]])</f>
        <v>0</v>
      </c>
      <c r="K351" s="398">
        <f>SUMIFS(uitkomst_doelgroep[Kosten (€)],uitkomst_doelgroep[Digitale zorgtoepassing],B351,uitkomst_doelgroep[Jaar],D351,uitkomst_doelgroep[Kosten (€)],"&gt;0",uitkomst_doelgroep[Uitgangssituatie/effect beleid],uitkomst_tech[[#This Row],[Uitgangssituatie/effect beleid]])</f>
        <v>17258034.25880719</v>
      </c>
      <c r="L351" s="398">
        <f>SUMIFS(uitkomst_doelgroep[Investering (cash flow) (€)],uitkomst_doelgroep[Digitale zorgtoepassing],B351,uitkomst_doelgroep[Jaar],D351,uitkomst_doelgroep[Investering (cash flow) (€)],"&gt;0",uitkomst_doelgroep[Uitgangssituatie/effect beleid],uitkomst_tech[[#This Row],[Uitgangssituatie/effect beleid]])</f>
        <v>1474373.8427927564</v>
      </c>
    </row>
    <row r="352" spans="1:12" x14ac:dyDescent="0.5">
      <c r="A352" s="42" t="str">
        <f>INDEX(Technologieën[Veld],MATCH(B352,Technologieën[Digitale zorgtoepassing],0))</f>
        <v>Digitale hulpmiddelen - Verpleging</v>
      </c>
      <c r="B352" s="33" t="s">
        <v>19</v>
      </c>
      <c r="C352" s="33" t="s">
        <v>812</v>
      </c>
      <c r="D352" s="33">
        <v>2031</v>
      </c>
      <c r="E352" s="2">
        <v>266</v>
      </c>
      <c r="F352" s="397">
        <f>SUMIFS(uitkomst_doelgroep[Patiëntaantallen],uitkomst_doelgroep[Digitale zorgtoepassing],B352,uitkomst_doelgroep[Jaar],D352,uitkomst_doelgroep[Arbeidsbesparing (€)],"&gt;0",uitkomst_doelgroep[Uitgangssituatie/effect beleid],uitkomst_tech[[#This Row],[Uitgangssituatie/effect beleid]])</f>
        <v>35011.080765513616</v>
      </c>
      <c r="G352" s="398">
        <f>SUMIFS(uitkomst_doelgroep[Arbeidsbesparing (€)],uitkomst_doelgroep[Digitale zorgtoepassing],B352,uitkomst_doelgroep[Jaar],D352,uitkomst_doelgroep[Arbeidsbesparing (€)],"&gt;0",uitkomst_doelgroep[Uitgangssituatie/effect beleid],uitkomst_tech[[#This Row],[Uitgangssituatie/effect beleid]])</f>
        <v>48306844.530141339</v>
      </c>
      <c r="H352" s="398">
        <f>SUMIFS(uitkomst_doelgroep[Arbeidsbesparing (FTE)],uitkomst_doelgroep[Digitale zorgtoepassing],B352,uitkomst_doelgroep[Jaar],D352,uitkomst_doelgroep[Arbeidsbesparing (FTE)],"&gt;0",uitkomst_doelgroep[Uitgangssituatie/effect beleid],uitkomst_tech[[#This Row],[Uitgangssituatie/effect beleid]])</f>
        <v>1137.8601248791924</v>
      </c>
      <c r="I352" s="398">
        <f>SUMIFS(uitkomst_doelgroep[Overige besparingen (€)],uitkomst_doelgroep[Digitale zorgtoepassing],B352,uitkomst_doelgroep[Jaar],D352,uitkomst_doelgroep[Overige besparingen (€)],"&gt;0",uitkomst_doelgroep[Uitgangssituatie/effect beleid],uitkomst_tech[[#This Row],[Uitgangssituatie/effect beleid]])</f>
        <v>23792923.425293498</v>
      </c>
      <c r="J352" s="398">
        <f>SUMIFS(uitkomst_doelgroep[QALY (€)],uitkomst_doelgroep[Digitale zorgtoepassing],B352,uitkomst_doelgroep[Jaar],D352,uitkomst_doelgroep[QALY (€)],"&gt;0",uitkomst_doelgroep[Uitgangssituatie/effect beleid],uitkomst_tech[[#This Row],[Uitgangssituatie/effect beleid]])</f>
        <v>0</v>
      </c>
      <c r="K352" s="398">
        <f>SUMIFS(uitkomst_doelgroep[Kosten (€)],uitkomst_doelgroep[Digitale zorgtoepassing],B352,uitkomst_doelgroep[Jaar],D352,uitkomst_doelgroep[Kosten (€)],"&gt;0",uitkomst_doelgroep[Uitgangssituatie/effect beleid],uitkomst_tech[[#This Row],[Uitgangssituatie/effect beleid]])</f>
        <v>18622131.276070949</v>
      </c>
      <c r="L352" s="398">
        <f>SUMIFS(uitkomst_doelgroep[Investering (cash flow) (€)],uitkomst_doelgroep[Digitale zorgtoepassing],B352,uitkomst_doelgroep[Jaar],D352,uitkomst_doelgroep[Investering (cash flow) (€)],"&gt;0",uitkomst_doelgroep[Uitgangssituatie/effect beleid],uitkomst_tech[[#This Row],[Uitgangssituatie/effect beleid]])</f>
        <v>991898.98830934416</v>
      </c>
    </row>
    <row r="353" spans="1:12" x14ac:dyDescent="0.5">
      <c r="A353" s="42" t="str">
        <f>INDEX(Technologieën[Veld],MATCH(B353,Technologieën[Digitale zorgtoepassing],0))</f>
        <v>Digitale hulpmiddelen - Verpleging</v>
      </c>
      <c r="B353" s="33" t="s">
        <v>19</v>
      </c>
      <c r="C353" s="33" t="s">
        <v>812</v>
      </c>
      <c r="D353" s="33">
        <v>2032</v>
      </c>
      <c r="E353" s="2">
        <v>298</v>
      </c>
      <c r="F353" s="397">
        <f>SUMIFS(uitkomst_doelgroep[Patiëntaantallen],uitkomst_doelgroep[Digitale zorgtoepassing],B353,uitkomst_doelgroep[Jaar],D353,uitkomst_doelgroep[Arbeidsbesparing (€)],"&gt;0",uitkomst_doelgroep[Uitgangssituatie/effect beleid],uitkomst_tech[[#This Row],[Uitgangssituatie/effect beleid]])</f>
        <v>37072.486517707366</v>
      </c>
      <c r="G353" s="398">
        <f>SUMIFS(uitkomst_doelgroep[Arbeidsbesparing (€)],uitkomst_doelgroep[Digitale zorgtoepassing],B353,uitkomst_doelgroep[Jaar],D353,uitkomst_doelgroep[Arbeidsbesparing (€)],"&gt;0",uitkomst_doelgroep[Uitgangssituatie/effect beleid],uitkomst_tech[[#This Row],[Uitgangssituatie/effect beleid]])</f>
        <v>51151087.124413103</v>
      </c>
      <c r="H353" s="398">
        <f>SUMIFS(uitkomst_doelgroep[Arbeidsbesparing (FTE)],uitkomst_doelgroep[Digitale zorgtoepassing],B353,uitkomst_doelgroep[Jaar],D353,uitkomst_doelgroep[Arbeidsbesparing (FTE)],"&gt;0",uitkomst_doelgroep[Uitgangssituatie/effect beleid],uitkomst_tech[[#This Row],[Uitgangssituatie/effect beleid]])</f>
        <v>1204.8558118254896</v>
      </c>
      <c r="I353" s="398">
        <f>SUMIFS(uitkomst_doelgroep[Overige besparingen (€)],uitkomst_doelgroep[Digitale zorgtoepassing],B353,uitkomst_doelgroep[Jaar],D353,uitkomst_doelgroep[Overige besparingen (€)],"&gt;0",uitkomst_doelgroep[Uitgangssituatie/effect beleid],uitkomst_tech[[#This Row],[Uitgangssituatie/effect beleid]])</f>
        <v>25193819.03142735</v>
      </c>
      <c r="J353" s="398">
        <f>SUMIFS(uitkomst_doelgroep[QALY (€)],uitkomst_doelgroep[Digitale zorgtoepassing],B353,uitkomst_doelgroep[Jaar],D353,uitkomst_doelgroep[QALY (€)],"&gt;0",uitkomst_doelgroep[Uitgangssituatie/effect beleid],uitkomst_tech[[#This Row],[Uitgangssituatie/effect beleid]])</f>
        <v>0</v>
      </c>
      <c r="K353" s="398">
        <f>SUMIFS(uitkomst_doelgroep[Kosten (€)],uitkomst_doelgroep[Digitale zorgtoepassing],B353,uitkomst_doelgroep[Jaar],D353,uitkomst_doelgroep[Kosten (€)],"&gt;0",uitkomst_doelgroep[Uitgangssituatie/effect beleid],uitkomst_tech[[#This Row],[Uitgangssituatie/effect beleid]])</f>
        <v>19718577.53511966</v>
      </c>
      <c r="L353" s="398">
        <f>SUMIFS(uitkomst_doelgroep[Investering (cash flow) (€)],uitkomst_doelgroep[Digitale zorgtoepassing],B353,uitkomst_doelgroep[Jaar],D353,uitkomst_doelgroep[Investering (cash flow) (€)],"&gt;0",uitkomst_doelgroep[Uitgangssituatie/effect beleid],uitkomst_tech[[#This Row],[Uitgangssituatie/effect beleid]])</f>
        <v>633143.67550077999</v>
      </c>
    </row>
    <row r="354" spans="1:12" x14ac:dyDescent="0.5">
      <c r="A354" s="42" t="str">
        <f>INDEX(Technologieën[Veld],MATCH(B354,Technologieën[Digitale zorgtoepassing],0))</f>
        <v>Digitale hulpmiddelen - Verpleging</v>
      </c>
      <c r="B354" s="33" t="s">
        <v>19</v>
      </c>
      <c r="C354" s="33" t="s">
        <v>812</v>
      </c>
      <c r="D354" s="33">
        <v>2033</v>
      </c>
      <c r="E354" s="2">
        <v>330</v>
      </c>
      <c r="F354" s="397">
        <f>SUMIFS(uitkomst_doelgroep[Patiëntaantallen],uitkomst_doelgroep[Digitale zorgtoepassing],B354,uitkomst_doelgroep[Jaar],D354,uitkomst_doelgroep[Arbeidsbesparing (€)],"&gt;0",uitkomst_doelgroep[Uitgangssituatie/effect beleid],uitkomst_tech[[#This Row],[Uitgangssituatie/effect beleid]])</f>
        <v>38726.384735392741</v>
      </c>
      <c r="G354" s="398">
        <f>SUMIFS(uitkomst_doelgroep[Arbeidsbesparing (€)],uitkomst_doelgroep[Digitale zorgtoepassing],B354,uitkomst_doelgroep[Jaar],D354,uitkomst_doelgroep[Arbeidsbesparing (€)],"&gt;0",uitkomst_doelgroep[Uitgangssituatie/effect beleid],uitkomst_tech[[#This Row],[Uitgangssituatie/effect beleid]])</f>
        <v>53433067.638110995</v>
      </c>
      <c r="H354" s="398">
        <f>SUMIFS(uitkomst_doelgroep[Arbeidsbesparing (FTE)],uitkomst_doelgroep[Digitale zorgtoepassing],B354,uitkomst_doelgroep[Jaar],D354,uitkomst_doelgroep[Arbeidsbesparing (FTE)],"&gt;0",uitkomst_doelgroep[Uitgangssituatie/effect beleid],uitkomst_tech[[#This Row],[Uitgangssituatie/effect beleid]])</f>
        <v>1258.6075039002642</v>
      </c>
      <c r="I354" s="398">
        <f>SUMIFS(uitkomst_doelgroep[Overige besparingen (€)],uitkomst_doelgroep[Digitale zorgtoepassing],B354,uitkomst_doelgroep[Jaar],D354,uitkomst_doelgroep[Overige besparingen (€)],"&gt;0",uitkomst_doelgroep[Uitgangssituatie/effect beleid],uitkomst_tech[[#This Row],[Uitgangssituatie/effect beleid]])</f>
        <v>26317779.58295019</v>
      </c>
      <c r="J354" s="398">
        <f>SUMIFS(uitkomst_doelgroep[QALY (€)],uitkomst_doelgroep[Digitale zorgtoepassing],B354,uitkomst_doelgroep[Jaar],D354,uitkomst_doelgroep[QALY (€)],"&gt;0",uitkomst_doelgroep[Uitgangssituatie/effect beleid],uitkomst_tech[[#This Row],[Uitgangssituatie/effect beleid]])</f>
        <v>0</v>
      </c>
      <c r="K354" s="398">
        <f>SUMIFS(uitkomst_doelgroep[Kosten (€)],uitkomst_doelgroep[Digitale zorgtoepassing],B354,uitkomst_doelgroep[Jaar],D354,uitkomst_doelgroep[Kosten (€)],"&gt;0",uitkomst_doelgroep[Uitgangssituatie/effect beleid],uitkomst_tech[[#This Row],[Uitgangssituatie/effect beleid]])</f>
        <v>20598273.592869882</v>
      </c>
      <c r="L354" s="398">
        <f>SUMIFS(uitkomst_doelgroep[Investering (cash flow) (€)],uitkomst_doelgroep[Digitale zorgtoepassing],B354,uitkomst_doelgroep[Jaar],D354,uitkomst_doelgroep[Investering (cash flow) (€)],"&gt;0",uitkomst_doelgroep[Uitgangssituatie/effect beleid],uitkomst_tech[[#This Row],[Uitgangssituatie/effect beleid]])</f>
        <v>389775.12735814007</v>
      </c>
    </row>
    <row r="355" spans="1:12" x14ac:dyDescent="0.5">
      <c r="A355" s="42" t="str">
        <f>INDEX(Technologieën[Veld],MATCH(B355,Technologieën[Digitale zorgtoepassing],0))</f>
        <v>Software - Diagnose</v>
      </c>
      <c r="B355" s="33" t="s">
        <v>56</v>
      </c>
      <c r="C355" s="33" t="s">
        <v>812</v>
      </c>
      <c r="D355" s="33">
        <v>2023</v>
      </c>
      <c r="E355" s="2">
        <v>32</v>
      </c>
      <c r="F355" s="397">
        <f>SUMIFS(uitkomst_doelgroep[Patiëntaantallen],uitkomst_doelgroep[Digitale zorgtoepassing],B355,uitkomst_doelgroep[Jaar],D355,uitkomst_doelgroep[Arbeidsbesparing (€)],"&gt;0",uitkomst_doelgroep[Uitgangssituatie/effect beleid],uitkomst_tech[[#This Row],[Uitgangssituatie/effect beleid]])</f>
        <v>200000</v>
      </c>
      <c r="G355" s="398">
        <f>SUMIFS(uitkomst_doelgroep[Arbeidsbesparing (€)],uitkomst_doelgroep[Digitale zorgtoepassing],B355,uitkomst_doelgroep[Jaar],D355,uitkomst_doelgroep[Arbeidsbesparing (€)],"&gt;0",uitkomst_doelgroep[Uitgangssituatie/effect beleid],uitkomst_tech[[#This Row],[Uitgangssituatie/effect beleid]])</f>
        <v>228471.26436781615</v>
      </c>
      <c r="H355" s="398">
        <f>SUMIFS(uitkomst_doelgroep[Arbeidsbesparing (FTE)],uitkomst_doelgroep[Digitale zorgtoepassing],B355,uitkomst_doelgroep[Jaar],D355,uitkomst_doelgroep[Arbeidsbesparing (FTE)],"&gt;0",uitkomst_doelgroep[Uitgangssituatie/effect beleid],uitkomst_tech[[#This Row],[Uitgangssituatie/effect beleid]])</f>
        <v>3.8461538461538467</v>
      </c>
      <c r="I355" s="398">
        <f>SUMIFS(uitkomst_doelgroep[Overige besparingen (€)],uitkomst_doelgroep[Digitale zorgtoepassing],B355,uitkomst_doelgroep[Jaar],D355,uitkomst_doelgroep[Overige besparingen (€)],"&gt;0",uitkomst_doelgroep[Uitgangssituatie/effect beleid],uitkomst_tech[[#This Row],[Uitgangssituatie/effect beleid]])</f>
        <v>0</v>
      </c>
      <c r="J355" s="398">
        <f>SUMIFS(uitkomst_doelgroep[QALY (€)],uitkomst_doelgroep[Digitale zorgtoepassing],B355,uitkomst_doelgroep[Jaar],D355,uitkomst_doelgroep[QALY (€)],"&gt;0",uitkomst_doelgroep[Uitgangssituatie/effect beleid],uitkomst_tech[[#This Row],[Uitgangssituatie/effect beleid]])</f>
        <v>0</v>
      </c>
      <c r="K355" s="398">
        <f>SUMIFS(uitkomst_doelgroep[Kosten (€)],uitkomst_doelgroep[Digitale zorgtoepassing],B355,uitkomst_doelgroep[Jaar],D355,uitkomst_doelgroep[Kosten (€)],"&gt;0",uitkomst_doelgroep[Uitgangssituatie/effect beleid],uitkomst_tech[[#This Row],[Uitgangssituatie/effect beleid]])</f>
        <v>194162.12520825965</v>
      </c>
      <c r="L355" s="398">
        <f>SUMIFS(uitkomst_doelgroep[Investering (cash flow) (€)],uitkomst_doelgroep[Digitale zorgtoepassing],B355,uitkomst_doelgroep[Jaar],D355,uitkomst_doelgroep[Investering (cash flow) (€)],"&gt;0",uitkomst_doelgroep[Uitgangssituatie/effect beleid],uitkomst_tech[[#This Row],[Uitgangssituatie/effect beleid]])</f>
        <v>0</v>
      </c>
    </row>
    <row r="356" spans="1:12" x14ac:dyDescent="0.5">
      <c r="A356" s="42" t="str">
        <f>INDEX(Technologieën[Veld],MATCH(B356,Technologieën[Digitale zorgtoepassing],0))</f>
        <v>Software - Diagnose</v>
      </c>
      <c r="B356" s="33" t="s">
        <v>56</v>
      </c>
      <c r="C356" s="33" t="s">
        <v>812</v>
      </c>
      <c r="D356" s="33">
        <v>2024</v>
      </c>
      <c r="E356" s="2">
        <v>64</v>
      </c>
      <c r="F356" s="397">
        <f>SUMIFS(uitkomst_doelgroep[Patiëntaantallen],uitkomst_doelgroep[Digitale zorgtoepassing],B356,uitkomst_doelgroep[Jaar],D356,uitkomst_doelgroep[Arbeidsbesparing (€)],"&gt;0",uitkomst_doelgroep[Uitgangssituatie/effect beleid],uitkomst_tech[[#This Row],[Uitgangssituatie/effect beleid]])</f>
        <v>292000.00000000006</v>
      </c>
      <c r="G356" s="398">
        <f>SUMIFS(uitkomst_doelgroep[Arbeidsbesparing (€)],uitkomst_doelgroep[Digitale zorgtoepassing],B356,uitkomst_doelgroep[Jaar],D356,uitkomst_doelgroep[Arbeidsbesparing (€)],"&gt;0",uitkomst_doelgroep[Uitgangssituatie/effect beleid],uitkomst_tech[[#This Row],[Uitgangssituatie/effect beleid]])</f>
        <v>333568.04597701161</v>
      </c>
      <c r="H356" s="398">
        <f>SUMIFS(uitkomst_doelgroep[Arbeidsbesparing (FTE)],uitkomst_doelgroep[Digitale zorgtoepassing],B356,uitkomst_doelgroep[Jaar],D356,uitkomst_doelgroep[Arbeidsbesparing (FTE)],"&gt;0",uitkomst_doelgroep[Uitgangssituatie/effect beleid],uitkomst_tech[[#This Row],[Uitgangssituatie/effect beleid]])</f>
        <v>5.6153846153846168</v>
      </c>
      <c r="I356" s="398">
        <f>SUMIFS(uitkomst_doelgroep[Overige besparingen (€)],uitkomst_doelgroep[Digitale zorgtoepassing],B356,uitkomst_doelgroep[Jaar],D356,uitkomst_doelgroep[Overige besparingen (€)],"&gt;0",uitkomst_doelgroep[Uitgangssituatie/effect beleid],uitkomst_tech[[#This Row],[Uitgangssituatie/effect beleid]])</f>
        <v>0</v>
      </c>
      <c r="J356" s="398">
        <f>SUMIFS(uitkomst_doelgroep[QALY (€)],uitkomst_doelgroep[Digitale zorgtoepassing],B356,uitkomst_doelgroep[Jaar],D356,uitkomst_doelgroep[QALY (€)],"&gt;0",uitkomst_doelgroep[Uitgangssituatie/effect beleid],uitkomst_tech[[#This Row],[Uitgangssituatie/effect beleid]])</f>
        <v>0</v>
      </c>
      <c r="K356" s="398">
        <f>SUMIFS(uitkomst_doelgroep[Kosten (€)],uitkomst_doelgroep[Digitale zorgtoepassing],B356,uitkomst_doelgroep[Jaar],D356,uitkomst_doelgroep[Kosten (€)],"&gt;0",uitkomst_doelgroep[Uitgangssituatie/effect beleid],uitkomst_tech[[#This Row],[Uitgangssituatie/effect beleid]])</f>
        <v>283476.70280405908</v>
      </c>
      <c r="L356" s="398">
        <f>SUMIFS(uitkomst_doelgroep[Investering (cash flow) (€)],uitkomst_doelgroep[Digitale zorgtoepassing],B356,uitkomst_doelgroep[Jaar],D356,uitkomst_doelgroep[Investering (cash flow) (€)],"&gt;0",uitkomst_doelgroep[Uitgangssituatie/effect beleid],uitkomst_tech[[#This Row],[Uitgangssituatie/effect beleid]])</f>
        <v>0</v>
      </c>
    </row>
    <row r="357" spans="1:12" x14ac:dyDescent="0.5">
      <c r="A357" s="42" t="str">
        <f>INDEX(Technologieën[Veld],MATCH(B357,Technologieën[Digitale zorgtoepassing],0))</f>
        <v>Software - Diagnose</v>
      </c>
      <c r="B357" s="33" t="s">
        <v>56</v>
      </c>
      <c r="C357" s="33" t="s">
        <v>812</v>
      </c>
      <c r="D357" s="33">
        <v>2025</v>
      </c>
      <c r="E357" s="2">
        <v>96</v>
      </c>
      <c r="F357" s="397">
        <f>SUMIFS(uitkomst_doelgroep[Patiëntaantallen],uitkomst_doelgroep[Digitale zorgtoepassing],B357,uitkomst_doelgroep[Jaar],D357,uitkomst_doelgroep[Arbeidsbesparing (€)],"&gt;0",uitkomst_doelgroep[Uitgangssituatie/effect beleid],uitkomst_tech[[#This Row],[Uitgangssituatie/effect beleid]])</f>
        <v>402731.20000000007</v>
      </c>
      <c r="G357" s="398">
        <f>SUMIFS(uitkomst_doelgroep[Arbeidsbesparing (€)],uitkomst_doelgroep[Digitale zorgtoepassing],B357,uitkomst_doelgroep[Jaar],D357,uitkomst_doelgroep[Arbeidsbesparing (€)],"&gt;0",uitkomst_doelgroep[Uitgangssituatie/effect beleid],uitkomst_tech[[#This Row],[Uitgangssituatie/effect beleid]])</f>
        <v>460062.53232183924</v>
      </c>
      <c r="H357" s="398">
        <f>SUMIFS(uitkomst_doelgroep[Arbeidsbesparing (FTE)],uitkomst_doelgroep[Digitale zorgtoepassing],B357,uitkomst_doelgroep[Jaar],D357,uitkomst_doelgroep[Arbeidsbesparing (FTE)],"&gt;0",uitkomst_doelgroep[Uitgangssituatie/effect beleid],uitkomst_tech[[#This Row],[Uitgangssituatie/effect beleid]])</f>
        <v>7.7448307692307718</v>
      </c>
      <c r="I357" s="398">
        <f>SUMIFS(uitkomst_doelgroep[Overige besparingen (€)],uitkomst_doelgroep[Digitale zorgtoepassing],B357,uitkomst_doelgroep[Jaar],D357,uitkomst_doelgroep[Overige besparingen (€)],"&gt;0",uitkomst_doelgroep[Uitgangssituatie/effect beleid],uitkomst_tech[[#This Row],[Uitgangssituatie/effect beleid]])</f>
        <v>0</v>
      </c>
      <c r="J357" s="398">
        <f>SUMIFS(uitkomst_doelgroep[QALY (€)],uitkomst_doelgroep[Digitale zorgtoepassing],B357,uitkomst_doelgroep[Jaar],D357,uitkomst_doelgroep[QALY (€)],"&gt;0",uitkomst_doelgroep[Uitgangssituatie/effect beleid],uitkomst_tech[[#This Row],[Uitgangssituatie/effect beleid]])</f>
        <v>0</v>
      </c>
      <c r="K357" s="398">
        <f>SUMIFS(uitkomst_doelgroep[Kosten (€)],uitkomst_doelgroep[Digitale zorgtoepassing],B357,uitkomst_doelgroep[Jaar],D357,uitkomst_doelgroep[Kosten (€)],"&gt;0",uitkomst_doelgroep[Uitgangssituatie/effect beleid],uitkomst_tech[[#This Row],[Uitgangssituatie/effect beleid]])</f>
        <v>390975.72839836334</v>
      </c>
      <c r="L357" s="398">
        <f>SUMIFS(uitkomst_doelgroep[Investering (cash flow) (€)],uitkomst_doelgroep[Digitale zorgtoepassing],B357,uitkomst_doelgroep[Jaar],D357,uitkomst_doelgroep[Investering (cash flow) (€)],"&gt;0",uitkomst_doelgroep[Uitgangssituatie/effect beleid],uitkomst_tech[[#This Row],[Uitgangssituatie/effect beleid]])</f>
        <v>0</v>
      </c>
    </row>
    <row r="358" spans="1:12" x14ac:dyDescent="0.5">
      <c r="A358" s="42" t="str">
        <f>INDEX(Technologieën[Veld],MATCH(B358,Technologieën[Digitale zorgtoepassing],0))</f>
        <v>Software - Diagnose</v>
      </c>
      <c r="B358" s="33" t="s">
        <v>56</v>
      </c>
      <c r="C358" s="33" t="s">
        <v>812</v>
      </c>
      <c r="D358" s="33">
        <v>2026</v>
      </c>
      <c r="E358" s="2">
        <v>128</v>
      </c>
      <c r="F358" s="397">
        <f>SUMIFS(uitkomst_doelgroep[Patiëntaantallen],uitkomst_doelgroep[Digitale zorgtoepassing],B358,uitkomst_doelgroep[Jaar],D358,uitkomst_doelgroep[Arbeidsbesparing (€)],"&gt;0",uitkomst_doelgroep[Uitgangssituatie/effect beleid],uitkomst_tech[[#This Row],[Uitgangssituatie/effect beleid]])</f>
        <v>525905.37124595209</v>
      </c>
      <c r="G358" s="398">
        <f>SUMIFS(uitkomst_doelgroep[Arbeidsbesparing (€)],uitkomst_doelgroep[Digitale zorgtoepassing],B358,uitkomst_doelgroep[Jaar],D358,uitkomst_doelgroep[Arbeidsbesparing (€)],"&gt;0",uitkomst_doelgroep[Uitgangssituatie/effect beleid],uitkomst_tech[[#This Row],[Uitgangssituatie/effect beleid]])</f>
        <v>600771.32553194195</v>
      </c>
      <c r="H358" s="398">
        <f>SUMIFS(uitkomst_doelgroep[Arbeidsbesparing (FTE)],uitkomst_doelgroep[Digitale zorgtoepassing],B358,uitkomst_doelgroep[Jaar],D358,uitkomst_doelgroep[Arbeidsbesparing (FTE)],"&gt;0",uitkomst_doelgroep[Uitgangssituatie/effect beleid],uitkomst_tech[[#This Row],[Uitgangssituatie/effect beleid]])</f>
        <v>10.113564831652926</v>
      </c>
      <c r="I358" s="398">
        <f>SUMIFS(uitkomst_doelgroep[Overige besparingen (€)],uitkomst_doelgroep[Digitale zorgtoepassing],B358,uitkomst_doelgroep[Jaar],D358,uitkomst_doelgroep[Overige besparingen (€)],"&gt;0",uitkomst_doelgroep[Uitgangssituatie/effect beleid],uitkomst_tech[[#This Row],[Uitgangssituatie/effect beleid]])</f>
        <v>0</v>
      </c>
      <c r="J358" s="398">
        <f>SUMIFS(uitkomst_doelgroep[QALY (€)],uitkomst_doelgroep[Digitale zorgtoepassing],B358,uitkomst_doelgroep[Jaar],D358,uitkomst_doelgroep[QALY (€)],"&gt;0",uitkomst_doelgroep[Uitgangssituatie/effect beleid],uitkomst_tech[[#This Row],[Uitgangssituatie/effect beleid]])</f>
        <v>0</v>
      </c>
      <c r="K358" s="398">
        <f>SUMIFS(uitkomst_doelgroep[Kosten (€)],uitkomst_doelgroep[Digitale zorgtoepassing],B358,uitkomst_doelgroep[Jaar],D358,uitkomst_doelgroep[Kosten (€)],"&gt;0",uitkomst_doelgroep[Uitgangssituatie/effect beleid],uitkomst_tech[[#This Row],[Uitgangssituatie/effect beleid]])</f>
        <v>510554.52269776404</v>
      </c>
      <c r="L358" s="398">
        <f>SUMIFS(uitkomst_doelgroep[Investering (cash flow) (€)],uitkomst_doelgroep[Digitale zorgtoepassing],B358,uitkomst_doelgroep[Jaar],D358,uitkomst_doelgroep[Investering (cash flow) (€)],"&gt;0",uitkomst_doelgroep[Uitgangssituatie/effect beleid],uitkomst_tech[[#This Row],[Uitgangssituatie/effect beleid]])</f>
        <v>0</v>
      </c>
    </row>
    <row r="359" spans="1:12" x14ac:dyDescent="0.5">
      <c r="A359" s="42" t="str">
        <f>INDEX(Technologieën[Veld],MATCH(B359,Technologieën[Digitale zorgtoepassing],0))</f>
        <v>Software - Diagnose</v>
      </c>
      <c r="B359" s="33" t="s">
        <v>56</v>
      </c>
      <c r="C359" s="33" t="s">
        <v>812</v>
      </c>
      <c r="D359" s="33">
        <v>2027</v>
      </c>
      <c r="E359" s="2">
        <v>160</v>
      </c>
      <c r="F359" s="397">
        <f>SUMIFS(uitkomst_doelgroep[Patiëntaantallen],uitkomst_doelgroep[Digitale zorgtoepassing],B359,uitkomst_doelgroep[Jaar],D359,uitkomst_doelgroep[Arbeidsbesparing (€)],"&gt;0",uitkomst_doelgroep[Uitgangssituatie/effect beleid],uitkomst_tech[[#This Row],[Uitgangssituatie/effect beleid]])</f>
        <v>649955.74724807753</v>
      </c>
      <c r="G359" s="398">
        <f>SUMIFS(uitkomst_doelgroep[Arbeidsbesparing (€)],uitkomst_doelgroep[Digitale zorgtoepassing],B359,uitkomst_doelgroep[Jaar],D359,uitkomst_doelgroep[Arbeidsbesparing (€)],"&gt;0",uitkomst_doelgroep[Uitgangssituatie/effect beleid],uitkomst_tech[[#This Row],[Uitgangssituatie/effect beleid]])</f>
        <v>742481.056784485</v>
      </c>
      <c r="H359" s="398">
        <f>SUMIFS(uitkomst_doelgroep[Arbeidsbesparing (FTE)],uitkomst_doelgroep[Digitale zorgtoepassing],B359,uitkomst_doelgroep[Jaar],D359,uitkomst_doelgroep[Arbeidsbesparing (FTE)],"&gt;0",uitkomst_doelgroep[Uitgangssituatie/effect beleid],uitkomst_tech[[#This Row],[Uitgangssituatie/effect beleid]])</f>
        <v>12.499148985539954</v>
      </c>
      <c r="I359" s="398">
        <f>SUMIFS(uitkomst_doelgroep[Overige besparingen (€)],uitkomst_doelgroep[Digitale zorgtoepassing],B359,uitkomst_doelgroep[Jaar],D359,uitkomst_doelgroep[Overige besparingen (€)],"&gt;0",uitkomst_doelgroep[Uitgangssituatie/effect beleid],uitkomst_tech[[#This Row],[Uitgangssituatie/effect beleid]])</f>
        <v>0</v>
      </c>
      <c r="J359" s="398">
        <f>SUMIFS(uitkomst_doelgroep[QALY (€)],uitkomst_doelgroep[Digitale zorgtoepassing],B359,uitkomst_doelgroep[Jaar],D359,uitkomst_doelgroep[QALY (€)],"&gt;0",uitkomst_doelgroep[Uitgangssituatie/effect beleid],uitkomst_tech[[#This Row],[Uitgangssituatie/effect beleid]])</f>
        <v>0</v>
      </c>
      <c r="K359" s="398">
        <f>SUMIFS(uitkomst_doelgroep[Kosten (€)],uitkomst_doelgroep[Digitale zorgtoepassing],B359,uitkomst_doelgroep[Jaar],D359,uitkomst_doelgroep[Kosten (€)],"&gt;0",uitkomst_doelgroep[Uitgangssituatie/effect beleid],uitkomst_tech[[#This Row],[Uitgangssituatie/effect beleid]])</f>
        <v>630983.9458850458</v>
      </c>
      <c r="L359" s="398">
        <f>SUMIFS(uitkomst_doelgroep[Investering (cash flow) (€)],uitkomst_doelgroep[Digitale zorgtoepassing],B359,uitkomst_doelgroep[Jaar],D359,uitkomst_doelgroep[Investering (cash flow) (€)],"&gt;0",uitkomst_doelgroep[Uitgangssituatie/effect beleid],uitkomst_tech[[#This Row],[Uitgangssituatie/effect beleid]])</f>
        <v>0</v>
      </c>
    </row>
    <row r="360" spans="1:12" x14ac:dyDescent="0.5">
      <c r="A360" s="42" t="str">
        <f>INDEX(Technologieën[Veld],MATCH(B360,Technologieën[Digitale zorgtoepassing],0))</f>
        <v>Software - Diagnose</v>
      </c>
      <c r="B360" s="33" t="s">
        <v>56</v>
      </c>
      <c r="C360" s="33" t="s">
        <v>812</v>
      </c>
      <c r="D360" s="33">
        <v>2028</v>
      </c>
      <c r="E360" s="2">
        <v>192</v>
      </c>
      <c r="F360" s="397">
        <f>SUMIFS(uitkomst_doelgroep[Patiëntaantallen],uitkomst_doelgroep[Digitale zorgtoepassing],B360,uitkomst_doelgroep[Jaar],D360,uitkomst_doelgroep[Arbeidsbesparing (€)],"&gt;0",uitkomst_doelgroep[Uitgangssituatie/effect beleid],uitkomst_tech[[#This Row],[Uitgangssituatie/effect beleid]])</f>
        <v>761087.82680714736</v>
      </c>
      <c r="G360" s="398">
        <f>SUMIFS(uitkomst_doelgroep[Arbeidsbesparing (€)],uitkomst_doelgroep[Digitale zorgtoepassing],B360,uitkomst_doelgroep[Jaar],D360,uitkomst_doelgroep[Arbeidsbesparing (€)],"&gt;0",uitkomst_doelgroep[Uitgangssituatie/effect beleid],uitkomst_tech[[#This Row],[Uitgangssituatie/effect beleid]])</f>
        <v>869433.4904279121</v>
      </c>
      <c r="H360" s="398">
        <f>SUMIFS(uitkomst_doelgroep[Arbeidsbesparing (FTE)],uitkomst_doelgroep[Digitale zorgtoepassing],B360,uitkomst_doelgroep[Jaar],D360,uitkomst_doelgroep[Arbeidsbesparing (FTE)],"&gt;0",uitkomst_doelgroep[Uitgangssituatie/effect beleid],uitkomst_tech[[#This Row],[Uitgangssituatie/effect beleid]])</f>
        <v>14.636304361675913</v>
      </c>
      <c r="I360" s="398">
        <f>SUMIFS(uitkomst_doelgroep[Overige besparingen (€)],uitkomst_doelgroep[Digitale zorgtoepassing],B360,uitkomst_doelgroep[Jaar],D360,uitkomst_doelgroep[Overige besparingen (€)],"&gt;0",uitkomst_doelgroep[Uitgangssituatie/effect beleid],uitkomst_tech[[#This Row],[Uitgangssituatie/effect beleid]])</f>
        <v>0</v>
      </c>
      <c r="J360" s="398">
        <f>SUMIFS(uitkomst_doelgroep[QALY (€)],uitkomst_doelgroep[Digitale zorgtoepassing],B360,uitkomst_doelgroep[Jaar],D360,uitkomst_doelgroep[QALY (€)],"&gt;0",uitkomst_doelgroep[Uitgangssituatie/effect beleid],uitkomst_tech[[#This Row],[Uitgangssituatie/effect beleid]])</f>
        <v>0</v>
      </c>
      <c r="K360" s="398">
        <f>SUMIFS(uitkomst_doelgroep[Kosten (€)],uitkomst_doelgroep[Digitale zorgtoepassing],B360,uitkomst_doelgroep[Jaar],D360,uitkomst_doelgroep[Kosten (€)],"&gt;0",uitkomst_doelgroep[Uitgangssituatie/effect beleid],uitkomst_tech[[#This Row],[Uitgangssituatie/effect beleid]])</f>
        <v>738872.14961505786</v>
      </c>
      <c r="L360" s="398">
        <f>SUMIFS(uitkomst_doelgroep[Investering (cash flow) (€)],uitkomst_doelgroep[Digitale zorgtoepassing],B360,uitkomst_doelgroep[Jaar],D360,uitkomst_doelgroep[Investering (cash flow) (€)],"&gt;0",uitkomst_doelgroep[Uitgangssituatie/effect beleid],uitkomst_tech[[#This Row],[Uitgangssituatie/effect beleid]])</f>
        <v>0</v>
      </c>
    </row>
    <row r="361" spans="1:12" x14ac:dyDescent="0.5">
      <c r="A361" s="42" t="str">
        <f>INDEX(Technologieën[Veld],MATCH(B361,Technologieën[Digitale zorgtoepassing],0))</f>
        <v>Software - Diagnose</v>
      </c>
      <c r="B361" s="33" t="s">
        <v>56</v>
      </c>
      <c r="C361" s="33" t="s">
        <v>812</v>
      </c>
      <c r="D361" s="33">
        <v>2029</v>
      </c>
      <c r="E361" s="2">
        <v>224</v>
      </c>
      <c r="F361" s="397">
        <f>SUMIFS(uitkomst_doelgroep[Patiëntaantallen],uitkomst_doelgroep[Digitale zorgtoepassing],B361,uitkomst_doelgroep[Jaar],D361,uitkomst_doelgroep[Arbeidsbesparing (€)],"&gt;0",uitkomst_doelgroep[Uitgangssituatie/effect beleid],uitkomst_tech[[#This Row],[Uitgangssituatie/effect beleid]])</f>
        <v>848885.5471488731</v>
      </c>
      <c r="G361" s="398">
        <f>SUMIFS(uitkomst_doelgroep[Arbeidsbesparing (€)],uitkomst_doelgroep[Digitale zorgtoepassing],B361,uitkomst_doelgroep[Jaar],D361,uitkomst_doelgroep[Arbeidsbesparing (€)],"&gt;0",uitkomst_doelgroep[Uitgangssituatie/effect beleid],uitkomst_tech[[#This Row],[Uitgangssituatie/effect beleid]])</f>
        <v>969729.77130334219</v>
      </c>
      <c r="H361" s="398">
        <f>SUMIFS(uitkomst_doelgroep[Arbeidsbesparing (FTE)],uitkomst_doelgroep[Digitale zorgtoepassing],B361,uitkomst_doelgroep[Jaar],D361,uitkomst_doelgroep[Arbeidsbesparing (FTE)],"&gt;0",uitkomst_doelgroep[Uitgangssituatie/effect beleid],uitkomst_tech[[#This Row],[Uitgangssituatie/effect beleid]])</f>
        <v>16.324722060555253</v>
      </c>
      <c r="I361" s="398">
        <f>SUMIFS(uitkomst_doelgroep[Overige besparingen (€)],uitkomst_doelgroep[Digitale zorgtoepassing],B361,uitkomst_doelgroep[Jaar],D361,uitkomst_doelgroep[Overige besparingen (€)],"&gt;0",uitkomst_doelgroep[Uitgangssituatie/effect beleid],uitkomst_tech[[#This Row],[Uitgangssituatie/effect beleid]])</f>
        <v>0</v>
      </c>
      <c r="J361" s="398">
        <f>SUMIFS(uitkomst_doelgroep[QALY (€)],uitkomst_doelgroep[Digitale zorgtoepassing],B361,uitkomst_doelgroep[Jaar],D361,uitkomst_doelgroep[QALY (€)],"&gt;0",uitkomst_doelgroep[Uitgangssituatie/effect beleid],uitkomst_tech[[#This Row],[Uitgangssituatie/effect beleid]])</f>
        <v>0</v>
      </c>
      <c r="K361" s="398">
        <f>SUMIFS(uitkomst_doelgroep[Kosten (€)],uitkomst_doelgroep[Digitale zorgtoepassing],B361,uitkomst_doelgroep[Jaar],D361,uitkomst_doelgroep[Kosten (€)],"&gt;0",uitkomst_doelgroep[Uitgangssituatie/effect beleid],uitkomst_tech[[#This Row],[Uitgangssituatie/effect beleid]])</f>
        <v>824107.10946500744</v>
      </c>
      <c r="L361" s="398">
        <f>SUMIFS(uitkomst_doelgroep[Investering (cash flow) (€)],uitkomst_doelgroep[Digitale zorgtoepassing],B361,uitkomst_doelgroep[Jaar],D361,uitkomst_doelgroep[Investering (cash flow) (€)],"&gt;0",uitkomst_doelgroep[Uitgangssituatie/effect beleid],uitkomst_tech[[#This Row],[Uitgangssituatie/effect beleid]])</f>
        <v>0</v>
      </c>
    </row>
    <row r="362" spans="1:12" x14ac:dyDescent="0.5">
      <c r="A362" s="42" t="str">
        <f>INDEX(Technologieën[Veld],MATCH(B362,Technologieën[Digitale zorgtoepassing],0))</f>
        <v>Software - Diagnose</v>
      </c>
      <c r="B362" s="33" t="s">
        <v>56</v>
      </c>
      <c r="C362" s="33" t="s">
        <v>812</v>
      </c>
      <c r="D362" s="33">
        <v>2030</v>
      </c>
      <c r="E362" s="2">
        <v>256</v>
      </c>
      <c r="F362" s="397">
        <f>SUMIFS(uitkomst_doelgroep[Patiëntaantallen],uitkomst_doelgroep[Digitale zorgtoepassing],B362,uitkomst_doelgroep[Jaar],D362,uitkomst_doelgroep[Arbeidsbesparing (€)],"&gt;0",uitkomst_doelgroep[Uitgangssituatie/effect beleid],uitkomst_tech[[#This Row],[Uitgangssituatie/effect beleid]])</f>
        <v>910388.90221593552</v>
      </c>
      <c r="G362" s="398">
        <f>SUMIFS(uitkomst_doelgroep[Arbeidsbesparing (€)],uitkomst_doelgroep[Digitale zorgtoepassing],B362,uitkomst_doelgroep[Jaar],D362,uitkomst_doelgroep[Arbeidsbesparing (€)],"&gt;0",uitkomst_doelgroep[Uitgangssituatie/effect beleid],uitkomst_tech[[#This Row],[Uitgangssituatie/effect beleid]])</f>
        <v>1039988.5177785145</v>
      </c>
      <c r="H362" s="398">
        <f>SUMIFS(uitkomst_doelgroep[Arbeidsbesparing (FTE)],uitkomst_doelgroep[Digitale zorgtoepassing],B362,uitkomst_doelgroep[Jaar],D362,uitkomst_doelgroep[Arbeidsbesparing (FTE)],"&gt;0",uitkomst_doelgroep[Uitgangssituatie/effect beleid],uitkomst_tech[[#This Row],[Uitgangssituatie/effect beleid]])</f>
        <v>17.507478888767992</v>
      </c>
      <c r="I362" s="398">
        <f>SUMIFS(uitkomst_doelgroep[Overige besparingen (€)],uitkomst_doelgroep[Digitale zorgtoepassing],B362,uitkomst_doelgroep[Jaar],D362,uitkomst_doelgroep[Overige besparingen (€)],"&gt;0",uitkomst_doelgroep[Uitgangssituatie/effect beleid],uitkomst_tech[[#This Row],[Uitgangssituatie/effect beleid]])</f>
        <v>0</v>
      </c>
      <c r="J362" s="398">
        <f>SUMIFS(uitkomst_doelgroep[QALY (€)],uitkomst_doelgroep[Digitale zorgtoepassing],B362,uitkomst_doelgroep[Jaar],D362,uitkomst_doelgroep[QALY (€)],"&gt;0",uitkomst_doelgroep[Uitgangssituatie/effect beleid],uitkomst_tech[[#This Row],[Uitgangssituatie/effect beleid]])</f>
        <v>0</v>
      </c>
      <c r="K362" s="398">
        <f>SUMIFS(uitkomst_doelgroep[Kosten (€)],uitkomst_doelgroep[Digitale zorgtoepassing],B362,uitkomst_doelgroep[Jaar],D362,uitkomst_doelgroep[Kosten (€)],"&gt;0",uitkomst_doelgroep[Uitgangssituatie/effect beleid],uitkomst_tech[[#This Row],[Uitgangssituatie/effect beleid]])</f>
        <v>883815.22010130249</v>
      </c>
      <c r="L362" s="398">
        <f>SUMIFS(uitkomst_doelgroep[Investering (cash flow) (€)],uitkomst_doelgroep[Digitale zorgtoepassing],B362,uitkomst_doelgroep[Jaar],D362,uitkomst_doelgroep[Investering (cash flow) (€)],"&gt;0",uitkomst_doelgroep[Uitgangssituatie/effect beleid],uitkomst_tech[[#This Row],[Uitgangssituatie/effect beleid]])</f>
        <v>0</v>
      </c>
    </row>
    <row r="363" spans="1:12" x14ac:dyDescent="0.5">
      <c r="A363" s="42" t="str">
        <f>INDEX(Technologieën[Veld],MATCH(B363,Technologieën[Digitale zorgtoepassing],0))</f>
        <v>Software - Diagnose</v>
      </c>
      <c r="B363" s="33" t="s">
        <v>56</v>
      </c>
      <c r="C363" s="33" t="s">
        <v>812</v>
      </c>
      <c r="D363" s="33">
        <v>2031</v>
      </c>
      <c r="E363" s="2">
        <v>288</v>
      </c>
      <c r="F363" s="397">
        <f>SUMIFS(uitkomst_doelgroep[Patiëntaantallen],uitkomst_doelgroep[Digitale zorgtoepassing],B363,uitkomst_doelgroep[Jaar],D363,uitkomst_doelgroep[Arbeidsbesparing (€)],"&gt;0",uitkomst_doelgroep[Uitgangssituatie/effect beleid],uitkomst_tech[[#This Row],[Uitgangssituatie/effect beleid]])</f>
        <v>949340.60668263689</v>
      </c>
      <c r="G363" s="398">
        <f>SUMIFS(uitkomst_doelgroep[Arbeidsbesparing (€)],uitkomst_doelgroep[Digitale zorgtoepassing],B363,uitkomst_doelgroep[Jaar],D363,uitkomst_doelgroep[Arbeidsbesparing (€)],"&gt;0",uitkomst_doelgroep[Uitgangssituatie/effect beleid],uitkomst_tech[[#This Row],[Uitgangssituatie/effect beleid]])</f>
        <v>1084485.2436224583</v>
      </c>
      <c r="H363" s="398">
        <f>SUMIFS(uitkomst_doelgroep[Arbeidsbesparing (FTE)],uitkomst_doelgroep[Digitale zorgtoepassing],B363,uitkomst_doelgroep[Jaar],D363,uitkomst_doelgroep[Arbeidsbesparing (FTE)],"&gt;0",uitkomst_doelgroep[Uitgangssituatie/effect beleid],uitkomst_tech[[#This Row],[Uitgangssituatie/effect beleid]])</f>
        <v>18.256550128512249</v>
      </c>
      <c r="I363" s="398">
        <f>SUMIFS(uitkomst_doelgroep[Overige besparingen (€)],uitkomst_doelgroep[Digitale zorgtoepassing],B363,uitkomst_doelgroep[Jaar],D363,uitkomst_doelgroep[Overige besparingen (€)],"&gt;0",uitkomst_doelgroep[Uitgangssituatie/effect beleid],uitkomst_tech[[#This Row],[Uitgangssituatie/effect beleid]])</f>
        <v>0</v>
      </c>
      <c r="J363" s="398">
        <f>SUMIFS(uitkomst_doelgroep[QALY (€)],uitkomst_doelgroep[Digitale zorgtoepassing],B363,uitkomst_doelgroep[Jaar],D363,uitkomst_doelgroep[QALY (€)],"&gt;0",uitkomst_doelgroep[Uitgangssituatie/effect beleid],uitkomst_tech[[#This Row],[Uitgangssituatie/effect beleid]])</f>
        <v>0</v>
      </c>
      <c r="K363" s="398">
        <f>SUMIFS(uitkomst_doelgroep[Kosten (€)],uitkomst_doelgroep[Digitale zorgtoepassing],B363,uitkomst_doelgroep[Jaar],D363,uitkomst_doelgroep[Kosten (€)],"&gt;0",uitkomst_doelgroep[Uitgangssituatie/effect beleid],uitkomst_tech[[#This Row],[Uitgangssituatie/effect beleid]])</f>
        <v>921629.94869999646</v>
      </c>
      <c r="L363" s="398">
        <f>SUMIFS(uitkomst_doelgroep[Investering (cash flow) (€)],uitkomst_doelgroep[Digitale zorgtoepassing],B363,uitkomst_doelgroep[Jaar],D363,uitkomst_doelgroep[Investering (cash flow) (€)],"&gt;0",uitkomst_doelgroep[Uitgangssituatie/effect beleid],uitkomst_tech[[#This Row],[Uitgangssituatie/effect beleid]])</f>
        <v>0</v>
      </c>
    </row>
    <row r="364" spans="1:12" x14ac:dyDescent="0.5">
      <c r="A364" s="42" t="str">
        <f>INDEX(Technologieën[Veld],MATCH(B364,Technologieën[Digitale zorgtoepassing],0))</f>
        <v>Software - Diagnose</v>
      </c>
      <c r="B364" s="33" t="s">
        <v>56</v>
      </c>
      <c r="C364" s="33" t="s">
        <v>812</v>
      </c>
      <c r="D364" s="33">
        <v>2032</v>
      </c>
      <c r="E364" s="2">
        <v>320</v>
      </c>
      <c r="F364" s="397">
        <f>SUMIFS(uitkomst_doelgroep[Patiëntaantallen],uitkomst_doelgroep[Digitale zorgtoepassing],B364,uitkomst_doelgroep[Jaar],D364,uitkomst_doelgroep[Arbeidsbesparing (€)],"&gt;0",uitkomst_doelgroep[Uitgangssituatie/effect beleid],uitkomst_tech[[#This Row],[Uitgangssituatie/effect beleid]])</f>
        <v>972248.95014930691</v>
      </c>
      <c r="G364" s="398">
        <f>SUMIFS(uitkomst_doelgroep[Arbeidsbesparing (€)],uitkomst_doelgroep[Digitale zorgtoepassing],B364,uitkomst_doelgroep[Jaar],D364,uitkomst_doelgroep[Arbeidsbesparing (€)],"&gt;0",uitkomst_doelgroep[Uitgangssituatie/effect beleid],uitkomst_tech[[#This Row],[Uitgangssituatie/effect beleid]])</f>
        <v>1110654.73460447</v>
      </c>
      <c r="H364" s="398">
        <f>SUMIFS(uitkomst_doelgroep[Arbeidsbesparing (FTE)],uitkomst_doelgroep[Digitale zorgtoepassing],B364,uitkomst_doelgroep[Jaar],D364,uitkomst_doelgroep[Arbeidsbesparing (FTE)],"&gt;0",uitkomst_doelgroep[Uitgangssituatie/effect beleid],uitkomst_tech[[#This Row],[Uitgangssituatie/effect beleid]])</f>
        <v>18.697095195178981</v>
      </c>
      <c r="I364" s="398">
        <f>SUMIFS(uitkomst_doelgroep[Overige besparingen (€)],uitkomst_doelgroep[Digitale zorgtoepassing],B364,uitkomst_doelgroep[Jaar],D364,uitkomst_doelgroep[Overige besparingen (€)],"&gt;0",uitkomst_doelgroep[Uitgangssituatie/effect beleid],uitkomst_tech[[#This Row],[Uitgangssituatie/effect beleid]])</f>
        <v>0</v>
      </c>
      <c r="J364" s="398">
        <f>SUMIFS(uitkomst_doelgroep[QALY (€)],uitkomst_doelgroep[Digitale zorgtoepassing],B364,uitkomst_doelgroep[Jaar],D364,uitkomst_doelgroep[QALY (€)],"&gt;0",uitkomst_doelgroep[Uitgangssituatie/effect beleid],uitkomst_tech[[#This Row],[Uitgangssituatie/effect beleid]])</f>
        <v>0</v>
      </c>
      <c r="K364" s="398">
        <f>SUMIFS(uitkomst_doelgroep[Kosten (€)],uitkomst_doelgroep[Digitale zorgtoepassing],B364,uitkomst_doelgroep[Jaar],D364,uitkomst_doelgroep[Kosten (€)],"&gt;0",uitkomst_doelgroep[Uitgangssituatie/effect beleid],uitkomst_tech[[#This Row],[Uitgangssituatie/effect beleid]])</f>
        <v>943869.61196244357</v>
      </c>
      <c r="L364" s="398">
        <f>SUMIFS(uitkomst_doelgroep[Investering (cash flow) (€)],uitkomst_doelgroep[Digitale zorgtoepassing],B364,uitkomst_doelgroep[Jaar],D364,uitkomst_doelgroep[Investering (cash flow) (€)],"&gt;0",uitkomst_doelgroep[Uitgangssituatie/effect beleid],uitkomst_tech[[#This Row],[Uitgangssituatie/effect beleid]])</f>
        <v>0</v>
      </c>
    </row>
    <row r="365" spans="1:12" x14ac:dyDescent="0.5">
      <c r="A365" s="42" t="str">
        <f>INDEX(Technologieën[Veld],MATCH(B365,Technologieën[Digitale zorgtoepassing],0))</f>
        <v>Software - Diagnose</v>
      </c>
      <c r="B365" s="33" t="s">
        <v>56</v>
      </c>
      <c r="C365" s="33" t="s">
        <v>812</v>
      </c>
      <c r="D365" s="33">
        <v>2033</v>
      </c>
      <c r="E365" s="2">
        <v>352</v>
      </c>
      <c r="F365" s="397">
        <f>SUMIFS(uitkomst_doelgroep[Patiëntaantallen],uitkomst_doelgroep[Digitale zorgtoepassing],B365,uitkomst_doelgroep[Jaar],D365,uitkomst_doelgroep[Arbeidsbesparing (€)],"&gt;0",uitkomst_doelgroep[Uitgangssituatie/effect beleid],uitkomst_tech[[#This Row],[Uitgangssituatie/effect beleid]])</f>
        <v>985084.14448286907</v>
      </c>
      <c r="G365" s="398">
        <f>SUMIFS(uitkomst_doelgroep[Arbeidsbesparing (€)],uitkomst_doelgroep[Digitale zorgtoepassing],B365,uitkomst_doelgroep[Jaar],D365,uitkomst_doelgroep[Arbeidsbesparing (€)],"&gt;0",uitkomst_doelgroep[Uitgangssituatie/effect beleid],uitkomst_tech[[#This Row],[Uitgangssituatie/effect beleid]])</f>
        <v>1125317.0999934478</v>
      </c>
      <c r="H365" s="398">
        <f>SUMIFS(uitkomst_doelgroep[Arbeidsbesparing (FTE)],uitkomst_doelgroep[Digitale zorgtoepassing],B365,uitkomst_doelgroep[Jaar],D365,uitkomst_doelgroep[Arbeidsbesparing (FTE)],"&gt;0",uitkomst_doelgroep[Uitgangssituatie/effect beleid],uitkomst_tech[[#This Row],[Uitgangssituatie/effect beleid]])</f>
        <v>18.943925855439794</v>
      </c>
      <c r="I365" s="398">
        <f>SUMIFS(uitkomst_doelgroep[Overige besparingen (€)],uitkomst_doelgroep[Digitale zorgtoepassing],B365,uitkomst_doelgroep[Jaar],D365,uitkomst_doelgroep[Overige besparingen (€)],"&gt;0",uitkomst_doelgroep[Uitgangssituatie/effect beleid],uitkomst_tech[[#This Row],[Uitgangssituatie/effect beleid]])</f>
        <v>0</v>
      </c>
      <c r="J365" s="398">
        <f>SUMIFS(uitkomst_doelgroep[QALY (€)],uitkomst_doelgroep[Digitale zorgtoepassing],B365,uitkomst_doelgroep[Jaar],D365,uitkomst_doelgroep[QALY (€)],"&gt;0",uitkomst_doelgroep[Uitgangssituatie/effect beleid],uitkomst_tech[[#This Row],[Uitgangssituatie/effect beleid]])</f>
        <v>0</v>
      </c>
      <c r="K365" s="398">
        <f>SUMIFS(uitkomst_doelgroep[Kosten (€)],uitkomst_doelgroep[Digitale zorgtoepassing],B365,uitkomst_doelgroep[Jaar],D365,uitkomst_doelgroep[Kosten (€)],"&gt;0",uitkomst_doelgroep[Uitgangssituatie/effect beleid],uitkomst_tech[[#This Row],[Uitgangssituatie/effect beleid]])</f>
        <v>956330.15500877076</v>
      </c>
      <c r="L365" s="398">
        <f>SUMIFS(uitkomst_doelgroep[Investering (cash flow) (€)],uitkomst_doelgroep[Digitale zorgtoepassing],B365,uitkomst_doelgroep[Jaar],D365,uitkomst_doelgroep[Investering (cash flow) (€)],"&gt;0",uitkomst_doelgroep[Uitgangssituatie/effect beleid],uitkomst_tech[[#This Row],[Uitgangssituatie/effect beleid]])</f>
        <v>0</v>
      </c>
    </row>
    <row r="366" spans="1:12" x14ac:dyDescent="0.5">
      <c r="A366" s="42" t="str">
        <f>INDEX(Technologieën[Veld],MATCH(B366,Technologieën[Digitale zorgtoepassing],0))</f>
        <v>Digitale hulpmiddelen - Verpleging</v>
      </c>
      <c r="B366" s="33" t="s">
        <v>85</v>
      </c>
      <c r="C366" s="33" t="s">
        <v>812</v>
      </c>
      <c r="D366" s="33">
        <v>2023</v>
      </c>
      <c r="E366" s="2">
        <v>11</v>
      </c>
      <c r="F366" s="397">
        <f>SUMIFS(uitkomst_doelgroep[Patiëntaantallen],uitkomst_doelgroep[Digitale zorgtoepassing],B366,uitkomst_doelgroep[Jaar],D366,uitkomst_doelgroep[Arbeidsbesparing (€)],"&gt;0",uitkomst_doelgroep[Uitgangssituatie/effect beleid],uitkomst_tech[[#This Row],[Uitgangssituatie/effect beleid]])</f>
        <v>34560</v>
      </c>
      <c r="G366" s="398">
        <f>SUMIFS(uitkomst_doelgroep[Arbeidsbesparing (€)],uitkomst_doelgroep[Digitale zorgtoepassing],B366,uitkomst_doelgroep[Jaar],D366,uitkomst_doelgroep[Arbeidsbesparing (€)],"&gt;0",uitkomst_doelgroep[Uitgangssituatie/effect beleid],uitkomst_tech[[#This Row],[Uitgangssituatie/effect beleid]])</f>
        <v>22252748.888275862</v>
      </c>
      <c r="H366" s="398">
        <f>SUMIFS(uitkomst_doelgroep[Arbeidsbesparing (FTE)],uitkomst_doelgroep[Digitale zorgtoepassing],B366,uitkomst_doelgroep[Jaar],D366,uitkomst_doelgroep[Arbeidsbesparing (FTE)],"&gt;0",uitkomst_doelgroep[Uitgangssituatie/effect beleid],uitkomst_tech[[#This Row],[Uitgangssituatie/effect beleid]])</f>
        <v>524.16000000000008</v>
      </c>
      <c r="I366" s="398">
        <f>SUMIFS(uitkomst_doelgroep[Overige besparingen (€)],uitkomst_doelgroep[Digitale zorgtoepassing],B366,uitkomst_doelgroep[Jaar],D366,uitkomst_doelgroep[Overige besparingen (€)],"&gt;0",uitkomst_doelgroep[Uitgangssituatie/effect beleid],uitkomst_tech[[#This Row],[Uitgangssituatie/effect beleid]])</f>
        <v>10960309.153926916</v>
      </c>
      <c r="J366" s="398">
        <f>SUMIFS(uitkomst_doelgroep[QALY (€)],uitkomst_doelgroep[Digitale zorgtoepassing],B366,uitkomst_doelgroep[Jaar],D366,uitkomst_doelgroep[QALY (€)],"&gt;0",uitkomst_doelgroep[Uitgangssituatie/effect beleid],uitkomst_tech[[#This Row],[Uitgangssituatie/effect beleid]])</f>
        <v>0</v>
      </c>
      <c r="K366" s="398">
        <f>SUMIFS(uitkomst_doelgroep[Kosten (€)],uitkomst_doelgroep[Digitale zorgtoepassing],B366,uitkomst_doelgroep[Jaar],D366,uitkomst_doelgroep[Kosten (€)],"&gt;0",uitkomst_doelgroep[Uitgangssituatie/effect beleid],uitkomst_tech[[#This Row],[Uitgangssituatie/effect beleid]])</f>
        <v>18330624.000000004</v>
      </c>
      <c r="L366" s="398">
        <f>SUMIFS(uitkomst_doelgroep[Investering (cash flow) (€)],uitkomst_doelgroep[Digitale zorgtoepassing],B366,uitkomst_doelgroep[Jaar],D366,uitkomst_doelgroep[Investering (cash flow) (€)],"&gt;0",uitkomst_doelgroep[Uitgangssituatie/effect beleid],uitkomst_tech[[#This Row],[Uitgangssituatie/effect beleid]])</f>
        <v>3496348.8</v>
      </c>
    </row>
    <row r="367" spans="1:12" x14ac:dyDescent="0.5">
      <c r="A367" s="42" t="str">
        <f>INDEX(Technologieën[Veld],MATCH(B367,Technologieën[Digitale zorgtoepassing],0))</f>
        <v>Digitale hulpmiddelen - Verpleging</v>
      </c>
      <c r="B367" s="33" t="s">
        <v>85</v>
      </c>
      <c r="C367" s="33" t="s">
        <v>812</v>
      </c>
      <c r="D367" s="33">
        <v>2024</v>
      </c>
      <c r="E367" s="2">
        <v>43</v>
      </c>
      <c r="F367" s="397">
        <f>SUMIFS(uitkomst_doelgroep[Patiëntaantallen],uitkomst_doelgroep[Digitale zorgtoepassing],B367,uitkomst_doelgroep[Jaar],D367,uitkomst_doelgroep[Arbeidsbesparing (€)],"&gt;0",uitkomst_doelgroep[Uitgangssituatie/effect beleid],uitkomst_tech[[#This Row],[Uitgangssituatie/effect beleid]])</f>
        <v>45187.200000000004</v>
      </c>
      <c r="G367" s="398">
        <f>SUMIFS(uitkomst_doelgroep[Arbeidsbesparing (€)],uitkomst_doelgroep[Digitale zorgtoepassing],B367,uitkomst_doelgroep[Jaar],D367,uitkomst_doelgroep[Arbeidsbesparing (€)],"&gt;0",uitkomst_doelgroep[Uitgangssituatie/effect beleid],uitkomst_tech[[#This Row],[Uitgangssituatie/effect beleid]])</f>
        <v>29095469.17142069</v>
      </c>
      <c r="H367" s="398">
        <f>SUMIFS(uitkomst_doelgroep[Arbeidsbesparing (FTE)],uitkomst_doelgroep[Digitale zorgtoepassing],B367,uitkomst_doelgroep[Jaar],D367,uitkomst_doelgroep[Arbeidsbesparing (FTE)],"&gt;0",uitkomst_doelgroep[Uitgangssituatie/effect beleid],uitkomst_tech[[#This Row],[Uitgangssituatie/effect beleid]])</f>
        <v>685.33920000000012</v>
      </c>
      <c r="I367" s="398">
        <f>SUMIFS(uitkomst_doelgroep[Overige besparingen (€)],uitkomst_doelgroep[Digitale zorgtoepassing],B367,uitkomst_doelgroep[Jaar],D367,uitkomst_doelgroep[Overige besparingen (€)],"&gt;0",uitkomst_doelgroep[Uitgangssituatie/effect beleid],uitkomst_tech[[#This Row],[Uitgangssituatie/effect beleid]])</f>
        <v>14330604.218759444</v>
      </c>
      <c r="J367" s="398">
        <f>SUMIFS(uitkomst_doelgroep[QALY (€)],uitkomst_doelgroep[Digitale zorgtoepassing],B367,uitkomst_doelgroep[Jaar],D367,uitkomst_doelgroep[QALY (€)],"&gt;0",uitkomst_doelgroep[Uitgangssituatie/effect beleid],uitkomst_tech[[#This Row],[Uitgangssituatie/effect beleid]])</f>
        <v>0</v>
      </c>
      <c r="K367" s="398">
        <f>SUMIFS(uitkomst_doelgroep[Kosten (€)],uitkomst_doelgroep[Digitale zorgtoepassing],B367,uitkomst_doelgroep[Jaar],D367,uitkomst_doelgroep[Kosten (€)],"&gt;0",uitkomst_doelgroep[Uitgangssituatie/effect beleid],uitkomst_tech[[#This Row],[Uitgangssituatie/effect beleid]])</f>
        <v>23967290.880000006</v>
      </c>
      <c r="L367" s="398">
        <f>SUMIFS(uitkomst_doelgroep[Investering (cash flow) (€)],uitkomst_doelgroep[Digitale zorgtoepassing],B367,uitkomst_doelgroep[Jaar],D367,uitkomst_doelgroep[Investering (cash flow) (€)],"&gt;0",uitkomst_doelgroep[Uitgangssituatie/effect beleid],uitkomst_tech[[#This Row],[Uitgangssituatie/effect beleid]])</f>
        <v>3530088.5659200004</v>
      </c>
    </row>
    <row r="368" spans="1:12" x14ac:dyDescent="0.5">
      <c r="A368" s="42" t="str">
        <f>INDEX(Technologieën[Veld],MATCH(B368,Technologieën[Digitale zorgtoepassing],0))</f>
        <v>Digitale hulpmiddelen - Verpleging</v>
      </c>
      <c r="B368" s="33" t="s">
        <v>85</v>
      </c>
      <c r="C368" s="33" t="s">
        <v>812</v>
      </c>
      <c r="D368" s="33">
        <v>2025</v>
      </c>
      <c r="E368" s="2">
        <v>75</v>
      </c>
      <c r="F368" s="397">
        <f>SUMIFS(uitkomst_doelgroep[Patiëntaantallen],uitkomst_doelgroep[Digitale zorgtoepassing],B368,uitkomst_doelgroep[Jaar],D368,uitkomst_doelgroep[Arbeidsbesparing (€)],"&gt;0",uitkomst_doelgroep[Uitgangssituatie/effect beleid],uitkomst_tech[[#This Row],[Uitgangssituatie/effect beleid]])</f>
        <v>55916.95248</v>
      </c>
      <c r="G368" s="398">
        <f>SUMIFS(uitkomst_doelgroep[Arbeidsbesparing (€)],uitkomst_doelgroep[Digitale zorgtoepassing],B368,uitkomst_doelgroep[Jaar],D368,uitkomst_doelgroep[Arbeidsbesparing (€)],"&gt;0",uitkomst_doelgroep[Uitgangssituatie/effect beleid],uitkomst_tech[[#This Row],[Uitgangssituatie/effect beleid]])</f>
        <v>36004221.705297865</v>
      </c>
      <c r="H368" s="398">
        <f>SUMIFS(uitkomst_doelgroep[Arbeidsbesparing (FTE)],uitkomst_doelgroep[Digitale zorgtoepassing],B368,uitkomst_doelgroep[Jaar],D368,uitkomst_doelgroep[Arbeidsbesparing (FTE)],"&gt;0",uitkomst_doelgroep[Uitgangssituatie/effect beleid],uitkomst_tech[[#This Row],[Uitgangssituatie/effect beleid]])</f>
        <v>848.07377928000005</v>
      </c>
      <c r="I368" s="398">
        <f>SUMIFS(uitkomst_doelgroep[Overige besparingen (€)],uitkomst_doelgroep[Digitale zorgtoepassing],B368,uitkomst_doelgroep[Jaar],D368,uitkomst_doelgroep[Overige besparingen (€)],"&gt;0",uitkomst_doelgroep[Uitgangssituatie/effect beleid],uitkomst_tech[[#This Row],[Uitgangssituatie/effect beleid]])</f>
        <v>17733422.630967606</v>
      </c>
      <c r="J368" s="398">
        <f>SUMIFS(uitkomst_doelgroep[QALY (€)],uitkomst_doelgroep[Digitale zorgtoepassing],B368,uitkomst_doelgroep[Jaar],D368,uitkomst_doelgroep[QALY (€)],"&gt;0",uitkomst_doelgroep[Uitgangssituatie/effect beleid],uitkomst_tech[[#This Row],[Uitgangssituatie/effect beleid]])</f>
        <v>0</v>
      </c>
      <c r="K368" s="398">
        <f>SUMIFS(uitkomst_doelgroep[Kosten (€)],uitkomst_doelgroep[Digitale zorgtoepassing],B368,uitkomst_doelgroep[Jaar],D368,uitkomst_doelgroep[Kosten (€)],"&gt;0",uitkomst_doelgroep[Uitgangssituatie/effect beleid],uitkomst_tech[[#This Row],[Uitgangssituatie/effect beleid]])</f>
        <v>29658351.595392007</v>
      </c>
      <c r="L368" s="398">
        <f>SUMIFS(uitkomst_doelgroep[Investering (cash flow) (€)],uitkomst_doelgroep[Digitale zorgtoepassing],B368,uitkomst_doelgroep[Jaar],D368,uitkomst_doelgroep[Investering (cash flow) (€)],"&gt;0",uitkomst_doelgroep[Uitgangssituatie/effect beleid],uitkomst_tech[[#This Row],[Uitgangssituatie/effect beleid]])</f>
        <v>3171487.5989532894</v>
      </c>
    </row>
    <row r="369" spans="1:12" x14ac:dyDescent="0.5">
      <c r="A369" s="42" t="str">
        <f>INDEX(Technologieën[Veld],MATCH(B369,Technologieën[Digitale zorgtoepassing],0))</f>
        <v>Digitale hulpmiddelen - Verpleging</v>
      </c>
      <c r="B369" s="33" t="s">
        <v>85</v>
      </c>
      <c r="C369" s="33" t="s">
        <v>812</v>
      </c>
      <c r="D369" s="33">
        <v>2026</v>
      </c>
      <c r="E369" s="2">
        <v>107</v>
      </c>
      <c r="F369" s="397">
        <f>SUMIFS(uitkomst_doelgroep[Patiëntaantallen],uitkomst_doelgroep[Digitale zorgtoepassing],B369,uitkomst_doelgroep[Jaar],D369,uitkomst_doelgroep[Arbeidsbesparing (€)],"&gt;0",uitkomst_doelgroep[Uitgangssituatie/effect beleid],uitkomst_tech[[#This Row],[Uitgangssituatie/effect beleid]])</f>
        <v>65556.732416028244</v>
      </c>
      <c r="G369" s="398">
        <f>SUMIFS(uitkomst_doelgroep[Arbeidsbesparing (€)],uitkomst_doelgroep[Digitale zorgtoepassing],B369,uitkomst_doelgroep[Jaar],D369,uitkomst_doelgroep[Arbeidsbesparing (€)],"&gt;0",uitkomst_doelgroep[Uitgangssituatie/effect beleid],uitkomst_tech[[#This Row],[Uitgangssituatie/effect beleid]])</f>
        <v>42211154.640907712</v>
      </c>
      <c r="H369" s="398">
        <f>SUMIFS(uitkomst_doelgroep[Arbeidsbesparing (FTE)],uitkomst_doelgroep[Digitale zorgtoepassing],B369,uitkomst_doelgroep[Jaar],D369,uitkomst_doelgroep[Arbeidsbesparing (FTE)],"&gt;0",uitkomst_doelgroep[Uitgangssituatie/effect beleid],uitkomst_tech[[#This Row],[Uitgangssituatie/effect beleid]])</f>
        <v>994.27710830976173</v>
      </c>
      <c r="I369" s="398">
        <f>SUMIFS(uitkomst_doelgroep[Overige besparingen (€)],uitkomst_doelgroep[Digitale zorgtoepassing],B369,uitkomst_doelgroep[Jaar],D369,uitkomst_doelgroep[Overige besparingen (€)],"&gt;0",uitkomst_doelgroep[Uitgangssituatie/effect beleid],uitkomst_tech[[#This Row],[Uitgangssituatie/effect beleid]])</f>
        <v>20790568.703730661</v>
      </c>
      <c r="J369" s="398">
        <f>SUMIFS(uitkomst_doelgroep[QALY (€)],uitkomst_doelgroep[Digitale zorgtoepassing],B369,uitkomst_doelgroep[Jaar],D369,uitkomst_doelgroep[QALY (€)],"&gt;0",uitkomst_doelgroep[Uitgangssituatie/effect beleid],uitkomst_tech[[#This Row],[Uitgangssituatie/effect beleid]])</f>
        <v>0</v>
      </c>
      <c r="K369" s="398">
        <f>SUMIFS(uitkomst_doelgroep[Kosten (€)],uitkomst_doelgroep[Digitale zorgtoepassing],B369,uitkomst_doelgroep[Jaar],D369,uitkomst_doelgroep[Kosten (€)],"&gt;0",uitkomst_doelgroep[Uitgangssituatie/effect beleid],uitkomst_tech[[#This Row],[Uitgangssituatie/effect beleid]])</f>
        <v>34771290.873461381</v>
      </c>
      <c r="L369" s="398">
        <f>SUMIFS(uitkomst_doelgroep[Investering (cash flow) (€)],uitkomst_doelgroep[Digitale zorgtoepassing],B369,uitkomst_doelgroep[Jaar],D369,uitkomst_doelgroep[Investering (cash flow) (€)],"&gt;0",uitkomst_doelgroep[Uitgangssituatie/effect beleid],uitkomst_tech[[#This Row],[Uitgangssituatie/effect beleid]])</f>
        <v>2512847.5095141008</v>
      </c>
    </row>
    <row r="370" spans="1:12" x14ac:dyDescent="0.5">
      <c r="A370" s="42" t="str">
        <f>INDEX(Technologieën[Veld],MATCH(B370,Technologieën[Digitale zorgtoepassing],0))</f>
        <v>Digitale hulpmiddelen - Verpleging</v>
      </c>
      <c r="B370" s="33" t="s">
        <v>85</v>
      </c>
      <c r="C370" s="33" t="s">
        <v>812</v>
      </c>
      <c r="D370" s="33">
        <v>2027</v>
      </c>
      <c r="E370" s="2">
        <v>139</v>
      </c>
      <c r="F370" s="397">
        <f>SUMIFS(uitkomst_doelgroep[Patiëntaantallen],uitkomst_doelgroep[Digitale zorgtoepassing],B370,uitkomst_doelgroep[Jaar],D370,uitkomst_doelgroep[Arbeidsbesparing (€)],"&gt;0",uitkomst_doelgroep[Uitgangssituatie/effect beleid],uitkomst_tech[[#This Row],[Uitgangssituatie/effect beleid]])</f>
        <v>73194.566791451041</v>
      </c>
      <c r="G370" s="398">
        <f>SUMIFS(uitkomst_doelgroep[Arbeidsbesparing (€)],uitkomst_doelgroep[Digitale zorgtoepassing],B370,uitkomst_doelgroep[Jaar],D370,uitkomst_doelgroep[Arbeidsbesparing (€)],"&gt;0",uitkomst_doelgroep[Uitgangssituatie/effect beleid],uitkomst_tech[[#This Row],[Uitgangssituatie/effect beleid]])</f>
        <v>47129060.034615032</v>
      </c>
      <c r="H370" s="398">
        <f>SUMIFS(uitkomst_doelgroep[Arbeidsbesparing (FTE)],uitkomst_doelgroep[Digitale zorgtoepassing],B370,uitkomst_doelgroep[Jaar],D370,uitkomst_doelgroep[Arbeidsbesparing (FTE)],"&gt;0",uitkomst_doelgroep[Uitgangssituatie/effect beleid],uitkomst_tech[[#This Row],[Uitgangssituatie/effect beleid]])</f>
        <v>1110.1175963370074</v>
      </c>
      <c r="I370" s="398">
        <f>SUMIFS(uitkomst_doelgroep[Overige besparingen (€)],uitkomst_doelgroep[Digitale zorgtoepassing],B370,uitkomst_doelgroep[Jaar],D370,uitkomst_doelgroep[Overige besparingen (€)],"&gt;0",uitkomst_doelgroep[Uitgangssituatie/effect beleid],uitkomst_tech[[#This Row],[Uitgangssituatie/effect beleid]])</f>
        <v>23212820.614064116</v>
      </c>
      <c r="J370" s="398">
        <f>SUMIFS(uitkomst_doelgroep[QALY (€)],uitkomst_doelgroep[Digitale zorgtoepassing],B370,uitkomst_doelgroep[Jaar],D370,uitkomst_doelgroep[QALY (€)],"&gt;0",uitkomst_doelgroep[Uitgangssituatie/effect beleid],uitkomst_tech[[#This Row],[Uitgangssituatie/effect beleid]])</f>
        <v>0</v>
      </c>
      <c r="K370" s="398">
        <f>SUMIFS(uitkomst_doelgroep[Kosten (€)],uitkomst_doelgroep[Digitale zorgtoepassing],B370,uitkomst_doelgroep[Jaar],D370,uitkomst_doelgroep[Kosten (€)],"&gt;0",uitkomst_doelgroep[Uitgangssituatie/effect beleid],uitkomst_tech[[#This Row],[Uitgangssituatie/effect beleid]])</f>
        <v>38822398.226185635</v>
      </c>
      <c r="L370" s="398">
        <f>SUMIFS(uitkomst_doelgroep[Investering (cash flow) (€)],uitkomst_doelgroep[Digitale zorgtoepassing],B370,uitkomst_doelgroep[Jaar],D370,uitkomst_doelgroep[Investering (cash flow) (€)],"&gt;0",uitkomst_doelgroep[Uitgangssituatie/effect beleid],uitkomst_tech[[#This Row],[Uitgangssituatie/effect beleid]])</f>
        <v>1764865.7393109256</v>
      </c>
    </row>
    <row r="371" spans="1:12" x14ac:dyDescent="0.5">
      <c r="A371" s="42" t="str">
        <f>INDEX(Technologieën[Veld],MATCH(B371,Technologieën[Digitale zorgtoepassing],0))</f>
        <v>Digitale hulpmiddelen - Verpleging</v>
      </c>
      <c r="B371" s="33" t="s">
        <v>85</v>
      </c>
      <c r="C371" s="33" t="s">
        <v>812</v>
      </c>
      <c r="D371" s="33">
        <v>2028</v>
      </c>
      <c r="E371" s="2">
        <v>171</v>
      </c>
      <c r="F371" s="397">
        <f>SUMIFS(uitkomst_doelgroep[Patiëntaantallen],uitkomst_doelgroep[Digitale zorgtoepassing],B371,uitkomst_doelgroep[Jaar],D371,uitkomst_doelgroep[Arbeidsbesparing (€)],"&gt;0",uitkomst_doelgroep[Uitgangssituatie/effect beleid],uitkomst_tech[[#This Row],[Uitgangssituatie/effect beleid]])</f>
        <v>78558.900345587594</v>
      </c>
      <c r="G371" s="398">
        <f>SUMIFS(uitkomst_doelgroep[Arbeidsbesparing (€)],uitkomst_doelgroep[Digitale zorgtoepassing],B371,uitkomst_doelgroep[Jaar],D371,uitkomst_doelgroep[Arbeidsbesparing (€)],"&gt;0",uitkomst_doelgroep[Uitgangssituatie/effect beleid],uitkomst_tech[[#This Row],[Uitgangssituatie/effect beleid]])</f>
        <v>50583086.872958578</v>
      </c>
      <c r="H371" s="398">
        <f>SUMIFS(uitkomst_doelgroep[Arbeidsbesparing (FTE)],uitkomst_doelgroep[Digitale zorgtoepassing],B371,uitkomst_doelgroep[Jaar],D371,uitkomst_doelgroep[Arbeidsbesparing (FTE)],"&gt;0",uitkomst_doelgroep[Uitgangssituatie/effect beleid],uitkomst_tech[[#This Row],[Uitgangssituatie/effect beleid]])</f>
        <v>1191.4766552414119</v>
      </c>
      <c r="I371" s="398">
        <f>SUMIFS(uitkomst_doelgroep[Overige besparingen (€)],uitkomst_doelgroep[Digitale zorgtoepassing],B371,uitkomst_doelgroep[Jaar],D371,uitkomst_doelgroep[Overige besparingen (€)],"&gt;0",uitkomst_doelgroep[Uitgangssituatie/effect beleid],uitkomst_tech[[#This Row],[Uitgangssituatie/effect beleid]])</f>
        <v>24914057.71354676</v>
      </c>
      <c r="J371" s="398">
        <f>SUMIFS(uitkomst_doelgroep[QALY (€)],uitkomst_doelgroep[Digitale zorgtoepassing],B371,uitkomst_doelgroep[Jaar],D371,uitkomst_doelgroep[QALY (€)],"&gt;0",uitkomst_doelgroep[Uitgangssituatie/effect beleid],uitkomst_tech[[#This Row],[Uitgangssituatie/effect beleid]])</f>
        <v>0</v>
      </c>
      <c r="K371" s="398">
        <f>SUMIFS(uitkomst_doelgroep[Kosten (€)],uitkomst_doelgroep[Digitale zorgtoepassing],B371,uitkomst_doelgroep[Jaar],D371,uitkomst_doelgroep[Kosten (€)],"&gt;0",uitkomst_doelgroep[Uitgangssituatie/effect beleid],uitkomst_tech[[#This Row],[Uitgangssituatie/effect beleid]])</f>
        <v>41667640.743299663</v>
      </c>
      <c r="L371" s="398">
        <f>SUMIFS(uitkomst_doelgroep[Investering (cash flow) (€)],uitkomst_doelgroep[Digitale zorgtoepassing],B371,uitkomst_doelgroep[Jaar],D371,uitkomst_doelgroep[Investering (cash flow) (€)],"&gt;0",uitkomst_doelgroep[Uitgangssituatie/effect beleid],uitkomst_tech[[#This Row],[Uitgangssituatie/effect beleid]])</f>
        <v>1120014.4338732462</v>
      </c>
    </row>
    <row r="372" spans="1:12" x14ac:dyDescent="0.5">
      <c r="A372" s="42" t="str">
        <f>INDEX(Technologieën[Veld],MATCH(B372,Technologieën[Digitale zorgtoepassing],0))</f>
        <v>Digitale hulpmiddelen - Verpleging</v>
      </c>
      <c r="B372" s="33" t="s">
        <v>85</v>
      </c>
      <c r="C372" s="33" t="s">
        <v>812</v>
      </c>
      <c r="D372" s="33">
        <v>2029</v>
      </c>
      <c r="E372" s="2">
        <v>203</v>
      </c>
      <c r="F372" s="397">
        <f>SUMIFS(uitkomst_doelgroep[Patiëntaantallen],uitkomst_doelgroep[Digitale zorgtoepassing],B372,uitkomst_doelgroep[Jaar],D372,uitkomst_doelgroep[Arbeidsbesparing (€)],"&gt;0",uitkomst_doelgroep[Uitgangssituatie/effect beleid],uitkomst_tech[[#This Row],[Uitgangssituatie/effect beleid]])</f>
        <v>81963.199536691682</v>
      </c>
      <c r="G372" s="398">
        <f>SUMIFS(uitkomst_doelgroep[Arbeidsbesparing (€)],uitkomst_doelgroep[Digitale zorgtoepassing],B372,uitkomst_doelgroep[Jaar],D372,uitkomst_doelgroep[Arbeidsbesparing (€)],"&gt;0",uitkomst_doelgroep[Uitgangssituatie/effect beleid],uitkomst_tech[[#This Row],[Uitgangssituatie/effect beleid]])</f>
        <v>52775072.261853255</v>
      </c>
      <c r="H372" s="398">
        <f>SUMIFS(uitkomst_doelgroep[Arbeidsbesparing (FTE)],uitkomst_doelgroep[Digitale zorgtoepassing],B372,uitkomst_doelgroep[Jaar],D372,uitkomst_doelgroep[Arbeidsbesparing (FTE)],"&gt;0",uitkomst_doelgroep[Uitgangssituatie/effect beleid],uitkomst_tech[[#This Row],[Uitgangssituatie/effect beleid]])</f>
        <v>1243.1085263064906</v>
      </c>
      <c r="I372" s="398">
        <f>SUMIFS(uitkomst_doelgroep[Overige besparingen (€)],uitkomst_doelgroep[Digitale zorgtoepassing],B372,uitkomst_doelgroep[Jaar],D372,uitkomst_doelgroep[Overige besparingen (€)],"&gt;0",uitkomst_doelgroep[Uitgangssituatie/effect beleid],uitkomst_tech[[#This Row],[Uitgangssituatie/effect beleid]])</f>
        <v>25993692.308076974</v>
      </c>
      <c r="J372" s="398">
        <f>SUMIFS(uitkomst_doelgroep[QALY (€)],uitkomst_doelgroep[Digitale zorgtoepassing],B372,uitkomst_doelgroep[Jaar],D372,uitkomst_doelgroep[QALY (€)],"&gt;0",uitkomst_doelgroep[Uitgangssituatie/effect beleid],uitkomst_tech[[#This Row],[Uitgangssituatie/effect beleid]])</f>
        <v>0</v>
      </c>
      <c r="K372" s="398">
        <f>SUMIFS(uitkomst_doelgroep[Kosten (€)],uitkomst_doelgroep[Digitale zorgtoepassing],B372,uitkomst_doelgroep[Jaar],D372,uitkomst_doelgroep[Kosten (€)],"&gt;0",uitkomst_doelgroep[Uitgangssituatie/effect beleid],uitkomst_tech[[#This Row],[Uitgangssituatie/effect beleid]])</f>
        <v>43473281.034261279</v>
      </c>
      <c r="L372" s="398">
        <f>SUMIFS(uitkomst_doelgroep[Investering (cash flow) (€)],uitkomst_doelgroep[Digitale zorgtoepassing],B372,uitkomst_doelgroep[Jaar],D372,uitkomst_doelgroep[Investering (cash flow) (€)],"&gt;0",uitkomst_doelgroep[Uitgangssituatie/effect beleid],uitkomst_tech[[#This Row],[Uitgangssituatie/effect beleid]])</f>
        <v>659629.5848121047</v>
      </c>
    </row>
    <row r="373" spans="1:12" x14ac:dyDescent="0.5">
      <c r="A373" s="42" t="str">
        <f>INDEX(Technologieën[Veld],MATCH(B373,Technologieën[Digitale zorgtoepassing],0))</f>
        <v>Digitale hulpmiddelen - Verpleging</v>
      </c>
      <c r="B373" s="33" t="s">
        <v>85</v>
      </c>
      <c r="C373" s="33" t="s">
        <v>812</v>
      </c>
      <c r="D373" s="33">
        <v>2030</v>
      </c>
      <c r="E373" s="2">
        <v>235</v>
      </c>
      <c r="F373" s="397">
        <f>SUMIFS(uitkomst_doelgroep[Patiëntaantallen],uitkomst_doelgroep[Digitale zorgtoepassing],B373,uitkomst_doelgroep[Jaar],D373,uitkomst_doelgroep[Arbeidsbesparing (€)],"&gt;0",uitkomst_doelgroep[Uitgangssituatie/effect beleid],uitkomst_tech[[#This Row],[Uitgangssituatie/effect beleid]])</f>
        <v>83968.152682017229</v>
      </c>
      <c r="G373" s="398">
        <f>SUMIFS(uitkomst_doelgroep[Arbeidsbesparing (€)],uitkomst_doelgroep[Digitale zorgtoepassing],B373,uitkomst_doelgroep[Jaar],D373,uitkomst_doelgroep[Arbeidsbesparing (€)],"&gt;0",uitkomst_doelgroep[Uitgangssituatie/effect beleid],uitkomst_tech[[#This Row],[Uitgangssituatie/effect beleid]])</f>
        <v>54066036.349691458</v>
      </c>
      <c r="H373" s="398">
        <f>SUMIFS(uitkomst_doelgroep[Arbeidsbesparing (FTE)],uitkomst_doelgroep[Digitale zorgtoepassing],B373,uitkomst_doelgroep[Jaar],D373,uitkomst_doelgroep[Arbeidsbesparing (FTE)],"&gt;0",uitkomst_doelgroep[Uitgangssituatie/effect beleid],uitkomst_tech[[#This Row],[Uitgangssituatie/effect beleid]])</f>
        <v>1273.516982343928</v>
      </c>
      <c r="I373" s="398">
        <f>SUMIFS(uitkomst_doelgroep[Overige besparingen (€)],uitkomst_doelgroep[Digitale zorgtoepassing],B373,uitkomst_doelgroep[Jaar],D373,uitkomst_doelgroep[Overige besparingen (€)],"&gt;0",uitkomst_doelgroep[Uitgangssituatie/effect beleid],uitkomst_tech[[#This Row],[Uitgangssituatie/effect beleid]])</f>
        <v>26629540.291639075</v>
      </c>
      <c r="J373" s="398">
        <f>SUMIFS(uitkomst_doelgroep[QALY (€)],uitkomst_doelgroep[Digitale zorgtoepassing],B373,uitkomst_doelgroep[Jaar],D373,uitkomst_doelgroep[QALY (€)],"&gt;0",uitkomst_doelgroep[Uitgangssituatie/effect beleid],uitkomst_tech[[#This Row],[Uitgangssituatie/effect beleid]])</f>
        <v>0</v>
      </c>
      <c r="K373" s="398">
        <f>SUMIFS(uitkomst_doelgroep[Kosten (€)],uitkomst_doelgroep[Digitale zorgtoepassing],B373,uitkomst_doelgroep[Jaar],D373,uitkomst_doelgroep[Kosten (€)],"&gt;0",uitkomst_doelgroep[Uitgangssituatie/effect beleid],uitkomst_tech[[#This Row],[Uitgangssituatie/effect beleid]])</f>
        <v>44536708.182541944</v>
      </c>
      <c r="L373" s="398">
        <f>SUMIFS(uitkomst_doelgroep[Investering (cash flow) (€)],uitkomst_doelgroep[Digitale zorgtoepassing],B373,uitkomst_doelgroep[Jaar],D373,uitkomst_doelgroep[Investering (cash flow) (€)],"&gt;0",uitkomst_doelgroep[Uitgangssituatie/effect beleid],uitkomst_tech[[#This Row],[Uitgangssituatie/effect beleid]])</f>
        <v>369903.25746486615</v>
      </c>
    </row>
    <row r="374" spans="1:12" x14ac:dyDescent="0.5">
      <c r="A374" s="42" t="str">
        <f>INDEX(Technologieën[Veld],MATCH(B374,Technologieën[Digitale zorgtoepassing],0))</f>
        <v>Digitale hulpmiddelen - Verpleging</v>
      </c>
      <c r="B374" s="33" t="s">
        <v>85</v>
      </c>
      <c r="C374" s="33" t="s">
        <v>812</v>
      </c>
      <c r="D374" s="33">
        <v>2031</v>
      </c>
      <c r="E374" s="2">
        <v>267</v>
      </c>
      <c r="F374" s="397">
        <f>SUMIFS(uitkomst_doelgroep[Patiëntaantallen],uitkomst_doelgroep[Digitale zorgtoepassing],B374,uitkomst_doelgroep[Jaar],D374,uitkomst_doelgroep[Arbeidsbesparing (€)],"&gt;0",uitkomst_doelgroep[Uitgangssituatie/effect beleid],uitkomst_tech[[#This Row],[Uitgangssituatie/effect beleid]])</f>
        <v>85092.478692548742</v>
      </c>
      <c r="G374" s="398">
        <f>SUMIFS(uitkomst_doelgroep[Arbeidsbesparing (€)],uitkomst_doelgroep[Digitale zorgtoepassing],B374,uitkomst_doelgroep[Jaar],D374,uitkomst_doelgroep[Arbeidsbesparing (€)],"&gt;0",uitkomst_doelgroep[Uitgangssituatie/effect beleid],uitkomst_tech[[#This Row],[Uitgangssituatie/effect beleid]])</f>
        <v>54789975.712565146</v>
      </c>
      <c r="H374" s="398">
        <f>SUMIFS(uitkomst_doelgroep[Arbeidsbesparing (FTE)],uitkomst_doelgroep[Digitale zorgtoepassing],B374,uitkomst_doelgroep[Jaar],D374,uitkomst_doelgroep[Arbeidsbesparing (FTE)],"&gt;0",uitkomst_doelgroep[Uitgangssituatie/effect beleid],uitkomst_tech[[#This Row],[Uitgangssituatie/effect beleid]])</f>
        <v>1290.5692601703227</v>
      </c>
      <c r="I374" s="398">
        <f>SUMIFS(uitkomst_doelgroep[Overige besparingen (€)],uitkomst_doelgroep[Digitale zorgtoepassing],B374,uitkomst_doelgroep[Jaar],D374,uitkomst_doelgroep[Overige besparingen (€)],"&gt;0",uitkomst_doelgroep[Uitgangssituatie/effect beleid],uitkomst_tech[[#This Row],[Uitgangssituatie/effect beleid]])</f>
        <v>26986107.440517157</v>
      </c>
      <c r="J374" s="398">
        <f>SUMIFS(uitkomst_doelgroep[QALY (€)],uitkomst_doelgroep[Digitale zorgtoepassing],B374,uitkomst_doelgroep[Jaar],D374,uitkomst_doelgroep[QALY (€)],"&gt;0",uitkomst_doelgroep[Uitgangssituatie/effect beleid],uitkomst_tech[[#This Row],[Uitgangssituatie/effect beleid]])</f>
        <v>0</v>
      </c>
      <c r="K374" s="398">
        <f>SUMIFS(uitkomst_doelgroep[Kosten (€)],uitkomst_doelgroep[Digitale zorgtoepassing],B374,uitkomst_doelgroep[Jaar],D374,uitkomst_doelgroep[Kosten (€)],"&gt;0",uitkomst_doelgroep[Uitgangssituatie/effect beleid],uitkomst_tech[[#This Row],[Uitgangssituatie/effect beleid]])</f>
        <v>45133050.698527858</v>
      </c>
      <c r="L374" s="398">
        <f>SUMIFS(uitkomst_doelgroep[Investering (cash flow) (€)],uitkomst_doelgroep[Digitale zorgtoepassing],B374,uitkomst_doelgroep[Jaar],D374,uitkomst_doelgroep[Investering (cash flow) (€)],"&gt;0",uitkomst_doelgroep[Uitgangssituatie/effect beleid],uitkomst_tech[[#This Row],[Uitgangssituatie/effect beleid]])</f>
        <v>201403.40097847898</v>
      </c>
    </row>
    <row r="375" spans="1:12" x14ac:dyDescent="0.5">
      <c r="A375" s="42" t="str">
        <f>INDEX(Technologieën[Veld],MATCH(B375,Technologieën[Digitale zorgtoepassing],0))</f>
        <v>Digitale hulpmiddelen - Verpleging</v>
      </c>
      <c r="B375" s="33" t="s">
        <v>85</v>
      </c>
      <c r="C375" s="33" t="s">
        <v>812</v>
      </c>
      <c r="D375" s="33">
        <v>2032</v>
      </c>
      <c r="E375" s="2">
        <v>299</v>
      </c>
      <c r="F375" s="397">
        <f>SUMIFS(uitkomst_doelgroep[Patiëntaantallen],uitkomst_doelgroep[Digitale zorgtoepassing],B375,uitkomst_doelgroep[Jaar],D375,uitkomst_doelgroep[Arbeidsbesparing (€)],"&gt;0",uitkomst_doelgroep[Uitgangssituatie/effect beleid],uitkomst_tech[[#This Row],[Uitgangssituatie/effect beleid]])</f>
        <v>85704.647084580589</v>
      </c>
      <c r="G375" s="398">
        <f>SUMIFS(uitkomst_doelgroep[Arbeidsbesparing (€)],uitkomst_doelgroep[Digitale zorgtoepassing],B375,uitkomst_doelgroep[Jaar],D375,uitkomst_doelgroep[Arbeidsbesparing (€)],"&gt;0",uitkomst_doelgroep[Uitgangssituatie/effect beleid],uitkomst_tech[[#This Row],[Uitgangssituatie/effect beleid]])</f>
        <v>55184143.232970938</v>
      </c>
      <c r="H375" s="398">
        <f>SUMIFS(uitkomst_doelgroep[Arbeidsbesparing (FTE)],uitkomst_doelgroep[Digitale zorgtoepassing],B375,uitkomst_doelgroep[Jaar],D375,uitkomst_doelgroep[Arbeidsbesparing (FTE)],"&gt;0",uitkomst_doelgroep[Uitgangssituatie/effect beleid],uitkomst_tech[[#This Row],[Uitgangssituatie/effect beleid]])</f>
        <v>1299.8538141161389</v>
      </c>
      <c r="I375" s="398">
        <f>SUMIFS(uitkomst_doelgroep[Overige besparingen (€)],uitkomst_doelgroep[Digitale zorgtoepassing],B375,uitkomst_doelgroep[Jaar],D375,uitkomst_doelgroep[Overige besparingen (€)],"&gt;0",uitkomst_doelgroep[Uitgangssituatie/effect beleid],uitkomst_tech[[#This Row],[Uitgangssituatie/effect beleid]])</f>
        <v>27180249.652060311</v>
      </c>
      <c r="J375" s="398">
        <f>SUMIFS(uitkomst_doelgroep[QALY (€)],uitkomst_doelgroep[Digitale zorgtoepassing],B375,uitkomst_doelgroep[Jaar],D375,uitkomst_doelgroep[QALY (€)],"&gt;0",uitkomst_doelgroep[Uitgangssituatie/effect beleid],uitkomst_tech[[#This Row],[Uitgangssituatie/effect beleid]])</f>
        <v>0</v>
      </c>
      <c r="K375" s="398">
        <f>SUMIFS(uitkomst_doelgroep[Kosten (€)],uitkomst_doelgroep[Digitale zorgtoepassing],B375,uitkomst_doelgroep[Jaar],D375,uitkomst_doelgroep[Kosten (€)],"&gt;0",uitkomst_doelgroep[Uitgangssituatie/effect beleid],uitkomst_tech[[#This Row],[Uitgangssituatie/effect beleid]])</f>
        <v>45457744.813661553</v>
      </c>
      <c r="L375" s="398">
        <f>SUMIFS(uitkomst_doelgroep[Investering (cash flow) (€)],uitkomst_doelgroep[Digitale zorgtoepassing],B375,uitkomst_doelgroep[Jaar],D375,uitkomst_doelgroep[Investering (cash flow) (€)],"&gt;0",uitkomst_doelgroep[Uitgangssituatie/effect beleid],uitkomst_tech[[#This Row],[Uitgangssituatie/effect beleid]])</f>
        <v>107837.7525981725</v>
      </c>
    </row>
    <row r="376" spans="1:12" x14ac:dyDescent="0.5">
      <c r="A376" s="42" t="str">
        <f>INDEX(Technologieën[Veld],MATCH(B376,Technologieën[Digitale zorgtoepassing],0))</f>
        <v>Digitale hulpmiddelen - Verpleging</v>
      </c>
      <c r="B376" s="33" t="s">
        <v>85</v>
      </c>
      <c r="C376" s="33" t="s">
        <v>812</v>
      </c>
      <c r="D376" s="33">
        <v>2033</v>
      </c>
      <c r="E376" s="2">
        <v>331</v>
      </c>
      <c r="F376" s="397">
        <f>SUMIFS(uitkomst_doelgroep[Patiëntaantallen],uitkomst_doelgroep[Digitale zorgtoepassing],B376,uitkomst_doelgroep[Jaar],D376,uitkomst_doelgroep[Arbeidsbesparing (€)],"&gt;0",uitkomst_doelgroep[Uitgangssituatie/effect beleid],uitkomst_tech[[#This Row],[Uitgangssituatie/effect beleid]])</f>
        <v>86032.421408587194</v>
      </c>
      <c r="G376" s="398">
        <f>SUMIFS(uitkomst_doelgroep[Arbeidsbesparing (€)],uitkomst_doelgroep[Digitale zorgtoepassing],B376,uitkomst_doelgroep[Jaar],D376,uitkomst_doelgroep[Arbeidsbesparing (€)],"&gt;0",uitkomst_doelgroep[Uitgangssituatie/effect beleid],uitkomst_tech[[#This Row],[Uitgangssituatie/effect beleid]])</f>
        <v>55395192.993507497</v>
      </c>
      <c r="H376" s="398">
        <f>SUMIFS(uitkomst_doelgroep[Arbeidsbesparing (FTE)],uitkomst_doelgroep[Digitale zorgtoepassing],B376,uitkomst_doelgroep[Jaar],D376,uitkomst_doelgroep[Arbeidsbesparing (FTE)],"&gt;0",uitkomst_doelgroep[Uitgangssituatie/effect beleid],uitkomst_tech[[#This Row],[Uitgangssituatie/effect beleid]])</f>
        <v>1304.8250580302392</v>
      </c>
      <c r="I376" s="398">
        <f>SUMIFS(uitkomst_doelgroep[Overige besparingen (€)],uitkomst_doelgroep[Digitale zorgtoepassing],B376,uitkomst_doelgroep[Jaar],D376,uitkomst_doelgroep[Overige besparingen (€)],"&gt;0",uitkomst_doelgroep[Uitgangssituatie/effect beleid],uitkomst_tech[[#This Row],[Uitgangssituatie/effect beleid]])</f>
        <v>27284199.534115631</v>
      </c>
      <c r="J376" s="398">
        <f>SUMIFS(uitkomst_doelgroep[QALY (€)],uitkomst_doelgroep[Digitale zorgtoepassing],B376,uitkomst_doelgroep[Jaar],D376,uitkomst_doelgroep[QALY (€)],"&gt;0",uitkomst_doelgroep[Uitgangssituatie/effect beleid],uitkomst_tech[[#This Row],[Uitgangssituatie/effect beleid]])</f>
        <v>0</v>
      </c>
      <c r="K376" s="398">
        <f>SUMIFS(uitkomst_doelgroep[Kosten (€)],uitkomst_doelgroep[Digitale zorgtoepassing],B376,uitkomst_doelgroep[Jaar],D376,uitkomst_doelgroep[Kosten (€)],"&gt;0",uitkomst_doelgroep[Uitgangssituatie/effect beleid],uitkomst_tech[[#This Row],[Uitgangssituatie/effect beleid]])</f>
        <v>45631596.315114655</v>
      </c>
      <c r="L376" s="398">
        <f>SUMIFS(uitkomst_doelgroep[Investering (cash flow) (€)],uitkomst_doelgroep[Digitale zorgtoepassing],B376,uitkomst_doelgroep[Jaar],D376,uitkomst_doelgroep[Investering (cash flow) (€)],"&gt;0",uitkomst_doelgroep[Uitgangssituatie/effect beleid],uitkomst_tech[[#This Row],[Uitgangssituatie/effect beleid]])</f>
        <v>57211.820868534429</v>
      </c>
    </row>
    <row r="377" spans="1:12" x14ac:dyDescent="0.5">
      <c r="A377" s="2" t="str">
        <f>INDEX(Technologieën[Veld],MATCH(B377,Technologieën[Digitale zorgtoepassing],0))</f>
        <v>Sensoren - Behandeling</v>
      </c>
      <c r="B377" s="33" t="s">
        <v>593</v>
      </c>
      <c r="C377" s="33" t="s">
        <v>813</v>
      </c>
      <c r="D377" s="33">
        <v>2023</v>
      </c>
      <c r="E377" s="2"/>
      <c r="F377" s="397">
        <f>SUMIFS(uitkomst_doelgroep[Patiëntaantallen],uitkomst_doelgroep[Digitale zorgtoepassing],B377,uitkomst_doelgroep[Jaar],D377,uitkomst_doelgroep[Arbeidsbesparing (€)],"&gt;0",uitkomst_doelgroep[Uitgangssituatie/effect beleid],uitkomst_tech[[#This Row],[Uitgangssituatie/effect beleid]])</f>
        <v>3376.76</v>
      </c>
      <c r="G377" s="398">
        <f>SUMIFS(uitkomst_doelgroep[Arbeidsbesparing (€)],uitkomst_doelgroep[Digitale zorgtoepassing],B377,uitkomst_doelgroep[Jaar],D377,uitkomst_doelgroep[Arbeidsbesparing (€)],"&gt;0",uitkomst_doelgroep[Uitgangssituatie/effect beleid],uitkomst_tech[[#This Row],[Uitgangssituatie/effect beleid]])</f>
        <v>1799137.7279999999</v>
      </c>
      <c r="H377" s="398">
        <f>SUMIFS(uitkomst_doelgroep[Arbeidsbesparing (FTE)],uitkomst_doelgroep[Digitale zorgtoepassing],B377,uitkomst_doelgroep[Jaar],D377,uitkomst_doelgroep[Arbeidsbesparing (FTE)],"&gt;0",uitkomst_doelgroep[Uitgangssituatie/effect beleid],uitkomst_tech[[#This Row],[Uitgangssituatie/effect beleid]])</f>
        <v>31.181231921457346</v>
      </c>
      <c r="I377" s="398">
        <f>SUMIFS(uitkomst_doelgroep[Overige besparingen (€)],uitkomst_doelgroep[Digitale zorgtoepassing],B377,uitkomst_doelgroep[Jaar],D377,uitkomst_doelgroep[Overige besparingen (€)],"&gt;0",uitkomst_doelgroep[Uitgangssituatie/effect beleid],uitkomst_tech[[#This Row],[Uitgangssituatie/effect beleid]])</f>
        <v>1199425.1520000002</v>
      </c>
      <c r="J377" s="398">
        <f>SUMIFS(uitkomst_doelgroep[QALY (€)],uitkomst_doelgroep[Digitale zorgtoepassing],B377,uitkomst_doelgroep[Jaar],D377,uitkomst_doelgroep[QALY (€)],"&gt;0",uitkomst_doelgroep[Uitgangssituatie/effect beleid],uitkomst_tech[[#This Row],[Uitgangssituatie/effect beleid]])</f>
        <v>0</v>
      </c>
      <c r="K377" s="398">
        <f>SUMIFS(uitkomst_doelgroep[Kosten (€)],uitkomst_doelgroep[Digitale zorgtoepassing],B377,uitkomst_doelgroep[Jaar],D377,uitkomst_doelgroep[Kosten (€)],"&gt;0",uitkomst_doelgroep[Uitgangssituatie/effect beleid],uitkomst_tech[[#This Row],[Uitgangssituatie/effect beleid]])</f>
        <v>228063.7</v>
      </c>
      <c r="L377" s="398">
        <f>SUMIFS(uitkomst_doelgroep[Investering (cash flow) (€)],uitkomst_doelgroep[Digitale zorgtoepassing],B377,uitkomst_doelgroep[Jaar],D377,uitkomst_doelgroep[Investering (cash flow) (€)],"&gt;0",uitkomst_doelgroep[Uitgangssituatie/effect beleid],uitkomst_tech[[#This Row],[Uitgangssituatie/effect beleid]])</f>
        <v>0</v>
      </c>
    </row>
    <row r="378" spans="1:12" x14ac:dyDescent="0.5">
      <c r="A378" s="2" t="str">
        <f>INDEX(Technologieën[Veld],MATCH(B378,Technologieën[Digitale zorgtoepassing],0))</f>
        <v>Sensoren - Behandeling</v>
      </c>
      <c r="B378" s="33" t="s">
        <v>593</v>
      </c>
      <c r="C378" s="33" t="s">
        <v>813</v>
      </c>
      <c r="D378" s="33">
        <v>2024</v>
      </c>
      <c r="E378" s="2"/>
      <c r="F378" s="397">
        <f>SUMIFS(uitkomst_doelgroep[Patiëntaantallen],uitkomst_doelgroep[Digitale zorgtoepassing],B378,uitkomst_doelgroep[Jaar],D378,uitkomst_doelgroep[Arbeidsbesparing (€)],"&gt;0",uitkomst_doelgroep[Uitgangssituatie/effect beleid],uitkomst_tech[[#This Row],[Uitgangssituatie/effect beleid]])</f>
        <v>4727.4639999999999</v>
      </c>
      <c r="G378" s="398">
        <f>SUMIFS(uitkomst_doelgroep[Arbeidsbesparing (€)],uitkomst_doelgroep[Digitale zorgtoepassing],B378,uitkomst_doelgroep[Jaar],D378,uitkomst_doelgroep[Arbeidsbesparing (€)],"&gt;0",uitkomst_doelgroep[Uitgangssituatie/effect beleid],uitkomst_tech[[#This Row],[Uitgangssituatie/effect beleid]])</f>
        <v>2518792.8191999998</v>
      </c>
      <c r="H378" s="398">
        <f>SUMIFS(uitkomst_doelgroep[Arbeidsbesparing (FTE)],uitkomst_doelgroep[Digitale zorgtoepassing],B378,uitkomst_doelgroep[Jaar],D378,uitkomst_doelgroep[Arbeidsbesparing (FTE)],"&gt;0",uitkomst_doelgroep[Uitgangssituatie/effect beleid],uitkomst_tech[[#This Row],[Uitgangssituatie/effect beleid]])</f>
        <v>43.653724690040285</v>
      </c>
      <c r="I378" s="398">
        <f>SUMIFS(uitkomst_doelgroep[Overige besparingen (€)],uitkomst_doelgroep[Digitale zorgtoepassing],B378,uitkomst_doelgroep[Jaar],D378,uitkomst_doelgroep[Overige besparingen (€)],"&gt;0",uitkomst_doelgroep[Uitgangssituatie/effect beleid],uitkomst_tech[[#This Row],[Uitgangssituatie/effect beleid]])</f>
        <v>1679195.2128000003</v>
      </c>
      <c r="J378" s="398">
        <f>SUMIFS(uitkomst_doelgroep[QALY (€)],uitkomst_doelgroep[Digitale zorgtoepassing],B378,uitkomst_doelgroep[Jaar],D378,uitkomst_doelgroep[QALY (€)],"&gt;0",uitkomst_doelgroep[Uitgangssituatie/effect beleid],uitkomst_tech[[#This Row],[Uitgangssituatie/effect beleid]])</f>
        <v>0</v>
      </c>
      <c r="K378" s="398">
        <f>SUMIFS(uitkomst_doelgroep[Kosten (€)],uitkomst_doelgroep[Digitale zorgtoepassing],B378,uitkomst_doelgroep[Jaar],D378,uitkomst_doelgroep[Kosten (€)],"&gt;0",uitkomst_doelgroep[Uitgangssituatie/effect beleid],uitkomst_tech[[#This Row],[Uitgangssituatie/effect beleid]])</f>
        <v>319289.18000000005</v>
      </c>
      <c r="L378" s="398">
        <f>SUMIFS(uitkomst_doelgroep[Investering (cash flow) (€)],uitkomst_doelgroep[Digitale zorgtoepassing],B378,uitkomst_doelgroep[Jaar],D378,uitkomst_doelgroep[Investering (cash flow) (€)],"&gt;0",uitkomst_doelgroep[Uitgangssituatie/effect beleid],uitkomst_tech[[#This Row],[Uitgangssituatie/effect beleid]])</f>
        <v>0</v>
      </c>
    </row>
    <row r="379" spans="1:12" x14ac:dyDescent="0.5">
      <c r="A379" s="2" t="str">
        <f>INDEX(Technologieën[Veld],MATCH(B379,Technologieën[Digitale zorgtoepassing],0))</f>
        <v>Sensoren - Behandeling</v>
      </c>
      <c r="B379" s="33" t="s">
        <v>593</v>
      </c>
      <c r="C379" s="33" t="s">
        <v>813</v>
      </c>
      <c r="D379" s="33">
        <v>2025</v>
      </c>
      <c r="E379" s="2"/>
      <c r="F379" s="397">
        <f>SUMIFS(uitkomst_doelgroep[Patiëntaantallen],uitkomst_doelgroep[Digitale zorgtoepassing],B379,uitkomst_doelgroep[Jaar],D379,uitkomst_doelgroep[Arbeidsbesparing (€)],"&gt;0",uitkomst_doelgroep[Uitgangssituatie/effect beleid],uitkomst_tech[[#This Row],[Uitgangssituatie/effect beleid]])</f>
        <v>6332.1003520000004</v>
      </c>
      <c r="G379" s="398">
        <f>SUMIFS(uitkomst_doelgroep[Arbeidsbesparing (€)],uitkomst_doelgroep[Digitale zorgtoepassing],B379,uitkomst_doelgroep[Jaar],D379,uitkomst_doelgroep[Arbeidsbesparing (€)],"&gt;0",uitkomst_doelgroep[Uitgangssituatie/effect beleid],uitkomst_tech[[#This Row],[Uitgangssituatie/effect beleid]])</f>
        <v>3373743.0675455998</v>
      </c>
      <c r="H379" s="398">
        <f>SUMIFS(uitkomst_doelgroep[Arbeidsbesparing (FTE)],uitkomst_doelgroep[Digitale zorgtoepassing],B379,uitkomst_doelgroep[Jaar],D379,uitkomst_doelgroep[Arbeidsbesparing (FTE)],"&gt;0",uitkomst_doelgroep[Uitgangssituatie/effect beleid],uitkomst_tech[[#This Row],[Uitgangssituatie/effect beleid]])</f>
        <v>58.471046099116819</v>
      </c>
      <c r="I379" s="398">
        <f>SUMIFS(uitkomst_doelgroep[Overige besparingen (€)],uitkomst_doelgroep[Digitale zorgtoepassing],B379,uitkomst_doelgroep[Jaar],D379,uitkomst_doelgroep[Overige besparingen (€)],"&gt;0",uitkomst_doelgroep[Uitgangssituatie/effect beleid],uitkomst_tech[[#This Row],[Uitgangssituatie/effect beleid]])</f>
        <v>2249162.0450304006</v>
      </c>
      <c r="J379" s="398">
        <f>SUMIFS(uitkomst_doelgroep[QALY (€)],uitkomst_doelgroep[Digitale zorgtoepassing],B379,uitkomst_doelgroep[Jaar],D379,uitkomst_doelgroep[QALY (€)],"&gt;0",uitkomst_doelgroep[Uitgangssituatie/effect beleid],uitkomst_tech[[#This Row],[Uitgangssituatie/effect beleid]])</f>
        <v>0</v>
      </c>
      <c r="K379" s="398">
        <f>SUMIFS(uitkomst_doelgroep[Kosten (€)],uitkomst_doelgroep[Digitale zorgtoepassing],B379,uitkomst_doelgroep[Jaar],D379,uitkomst_doelgroep[Kosten (€)],"&gt;0",uitkomst_doelgroep[Uitgangssituatie/effect beleid],uitkomst_tech[[#This Row],[Uitgangssituatie/effect beleid]])</f>
        <v>427665.05024000007</v>
      </c>
      <c r="L379" s="398">
        <f>SUMIFS(uitkomst_doelgroep[Investering (cash flow) (€)],uitkomst_doelgroep[Digitale zorgtoepassing],B379,uitkomst_doelgroep[Jaar],D379,uitkomst_doelgroep[Investering (cash flow) (€)],"&gt;0",uitkomst_doelgroep[Uitgangssituatie/effect beleid],uitkomst_tech[[#This Row],[Uitgangssituatie/effect beleid]])</f>
        <v>0</v>
      </c>
    </row>
    <row r="380" spans="1:12" x14ac:dyDescent="0.5">
      <c r="A380" s="2" t="str">
        <f>INDEX(Technologieën[Veld],MATCH(B380,Technologieën[Digitale zorgtoepassing],0))</f>
        <v>Sensoren - Behandeling</v>
      </c>
      <c r="B380" s="33" t="s">
        <v>593</v>
      </c>
      <c r="C380" s="33" t="s">
        <v>813</v>
      </c>
      <c r="D380" s="33">
        <v>2026</v>
      </c>
      <c r="E380" s="2"/>
      <c r="F380" s="397">
        <f>SUMIFS(uitkomst_doelgroep[Patiëntaantallen],uitkomst_doelgroep[Digitale zorgtoepassing],B380,uitkomst_doelgroep[Jaar],D380,uitkomst_doelgroep[Arbeidsbesparing (€)],"&gt;0",uitkomst_doelgroep[Uitgangssituatie/effect beleid],uitkomst_tech[[#This Row],[Uitgangssituatie/effect beleid]])</f>
        <v>8126.0581193543685</v>
      </c>
      <c r="G380" s="398">
        <f>SUMIFS(uitkomst_doelgroep[Arbeidsbesparing (€)],uitkomst_doelgroep[Digitale zorgtoepassing],B380,uitkomst_doelgroep[Jaar],D380,uitkomst_doelgroep[Arbeidsbesparing (€)],"&gt;0",uitkomst_doelgroep[Uitgangssituatie/effect beleid],uitkomst_tech[[#This Row],[Uitgangssituatie/effect beleid]])</f>
        <v>4329563.7659920072</v>
      </c>
      <c r="H380" s="398">
        <f>SUMIFS(uitkomst_doelgroep[Arbeidsbesparing (FTE)],uitkomst_doelgroep[Digitale zorgtoepassing],B380,uitkomst_doelgroep[Jaar],D380,uitkomst_doelgroep[Arbeidsbesparing (FTE)],"&gt;0",uitkomst_doelgroep[Uitgangssituatie/effect beleid],uitkomst_tech[[#This Row],[Uitgangssituatie/effect beleid]])</f>
        <v>75.03657435732184</v>
      </c>
      <c r="I380" s="398">
        <f>SUMIFS(uitkomst_doelgroep[Overige besparingen (€)],uitkomst_doelgroep[Digitale zorgtoepassing],B380,uitkomst_doelgroep[Jaar],D380,uitkomst_doelgroep[Overige besparingen (€)],"&gt;0",uitkomst_doelgroep[Uitgangssituatie/effect beleid],uitkomst_tech[[#This Row],[Uitgangssituatie/effect beleid]])</f>
        <v>2886375.8439946719</v>
      </c>
      <c r="J380" s="398">
        <f>SUMIFS(uitkomst_doelgroep[QALY (€)],uitkomst_doelgroep[Digitale zorgtoepassing],B380,uitkomst_doelgroep[Jaar],D380,uitkomst_doelgroep[QALY (€)],"&gt;0",uitkomst_doelgroep[Uitgangssituatie/effect beleid],uitkomst_tech[[#This Row],[Uitgangssituatie/effect beleid]])</f>
        <v>0</v>
      </c>
      <c r="K380" s="398">
        <f>SUMIFS(uitkomst_doelgroep[Kosten (€)],uitkomst_doelgroep[Digitale zorgtoepassing],B380,uitkomst_doelgroep[Jaar],D380,uitkomst_doelgroep[Kosten (€)],"&gt;0",uitkomst_doelgroep[Uitgangssituatie/effect beleid],uitkomst_tech[[#This Row],[Uitgangssituatie/effect beleid]])</f>
        <v>548827.53915439616</v>
      </c>
      <c r="L380" s="398">
        <f>SUMIFS(uitkomst_doelgroep[Investering (cash flow) (€)],uitkomst_doelgroep[Digitale zorgtoepassing],B380,uitkomst_doelgroep[Jaar],D380,uitkomst_doelgroep[Investering (cash flow) (€)],"&gt;0",uitkomst_doelgroep[Uitgangssituatie/effect beleid],uitkomst_tech[[#This Row],[Uitgangssituatie/effect beleid]])</f>
        <v>0</v>
      </c>
    </row>
    <row r="381" spans="1:12" x14ac:dyDescent="0.5">
      <c r="A381" s="2" t="str">
        <f>INDEX(Technologieën[Veld],MATCH(B381,Technologieën[Digitale zorgtoepassing],0))</f>
        <v>Sensoren - Behandeling</v>
      </c>
      <c r="B381" s="33" t="s">
        <v>593</v>
      </c>
      <c r="C381" s="33" t="s">
        <v>813</v>
      </c>
      <c r="D381" s="33">
        <v>2027</v>
      </c>
      <c r="E381" s="2"/>
      <c r="F381" s="397">
        <f>SUMIFS(uitkomst_doelgroep[Patiëntaantallen],uitkomst_doelgroep[Digitale zorgtoepassing],B381,uitkomst_doelgroep[Jaar],D381,uitkomst_doelgroep[Arbeidsbesparing (€)],"&gt;0",uitkomst_doelgroep[Uitgangssituatie/effect beleid],uitkomst_tech[[#This Row],[Uitgangssituatie/effect beleid]])</f>
        <v>9987.229600529281</v>
      </c>
      <c r="G381" s="398">
        <f>SUMIFS(uitkomst_doelgroep[Arbeidsbesparing (€)],uitkomst_doelgroep[Digitale zorgtoepassing],B381,uitkomst_doelgroep[Jaar],D381,uitkomst_doelgroep[Arbeidsbesparing (€)],"&gt;0",uitkomst_doelgroep[Uitgangssituatie/effect beleid],uitkomst_tech[[#This Row],[Uitgangssituatie/effect beleid]])</f>
        <v>5321195.9311619997</v>
      </c>
      <c r="H381" s="398">
        <f>SUMIFS(uitkomst_doelgroep[Arbeidsbesparing (FTE)],uitkomst_doelgroep[Digitale zorgtoepassing],B381,uitkomst_doelgroep[Jaar],D381,uitkomst_doelgroep[Arbeidsbesparing (FTE)],"&gt;0",uitkomst_doelgroep[Uitgangssituatie/effect beleid],uitkomst_tech[[#This Row],[Uitgangssituatie/effect beleid]])</f>
        <v>92.222758628669879</v>
      </c>
      <c r="I381" s="398">
        <f>SUMIFS(uitkomst_doelgroep[Overige besparingen (€)],uitkomst_doelgroep[Digitale zorgtoepassing],B381,uitkomst_doelgroep[Jaar],D381,uitkomst_doelgroep[Overige besparingen (€)],"&gt;0",uitkomst_doelgroep[Uitgangssituatie/effect beleid],uitkomst_tech[[#This Row],[Uitgangssituatie/effect beleid]])</f>
        <v>3547463.9541080012</v>
      </c>
      <c r="J381" s="398">
        <f>SUMIFS(uitkomst_doelgroep[QALY (€)],uitkomst_doelgroep[Digitale zorgtoepassing],B381,uitkomst_doelgroep[Jaar],D381,uitkomst_doelgroep[QALY (€)],"&gt;0",uitkomst_doelgroep[Uitgangssituatie/effect beleid],uitkomst_tech[[#This Row],[Uitgangssituatie/effect beleid]])</f>
        <v>0</v>
      </c>
      <c r="K381" s="398">
        <f>SUMIFS(uitkomst_doelgroep[Kosten (€)],uitkomst_doelgroep[Digitale zorgtoepassing],B381,uitkomst_doelgroep[Jaar],D381,uitkomst_doelgroep[Kosten (€)],"&gt;0",uitkomst_doelgroep[Uitgangssituatie/effect beleid],uitkomst_tech[[#This Row],[Uitgangssituatie/effect beleid]])</f>
        <v>674529.58914646879</v>
      </c>
      <c r="L381" s="398">
        <f>SUMIFS(uitkomst_doelgroep[Investering (cash flow) (€)],uitkomst_doelgroep[Digitale zorgtoepassing],B381,uitkomst_doelgroep[Jaar],D381,uitkomst_doelgroep[Investering (cash flow) (€)],"&gt;0",uitkomst_doelgroep[Uitgangssituatie/effect beleid],uitkomst_tech[[#This Row],[Uitgangssituatie/effect beleid]])</f>
        <v>0</v>
      </c>
    </row>
    <row r="382" spans="1:12" x14ac:dyDescent="0.5">
      <c r="A382" s="2" t="str">
        <f>INDEX(Technologieën[Veld],MATCH(B382,Technologieën[Digitale zorgtoepassing],0))</f>
        <v>Sensoren - Behandeling</v>
      </c>
      <c r="B382" s="33" t="s">
        <v>593</v>
      </c>
      <c r="C382" s="33" t="s">
        <v>813</v>
      </c>
      <c r="D382" s="33">
        <v>2028</v>
      </c>
      <c r="E382" s="2"/>
      <c r="F382" s="397">
        <f>SUMIFS(uitkomst_doelgroep[Patiëntaantallen],uitkomst_doelgroep[Digitale zorgtoepassing],B382,uitkomst_doelgroep[Jaar],D382,uitkomst_doelgroep[Arbeidsbesparing (€)],"&gt;0",uitkomst_doelgroep[Uitgangssituatie/effect beleid],uitkomst_tech[[#This Row],[Uitgangssituatie/effect beleid]])</f>
        <v>11756.965034525352</v>
      </c>
      <c r="G382" s="398">
        <f>SUMIFS(uitkomst_doelgroep[Arbeidsbesparing (€)],uitkomst_doelgroep[Digitale zorgtoepassing],B382,uitkomst_doelgroep[Jaar],D382,uitkomst_doelgroep[Arbeidsbesparing (€)],"&gt;0",uitkomst_doelgroep[Uitgangssituatie/effect beleid],uitkomst_tech[[#This Row],[Uitgangssituatie/effect beleid]])</f>
        <v>6264110.9703951078</v>
      </c>
      <c r="H382" s="398">
        <f>SUMIFS(uitkomst_doelgroep[Arbeidsbesparing (FTE)],uitkomst_doelgroep[Digitale zorgtoepassing],B382,uitkomst_doelgroep[Jaar],D382,uitkomst_doelgroep[Arbeidsbesparing (FTE)],"&gt;0",uitkomst_doelgroep[Uitgangssituatie/effect beleid],uitkomst_tech[[#This Row],[Uitgangssituatie/effect beleid]])</f>
        <v>108.56461621021329</v>
      </c>
      <c r="I382" s="398">
        <f>SUMIFS(uitkomst_doelgroep[Overige besparingen (€)],uitkomst_doelgroep[Digitale zorgtoepassing],B382,uitkomst_doelgroep[Jaar],D382,uitkomst_doelgroep[Overige besparingen (€)],"&gt;0",uitkomst_doelgroep[Uitgangssituatie/effect beleid],uitkomst_tech[[#This Row],[Uitgangssituatie/effect beleid]])</f>
        <v>4176073.9802634059</v>
      </c>
      <c r="J382" s="398">
        <f>SUMIFS(uitkomst_doelgroep[QALY (€)],uitkomst_doelgroep[Digitale zorgtoepassing],B382,uitkomst_doelgroep[Jaar],D382,uitkomst_doelgroep[QALY (€)],"&gt;0",uitkomst_doelgroep[Uitgangssituatie/effect beleid],uitkomst_tech[[#This Row],[Uitgangssituatie/effect beleid]])</f>
        <v>0</v>
      </c>
      <c r="K382" s="398">
        <f>SUMIFS(uitkomst_doelgroep[Kosten (€)],uitkomst_doelgroep[Digitale zorgtoepassing],B382,uitkomst_doelgroep[Jaar],D382,uitkomst_doelgroep[Kosten (€)],"&gt;0",uitkomst_doelgroep[Uitgangssituatie/effect beleid],uitkomst_tech[[#This Row],[Uitgangssituatie/effect beleid]])</f>
        <v>794056.12082128425</v>
      </c>
      <c r="L382" s="398">
        <f>SUMIFS(uitkomst_doelgroep[Investering (cash flow) (€)],uitkomst_doelgroep[Digitale zorgtoepassing],B382,uitkomst_doelgroep[Jaar],D382,uitkomst_doelgroep[Investering (cash flow) (€)],"&gt;0",uitkomst_doelgroep[Uitgangssituatie/effect beleid],uitkomst_tech[[#This Row],[Uitgangssituatie/effect beleid]])</f>
        <v>0</v>
      </c>
    </row>
    <row r="383" spans="1:12" x14ac:dyDescent="0.5">
      <c r="A383" s="2" t="str">
        <f>INDEX(Technologieën[Veld],MATCH(B383,Technologieën[Digitale zorgtoepassing],0))</f>
        <v>Sensoren - Behandeling</v>
      </c>
      <c r="B383" s="33" t="s">
        <v>593</v>
      </c>
      <c r="C383" s="33" t="s">
        <v>813</v>
      </c>
      <c r="D383" s="33">
        <v>2029</v>
      </c>
      <c r="E383" s="2"/>
      <c r="F383" s="397">
        <f>SUMIFS(uitkomst_doelgroep[Patiëntaantallen],uitkomst_doelgroep[Digitale zorgtoepassing],B383,uitkomst_doelgroep[Jaar],D383,uitkomst_doelgroep[Arbeidsbesparing (€)],"&gt;0",uitkomst_doelgroep[Uitgangssituatie/effect beleid],uitkomst_tech[[#This Row],[Uitgangssituatie/effect beleid]])</f>
        <v>13287.521952668698</v>
      </c>
      <c r="G383" s="398">
        <f>SUMIFS(uitkomst_doelgroep[Arbeidsbesparing (€)],uitkomst_doelgroep[Digitale zorgtoepassing],B383,uitkomst_doelgroep[Jaar],D383,uitkomst_doelgroep[Arbeidsbesparing (€)],"&gt;0",uitkomst_doelgroep[Uitgangssituatie/effect beleid],uitkomst_tech[[#This Row],[Uitgangssituatie/effect beleid]])</f>
        <v>7079591.6963818809</v>
      </c>
      <c r="H383" s="398">
        <f>SUMIFS(uitkomst_doelgroep[Arbeidsbesparing (FTE)],uitkomst_doelgroep[Digitale zorgtoepassing],B383,uitkomst_doelgroep[Jaar],D383,uitkomst_doelgroep[Arbeidsbesparing (FTE)],"&gt;0",uitkomst_doelgroep[Uitgangssituatie/effect beleid],uitkomst_tech[[#This Row],[Uitgangssituatie/effect beleid]])</f>
        <v>122.69788307952547</v>
      </c>
      <c r="I383" s="398">
        <f>SUMIFS(uitkomst_doelgroep[Overige besparingen (€)],uitkomst_doelgroep[Digitale zorgtoepassing],B383,uitkomst_doelgroep[Jaar],D383,uitkomst_doelgroep[Overige besparingen (€)],"&gt;0",uitkomst_doelgroep[Uitgangssituatie/effect beleid],uitkomst_tech[[#This Row],[Uitgangssituatie/effect beleid]])</f>
        <v>4719727.7975879218</v>
      </c>
      <c r="J383" s="398">
        <f>SUMIFS(uitkomst_doelgroep[QALY (€)],uitkomst_doelgroep[Digitale zorgtoepassing],B383,uitkomst_doelgroep[Jaar],D383,uitkomst_doelgroep[QALY (€)],"&gt;0",uitkomst_doelgroep[Uitgangssituatie/effect beleid],uitkomst_tech[[#This Row],[Uitgangssituatie/effect beleid]])</f>
        <v>0</v>
      </c>
      <c r="K383" s="398">
        <f>SUMIFS(uitkomst_doelgroep[Kosten (€)],uitkomst_doelgroep[Digitale zorgtoepassing],B383,uitkomst_doelgroep[Jaar],D383,uitkomst_doelgroep[Kosten (€)],"&gt;0",uitkomst_doelgroep[Uitgangssituatie/effect beleid],uitkomst_tech[[#This Row],[Uitgangssituatie/effect beleid]])</f>
        <v>897428.7246818986</v>
      </c>
      <c r="L383" s="398">
        <f>SUMIFS(uitkomst_doelgroep[Investering (cash flow) (€)],uitkomst_doelgroep[Digitale zorgtoepassing],B383,uitkomst_doelgroep[Jaar],D383,uitkomst_doelgroep[Investering (cash flow) (€)],"&gt;0",uitkomst_doelgroep[Uitgangssituatie/effect beleid],uitkomst_tech[[#This Row],[Uitgangssituatie/effect beleid]])</f>
        <v>0</v>
      </c>
    </row>
    <row r="384" spans="1:12" x14ac:dyDescent="0.5">
      <c r="A384" s="2" t="str">
        <f>INDEX(Technologieën[Veld],MATCH(B384,Technologieën[Digitale zorgtoepassing],0))</f>
        <v>Sensoren - Behandeling</v>
      </c>
      <c r="B384" s="33" t="s">
        <v>593</v>
      </c>
      <c r="C384" s="33" t="s">
        <v>813</v>
      </c>
      <c r="D384" s="33">
        <v>2030</v>
      </c>
      <c r="E384" s="2"/>
      <c r="F384" s="397">
        <f>SUMIFS(uitkomst_doelgroep[Patiëntaantallen],uitkomst_doelgroep[Digitale zorgtoepassing],B384,uitkomst_doelgroep[Jaar],D384,uitkomst_doelgroep[Arbeidsbesparing (€)],"&gt;0",uitkomst_doelgroep[Uitgangssituatie/effect beleid],uitkomst_tech[[#This Row],[Uitgangssituatie/effect beleid]])</f>
        <v>14491.553402143147</v>
      </c>
      <c r="G384" s="398">
        <f>SUMIFS(uitkomst_doelgroep[Arbeidsbesparing (€)],uitkomst_doelgroep[Digitale zorgtoepassing],B384,uitkomst_doelgroep[Jaar],D384,uitkomst_doelgroep[Arbeidsbesparing (€)],"&gt;0",uitkomst_doelgroep[Uitgangssituatie/effect beleid],uitkomst_tech[[#This Row],[Uitgangssituatie/effect beleid]])</f>
        <v>7721099.6526618674</v>
      </c>
      <c r="H384" s="398">
        <f>SUMIFS(uitkomst_doelgroep[Arbeidsbesparing (FTE)],uitkomst_doelgroep[Digitale zorgtoepassing],B384,uitkomst_doelgroep[Jaar],D384,uitkomst_doelgroep[Arbeidsbesparing (FTE)],"&gt;0",uitkomst_doelgroep[Uitgangssituatie/effect beleid],uitkomst_tech[[#This Row],[Uitgangssituatie/effect beleid]])</f>
        <v>133.81599152276434</v>
      </c>
      <c r="I384" s="398">
        <f>SUMIFS(uitkomst_doelgroep[Overige besparingen (€)],uitkomst_doelgroep[Digitale zorgtoepassing],B384,uitkomst_doelgroep[Jaar],D384,uitkomst_doelgroep[Overige besparingen (€)],"&gt;0",uitkomst_doelgroep[Uitgangssituatie/effect beleid],uitkomst_tech[[#This Row],[Uitgangssituatie/effect beleid]])</f>
        <v>5147399.7684412468</v>
      </c>
      <c r="J384" s="398">
        <f>SUMIFS(uitkomst_doelgroep[QALY (€)],uitkomst_doelgroep[Digitale zorgtoepassing],B384,uitkomst_doelgroep[Jaar],D384,uitkomst_doelgroep[QALY (€)],"&gt;0",uitkomst_doelgroep[Uitgangssituatie/effect beleid],uitkomst_tech[[#This Row],[Uitgangssituatie/effect beleid]])</f>
        <v>0</v>
      </c>
      <c r="K384" s="398">
        <f>SUMIFS(uitkomst_doelgroep[Kosten (€)],uitkomst_doelgroep[Digitale zorgtoepassing],B384,uitkomst_doelgroep[Jaar],D384,uitkomst_doelgroep[Kosten (€)],"&gt;0",uitkomst_doelgroep[Uitgangssituatie/effect beleid],uitkomst_tech[[#This Row],[Uitgangssituatie/effect beleid]])</f>
        <v>978748.05661058356</v>
      </c>
      <c r="L384" s="398">
        <f>SUMIFS(uitkomst_doelgroep[Investering (cash flow) (€)],uitkomst_doelgroep[Digitale zorgtoepassing],B384,uitkomst_doelgroep[Jaar],D384,uitkomst_doelgroep[Investering (cash flow) (€)],"&gt;0",uitkomst_doelgroep[Uitgangssituatie/effect beleid],uitkomst_tech[[#This Row],[Uitgangssituatie/effect beleid]])</f>
        <v>0</v>
      </c>
    </row>
    <row r="385" spans="1:12" x14ac:dyDescent="0.5">
      <c r="A385" s="2" t="str">
        <f>INDEX(Technologieën[Veld],MATCH(B385,Technologieën[Digitale zorgtoepassing],0))</f>
        <v>Sensoren - Behandeling</v>
      </c>
      <c r="B385" s="33" t="s">
        <v>593</v>
      </c>
      <c r="C385" s="33" t="s">
        <v>813</v>
      </c>
      <c r="D385" s="33">
        <v>2031</v>
      </c>
      <c r="E385" s="2"/>
      <c r="F385" s="397">
        <f>SUMIFS(uitkomst_doelgroep[Patiëntaantallen],uitkomst_doelgroep[Digitale zorgtoepassing],B385,uitkomst_doelgroep[Jaar],D385,uitkomst_doelgroep[Arbeidsbesparing (€)],"&gt;0",uitkomst_doelgroep[Uitgangssituatie/effect beleid],uitkomst_tech[[#This Row],[Uitgangssituatie/effect beleid]])</f>
        <v>15360.715083266652</v>
      </c>
      <c r="G385" s="398">
        <f>SUMIFS(uitkomst_doelgroep[Arbeidsbesparing (€)],uitkomst_doelgroep[Digitale zorgtoepassing],B385,uitkomst_doelgroep[Jaar],D385,uitkomst_doelgroep[Arbeidsbesparing (€)],"&gt;0",uitkomst_doelgroep[Uitgangssituatie/effect beleid],uitkomst_tech[[#This Row],[Uitgangssituatie/effect beleid]])</f>
        <v>8184188.9963644715</v>
      </c>
      <c r="H385" s="398">
        <f>SUMIFS(uitkomst_doelgroep[Arbeidsbesparing (FTE)],uitkomst_doelgroep[Digitale zorgtoepassing],B385,uitkomst_doelgroep[Jaar],D385,uitkomst_doelgroep[Arbeidsbesparing (FTE)],"&gt;0",uitkomst_doelgroep[Uitgangssituatie/effect beleid],uitkomst_tech[[#This Row],[Uitgangssituatie/effect beleid]])</f>
        <v>141.84188970811235</v>
      </c>
      <c r="I385" s="398">
        <f>SUMIFS(uitkomst_doelgroep[Overige besparingen (€)],uitkomst_doelgroep[Digitale zorgtoepassing],B385,uitkomst_doelgroep[Jaar],D385,uitkomst_doelgroep[Overige besparingen (€)],"&gt;0",uitkomst_doelgroep[Uitgangssituatie/effect beleid],uitkomst_tech[[#This Row],[Uitgangssituatie/effect beleid]])</f>
        <v>5456125.9975763159</v>
      </c>
      <c r="J385" s="398">
        <f>SUMIFS(uitkomst_doelgroep[QALY (€)],uitkomst_doelgroep[Digitale zorgtoepassing],B385,uitkomst_doelgroep[Jaar],D385,uitkomst_doelgroep[QALY (€)],"&gt;0",uitkomst_doelgroep[Uitgangssituatie/effect beleid],uitkomst_tech[[#This Row],[Uitgangssituatie/effect beleid]])</f>
        <v>0</v>
      </c>
      <c r="K385" s="398">
        <f>SUMIFS(uitkomst_doelgroep[Kosten (€)],uitkomst_doelgroep[Digitale zorgtoepassing],B385,uitkomst_doelgroep[Jaar],D385,uitkomst_doelgroep[Kosten (€)],"&gt;0",uitkomst_doelgroep[Uitgangssituatie/effect beleid],uitkomst_tech[[#This Row],[Uitgangssituatie/effect beleid]])</f>
        <v>1037450.5492056294</v>
      </c>
      <c r="L385" s="398">
        <f>SUMIFS(uitkomst_doelgroep[Investering (cash flow) (€)],uitkomst_doelgroep[Digitale zorgtoepassing],B385,uitkomst_doelgroep[Jaar],D385,uitkomst_doelgroep[Investering (cash flow) (€)],"&gt;0",uitkomst_doelgroep[Uitgangssituatie/effect beleid],uitkomst_tech[[#This Row],[Uitgangssituatie/effect beleid]])</f>
        <v>0</v>
      </c>
    </row>
    <row r="386" spans="1:12" x14ac:dyDescent="0.5">
      <c r="A386" s="2" t="str">
        <f>INDEX(Technologieën[Veld],MATCH(B386,Technologieën[Digitale zorgtoepassing],0))</f>
        <v>Sensoren - Behandeling</v>
      </c>
      <c r="B386" s="33" t="s">
        <v>593</v>
      </c>
      <c r="C386" s="33" t="s">
        <v>813</v>
      </c>
      <c r="D386" s="33">
        <v>2032</v>
      </c>
      <c r="E386" s="2"/>
      <c r="F386" s="397">
        <f>SUMIFS(uitkomst_doelgroep[Patiëntaantallen],uitkomst_doelgroep[Digitale zorgtoepassing],B386,uitkomst_doelgroep[Jaar],D386,uitkomst_doelgroep[Arbeidsbesparing (€)],"&gt;0",uitkomst_doelgroep[Uitgangssituatie/effect beleid],uitkomst_tech[[#This Row],[Uitgangssituatie/effect beleid]])</f>
        <v>15945.451848909908</v>
      </c>
      <c r="G386" s="398">
        <f>SUMIFS(uitkomst_doelgroep[Arbeidsbesparing (€)],uitkomst_doelgroep[Digitale zorgtoepassing],B386,uitkomst_doelgroep[Jaar],D386,uitkomst_doelgroep[Arbeidsbesparing (€)],"&gt;0",uitkomst_doelgroep[Uitgangssituatie/effect beleid],uitkomst_tech[[#This Row],[Uitgangssituatie/effect beleid]])</f>
        <v>8495736.7450991981</v>
      </c>
      <c r="H386" s="398">
        <f>SUMIFS(uitkomst_doelgroep[Arbeidsbesparing (FTE)],uitkomst_doelgroep[Digitale zorgtoepassing],B386,uitkomst_doelgroep[Jaar],D386,uitkomst_doelgroep[Arbeidsbesparing (FTE)],"&gt;0",uitkomst_doelgroep[Uitgangssituatie/effect beleid],uitkomst_tech[[#This Row],[Uitgangssituatie/effect beleid]])</f>
        <v>147.24138884412594</v>
      </c>
      <c r="I386" s="398">
        <f>SUMIFS(uitkomst_doelgroep[Overige besparingen (€)],uitkomst_doelgroep[Digitale zorgtoepassing],B386,uitkomst_doelgroep[Jaar],D386,uitkomst_doelgroep[Overige besparingen (€)],"&gt;0",uitkomst_doelgroep[Uitgangssituatie/effect beleid],uitkomst_tech[[#This Row],[Uitgangssituatie/effect beleid]])</f>
        <v>5663824.4967328003</v>
      </c>
      <c r="J386" s="398">
        <f>SUMIFS(uitkomst_doelgroep[QALY (€)],uitkomst_doelgroep[Digitale zorgtoepassing],B386,uitkomst_doelgroep[Jaar],D386,uitkomst_doelgroep[QALY (€)],"&gt;0",uitkomst_doelgroep[Uitgangssituatie/effect beleid],uitkomst_tech[[#This Row],[Uitgangssituatie/effect beleid]])</f>
        <v>0</v>
      </c>
      <c r="K386" s="398">
        <f>SUMIFS(uitkomst_doelgroep[Kosten (€)],uitkomst_doelgroep[Digitale zorgtoepassing],B386,uitkomst_doelgroep[Jaar],D386,uitkomst_doelgroep[Kosten (€)],"&gt;0",uitkomst_doelgroep[Uitgangssituatie/effect beleid],uitkomst_tech[[#This Row],[Uitgangssituatie/effect beleid]])</f>
        <v>1076943.2079372639</v>
      </c>
      <c r="L386" s="398">
        <f>SUMIFS(uitkomst_doelgroep[Investering (cash flow) (€)],uitkomst_doelgroep[Digitale zorgtoepassing],B386,uitkomst_doelgroep[Jaar],D386,uitkomst_doelgroep[Investering (cash flow) (€)],"&gt;0",uitkomst_doelgroep[Uitgangssituatie/effect beleid],uitkomst_tech[[#This Row],[Uitgangssituatie/effect beleid]])</f>
        <v>0</v>
      </c>
    </row>
    <row r="387" spans="1:12" x14ac:dyDescent="0.5">
      <c r="A387" s="2" t="str">
        <f>INDEX(Technologieën[Veld],MATCH(B387,Technologieën[Digitale zorgtoepassing],0))</f>
        <v>Sensoren - Behandeling</v>
      </c>
      <c r="B387" s="33" t="s">
        <v>593</v>
      </c>
      <c r="C387" s="33" t="s">
        <v>813</v>
      </c>
      <c r="D387" s="33">
        <v>2033</v>
      </c>
      <c r="E387" s="2"/>
      <c r="F387" s="397">
        <f>SUMIFS(uitkomst_doelgroep[Patiëntaantallen],uitkomst_doelgroep[Digitale zorgtoepassing],B387,uitkomst_doelgroep[Jaar],D387,uitkomst_doelgroep[Arbeidsbesparing (€)],"&gt;0",uitkomst_doelgroep[Uitgangssituatie/effect beleid],uitkomst_tech[[#This Row],[Uitgangssituatie/effect beleid]])</f>
        <v>16318.697904570112</v>
      </c>
      <c r="G387" s="398">
        <f>SUMIFS(uitkomst_doelgroep[Arbeidsbesparing (€)],uitkomst_doelgroep[Digitale zorgtoepassing],B387,uitkomst_doelgroep[Jaar],D387,uitkomst_doelgroep[Arbeidsbesparing (€)],"&gt;0",uitkomst_doelgroep[Uitgangssituatie/effect beleid],uitkomst_tech[[#This Row],[Uitgangssituatie/effect beleid]])</f>
        <v>8694602.2435549553</v>
      </c>
      <c r="H387" s="398">
        <f>SUMIFS(uitkomst_doelgroep[Arbeidsbesparing (FTE)],uitkomst_doelgroep[Digitale zorgtoepassing],B387,uitkomst_doelgroep[Jaar],D387,uitkomst_doelgroep[Arbeidsbesparing (FTE)],"&gt;0",uitkomst_doelgroep[Uitgangssituatie/effect beleid],uitkomst_tech[[#This Row],[Uitgangssituatie/effect beleid]])</f>
        <v>150.68796835386604</v>
      </c>
      <c r="I387" s="398">
        <f>SUMIFS(uitkomst_doelgroep[Overige besparingen (€)],uitkomst_doelgroep[Digitale zorgtoepassing],B387,uitkomst_doelgroep[Jaar],D387,uitkomst_doelgroep[Overige besparingen (€)],"&gt;0",uitkomst_doelgroep[Uitgangssituatie/effect beleid],uitkomst_tech[[#This Row],[Uitgangssituatie/effect beleid]])</f>
        <v>5796401.4957033051</v>
      </c>
      <c r="J387" s="398">
        <f>SUMIFS(uitkomst_doelgroep[QALY (€)],uitkomst_doelgroep[Digitale zorgtoepassing],B387,uitkomst_doelgroep[Jaar],D387,uitkomst_doelgroep[QALY (€)],"&gt;0",uitkomst_doelgroep[Uitgangssituatie/effect beleid],uitkomst_tech[[#This Row],[Uitgangssituatie/effect beleid]])</f>
        <v>0</v>
      </c>
      <c r="K387" s="398">
        <f>SUMIFS(uitkomst_doelgroep[Kosten (€)],uitkomst_doelgroep[Digitale zorgtoepassing],B387,uitkomst_doelgroep[Jaar],D387,uitkomst_doelgroep[Kosten (€)],"&gt;0",uitkomst_doelgroep[Uitgangssituatie/effect beleid],uitkomst_tech[[#This Row],[Uitgangssituatie/effect beleid]])</f>
        <v>1102151.951367141</v>
      </c>
      <c r="L387" s="398">
        <f>SUMIFS(uitkomst_doelgroep[Investering (cash flow) (€)],uitkomst_doelgroep[Digitale zorgtoepassing],B387,uitkomst_doelgroep[Jaar],D387,uitkomst_doelgroep[Investering (cash flow) (€)],"&gt;0",uitkomst_doelgroep[Uitgangssituatie/effect beleid],uitkomst_tech[[#This Row],[Uitgangssituatie/effect beleid]])</f>
        <v>0</v>
      </c>
    </row>
    <row r="388" spans="1:12" x14ac:dyDescent="0.5">
      <c r="A388" s="2" t="str">
        <f>INDEX(Technologieën[Veld],MATCH(B388,Technologieën[Digitale zorgtoepassing],0))</f>
        <v>Software - Behandeling</v>
      </c>
      <c r="B388" s="33" t="s">
        <v>609</v>
      </c>
      <c r="C388" s="33" t="s">
        <v>813</v>
      </c>
      <c r="D388" s="33">
        <v>2023</v>
      </c>
      <c r="E388" s="2"/>
      <c r="F388" s="397">
        <f>SUMIFS(uitkomst_doelgroep[Patiëntaantallen],uitkomst_doelgroep[Digitale zorgtoepassing],B388,uitkomst_doelgroep[Jaar],D388,uitkomst_doelgroep[Arbeidsbesparing (€)],"&gt;0",uitkomst_doelgroep[Uitgangssituatie/effect beleid],uitkomst_tech[[#This Row],[Uitgangssituatie/effect beleid]])</f>
        <v>95314.4</v>
      </c>
      <c r="G388" s="398">
        <f>SUMIFS(uitkomst_doelgroep[Arbeidsbesparing (€)],uitkomst_doelgroep[Digitale zorgtoepassing],B388,uitkomst_doelgroep[Jaar],D388,uitkomst_doelgroep[Arbeidsbesparing (€)],"&gt;0",uitkomst_doelgroep[Uitgangssituatie/effect beleid],uitkomst_tech[[#This Row],[Uitgangssituatie/effect beleid]])</f>
        <v>42541060.028065518</v>
      </c>
      <c r="H388" s="398">
        <f>SUMIFS(uitkomst_doelgroep[Arbeidsbesparing (FTE)],uitkomst_doelgroep[Digitale zorgtoepassing],B388,uitkomst_doelgroep[Jaar],D388,uitkomst_doelgroep[Arbeidsbesparing (FTE)],"&gt;0",uitkomst_doelgroep[Uitgangssituatie/effect beleid],uitkomst_tech[[#This Row],[Uitgangssituatie/effect beleid]])</f>
        <v>609.64852808721218</v>
      </c>
      <c r="I388" s="398">
        <f>SUMIFS(uitkomst_doelgroep[Overige besparingen (€)],uitkomst_doelgroep[Digitale zorgtoepassing],B388,uitkomst_doelgroep[Jaar],D388,uitkomst_doelgroep[Overige besparingen (€)],"&gt;0",uitkomst_doelgroep[Uitgangssituatie/effect beleid],uitkomst_tech[[#This Row],[Uitgangssituatie/effect beleid]])</f>
        <v>61695734.6624</v>
      </c>
      <c r="J388" s="398">
        <f>SUMIFS(uitkomst_doelgroep[QALY (€)],uitkomst_doelgroep[Digitale zorgtoepassing],B388,uitkomst_doelgroep[Jaar],D388,uitkomst_doelgroep[QALY (€)],"&gt;0",uitkomst_doelgroep[Uitgangssituatie/effect beleid],uitkomst_tech[[#This Row],[Uitgangssituatie/effect beleid]])</f>
        <v>59249793.103448272</v>
      </c>
      <c r="K388" s="398">
        <f>SUMIFS(uitkomst_doelgroep[Kosten (€)],uitkomst_doelgroep[Digitale zorgtoepassing],B388,uitkomst_doelgroep[Jaar],D388,uitkomst_doelgroep[Kosten (€)],"&gt;0",uitkomst_doelgroep[Uitgangssituatie/effect beleid],uitkomst_tech[[#This Row],[Uitgangssituatie/effect beleid]])</f>
        <v>29671784</v>
      </c>
      <c r="L388" s="398">
        <f>SUMIFS(uitkomst_doelgroep[Investering (cash flow) (€)],uitkomst_doelgroep[Digitale zorgtoepassing],B388,uitkomst_doelgroep[Jaar],D388,uitkomst_doelgroep[Investering (cash flow) (€)],"&gt;0",uitkomst_doelgroep[Uitgangssituatie/effect beleid],uitkomst_tech[[#This Row],[Uitgangssituatie/effect beleid]])</f>
        <v>542119.20000000019</v>
      </c>
    </row>
    <row r="389" spans="1:12" x14ac:dyDescent="0.5">
      <c r="A389" s="2" t="str">
        <f>INDEX(Technologieën[Veld],MATCH(B389,Technologieën[Digitale zorgtoepassing],0))</f>
        <v>Software - Behandeling</v>
      </c>
      <c r="B389" s="33" t="s">
        <v>609</v>
      </c>
      <c r="C389" s="33" t="s">
        <v>813</v>
      </c>
      <c r="D389" s="33">
        <v>2024</v>
      </c>
      <c r="E389" s="2"/>
      <c r="F389" s="397">
        <f>SUMIFS(uitkomst_doelgroep[Patiëntaantallen],uitkomst_doelgroep[Digitale zorgtoepassing],B389,uitkomst_doelgroep[Jaar],D389,uitkomst_doelgroep[Arbeidsbesparing (€)],"&gt;0",uitkomst_doelgroep[Uitgangssituatie/effect beleid],uitkomst_tech[[#This Row],[Uitgangssituatie/effect beleid]])</f>
        <v>117894.76400000001</v>
      </c>
      <c r="G389" s="398">
        <f>SUMIFS(uitkomst_doelgroep[Arbeidsbesparing (€)],uitkomst_doelgroep[Digitale zorgtoepassing],B389,uitkomst_doelgroep[Jaar],D389,uitkomst_doelgroep[Arbeidsbesparing (€)],"&gt;0",uitkomst_doelgroep[Uitgangssituatie/effect beleid],uitkomst_tech[[#This Row],[Uitgangssituatie/effect beleid]])</f>
        <v>51626892.597179733</v>
      </c>
      <c r="H389" s="398">
        <f>SUMIFS(uitkomst_doelgroep[Arbeidsbesparing (FTE)],uitkomst_doelgroep[Digitale zorgtoepassing],B389,uitkomst_doelgroep[Jaar],D389,uitkomst_doelgroep[Arbeidsbesparing (FTE)],"&gt;0",uitkomst_doelgroep[Uitgangssituatie/effect beleid],uitkomst_tech[[#This Row],[Uitgangssituatie/effect beleid]])</f>
        <v>733.33838422409463</v>
      </c>
      <c r="I389" s="398">
        <f>SUMIFS(uitkomst_doelgroep[Overige besparingen (€)],uitkomst_doelgroep[Digitale zorgtoepassing],B389,uitkomst_doelgroep[Jaar],D389,uitkomst_doelgroep[Overige besparingen (€)],"&gt;0",uitkomst_doelgroep[Uitgangssituatie/effect beleid],uitkomst_tech[[#This Row],[Uitgangssituatie/effect beleid]])</f>
        <v>74504478.102623999</v>
      </c>
      <c r="J389" s="398">
        <f>SUMIFS(uitkomst_doelgroep[QALY (€)],uitkomst_doelgroep[Digitale zorgtoepassing],B389,uitkomst_doelgroep[Jaar],D389,uitkomst_doelgroep[QALY (€)],"&gt;0",uitkomst_doelgroep[Uitgangssituatie/effect beleid],uitkomst_tech[[#This Row],[Uitgangssituatie/effect beleid]])</f>
        <v>78159207.931034476</v>
      </c>
      <c r="K389" s="398">
        <f>SUMIFS(uitkomst_doelgroep[Kosten (€)],uitkomst_doelgroep[Digitale zorgtoepassing],B389,uitkomst_doelgroep[Jaar],D389,uitkomst_doelgroep[Kosten (€)],"&gt;0",uitkomst_doelgroep[Uitgangssituatie/effect beleid],uitkomst_tech[[#This Row],[Uitgangssituatie/effect beleid]])</f>
        <v>37558016.079999998</v>
      </c>
      <c r="L389" s="398">
        <f>SUMIFS(uitkomst_doelgroep[Investering (cash flow) (€)],uitkomst_doelgroep[Digitale zorgtoepassing],B389,uitkomst_doelgroep[Jaar],D389,uitkomst_doelgroep[Investering (cash flow) (€)],"&gt;0",uitkomst_doelgroep[Uitgangssituatie/effect beleid],uitkomst_tech[[#This Row],[Uitgangssituatie/effect beleid]])</f>
        <v>652494.66912000021</v>
      </c>
    </row>
    <row r="390" spans="1:12" x14ac:dyDescent="0.5">
      <c r="A390" s="2" t="str">
        <f>INDEX(Technologieën[Veld],MATCH(B390,Technologieën[Digitale zorgtoepassing],0))</f>
        <v>Software - Behandeling</v>
      </c>
      <c r="B390" s="33" t="s">
        <v>609</v>
      </c>
      <c r="C390" s="33" t="s">
        <v>813</v>
      </c>
      <c r="D390" s="33">
        <v>2025</v>
      </c>
      <c r="E390" s="2"/>
      <c r="F390" s="397">
        <f>SUMIFS(uitkomst_doelgroep[Patiëntaantallen],uitkomst_doelgroep[Digitale zorgtoepassing],B390,uitkomst_doelgroep[Jaar],D390,uitkomst_doelgroep[Arbeidsbesparing (€)],"&gt;0",uitkomst_doelgroep[Uitgangssituatie/effect beleid],uitkomst_tech[[#This Row],[Uitgangssituatie/effect beleid]])</f>
        <v>139056.17073139999</v>
      </c>
      <c r="G390" s="398">
        <f>SUMIFS(uitkomst_doelgroep[Arbeidsbesparing (€)],uitkomst_doelgroep[Digitale zorgtoepassing],B390,uitkomst_doelgroep[Jaar],D390,uitkomst_doelgroep[Arbeidsbesparing (€)],"&gt;0",uitkomst_doelgroep[Uitgangssituatie/effect beleid],uitkomst_tech[[#This Row],[Uitgangssituatie/effect beleid]])</f>
        <v>59588286.509737961</v>
      </c>
      <c r="H390" s="398">
        <f>SUMIFS(uitkomst_doelgroep[Arbeidsbesparing (FTE)],uitkomst_doelgroep[Digitale zorgtoepassing],B390,uitkomst_doelgroep[Jaar],D390,uitkomst_doelgroep[Arbeidsbesparing (FTE)],"&gt;0",uitkomst_doelgroep[Uitgangssituatie/effect beleid],uitkomst_tech[[#This Row],[Uitgangssituatie/effect beleid]])</f>
        <v>838.35973527946851</v>
      </c>
      <c r="I390" s="398">
        <f>SUMIFS(uitkomst_doelgroep[Overige besparingen (€)],uitkomst_doelgroep[Digitale zorgtoepassing],B390,uitkomst_doelgroep[Jaar],D390,uitkomst_doelgroep[Overige besparingen (€)],"&gt;0",uitkomst_doelgroep[Uitgangssituatie/effect beleid],uitkomst_tech[[#This Row],[Uitgangssituatie/effect beleid]])</f>
        <v>85525142.506850079</v>
      </c>
      <c r="J390" s="398">
        <f>SUMIFS(uitkomst_doelgroep[QALY (€)],uitkomst_doelgroep[Digitale zorgtoepassing],B390,uitkomst_doelgroep[Jaar],D390,uitkomst_doelgroep[QALY (€)],"&gt;0",uitkomst_doelgroep[Uitgangssituatie/effect beleid],uitkomst_tech[[#This Row],[Uitgangssituatie/effect beleid]])</f>
        <v>97798269.19101724</v>
      </c>
      <c r="K390" s="398">
        <f>SUMIFS(uitkomst_doelgroep[Kosten (€)],uitkomst_doelgroep[Digitale zorgtoepassing],B390,uitkomst_doelgroep[Jaar],D390,uitkomst_doelgroep[Kosten (€)],"&gt;0",uitkomst_doelgroep[Uitgangssituatie/effect beleid],uitkomst_tech[[#This Row],[Uitgangssituatie/effect beleid]])</f>
        <v>45156407.368072003</v>
      </c>
      <c r="L390" s="398">
        <f>SUMIFS(uitkomst_doelgroep[Investering (cash flow) (€)],uitkomst_doelgroep[Digitale zorgtoepassing],B390,uitkomst_doelgroep[Jaar],D390,uitkomst_doelgroep[Investering (cash flow) (€)],"&gt;0",uitkomst_doelgroep[Uitgangssituatie/effect beleid],uitkomst_tech[[#This Row],[Uitgangssituatie/effect beleid]])</f>
        <v>725816.12148389663</v>
      </c>
    </row>
    <row r="391" spans="1:12" x14ac:dyDescent="0.5">
      <c r="A391" s="2" t="str">
        <f>INDEX(Technologieën[Veld],MATCH(B391,Technologieën[Digitale zorgtoepassing],0))</f>
        <v>Software - Behandeling</v>
      </c>
      <c r="B391" s="33" t="s">
        <v>609</v>
      </c>
      <c r="C391" s="33" t="s">
        <v>813</v>
      </c>
      <c r="D391" s="33">
        <v>2026</v>
      </c>
      <c r="E391" s="2"/>
      <c r="F391" s="397">
        <f>SUMIFS(uitkomst_doelgroep[Patiëntaantallen],uitkomst_doelgroep[Digitale zorgtoepassing],B391,uitkomst_doelgroep[Jaar],D391,uitkomst_doelgroep[Arbeidsbesparing (€)],"&gt;0",uitkomst_doelgroep[Uitgangssituatie/effect beleid],uitkomst_tech[[#This Row],[Uitgangssituatie/effect beleid]])</f>
        <v>157404.26965877326</v>
      </c>
      <c r="G391" s="398">
        <f>SUMIFS(uitkomst_doelgroep[Arbeidsbesparing (€)],uitkomst_doelgroep[Digitale zorgtoepassing],B391,uitkomst_doelgroep[Jaar],D391,uitkomst_doelgroep[Arbeidsbesparing (€)],"&gt;0",uitkomst_doelgroep[Uitgangssituatie/effect beleid],uitkomst_tech[[#This Row],[Uitgangssituatie/effect beleid]])</f>
        <v>65870335.252800845</v>
      </c>
      <c r="H391" s="398">
        <f>SUMIFS(uitkomst_doelgroep[Arbeidsbesparing (FTE)],uitkomst_doelgroep[Digitale zorgtoepassing],B391,uitkomst_doelgroep[Jaar],D391,uitkomst_doelgroep[Arbeidsbesparing (FTE)],"&gt;0",uitkomst_doelgroep[Uitgangssituatie/effect beleid],uitkomst_tech[[#This Row],[Uitgangssituatie/effect beleid]])</f>
        <v>917.79575530347108</v>
      </c>
      <c r="I391" s="398">
        <f>SUMIFS(uitkomst_doelgroep[Overige besparingen (€)],uitkomst_doelgroep[Digitale zorgtoepassing],B391,uitkomst_doelgroep[Jaar],D391,uitkomst_doelgroep[Overige besparingen (€)],"&gt;0",uitkomst_doelgroep[Uitgangssituatie/effect beleid],uitkomst_tech[[#This Row],[Uitgangssituatie/effect beleid]])</f>
        <v>93999902.477131322</v>
      </c>
      <c r="J391" s="398">
        <f>SUMIFS(uitkomst_doelgroep[QALY (€)],uitkomst_doelgroep[Digitale zorgtoepassing],B391,uitkomst_doelgroep[Jaar],D391,uitkomst_doelgroep[QALY (€)],"&gt;0",uitkomst_doelgroep[Uitgangssituatie/effect beleid],uitkomst_tech[[#This Row],[Uitgangssituatie/effect beleid]])</f>
        <v>116262981.26015176</v>
      </c>
      <c r="K391" s="398">
        <f>SUMIFS(uitkomst_doelgroep[Kosten (€)],uitkomst_doelgroep[Digitale zorgtoepassing],B391,uitkomst_doelgroep[Jaar],D391,uitkomst_doelgroep[Kosten (€)],"&gt;0",uitkomst_doelgroep[Uitgangssituatie/effect beleid],uitkomst_tech[[#This Row],[Uitgangssituatie/effect beleid]])</f>
        <v>51736180.403723821</v>
      </c>
      <c r="L391" s="398">
        <f>SUMIFS(uitkomst_doelgroep[Investering (cash flow) (€)],uitkomst_doelgroep[Digitale zorgtoepassing],B391,uitkomst_doelgroep[Jaar],D391,uitkomst_doelgroep[Investering (cash flow) (€)],"&gt;0",uitkomst_doelgroep[Uitgangssituatie/effect beleid],uitkomst_tech[[#This Row],[Uitgangssituatie/effect beleid]])</f>
        <v>730979.24563012435</v>
      </c>
    </row>
    <row r="392" spans="1:12" x14ac:dyDescent="0.5">
      <c r="A392" s="2" t="str">
        <f>INDEX(Technologieën[Veld],MATCH(B392,Technologieën[Digitale zorgtoepassing],0))</f>
        <v>Software - Behandeling</v>
      </c>
      <c r="B392" s="33" t="s">
        <v>609</v>
      </c>
      <c r="C392" s="33" t="s">
        <v>813</v>
      </c>
      <c r="D392" s="33">
        <v>2027</v>
      </c>
      <c r="E392" s="2"/>
      <c r="F392" s="397">
        <f>SUMIFS(uitkomst_doelgroep[Patiëntaantallen],uitkomst_doelgroep[Digitale zorgtoepassing],B392,uitkomst_doelgroep[Jaar],D392,uitkomst_doelgroep[Arbeidsbesparing (€)],"&gt;0",uitkomst_doelgroep[Uitgangssituatie/effect beleid],uitkomst_tech[[#This Row],[Uitgangssituatie/effect beleid]])</f>
        <v>181560.09161112891</v>
      </c>
      <c r="G392" s="398">
        <f>SUMIFS(uitkomst_doelgroep[Arbeidsbesparing (€)],uitkomst_doelgroep[Digitale zorgtoepassing],B392,uitkomst_doelgroep[Jaar],D392,uitkomst_doelgroep[Arbeidsbesparing (€)],"&gt;0",uitkomst_doelgroep[Uitgangssituatie/effect beleid],uitkomst_tech[[#This Row],[Uitgangssituatie/effect beleid]])</f>
        <v>74317349.473255739</v>
      </c>
      <c r="H392" s="398">
        <f>SUMIFS(uitkomst_doelgroep[Arbeidsbesparing (FTE)],uitkomst_doelgroep[Digitale zorgtoepassing],B392,uitkomst_doelgroep[Jaar],D392,uitkomst_doelgroep[Arbeidsbesparing (FTE)],"&gt;0",uitkomst_doelgroep[Uitgangssituatie/effect beleid],uitkomst_tech[[#This Row],[Uitgangssituatie/effect beleid]])</f>
        <v>1040.1110776119385</v>
      </c>
      <c r="I392" s="398">
        <f>SUMIFS(uitkomst_doelgroep[Overige besparingen (€)],uitkomst_doelgroep[Digitale zorgtoepassing],B392,uitkomst_doelgroep[Jaar],D392,uitkomst_doelgroep[Overige besparingen (€)],"&gt;0",uitkomst_doelgroep[Uitgangssituatie/effect beleid],uitkomst_tech[[#This Row],[Uitgangssituatie/effect beleid]])</f>
        <v>101151568.60281843</v>
      </c>
      <c r="J392" s="398">
        <f>SUMIFS(uitkomst_doelgroep[QALY (€)],uitkomst_doelgroep[Digitale zorgtoepassing],B392,uitkomst_doelgroep[Jaar],D392,uitkomst_doelgroep[QALY (€)],"&gt;0",uitkomst_doelgroep[Uitgangssituatie/effect beleid],uitkomst_tech[[#This Row],[Uitgangssituatie/effect beleid]])</f>
        <v>146384148.8426435</v>
      </c>
      <c r="K392" s="398">
        <f>SUMIFS(uitkomst_doelgroep[Kosten (€)],uitkomst_doelgroep[Digitale zorgtoepassing],B392,uitkomst_doelgroep[Jaar],D392,uitkomst_doelgroep[Kosten (€)],"&gt;0",uitkomst_doelgroep[Uitgangssituatie/effect beleid],uitkomst_tech[[#This Row],[Uitgangssituatie/effect beleid]])</f>
        <v>60934928.987880975</v>
      </c>
      <c r="L392" s="398">
        <f>SUMIFS(uitkomst_doelgroep[Investering (cash flow) (€)],uitkomst_doelgroep[Digitale zorgtoepassing],B392,uitkomst_doelgroep[Jaar],D392,uitkomst_doelgroep[Investering (cash flow) (€)],"&gt;0",uitkomst_doelgroep[Uitgangssituatie/effect beleid],uitkomst_tech[[#This Row],[Uitgangssituatie/effect beleid]])</f>
        <v>654856.89200977527</v>
      </c>
    </row>
    <row r="393" spans="1:12" x14ac:dyDescent="0.5">
      <c r="A393" s="2" t="str">
        <f>INDEX(Technologieën[Veld],MATCH(B393,Technologieën[Digitale zorgtoepassing],0))</f>
        <v>Software - Behandeling</v>
      </c>
      <c r="B393" s="33" t="s">
        <v>609</v>
      </c>
      <c r="C393" s="33" t="s">
        <v>813</v>
      </c>
      <c r="D393" s="33">
        <v>2028</v>
      </c>
      <c r="E393" s="2"/>
      <c r="F393" s="397">
        <f>SUMIFS(uitkomst_doelgroep[Patiëntaantallen],uitkomst_doelgroep[Digitale zorgtoepassing],B393,uitkomst_doelgroep[Jaar],D393,uitkomst_doelgroep[Arbeidsbesparing (€)],"&gt;0",uitkomst_doelgroep[Uitgangssituatie/effect beleid],uitkomst_tech[[#This Row],[Uitgangssituatie/effect beleid]])</f>
        <v>205960.79284358799</v>
      </c>
      <c r="G393" s="398">
        <f>SUMIFS(uitkomst_doelgroep[Arbeidsbesparing (€)],uitkomst_doelgroep[Digitale zorgtoepassing],B393,uitkomst_doelgroep[Jaar],D393,uitkomst_doelgroep[Arbeidsbesparing (€)],"&gt;0",uitkomst_doelgroep[Uitgangssituatie/effect beleid],uitkomst_tech[[#This Row],[Uitgangssituatie/effect beleid]])</f>
        <v>82888883.866628066</v>
      </c>
      <c r="H393" s="398">
        <f>SUMIFS(uitkomst_doelgroep[Arbeidsbesparing (FTE)],uitkomst_doelgroep[Digitale zorgtoepassing],B393,uitkomst_doelgroep[Jaar],D393,uitkomst_doelgroep[Arbeidsbesparing (FTE)],"&gt;0",uitkomst_doelgroep[Uitgangssituatie/effect beleid],uitkomst_tech[[#This Row],[Uitgangssituatie/effect beleid]])</f>
        <v>1170.5929752616476</v>
      </c>
      <c r="I393" s="398">
        <f>SUMIFS(uitkomst_doelgroep[Overige besparingen (€)],uitkomst_doelgroep[Digitale zorgtoepassing],B393,uitkomst_doelgroep[Jaar],D393,uitkomst_doelgroep[Overige besparingen (€)],"&gt;0",uitkomst_doelgroep[Uitgangssituatie/effect beleid],uitkomst_tech[[#This Row],[Uitgangssituatie/effect beleid]])</f>
        <v>106716544.34488368</v>
      </c>
      <c r="J393" s="398">
        <f>SUMIFS(uitkomst_doelgroep[QALY (€)],uitkomst_doelgroep[Digitale zorgtoepassing],B393,uitkomst_doelgroep[Jaar],D393,uitkomst_doelgroep[QALY (€)],"&gt;0",uitkomst_doelgroep[Uitgangssituatie/effect beleid],uitkomst_tech[[#This Row],[Uitgangssituatie/effect beleid]])</f>
        <v>178785595.19614011</v>
      </c>
      <c r="K393" s="398">
        <f>SUMIFS(uitkomst_doelgroep[Kosten (€)],uitkomst_doelgroep[Digitale zorgtoepassing],B393,uitkomst_doelgroep[Jaar],D393,uitkomst_doelgroep[Kosten (€)],"&gt;0",uitkomst_doelgroep[Uitgangssituatie/effect beleid],uitkomst_tech[[#This Row],[Uitgangssituatie/effect beleid]])</f>
        <v>70292425.935082614</v>
      </c>
      <c r="L393" s="398">
        <f>SUMIFS(uitkomst_doelgroep[Investering (cash flow) (€)],uitkomst_doelgroep[Digitale zorgtoepassing],B393,uitkomst_doelgroep[Jaar],D393,uitkomst_doelgroep[Investering (cash flow) (€)],"&gt;0",uitkomst_doelgroep[Uitgangssituatie/effect beleid],uitkomst_tech[[#This Row],[Uitgangssituatie/effect beleid]])</f>
        <v>517356.84688565304</v>
      </c>
    </row>
    <row r="394" spans="1:12" x14ac:dyDescent="0.5">
      <c r="A394" s="2" t="str">
        <f>INDEX(Technologieën[Veld],MATCH(B394,Technologieën[Digitale zorgtoepassing],0))</f>
        <v>Software - Behandeling</v>
      </c>
      <c r="B394" s="33" t="s">
        <v>609</v>
      </c>
      <c r="C394" s="33" t="s">
        <v>813</v>
      </c>
      <c r="D394" s="33">
        <v>2029</v>
      </c>
      <c r="E394" s="2"/>
      <c r="F394" s="397">
        <f>SUMIFS(uitkomst_doelgroep[Patiëntaantallen],uitkomst_doelgroep[Digitale zorgtoepassing],B394,uitkomst_doelgroep[Jaar],D394,uitkomst_doelgroep[Arbeidsbesparing (€)],"&gt;0",uitkomst_doelgroep[Uitgangssituatie/effect beleid],uitkomst_tech[[#This Row],[Uitgangssituatie/effect beleid]])</f>
        <v>232113.27924883168</v>
      </c>
      <c r="G394" s="398">
        <f>SUMIFS(uitkomst_doelgroep[Arbeidsbesparing (€)],uitkomst_doelgroep[Digitale zorgtoepassing],B394,uitkomst_doelgroep[Jaar],D394,uitkomst_doelgroep[Arbeidsbesparing (€)],"&gt;0",uitkomst_doelgroep[Uitgangssituatie/effect beleid],uitkomst_tech[[#This Row],[Uitgangssituatie/effect beleid]])</f>
        <v>92483569.308690593</v>
      </c>
      <c r="H394" s="398">
        <f>SUMIFS(uitkomst_doelgroep[Arbeidsbesparing (FTE)],uitkomst_doelgroep[Digitale zorgtoepassing],B394,uitkomst_doelgroep[Jaar],D394,uitkomst_doelgroep[Arbeidsbesparing (FTE)],"&gt;0",uitkomst_doelgroep[Uitgangssituatie/effect beleid],uitkomst_tech[[#This Row],[Uitgangssituatie/effect beleid]])</f>
        <v>1324.4051131812207</v>
      </c>
      <c r="I394" s="398">
        <f>SUMIFS(uitkomst_doelgroep[Overige besparingen (€)],uitkomst_doelgroep[Digitale zorgtoepassing],B394,uitkomst_doelgroep[Jaar],D394,uitkomst_doelgroep[Overige besparingen (€)],"&gt;0",uitkomst_doelgroep[Uitgangssituatie/effect beleid],uitkomst_tech[[#This Row],[Uitgangssituatie/effect beleid]])</f>
        <v>111467922.02711742</v>
      </c>
      <c r="J394" s="398">
        <f>SUMIFS(uitkomst_doelgroep[QALY (€)],uitkomst_doelgroep[Digitale zorgtoepassing],B394,uitkomst_doelgroep[Jaar],D394,uitkomst_doelgroep[QALY (€)],"&gt;0",uitkomst_doelgroep[Uitgangssituatie/effect beleid],uitkomst_tech[[#This Row],[Uitgangssituatie/effect beleid]])</f>
        <v>215449477.23525861</v>
      </c>
      <c r="K394" s="398">
        <f>SUMIFS(uitkomst_doelgroep[Kosten (€)],uitkomst_doelgroep[Digitale zorgtoepassing],B394,uitkomst_doelgroep[Jaar],D394,uitkomst_doelgroep[Kosten (€)],"&gt;0",uitkomst_doelgroep[Uitgangssituatie/effect beleid],uitkomst_tech[[#This Row],[Uitgangssituatie/effect beleid]])</f>
        <v>80602495.00631462</v>
      </c>
      <c r="L394" s="398">
        <f>SUMIFS(uitkomst_doelgroep[Investering (cash flow) (€)],uitkomst_doelgroep[Digitale zorgtoepassing],B394,uitkomst_doelgroep[Jaar],D394,uitkomst_doelgroep[Investering (cash flow) (€)],"&gt;0",uitkomst_doelgroep[Uitgangssituatie/effect beleid],uitkomst_tech[[#This Row],[Uitgangssituatie/effect beleid]])</f>
        <v>362414.67006817186</v>
      </c>
    </row>
    <row r="395" spans="1:12" x14ac:dyDescent="0.5">
      <c r="A395" s="2" t="str">
        <f>INDEX(Technologieën[Veld],MATCH(B395,Technologieën[Digitale zorgtoepassing],0))</f>
        <v>Software - Behandeling</v>
      </c>
      <c r="B395" s="33" t="s">
        <v>609</v>
      </c>
      <c r="C395" s="33" t="s">
        <v>813</v>
      </c>
      <c r="D395" s="33">
        <v>2030</v>
      </c>
      <c r="E395" s="2"/>
      <c r="F395" s="397">
        <f>SUMIFS(uitkomst_doelgroep[Patiëntaantallen],uitkomst_doelgroep[Digitale zorgtoepassing],B395,uitkomst_doelgroep[Jaar],D395,uitkomst_doelgroep[Arbeidsbesparing (€)],"&gt;0",uitkomst_doelgroep[Uitgangssituatie/effect beleid],uitkomst_tech[[#This Row],[Uitgangssituatie/effect beleid]])</f>
        <v>261859.61686454256</v>
      </c>
      <c r="G395" s="398">
        <f>SUMIFS(uitkomst_doelgroep[Arbeidsbesparing (€)],uitkomst_doelgroep[Digitale zorgtoepassing],B395,uitkomst_doelgroep[Jaar],D395,uitkomst_doelgroep[Arbeidsbesparing (€)],"&gt;0",uitkomst_doelgroep[Uitgangssituatie/effect beleid],uitkomst_tech[[#This Row],[Uitgangssituatie/effect beleid]])</f>
        <v>103993322.49725902</v>
      </c>
      <c r="H395" s="398">
        <f>SUMIFS(uitkomst_doelgroep[Arbeidsbesparing (FTE)],uitkomst_doelgroep[Digitale zorgtoepassing],B395,uitkomst_doelgroep[Jaar],D395,uitkomst_doelgroep[Arbeidsbesparing (FTE)],"&gt;0",uitkomst_doelgroep[Uitgangssituatie/effect beleid],uitkomst_tech[[#This Row],[Uitgangssituatie/effect beleid]])</f>
        <v>1515.9182858974245</v>
      </c>
      <c r="I395" s="398">
        <f>SUMIFS(uitkomst_doelgroep[Overige besparingen (€)],uitkomst_doelgroep[Digitale zorgtoepassing],B395,uitkomst_doelgroep[Jaar],D395,uitkomst_doelgroep[Overige besparingen (€)],"&gt;0",uitkomst_doelgroep[Uitgangssituatie/effect beleid],uitkomst_tech[[#This Row],[Uitgangssituatie/effect beleid]])</f>
        <v>116103483.05139509</v>
      </c>
      <c r="J395" s="398">
        <f>SUMIFS(uitkomst_doelgroep[QALY (€)],uitkomst_doelgroep[Digitale zorgtoepassing],B395,uitkomst_doelgroep[Jaar],D395,uitkomst_doelgroep[QALY (€)],"&gt;0",uitkomst_doelgroep[Uitgangssituatie/effect beleid],uitkomst_tech[[#This Row],[Uitgangssituatie/effect beleid]])</f>
        <v>259036311.44529933</v>
      </c>
      <c r="K395" s="398">
        <f>SUMIFS(uitkomst_doelgroep[Kosten (€)],uitkomst_doelgroep[Digitale zorgtoepassing],B395,uitkomst_doelgroep[Jaar],D395,uitkomst_doelgroep[Kosten (€)],"&gt;0",uitkomst_doelgroep[Uitgangssituatie/effect beleid],uitkomst_tech[[#This Row],[Uitgangssituatie/effect beleid]])</f>
        <v>92791375.139924914</v>
      </c>
      <c r="L395" s="398">
        <f>SUMIFS(uitkomst_doelgroep[Investering (cash flow) (€)],uitkomst_doelgroep[Digitale zorgtoepassing],B395,uitkomst_doelgroep[Jaar],D395,uitkomst_doelgroep[Investering (cash flow) (€)],"&gt;0",uitkomst_doelgroep[Uitgangssituatie/effect beleid],uitkomst_tech[[#This Row],[Uitgangssituatie/effect beleid]])</f>
        <v>229526.81374048453</v>
      </c>
    </row>
    <row r="396" spans="1:12" x14ac:dyDescent="0.5">
      <c r="A396" s="2" t="str">
        <f>INDEX(Technologieën[Veld],MATCH(B396,Technologieën[Digitale zorgtoepassing],0))</f>
        <v>Software - Behandeling</v>
      </c>
      <c r="B396" s="33" t="s">
        <v>609</v>
      </c>
      <c r="C396" s="33" t="s">
        <v>813</v>
      </c>
      <c r="D396" s="33">
        <v>2031</v>
      </c>
      <c r="E396" s="2"/>
      <c r="F396" s="397">
        <f>SUMIFS(uitkomst_doelgroep[Patiëntaantallen],uitkomst_doelgroep[Digitale zorgtoepassing],B396,uitkomst_doelgroep[Jaar],D396,uitkomst_doelgroep[Arbeidsbesparing (€)],"&gt;0",uitkomst_doelgroep[Uitgangssituatie/effect beleid],uitkomst_tech[[#This Row],[Uitgangssituatie/effect beleid]])</f>
        <v>296873.25890514598</v>
      </c>
      <c r="G396" s="398">
        <f>SUMIFS(uitkomst_doelgroep[Arbeidsbesparing (€)],uitkomst_doelgroep[Digitale zorgtoepassing],B396,uitkomst_doelgroep[Jaar],D396,uitkomst_doelgroep[Arbeidsbesparing (€)],"&gt;0",uitkomst_doelgroep[Uitgangssituatie/effect beleid],uitkomst_tech[[#This Row],[Uitgangssituatie/effect beleid]])</f>
        <v>118094821.45684078</v>
      </c>
      <c r="H396" s="398">
        <f>SUMIFS(uitkomst_doelgroep[Arbeidsbesparing (FTE)],uitkomst_doelgroep[Digitale zorgtoepassing],B396,uitkomst_doelgroep[Jaar],D396,uitkomst_doelgroep[Arbeidsbesparing (FTE)],"&gt;0",uitkomst_doelgroep[Uitgangssituatie/effect beleid],uitkomst_tech[[#This Row],[Uitgangssituatie/effect beleid]])</f>
        <v>1755.5562499602124</v>
      </c>
      <c r="I396" s="398">
        <f>SUMIFS(uitkomst_doelgroep[Overige besparingen (€)],uitkomst_doelgroep[Digitale zorgtoepassing],B396,uitkomst_doelgroep[Jaar],D396,uitkomst_doelgroep[Overige besparingen (€)],"&gt;0",uitkomst_doelgroep[Uitgangssituatie/effect beleid],uitkomst_tech[[#This Row],[Uitgangssituatie/effect beleid]])</f>
        <v>121131321.53010614</v>
      </c>
      <c r="J396" s="398">
        <f>SUMIFS(uitkomst_doelgroep[QALY (€)],uitkomst_doelgroep[Digitale zorgtoepassing],B396,uitkomst_doelgroep[Jaar],D396,uitkomst_doelgroep[QALY (€)],"&gt;0",uitkomst_doelgroep[Uitgangssituatie/effect beleid],uitkomst_tech[[#This Row],[Uitgangssituatie/effect beleid]])</f>
        <v>311888976.90693927</v>
      </c>
      <c r="K396" s="398">
        <f>SUMIFS(uitkomst_doelgroep[Kosten (€)],uitkomst_doelgroep[Digitale zorgtoepassing],B396,uitkomst_doelgroep[Jaar],D396,uitkomst_doelgroep[Kosten (€)],"&gt;0",uitkomst_doelgroep[Uitgangssituatie/effect beleid],uitkomst_tech[[#This Row],[Uitgangssituatie/effect beleid]])</f>
        <v>107605348.37848052</v>
      </c>
      <c r="L396" s="398">
        <f>SUMIFS(uitkomst_doelgroep[Investering (cash flow) (€)],uitkomst_doelgroep[Digitale zorgtoepassing],B396,uitkomst_doelgroep[Jaar],D396,uitkomst_doelgroep[Investering (cash flow) (€)],"&gt;0",uitkomst_doelgroep[Uitgangssituatie/effect beleid],uitkomst_tech[[#This Row],[Uitgangssituatie/effect beleid]])</f>
        <v>134989.70471169983</v>
      </c>
    </row>
    <row r="397" spans="1:12" x14ac:dyDescent="0.5">
      <c r="A397" s="2" t="str">
        <f>INDEX(Technologieën[Veld],MATCH(B397,Technologieën[Digitale zorgtoepassing],0))</f>
        <v>Software - Behandeling</v>
      </c>
      <c r="B397" s="33" t="s">
        <v>609</v>
      </c>
      <c r="C397" s="33" t="s">
        <v>813</v>
      </c>
      <c r="D397" s="33">
        <v>2032</v>
      </c>
      <c r="E397" s="2"/>
      <c r="F397" s="397">
        <f>SUMIFS(uitkomst_doelgroep[Patiëntaantallen],uitkomst_doelgroep[Digitale zorgtoepassing],B397,uitkomst_doelgroep[Jaar],D397,uitkomst_doelgroep[Arbeidsbesparing (€)],"&gt;0",uitkomst_doelgroep[Uitgangssituatie/effect beleid],uitkomst_tech[[#This Row],[Uitgangssituatie/effect beleid]])</f>
        <v>337838.29254248051</v>
      </c>
      <c r="G397" s="398">
        <f>SUMIFS(uitkomst_doelgroep[Arbeidsbesparing (€)],uitkomst_doelgroep[Digitale zorgtoepassing],B397,uitkomst_doelgroep[Jaar],D397,uitkomst_doelgroep[Arbeidsbesparing (€)],"&gt;0",uitkomst_doelgroep[Uitgangssituatie/effect beleid],uitkomst_tech[[#This Row],[Uitgangssituatie/effect beleid]])</f>
        <v>134979066.51301503</v>
      </c>
      <c r="H397" s="398">
        <f>SUMIFS(uitkomst_doelgroep[Arbeidsbesparing (FTE)],uitkomst_doelgroep[Digitale zorgtoepassing],B397,uitkomst_doelgroep[Jaar],D397,uitkomst_doelgroep[Arbeidsbesparing (FTE)],"&gt;0",uitkomst_doelgroep[Uitgangssituatie/effect beleid],uitkomst_tech[[#This Row],[Uitgangssituatie/effect beleid]])</f>
        <v>2045.4769256495247</v>
      </c>
      <c r="I397" s="398">
        <f>SUMIFS(uitkomst_doelgroep[Overige besparingen (€)],uitkomst_doelgroep[Digitale zorgtoepassing],B397,uitkomst_doelgroep[Jaar],D397,uitkomst_doelgroep[Overige besparingen (€)],"&gt;0",uitkomst_doelgroep[Uitgangssituatie/effect beleid],uitkomst_tech[[#This Row],[Uitgangssituatie/effect beleid]])</f>
        <v>126798472.24224046</v>
      </c>
      <c r="J397" s="398">
        <f>SUMIFS(uitkomst_doelgroep[QALY (€)],uitkomst_doelgroep[Digitale zorgtoepassing],B397,uitkomst_doelgroep[Jaar],D397,uitkomst_doelgroep[QALY (€)],"&gt;0",uitkomst_doelgroep[Uitgangssituatie/effect beleid],uitkomst_tech[[#This Row],[Uitgangssituatie/effect beleid]])</f>
        <v>374760177.53477323</v>
      </c>
      <c r="K397" s="398">
        <f>SUMIFS(uitkomst_doelgroep[Kosten (€)],uitkomst_doelgroep[Digitale zorgtoepassing],B397,uitkomst_doelgroep[Jaar],D397,uitkomst_doelgroep[Kosten (€)],"&gt;0",uitkomst_doelgroep[Uitgangssituatie/effect beleid],uitkomst_tech[[#This Row],[Uitgangssituatie/effect beleid]])</f>
        <v>125279050.99070844</v>
      </c>
      <c r="L397" s="398">
        <f>SUMIFS(uitkomst_doelgroep[Investering (cash flow) (€)],uitkomst_doelgroep[Digitale zorgtoepassing],B397,uitkomst_doelgroep[Jaar],D397,uitkomst_doelgroep[Investering (cash flow) (€)],"&gt;0",uitkomst_doelgroep[Uitgangssituatie/effect beleid],uitkomst_tech[[#This Row],[Uitgangssituatie/effect beleid]])</f>
        <v>75632.666129948455</v>
      </c>
    </row>
    <row r="398" spans="1:12" x14ac:dyDescent="0.5">
      <c r="A398" s="2" t="str">
        <f>INDEX(Technologieën[Veld],MATCH(B398,Technologieën[Digitale zorgtoepassing],0))</f>
        <v>Software - Behandeling</v>
      </c>
      <c r="B398" s="33" t="s">
        <v>609</v>
      </c>
      <c r="C398" s="33" t="s">
        <v>813</v>
      </c>
      <c r="D398" s="33">
        <v>2033</v>
      </c>
      <c r="E398" s="2"/>
      <c r="F398" s="397">
        <f>SUMIFS(uitkomst_doelgroep[Patiëntaantallen],uitkomst_doelgroep[Digitale zorgtoepassing],B398,uitkomst_doelgroep[Jaar],D398,uitkomst_doelgroep[Arbeidsbesparing (€)],"&gt;0",uitkomst_doelgroep[Uitgangssituatie/effect beleid],uitkomst_tech[[#This Row],[Uitgangssituatie/effect beleid]])</f>
        <v>383583.40754928073</v>
      </c>
      <c r="G398" s="398">
        <f>SUMIFS(uitkomst_doelgroep[Arbeidsbesparing (€)],uitkomst_doelgroep[Digitale zorgtoepassing],B398,uitkomst_doelgroep[Jaar],D398,uitkomst_doelgroep[Arbeidsbesparing (€)],"&gt;0",uitkomst_doelgroep[Uitgangssituatie/effect beleid],uitkomst_tech[[#This Row],[Uitgangssituatie/effect beleid]])</f>
        <v>154053501.09471667</v>
      </c>
      <c r="H398" s="398">
        <f>SUMIFS(uitkomst_doelgroep[Arbeidsbesparing (FTE)],uitkomst_doelgroep[Digitale zorgtoepassing],B398,uitkomst_doelgroep[Jaar],D398,uitkomst_doelgroep[Arbeidsbesparing (FTE)],"&gt;0",uitkomst_doelgroep[Uitgangssituatie/effect beleid],uitkomst_tech[[#This Row],[Uitgangssituatie/effect beleid]])</f>
        <v>2374.5740991178291</v>
      </c>
      <c r="I398" s="398">
        <f>SUMIFS(uitkomst_doelgroep[Overige besparingen (€)],uitkomst_doelgroep[Digitale zorgtoepassing],B398,uitkomst_doelgroep[Jaar],D398,uitkomst_doelgroep[Overige besparingen (€)],"&gt;0",uitkomst_doelgroep[Uitgangssituatie/effect beleid],uitkomst_tech[[#This Row],[Uitgangssituatie/effect beleid]])</f>
        <v>133026834.69922884</v>
      </c>
      <c r="J398" s="398">
        <f>SUMIFS(uitkomst_doelgroep[QALY (€)],uitkomst_doelgroep[Digitale zorgtoepassing],B398,uitkomst_doelgroep[Jaar],D398,uitkomst_doelgroep[QALY (€)],"&gt;0",uitkomst_doelgroep[Uitgangssituatie/effect beleid],uitkomst_tech[[#This Row],[Uitgangssituatie/effect beleid]])</f>
        <v>445548623.6945743</v>
      </c>
      <c r="K398" s="398">
        <f>SUMIFS(uitkomst_doelgroep[Kosten (€)],uitkomst_doelgroep[Digitale zorgtoepassing],B398,uitkomst_doelgroep[Jaar],D398,uitkomst_doelgroep[Kosten (€)],"&gt;0",uitkomst_doelgroep[Uitgangssituatie/effect beleid],uitkomst_tech[[#This Row],[Uitgangssituatie/effect beleid]])</f>
        <v>145215338.52158999</v>
      </c>
      <c r="L398" s="398">
        <f>SUMIFS(uitkomst_doelgroep[Investering (cash flow) (€)],uitkomst_doelgroep[Digitale zorgtoepassing],B398,uitkomst_doelgroep[Jaar],D398,uitkomst_doelgroep[Investering (cash flow) (€)],"&gt;0",uitkomst_doelgroep[Uitgangssituatie/effect beleid],uitkomst_tech[[#This Row],[Uitgangssituatie/effect beleid]])</f>
        <v>41159.305032039811</v>
      </c>
    </row>
    <row r="399" spans="1:12" x14ac:dyDescent="0.5">
      <c r="A399" s="2" t="str">
        <f>INDEX(Technologieën[Veld],MATCH(B399,Technologieën[Digitale zorgtoepassing],0))</f>
        <v>Software - Diagnose</v>
      </c>
      <c r="B399" s="33" t="s">
        <v>474</v>
      </c>
      <c r="C399" s="33" t="s">
        <v>813</v>
      </c>
      <c r="D399" s="33">
        <v>2023</v>
      </c>
      <c r="E399" s="2"/>
      <c r="F399" s="397">
        <f>SUMIFS(uitkomst_doelgroep[Patiëntaantallen],uitkomst_doelgroep[Digitale zorgtoepassing],B399,uitkomst_doelgroep[Jaar],D399,uitkomst_doelgroep[Arbeidsbesparing (€)],"&gt;0",uitkomst_doelgroep[Uitgangssituatie/effect beleid],uitkomst_tech[[#This Row],[Uitgangssituatie/effect beleid]])</f>
        <v>366160.60800000001</v>
      </c>
      <c r="G399" s="398">
        <f>SUMIFS(uitkomst_doelgroep[Arbeidsbesparing (€)],uitkomst_doelgroep[Digitale zorgtoepassing],B399,uitkomst_doelgroep[Jaar],D399,uitkomst_doelgroep[Arbeidsbesparing (€)],"&gt;0",uitkomst_doelgroep[Uitgangssituatie/effect beleid],uitkomst_tech[[#This Row],[Uitgangssituatie/effect beleid]])</f>
        <v>3218315.0025475873</v>
      </c>
      <c r="H399" s="398">
        <f>SUMIFS(uitkomst_doelgroep[Arbeidsbesparing (FTE)],uitkomst_doelgroep[Digitale zorgtoepassing],B399,uitkomst_doelgroep[Jaar],D399,uitkomst_doelgroep[Arbeidsbesparing (FTE)],"&gt;0",uitkomst_doelgroep[Uitgangssituatie/effect beleid],uitkomst_tech[[#This Row],[Uitgangssituatie/effect beleid]])</f>
        <v>23.765231769230773</v>
      </c>
      <c r="I399" s="398">
        <f>SUMIFS(uitkomst_doelgroep[Overige besparingen (€)],uitkomst_doelgroep[Digitale zorgtoepassing],B399,uitkomst_doelgroep[Jaar],D399,uitkomst_doelgroep[Overige besparingen (€)],"&gt;0",uitkomst_doelgroep[Uitgangssituatie/effect beleid],uitkomst_tech[[#This Row],[Uitgangssituatie/effect beleid]])</f>
        <v>0</v>
      </c>
      <c r="J399" s="398">
        <f>SUMIFS(uitkomst_doelgroep[QALY (€)],uitkomst_doelgroep[Digitale zorgtoepassing],B399,uitkomst_doelgroep[Jaar],D399,uitkomst_doelgroep[QALY (€)],"&gt;0",uitkomst_doelgroep[Uitgangssituatie/effect beleid],uitkomst_tech[[#This Row],[Uitgangssituatie/effect beleid]])</f>
        <v>0</v>
      </c>
      <c r="K399" s="398">
        <f>SUMIFS(uitkomst_doelgroep[Kosten (€)],uitkomst_doelgroep[Digitale zorgtoepassing],B399,uitkomst_doelgroep[Jaar],D399,uitkomst_doelgroep[Kosten (€)],"&gt;0",uitkomst_doelgroep[Uitgangssituatie/effect beleid],uitkomst_tech[[#This Row],[Uitgangssituatie/effect beleid]])</f>
        <v>2559462.6499200002</v>
      </c>
      <c r="L399" s="398">
        <f>SUMIFS(uitkomst_doelgroep[Investering (cash flow) (€)],uitkomst_doelgroep[Digitale zorgtoepassing],B399,uitkomst_doelgroep[Jaar],D399,uitkomst_doelgroep[Investering (cash flow) (€)],"&gt;0",uitkomst_doelgroep[Uitgangssituatie/effect beleid],uitkomst_tech[[#This Row],[Uitgangssituatie/effect beleid]])</f>
        <v>0</v>
      </c>
    </row>
    <row r="400" spans="1:12" x14ac:dyDescent="0.5">
      <c r="A400" s="2" t="str">
        <f>INDEX(Technologieën[Veld],MATCH(B400,Technologieën[Digitale zorgtoepassing],0))</f>
        <v>Software - Diagnose</v>
      </c>
      <c r="B400" s="33" t="s">
        <v>474</v>
      </c>
      <c r="C400" s="33" t="s">
        <v>813</v>
      </c>
      <c r="D400" s="33">
        <v>2024</v>
      </c>
      <c r="E400" s="2"/>
      <c r="F400" s="397">
        <f>SUMIFS(uitkomst_doelgroep[Patiëntaantallen],uitkomst_doelgroep[Digitale zorgtoepassing],B400,uitkomst_doelgroep[Jaar],D400,uitkomst_doelgroep[Arbeidsbesparing (€)],"&gt;0",uitkomst_doelgroep[Uitgangssituatie/effect beleid],uitkomst_tech[[#This Row],[Uitgangssituatie/effect beleid]])</f>
        <v>492486.01776000002</v>
      </c>
      <c r="G400" s="398">
        <f>SUMIFS(uitkomst_doelgroep[Arbeidsbesparing (€)],uitkomst_doelgroep[Digitale zorgtoepassing],B400,uitkomst_doelgroep[Jaar],D400,uitkomst_doelgroep[Arbeidsbesparing (€)],"&gt;0",uitkomst_doelgroep[Uitgangssituatie/effect beleid],uitkomst_tech[[#This Row],[Uitgangssituatie/effect beleid]])</f>
        <v>4328633.6784265051</v>
      </c>
      <c r="H400" s="398">
        <f>SUMIFS(uitkomst_doelgroep[Arbeidsbesparing (FTE)],uitkomst_doelgroep[Digitale zorgtoepassing],B400,uitkomst_doelgroep[Jaar],D400,uitkomst_doelgroep[Arbeidsbesparing (FTE)],"&gt;0",uitkomst_doelgroep[Uitgangssituatie/effect beleid],uitkomst_tech[[#This Row],[Uitgangssituatie/effect beleid]])</f>
        <v>31.96423672961539</v>
      </c>
      <c r="I400" s="398">
        <f>SUMIFS(uitkomst_doelgroep[Overige besparingen (€)],uitkomst_doelgroep[Digitale zorgtoepassing],B400,uitkomst_doelgroep[Jaar],D400,uitkomst_doelgroep[Overige besparingen (€)],"&gt;0",uitkomst_doelgroep[Uitgangssituatie/effect beleid],uitkomst_tech[[#This Row],[Uitgangssituatie/effect beleid]])</f>
        <v>0</v>
      </c>
      <c r="J400" s="398">
        <f>SUMIFS(uitkomst_doelgroep[QALY (€)],uitkomst_doelgroep[Digitale zorgtoepassing],B400,uitkomst_doelgroep[Jaar],D400,uitkomst_doelgroep[QALY (€)],"&gt;0",uitkomst_doelgroep[Uitgangssituatie/effect beleid],uitkomst_tech[[#This Row],[Uitgangssituatie/effect beleid]])</f>
        <v>0</v>
      </c>
      <c r="K400" s="398">
        <f>SUMIFS(uitkomst_doelgroep[Kosten (€)],uitkomst_doelgroep[Digitale zorgtoepassing],B400,uitkomst_doelgroep[Jaar],D400,uitkomst_doelgroep[Kosten (€)],"&gt;0",uitkomst_doelgroep[Uitgangssituatie/effect beleid],uitkomst_tech[[#This Row],[Uitgangssituatie/effect beleid]])</f>
        <v>3442477.2641424006</v>
      </c>
      <c r="L400" s="398">
        <f>SUMIFS(uitkomst_doelgroep[Investering (cash flow) (€)],uitkomst_doelgroep[Digitale zorgtoepassing],B400,uitkomst_doelgroep[Jaar],D400,uitkomst_doelgroep[Investering (cash flow) (€)],"&gt;0",uitkomst_doelgroep[Uitgangssituatie/effect beleid],uitkomst_tech[[#This Row],[Uitgangssituatie/effect beleid]])</f>
        <v>0</v>
      </c>
    </row>
    <row r="401" spans="1:12" x14ac:dyDescent="0.5">
      <c r="A401" s="2" t="str">
        <f>INDEX(Technologieën[Veld],MATCH(B401,Technologieën[Digitale zorgtoepassing],0))</f>
        <v>Software - Diagnose</v>
      </c>
      <c r="B401" s="33" t="s">
        <v>474</v>
      </c>
      <c r="C401" s="33" t="s">
        <v>813</v>
      </c>
      <c r="D401" s="33">
        <v>2025</v>
      </c>
      <c r="E401" s="2"/>
      <c r="F401" s="397">
        <f>SUMIFS(uitkomst_doelgroep[Patiëntaantallen],uitkomst_doelgroep[Digitale zorgtoepassing],B401,uitkomst_doelgroep[Jaar],D401,uitkomst_doelgroep[Arbeidsbesparing (€)],"&gt;0",uitkomst_doelgroep[Uitgangssituatie/effect beleid],uitkomst_tech[[#This Row],[Uitgangssituatie/effect beleid]])</f>
        <v>618937.75292976003</v>
      </c>
      <c r="G401" s="398">
        <f>SUMIFS(uitkomst_doelgroep[Arbeidsbesparing (€)],uitkomst_doelgroep[Digitale zorgtoepassing],B401,uitkomst_doelgroep[Jaar],D401,uitkomst_doelgroep[Arbeidsbesparing (€)],"&gt;0",uitkomst_doelgroep[Uitgangssituatie/effect beleid],uitkomst_tech[[#This Row],[Uitgangssituatie/effect beleid]])</f>
        <v>5440062.6729813013</v>
      </c>
      <c r="H401" s="398">
        <f>SUMIFS(uitkomst_doelgroep[Arbeidsbesparing (FTE)],uitkomst_doelgroep[Digitale zorgtoepassing],B401,uitkomst_doelgroep[Jaar],D401,uitkomst_doelgroep[Arbeidsbesparing (FTE)],"&gt;0",uitkomst_doelgroep[Uitgangssituatie/effect beleid],uitkomst_tech[[#This Row],[Uitgangssituatie/effect beleid]])</f>
        <v>40.171440694960388</v>
      </c>
      <c r="I401" s="398">
        <f>SUMIFS(uitkomst_doelgroep[Overige besparingen (€)],uitkomst_doelgroep[Digitale zorgtoepassing],B401,uitkomst_doelgroep[Jaar],D401,uitkomst_doelgroep[Overige besparingen (€)],"&gt;0",uitkomst_doelgroep[Uitgangssituatie/effect beleid],uitkomst_tech[[#This Row],[Uitgangssituatie/effect beleid]])</f>
        <v>0</v>
      </c>
      <c r="J401" s="398">
        <f>SUMIFS(uitkomst_doelgroep[QALY (€)],uitkomst_doelgroep[Digitale zorgtoepassing],B401,uitkomst_doelgroep[Jaar],D401,uitkomst_doelgroep[QALY (€)],"&gt;0",uitkomst_doelgroep[Uitgangssituatie/effect beleid],uitkomst_tech[[#This Row],[Uitgangssituatie/effect beleid]])</f>
        <v>0</v>
      </c>
      <c r="K401" s="398">
        <f>SUMIFS(uitkomst_doelgroep[Kosten (€)],uitkomst_doelgroep[Digitale zorgtoepassing],B401,uitkomst_doelgroep[Jaar],D401,uitkomst_doelgroep[Kosten (€)],"&gt;0",uitkomst_doelgroep[Uitgangssituatie/effect beleid],uitkomst_tech[[#This Row],[Uitgangssituatie/effect beleid]])</f>
        <v>4326374.892979023</v>
      </c>
      <c r="L401" s="398">
        <f>SUMIFS(uitkomst_doelgroep[Investering (cash flow) (€)],uitkomst_doelgroep[Digitale zorgtoepassing],B401,uitkomst_doelgroep[Jaar],D401,uitkomst_doelgroep[Investering (cash flow) (€)],"&gt;0",uitkomst_doelgroep[Uitgangssituatie/effect beleid],uitkomst_tech[[#This Row],[Uitgangssituatie/effect beleid]])</f>
        <v>0</v>
      </c>
    </row>
    <row r="402" spans="1:12" x14ac:dyDescent="0.5">
      <c r="A402" s="2" t="str">
        <f>INDEX(Technologieën[Veld],MATCH(B402,Technologieën[Digitale zorgtoepassing],0))</f>
        <v>Software - Diagnose</v>
      </c>
      <c r="B402" s="33" t="s">
        <v>474</v>
      </c>
      <c r="C402" s="33" t="s">
        <v>813</v>
      </c>
      <c r="D402" s="33">
        <v>2026</v>
      </c>
      <c r="E402" s="2"/>
      <c r="F402" s="397">
        <f>SUMIFS(uitkomst_doelgroep[Patiëntaantallen],uitkomst_doelgroep[Digitale zorgtoepassing],B402,uitkomst_doelgroep[Jaar],D402,uitkomst_doelgroep[Arbeidsbesparing (€)],"&gt;0",uitkomst_doelgroep[Uitgangssituatie/effect beleid],uitkomst_tech[[#This Row],[Uitgangssituatie/effect beleid]])</f>
        <v>728056.87521153619</v>
      </c>
      <c r="G402" s="398">
        <f>SUMIFS(uitkomst_doelgroep[Arbeidsbesparing (€)],uitkomst_doelgroep[Digitale zorgtoepassing],B402,uitkomst_doelgroep[Jaar],D402,uitkomst_doelgroep[Arbeidsbesparing (€)],"&gt;0",uitkomst_doelgroep[Uitgangssituatie/effect beleid],uitkomst_tech[[#This Row],[Uitgangssituatie/effect beleid]])</f>
        <v>6399149.2066814667</v>
      </c>
      <c r="H402" s="398">
        <f>SUMIFS(uitkomst_doelgroep[Arbeidsbesparing (FTE)],uitkomst_doelgroep[Digitale zorgtoepassing],B402,uitkomst_doelgroep[Jaar],D402,uitkomst_doelgroep[Arbeidsbesparing (FTE)],"&gt;0",uitkomst_doelgroep[Uitgangssituatie/effect beleid],uitkomst_tech[[#This Row],[Uitgangssituatie/effect beleid]])</f>
        <v>47.253691419979518</v>
      </c>
      <c r="I402" s="398">
        <f>SUMIFS(uitkomst_doelgroep[Overige besparingen (€)],uitkomst_doelgroep[Digitale zorgtoepassing],B402,uitkomst_doelgroep[Jaar],D402,uitkomst_doelgroep[Overige besparingen (€)],"&gt;0",uitkomst_doelgroep[Uitgangssituatie/effect beleid],uitkomst_tech[[#This Row],[Uitgangssituatie/effect beleid]])</f>
        <v>0</v>
      </c>
      <c r="J402" s="398">
        <f>SUMIFS(uitkomst_doelgroep[QALY (€)],uitkomst_doelgroep[Digitale zorgtoepassing],B402,uitkomst_doelgroep[Jaar],D402,uitkomst_doelgroep[QALY (€)],"&gt;0",uitkomst_doelgroep[Uitgangssituatie/effect beleid],uitkomst_tech[[#This Row],[Uitgangssituatie/effect beleid]])</f>
        <v>0</v>
      </c>
      <c r="K402" s="398">
        <f>SUMIFS(uitkomst_doelgroep[Kosten (€)],uitkomst_doelgroep[Digitale zorgtoepassing],B402,uitkomst_doelgroep[Jaar],D402,uitkomst_doelgroep[Kosten (€)],"&gt;0",uitkomst_doelgroep[Uitgangssituatie/effect beleid],uitkomst_tech[[#This Row],[Uitgangssituatie/effect beleid]])</f>
        <v>5089117.5577286379</v>
      </c>
      <c r="L402" s="398">
        <f>SUMIFS(uitkomst_doelgroep[Investering (cash flow) (€)],uitkomst_doelgroep[Digitale zorgtoepassing],B402,uitkomst_doelgroep[Jaar],D402,uitkomst_doelgroep[Investering (cash flow) (€)],"&gt;0",uitkomst_doelgroep[Uitgangssituatie/effect beleid],uitkomst_tech[[#This Row],[Uitgangssituatie/effect beleid]])</f>
        <v>0</v>
      </c>
    </row>
    <row r="403" spans="1:12" x14ac:dyDescent="0.5">
      <c r="A403" s="2" t="str">
        <f>INDEX(Technologieën[Veld],MATCH(B403,Technologieën[Digitale zorgtoepassing],0))</f>
        <v>Software - Diagnose</v>
      </c>
      <c r="B403" s="33" t="s">
        <v>474</v>
      </c>
      <c r="C403" s="33" t="s">
        <v>813</v>
      </c>
      <c r="D403" s="33">
        <v>2027</v>
      </c>
      <c r="E403" s="2"/>
      <c r="F403" s="397">
        <f>SUMIFS(uitkomst_doelgroep[Patiëntaantallen],uitkomst_doelgroep[Digitale zorgtoepassing],B403,uitkomst_doelgroep[Jaar],D403,uitkomst_doelgroep[Arbeidsbesparing (€)],"&gt;0",uitkomst_doelgroep[Uitgangssituatie/effect beleid],uitkomst_tech[[#This Row],[Uitgangssituatie/effect beleid]])</f>
        <v>808178.70580916142</v>
      </c>
      <c r="G403" s="398">
        <f>SUMIFS(uitkomst_doelgroep[Arbeidsbesparing (€)],uitkomst_doelgroep[Digitale zorgtoepassing],B403,uitkomst_doelgroep[Jaar],D403,uitkomst_doelgroep[Arbeidsbesparing (€)],"&gt;0",uitkomst_doelgroep[Uitgangssituatie/effect beleid],uitkomst_tech[[#This Row],[Uitgangssituatie/effect beleid]])</f>
        <v>7103368.2947268784</v>
      </c>
      <c r="H403" s="398">
        <f>SUMIFS(uitkomst_doelgroep[Arbeidsbesparing (FTE)],uitkomst_doelgroep[Digitale zorgtoepassing],B403,uitkomst_doelgroep[Jaar],D403,uitkomst_doelgroep[Arbeidsbesparing (FTE)],"&gt;0",uitkomst_doelgroep[Uitgangssituatie/effect beleid],uitkomst_tech[[#This Row],[Uitgangssituatie/effect beleid]])</f>
        <v>52.453906386652307</v>
      </c>
      <c r="I403" s="398">
        <f>SUMIFS(uitkomst_doelgroep[Overige besparingen (€)],uitkomst_doelgroep[Digitale zorgtoepassing],B403,uitkomst_doelgroep[Jaar],D403,uitkomst_doelgroep[Overige besparingen (€)],"&gt;0",uitkomst_doelgroep[Uitgangssituatie/effect beleid],uitkomst_tech[[#This Row],[Uitgangssituatie/effect beleid]])</f>
        <v>0</v>
      </c>
      <c r="J403" s="398">
        <f>SUMIFS(uitkomst_doelgroep[QALY (€)],uitkomst_doelgroep[Digitale zorgtoepassing],B403,uitkomst_doelgroep[Jaar],D403,uitkomst_doelgroep[QALY (€)],"&gt;0",uitkomst_doelgroep[Uitgangssituatie/effect beleid],uitkomst_tech[[#This Row],[Uitgangssituatie/effect beleid]])</f>
        <v>0</v>
      </c>
      <c r="K403" s="398">
        <f>SUMIFS(uitkomst_doelgroep[Kosten (€)],uitkomst_doelgroep[Digitale zorgtoepassing],B403,uitkomst_doelgroep[Jaar],D403,uitkomst_doelgroep[Kosten (€)],"&gt;0",uitkomst_doelgroep[Uitgangssituatie/effect beleid],uitkomst_tech[[#This Row],[Uitgangssituatie/effect beleid]])</f>
        <v>5649169.1536060385</v>
      </c>
      <c r="L403" s="398">
        <f>SUMIFS(uitkomst_doelgroep[Investering (cash flow) (€)],uitkomst_doelgroep[Digitale zorgtoepassing],B403,uitkomst_doelgroep[Jaar],D403,uitkomst_doelgroep[Investering (cash flow) (€)],"&gt;0",uitkomst_doelgroep[Uitgangssituatie/effect beleid],uitkomst_tech[[#This Row],[Uitgangssituatie/effect beleid]])</f>
        <v>0</v>
      </c>
    </row>
    <row r="404" spans="1:12" x14ac:dyDescent="0.5">
      <c r="A404" s="2" t="str">
        <f>INDEX(Technologieën[Veld],MATCH(B404,Technologieën[Digitale zorgtoepassing],0))</f>
        <v>Software - Diagnose</v>
      </c>
      <c r="B404" s="33" t="s">
        <v>474</v>
      </c>
      <c r="C404" s="33" t="s">
        <v>813</v>
      </c>
      <c r="D404" s="33">
        <v>2028</v>
      </c>
      <c r="E404" s="2"/>
      <c r="F404" s="397">
        <f>SUMIFS(uitkomst_doelgroep[Patiëntaantallen],uitkomst_doelgroep[Digitale zorgtoepassing],B404,uitkomst_doelgroep[Jaar],D404,uitkomst_doelgroep[Arbeidsbesparing (€)],"&gt;0",uitkomst_doelgroep[Uitgangssituatie/effect beleid],uitkomst_tech[[#This Row],[Uitgangssituatie/effect beleid]])</f>
        <v>858727.18579819752</v>
      </c>
      <c r="G404" s="398">
        <f>SUMIFS(uitkomst_doelgroep[Arbeidsbesparing (€)],uitkomst_doelgroep[Digitale zorgtoepassing],B404,uitkomst_doelgroep[Jaar],D404,uitkomst_doelgroep[Arbeidsbesparing (€)],"&gt;0",uitkomst_doelgroep[Uitgangssituatie/effect beleid],uitkomst_tech[[#This Row],[Uitgangssituatie/effect beleid]])</f>
        <v>7547656.7516236156</v>
      </c>
      <c r="H404" s="398">
        <f>SUMIFS(uitkomst_doelgroep[Arbeidsbesparing (FTE)],uitkomst_doelgroep[Digitale zorgtoepassing],B404,uitkomst_doelgroep[Jaar],D404,uitkomst_doelgroep[Arbeidsbesparing (FTE)],"&gt;0",uitkomst_doelgroep[Uitgangssituatie/effect beleid],uitkomst_tech[[#This Row],[Uitgangssituatie/effect beleid]])</f>
        <v>55.734697155171474</v>
      </c>
      <c r="I404" s="398">
        <f>SUMIFS(uitkomst_doelgroep[Overige besparingen (€)],uitkomst_doelgroep[Digitale zorgtoepassing],B404,uitkomst_doelgroep[Jaar],D404,uitkomst_doelgroep[Overige besparingen (€)],"&gt;0",uitkomst_doelgroep[Uitgangssituatie/effect beleid],uitkomst_tech[[#This Row],[Uitgangssituatie/effect beleid]])</f>
        <v>0</v>
      </c>
      <c r="J404" s="398">
        <f>SUMIFS(uitkomst_doelgroep[QALY (€)],uitkomst_doelgroep[Digitale zorgtoepassing],B404,uitkomst_doelgroep[Jaar],D404,uitkomst_doelgroep[QALY (€)],"&gt;0",uitkomst_doelgroep[Uitgangssituatie/effect beleid],uitkomst_tech[[#This Row],[Uitgangssituatie/effect beleid]])</f>
        <v>0</v>
      </c>
      <c r="K404" s="398">
        <f>SUMIFS(uitkomst_doelgroep[Kosten (€)],uitkomst_doelgroep[Digitale zorgtoepassing],B404,uitkomst_doelgroep[Jaar],D404,uitkomst_doelgroep[Kosten (€)],"&gt;0",uitkomst_doelgroep[Uitgangssituatie/effect beleid],uitkomst_tech[[#This Row],[Uitgangssituatie/effect beleid]])</f>
        <v>6002503.0287294006</v>
      </c>
      <c r="L404" s="398">
        <f>SUMIFS(uitkomst_doelgroep[Investering (cash flow) (€)],uitkomst_doelgroep[Digitale zorgtoepassing],B404,uitkomst_doelgroep[Jaar],D404,uitkomst_doelgroep[Investering (cash flow) (€)],"&gt;0",uitkomst_doelgroep[Uitgangssituatie/effect beleid],uitkomst_tech[[#This Row],[Uitgangssituatie/effect beleid]])</f>
        <v>0</v>
      </c>
    </row>
    <row r="405" spans="1:12" x14ac:dyDescent="0.5">
      <c r="A405" s="2" t="str">
        <f>INDEX(Technologieën[Veld],MATCH(B405,Technologieën[Digitale zorgtoepassing],0))</f>
        <v>Software - Diagnose</v>
      </c>
      <c r="B405" s="33" t="s">
        <v>474</v>
      </c>
      <c r="C405" s="33" t="s">
        <v>813</v>
      </c>
      <c r="D405" s="33">
        <v>2029</v>
      </c>
      <c r="E405" s="2"/>
      <c r="F405" s="397">
        <f>SUMIFS(uitkomst_doelgroep[Patiëntaantallen],uitkomst_doelgroep[Digitale zorgtoepassing],B405,uitkomst_doelgroep[Jaar],D405,uitkomst_doelgroep[Arbeidsbesparing (€)],"&gt;0",uitkomst_doelgroep[Uitgangssituatie/effect beleid],uitkomst_tech[[#This Row],[Uitgangssituatie/effect beleid]])</f>
        <v>887010.17238123238</v>
      </c>
      <c r="G405" s="398">
        <f>SUMIFS(uitkomst_doelgroep[Arbeidsbesparing (€)],uitkomst_doelgroep[Digitale zorgtoepassing],B405,uitkomst_doelgroep[Jaar],D405,uitkomst_doelgroep[Arbeidsbesparing (€)],"&gt;0",uitkomst_doelgroep[Uitgangssituatie/effect beleid],uitkomst_tech[[#This Row],[Uitgangssituatie/effect beleid]])</f>
        <v>7796245.9172747536</v>
      </c>
      <c r="H405" s="398">
        <f>SUMIFS(uitkomst_doelgroep[Arbeidsbesparing (FTE)],uitkomst_doelgroep[Digitale zorgtoepassing],B405,uitkomst_doelgroep[Jaar],D405,uitkomst_doelgroep[Arbeidsbesparing (FTE)],"&gt;0",uitkomst_doelgroep[Uitgangssituatie/effect beleid],uitkomst_tech[[#This Row],[Uitgangssituatie/effect beleid]])</f>
        <v>57.570371765128066</v>
      </c>
      <c r="I405" s="398">
        <f>SUMIFS(uitkomst_doelgroep[Overige besparingen (€)],uitkomst_doelgroep[Digitale zorgtoepassing],B405,uitkomst_doelgroep[Jaar],D405,uitkomst_doelgroep[Overige besparingen (€)],"&gt;0",uitkomst_doelgroep[Uitgangssituatie/effect beleid],uitkomst_tech[[#This Row],[Uitgangssituatie/effect beleid]])</f>
        <v>0</v>
      </c>
      <c r="J405" s="398">
        <f>SUMIFS(uitkomst_doelgroep[QALY (€)],uitkomst_doelgroep[Digitale zorgtoepassing],B405,uitkomst_doelgroep[Jaar],D405,uitkomst_doelgroep[QALY (€)],"&gt;0",uitkomst_doelgroep[Uitgangssituatie/effect beleid],uitkomst_tech[[#This Row],[Uitgangssituatie/effect beleid]])</f>
        <v>0</v>
      </c>
      <c r="K405" s="398">
        <f>SUMIFS(uitkomst_doelgroep[Kosten (€)],uitkomst_doelgroep[Digitale zorgtoepassing],B405,uitkomst_doelgroep[Jaar],D405,uitkomst_doelgroep[Kosten (€)],"&gt;0",uitkomst_doelgroep[Uitgangssituatie/effect beleid],uitkomst_tech[[#This Row],[Uitgangssituatie/effect beleid]])</f>
        <v>6200201.104944814</v>
      </c>
      <c r="L405" s="398">
        <f>SUMIFS(uitkomst_doelgroep[Investering (cash flow) (€)],uitkomst_doelgroep[Digitale zorgtoepassing],B405,uitkomst_doelgroep[Jaar],D405,uitkomst_doelgroep[Investering (cash flow) (€)],"&gt;0",uitkomst_doelgroep[Uitgangssituatie/effect beleid],uitkomst_tech[[#This Row],[Uitgangssituatie/effect beleid]])</f>
        <v>0</v>
      </c>
    </row>
    <row r="406" spans="1:12" x14ac:dyDescent="0.5">
      <c r="A406" s="2" t="str">
        <f>INDEX(Technologieën[Veld],MATCH(B406,Technologieën[Digitale zorgtoepassing],0))</f>
        <v>Software - Diagnose</v>
      </c>
      <c r="B406" s="33" t="s">
        <v>474</v>
      </c>
      <c r="C406" s="33" t="s">
        <v>813</v>
      </c>
      <c r="D406" s="33">
        <v>2030</v>
      </c>
      <c r="E406" s="2"/>
      <c r="F406" s="397">
        <f>SUMIFS(uitkomst_doelgroep[Patiëntaantallen],uitkomst_doelgroep[Digitale zorgtoepassing],B406,uitkomst_doelgroep[Jaar],D406,uitkomst_doelgroep[Arbeidsbesparing (€)],"&gt;0",uitkomst_doelgroep[Uitgangssituatie/effect beleid],uitkomst_tech[[#This Row],[Uitgangssituatie/effect beleid]])</f>
        <v>901617.30516781693</v>
      </c>
      <c r="G406" s="398">
        <f>SUMIFS(uitkomst_doelgroep[Arbeidsbesparing (€)],uitkomst_doelgroep[Digitale zorgtoepassing],B406,uitkomst_doelgroep[Jaar],D406,uitkomst_doelgroep[Arbeidsbesparing (€)],"&gt;0",uitkomst_doelgroep[Uitgangssituatie/effect beleid],uitkomst_tech[[#This Row],[Uitgangssituatie/effect beleid]])</f>
        <v>7924633.1702019442</v>
      </c>
      <c r="H406" s="398">
        <f>SUMIFS(uitkomst_doelgroep[Arbeidsbesparing (FTE)],uitkomst_doelgroep[Digitale zorgtoepassing],B406,uitkomst_doelgroep[Jaar],D406,uitkomst_doelgroep[Arbeidsbesparing (FTE)],"&gt;0",uitkomst_doelgroep[Uitgangssituatie/effect beleid],uitkomst_tech[[#This Row],[Uitgangssituatie/effect beleid]])</f>
        <v>58.518430864257354</v>
      </c>
      <c r="I406" s="398">
        <f>SUMIFS(uitkomst_doelgroep[Overige besparingen (€)],uitkomst_doelgroep[Digitale zorgtoepassing],B406,uitkomst_doelgroep[Jaar],D406,uitkomst_doelgroep[Overige besparingen (€)],"&gt;0",uitkomst_doelgroep[Uitgangssituatie/effect beleid],uitkomst_tech[[#This Row],[Uitgangssituatie/effect beleid]])</f>
        <v>0</v>
      </c>
      <c r="J406" s="398">
        <f>SUMIFS(uitkomst_doelgroep[QALY (€)],uitkomst_doelgroep[Digitale zorgtoepassing],B406,uitkomst_doelgroep[Jaar],D406,uitkomst_doelgroep[QALY (€)],"&gt;0",uitkomst_doelgroep[Uitgangssituatie/effect beleid],uitkomst_tech[[#This Row],[Uitgangssituatie/effect beleid]])</f>
        <v>0</v>
      </c>
      <c r="K406" s="398">
        <f>SUMIFS(uitkomst_doelgroep[Kosten (€)],uitkomst_doelgroep[Digitale zorgtoepassing],B406,uitkomst_doelgroep[Jaar],D406,uitkomst_doelgroep[Kosten (€)],"&gt;0",uitkomst_doelgroep[Uitgangssituatie/effect beleid],uitkomst_tech[[#This Row],[Uitgangssituatie/effect beleid]])</f>
        <v>6302304.9631230403</v>
      </c>
      <c r="L406" s="398">
        <f>SUMIFS(uitkomst_doelgroep[Investering (cash flow) (€)],uitkomst_doelgroep[Digitale zorgtoepassing],B406,uitkomst_doelgroep[Jaar],D406,uitkomst_doelgroep[Investering (cash flow) (€)],"&gt;0",uitkomst_doelgroep[Uitgangssituatie/effect beleid],uitkomst_tech[[#This Row],[Uitgangssituatie/effect beleid]])</f>
        <v>0</v>
      </c>
    </row>
    <row r="407" spans="1:12" x14ac:dyDescent="0.5">
      <c r="A407" s="2" t="str">
        <f>INDEX(Technologieën[Veld],MATCH(B407,Technologieën[Digitale zorgtoepassing],0))</f>
        <v>Software - Diagnose</v>
      </c>
      <c r="B407" s="33" t="s">
        <v>474</v>
      </c>
      <c r="C407" s="33" t="s">
        <v>813</v>
      </c>
      <c r="D407" s="33">
        <v>2031</v>
      </c>
      <c r="E407" s="2"/>
      <c r="F407" s="397">
        <f>SUMIFS(uitkomst_doelgroep[Patiëntaantallen],uitkomst_doelgroep[Digitale zorgtoepassing],B407,uitkomst_doelgroep[Jaar],D407,uitkomst_doelgroep[Arbeidsbesparing (€)],"&gt;0",uitkomst_doelgroep[Uitgangssituatie/effect beleid],uitkomst_tech[[#This Row],[Uitgangssituatie/effect beleid]])</f>
        <v>908819.15693195339</v>
      </c>
      <c r="G407" s="398">
        <f>SUMIFS(uitkomst_doelgroep[Arbeidsbesparing (€)],uitkomst_doelgroep[Digitale zorgtoepassing],B407,uitkomst_doelgroep[Jaar],D407,uitkomst_doelgroep[Arbeidsbesparing (€)],"&gt;0",uitkomst_doelgroep[Uitgangssituatie/effect beleid],uitkomst_tech[[#This Row],[Uitgangssituatie/effect beleid]])</f>
        <v>7987932.7908390276</v>
      </c>
      <c r="H407" s="398">
        <f>SUMIFS(uitkomst_doelgroep[Arbeidsbesparing (FTE)],uitkomst_doelgroep[Digitale zorgtoepassing],B407,uitkomst_doelgroep[Jaar],D407,uitkomst_doelgroep[Arbeidsbesparing (FTE)],"&gt;0",uitkomst_doelgroep[Uitgangssituatie/effect beleid],uitkomst_tech[[#This Row],[Uitgangssituatie/effect beleid]])</f>
        <v>58.985858743179669</v>
      </c>
      <c r="I407" s="398">
        <f>SUMIFS(uitkomst_doelgroep[Overige besparingen (€)],uitkomst_doelgroep[Digitale zorgtoepassing],B407,uitkomst_doelgroep[Jaar],D407,uitkomst_doelgroep[Overige besparingen (€)],"&gt;0",uitkomst_doelgroep[Uitgangssituatie/effect beleid],uitkomst_tech[[#This Row],[Uitgangssituatie/effect beleid]])</f>
        <v>0</v>
      </c>
      <c r="J407" s="398">
        <f>SUMIFS(uitkomst_doelgroep[QALY (€)],uitkomst_doelgroep[Digitale zorgtoepassing],B407,uitkomst_doelgroep[Jaar],D407,uitkomst_doelgroep[QALY (€)],"&gt;0",uitkomst_doelgroep[Uitgangssituatie/effect beleid],uitkomst_tech[[#This Row],[Uitgangssituatie/effect beleid]])</f>
        <v>0</v>
      </c>
      <c r="K407" s="398">
        <f>SUMIFS(uitkomst_doelgroep[Kosten (€)],uitkomst_doelgroep[Digitale zorgtoepassing],B407,uitkomst_doelgroep[Jaar],D407,uitkomst_doelgroep[Kosten (€)],"&gt;0",uitkomst_doelgroep[Uitgangssituatie/effect beleid],uitkomst_tech[[#This Row],[Uitgangssituatie/effect beleid]])</f>
        <v>6352645.9069543537</v>
      </c>
      <c r="L407" s="398">
        <f>SUMIFS(uitkomst_doelgroep[Investering (cash flow) (€)],uitkomst_doelgroep[Digitale zorgtoepassing],B407,uitkomst_doelgroep[Jaar],D407,uitkomst_doelgroep[Investering (cash flow) (€)],"&gt;0",uitkomst_doelgroep[Uitgangssituatie/effect beleid],uitkomst_tech[[#This Row],[Uitgangssituatie/effect beleid]])</f>
        <v>0</v>
      </c>
    </row>
    <row r="408" spans="1:12" x14ac:dyDescent="0.5">
      <c r="A408" s="2" t="str">
        <f>INDEX(Technologieën[Veld],MATCH(B408,Technologieën[Digitale zorgtoepassing],0))</f>
        <v>Software - Diagnose</v>
      </c>
      <c r="B408" s="33" t="s">
        <v>474</v>
      </c>
      <c r="C408" s="33" t="s">
        <v>813</v>
      </c>
      <c r="D408" s="33">
        <v>2032</v>
      </c>
      <c r="E408" s="2"/>
      <c r="F408" s="397">
        <f>SUMIFS(uitkomst_doelgroep[Patiëntaantallen],uitkomst_doelgroep[Digitale zorgtoepassing],B408,uitkomst_doelgroep[Jaar],D408,uitkomst_doelgroep[Arbeidsbesparing (€)],"&gt;0",uitkomst_doelgroep[Uitgangssituatie/effect beleid],uitkomst_tech[[#This Row],[Uitgangssituatie/effect beleid]])</f>
        <v>912284.1435116037</v>
      </c>
      <c r="G408" s="398">
        <f>SUMIFS(uitkomst_doelgroep[Arbeidsbesparing (€)],uitkomst_doelgroep[Digitale zorgtoepassing],B408,uitkomst_doelgroep[Jaar],D408,uitkomst_doelgroep[Arbeidsbesparing (€)],"&gt;0",uitkomst_doelgroep[Uitgangssituatie/effect beleid],uitkomst_tech[[#This Row],[Uitgangssituatie/effect beleid]])</f>
        <v>8018387.7825811068</v>
      </c>
      <c r="H408" s="398">
        <f>SUMIFS(uitkomst_doelgroep[Arbeidsbesparing (FTE)],uitkomst_doelgroep[Digitale zorgtoepassing],B408,uitkomst_doelgroep[Jaar],D408,uitkomst_doelgroep[Arbeidsbesparing (FTE)],"&gt;0",uitkomst_doelgroep[Uitgangssituatie/effect beleid],uitkomst_tech[[#This Row],[Uitgangssituatie/effect beleid]])</f>
        <v>59.210749699070433</v>
      </c>
      <c r="I408" s="398">
        <f>SUMIFS(uitkomst_doelgroep[Overige besparingen (€)],uitkomst_doelgroep[Digitale zorgtoepassing],B408,uitkomst_doelgroep[Jaar],D408,uitkomst_doelgroep[Overige besparingen (€)],"&gt;0",uitkomst_doelgroep[Uitgangssituatie/effect beleid],uitkomst_tech[[#This Row],[Uitgangssituatie/effect beleid]])</f>
        <v>0</v>
      </c>
      <c r="J408" s="398">
        <f>SUMIFS(uitkomst_doelgroep[QALY (€)],uitkomst_doelgroep[Digitale zorgtoepassing],B408,uitkomst_doelgroep[Jaar],D408,uitkomst_doelgroep[QALY (€)],"&gt;0",uitkomst_doelgroep[Uitgangssituatie/effect beleid],uitkomst_tech[[#This Row],[Uitgangssituatie/effect beleid]])</f>
        <v>0</v>
      </c>
      <c r="K408" s="398">
        <f>SUMIFS(uitkomst_doelgroep[Kosten (€)],uitkomst_doelgroep[Digitale zorgtoepassing],B408,uitkomst_doelgroep[Jaar],D408,uitkomst_doelgroep[Kosten (€)],"&gt;0",uitkomst_doelgroep[Uitgangssituatie/effect beleid],uitkomst_tech[[#This Row],[Uitgangssituatie/effect beleid]])</f>
        <v>6376866.1631461103</v>
      </c>
      <c r="L408" s="398">
        <f>SUMIFS(uitkomst_doelgroep[Investering (cash flow) (€)],uitkomst_doelgroep[Digitale zorgtoepassing],B408,uitkomst_doelgroep[Jaar],D408,uitkomst_doelgroep[Investering (cash flow) (€)],"&gt;0",uitkomst_doelgroep[Uitgangssituatie/effect beleid],uitkomst_tech[[#This Row],[Uitgangssituatie/effect beleid]])</f>
        <v>0</v>
      </c>
    </row>
    <row r="409" spans="1:12" x14ac:dyDescent="0.5">
      <c r="A409" s="2" t="str">
        <f>INDEX(Technologieën[Veld],MATCH(B409,Technologieën[Digitale zorgtoepassing],0))</f>
        <v>Software - Diagnose</v>
      </c>
      <c r="B409" s="33" t="s">
        <v>474</v>
      </c>
      <c r="C409" s="33" t="s">
        <v>813</v>
      </c>
      <c r="D409" s="33">
        <v>2033</v>
      </c>
      <c r="E409" s="2"/>
      <c r="F409" s="397">
        <f>SUMIFS(uitkomst_doelgroep[Patiëntaantallen],uitkomst_doelgroep[Digitale zorgtoepassing],B409,uitkomst_doelgroep[Jaar],D409,uitkomst_doelgroep[Arbeidsbesparing (€)],"&gt;0",uitkomst_doelgroep[Uitgangssituatie/effect beleid],uitkomst_tech[[#This Row],[Uitgangssituatie/effect beleid]])</f>
        <v>913931.04497746169</v>
      </c>
      <c r="G409" s="398">
        <f>SUMIFS(uitkomst_doelgroep[Arbeidsbesparing (€)],uitkomst_doelgroep[Digitale zorgtoepassing],B409,uitkomst_doelgroep[Jaar],D409,uitkomst_doelgroep[Arbeidsbesparing (€)],"&gt;0",uitkomst_doelgroep[Uitgangssituatie/effect beleid],uitkomst_tech[[#This Row],[Uitgangssituatie/effect beleid]])</f>
        <v>8032862.9816590166</v>
      </c>
      <c r="H409" s="398">
        <f>SUMIFS(uitkomst_doelgroep[Arbeidsbesparing (FTE)],uitkomst_doelgroep[Digitale zorgtoepassing],B409,uitkomst_doelgroep[Jaar],D409,uitkomst_doelgroep[Arbeidsbesparing (FTE)],"&gt;0",uitkomst_doelgroep[Uitgangssituatie/effect beleid],uitkomst_tech[[#This Row],[Uitgangssituatie/effect beleid]])</f>
        <v>59.317639938441026</v>
      </c>
      <c r="I409" s="398">
        <f>SUMIFS(uitkomst_doelgroep[Overige besparingen (€)],uitkomst_doelgroep[Digitale zorgtoepassing],B409,uitkomst_doelgroep[Jaar],D409,uitkomst_doelgroep[Overige besparingen (€)],"&gt;0",uitkomst_doelgroep[Uitgangssituatie/effect beleid],uitkomst_tech[[#This Row],[Uitgangssituatie/effect beleid]])</f>
        <v>0</v>
      </c>
      <c r="J409" s="398">
        <f>SUMIFS(uitkomst_doelgroep[QALY (€)],uitkomst_doelgroep[Digitale zorgtoepassing],B409,uitkomst_doelgroep[Jaar],D409,uitkomst_doelgroep[QALY (€)],"&gt;0",uitkomst_doelgroep[Uitgangssituatie/effect beleid],uitkomst_tech[[#This Row],[Uitgangssituatie/effect beleid]])</f>
        <v>0</v>
      </c>
      <c r="K409" s="398">
        <f>SUMIFS(uitkomst_doelgroep[Kosten (€)],uitkomst_doelgroep[Digitale zorgtoepassing],B409,uitkomst_doelgroep[Jaar],D409,uitkomst_doelgroep[Kosten (€)],"&gt;0",uitkomst_doelgroep[Uitgangssituatie/effect beleid],uitkomst_tech[[#This Row],[Uitgangssituatie/effect beleid]])</f>
        <v>6388378.0043924572</v>
      </c>
      <c r="L409" s="398">
        <f>SUMIFS(uitkomst_doelgroep[Investering (cash flow) (€)],uitkomst_doelgroep[Digitale zorgtoepassing],B409,uitkomst_doelgroep[Jaar],D409,uitkomst_doelgroep[Investering (cash flow) (€)],"&gt;0",uitkomst_doelgroep[Uitgangssituatie/effect beleid],uitkomst_tech[[#This Row],[Uitgangssituatie/effect beleid]])</f>
        <v>0</v>
      </c>
    </row>
    <row r="410" spans="1:12" x14ac:dyDescent="0.5">
      <c r="A410" s="2" t="str">
        <f>INDEX(Technologieën[Veld],MATCH(B410,Technologieën[Digitale zorgtoepassing],0))</f>
        <v>Software - Diagnose</v>
      </c>
      <c r="B410" s="33" t="s">
        <v>473</v>
      </c>
      <c r="C410" s="33" t="s">
        <v>813</v>
      </c>
      <c r="D410" s="33">
        <v>2023</v>
      </c>
      <c r="E410" s="2"/>
      <c r="F410" s="397">
        <f>SUMIFS(uitkomst_doelgroep[Patiëntaantallen],uitkomst_doelgroep[Digitale zorgtoepassing],B410,uitkomst_doelgroep[Jaar],D410,uitkomst_doelgroep[Arbeidsbesparing (€)],"&gt;0",uitkomst_doelgroep[Uitgangssituatie/effect beleid],uitkomst_tech[[#This Row],[Uitgangssituatie/effect beleid]])</f>
        <v>33902</v>
      </c>
      <c r="G410" s="398">
        <f>SUMIFS(uitkomst_doelgroep[Arbeidsbesparing (€)],uitkomst_doelgroep[Digitale zorgtoepassing],B410,uitkomst_doelgroep[Jaar],D410,uitkomst_doelgroep[Arbeidsbesparing (€)],"&gt;0",uitkomst_doelgroep[Uitgangssituatie/effect beleid],uitkomst_tech[[#This Row],[Uitgangssituatie/effect beleid]])</f>
        <v>103567.3998681076</v>
      </c>
      <c r="H410" s="398">
        <f>SUMIFS(uitkomst_doelgroep[Arbeidsbesparing (FTE)],uitkomst_doelgroep[Digitale zorgtoepassing],B410,uitkomst_doelgroep[Jaar],D410,uitkomst_doelgroep[Arbeidsbesparing (FTE)],"&gt;0",uitkomst_doelgroep[Uitgangssituatie/effect beleid],uitkomst_tech[[#This Row],[Uitgangssituatie/effect beleid]])</f>
        <v>0.54593656784188038</v>
      </c>
      <c r="I410" s="398">
        <f>SUMIFS(uitkomst_doelgroep[Overige besparingen (€)],uitkomst_doelgroep[Digitale zorgtoepassing],B410,uitkomst_doelgroep[Jaar],D410,uitkomst_doelgroep[Overige besparingen (€)],"&gt;0",uitkomst_doelgroep[Uitgangssituatie/effect beleid],uitkomst_tech[[#This Row],[Uitgangssituatie/effect beleid]])</f>
        <v>840000</v>
      </c>
      <c r="J410" s="398">
        <f>SUMIFS(uitkomst_doelgroep[QALY (€)],uitkomst_doelgroep[Digitale zorgtoepassing],B410,uitkomst_doelgroep[Jaar],D410,uitkomst_doelgroep[QALY (€)],"&gt;0",uitkomst_doelgroep[Uitgangssituatie/effect beleid],uitkomst_tech[[#This Row],[Uitgangssituatie/effect beleid]])</f>
        <v>11706400.000000002</v>
      </c>
      <c r="K410" s="398">
        <f>SUMIFS(uitkomst_doelgroep[Kosten (€)],uitkomst_doelgroep[Digitale zorgtoepassing],B410,uitkomst_doelgroep[Jaar],D410,uitkomst_doelgroep[Kosten (€)],"&gt;0",uitkomst_doelgroep[Uitgangssituatie/effect beleid],uitkomst_tech[[#This Row],[Uitgangssituatie/effect beleid]])</f>
        <v>782146.17166666663</v>
      </c>
      <c r="L410" s="398">
        <f>SUMIFS(uitkomst_doelgroep[Investering (cash flow) (€)],uitkomst_doelgroep[Digitale zorgtoepassing],B410,uitkomst_doelgroep[Jaar],D410,uitkomst_doelgroep[Investering (cash flow) (€)],"&gt;0",uitkomst_doelgroep[Uitgangssituatie/effect beleid],uitkomst_tech[[#This Row],[Uitgangssituatie/effect beleid]])</f>
        <v>0</v>
      </c>
    </row>
    <row r="411" spans="1:12" x14ac:dyDescent="0.5">
      <c r="A411" s="2" t="str">
        <f>INDEX(Technologieën[Veld],MATCH(B411,Technologieën[Digitale zorgtoepassing],0))</f>
        <v>Software - Diagnose</v>
      </c>
      <c r="B411" s="33" t="s">
        <v>473</v>
      </c>
      <c r="C411" s="33" t="s">
        <v>813</v>
      </c>
      <c r="D411" s="33">
        <v>2024</v>
      </c>
      <c r="E411" s="2"/>
      <c r="F411" s="397">
        <f>SUMIFS(uitkomst_doelgroep[Patiëntaantallen],uitkomst_doelgroep[Digitale zorgtoepassing],B411,uitkomst_doelgroep[Jaar],D411,uitkomst_doelgroep[Arbeidsbesparing (€)],"&gt;0",uitkomst_doelgroep[Uitgangssituatie/effect beleid],uitkomst_tech[[#This Row],[Uitgangssituatie/effect beleid]])</f>
        <v>45598.19</v>
      </c>
      <c r="G411" s="398">
        <f>SUMIFS(uitkomst_doelgroep[Arbeidsbesparing (€)],uitkomst_doelgroep[Digitale zorgtoepassing],B411,uitkomst_doelgroep[Jaar],D411,uitkomst_doelgroep[Arbeidsbesparing (€)],"&gt;0",uitkomst_doelgroep[Uitgangssituatie/effect beleid],uitkomst_tech[[#This Row],[Uitgangssituatie/effect beleid]])</f>
        <v>139298.15282260475</v>
      </c>
      <c r="H411" s="398">
        <f>SUMIFS(uitkomst_doelgroep[Arbeidsbesparing (FTE)],uitkomst_doelgroep[Digitale zorgtoepassing],B411,uitkomst_doelgroep[Jaar],D411,uitkomst_doelgroep[Arbeidsbesparing (FTE)],"&gt;0",uitkomst_doelgroep[Uitgangssituatie/effect beleid],uitkomst_tech[[#This Row],[Uitgangssituatie/effect beleid]])</f>
        <v>0.73428468374732903</v>
      </c>
      <c r="I411" s="398">
        <f>SUMIFS(uitkomst_doelgroep[Overige besparingen (€)],uitkomst_doelgroep[Digitale zorgtoepassing],B411,uitkomst_doelgroep[Jaar],D411,uitkomst_doelgroep[Overige besparingen (€)],"&gt;0",uitkomst_doelgroep[Uitgangssituatie/effect beleid],uitkomst_tech[[#This Row],[Uitgangssituatie/effect beleid]])</f>
        <v>1129800</v>
      </c>
      <c r="J411" s="398">
        <f>SUMIFS(uitkomst_doelgroep[QALY (€)],uitkomst_doelgroep[Digitale zorgtoepassing],B411,uitkomst_doelgroep[Jaar],D411,uitkomst_doelgroep[QALY (€)],"&gt;0",uitkomst_doelgroep[Uitgangssituatie/effect beleid],uitkomst_tech[[#This Row],[Uitgangssituatie/effect beleid]])</f>
        <v>15745108.000000004</v>
      </c>
      <c r="K411" s="398">
        <f>SUMIFS(uitkomst_doelgroep[Kosten (€)],uitkomst_doelgroep[Digitale zorgtoepassing],B411,uitkomst_doelgroep[Jaar],D411,uitkomst_doelgroep[Kosten (€)],"&gt;0",uitkomst_doelgroep[Uitgangssituatie/effect beleid],uitkomst_tech[[#This Row],[Uitgangssituatie/effect beleid]])</f>
        <v>1051986.6008916667</v>
      </c>
      <c r="L411" s="398">
        <f>SUMIFS(uitkomst_doelgroep[Investering (cash flow) (€)],uitkomst_doelgroep[Digitale zorgtoepassing],B411,uitkomst_doelgroep[Jaar],D411,uitkomst_doelgroep[Investering (cash flow) (€)],"&gt;0",uitkomst_doelgroep[Uitgangssituatie/effect beleid],uitkomst_tech[[#This Row],[Uitgangssituatie/effect beleid]])</f>
        <v>0</v>
      </c>
    </row>
    <row r="412" spans="1:12" x14ac:dyDescent="0.5">
      <c r="A412" s="2" t="str">
        <f>INDEX(Technologieën[Veld],MATCH(B412,Technologieën[Digitale zorgtoepassing],0))</f>
        <v>Software - Diagnose</v>
      </c>
      <c r="B412" s="33" t="s">
        <v>473</v>
      </c>
      <c r="C412" s="33" t="s">
        <v>813</v>
      </c>
      <c r="D412" s="33">
        <v>2025</v>
      </c>
      <c r="E412" s="2"/>
      <c r="F412" s="397">
        <f>SUMIFS(uitkomst_doelgroep[Patiëntaantallen],uitkomst_doelgroep[Digitale zorgtoepassing],B412,uitkomst_doelgroep[Jaar],D412,uitkomst_doelgroep[Arbeidsbesparing (€)],"&gt;0",uitkomst_doelgroep[Uitgangssituatie/effect beleid],uitkomst_tech[[#This Row],[Uitgangssituatie/effect beleid]])</f>
        <v>57306.07619</v>
      </c>
      <c r="G412" s="398">
        <f>SUMIFS(uitkomst_doelgroep[Arbeidsbesparing (€)],uitkomst_doelgroep[Digitale zorgtoepassing],B412,uitkomst_doelgroep[Jaar],D412,uitkomst_doelgroep[Arbeidsbesparing (€)],"&gt;0",uitkomst_doelgroep[Uitgangssituatie/effect beleid],uitkomst_tech[[#This Row],[Uitgangssituatie/effect beleid]])</f>
        <v>175064.63653005633</v>
      </c>
      <c r="H412" s="398">
        <f>SUMIFS(uitkomst_doelgroep[Arbeidsbesparing (FTE)],uitkomst_doelgroep[Digitale zorgtoepassing],B412,uitkomst_doelgroep[Jaar],D412,uitkomst_doelgroep[Arbeidsbesparing (FTE)],"&gt;0",uitkomst_doelgroep[Uitgangssituatie/effect beleid],uitkomst_tech[[#This Row],[Uitgangssituatie/effect beleid]])</f>
        <v>0.92282114776868329</v>
      </c>
      <c r="I412" s="398">
        <f>SUMIFS(uitkomst_doelgroep[Overige besparingen (€)],uitkomst_doelgroep[Digitale zorgtoepassing],B412,uitkomst_doelgroep[Jaar],D412,uitkomst_doelgroep[Overige besparingen (€)],"&gt;0",uitkomst_doelgroep[Uitgangssituatie/effect beleid],uitkomst_tech[[#This Row],[Uitgangssituatie/effect beleid]])</f>
        <v>1419889.8</v>
      </c>
      <c r="J412" s="398">
        <f>SUMIFS(uitkomst_doelgroep[QALY (€)],uitkomst_doelgroep[Digitale zorgtoepassing],B412,uitkomst_doelgroep[Jaar],D412,uitkomst_doelgroep[QALY (€)],"&gt;0",uitkomst_doelgroep[Uitgangssituatie/effect beleid],uitkomst_tech[[#This Row],[Uitgangssituatie/effect beleid]])</f>
        <v>19787854.708000004</v>
      </c>
      <c r="K412" s="398">
        <f>SUMIFS(uitkomst_doelgroep[Kosten (€)],uitkomst_doelgroep[Digitale zorgtoepassing],B412,uitkomst_doelgroep[Jaar],D412,uitkomst_doelgroep[Kosten (€)],"&gt;0",uitkomst_doelgroep[Uitgangssituatie/effect beleid],uitkomst_tech[[#This Row],[Uitgangssituatie/effect beleid]])</f>
        <v>1322096.8705458916</v>
      </c>
      <c r="L412" s="398">
        <f>SUMIFS(uitkomst_doelgroep[Investering (cash flow) (€)],uitkomst_doelgroep[Digitale zorgtoepassing],B412,uitkomst_doelgroep[Jaar],D412,uitkomst_doelgroep[Investering (cash flow) (€)],"&gt;0",uitkomst_doelgroep[Uitgangssituatie/effect beleid],uitkomst_tech[[#This Row],[Uitgangssituatie/effect beleid]])</f>
        <v>0</v>
      </c>
    </row>
    <row r="413" spans="1:12" x14ac:dyDescent="0.5">
      <c r="A413" s="2" t="str">
        <f>INDEX(Technologieën[Veld],MATCH(B413,Technologieën[Digitale zorgtoepassing],0))</f>
        <v>Software - Diagnose</v>
      </c>
      <c r="B413" s="33" t="s">
        <v>473</v>
      </c>
      <c r="C413" s="33" t="s">
        <v>813</v>
      </c>
      <c r="D413" s="33">
        <v>2026</v>
      </c>
      <c r="E413" s="2"/>
      <c r="F413" s="397">
        <f>SUMIFS(uitkomst_doelgroep[Patiëntaantallen],uitkomst_doelgroep[Digitale zorgtoepassing],B413,uitkomst_doelgroep[Jaar],D413,uitkomst_doelgroep[Arbeidsbesparing (€)],"&gt;0",uitkomst_doelgroep[Uitgangssituatie/effect beleid],uitkomst_tech[[#This Row],[Uitgangssituatie/effect beleid]])</f>
        <v>67409.174127822887</v>
      </c>
      <c r="G413" s="398">
        <f>SUMIFS(uitkomst_doelgroep[Arbeidsbesparing (€)],uitkomst_doelgroep[Digitale zorgtoepassing],B413,uitkomst_doelgroep[Jaar],D413,uitkomst_doelgroep[Arbeidsbesparing (€)],"&gt;0",uitkomst_doelgroep[Uitgangssituatie/effect beleid],uitkomst_tech[[#This Row],[Uitgangssituatie/effect beleid]])</f>
        <v>205928.64408221131</v>
      </c>
      <c r="H413" s="398">
        <f>SUMIFS(uitkomst_doelgroep[Arbeidsbesparing (FTE)],uitkomst_doelgroep[Digitale zorgtoepassing],B413,uitkomst_doelgroep[Jaar],D413,uitkomst_doelgroep[Arbeidsbesparing (FTE)],"&gt;0",uitkomst_doelgroep[Uitgangssituatie/effect beleid],uitkomst_tech[[#This Row],[Uitgangssituatie/effect beleid]])</f>
        <v>1.0855151072030944</v>
      </c>
      <c r="I413" s="398">
        <f>SUMIFS(uitkomst_doelgroep[Overige besparingen (€)],uitkomst_doelgroep[Digitale zorgtoepassing],B413,uitkomst_doelgroep[Jaar],D413,uitkomst_doelgroep[Overige besparingen (€)],"&gt;0",uitkomst_doelgroep[Uitgangssituatie/effect beleid],uitkomst_tech[[#This Row],[Uitgangssituatie/effect beleid]])</f>
        <v>1670217.2812038001</v>
      </c>
      <c r="J413" s="398">
        <f>SUMIFS(uitkomst_doelgroep[QALY (€)],uitkomst_doelgroep[Digitale zorgtoepassing],B413,uitkomst_doelgroep[Jaar],D413,uitkomst_doelgroep[QALY (€)],"&gt;0",uitkomst_doelgroep[Uitgangssituatie/effect beleid],uitkomst_tech[[#This Row],[Uitgangssituatie/effect beleid]])</f>
        <v>23276466.16748115</v>
      </c>
      <c r="K413" s="398">
        <f>SUMIFS(uitkomst_doelgroep[Kosten (€)],uitkomst_doelgroep[Digitale zorgtoepassing],B413,uitkomst_doelgroep[Jaar],D413,uitkomst_doelgroep[Kosten (€)],"&gt;0",uitkomst_doelgroep[Uitgangssituatie/effect beleid],uitkomst_tech[[#This Row],[Uitgangssituatie/effect beleid]])</f>
        <v>1555183.3956488818</v>
      </c>
      <c r="L413" s="398">
        <f>SUMIFS(uitkomst_doelgroep[Investering (cash flow) (€)],uitkomst_doelgroep[Digitale zorgtoepassing],B413,uitkomst_doelgroep[Jaar],D413,uitkomst_doelgroep[Investering (cash flow) (€)],"&gt;0",uitkomst_doelgroep[Uitgangssituatie/effect beleid],uitkomst_tech[[#This Row],[Uitgangssituatie/effect beleid]])</f>
        <v>0</v>
      </c>
    </row>
    <row r="414" spans="1:12" x14ac:dyDescent="0.5">
      <c r="A414" s="2" t="str">
        <f>INDEX(Technologieën[Veld],MATCH(B414,Technologieën[Digitale zorgtoepassing],0))</f>
        <v>Software - Diagnose</v>
      </c>
      <c r="B414" s="33" t="s">
        <v>473</v>
      </c>
      <c r="C414" s="33" t="s">
        <v>813</v>
      </c>
      <c r="D414" s="33">
        <v>2027</v>
      </c>
      <c r="E414" s="2"/>
      <c r="F414" s="397">
        <f>SUMIFS(uitkomst_doelgroep[Patiëntaantallen],uitkomst_doelgroep[Digitale zorgtoepassing],B414,uitkomst_doelgroep[Jaar],D414,uitkomst_doelgroep[Arbeidsbesparing (€)],"&gt;0",uitkomst_doelgroep[Uitgangssituatie/effect beleid],uitkomst_tech[[#This Row],[Uitgangssituatie/effect beleid]])</f>
        <v>132284.82702981253</v>
      </c>
      <c r="G414" s="398">
        <f>SUMIFS(uitkomst_doelgroep[Arbeidsbesparing (€)],uitkomst_doelgroep[Digitale zorgtoepassing],B414,uitkomst_doelgroep[Jaar],D414,uitkomst_doelgroep[Arbeidsbesparing (€)],"&gt;0",uitkomst_doelgroep[Uitgangssituatie/effect beleid],uitkomst_tech[[#This Row],[Uitgangssituatie/effect beleid]])</f>
        <v>393614.44348369638</v>
      </c>
      <c r="H414" s="398">
        <f>SUMIFS(uitkomst_doelgroep[Arbeidsbesparing (FTE)],uitkomst_doelgroep[Digitale zorgtoepassing],B414,uitkomst_doelgroep[Jaar],D414,uitkomst_doelgroep[Arbeidsbesparing (FTE)],"&gt;0",uitkomst_doelgroep[Uitgangssituatie/effect beleid],uitkomst_tech[[#This Row],[Uitgangssituatie/effect beleid]])</f>
        <v>2.0748664019965748</v>
      </c>
      <c r="I414" s="398">
        <f>SUMIFS(uitkomst_doelgroep[Overige besparingen (€)],uitkomst_doelgroep[Digitale zorgtoepassing],B414,uitkomst_doelgroep[Jaar],D414,uitkomst_doelgroep[Overige besparingen (€)],"&gt;0",uitkomst_doelgroep[Uitgangssituatie/effect beleid],uitkomst_tech[[#This Row],[Uitgangssituatie/effect beleid]])</f>
        <v>1854022.7923143923</v>
      </c>
      <c r="J414" s="398">
        <f>SUMIFS(uitkomst_doelgroep[QALY (€)],uitkomst_doelgroep[Digitale zorgtoepassing],B414,uitkomst_doelgroep[Jaar],D414,uitkomst_doelgroep[QALY (€)],"&gt;0",uitkomst_doelgroep[Uitgangssituatie/effect beleid],uitkomst_tech[[#This Row],[Uitgangssituatie/effect beleid]])</f>
        <v>25838014.78089191</v>
      </c>
      <c r="K414" s="398">
        <f>SUMIFS(uitkomst_doelgroep[Kosten (€)],uitkomst_doelgroep[Digitale zorgtoepassing],B414,uitkomst_doelgroep[Jaar],D414,uitkomst_doelgroep[Kosten (€)],"&gt;0",uitkomst_doelgroep[Uitgangssituatie/effect beleid],uitkomst_tech[[#This Row],[Uitgangssituatie/effect beleid]])</f>
        <v>1955943.5956862443</v>
      </c>
      <c r="L414" s="398">
        <f>SUMIFS(uitkomst_doelgroep[Investering (cash flow) (€)],uitkomst_doelgroep[Digitale zorgtoepassing],B414,uitkomst_doelgroep[Jaar],D414,uitkomst_doelgroep[Investering (cash flow) (€)],"&gt;0",uitkomst_doelgroep[Uitgangssituatie/effect beleid],uitkomst_tech[[#This Row],[Uitgangssituatie/effect beleid]])</f>
        <v>0</v>
      </c>
    </row>
    <row r="415" spans="1:12" x14ac:dyDescent="0.5">
      <c r="A415" s="2" t="str">
        <f>INDEX(Technologieën[Veld],MATCH(B415,Technologieën[Digitale zorgtoepassing],0))</f>
        <v>Software - Diagnose</v>
      </c>
      <c r="B415" s="33" t="s">
        <v>473</v>
      </c>
      <c r="C415" s="33" t="s">
        <v>813</v>
      </c>
      <c r="D415" s="33">
        <v>2028</v>
      </c>
      <c r="E415" s="2"/>
      <c r="F415" s="397">
        <f>SUMIFS(uitkomst_doelgroep[Patiëntaantallen],uitkomst_doelgroep[Digitale zorgtoepassing],B415,uitkomst_doelgroep[Jaar],D415,uitkomst_doelgroep[Arbeidsbesparing (€)],"&gt;0",uitkomst_doelgroep[Uitgangssituatie/effect beleid],uitkomst_tech[[#This Row],[Uitgangssituatie/effect beleid]])</f>
        <v>220565.44312557339</v>
      </c>
      <c r="G415" s="398">
        <f>SUMIFS(uitkomst_doelgroep[Arbeidsbesparing (€)],uitkomst_doelgroep[Digitale zorgtoepassing],B415,uitkomst_doelgroep[Jaar],D415,uitkomst_doelgroep[Arbeidsbesparing (€)],"&gt;0",uitkomst_doelgroep[Uitgangssituatie/effect beleid],uitkomst_tech[[#This Row],[Uitgangssituatie/effect beleid]])</f>
        <v>648021.24361941766</v>
      </c>
      <c r="H415" s="398">
        <f>SUMIFS(uitkomst_doelgroep[Arbeidsbesparing (FTE)],uitkomst_doelgroep[Digitale zorgtoepassing],B415,uitkomst_doelgroep[Jaar],D415,uitkomst_doelgroep[Arbeidsbesparing (FTE)],"&gt;0",uitkomst_doelgroep[Uitgangssituatie/effect beleid],uitkomst_tech[[#This Row],[Uitgangssituatie/effect beleid]])</f>
        <v>3.4159252243538649</v>
      </c>
      <c r="I415" s="398">
        <f>SUMIFS(uitkomst_doelgroep[Overige besparingen (€)],uitkomst_doelgroep[Digitale zorgtoepassing],B415,uitkomst_doelgroep[Jaar],D415,uitkomst_doelgroep[Overige besparingen (€)],"&gt;0",uitkomst_doelgroep[Uitgangssituatie/effect beleid],uitkomst_tech[[#This Row],[Uitgangssituatie/effect beleid]])</f>
        <v>1969984.8107923337</v>
      </c>
      <c r="J415" s="398">
        <f>SUMIFS(uitkomst_doelgroep[QALY (€)],uitkomst_doelgroep[Digitale zorgtoepassing],B415,uitkomst_doelgroep[Jaar],D415,uitkomst_doelgroep[QALY (€)],"&gt;0",uitkomst_doelgroep[Uitgangssituatie/effect beleid],uitkomst_tech[[#This Row],[Uitgangssituatie/effect beleid]])</f>
        <v>27454083.558404021</v>
      </c>
      <c r="K415" s="398">
        <f>SUMIFS(uitkomst_doelgroep[Kosten (€)],uitkomst_doelgroep[Digitale zorgtoepassing],B415,uitkomst_doelgroep[Jaar],D415,uitkomst_doelgroep[Kosten (€)],"&gt;0",uitkomst_doelgroep[Uitgangssituatie/effect beleid],uitkomst_tech[[#This Row],[Uitgangssituatie/effect beleid]])</f>
        <v>2398007.3159070015</v>
      </c>
      <c r="L415" s="398">
        <f>SUMIFS(uitkomst_doelgroep[Investering (cash flow) (€)],uitkomst_doelgroep[Digitale zorgtoepassing],B415,uitkomst_doelgroep[Jaar],D415,uitkomst_doelgroep[Investering (cash flow) (€)],"&gt;0",uitkomst_doelgroep[Uitgangssituatie/effect beleid],uitkomst_tech[[#This Row],[Uitgangssituatie/effect beleid]])</f>
        <v>0</v>
      </c>
    </row>
    <row r="416" spans="1:12" x14ac:dyDescent="0.5">
      <c r="A416" s="2" t="str">
        <f>INDEX(Technologieën[Veld],MATCH(B416,Technologieën[Digitale zorgtoepassing],0))</f>
        <v>Software - Diagnose</v>
      </c>
      <c r="B416" s="33" t="s">
        <v>473</v>
      </c>
      <c r="C416" s="33" t="s">
        <v>813</v>
      </c>
      <c r="D416" s="33">
        <v>2029</v>
      </c>
      <c r="E416" s="2"/>
      <c r="F416" s="397">
        <f>SUMIFS(uitkomst_doelgroep[Patiëntaantallen],uitkomst_doelgroep[Digitale zorgtoepassing],B416,uitkomst_doelgroep[Jaar],D416,uitkomst_doelgroep[Arbeidsbesparing (€)],"&gt;0",uitkomst_doelgroep[Uitgangssituatie/effect beleid],uitkomst_tech[[#This Row],[Uitgangssituatie/effect beleid]])</f>
        <v>341744.16225783911</v>
      </c>
      <c r="G416" s="398">
        <f>SUMIFS(uitkomst_doelgroep[Arbeidsbesparing (€)],uitkomst_doelgroep[Digitale zorgtoepassing],B416,uitkomst_doelgroep[Jaar],D416,uitkomst_doelgroep[Arbeidsbesparing (€)],"&gt;0",uitkomst_doelgroep[Uitgangssituatie/effect beleid],uitkomst_tech[[#This Row],[Uitgangssituatie/effect beleid]])</f>
        <v>996538.03172552516</v>
      </c>
      <c r="H416" s="398">
        <f>SUMIFS(uitkomst_doelgroep[Arbeidsbesparing (FTE)],uitkomst_doelgroep[Digitale zorgtoepassing],B416,uitkomst_doelgroep[Jaar],D416,uitkomst_doelgroep[Arbeidsbesparing (FTE)],"&gt;0",uitkomst_doelgroep[Uitgangssituatie/effect beleid],uitkomst_tech[[#This Row],[Uitgangssituatie/effect beleid]])</f>
        <v>5.2530676009726589</v>
      </c>
      <c r="I416" s="398">
        <f>SUMIFS(uitkomst_doelgroep[Overige besparingen (€)],uitkomst_doelgroep[Digitale zorgtoepassing],B416,uitkomst_doelgroep[Jaar],D416,uitkomst_doelgroep[Overige besparingen (€)],"&gt;0",uitkomst_doelgroep[Uitgangssituatie/effect beleid],uitkomst_tech[[#This Row],[Uitgangssituatie/effect beleid]])</f>
        <v>2034868.1112093718</v>
      </c>
      <c r="J416" s="398">
        <f>SUMIFS(uitkomst_doelgroep[QALY (€)],uitkomst_doelgroep[Digitale zorgtoepassing],B416,uitkomst_doelgroep[Jaar],D416,uitkomst_doelgroep[QALY (€)],"&gt;0",uitkomst_doelgroep[Uitgangssituatie/effect beleid],uitkomst_tech[[#This Row],[Uitgangssituatie/effect beleid]])</f>
        <v>28358309.591739751</v>
      </c>
      <c r="K416" s="398">
        <f>SUMIFS(uitkomst_doelgroep[Kosten (€)],uitkomst_doelgroep[Digitale zorgtoepassing],B416,uitkomst_doelgroep[Jaar],D416,uitkomst_doelgroep[Kosten (€)],"&gt;0",uitkomst_doelgroep[Uitgangssituatie/effect beleid],uitkomst_tech[[#This Row],[Uitgangssituatie/effect beleid]])</f>
        <v>2932217.720239853</v>
      </c>
      <c r="L416" s="398">
        <f>SUMIFS(uitkomst_doelgroep[Investering (cash flow) (€)],uitkomst_doelgroep[Digitale zorgtoepassing],B416,uitkomst_doelgroep[Jaar],D416,uitkomst_doelgroep[Investering (cash flow) (€)],"&gt;0",uitkomst_doelgroep[Uitgangssituatie/effect beleid],uitkomst_tech[[#This Row],[Uitgangssituatie/effect beleid]])</f>
        <v>0</v>
      </c>
    </row>
    <row r="417" spans="1:12" x14ac:dyDescent="0.5">
      <c r="A417" s="2" t="str">
        <f>INDEX(Technologieën[Veld],MATCH(B417,Technologieën[Digitale zorgtoepassing],0))</f>
        <v>Software - Diagnose</v>
      </c>
      <c r="B417" s="33" t="s">
        <v>473</v>
      </c>
      <c r="C417" s="33" t="s">
        <v>813</v>
      </c>
      <c r="D417" s="33">
        <v>2030</v>
      </c>
      <c r="E417" s="2"/>
      <c r="F417" s="397">
        <f>SUMIFS(uitkomst_doelgroep[Patiëntaantallen],uitkomst_doelgroep[Digitale zorgtoepassing],B417,uitkomst_doelgroep[Jaar],D417,uitkomst_doelgroep[Arbeidsbesparing (€)],"&gt;0",uitkomst_doelgroep[Uitgangssituatie/effect beleid],uitkomst_tech[[#This Row],[Uitgangssituatie/effect beleid]])</f>
        <v>504978.31237765547</v>
      </c>
      <c r="G417" s="398">
        <f>SUMIFS(uitkomst_doelgroep[Arbeidsbesparing (€)],uitkomst_doelgroep[Digitale zorgtoepassing],B417,uitkomst_doelgroep[Jaar],D417,uitkomst_doelgroep[Arbeidsbesparing (€)],"&gt;0",uitkomst_doelgroep[Uitgangssituatie/effect beleid],uitkomst_tech[[#This Row],[Uitgangssituatie/effect beleid]])</f>
        <v>1465611.0019398248</v>
      </c>
      <c r="H417" s="398">
        <f>SUMIFS(uitkomst_doelgroep[Arbeidsbesparing (FTE)],uitkomst_doelgroep[Digitale zorgtoepassing],B417,uitkomst_doelgroep[Jaar],D417,uitkomst_doelgroep[Arbeidsbesparing (FTE)],"&gt;0",uitkomst_doelgroep[Uitgangssituatie/effect beleid],uitkomst_tech[[#This Row],[Uitgangssituatie/effect beleid]])</f>
        <v>7.7256997975162864</v>
      </c>
      <c r="I417" s="398">
        <f>SUMIFS(uitkomst_doelgroep[Overige besparingen (€)],uitkomst_doelgroep[Digitale zorgtoepassing],B417,uitkomst_doelgroep[Jaar],D417,uitkomst_doelgroep[Overige besparingen (€)],"&gt;0",uitkomst_doelgroep[Uitgangssituatie/effect beleid],uitkomst_tech[[#This Row],[Uitgangssituatie/effect beleid]])</f>
        <v>2068377.9734737775</v>
      </c>
      <c r="J417" s="398">
        <f>SUMIFS(uitkomst_doelgroep[QALY (€)],uitkomst_doelgroep[Digitale zorgtoepassing],B417,uitkomst_doelgroep[Jaar],D417,uitkomst_doelgroep[QALY (€)],"&gt;0",uitkomst_doelgroep[Uitgangssituatie/effect beleid],uitkomst_tech[[#This Row],[Uitgangssituatie/effect beleid]])</f>
        <v>28825309.415087417</v>
      </c>
      <c r="K417" s="398">
        <f>SUMIFS(uitkomst_doelgroep[Kosten (€)],uitkomst_doelgroep[Digitale zorgtoepassing],B417,uitkomst_doelgroep[Jaar],D417,uitkomst_doelgroep[Kosten (€)],"&gt;0",uitkomst_doelgroep[Uitgangssituatie/effect beleid],uitkomst_tech[[#This Row],[Uitgangssituatie/effect beleid]])</f>
        <v>3610339.7011257093</v>
      </c>
      <c r="L417" s="398">
        <f>SUMIFS(uitkomst_doelgroep[Investering (cash flow) (€)],uitkomst_doelgroep[Digitale zorgtoepassing],B417,uitkomst_doelgroep[Jaar],D417,uitkomst_doelgroep[Investering (cash flow) (€)],"&gt;0",uitkomst_doelgroep[Uitgangssituatie/effect beleid],uitkomst_tech[[#This Row],[Uitgangssituatie/effect beleid]])</f>
        <v>0</v>
      </c>
    </row>
    <row r="418" spans="1:12" x14ac:dyDescent="0.5">
      <c r="A418" s="2" t="str">
        <f>INDEX(Technologieën[Veld],MATCH(B418,Technologieën[Digitale zorgtoepassing],0))</f>
        <v>Software - Diagnose</v>
      </c>
      <c r="B418" s="33" t="s">
        <v>473</v>
      </c>
      <c r="C418" s="33" t="s">
        <v>813</v>
      </c>
      <c r="D418" s="33">
        <v>2031</v>
      </c>
      <c r="E418" s="2"/>
      <c r="F418" s="397">
        <f>SUMIFS(uitkomst_doelgroep[Patiëntaantallen],uitkomst_doelgroep[Digitale zorgtoepassing],B418,uitkomst_doelgroep[Jaar],D418,uitkomst_doelgroep[Arbeidsbesparing (€)],"&gt;0",uitkomst_doelgroep[Uitgangssituatie/effect beleid],uitkomst_tech[[#This Row],[Uitgangssituatie/effect beleid]])</f>
        <v>714826.27992572496</v>
      </c>
      <c r="G418" s="398">
        <f>SUMIFS(uitkomst_doelgroep[Arbeidsbesparing (€)],uitkomst_doelgroep[Digitale zorgtoepassing],B418,uitkomst_doelgroep[Jaar],D418,uitkomst_doelgroep[Arbeidsbesparing (€)],"&gt;0",uitkomst_doelgroep[Uitgangssituatie/effect beleid],uitkomst_tech[[#This Row],[Uitgangssituatie/effect beleid]])</f>
        <v>2068438.4517349759</v>
      </c>
      <c r="H418" s="398">
        <f>SUMIFS(uitkomst_doelgroep[Arbeidsbesparing (FTE)],uitkomst_doelgroep[Digitale zorgtoepassing],B418,uitkomst_doelgroep[Jaar],D418,uitkomst_doelgroep[Arbeidsbesparing (FTE)],"&gt;0",uitkomst_doelgroep[Uitgangssituatie/effect beleid],uitkomst_tech[[#This Row],[Uitgangssituatie/effect beleid]])</f>
        <v>10.903394220289785</v>
      </c>
      <c r="I418" s="398">
        <f>SUMIFS(uitkomst_doelgroep[Overige besparingen (€)],uitkomst_doelgroep[Digitale zorgtoepassing],B418,uitkomst_doelgroep[Jaar],D418,uitkomst_doelgroep[Overige besparingen (€)],"&gt;0",uitkomst_doelgroep[Uitgangssituatie/effect beleid],uitkomst_tech[[#This Row],[Uitgangssituatie/effect beleid]])</f>
        <v>2084899.5635894311</v>
      </c>
      <c r="J418" s="398">
        <f>SUMIFS(uitkomst_doelgroep[QALY (€)],uitkomst_doelgroep[Digitale zorgtoepassing],B418,uitkomst_doelgroep[Jaar],D418,uitkomst_doelgroep[QALY (€)],"&gt;0",uitkomst_doelgroep[Uitgangssituatie/effect beleid],uitkomst_tech[[#This Row],[Uitgangssituatie/effect beleid]])</f>
        <v>29055557.441908713</v>
      </c>
      <c r="K418" s="398">
        <f>SUMIFS(uitkomst_doelgroep[Kosten (€)],uitkomst_doelgroep[Digitale zorgtoepassing],B418,uitkomst_doelgroep[Jaar],D418,uitkomst_doelgroep[Kosten (€)],"&gt;0",uitkomst_doelgroep[Uitgangssituatie/effect beleid],uitkomst_tech[[#This Row],[Uitgangssituatie/effect beleid]])</f>
        <v>4461663.9885829575</v>
      </c>
      <c r="L418" s="398">
        <f>SUMIFS(uitkomst_doelgroep[Investering (cash flow) (€)],uitkomst_doelgroep[Digitale zorgtoepassing],B418,uitkomst_doelgroep[Jaar],D418,uitkomst_doelgroep[Investering (cash flow) (€)],"&gt;0",uitkomst_doelgroep[Uitgangssituatie/effect beleid],uitkomst_tech[[#This Row],[Uitgangssituatie/effect beleid]])</f>
        <v>0</v>
      </c>
    </row>
    <row r="419" spans="1:12" x14ac:dyDescent="0.5">
      <c r="A419" s="2" t="str">
        <f>INDEX(Technologieën[Veld],MATCH(B419,Technologieën[Digitale zorgtoepassing],0))</f>
        <v>Software - Diagnose</v>
      </c>
      <c r="B419" s="33" t="s">
        <v>473</v>
      </c>
      <c r="C419" s="33" t="s">
        <v>813</v>
      </c>
      <c r="D419" s="33">
        <v>2032</v>
      </c>
      <c r="E419" s="2"/>
      <c r="F419" s="397">
        <f>SUMIFS(uitkomst_doelgroep[Patiëntaantallen],uitkomst_doelgroep[Digitale zorgtoepassing],B419,uitkomst_doelgroep[Jaar],D419,uitkomst_doelgroep[Arbeidsbesparing (€)],"&gt;0",uitkomst_doelgroep[Uitgangssituatie/effect beleid],uitkomst_tech[[#This Row],[Uitgangssituatie/effect beleid]])</f>
        <v>965184.36142545624</v>
      </c>
      <c r="G419" s="398">
        <f>SUMIFS(uitkomst_doelgroep[Arbeidsbesparing (€)],uitkomst_doelgroep[Digitale zorgtoepassing],B419,uitkomst_doelgroep[Jaar],D419,uitkomst_doelgroep[Arbeidsbesparing (€)],"&gt;0",uitkomst_doelgroep[Uitgangssituatie/effect beleid],uitkomst_tech[[#This Row],[Uitgangssituatie/effect beleid]])</f>
        <v>2787551.9870931585</v>
      </c>
      <c r="H419" s="398">
        <f>SUMIFS(uitkomst_doelgroep[Arbeidsbesparing (FTE)],uitkomst_doelgroep[Digitale zorgtoepassing],B419,uitkomst_doelgroep[Jaar],D419,uitkomst_doelgroep[Arbeidsbesparing (FTE)],"&gt;0",uitkomst_doelgroep[Uitgangssituatie/effect beleid],uitkomst_tech[[#This Row],[Uitgangssituatie/effect beleid]])</f>
        <v>14.69406943162123</v>
      </c>
      <c r="I419" s="398">
        <f>SUMIFS(uitkomst_doelgroep[Overige besparingen (€)],uitkomst_doelgroep[Digitale zorgtoepassing],B419,uitkomst_doelgroep[Jaar],D419,uitkomst_doelgroep[Overige besparingen (€)],"&gt;0",uitkomst_doelgroep[Uitgangssituatie/effect beleid],uitkomst_tech[[#This Row],[Uitgangssituatie/effect beleid]])</f>
        <v>2092848.5036537494</v>
      </c>
      <c r="J419" s="398">
        <f>SUMIFS(uitkomst_doelgroep[QALY (€)],uitkomst_doelgroep[Digitale zorgtoepassing],B419,uitkomst_doelgroep[Jaar],D419,uitkomst_doelgroep[QALY (€)],"&gt;0",uitkomst_doelgroep[Uitgangssituatie/effect beleid],uitkomst_tech[[#This Row],[Uitgangssituatie/effect beleid]])</f>
        <v>29166335.384728875</v>
      </c>
      <c r="K419" s="398">
        <f>SUMIFS(uitkomst_doelgroep[Kosten (€)],uitkomst_doelgroep[Digitale zorgtoepassing],B419,uitkomst_doelgroep[Jaar],D419,uitkomst_doelgroep[Kosten (€)],"&gt;0",uitkomst_doelgroep[Uitgangssituatie/effect beleid],uitkomst_tech[[#This Row],[Uitgangssituatie/effect beleid]])</f>
        <v>5468277.3256854452</v>
      </c>
      <c r="L419" s="398">
        <f>SUMIFS(uitkomst_doelgroep[Investering (cash flow) (€)],uitkomst_doelgroep[Digitale zorgtoepassing],B419,uitkomst_doelgroep[Jaar],D419,uitkomst_doelgroep[Investering (cash flow) (€)],"&gt;0",uitkomst_doelgroep[Uitgangssituatie/effect beleid],uitkomst_tech[[#This Row],[Uitgangssituatie/effect beleid]])</f>
        <v>0</v>
      </c>
    </row>
    <row r="420" spans="1:12" x14ac:dyDescent="0.5">
      <c r="A420" s="2" t="str">
        <f>INDEX(Technologieën[Veld],MATCH(B420,Technologieën[Digitale zorgtoepassing],0))</f>
        <v>Software - Diagnose</v>
      </c>
      <c r="B420" s="33" t="s">
        <v>473</v>
      </c>
      <c r="C420" s="33" t="s">
        <v>813</v>
      </c>
      <c r="D420" s="33">
        <v>2033</v>
      </c>
      <c r="E420" s="2"/>
      <c r="F420" s="397">
        <f>SUMIFS(uitkomst_doelgroep[Patiëntaantallen],uitkomst_doelgroep[Digitale zorgtoepassing],B420,uitkomst_doelgroep[Jaar],D420,uitkomst_doelgroep[Arbeidsbesparing (€)],"&gt;0",uitkomst_doelgroep[Uitgangssituatie/effect beleid],uitkomst_tech[[#This Row],[Uitgangssituatie/effect beleid]])</f>
        <v>1234234.2726359889</v>
      </c>
      <c r="G420" s="398">
        <f>SUMIFS(uitkomst_doelgroep[Arbeidsbesparing (€)],uitkomst_doelgroep[Digitale zorgtoepassing],B420,uitkomst_doelgroep[Jaar],D420,uitkomst_doelgroep[Arbeidsbesparing (€)],"&gt;0",uitkomst_doelgroep[Uitgangssituatie/effect beleid],uitkomst_tech[[#This Row],[Uitgangssituatie/effect beleid]])</f>
        <v>3560319.6633164464</v>
      </c>
      <c r="H420" s="398">
        <f>SUMIFS(uitkomst_doelgroep[Arbeidsbesparing (FTE)],uitkomst_doelgroep[Digitale zorgtoepassing],B420,uitkomst_doelgroep[Jaar],D420,uitkomst_doelgroep[Arbeidsbesparing (FTE)],"&gt;0",uitkomst_doelgroep[Uitgangssituatie/effect beleid],uitkomst_tech[[#This Row],[Uitgangssituatie/effect beleid]])</f>
        <v>18.767572613450177</v>
      </c>
      <c r="I420" s="398">
        <f>SUMIFS(uitkomst_doelgroep[Overige besparingen (€)],uitkomst_doelgroep[Digitale zorgtoepassing],B420,uitkomst_doelgroep[Jaar],D420,uitkomst_doelgroep[Overige besparingen (€)],"&gt;0",uitkomst_doelgroep[Uitgangssituatie/effect beleid],uitkomst_tech[[#This Row],[Uitgangssituatie/effect beleid]])</f>
        <v>2096626.6195982168</v>
      </c>
      <c r="J420" s="398">
        <f>SUMIFS(uitkomst_doelgroep[QALY (€)],uitkomst_doelgroep[Digitale zorgtoepassing],B420,uitkomst_doelgroep[Jaar],D420,uitkomst_doelgroep[QALY (€)],"&gt;0",uitkomst_doelgroep[Uitgangssituatie/effect beleid],uitkomst_tech[[#This Row],[Uitgangssituatie/effect beleid]])</f>
        <v>29218987.928172104</v>
      </c>
      <c r="K420" s="398">
        <f>SUMIFS(uitkomst_doelgroep[Kosten (€)],uitkomst_doelgroep[Digitale zorgtoepassing],B420,uitkomst_doelgroep[Jaar],D420,uitkomst_doelgroep[Kosten (€)],"&gt;0",uitkomst_doelgroep[Uitgangssituatie/effect beleid],uitkomst_tech[[#This Row],[Uitgangssituatie/effect beleid]])</f>
        <v>6546377.0550408559</v>
      </c>
      <c r="L420" s="398">
        <f>SUMIFS(uitkomst_doelgroep[Investering (cash flow) (€)],uitkomst_doelgroep[Digitale zorgtoepassing],B420,uitkomst_doelgroep[Jaar],D420,uitkomst_doelgroep[Investering (cash flow) (€)],"&gt;0",uitkomst_doelgroep[Uitgangssituatie/effect beleid],uitkomst_tech[[#This Row],[Uitgangssituatie/effect beleid]])</f>
        <v>0</v>
      </c>
    </row>
    <row r="421" spans="1:12" x14ac:dyDescent="0.5">
      <c r="A421" s="2" t="str">
        <f>INDEX(Technologieën[Veld],MATCH(B421,Technologieën[Digitale zorgtoepassing],0))</f>
        <v>Software - Diagnose</v>
      </c>
      <c r="B421" s="33" t="s">
        <v>472</v>
      </c>
      <c r="C421" s="33" t="s">
        <v>813</v>
      </c>
      <c r="D421" s="33">
        <v>2023</v>
      </c>
      <c r="E421" s="2"/>
      <c r="F421" s="397">
        <f>SUMIFS(uitkomst_doelgroep[Patiëntaantallen],uitkomst_doelgroep[Digitale zorgtoepassing],B421,uitkomst_doelgroep[Jaar],D421,uitkomst_doelgroep[Arbeidsbesparing (€)],"&gt;0",uitkomst_doelgroep[Uitgangssituatie/effect beleid],uitkomst_tech[[#This Row],[Uitgangssituatie/effect beleid]])</f>
        <v>10324.800000000001</v>
      </c>
      <c r="G421" s="398">
        <f>SUMIFS(uitkomst_doelgroep[Arbeidsbesparing (€)],uitkomst_doelgroep[Digitale zorgtoepassing],B421,uitkomst_doelgroep[Jaar],D421,uitkomst_doelgroep[Arbeidsbesparing (€)],"&gt;0",uitkomst_doelgroep[Uitgangssituatie/effect beleid],uitkomst_tech[[#This Row],[Uitgangssituatie/effect beleid]])</f>
        <v>235417.75262068969</v>
      </c>
      <c r="H421" s="398">
        <f>SUMIFS(uitkomst_doelgroep[Arbeidsbesparing (FTE)],uitkomst_doelgroep[Digitale zorgtoepassing],B421,uitkomst_doelgroep[Jaar],D421,uitkomst_doelgroep[Arbeidsbesparing (FTE)],"&gt;0",uitkomst_doelgroep[Uitgangssituatie/effect beleid],uitkomst_tech[[#This Row],[Uitgangssituatie/effect beleid]])</f>
        <v>1.2409615384615384</v>
      </c>
      <c r="I421" s="398">
        <f>SUMIFS(uitkomst_doelgroep[Overige besparingen (€)],uitkomst_doelgroep[Digitale zorgtoepassing],B421,uitkomst_doelgroep[Jaar],D421,uitkomst_doelgroep[Overige besparingen (€)],"&gt;0",uitkomst_doelgroep[Uitgangssituatie/effect beleid],uitkomst_tech[[#This Row],[Uitgangssituatie/effect beleid]])</f>
        <v>0</v>
      </c>
      <c r="J421" s="398">
        <f>SUMIFS(uitkomst_doelgroep[QALY (€)],uitkomst_doelgroep[Digitale zorgtoepassing],B421,uitkomst_doelgroep[Jaar],D421,uitkomst_doelgroep[QALY (€)],"&gt;0",uitkomst_doelgroep[Uitgangssituatie/effect beleid],uitkomst_tech[[#This Row],[Uitgangssituatie/effect beleid]])</f>
        <v>4043124</v>
      </c>
      <c r="K421" s="398">
        <f>SUMIFS(uitkomst_doelgroep[Kosten (€)],uitkomst_doelgroep[Digitale zorgtoepassing],B421,uitkomst_doelgroep[Jaar],D421,uitkomst_doelgroep[Kosten (€)],"&gt;0",uitkomst_doelgroep[Uitgangssituatie/effect beleid],uitkomst_tech[[#This Row],[Uitgangssituatie/effect beleid]])</f>
        <v>175521.6</v>
      </c>
      <c r="L421" s="398">
        <f>SUMIFS(uitkomst_doelgroep[Investering (cash flow) (€)],uitkomst_doelgroep[Digitale zorgtoepassing],B421,uitkomst_doelgroep[Jaar],D421,uitkomst_doelgroep[Investering (cash flow) (€)],"&gt;0",uitkomst_doelgroep[Uitgangssituatie/effect beleid],uitkomst_tech[[#This Row],[Uitgangssituatie/effect beleid]])</f>
        <v>135600.00000000003</v>
      </c>
    </row>
    <row r="422" spans="1:12" x14ac:dyDescent="0.5">
      <c r="A422" s="2" t="str">
        <f>INDEX(Technologieën[Veld],MATCH(B422,Technologieën[Digitale zorgtoepassing],0))</f>
        <v>Software - Diagnose</v>
      </c>
      <c r="B422" s="33" t="s">
        <v>472</v>
      </c>
      <c r="C422" s="33" t="s">
        <v>813</v>
      </c>
      <c r="D422" s="33">
        <v>2024</v>
      </c>
      <c r="E422" s="2"/>
      <c r="F422" s="397">
        <f>SUMIFS(uitkomst_doelgroep[Patiëntaantallen],uitkomst_doelgroep[Digitale zorgtoepassing],B422,uitkomst_doelgroep[Jaar],D422,uitkomst_doelgroep[Arbeidsbesparing (€)],"&gt;0",uitkomst_doelgroep[Uitgangssituatie/effect beleid],uitkomst_tech[[#This Row],[Uitgangssituatie/effect beleid]])</f>
        <v>13886.856000000002</v>
      </c>
      <c r="G422" s="398">
        <f>SUMIFS(uitkomst_doelgroep[Arbeidsbesparing (€)],uitkomst_doelgroep[Digitale zorgtoepassing],B422,uitkomst_doelgroep[Jaar],D422,uitkomst_doelgroep[Arbeidsbesparing (€)],"&gt;0",uitkomst_doelgroep[Uitgangssituatie/effect beleid],uitkomst_tech[[#This Row],[Uitgangssituatie/effect beleid]])</f>
        <v>316636.87727482762</v>
      </c>
      <c r="H422" s="398">
        <f>SUMIFS(uitkomst_doelgroep[Arbeidsbesparing (FTE)],uitkomst_doelgroep[Digitale zorgtoepassing],B422,uitkomst_doelgroep[Jaar],D422,uitkomst_doelgroep[Arbeidsbesparing (FTE)],"&gt;0",uitkomst_doelgroep[Uitgangssituatie/effect beleid],uitkomst_tech[[#This Row],[Uitgangssituatie/effect beleid]])</f>
        <v>1.6690932692307692</v>
      </c>
      <c r="I422" s="398">
        <f>SUMIFS(uitkomst_doelgroep[Overige besparingen (€)],uitkomst_doelgroep[Digitale zorgtoepassing],B422,uitkomst_doelgroep[Jaar],D422,uitkomst_doelgroep[Overige besparingen (€)],"&gt;0",uitkomst_doelgroep[Uitgangssituatie/effect beleid],uitkomst_tech[[#This Row],[Uitgangssituatie/effect beleid]])</f>
        <v>0</v>
      </c>
      <c r="J422" s="398">
        <f>SUMIFS(uitkomst_doelgroep[QALY (€)],uitkomst_doelgroep[Digitale zorgtoepassing],B422,uitkomst_doelgroep[Jaar],D422,uitkomst_doelgroep[QALY (€)],"&gt;0",uitkomst_doelgroep[Uitgangssituatie/effect beleid],uitkomst_tech[[#This Row],[Uitgangssituatie/effect beleid]])</f>
        <v>5438001.7800000003</v>
      </c>
      <c r="K422" s="398">
        <f>SUMIFS(uitkomst_doelgroep[Kosten (€)],uitkomst_doelgroep[Digitale zorgtoepassing],B422,uitkomst_doelgroep[Jaar],D422,uitkomst_doelgroep[Kosten (€)],"&gt;0",uitkomst_doelgroep[Uitgangssituatie/effect beleid],uitkomst_tech[[#This Row],[Uitgangssituatie/effect beleid]])</f>
        <v>236076.55200000003</v>
      </c>
      <c r="L422" s="398">
        <f>SUMIFS(uitkomst_doelgroep[Investering (cash flow) (€)],uitkomst_doelgroep[Digitale zorgtoepassing],B422,uitkomst_doelgroep[Jaar],D422,uitkomst_doelgroep[Investering (cash flow) (€)],"&gt;0",uitkomst_doelgroep[Uitgangssituatie/effect beleid],uitkomst_tech[[#This Row],[Uitgangssituatie/effect beleid]])</f>
        <v>135735.59999999998</v>
      </c>
    </row>
    <row r="423" spans="1:12" x14ac:dyDescent="0.5">
      <c r="A423" s="2" t="str">
        <f>INDEX(Technologieën[Veld],MATCH(B423,Technologieën[Digitale zorgtoepassing],0))</f>
        <v>Software - Diagnose</v>
      </c>
      <c r="B423" s="33" t="s">
        <v>472</v>
      </c>
      <c r="C423" s="33" t="s">
        <v>813</v>
      </c>
      <c r="D423" s="33">
        <v>2025</v>
      </c>
      <c r="E423" s="2"/>
      <c r="F423" s="397">
        <f>SUMIFS(uitkomst_doelgroep[Patiëntaantallen],uitkomst_doelgroep[Digitale zorgtoepassing],B423,uitkomst_doelgroep[Jaar],D423,uitkomst_doelgroep[Arbeidsbesparing (€)],"&gt;0",uitkomst_doelgroep[Uitgangssituatie/effect beleid],uitkomst_tech[[#This Row],[Uitgangssituatie/effect beleid]])</f>
        <v>17452.474055999999</v>
      </c>
      <c r="G423" s="398">
        <f>SUMIFS(uitkomst_doelgroep[Arbeidsbesparing (€)],uitkomst_doelgroep[Digitale zorgtoepassing],B423,uitkomst_doelgroep[Jaar],D423,uitkomst_doelgroep[Arbeidsbesparing (€)],"&gt;0",uitkomst_doelgroep[Uitgangssituatie/effect beleid],uitkomst_tech[[#This Row],[Uitgangssituatie/effect beleid]])</f>
        <v>397937.22105361969</v>
      </c>
      <c r="H423" s="398">
        <f>SUMIFS(uitkomst_doelgroep[Arbeidsbesparing (FTE)],uitkomst_doelgroep[Digitale zorgtoepassing],B423,uitkomst_doelgroep[Jaar],D423,uitkomst_doelgroep[Arbeidsbesparing (FTE)],"&gt;0",uitkomst_doelgroep[Uitgangssituatie/effect beleid],uitkomst_tech[[#This Row],[Uitgangssituatie/effect beleid]])</f>
        <v>2.0976531317307692</v>
      </c>
      <c r="I423" s="398">
        <f>SUMIFS(uitkomst_doelgroep[Overige besparingen (€)],uitkomst_doelgroep[Digitale zorgtoepassing],B423,uitkomst_doelgroep[Jaar],D423,uitkomst_doelgroep[Overige besparingen (€)],"&gt;0",uitkomst_doelgroep[Uitgangssituatie/effect beleid],uitkomst_tech[[#This Row],[Uitgangssituatie/effect beleid]])</f>
        <v>0</v>
      </c>
      <c r="J423" s="398">
        <f>SUMIFS(uitkomst_doelgroep[QALY (€)],uitkomst_doelgroep[Digitale zorgtoepassing],B423,uitkomst_doelgroep[Jaar],D423,uitkomst_doelgroep[QALY (€)],"&gt;0",uitkomst_doelgroep[Uitgangssituatie/effect beleid],uitkomst_tech[[#This Row],[Uitgangssituatie/effect beleid]])</f>
        <v>6834274.4377800003</v>
      </c>
      <c r="K423" s="398">
        <f>SUMIFS(uitkomst_doelgroep[Kosten (€)],uitkomst_doelgroep[Digitale zorgtoepassing],B423,uitkomst_doelgroep[Jaar],D423,uitkomst_doelgroep[Kosten (€)],"&gt;0",uitkomst_doelgroep[Uitgangssituatie/effect beleid],uitkomst_tech[[#This Row],[Uitgangssituatie/effect beleid]])</f>
        <v>296692.05895199999</v>
      </c>
      <c r="L423" s="398">
        <f>SUMIFS(uitkomst_doelgroep[Investering (cash flow) (€)],uitkomst_doelgroep[Digitale zorgtoepassing],B423,uitkomst_doelgroep[Jaar],D423,uitkomst_doelgroep[Investering (cash flow) (€)],"&gt;0",uitkomst_doelgroep[Uitgangssituatie/effect beleid],uitkomst_tech[[#This Row],[Uitgangssituatie/effect beleid]])</f>
        <v>117130.45704360002</v>
      </c>
    </row>
    <row r="424" spans="1:12" x14ac:dyDescent="0.5">
      <c r="A424" s="2" t="str">
        <f>INDEX(Technologieën[Veld],MATCH(B424,Technologieën[Digitale zorgtoepassing],0))</f>
        <v>Software - Diagnose</v>
      </c>
      <c r="B424" s="33" t="s">
        <v>472</v>
      </c>
      <c r="C424" s="33" t="s">
        <v>813</v>
      </c>
      <c r="D424" s="33">
        <v>2026</v>
      </c>
      <c r="E424" s="2"/>
      <c r="F424" s="397">
        <f>SUMIFS(uitkomst_doelgroep[Patiëntaantallen],uitkomst_doelgroep[Digitale zorgtoepassing],B424,uitkomst_doelgroep[Jaar],D424,uitkomst_doelgroep[Arbeidsbesparing (€)],"&gt;0",uitkomst_doelgroep[Uitgangssituatie/effect beleid],uitkomst_tech[[#This Row],[Uitgangssituatie/effect beleid]])</f>
        <v>20529.356410682136</v>
      </c>
      <c r="G424" s="398">
        <f>SUMIFS(uitkomst_doelgroep[Arbeidsbesparing (€)],uitkomst_doelgroep[Digitale zorgtoepassing],B424,uitkomst_doelgroep[Jaar],D424,uitkomst_doelgroep[Arbeidsbesparing (€)],"&gt;0",uitkomst_doelgroep[Uitgangssituatie/effect beleid],uitkomst_tech[[#This Row],[Uitgangssituatie/effect beleid]])</f>
        <v>468093.80801099649</v>
      </c>
      <c r="H424" s="398">
        <f>SUMIFS(uitkomst_doelgroep[Arbeidsbesparing (FTE)],uitkomst_doelgroep[Digitale zorgtoepassing],B424,uitkomst_doelgroep[Jaar],D424,uitkomst_doelgroep[Arbeidsbesparing (FTE)],"&gt;0",uitkomst_doelgroep[Uitgangssituatie/effect beleid],uitkomst_tech[[#This Row],[Uitgangssituatie/effect beleid]])</f>
        <v>2.4674707224377568</v>
      </c>
      <c r="I424" s="398">
        <f>SUMIFS(uitkomst_doelgroep[Overige besparingen (€)],uitkomst_doelgroep[Digitale zorgtoepassing],B424,uitkomst_doelgroep[Jaar],D424,uitkomst_doelgroep[Overige besparingen (€)],"&gt;0",uitkomst_doelgroep[Uitgangssituatie/effect beleid],uitkomst_tech[[#This Row],[Uitgangssituatie/effect beleid]])</f>
        <v>0</v>
      </c>
      <c r="J424" s="398">
        <f>SUMIFS(uitkomst_doelgroep[QALY (€)],uitkomst_doelgroep[Digitale zorgtoepassing],B424,uitkomst_doelgroep[Jaar],D424,uitkomst_doelgroep[QALY (€)],"&gt;0",uitkomst_doelgroep[Uitgangssituatie/effect beleid],uitkomst_tech[[#This Row],[Uitgangssituatie/effect beleid]])</f>
        <v>8039161.3986307532</v>
      </c>
      <c r="K424" s="398">
        <f>SUMIFS(uitkomst_doelgroep[Kosten (€)],uitkomst_doelgroep[Digitale zorgtoepassing],B424,uitkomst_doelgroep[Jaar],D424,uitkomst_doelgroep[Kosten (€)],"&gt;0",uitkomst_doelgroep[Uitgangssituatie/effect beleid],uitkomst_tech[[#This Row],[Uitgangssituatie/effect beleid]])</f>
        <v>348999.05898159632</v>
      </c>
      <c r="L424" s="398">
        <f>SUMIFS(uitkomst_doelgroep[Investering (cash flow) (€)],uitkomst_doelgroep[Digitale zorgtoepassing],B424,uitkomst_doelgroep[Jaar],D424,uitkomst_doelgroep[Investering (cash flow) (€)],"&gt;0",uitkomst_doelgroep[Uitgangssituatie/effect beleid],uitkomst_tech[[#This Row],[Uitgangssituatie/effect beleid]])</f>
        <v>86004.235012409568</v>
      </c>
    </row>
    <row r="425" spans="1:12" x14ac:dyDescent="0.5">
      <c r="A425" s="2" t="str">
        <f>INDEX(Technologieën[Veld],MATCH(B425,Technologieën[Digitale zorgtoepassing],0))</f>
        <v>Software - Diagnose</v>
      </c>
      <c r="B425" s="33" t="s">
        <v>472</v>
      </c>
      <c r="C425" s="33" t="s">
        <v>813</v>
      </c>
      <c r="D425" s="33">
        <v>2027</v>
      </c>
      <c r="E425" s="2"/>
      <c r="F425" s="397">
        <f>SUMIFS(uitkomst_doelgroep[Patiëntaantallen],uitkomst_doelgroep[Digitale zorgtoepassing],B425,uitkomst_doelgroep[Jaar],D425,uitkomst_doelgroep[Arbeidsbesparing (€)],"&gt;0",uitkomst_doelgroep[Uitgangssituatie/effect beleid],uitkomst_tech[[#This Row],[Uitgangssituatie/effect beleid]])</f>
        <v>52014.228721532898</v>
      </c>
      <c r="G425" s="398">
        <f>SUMIFS(uitkomst_doelgroep[Arbeidsbesparing (€)],uitkomst_doelgroep[Digitale zorgtoepassing],B425,uitkomst_doelgroep[Jaar],D425,uitkomst_doelgroep[Arbeidsbesparing (€)],"&gt;0",uitkomst_doelgroep[Uitgangssituatie/effect beleid],uitkomst_tech[[#This Row],[Uitgangssituatie/effect beleid]])</f>
        <v>1185986.4433133625</v>
      </c>
      <c r="H425" s="398">
        <f>SUMIFS(uitkomst_doelgroep[Arbeidsbesparing (FTE)],uitkomst_doelgroep[Digitale zorgtoepassing],B425,uitkomst_doelgroep[Jaar],D425,uitkomst_doelgroep[Arbeidsbesparing (FTE)],"&gt;0",uitkomst_doelgroep[Uitgangssituatie/effect beleid],uitkomst_tech[[#This Row],[Uitgangssituatie/effect beleid]])</f>
        <v>6.2517101828765504</v>
      </c>
      <c r="I425" s="398">
        <f>SUMIFS(uitkomst_doelgroep[Overige besparingen (€)],uitkomst_doelgroep[Digitale zorgtoepassing],B425,uitkomst_doelgroep[Jaar],D425,uitkomst_doelgroep[Overige besparingen (€)],"&gt;0",uitkomst_doelgroep[Uitgangssituatie/effect beleid],uitkomst_tech[[#This Row],[Uitgangssituatie/effect beleid]])</f>
        <v>0</v>
      </c>
      <c r="J425" s="398">
        <f>SUMIFS(uitkomst_doelgroep[QALY (€)],uitkomst_doelgroep[Digitale zorgtoepassing],B425,uitkomst_doelgroep[Jaar],D425,uitkomst_doelgroep[QALY (€)],"&gt;0",uitkomst_doelgroep[Uitgangssituatie/effect beleid],uitkomst_tech[[#This Row],[Uitgangssituatie/effect beleid]])</f>
        <v>8923861.9620873034</v>
      </c>
      <c r="K425" s="398">
        <f>SUMIFS(uitkomst_doelgroep[Kosten (€)],uitkomst_doelgroep[Digitale zorgtoepassing],B425,uitkomst_doelgroep[Jaar],D425,uitkomst_doelgroep[Kosten (€)],"&gt;0",uitkomst_doelgroep[Uitgangssituatie/effect beleid],uitkomst_tech[[#This Row],[Uitgangssituatie/effect beleid]])</f>
        <v>884241.88826605934</v>
      </c>
      <c r="L425" s="398">
        <f>SUMIFS(uitkomst_doelgroep[Investering (cash flow) (€)],uitkomst_doelgroep[Digitale zorgtoepassing],B425,uitkomst_doelgroep[Jaar],D425,uitkomst_doelgroep[Investering (cash flow) (€)],"&gt;0",uitkomst_doelgroep[Uitgangssituatie/effect beleid],uitkomst_tech[[#This Row],[Uitgangssituatie/effect beleid]])</f>
        <v>54259.660819906399</v>
      </c>
    </row>
    <row r="426" spans="1:12" x14ac:dyDescent="0.5">
      <c r="A426" s="2" t="str">
        <f>INDEX(Technologieën[Veld],MATCH(B426,Technologieën[Digitale zorgtoepassing],0))</f>
        <v>Software - Diagnose</v>
      </c>
      <c r="B426" s="33" t="s">
        <v>472</v>
      </c>
      <c r="C426" s="33" t="s">
        <v>813</v>
      </c>
      <c r="D426" s="33">
        <v>2028</v>
      </c>
      <c r="E426" s="2"/>
      <c r="F426" s="397">
        <f>SUMIFS(uitkomst_doelgroep[Patiëntaantallen],uitkomst_doelgroep[Digitale zorgtoepassing],B426,uitkomst_doelgroep[Jaar],D426,uitkomst_doelgroep[Arbeidsbesparing (€)],"&gt;0",uitkomst_doelgroep[Uitgangssituatie/effect beleid],uitkomst_tech[[#This Row],[Uitgangssituatie/effect beleid]])</f>
        <v>95962.873788653189</v>
      </c>
      <c r="G426" s="398">
        <f>SUMIFS(uitkomst_doelgroep[Arbeidsbesparing (€)],uitkomst_doelgroep[Digitale zorgtoepassing],B426,uitkomst_doelgroep[Jaar],D426,uitkomst_doelgroep[Arbeidsbesparing (€)],"&gt;0",uitkomst_doelgroep[Uitgangssituatie/effect beleid],uitkomst_tech[[#This Row],[Uitgangssituatie/effect beleid]])</f>
        <v>2188067.9608658403</v>
      </c>
      <c r="H426" s="398">
        <f>SUMIFS(uitkomst_doelgroep[Arbeidsbesparing (FTE)],uitkomst_doelgroep[Digitale zorgtoepassing],B426,uitkomst_doelgroep[Jaar],D426,uitkomst_doelgroep[Arbeidsbesparing (FTE)],"&gt;0",uitkomst_doelgroep[Uitgangssituatie/effect beleid],uitkomst_tech[[#This Row],[Uitgangssituatie/effect beleid]])</f>
        <v>11.533999253443895</v>
      </c>
      <c r="I426" s="398">
        <f>SUMIFS(uitkomst_doelgroep[Overige besparingen (€)],uitkomst_doelgroep[Digitale zorgtoepassing],B426,uitkomst_doelgroep[Jaar],D426,uitkomst_doelgroep[Overige besparingen (€)],"&gt;0",uitkomst_doelgroep[Uitgangssituatie/effect beleid],uitkomst_tech[[#This Row],[Uitgangssituatie/effect beleid]])</f>
        <v>0</v>
      </c>
      <c r="J426" s="398">
        <f>SUMIFS(uitkomst_doelgroep[QALY (€)],uitkomst_doelgroep[Digitale zorgtoepassing],B426,uitkomst_doelgroep[Jaar],D426,uitkomst_doelgroep[QALY (€)],"&gt;0",uitkomst_doelgroep[Uitgangssituatie/effect beleid],uitkomst_tech[[#This Row],[Uitgangssituatie/effect beleid]])</f>
        <v>9482015.3192261234</v>
      </c>
      <c r="K426" s="398">
        <f>SUMIFS(uitkomst_doelgroep[Kosten (€)],uitkomst_doelgroep[Digitale zorgtoepassing],B426,uitkomst_doelgroep[Jaar],D426,uitkomst_doelgroep[Kosten (€)],"&gt;0",uitkomst_doelgroep[Uitgangssituatie/effect beleid],uitkomst_tech[[#This Row],[Uitgangssituatie/effect beleid]])</f>
        <v>1631368.8544071044</v>
      </c>
      <c r="L426" s="398">
        <f>SUMIFS(uitkomst_doelgroep[Investering (cash flow) (€)],uitkomst_doelgroep[Digitale zorgtoepassing],B426,uitkomst_doelgroep[Jaar],D426,uitkomst_doelgroep[Investering (cash flow) (€)],"&gt;0",uitkomst_doelgroep[Uitgangssituatie/effect beleid],uitkomst_tech[[#This Row],[Uitgangssituatie/effect beleid]])</f>
        <v>30359.473901139943</v>
      </c>
    </row>
    <row r="427" spans="1:12" x14ac:dyDescent="0.5">
      <c r="A427" s="2" t="str">
        <f>INDEX(Technologieën[Veld],MATCH(B427,Technologieën[Digitale zorgtoepassing],0))</f>
        <v>Software - Diagnose</v>
      </c>
      <c r="B427" s="33" t="s">
        <v>472</v>
      </c>
      <c r="C427" s="33" t="s">
        <v>813</v>
      </c>
      <c r="D427" s="33">
        <v>2029</v>
      </c>
      <c r="E427" s="2"/>
      <c r="F427" s="397">
        <f>SUMIFS(uitkomst_doelgroep[Patiëntaantallen],uitkomst_doelgroep[Digitale zorgtoepassing],B427,uitkomst_doelgroep[Jaar],D427,uitkomst_doelgroep[Arbeidsbesparing (€)],"&gt;0",uitkomst_doelgroep[Uitgangssituatie/effect beleid],uitkomst_tech[[#This Row],[Uitgangssituatie/effect beleid]])</f>
        <v>157065.87201139273</v>
      </c>
      <c r="G427" s="398">
        <f>SUMIFS(uitkomst_doelgroep[Arbeidsbesparing (€)],uitkomst_doelgroep[Digitale zorgtoepassing],B427,uitkomst_doelgroep[Jaar],D427,uitkomst_doelgroep[Arbeidsbesparing (€)],"&gt;0",uitkomst_doelgroep[Uitgangssituatie/effect beleid],uitkomst_tech[[#This Row],[Uitgangssituatie/effect beleid]])</f>
        <v>3581289.1874255156</v>
      </c>
      <c r="H427" s="398">
        <f>SUMIFS(uitkomst_doelgroep[Arbeidsbesparing (FTE)],uitkomst_doelgroep[Digitale zorgtoepassing],B427,uitkomst_doelgroep[Jaar],D427,uitkomst_doelgroep[Arbeidsbesparing (FTE)],"&gt;0",uitkomst_doelgroep[Uitgangssituatie/effect beleid],uitkomst_tech[[#This Row],[Uitgangssituatie/effect beleid]])</f>
        <v>18.878109616753935</v>
      </c>
      <c r="I427" s="398">
        <f>SUMIFS(uitkomst_doelgroep[Overige besparingen (€)],uitkomst_doelgroep[Digitale zorgtoepassing],B427,uitkomst_doelgroep[Jaar],D427,uitkomst_doelgroep[Overige besparingen (€)],"&gt;0",uitkomst_doelgroep[Uitgangssituatie/effect beleid],uitkomst_tech[[#This Row],[Uitgangssituatie/effect beleid]])</f>
        <v>0</v>
      </c>
      <c r="J427" s="398">
        <f>SUMIFS(uitkomst_doelgroep[QALY (€)],uitkomst_doelgroep[Digitale zorgtoepassing],B427,uitkomst_doelgroep[Jaar],D427,uitkomst_doelgroep[QALY (€)],"&gt;0",uitkomst_doelgroep[Uitgangssituatie/effect beleid],uitkomst_tech[[#This Row],[Uitgangssituatie/effect beleid]])</f>
        <v>9794314.4015062861</v>
      </c>
      <c r="K427" s="398">
        <f>SUMIFS(uitkomst_doelgroep[Kosten (€)],uitkomst_doelgroep[Digitale zorgtoepassing],B427,uitkomst_doelgroep[Jaar],D427,uitkomst_doelgroep[Kosten (€)],"&gt;0",uitkomst_doelgroep[Uitgangssituatie/effect beleid],uitkomst_tech[[#This Row],[Uitgangssituatie/effect beleid]])</f>
        <v>2670119.8241936765</v>
      </c>
      <c r="L427" s="398">
        <f>SUMIFS(uitkomst_doelgroep[Investering (cash flow) (€)],uitkomst_doelgroep[Digitale zorgtoepassing],B427,uitkomst_doelgroep[Jaar],D427,uitkomst_doelgroep[Investering (cash flow) (€)],"&gt;0",uitkomst_doelgroep[Uitgangssituatie/effect beleid],uitkomst_tech[[#This Row],[Uitgangssituatie/effect beleid]])</f>
        <v>15679.562881481746</v>
      </c>
    </row>
    <row r="428" spans="1:12" x14ac:dyDescent="0.5">
      <c r="A428" s="2" t="str">
        <f>INDEX(Technologieën[Veld],MATCH(B428,Technologieën[Digitale zorgtoepassing],0))</f>
        <v>Software - Diagnose</v>
      </c>
      <c r="B428" s="33" t="s">
        <v>472</v>
      </c>
      <c r="C428" s="33" t="s">
        <v>813</v>
      </c>
      <c r="D428" s="33">
        <v>2030</v>
      </c>
      <c r="E428" s="2"/>
      <c r="F428" s="397">
        <f>SUMIFS(uitkomst_doelgroep[Patiëntaantallen],uitkomst_doelgroep[Digitale zorgtoepassing],B428,uitkomst_doelgroep[Jaar],D428,uitkomst_doelgroep[Arbeidsbesparing (€)],"&gt;0",uitkomst_doelgroep[Uitgangssituatie/effect beleid],uitkomst_tech[[#This Row],[Uitgangssituatie/effect beleid]])</f>
        <v>239818.7711495877</v>
      </c>
      <c r="G428" s="398">
        <f>SUMIFS(uitkomst_doelgroep[Arbeidsbesparing (€)],uitkomst_doelgroep[Digitale zorgtoepassing],B428,uitkomst_doelgroep[Jaar],D428,uitkomst_doelgroep[Arbeidsbesparing (€)],"&gt;0",uitkomst_doelgroep[Uitgangssituatie/effect beleid],uitkomst_tech[[#This Row],[Uitgangssituatie/effect beleid]])</f>
        <v>5468153.9729865408</v>
      </c>
      <c r="H428" s="398">
        <f>SUMIFS(uitkomst_doelgroep[Arbeidsbesparing (FTE)],uitkomst_doelgroep[Digitale zorgtoepassing],B428,uitkomst_doelgroep[Jaar],D428,uitkomst_doelgroep[Arbeidsbesparing (FTE)],"&gt;0",uitkomst_doelgroep[Uitgangssituatie/effect beleid],uitkomst_tech[[#This Row],[Uitgangssituatie/effect beleid]])</f>
        <v>28.82437153240237</v>
      </c>
      <c r="I428" s="398">
        <f>SUMIFS(uitkomst_doelgroep[Overige besparingen (€)],uitkomst_doelgroep[Digitale zorgtoepassing],B428,uitkomst_doelgroep[Jaar],D428,uitkomst_doelgroep[Overige besparingen (€)],"&gt;0",uitkomst_doelgroep[Uitgangssituatie/effect beleid],uitkomst_tech[[#This Row],[Uitgangssituatie/effect beleid]])</f>
        <v>0</v>
      </c>
      <c r="J428" s="398">
        <f>SUMIFS(uitkomst_doelgroep[QALY (€)],uitkomst_doelgroep[Digitale zorgtoepassing],B428,uitkomst_doelgroep[Jaar],D428,uitkomst_doelgroep[QALY (€)],"&gt;0",uitkomst_doelgroep[Uitgangssituatie/effect beleid],uitkomst_tech[[#This Row],[Uitgangssituatie/effect beleid]])</f>
        <v>9955605.5066942777</v>
      </c>
      <c r="K428" s="398">
        <f>SUMIFS(uitkomst_doelgroep[Kosten (€)],uitkomst_doelgroep[Digitale zorgtoepassing],B428,uitkomst_doelgroep[Jaar],D428,uitkomst_doelgroep[Kosten (€)],"&gt;0",uitkomst_doelgroep[Uitgangssituatie/effect beleid],uitkomst_tech[[#This Row],[Uitgangssituatie/effect beleid]])</f>
        <v>4076919.109542991</v>
      </c>
      <c r="L428" s="398">
        <f>SUMIFS(uitkomst_doelgroep[Investering (cash flow) (€)],uitkomst_doelgroep[Digitale zorgtoepassing],B428,uitkomst_doelgroep[Jaar],D428,uitkomst_doelgroep[Investering (cash flow) (€)],"&gt;0",uitkomst_doelgroep[Uitgangssituatie/effect beleid],uitkomst_tech[[#This Row],[Uitgangssituatie/effect beleid]])</f>
        <v>7730.5991017344877</v>
      </c>
    </row>
    <row r="429" spans="1:12" x14ac:dyDescent="0.5">
      <c r="A429" s="2" t="str">
        <f>INDEX(Technologieën[Veld],MATCH(B429,Technologieën[Digitale zorgtoepassing],0))</f>
        <v>Software - Diagnose</v>
      </c>
      <c r="B429" s="33" t="s">
        <v>472</v>
      </c>
      <c r="C429" s="33" t="s">
        <v>813</v>
      </c>
      <c r="D429" s="33">
        <v>2031</v>
      </c>
      <c r="E429" s="2"/>
      <c r="F429" s="397">
        <f>SUMIFS(uitkomst_doelgroep[Patiëntaantallen],uitkomst_doelgroep[Digitale zorgtoepassing],B429,uitkomst_doelgroep[Jaar],D429,uitkomst_doelgroep[Arbeidsbesparing (€)],"&gt;0",uitkomst_doelgroep[Uitgangssituatie/effect beleid],uitkomst_tech[[#This Row],[Uitgangssituatie/effect beleid]])</f>
        <v>346421.69463439559</v>
      </c>
      <c r="G429" s="398">
        <f>SUMIFS(uitkomst_doelgroep[Arbeidsbesparing (€)],uitkomst_doelgroep[Digitale zorgtoepassing],B429,uitkomst_doelgroep[Jaar],D429,uitkomst_doelgroep[Arbeidsbesparing (€)],"&gt;0",uitkomst_doelgroep[Uitgangssituatie/effect beleid],uitkomst_tech[[#This Row],[Uitgangssituatie/effect beleid]])</f>
        <v>7898827.7554897191</v>
      </c>
      <c r="H429" s="398">
        <f>SUMIFS(uitkomst_doelgroep[Arbeidsbesparing (FTE)],uitkomst_doelgroep[Digitale zorgtoepassing],B429,uitkomst_doelgroep[Jaar],D429,uitkomst_doelgroep[Arbeidsbesparing (FTE)],"&gt;0",uitkomst_doelgroep[Uitgangssituatie/effect beleid],uitkomst_tech[[#This Row],[Uitgangssituatie/effect beleid]])</f>
        <v>41.637222912787934</v>
      </c>
      <c r="I429" s="398">
        <f>SUMIFS(uitkomst_doelgroep[Overige besparingen (€)],uitkomst_doelgroep[Digitale zorgtoepassing],B429,uitkomst_doelgroep[Jaar],D429,uitkomst_doelgroep[Overige besparingen (€)],"&gt;0",uitkomst_doelgroep[Uitgangssituatie/effect beleid],uitkomst_tech[[#This Row],[Uitgangssituatie/effect beleid]])</f>
        <v>0</v>
      </c>
      <c r="J429" s="398">
        <f>SUMIFS(uitkomst_doelgroep[QALY (€)],uitkomst_doelgroep[Digitale zorgtoepassing],B429,uitkomst_doelgroep[Jaar],D429,uitkomst_doelgroep[QALY (€)],"&gt;0",uitkomst_doelgroep[Uitgangssituatie/effect beleid],uitkomst_tech[[#This Row],[Uitgangssituatie/effect beleid]])</f>
        <v>10035127.932307091</v>
      </c>
      <c r="K429" s="398">
        <f>SUMIFS(uitkomst_doelgroep[Kosten (€)],uitkomst_doelgroep[Digitale zorgtoepassing],B429,uitkomst_doelgroep[Jaar],D429,uitkomst_doelgroep[Kosten (€)],"&gt;0",uitkomst_doelgroep[Uitgangssituatie/effect beleid],uitkomst_tech[[#This Row],[Uitgangssituatie/effect beleid]])</f>
        <v>5889168.8087847242</v>
      </c>
      <c r="L429" s="398">
        <f>SUMIFS(uitkomst_doelgroep[Investering (cash flow) (€)],uitkomst_doelgroep[Digitale zorgtoepassing],B429,uitkomst_doelgroep[Jaar],D429,uitkomst_doelgroep[Investering (cash flow) (€)],"&gt;0",uitkomst_doelgroep[Uitgangssituatie/effect beleid],uitkomst_tech[[#This Row],[Uitgangssituatie/effect beleid]])</f>
        <v>3719.3798230556586</v>
      </c>
    </row>
    <row r="430" spans="1:12" x14ac:dyDescent="0.5">
      <c r="A430" s="2" t="str">
        <f>INDEX(Technologieën[Veld],MATCH(B430,Technologieën[Digitale zorgtoepassing],0))</f>
        <v>Software - Diagnose</v>
      </c>
      <c r="B430" s="33" t="s">
        <v>472</v>
      </c>
      <c r="C430" s="33" t="s">
        <v>813</v>
      </c>
      <c r="D430" s="33">
        <v>2032</v>
      </c>
      <c r="E430" s="2"/>
      <c r="F430" s="397">
        <f>SUMIFS(uitkomst_doelgroep[Patiëntaantallen],uitkomst_doelgroep[Digitale zorgtoepassing],B430,uitkomst_doelgroep[Jaar],D430,uitkomst_doelgroep[Arbeidsbesparing (€)],"&gt;0",uitkomst_doelgroep[Uitgangssituatie/effect beleid],uitkomst_tech[[#This Row],[Uitgangssituatie/effect beleid]])</f>
        <v>473700.6750898005</v>
      </c>
      <c r="G430" s="398">
        <f>SUMIFS(uitkomst_doelgroep[Arbeidsbesparing (€)],uitkomst_doelgroep[Digitale zorgtoepassing],B430,uitkomst_doelgroep[Jaar],D430,uitkomst_doelgroep[Arbeidsbesparing (€)],"&gt;0",uitkomst_doelgroep[Uitgangssituatie/effect beleid],uitkomst_tech[[#This Row],[Uitgangssituatie/effect beleid]])</f>
        <v>10800940.293714589</v>
      </c>
      <c r="H430" s="398">
        <f>SUMIFS(uitkomst_doelgroep[Arbeidsbesparing (FTE)],uitkomst_doelgroep[Digitale zorgtoepassing],B430,uitkomst_doelgroep[Jaar],D430,uitkomst_doelgroep[Arbeidsbesparing (FTE)],"&gt;0",uitkomst_doelgroep[Uitgangssituatie/effect beleid],uitkomst_tech[[#This Row],[Uitgangssituatie/effect beleid]])</f>
        <v>56.935177294447186</v>
      </c>
      <c r="I430" s="398">
        <f>SUMIFS(uitkomst_doelgroep[Overige besparingen (€)],uitkomst_doelgroep[Digitale zorgtoepassing],B430,uitkomst_doelgroep[Jaar],D430,uitkomst_doelgroep[Overige besparingen (€)],"&gt;0",uitkomst_doelgroep[Uitgangssituatie/effect beleid],uitkomst_tech[[#This Row],[Uitgangssituatie/effect beleid]])</f>
        <v>0</v>
      </c>
      <c r="J430" s="398">
        <f>SUMIFS(uitkomst_doelgroep[QALY (€)],uitkomst_doelgroep[Digitale zorgtoepassing],B430,uitkomst_doelgroep[Jaar],D430,uitkomst_doelgroep[QALY (€)],"&gt;0",uitkomst_doelgroep[Uitgangssituatie/effect beleid],uitkomst_tech[[#This Row],[Uitgangssituatie/effect beleid]])</f>
        <v>10073388.111293526</v>
      </c>
      <c r="K430" s="398">
        <f>SUMIFS(uitkomst_doelgroep[Kosten (€)],uitkomst_doelgroep[Digitale zorgtoepassing],B430,uitkomst_doelgroep[Jaar],D430,uitkomst_doelgroep[Kosten (€)],"&gt;0",uitkomst_doelgroep[Uitgangssituatie/effect beleid],uitkomst_tech[[#This Row],[Uitgangssituatie/effect beleid]])</f>
        <v>8052911.4765266096</v>
      </c>
      <c r="L430" s="398">
        <f>SUMIFS(uitkomst_doelgroep[Investering (cash flow) (€)],uitkomst_doelgroep[Digitale zorgtoepassing],B430,uitkomst_doelgroep[Jaar],D430,uitkomst_doelgroep[Investering (cash flow) (€)],"&gt;0",uitkomst_doelgroep[Uitgangssituatie/effect beleid],uitkomst_tech[[#This Row],[Uitgangssituatie/effect beleid]])</f>
        <v>1767.8140858171209</v>
      </c>
    </row>
    <row r="431" spans="1:12" x14ac:dyDescent="0.5">
      <c r="A431" s="2" t="str">
        <f>INDEX(Technologieën[Veld],MATCH(B431,Technologieën[Digitale zorgtoepassing],0))</f>
        <v>Software - Diagnose</v>
      </c>
      <c r="B431" s="33" t="s">
        <v>472</v>
      </c>
      <c r="C431" s="33" t="s">
        <v>813</v>
      </c>
      <c r="D431" s="33">
        <v>2033</v>
      </c>
      <c r="E431" s="2"/>
      <c r="F431" s="397">
        <f>SUMIFS(uitkomst_doelgroep[Patiëntaantallen],uitkomst_doelgroep[Digitale zorgtoepassing],B431,uitkomst_doelgroep[Jaar],D431,uitkomst_doelgroep[Arbeidsbesparing (€)],"&gt;0",uitkomst_doelgroep[Uitgangssituatie/effect beleid],uitkomst_tech[[#This Row],[Uitgangssituatie/effect beleid]])</f>
        <v>610521.59817091154</v>
      </c>
      <c r="G431" s="398">
        <f>SUMIFS(uitkomst_doelgroep[Arbeidsbesparing (€)],uitkomst_doelgroep[Digitale zorgtoepassing],B431,uitkomst_doelgroep[Jaar],D431,uitkomst_doelgroep[Arbeidsbesparing (€)],"&gt;0",uitkomst_doelgroep[Uitgangssituatie/effect beleid],uitkomst_tech[[#This Row],[Uitgangssituatie/effect beleid]])</f>
        <v>13920620.50284633</v>
      </c>
      <c r="H431" s="398">
        <f>SUMIFS(uitkomst_doelgroep[Arbeidsbesparing (FTE)],uitkomst_doelgroep[Digitale zorgtoepassing],B431,uitkomst_doelgroep[Jaar],D431,uitkomst_doelgroep[Arbeidsbesparing (FTE)],"&gt;0",uitkomst_doelgroep[Uitgangssituatie/effect beleid],uitkomst_tech[[#This Row],[Uitgangssituatie/effect beleid]])</f>
        <v>73.379999780157661</v>
      </c>
      <c r="I431" s="398">
        <f>SUMIFS(uitkomst_doelgroep[Overige besparingen (€)],uitkomst_doelgroep[Digitale zorgtoepassing],B431,uitkomst_doelgroep[Jaar],D431,uitkomst_doelgroep[Overige besparingen (€)],"&gt;0",uitkomst_doelgroep[Uitgangssituatie/effect beleid],uitkomst_tech[[#This Row],[Uitgangssituatie/effect beleid]])</f>
        <v>0</v>
      </c>
      <c r="J431" s="398">
        <f>SUMIFS(uitkomst_doelgroep[QALY (€)],uitkomst_doelgroep[Digitale zorgtoepassing],B431,uitkomst_doelgroep[Jaar],D431,uitkomst_doelgroep[QALY (€)],"&gt;0",uitkomst_doelgroep[Uitgangssituatie/effect beleid],uitkomst_tech[[#This Row],[Uitgangssituatie/effect beleid]])</f>
        <v>10091573.100876691</v>
      </c>
      <c r="K431" s="398">
        <f>SUMIFS(uitkomst_doelgroep[Kosten (€)],uitkomst_doelgroep[Digitale zorgtoepassing],B431,uitkomst_doelgroep[Jaar],D431,uitkomst_doelgroep[Kosten (€)],"&gt;0",uitkomst_doelgroep[Uitgangssituatie/effect beleid],uitkomst_tech[[#This Row],[Uitgangssituatie/effect beleid]])</f>
        <v>10378867.168905497</v>
      </c>
      <c r="L431" s="398">
        <f>SUMIFS(uitkomst_doelgroep[Investering (cash flow) (€)],uitkomst_doelgroep[Digitale zorgtoepassing],B431,uitkomst_doelgroep[Jaar],D431,uitkomst_doelgroep[Investering (cash flow) (€)],"&gt;0",uitkomst_doelgroep[Uitgangssituatie/effect beleid],uitkomst_tech[[#This Row],[Uitgangssituatie/effect beleid]])</f>
        <v>835.30262637366025</v>
      </c>
    </row>
    <row r="432" spans="1:12" x14ac:dyDescent="0.5">
      <c r="A432" s="2" t="str">
        <f>INDEX(Technologieën[Veld],MATCH(B432,Technologieën[Digitale zorgtoepassing],0))</f>
        <v>Software - Diagnose</v>
      </c>
      <c r="B432" s="33" t="s">
        <v>475</v>
      </c>
      <c r="C432" s="33" t="s">
        <v>813</v>
      </c>
      <c r="D432" s="33">
        <v>2023</v>
      </c>
      <c r="E432" s="2"/>
      <c r="F432" s="397">
        <f>SUMIFS(uitkomst_doelgroep[Patiëntaantallen],uitkomst_doelgroep[Digitale zorgtoepassing],B432,uitkomst_doelgroep[Jaar],D432,uitkomst_doelgroep[Arbeidsbesparing (€)],"&gt;0",uitkomst_doelgroep[Uitgangssituatie/effect beleid],uitkomst_tech[[#This Row],[Uitgangssituatie/effect beleid]])</f>
        <v>80397.200000000012</v>
      </c>
      <c r="G432" s="398">
        <f>SUMIFS(uitkomst_doelgroep[Arbeidsbesparing (€)],uitkomst_doelgroep[Digitale zorgtoepassing],B432,uitkomst_doelgroep[Jaar],D432,uitkomst_doelgroep[Arbeidsbesparing (€)],"&gt;0",uitkomst_doelgroep[Uitgangssituatie/effect beleid],uitkomst_tech[[#This Row],[Uitgangssituatie/effect beleid]])</f>
        <v>20368.355955236268</v>
      </c>
      <c r="H432" s="398">
        <f>SUMIFS(uitkomst_doelgroep[Arbeidsbesparing (FTE)],uitkomst_doelgroep[Digitale zorgtoepassing],B432,uitkomst_doelgroep[Jaar],D432,uitkomst_doelgroep[Arbeidsbesparing (FTE)],"&gt;0",uitkomst_doelgroep[Uitgangssituatie/effect beleid],uitkomst_tech[[#This Row],[Uitgangssituatie/effect beleid]])</f>
        <v>0.10736805555555554</v>
      </c>
      <c r="I432" s="398">
        <f>SUMIFS(uitkomst_doelgroep[Overige besparingen (€)],uitkomst_doelgroep[Digitale zorgtoepassing],B432,uitkomst_doelgroep[Jaar],D432,uitkomst_doelgroep[Overige besparingen (€)],"&gt;0",uitkomst_doelgroep[Uitgangssituatie/effect beleid],uitkomst_tech[[#This Row],[Uitgangssituatie/effect beleid]])</f>
        <v>0</v>
      </c>
      <c r="J432" s="398">
        <f>SUMIFS(uitkomst_doelgroep[QALY (€)],uitkomst_doelgroep[Digitale zorgtoepassing],B432,uitkomst_doelgroep[Jaar],D432,uitkomst_doelgroep[QALY (€)],"&gt;0",uitkomst_doelgroep[Uitgangssituatie/effect beleid],uitkomst_tech[[#This Row],[Uitgangssituatie/effect beleid]])</f>
        <v>0</v>
      </c>
      <c r="K432" s="398">
        <f>SUMIFS(uitkomst_doelgroep[Kosten (€)],uitkomst_doelgroep[Digitale zorgtoepassing],B432,uitkomst_doelgroep[Jaar],D432,uitkomst_doelgroep[Kosten (€)],"&gt;0",uitkomst_doelgroep[Uitgangssituatie/effect beleid],uitkomst_tech[[#This Row],[Uitgangssituatie/effect beleid]])</f>
        <v>17309.674764613756</v>
      </c>
      <c r="L432" s="398">
        <f>SUMIFS(uitkomst_doelgroep[Investering (cash flow) (€)],uitkomst_doelgroep[Digitale zorgtoepassing],B432,uitkomst_doelgroep[Jaar],D432,uitkomst_doelgroep[Investering (cash flow) (€)],"&gt;0",uitkomst_doelgroep[Uitgangssituatie/effect beleid],uitkomst_tech[[#This Row],[Uitgangssituatie/effect beleid]])</f>
        <v>0</v>
      </c>
    </row>
    <row r="433" spans="1:12" x14ac:dyDescent="0.5">
      <c r="A433" s="2" t="str">
        <f>INDEX(Technologieën[Veld],MATCH(B433,Technologieën[Digitale zorgtoepassing],0))</f>
        <v>Software - Diagnose</v>
      </c>
      <c r="B433" s="33" t="s">
        <v>475</v>
      </c>
      <c r="C433" s="33" t="s">
        <v>813</v>
      </c>
      <c r="D433" s="33">
        <v>2024</v>
      </c>
      <c r="E433" s="2"/>
      <c r="F433" s="397">
        <f>SUMIFS(uitkomst_doelgroep[Patiëntaantallen],uitkomst_doelgroep[Digitale zorgtoepassing],B433,uitkomst_doelgroep[Jaar],D433,uitkomst_doelgroep[Arbeidsbesparing (€)],"&gt;0",uitkomst_doelgroep[Uitgangssituatie/effect beleid],uitkomst_tech[[#This Row],[Uitgangssituatie/effect beleid]])</f>
        <v>117379.91200000001</v>
      </c>
      <c r="G433" s="398">
        <f>SUMIFS(uitkomst_doelgroep[Arbeidsbesparing (€)],uitkomst_doelgroep[Digitale zorgtoepassing],B433,uitkomst_doelgroep[Jaar],D433,uitkomst_doelgroep[Arbeidsbesparing (€)],"&gt;0",uitkomst_doelgroep[Uitgangssituatie/effect beleid],uitkomst_tech[[#This Row],[Uitgangssituatie/effect beleid]])</f>
        <v>29737.799694644953</v>
      </c>
      <c r="H433" s="398">
        <f>SUMIFS(uitkomst_doelgroep[Arbeidsbesparing (FTE)],uitkomst_doelgroep[Digitale zorgtoepassing],B433,uitkomst_doelgroep[Jaar],D433,uitkomst_doelgroep[Arbeidsbesparing (FTE)],"&gt;0",uitkomst_doelgroep[Uitgangssituatie/effect beleid],uitkomst_tech[[#This Row],[Uitgangssituatie/effect beleid]])</f>
        <v>0.1567573611111111</v>
      </c>
      <c r="I433" s="398">
        <f>SUMIFS(uitkomst_doelgroep[Overige besparingen (€)],uitkomst_doelgroep[Digitale zorgtoepassing],B433,uitkomst_doelgroep[Jaar],D433,uitkomst_doelgroep[Overige besparingen (€)],"&gt;0",uitkomst_doelgroep[Uitgangssituatie/effect beleid],uitkomst_tech[[#This Row],[Uitgangssituatie/effect beleid]])</f>
        <v>0</v>
      </c>
      <c r="J433" s="398">
        <f>SUMIFS(uitkomst_doelgroep[QALY (€)],uitkomst_doelgroep[Digitale zorgtoepassing],B433,uitkomst_doelgroep[Jaar],D433,uitkomst_doelgroep[QALY (€)],"&gt;0",uitkomst_doelgroep[Uitgangssituatie/effect beleid],uitkomst_tech[[#This Row],[Uitgangssituatie/effect beleid]])</f>
        <v>0</v>
      </c>
      <c r="K433" s="398">
        <f>SUMIFS(uitkomst_doelgroep[Kosten (€)],uitkomst_doelgroep[Digitale zorgtoepassing],B433,uitkomst_doelgroep[Jaar],D433,uitkomst_doelgroep[Kosten (€)],"&gt;0",uitkomst_doelgroep[Uitgangssituatie/effect beleid],uitkomst_tech[[#This Row],[Uitgangssituatie/effect beleid]])</f>
        <v>25272.125156336086</v>
      </c>
      <c r="L433" s="398">
        <f>SUMIFS(uitkomst_doelgroep[Investering (cash flow) (€)],uitkomst_doelgroep[Digitale zorgtoepassing],B433,uitkomst_doelgroep[Jaar],D433,uitkomst_doelgroep[Investering (cash flow) (€)],"&gt;0",uitkomst_doelgroep[Uitgangssituatie/effect beleid],uitkomst_tech[[#This Row],[Uitgangssituatie/effect beleid]])</f>
        <v>0</v>
      </c>
    </row>
    <row r="434" spans="1:12" x14ac:dyDescent="0.5">
      <c r="A434" s="2" t="str">
        <f>INDEX(Technologieën[Veld],MATCH(B434,Technologieën[Digitale zorgtoepassing],0))</f>
        <v>Software - Diagnose</v>
      </c>
      <c r="B434" s="33" t="s">
        <v>475</v>
      </c>
      <c r="C434" s="33" t="s">
        <v>813</v>
      </c>
      <c r="D434" s="33">
        <v>2025</v>
      </c>
      <c r="E434" s="2"/>
      <c r="F434" s="397">
        <f>SUMIFS(uitkomst_doelgroep[Patiëntaantallen],uitkomst_doelgroep[Digitale zorgtoepassing],B434,uitkomst_doelgroep[Jaar],D434,uitkomst_doelgroep[Arbeidsbesparing (€)],"&gt;0",uitkomst_doelgroep[Uitgangssituatie/effect beleid],uitkomst_tech[[#This Row],[Uitgangssituatie/effect beleid]])</f>
        <v>161892.30416320002</v>
      </c>
      <c r="G434" s="398">
        <f>SUMIFS(uitkomst_doelgroep[Arbeidsbesparing (€)],uitkomst_doelgroep[Digitale zorgtoepassing],B434,uitkomst_doelgroep[Jaar],D434,uitkomst_doelgroep[Arbeidsbesparing (€)],"&gt;0",uitkomst_doelgroep[Uitgangssituatie/effect beleid],uitkomst_tech[[#This Row],[Uitgangssituatie/effect beleid]])</f>
        <v>41014.862179397242</v>
      </c>
      <c r="H434" s="398">
        <f>SUMIFS(uitkomst_doelgroep[Arbeidsbesparing (FTE)],uitkomst_doelgroep[Digitale zorgtoepassing],B434,uitkomst_doelgroep[Jaar],D434,uitkomst_doelgroep[Arbeidsbesparing (FTE)],"&gt;0",uitkomst_doelgroep[Uitgangssituatie/effect beleid],uitkomst_tech[[#This Row],[Uitgangssituatie/effect beleid]])</f>
        <v>0.21620232927777777</v>
      </c>
      <c r="I434" s="398">
        <f>SUMIFS(uitkomst_doelgroep[Overige besparingen (€)],uitkomst_doelgroep[Digitale zorgtoepassing],B434,uitkomst_doelgroep[Jaar],D434,uitkomst_doelgroep[Overige besparingen (€)],"&gt;0",uitkomst_doelgroep[Uitgangssituatie/effect beleid],uitkomst_tech[[#This Row],[Uitgangssituatie/effect beleid]])</f>
        <v>0</v>
      </c>
      <c r="J434" s="398">
        <f>SUMIFS(uitkomst_doelgroep[QALY (€)],uitkomst_doelgroep[Digitale zorgtoepassing],B434,uitkomst_doelgroep[Jaar],D434,uitkomst_doelgroep[QALY (€)],"&gt;0",uitkomst_doelgroep[Uitgangssituatie/effect beleid],uitkomst_tech[[#This Row],[Uitgangssituatie/effect beleid]])</f>
        <v>0</v>
      </c>
      <c r="K434" s="398">
        <f>SUMIFS(uitkomst_doelgroep[Kosten (€)],uitkomst_doelgroep[Digitale zorgtoepassing],B434,uitkomst_doelgroep[Jaar],D434,uitkomst_doelgroep[Kosten (€)],"&gt;0",uitkomst_doelgroep[Uitgangssituatie/effect beleid],uitkomst_tech[[#This Row],[Uitgangssituatie/effect beleid]])</f>
        <v>34855.730447813083</v>
      </c>
      <c r="L434" s="398">
        <f>SUMIFS(uitkomst_doelgroep[Investering (cash flow) (€)],uitkomst_doelgroep[Digitale zorgtoepassing],B434,uitkomst_doelgroep[Jaar],D434,uitkomst_doelgroep[Investering (cash flow) (€)],"&gt;0",uitkomst_doelgroep[Uitgangssituatie/effect beleid],uitkomst_tech[[#This Row],[Uitgangssituatie/effect beleid]])</f>
        <v>0</v>
      </c>
    </row>
    <row r="435" spans="1:12" x14ac:dyDescent="0.5">
      <c r="A435" s="2" t="str">
        <f>INDEX(Technologieën[Veld],MATCH(B435,Technologieën[Digitale zorgtoepassing],0))</f>
        <v>Software - Diagnose</v>
      </c>
      <c r="B435" s="33" t="s">
        <v>475</v>
      </c>
      <c r="C435" s="33" t="s">
        <v>813</v>
      </c>
      <c r="D435" s="33">
        <v>2026</v>
      </c>
      <c r="E435" s="2"/>
      <c r="F435" s="397">
        <f>SUMIFS(uitkomst_doelgroep[Patiëntaantallen],uitkomst_doelgroep[Digitale zorgtoepassing],B435,uitkomst_doelgroep[Jaar],D435,uitkomst_doelgroep[Arbeidsbesparing (€)],"&gt;0",uitkomst_doelgroep[Uitgangssituatie/effect beleid],uitkomst_tech[[#This Row],[Uitgangssituatie/effect beleid]])</f>
        <v>211406.59656567528</v>
      </c>
      <c r="G435" s="398">
        <f>SUMIFS(uitkomst_doelgroep[Arbeidsbesparing (€)],uitkomst_doelgroep[Digitale zorgtoepassing],B435,uitkomst_doelgroep[Jaar],D435,uitkomst_doelgroep[Arbeidsbesparing (€)],"&gt;0",uitkomst_doelgroep[Uitgangssituatie/effect beleid],uitkomst_tech[[#This Row],[Uitgangssituatie/effect beleid]])</f>
        <v>53559.139001541131</v>
      </c>
      <c r="H435" s="398">
        <f>SUMIFS(uitkomst_doelgroep[Arbeidsbesparing (FTE)],uitkomst_doelgroep[Digitale zorgtoepassing],B435,uitkomst_doelgroep[Jaar],D435,uitkomst_doelgroep[Arbeidsbesparing (FTE)],"&gt;0",uitkomst_doelgroep[Uitgangssituatie/effect beleid],uitkomst_tech[[#This Row],[Uitgangssituatie/effect beleid]])</f>
        <v>0.28232718558450215</v>
      </c>
      <c r="I435" s="398">
        <f>SUMIFS(uitkomst_doelgroep[Overige besparingen (€)],uitkomst_doelgroep[Digitale zorgtoepassing],B435,uitkomst_doelgroep[Jaar],D435,uitkomst_doelgroep[Overige besparingen (€)],"&gt;0",uitkomst_doelgroep[Uitgangssituatie/effect beleid],uitkomst_tech[[#This Row],[Uitgangssituatie/effect beleid]])</f>
        <v>0</v>
      </c>
      <c r="J435" s="398">
        <f>SUMIFS(uitkomst_doelgroep[QALY (€)],uitkomst_doelgroep[Digitale zorgtoepassing],B435,uitkomst_doelgroep[Jaar],D435,uitkomst_doelgroep[QALY (€)],"&gt;0",uitkomst_doelgroep[Uitgangssituatie/effect beleid],uitkomst_tech[[#This Row],[Uitgangssituatie/effect beleid]])</f>
        <v>0</v>
      </c>
      <c r="K435" s="398">
        <f>SUMIFS(uitkomst_doelgroep[Kosten (€)],uitkomst_doelgroep[Digitale zorgtoepassing],B435,uitkomst_doelgroep[Jaar],D435,uitkomst_doelgroep[Kosten (€)],"&gt;0",uitkomst_doelgroep[Uitgangssituatie/effect beleid],uitkomst_tech[[#This Row],[Uitgangssituatie/effect beleid]])</f>
        <v>45516.254666154418</v>
      </c>
      <c r="L435" s="398">
        <f>SUMIFS(uitkomst_doelgroep[Investering (cash flow) (€)],uitkomst_doelgroep[Digitale zorgtoepassing],B435,uitkomst_doelgroep[Jaar],D435,uitkomst_doelgroep[Investering (cash flow) (€)],"&gt;0",uitkomst_doelgroep[Uitgangssituatie/effect beleid],uitkomst_tech[[#This Row],[Uitgangssituatie/effect beleid]])</f>
        <v>0</v>
      </c>
    </row>
    <row r="436" spans="1:12" x14ac:dyDescent="0.5">
      <c r="A436" s="2" t="str">
        <f>INDEX(Technologieën[Veld],MATCH(B436,Technologieën[Digitale zorgtoepassing],0))</f>
        <v>Software - Diagnose</v>
      </c>
      <c r="B436" s="33" t="s">
        <v>475</v>
      </c>
      <c r="C436" s="33" t="s">
        <v>813</v>
      </c>
      <c r="D436" s="33">
        <v>2027</v>
      </c>
      <c r="E436" s="2"/>
      <c r="F436" s="397">
        <f>SUMIFS(uitkomst_doelgroep[Patiëntaantallen],uitkomst_doelgroep[Digitale zorgtoepassing],B436,uitkomst_doelgroep[Jaar],D436,uitkomst_doelgroep[Arbeidsbesparing (€)],"&gt;0",uitkomst_doelgroep[Uitgangssituatie/effect beleid],uitkomst_tech[[#This Row],[Uitgangssituatie/effect beleid]])</f>
        <v>418723.46101326565</v>
      </c>
      <c r="G436" s="398">
        <f>SUMIFS(uitkomst_doelgroep[Arbeidsbesparing (€)],uitkomst_doelgroep[Digitale zorgtoepassing],B436,uitkomst_doelgroep[Jaar],D436,uitkomst_doelgroep[Arbeidsbesparing (€)],"&gt;0",uitkomst_doelgroep[Uitgangssituatie/effect beleid],uitkomst_tech[[#This Row],[Uitgangssituatie/effect beleid]])</f>
        <v>106082.15834291109</v>
      </c>
      <c r="H436" s="398">
        <f>SUMIFS(uitkomst_doelgroep[Arbeidsbesparing (FTE)],uitkomst_doelgroep[Digitale zorgtoepassing],B436,uitkomst_doelgroep[Jaar],D436,uitkomst_doelgroep[Arbeidsbesparing (FTE)],"&gt;0",uitkomst_doelgroep[Uitgangssituatie/effect beleid],uitkomst_tech[[#This Row],[Uitgangssituatie/effect beleid]])</f>
        <v>0.55919265626771586</v>
      </c>
      <c r="I436" s="398">
        <f>SUMIFS(uitkomst_doelgroep[Overige besparingen (€)],uitkomst_doelgroep[Digitale zorgtoepassing],B436,uitkomst_doelgroep[Jaar],D436,uitkomst_doelgroep[Overige besparingen (€)],"&gt;0",uitkomst_doelgroep[Uitgangssituatie/effect beleid],uitkomst_tech[[#This Row],[Uitgangssituatie/effect beleid]])</f>
        <v>0</v>
      </c>
      <c r="J436" s="398">
        <f>SUMIFS(uitkomst_doelgroep[QALY (€)],uitkomst_doelgroep[Digitale zorgtoepassing],B436,uitkomst_doelgroep[Jaar],D436,uitkomst_doelgroep[QALY (€)],"&gt;0",uitkomst_doelgroep[Uitgangssituatie/effect beleid],uitkomst_tech[[#This Row],[Uitgangssituatie/effect beleid]])</f>
        <v>0</v>
      </c>
      <c r="K436" s="398">
        <f>SUMIFS(uitkomst_doelgroep[Kosten (€)],uitkomst_doelgroep[Digitale zorgtoepassing],B436,uitkomst_doelgroep[Jaar],D436,uitkomst_doelgroep[Kosten (€)],"&gt;0",uitkomst_doelgroep[Uitgangssituatie/effect beleid],uitkomst_tech[[#This Row],[Uitgangssituatie/effect beleid]])</f>
        <v>90151.981990082451</v>
      </c>
      <c r="L436" s="398">
        <f>SUMIFS(uitkomst_doelgroep[Investering (cash flow) (€)],uitkomst_doelgroep[Digitale zorgtoepassing],B436,uitkomst_doelgroep[Jaar],D436,uitkomst_doelgroep[Investering (cash flow) (€)],"&gt;0",uitkomst_doelgroep[Uitgangssituatie/effect beleid],uitkomst_tech[[#This Row],[Uitgangssituatie/effect beleid]])</f>
        <v>0</v>
      </c>
    </row>
    <row r="437" spans="1:12" x14ac:dyDescent="0.5">
      <c r="A437" s="2" t="str">
        <f>INDEX(Technologieën[Veld],MATCH(B437,Technologieën[Digitale zorgtoepassing],0))</f>
        <v>Software - Diagnose</v>
      </c>
      <c r="B437" s="33" t="s">
        <v>475</v>
      </c>
      <c r="C437" s="33" t="s">
        <v>813</v>
      </c>
      <c r="D437" s="33">
        <v>2028</v>
      </c>
      <c r="E437" s="2"/>
      <c r="F437" s="397">
        <f>SUMIFS(uitkomst_doelgroep[Patiëntaantallen],uitkomst_doelgroep[Digitale zorgtoepassing],B437,uitkomst_doelgroep[Jaar],D437,uitkomst_doelgroep[Arbeidsbesparing (€)],"&gt;0",uitkomst_doelgroep[Uitgangssituatie/effect beleid],uitkomst_tech[[#This Row],[Uitgangssituatie/effect beleid]])</f>
        <v>685992.43345939787</v>
      </c>
      <c r="G437" s="398">
        <f>SUMIFS(uitkomst_doelgroep[Arbeidsbesparing (€)],uitkomst_doelgroep[Digitale zorgtoepassing],B437,uitkomst_doelgroep[Jaar],D437,uitkomst_doelgroep[Arbeidsbesparing (€)],"&gt;0",uitkomst_doelgroep[Uitgangssituatie/effect beleid],uitkomst_tech[[#This Row],[Uitgangssituatie/effect beleid]])</f>
        <v>173793.83942848444</v>
      </c>
      <c r="H437" s="398">
        <f>SUMIFS(uitkomst_doelgroep[Arbeidsbesparing (FTE)],uitkomst_doelgroep[Digitale zorgtoepassing],B437,uitkomst_doelgroep[Jaar],D437,uitkomst_doelgroep[Arbeidsbesparing (FTE)],"&gt;0",uitkomst_doelgroep[Uitgangssituatie/effect beleid],uitkomst_tech[[#This Row],[Uitgangssituatie/effect beleid]])</f>
        <v>0.91612237374385397</v>
      </c>
      <c r="I437" s="398">
        <f>SUMIFS(uitkomst_doelgroep[Overige besparingen (€)],uitkomst_doelgroep[Digitale zorgtoepassing],B437,uitkomst_doelgroep[Jaar],D437,uitkomst_doelgroep[Overige besparingen (€)],"&gt;0",uitkomst_doelgroep[Uitgangssituatie/effect beleid],uitkomst_tech[[#This Row],[Uitgangssituatie/effect beleid]])</f>
        <v>0</v>
      </c>
      <c r="J437" s="398">
        <f>SUMIFS(uitkomst_doelgroep[QALY (€)],uitkomst_doelgroep[Digitale zorgtoepassing],B437,uitkomst_doelgroep[Jaar],D437,uitkomst_doelgroep[QALY (€)],"&gt;0",uitkomst_doelgroep[Uitgangssituatie/effect beleid],uitkomst_tech[[#This Row],[Uitgangssituatie/effect beleid]])</f>
        <v>0</v>
      </c>
      <c r="K437" s="398">
        <f>SUMIFS(uitkomst_doelgroep[Kosten (€)],uitkomst_doelgroep[Digitale zorgtoepassing],B437,uitkomst_doelgroep[Jaar],D437,uitkomst_doelgroep[Kosten (€)],"&gt;0",uitkomst_doelgroep[Uitgangssituatie/effect beleid],uitkomst_tech[[#This Row],[Uitgangssituatie/effect beleid]])</f>
        <v>147695.51569169227</v>
      </c>
      <c r="L437" s="398">
        <f>SUMIFS(uitkomst_doelgroep[Investering (cash flow) (€)],uitkomst_doelgroep[Digitale zorgtoepassing],B437,uitkomst_doelgroep[Jaar],D437,uitkomst_doelgroep[Investering (cash flow) (€)],"&gt;0",uitkomst_doelgroep[Uitgangssituatie/effect beleid],uitkomst_tech[[#This Row],[Uitgangssituatie/effect beleid]])</f>
        <v>0</v>
      </c>
    </row>
    <row r="438" spans="1:12" x14ac:dyDescent="0.5">
      <c r="A438" s="2" t="str">
        <f>INDEX(Technologieën[Veld],MATCH(B438,Technologieën[Digitale zorgtoepassing],0))</f>
        <v>Software - Diagnose</v>
      </c>
      <c r="B438" s="33" t="s">
        <v>475</v>
      </c>
      <c r="C438" s="33" t="s">
        <v>813</v>
      </c>
      <c r="D438" s="33">
        <v>2029</v>
      </c>
      <c r="E438" s="2"/>
      <c r="F438" s="397">
        <f>SUMIFS(uitkomst_doelgroep[Patiëntaantallen],uitkomst_doelgroep[Digitale zorgtoepassing],B438,uitkomst_doelgroep[Jaar],D438,uitkomst_doelgroep[Arbeidsbesparing (€)],"&gt;0",uitkomst_doelgroep[Uitgangssituatie/effect beleid],uitkomst_tech[[#This Row],[Uitgangssituatie/effect beleid]])</f>
        <v>1029935.6708971104</v>
      </c>
      <c r="G438" s="398">
        <f>SUMIFS(uitkomst_doelgroep[Arbeidsbesparing (€)],uitkomst_doelgroep[Digitale zorgtoepassing],B438,uitkomst_doelgroep[Jaar],D438,uitkomst_doelgroep[Arbeidsbesparing (€)],"&gt;0",uitkomst_doelgroep[Uitgangssituatie/effect beleid],uitkomst_tech[[#This Row],[Uitgangssituatie/effect beleid]])</f>
        <v>260930.68360375013</v>
      </c>
      <c r="H438" s="398">
        <f>SUMIFS(uitkomst_doelgroep[Arbeidsbesparing (FTE)],uitkomst_doelgroep[Digitale zorgtoepassing],B438,uitkomst_doelgroep[Jaar],D438,uitkomst_doelgroep[Arbeidsbesparing (FTE)],"&gt;0",uitkomst_doelgroep[Uitgangssituatie/effect beleid],uitkomst_tech[[#This Row],[Uitgangssituatie/effect beleid]])</f>
        <v>1.3754482784416537</v>
      </c>
      <c r="I438" s="398">
        <f>SUMIFS(uitkomst_doelgroep[Overige besparingen (€)],uitkomst_doelgroep[Digitale zorgtoepassing],B438,uitkomst_doelgroep[Jaar],D438,uitkomst_doelgroep[Overige besparingen (€)],"&gt;0",uitkomst_doelgroep[Uitgangssituatie/effect beleid],uitkomst_tech[[#This Row],[Uitgangssituatie/effect beleid]])</f>
        <v>0</v>
      </c>
      <c r="J438" s="398">
        <f>SUMIFS(uitkomst_doelgroep[QALY (€)],uitkomst_doelgroep[Digitale zorgtoepassing],B438,uitkomst_doelgroep[Jaar],D438,uitkomst_doelgroep[QALY (€)],"&gt;0",uitkomst_doelgroep[Uitgangssituatie/effect beleid],uitkomst_tech[[#This Row],[Uitgangssituatie/effect beleid]])</f>
        <v>0</v>
      </c>
      <c r="K438" s="398">
        <f>SUMIFS(uitkomst_doelgroep[Kosten (€)],uitkomst_doelgroep[Digitale zorgtoepassing],B438,uitkomst_doelgroep[Jaar],D438,uitkomst_doelgroep[Kosten (€)],"&gt;0",uitkomst_doelgroep[Uitgangssituatie/effect beleid],uitkomst_tech[[#This Row],[Uitgangssituatie/effect beleid]])</f>
        <v>221747.16895244177</v>
      </c>
      <c r="L438" s="398">
        <f>SUMIFS(uitkomst_doelgroep[Investering (cash flow) (€)],uitkomst_doelgroep[Digitale zorgtoepassing],B438,uitkomst_doelgroep[Jaar],D438,uitkomst_doelgroep[Investering (cash flow) (€)],"&gt;0",uitkomst_doelgroep[Uitgangssituatie/effect beleid],uitkomst_tech[[#This Row],[Uitgangssituatie/effect beleid]])</f>
        <v>0</v>
      </c>
    </row>
    <row r="439" spans="1:12" x14ac:dyDescent="0.5">
      <c r="A439" s="2" t="str">
        <f>INDEX(Technologieën[Veld],MATCH(B439,Technologieën[Digitale zorgtoepassing],0))</f>
        <v>Software - Diagnose</v>
      </c>
      <c r="B439" s="33" t="s">
        <v>475</v>
      </c>
      <c r="C439" s="33" t="s">
        <v>813</v>
      </c>
      <c r="D439" s="33">
        <v>2030</v>
      </c>
      <c r="E439" s="2"/>
      <c r="F439" s="397">
        <f>SUMIFS(uitkomst_doelgroep[Patiëntaantallen],uitkomst_doelgroep[Digitale zorgtoepassing],B439,uitkomst_doelgroep[Jaar],D439,uitkomst_doelgroep[Arbeidsbesparing (€)],"&gt;0",uitkomst_doelgroep[Uitgangssituatie/effect beleid],uitkomst_tech[[#This Row],[Uitgangssituatie/effect beleid]])</f>
        <v>1470915.7562287014</v>
      </c>
      <c r="G439" s="398">
        <f>SUMIFS(uitkomst_doelgroep[Arbeidsbesparing (€)],uitkomst_doelgroep[Digitale zorgtoepassing],B439,uitkomst_doelgroep[Jaar],D439,uitkomst_doelgroep[Arbeidsbesparing (€)],"&gt;0",uitkomst_doelgroep[Uitgangssituatie/effect beleid],uitkomst_tech[[#This Row],[Uitgangssituatie/effect beleid]])</f>
        <v>372651.48168134876</v>
      </c>
      <c r="H439" s="398">
        <f>SUMIFS(uitkomst_doelgroep[Arbeidsbesparing (FTE)],uitkomst_doelgroep[Digitale zorgtoepassing],B439,uitkomst_doelgroep[Jaar],D439,uitkomst_doelgroep[Arbeidsbesparing (FTE)],"&gt;0",uitkomst_doelgroep[Uitgangssituatie/effect beleid],uitkomst_tech[[#This Row],[Uitgangssituatie/effect beleid]])</f>
        <v>1.9643639906900392</v>
      </c>
      <c r="I439" s="398">
        <f>SUMIFS(uitkomst_doelgroep[Overige besparingen (€)],uitkomst_doelgroep[Digitale zorgtoepassing],B439,uitkomst_doelgroep[Jaar],D439,uitkomst_doelgroep[Overige besparingen (€)],"&gt;0",uitkomst_doelgroep[Uitgangssituatie/effect beleid],uitkomst_tech[[#This Row],[Uitgangssituatie/effect beleid]])</f>
        <v>0</v>
      </c>
      <c r="J439" s="398">
        <f>SUMIFS(uitkomst_doelgroep[QALY (€)],uitkomst_doelgroep[Digitale zorgtoepassing],B439,uitkomst_doelgroep[Jaar],D439,uitkomst_doelgroep[QALY (€)],"&gt;0",uitkomst_doelgroep[Uitgangssituatie/effect beleid],uitkomst_tech[[#This Row],[Uitgangssituatie/effect beleid]])</f>
        <v>0</v>
      </c>
      <c r="K439" s="398">
        <f>SUMIFS(uitkomst_doelgroep[Kosten (€)],uitkomst_doelgroep[Digitale zorgtoepassing],B439,uitkomst_doelgroep[Jaar],D439,uitkomst_doelgroep[Kosten (€)],"&gt;0",uitkomst_doelgroep[Uitgangssituatie/effect beleid],uitkomst_tech[[#This Row],[Uitgangssituatie/effect beleid]])</f>
        <v>316691.0457884692</v>
      </c>
      <c r="L439" s="398">
        <f>SUMIFS(uitkomst_doelgroep[Investering (cash flow) (€)],uitkomst_doelgroep[Digitale zorgtoepassing],B439,uitkomst_doelgroep[Jaar],D439,uitkomst_doelgroep[Investering (cash flow) (€)],"&gt;0",uitkomst_doelgroep[Uitgangssituatie/effect beleid],uitkomst_tech[[#This Row],[Uitgangssituatie/effect beleid]])</f>
        <v>0</v>
      </c>
    </row>
    <row r="440" spans="1:12" x14ac:dyDescent="0.5">
      <c r="A440" s="2" t="str">
        <f>INDEX(Technologieën[Veld],MATCH(B440,Technologieën[Digitale zorgtoepassing],0))</f>
        <v>Software - Diagnose</v>
      </c>
      <c r="B440" s="33" t="s">
        <v>475</v>
      </c>
      <c r="C440" s="33" t="s">
        <v>813</v>
      </c>
      <c r="D440" s="33">
        <v>2031</v>
      </c>
      <c r="E440" s="2"/>
      <c r="F440" s="397">
        <f>SUMIFS(uitkomst_doelgroep[Patiëntaantallen],uitkomst_doelgroep[Digitale zorgtoepassing],B440,uitkomst_doelgroep[Jaar],D440,uitkomst_doelgroep[Arbeidsbesparing (€)],"&gt;0",uitkomst_doelgroep[Uitgangssituatie/effect beleid],uitkomst_tech[[#This Row],[Uitgangssituatie/effect beleid]])</f>
        <v>2026392.7950740268</v>
      </c>
      <c r="G440" s="398">
        <f>SUMIFS(uitkomst_doelgroep[Arbeidsbesparing (€)],uitkomst_doelgroep[Digitale zorgtoepassing],B440,uitkomst_doelgroep[Jaar],D440,uitkomst_doelgroep[Arbeidsbesparing (€)],"&gt;0",uitkomst_doelgroep[Uitgangssituatie/effect beleid],uitkomst_tech[[#This Row],[Uitgangssituatie/effect beleid]])</f>
        <v>513379.69177028461</v>
      </c>
      <c r="H440" s="398">
        <f>SUMIFS(uitkomst_doelgroep[Arbeidsbesparing (FTE)],uitkomst_doelgroep[Digitale zorgtoepassing],B440,uitkomst_doelgroep[Jaar],D440,uitkomst_doelgroep[Arbeidsbesparing (FTE)],"&gt;0",uitkomst_doelgroep[Uitgangssituatie/effect beleid],uitkomst_tech[[#This Row],[Uitgangssituatie/effect beleid]])</f>
        <v>2.7061869592334755</v>
      </c>
      <c r="I440" s="398">
        <f>SUMIFS(uitkomst_doelgroep[Overige besparingen (€)],uitkomst_doelgroep[Digitale zorgtoepassing],B440,uitkomst_doelgroep[Jaar],D440,uitkomst_doelgroep[Overige besparingen (€)],"&gt;0",uitkomst_doelgroep[Uitgangssituatie/effect beleid],uitkomst_tech[[#This Row],[Uitgangssituatie/effect beleid]])</f>
        <v>0</v>
      </c>
      <c r="J440" s="398">
        <f>SUMIFS(uitkomst_doelgroep[QALY (€)],uitkomst_doelgroep[Digitale zorgtoepassing],B440,uitkomst_doelgroep[Jaar],D440,uitkomst_doelgroep[QALY (€)],"&gt;0",uitkomst_doelgroep[Uitgangssituatie/effect beleid],uitkomst_tech[[#This Row],[Uitgangssituatie/effect beleid]])</f>
        <v>0</v>
      </c>
      <c r="K440" s="398">
        <f>SUMIFS(uitkomst_doelgroep[Kosten (€)],uitkomst_doelgroep[Digitale zorgtoepassing],B440,uitkomst_doelgroep[Jaar],D440,uitkomst_doelgroep[Kosten (€)],"&gt;0",uitkomst_doelgroep[Uitgangssituatie/effect beleid],uitkomst_tech[[#This Row],[Uitgangssituatie/effect beleid]])</f>
        <v>436286.34116720507</v>
      </c>
      <c r="L440" s="398">
        <f>SUMIFS(uitkomst_doelgroep[Investering (cash flow) (€)],uitkomst_doelgroep[Digitale zorgtoepassing],B440,uitkomst_doelgroep[Jaar],D440,uitkomst_doelgroep[Investering (cash flow) (€)],"&gt;0",uitkomst_doelgroep[Uitgangssituatie/effect beleid],uitkomst_tech[[#This Row],[Uitgangssituatie/effect beleid]])</f>
        <v>0</v>
      </c>
    </row>
    <row r="441" spans="1:12" x14ac:dyDescent="0.5">
      <c r="A441" s="2" t="str">
        <f>INDEX(Technologieën[Veld],MATCH(B441,Technologieën[Digitale zorgtoepassing],0))</f>
        <v>Software - Diagnose</v>
      </c>
      <c r="B441" s="33" t="s">
        <v>475</v>
      </c>
      <c r="C441" s="33" t="s">
        <v>813</v>
      </c>
      <c r="D441" s="33">
        <v>2032</v>
      </c>
      <c r="E441" s="2"/>
      <c r="F441" s="397">
        <f>SUMIFS(uitkomst_doelgroep[Patiëntaantallen],uitkomst_doelgroep[Digitale zorgtoepassing],B441,uitkomst_doelgroep[Jaar],D441,uitkomst_doelgroep[Arbeidsbesparing (€)],"&gt;0",uitkomst_doelgroep[Uitgangssituatie/effect beleid],uitkomst_tech[[#This Row],[Uitgangssituatie/effect beleid]])</f>
        <v>2698785.0616213493</v>
      </c>
      <c r="G441" s="398">
        <f>SUMIFS(uitkomst_doelgroep[Arbeidsbesparing (€)],uitkomst_doelgroep[Digitale zorgtoepassing],B441,uitkomst_doelgroep[Jaar],D441,uitkomst_doelgroep[Arbeidsbesparing (€)],"&gt;0",uitkomst_doelgroep[Uitgangssituatie/effect beleid],uitkomst_tech[[#This Row],[Uitgangssituatie/effect beleid]])</f>
        <v>683727.97537448932</v>
      </c>
      <c r="H441" s="398">
        <f>SUMIFS(uitkomst_doelgroep[Arbeidsbesparing (FTE)],uitkomst_doelgroep[Digitale zorgtoepassing],B441,uitkomst_doelgroep[Jaar],D441,uitkomst_doelgroep[Arbeidsbesparing (FTE)],"&gt;0",uitkomst_doelgroep[Uitgangssituatie/effect beleid],uitkomst_tech[[#This Row],[Uitgangssituatie/effect beleid]])</f>
        <v>3.6041467169088532</v>
      </c>
      <c r="I441" s="398">
        <f>SUMIFS(uitkomst_doelgroep[Overige besparingen (€)],uitkomst_doelgroep[Digitale zorgtoepassing],B441,uitkomst_doelgroep[Jaar],D441,uitkomst_doelgroep[Overige besparingen (€)],"&gt;0",uitkomst_doelgroep[Uitgangssituatie/effect beleid],uitkomst_tech[[#This Row],[Uitgangssituatie/effect beleid]])</f>
        <v>0</v>
      </c>
      <c r="J441" s="398">
        <f>SUMIFS(uitkomst_doelgroep[QALY (€)],uitkomst_doelgroep[Digitale zorgtoepassing],B441,uitkomst_doelgroep[Jaar],D441,uitkomst_doelgroep[QALY (€)],"&gt;0",uitkomst_doelgroep[Uitgangssituatie/effect beleid],uitkomst_tech[[#This Row],[Uitgangssituatie/effect beleid]])</f>
        <v>0</v>
      </c>
      <c r="K441" s="398">
        <f>SUMIFS(uitkomst_doelgroep[Kosten (€)],uitkomst_doelgroep[Digitale zorgtoepassing],B441,uitkomst_doelgroep[Jaar],D441,uitkomst_doelgroep[Kosten (€)],"&gt;0",uitkomst_doelgroep[Uitgangssituatie/effect beleid],uitkomst_tech[[#This Row],[Uitgangssituatie/effect beleid]])</f>
        <v>581053.71426198492</v>
      </c>
      <c r="L441" s="398">
        <f>SUMIFS(uitkomst_doelgroep[Investering (cash flow) (€)],uitkomst_doelgroep[Digitale zorgtoepassing],B441,uitkomst_doelgroep[Jaar],D441,uitkomst_doelgroep[Investering (cash flow) (€)],"&gt;0",uitkomst_doelgroep[Uitgangssituatie/effect beleid],uitkomst_tech[[#This Row],[Uitgangssituatie/effect beleid]])</f>
        <v>0</v>
      </c>
    </row>
    <row r="442" spans="1:12" x14ac:dyDescent="0.5">
      <c r="A442" s="2" t="str">
        <f>INDEX(Technologieën[Veld],MATCH(B442,Technologieën[Digitale zorgtoepassing],0))</f>
        <v>Software - Diagnose</v>
      </c>
      <c r="B442" s="33" t="s">
        <v>475</v>
      </c>
      <c r="C442" s="33" t="s">
        <v>813</v>
      </c>
      <c r="D442" s="33">
        <v>2033</v>
      </c>
      <c r="E442" s="2"/>
      <c r="F442" s="397">
        <f>SUMIFS(uitkomst_doelgroep[Patiëntaantallen],uitkomst_doelgroep[Digitale zorgtoepassing],B442,uitkomst_doelgroep[Jaar],D442,uitkomst_doelgroep[Arbeidsbesparing (€)],"&gt;0",uitkomst_doelgroep[Uitgangssituatie/effect beleid],uitkomst_tech[[#This Row],[Uitgangssituatie/effect beleid]])</f>
        <v>3461680.3896199544</v>
      </c>
      <c r="G442" s="398">
        <f>SUMIFS(uitkomst_doelgroep[Arbeidsbesparing (€)],uitkomst_doelgroep[Digitale zorgtoepassing],B442,uitkomst_doelgroep[Jaar],D442,uitkomst_doelgroep[Arbeidsbesparing (€)],"&gt;0",uitkomst_doelgroep[Uitgangssituatie/effect beleid],uitkomst_tech[[#This Row],[Uitgangssituatie/effect beleid]])</f>
        <v>877004.90040747949</v>
      </c>
      <c r="H442" s="398">
        <f>SUMIFS(uitkomst_doelgroep[Arbeidsbesparing (FTE)],uitkomst_doelgroep[Digitale zorgtoepassing],B442,uitkomst_doelgroep[Jaar],D442,uitkomst_doelgroep[Arbeidsbesparing (FTE)],"&gt;0",uitkomst_doelgroep[Uitgangssituatie/effect beleid],uitkomst_tech[[#This Row],[Uitgangssituatie/effect beleid]])</f>
        <v>4.6229706057958788</v>
      </c>
      <c r="I442" s="398">
        <f>SUMIFS(uitkomst_doelgroep[Overige besparingen (€)],uitkomst_doelgroep[Digitale zorgtoepassing],B442,uitkomst_doelgroep[Jaar],D442,uitkomst_doelgroep[Overige besparingen (€)],"&gt;0",uitkomst_doelgroep[Uitgangssituatie/effect beleid],uitkomst_tech[[#This Row],[Uitgangssituatie/effect beleid]])</f>
        <v>0</v>
      </c>
      <c r="J442" s="398">
        <f>SUMIFS(uitkomst_doelgroep[QALY (€)],uitkomst_doelgroep[Digitale zorgtoepassing],B442,uitkomst_doelgroep[Jaar],D442,uitkomst_doelgroep[QALY (€)],"&gt;0",uitkomst_doelgroep[Uitgangssituatie/effect beleid],uitkomst_tech[[#This Row],[Uitgangssituatie/effect beleid]])</f>
        <v>0</v>
      </c>
      <c r="K442" s="398">
        <f>SUMIFS(uitkomst_doelgroep[Kosten (€)],uitkomst_doelgroep[Digitale zorgtoepassing],B442,uitkomst_doelgroep[Jaar],D442,uitkomst_doelgroep[Kosten (€)],"&gt;0",uitkomst_doelgroep[Uitgangssituatie/effect beleid],uitkomst_tech[[#This Row],[Uitgangssituatie/effect beleid]])</f>
        <v>745306.57390260918</v>
      </c>
      <c r="L442" s="398">
        <f>SUMIFS(uitkomst_doelgroep[Investering (cash flow) (€)],uitkomst_doelgroep[Digitale zorgtoepassing],B442,uitkomst_doelgroep[Jaar],D442,uitkomst_doelgroep[Investering (cash flow) (€)],"&gt;0",uitkomst_doelgroep[Uitgangssituatie/effect beleid],uitkomst_tech[[#This Row],[Uitgangssituatie/effect beleid]])</f>
        <v>0</v>
      </c>
    </row>
    <row r="443" spans="1:12" x14ac:dyDescent="0.5">
      <c r="A443" s="2" t="str">
        <f>INDEX(Technologieën[Veld],MATCH(B443,Technologieën[Digitale zorgtoepassing],0))</f>
        <v>Software - Behandeling</v>
      </c>
      <c r="B443" s="33" t="s">
        <v>716</v>
      </c>
      <c r="C443" s="33" t="s">
        <v>813</v>
      </c>
      <c r="D443" s="33">
        <v>2023</v>
      </c>
      <c r="E443" s="2"/>
      <c r="F443" s="397">
        <f>SUMIFS(uitkomst_doelgroep[Patiëntaantallen],uitkomst_doelgroep[Digitale zorgtoepassing],B443,uitkomst_doelgroep[Jaar],D443,uitkomst_doelgroep[Arbeidsbesparing (€)],"&gt;0",uitkomst_doelgroep[Uitgangssituatie/effect beleid],uitkomst_tech[[#This Row],[Uitgangssituatie/effect beleid]])</f>
        <v>0</v>
      </c>
      <c r="G443" s="398">
        <f>SUMIFS(uitkomst_doelgroep[Arbeidsbesparing (€)],uitkomst_doelgroep[Digitale zorgtoepassing],B443,uitkomst_doelgroep[Jaar],D443,uitkomst_doelgroep[Arbeidsbesparing (€)],"&gt;0",uitkomst_doelgroep[Uitgangssituatie/effect beleid],uitkomst_tech[[#This Row],[Uitgangssituatie/effect beleid]])</f>
        <v>0</v>
      </c>
      <c r="H443" s="398">
        <f>SUMIFS(uitkomst_doelgroep[Arbeidsbesparing (FTE)],uitkomst_doelgroep[Digitale zorgtoepassing],B443,uitkomst_doelgroep[Jaar],D443,uitkomst_doelgroep[Arbeidsbesparing (FTE)],"&gt;0",uitkomst_doelgroep[Uitgangssituatie/effect beleid],uitkomst_tech[[#This Row],[Uitgangssituatie/effect beleid]])</f>
        <v>0</v>
      </c>
      <c r="I443" s="398">
        <f>SUMIFS(uitkomst_doelgroep[Overige besparingen (€)],uitkomst_doelgroep[Digitale zorgtoepassing],B443,uitkomst_doelgroep[Jaar],D443,uitkomst_doelgroep[Overige besparingen (€)],"&gt;0",uitkomst_doelgroep[Uitgangssituatie/effect beleid],uitkomst_tech[[#This Row],[Uitgangssituatie/effect beleid]])</f>
        <v>0</v>
      </c>
      <c r="J443" s="398">
        <f>SUMIFS(uitkomst_doelgroep[QALY (€)],uitkomst_doelgroep[Digitale zorgtoepassing],B443,uitkomst_doelgroep[Jaar],D443,uitkomst_doelgroep[QALY (€)],"&gt;0",uitkomst_doelgroep[Uitgangssituatie/effect beleid],uitkomst_tech[[#This Row],[Uitgangssituatie/effect beleid]])</f>
        <v>0</v>
      </c>
      <c r="K443" s="398">
        <f>SUMIFS(uitkomst_doelgroep[Kosten (€)],uitkomst_doelgroep[Digitale zorgtoepassing],B443,uitkomst_doelgroep[Jaar],D443,uitkomst_doelgroep[Kosten (€)],"&gt;0",uitkomst_doelgroep[Uitgangssituatie/effect beleid],uitkomst_tech[[#This Row],[Uitgangssituatie/effect beleid]])</f>
        <v>0</v>
      </c>
      <c r="L443" s="398">
        <f>SUMIFS(uitkomst_doelgroep[Investering (cash flow) (€)],uitkomst_doelgroep[Digitale zorgtoepassing],B443,uitkomst_doelgroep[Jaar],D443,uitkomst_doelgroep[Investering (cash flow) (€)],"&gt;0",uitkomst_doelgroep[Uitgangssituatie/effect beleid],uitkomst_tech[[#This Row],[Uitgangssituatie/effect beleid]])</f>
        <v>0</v>
      </c>
    </row>
    <row r="444" spans="1:12" x14ac:dyDescent="0.5">
      <c r="A444" s="2" t="str">
        <f>INDEX(Technologieën[Veld],MATCH(B444,Technologieën[Digitale zorgtoepassing],0))</f>
        <v>Software - Behandeling</v>
      </c>
      <c r="B444" s="33" t="s">
        <v>716</v>
      </c>
      <c r="C444" s="33" t="s">
        <v>813</v>
      </c>
      <c r="D444" s="33">
        <v>2024</v>
      </c>
      <c r="E444" s="2"/>
      <c r="F444" s="397">
        <f>SUMIFS(uitkomst_doelgroep[Patiëntaantallen],uitkomst_doelgroep[Digitale zorgtoepassing],B444,uitkomst_doelgroep[Jaar],D444,uitkomst_doelgroep[Arbeidsbesparing (€)],"&gt;0",uitkomst_doelgroep[Uitgangssituatie/effect beleid],uitkomst_tech[[#This Row],[Uitgangssituatie/effect beleid]])</f>
        <v>0</v>
      </c>
      <c r="G444" s="398">
        <f>SUMIFS(uitkomst_doelgroep[Arbeidsbesparing (€)],uitkomst_doelgroep[Digitale zorgtoepassing],B444,uitkomst_doelgroep[Jaar],D444,uitkomst_doelgroep[Arbeidsbesparing (€)],"&gt;0",uitkomst_doelgroep[Uitgangssituatie/effect beleid],uitkomst_tech[[#This Row],[Uitgangssituatie/effect beleid]])</f>
        <v>0</v>
      </c>
      <c r="H444" s="398">
        <f>SUMIFS(uitkomst_doelgroep[Arbeidsbesparing (FTE)],uitkomst_doelgroep[Digitale zorgtoepassing],B444,uitkomst_doelgroep[Jaar],D444,uitkomst_doelgroep[Arbeidsbesparing (FTE)],"&gt;0",uitkomst_doelgroep[Uitgangssituatie/effect beleid],uitkomst_tech[[#This Row],[Uitgangssituatie/effect beleid]])</f>
        <v>0</v>
      </c>
      <c r="I444" s="398">
        <f>SUMIFS(uitkomst_doelgroep[Overige besparingen (€)],uitkomst_doelgroep[Digitale zorgtoepassing],B444,uitkomst_doelgroep[Jaar],D444,uitkomst_doelgroep[Overige besparingen (€)],"&gt;0",uitkomst_doelgroep[Uitgangssituatie/effect beleid],uitkomst_tech[[#This Row],[Uitgangssituatie/effect beleid]])</f>
        <v>0</v>
      </c>
      <c r="J444" s="398">
        <f>SUMIFS(uitkomst_doelgroep[QALY (€)],uitkomst_doelgroep[Digitale zorgtoepassing],B444,uitkomst_doelgroep[Jaar],D444,uitkomst_doelgroep[QALY (€)],"&gt;0",uitkomst_doelgroep[Uitgangssituatie/effect beleid],uitkomst_tech[[#This Row],[Uitgangssituatie/effect beleid]])</f>
        <v>0</v>
      </c>
      <c r="K444" s="398">
        <f>SUMIFS(uitkomst_doelgroep[Kosten (€)],uitkomst_doelgroep[Digitale zorgtoepassing],B444,uitkomst_doelgroep[Jaar],D444,uitkomst_doelgroep[Kosten (€)],"&gt;0",uitkomst_doelgroep[Uitgangssituatie/effect beleid],uitkomst_tech[[#This Row],[Uitgangssituatie/effect beleid]])</f>
        <v>0</v>
      </c>
      <c r="L444" s="398">
        <f>SUMIFS(uitkomst_doelgroep[Investering (cash flow) (€)],uitkomst_doelgroep[Digitale zorgtoepassing],B444,uitkomst_doelgroep[Jaar],D444,uitkomst_doelgroep[Investering (cash flow) (€)],"&gt;0",uitkomst_doelgroep[Uitgangssituatie/effect beleid],uitkomst_tech[[#This Row],[Uitgangssituatie/effect beleid]])</f>
        <v>0</v>
      </c>
    </row>
    <row r="445" spans="1:12" x14ac:dyDescent="0.5">
      <c r="A445" s="2" t="str">
        <f>INDEX(Technologieën[Veld],MATCH(B445,Technologieën[Digitale zorgtoepassing],0))</f>
        <v>Software - Behandeling</v>
      </c>
      <c r="B445" s="33" t="s">
        <v>716</v>
      </c>
      <c r="C445" s="33" t="s">
        <v>813</v>
      </c>
      <c r="D445" s="33">
        <v>2025</v>
      </c>
      <c r="E445" s="2"/>
      <c r="F445" s="397">
        <f>SUMIFS(uitkomst_doelgroep[Patiëntaantallen],uitkomst_doelgroep[Digitale zorgtoepassing],B445,uitkomst_doelgroep[Jaar],D445,uitkomst_doelgroep[Arbeidsbesparing (€)],"&gt;0",uitkomst_doelgroep[Uitgangssituatie/effect beleid],uitkomst_tech[[#This Row],[Uitgangssituatie/effect beleid]])</f>
        <v>0</v>
      </c>
      <c r="G445" s="398">
        <f>SUMIFS(uitkomst_doelgroep[Arbeidsbesparing (€)],uitkomst_doelgroep[Digitale zorgtoepassing],B445,uitkomst_doelgroep[Jaar],D445,uitkomst_doelgroep[Arbeidsbesparing (€)],"&gt;0",uitkomst_doelgroep[Uitgangssituatie/effect beleid],uitkomst_tech[[#This Row],[Uitgangssituatie/effect beleid]])</f>
        <v>0</v>
      </c>
      <c r="H445" s="398">
        <f>SUMIFS(uitkomst_doelgroep[Arbeidsbesparing (FTE)],uitkomst_doelgroep[Digitale zorgtoepassing],B445,uitkomst_doelgroep[Jaar],D445,uitkomst_doelgroep[Arbeidsbesparing (FTE)],"&gt;0",uitkomst_doelgroep[Uitgangssituatie/effect beleid],uitkomst_tech[[#This Row],[Uitgangssituatie/effect beleid]])</f>
        <v>0</v>
      </c>
      <c r="I445" s="398">
        <f>SUMIFS(uitkomst_doelgroep[Overige besparingen (€)],uitkomst_doelgroep[Digitale zorgtoepassing],B445,uitkomst_doelgroep[Jaar],D445,uitkomst_doelgroep[Overige besparingen (€)],"&gt;0",uitkomst_doelgroep[Uitgangssituatie/effect beleid],uitkomst_tech[[#This Row],[Uitgangssituatie/effect beleid]])</f>
        <v>0</v>
      </c>
      <c r="J445" s="398">
        <f>SUMIFS(uitkomst_doelgroep[QALY (€)],uitkomst_doelgroep[Digitale zorgtoepassing],B445,uitkomst_doelgroep[Jaar],D445,uitkomst_doelgroep[QALY (€)],"&gt;0",uitkomst_doelgroep[Uitgangssituatie/effect beleid],uitkomst_tech[[#This Row],[Uitgangssituatie/effect beleid]])</f>
        <v>0</v>
      </c>
      <c r="K445" s="398">
        <f>SUMIFS(uitkomst_doelgroep[Kosten (€)],uitkomst_doelgroep[Digitale zorgtoepassing],B445,uitkomst_doelgroep[Jaar],D445,uitkomst_doelgroep[Kosten (€)],"&gt;0",uitkomst_doelgroep[Uitgangssituatie/effect beleid],uitkomst_tech[[#This Row],[Uitgangssituatie/effect beleid]])</f>
        <v>0</v>
      </c>
      <c r="L445" s="398">
        <f>SUMIFS(uitkomst_doelgroep[Investering (cash flow) (€)],uitkomst_doelgroep[Digitale zorgtoepassing],B445,uitkomst_doelgroep[Jaar],D445,uitkomst_doelgroep[Investering (cash flow) (€)],"&gt;0",uitkomst_doelgroep[Uitgangssituatie/effect beleid],uitkomst_tech[[#This Row],[Uitgangssituatie/effect beleid]])</f>
        <v>0</v>
      </c>
    </row>
    <row r="446" spans="1:12" x14ac:dyDescent="0.5">
      <c r="A446" s="2" t="str">
        <f>INDEX(Technologieën[Veld],MATCH(B446,Technologieën[Digitale zorgtoepassing],0))</f>
        <v>Software - Behandeling</v>
      </c>
      <c r="B446" s="33" t="s">
        <v>716</v>
      </c>
      <c r="C446" s="33" t="s">
        <v>813</v>
      </c>
      <c r="D446" s="33">
        <v>2026</v>
      </c>
      <c r="E446" s="2"/>
      <c r="F446" s="397">
        <f>SUMIFS(uitkomst_doelgroep[Patiëntaantallen],uitkomst_doelgroep[Digitale zorgtoepassing],B446,uitkomst_doelgroep[Jaar],D446,uitkomst_doelgroep[Arbeidsbesparing (€)],"&gt;0",uitkomst_doelgroep[Uitgangssituatie/effect beleid],uitkomst_tech[[#This Row],[Uitgangssituatie/effect beleid]])</f>
        <v>1297.3600000000001</v>
      </c>
      <c r="G446" s="398">
        <f>SUMIFS(uitkomst_doelgroep[Arbeidsbesparing (€)],uitkomst_doelgroep[Digitale zorgtoepassing],B446,uitkomst_doelgroep[Jaar],D446,uitkomst_doelgroep[Arbeidsbesparing (€)],"&gt;0",uitkomst_doelgroep[Uitgangssituatie/effect beleid],uitkomst_tech[[#This Row],[Uitgangssituatie/effect beleid]])</f>
        <v>19530.457440000006</v>
      </c>
      <c r="H446" s="398">
        <f>SUMIFS(uitkomst_doelgroep[Arbeidsbesparing (FTE)],uitkomst_doelgroep[Digitale zorgtoepassing],B446,uitkomst_doelgroep[Jaar],D446,uitkomst_doelgroep[Arbeidsbesparing (FTE)],"&gt;0",uitkomst_doelgroep[Uitgangssituatie/effect beleid],uitkomst_tech[[#This Row],[Uitgangssituatie/effect beleid]])</f>
        <v>0.33848643908199577</v>
      </c>
      <c r="I446" s="398">
        <f>SUMIFS(uitkomst_doelgroep[Overige besparingen (€)],uitkomst_doelgroep[Digitale zorgtoepassing],B446,uitkomst_doelgroep[Jaar],D446,uitkomst_doelgroep[Overige besparingen (€)],"&gt;0",uitkomst_doelgroep[Uitgangssituatie/effect beleid],uitkomst_tech[[#This Row],[Uitgangssituatie/effect beleid]])</f>
        <v>13020.304960000003</v>
      </c>
      <c r="J446" s="398">
        <f>SUMIFS(uitkomst_doelgroep[QALY (€)],uitkomst_doelgroep[Digitale zorgtoepassing],B446,uitkomst_doelgroep[Jaar],D446,uitkomst_doelgroep[QALY (€)],"&gt;0",uitkomst_doelgroep[Uitgangssituatie/effect beleid],uitkomst_tech[[#This Row],[Uitgangssituatie/effect beleid]])</f>
        <v>116762.40000000001</v>
      </c>
      <c r="K446" s="398">
        <f>SUMIFS(uitkomst_doelgroep[Kosten (€)],uitkomst_doelgroep[Digitale zorgtoepassing],B446,uitkomst_doelgroep[Jaar],D446,uitkomst_doelgroep[Kosten (€)],"&gt;0",uitkomst_doelgroep[Uitgangssituatie/effect beleid],uitkomst_tech[[#This Row],[Uitgangssituatie/effect beleid]])</f>
        <v>77841.600000000006</v>
      </c>
      <c r="L446" s="398">
        <f>SUMIFS(uitkomst_doelgroep[Investering (cash flow) (€)],uitkomst_doelgroep[Digitale zorgtoepassing],B446,uitkomst_doelgroep[Jaar],D446,uitkomst_doelgroep[Investering (cash flow) (€)],"&gt;0",uitkomst_doelgroep[Uitgangssituatie/effect beleid],uitkomst_tech[[#This Row],[Uitgangssituatie/effect beleid]])</f>
        <v>0</v>
      </c>
    </row>
    <row r="447" spans="1:12" x14ac:dyDescent="0.5">
      <c r="A447" s="2" t="str">
        <f>INDEX(Technologieën[Veld],MATCH(B447,Technologieën[Digitale zorgtoepassing],0))</f>
        <v>Software - Behandeling</v>
      </c>
      <c r="B447" s="33" t="s">
        <v>716</v>
      </c>
      <c r="C447" s="33" t="s">
        <v>813</v>
      </c>
      <c r="D447" s="33">
        <v>2027</v>
      </c>
      <c r="E447" s="2"/>
      <c r="F447" s="397">
        <f>SUMIFS(uitkomst_doelgroep[Patiëntaantallen],uitkomst_doelgroep[Digitale zorgtoepassing],B447,uitkomst_doelgroep[Jaar],D447,uitkomst_doelgroep[Arbeidsbesparing (€)],"&gt;0",uitkomst_doelgroep[Uitgangssituatie/effect beleid],uitkomst_tech[[#This Row],[Uitgangssituatie/effect beleid]])</f>
        <v>3077.3379199999999</v>
      </c>
      <c r="G447" s="398">
        <f>SUMIFS(uitkomst_doelgroep[Arbeidsbesparing (€)],uitkomst_doelgroep[Digitale zorgtoepassing],B447,uitkomst_doelgroep[Jaar],D447,uitkomst_doelgroep[Arbeidsbesparing (€)],"&gt;0",uitkomst_doelgroep[Uitgangssituatie/effect beleid],uitkomst_tech[[#This Row],[Uitgangssituatie/effect beleid]])</f>
        <v>46326.245047680008</v>
      </c>
      <c r="H447" s="398">
        <f>SUMIFS(uitkomst_doelgroep[Arbeidsbesparing (FTE)],uitkomst_doelgroep[Digitale zorgtoepassing],B447,uitkomst_doelgroep[Jaar],D447,uitkomst_doelgroep[Arbeidsbesparing (FTE)],"&gt;0",uitkomst_doelgroep[Uitgangssituatie/effect beleid],uitkomst_tech[[#This Row],[Uitgangssituatie/effect beleid]])</f>
        <v>0.80288983350249388</v>
      </c>
      <c r="I447" s="398">
        <f>SUMIFS(uitkomst_doelgroep[Overige besparingen (€)],uitkomst_doelgroep[Digitale zorgtoepassing],B447,uitkomst_doelgroep[Jaar],D447,uitkomst_doelgroep[Overige besparingen (€)],"&gt;0",uitkomst_doelgroep[Uitgangssituatie/effect beleid],uitkomst_tech[[#This Row],[Uitgangssituatie/effect beleid]])</f>
        <v>30884.163365120003</v>
      </c>
      <c r="J447" s="398">
        <f>SUMIFS(uitkomst_doelgroep[QALY (€)],uitkomst_doelgroep[Digitale zorgtoepassing],B447,uitkomst_doelgroep[Jaar],D447,uitkomst_doelgroep[QALY (€)],"&gt;0",uitkomst_doelgroep[Uitgangssituatie/effect beleid],uitkomst_tech[[#This Row],[Uitgangssituatie/effect beleid]])</f>
        <v>276960.41279999999</v>
      </c>
      <c r="K447" s="398">
        <f>SUMIFS(uitkomst_doelgroep[Kosten (€)],uitkomst_doelgroep[Digitale zorgtoepassing],B447,uitkomst_doelgroep[Jaar],D447,uitkomst_doelgroep[Kosten (€)],"&gt;0",uitkomst_doelgroep[Uitgangssituatie/effect beleid],uitkomst_tech[[#This Row],[Uitgangssituatie/effect beleid]])</f>
        <v>184640.27519999997</v>
      </c>
      <c r="L447" s="398">
        <f>SUMIFS(uitkomst_doelgroep[Investering (cash flow) (€)],uitkomst_doelgroep[Digitale zorgtoepassing],B447,uitkomst_doelgroep[Jaar],D447,uitkomst_doelgroep[Investering (cash flow) (€)],"&gt;0",uitkomst_doelgroep[Uitgangssituatie/effect beleid],uitkomst_tech[[#This Row],[Uitgangssituatie/effect beleid]])</f>
        <v>0</v>
      </c>
    </row>
    <row r="448" spans="1:12" x14ac:dyDescent="0.5">
      <c r="A448" s="2" t="str">
        <f>INDEX(Technologieën[Veld],MATCH(B448,Technologieën[Digitale zorgtoepassing],0))</f>
        <v>Software - Behandeling</v>
      </c>
      <c r="B448" s="33" t="s">
        <v>716</v>
      </c>
      <c r="C448" s="33" t="s">
        <v>813</v>
      </c>
      <c r="D448" s="33">
        <v>2028</v>
      </c>
      <c r="E448" s="2"/>
      <c r="F448" s="397">
        <f>SUMIFS(uitkomst_doelgroep[Patiëntaantallen],uitkomst_doelgroep[Digitale zorgtoepassing],B448,uitkomst_doelgroep[Jaar],D448,uitkomst_doelgroep[Arbeidsbesparing (€)],"&gt;0",uitkomst_doelgroep[Uitgangssituatie/effect beleid],uitkomst_tech[[#This Row],[Uitgangssituatie/effect beleid]])</f>
        <v>5485.6907652300806</v>
      </c>
      <c r="G448" s="398">
        <f>SUMIFS(uitkomst_doelgroep[Arbeidsbesparing (€)],uitkomst_doelgroep[Digitale zorgtoepassing],B448,uitkomst_doelgroep[Jaar],D448,uitkomst_doelgroep[Arbeidsbesparing (€)],"&gt;0",uitkomst_doelgroep[Uitgangssituatie/effect beleid],uitkomst_tech[[#This Row],[Uitgangssituatie/effect beleid]])</f>
        <v>82581.58877977365</v>
      </c>
      <c r="H448" s="398">
        <f>SUMIFS(uitkomst_doelgroep[Arbeidsbesparing (FTE)],uitkomst_doelgroep[Digitale zorgtoepassing],B448,uitkomst_doelgroep[Jaar],D448,uitkomst_doelgroep[Arbeidsbesparing (FTE)],"&gt;0",uitkomst_doelgroep[Uitgangssituatie/effect beleid],uitkomst_tech[[#This Row],[Uitgangssituatie/effect beleid]])</f>
        <v>1.4312387718348942</v>
      </c>
      <c r="I448" s="398">
        <f>SUMIFS(uitkomst_doelgroep[Overige besparingen (€)],uitkomst_doelgroep[Digitale zorgtoepassing],B448,uitkomst_doelgroep[Jaar],D448,uitkomst_doelgroep[Overige besparingen (€)],"&gt;0",uitkomst_doelgroep[Uitgangssituatie/effect beleid],uitkomst_tech[[#This Row],[Uitgangssituatie/effect beleid]])</f>
        <v>55054.392519849098</v>
      </c>
      <c r="J448" s="398">
        <f>SUMIFS(uitkomst_doelgroep[QALY (€)],uitkomst_doelgroep[Digitale zorgtoepassing],B448,uitkomst_doelgroep[Jaar],D448,uitkomst_doelgroep[QALY (€)],"&gt;0",uitkomst_doelgroep[Uitgangssituatie/effect beleid],uitkomst_tech[[#This Row],[Uitgangssituatie/effect beleid]])</f>
        <v>493712.16887070722</v>
      </c>
      <c r="K448" s="398">
        <f>SUMIFS(uitkomst_doelgroep[Kosten (€)],uitkomst_doelgroep[Digitale zorgtoepassing],B448,uitkomst_doelgroep[Jaar],D448,uitkomst_doelgroep[Kosten (€)],"&gt;0",uitkomst_doelgroep[Uitgangssituatie/effect beleid],uitkomst_tech[[#This Row],[Uitgangssituatie/effect beleid]])</f>
        <v>329141.44591380481</v>
      </c>
      <c r="L448" s="398">
        <f>SUMIFS(uitkomst_doelgroep[Investering (cash flow) (€)],uitkomst_doelgroep[Digitale zorgtoepassing],B448,uitkomst_doelgroep[Jaar],D448,uitkomst_doelgroep[Investering (cash flow) (€)],"&gt;0",uitkomst_doelgroep[Uitgangssituatie/effect beleid],uitkomst_tech[[#This Row],[Uitgangssituatie/effect beleid]])</f>
        <v>0</v>
      </c>
    </row>
    <row r="449" spans="1:12" x14ac:dyDescent="0.5">
      <c r="A449" s="2" t="str">
        <f>INDEX(Technologieën[Veld],MATCH(B449,Technologieën[Digitale zorgtoepassing],0))</f>
        <v>Software - Behandeling</v>
      </c>
      <c r="B449" s="33" t="s">
        <v>716</v>
      </c>
      <c r="C449" s="33" t="s">
        <v>813</v>
      </c>
      <c r="D449" s="33">
        <v>2029</v>
      </c>
      <c r="E449" s="2"/>
      <c r="F449" s="397">
        <f>SUMIFS(uitkomst_doelgroep[Patiëntaantallen],uitkomst_doelgroep[Digitale zorgtoepassing],B449,uitkomst_doelgroep[Jaar],D449,uitkomst_doelgroep[Arbeidsbesparing (€)],"&gt;0",uitkomst_doelgroep[Uitgangssituatie/effect beleid],uitkomst_tech[[#This Row],[Uitgangssituatie/effect beleid]])</f>
        <v>8682.0499386855099</v>
      </c>
      <c r="G449" s="398">
        <f>SUMIFS(uitkomst_doelgroep[Arbeidsbesparing (€)],uitkomst_doelgroep[Digitale zorgtoepassing],B449,uitkomst_doelgroep[Jaar],D449,uitkomst_doelgroep[Arbeidsbesparing (€)],"&gt;0",uitkomst_doelgroep[Uitgangssituatie/effect beleid],uitkomst_tech[[#This Row],[Uitgangssituatie/effect beleid]])</f>
        <v>130699.5797769717</v>
      </c>
      <c r="H449" s="398">
        <f>SUMIFS(uitkomst_doelgroep[Arbeidsbesparing (FTE)],uitkomst_doelgroep[Digitale zorgtoepassing],B449,uitkomst_doelgroep[Jaar],D449,uitkomst_doelgroep[Arbeidsbesparing (FTE)],"&gt;0",uitkomst_doelgroep[Uitgangssituatie/effect beleid],uitkomst_tech[[#This Row],[Uitgangssituatie/effect beleid]])</f>
        <v>2.2651817288013492</v>
      </c>
      <c r="I449" s="398">
        <f>SUMIFS(uitkomst_doelgroep[Overige besparingen (€)],uitkomst_doelgroep[Digitale zorgtoepassing],B449,uitkomst_doelgroep[Jaar],D449,uitkomst_doelgroep[Overige besparingen (€)],"&gt;0",uitkomst_doelgroep[Uitgangssituatie/effect beleid],uitkomst_tech[[#This Row],[Uitgangssituatie/effect beleid]])</f>
        <v>87133.053184647797</v>
      </c>
      <c r="J449" s="398">
        <f>SUMIFS(uitkomst_doelgroep[QALY (€)],uitkomst_doelgroep[Digitale zorgtoepassing],B449,uitkomst_doelgroep[Jaar],D449,uitkomst_doelgroep[QALY (€)],"&gt;0",uitkomst_doelgroep[Uitgangssituatie/effect beleid],uitkomst_tech[[#This Row],[Uitgangssituatie/effect beleid]])</f>
        <v>781384.49448169593</v>
      </c>
      <c r="K449" s="398">
        <f>SUMIFS(uitkomst_doelgroep[Kosten (€)],uitkomst_doelgroep[Digitale zorgtoepassing],B449,uitkomst_doelgroep[Jaar],D449,uitkomst_doelgroep[Kosten (€)],"&gt;0",uitkomst_doelgroep[Uitgangssituatie/effect beleid],uitkomst_tech[[#This Row],[Uitgangssituatie/effect beleid]])</f>
        <v>520922.9963211306</v>
      </c>
      <c r="L449" s="398">
        <f>SUMIFS(uitkomst_doelgroep[Investering (cash flow) (€)],uitkomst_doelgroep[Digitale zorgtoepassing],B449,uitkomst_doelgroep[Jaar],D449,uitkomst_doelgroep[Investering (cash flow) (€)],"&gt;0",uitkomst_doelgroep[Uitgangssituatie/effect beleid],uitkomst_tech[[#This Row],[Uitgangssituatie/effect beleid]])</f>
        <v>0</v>
      </c>
    </row>
    <row r="450" spans="1:12" x14ac:dyDescent="0.5">
      <c r="A450" s="2" t="str">
        <f>INDEX(Technologieën[Veld],MATCH(B450,Technologieën[Digitale zorgtoepassing],0))</f>
        <v>Software - Behandeling</v>
      </c>
      <c r="B450" s="33" t="s">
        <v>716</v>
      </c>
      <c r="C450" s="33" t="s">
        <v>813</v>
      </c>
      <c r="D450" s="33">
        <v>2030</v>
      </c>
      <c r="E450" s="2"/>
      <c r="F450" s="397">
        <f>SUMIFS(uitkomst_doelgroep[Patiëntaantallen],uitkomst_doelgroep[Digitale zorgtoepassing],B450,uitkomst_doelgroep[Jaar],D450,uitkomst_doelgroep[Arbeidsbesparing (€)],"&gt;0",uitkomst_doelgroep[Uitgangssituatie/effect beleid],uitkomst_tech[[#This Row],[Uitgangssituatie/effect beleid]])</f>
        <v>12813.780435779239</v>
      </c>
      <c r="G450" s="398">
        <f>SUMIFS(uitkomst_doelgroep[Arbeidsbesparing (€)],uitkomst_doelgroep[Digitale zorgtoepassing],B450,uitkomst_doelgroep[Jaar],D450,uitkomst_doelgroep[Arbeidsbesparing (€)],"&gt;0",uitkomst_doelgroep[Uitgangssituatie/effect beleid],uitkomst_tech[[#This Row],[Uitgangssituatie/effect beleid]])</f>
        <v>192898.65068022072</v>
      </c>
      <c r="H450" s="398">
        <f>SUMIFS(uitkomst_doelgroep[Arbeidsbesparing (FTE)],uitkomst_doelgroep[Digitale zorgtoepassing],B450,uitkomst_doelgroep[Jaar],D450,uitkomst_doelgroep[Arbeidsbesparing (FTE)],"&gt;0",uitkomst_doelgroep[Uitgangssituatie/effect beleid],uitkomst_tech[[#This Row],[Uitgangssituatie/effect beleid]])</f>
        <v>3.3431668240777106</v>
      </c>
      <c r="I450" s="398">
        <f>SUMIFS(uitkomst_doelgroep[Overige besparingen (€)],uitkomst_doelgroep[Digitale zorgtoepassing],B450,uitkomst_doelgroep[Jaar],D450,uitkomst_doelgroep[Overige besparingen (€)],"&gt;0",uitkomst_doelgroep[Uitgangssituatie/effect beleid],uitkomst_tech[[#This Row],[Uitgangssituatie/effect beleid]])</f>
        <v>128599.10045348048</v>
      </c>
      <c r="J450" s="398">
        <f>SUMIFS(uitkomst_doelgroep[QALY (€)],uitkomst_doelgroep[Digitale zorgtoepassing],B450,uitkomst_doelgroep[Jaar],D450,uitkomst_doelgroep[QALY (€)],"&gt;0",uitkomst_doelgroep[Uitgangssituatie/effect beleid],uitkomst_tech[[#This Row],[Uitgangssituatie/effect beleid]])</f>
        <v>1153240.2392201317</v>
      </c>
      <c r="K450" s="398">
        <f>SUMIFS(uitkomst_doelgroep[Kosten (€)],uitkomst_doelgroep[Digitale zorgtoepassing],B450,uitkomst_doelgroep[Jaar],D450,uitkomst_doelgroep[Kosten (€)],"&gt;0",uitkomst_doelgroep[Uitgangssituatie/effect beleid],uitkomst_tech[[#This Row],[Uitgangssituatie/effect beleid]])</f>
        <v>768826.82614675444</v>
      </c>
      <c r="L450" s="398">
        <f>SUMIFS(uitkomst_doelgroep[Investering (cash flow) (€)],uitkomst_doelgroep[Digitale zorgtoepassing],B450,uitkomst_doelgroep[Jaar],D450,uitkomst_doelgroep[Investering (cash flow) (€)],"&gt;0",uitkomst_doelgroep[Uitgangssituatie/effect beleid],uitkomst_tech[[#This Row],[Uitgangssituatie/effect beleid]])</f>
        <v>0</v>
      </c>
    </row>
    <row r="451" spans="1:12" x14ac:dyDescent="0.5">
      <c r="A451" s="2" t="str">
        <f>INDEX(Technologieën[Veld],MATCH(B451,Technologieën[Digitale zorgtoepassing],0))</f>
        <v>Software - Behandeling</v>
      </c>
      <c r="B451" s="33" t="s">
        <v>716</v>
      </c>
      <c r="C451" s="33" t="s">
        <v>813</v>
      </c>
      <c r="D451" s="33">
        <v>2031</v>
      </c>
      <c r="E451" s="2"/>
      <c r="F451" s="397">
        <f>SUMIFS(uitkomst_doelgroep[Patiëntaantallen],uitkomst_doelgroep[Digitale zorgtoepassing],B451,uitkomst_doelgroep[Jaar],D451,uitkomst_doelgroep[Arbeidsbesparing (€)],"&gt;0",uitkomst_doelgroep[Uitgangssituatie/effect beleid],uitkomst_tech[[#This Row],[Uitgangssituatie/effect beleid]])</f>
        <v>17967.902628455831</v>
      </c>
      <c r="G451" s="398">
        <f>SUMIFS(uitkomst_doelgroep[Arbeidsbesparing (€)],uitkomst_doelgroep[Digitale zorgtoepassing],B451,uitkomst_doelgroep[Jaar],D451,uitkomst_doelgroep[Arbeidsbesparing (€)],"&gt;0",uitkomst_doelgroep[Uitgangssituatie/effect beleid],uitkomst_tech[[#This Row],[Uitgangssituatie/effect beleid]])</f>
        <v>270488.80616877414</v>
      </c>
      <c r="H451" s="398">
        <f>SUMIFS(uitkomst_doelgroep[Arbeidsbesparing (FTE)],uitkomst_doelgroep[Digitale zorgtoepassing],B451,uitkomst_doelgroep[Jaar],D451,uitkomst_doelgroep[Arbeidsbesparing (FTE)],"&gt;0",uitkomst_doelgroep[Uitgangssituatie/effect beleid],uitkomst_tech[[#This Row],[Uitgangssituatie/effect beleid]])</f>
        <v>4.6878980225057392</v>
      </c>
      <c r="I451" s="398">
        <f>SUMIFS(uitkomst_doelgroep[Overige besparingen (€)],uitkomst_doelgroep[Digitale zorgtoepassing],B451,uitkomst_doelgroep[Jaar],D451,uitkomst_doelgroep[Overige besparingen (€)],"&gt;0",uitkomst_doelgroep[Uitgangssituatie/effect beleid],uitkomst_tech[[#This Row],[Uitgangssituatie/effect beleid]])</f>
        <v>180325.87077918273</v>
      </c>
      <c r="J451" s="398">
        <f>SUMIFS(uitkomst_doelgroep[QALY (€)],uitkomst_doelgroep[Digitale zorgtoepassing],B451,uitkomst_doelgroep[Jaar],D451,uitkomst_doelgroep[QALY (€)],"&gt;0",uitkomst_doelgroep[Uitgangssituatie/effect beleid],uitkomst_tech[[#This Row],[Uitgangssituatie/effect beleid]])</f>
        <v>1617111.2365610246</v>
      </c>
      <c r="K451" s="398">
        <f>SUMIFS(uitkomst_doelgroep[Kosten (€)],uitkomst_doelgroep[Digitale zorgtoepassing],B451,uitkomst_doelgroep[Jaar],D451,uitkomst_doelgroep[Kosten (€)],"&gt;0",uitkomst_doelgroep[Uitgangssituatie/effect beleid],uitkomst_tech[[#This Row],[Uitgangssituatie/effect beleid]])</f>
        <v>1078074.1577073499</v>
      </c>
      <c r="L451" s="398">
        <f>SUMIFS(uitkomst_doelgroep[Investering (cash flow) (€)],uitkomst_doelgroep[Digitale zorgtoepassing],B451,uitkomst_doelgroep[Jaar],D451,uitkomst_doelgroep[Investering (cash flow) (€)],"&gt;0",uitkomst_doelgroep[Uitgangssituatie/effect beleid],uitkomst_tech[[#This Row],[Uitgangssituatie/effect beleid]])</f>
        <v>0</v>
      </c>
    </row>
    <row r="452" spans="1:12" x14ac:dyDescent="0.5">
      <c r="A452" s="2" t="str">
        <f>INDEX(Technologieën[Veld],MATCH(B452,Technologieën[Digitale zorgtoepassing],0))</f>
        <v>Software - Behandeling</v>
      </c>
      <c r="B452" s="33" t="s">
        <v>716</v>
      </c>
      <c r="C452" s="33" t="s">
        <v>813</v>
      </c>
      <c r="D452" s="33">
        <v>2032</v>
      </c>
      <c r="E452" s="2"/>
      <c r="F452" s="397">
        <f>SUMIFS(uitkomst_doelgroep[Patiëntaantallen],uitkomst_doelgroep[Digitale zorgtoepassing],B452,uitkomst_doelgroep[Jaar],D452,uitkomst_doelgroep[Arbeidsbesparing (€)],"&gt;0",uitkomst_doelgroep[Uitgangssituatie/effect beleid],uitkomst_tech[[#This Row],[Uitgangssituatie/effect beleid]])</f>
        <v>24102.281111848995</v>
      </c>
      <c r="G452" s="398">
        <f>SUMIFS(uitkomst_doelgroep[Arbeidsbesparing (€)],uitkomst_doelgroep[Digitale zorgtoepassing],B452,uitkomst_doelgroep[Jaar],D452,uitkomst_doelgroep[Arbeidsbesparing (€)],"&gt;0",uitkomst_doelgroep[Uitgangssituatie/effect beleid],uitkomst_tech[[#This Row],[Uitgangssituatie/effect beleid]])</f>
        <v>362835.73985777487</v>
      </c>
      <c r="H452" s="398">
        <f>SUMIFS(uitkomst_doelgroep[Arbeidsbesparing (FTE)],uitkomst_doelgroep[Digitale zorgtoepassing],B452,uitkomst_doelgroep[Jaar],D452,uitkomst_doelgroep[Arbeidsbesparing (FTE)],"&gt;0",uitkomst_doelgroep[Uitgangssituatie/effect beleid],uitkomst_tech[[#This Row],[Uitgangssituatie/effect beleid]])</f>
        <v>6.2883820275814051</v>
      </c>
      <c r="I452" s="398">
        <f>SUMIFS(uitkomst_doelgroep[Overige besparingen (€)],uitkomst_doelgroep[Digitale zorgtoepassing],B452,uitkomst_doelgroep[Jaar],D452,uitkomst_doelgroep[Overige besparingen (€)],"&gt;0",uitkomst_doelgroep[Uitgangssituatie/effect beleid],uitkomst_tech[[#This Row],[Uitgangssituatie/effect beleid]])</f>
        <v>241890.49323851656</v>
      </c>
      <c r="J452" s="398">
        <f>SUMIFS(uitkomst_doelgroep[QALY (€)],uitkomst_doelgroep[Digitale zorgtoepassing],B452,uitkomst_doelgroep[Jaar],D452,uitkomst_doelgroep[QALY (€)],"&gt;0",uitkomst_doelgroep[Uitgangssituatie/effect beleid],uitkomst_tech[[#This Row],[Uitgangssituatie/effect beleid]])</f>
        <v>2169205.3000664096</v>
      </c>
      <c r="K452" s="398">
        <f>SUMIFS(uitkomst_doelgroep[Kosten (€)],uitkomst_doelgroep[Digitale zorgtoepassing],B452,uitkomst_doelgroep[Jaar],D452,uitkomst_doelgroep[Kosten (€)],"&gt;0",uitkomst_doelgroep[Uitgangssituatie/effect beleid],uitkomst_tech[[#This Row],[Uitgangssituatie/effect beleid]])</f>
        <v>1446136.8667109397</v>
      </c>
      <c r="L452" s="398">
        <f>SUMIFS(uitkomst_doelgroep[Investering (cash flow) (€)],uitkomst_doelgroep[Digitale zorgtoepassing],B452,uitkomst_doelgroep[Jaar],D452,uitkomst_doelgroep[Investering (cash flow) (€)],"&gt;0",uitkomst_doelgroep[Uitgangssituatie/effect beleid],uitkomst_tech[[#This Row],[Uitgangssituatie/effect beleid]])</f>
        <v>0</v>
      </c>
    </row>
    <row r="453" spans="1:12" x14ac:dyDescent="0.5">
      <c r="A453" s="2" t="str">
        <f>INDEX(Technologieën[Veld],MATCH(B453,Technologieën[Digitale zorgtoepassing],0))</f>
        <v>Software - Behandeling</v>
      </c>
      <c r="B453" s="33" t="s">
        <v>716</v>
      </c>
      <c r="C453" s="33" t="s">
        <v>813</v>
      </c>
      <c r="D453" s="33">
        <v>2033</v>
      </c>
      <c r="E453" s="2"/>
      <c r="F453" s="397">
        <f>SUMIFS(uitkomst_doelgroep[Patiëntaantallen],uitkomst_doelgroep[Digitale zorgtoepassing],B453,uitkomst_doelgroep[Jaar],D453,uitkomst_doelgroep[Arbeidsbesparing (€)],"&gt;0",uitkomst_doelgroep[Uitgangssituatie/effect beleid],uitkomst_tech[[#This Row],[Uitgangssituatie/effect beleid]])</f>
        <v>30976.341351169809</v>
      </c>
      <c r="G453" s="398">
        <f>SUMIFS(uitkomst_doelgroep[Arbeidsbesparing (€)],uitkomst_doelgroep[Digitale zorgtoepassing],B453,uitkomst_doelgroep[Jaar],D453,uitkomst_doelgroep[Arbeidsbesparing (€)],"&gt;0",uitkomst_doelgroep[Uitgangssituatie/effect beleid],uitkomst_tech[[#This Row],[Uitgangssituatie/effect beleid]])</f>
        <v>466317.8427005104</v>
      </c>
      <c r="H453" s="398">
        <f>SUMIFS(uitkomst_doelgroep[Arbeidsbesparing (FTE)],uitkomst_doelgroep[Digitale zorgtoepassing],B453,uitkomst_doelgroep[Jaar],D453,uitkomst_doelgroep[Arbeidsbesparing (FTE)],"&gt;0",uitkomst_doelgroep[Uitgangssituatie/effect beleid],uitkomst_tech[[#This Row],[Uitgangssituatie/effect beleid]])</f>
        <v>8.0818519761252432</v>
      </c>
      <c r="I453" s="398">
        <f>SUMIFS(uitkomst_doelgroep[Overige besparingen (€)],uitkomst_doelgroep[Digitale zorgtoepassing],B453,uitkomst_doelgroep[Jaar],D453,uitkomst_doelgroep[Overige besparingen (€)],"&gt;0",uitkomst_doelgroep[Uitgangssituatie/effect beleid],uitkomst_tech[[#This Row],[Uitgangssituatie/effect beleid]])</f>
        <v>310878.56180034031</v>
      </c>
      <c r="J453" s="398">
        <f>SUMIFS(uitkomst_doelgroep[QALY (€)],uitkomst_doelgroep[Digitale zorgtoepassing],B453,uitkomst_doelgroep[Jaar],D453,uitkomst_doelgroep[QALY (€)],"&gt;0",uitkomst_doelgroep[Uitgangssituatie/effect beleid],uitkomst_tech[[#This Row],[Uitgangssituatie/effect beleid]])</f>
        <v>2787870.7216052827</v>
      </c>
      <c r="K453" s="398">
        <f>SUMIFS(uitkomst_doelgroep[Kosten (€)],uitkomst_doelgroep[Digitale zorgtoepassing],B453,uitkomst_doelgroep[Jaar],D453,uitkomst_doelgroep[Kosten (€)],"&gt;0",uitkomst_doelgroep[Uitgangssituatie/effect beleid],uitkomst_tech[[#This Row],[Uitgangssituatie/effect beleid]])</f>
        <v>1858580.4810701886</v>
      </c>
      <c r="L453" s="398">
        <f>SUMIFS(uitkomst_doelgroep[Investering (cash flow) (€)],uitkomst_doelgroep[Digitale zorgtoepassing],B453,uitkomst_doelgroep[Jaar],D453,uitkomst_doelgroep[Investering (cash flow) (€)],"&gt;0",uitkomst_doelgroep[Uitgangssituatie/effect beleid],uitkomst_tech[[#This Row],[Uitgangssituatie/effect beleid]])</f>
        <v>0</v>
      </c>
    </row>
    <row r="454" spans="1:12" x14ac:dyDescent="0.5">
      <c r="A454" s="2" t="str">
        <f>INDEX(Technologieën[Veld],MATCH(B454,Technologieën[Digitale zorgtoepassing],0))</f>
        <v>Software - Diagnose</v>
      </c>
      <c r="B454" s="33" t="s">
        <v>66</v>
      </c>
      <c r="C454" s="33" t="s">
        <v>813</v>
      </c>
      <c r="D454" s="33">
        <v>2023</v>
      </c>
      <c r="E454" s="2"/>
      <c r="F454" s="397">
        <f>SUMIFS(uitkomst_doelgroep[Patiëntaantallen],uitkomst_doelgroep[Digitale zorgtoepassing],B454,uitkomst_doelgroep[Jaar],D454,uitkomst_doelgroep[Arbeidsbesparing (€)],"&gt;0",uitkomst_doelgroep[Uitgangssituatie/effect beleid],uitkomst_tech[[#This Row],[Uitgangssituatie/effect beleid]])</f>
        <v>0</v>
      </c>
      <c r="G454" s="398">
        <f>SUMIFS(uitkomst_doelgroep[Arbeidsbesparing (€)],uitkomst_doelgroep[Digitale zorgtoepassing],B454,uitkomst_doelgroep[Jaar],D454,uitkomst_doelgroep[Arbeidsbesparing (€)],"&gt;0",uitkomst_doelgroep[Uitgangssituatie/effect beleid],uitkomst_tech[[#This Row],[Uitgangssituatie/effect beleid]])</f>
        <v>0</v>
      </c>
      <c r="H454" s="398">
        <f>SUMIFS(uitkomst_doelgroep[Arbeidsbesparing (FTE)],uitkomst_doelgroep[Digitale zorgtoepassing],B454,uitkomst_doelgroep[Jaar],D454,uitkomst_doelgroep[Arbeidsbesparing (FTE)],"&gt;0",uitkomst_doelgroep[Uitgangssituatie/effect beleid],uitkomst_tech[[#This Row],[Uitgangssituatie/effect beleid]])</f>
        <v>0</v>
      </c>
      <c r="I454" s="398">
        <f>SUMIFS(uitkomst_doelgroep[Overige besparingen (€)],uitkomst_doelgroep[Digitale zorgtoepassing],B454,uitkomst_doelgroep[Jaar],D454,uitkomst_doelgroep[Overige besparingen (€)],"&gt;0",uitkomst_doelgroep[Uitgangssituatie/effect beleid],uitkomst_tech[[#This Row],[Uitgangssituatie/effect beleid]])</f>
        <v>0</v>
      </c>
      <c r="J454" s="398">
        <f>SUMIFS(uitkomst_doelgroep[QALY (€)],uitkomst_doelgroep[Digitale zorgtoepassing],B454,uitkomst_doelgroep[Jaar],D454,uitkomst_doelgroep[QALY (€)],"&gt;0",uitkomst_doelgroep[Uitgangssituatie/effect beleid],uitkomst_tech[[#This Row],[Uitgangssituatie/effect beleid]])</f>
        <v>0</v>
      </c>
      <c r="K454" s="398">
        <f>SUMIFS(uitkomst_doelgroep[Kosten (€)],uitkomst_doelgroep[Digitale zorgtoepassing],B454,uitkomst_doelgroep[Jaar],D454,uitkomst_doelgroep[Kosten (€)],"&gt;0",uitkomst_doelgroep[Uitgangssituatie/effect beleid],uitkomst_tech[[#This Row],[Uitgangssituatie/effect beleid]])</f>
        <v>0</v>
      </c>
      <c r="L454" s="398">
        <f>SUMIFS(uitkomst_doelgroep[Investering (cash flow) (€)],uitkomst_doelgroep[Digitale zorgtoepassing],B454,uitkomst_doelgroep[Jaar],D454,uitkomst_doelgroep[Investering (cash flow) (€)],"&gt;0",uitkomst_doelgroep[Uitgangssituatie/effect beleid],uitkomst_tech[[#This Row],[Uitgangssituatie/effect beleid]])</f>
        <v>0</v>
      </c>
    </row>
    <row r="455" spans="1:12" x14ac:dyDescent="0.5">
      <c r="A455" s="2" t="str">
        <f>INDEX(Technologieën[Veld],MATCH(B455,Technologieën[Digitale zorgtoepassing],0))</f>
        <v>Software - Diagnose</v>
      </c>
      <c r="B455" s="33" t="s">
        <v>66</v>
      </c>
      <c r="C455" s="33" t="s">
        <v>813</v>
      </c>
      <c r="D455" s="33">
        <v>2024</v>
      </c>
      <c r="E455" s="2"/>
      <c r="F455" s="397">
        <f>SUMIFS(uitkomst_doelgroep[Patiëntaantallen],uitkomst_doelgroep[Digitale zorgtoepassing],B455,uitkomst_doelgroep[Jaar],D455,uitkomst_doelgroep[Arbeidsbesparing (€)],"&gt;0",uitkomst_doelgroep[Uitgangssituatie/effect beleid],uitkomst_tech[[#This Row],[Uitgangssituatie/effect beleid]])</f>
        <v>0</v>
      </c>
      <c r="G455" s="398">
        <f>SUMIFS(uitkomst_doelgroep[Arbeidsbesparing (€)],uitkomst_doelgroep[Digitale zorgtoepassing],B455,uitkomst_doelgroep[Jaar],D455,uitkomst_doelgroep[Arbeidsbesparing (€)],"&gt;0",uitkomst_doelgroep[Uitgangssituatie/effect beleid],uitkomst_tech[[#This Row],[Uitgangssituatie/effect beleid]])</f>
        <v>0</v>
      </c>
      <c r="H455" s="398">
        <f>SUMIFS(uitkomst_doelgroep[Arbeidsbesparing (FTE)],uitkomst_doelgroep[Digitale zorgtoepassing],B455,uitkomst_doelgroep[Jaar],D455,uitkomst_doelgroep[Arbeidsbesparing (FTE)],"&gt;0",uitkomst_doelgroep[Uitgangssituatie/effect beleid],uitkomst_tech[[#This Row],[Uitgangssituatie/effect beleid]])</f>
        <v>0</v>
      </c>
      <c r="I455" s="398">
        <f>SUMIFS(uitkomst_doelgroep[Overige besparingen (€)],uitkomst_doelgroep[Digitale zorgtoepassing],B455,uitkomst_doelgroep[Jaar],D455,uitkomst_doelgroep[Overige besparingen (€)],"&gt;0",uitkomst_doelgroep[Uitgangssituatie/effect beleid],uitkomst_tech[[#This Row],[Uitgangssituatie/effect beleid]])</f>
        <v>0</v>
      </c>
      <c r="J455" s="398">
        <f>SUMIFS(uitkomst_doelgroep[QALY (€)],uitkomst_doelgroep[Digitale zorgtoepassing],B455,uitkomst_doelgroep[Jaar],D455,uitkomst_doelgroep[QALY (€)],"&gt;0",uitkomst_doelgroep[Uitgangssituatie/effect beleid],uitkomst_tech[[#This Row],[Uitgangssituatie/effect beleid]])</f>
        <v>0</v>
      </c>
      <c r="K455" s="398">
        <f>SUMIFS(uitkomst_doelgroep[Kosten (€)],uitkomst_doelgroep[Digitale zorgtoepassing],B455,uitkomst_doelgroep[Jaar],D455,uitkomst_doelgroep[Kosten (€)],"&gt;0",uitkomst_doelgroep[Uitgangssituatie/effect beleid],uitkomst_tech[[#This Row],[Uitgangssituatie/effect beleid]])</f>
        <v>0</v>
      </c>
      <c r="L455" s="398">
        <f>SUMIFS(uitkomst_doelgroep[Investering (cash flow) (€)],uitkomst_doelgroep[Digitale zorgtoepassing],B455,uitkomst_doelgroep[Jaar],D455,uitkomst_doelgroep[Investering (cash flow) (€)],"&gt;0",uitkomst_doelgroep[Uitgangssituatie/effect beleid],uitkomst_tech[[#This Row],[Uitgangssituatie/effect beleid]])</f>
        <v>0</v>
      </c>
    </row>
    <row r="456" spans="1:12" x14ac:dyDescent="0.5">
      <c r="A456" s="2" t="str">
        <f>INDEX(Technologieën[Veld],MATCH(B456,Technologieën[Digitale zorgtoepassing],0))</f>
        <v>Software - Diagnose</v>
      </c>
      <c r="B456" s="33" t="s">
        <v>66</v>
      </c>
      <c r="C456" s="33" t="s">
        <v>813</v>
      </c>
      <c r="D456" s="33">
        <v>2025</v>
      </c>
      <c r="E456" s="2"/>
      <c r="F456" s="397">
        <f>SUMIFS(uitkomst_doelgroep[Patiëntaantallen],uitkomst_doelgroep[Digitale zorgtoepassing],B456,uitkomst_doelgroep[Jaar],D456,uitkomst_doelgroep[Arbeidsbesparing (€)],"&gt;0",uitkomst_doelgroep[Uitgangssituatie/effect beleid],uitkomst_tech[[#This Row],[Uitgangssituatie/effect beleid]])</f>
        <v>0</v>
      </c>
      <c r="G456" s="398">
        <f>SUMIFS(uitkomst_doelgroep[Arbeidsbesparing (€)],uitkomst_doelgroep[Digitale zorgtoepassing],B456,uitkomst_doelgroep[Jaar],D456,uitkomst_doelgroep[Arbeidsbesparing (€)],"&gt;0",uitkomst_doelgroep[Uitgangssituatie/effect beleid],uitkomst_tech[[#This Row],[Uitgangssituatie/effect beleid]])</f>
        <v>0</v>
      </c>
      <c r="H456" s="398">
        <f>SUMIFS(uitkomst_doelgroep[Arbeidsbesparing (FTE)],uitkomst_doelgroep[Digitale zorgtoepassing],B456,uitkomst_doelgroep[Jaar],D456,uitkomst_doelgroep[Arbeidsbesparing (FTE)],"&gt;0",uitkomst_doelgroep[Uitgangssituatie/effect beleid],uitkomst_tech[[#This Row],[Uitgangssituatie/effect beleid]])</f>
        <v>0</v>
      </c>
      <c r="I456" s="398">
        <f>SUMIFS(uitkomst_doelgroep[Overige besparingen (€)],uitkomst_doelgroep[Digitale zorgtoepassing],B456,uitkomst_doelgroep[Jaar],D456,uitkomst_doelgroep[Overige besparingen (€)],"&gt;0",uitkomst_doelgroep[Uitgangssituatie/effect beleid],uitkomst_tech[[#This Row],[Uitgangssituatie/effect beleid]])</f>
        <v>0</v>
      </c>
      <c r="J456" s="398">
        <f>SUMIFS(uitkomst_doelgroep[QALY (€)],uitkomst_doelgroep[Digitale zorgtoepassing],B456,uitkomst_doelgroep[Jaar],D456,uitkomst_doelgroep[QALY (€)],"&gt;0",uitkomst_doelgroep[Uitgangssituatie/effect beleid],uitkomst_tech[[#This Row],[Uitgangssituatie/effect beleid]])</f>
        <v>0</v>
      </c>
      <c r="K456" s="398">
        <f>SUMIFS(uitkomst_doelgroep[Kosten (€)],uitkomst_doelgroep[Digitale zorgtoepassing],B456,uitkomst_doelgroep[Jaar],D456,uitkomst_doelgroep[Kosten (€)],"&gt;0",uitkomst_doelgroep[Uitgangssituatie/effect beleid],uitkomst_tech[[#This Row],[Uitgangssituatie/effect beleid]])</f>
        <v>0</v>
      </c>
      <c r="L456" s="398">
        <f>SUMIFS(uitkomst_doelgroep[Investering (cash flow) (€)],uitkomst_doelgroep[Digitale zorgtoepassing],B456,uitkomst_doelgroep[Jaar],D456,uitkomst_doelgroep[Investering (cash flow) (€)],"&gt;0",uitkomst_doelgroep[Uitgangssituatie/effect beleid],uitkomst_tech[[#This Row],[Uitgangssituatie/effect beleid]])</f>
        <v>0</v>
      </c>
    </row>
    <row r="457" spans="1:12" x14ac:dyDescent="0.5">
      <c r="A457" s="2" t="str">
        <f>INDEX(Technologieën[Veld],MATCH(B457,Technologieën[Digitale zorgtoepassing],0))</f>
        <v>Software - Diagnose</v>
      </c>
      <c r="B457" s="33" t="s">
        <v>66</v>
      </c>
      <c r="C457" s="33" t="s">
        <v>813</v>
      </c>
      <c r="D457" s="33">
        <v>2026</v>
      </c>
      <c r="E457" s="2"/>
      <c r="F457" s="397">
        <f>SUMIFS(uitkomst_doelgroep[Patiëntaantallen],uitkomst_doelgroep[Digitale zorgtoepassing],B457,uitkomst_doelgroep[Jaar],D457,uitkomst_doelgroep[Arbeidsbesparing (€)],"&gt;0",uitkomst_doelgroep[Uitgangssituatie/effect beleid],uitkomst_tech[[#This Row],[Uitgangssituatie/effect beleid]])</f>
        <v>3471.63375</v>
      </c>
      <c r="G457" s="398">
        <f>SUMIFS(uitkomst_doelgroep[Arbeidsbesparing (€)],uitkomst_doelgroep[Digitale zorgtoepassing],B457,uitkomst_doelgroep[Jaar],D457,uitkomst_doelgroep[Arbeidsbesparing (€)],"&gt;0",uitkomst_doelgroep[Uitgangssituatie/effect beleid],uitkomst_tech[[#This Row],[Uitgangssituatie/effect beleid]])</f>
        <v>95437.981787895114</v>
      </c>
      <c r="H457" s="398">
        <f>SUMIFS(uitkomst_doelgroep[Arbeidsbesparing (FTE)],uitkomst_doelgroep[Digitale zorgtoepassing],B457,uitkomst_doelgroep[Jaar],D457,uitkomst_doelgroep[Arbeidsbesparing (FTE)],"&gt;0",uitkomst_doelgroep[Uitgangssituatie/effect beleid],uitkomst_tech[[#This Row],[Uitgangssituatie/effect beleid]])</f>
        <v>1.1373679387019229</v>
      </c>
      <c r="I457" s="398">
        <f>SUMIFS(uitkomst_doelgroep[Overige besparingen (€)],uitkomst_doelgroep[Digitale zorgtoepassing],B457,uitkomst_doelgroep[Jaar],D457,uitkomst_doelgroep[Overige besparingen (€)],"&gt;0",uitkomst_doelgroep[Uitgangssituatie/effect beleid],uitkomst_tech[[#This Row],[Uitgangssituatie/effect beleid]])</f>
        <v>0</v>
      </c>
      <c r="J457" s="398">
        <f>SUMIFS(uitkomst_doelgroep[QALY (€)],uitkomst_doelgroep[Digitale zorgtoepassing],B457,uitkomst_doelgroep[Jaar],D457,uitkomst_doelgroep[QALY (€)],"&gt;0",uitkomst_doelgroep[Uitgangssituatie/effect beleid],uitkomst_tech[[#This Row],[Uitgangssituatie/effect beleid]])</f>
        <v>0</v>
      </c>
      <c r="K457" s="398">
        <f>SUMIFS(uitkomst_doelgroep[Kosten (€)],uitkomst_doelgroep[Digitale zorgtoepassing],B457,uitkomst_doelgroep[Jaar],D457,uitkomst_doelgroep[Kosten (€)],"&gt;0",uitkomst_doelgroep[Uitgangssituatie/effect beleid],uitkomst_tech[[#This Row],[Uitgangssituatie/effect beleid]])</f>
        <v>81106.223230299627</v>
      </c>
      <c r="L457" s="398">
        <f>SUMIFS(uitkomst_doelgroep[Investering (cash flow) (€)],uitkomst_doelgroep[Digitale zorgtoepassing],B457,uitkomst_doelgroep[Jaar],D457,uitkomst_doelgroep[Investering (cash flow) (€)],"&gt;0",uitkomst_doelgroep[Uitgangssituatie/effect beleid],uitkomst_tech[[#This Row],[Uitgangssituatie/effect beleid]])</f>
        <v>0</v>
      </c>
    </row>
    <row r="458" spans="1:12" x14ac:dyDescent="0.5">
      <c r="A458" s="2" t="str">
        <f>INDEX(Technologieën[Veld],MATCH(B458,Technologieën[Digitale zorgtoepassing],0))</f>
        <v>Software - Diagnose</v>
      </c>
      <c r="B458" s="33" t="s">
        <v>66</v>
      </c>
      <c r="C458" s="33" t="s">
        <v>813</v>
      </c>
      <c r="D458" s="33">
        <v>2027</v>
      </c>
      <c r="E458" s="2"/>
      <c r="F458" s="397">
        <f>SUMIFS(uitkomst_doelgroep[Patiëntaantallen],uitkomst_doelgroep[Digitale zorgtoepassing],B458,uitkomst_doelgroep[Jaar],D458,uitkomst_doelgroep[Arbeidsbesparing (€)],"&gt;0",uitkomst_doelgroep[Uitgangssituatie/effect beleid],uitkomst_tech[[#This Row],[Uitgangssituatie/effect beleid]])</f>
        <v>8234.7152549999992</v>
      </c>
      <c r="G458" s="398">
        <f>SUMIFS(uitkomst_doelgroep[Arbeidsbesparing (€)],uitkomst_doelgroep[Digitale zorgtoepassing],B458,uitkomst_doelgroep[Jaar],D458,uitkomst_doelgroep[Arbeidsbesparing (€)],"&gt;0",uitkomst_doelgroep[Uitgangssituatie/effect beleid],uitkomst_tech[[#This Row],[Uitgangssituatie/effect beleid]])</f>
        <v>226378.89280088723</v>
      </c>
      <c r="H458" s="398">
        <f>SUMIFS(uitkomst_doelgroep[Arbeidsbesparing (FTE)],uitkomst_doelgroep[Digitale zorgtoepassing],B458,uitkomst_doelgroep[Jaar],D458,uitkomst_doelgroep[Arbeidsbesparing (FTE)],"&gt;0",uitkomst_doelgroep[Uitgangssituatie/effect beleid],uitkomst_tech[[#This Row],[Uitgangssituatie/effect beleid]])</f>
        <v>2.6978367506009606</v>
      </c>
      <c r="I458" s="398">
        <f>SUMIFS(uitkomst_doelgroep[Overige besparingen (€)],uitkomst_doelgroep[Digitale zorgtoepassing],B458,uitkomst_doelgroep[Jaar],D458,uitkomst_doelgroep[Overige besparingen (€)],"&gt;0",uitkomst_doelgroep[Uitgangssituatie/effect beleid],uitkomst_tech[[#This Row],[Uitgangssituatie/effect beleid]])</f>
        <v>0</v>
      </c>
      <c r="J458" s="398">
        <f>SUMIFS(uitkomst_doelgroep[QALY (€)],uitkomst_doelgroep[Digitale zorgtoepassing],B458,uitkomst_doelgroep[Jaar],D458,uitkomst_doelgroep[QALY (€)],"&gt;0",uitkomst_doelgroep[Uitgangssituatie/effect beleid],uitkomst_tech[[#This Row],[Uitgangssituatie/effect beleid]])</f>
        <v>0</v>
      </c>
      <c r="K458" s="398">
        <f>SUMIFS(uitkomst_doelgroep[Kosten (€)],uitkomst_doelgroep[Digitale zorgtoepassing],B458,uitkomst_doelgroep[Jaar],D458,uitkomst_doelgroep[Kosten (€)],"&gt;0",uitkomst_doelgroep[Uitgangssituatie/effect beleid],uitkomst_tech[[#This Row],[Uitgangssituatie/effect beleid]])</f>
        <v>192383.96150227071</v>
      </c>
      <c r="L458" s="398">
        <f>SUMIFS(uitkomst_doelgroep[Investering (cash flow) (€)],uitkomst_doelgroep[Digitale zorgtoepassing],B458,uitkomst_doelgroep[Jaar],D458,uitkomst_doelgroep[Investering (cash flow) (€)],"&gt;0",uitkomst_doelgroep[Uitgangssituatie/effect beleid],uitkomst_tech[[#This Row],[Uitgangssituatie/effect beleid]])</f>
        <v>0</v>
      </c>
    </row>
    <row r="459" spans="1:12" x14ac:dyDescent="0.5">
      <c r="A459" s="2" t="str">
        <f>INDEX(Technologieën[Veld],MATCH(B459,Technologieën[Digitale zorgtoepassing],0))</f>
        <v>Software - Diagnose</v>
      </c>
      <c r="B459" s="33" t="s">
        <v>66</v>
      </c>
      <c r="C459" s="33" t="s">
        <v>813</v>
      </c>
      <c r="D459" s="33">
        <v>2028</v>
      </c>
      <c r="E459" s="2"/>
      <c r="F459" s="397">
        <f>SUMIFS(uitkomst_doelgroep[Patiëntaantallen],uitkomst_doelgroep[Digitale zorgtoepassing],B459,uitkomst_doelgroep[Jaar],D459,uitkomst_doelgroep[Arbeidsbesparing (€)],"&gt;0",uitkomst_doelgroep[Uitgangssituatie/effect beleid],uitkomst_tech[[#This Row],[Uitgangssituatie/effect beleid]])</f>
        <v>14679.278845221121</v>
      </c>
      <c r="G459" s="398">
        <f>SUMIFS(uitkomst_doelgroep[Arbeidsbesparing (€)],uitkomst_doelgroep[Digitale zorgtoepassing],B459,uitkomst_doelgroep[Jaar],D459,uitkomst_doelgroep[Arbeidsbesparing (€)],"&gt;0",uitkomst_doelgroep[Uitgangssituatie/effect beleid],uitkomst_tech[[#This Row],[Uitgangssituatie/effect beleid]])</f>
        <v>403545.0879833299</v>
      </c>
      <c r="H459" s="398">
        <f>SUMIFS(uitkomst_doelgroep[Arbeidsbesparing (FTE)],uitkomst_doelgroep[Digitale zorgtoepassing],B459,uitkomst_doelgroep[Jaar],D459,uitkomst_doelgroep[Arbeidsbesparing (FTE)],"&gt;0",uitkomst_doelgroep[Uitgangssituatie/effect beleid],uitkomst_tech[[#This Row],[Uitgangssituatie/effect beleid]])</f>
        <v>4.8091885043518454</v>
      </c>
      <c r="I459" s="398">
        <f>SUMIFS(uitkomst_doelgroep[Overige besparingen (€)],uitkomst_doelgroep[Digitale zorgtoepassing],B459,uitkomst_doelgroep[Jaar],D459,uitkomst_doelgroep[Overige besparingen (€)],"&gt;0",uitkomst_doelgroep[Uitgangssituatie/effect beleid],uitkomst_tech[[#This Row],[Uitgangssituatie/effect beleid]])</f>
        <v>0</v>
      </c>
      <c r="J459" s="398">
        <f>SUMIFS(uitkomst_doelgroep[QALY (€)],uitkomst_doelgroep[Digitale zorgtoepassing],B459,uitkomst_doelgroep[Jaar],D459,uitkomst_doelgroep[QALY (€)],"&gt;0",uitkomst_doelgroep[Uitgangssituatie/effect beleid],uitkomst_tech[[#This Row],[Uitgangssituatie/effect beleid]])</f>
        <v>0</v>
      </c>
      <c r="K459" s="398">
        <f>SUMIFS(uitkomst_doelgroep[Kosten (€)],uitkomst_doelgroep[Digitale zorgtoepassing],B459,uitkomst_doelgroep[Jaar],D459,uitkomst_doelgroep[Kosten (€)],"&gt;0",uitkomst_doelgroep[Uitgangssituatie/effect beleid],uitkomst_tech[[#This Row],[Uitgangssituatie/effect beleid]])</f>
        <v>342945.41204996611</v>
      </c>
      <c r="L459" s="398">
        <f>SUMIFS(uitkomst_doelgroep[Investering (cash flow) (€)],uitkomst_doelgroep[Digitale zorgtoepassing],B459,uitkomst_doelgroep[Jaar],D459,uitkomst_doelgroep[Investering (cash flow) (€)],"&gt;0",uitkomst_doelgroep[Uitgangssituatie/effect beleid],uitkomst_tech[[#This Row],[Uitgangssituatie/effect beleid]])</f>
        <v>0</v>
      </c>
    </row>
    <row r="460" spans="1:12" x14ac:dyDescent="0.5">
      <c r="A460" s="2" t="str">
        <f>INDEX(Technologieën[Veld],MATCH(B460,Technologieën[Digitale zorgtoepassing],0))</f>
        <v>Software - Diagnose</v>
      </c>
      <c r="B460" s="33" t="s">
        <v>66</v>
      </c>
      <c r="C460" s="33" t="s">
        <v>813</v>
      </c>
      <c r="D460" s="33">
        <v>2029</v>
      </c>
      <c r="E460" s="2"/>
      <c r="F460" s="397">
        <f>SUMIFS(uitkomst_doelgroep[Patiëntaantallen],uitkomst_doelgroep[Digitale zorgtoepassing],B460,uitkomst_doelgroep[Jaar],D460,uitkomst_doelgroep[Arbeidsbesparing (€)],"&gt;0",uitkomst_doelgroep[Uitgangssituatie/effect beleid],uitkomst_tech[[#This Row],[Uitgangssituatie/effect beleid]])</f>
        <v>23232.485652653118</v>
      </c>
      <c r="G460" s="398">
        <f>SUMIFS(uitkomst_doelgroep[Arbeidsbesparing (€)],uitkomst_doelgroep[Digitale zorgtoepassing],B460,uitkomst_doelgroep[Jaar],D460,uitkomst_doelgroep[Arbeidsbesparing (€)],"&gt;0",uitkomst_doelgroep[Uitgangssituatie/effect beleid],uitkomst_tech[[#This Row],[Uitgangssituatie/effect beleid]])</f>
        <v>638679.56768349849</v>
      </c>
      <c r="H460" s="398">
        <f>SUMIFS(uitkomst_doelgroep[Arbeidsbesparing (FTE)],uitkomst_doelgroep[Digitale zorgtoepassing],B460,uitkomst_doelgroep[Jaar],D460,uitkomst_doelgroep[Arbeidsbesparing (FTE)],"&gt;0",uitkomst_doelgroep[Uitgangssituatie/effect beleid],uitkomst_tech[[#This Row],[Uitgangssituatie/effect beleid]])</f>
        <v>7.6113686582520623</v>
      </c>
      <c r="I460" s="398">
        <f>SUMIFS(uitkomst_doelgroep[Overige besparingen (€)],uitkomst_doelgroep[Digitale zorgtoepassing],B460,uitkomst_doelgroep[Jaar],D460,uitkomst_doelgroep[Overige besparingen (€)],"&gt;0",uitkomst_doelgroep[Uitgangssituatie/effect beleid],uitkomst_tech[[#This Row],[Uitgangssituatie/effect beleid]])</f>
        <v>0</v>
      </c>
      <c r="J460" s="398">
        <f>SUMIFS(uitkomst_doelgroep[QALY (€)],uitkomst_doelgroep[Digitale zorgtoepassing],B460,uitkomst_doelgroep[Jaar],D460,uitkomst_doelgroep[QALY (€)],"&gt;0",uitkomst_doelgroep[Uitgangssituatie/effect beleid],uitkomst_tech[[#This Row],[Uitgangssituatie/effect beleid]])</f>
        <v>0</v>
      </c>
      <c r="K460" s="398">
        <f>SUMIFS(uitkomst_doelgroep[Kosten (€)],uitkomst_doelgroep[Digitale zorgtoepassing],B460,uitkomst_doelgroep[Jaar],D460,uitkomst_doelgroep[Kosten (€)],"&gt;0",uitkomst_doelgroep[Uitgangssituatie/effect beleid],uitkomst_tech[[#This Row],[Uitgangssituatie/effect beleid]])</f>
        <v>542770.14893602103</v>
      </c>
      <c r="L460" s="398">
        <f>SUMIFS(uitkomst_doelgroep[Investering (cash flow) (€)],uitkomst_doelgroep[Digitale zorgtoepassing],B460,uitkomst_doelgroep[Jaar],D460,uitkomst_doelgroep[Investering (cash flow) (€)],"&gt;0",uitkomst_doelgroep[Uitgangssituatie/effect beleid],uitkomst_tech[[#This Row],[Uitgangssituatie/effect beleid]])</f>
        <v>0</v>
      </c>
    </row>
    <row r="461" spans="1:12" x14ac:dyDescent="0.5">
      <c r="A461" s="2" t="str">
        <f>INDEX(Technologieën[Veld],MATCH(B461,Technologieën[Digitale zorgtoepassing],0))</f>
        <v>Software - Diagnose</v>
      </c>
      <c r="B461" s="33" t="s">
        <v>66</v>
      </c>
      <c r="C461" s="33" t="s">
        <v>813</v>
      </c>
      <c r="D461" s="33">
        <v>2030</v>
      </c>
      <c r="E461" s="2"/>
      <c r="F461" s="397">
        <f>SUMIFS(uitkomst_doelgroep[Patiëntaantallen],uitkomst_doelgroep[Digitale zorgtoepassing],B461,uitkomst_doelgroep[Jaar],D461,uitkomst_doelgroep[Arbeidsbesparing (€)],"&gt;0",uitkomst_doelgroep[Uitgangssituatie/effect beleid],uitkomst_tech[[#This Row],[Uitgangssituatie/effect beleid]])</f>
        <v>34288.672863307729</v>
      </c>
      <c r="G461" s="398">
        <f>SUMIFS(uitkomst_doelgroep[Arbeidsbesparing (€)],uitkomst_doelgroep[Digitale zorgtoepassing],B461,uitkomst_doelgroep[Jaar],D461,uitkomst_doelgroep[Arbeidsbesparing (€)],"&gt;0",uitkomst_doelgroep[Uitgangssituatie/effect beleid],uitkomst_tech[[#This Row],[Uitgangssituatie/effect beleid]])</f>
        <v>942622.9757846595</v>
      </c>
      <c r="H461" s="398">
        <f>SUMIFS(uitkomst_doelgroep[Arbeidsbesparing (FTE)],uitkomst_doelgroep[Digitale zorgtoepassing],B461,uitkomst_doelgroep[Jaar],D461,uitkomst_doelgroep[Arbeidsbesparing (FTE)],"&gt;0",uitkomst_doelgroep[Uitgangssituatie/effect beleid],uitkomst_tech[[#This Row],[Uitgangssituatie/effect beleid]])</f>
        <v>11.233568971774419</v>
      </c>
      <c r="I461" s="398">
        <f>SUMIFS(uitkomst_doelgroep[Overige besparingen (€)],uitkomst_doelgroep[Digitale zorgtoepassing],B461,uitkomst_doelgroep[Jaar],D461,uitkomst_doelgroep[Overige besparingen (€)],"&gt;0",uitkomst_doelgroep[Uitgangssituatie/effect beleid],uitkomst_tech[[#This Row],[Uitgangssituatie/effect beleid]])</f>
        <v>0</v>
      </c>
      <c r="J461" s="398">
        <f>SUMIFS(uitkomst_doelgroep[QALY (€)],uitkomst_doelgroep[Digitale zorgtoepassing],B461,uitkomst_doelgroep[Jaar],D461,uitkomst_doelgroep[QALY (€)],"&gt;0",uitkomst_doelgroep[Uitgangssituatie/effect beleid],uitkomst_tech[[#This Row],[Uitgangssituatie/effect beleid]])</f>
        <v>0</v>
      </c>
      <c r="K461" s="398">
        <f>SUMIFS(uitkomst_doelgroep[Kosten (€)],uitkomst_doelgroep[Digitale zorgtoepassing],B461,uitkomst_doelgroep[Jaar],D461,uitkomst_doelgroep[Kosten (€)],"&gt;0",uitkomst_doelgroep[Uitgangssituatie/effect beleid],uitkomst_tech[[#This Row],[Uitgangssituatie/effect beleid]])</f>
        <v>801070.89508567937</v>
      </c>
      <c r="L461" s="398">
        <f>SUMIFS(uitkomst_doelgroep[Investering (cash flow) (€)],uitkomst_doelgroep[Digitale zorgtoepassing],B461,uitkomst_doelgroep[Jaar],D461,uitkomst_doelgroep[Investering (cash flow) (€)],"&gt;0",uitkomst_doelgroep[Uitgangssituatie/effect beleid],uitkomst_tech[[#This Row],[Uitgangssituatie/effect beleid]])</f>
        <v>0</v>
      </c>
    </row>
    <row r="462" spans="1:12" x14ac:dyDescent="0.5">
      <c r="A462" s="2" t="str">
        <f>INDEX(Technologieën[Veld],MATCH(B462,Technologieën[Digitale zorgtoepassing],0))</f>
        <v>Software - Diagnose</v>
      </c>
      <c r="B462" s="33" t="s">
        <v>66</v>
      </c>
      <c r="C462" s="33" t="s">
        <v>813</v>
      </c>
      <c r="D462" s="33">
        <v>2031</v>
      </c>
      <c r="E462" s="2"/>
      <c r="F462" s="397">
        <f>SUMIFS(uitkomst_doelgroep[Patiëntaantallen],uitkomst_doelgroep[Digitale zorgtoepassing],B462,uitkomst_doelgroep[Jaar],D462,uitkomst_doelgroep[Arbeidsbesparing (€)],"&gt;0",uitkomst_doelgroep[Uitgangssituatie/effect beleid],uitkomst_tech[[#This Row],[Uitgangssituatie/effect beleid]])</f>
        <v>48080.700177021776</v>
      </c>
      <c r="G462" s="398">
        <f>SUMIFS(uitkomst_doelgroep[Arbeidsbesparing (€)],uitkomst_doelgroep[Digitale zorgtoepassing],B462,uitkomst_doelgroep[Jaar],D462,uitkomst_doelgroep[Arbeidsbesparing (€)],"&gt;0",uitkomst_doelgroep[Uitgangssituatie/effect beleid],uitkomst_tech[[#This Row],[Uitgangssituatie/effect beleid]])</f>
        <v>1321776.8112329964</v>
      </c>
      <c r="H462" s="398">
        <f>SUMIFS(uitkomst_doelgroep[Arbeidsbesparing (FTE)],uitkomst_doelgroep[Digitale zorgtoepassing],B462,uitkomst_doelgroep[Jaar],D462,uitkomst_doelgroep[Arbeidsbesparing (FTE)],"&gt;0",uitkomst_doelgroep[Uitgangssituatie/effect beleid],uitkomst_tech[[#This Row],[Uitgangssituatie/effect beleid]])</f>
        <v>15.752078355524812</v>
      </c>
      <c r="I462" s="398">
        <f>SUMIFS(uitkomst_doelgroep[Overige besparingen (€)],uitkomst_doelgroep[Digitale zorgtoepassing],B462,uitkomst_doelgroep[Jaar],D462,uitkomst_doelgroep[Overige besparingen (€)],"&gt;0",uitkomst_doelgroep[Uitgangssituatie/effect beleid],uitkomst_tech[[#This Row],[Uitgangssituatie/effect beleid]])</f>
        <v>0</v>
      </c>
      <c r="J462" s="398">
        <f>SUMIFS(uitkomst_doelgroep[QALY (€)],uitkomst_doelgroep[Digitale zorgtoepassing],B462,uitkomst_doelgroep[Jaar],D462,uitkomst_doelgroep[QALY (€)],"&gt;0",uitkomst_doelgroep[Uitgangssituatie/effect beleid],uitkomst_tech[[#This Row],[Uitgangssituatie/effect beleid]])</f>
        <v>0</v>
      </c>
      <c r="K462" s="398">
        <f>SUMIFS(uitkomst_doelgroep[Kosten (€)],uitkomst_doelgroep[Digitale zorgtoepassing],B462,uitkomst_doelgroep[Jaar],D462,uitkomst_doelgroep[Kosten (€)],"&gt;0",uitkomst_doelgroep[Uitgangssituatie/effect beleid],uitkomst_tech[[#This Row],[Uitgangssituatie/effect beleid]])</f>
        <v>1123287.84729283</v>
      </c>
      <c r="L462" s="398">
        <f>SUMIFS(uitkomst_doelgroep[Investering (cash flow) (€)],uitkomst_doelgroep[Digitale zorgtoepassing],B462,uitkomst_doelgroep[Jaar],D462,uitkomst_doelgroep[Investering (cash flow) (€)],"&gt;0",uitkomst_doelgroep[Uitgangssituatie/effect beleid],uitkomst_tech[[#This Row],[Uitgangssituatie/effect beleid]])</f>
        <v>0</v>
      </c>
    </row>
    <row r="463" spans="1:12" x14ac:dyDescent="0.5">
      <c r="A463" s="2" t="str">
        <f>INDEX(Technologieën[Veld],MATCH(B463,Technologieën[Digitale zorgtoepassing],0))</f>
        <v>Software - Diagnose</v>
      </c>
      <c r="B463" s="33" t="s">
        <v>66</v>
      </c>
      <c r="C463" s="33" t="s">
        <v>813</v>
      </c>
      <c r="D463" s="33">
        <v>2032</v>
      </c>
      <c r="E463" s="2"/>
      <c r="F463" s="397">
        <f>SUMIFS(uitkomst_doelgroep[Patiëntaantallen],uitkomst_doelgroep[Digitale zorgtoepassing],B463,uitkomst_doelgroep[Jaar],D463,uitkomst_doelgroep[Arbeidsbesparing (€)],"&gt;0",uitkomst_doelgroep[Uitgangssituatie/effect beleid],uitkomst_tech[[#This Row],[Uitgangssituatie/effect beleid]])</f>
        <v>64495.816550442818</v>
      </c>
      <c r="G463" s="398">
        <f>SUMIFS(uitkomst_doelgroep[Arbeidsbesparing (€)],uitkomst_doelgroep[Digitale zorgtoepassing],B463,uitkomst_doelgroep[Jaar],D463,uitkomst_doelgroep[Arbeidsbesparing (€)],"&gt;0",uitkomst_doelgroep[Uitgangssituatie/effect beleid],uitkomst_tech[[#This Row],[Uitgangssituatie/effect beleid]])</f>
        <v>1773041.457883219</v>
      </c>
      <c r="H463" s="398">
        <f>SUMIFS(uitkomst_doelgroep[Arbeidsbesparing (FTE)],uitkomst_doelgroep[Digitale zorgtoepassing],B463,uitkomst_doelgroep[Jaar],D463,uitkomst_doelgroep[Arbeidsbesparing (FTE)],"&gt;0",uitkomst_doelgroep[Uitgangssituatie/effect beleid],uitkomst_tech[[#This Row],[Uitgangssituatie/effect beleid]])</f>
        <v>21.12995759557716</v>
      </c>
      <c r="I463" s="398">
        <f>SUMIFS(uitkomst_doelgroep[Overige besparingen (€)],uitkomst_doelgroep[Digitale zorgtoepassing],B463,uitkomst_doelgroep[Jaar],D463,uitkomst_doelgroep[Overige besparingen (€)],"&gt;0",uitkomst_doelgroep[Uitgangssituatie/effect beleid],uitkomst_tech[[#This Row],[Uitgangssituatie/effect beleid]])</f>
        <v>0</v>
      </c>
      <c r="J463" s="398">
        <f>SUMIFS(uitkomst_doelgroep[QALY (€)],uitkomst_doelgroep[Digitale zorgtoepassing],B463,uitkomst_doelgroep[Jaar],D463,uitkomst_doelgroep[QALY (€)],"&gt;0",uitkomst_doelgroep[Uitgangssituatie/effect beleid],uitkomst_tech[[#This Row],[Uitgangssituatie/effect beleid]])</f>
        <v>0</v>
      </c>
      <c r="K463" s="398">
        <f>SUMIFS(uitkomst_doelgroep[Kosten (€)],uitkomst_doelgroep[Digitale zorgtoepassing],B463,uitkomst_doelgroep[Jaar],D463,uitkomst_doelgroep[Kosten (€)],"&gt;0",uitkomst_doelgroep[Uitgangssituatie/effect beleid],uitkomst_tech[[#This Row],[Uitgangssituatie/effect beleid]])</f>
        <v>1506786.8534693986</v>
      </c>
      <c r="L463" s="398">
        <f>SUMIFS(uitkomst_doelgroep[Investering (cash flow) (€)],uitkomst_doelgroep[Digitale zorgtoepassing],B463,uitkomst_doelgroep[Jaar],D463,uitkomst_doelgroep[Investering (cash flow) (€)],"&gt;0",uitkomst_doelgroep[Uitgangssituatie/effect beleid],uitkomst_tech[[#This Row],[Uitgangssituatie/effect beleid]])</f>
        <v>0</v>
      </c>
    </row>
    <row r="464" spans="1:12" x14ac:dyDescent="0.5">
      <c r="A464" s="2" t="str">
        <f>INDEX(Technologieën[Veld],MATCH(B464,Technologieën[Digitale zorgtoepassing],0))</f>
        <v>Software - Diagnose</v>
      </c>
      <c r="B464" s="33" t="s">
        <v>66</v>
      </c>
      <c r="C464" s="33" t="s">
        <v>813</v>
      </c>
      <c r="D464" s="33">
        <v>2033</v>
      </c>
      <c r="E464" s="2"/>
      <c r="F464" s="397">
        <f>SUMIFS(uitkomst_doelgroep[Patiëntaantallen],uitkomst_doelgroep[Digitale zorgtoepassing],B464,uitkomst_doelgroep[Jaar],D464,uitkomst_doelgroep[Arbeidsbesparing (€)],"&gt;0",uitkomst_doelgroep[Uitgangssituatie/effect beleid],uitkomst_tech[[#This Row],[Uitgangssituatie/effect beleid]])</f>
        <v>82890.263370415079</v>
      </c>
      <c r="G464" s="398">
        <f>SUMIFS(uitkomst_doelgroep[Arbeidsbesparing (€)],uitkomst_doelgroep[Digitale zorgtoepassing],B464,uitkomst_doelgroep[Jaar],D464,uitkomst_doelgroep[Arbeidsbesparing (€)],"&gt;0",uitkomst_doelgroep[Uitgangssituatie/effect beleid],uitkomst_tech[[#This Row],[Uitgangssituatie/effect beleid]])</f>
        <v>2278719.4778076764</v>
      </c>
      <c r="H464" s="398">
        <f>SUMIFS(uitkomst_doelgroep[Arbeidsbesparing (FTE)],uitkomst_doelgroep[Digitale zorgtoepassing],B464,uitkomst_doelgroep[Jaar],D464,uitkomst_doelgroep[Arbeidsbesparing (FTE)],"&gt;0",uitkomst_doelgroep[Uitgangssituatie/effect beleid],uitkomst_tech[[#This Row],[Uitgangssituatie/effect beleid]])</f>
        <v>27.156300110306425</v>
      </c>
      <c r="I464" s="398">
        <f>SUMIFS(uitkomst_doelgroep[Overige besparingen (€)],uitkomst_doelgroep[Digitale zorgtoepassing],B464,uitkomst_doelgroep[Jaar],D464,uitkomst_doelgroep[Overige besparingen (€)],"&gt;0",uitkomst_doelgroep[Uitgangssituatie/effect beleid],uitkomst_tech[[#This Row],[Uitgangssituatie/effect beleid]])</f>
        <v>0</v>
      </c>
      <c r="J464" s="398">
        <f>SUMIFS(uitkomst_doelgroep[QALY (€)],uitkomst_doelgroep[Digitale zorgtoepassing],B464,uitkomst_doelgroep[Jaar],D464,uitkomst_doelgroep[QALY (€)],"&gt;0",uitkomst_doelgroep[Uitgangssituatie/effect beleid],uitkomst_tech[[#This Row],[Uitgangssituatie/effect beleid]])</f>
        <v>0</v>
      </c>
      <c r="K464" s="398">
        <f>SUMIFS(uitkomst_doelgroep[Kosten (€)],uitkomst_doelgroep[Digitale zorgtoepassing],B464,uitkomst_doelgroep[Jaar],D464,uitkomst_doelgroep[Kosten (€)],"&gt;0",uitkomst_doelgroep[Uitgangssituatie/effect beleid],uitkomst_tech[[#This Row],[Uitgangssituatie/effect beleid]])</f>
        <v>1936528.0696845436</v>
      </c>
      <c r="L464" s="398">
        <f>SUMIFS(uitkomst_doelgroep[Investering (cash flow) (€)],uitkomst_doelgroep[Digitale zorgtoepassing],B464,uitkomst_doelgroep[Jaar],D464,uitkomst_doelgroep[Investering (cash flow) (€)],"&gt;0",uitkomst_doelgroep[Uitgangssituatie/effect beleid],uitkomst_tech[[#This Row],[Uitgangssituatie/effect beleid]])</f>
        <v>0</v>
      </c>
    </row>
    <row r="465" spans="1:12" x14ac:dyDescent="0.5">
      <c r="A465" s="2" t="str">
        <f>INDEX(Technologieën[Veld],MATCH(B465,Technologieën[Digitale zorgtoepassing],0))</f>
        <v>Software - Diagnose</v>
      </c>
      <c r="B465" s="33" t="s">
        <v>76</v>
      </c>
      <c r="C465" s="33" t="s">
        <v>813</v>
      </c>
      <c r="D465" s="33">
        <v>2023</v>
      </c>
      <c r="E465" s="2"/>
      <c r="F465" s="397">
        <f>SUMIFS(uitkomst_doelgroep[Patiëntaantallen],uitkomst_doelgroep[Digitale zorgtoepassing],B465,uitkomst_doelgroep[Jaar],D465,uitkomst_doelgroep[Arbeidsbesparing (€)],"&gt;0",uitkomst_doelgroep[Uitgangssituatie/effect beleid],uitkomst_tech[[#This Row],[Uitgangssituatie/effect beleid]])</f>
        <v>48000</v>
      </c>
      <c r="G465" s="398">
        <f>SUMIFS(uitkomst_doelgroep[Arbeidsbesparing (€)],uitkomst_doelgroep[Digitale zorgtoepassing],B465,uitkomst_doelgroep[Jaar],D465,uitkomst_doelgroep[Arbeidsbesparing (€)],"&gt;0",uitkomst_doelgroep[Uitgangssituatie/effect beleid],uitkomst_tech[[#This Row],[Uitgangssituatie/effect beleid]])</f>
        <v>2930716.9011494266</v>
      </c>
      <c r="H465" s="398">
        <f>SUMIFS(uitkomst_doelgroep[Arbeidsbesparing (FTE)],uitkomst_doelgroep[Digitale zorgtoepassing],B465,uitkomst_doelgroep[Jaar],D465,uitkomst_doelgroep[Arbeidsbesparing (FTE)],"&gt;0",uitkomst_doelgroep[Uitgangssituatie/effect beleid],uitkomst_tech[[#This Row],[Uitgangssituatie/effect beleid]])</f>
        <v>49.923076923076934</v>
      </c>
      <c r="I465" s="398">
        <f>SUMIFS(uitkomst_doelgroep[Overige besparingen (€)],uitkomst_doelgroep[Digitale zorgtoepassing],B465,uitkomst_doelgroep[Jaar],D465,uitkomst_doelgroep[Overige besparingen (€)],"&gt;0",uitkomst_doelgroep[Uitgangssituatie/effect beleid],uitkomst_tech[[#This Row],[Uitgangssituatie/effect beleid]])</f>
        <v>0</v>
      </c>
      <c r="J465" s="398">
        <f>SUMIFS(uitkomst_doelgroep[QALY (€)],uitkomst_doelgroep[Digitale zorgtoepassing],B465,uitkomst_doelgroep[Jaar],D465,uitkomst_doelgroep[QALY (€)],"&gt;0",uitkomst_doelgroep[Uitgangssituatie/effect beleid],uitkomst_tech[[#This Row],[Uitgangssituatie/effect beleid]])</f>
        <v>0</v>
      </c>
      <c r="K465" s="398">
        <f>SUMIFS(uitkomst_doelgroep[Kosten (€)],uitkomst_doelgroep[Digitale zorgtoepassing],B465,uitkomst_doelgroep[Jaar],D465,uitkomst_doelgroep[Kosten (€)],"&gt;0",uitkomst_doelgroep[Uitgangssituatie/effect beleid],uitkomst_tech[[#This Row],[Uitgangssituatie/effect beleid]])</f>
        <v>2490616.1546637602</v>
      </c>
      <c r="L465" s="398">
        <f>SUMIFS(uitkomst_doelgroep[Investering (cash flow) (€)],uitkomst_doelgroep[Digitale zorgtoepassing],B465,uitkomst_doelgroep[Jaar],D465,uitkomst_doelgroep[Investering (cash flow) (€)],"&gt;0",uitkomst_doelgroep[Uitgangssituatie/effect beleid],uitkomst_tech[[#This Row],[Uitgangssituatie/effect beleid]])</f>
        <v>0</v>
      </c>
    </row>
    <row r="466" spans="1:12" x14ac:dyDescent="0.5">
      <c r="A466" s="2" t="str">
        <f>INDEX(Technologieën[Veld],MATCH(B466,Technologieën[Digitale zorgtoepassing],0))</f>
        <v>Software - Diagnose</v>
      </c>
      <c r="B466" s="33" t="s">
        <v>76</v>
      </c>
      <c r="C466" s="33" t="s">
        <v>813</v>
      </c>
      <c r="D466" s="33">
        <v>2024</v>
      </c>
      <c r="E466" s="2"/>
      <c r="F466" s="397">
        <f>SUMIFS(uitkomst_doelgroep[Patiëntaantallen],uitkomst_doelgroep[Digitale zorgtoepassing],B466,uitkomst_doelgroep[Jaar],D466,uitkomst_doelgroep[Arbeidsbesparing (€)],"&gt;0",uitkomst_doelgroep[Uitgangssituatie/effect beleid],uitkomst_tech[[#This Row],[Uitgangssituatie/effect beleid]])</f>
        <v>62760</v>
      </c>
      <c r="G466" s="398">
        <f>SUMIFS(uitkomst_doelgroep[Arbeidsbesparing (€)],uitkomst_doelgroep[Digitale zorgtoepassing],B466,uitkomst_doelgroep[Jaar],D466,uitkomst_doelgroep[Arbeidsbesparing (€)],"&gt;0",uitkomst_doelgroep[Uitgangssituatie/effect beleid],uitkomst_tech[[#This Row],[Uitgangssituatie/effect beleid]])</f>
        <v>3831912.3482528753</v>
      </c>
      <c r="H466" s="398">
        <f>SUMIFS(uitkomst_doelgroep[Arbeidsbesparing (FTE)],uitkomst_doelgroep[Digitale zorgtoepassing],B466,uitkomst_doelgroep[Jaar],D466,uitkomst_doelgroep[Arbeidsbesparing (FTE)],"&gt;0",uitkomst_doelgroep[Uitgangssituatie/effect beleid],uitkomst_tech[[#This Row],[Uitgangssituatie/effect beleid]])</f>
        <v>65.2744230769231</v>
      </c>
      <c r="I466" s="398">
        <f>SUMIFS(uitkomst_doelgroep[Overige besparingen (€)],uitkomst_doelgroep[Digitale zorgtoepassing],B466,uitkomst_doelgroep[Jaar],D466,uitkomst_doelgroep[Overige besparingen (€)],"&gt;0",uitkomst_doelgroep[Uitgangssituatie/effect beleid],uitkomst_tech[[#This Row],[Uitgangssituatie/effect beleid]])</f>
        <v>0</v>
      </c>
      <c r="J466" s="398">
        <f>SUMIFS(uitkomst_doelgroep[QALY (€)],uitkomst_doelgroep[Digitale zorgtoepassing],B466,uitkomst_doelgroep[Jaar],D466,uitkomst_doelgroep[QALY (€)],"&gt;0",uitkomst_doelgroep[Uitgangssituatie/effect beleid],uitkomst_tech[[#This Row],[Uitgangssituatie/effect beleid]])</f>
        <v>0</v>
      </c>
      <c r="K466" s="398">
        <f>SUMIFS(uitkomst_doelgroep[Kosten (€)],uitkomst_doelgroep[Digitale zorgtoepassing],B466,uitkomst_doelgroep[Jaar],D466,uitkomst_doelgroep[Kosten (€)],"&gt;0",uitkomst_doelgroep[Uitgangssituatie/effect beleid],uitkomst_tech[[#This Row],[Uitgangssituatie/effect beleid]])</f>
        <v>3256480.6222228664</v>
      </c>
      <c r="L466" s="398">
        <f>SUMIFS(uitkomst_doelgroep[Investering (cash flow) (€)],uitkomst_doelgroep[Digitale zorgtoepassing],B466,uitkomst_doelgroep[Jaar],D466,uitkomst_doelgroep[Investering (cash flow) (€)],"&gt;0",uitkomst_doelgroep[Uitgangssituatie/effect beleid],uitkomst_tech[[#This Row],[Uitgangssituatie/effect beleid]])</f>
        <v>0</v>
      </c>
    </row>
    <row r="467" spans="1:12" x14ac:dyDescent="0.5">
      <c r="A467" s="2" t="str">
        <f>INDEX(Technologieën[Veld],MATCH(B467,Technologieën[Digitale zorgtoepassing],0))</f>
        <v>Software - Diagnose</v>
      </c>
      <c r="B467" s="33" t="s">
        <v>76</v>
      </c>
      <c r="C467" s="33" t="s">
        <v>813</v>
      </c>
      <c r="D467" s="33">
        <v>2025</v>
      </c>
      <c r="E467" s="2"/>
      <c r="F467" s="397">
        <f>SUMIFS(uitkomst_doelgroep[Patiëntaantallen],uitkomst_doelgroep[Digitale zorgtoepassing],B467,uitkomst_doelgroep[Jaar],D467,uitkomst_doelgroep[Arbeidsbesparing (€)],"&gt;0",uitkomst_doelgroep[Uitgangssituatie/effect beleid],uitkomst_tech[[#This Row],[Uitgangssituatie/effect beleid]])</f>
        <v>77662.434000000008</v>
      </c>
      <c r="G467" s="398">
        <f>SUMIFS(uitkomst_doelgroep[Arbeidsbesparing (€)],uitkomst_doelgroep[Digitale zorgtoepassing],B467,uitkomst_doelgroep[Jaar],D467,uitkomst_doelgroep[Arbeidsbesparing (€)],"&gt;0",uitkomst_doelgroep[Uitgangssituatie/effect beleid],uitkomst_tech[[#This Row],[Uitgangssituatie/effect beleid]])</f>
        <v>4741804.3314208724</v>
      </c>
      <c r="H467" s="398">
        <f>SUMIFS(uitkomst_doelgroep[Arbeidsbesparing (FTE)],uitkomst_doelgroep[Digitale zorgtoepassing],B467,uitkomst_doelgroep[Jaar],D467,uitkomst_doelgroep[Arbeidsbesparing (FTE)],"&gt;0",uitkomst_doelgroep[Uitgangssituatie/effect beleid],uitkomst_tech[[#This Row],[Uitgangssituatie/effect beleid]])</f>
        <v>80.773909721153871</v>
      </c>
      <c r="I467" s="398">
        <f>SUMIFS(uitkomst_doelgroep[Overige besparingen (€)],uitkomst_doelgroep[Digitale zorgtoepassing],B467,uitkomst_doelgroep[Jaar],D467,uitkomst_doelgroep[Overige besparingen (€)],"&gt;0",uitkomst_doelgroep[Uitgangssituatie/effect beleid],uitkomst_tech[[#This Row],[Uitgangssituatie/effect beleid]])</f>
        <v>0</v>
      </c>
      <c r="J467" s="398">
        <f>SUMIFS(uitkomst_doelgroep[QALY (€)],uitkomst_doelgroep[Digitale zorgtoepassing],B467,uitkomst_doelgroep[Jaar],D467,uitkomst_doelgroep[QALY (€)],"&gt;0",uitkomst_doelgroep[Uitgangssituatie/effect beleid],uitkomst_tech[[#This Row],[Uitgangssituatie/effect beleid]])</f>
        <v>0</v>
      </c>
      <c r="K467" s="398">
        <f>SUMIFS(uitkomst_doelgroep[Kosten (€)],uitkomst_doelgroep[Digitale zorgtoepassing],B467,uitkomst_doelgroep[Jaar],D467,uitkomst_doelgroep[Kosten (€)],"&gt;0",uitkomst_doelgroep[Uitgangssituatie/effect beleid],uitkomst_tech[[#This Row],[Uitgangssituatie/effect beleid]])</f>
        <v>4029735.6818939182</v>
      </c>
      <c r="L467" s="398">
        <f>SUMIFS(uitkomst_doelgroep[Investering (cash flow) (€)],uitkomst_doelgroep[Digitale zorgtoepassing],B467,uitkomst_doelgroep[Jaar],D467,uitkomst_doelgroep[Investering (cash flow) (€)],"&gt;0",uitkomst_doelgroep[Uitgangssituatie/effect beleid],uitkomst_tech[[#This Row],[Uitgangssituatie/effect beleid]])</f>
        <v>0</v>
      </c>
    </row>
    <row r="468" spans="1:12" x14ac:dyDescent="0.5">
      <c r="A468" s="2" t="str">
        <f>INDEX(Technologieën[Veld],MATCH(B468,Technologieën[Digitale zorgtoepassing],0))</f>
        <v>Software - Diagnose</v>
      </c>
      <c r="B468" s="33" t="s">
        <v>76</v>
      </c>
      <c r="C468" s="33" t="s">
        <v>813</v>
      </c>
      <c r="D468" s="33">
        <v>2026</v>
      </c>
      <c r="E468" s="2"/>
      <c r="F468" s="397">
        <f>SUMIFS(uitkomst_doelgroep[Patiëntaantallen],uitkomst_doelgroep[Digitale zorgtoepassing],B468,uitkomst_doelgroep[Jaar],D468,uitkomst_doelgroep[Arbeidsbesparing (€)],"&gt;0",uitkomst_doelgroep[Uitgangssituatie/effect beleid],uitkomst_tech[[#This Row],[Uitgangssituatie/effect beleid]])</f>
        <v>91051.017244483664</v>
      </c>
      <c r="G468" s="398">
        <f>SUMIFS(uitkomst_doelgroep[Arbeidsbesparing (€)],uitkomst_doelgroep[Digitale zorgtoepassing],B468,uitkomst_doelgroep[Jaar],D468,uitkomst_doelgroep[Arbeidsbesparing (€)],"&gt;0",uitkomst_doelgroep[Uitgangssituatie/effect beleid],uitkomst_tech[[#This Row],[Uitgangssituatie/effect beleid]])</f>
        <v>5559265.7313595032</v>
      </c>
      <c r="H468" s="398">
        <f>SUMIFS(uitkomst_doelgroep[Arbeidsbesparing (FTE)],uitkomst_doelgroep[Digitale zorgtoepassing],B468,uitkomst_doelgroep[Jaar],D468,uitkomst_doelgroep[Arbeidsbesparing (FTE)],"&gt;0",uitkomst_doelgroep[Uitgangssituatie/effect beleid],uitkomst_tech[[#This Row],[Uitgangssituatie/effect beleid]])</f>
        <v>94.698894537932546</v>
      </c>
      <c r="I468" s="398">
        <f>SUMIFS(uitkomst_doelgroep[Overige besparingen (€)],uitkomst_doelgroep[Digitale zorgtoepassing],B468,uitkomst_doelgroep[Jaar],D468,uitkomst_doelgroep[Overige besparingen (€)],"&gt;0",uitkomst_doelgroep[Uitgangssituatie/effect beleid],uitkomst_tech[[#This Row],[Uitgangssituatie/effect beleid]])</f>
        <v>0</v>
      </c>
      <c r="J468" s="398">
        <f>SUMIFS(uitkomst_doelgroep[QALY (€)],uitkomst_doelgroep[Digitale zorgtoepassing],B468,uitkomst_doelgroep[Jaar],D468,uitkomst_doelgroep[QALY (€)],"&gt;0",uitkomst_doelgroep[Uitgangssituatie/effect beleid],uitkomst_tech[[#This Row],[Uitgangssituatie/effect beleid]])</f>
        <v>0</v>
      </c>
      <c r="K468" s="398">
        <f>SUMIFS(uitkomst_doelgroep[Kosten (€)],uitkomst_doelgroep[Digitale zorgtoepassing],B468,uitkomst_doelgroep[Jaar],D468,uitkomst_doelgroep[Kosten (€)],"&gt;0",uitkomst_doelgroep[Uitgangssituatie/effect beleid],uitkomst_tech[[#This Row],[Uitgangssituatie/effect beleid]])</f>
        <v>4724440.3009933252</v>
      </c>
      <c r="L468" s="398">
        <f>SUMIFS(uitkomst_doelgroep[Investering (cash flow) (€)],uitkomst_doelgroep[Digitale zorgtoepassing],B468,uitkomst_doelgroep[Jaar],D468,uitkomst_doelgroep[Investering (cash flow) (€)],"&gt;0",uitkomst_doelgroep[Uitgangssituatie/effect beleid],uitkomst_tech[[#This Row],[Uitgangssituatie/effect beleid]])</f>
        <v>0</v>
      </c>
    </row>
    <row r="469" spans="1:12" x14ac:dyDescent="0.5">
      <c r="A469" s="2" t="str">
        <f>INDEX(Technologieën[Veld],MATCH(B469,Technologieën[Digitale zorgtoepassing],0))</f>
        <v>Software - Diagnose</v>
      </c>
      <c r="B469" s="33" t="s">
        <v>76</v>
      </c>
      <c r="C469" s="33" t="s">
        <v>813</v>
      </c>
      <c r="D469" s="33">
        <v>2027</v>
      </c>
      <c r="E469" s="2"/>
      <c r="F469" s="397">
        <f>SUMIFS(uitkomst_doelgroep[Patiëntaantallen],uitkomst_doelgroep[Digitale zorgtoepassing],B469,uitkomst_doelgroep[Jaar],D469,uitkomst_doelgroep[Arbeidsbesparing (€)],"&gt;0",uitkomst_doelgroep[Uitgangssituatie/effect beleid],uitkomst_tech[[#This Row],[Uitgangssituatie/effect beleid]])</f>
        <v>101659.120543682</v>
      </c>
      <c r="G469" s="398">
        <f>SUMIFS(uitkomst_doelgroep[Arbeidsbesparing (€)],uitkomst_doelgroep[Digitale zorgtoepassing],B469,uitkomst_doelgroep[Jaar],D469,uitkomst_doelgroep[Arbeidsbesparing (€)],"&gt;0",uitkomst_doelgroep[Uitgangssituatie/effect beleid],uitkomst_tech[[#This Row],[Uitgangssituatie/effect beleid]])</f>
        <v>6206960.4736115774</v>
      </c>
      <c r="H469" s="398">
        <f>SUMIFS(uitkomst_doelgroep[Arbeidsbesparing (FTE)],uitkomst_doelgroep[Digitale zorgtoepassing],B469,uitkomst_doelgroep[Jaar],D469,uitkomst_doelgroep[Arbeidsbesparing (FTE)],"&gt;0",uitkomst_doelgroep[Uitgangssituatie/effect beleid],uitkomst_tech[[#This Row],[Uitgangssituatie/effect beleid]])</f>
        <v>105.73200197572056</v>
      </c>
      <c r="I469" s="398">
        <f>SUMIFS(uitkomst_doelgroep[Overige besparingen (€)],uitkomst_doelgroep[Digitale zorgtoepassing],B469,uitkomst_doelgroep[Jaar],D469,uitkomst_doelgroep[Overige besparingen (€)],"&gt;0",uitkomst_doelgroep[Uitgangssituatie/effect beleid],uitkomst_tech[[#This Row],[Uitgangssituatie/effect beleid]])</f>
        <v>0</v>
      </c>
      <c r="J469" s="398">
        <f>SUMIFS(uitkomst_doelgroep[QALY (€)],uitkomst_doelgroep[Digitale zorgtoepassing],B469,uitkomst_doelgroep[Jaar],D469,uitkomst_doelgroep[QALY (€)],"&gt;0",uitkomst_doelgroep[Uitgangssituatie/effect beleid],uitkomst_tech[[#This Row],[Uitgangssituatie/effect beleid]])</f>
        <v>0</v>
      </c>
      <c r="K469" s="398">
        <f>SUMIFS(uitkomst_doelgroep[Kosten (€)],uitkomst_doelgroep[Digitale zorgtoepassing],B469,uitkomst_doelgroep[Jaar],D469,uitkomst_doelgroep[Kosten (€)],"&gt;0",uitkomst_doelgroep[Uitgangssituatie/effect beleid],uitkomst_tech[[#This Row],[Uitgangssituatie/effect beleid]])</f>
        <v>5274871.8311459357</v>
      </c>
      <c r="L469" s="398">
        <f>SUMIFS(uitkomst_doelgroep[Investering (cash flow) (€)],uitkomst_doelgroep[Digitale zorgtoepassing],B469,uitkomst_doelgroep[Jaar],D469,uitkomst_doelgroep[Investering (cash flow) (€)],"&gt;0",uitkomst_doelgroep[Uitgangssituatie/effect beleid],uitkomst_tech[[#This Row],[Uitgangssituatie/effect beleid]])</f>
        <v>0</v>
      </c>
    </row>
    <row r="470" spans="1:12" x14ac:dyDescent="0.5">
      <c r="A470" s="2" t="str">
        <f>INDEX(Technologieën[Veld],MATCH(B470,Technologieën[Digitale zorgtoepassing],0))</f>
        <v>Software - Diagnose</v>
      </c>
      <c r="B470" s="33" t="s">
        <v>76</v>
      </c>
      <c r="C470" s="33" t="s">
        <v>813</v>
      </c>
      <c r="D470" s="33">
        <v>2028</v>
      </c>
      <c r="E470" s="2"/>
      <c r="F470" s="397">
        <f>SUMIFS(uitkomst_doelgroep[Patiëntaantallen],uitkomst_doelgroep[Digitale zorgtoepassing],B470,uitkomst_doelgroep[Jaar],D470,uitkomst_doelgroep[Arbeidsbesparing (€)],"&gt;0",uitkomst_doelgroep[Uitgangssituatie/effect beleid],uitkomst_tech[[#This Row],[Uitgangssituatie/effect beleid]])</f>
        <v>109109.5838133161</v>
      </c>
      <c r="G470" s="398">
        <f>SUMIFS(uitkomst_doelgroep[Arbeidsbesparing (€)],uitkomst_doelgroep[Digitale zorgtoepassing],B470,uitkomst_doelgroep[Jaar],D470,uitkomst_doelgroep[Arbeidsbesparing (€)],"&gt;0",uitkomst_doelgroep[Uitgangssituatie/effect beleid],uitkomst_tech[[#This Row],[Uitgangssituatie/effect beleid]])</f>
        <v>6661860.4449805282</v>
      </c>
      <c r="H470" s="398">
        <f>SUMIFS(uitkomst_doelgroep[Arbeidsbesparing (FTE)],uitkomst_doelgroep[Digitale zorgtoepassing],B470,uitkomst_doelgroep[Jaar],D470,uitkomst_doelgroep[Arbeidsbesparing (FTE)],"&gt;0",uitkomst_doelgroep[Uitgangssituatie/effect beleid],uitkomst_tech[[#This Row],[Uitgangssituatie/effect beleid]])</f>
        <v>113.48096136993937</v>
      </c>
      <c r="I470" s="398">
        <f>SUMIFS(uitkomst_doelgroep[Overige besparingen (€)],uitkomst_doelgroep[Digitale zorgtoepassing],B470,uitkomst_doelgroep[Jaar],D470,uitkomst_doelgroep[Overige besparingen (€)],"&gt;0",uitkomst_doelgroep[Uitgangssituatie/effect beleid],uitkomst_tech[[#This Row],[Uitgangssituatie/effect beleid]])</f>
        <v>0</v>
      </c>
      <c r="J470" s="398">
        <f>SUMIFS(uitkomst_doelgroep[QALY (€)],uitkomst_doelgroep[Digitale zorgtoepassing],B470,uitkomst_doelgroep[Jaar],D470,uitkomst_doelgroep[QALY (€)],"&gt;0",uitkomst_doelgroep[Uitgangssituatie/effect beleid],uitkomst_tech[[#This Row],[Uitgangssituatie/effect beleid]])</f>
        <v>0</v>
      </c>
      <c r="K470" s="398">
        <f>SUMIFS(uitkomst_doelgroep[Kosten (€)],uitkomst_doelgroep[Digitale zorgtoepassing],B470,uitkomst_doelgroep[Jaar],D470,uitkomst_doelgroep[Kosten (€)],"&gt;0",uitkomst_doelgroep[Uitgangssituatie/effect beleid],uitkomst_tech[[#This Row],[Uitgangssituatie/effect beleid]])</f>
        <v>5661460.2515434287</v>
      </c>
      <c r="L470" s="398">
        <f>SUMIFS(uitkomst_doelgroep[Investering (cash flow) (€)],uitkomst_doelgroep[Digitale zorgtoepassing],B470,uitkomst_doelgroep[Jaar],D470,uitkomst_doelgroep[Investering (cash flow) (€)],"&gt;0",uitkomst_doelgroep[Uitgangssituatie/effect beleid],uitkomst_tech[[#This Row],[Uitgangssituatie/effect beleid]])</f>
        <v>0</v>
      </c>
    </row>
    <row r="471" spans="1:12" x14ac:dyDescent="0.5">
      <c r="A471" s="2" t="str">
        <f>INDEX(Technologieën[Veld],MATCH(B471,Technologieën[Digitale zorgtoepassing],0))</f>
        <v>Software - Diagnose</v>
      </c>
      <c r="B471" s="33" t="s">
        <v>76</v>
      </c>
      <c r="C471" s="33" t="s">
        <v>813</v>
      </c>
      <c r="D471" s="33">
        <v>2029</v>
      </c>
      <c r="E471" s="2"/>
      <c r="F471" s="397">
        <f>SUMIFS(uitkomst_doelgroep[Patiëntaantallen],uitkomst_doelgroep[Digitale zorgtoepassing],B471,uitkomst_doelgroep[Jaar],D471,uitkomst_doelgroep[Arbeidsbesparing (€)],"&gt;0",uitkomst_doelgroep[Uitgangssituatie/effect beleid],uitkomst_tech[[#This Row],[Uitgangssituatie/effect beleid]])</f>
        <v>113837.777134294</v>
      </c>
      <c r="G471" s="398">
        <f>SUMIFS(uitkomst_doelgroep[Arbeidsbesparing (€)],uitkomst_doelgroep[Digitale zorgtoepassing],B471,uitkomst_doelgroep[Jaar],D471,uitkomst_doelgroep[Arbeidsbesparing (€)],"&gt;0",uitkomst_doelgroep[Uitgangssituatie/effect beleid],uitkomst_tech[[#This Row],[Uitgangssituatie/effect beleid]])</f>
        <v>6950547.8632657742</v>
      </c>
      <c r="H471" s="398">
        <f>SUMIFS(uitkomst_doelgroep[Arbeidsbesparing (FTE)],uitkomst_doelgroep[Digitale zorgtoepassing],B471,uitkomst_doelgroep[Jaar],D471,uitkomst_doelgroep[Arbeidsbesparing (FTE)],"&gt;0",uitkomst_doelgroep[Uitgangssituatie/effect beleid],uitkomst_tech[[#This Row],[Uitgangssituatie/effect beleid]])</f>
        <v>118.39858551307184</v>
      </c>
      <c r="I471" s="398">
        <f>SUMIFS(uitkomst_doelgroep[Overige besparingen (€)],uitkomst_doelgroep[Digitale zorgtoepassing],B471,uitkomst_doelgroep[Jaar],D471,uitkomst_doelgroep[Overige besparingen (€)],"&gt;0",uitkomst_doelgroep[Uitgangssituatie/effect beleid],uitkomst_tech[[#This Row],[Uitgangssituatie/effect beleid]])</f>
        <v>0</v>
      </c>
      <c r="J471" s="398">
        <f>SUMIFS(uitkomst_doelgroep[QALY (€)],uitkomst_doelgroep[Digitale zorgtoepassing],B471,uitkomst_doelgroep[Jaar],D471,uitkomst_doelgroep[QALY (€)],"&gt;0",uitkomst_doelgroep[Uitgangssituatie/effect beleid],uitkomst_tech[[#This Row],[Uitgangssituatie/effect beleid]])</f>
        <v>0</v>
      </c>
      <c r="K471" s="398">
        <f>SUMIFS(uitkomst_doelgroep[Kosten (€)],uitkomst_doelgroep[Digitale zorgtoepassing],B471,uitkomst_doelgroep[Jaar],D471,uitkomst_doelgroep[Kosten (€)],"&gt;0",uitkomst_doelgroep[Uitgangssituatie/effect beleid],uitkomst_tech[[#This Row],[Uitgangssituatie/effect beleid]])</f>
        <v>5906795.9737851135</v>
      </c>
      <c r="L471" s="398">
        <f>SUMIFS(uitkomst_doelgroep[Investering (cash flow) (€)],uitkomst_doelgroep[Digitale zorgtoepassing],B471,uitkomst_doelgroep[Jaar],D471,uitkomst_doelgroep[Investering (cash flow) (€)],"&gt;0",uitkomst_doelgroep[Uitgangssituatie/effect beleid],uitkomst_tech[[#This Row],[Uitgangssituatie/effect beleid]])</f>
        <v>0</v>
      </c>
    </row>
    <row r="472" spans="1:12" x14ac:dyDescent="0.5">
      <c r="A472" s="2" t="str">
        <f>INDEX(Technologieën[Veld],MATCH(B472,Technologieën[Digitale zorgtoepassing],0))</f>
        <v>Software - Diagnose</v>
      </c>
      <c r="B472" s="33" t="s">
        <v>76</v>
      </c>
      <c r="C472" s="33" t="s">
        <v>813</v>
      </c>
      <c r="D472" s="33">
        <v>2030</v>
      </c>
      <c r="E472" s="2"/>
      <c r="F472" s="397">
        <f>SUMIFS(uitkomst_doelgroep[Patiëntaantallen],uitkomst_doelgroep[Digitale zorgtoepassing],B472,uitkomst_doelgroep[Jaar],D472,uitkomst_doelgroep[Arbeidsbesparing (€)],"&gt;0",uitkomst_doelgroep[Uitgangssituatie/effect beleid],uitkomst_tech[[#This Row],[Uitgangssituatie/effect beleid]])</f>
        <v>116622.43428057949</v>
      </c>
      <c r="G472" s="398">
        <f>SUMIFS(uitkomst_doelgroep[Arbeidsbesparing (€)],uitkomst_doelgroep[Digitale zorgtoepassing],B472,uitkomst_doelgroep[Jaar],D472,uitkomst_doelgroep[Arbeidsbesparing (€)],"&gt;0",uitkomst_doelgroep[Uitgangssituatie/effect beleid],uitkomst_tech[[#This Row],[Uitgangssituatie/effect beleid]])</f>
        <v>7120569.5666517196</v>
      </c>
      <c r="H472" s="398">
        <f>SUMIFS(uitkomst_doelgroep[Arbeidsbesparing (FTE)],uitkomst_doelgroep[Digitale zorgtoepassing],B472,uitkomst_doelgroep[Jaar],D472,uitkomst_doelgroep[Arbeidsbesparing (FTE)],"&gt;0",uitkomst_doelgroep[Uitgangssituatie/effect beleid],uitkomst_tech[[#This Row],[Uitgangssituatie/effect beleid]])</f>
        <v>121.29480744887196</v>
      </c>
      <c r="I472" s="398">
        <f>SUMIFS(uitkomst_doelgroep[Overige besparingen (€)],uitkomst_doelgroep[Digitale zorgtoepassing],B472,uitkomst_doelgroep[Jaar],D472,uitkomst_doelgroep[Overige besparingen (€)],"&gt;0",uitkomst_doelgroep[Uitgangssituatie/effect beleid],uitkomst_tech[[#This Row],[Uitgangssituatie/effect beleid]])</f>
        <v>0</v>
      </c>
      <c r="J472" s="398">
        <f>SUMIFS(uitkomst_doelgroep[QALY (€)],uitkomst_doelgroep[Digitale zorgtoepassing],B472,uitkomst_doelgroep[Jaar],D472,uitkomst_doelgroep[QALY (€)],"&gt;0",uitkomst_doelgroep[Uitgangssituatie/effect beleid],uitkomst_tech[[#This Row],[Uitgangssituatie/effect beleid]])</f>
        <v>0</v>
      </c>
      <c r="K472" s="398">
        <f>SUMIFS(uitkomst_doelgroep[Kosten (€)],uitkomst_doelgroep[Digitale zorgtoepassing],B472,uitkomst_doelgroep[Jaar],D472,uitkomst_doelgroep[Kosten (€)],"&gt;0",uitkomst_doelgroep[Uitgangssituatie/effect beleid],uitkomst_tech[[#This Row],[Uitgangssituatie/effect beleid]])</f>
        <v>6051285.8086546659</v>
      </c>
      <c r="L472" s="398">
        <f>SUMIFS(uitkomst_doelgroep[Investering (cash flow) (€)],uitkomst_doelgroep[Digitale zorgtoepassing],B472,uitkomst_doelgroep[Jaar],D472,uitkomst_doelgroep[Investering (cash flow) (€)],"&gt;0",uitkomst_doelgroep[Uitgangssituatie/effect beleid],uitkomst_tech[[#This Row],[Uitgangssituatie/effect beleid]])</f>
        <v>0</v>
      </c>
    </row>
    <row r="473" spans="1:12" x14ac:dyDescent="0.5">
      <c r="A473" s="2" t="str">
        <f>INDEX(Technologieën[Veld],MATCH(B473,Technologieën[Digitale zorgtoepassing],0))</f>
        <v>Software - Diagnose</v>
      </c>
      <c r="B473" s="33" t="s">
        <v>76</v>
      </c>
      <c r="C473" s="33" t="s">
        <v>813</v>
      </c>
      <c r="D473" s="33">
        <v>2031</v>
      </c>
      <c r="E473" s="2"/>
      <c r="F473" s="397">
        <f>SUMIFS(uitkomst_doelgroep[Patiëntaantallen],uitkomst_doelgroep[Digitale zorgtoepassing],B473,uitkomst_doelgroep[Jaar],D473,uitkomst_doelgroep[Arbeidsbesparing (€)],"&gt;0",uitkomst_doelgroep[Uitgangssituatie/effect beleid],uitkomst_tech[[#This Row],[Uitgangssituatie/effect beleid]])</f>
        <v>118183.99818409547</v>
      </c>
      <c r="G473" s="398">
        <f>SUMIFS(uitkomst_doelgroep[Arbeidsbesparing (€)],uitkomst_doelgroep[Digitale zorgtoepassing],B473,uitkomst_doelgroep[Jaar],D473,uitkomst_doelgroep[Arbeidsbesparing (€)],"&gt;0",uitkomst_doelgroep[Uitgangssituatie/effect beleid],uitkomst_tech[[#This Row],[Uitgangssituatie/effect beleid]])</f>
        <v>7215913.3525737859</v>
      </c>
      <c r="H473" s="398">
        <f>SUMIFS(uitkomst_doelgroep[Arbeidsbesparing (FTE)],uitkomst_doelgroep[Digitale zorgtoepassing],B473,uitkomst_doelgroep[Jaar],D473,uitkomst_doelgroep[Arbeidsbesparing (FTE)],"&gt;0",uitkomst_doelgroep[Uitgangssituatie/effect beleid],uitkomst_tech[[#This Row],[Uitgangssituatie/effect beleid]])</f>
        <v>122.91893400877881</v>
      </c>
      <c r="I473" s="398">
        <f>SUMIFS(uitkomst_doelgroep[Overige besparingen (€)],uitkomst_doelgroep[Digitale zorgtoepassing],B473,uitkomst_doelgroep[Jaar],D473,uitkomst_doelgroep[Overige besparingen (€)],"&gt;0",uitkomst_doelgroep[Uitgangssituatie/effect beleid],uitkomst_tech[[#This Row],[Uitgangssituatie/effect beleid]])</f>
        <v>0</v>
      </c>
      <c r="J473" s="398">
        <f>SUMIFS(uitkomst_doelgroep[QALY (€)],uitkomst_doelgroep[Digitale zorgtoepassing],B473,uitkomst_doelgroep[Jaar],D473,uitkomst_doelgroep[QALY (€)],"&gt;0",uitkomst_doelgroep[Uitgangssituatie/effect beleid],uitkomst_tech[[#This Row],[Uitgangssituatie/effect beleid]])</f>
        <v>0</v>
      </c>
      <c r="K473" s="398">
        <f>SUMIFS(uitkomst_doelgroep[Kosten (€)],uitkomst_doelgroep[Digitale zorgtoepassing],B473,uitkomst_doelgroep[Jaar],D473,uitkomst_doelgroep[Kosten (€)],"&gt;0",uitkomst_doelgroep[Uitgangssituatie/effect beleid],uitkomst_tech[[#This Row],[Uitgangssituatie/effect beleid]])</f>
        <v>6132311.981251264</v>
      </c>
      <c r="L473" s="398">
        <f>SUMIFS(uitkomst_doelgroep[Investering (cash flow) (€)],uitkomst_doelgroep[Digitale zorgtoepassing],B473,uitkomst_doelgroep[Jaar],D473,uitkomst_doelgroep[Investering (cash flow) (€)],"&gt;0",uitkomst_doelgroep[Uitgangssituatie/effect beleid],uitkomst_tech[[#This Row],[Uitgangssituatie/effect beleid]])</f>
        <v>0</v>
      </c>
    </row>
    <row r="474" spans="1:12" x14ac:dyDescent="0.5">
      <c r="A474" s="2" t="str">
        <f>INDEX(Technologieën[Veld],MATCH(B474,Technologieën[Digitale zorgtoepassing],0))</f>
        <v>Software - Diagnose</v>
      </c>
      <c r="B474" s="33" t="s">
        <v>76</v>
      </c>
      <c r="C474" s="33" t="s">
        <v>813</v>
      </c>
      <c r="D474" s="33">
        <v>2032</v>
      </c>
      <c r="E474" s="2"/>
      <c r="F474" s="397">
        <f>SUMIFS(uitkomst_doelgroep[Patiëntaantallen],uitkomst_doelgroep[Digitale zorgtoepassing],B474,uitkomst_doelgroep[Jaar],D474,uitkomst_doelgroep[Arbeidsbesparing (€)],"&gt;0",uitkomst_doelgroep[Uitgangssituatie/effect beleid],uitkomst_tech[[#This Row],[Uitgangssituatie/effect beleid]])</f>
        <v>119034.23206191749</v>
      </c>
      <c r="G474" s="398">
        <f>SUMIFS(uitkomst_doelgroep[Arbeidsbesparing (€)],uitkomst_doelgroep[Digitale zorgtoepassing],B474,uitkomst_doelgroep[Jaar],D474,uitkomst_doelgroep[Arbeidsbesparing (€)],"&gt;0",uitkomst_doelgroep[Uitgangssituatie/effect beleid],uitkomst_tech[[#This Row],[Uitgangssituatie/effect beleid]])</f>
        <v>7267825.7441500938</v>
      </c>
      <c r="H474" s="398">
        <f>SUMIFS(uitkomst_doelgroep[Arbeidsbesparing (FTE)],uitkomst_doelgroep[Digitale zorgtoepassing],B474,uitkomst_doelgroep[Jaar],D474,uitkomst_doelgroep[Arbeidsbesparing (FTE)],"&gt;0",uitkomst_doelgroep[Uitgangssituatie/effect beleid],uitkomst_tech[[#This Row],[Uitgangssituatie/effect beleid]])</f>
        <v>123.80323174388536</v>
      </c>
      <c r="I474" s="398">
        <f>SUMIFS(uitkomst_doelgroep[Overige besparingen (€)],uitkomst_doelgroep[Digitale zorgtoepassing],B474,uitkomst_doelgroep[Jaar],D474,uitkomst_doelgroep[Overige besparingen (€)],"&gt;0",uitkomst_doelgroep[Uitgangssituatie/effect beleid],uitkomst_tech[[#This Row],[Uitgangssituatie/effect beleid]])</f>
        <v>0</v>
      </c>
      <c r="J474" s="398">
        <f>SUMIFS(uitkomst_doelgroep[QALY (€)],uitkomst_doelgroep[Digitale zorgtoepassing],B474,uitkomst_doelgroep[Jaar],D474,uitkomst_doelgroep[QALY (€)],"&gt;0",uitkomst_doelgroep[Uitgangssituatie/effect beleid],uitkomst_tech[[#This Row],[Uitgangssituatie/effect beleid]])</f>
        <v>0</v>
      </c>
      <c r="K474" s="398">
        <f>SUMIFS(uitkomst_doelgroep[Kosten (€)],uitkomst_doelgroep[Digitale zorgtoepassing],B474,uitkomst_doelgroep[Jaar],D474,uitkomst_doelgroep[Kosten (€)],"&gt;0",uitkomst_doelgroep[Uitgangssituatie/effect beleid],uitkomst_tech[[#This Row],[Uitgangssituatie/effect beleid]])</f>
        <v>6176428.7777376371</v>
      </c>
      <c r="L474" s="398">
        <f>SUMIFS(uitkomst_doelgroep[Investering (cash flow) (€)],uitkomst_doelgroep[Digitale zorgtoepassing],B474,uitkomst_doelgroep[Jaar],D474,uitkomst_doelgroep[Investering (cash flow) (€)],"&gt;0",uitkomst_doelgroep[Uitgangssituatie/effect beleid],uitkomst_tech[[#This Row],[Uitgangssituatie/effect beleid]])</f>
        <v>0</v>
      </c>
    </row>
    <row r="475" spans="1:12" x14ac:dyDescent="0.5">
      <c r="A475" s="2" t="str">
        <f>INDEX(Technologieën[Veld],MATCH(B475,Technologieën[Digitale zorgtoepassing],0))</f>
        <v>Software - Diagnose</v>
      </c>
      <c r="B475" s="33" t="s">
        <v>76</v>
      </c>
      <c r="C475" s="33" t="s">
        <v>813</v>
      </c>
      <c r="D475" s="33">
        <v>2033</v>
      </c>
      <c r="E475" s="2"/>
      <c r="F475" s="397">
        <f>SUMIFS(uitkomst_doelgroep[Patiëntaantallen],uitkomst_doelgroep[Digitale zorgtoepassing],B475,uitkomst_doelgroep[Jaar],D475,uitkomst_doelgroep[Arbeidsbesparing (€)],"&gt;0",uitkomst_doelgroep[Uitgangssituatie/effect beleid],uitkomst_tech[[#This Row],[Uitgangssituatie/effect beleid]])</f>
        <v>119489.47417859331</v>
      </c>
      <c r="G475" s="398">
        <f>SUMIFS(uitkomst_doelgroep[Arbeidsbesparing (€)],uitkomst_doelgroep[Digitale zorgtoepassing],B475,uitkomst_doelgroep[Jaar],D475,uitkomst_doelgroep[Arbeidsbesparing (€)],"&gt;0",uitkomst_doelgroep[Uitgangssituatie/effect beleid],uitkomst_tech[[#This Row],[Uitgangssituatie/effect beleid]])</f>
        <v>7295621.2809304465</v>
      </c>
      <c r="H475" s="398">
        <f>SUMIFS(uitkomst_doelgroep[Arbeidsbesparing (FTE)],uitkomst_doelgroep[Digitale zorgtoepassing],B475,uitkomst_doelgroep[Jaar],D475,uitkomst_doelgroep[Arbeidsbesparing (FTE)],"&gt;0",uitkomst_doelgroep[Uitgangssituatie/effect beleid],uitkomst_tech[[#This Row],[Uitgangssituatie/effect beleid]])</f>
        <v>124.2767127274152</v>
      </c>
      <c r="I475" s="398">
        <f>SUMIFS(uitkomst_doelgroep[Overige besparingen (€)],uitkomst_doelgroep[Digitale zorgtoepassing],B475,uitkomst_doelgroep[Jaar],D475,uitkomst_doelgroep[Overige besparingen (€)],"&gt;0",uitkomst_doelgroep[Uitgangssituatie/effect beleid],uitkomst_tech[[#This Row],[Uitgangssituatie/effect beleid]])</f>
        <v>0</v>
      </c>
      <c r="J475" s="398">
        <f>SUMIFS(uitkomst_doelgroep[QALY (€)],uitkomst_doelgroep[Digitale zorgtoepassing],B475,uitkomst_doelgroep[Jaar],D475,uitkomst_doelgroep[QALY (€)],"&gt;0",uitkomst_doelgroep[Uitgangssituatie/effect beleid],uitkomst_tech[[#This Row],[Uitgangssituatie/effect beleid]])</f>
        <v>0</v>
      </c>
      <c r="K475" s="398">
        <f>SUMIFS(uitkomst_doelgroep[Kosten (€)],uitkomst_doelgroep[Digitale zorgtoepassing],B475,uitkomst_doelgroep[Jaar],D475,uitkomst_doelgroep[Kosten (€)],"&gt;0",uitkomst_doelgroep[Uitgangssituatie/effect beleid],uitkomst_tech[[#This Row],[Uitgangssituatie/effect beleid]])</f>
        <v>6200050.3062808905</v>
      </c>
      <c r="L475" s="398">
        <f>SUMIFS(uitkomst_doelgroep[Investering (cash flow) (€)],uitkomst_doelgroep[Digitale zorgtoepassing],B475,uitkomst_doelgroep[Jaar],D475,uitkomst_doelgroep[Investering (cash flow) (€)],"&gt;0",uitkomst_doelgroep[Uitgangssituatie/effect beleid],uitkomst_tech[[#This Row],[Uitgangssituatie/effect beleid]])</f>
        <v>0</v>
      </c>
    </row>
    <row r="476" spans="1:12" x14ac:dyDescent="0.5">
      <c r="A476" s="2" t="str">
        <f>INDEX(Technologieën[Veld],MATCH(B476,Technologieën[Digitale zorgtoepassing],0))</f>
        <v>Software - Behandeling</v>
      </c>
      <c r="B476" s="33" t="s">
        <v>578</v>
      </c>
      <c r="C476" s="33" t="s">
        <v>813</v>
      </c>
      <c r="D476" s="33">
        <v>2023</v>
      </c>
      <c r="E476" s="2"/>
      <c r="F476" s="397">
        <f>SUMIFS(uitkomst_doelgroep[Patiëntaantallen],uitkomst_doelgroep[Digitale zorgtoepassing],B476,uitkomst_doelgroep[Jaar],D476,uitkomst_doelgroep[Arbeidsbesparing (€)],"&gt;0",uitkomst_doelgroep[Uitgangssituatie/effect beleid],uitkomst_tech[[#This Row],[Uitgangssituatie/effect beleid]])</f>
        <v>7200</v>
      </c>
      <c r="G476" s="398">
        <f>SUMIFS(uitkomst_doelgroep[Arbeidsbesparing (€)],uitkomst_doelgroep[Digitale zorgtoepassing],B476,uitkomst_doelgroep[Jaar],D476,uitkomst_doelgroep[Arbeidsbesparing (€)],"&gt;0",uitkomst_doelgroep[Uitgangssituatie/effect beleid],uitkomst_tech[[#This Row],[Uitgangssituatie/effect beleid]])</f>
        <v>2776236.455172414</v>
      </c>
      <c r="H476" s="398">
        <f>SUMIFS(uitkomst_doelgroep[Arbeidsbesparing (FTE)],uitkomst_doelgroep[Digitale zorgtoepassing],B476,uitkomst_doelgroep[Jaar],D476,uitkomst_doelgroep[Arbeidsbesparing (FTE)],"&gt;0",uitkomst_doelgroep[Uitgangssituatie/effect beleid],uitkomst_tech[[#This Row],[Uitgangssituatie/effect beleid]])</f>
        <v>33.085384615384612</v>
      </c>
      <c r="I476" s="398">
        <f>SUMIFS(uitkomst_doelgroep[Overige besparingen (€)],uitkomst_doelgroep[Digitale zorgtoepassing],B476,uitkomst_doelgroep[Jaar],D476,uitkomst_doelgroep[Overige besparingen (€)],"&gt;0",uitkomst_doelgroep[Uitgangssituatie/effect beleid],uitkomst_tech[[#This Row],[Uitgangssituatie/effect beleid]])</f>
        <v>0</v>
      </c>
      <c r="J476" s="398">
        <f>SUMIFS(uitkomst_doelgroep[QALY (€)],uitkomst_doelgroep[Digitale zorgtoepassing],B476,uitkomst_doelgroep[Jaar],D476,uitkomst_doelgroep[QALY (€)],"&gt;0",uitkomst_doelgroep[Uitgangssituatie/effect beleid],uitkomst_tech[[#This Row],[Uitgangssituatie/effect beleid]])</f>
        <v>0</v>
      </c>
      <c r="K476" s="398">
        <f>SUMIFS(uitkomst_doelgroep[Kosten (€)],uitkomst_doelgroep[Digitale zorgtoepassing],B476,uitkomst_doelgroep[Jaar],D476,uitkomst_doelgroep[Kosten (€)],"&gt;0",uitkomst_doelgroep[Uitgangssituatie/effect beleid],uitkomst_tech[[#This Row],[Uitgangssituatie/effect beleid]])</f>
        <v>1521573.4005066629</v>
      </c>
      <c r="L476" s="398">
        <f>SUMIFS(uitkomst_doelgroep[Investering (cash flow) (€)],uitkomst_doelgroep[Digitale zorgtoepassing],B476,uitkomst_doelgroep[Jaar],D476,uitkomst_doelgroep[Investering (cash flow) (€)],"&gt;0",uitkomst_doelgroep[Uitgangssituatie/effect beleid],uitkomst_tech[[#This Row],[Uitgangssituatie/effect beleid]])</f>
        <v>0</v>
      </c>
    </row>
    <row r="477" spans="1:12" x14ac:dyDescent="0.5">
      <c r="A477" s="2" t="str">
        <f>INDEX(Technologieën[Veld],MATCH(B477,Technologieën[Digitale zorgtoepassing],0))</f>
        <v>Software - Behandeling</v>
      </c>
      <c r="B477" s="33" t="s">
        <v>578</v>
      </c>
      <c r="C477" s="33" t="s">
        <v>813</v>
      </c>
      <c r="D477" s="33">
        <v>2024</v>
      </c>
      <c r="E477" s="2"/>
      <c r="F477" s="397">
        <f>SUMIFS(uitkomst_doelgroep[Patiëntaantallen],uitkomst_doelgroep[Digitale zorgtoepassing],B477,uitkomst_doelgroep[Jaar],D477,uitkomst_doelgroep[Arbeidsbesparing (€)],"&gt;0",uitkomst_doelgroep[Uitgangssituatie/effect beleid],uitkomst_tech[[#This Row],[Uitgangssituatie/effect beleid]])</f>
        <v>9648</v>
      </c>
      <c r="G477" s="398">
        <f>SUMIFS(uitkomst_doelgroep[Arbeidsbesparing (€)],uitkomst_doelgroep[Digitale zorgtoepassing],B477,uitkomst_doelgroep[Jaar],D477,uitkomst_doelgroep[Arbeidsbesparing (€)],"&gt;0",uitkomst_doelgroep[Uitgangssituatie/effect beleid],uitkomst_tech[[#This Row],[Uitgangssituatie/effect beleid]])</f>
        <v>3720156.8499310347</v>
      </c>
      <c r="H477" s="398">
        <f>SUMIFS(uitkomst_doelgroep[Arbeidsbesparing (FTE)],uitkomst_doelgroep[Digitale zorgtoepassing],B477,uitkomst_doelgroep[Jaar],D477,uitkomst_doelgroep[Arbeidsbesparing (FTE)],"&gt;0",uitkomst_doelgroep[Uitgangssituatie/effect beleid],uitkomst_tech[[#This Row],[Uitgangssituatie/effect beleid]])</f>
        <v>44.334415384615383</v>
      </c>
      <c r="I477" s="398">
        <f>SUMIFS(uitkomst_doelgroep[Overige besparingen (€)],uitkomst_doelgroep[Digitale zorgtoepassing],B477,uitkomst_doelgroep[Jaar],D477,uitkomst_doelgroep[Overige besparingen (€)],"&gt;0",uitkomst_doelgroep[Uitgangssituatie/effect beleid],uitkomst_tech[[#This Row],[Uitgangssituatie/effect beleid]])</f>
        <v>0</v>
      </c>
      <c r="J477" s="398">
        <f>SUMIFS(uitkomst_doelgroep[QALY (€)],uitkomst_doelgroep[Digitale zorgtoepassing],B477,uitkomst_doelgroep[Jaar],D477,uitkomst_doelgroep[QALY (€)],"&gt;0",uitkomst_doelgroep[Uitgangssituatie/effect beleid],uitkomst_tech[[#This Row],[Uitgangssituatie/effect beleid]])</f>
        <v>0</v>
      </c>
      <c r="K477" s="398">
        <f>SUMIFS(uitkomst_doelgroep[Kosten (€)],uitkomst_doelgroep[Digitale zorgtoepassing],B477,uitkomst_doelgroep[Jaar],D477,uitkomst_doelgroep[Kosten (€)],"&gt;0",uitkomst_doelgroep[Uitgangssituatie/effect beleid],uitkomst_tech[[#This Row],[Uitgangssituatie/effect beleid]])</f>
        <v>2038908.3566789282</v>
      </c>
      <c r="L477" s="398">
        <f>SUMIFS(uitkomst_doelgroep[Investering (cash flow) (€)],uitkomst_doelgroep[Digitale zorgtoepassing],B477,uitkomst_doelgroep[Jaar],D477,uitkomst_doelgroep[Investering (cash flow) (€)],"&gt;0",uitkomst_doelgroep[Uitgangssituatie/effect beleid],uitkomst_tech[[#This Row],[Uitgangssituatie/effect beleid]])</f>
        <v>0</v>
      </c>
    </row>
    <row r="478" spans="1:12" x14ac:dyDescent="0.5">
      <c r="A478" s="2" t="str">
        <f>INDEX(Technologieën[Veld],MATCH(B478,Technologieën[Digitale zorgtoepassing],0))</f>
        <v>Software - Behandeling</v>
      </c>
      <c r="B478" s="33" t="s">
        <v>578</v>
      </c>
      <c r="C478" s="33" t="s">
        <v>813</v>
      </c>
      <c r="D478" s="33">
        <v>2025</v>
      </c>
      <c r="E478" s="2"/>
      <c r="F478" s="397">
        <f>SUMIFS(uitkomst_doelgroep[Patiëntaantallen],uitkomst_doelgroep[Digitale zorgtoepassing],B478,uitkomst_doelgroep[Jaar],D478,uitkomst_doelgroep[Arbeidsbesparing (€)],"&gt;0",uitkomst_doelgroep[Uitgangssituatie/effect beleid],uitkomst_tech[[#This Row],[Uitgangssituatie/effect beleid]])</f>
        <v>12515.097599999999</v>
      </c>
      <c r="G478" s="398">
        <f>SUMIFS(uitkomst_doelgroep[Arbeidsbesparing (€)],uitkomst_doelgroep[Digitale zorgtoepassing],B478,uitkomst_doelgroep[Jaar],D478,uitkomst_doelgroep[Arbeidsbesparing (€)],"&gt;0",uitkomst_doelgroep[Uitgangssituatie/effect beleid],uitkomst_tech[[#This Row],[Uitgangssituatie/effect beleid]])</f>
        <v>4825676.416272331</v>
      </c>
      <c r="H478" s="398">
        <f>SUMIFS(uitkomst_doelgroep[Arbeidsbesparing (FTE)],uitkomst_doelgroep[Digitale zorgtoepassing],B478,uitkomst_doelgroep[Jaar],D478,uitkomst_doelgroep[Arbeidsbesparing (FTE)],"&gt;0",uitkomst_doelgroep[Uitgangssituatie/effect beleid],uitkomst_tech[[#This Row],[Uitgangssituatie/effect beleid]])</f>
        <v>57.509280221538454</v>
      </c>
      <c r="I478" s="398">
        <f>SUMIFS(uitkomst_doelgroep[Overige besparingen (€)],uitkomst_doelgroep[Digitale zorgtoepassing],B478,uitkomst_doelgroep[Jaar],D478,uitkomst_doelgroep[Overige besparingen (€)],"&gt;0",uitkomst_doelgroep[Uitgangssituatie/effect beleid],uitkomst_tech[[#This Row],[Uitgangssituatie/effect beleid]])</f>
        <v>0</v>
      </c>
      <c r="J478" s="398">
        <f>SUMIFS(uitkomst_doelgroep[QALY (€)],uitkomst_doelgroep[Digitale zorgtoepassing],B478,uitkomst_doelgroep[Jaar],D478,uitkomst_doelgroep[QALY (€)],"&gt;0",uitkomst_doelgroep[Uitgangssituatie/effect beleid],uitkomst_tech[[#This Row],[Uitgangssituatie/effect beleid]])</f>
        <v>0</v>
      </c>
      <c r="K478" s="398">
        <f>SUMIFS(uitkomst_doelgroep[Kosten (€)],uitkomst_doelgroep[Digitale zorgtoepassing],B478,uitkomst_doelgroep[Jaar],D478,uitkomst_doelgroep[Kosten (€)],"&gt;0",uitkomst_doelgroep[Uitgangssituatie/effect beleid],uitkomst_tech[[#This Row],[Uitgangssituatie/effect beleid]])</f>
        <v>2644811.0573478853</v>
      </c>
      <c r="L478" s="398">
        <f>SUMIFS(uitkomst_doelgroep[Investering (cash flow) (€)],uitkomst_doelgroep[Digitale zorgtoepassing],B478,uitkomst_doelgroep[Jaar],D478,uitkomst_doelgroep[Investering (cash flow) (€)],"&gt;0",uitkomst_doelgroep[Uitgangssituatie/effect beleid],uitkomst_tech[[#This Row],[Uitgangssituatie/effect beleid]])</f>
        <v>0</v>
      </c>
    </row>
    <row r="479" spans="1:12" x14ac:dyDescent="0.5">
      <c r="A479" s="2" t="str">
        <f>INDEX(Technologieën[Veld],MATCH(B479,Technologieën[Digitale zorgtoepassing],0))</f>
        <v>Software - Behandeling</v>
      </c>
      <c r="B479" s="33" t="s">
        <v>578</v>
      </c>
      <c r="C479" s="33" t="s">
        <v>813</v>
      </c>
      <c r="D479" s="33">
        <v>2026</v>
      </c>
      <c r="E479" s="2"/>
      <c r="F479" s="397">
        <f>SUMIFS(uitkomst_doelgroep[Patiëntaantallen],uitkomst_doelgroep[Digitale zorgtoepassing],B479,uitkomst_doelgroep[Jaar],D479,uitkomst_doelgroep[Arbeidsbesparing (€)],"&gt;0",uitkomst_doelgroep[Uitgangssituatie/effect beleid],uitkomst_tech[[#This Row],[Uitgangssituatie/effect beleid]])</f>
        <v>15724.886302162942</v>
      </c>
      <c r="G479" s="398">
        <f>SUMIFS(uitkomst_doelgroep[Arbeidsbesparing (€)],uitkomst_doelgroep[Digitale zorgtoepassing],B479,uitkomst_doelgroep[Jaar],D479,uitkomst_doelgroep[Arbeidsbesparing (€)],"&gt;0",uitkomst_doelgroep[Uitgangssituatie/effect beleid],uitkomst_tech[[#This Row],[Uitgangssituatie/effect beleid]])</f>
        <v>6063333.69520918</v>
      </c>
      <c r="H479" s="398">
        <f>SUMIFS(uitkomst_doelgroep[Arbeidsbesparing (FTE)],uitkomst_doelgroep[Digitale zorgtoepassing],B479,uitkomst_doelgroep[Jaar],D479,uitkomst_doelgroep[Arbeidsbesparing (FTE)],"&gt;0",uitkomst_doelgroep[Uitgangssituatie/effect beleid],uitkomst_tech[[#This Row],[Uitgangssituatie/effect beleid]])</f>
        <v>72.258876575035288</v>
      </c>
      <c r="I479" s="398">
        <f>SUMIFS(uitkomst_doelgroep[Overige besparingen (€)],uitkomst_doelgroep[Digitale zorgtoepassing],B479,uitkomst_doelgroep[Jaar],D479,uitkomst_doelgroep[Overige besparingen (€)],"&gt;0",uitkomst_doelgroep[Uitgangssituatie/effect beleid],uitkomst_tech[[#This Row],[Uitgangssituatie/effect beleid]])</f>
        <v>0</v>
      </c>
      <c r="J479" s="398">
        <f>SUMIFS(uitkomst_doelgroep[QALY (€)],uitkomst_doelgroep[Digitale zorgtoepassing],B479,uitkomst_doelgroep[Jaar],D479,uitkomst_doelgroep[QALY (€)],"&gt;0",uitkomst_doelgroep[Uitgangssituatie/effect beleid],uitkomst_tech[[#This Row],[Uitgangssituatie/effect beleid]])</f>
        <v>0</v>
      </c>
      <c r="K479" s="398">
        <f>SUMIFS(uitkomst_doelgroep[Kosten (€)],uitkomst_doelgroep[Digitale zorgtoepassing],B479,uitkomst_doelgroep[Jaar],D479,uitkomst_doelgroep[Kosten (€)],"&gt;0",uitkomst_doelgroep[Uitgangssituatie/effect beleid],uitkomst_tech[[#This Row],[Uitgangssituatie/effect beleid]])</f>
        <v>3323134.5449114875</v>
      </c>
      <c r="L479" s="398">
        <f>SUMIFS(uitkomst_doelgroep[Investering (cash flow) (€)],uitkomst_doelgroep[Digitale zorgtoepassing],B479,uitkomst_doelgroep[Jaar],D479,uitkomst_doelgroep[Investering (cash flow) (€)],"&gt;0",uitkomst_doelgroep[Uitgangssituatie/effect beleid],uitkomst_tech[[#This Row],[Uitgangssituatie/effect beleid]])</f>
        <v>0</v>
      </c>
    </row>
    <row r="480" spans="1:12" x14ac:dyDescent="0.5">
      <c r="A480" s="2" t="str">
        <f>INDEX(Technologieën[Veld],MATCH(B480,Technologieën[Digitale zorgtoepassing],0))</f>
        <v>Software - Behandeling</v>
      </c>
      <c r="B480" s="33" t="s">
        <v>578</v>
      </c>
      <c r="C480" s="33" t="s">
        <v>813</v>
      </c>
      <c r="D480" s="33">
        <v>2027</v>
      </c>
      <c r="E480" s="2"/>
      <c r="F480" s="397">
        <f>SUMIFS(uitkomst_doelgroep[Patiëntaantallen],uitkomst_doelgroep[Digitale zorgtoepassing],B480,uitkomst_doelgroep[Jaar],D480,uitkomst_doelgroep[Arbeidsbesparing (€)],"&gt;0",uitkomst_doelgroep[Uitgangssituatie/effect beleid],uitkomst_tech[[#This Row],[Uitgangssituatie/effect beleid]])</f>
        <v>19128.689401565774</v>
      </c>
      <c r="G480" s="398">
        <f>SUMIFS(uitkomst_doelgroep[Arbeidsbesparing (€)],uitkomst_doelgroep[Digitale zorgtoepassing],B480,uitkomst_doelgroep[Jaar],D480,uitkomst_doelgroep[Arbeidsbesparing (€)],"&gt;0",uitkomst_doelgroep[Uitgangssituatie/effect beleid],uitkomst_tech[[#This Row],[Uitgangssituatie/effect beleid]])</f>
        <v>7375800.6744857067</v>
      </c>
      <c r="H480" s="398">
        <f>SUMIFS(uitkomst_doelgroep[Arbeidsbesparing (FTE)],uitkomst_doelgroep[Digitale zorgtoepassing],B480,uitkomst_doelgroep[Jaar],D480,uitkomst_doelgroep[Arbeidsbesparing (FTE)],"&gt;0",uitkomst_doelgroep[Uitgangssituatie/effect beleid],uitkomst_tech[[#This Row],[Uitgangssituatie/effect beleid]])</f>
        <v>87.90000639431041</v>
      </c>
      <c r="I480" s="398">
        <f>SUMIFS(uitkomst_doelgroep[Overige besparingen (€)],uitkomst_doelgroep[Digitale zorgtoepassing],B480,uitkomst_doelgroep[Jaar],D480,uitkomst_doelgroep[Overige besparingen (€)],"&gt;0",uitkomst_doelgroep[Uitgangssituatie/effect beleid],uitkomst_tech[[#This Row],[Uitgangssituatie/effect beleid]])</f>
        <v>0</v>
      </c>
      <c r="J480" s="398">
        <f>SUMIFS(uitkomst_doelgroep[QALY (€)],uitkomst_doelgroep[Digitale zorgtoepassing],B480,uitkomst_doelgroep[Jaar],D480,uitkomst_doelgroep[QALY (€)],"&gt;0",uitkomst_doelgroep[Uitgangssituatie/effect beleid],uitkomst_tech[[#This Row],[Uitgangssituatie/effect beleid]])</f>
        <v>0</v>
      </c>
      <c r="K480" s="398">
        <f>SUMIFS(uitkomst_doelgroep[Kosten (€)],uitkomst_doelgroep[Digitale zorgtoepassing],B480,uitkomst_doelgroep[Jaar],D480,uitkomst_doelgroep[Kosten (€)],"&gt;0",uitkomst_doelgroep[Uitgangssituatie/effect beleid],uitkomst_tech[[#This Row],[Uitgangssituatie/effect beleid]])</f>
        <v>4042459.0249966937</v>
      </c>
      <c r="L480" s="398">
        <f>SUMIFS(uitkomst_doelgroep[Investering (cash flow) (€)],uitkomst_doelgroep[Digitale zorgtoepassing],B480,uitkomst_doelgroep[Jaar],D480,uitkomst_doelgroep[Investering (cash flow) (€)],"&gt;0",uitkomst_doelgroep[Uitgangssituatie/effect beleid],uitkomst_tech[[#This Row],[Uitgangssituatie/effect beleid]])</f>
        <v>0</v>
      </c>
    </row>
    <row r="481" spans="1:12" x14ac:dyDescent="0.5">
      <c r="A481" s="2" t="str">
        <f>INDEX(Technologieën[Veld],MATCH(B481,Technologieën[Digitale zorgtoepassing],0))</f>
        <v>Software - Behandeling</v>
      </c>
      <c r="B481" s="33" t="s">
        <v>578</v>
      </c>
      <c r="C481" s="33" t="s">
        <v>813</v>
      </c>
      <c r="D481" s="33">
        <v>2028</v>
      </c>
      <c r="E481" s="2"/>
      <c r="F481" s="397">
        <f>SUMIFS(uitkomst_doelgroep[Patiëntaantallen],uitkomst_doelgroep[Digitale zorgtoepassing],B481,uitkomst_doelgroep[Jaar],D481,uitkomst_doelgroep[Arbeidsbesparing (€)],"&gt;0",uitkomst_doelgroep[Uitgangssituatie/effect beleid],uitkomst_tech[[#This Row],[Uitgangssituatie/effect beleid]])</f>
        <v>22519.373535047223</v>
      </c>
      <c r="G481" s="398">
        <f>SUMIFS(uitkomst_doelgroep[Arbeidsbesparing (€)],uitkomst_doelgroep[Digitale zorgtoepassing],B481,uitkomst_doelgroep[Jaar],D481,uitkomst_doelgroep[Arbeidsbesparing (€)],"&gt;0",uitkomst_doelgroep[Uitgangssituatie/effect beleid],uitkomst_tech[[#This Row],[Uitgangssituatie/effect beleid]])</f>
        <v>8683209.1327281911</v>
      </c>
      <c r="H481" s="398">
        <f>SUMIFS(uitkomst_doelgroep[Arbeidsbesparing (FTE)],uitkomst_doelgroep[Digitale zorgtoepassing],B481,uitkomst_doelgroep[Jaar],D481,uitkomst_doelgroep[Arbeidsbesparing (FTE)],"&gt;0",uitkomst_doelgroep[Uitgangssituatie/effect beleid],uitkomst_tech[[#This Row],[Uitgangssituatie/effect beleid]])</f>
        <v>103.48085204229871</v>
      </c>
      <c r="I481" s="398">
        <f>SUMIFS(uitkomst_doelgroep[Overige besparingen (€)],uitkomst_doelgroep[Digitale zorgtoepassing],B481,uitkomst_doelgroep[Jaar],D481,uitkomst_doelgroep[Overige besparingen (€)],"&gt;0",uitkomst_doelgroep[Uitgangssituatie/effect beleid],uitkomst_tech[[#This Row],[Uitgangssituatie/effect beleid]])</f>
        <v>0</v>
      </c>
      <c r="J481" s="398">
        <f>SUMIFS(uitkomst_doelgroep[QALY (€)],uitkomst_doelgroep[Digitale zorgtoepassing],B481,uitkomst_doelgroep[Jaar],D481,uitkomst_doelgroep[QALY (€)],"&gt;0",uitkomst_doelgroep[Uitgangssituatie/effect beleid],uitkomst_tech[[#This Row],[Uitgangssituatie/effect beleid]])</f>
        <v>0</v>
      </c>
      <c r="K481" s="398">
        <f>SUMIFS(uitkomst_doelgroep[Kosten (€)],uitkomst_doelgroep[Digitale zorgtoepassing],B481,uitkomst_doelgroep[Jaar],D481,uitkomst_doelgroep[Kosten (€)],"&gt;0",uitkomst_doelgroep[Uitgangssituatie/effect beleid],uitkomst_tech[[#This Row],[Uitgangssituatie/effect beleid]])</f>
        <v>4759011.0787502155</v>
      </c>
      <c r="L481" s="398">
        <f>SUMIFS(uitkomst_doelgroep[Investering (cash flow) (€)],uitkomst_doelgroep[Digitale zorgtoepassing],B481,uitkomst_doelgroep[Jaar],D481,uitkomst_doelgroep[Investering (cash flow) (€)],"&gt;0",uitkomst_doelgroep[Uitgangssituatie/effect beleid],uitkomst_tech[[#This Row],[Uitgangssituatie/effect beleid]])</f>
        <v>0</v>
      </c>
    </row>
    <row r="482" spans="1:12" x14ac:dyDescent="0.5">
      <c r="A482" s="2" t="str">
        <f>INDEX(Technologieën[Veld],MATCH(B482,Technologieën[Digitale zorgtoepassing],0))</f>
        <v>Software - Behandeling</v>
      </c>
      <c r="B482" s="33" t="s">
        <v>578</v>
      </c>
      <c r="C482" s="33" t="s">
        <v>813</v>
      </c>
      <c r="D482" s="33">
        <v>2029</v>
      </c>
      <c r="E482" s="2"/>
      <c r="F482" s="397">
        <f>SUMIFS(uitkomst_doelgroep[Patiëntaantallen],uitkomst_doelgroep[Digitale zorgtoepassing],B482,uitkomst_doelgroep[Jaar],D482,uitkomst_doelgroep[Arbeidsbesparing (€)],"&gt;0",uitkomst_doelgroep[Uitgangssituatie/effect beleid],uitkomst_tech[[#This Row],[Uitgangssituatie/effect beleid]])</f>
        <v>25673.009098625684</v>
      </c>
      <c r="G482" s="398">
        <f>SUMIFS(uitkomst_doelgroep[Arbeidsbesparing (€)],uitkomst_doelgroep[Digitale zorgtoepassing],B482,uitkomst_doelgroep[Jaar],D482,uitkomst_doelgroep[Arbeidsbesparing (€)],"&gt;0",uitkomst_doelgroep[Uitgangssituatie/effect beleid],uitkomst_tech[[#This Row],[Uitgangssituatie/effect beleid]])</f>
        <v>9899214.4129969031</v>
      </c>
      <c r="H482" s="398">
        <f>SUMIFS(uitkomst_doelgroep[Arbeidsbesparing (FTE)],uitkomst_doelgroep[Digitale zorgtoepassing],B482,uitkomst_doelgroep[Jaar],D482,uitkomst_doelgroep[Arbeidsbesparing (FTE)],"&gt;0",uitkomst_doelgroep[Uitgangssituatie/effect beleid],uitkomst_tech[[#This Row],[Uitgangssituatie/effect beleid]])</f>
        <v>117.97241392531936</v>
      </c>
      <c r="I482" s="398">
        <f>SUMIFS(uitkomst_doelgroep[Overige besparingen (€)],uitkomst_doelgroep[Digitale zorgtoepassing],B482,uitkomst_doelgroep[Jaar],D482,uitkomst_doelgroep[Overige besparingen (€)],"&gt;0",uitkomst_doelgroep[Uitgangssituatie/effect beleid],uitkomst_tech[[#This Row],[Uitgangssituatie/effect beleid]])</f>
        <v>0</v>
      </c>
      <c r="J482" s="398">
        <f>SUMIFS(uitkomst_doelgroep[QALY (€)],uitkomst_doelgroep[Digitale zorgtoepassing],B482,uitkomst_doelgroep[Jaar],D482,uitkomst_doelgroep[QALY (€)],"&gt;0",uitkomst_doelgroep[Uitgangssituatie/effect beleid],uitkomst_tech[[#This Row],[Uitgangssituatie/effect beleid]])</f>
        <v>0</v>
      </c>
      <c r="K482" s="398">
        <f>SUMIFS(uitkomst_doelgroep[Kosten (€)],uitkomst_doelgroep[Digitale zorgtoepassing],B482,uitkomst_doelgroep[Jaar],D482,uitkomst_doelgroep[Kosten (€)],"&gt;0",uitkomst_doelgroep[Uitgangssituatie/effect beleid],uitkomst_tech[[#This Row],[Uitgangssituatie/effect beleid]])</f>
        <v>5425467.7438103296</v>
      </c>
      <c r="L482" s="398">
        <f>SUMIFS(uitkomst_doelgroep[Investering (cash flow) (€)],uitkomst_doelgroep[Digitale zorgtoepassing],B482,uitkomst_doelgroep[Jaar],D482,uitkomst_doelgroep[Investering (cash flow) (€)],"&gt;0",uitkomst_doelgroep[Uitgangssituatie/effect beleid],uitkomst_tech[[#This Row],[Uitgangssituatie/effect beleid]])</f>
        <v>0</v>
      </c>
    </row>
    <row r="483" spans="1:12" x14ac:dyDescent="0.5">
      <c r="A483" s="2" t="str">
        <f>INDEX(Technologieën[Veld],MATCH(B483,Technologieën[Digitale zorgtoepassing],0))</f>
        <v>Software - Behandeling</v>
      </c>
      <c r="B483" s="33" t="s">
        <v>578</v>
      </c>
      <c r="C483" s="33" t="s">
        <v>813</v>
      </c>
      <c r="D483" s="33">
        <v>2030</v>
      </c>
      <c r="E483" s="2"/>
      <c r="F483" s="397">
        <f>SUMIFS(uitkomst_doelgroep[Patiëntaantallen],uitkomst_doelgroep[Digitale zorgtoepassing],B483,uitkomst_doelgroep[Jaar],D483,uitkomst_doelgroep[Arbeidsbesparing (€)],"&gt;0",uitkomst_doelgroep[Uitgangssituatie/effect beleid],uitkomst_tech[[#This Row],[Uitgangssituatie/effect beleid]])</f>
        <v>28405.517461600262</v>
      </c>
      <c r="G483" s="398">
        <f>SUMIFS(uitkomst_doelgroep[Arbeidsbesparing (€)],uitkomst_doelgroep[Digitale zorgtoepassing],B483,uitkomst_doelgroep[Jaar],D483,uitkomst_doelgroep[Arbeidsbesparing (€)],"&gt;0",uitkomst_doelgroep[Uitgangssituatie/effect beleid],uitkomst_tech[[#This Row],[Uitgangssituatie/effect beleid]])</f>
        <v>10952837.931240447</v>
      </c>
      <c r="H483" s="398">
        <f>SUMIFS(uitkomst_doelgroep[Arbeidsbesparing (FTE)],uitkomst_doelgroep[Digitale zorgtoepassing],B483,uitkomst_doelgroep[Jaar],D483,uitkomst_doelgroep[Arbeidsbesparing (FTE)],"&gt;0",uitkomst_doelgroep[Uitgangssituatie/effect beleid],uitkomst_tech[[#This Row],[Uitgangssituatie/effect beleid]])</f>
        <v>130.52881533556504</v>
      </c>
      <c r="I483" s="398">
        <f>SUMIFS(uitkomst_doelgroep[Overige besparingen (€)],uitkomst_doelgroep[Digitale zorgtoepassing],B483,uitkomst_doelgroep[Jaar],D483,uitkomst_doelgroep[Overige besparingen (€)],"&gt;0",uitkomst_doelgroep[Uitgangssituatie/effect beleid],uitkomst_tech[[#This Row],[Uitgangssituatie/effect beleid]])</f>
        <v>0</v>
      </c>
      <c r="J483" s="398">
        <f>SUMIFS(uitkomst_doelgroep[QALY (€)],uitkomst_doelgroep[Digitale zorgtoepassing],B483,uitkomst_doelgroep[Jaar],D483,uitkomst_doelgroep[QALY (€)],"&gt;0",uitkomst_doelgroep[Uitgangssituatie/effect beleid],uitkomst_tech[[#This Row],[Uitgangssituatie/effect beleid]])</f>
        <v>0</v>
      </c>
      <c r="K483" s="398">
        <f>SUMIFS(uitkomst_doelgroep[Kosten (€)],uitkomst_doelgroep[Digitale zorgtoepassing],B483,uitkomst_doelgroep[Jaar],D483,uitkomst_doelgroep[Kosten (€)],"&gt;0",uitkomst_doelgroep[Uitgangssituatie/effect beleid],uitkomst_tech[[#This Row],[Uitgangssituatie/effect beleid]])</f>
        <v>6002927.7496109018</v>
      </c>
      <c r="L483" s="398">
        <f>SUMIFS(uitkomst_doelgroep[Investering (cash flow) (€)],uitkomst_doelgroep[Digitale zorgtoepassing],B483,uitkomst_doelgroep[Jaar],D483,uitkomst_doelgroep[Investering (cash flow) (€)],"&gt;0",uitkomst_doelgroep[Uitgangssituatie/effect beleid],uitkomst_tech[[#This Row],[Uitgangssituatie/effect beleid]])</f>
        <v>0</v>
      </c>
    </row>
    <row r="484" spans="1:12" x14ac:dyDescent="0.5">
      <c r="A484" s="2" t="str">
        <f>INDEX(Technologieën[Veld],MATCH(B484,Technologieën[Digitale zorgtoepassing],0))</f>
        <v>Software - Behandeling</v>
      </c>
      <c r="B484" s="33" t="s">
        <v>578</v>
      </c>
      <c r="C484" s="33" t="s">
        <v>813</v>
      </c>
      <c r="D484" s="33">
        <v>2031</v>
      </c>
      <c r="E484" s="2"/>
      <c r="F484" s="397">
        <f>SUMIFS(uitkomst_doelgroep[Patiëntaantallen],uitkomst_doelgroep[Digitale zorgtoepassing],B484,uitkomst_doelgroep[Jaar],D484,uitkomst_doelgroep[Arbeidsbesparing (€)],"&gt;0",uitkomst_doelgroep[Uitgangssituatie/effect beleid],uitkomst_tech[[#This Row],[Uitgangssituatie/effect beleid]])</f>
        <v>30616.763094807262</v>
      </c>
      <c r="G484" s="398">
        <f>SUMIFS(uitkomst_doelgroep[Arbeidsbesparing (€)],uitkomst_doelgroep[Digitale zorgtoepassing],B484,uitkomst_doelgroep[Jaar],D484,uitkomst_doelgroep[Arbeidsbesparing (€)],"&gt;0",uitkomst_doelgroep[Uitgangssituatie/effect beleid],uitkomst_tech[[#This Row],[Uitgangssituatie/effect beleid]])</f>
        <v>11805468.589330737</v>
      </c>
      <c r="H484" s="398">
        <f>SUMIFS(uitkomst_doelgroep[Arbeidsbesparing (FTE)],uitkomst_doelgroep[Digitale zorgtoepassing],B484,uitkomst_doelgroep[Jaar],D484,uitkomst_doelgroep[Arbeidsbesparing (FTE)],"&gt;0",uitkomst_doelgroep[Uitgangssituatie/effect beleid],uitkomst_tech[[#This Row],[Uitgangssituatie/effect beleid]])</f>
        <v>140.68991425969605</v>
      </c>
      <c r="I484" s="398">
        <f>SUMIFS(uitkomst_doelgroep[Overige besparingen (€)],uitkomst_doelgroep[Digitale zorgtoepassing],B484,uitkomst_doelgroep[Jaar],D484,uitkomst_doelgroep[Overige besparingen (€)],"&gt;0",uitkomst_doelgroep[Uitgangssituatie/effect beleid],uitkomst_tech[[#This Row],[Uitgangssituatie/effect beleid]])</f>
        <v>0</v>
      </c>
      <c r="J484" s="398">
        <f>SUMIFS(uitkomst_doelgroep[QALY (€)],uitkomst_doelgroep[Digitale zorgtoepassing],B484,uitkomst_doelgroep[Jaar],D484,uitkomst_doelgroep[QALY (€)],"&gt;0",uitkomst_doelgroep[Uitgangssituatie/effect beleid],uitkomst_tech[[#This Row],[Uitgangssituatie/effect beleid]])</f>
        <v>0</v>
      </c>
      <c r="K484" s="398">
        <f>SUMIFS(uitkomst_doelgroep[Kosten (€)],uitkomst_doelgroep[Digitale zorgtoepassing],B484,uitkomst_doelgroep[Jaar],D484,uitkomst_doelgroep[Kosten (€)],"&gt;0",uitkomst_doelgroep[Uitgangssituatie/effect beleid],uitkomst_tech[[#This Row],[Uitgangssituatie/effect beleid]])</f>
        <v>6470229.4909267752</v>
      </c>
      <c r="L484" s="398">
        <f>SUMIFS(uitkomst_doelgroep[Investering (cash flow) (€)],uitkomst_doelgroep[Digitale zorgtoepassing],B484,uitkomst_doelgroep[Jaar],D484,uitkomst_doelgroep[Investering (cash flow) (€)],"&gt;0",uitkomst_doelgroep[Uitgangssituatie/effect beleid],uitkomst_tech[[#This Row],[Uitgangssituatie/effect beleid]])</f>
        <v>0</v>
      </c>
    </row>
    <row r="485" spans="1:12" x14ac:dyDescent="0.5">
      <c r="A485" s="2" t="str">
        <f>INDEX(Technologieën[Veld],MATCH(B485,Technologieën[Digitale zorgtoepassing],0))</f>
        <v>Software - Behandeling</v>
      </c>
      <c r="B485" s="33" t="s">
        <v>578</v>
      </c>
      <c r="C485" s="33" t="s">
        <v>813</v>
      </c>
      <c r="D485" s="33">
        <v>2032</v>
      </c>
      <c r="E485" s="2"/>
      <c r="F485" s="397">
        <f>SUMIFS(uitkomst_doelgroep[Patiëntaantallen],uitkomst_doelgroep[Digitale zorgtoepassing],B485,uitkomst_doelgroep[Jaar],D485,uitkomst_doelgroep[Arbeidsbesparing (€)],"&gt;0",uitkomst_doelgroep[Uitgangssituatie/effect beleid],uitkomst_tech[[#This Row],[Uitgangssituatie/effect beleid]])</f>
        <v>32299.901958199829</v>
      </c>
      <c r="G485" s="398">
        <f>SUMIFS(uitkomst_doelgroep[Arbeidsbesparing (€)],uitkomst_doelgroep[Digitale zorgtoepassing],B485,uitkomst_doelgroep[Jaar],D485,uitkomst_doelgroep[Arbeidsbesparing (€)],"&gt;0",uitkomst_doelgroep[Uitgangssituatie/effect beleid],uitkomst_tech[[#This Row],[Uitgangssituatie/effect beleid]])</f>
        <v>12454467.404840168</v>
      </c>
      <c r="H485" s="398">
        <f>SUMIFS(uitkomst_doelgroep[Arbeidsbesparing (FTE)],uitkomst_doelgroep[Digitale zorgtoepassing],B485,uitkomst_doelgroep[Jaar],D485,uitkomst_doelgroep[Arbeidsbesparing (FTE)],"&gt;0",uitkomst_doelgroep[Uitgangssituatie/effect beleid],uitkomst_tech[[#This Row],[Uitgangssituatie/effect beleid]])</f>
        <v>148.42426101753554</v>
      </c>
      <c r="I485" s="398">
        <f>SUMIFS(uitkomst_doelgroep[Overige besparingen (€)],uitkomst_doelgroep[Digitale zorgtoepassing],B485,uitkomst_doelgroep[Jaar],D485,uitkomst_doelgroep[Overige besparingen (€)],"&gt;0",uitkomst_doelgroep[Uitgangssituatie/effect beleid],uitkomst_tech[[#This Row],[Uitgangssituatie/effect beleid]])</f>
        <v>0</v>
      </c>
      <c r="J485" s="398">
        <f>SUMIFS(uitkomst_doelgroep[QALY (€)],uitkomst_doelgroep[Digitale zorgtoepassing],B485,uitkomst_doelgroep[Jaar],D485,uitkomst_doelgroep[QALY (€)],"&gt;0",uitkomst_doelgroep[Uitgangssituatie/effect beleid],uitkomst_tech[[#This Row],[Uitgangssituatie/effect beleid]])</f>
        <v>0</v>
      </c>
      <c r="K485" s="398">
        <f>SUMIFS(uitkomst_doelgroep[Kosten (€)],uitkomst_doelgroep[Digitale zorgtoepassing],B485,uitkomst_doelgroep[Jaar],D485,uitkomst_doelgroep[Kosten (€)],"&gt;0",uitkomst_doelgroep[Uitgangssituatie/effect beleid],uitkomst_tech[[#This Row],[Uitgangssituatie/effect beleid]])</f>
        <v>6825926.6192458235</v>
      </c>
      <c r="L485" s="398">
        <f>SUMIFS(uitkomst_doelgroep[Investering (cash flow) (€)],uitkomst_doelgroep[Digitale zorgtoepassing],B485,uitkomst_doelgroep[Jaar],D485,uitkomst_doelgroep[Investering (cash flow) (€)],"&gt;0",uitkomst_doelgroep[Uitgangssituatie/effect beleid],uitkomst_tech[[#This Row],[Uitgangssituatie/effect beleid]])</f>
        <v>0</v>
      </c>
    </row>
    <row r="486" spans="1:12" x14ac:dyDescent="0.5">
      <c r="A486" s="2" t="str">
        <f>INDEX(Technologieën[Veld],MATCH(B486,Technologieën[Digitale zorgtoepassing],0))</f>
        <v>Software - Behandeling</v>
      </c>
      <c r="B486" s="33" t="s">
        <v>578</v>
      </c>
      <c r="C486" s="33" t="s">
        <v>813</v>
      </c>
      <c r="D486" s="33">
        <v>2033</v>
      </c>
      <c r="E486" s="2"/>
      <c r="F486" s="397">
        <f>SUMIFS(uitkomst_doelgroep[Patiëntaantallen],uitkomst_doelgroep[Digitale zorgtoepassing],B486,uitkomst_doelgroep[Jaar],D486,uitkomst_doelgroep[Arbeidsbesparing (€)],"&gt;0",uitkomst_doelgroep[Uitgangssituatie/effect beleid],uitkomst_tech[[#This Row],[Uitgangssituatie/effect beleid]])</f>
        <v>33517.333467578377</v>
      </c>
      <c r="G486" s="398">
        <f>SUMIFS(uitkomst_doelgroep[Arbeidsbesparing (€)],uitkomst_doelgroep[Digitale zorgtoepassing],B486,uitkomst_doelgroep[Jaar],D486,uitkomst_doelgroep[Arbeidsbesparing (€)],"&gt;0",uitkomst_doelgroep[Uitgangssituatie/effect beleid],uitkomst_tech[[#This Row],[Uitgangssituatie/effect beleid]])</f>
        <v>12923894.868452987</v>
      </c>
      <c r="H486" s="398">
        <f>SUMIFS(uitkomst_doelgroep[Arbeidsbesparing (FTE)],uitkomst_doelgroep[Digitale zorgtoepassing],B486,uitkomst_doelgroep[Jaar],D486,uitkomst_doelgroep[Arbeidsbesparing (FTE)],"&gt;0",uitkomst_doelgroep[Uitgangssituatie/effect beleid],uitkomst_tech[[#This Row],[Uitgangssituatie/effect beleid]])</f>
        <v>154.01859292457408</v>
      </c>
      <c r="I486" s="398">
        <f>SUMIFS(uitkomst_doelgroep[Overige besparingen (€)],uitkomst_doelgroep[Digitale zorgtoepassing],B486,uitkomst_doelgroep[Jaar],D486,uitkomst_doelgroep[Overige besparingen (€)],"&gt;0",uitkomst_doelgroep[Uitgangssituatie/effect beleid],uitkomst_tech[[#This Row],[Uitgangssituatie/effect beleid]])</f>
        <v>0</v>
      </c>
      <c r="J486" s="398">
        <f>SUMIFS(uitkomst_doelgroep[QALY (€)],uitkomst_doelgroep[Digitale zorgtoepassing],B486,uitkomst_doelgroep[Jaar],D486,uitkomst_doelgroep[QALY (€)],"&gt;0",uitkomst_doelgroep[Uitgangssituatie/effect beleid],uitkomst_tech[[#This Row],[Uitgangssituatie/effect beleid]])</f>
        <v>0</v>
      </c>
      <c r="K486" s="398">
        <f>SUMIFS(uitkomst_doelgroep[Kosten (€)],uitkomst_doelgroep[Digitale zorgtoepassing],B486,uitkomst_doelgroep[Jaar],D486,uitkomst_doelgroep[Kosten (€)],"&gt;0",uitkomst_doelgroep[Uitgangssituatie/effect beleid],uitkomst_tech[[#This Row],[Uitgangssituatie/effect beleid]])</f>
        <v>7083205.9805804174</v>
      </c>
      <c r="L486" s="398">
        <f>SUMIFS(uitkomst_doelgroep[Investering (cash flow) (€)],uitkomst_doelgroep[Digitale zorgtoepassing],B486,uitkomst_doelgroep[Jaar],D486,uitkomst_doelgroep[Investering (cash flow) (€)],"&gt;0",uitkomst_doelgroep[Uitgangssituatie/effect beleid],uitkomst_tech[[#This Row],[Uitgangssituatie/effect beleid]])</f>
        <v>0</v>
      </c>
    </row>
    <row r="487" spans="1:12" x14ac:dyDescent="0.5">
      <c r="A487" s="2" t="str">
        <f>INDEX(Technologieën[Veld],MATCH(B487,Technologieën[Digitale zorgtoepassing],0))</f>
        <v>Software - Diagnose</v>
      </c>
      <c r="B487" s="33" t="s">
        <v>139</v>
      </c>
      <c r="C487" s="33" t="s">
        <v>813</v>
      </c>
      <c r="D487" s="33">
        <v>2023</v>
      </c>
      <c r="E487" s="2"/>
      <c r="F487" s="397">
        <f>SUMIFS(uitkomst_doelgroep[Patiëntaantallen],uitkomst_doelgroep[Digitale zorgtoepassing],B487,uitkomst_doelgroep[Jaar],D487,uitkomst_doelgroep[Arbeidsbesparing (€)],"&gt;0",uitkomst_doelgroep[Uitgangssituatie/effect beleid],uitkomst_tech[[#This Row],[Uitgangssituatie/effect beleid]])</f>
        <v>799999.20000000007</v>
      </c>
      <c r="G487" s="398">
        <f>SUMIFS(uitkomst_doelgroep[Arbeidsbesparing (€)],uitkomst_doelgroep[Digitale zorgtoepassing],B487,uitkomst_doelgroep[Jaar],D487,uitkomst_doelgroep[Arbeidsbesparing (€)],"&gt;0",uitkomst_doelgroep[Uitgangssituatie/effect beleid],uitkomst_tech[[#This Row],[Uitgangssituatie/effect beleid]])</f>
        <v>9409413.7232183926</v>
      </c>
      <c r="H487" s="398">
        <f>SUMIFS(uitkomst_doelgroep[Arbeidsbesparing (FTE)],uitkomst_doelgroep[Digitale zorgtoepassing],B487,uitkomst_doelgroep[Jaar],D487,uitkomst_doelgroep[Arbeidsbesparing (FTE)],"&gt;0",uitkomst_doelgroep[Uitgangssituatie/effect beleid],uitkomst_tech[[#This Row],[Uitgangssituatie/effect beleid]])</f>
        <v>49.6</v>
      </c>
      <c r="I487" s="398">
        <f>SUMIFS(uitkomst_doelgroep[Overige besparingen (€)],uitkomst_doelgroep[Digitale zorgtoepassing],B487,uitkomst_doelgroep[Jaar],D487,uitkomst_doelgroep[Overige besparingen (€)],"&gt;0",uitkomst_doelgroep[Uitgangssituatie/effect beleid],uitkomst_tech[[#This Row],[Uitgangssituatie/effect beleid]])</f>
        <v>0</v>
      </c>
      <c r="J487" s="398">
        <f>SUMIFS(uitkomst_doelgroep[QALY (€)],uitkomst_doelgroep[Digitale zorgtoepassing],B487,uitkomst_doelgroep[Jaar],D487,uitkomst_doelgroep[QALY (€)],"&gt;0",uitkomst_doelgroep[Uitgangssituatie/effect beleid],uitkomst_tech[[#This Row],[Uitgangssituatie/effect beleid]])</f>
        <v>0</v>
      </c>
      <c r="K487" s="398">
        <f>SUMIFS(uitkomst_doelgroep[Kosten (€)],uitkomst_doelgroep[Digitale zorgtoepassing],B487,uitkomst_doelgroep[Jaar],D487,uitkomst_doelgroep[Kosten (€)],"&gt;0",uitkomst_doelgroep[Uitgangssituatie/effect beleid],uitkomst_tech[[#This Row],[Uitgangssituatie/effect beleid]])</f>
        <v>7996418.1513988301</v>
      </c>
      <c r="L487" s="398">
        <f>SUMIFS(uitkomst_doelgroep[Investering (cash flow) (€)],uitkomst_doelgroep[Digitale zorgtoepassing],B487,uitkomst_doelgroep[Jaar],D487,uitkomst_doelgroep[Investering (cash flow) (€)],"&gt;0",uitkomst_doelgroep[Uitgangssituatie/effect beleid],uitkomst_tech[[#This Row],[Uitgangssituatie/effect beleid]])</f>
        <v>0</v>
      </c>
    </row>
    <row r="488" spans="1:12" x14ac:dyDescent="0.5">
      <c r="A488" s="2" t="str">
        <f>INDEX(Technologieën[Veld],MATCH(B488,Technologieën[Digitale zorgtoepassing],0))</f>
        <v>Software - Diagnose</v>
      </c>
      <c r="B488" s="33" t="s">
        <v>139</v>
      </c>
      <c r="C488" s="33" t="s">
        <v>813</v>
      </c>
      <c r="D488" s="33">
        <v>2024</v>
      </c>
      <c r="E488" s="2"/>
      <c r="F488" s="397">
        <f>SUMIFS(uitkomst_doelgroep[Patiëntaantallen],uitkomst_doelgroep[Digitale zorgtoepassing],B488,uitkomst_doelgroep[Jaar],D488,uitkomst_doelgroep[Arbeidsbesparing (€)],"&gt;0",uitkomst_doelgroep[Uitgangssituatie/effect beleid],uitkomst_tech[[#This Row],[Uitgangssituatie/effect beleid]])</f>
        <v>876999.12300000002</v>
      </c>
      <c r="G488" s="398">
        <f>SUMIFS(uitkomst_doelgroep[Arbeidsbesparing (€)],uitkomst_doelgroep[Digitale zorgtoepassing],B488,uitkomst_doelgroep[Jaar],D488,uitkomst_doelgroep[Arbeidsbesparing (€)],"&gt;0",uitkomst_doelgroep[Uitgangssituatie/effect beleid],uitkomst_tech[[#This Row],[Uitgangssituatie/effect beleid]])</f>
        <v>10315069.794078162</v>
      </c>
      <c r="H488" s="398">
        <f>SUMIFS(uitkomst_doelgroep[Arbeidsbesparing (FTE)],uitkomst_doelgroep[Digitale zorgtoepassing],B488,uitkomst_doelgroep[Jaar],D488,uitkomst_doelgroep[Arbeidsbesparing (FTE)],"&gt;0",uitkomst_doelgroep[Uitgangssituatie/effect beleid],uitkomst_tech[[#This Row],[Uitgangssituatie/effect beleid]])</f>
        <v>54.374000000000002</v>
      </c>
      <c r="I488" s="398">
        <f>SUMIFS(uitkomst_doelgroep[Overige besparingen (€)],uitkomst_doelgroep[Digitale zorgtoepassing],B488,uitkomst_doelgroep[Jaar],D488,uitkomst_doelgroep[Overige besparingen (€)],"&gt;0",uitkomst_doelgroep[Uitgangssituatie/effect beleid],uitkomst_tech[[#This Row],[Uitgangssituatie/effect beleid]])</f>
        <v>0</v>
      </c>
      <c r="J488" s="398">
        <f>SUMIFS(uitkomst_doelgroep[QALY (€)],uitkomst_doelgroep[Digitale zorgtoepassing],B488,uitkomst_doelgroep[Jaar],D488,uitkomst_doelgroep[QALY (€)],"&gt;0",uitkomst_doelgroep[Uitgangssituatie/effect beleid],uitkomst_tech[[#This Row],[Uitgangssituatie/effect beleid]])</f>
        <v>0</v>
      </c>
      <c r="K488" s="398">
        <f>SUMIFS(uitkomst_doelgroep[Kosten (€)],uitkomst_doelgroep[Digitale zorgtoepassing],B488,uitkomst_doelgroep[Jaar],D488,uitkomst_doelgroep[Kosten (€)],"&gt;0",uitkomst_doelgroep[Uitgangssituatie/effect beleid],uitkomst_tech[[#This Row],[Uitgangssituatie/effect beleid]])</f>
        <v>8766073.398470968</v>
      </c>
      <c r="L488" s="398">
        <f>SUMIFS(uitkomst_doelgroep[Investering (cash flow) (€)],uitkomst_doelgroep[Digitale zorgtoepassing],B488,uitkomst_doelgroep[Jaar],D488,uitkomst_doelgroep[Investering (cash flow) (€)],"&gt;0",uitkomst_doelgroep[Uitgangssituatie/effect beleid],uitkomst_tech[[#This Row],[Uitgangssituatie/effect beleid]])</f>
        <v>0</v>
      </c>
    </row>
    <row r="489" spans="1:12" x14ac:dyDescent="0.5">
      <c r="A489" s="2" t="str">
        <f>INDEX(Technologieën[Veld],MATCH(B489,Technologieën[Digitale zorgtoepassing],0))</f>
        <v>Software - Diagnose</v>
      </c>
      <c r="B489" s="33" t="s">
        <v>139</v>
      </c>
      <c r="C489" s="33" t="s">
        <v>813</v>
      </c>
      <c r="D489" s="33">
        <v>2025</v>
      </c>
      <c r="E489" s="2"/>
      <c r="F489" s="397">
        <f>SUMIFS(uitkomst_doelgroep[Patiëntaantallen],uitkomst_doelgroep[Digitale zorgtoepassing],B489,uitkomst_doelgroep[Jaar],D489,uitkomst_doelgroep[Arbeidsbesparing (€)],"&gt;0",uitkomst_doelgroep[Uitgangssituatie/effect beleid],uitkomst_tech[[#This Row],[Uitgangssituatie/effect beleid]])</f>
        <v>928616.02138305013</v>
      </c>
      <c r="G489" s="398">
        <f>SUMIFS(uitkomst_doelgroep[Arbeidsbesparing (€)],uitkomst_doelgroep[Digitale zorgtoepassing],B489,uitkomst_doelgroep[Jaar],D489,uitkomst_doelgroep[Arbeidsbesparing (€)],"&gt;0",uitkomst_doelgroep[Uitgangssituatie/effect beleid],uitkomst_tech[[#This Row],[Uitgangssituatie/effect beleid]])</f>
        <v>10922176.34117901</v>
      </c>
      <c r="H489" s="398">
        <f>SUMIFS(uitkomst_doelgroep[Arbeidsbesparing (FTE)],uitkomst_doelgroep[Digitale zorgtoepassing],B489,uitkomst_doelgroep[Jaar],D489,uitkomst_doelgroep[Arbeidsbesparing (FTE)],"&gt;0",uitkomst_doelgroep[Uitgangssituatie/effect beleid],uitkomst_tech[[#This Row],[Uitgangssituatie/effect beleid]])</f>
        <v>57.57425090000001</v>
      </c>
      <c r="I489" s="398">
        <f>SUMIFS(uitkomst_doelgroep[Overige besparingen (€)],uitkomst_doelgroep[Digitale zorgtoepassing],B489,uitkomst_doelgroep[Jaar],D489,uitkomst_doelgroep[Overige besparingen (€)],"&gt;0",uitkomst_doelgroep[Uitgangssituatie/effect beleid],uitkomst_tech[[#This Row],[Uitgangssituatie/effect beleid]])</f>
        <v>0</v>
      </c>
      <c r="J489" s="398">
        <f>SUMIFS(uitkomst_doelgroep[QALY (€)],uitkomst_doelgroep[Digitale zorgtoepassing],B489,uitkomst_doelgroep[Jaar],D489,uitkomst_doelgroep[QALY (€)],"&gt;0",uitkomst_doelgroep[Uitgangssituatie/effect beleid],uitkomst_tech[[#This Row],[Uitgangssituatie/effect beleid]])</f>
        <v>0</v>
      </c>
      <c r="K489" s="398">
        <f>SUMIFS(uitkomst_doelgroep[Kosten (€)],uitkomst_doelgroep[Digitale zorgtoepassing],B489,uitkomst_doelgroep[Jaar],D489,uitkomst_doelgroep[Kosten (€)],"&gt;0",uitkomst_doelgroep[Uitgangssituatie/effect beleid],uitkomst_tech[[#This Row],[Uitgangssituatie/effect beleid]])</f>
        <v>9282011.7933457755</v>
      </c>
      <c r="L489" s="398">
        <f>SUMIFS(uitkomst_doelgroep[Investering (cash flow) (€)],uitkomst_doelgroep[Digitale zorgtoepassing],B489,uitkomst_doelgroep[Jaar],D489,uitkomst_doelgroep[Investering (cash flow) (€)],"&gt;0",uitkomst_doelgroep[Uitgangssituatie/effect beleid],uitkomst_tech[[#This Row],[Uitgangssituatie/effect beleid]])</f>
        <v>0</v>
      </c>
    </row>
    <row r="490" spans="1:12" x14ac:dyDescent="0.5">
      <c r="A490" s="2" t="str">
        <f>INDEX(Technologieën[Veld],MATCH(B490,Technologieën[Digitale zorgtoepassing],0))</f>
        <v>Software - Diagnose</v>
      </c>
      <c r="B490" s="33" t="s">
        <v>139</v>
      </c>
      <c r="C490" s="33" t="s">
        <v>813</v>
      </c>
      <c r="D490" s="33">
        <v>2026</v>
      </c>
      <c r="E490" s="2"/>
      <c r="F490" s="397">
        <f>SUMIFS(uitkomst_doelgroep[Patiëntaantallen],uitkomst_doelgroep[Digitale zorgtoepassing],B490,uitkomst_doelgroep[Jaar],D490,uitkomst_doelgroep[Arbeidsbesparing (€)],"&gt;0",uitkomst_doelgroep[Uitgangssituatie/effect beleid],uitkomst_tech[[#This Row],[Uitgangssituatie/effect beleid]])</f>
        <v>960229.94559680799</v>
      </c>
      <c r="G490" s="398">
        <f>SUMIFS(uitkomst_doelgroep[Arbeidsbesparing (€)],uitkomst_doelgroep[Digitale zorgtoepassing],B490,uitkomst_doelgroep[Jaar],D490,uitkomst_doelgroep[Arbeidsbesparing (€)],"&gt;0",uitkomst_doelgroep[Uitgangssituatie/effect beleid],uitkomst_tech[[#This Row],[Uitgangssituatie/effect beleid]])</f>
        <v>11294012.328442147</v>
      </c>
      <c r="H490" s="398">
        <f>SUMIFS(uitkomst_doelgroep[Arbeidsbesparing (FTE)],uitkomst_doelgroep[Digitale zorgtoepassing],B490,uitkomst_doelgroep[Jaar],D490,uitkomst_doelgroep[Arbeidsbesparing (FTE)],"&gt;0",uitkomst_doelgroep[Uitgangssituatie/effect beleid],uitkomst_tech[[#This Row],[Uitgangssituatie/effect beleid]])</f>
        <v>59.534316161318259</v>
      </c>
      <c r="I490" s="398">
        <f>SUMIFS(uitkomst_doelgroep[Overige besparingen (€)],uitkomst_doelgroep[Digitale zorgtoepassing],B490,uitkomst_doelgroep[Jaar],D490,uitkomst_doelgroep[Overige besparingen (€)],"&gt;0",uitkomst_doelgroep[Uitgangssituatie/effect beleid],uitkomst_tech[[#This Row],[Uitgangssituatie/effect beleid]])</f>
        <v>0</v>
      </c>
      <c r="J490" s="398">
        <f>SUMIFS(uitkomst_doelgroep[QALY (€)],uitkomst_doelgroep[Digitale zorgtoepassing],B490,uitkomst_doelgroep[Jaar],D490,uitkomst_doelgroep[QALY (€)],"&gt;0",uitkomst_doelgroep[Uitgangssituatie/effect beleid],uitkomst_tech[[#This Row],[Uitgangssituatie/effect beleid]])</f>
        <v>0</v>
      </c>
      <c r="K490" s="398">
        <f>SUMIFS(uitkomst_doelgroep[Kosten (€)],uitkomst_doelgroep[Digitale zorgtoepassing],B490,uitkomst_doelgroep[Jaar],D490,uitkomst_doelgroep[Kosten (€)],"&gt;0",uitkomst_doelgroep[Uitgangssituatie/effect beleid],uitkomst_tech[[#This Row],[Uitgangssituatie/effect beleid]])</f>
        <v>9598009.8061185889</v>
      </c>
      <c r="L490" s="398">
        <f>SUMIFS(uitkomst_doelgroep[Investering (cash flow) (€)],uitkomst_doelgroep[Digitale zorgtoepassing],B490,uitkomst_doelgroep[Jaar],D490,uitkomst_doelgroep[Investering (cash flow) (€)],"&gt;0",uitkomst_doelgroep[Uitgangssituatie/effect beleid],uitkomst_tech[[#This Row],[Uitgangssituatie/effect beleid]])</f>
        <v>0</v>
      </c>
    </row>
    <row r="491" spans="1:12" x14ac:dyDescent="0.5">
      <c r="A491" s="2" t="str">
        <f>INDEX(Technologieën[Veld],MATCH(B491,Technologieën[Digitale zorgtoepassing],0))</f>
        <v>Software - Diagnose</v>
      </c>
      <c r="B491" s="33" t="s">
        <v>139</v>
      </c>
      <c r="C491" s="33" t="s">
        <v>813</v>
      </c>
      <c r="D491" s="33">
        <v>2027</v>
      </c>
      <c r="E491" s="2"/>
      <c r="F491" s="397">
        <f>SUMIFS(uitkomst_doelgroep[Patiëntaantallen],uitkomst_doelgroep[Digitale zorgtoepassing],B491,uitkomst_doelgroep[Jaar],D491,uitkomst_doelgroep[Arbeidsbesparing (€)],"&gt;0",uitkomst_doelgroep[Uitgangssituatie/effect beleid],uitkomst_tech[[#This Row],[Uitgangssituatie/effect beleid]])</f>
        <v>978408.53576695768</v>
      </c>
      <c r="G491" s="398">
        <f>SUMIFS(uitkomst_doelgroep[Arbeidsbesparing (€)],uitkomst_doelgroep[Digitale zorgtoepassing],B491,uitkomst_doelgroep[Jaar],D491,uitkomst_doelgroep[Arbeidsbesparing (€)],"&gt;0",uitkomst_doelgroep[Uitgangssituatie/effect beleid],uitkomst_tech[[#This Row],[Uitgangssituatie/effect beleid]])</f>
        <v>11507824.887024418</v>
      </c>
      <c r="H491" s="398">
        <f>SUMIFS(uitkomst_doelgroep[Arbeidsbesparing (FTE)],uitkomst_doelgroep[Digitale zorgtoepassing],B491,uitkomst_doelgroep[Jaar],D491,uitkomst_doelgroep[Arbeidsbesparing (FTE)],"&gt;0",uitkomst_doelgroep[Uitgangssituatie/effect beleid],uitkomst_tech[[#This Row],[Uitgangssituatie/effect beleid]])</f>
        <v>60.66138987894125</v>
      </c>
      <c r="I491" s="398">
        <f>SUMIFS(uitkomst_doelgroep[Overige besparingen (€)],uitkomst_doelgroep[Digitale zorgtoepassing],B491,uitkomst_doelgroep[Jaar],D491,uitkomst_doelgroep[Overige besparingen (€)],"&gt;0",uitkomst_doelgroep[Uitgangssituatie/effect beleid],uitkomst_tech[[#This Row],[Uitgangssituatie/effect beleid]])</f>
        <v>0</v>
      </c>
      <c r="J491" s="398">
        <f>SUMIFS(uitkomst_doelgroep[QALY (€)],uitkomst_doelgroep[Digitale zorgtoepassing],B491,uitkomst_doelgroep[Jaar],D491,uitkomst_doelgroep[QALY (€)],"&gt;0",uitkomst_doelgroep[Uitgangssituatie/effect beleid],uitkomst_tech[[#This Row],[Uitgangssituatie/effect beleid]])</f>
        <v>0</v>
      </c>
      <c r="K491" s="398">
        <f>SUMIFS(uitkomst_doelgroep[Kosten (€)],uitkomst_doelgroep[Digitale zorgtoepassing],B491,uitkomst_doelgroep[Jaar],D491,uitkomst_doelgroep[Kosten (€)],"&gt;0",uitkomst_doelgroep[Uitgangssituatie/effect beleid],uitkomst_tech[[#This Row],[Uitgangssituatie/effect beleid]])</f>
        <v>9779714.4983275626</v>
      </c>
      <c r="L491" s="398">
        <f>SUMIFS(uitkomst_doelgroep[Investering (cash flow) (€)],uitkomst_doelgroep[Digitale zorgtoepassing],B491,uitkomst_doelgroep[Jaar],D491,uitkomst_doelgroep[Investering (cash flow) (€)],"&gt;0",uitkomst_doelgroep[Uitgangssituatie/effect beleid],uitkomst_tech[[#This Row],[Uitgangssituatie/effect beleid]])</f>
        <v>0</v>
      </c>
    </row>
    <row r="492" spans="1:12" x14ac:dyDescent="0.5">
      <c r="A492" s="2" t="str">
        <f>INDEX(Technologieën[Veld],MATCH(B492,Technologieën[Digitale zorgtoepassing],0))</f>
        <v>Software - Diagnose</v>
      </c>
      <c r="B492" s="33" t="s">
        <v>139</v>
      </c>
      <c r="C492" s="33" t="s">
        <v>813</v>
      </c>
      <c r="D492" s="33">
        <v>2028</v>
      </c>
      <c r="E492" s="2"/>
      <c r="F492" s="397">
        <f>SUMIFS(uitkomst_doelgroep[Patiëntaantallen],uitkomst_doelgroep[Digitale zorgtoepassing],B492,uitkomst_doelgroep[Jaar],D492,uitkomst_doelgroep[Arbeidsbesparing (€)],"&gt;0",uitkomst_doelgroep[Uitgangssituatie/effect beleid],uitkomst_tech[[#This Row],[Uitgangssituatie/effect beleid]])</f>
        <v>988454.2394022767</v>
      </c>
      <c r="G492" s="398">
        <f>SUMIFS(uitkomst_doelgroep[Arbeidsbesparing (€)],uitkomst_doelgroep[Digitale zorgtoepassing],B492,uitkomst_doelgroep[Jaar],D492,uitkomst_doelgroep[Arbeidsbesparing (€)],"&gt;0",uitkomst_doelgroep[Uitgangssituatie/effect beleid],uitkomst_tech[[#This Row],[Uitgangssituatie/effect beleid]])</f>
        <v>11625980.232236706</v>
      </c>
      <c r="H492" s="398">
        <f>SUMIFS(uitkomst_doelgroep[Arbeidsbesparing (FTE)],uitkomst_doelgroep[Digitale zorgtoepassing],B492,uitkomst_doelgroep[Jaar],D492,uitkomst_doelgroep[Arbeidsbesparing (FTE)],"&gt;0",uitkomst_doelgroep[Uitgangssituatie/effect beleid],uitkomst_tech[[#This Row],[Uitgangssituatie/effect beleid]])</f>
        <v>61.284224127165281</v>
      </c>
      <c r="I492" s="398">
        <f>SUMIFS(uitkomst_doelgroep[Overige besparingen (€)],uitkomst_doelgroep[Digitale zorgtoepassing],B492,uitkomst_doelgroep[Jaar],D492,uitkomst_doelgroep[Overige besparingen (€)],"&gt;0",uitkomst_doelgroep[Uitgangssituatie/effect beleid],uitkomst_tech[[#This Row],[Uitgangssituatie/effect beleid]])</f>
        <v>0</v>
      </c>
      <c r="J492" s="398">
        <f>SUMIFS(uitkomst_doelgroep[QALY (€)],uitkomst_doelgroep[Digitale zorgtoepassing],B492,uitkomst_doelgroep[Jaar],D492,uitkomst_doelgroep[QALY (€)],"&gt;0",uitkomst_doelgroep[Uitgangssituatie/effect beleid],uitkomst_tech[[#This Row],[Uitgangssituatie/effect beleid]])</f>
        <v>0</v>
      </c>
      <c r="K492" s="398">
        <f>SUMIFS(uitkomst_doelgroep[Kosten (€)],uitkomst_doelgroep[Digitale zorgtoepassing],B492,uitkomst_doelgroep[Jaar],D492,uitkomst_doelgroep[Kosten (€)],"&gt;0",uitkomst_doelgroep[Uitgangssituatie/effect beleid],uitkomst_tech[[#This Row],[Uitgangssituatie/effect beleid]])</f>
        <v>9880126.6573560201</v>
      </c>
      <c r="L492" s="398">
        <f>SUMIFS(uitkomst_doelgroep[Investering (cash flow) (€)],uitkomst_doelgroep[Digitale zorgtoepassing],B492,uitkomst_doelgroep[Jaar],D492,uitkomst_doelgroep[Investering (cash flow) (€)],"&gt;0",uitkomst_doelgroep[Uitgangssituatie/effect beleid],uitkomst_tech[[#This Row],[Uitgangssituatie/effect beleid]])</f>
        <v>0</v>
      </c>
    </row>
    <row r="493" spans="1:12" x14ac:dyDescent="0.5">
      <c r="A493" s="2" t="str">
        <f>INDEX(Technologieën[Veld],MATCH(B493,Technologieën[Digitale zorgtoepassing],0))</f>
        <v>Software - Diagnose</v>
      </c>
      <c r="B493" s="33" t="s">
        <v>139</v>
      </c>
      <c r="C493" s="33" t="s">
        <v>813</v>
      </c>
      <c r="D493" s="33">
        <v>2029</v>
      </c>
      <c r="E493" s="2"/>
      <c r="F493" s="397">
        <f>SUMIFS(uitkomst_doelgroep[Patiëntaantallen],uitkomst_doelgroep[Digitale zorgtoepassing],B493,uitkomst_doelgroep[Jaar],D493,uitkomst_doelgroep[Arbeidsbesparing (€)],"&gt;0",uitkomst_doelgroep[Uitgangssituatie/effect beleid],uitkomst_tech[[#This Row],[Uitgangssituatie/effect beleid]])</f>
        <v>993878.02395245212</v>
      </c>
      <c r="G493" s="398">
        <f>SUMIFS(uitkomst_doelgroep[Arbeidsbesparing (€)],uitkomst_doelgroep[Digitale zorgtoepassing],B493,uitkomst_doelgroep[Jaar],D493,uitkomst_doelgroep[Arbeidsbesparing (€)],"&gt;0",uitkomst_doelgroep[Uitgangssituatie/effect beleid],uitkomst_tech[[#This Row],[Uitgangssituatie/effect beleid]])</f>
        <v>11689773.587002812</v>
      </c>
      <c r="H493" s="398">
        <f>SUMIFS(uitkomst_doelgroep[Arbeidsbesparing (FTE)],uitkomst_doelgroep[Digitale zorgtoepassing],B493,uitkomst_doelgroep[Jaar],D493,uitkomst_doelgroep[Arbeidsbesparing (FTE)],"&gt;0",uitkomst_doelgroep[Uitgangssituatie/effect beleid],uitkomst_tech[[#This Row],[Uitgangssituatie/effect beleid]])</f>
        <v>61.620499105551133</v>
      </c>
      <c r="I493" s="398">
        <f>SUMIFS(uitkomst_doelgroep[Overige besparingen (€)],uitkomst_doelgroep[Digitale zorgtoepassing],B493,uitkomst_doelgroep[Jaar],D493,uitkomst_doelgroep[Overige besparingen (€)],"&gt;0",uitkomst_doelgroep[Uitgangssituatie/effect beleid],uitkomst_tech[[#This Row],[Uitgangssituatie/effect beleid]])</f>
        <v>0</v>
      </c>
      <c r="J493" s="398">
        <f>SUMIFS(uitkomst_doelgroep[QALY (€)],uitkomst_doelgroep[Digitale zorgtoepassing],B493,uitkomst_doelgroep[Jaar],D493,uitkomst_doelgroep[QALY (€)],"&gt;0",uitkomst_doelgroep[Uitgangssituatie/effect beleid],uitkomst_tech[[#This Row],[Uitgangssituatie/effect beleid]])</f>
        <v>0</v>
      </c>
      <c r="K493" s="398">
        <f>SUMIFS(uitkomst_doelgroep[Kosten (€)],uitkomst_doelgroep[Digitale zorgtoepassing],B493,uitkomst_doelgroep[Jaar],D493,uitkomst_doelgroep[Kosten (€)],"&gt;0",uitkomst_doelgroep[Uitgangssituatie/effect beleid],uitkomst_tech[[#This Row],[Uitgangssituatie/effect beleid]])</f>
        <v>9934340.2731025089</v>
      </c>
      <c r="L493" s="398">
        <f>SUMIFS(uitkomst_doelgroep[Investering (cash flow) (€)],uitkomst_doelgroep[Digitale zorgtoepassing],B493,uitkomst_doelgroep[Jaar],D493,uitkomst_doelgroep[Investering (cash flow) (€)],"&gt;0",uitkomst_doelgroep[Uitgangssituatie/effect beleid],uitkomst_tech[[#This Row],[Uitgangssituatie/effect beleid]])</f>
        <v>0</v>
      </c>
    </row>
    <row r="494" spans="1:12" x14ac:dyDescent="0.5">
      <c r="A494" s="2" t="str">
        <f>INDEX(Technologieën[Veld],MATCH(B494,Technologieën[Digitale zorgtoepassing],0))</f>
        <v>Software - Diagnose</v>
      </c>
      <c r="B494" s="33" t="s">
        <v>139</v>
      </c>
      <c r="C494" s="33" t="s">
        <v>813</v>
      </c>
      <c r="D494" s="33">
        <v>2030</v>
      </c>
      <c r="E494" s="2"/>
      <c r="F494" s="397">
        <f>SUMIFS(uitkomst_doelgroep[Patiëntaantallen],uitkomst_doelgroep[Digitale zorgtoepassing],B494,uitkomst_doelgroep[Jaar],D494,uitkomst_doelgroep[Arbeidsbesparing (€)],"&gt;0",uitkomst_doelgroep[Uitgangssituatie/effect beleid],uitkomst_tech[[#This Row],[Uitgangssituatie/effect beleid]])</f>
        <v>996768.6277016789</v>
      </c>
      <c r="G494" s="398">
        <f>SUMIFS(uitkomst_doelgroep[Arbeidsbesparing (€)],uitkomst_doelgroep[Digitale zorgtoepassing],B494,uitkomst_doelgroep[Jaar],D494,uitkomst_doelgroep[Arbeidsbesparing (€)],"&gt;0",uitkomst_doelgroep[Uitgangssituatie/effect beleid],uitkomst_tech[[#This Row],[Uitgangssituatie/effect beleid]])</f>
        <v>11723772.229234407</v>
      </c>
      <c r="H494" s="398">
        <f>SUMIFS(uitkomst_doelgroep[Arbeidsbesparing (FTE)],uitkomst_doelgroep[Digitale zorgtoepassing],B494,uitkomst_doelgroep[Jaar],D494,uitkomst_doelgroep[Arbeidsbesparing (FTE)],"&gt;0",uitkomst_doelgroep[Uitgangssituatie/effect beleid],uitkomst_tech[[#This Row],[Uitgangssituatie/effect beleid]])</f>
        <v>61.799716717220811</v>
      </c>
      <c r="I494" s="398">
        <f>SUMIFS(uitkomst_doelgroep[Overige besparingen (€)],uitkomst_doelgroep[Digitale zorgtoepassing],B494,uitkomst_doelgroep[Jaar],D494,uitkomst_doelgroep[Overige besparingen (€)],"&gt;0",uitkomst_doelgroep[Uitgangssituatie/effect beleid],uitkomst_tech[[#This Row],[Uitgangssituatie/effect beleid]])</f>
        <v>0</v>
      </c>
      <c r="J494" s="398">
        <f>SUMIFS(uitkomst_doelgroep[QALY (€)],uitkomst_doelgroep[Digitale zorgtoepassing],B494,uitkomst_doelgroep[Jaar],D494,uitkomst_doelgroep[QALY (€)],"&gt;0",uitkomst_doelgroep[Uitgangssituatie/effect beleid],uitkomst_tech[[#This Row],[Uitgangssituatie/effect beleid]])</f>
        <v>0</v>
      </c>
      <c r="K494" s="398">
        <f>SUMIFS(uitkomst_doelgroep[Kosten (€)],uitkomst_doelgroep[Digitale zorgtoepassing],B494,uitkomst_doelgroep[Jaar],D494,uitkomst_doelgroep[Kosten (€)],"&gt;0",uitkomst_doelgroep[Uitgangssituatie/effect beleid],uitkomst_tech[[#This Row],[Uitgangssituatie/effect beleid]])</f>
        <v>9963233.3973566573</v>
      </c>
      <c r="L494" s="398">
        <f>SUMIFS(uitkomst_doelgroep[Investering (cash flow) (€)],uitkomst_doelgroep[Digitale zorgtoepassing],B494,uitkomst_doelgroep[Jaar],D494,uitkomst_doelgroep[Investering (cash flow) (€)],"&gt;0",uitkomst_doelgroep[Uitgangssituatie/effect beleid],uitkomst_tech[[#This Row],[Uitgangssituatie/effect beleid]])</f>
        <v>0</v>
      </c>
    </row>
    <row r="495" spans="1:12" x14ac:dyDescent="0.5">
      <c r="A495" s="2" t="str">
        <f>INDEX(Technologieën[Veld],MATCH(B495,Technologieën[Digitale zorgtoepassing],0))</f>
        <v>Software - Diagnose</v>
      </c>
      <c r="B495" s="33" t="s">
        <v>139</v>
      </c>
      <c r="C495" s="33" t="s">
        <v>813</v>
      </c>
      <c r="D495" s="33">
        <v>2031</v>
      </c>
      <c r="E495" s="2"/>
      <c r="F495" s="397">
        <f>SUMIFS(uitkomst_doelgroep[Patiëntaantallen],uitkomst_doelgroep[Digitale zorgtoepassing],B495,uitkomst_doelgroep[Jaar],D495,uitkomst_doelgroep[Arbeidsbesparing (€)],"&gt;0",uitkomst_doelgroep[Uitgangssituatie/effect beleid],uitkomst_tech[[#This Row],[Uitgangssituatie/effect beleid]])</f>
        <v>998298.35865135188</v>
      </c>
      <c r="G495" s="398">
        <f>SUMIFS(uitkomst_doelgroep[Arbeidsbesparing (€)],uitkomst_doelgroep[Digitale zorgtoepassing],B495,uitkomst_doelgroep[Jaar],D495,uitkomst_doelgroep[Arbeidsbesparing (€)],"&gt;0",uitkomst_doelgroep[Uitgangssituatie/effect beleid],uitkomst_tech[[#This Row],[Uitgangssituatie/effect beleid]])</f>
        <v>11741764.586465118</v>
      </c>
      <c r="H495" s="398">
        <f>SUMIFS(uitkomst_doelgroep[Arbeidsbesparing (FTE)],uitkomst_doelgroep[Digitale zorgtoepassing],B495,uitkomst_doelgroep[Jaar],D495,uitkomst_doelgroep[Arbeidsbesparing (FTE)],"&gt;0",uitkomst_doelgroep[Uitgangssituatie/effect beleid],uitkomst_tech[[#This Row],[Uitgangssituatie/effect beleid]])</f>
        <v>61.894560130943944</v>
      </c>
      <c r="I495" s="398">
        <f>SUMIFS(uitkomst_doelgroep[Overige besparingen (€)],uitkomst_doelgroep[Digitale zorgtoepassing],B495,uitkomst_doelgroep[Jaar],D495,uitkomst_doelgroep[Overige besparingen (€)],"&gt;0",uitkomst_doelgroep[Uitgangssituatie/effect beleid],uitkomst_tech[[#This Row],[Uitgangssituatie/effect beleid]])</f>
        <v>0</v>
      </c>
      <c r="J495" s="398">
        <f>SUMIFS(uitkomst_doelgroep[QALY (€)],uitkomst_doelgroep[Digitale zorgtoepassing],B495,uitkomst_doelgroep[Jaar],D495,uitkomst_doelgroep[QALY (€)],"&gt;0",uitkomst_doelgroep[Uitgangssituatie/effect beleid],uitkomst_tech[[#This Row],[Uitgangssituatie/effect beleid]])</f>
        <v>0</v>
      </c>
      <c r="K495" s="398">
        <f>SUMIFS(uitkomst_doelgroep[Kosten (€)],uitkomst_doelgroep[Digitale zorgtoepassing],B495,uitkomst_doelgroep[Jaar],D495,uitkomst_doelgroep[Kosten (€)],"&gt;0",uitkomst_doelgroep[Uitgangssituatie/effect beleid],uitkomst_tech[[#This Row],[Uitgangssituatie/effect beleid]])</f>
        <v>9978523.8730630353</v>
      </c>
      <c r="L495" s="398">
        <f>SUMIFS(uitkomst_doelgroep[Investering (cash flow) (€)],uitkomst_doelgroep[Digitale zorgtoepassing],B495,uitkomst_doelgroep[Jaar],D495,uitkomst_doelgroep[Investering (cash flow) (€)],"&gt;0",uitkomst_doelgroep[Uitgangssituatie/effect beleid],uitkomst_tech[[#This Row],[Uitgangssituatie/effect beleid]])</f>
        <v>0</v>
      </c>
    </row>
    <row r="496" spans="1:12" x14ac:dyDescent="0.5">
      <c r="A496" s="2" t="str">
        <f>INDEX(Technologieën[Veld],MATCH(B496,Technologieën[Digitale zorgtoepassing],0))</f>
        <v>Software - Diagnose</v>
      </c>
      <c r="B496" s="33" t="s">
        <v>139</v>
      </c>
      <c r="C496" s="33" t="s">
        <v>813</v>
      </c>
      <c r="D496" s="33">
        <v>2032</v>
      </c>
      <c r="E496" s="2"/>
      <c r="F496" s="397">
        <f>SUMIFS(uitkomst_doelgroep[Patiëntaantallen],uitkomst_doelgroep[Digitale zorgtoepassing],B496,uitkomst_doelgroep[Jaar],D496,uitkomst_doelgroep[Arbeidsbesparing (€)],"&gt;0",uitkomst_doelgroep[Uitgangssituatie/effect beleid],uitkomst_tech[[#This Row],[Uitgangssituatie/effect beleid]])</f>
        <v>999104.8618092098</v>
      </c>
      <c r="G496" s="398">
        <f>SUMIFS(uitkomst_doelgroep[Arbeidsbesparing (€)],uitkomst_doelgroep[Digitale zorgtoepassing],B496,uitkomst_doelgroep[Jaar],D496,uitkomst_doelgroep[Arbeidsbesparing (€)],"&gt;0",uitkomst_doelgroep[Uitgangssituatie/effect beleid],uitkomst_tech[[#This Row],[Uitgangssituatie/effect beleid]])</f>
        <v>11751250.498302741</v>
      </c>
      <c r="H496" s="398">
        <f>SUMIFS(uitkomst_doelgroep[Arbeidsbesparing (FTE)],uitkomst_doelgroep[Digitale zorgtoepassing],B496,uitkomst_doelgroep[Jaar],D496,uitkomst_doelgroep[Arbeidsbesparing (FTE)],"&gt;0",uitkomst_doelgroep[Uitgangssituatie/effect beleid],uitkomst_tech[[#This Row],[Uitgangssituatie/effect beleid]])</f>
        <v>61.944563376734386</v>
      </c>
      <c r="I496" s="398">
        <f>SUMIFS(uitkomst_doelgroep[Overige besparingen (€)],uitkomst_doelgroep[Digitale zorgtoepassing],B496,uitkomst_doelgroep[Jaar],D496,uitkomst_doelgroep[Overige besparingen (€)],"&gt;0",uitkomst_doelgroep[Uitgangssituatie/effect beleid],uitkomst_tech[[#This Row],[Uitgangssituatie/effect beleid]])</f>
        <v>0</v>
      </c>
      <c r="J496" s="398">
        <f>SUMIFS(uitkomst_doelgroep[QALY (€)],uitkomst_doelgroep[Digitale zorgtoepassing],B496,uitkomst_doelgroep[Jaar],D496,uitkomst_doelgroep[QALY (€)],"&gt;0",uitkomst_doelgroep[Uitgangssituatie/effect beleid],uitkomst_tech[[#This Row],[Uitgangssituatie/effect beleid]])</f>
        <v>0</v>
      </c>
      <c r="K496" s="398">
        <f>SUMIFS(uitkomst_doelgroep[Kosten (€)],uitkomst_doelgroep[Digitale zorgtoepassing],B496,uitkomst_doelgroep[Jaar],D496,uitkomst_doelgroep[Kosten (€)],"&gt;0",uitkomst_doelgroep[Uitgangssituatie/effect beleid],uitkomst_tech[[#This Row],[Uitgangssituatie/effect beleid]])</f>
        <v>9986585.3017377835</v>
      </c>
      <c r="L496" s="398">
        <f>SUMIFS(uitkomst_doelgroep[Investering (cash flow) (€)],uitkomst_doelgroep[Digitale zorgtoepassing],B496,uitkomst_doelgroep[Jaar],D496,uitkomst_doelgroep[Investering (cash flow) (€)],"&gt;0",uitkomst_doelgroep[Uitgangssituatie/effect beleid],uitkomst_tech[[#This Row],[Uitgangssituatie/effect beleid]])</f>
        <v>0</v>
      </c>
    </row>
    <row r="497" spans="1:12" x14ac:dyDescent="0.5">
      <c r="A497" s="2" t="str">
        <f>INDEX(Technologieën[Veld],MATCH(B497,Technologieën[Digitale zorgtoepassing],0))</f>
        <v>Software - Diagnose</v>
      </c>
      <c r="B497" s="33" t="s">
        <v>139</v>
      </c>
      <c r="C497" s="33" t="s">
        <v>813</v>
      </c>
      <c r="D497" s="33">
        <v>2033</v>
      </c>
      <c r="E497" s="2"/>
      <c r="F497" s="397">
        <f>SUMIFS(uitkomst_doelgroep[Patiëntaantallen],uitkomst_doelgroep[Digitale zorgtoepassing],B497,uitkomst_doelgroep[Jaar],D497,uitkomst_doelgroep[Arbeidsbesparing (€)],"&gt;0",uitkomst_doelgroep[Uitgangssituatie/effect beleid],uitkomst_tech[[#This Row],[Uitgangssituatie/effect beleid]])</f>
        <v>999529.21768207836</v>
      </c>
      <c r="G497" s="398">
        <f>SUMIFS(uitkomst_doelgroep[Arbeidsbesparing (€)],uitkomst_doelgroep[Digitale zorgtoepassing],B497,uitkomst_doelgroep[Jaar],D497,uitkomst_doelgroep[Arbeidsbesparing (€)],"&gt;0",uitkomst_doelgroep[Uitgangssituatie/effect beleid],uitkomst_tech[[#This Row],[Uitgangssituatie/effect beleid]])</f>
        <v>11756241.678261044</v>
      </c>
      <c r="H497" s="398">
        <f>SUMIFS(uitkomst_doelgroep[Arbeidsbesparing (FTE)],uitkomst_doelgroep[Digitale zorgtoepassing],B497,uitkomst_doelgroep[Jaar],D497,uitkomst_doelgroep[Arbeidsbesparing (FTE)],"&gt;0",uitkomst_doelgroep[Uitgangssituatie/effect beleid],uitkomst_tech[[#This Row],[Uitgangssituatie/effect beleid]])</f>
        <v>61.970873467162328</v>
      </c>
      <c r="I497" s="398">
        <f>SUMIFS(uitkomst_doelgroep[Overige besparingen (€)],uitkomst_doelgroep[Digitale zorgtoepassing],B497,uitkomst_doelgroep[Jaar],D497,uitkomst_doelgroep[Overige besparingen (€)],"&gt;0",uitkomst_doelgroep[Uitgangssituatie/effect beleid],uitkomst_tech[[#This Row],[Uitgangssituatie/effect beleid]])</f>
        <v>0</v>
      </c>
      <c r="J497" s="398">
        <f>SUMIFS(uitkomst_doelgroep[QALY (€)],uitkomst_doelgroep[Digitale zorgtoepassing],B497,uitkomst_doelgroep[Jaar],D497,uitkomst_doelgroep[QALY (€)],"&gt;0",uitkomst_doelgroep[Uitgangssituatie/effect beleid],uitkomst_tech[[#This Row],[Uitgangssituatie/effect beleid]])</f>
        <v>0</v>
      </c>
      <c r="K497" s="398">
        <f>SUMIFS(uitkomst_doelgroep[Kosten (€)],uitkomst_doelgroep[Digitale zorgtoepassing],B497,uitkomst_doelgroep[Jaar],D497,uitkomst_doelgroep[Kosten (€)],"&gt;0",uitkomst_doelgroep[Uitgangssituatie/effect beleid],uitkomst_tech[[#This Row],[Uitgangssituatie/effect beleid]])</f>
        <v>9990826.96473502</v>
      </c>
      <c r="L497" s="398">
        <f>SUMIFS(uitkomst_doelgroep[Investering (cash flow) (€)],uitkomst_doelgroep[Digitale zorgtoepassing],B497,uitkomst_doelgroep[Jaar],D497,uitkomst_doelgroep[Investering (cash flow) (€)],"&gt;0",uitkomst_doelgroep[Uitgangssituatie/effect beleid],uitkomst_tech[[#This Row],[Uitgangssituatie/effect beleid]])</f>
        <v>0</v>
      </c>
    </row>
    <row r="498" spans="1:12" x14ac:dyDescent="0.5">
      <c r="A498" s="2" t="str">
        <f>INDEX(Technologieën[Veld],MATCH(B498,Technologieën[Digitale zorgtoepassing],0))</f>
        <v>Software - Behandeling</v>
      </c>
      <c r="B498" s="33" t="s">
        <v>588</v>
      </c>
      <c r="C498" s="33" t="s">
        <v>813</v>
      </c>
      <c r="D498" s="33">
        <v>2023</v>
      </c>
      <c r="E498" s="2"/>
      <c r="F498" s="397">
        <f>SUMIFS(uitkomst_doelgroep[Patiëntaantallen],uitkomst_doelgroep[Digitale zorgtoepassing],B498,uitkomst_doelgroep[Jaar],D498,uitkomst_doelgroep[Arbeidsbesparing (€)],"&gt;0",uitkomst_doelgroep[Uitgangssituatie/effect beleid],uitkomst_tech[[#This Row],[Uitgangssituatie/effect beleid]])</f>
        <v>1600</v>
      </c>
      <c r="G498" s="398">
        <f>SUMIFS(uitkomst_doelgroep[Arbeidsbesparing (€)],uitkomst_doelgroep[Digitale zorgtoepassing],B498,uitkomst_doelgroep[Jaar],D498,uitkomst_doelgroep[Arbeidsbesparing (€)],"&gt;0",uitkomst_doelgroep[Uitgangssituatie/effect beleid],uitkomst_tech[[#This Row],[Uitgangssituatie/effect beleid]])</f>
        <v>1719765.5172413797</v>
      </c>
      <c r="H498" s="398">
        <f>SUMIFS(uitkomst_doelgroep[Arbeidsbesparing (FTE)],uitkomst_doelgroep[Digitale zorgtoepassing],B498,uitkomst_doelgroep[Jaar],D498,uitkomst_doelgroep[Arbeidsbesparing (FTE)],"&gt;0",uitkomst_doelgroep[Uitgangssituatie/effect beleid],uitkomst_tech[[#This Row],[Uitgangssituatie/effect beleid]])</f>
        <v>40</v>
      </c>
      <c r="I498" s="398">
        <f>SUMIFS(uitkomst_doelgroep[Overige besparingen (€)],uitkomst_doelgroep[Digitale zorgtoepassing],B498,uitkomst_doelgroep[Jaar],D498,uitkomst_doelgroep[Overige besparingen (€)],"&gt;0",uitkomst_doelgroep[Uitgangssituatie/effect beleid],uitkomst_tech[[#This Row],[Uitgangssituatie/effect beleid]])</f>
        <v>0</v>
      </c>
      <c r="J498" s="398">
        <f>SUMIFS(uitkomst_doelgroep[QALY (€)],uitkomst_doelgroep[Digitale zorgtoepassing],B498,uitkomst_doelgroep[Jaar],D498,uitkomst_doelgroep[QALY (€)],"&gt;0",uitkomst_doelgroep[Uitgangssituatie/effect beleid],uitkomst_tech[[#This Row],[Uitgangssituatie/effect beleid]])</f>
        <v>0</v>
      </c>
      <c r="K498" s="398">
        <f>SUMIFS(uitkomst_doelgroep[Kosten (€)],uitkomst_doelgroep[Digitale zorgtoepassing],B498,uitkomst_doelgroep[Jaar],D498,uitkomst_doelgroep[Kosten (€)],"&gt;0",uitkomst_doelgroep[Uitgangssituatie/effect beleid],uitkomst_tech[[#This Row],[Uitgangssituatie/effect beleid]])</f>
        <v>224000.136</v>
      </c>
      <c r="L498" s="398">
        <f>SUMIFS(uitkomst_doelgroep[Investering (cash flow) (€)],uitkomst_doelgroep[Digitale zorgtoepassing],B498,uitkomst_doelgroep[Jaar],D498,uitkomst_doelgroep[Investering (cash flow) (€)],"&gt;0",uitkomst_doelgroep[Uitgangssituatie/effect beleid],uitkomst_tech[[#This Row],[Uitgangssituatie/effect beleid]])</f>
        <v>0</v>
      </c>
    </row>
    <row r="499" spans="1:12" x14ac:dyDescent="0.5">
      <c r="A499" s="2" t="str">
        <f>INDEX(Technologieën[Veld],MATCH(B499,Technologieën[Digitale zorgtoepassing],0))</f>
        <v>Software - Behandeling</v>
      </c>
      <c r="B499" s="33" t="s">
        <v>588</v>
      </c>
      <c r="C499" s="33" t="s">
        <v>813</v>
      </c>
      <c r="D499" s="33">
        <v>2024</v>
      </c>
      <c r="E499" s="2"/>
      <c r="F499" s="397">
        <f>SUMIFS(uitkomst_doelgroep[Patiëntaantallen],uitkomst_doelgroep[Digitale zorgtoepassing],B499,uitkomst_doelgroep[Jaar],D499,uitkomst_doelgroep[Arbeidsbesparing (€)],"&gt;0",uitkomst_doelgroep[Uitgangssituatie/effect beleid],uitkomst_tech[[#This Row],[Uitgangssituatie/effect beleid]])</f>
        <v>2144</v>
      </c>
      <c r="G499" s="398">
        <f>SUMIFS(uitkomst_doelgroep[Arbeidsbesparing (€)],uitkomst_doelgroep[Digitale zorgtoepassing],B499,uitkomst_doelgroep[Jaar],D499,uitkomst_doelgroep[Arbeidsbesparing (€)],"&gt;0",uitkomst_doelgroep[Uitgangssituatie/effect beleid],uitkomst_tech[[#This Row],[Uitgangssituatie/effect beleid]])</f>
        <v>2304485.793103449</v>
      </c>
      <c r="H499" s="398">
        <f>SUMIFS(uitkomst_doelgroep[Arbeidsbesparing (FTE)],uitkomst_doelgroep[Digitale zorgtoepassing],B499,uitkomst_doelgroep[Jaar],D499,uitkomst_doelgroep[Arbeidsbesparing (FTE)],"&gt;0",uitkomst_doelgroep[Uitgangssituatie/effect beleid],uitkomst_tech[[#This Row],[Uitgangssituatie/effect beleid]])</f>
        <v>53.6</v>
      </c>
      <c r="I499" s="398">
        <f>SUMIFS(uitkomst_doelgroep[Overige besparingen (€)],uitkomst_doelgroep[Digitale zorgtoepassing],B499,uitkomst_doelgroep[Jaar],D499,uitkomst_doelgroep[Overige besparingen (€)],"&gt;0",uitkomst_doelgroep[Uitgangssituatie/effect beleid],uitkomst_tech[[#This Row],[Uitgangssituatie/effect beleid]])</f>
        <v>0</v>
      </c>
      <c r="J499" s="398">
        <f>SUMIFS(uitkomst_doelgroep[QALY (€)],uitkomst_doelgroep[Digitale zorgtoepassing],B499,uitkomst_doelgroep[Jaar],D499,uitkomst_doelgroep[QALY (€)],"&gt;0",uitkomst_doelgroep[Uitgangssituatie/effect beleid],uitkomst_tech[[#This Row],[Uitgangssituatie/effect beleid]])</f>
        <v>0</v>
      </c>
      <c r="K499" s="398">
        <f>SUMIFS(uitkomst_doelgroep[Kosten (€)],uitkomst_doelgroep[Digitale zorgtoepassing],B499,uitkomst_doelgroep[Jaar],D499,uitkomst_doelgroep[Kosten (€)],"&gt;0",uitkomst_doelgroep[Uitgangssituatie/effect beleid],uitkomst_tech[[#This Row],[Uitgangssituatie/effect beleid]])</f>
        <v>300160.18223999999</v>
      </c>
      <c r="L499" s="398">
        <f>SUMIFS(uitkomst_doelgroep[Investering (cash flow) (€)],uitkomst_doelgroep[Digitale zorgtoepassing],B499,uitkomst_doelgroep[Jaar],D499,uitkomst_doelgroep[Investering (cash flow) (€)],"&gt;0",uitkomst_doelgroep[Uitgangssituatie/effect beleid],uitkomst_tech[[#This Row],[Uitgangssituatie/effect beleid]])</f>
        <v>0</v>
      </c>
    </row>
    <row r="500" spans="1:12" x14ac:dyDescent="0.5">
      <c r="A500" s="2" t="str">
        <f>INDEX(Technologieën[Veld],MATCH(B500,Technologieën[Digitale zorgtoepassing],0))</f>
        <v>Software - Behandeling</v>
      </c>
      <c r="B500" s="33" t="s">
        <v>588</v>
      </c>
      <c r="C500" s="33" t="s">
        <v>813</v>
      </c>
      <c r="D500" s="33">
        <v>2025</v>
      </c>
      <c r="E500" s="2"/>
      <c r="F500" s="397">
        <f>SUMIFS(uitkomst_doelgroep[Patiëntaantallen],uitkomst_doelgroep[Digitale zorgtoepassing],B500,uitkomst_doelgroep[Jaar],D500,uitkomst_doelgroep[Arbeidsbesparing (€)],"&gt;0",uitkomst_doelgroep[Uitgangssituatie/effect beleid],uitkomst_tech[[#This Row],[Uitgangssituatie/effect beleid]])</f>
        <v>2781.1327999999999</v>
      </c>
      <c r="G500" s="398">
        <f>SUMIFS(uitkomst_doelgroep[Arbeidsbesparing (€)],uitkomst_doelgroep[Digitale zorgtoepassing],B500,uitkomst_doelgroep[Jaar],D500,uitkomst_doelgroep[Arbeidsbesparing (€)],"&gt;0",uitkomst_doelgroep[Uitgangssituatie/effect beleid],uitkomst_tech[[#This Row],[Uitgangssituatie/effect beleid]])</f>
        <v>2989310.1801931038</v>
      </c>
      <c r="H500" s="398">
        <f>SUMIFS(uitkomst_doelgroep[Arbeidsbesparing (FTE)],uitkomst_doelgroep[Digitale zorgtoepassing],B500,uitkomst_doelgroep[Jaar],D500,uitkomst_doelgroep[Arbeidsbesparing (FTE)],"&gt;0",uitkomst_doelgroep[Uitgangssituatie/effect beleid],uitkomst_tech[[#This Row],[Uitgangssituatie/effect beleid]])</f>
        <v>69.528319999999994</v>
      </c>
      <c r="I500" s="398">
        <f>SUMIFS(uitkomst_doelgroep[Overige besparingen (€)],uitkomst_doelgroep[Digitale zorgtoepassing],B500,uitkomst_doelgroep[Jaar],D500,uitkomst_doelgroep[Overige besparingen (€)],"&gt;0",uitkomst_doelgroep[Uitgangssituatie/effect beleid],uitkomst_tech[[#This Row],[Uitgangssituatie/effect beleid]])</f>
        <v>0</v>
      </c>
      <c r="J500" s="398">
        <f>SUMIFS(uitkomst_doelgroep[QALY (€)],uitkomst_doelgroep[Digitale zorgtoepassing],B500,uitkomst_doelgroep[Jaar],D500,uitkomst_doelgroep[QALY (€)],"&gt;0",uitkomst_doelgroep[Uitgangssituatie/effect beleid],uitkomst_tech[[#This Row],[Uitgangssituatie/effect beleid]])</f>
        <v>0</v>
      </c>
      <c r="K500" s="398">
        <f>SUMIFS(uitkomst_doelgroep[Kosten (€)],uitkomst_doelgroep[Digitale zorgtoepassing],B500,uitkomst_doelgroep[Jaar],D500,uitkomst_doelgroep[Kosten (€)],"&gt;0",uitkomst_doelgroep[Uitgangssituatie/effect beleid],uitkomst_tech[[#This Row],[Uitgangssituatie/effect beleid]])</f>
        <v>389358.82839628798</v>
      </c>
      <c r="L500" s="398">
        <f>SUMIFS(uitkomst_doelgroep[Investering (cash flow) (€)],uitkomst_doelgroep[Digitale zorgtoepassing],B500,uitkomst_doelgroep[Jaar],D500,uitkomst_doelgroep[Investering (cash flow) (€)],"&gt;0",uitkomst_doelgroep[Uitgangssituatie/effect beleid],uitkomst_tech[[#This Row],[Uitgangssituatie/effect beleid]])</f>
        <v>0</v>
      </c>
    </row>
    <row r="501" spans="1:12" x14ac:dyDescent="0.5">
      <c r="A501" s="2" t="str">
        <f>INDEX(Technologieën[Veld],MATCH(B501,Technologieën[Digitale zorgtoepassing],0))</f>
        <v>Software - Behandeling</v>
      </c>
      <c r="B501" s="33" t="s">
        <v>588</v>
      </c>
      <c r="C501" s="33" t="s">
        <v>813</v>
      </c>
      <c r="D501" s="33">
        <v>2026</v>
      </c>
      <c r="E501" s="2"/>
      <c r="F501" s="397">
        <f>SUMIFS(uitkomst_doelgroep[Patiëntaantallen],uitkomst_doelgroep[Digitale zorgtoepassing],B501,uitkomst_doelgroep[Jaar],D501,uitkomst_doelgroep[Arbeidsbesparing (€)],"&gt;0",uitkomst_doelgroep[Uitgangssituatie/effect beleid],uitkomst_tech[[#This Row],[Uitgangssituatie/effect beleid]])</f>
        <v>3494.4191782584317</v>
      </c>
      <c r="G501" s="398">
        <f>SUMIFS(uitkomst_doelgroep[Arbeidsbesparing (€)],uitkomst_doelgroep[Digitale zorgtoepassing],B501,uitkomst_doelgroep[Jaar],D501,uitkomst_doelgroep[Arbeidsbesparing (€)],"&gt;0",uitkomst_doelgroep[Uitgangssituatie/effect beleid],uitkomst_tech[[#This Row],[Uitgangssituatie/effect beleid]])</f>
        <v>3755988.5034723803</v>
      </c>
      <c r="H501" s="398">
        <f>SUMIFS(uitkomst_doelgroep[Arbeidsbesparing (FTE)],uitkomst_doelgroep[Digitale zorgtoepassing],B501,uitkomst_doelgroep[Jaar],D501,uitkomst_doelgroep[Arbeidsbesparing (FTE)],"&gt;0",uitkomst_doelgroep[Uitgangssituatie/effect beleid],uitkomst_tech[[#This Row],[Uitgangssituatie/effect beleid]])</f>
        <v>87.360479456460794</v>
      </c>
      <c r="I501" s="398">
        <f>SUMIFS(uitkomst_doelgroep[Overige besparingen (€)],uitkomst_doelgroep[Digitale zorgtoepassing],B501,uitkomst_doelgroep[Jaar],D501,uitkomst_doelgroep[Overige besparingen (€)],"&gt;0",uitkomst_doelgroep[Uitgangssituatie/effect beleid],uitkomst_tech[[#This Row],[Uitgangssituatie/effect beleid]])</f>
        <v>0</v>
      </c>
      <c r="J501" s="398">
        <f>SUMIFS(uitkomst_doelgroep[QALY (€)],uitkomst_doelgroep[Digitale zorgtoepassing],B501,uitkomst_doelgroep[Jaar],D501,uitkomst_doelgroep[QALY (€)],"&gt;0",uitkomst_doelgroep[Uitgangssituatie/effect beleid],uitkomst_tech[[#This Row],[Uitgangssituatie/effect beleid]])</f>
        <v>0</v>
      </c>
      <c r="K501" s="398">
        <f>SUMIFS(uitkomst_doelgroep[Kosten (€)],uitkomst_doelgroep[Digitale zorgtoepassing],B501,uitkomst_doelgroep[Jaar],D501,uitkomst_doelgroep[Kosten (€)],"&gt;0",uitkomst_doelgroep[Uitgangssituatie/effect beleid],uitkomst_tech[[#This Row],[Uitgangssituatie/effect beleid]])</f>
        <v>489218.98198181059</v>
      </c>
      <c r="L501" s="398">
        <f>SUMIFS(uitkomst_doelgroep[Investering (cash flow) (€)],uitkomst_doelgroep[Digitale zorgtoepassing],B501,uitkomst_doelgroep[Jaar],D501,uitkomst_doelgroep[Investering (cash flow) (€)],"&gt;0",uitkomst_doelgroep[Uitgangssituatie/effect beleid],uitkomst_tech[[#This Row],[Uitgangssituatie/effect beleid]])</f>
        <v>0</v>
      </c>
    </row>
    <row r="502" spans="1:12" x14ac:dyDescent="0.5">
      <c r="A502" s="2" t="str">
        <f>INDEX(Technologieën[Veld],MATCH(B502,Technologieën[Digitale zorgtoepassing],0))</f>
        <v>Software - Behandeling</v>
      </c>
      <c r="B502" s="33" t="s">
        <v>588</v>
      </c>
      <c r="C502" s="33" t="s">
        <v>813</v>
      </c>
      <c r="D502" s="33">
        <v>2027</v>
      </c>
      <c r="E502" s="2"/>
      <c r="F502" s="397">
        <f>SUMIFS(uitkomst_doelgroep[Patiëntaantallen],uitkomst_doelgroep[Digitale zorgtoepassing],B502,uitkomst_doelgroep[Jaar],D502,uitkomst_doelgroep[Arbeidsbesparing (€)],"&gt;0",uitkomst_doelgroep[Uitgangssituatie/effect beleid],uitkomst_tech[[#This Row],[Uitgangssituatie/effect beleid]])</f>
        <v>4250.8198670146166</v>
      </c>
      <c r="G502" s="398">
        <f>SUMIFS(uitkomst_doelgroep[Arbeidsbesparing (€)],uitkomst_doelgroep[Digitale zorgtoepassing],B502,uitkomst_doelgroep[Jaar],D502,uitkomst_doelgroep[Arbeidsbesparing (€)],"&gt;0",uitkomst_doelgroep[Uitgangssituatie/effect beleid],uitkomst_tech[[#This Row],[Uitgangssituatie/effect beleid]])</f>
        <v>4569008.3920602025</v>
      </c>
      <c r="H502" s="398">
        <f>SUMIFS(uitkomst_doelgroep[Arbeidsbesparing (FTE)],uitkomst_doelgroep[Digitale zorgtoepassing],B502,uitkomst_doelgroep[Jaar],D502,uitkomst_doelgroep[Arbeidsbesparing (FTE)],"&gt;0",uitkomst_doelgroep[Uitgangssituatie/effect beleid],uitkomst_tech[[#This Row],[Uitgangssituatie/effect beleid]])</f>
        <v>106.27049667536541</v>
      </c>
      <c r="I502" s="398">
        <f>SUMIFS(uitkomst_doelgroep[Overige besparingen (€)],uitkomst_doelgroep[Digitale zorgtoepassing],B502,uitkomst_doelgroep[Jaar],D502,uitkomst_doelgroep[Overige besparingen (€)],"&gt;0",uitkomst_doelgroep[Uitgangssituatie/effect beleid],uitkomst_tech[[#This Row],[Uitgangssituatie/effect beleid]])</f>
        <v>0</v>
      </c>
      <c r="J502" s="398">
        <f>SUMIFS(uitkomst_doelgroep[QALY (€)],uitkomst_doelgroep[Digitale zorgtoepassing],B502,uitkomst_doelgroep[Jaar],D502,uitkomst_doelgroep[QALY (€)],"&gt;0",uitkomst_doelgroep[Uitgangssituatie/effect beleid],uitkomst_tech[[#This Row],[Uitgangssituatie/effect beleid]])</f>
        <v>0</v>
      </c>
      <c r="K502" s="398">
        <f>SUMIFS(uitkomst_doelgroep[Kosten (€)],uitkomst_doelgroep[Digitale zorgtoepassing],B502,uitkomst_doelgroep[Jaar],D502,uitkomst_doelgroep[Kosten (€)],"&gt;0",uitkomst_doelgroep[Uitgangssituatie/effect beleid],uitkomst_tech[[#This Row],[Uitgangssituatie/effect beleid]])</f>
        <v>595115.14270173502</v>
      </c>
      <c r="L502" s="398">
        <f>SUMIFS(uitkomst_doelgroep[Investering (cash flow) (€)],uitkomst_doelgroep[Digitale zorgtoepassing],B502,uitkomst_doelgroep[Jaar],D502,uitkomst_doelgroep[Investering (cash flow) (€)],"&gt;0",uitkomst_doelgroep[Uitgangssituatie/effect beleid],uitkomst_tech[[#This Row],[Uitgangssituatie/effect beleid]])</f>
        <v>0</v>
      </c>
    </row>
    <row r="503" spans="1:12" x14ac:dyDescent="0.5">
      <c r="A503" s="2" t="str">
        <f>INDEX(Technologieën[Veld],MATCH(B503,Technologieën[Digitale zorgtoepassing],0))</f>
        <v>Software - Behandeling</v>
      </c>
      <c r="B503" s="33" t="s">
        <v>588</v>
      </c>
      <c r="C503" s="33" t="s">
        <v>813</v>
      </c>
      <c r="D503" s="33">
        <v>2028</v>
      </c>
      <c r="E503" s="2"/>
      <c r="F503" s="397">
        <f>SUMIFS(uitkomst_doelgroep[Patiëntaantallen],uitkomst_doelgroep[Digitale zorgtoepassing],B503,uitkomst_doelgroep[Jaar],D503,uitkomst_doelgroep[Arbeidsbesparing (€)],"&gt;0",uitkomst_doelgroep[Uitgangssituatie/effect beleid],uitkomst_tech[[#This Row],[Uitgangssituatie/effect beleid]])</f>
        <v>5354.3052300104937</v>
      </c>
      <c r="G503" s="398">
        <f>SUMIFS(uitkomst_doelgroep[Arbeidsbesparing (€)],uitkomst_doelgroep[Digitale zorgtoepassing],B503,uitkomst_doelgroep[Jaar],D503,uitkomst_doelgroep[Arbeidsbesparing (€)],"&gt;0",uitkomst_doelgroep[Uitgangssituatie/effect beleid],uitkomst_tech[[#This Row],[Uitgangssituatie/effect beleid]])</f>
        <v>5755093.4395982632</v>
      </c>
      <c r="H503" s="398">
        <f>SUMIFS(uitkomst_doelgroep[Arbeidsbesparing (FTE)],uitkomst_doelgroep[Digitale zorgtoepassing],B503,uitkomst_doelgroep[Jaar],D503,uitkomst_doelgroep[Arbeidsbesparing (FTE)],"&gt;0",uitkomst_doelgroep[Uitgangssituatie/effect beleid],uitkomst_tech[[#This Row],[Uitgangssituatie/effect beleid]])</f>
        <v>133.85763075026233</v>
      </c>
      <c r="I503" s="398">
        <f>SUMIFS(uitkomst_doelgroep[Overige besparingen (€)],uitkomst_doelgroep[Digitale zorgtoepassing],B503,uitkomst_doelgroep[Jaar],D503,uitkomst_doelgroep[Overige besparingen (€)],"&gt;0",uitkomst_doelgroep[Uitgangssituatie/effect beleid],uitkomst_tech[[#This Row],[Uitgangssituatie/effect beleid]])</f>
        <v>0</v>
      </c>
      <c r="J503" s="398">
        <f>SUMIFS(uitkomst_doelgroep[QALY (€)],uitkomst_doelgroep[Digitale zorgtoepassing],B503,uitkomst_doelgroep[Jaar],D503,uitkomst_doelgroep[QALY (€)],"&gt;0",uitkomst_doelgroep[Uitgangssituatie/effect beleid],uitkomst_tech[[#This Row],[Uitgangssituatie/effect beleid]])</f>
        <v>0</v>
      </c>
      <c r="K503" s="398">
        <f>SUMIFS(uitkomst_doelgroep[Kosten (€)],uitkomst_doelgroep[Digitale zorgtoepassing],B503,uitkomst_doelgroep[Jaar],D503,uitkomst_doelgroep[Kosten (€)],"&gt;0",uitkomst_doelgroep[Uitgangssituatie/effect beleid],uitkomst_tech[[#This Row],[Uitgangssituatie/effect beleid]])</f>
        <v>749603.18731741363</v>
      </c>
      <c r="L503" s="398">
        <f>SUMIFS(uitkomst_doelgroep[Investering (cash flow) (€)],uitkomst_doelgroep[Digitale zorgtoepassing],B503,uitkomst_doelgroep[Jaar],D503,uitkomst_doelgroep[Investering (cash flow) (€)],"&gt;0",uitkomst_doelgroep[Uitgangssituatie/effect beleid],uitkomst_tech[[#This Row],[Uitgangssituatie/effect beleid]])</f>
        <v>0</v>
      </c>
    </row>
    <row r="504" spans="1:12" x14ac:dyDescent="0.5">
      <c r="A504" s="2" t="str">
        <f>INDEX(Technologieën[Veld],MATCH(B504,Technologieën[Digitale zorgtoepassing],0))</f>
        <v>Software - Behandeling</v>
      </c>
      <c r="B504" s="33" t="s">
        <v>588</v>
      </c>
      <c r="C504" s="33" t="s">
        <v>813</v>
      </c>
      <c r="D504" s="33">
        <v>2029</v>
      </c>
      <c r="E504" s="2"/>
      <c r="F504" s="397">
        <f>SUMIFS(uitkomst_doelgroep[Patiëntaantallen],uitkomst_doelgroep[Digitale zorgtoepassing],B504,uitkomst_doelgroep[Jaar],D504,uitkomst_doelgroep[Arbeidsbesparing (€)],"&gt;0",uitkomst_doelgroep[Uitgangssituatie/effect beleid],uitkomst_tech[[#This Row],[Uitgangssituatie/effect beleid]])</f>
        <v>6505.5631330279293</v>
      </c>
      <c r="G504" s="398">
        <f>SUMIFS(uitkomst_doelgroep[Arbeidsbesparing (€)],uitkomst_doelgroep[Digitale zorgtoepassing],B504,uitkomst_doelgroep[Jaar],D504,uitkomst_doelgroep[Arbeidsbesparing (€)],"&gt;0",uitkomst_doelgroep[Uitgangssituatie/effect beleid],uitkomst_tech[[#This Row],[Uitgangssituatie/effect beleid]])</f>
        <v>6992526.966511392</v>
      </c>
      <c r="H504" s="398">
        <f>SUMIFS(uitkomst_doelgroep[Arbeidsbesparing (FTE)],uitkomst_doelgroep[Digitale zorgtoepassing],B504,uitkomst_doelgroep[Jaar],D504,uitkomst_doelgroep[Arbeidsbesparing (FTE)],"&gt;0",uitkomst_doelgroep[Uitgangssituatie/effect beleid],uitkomst_tech[[#This Row],[Uitgangssituatie/effect beleid]])</f>
        <v>162.63907832569825</v>
      </c>
      <c r="I504" s="398">
        <f>SUMIFS(uitkomst_doelgroep[Overige besparingen (€)],uitkomst_doelgroep[Digitale zorgtoepassing],B504,uitkomst_doelgroep[Jaar],D504,uitkomst_doelgroep[Overige besparingen (€)],"&gt;0",uitkomst_doelgroep[Uitgangssituatie/effect beleid],uitkomst_tech[[#This Row],[Uitgangssituatie/effect beleid]])</f>
        <v>0</v>
      </c>
      <c r="J504" s="398">
        <f>SUMIFS(uitkomst_doelgroep[QALY (€)],uitkomst_doelgroep[Digitale zorgtoepassing],B504,uitkomst_doelgroep[Jaar],D504,uitkomst_doelgroep[QALY (€)],"&gt;0",uitkomst_doelgroep[Uitgangssituatie/effect beleid],uitkomst_tech[[#This Row],[Uitgangssituatie/effect beleid]])</f>
        <v>0</v>
      </c>
      <c r="K504" s="398">
        <f>SUMIFS(uitkomst_doelgroep[Kosten (€)],uitkomst_doelgroep[Digitale zorgtoepassing],B504,uitkomst_doelgroep[Jaar],D504,uitkomst_doelgroep[Kosten (€)],"&gt;0",uitkomst_doelgroep[Uitgangssituatie/effect beleid],uitkomst_tech[[#This Row],[Uitgangssituatie/effect beleid]])</f>
        <v>910779.39159677643</v>
      </c>
      <c r="L504" s="398">
        <f>SUMIFS(uitkomst_doelgroep[Investering (cash flow) (€)],uitkomst_doelgroep[Digitale zorgtoepassing],B504,uitkomst_doelgroep[Jaar],D504,uitkomst_doelgroep[Investering (cash flow) (€)],"&gt;0",uitkomst_doelgroep[Uitgangssituatie/effect beleid],uitkomst_tech[[#This Row],[Uitgangssituatie/effect beleid]])</f>
        <v>0</v>
      </c>
    </row>
    <row r="505" spans="1:12" x14ac:dyDescent="0.5">
      <c r="A505" s="2" t="str">
        <f>INDEX(Technologieën[Veld],MATCH(B505,Technologieën[Digitale zorgtoepassing],0))</f>
        <v>Software - Behandeling</v>
      </c>
      <c r="B505" s="33" t="s">
        <v>588</v>
      </c>
      <c r="C505" s="33" t="s">
        <v>813</v>
      </c>
      <c r="D505" s="33">
        <v>2030</v>
      </c>
      <c r="E505" s="2"/>
      <c r="F505" s="397">
        <f>SUMIFS(uitkomst_doelgroep[Patiëntaantallen],uitkomst_doelgroep[Digitale zorgtoepassing],B505,uitkomst_doelgroep[Jaar],D505,uitkomst_doelgroep[Arbeidsbesparing (€)],"&gt;0",uitkomst_doelgroep[Uitgangssituatie/effect beleid],uitkomst_tech[[#This Row],[Uitgangssituatie/effect beleid]])</f>
        <v>7689.4258262389467</v>
      </c>
      <c r="G505" s="398">
        <f>SUMIFS(uitkomst_doelgroep[Arbeidsbesparing (€)],uitkomst_doelgroep[Digitale zorgtoepassing],B505,uitkomst_doelgroep[Jaar],D505,uitkomst_doelgroep[Arbeidsbesparing (€)],"&gt;0",uitkomst_doelgroep[Uitgangssituatie/effect beleid],uitkomst_tech[[#This Row],[Uitgangssituatie/effect beleid]])</f>
        <v>8265005.8645944027</v>
      </c>
      <c r="H505" s="398">
        <f>SUMIFS(uitkomst_doelgroep[Arbeidsbesparing (FTE)],uitkomst_doelgroep[Digitale zorgtoepassing],B505,uitkomst_doelgroep[Jaar],D505,uitkomst_doelgroep[Arbeidsbesparing (FTE)],"&gt;0",uitkomst_doelgroep[Uitgangssituatie/effect beleid],uitkomst_tech[[#This Row],[Uitgangssituatie/effect beleid]])</f>
        <v>192.23564565597366</v>
      </c>
      <c r="I505" s="398">
        <f>SUMIFS(uitkomst_doelgroep[Overige besparingen (€)],uitkomst_doelgroep[Digitale zorgtoepassing],B505,uitkomst_doelgroep[Jaar],D505,uitkomst_doelgroep[Overige besparingen (€)],"&gt;0",uitkomst_doelgroep[Uitgangssituatie/effect beleid],uitkomst_tech[[#This Row],[Uitgangssituatie/effect beleid]])</f>
        <v>0</v>
      </c>
      <c r="J505" s="398">
        <f>SUMIFS(uitkomst_doelgroep[QALY (€)],uitkomst_doelgroep[Digitale zorgtoepassing],B505,uitkomst_doelgroep[Jaar],D505,uitkomst_doelgroep[QALY (€)],"&gt;0",uitkomst_doelgroep[Uitgangssituatie/effect beleid],uitkomst_tech[[#This Row],[Uitgangssituatie/effect beleid]])</f>
        <v>0</v>
      </c>
      <c r="K505" s="398">
        <f>SUMIFS(uitkomst_doelgroep[Kosten (€)],uitkomst_doelgroep[Digitale zorgtoepassing],B505,uitkomst_doelgroep[Jaar],D505,uitkomst_doelgroep[Kosten (€)],"&gt;0",uitkomst_doelgroep[Uitgangssituatie/effect beleid],uitkomst_tech[[#This Row],[Uitgangssituatie/effect beleid]])</f>
        <v>1076520.2692746478</v>
      </c>
      <c r="L505" s="398">
        <f>SUMIFS(uitkomst_doelgroep[Investering (cash flow) (€)],uitkomst_doelgroep[Digitale zorgtoepassing],B505,uitkomst_doelgroep[Jaar],D505,uitkomst_doelgroep[Investering (cash flow) (€)],"&gt;0",uitkomst_doelgroep[Uitgangssituatie/effect beleid],uitkomst_tech[[#This Row],[Uitgangssituatie/effect beleid]])</f>
        <v>0</v>
      </c>
    </row>
    <row r="506" spans="1:12" x14ac:dyDescent="0.5">
      <c r="A506" s="2" t="str">
        <f>INDEX(Technologieën[Veld],MATCH(B506,Technologieën[Digitale zorgtoepassing],0))</f>
        <v>Software - Behandeling</v>
      </c>
      <c r="B506" s="33" t="s">
        <v>588</v>
      </c>
      <c r="C506" s="33" t="s">
        <v>813</v>
      </c>
      <c r="D506" s="33">
        <v>2031</v>
      </c>
      <c r="E506" s="2"/>
      <c r="F506" s="397">
        <f>SUMIFS(uitkomst_doelgroep[Patiëntaantallen],uitkomst_doelgroep[Digitale zorgtoepassing],B506,uitkomst_doelgroep[Jaar],D506,uitkomst_doelgroep[Arbeidsbesparing (€)],"&gt;0",uitkomst_doelgroep[Uitgangssituatie/effect beleid],uitkomst_tech[[#This Row],[Uitgangssituatie/effect beleid]])</f>
        <v>8913.9148162533347</v>
      </c>
      <c r="G506" s="398">
        <f>SUMIFS(uitkomst_doelgroep[Arbeidsbesparing (€)],uitkomst_doelgroep[Digitale zorgtoepassing],B506,uitkomst_doelgroep[Jaar],D506,uitkomst_doelgroep[Arbeidsbesparing (€)],"&gt;0",uitkomst_doelgroep[Uitgangssituatie/effect beleid],uitkomst_tech[[#This Row],[Uitgangssituatie/effect beleid]])</f>
        <v>9581152.0778871961</v>
      </c>
      <c r="H506" s="398">
        <f>SUMIFS(uitkomst_doelgroep[Arbeidsbesparing (FTE)],uitkomst_doelgroep[Digitale zorgtoepassing],B506,uitkomst_doelgroep[Jaar],D506,uitkomst_doelgroep[Arbeidsbesparing (FTE)],"&gt;0",uitkomst_doelgroep[Uitgangssituatie/effect beleid],uitkomst_tech[[#This Row],[Uitgangssituatie/effect beleid]])</f>
        <v>222.84787040633339</v>
      </c>
      <c r="I506" s="398">
        <f>SUMIFS(uitkomst_doelgroep[Overige besparingen (€)],uitkomst_doelgroep[Digitale zorgtoepassing],B506,uitkomst_doelgroep[Jaar],D506,uitkomst_doelgroep[Overige besparingen (€)],"&gt;0",uitkomst_doelgroep[Uitgangssituatie/effect beleid],uitkomst_tech[[#This Row],[Uitgangssituatie/effect beleid]])</f>
        <v>0</v>
      </c>
      <c r="J506" s="398">
        <f>SUMIFS(uitkomst_doelgroep[QALY (€)],uitkomst_doelgroep[Digitale zorgtoepassing],B506,uitkomst_doelgroep[Jaar],D506,uitkomst_doelgroep[QALY (€)],"&gt;0",uitkomst_doelgroep[Uitgangssituatie/effect beleid],uitkomst_tech[[#This Row],[Uitgangssituatie/effect beleid]])</f>
        <v>0</v>
      </c>
      <c r="K506" s="398">
        <f>SUMIFS(uitkomst_doelgroep[Kosten (€)],uitkomst_doelgroep[Digitale zorgtoepassing],B506,uitkomst_doelgroep[Jaar],D506,uitkomst_doelgroep[Kosten (€)],"&gt;0",uitkomst_doelgroep[Uitgangssituatie/effect beleid],uitkomst_tech[[#This Row],[Uitgangssituatie/effect beleid]])</f>
        <v>1247948.8319582264</v>
      </c>
      <c r="L506" s="398">
        <f>SUMIFS(uitkomst_doelgroep[Investering (cash flow) (€)],uitkomst_doelgroep[Digitale zorgtoepassing],B506,uitkomst_doelgroep[Jaar],D506,uitkomst_doelgroep[Investering (cash flow) (€)],"&gt;0",uitkomst_doelgroep[Uitgangssituatie/effect beleid],uitkomst_tech[[#This Row],[Uitgangssituatie/effect beleid]])</f>
        <v>0</v>
      </c>
    </row>
    <row r="507" spans="1:12" x14ac:dyDescent="0.5">
      <c r="A507" s="2" t="str">
        <f>INDEX(Technologieën[Veld],MATCH(B507,Technologieën[Digitale zorgtoepassing],0))</f>
        <v>Software - Behandeling</v>
      </c>
      <c r="B507" s="33" t="s">
        <v>588</v>
      </c>
      <c r="C507" s="33" t="s">
        <v>813</v>
      </c>
      <c r="D507" s="33">
        <v>2032</v>
      </c>
      <c r="E507" s="2"/>
      <c r="F507" s="397">
        <f>SUMIFS(uitkomst_doelgroep[Patiëntaantallen],uitkomst_doelgroep[Digitale zorgtoepassing],B507,uitkomst_doelgroep[Jaar],D507,uitkomst_doelgroep[Arbeidsbesparing (€)],"&gt;0",uitkomst_doelgroep[Uitgangssituatie/effect beleid],uitkomst_tech[[#This Row],[Uitgangssituatie/effect beleid]])</f>
        <v>10211.732964571271</v>
      </c>
      <c r="G507" s="398">
        <f>SUMIFS(uitkomst_doelgroep[Arbeidsbesparing (€)],uitkomst_doelgroep[Digitale zorgtoepassing],B507,uitkomst_doelgroep[Jaar],D507,uitkomst_doelgroep[Arbeidsbesparing (€)],"&gt;0",uitkomst_doelgroep[Uitgangssituatie/effect beleid],uitkomst_tech[[#This Row],[Uitgangssituatie/effect beleid]])</f>
        <v>10976116.389841724</v>
      </c>
      <c r="H507" s="398">
        <f>SUMIFS(uitkomst_doelgroep[Arbeidsbesparing (FTE)],uitkomst_doelgroep[Digitale zorgtoepassing],B507,uitkomst_doelgroep[Jaar],D507,uitkomst_doelgroep[Arbeidsbesparing (FTE)],"&gt;0",uitkomst_doelgroep[Uitgangssituatie/effect beleid],uitkomst_tech[[#This Row],[Uitgangssituatie/effect beleid]])</f>
        <v>255.29332411428177</v>
      </c>
      <c r="I507" s="398">
        <f>SUMIFS(uitkomst_doelgroep[Overige besparingen (€)],uitkomst_doelgroep[Digitale zorgtoepassing],B507,uitkomst_doelgroep[Jaar],D507,uitkomst_doelgroep[Overige besparingen (€)],"&gt;0",uitkomst_doelgroep[Uitgangssituatie/effect beleid],uitkomst_tech[[#This Row],[Uitgangssituatie/effect beleid]])</f>
        <v>0</v>
      </c>
      <c r="J507" s="398">
        <f>SUMIFS(uitkomst_doelgroep[QALY (€)],uitkomst_doelgroep[Digitale zorgtoepassing],B507,uitkomst_doelgroep[Jaar],D507,uitkomst_doelgroep[QALY (€)],"&gt;0",uitkomst_doelgroep[Uitgangssituatie/effect beleid],uitkomst_tech[[#This Row],[Uitgangssituatie/effect beleid]])</f>
        <v>0</v>
      </c>
      <c r="K507" s="398">
        <f>SUMIFS(uitkomst_doelgroep[Kosten (€)],uitkomst_doelgroep[Digitale zorgtoepassing],B507,uitkomst_doelgroep[Jaar],D507,uitkomst_doelgroep[Kosten (€)],"&gt;0",uitkomst_doelgroep[Uitgangssituatie/effect beleid],uitkomst_tech[[#This Row],[Uitgangssituatie/effect beleid]])</f>
        <v>1429643.4830372799</v>
      </c>
      <c r="L507" s="398">
        <f>SUMIFS(uitkomst_doelgroep[Investering (cash flow) (€)],uitkomst_doelgroep[Digitale zorgtoepassing],B507,uitkomst_doelgroep[Jaar],D507,uitkomst_doelgroep[Investering (cash flow) (€)],"&gt;0",uitkomst_doelgroep[Uitgangssituatie/effect beleid],uitkomst_tech[[#This Row],[Uitgangssituatie/effect beleid]])</f>
        <v>0</v>
      </c>
    </row>
    <row r="508" spans="1:12" x14ac:dyDescent="0.5">
      <c r="A508" s="2" t="str">
        <f>INDEX(Technologieën[Veld],MATCH(B508,Technologieën[Digitale zorgtoepassing],0))</f>
        <v>Software - Behandeling</v>
      </c>
      <c r="B508" s="33" t="s">
        <v>588</v>
      </c>
      <c r="C508" s="33" t="s">
        <v>813</v>
      </c>
      <c r="D508" s="33">
        <v>2033</v>
      </c>
      <c r="E508" s="2"/>
      <c r="F508" s="397">
        <f>SUMIFS(uitkomst_doelgroep[Patiëntaantallen],uitkomst_doelgroep[Digitale zorgtoepassing],B508,uitkomst_doelgroep[Jaar],D508,uitkomst_doelgroep[Arbeidsbesparing (€)],"&gt;0",uitkomst_doelgroep[Uitgangssituatie/effect beleid],uitkomst_tech[[#This Row],[Uitgangssituatie/effect beleid]])</f>
        <v>11633.226482883207</v>
      </c>
      <c r="G508" s="398">
        <f>SUMIFS(uitkomst_doelgroep[Arbeidsbesparing (€)],uitkomst_doelgroep[Digitale zorgtoepassing],B508,uitkomst_doelgroep[Jaar],D508,uitkomst_doelgroep[Arbeidsbesparing (€)],"&gt;0",uitkomst_doelgroep[Uitgangssituatie/effect beleid],uitkomst_tech[[#This Row],[Uitgangssituatie/effect beleid]])</f>
        <v>12504013.599701095</v>
      </c>
      <c r="H508" s="398">
        <f>SUMIFS(uitkomst_doelgroep[Arbeidsbesparing (FTE)],uitkomst_doelgroep[Digitale zorgtoepassing],B508,uitkomst_doelgroep[Jaar],D508,uitkomst_doelgroep[Arbeidsbesparing (FTE)],"&gt;0",uitkomst_doelgroep[Uitgangssituatie/effect beleid],uitkomst_tech[[#This Row],[Uitgangssituatie/effect beleid]])</f>
        <v>290.83066207208014</v>
      </c>
      <c r="I508" s="398">
        <f>SUMIFS(uitkomst_doelgroep[Overige besparingen (€)],uitkomst_doelgroep[Digitale zorgtoepassing],B508,uitkomst_doelgroep[Jaar],D508,uitkomst_doelgroep[Overige besparingen (€)],"&gt;0",uitkomst_doelgroep[Uitgangssituatie/effect beleid],uitkomst_tech[[#This Row],[Uitgangssituatie/effect beleid]])</f>
        <v>0</v>
      </c>
      <c r="J508" s="398">
        <f>SUMIFS(uitkomst_doelgroep[QALY (€)],uitkomst_doelgroep[Digitale zorgtoepassing],B508,uitkomst_doelgroep[Jaar],D508,uitkomst_doelgroep[QALY (€)],"&gt;0",uitkomst_doelgroep[Uitgangssituatie/effect beleid],uitkomst_tech[[#This Row],[Uitgangssituatie/effect beleid]])</f>
        <v>0</v>
      </c>
      <c r="K508" s="398">
        <f>SUMIFS(uitkomst_doelgroep[Kosten (€)],uitkomst_doelgroep[Digitale zorgtoepassing],B508,uitkomst_doelgroep[Jaar],D508,uitkomst_doelgroep[Kosten (€)],"&gt;0",uitkomst_doelgroep[Uitgangssituatie/effect beleid],uitkomst_tech[[#This Row],[Uitgangssituatie/effect beleid]])</f>
        <v>1628652.6964278999</v>
      </c>
      <c r="L508" s="398">
        <f>SUMIFS(uitkomst_doelgroep[Investering (cash flow) (€)],uitkomst_doelgroep[Digitale zorgtoepassing],B508,uitkomst_doelgroep[Jaar],D508,uitkomst_doelgroep[Investering (cash flow) (€)],"&gt;0",uitkomst_doelgroep[Uitgangssituatie/effect beleid],uitkomst_tech[[#This Row],[Uitgangssituatie/effect beleid]])</f>
        <v>0</v>
      </c>
    </row>
    <row r="509" spans="1:12" x14ac:dyDescent="0.5">
      <c r="A509" s="2" t="str">
        <f>INDEX(Technologieën[Veld],MATCH(B509,Technologieën[Digitale zorgtoepassing],0))</f>
        <v>Software - Behandeling</v>
      </c>
      <c r="B509" s="33" t="s">
        <v>585</v>
      </c>
      <c r="C509" s="33" t="s">
        <v>813</v>
      </c>
      <c r="D509" s="33">
        <v>2023</v>
      </c>
      <c r="E509" s="2"/>
      <c r="F509" s="397">
        <f>SUMIFS(uitkomst_doelgroep[Patiëntaantallen],uitkomst_doelgroep[Digitale zorgtoepassing],B509,uitkomst_doelgroep[Jaar],D509,uitkomst_doelgroep[Arbeidsbesparing (€)],"&gt;0",uitkomst_doelgroep[Uitgangssituatie/effect beleid],uitkomst_tech[[#This Row],[Uitgangssituatie/effect beleid]])</f>
        <v>23100</v>
      </c>
      <c r="G509" s="398">
        <f>SUMIFS(uitkomst_doelgroep[Arbeidsbesparing (€)],uitkomst_doelgroep[Digitale zorgtoepassing],B509,uitkomst_doelgroep[Jaar],D509,uitkomst_doelgroep[Arbeidsbesparing (€)],"&gt;0",uitkomst_doelgroep[Uitgangssituatie/effect beleid],uitkomst_tech[[#This Row],[Uitgangssituatie/effect beleid]])</f>
        <v>2328480.0000000005</v>
      </c>
      <c r="H509" s="398">
        <f>SUMIFS(uitkomst_doelgroep[Arbeidsbesparing (FTE)],uitkomst_doelgroep[Digitale zorgtoepassing],B509,uitkomst_doelgroep[Jaar],D509,uitkomst_doelgroep[Arbeidsbesparing (FTE)],"&gt;0",uitkomst_doelgroep[Uitgangssituatie/effect beleid],uitkomst_tech[[#This Row],[Uitgangssituatie/effect beleid]])</f>
        <v>12.274155584743168</v>
      </c>
      <c r="I509" s="398">
        <f>SUMIFS(uitkomst_doelgroep[Overige besparingen (€)],uitkomst_doelgroep[Digitale zorgtoepassing],B509,uitkomst_doelgroep[Jaar],D509,uitkomst_doelgroep[Overige besparingen (€)],"&gt;0",uitkomst_doelgroep[Uitgangssituatie/effect beleid],uitkomst_tech[[#This Row],[Uitgangssituatie/effect beleid]])</f>
        <v>1552320</v>
      </c>
      <c r="J509" s="398">
        <f>SUMIFS(uitkomst_doelgroep[QALY (€)],uitkomst_doelgroep[Digitale zorgtoepassing],B509,uitkomst_doelgroep[Jaar],D509,uitkomst_doelgroep[QALY (€)],"&gt;0",uitkomst_doelgroep[Uitgangssituatie/effect beleid],uitkomst_tech[[#This Row],[Uitgangssituatie/effect beleid]])</f>
        <v>0</v>
      </c>
      <c r="K509" s="398">
        <f>SUMIFS(uitkomst_doelgroep[Kosten (€)],uitkomst_doelgroep[Digitale zorgtoepassing],B509,uitkomst_doelgroep[Jaar],D509,uitkomst_doelgroep[Kosten (€)],"&gt;0",uitkomst_doelgroep[Uitgangssituatie/effect beleid],uitkomst_tech[[#This Row],[Uitgangssituatie/effect beleid]])</f>
        <v>0</v>
      </c>
      <c r="L509" s="398">
        <f>SUMIFS(uitkomst_doelgroep[Investering (cash flow) (€)],uitkomst_doelgroep[Digitale zorgtoepassing],B509,uitkomst_doelgroep[Jaar],D509,uitkomst_doelgroep[Investering (cash flow) (€)],"&gt;0",uitkomst_doelgroep[Uitgangssituatie/effect beleid],uitkomst_tech[[#This Row],[Uitgangssituatie/effect beleid]])</f>
        <v>0</v>
      </c>
    </row>
    <row r="510" spans="1:12" x14ac:dyDescent="0.5">
      <c r="A510" s="2" t="str">
        <f>INDEX(Technologieën[Veld],MATCH(B510,Technologieën[Digitale zorgtoepassing],0))</f>
        <v>Software - Behandeling</v>
      </c>
      <c r="B510" s="33" t="s">
        <v>585</v>
      </c>
      <c r="C510" s="33" t="s">
        <v>813</v>
      </c>
      <c r="D510" s="33">
        <v>2024</v>
      </c>
      <c r="E510" s="2"/>
      <c r="F510" s="397">
        <f>SUMIFS(uitkomst_doelgroep[Patiëntaantallen],uitkomst_doelgroep[Digitale zorgtoepassing],B510,uitkomst_doelgroep[Jaar],D510,uitkomst_doelgroep[Arbeidsbesparing (€)],"&gt;0",uitkomst_doelgroep[Uitgangssituatie/effect beleid],uitkomst_tech[[#This Row],[Uitgangssituatie/effect beleid]])</f>
        <v>140203.25</v>
      </c>
      <c r="G510" s="398">
        <f>SUMIFS(uitkomst_doelgroep[Arbeidsbesparing (€)],uitkomst_doelgroep[Digitale zorgtoepassing],B510,uitkomst_doelgroep[Jaar],D510,uitkomst_doelgroep[Arbeidsbesparing (€)],"&gt;0",uitkomst_doelgroep[Uitgangssituatie/effect beleid],uitkomst_tech[[#This Row],[Uitgangssituatie/effect beleid]])</f>
        <v>3546113.8356321845</v>
      </c>
      <c r="H510" s="398">
        <f>SUMIFS(uitkomst_doelgroep[Arbeidsbesparing (FTE)],uitkomst_doelgroep[Digitale zorgtoepassing],B510,uitkomst_doelgroep[Jaar],D510,uitkomst_doelgroep[Arbeidsbesparing (FTE)],"&gt;0",uitkomst_doelgroep[Uitgangssituatie/effect beleid],uitkomst_tech[[#This Row],[Uitgangssituatie/effect beleid]])</f>
        <v>18.692689196282462</v>
      </c>
      <c r="I510" s="398">
        <f>SUMIFS(uitkomst_doelgroep[Overige besparingen (€)],uitkomst_doelgroep[Digitale zorgtoepassing],B510,uitkomst_doelgroep[Jaar],D510,uitkomst_doelgroep[Overige besparingen (€)],"&gt;0",uitkomst_doelgroep[Uitgangssituatie/effect beleid],uitkomst_tech[[#This Row],[Uitgangssituatie/effect beleid]])</f>
        <v>2029658.4000000001</v>
      </c>
      <c r="J510" s="398">
        <f>SUMIFS(uitkomst_doelgroep[QALY (€)],uitkomst_doelgroep[Digitale zorgtoepassing],B510,uitkomst_doelgroep[Jaar],D510,uitkomst_doelgroep[QALY (€)],"&gt;0",uitkomst_doelgroep[Uitgangssituatie/effect beleid],uitkomst_tech[[#This Row],[Uitgangssituatie/effect beleid]])</f>
        <v>0</v>
      </c>
      <c r="K510" s="398">
        <f>SUMIFS(uitkomst_doelgroep[Kosten (€)],uitkomst_doelgroep[Digitale zorgtoepassing],B510,uitkomst_doelgroep[Jaar],D510,uitkomst_doelgroep[Kosten (€)],"&gt;0",uitkomst_doelgroep[Uitgangssituatie/effect beleid],uitkomst_tech[[#This Row],[Uitgangssituatie/effect beleid]])</f>
        <v>274926.5595558997</v>
      </c>
      <c r="L510" s="398">
        <f>SUMIFS(uitkomst_doelgroep[Investering (cash flow) (€)],uitkomst_doelgroep[Digitale zorgtoepassing],B510,uitkomst_doelgroep[Jaar],D510,uitkomst_doelgroep[Investering (cash flow) (€)],"&gt;0",uitkomst_doelgroep[Uitgangssituatie/effect beleid],uitkomst_tech[[#This Row],[Uitgangssituatie/effect beleid]])</f>
        <v>0</v>
      </c>
    </row>
    <row r="511" spans="1:12" x14ac:dyDescent="0.5">
      <c r="A511" s="2" t="str">
        <f>INDEX(Technologieën[Veld],MATCH(B511,Technologieën[Digitale zorgtoepassing],0))</f>
        <v>Software - Behandeling</v>
      </c>
      <c r="B511" s="33" t="s">
        <v>585</v>
      </c>
      <c r="C511" s="33" t="s">
        <v>813</v>
      </c>
      <c r="D511" s="33">
        <v>2025</v>
      </c>
      <c r="E511" s="2"/>
      <c r="F511" s="397">
        <f>SUMIFS(uitkomst_doelgroep[Patiëntaantallen],uitkomst_doelgroep[Digitale zorgtoepassing],B511,uitkomst_doelgroep[Jaar],D511,uitkomst_doelgroep[Arbeidsbesparing (€)],"&gt;0",uitkomst_doelgroep[Uitgangssituatie/effect beleid],uitkomst_tech[[#This Row],[Uitgangssituatie/effect beleid]])</f>
        <v>298295.0463625</v>
      </c>
      <c r="G511" s="398">
        <f>SUMIFS(uitkomst_doelgroep[Arbeidsbesparing (€)],uitkomst_doelgroep[Digitale zorgtoepassing],B511,uitkomst_doelgroep[Jaar],D511,uitkomst_doelgroep[Arbeidsbesparing (€)],"&gt;0",uitkomst_doelgroep[Uitgangssituatie/effect beleid],uitkomst_tech[[#This Row],[Uitgangssituatie/effect beleid]])</f>
        <v>4957262.1042595413</v>
      </c>
      <c r="H511" s="398">
        <f>SUMIFS(uitkomst_doelgroep[Arbeidsbesparing (FTE)],uitkomst_doelgroep[Digitale zorgtoepassing],B511,uitkomst_doelgroep[Jaar],D511,uitkomst_doelgroep[Arbeidsbesparing (FTE)],"&gt;0",uitkomst_doelgroep[Uitgangssituatie/effect beleid],uitkomst_tech[[#This Row],[Uitgangssituatie/effect beleid]])</f>
        <v>26.131298676403876</v>
      </c>
      <c r="I511" s="398">
        <f>SUMIFS(uitkomst_doelgroep[Overige besparingen (€)],uitkomst_doelgroep[Digitale zorgtoepassing],B511,uitkomst_doelgroep[Jaar],D511,uitkomst_doelgroep[Overige besparingen (€)],"&gt;0",uitkomst_doelgroep[Uitgangssituatie/effect beleid],uitkomst_tech[[#This Row],[Uitgangssituatie/effect beleid]])</f>
        <v>2511603.1155600003</v>
      </c>
      <c r="J511" s="398">
        <f>SUMIFS(uitkomst_doelgroep[QALY (€)],uitkomst_doelgroep[Digitale zorgtoepassing],B511,uitkomst_doelgroep[Jaar],D511,uitkomst_doelgroep[QALY (€)],"&gt;0",uitkomst_doelgroep[Uitgangssituatie/effect beleid],uitkomst_tech[[#This Row],[Uitgangssituatie/effect beleid]])</f>
        <v>0</v>
      </c>
      <c r="K511" s="398">
        <f>SUMIFS(uitkomst_doelgroep[Kosten (€)],uitkomst_doelgroep[Digitale zorgtoepassing],B511,uitkomst_doelgroep[Jaar],D511,uitkomst_doelgroep[Kosten (€)],"&gt;0",uitkomst_doelgroep[Uitgangssituatie/effect beleid],uitkomst_tech[[#This Row],[Uitgangssituatie/effect beleid]])</f>
        <v>652125.79926659411</v>
      </c>
      <c r="L511" s="398">
        <f>SUMIFS(uitkomst_doelgroep[Investering (cash flow) (€)],uitkomst_doelgroep[Digitale zorgtoepassing],B511,uitkomst_doelgroep[Jaar],D511,uitkomst_doelgroep[Investering (cash flow) (€)],"&gt;0",uitkomst_doelgroep[Uitgangssituatie/effect beleid],uitkomst_tech[[#This Row],[Uitgangssituatie/effect beleid]])</f>
        <v>0</v>
      </c>
    </row>
    <row r="512" spans="1:12" x14ac:dyDescent="0.5">
      <c r="A512" s="2" t="str">
        <f>INDEX(Technologieën[Veld],MATCH(B512,Technologieën[Digitale zorgtoepassing],0))</f>
        <v>Software - Behandeling</v>
      </c>
      <c r="B512" s="33" t="s">
        <v>585</v>
      </c>
      <c r="C512" s="33" t="s">
        <v>813</v>
      </c>
      <c r="D512" s="33">
        <v>2026</v>
      </c>
      <c r="E512" s="2"/>
      <c r="F512" s="397">
        <f>SUMIFS(uitkomst_doelgroep[Patiëntaantallen],uitkomst_doelgroep[Digitale zorgtoepassing],B512,uitkomst_doelgroep[Jaar],D512,uitkomst_doelgroep[Arbeidsbesparing (€)],"&gt;0",uitkomst_doelgroep[Uitgangssituatie/effect beleid],uitkomst_tech[[#This Row],[Uitgangssituatie/effect beleid]])</f>
        <v>508936.68412890774</v>
      </c>
      <c r="G512" s="398">
        <f>SUMIFS(uitkomst_doelgroep[Arbeidsbesparing (€)],uitkomst_doelgroep[Digitale zorgtoepassing],B512,uitkomst_doelgroep[Jaar],D512,uitkomst_doelgroep[Arbeidsbesparing (€)],"&gt;0",uitkomst_doelgroep[Uitgangssituatie/effect beleid],uitkomst_tech[[#This Row],[Uitgangssituatie/effect beleid]])</f>
        <v>6537935.6022219229</v>
      </c>
      <c r="H512" s="398">
        <f>SUMIFS(uitkomst_doelgroep[Arbeidsbesparing (FTE)],uitkomst_doelgroep[Digitale zorgtoepassing],B512,uitkomst_doelgroep[Jaar],D512,uitkomst_doelgroep[Arbeidsbesparing (FTE)],"&gt;0",uitkomst_doelgroep[Uitgangssituatie/effect beleid],uitkomst_tech[[#This Row],[Uitgangssituatie/effect beleid]])</f>
        <v>34.463529334459984</v>
      </c>
      <c r="I512" s="398">
        <f>SUMIFS(uitkomst_doelgroep[Overige besparingen (€)],uitkomst_doelgroep[Digitale zorgtoepassing],B512,uitkomst_doelgroep[Jaar],D512,uitkomst_doelgroep[Overige besparingen (€)],"&gt;0",uitkomst_doelgroep[Uitgangssituatie/effect beleid],uitkomst_tech[[#This Row],[Uitgangssituatie/effect beleid]])</f>
        <v>2944589.8976866016</v>
      </c>
      <c r="J512" s="398">
        <f>SUMIFS(uitkomst_doelgroep[QALY (€)],uitkomst_doelgroep[Digitale zorgtoepassing],B512,uitkomst_doelgroep[Jaar],D512,uitkomst_doelgroep[QALY (€)],"&gt;0",uitkomst_doelgroep[Uitgangssituatie/effect beleid],uitkomst_tech[[#This Row],[Uitgangssituatie/effect beleid]])</f>
        <v>0</v>
      </c>
      <c r="K512" s="398">
        <f>SUMIFS(uitkomst_doelgroep[Kosten (€)],uitkomst_doelgroep[Digitale zorgtoepassing],B512,uitkomst_doelgroep[Jaar],D512,uitkomst_doelgroep[Kosten (€)],"&gt;0",uitkomst_doelgroep[Uitgangssituatie/effect beleid],uitkomst_tech[[#This Row],[Uitgangssituatie/effect beleid]])</f>
        <v>1162485.4233769169</v>
      </c>
      <c r="L512" s="398">
        <f>SUMIFS(uitkomst_doelgroep[Investering (cash flow) (€)],uitkomst_doelgroep[Digitale zorgtoepassing],B512,uitkomst_doelgroep[Jaar],D512,uitkomst_doelgroep[Investering (cash flow) (€)],"&gt;0",uitkomst_doelgroep[Uitgangssituatie/effect beleid],uitkomst_tech[[#This Row],[Uitgangssituatie/effect beleid]])</f>
        <v>0</v>
      </c>
    </row>
    <row r="513" spans="1:12" x14ac:dyDescent="0.5">
      <c r="A513" s="2" t="str">
        <f>INDEX(Technologieën[Veld],MATCH(B513,Technologieën[Digitale zorgtoepassing],0))</f>
        <v>Software - Behandeling</v>
      </c>
      <c r="B513" s="33" t="s">
        <v>585</v>
      </c>
      <c r="C513" s="33" t="s">
        <v>813</v>
      </c>
      <c r="D513" s="33">
        <v>2027</v>
      </c>
      <c r="E513" s="2"/>
      <c r="F513" s="397">
        <f>SUMIFS(uitkomst_doelgroep[Patiëntaantallen],uitkomst_doelgroep[Digitale zorgtoepassing],B513,uitkomst_doelgroep[Jaar],D513,uitkomst_doelgroep[Arbeidsbesparing (€)],"&gt;0",uitkomst_doelgroep[Uitgangssituatie/effect beleid],uitkomst_tech[[#This Row],[Uitgangssituatie/effect beleid]])</f>
        <v>785053.35653395858</v>
      </c>
      <c r="G513" s="398">
        <f>SUMIFS(uitkomst_doelgroep[Arbeidsbesparing (€)],uitkomst_doelgroep[Digitale zorgtoepassing],B513,uitkomst_doelgroep[Jaar],D513,uitkomst_doelgroep[Arbeidsbesparing (€)],"&gt;0",uitkomst_doelgroep[Uitgangssituatie/effect beleid],uitkomst_tech[[#This Row],[Uitgangssituatie/effect beleid]])</f>
        <v>8288411.8745486746</v>
      </c>
      <c r="H513" s="398">
        <f>SUMIFS(uitkomst_doelgroep[Arbeidsbesparing (FTE)],uitkomst_doelgroep[Digitale zorgtoepassing],B513,uitkomst_doelgroep[Jaar],D513,uitkomst_doelgroep[Arbeidsbesparing (FTE)],"&gt;0",uitkomst_doelgroep[Uitgangssituatie/effect beleid],uitkomst_tech[[#This Row],[Uitgangssituatie/effect beleid]])</f>
        <v>43.690844198207927</v>
      </c>
      <c r="I513" s="398">
        <f>SUMIFS(uitkomst_doelgroep[Overige besparingen (€)],uitkomst_doelgroep[Digitale zorgtoepassing],B513,uitkomst_doelgroep[Jaar],D513,uitkomst_doelgroep[Overige besparingen (€)],"&gt;0",uitkomst_doelgroep[Uitgangssituatie/effect beleid],uitkomst_tech[[#This Row],[Uitgangssituatie/effect beleid]])</f>
        <v>3287655.9583826759</v>
      </c>
      <c r="J513" s="398">
        <f>SUMIFS(uitkomst_doelgroep[QALY (€)],uitkomst_doelgroep[Digitale zorgtoepassing],B513,uitkomst_doelgroep[Jaar],D513,uitkomst_doelgroep[QALY (€)],"&gt;0",uitkomst_doelgroep[Uitgangssituatie/effect beleid],uitkomst_tech[[#This Row],[Uitgangssituatie/effect beleid]])</f>
        <v>0</v>
      </c>
      <c r="K513" s="398">
        <f>SUMIFS(uitkomst_doelgroep[Kosten (€)],uitkomst_doelgroep[Digitale zorgtoepassing],B513,uitkomst_doelgroep[Jaar],D513,uitkomst_doelgroep[Kosten (€)],"&gt;0",uitkomst_doelgroep[Uitgangssituatie/effect beleid],uitkomst_tech[[#This Row],[Uitgangssituatie/effect beleid]])</f>
        <v>1839833.2918660338</v>
      </c>
      <c r="L513" s="398">
        <f>SUMIFS(uitkomst_doelgroep[Investering (cash flow) (€)],uitkomst_doelgroep[Digitale zorgtoepassing],B513,uitkomst_doelgroep[Jaar],D513,uitkomst_doelgroep[Investering (cash flow) (€)],"&gt;0",uitkomst_doelgroep[Uitgangssituatie/effect beleid],uitkomst_tech[[#This Row],[Uitgangssituatie/effect beleid]])</f>
        <v>0</v>
      </c>
    </row>
    <row r="514" spans="1:12" x14ac:dyDescent="0.5">
      <c r="A514" s="2" t="str">
        <f>INDEX(Technologieën[Veld],MATCH(B514,Technologieën[Digitale zorgtoepassing],0))</f>
        <v>Software - Behandeling</v>
      </c>
      <c r="B514" s="33" t="s">
        <v>585</v>
      </c>
      <c r="C514" s="33" t="s">
        <v>813</v>
      </c>
      <c r="D514" s="33">
        <v>2028</v>
      </c>
      <c r="E514" s="2"/>
      <c r="F514" s="397">
        <f>SUMIFS(uitkomst_doelgroep[Patiëntaantallen],uitkomst_doelgroep[Digitale zorgtoepassing],B514,uitkomst_doelgroep[Jaar],D514,uitkomst_doelgroep[Arbeidsbesparing (€)],"&gt;0",uitkomst_doelgroep[Uitgangssituatie/effect beleid],uitkomst_tech[[#This Row],[Uitgangssituatie/effect beleid]])</f>
        <v>1138958.2749450328</v>
      </c>
      <c r="G514" s="398">
        <f>SUMIFS(uitkomst_doelgroep[Arbeidsbesparing (€)],uitkomst_doelgroep[Digitale zorgtoepassing],B514,uitkomst_doelgroep[Jaar],D514,uitkomst_doelgroep[Arbeidsbesparing (€)],"&gt;0",uitkomst_doelgroep[Uitgangssituatie/effect beleid],uitkomst_tech[[#This Row],[Uitgangssituatie/effect beleid]])</f>
        <v>10247373.787254076</v>
      </c>
      <c r="H514" s="398">
        <f>SUMIFS(uitkomst_doelgroep[Arbeidsbesparing (FTE)],uitkomst_doelgroep[Digitale zorgtoepassing],B514,uitkomst_doelgroep[Jaar],D514,uitkomst_doelgroep[Arbeidsbesparing (FTE)],"&gt;0",uitkomst_doelgroep[Uitgangssituatie/effect beleid],uitkomst_tech[[#This Row],[Uitgangssituatie/effect beleid]])</f>
        <v>54.017152906520714</v>
      </c>
      <c r="I514" s="398">
        <f>SUMIFS(uitkomst_doelgroep[Overige besparingen (€)],uitkomst_doelgroep[Digitale zorgtoepassing],B514,uitkomst_doelgroep[Jaar],D514,uitkomst_doelgroep[Overige besparingen (€)],"&gt;0",uitkomst_doelgroep[Uitgangssituatie/effect beleid],uitkomst_tech[[#This Row],[Uitgangssituatie/effect beleid]])</f>
        <v>3528603.9405226428</v>
      </c>
      <c r="J514" s="398">
        <f>SUMIFS(uitkomst_doelgroep[QALY (€)],uitkomst_doelgroep[Digitale zorgtoepassing],B514,uitkomst_doelgroep[Jaar],D514,uitkomst_doelgroep[QALY (€)],"&gt;0",uitkomst_doelgroep[Uitgangssituatie/effect beleid],uitkomst_tech[[#This Row],[Uitgangssituatie/effect beleid]])</f>
        <v>0</v>
      </c>
      <c r="K514" s="398">
        <f>SUMIFS(uitkomst_doelgroep[Kosten (€)],uitkomst_doelgroep[Digitale zorgtoepassing],B514,uitkomst_doelgroep[Jaar],D514,uitkomst_doelgroep[Kosten (€)],"&gt;0",uitkomst_doelgroep[Uitgangssituatie/effect beleid],uitkomst_tech[[#This Row],[Uitgangssituatie/effect beleid]])</f>
        <v>2715397.8618991519</v>
      </c>
      <c r="L514" s="398">
        <f>SUMIFS(uitkomst_doelgroep[Investering (cash flow) (€)],uitkomst_doelgroep[Digitale zorgtoepassing],B514,uitkomst_doelgroep[Jaar],D514,uitkomst_doelgroep[Investering (cash flow) (€)],"&gt;0",uitkomst_doelgroep[Uitgangssituatie/effect beleid],uitkomst_tech[[#This Row],[Uitgangssituatie/effect beleid]])</f>
        <v>0</v>
      </c>
    </row>
    <row r="515" spans="1:12" x14ac:dyDescent="0.5">
      <c r="A515" s="2" t="str">
        <f>INDEX(Technologieën[Veld],MATCH(B515,Technologieën[Digitale zorgtoepassing],0))</f>
        <v>Software - Behandeling</v>
      </c>
      <c r="B515" s="33" t="s">
        <v>585</v>
      </c>
      <c r="C515" s="33" t="s">
        <v>813</v>
      </c>
      <c r="D515" s="33">
        <v>2029</v>
      </c>
      <c r="E515" s="2"/>
      <c r="F515" s="397">
        <f>SUMIFS(uitkomst_doelgroep[Patiëntaantallen],uitkomst_doelgroep[Digitale zorgtoepassing],B515,uitkomst_doelgroep[Jaar],D515,uitkomst_doelgroep[Arbeidsbesparing (€)],"&gt;0",uitkomst_doelgroep[Uitgangssituatie/effect beleid],uitkomst_tech[[#This Row],[Uitgangssituatie/effect beleid]])</f>
        <v>1578239.2069694879</v>
      </c>
      <c r="G515" s="398">
        <f>SUMIFS(uitkomst_doelgroep[Arbeidsbesparing (€)],uitkomst_doelgroep[Digitale zorgtoepassing],B515,uitkomst_doelgroep[Jaar],D515,uitkomst_doelgroep[Arbeidsbesparing (€)],"&gt;0",uitkomst_doelgroep[Uitgangssituatie/effect beleid],uitkomst_tech[[#This Row],[Uitgangssituatie/effect beleid]])</f>
        <v>12469587.703363996</v>
      </c>
      <c r="H515" s="398">
        <f>SUMIFS(uitkomst_doelgroep[Arbeidsbesparing (FTE)],uitkomst_doelgroep[Digitale zorgtoepassing],B515,uitkomst_doelgroep[Jaar],D515,uitkomst_doelgroep[Arbeidsbesparing (FTE)],"&gt;0",uitkomst_doelgroep[Uitgangssituatie/effect beleid],uitkomst_tech[[#This Row],[Uitgangssituatie/effect beleid]])</f>
        <v>65.731146305181866</v>
      </c>
      <c r="I515" s="398">
        <f>SUMIFS(uitkomst_doelgroep[Overige besparingen (€)],uitkomst_doelgroep[Digitale zorgtoepassing],B515,uitkomst_doelgroep[Jaar],D515,uitkomst_doelgroep[Overige besparingen (€)],"&gt;0",uitkomst_doelgroep[Uitgangssituatie/effect beleid],uitkomst_tech[[#This Row],[Uitgangssituatie/effect beleid]])</f>
        <v>3681513.7125230678</v>
      </c>
      <c r="J515" s="398">
        <f>SUMIFS(uitkomst_doelgroep[QALY (€)],uitkomst_doelgroep[Digitale zorgtoepassing],B515,uitkomst_doelgroep[Jaar],D515,uitkomst_doelgroep[QALY (€)],"&gt;0",uitkomst_doelgroep[Uitgangssituatie/effect beleid],uitkomst_tech[[#This Row],[Uitgangssituatie/effect beleid]])</f>
        <v>0</v>
      </c>
      <c r="K515" s="398">
        <f>SUMIFS(uitkomst_doelgroep[Kosten (€)],uitkomst_doelgroep[Digitale zorgtoepassing],B515,uitkomst_doelgroep[Jaar],D515,uitkomst_doelgroep[Kosten (€)],"&gt;0",uitkomst_doelgroep[Uitgangssituatie/effect beleid],uitkomst_tech[[#This Row],[Uitgangssituatie/effect beleid]])</f>
        <v>3807619.8218511199</v>
      </c>
      <c r="L515" s="398">
        <f>SUMIFS(uitkomst_doelgroep[Investering (cash flow) (€)],uitkomst_doelgroep[Digitale zorgtoepassing],B515,uitkomst_doelgroep[Jaar],D515,uitkomst_doelgroep[Investering (cash flow) (€)],"&gt;0",uitkomst_doelgroep[Uitgangssituatie/effect beleid],uitkomst_tech[[#This Row],[Uitgangssituatie/effect beleid]])</f>
        <v>0</v>
      </c>
    </row>
    <row r="516" spans="1:12" x14ac:dyDescent="0.5">
      <c r="A516" s="2" t="str">
        <f>INDEX(Technologieën[Veld],MATCH(B516,Technologieën[Digitale zorgtoepassing],0))</f>
        <v>Software - Behandeling</v>
      </c>
      <c r="B516" s="33" t="s">
        <v>585</v>
      </c>
      <c r="C516" s="33" t="s">
        <v>813</v>
      </c>
      <c r="D516" s="33">
        <v>2030</v>
      </c>
      <c r="E516" s="2"/>
      <c r="F516" s="397">
        <f>SUMIFS(uitkomst_doelgroep[Patiëntaantallen],uitkomst_doelgroep[Digitale zorgtoepassing],B516,uitkomst_doelgroep[Jaar],D516,uitkomst_doelgroep[Arbeidsbesparing (€)],"&gt;0",uitkomst_doelgroep[Uitgangssituatie/effect beleid],uitkomst_tech[[#This Row],[Uitgangssituatie/effect beleid]])</f>
        <v>2099698.3597054197</v>
      </c>
      <c r="G516" s="398">
        <f>SUMIFS(uitkomst_doelgroep[Arbeidsbesparing (€)],uitkomst_doelgroep[Digitale zorgtoepassing],B516,uitkomst_doelgroep[Jaar],D516,uitkomst_doelgroep[Arbeidsbesparing (€)],"&gt;0",uitkomst_doelgroep[Uitgangssituatie/effect beleid],uitkomst_tech[[#This Row],[Uitgangssituatie/effect beleid]])</f>
        <v>14976538.279278021</v>
      </c>
      <c r="H516" s="398">
        <f>SUMIFS(uitkomst_doelgroep[Arbeidsbesparing (FTE)],uitkomst_doelgroep[Digitale zorgtoepassing],B516,uitkomst_doelgroep[Jaar],D516,uitkomst_doelgroep[Arbeidsbesparing (FTE)],"&gt;0",uitkomst_doelgroep[Uitgangssituatie/effect beleid],uitkomst_tech[[#This Row],[Uitgangssituatie/effect beleid]])</f>
        <v>78.946076822957522</v>
      </c>
      <c r="I516" s="398">
        <f>SUMIFS(uitkomst_doelgroep[Overige besparingen (€)],uitkomst_doelgroep[Digitale zorgtoepassing],B516,uitkomst_doelgroep[Jaar],D516,uitkomst_doelgroep[Overige besparingen (€)],"&gt;0",uitkomst_doelgroep[Uitgangssituatie/effect beleid],uitkomst_tech[[#This Row],[Uitgangssituatie/effect beleid]])</f>
        <v>3771569.5246339403</v>
      </c>
      <c r="J516" s="398">
        <f>SUMIFS(uitkomst_doelgroep[QALY (€)],uitkomst_doelgroep[Digitale zorgtoepassing],B516,uitkomst_doelgroep[Jaar],D516,uitkomst_doelgroep[QALY (€)],"&gt;0",uitkomst_doelgroep[Uitgangssituatie/effect beleid],uitkomst_tech[[#This Row],[Uitgangssituatie/effect beleid]])</f>
        <v>0</v>
      </c>
      <c r="K516" s="398">
        <f>SUMIFS(uitkomst_doelgroep[Kosten (€)],uitkomst_doelgroep[Digitale zorgtoepassing],B516,uitkomst_doelgroep[Jaar],D516,uitkomst_doelgroep[Kosten (€)],"&gt;0",uitkomst_doelgroep[Uitgangssituatie/effect beleid],uitkomst_tech[[#This Row],[Uitgangssituatie/effect beleid]])</f>
        <v>5107570.1605797848</v>
      </c>
      <c r="L516" s="398">
        <f>SUMIFS(uitkomst_doelgroep[Investering (cash flow) (€)],uitkomst_doelgroep[Digitale zorgtoepassing],B516,uitkomst_doelgroep[Jaar],D516,uitkomst_doelgroep[Investering (cash flow) (€)],"&gt;0",uitkomst_doelgroep[Uitgangssituatie/effect beleid],uitkomst_tech[[#This Row],[Uitgangssituatie/effect beleid]])</f>
        <v>0</v>
      </c>
    </row>
    <row r="517" spans="1:12" x14ac:dyDescent="0.5">
      <c r="A517" s="2" t="str">
        <f>INDEX(Technologieën[Veld],MATCH(B517,Technologieën[Digitale zorgtoepassing],0))</f>
        <v>Software - Behandeling</v>
      </c>
      <c r="B517" s="33" t="s">
        <v>585</v>
      </c>
      <c r="C517" s="33" t="s">
        <v>813</v>
      </c>
      <c r="D517" s="33">
        <v>2031</v>
      </c>
      <c r="E517" s="2"/>
      <c r="F517" s="397">
        <f>SUMIFS(uitkomst_doelgroep[Patiëntaantallen],uitkomst_doelgroep[Digitale zorgtoepassing],B517,uitkomst_doelgroep[Jaar],D517,uitkomst_doelgroep[Arbeidsbesparing (€)],"&gt;0",uitkomst_doelgroep[Uitgangssituatie/effect beleid],uitkomst_tech[[#This Row],[Uitgangssituatie/effect beleid]])</f>
        <v>2683284.7164417827</v>
      </c>
      <c r="G517" s="398">
        <f>SUMIFS(uitkomst_doelgroep[Arbeidsbesparing (€)],uitkomst_doelgroep[Digitale zorgtoepassing],B517,uitkomst_doelgroep[Jaar],D517,uitkomst_doelgroep[Arbeidsbesparing (€)],"&gt;0",uitkomst_doelgroep[Uitgangssituatie/effect beleid],uitkomst_tech[[#This Row],[Uitgangssituatie/effect beleid]])</f>
        <v>17710155.68843146</v>
      </c>
      <c r="H517" s="398">
        <f>SUMIFS(uitkomst_doelgroep[Arbeidsbesparing (FTE)],uitkomst_doelgroep[Digitale zorgtoepassing],B517,uitkomst_doelgroep[Jaar],D517,uitkomst_doelgroep[Arbeidsbesparing (FTE)],"&gt;0",uitkomst_doelgroep[Uitgangssituatie/effect beleid],uitkomst_tech[[#This Row],[Uitgangssituatie/effect beleid]])</f>
        <v>93.355840011437479</v>
      </c>
      <c r="I517" s="398">
        <f>SUMIFS(uitkomst_doelgroep[Overige besparingen (€)],uitkomst_doelgroep[Digitale zorgtoepassing],B517,uitkomst_doelgroep[Jaar],D517,uitkomst_doelgroep[Overige besparingen (€)],"&gt;0",uitkomst_doelgroep[Uitgangssituatie/effect beleid],uitkomst_tech[[#This Row],[Uitgangssituatie/effect beleid]])</f>
        <v>3822070.5012736474</v>
      </c>
      <c r="J517" s="398">
        <f>SUMIFS(uitkomst_doelgroep[QALY (€)],uitkomst_doelgroep[Digitale zorgtoepassing],B517,uitkomst_doelgroep[Jaar],D517,uitkomst_doelgroep[QALY (€)],"&gt;0",uitkomst_doelgroep[Uitgangssituatie/effect beleid],uitkomst_tech[[#This Row],[Uitgangssituatie/effect beleid]])</f>
        <v>0</v>
      </c>
      <c r="K517" s="398">
        <f>SUMIFS(uitkomst_doelgroep[Kosten (€)],uitkomst_doelgroep[Digitale zorgtoepassing],B517,uitkomst_doelgroep[Jaar],D517,uitkomst_doelgroep[Kosten (€)],"&gt;0",uitkomst_doelgroep[Uitgangssituatie/effect beleid],uitkomst_tech[[#This Row],[Uitgangssituatie/effect beleid]])</f>
        <v>6564268.1717536123</v>
      </c>
      <c r="L517" s="398">
        <f>SUMIFS(uitkomst_doelgroep[Investering (cash flow) (€)],uitkomst_doelgroep[Digitale zorgtoepassing],B517,uitkomst_doelgroep[Jaar],D517,uitkomst_doelgroep[Investering (cash flow) (€)],"&gt;0",uitkomst_doelgroep[Uitgangssituatie/effect beleid],uitkomst_tech[[#This Row],[Uitgangssituatie/effect beleid]])</f>
        <v>0</v>
      </c>
    </row>
    <row r="518" spans="1:12" x14ac:dyDescent="0.5">
      <c r="A518" s="2" t="str">
        <f>INDEX(Technologieën[Veld],MATCH(B518,Technologieën[Digitale zorgtoepassing],0))</f>
        <v>Software - Behandeling</v>
      </c>
      <c r="B518" s="33" t="s">
        <v>585</v>
      </c>
      <c r="C518" s="33" t="s">
        <v>813</v>
      </c>
      <c r="D518" s="33">
        <v>2032</v>
      </c>
      <c r="E518" s="2"/>
      <c r="F518" s="397">
        <f>SUMIFS(uitkomst_doelgroep[Patiëntaantallen],uitkomst_doelgroep[Digitale zorgtoepassing],B518,uitkomst_doelgroep[Jaar],D518,uitkomst_doelgroep[Arbeidsbesparing (€)],"&gt;0",uitkomst_doelgroep[Uitgangssituatie/effect beleid],uitkomst_tech[[#This Row],[Uitgangssituatie/effect beleid]])</f>
        <v>3290054.8223299207</v>
      </c>
      <c r="G518" s="398">
        <f>SUMIFS(uitkomst_doelgroep[Arbeidsbesparing (€)],uitkomst_doelgroep[Digitale zorgtoepassing],B518,uitkomst_doelgroep[Jaar],D518,uitkomst_doelgroep[Arbeidsbesparing (€)],"&gt;0",uitkomst_doelgroep[Uitgangssituatie/effect beleid],uitkomst_tech[[#This Row],[Uitgangssituatie/effect beleid]])</f>
        <v>20516550.999016471</v>
      </c>
      <c r="H518" s="398">
        <f>SUMIFS(uitkomst_doelgroep[Arbeidsbesparing (FTE)],uitkomst_doelgroep[Digitale zorgtoepassing],B518,uitkomst_doelgroep[Jaar],D518,uitkomst_doelgroep[Arbeidsbesparing (FTE)],"&gt;0",uitkomst_doelgroep[Uitgangssituatie/effect beleid],uitkomst_tech[[#This Row],[Uitgangssituatie/effect beleid]])</f>
        <v>108.1492385694728</v>
      </c>
      <c r="I518" s="398">
        <f>SUMIFS(uitkomst_doelgroep[Overige besparingen (€)],uitkomst_doelgroep[Digitale zorgtoepassing],B518,uitkomst_doelgroep[Jaar],D518,uitkomst_doelgroep[Overige besparingen (€)],"&gt;0",uitkomst_doelgroep[Uitgangssituatie/effect beleid],uitkomst_tech[[#This Row],[Uitgangssituatie/effect beleid]])</f>
        <v>3849567.0648824112</v>
      </c>
      <c r="J518" s="398">
        <f>SUMIFS(uitkomst_doelgroep[QALY (€)],uitkomst_doelgroep[Digitale zorgtoepassing],B518,uitkomst_doelgroep[Jaar],D518,uitkomst_doelgroep[QALY (€)],"&gt;0",uitkomst_doelgroep[Uitgangssituatie/effect beleid],uitkomst_tech[[#This Row],[Uitgangssituatie/effect beleid]])</f>
        <v>0</v>
      </c>
      <c r="K518" s="398">
        <f>SUMIFS(uitkomst_doelgroep[Kosten (€)],uitkomst_doelgroep[Digitale zorgtoepassing],B518,uitkomst_doelgroep[Jaar],D518,uitkomst_doelgroep[Kosten (€)],"&gt;0",uitkomst_doelgroep[Uitgangssituatie/effect beleid],uitkomst_tech[[#This Row],[Uitgangssituatie/effect beleid]])</f>
        <v>8079765.667784743</v>
      </c>
      <c r="L518" s="398">
        <f>SUMIFS(uitkomst_doelgroep[Investering (cash flow) (€)],uitkomst_doelgroep[Digitale zorgtoepassing],B518,uitkomst_doelgroep[Jaar],D518,uitkomst_doelgroep[Investering (cash flow) (€)],"&gt;0",uitkomst_doelgroep[Uitgangssituatie/effect beleid],uitkomst_tech[[#This Row],[Uitgangssituatie/effect beleid]])</f>
        <v>0</v>
      </c>
    </row>
    <row r="519" spans="1:12" x14ac:dyDescent="0.5">
      <c r="A519" s="2" t="str">
        <f>INDEX(Technologieën[Veld],MATCH(B519,Technologieën[Digitale zorgtoepassing],0))</f>
        <v>Software - Behandeling</v>
      </c>
      <c r="B519" s="33" t="s">
        <v>585</v>
      </c>
      <c r="C519" s="33" t="s">
        <v>813</v>
      </c>
      <c r="D519" s="33">
        <v>2033</v>
      </c>
      <c r="E519" s="2"/>
      <c r="F519" s="397">
        <f>SUMIFS(uitkomst_doelgroep[Patiëntaantallen],uitkomst_doelgroep[Digitale zorgtoepassing],B519,uitkomst_doelgroep[Jaar],D519,uitkomst_doelgroep[Arbeidsbesparing (€)],"&gt;0",uitkomst_doelgroep[Uitgangssituatie/effect beleid],uitkomst_tech[[#This Row],[Uitgangssituatie/effect beleid]])</f>
        <v>3868668.2258248026</v>
      </c>
      <c r="G519" s="398">
        <f>SUMIFS(uitkomst_doelgroep[Arbeidsbesparing (€)],uitkomst_doelgroep[Digitale zorgtoepassing],B519,uitkomst_doelgroep[Jaar],D519,uitkomst_doelgroep[Arbeidsbesparing (€)],"&gt;0",uitkomst_doelgroep[Uitgangssituatie/effect beleid],uitkomst_tech[[#This Row],[Uitgangssituatie/effect beleid]])</f>
        <v>23176250.835577033</v>
      </c>
      <c r="H519" s="398">
        <f>SUMIFS(uitkomst_doelgroep[Arbeidsbesparing (FTE)],uitkomst_doelgroep[Digitale zorgtoepassing],B519,uitkomst_doelgroep[Jaar],D519,uitkomst_doelgroep[Arbeidsbesparing (FTE)],"&gt;0",uitkomst_doelgroep[Uitgangssituatie/effect beleid],uitkomst_tech[[#This Row],[Uitgangssituatie/effect beleid]])</f>
        <v>122.16935882073555</v>
      </c>
      <c r="I519" s="398">
        <f>SUMIFS(uitkomst_doelgroep[Overige besparingen (€)],uitkomst_doelgroep[Digitale zorgtoepassing],B519,uitkomst_doelgroep[Jaar],D519,uitkomst_doelgroep[Overige besparingen (€)],"&gt;0",uitkomst_doelgroep[Uitgangssituatie/effect beleid],uitkomst_tech[[#This Row],[Uitgangssituatie/effect beleid]])</f>
        <v>3864289.5949357077</v>
      </c>
      <c r="J519" s="398">
        <f>SUMIFS(uitkomst_doelgroep[QALY (€)],uitkomst_doelgroep[Digitale zorgtoepassing],B519,uitkomst_doelgroep[Jaar],D519,uitkomst_doelgroep[QALY (€)],"&gt;0",uitkomst_doelgroep[Uitgangssituatie/effect beleid],uitkomst_tech[[#This Row],[Uitgangssituatie/effect beleid]])</f>
        <v>0</v>
      </c>
      <c r="K519" s="398">
        <f>SUMIFS(uitkomst_doelgroep[Kosten (€)],uitkomst_doelgroep[Digitale zorgtoepassing],B519,uitkomst_doelgroep[Jaar],D519,uitkomst_doelgroep[Kosten (€)],"&gt;0",uitkomst_doelgroep[Uitgangssituatie/effect beleid],uitkomst_tech[[#This Row],[Uitgangssituatie/effect beleid]])</f>
        <v>9525365.3039358165</v>
      </c>
      <c r="L519" s="398">
        <f>SUMIFS(uitkomst_doelgroep[Investering (cash flow) (€)],uitkomst_doelgroep[Digitale zorgtoepassing],B519,uitkomst_doelgroep[Jaar],D519,uitkomst_doelgroep[Investering (cash flow) (€)],"&gt;0",uitkomst_doelgroep[Uitgangssituatie/effect beleid],uitkomst_tech[[#This Row],[Uitgangssituatie/effect beleid]])</f>
        <v>0</v>
      </c>
    </row>
    <row r="520" spans="1:12" x14ac:dyDescent="0.5">
      <c r="A520" s="2" t="str">
        <f>INDEX(Technologieën[Veld],MATCH(B520,Technologieën[Digitale zorgtoepassing],0))</f>
        <v>Digitale hulpmiddelen - Verpleging</v>
      </c>
      <c r="B520" s="33" t="s">
        <v>58</v>
      </c>
      <c r="C520" s="33" t="s">
        <v>813</v>
      </c>
      <c r="D520" s="33">
        <v>2023</v>
      </c>
      <c r="E520" s="2"/>
      <c r="F520" s="397">
        <f>SUMIFS(uitkomst_doelgroep[Patiëntaantallen],uitkomst_doelgroep[Digitale zorgtoepassing],B520,uitkomst_doelgroep[Jaar],D520,uitkomst_doelgroep[Arbeidsbesparing (€)],"&gt;0",uitkomst_doelgroep[Uitgangssituatie/effect beleid],uitkomst_tech[[#This Row],[Uitgangssituatie/effect beleid]])</f>
        <v>60000</v>
      </c>
      <c r="G520" s="398">
        <f>SUMIFS(uitkomst_doelgroep[Arbeidsbesparing (€)],uitkomst_doelgroep[Digitale zorgtoepassing],B520,uitkomst_doelgroep[Jaar],D520,uitkomst_doelgroep[Arbeidsbesparing (€)],"&gt;0",uitkomst_doelgroep[Uitgangssituatie/effect beleid],uitkomst_tech[[#This Row],[Uitgangssituatie/effect beleid]])</f>
        <v>7429470.1149425283</v>
      </c>
      <c r="H520" s="398">
        <f>SUMIFS(uitkomst_doelgroep[Arbeidsbesparing (FTE)],uitkomst_doelgroep[Digitale zorgtoepassing],B520,uitkomst_doelgroep[Jaar],D520,uitkomst_doelgroep[Arbeidsbesparing (FTE)],"&gt;0",uitkomst_doelgroep[Uitgangssituatie/effect beleid],uitkomst_tech[[#This Row],[Uitgangssituatie/effect beleid]])</f>
        <v>175</v>
      </c>
      <c r="I520" s="398">
        <f>SUMIFS(uitkomst_doelgroep[Overige besparingen (€)],uitkomst_doelgroep[Digitale zorgtoepassing],B520,uitkomst_doelgroep[Jaar],D520,uitkomst_doelgroep[Overige besparingen (€)],"&gt;0",uitkomst_doelgroep[Uitgangssituatie/effect beleid],uitkomst_tech[[#This Row],[Uitgangssituatie/effect beleid]])</f>
        <v>4542963.5409161095</v>
      </c>
      <c r="J520" s="398">
        <f>SUMIFS(uitkomst_doelgroep[QALY (€)],uitkomst_doelgroep[Digitale zorgtoepassing],B520,uitkomst_doelgroep[Jaar],D520,uitkomst_doelgroep[QALY (€)],"&gt;0",uitkomst_doelgroep[Uitgangssituatie/effect beleid],uitkomst_tech[[#This Row],[Uitgangssituatie/effect beleid]])</f>
        <v>0</v>
      </c>
      <c r="K520" s="398">
        <f>SUMIFS(uitkomst_doelgroep[Kosten (€)],uitkomst_doelgroep[Digitale zorgtoepassing],B520,uitkomst_doelgroep[Jaar],D520,uitkomst_doelgroep[Kosten (€)],"&gt;0",uitkomst_doelgroep[Uitgangssituatie/effect beleid],uitkomst_tech[[#This Row],[Uitgangssituatie/effect beleid]])</f>
        <v>11484000</v>
      </c>
      <c r="L520" s="398">
        <f>SUMIFS(uitkomst_doelgroep[Investering (cash flow) (€)],uitkomst_doelgroep[Digitale zorgtoepassing],B520,uitkomst_doelgroep[Jaar],D520,uitkomst_doelgroep[Investering (cash flow) (€)],"&gt;0",uitkomst_doelgroep[Uitgangssituatie/effect beleid],uitkomst_tech[[#This Row],[Uitgangssituatie/effect beleid]])</f>
        <v>1475077.5</v>
      </c>
    </row>
    <row r="521" spans="1:12" x14ac:dyDescent="0.5">
      <c r="A521" s="2" t="str">
        <f>INDEX(Technologieën[Veld],MATCH(B521,Technologieën[Digitale zorgtoepassing],0))</f>
        <v>Digitale hulpmiddelen - Verpleging</v>
      </c>
      <c r="B521" s="33" t="s">
        <v>58</v>
      </c>
      <c r="C521" s="33" t="s">
        <v>813</v>
      </c>
      <c r="D521" s="33">
        <v>2024</v>
      </c>
      <c r="E521" s="2"/>
      <c r="F521" s="397">
        <f>SUMIFS(uitkomst_doelgroep[Patiëntaantallen],uitkomst_doelgroep[Digitale zorgtoepassing],B521,uitkomst_doelgroep[Jaar],D521,uitkomst_doelgroep[Arbeidsbesparing (€)],"&gt;0",uitkomst_doelgroep[Uitgangssituatie/effect beleid],uitkomst_tech[[#This Row],[Uitgangssituatie/effect beleid]])</f>
        <v>78450</v>
      </c>
      <c r="G521" s="398">
        <f>SUMIFS(uitkomst_doelgroep[Arbeidsbesparing (€)],uitkomst_doelgroep[Digitale zorgtoepassing],B521,uitkomst_doelgroep[Jaar],D521,uitkomst_doelgroep[Arbeidsbesparing (€)],"&gt;0",uitkomst_doelgroep[Uitgangssituatie/effect beleid],uitkomst_tech[[#This Row],[Uitgangssituatie/effect beleid]])</f>
        <v>9714032.1752873566</v>
      </c>
      <c r="H521" s="398">
        <f>SUMIFS(uitkomst_doelgroep[Arbeidsbesparing (FTE)],uitkomst_doelgroep[Digitale zorgtoepassing],B521,uitkomst_doelgroep[Jaar],D521,uitkomst_doelgroep[Arbeidsbesparing (FTE)],"&gt;0",uitkomst_doelgroep[Uitgangssituatie/effect beleid],uitkomst_tech[[#This Row],[Uitgangssituatie/effect beleid]])</f>
        <v>228.8125</v>
      </c>
      <c r="I521" s="398">
        <f>SUMIFS(uitkomst_doelgroep[Overige besparingen (€)],uitkomst_doelgroep[Digitale zorgtoepassing],B521,uitkomst_doelgroep[Jaar],D521,uitkomst_doelgroep[Overige besparingen (€)],"&gt;0",uitkomst_doelgroep[Uitgangssituatie/effect beleid],uitkomst_tech[[#This Row],[Uitgangssituatie/effect beleid]])</f>
        <v>5939924.8297478128</v>
      </c>
      <c r="J521" s="398">
        <f>SUMIFS(uitkomst_doelgroep[QALY (€)],uitkomst_doelgroep[Digitale zorgtoepassing],B521,uitkomst_doelgroep[Jaar],D521,uitkomst_doelgroep[QALY (€)],"&gt;0",uitkomst_doelgroep[Uitgangssituatie/effect beleid],uitkomst_tech[[#This Row],[Uitgangssituatie/effect beleid]])</f>
        <v>0</v>
      </c>
      <c r="K521" s="398">
        <f>SUMIFS(uitkomst_doelgroep[Kosten (€)],uitkomst_doelgroep[Digitale zorgtoepassing],B521,uitkomst_doelgroep[Jaar],D521,uitkomst_doelgroep[Kosten (€)],"&gt;0",uitkomst_doelgroep[Uitgangssituatie/effect beleid],uitkomst_tech[[#This Row],[Uitgangssituatie/effect beleid]])</f>
        <v>15015329.999999998</v>
      </c>
      <c r="L521" s="398">
        <f>SUMIFS(uitkomst_doelgroep[Investering (cash flow) (€)],uitkomst_doelgroep[Digitale zorgtoepassing],B521,uitkomst_doelgroep[Jaar],D521,uitkomst_doelgroep[Investering (cash flow) (€)],"&gt;0",uitkomst_doelgroep[Uitgangssituatie/effect beleid],uitkomst_tech[[#This Row],[Uitgangssituatie/effect beleid]])</f>
        <v>1489311.9978750001</v>
      </c>
    </row>
    <row r="522" spans="1:12" x14ac:dyDescent="0.5">
      <c r="A522" s="2" t="str">
        <f>INDEX(Technologieën[Veld],MATCH(B522,Technologieën[Digitale zorgtoepassing],0))</f>
        <v>Digitale hulpmiddelen - Verpleging</v>
      </c>
      <c r="B522" s="33" t="s">
        <v>58</v>
      </c>
      <c r="C522" s="33" t="s">
        <v>813</v>
      </c>
      <c r="D522" s="33">
        <v>2025</v>
      </c>
      <c r="E522" s="2"/>
      <c r="F522" s="397">
        <f>SUMIFS(uitkomst_doelgroep[Patiëntaantallen],uitkomst_doelgroep[Digitale zorgtoepassing],B522,uitkomst_doelgroep[Jaar],D522,uitkomst_doelgroep[Arbeidsbesparing (€)],"&gt;0",uitkomst_doelgroep[Uitgangssituatie/effect beleid],uitkomst_tech[[#This Row],[Uitgangssituatie/effect beleid]])</f>
        <v>97078.04250000001</v>
      </c>
      <c r="G522" s="398">
        <f>SUMIFS(uitkomst_doelgroep[Arbeidsbesparing (€)],uitkomst_doelgroep[Digitale zorgtoepassing],B522,uitkomst_doelgroep[Jaar],D522,uitkomst_doelgroep[Arbeidsbesparing (€)],"&gt;0",uitkomst_doelgroep[Uitgangssituatie/effect beleid],uitkomst_tech[[#This Row],[Uitgangssituatie/effect beleid]])</f>
        <v>12020640.259514511</v>
      </c>
      <c r="H522" s="398">
        <f>SUMIFS(uitkomst_doelgroep[Arbeidsbesparing (FTE)],uitkomst_doelgroep[Digitale zorgtoepassing],B522,uitkomst_doelgroep[Jaar],D522,uitkomst_doelgroep[Arbeidsbesparing (FTE)],"&gt;0",uitkomst_doelgroep[Uitgangssituatie/effect beleid],uitkomst_tech[[#This Row],[Uitgangssituatie/effect beleid]])</f>
        <v>283.144290625</v>
      </c>
      <c r="I522" s="398">
        <f>SUMIFS(uitkomst_doelgroep[Overige besparingen (€)],uitkomst_doelgroep[Digitale zorgtoepassing],B522,uitkomst_doelgroep[Jaar],D522,uitkomst_doelgroep[Overige besparingen (€)],"&gt;0",uitkomst_doelgroep[Uitgangssituatie/effect beleid],uitkomst_tech[[#This Row],[Uitgangssituatie/effect beleid]])</f>
        <v>7350366.7950167423</v>
      </c>
      <c r="J522" s="398">
        <f>SUMIFS(uitkomst_doelgroep[QALY (€)],uitkomst_doelgroep[Digitale zorgtoepassing],B522,uitkomst_doelgroep[Jaar],D522,uitkomst_doelgroep[QALY (€)],"&gt;0",uitkomst_doelgroep[Uitgangssituatie/effect beleid],uitkomst_tech[[#This Row],[Uitgangssituatie/effect beleid]])</f>
        <v>0</v>
      </c>
      <c r="K522" s="398">
        <f>SUMIFS(uitkomst_doelgroep[Kosten (€)],uitkomst_doelgroep[Digitale zorgtoepassing],B522,uitkomst_doelgroep[Jaar],D522,uitkomst_doelgroep[Kosten (€)],"&gt;0",uitkomst_doelgroep[Uitgangssituatie/effect beleid],uitkomst_tech[[#This Row],[Uitgangssituatie/effect beleid]])</f>
        <v>18580737.3345</v>
      </c>
      <c r="L522" s="398">
        <f>SUMIFS(uitkomst_doelgroep[Investering (cash flow) (€)],uitkomst_doelgroep[Digitale zorgtoepassing],B522,uitkomst_doelgroep[Jaar],D522,uitkomst_doelgroep[Investering (cash flow) (€)],"&gt;0",uitkomst_doelgroep[Uitgangssituatie/effect beleid],uitkomst_tech[[#This Row],[Uitgangssituatie/effect beleid]])</f>
        <v>1338021.5379955859</v>
      </c>
    </row>
    <row r="523" spans="1:12" x14ac:dyDescent="0.5">
      <c r="A523" s="2" t="str">
        <f>INDEX(Technologieën[Veld],MATCH(B523,Technologieën[Digitale zorgtoepassing],0))</f>
        <v>Digitale hulpmiddelen - Verpleging</v>
      </c>
      <c r="B523" s="33" t="s">
        <v>58</v>
      </c>
      <c r="C523" s="33" t="s">
        <v>813</v>
      </c>
      <c r="D523" s="33">
        <v>2026</v>
      </c>
      <c r="E523" s="2"/>
      <c r="F523" s="397">
        <f>SUMIFS(uitkomst_doelgroep[Patiëntaantallen],uitkomst_doelgroep[Digitale zorgtoepassing],B523,uitkomst_doelgroep[Jaar],D523,uitkomst_doelgroep[Arbeidsbesparing (€)],"&gt;0",uitkomst_doelgroep[Uitgangssituatie/effect beleid],uitkomst_tech[[#This Row],[Uitgangssituatie/effect beleid]])</f>
        <v>113813.77155560459</v>
      </c>
      <c r="G523" s="398">
        <f>SUMIFS(uitkomst_doelgroep[Arbeidsbesparing (€)],uitkomst_doelgroep[Digitale zorgtoepassing],B523,uitkomst_doelgroep[Jaar],D523,uitkomst_doelgroep[Arbeidsbesparing (€)],"&gt;0",uitkomst_doelgroep[Uitgangssituatie/effect beleid],uitkomst_tech[[#This Row],[Uitgangssituatie/effect beleid]])</f>
        <v>14092933.574021004</v>
      </c>
      <c r="H523" s="398">
        <f>SUMIFS(uitkomst_doelgroep[Arbeidsbesparing (FTE)],uitkomst_doelgroep[Digitale zorgtoepassing],B523,uitkomst_doelgroep[Jaar],D523,uitkomst_doelgroep[Arbeidsbesparing (FTE)],"&gt;0",uitkomst_doelgroep[Uitgangssituatie/effect beleid],uitkomst_tech[[#This Row],[Uitgangssituatie/effect beleid]])</f>
        <v>331.95683370384671</v>
      </c>
      <c r="I523" s="398">
        <f>SUMIFS(uitkomst_doelgroep[Overige besparingen (€)],uitkomst_doelgroep[Digitale zorgtoepassing],B523,uitkomst_doelgroep[Jaar],D523,uitkomst_doelgroep[Overige besparingen (€)],"&gt;0",uitkomst_doelgroep[Uitgangssituatie/effect beleid],uitkomst_tech[[#This Row],[Uitgangssituatie/effect beleid]])</f>
        <v>8617530.2438544426</v>
      </c>
      <c r="J523" s="398">
        <f>SUMIFS(uitkomst_doelgroep[QALY (€)],uitkomst_doelgroep[Digitale zorgtoepassing],B523,uitkomst_doelgroep[Jaar],D523,uitkomst_doelgroep[QALY (€)],"&gt;0",uitkomst_doelgroep[Uitgangssituatie/effect beleid],uitkomst_tech[[#This Row],[Uitgangssituatie/effect beleid]])</f>
        <v>0</v>
      </c>
      <c r="K523" s="398">
        <f>SUMIFS(uitkomst_doelgroep[Kosten (€)],uitkomst_doelgroep[Digitale zorgtoepassing],B523,uitkomst_doelgroep[Jaar],D523,uitkomst_doelgroep[Kosten (€)],"&gt;0",uitkomst_doelgroep[Uitgangssituatie/effect beleid],uitkomst_tech[[#This Row],[Uitgangssituatie/effect beleid]])</f>
        <v>21783955.875742715</v>
      </c>
      <c r="L523" s="398">
        <f>SUMIFS(uitkomst_doelgroep[Investering (cash flow) (€)],uitkomst_doelgroep[Digitale zorgtoepassing],B523,uitkomst_doelgroep[Jaar],D523,uitkomst_doelgroep[Investering (cash flow) (€)],"&gt;0",uitkomst_doelgroep[Uitgangssituatie/effect beleid],uitkomst_tech[[#This Row],[Uitgangssituatie/effect beleid]])</f>
        <v>1060147.3234636334</v>
      </c>
    </row>
    <row r="524" spans="1:12" x14ac:dyDescent="0.5">
      <c r="A524" s="2" t="str">
        <f>INDEX(Technologieën[Veld],MATCH(B524,Technologieën[Digitale zorgtoepassing],0))</f>
        <v>Digitale hulpmiddelen - Verpleging</v>
      </c>
      <c r="B524" s="33" t="s">
        <v>58</v>
      </c>
      <c r="C524" s="33" t="s">
        <v>813</v>
      </c>
      <c r="D524" s="33">
        <v>2027</v>
      </c>
      <c r="E524" s="2"/>
      <c r="F524" s="397">
        <f>SUMIFS(uitkomst_doelgroep[Patiëntaantallen],uitkomst_doelgroep[Digitale zorgtoepassing],B524,uitkomst_doelgroep[Jaar],D524,uitkomst_doelgroep[Arbeidsbesparing (€)],"&gt;0",uitkomst_doelgroep[Uitgangssituatie/effect beleid],uitkomst_tech[[#This Row],[Uitgangssituatie/effect beleid]])</f>
        <v>127073.90067960249</v>
      </c>
      <c r="G524" s="398">
        <f>SUMIFS(uitkomst_doelgroep[Arbeidsbesparing (€)],uitkomst_doelgroep[Digitale zorgtoepassing],B524,uitkomst_doelgroep[Jaar],D524,uitkomst_doelgroep[Arbeidsbesparing (€)],"&gt;0",uitkomst_doelgroep[Uitgangssituatie/effect beleid],uitkomst_tech[[#This Row],[Uitgangssituatie/effect beleid]])</f>
        <v>15734862.45813803</v>
      </c>
      <c r="H524" s="398">
        <f>SUMIFS(uitkomst_doelgroep[Arbeidsbesparing (FTE)],uitkomst_doelgroep[Digitale zorgtoepassing],B524,uitkomst_doelgroep[Jaar],D524,uitkomst_doelgroep[Arbeidsbesparing (FTE)],"&gt;0",uitkomst_doelgroep[Uitgangssituatie/effect beleid],uitkomst_tech[[#This Row],[Uitgangssituatie/effect beleid]])</f>
        <v>370.63221031550728</v>
      </c>
      <c r="I524" s="398">
        <f>SUMIFS(uitkomst_doelgroep[Overige besparingen (€)],uitkomst_doelgroep[Digitale zorgtoepassing],B524,uitkomst_doelgroep[Jaar],D524,uitkomst_doelgroep[Overige besparingen (€)],"&gt;0",uitkomst_doelgroep[Uitgangssituatie/effect beleid],uitkomst_tech[[#This Row],[Uitgangssituatie/effect beleid]])</f>
        <v>9621534.963157149</v>
      </c>
      <c r="J524" s="398">
        <f>SUMIFS(uitkomst_doelgroep[QALY (€)],uitkomst_doelgroep[Digitale zorgtoepassing],B524,uitkomst_doelgroep[Jaar],D524,uitkomst_doelgroep[QALY (€)],"&gt;0",uitkomst_doelgroep[Uitgangssituatie/effect beleid],uitkomst_tech[[#This Row],[Uitgangssituatie/effect beleid]])</f>
        <v>0</v>
      </c>
      <c r="K524" s="398">
        <f>SUMIFS(uitkomst_doelgroep[Kosten (€)],uitkomst_doelgroep[Digitale zorgtoepassing],B524,uitkomst_doelgroep[Jaar],D524,uitkomst_doelgroep[Kosten (€)],"&gt;0",uitkomst_doelgroep[Uitgangssituatie/effect beleid],uitkomst_tech[[#This Row],[Uitgangssituatie/effect beleid]])</f>
        <v>24321944.590075914</v>
      </c>
      <c r="L524" s="398">
        <f>SUMIFS(uitkomst_doelgroep[Investering (cash flow) (€)],uitkomst_doelgroep[Digitale zorgtoepassing],B524,uitkomst_doelgroep[Jaar],D524,uitkomst_doelgroep[Investering (cash flow) (€)],"&gt;0",uitkomst_doelgroep[Uitgangssituatie/effect beleid],uitkomst_tech[[#This Row],[Uitgangssituatie/effect beleid]])</f>
        <v>744580.67300905788</v>
      </c>
    </row>
    <row r="525" spans="1:12" x14ac:dyDescent="0.5">
      <c r="A525" s="2" t="str">
        <f>INDEX(Technologieën[Veld],MATCH(B525,Technologieën[Digitale zorgtoepassing],0))</f>
        <v>Digitale hulpmiddelen - Verpleging</v>
      </c>
      <c r="B525" s="33" t="s">
        <v>58</v>
      </c>
      <c r="C525" s="33" t="s">
        <v>813</v>
      </c>
      <c r="D525" s="33">
        <v>2028</v>
      </c>
      <c r="E525" s="2"/>
      <c r="F525" s="397">
        <f>SUMIFS(uitkomst_doelgroep[Patiëntaantallen],uitkomst_doelgroep[Digitale zorgtoepassing],B525,uitkomst_doelgroep[Jaar],D525,uitkomst_doelgroep[Arbeidsbesparing (€)],"&gt;0",uitkomst_doelgroep[Uitgangssituatie/effect beleid],uitkomst_tech[[#This Row],[Uitgangssituatie/effect beleid]])</f>
        <v>136386.97976664512</v>
      </c>
      <c r="G525" s="398">
        <f>SUMIFS(uitkomst_doelgroep[Arbeidsbesparing (€)],uitkomst_doelgroep[Digitale zorgtoepassing],B525,uitkomst_doelgroep[Jaar],D525,uitkomst_doelgroep[Arbeidsbesparing (€)],"&gt;0",uitkomst_doelgroep[Uitgangssituatie/effect beleid],uitkomst_tech[[#This Row],[Uitgangssituatie/effect beleid]])</f>
        <v>16888049.837392688</v>
      </c>
      <c r="H525" s="398">
        <f>SUMIFS(uitkomst_doelgroep[Arbeidsbesparing (FTE)],uitkomst_doelgroep[Digitale zorgtoepassing],B525,uitkomst_doelgroep[Jaar],D525,uitkomst_doelgroep[Arbeidsbesparing (FTE)],"&gt;0",uitkomst_doelgroep[Uitgangssituatie/effect beleid],uitkomst_tech[[#This Row],[Uitgangssituatie/effect beleid]])</f>
        <v>397.79535765271493</v>
      </c>
      <c r="I525" s="398">
        <f>SUMIFS(uitkomst_doelgroep[Overige besparingen (€)],uitkomst_doelgroep[Digitale zorgtoepassing],B525,uitkomst_doelgroep[Jaar],D525,uitkomst_doelgroep[Overige besparingen (€)],"&gt;0",uitkomst_doelgroep[Uitgangssituatie/effect beleid],uitkomst_tech[[#This Row],[Uitgangssituatie/effect beleid]])</f>
        <v>10326684.608925531</v>
      </c>
      <c r="J525" s="398">
        <f>SUMIFS(uitkomst_doelgroep[QALY (€)],uitkomst_doelgroep[Digitale zorgtoepassing],B525,uitkomst_doelgroep[Jaar],D525,uitkomst_doelgroep[QALY (€)],"&gt;0",uitkomst_doelgroep[Uitgangssituatie/effect beleid],uitkomst_tech[[#This Row],[Uitgangssituatie/effect beleid]])</f>
        <v>0</v>
      </c>
      <c r="K525" s="398">
        <f>SUMIFS(uitkomst_doelgroep[Kosten (€)],uitkomst_doelgroep[Digitale zorgtoepassing],B525,uitkomst_doelgroep[Jaar],D525,uitkomst_doelgroep[Kosten (€)],"&gt;0",uitkomst_doelgroep[Uitgangssituatie/effect beleid],uitkomst_tech[[#This Row],[Uitgangssituatie/effect beleid]])</f>
        <v>26104467.927335873</v>
      </c>
      <c r="L525" s="398">
        <f>SUMIFS(uitkomst_doelgroep[Investering (cash flow) (€)],uitkomst_doelgroep[Digitale zorgtoepassing],B525,uitkomst_doelgroep[Jaar],D525,uitkomst_doelgroep[Investering (cash flow) (€)],"&gt;0",uitkomst_doelgroep[Uitgangssituatie/effect beleid],uitkomst_tech[[#This Row],[Uitgangssituatie/effect beleid]])</f>
        <v>472523.82001522934</v>
      </c>
    </row>
    <row r="526" spans="1:12" x14ac:dyDescent="0.5">
      <c r="A526" s="2" t="str">
        <f>INDEX(Technologieën[Veld],MATCH(B526,Technologieën[Digitale zorgtoepassing],0))</f>
        <v>Digitale hulpmiddelen - Verpleging</v>
      </c>
      <c r="B526" s="33" t="s">
        <v>58</v>
      </c>
      <c r="C526" s="33" t="s">
        <v>813</v>
      </c>
      <c r="D526" s="33">
        <v>2029</v>
      </c>
      <c r="E526" s="2"/>
      <c r="F526" s="397">
        <f>SUMIFS(uitkomst_doelgroep[Patiëntaantallen],uitkomst_doelgroep[Digitale zorgtoepassing],B526,uitkomst_doelgroep[Jaar],D526,uitkomst_doelgroep[Arbeidsbesparing (€)],"&gt;0",uitkomst_doelgroep[Uitgangssituatie/effect beleid],uitkomst_tech[[#This Row],[Uitgangssituatie/effect beleid]])</f>
        <v>142297.22141786749</v>
      </c>
      <c r="G526" s="398">
        <f>SUMIFS(uitkomst_doelgroep[Arbeidsbesparing (€)],uitkomst_doelgroep[Digitale zorgtoepassing],B526,uitkomst_doelgroep[Jaar],D526,uitkomst_doelgroep[Arbeidsbesparing (€)],"&gt;0",uitkomst_doelgroep[Uitgangssituatie/effect beleid],uitkomst_tech[[#This Row],[Uitgangssituatie/effect beleid]])</f>
        <v>17619882.566056773</v>
      </c>
      <c r="H526" s="398">
        <f>SUMIFS(uitkomst_doelgroep[Arbeidsbesparing (FTE)],uitkomst_doelgroep[Digitale zorgtoepassing],B526,uitkomst_doelgroep[Jaar],D526,uitkomst_doelgroep[Arbeidsbesparing (FTE)],"&gt;0",uitkomst_doelgroep[Uitgangssituatie/effect beleid],uitkomst_tech[[#This Row],[Uitgangssituatie/effect beleid]])</f>
        <v>415.03356246878019</v>
      </c>
      <c r="I526" s="398">
        <f>SUMIFS(uitkomst_doelgroep[Overige besparingen (€)],uitkomst_doelgroep[Digitale zorgtoepassing],B526,uitkomst_doelgroep[Jaar],D526,uitkomst_doelgroep[Overige besparingen (€)],"&gt;0",uitkomst_doelgroep[Uitgangssituatie/effect beleid],uitkomst_tech[[#This Row],[Uitgangssituatie/effect beleid]])</f>
        <v>10774184.814583983</v>
      </c>
      <c r="J526" s="398">
        <f>SUMIFS(uitkomst_doelgroep[QALY (€)],uitkomst_doelgroep[Digitale zorgtoepassing],B526,uitkomst_doelgroep[Jaar],D526,uitkomst_doelgroep[QALY (€)],"&gt;0",uitkomst_doelgroep[Uitgangssituatie/effect beleid],uitkomst_tech[[#This Row],[Uitgangssituatie/effect beleid]])</f>
        <v>0</v>
      </c>
      <c r="K526" s="398">
        <f>SUMIFS(uitkomst_doelgroep[Kosten (€)],uitkomst_doelgroep[Digitale zorgtoepassing],B526,uitkomst_doelgroep[Jaar],D526,uitkomst_doelgroep[Kosten (€)],"&gt;0",uitkomst_doelgroep[Uitgangssituatie/effect beleid],uitkomst_tech[[#This Row],[Uitgangssituatie/effect beleid]])</f>
        <v>27235688.179379836</v>
      </c>
      <c r="L526" s="398">
        <f>SUMIFS(uitkomst_doelgroep[Investering (cash flow) (€)],uitkomst_doelgroep[Digitale zorgtoepassing],B526,uitkomst_doelgroep[Jaar],D526,uitkomst_doelgroep[Investering (cash flow) (€)],"&gt;0",uitkomst_doelgroep[Uitgangssituatie/effect beleid],uitkomst_tech[[#This Row],[Uitgangssituatie/effect beleid]])</f>
        <v>278291.67355690524</v>
      </c>
    </row>
    <row r="527" spans="1:12" x14ac:dyDescent="0.5">
      <c r="A527" s="2" t="str">
        <f>INDEX(Technologieën[Veld],MATCH(B527,Technologieën[Digitale zorgtoepassing],0))</f>
        <v>Digitale hulpmiddelen - Verpleging</v>
      </c>
      <c r="B527" s="33" t="s">
        <v>58</v>
      </c>
      <c r="C527" s="33" t="s">
        <v>813</v>
      </c>
      <c r="D527" s="33">
        <v>2030</v>
      </c>
      <c r="E527" s="2"/>
      <c r="F527" s="397">
        <f>SUMIFS(uitkomst_doelgroep[Patiëntaantallen],uitkomst_doelgroep[Digitale zorgtoepassing],B527,uitkomst_doelgroep[Jaar],D527,uitkomst_doelgroep[Arbeidsbesparing (€)],"&gt;0",uitkomst_doelgroep[Uitgangssituatie/effect beleid],uitkomst_tech[[#This Row],[Uitgangssituatie/effect beleid]])</f>
        <v>145778.04285072436</v>
      </c>
      <c r="G527" s="398">
        <f>SUMIFS(uitkomst_doelgroep[Arbeidsbesparing (€)],uitkomst_doelgroep[Digitale zorgtoepassing],B527,uitkomst_doelgroep[Jaar],D527,uitkomst_doelgroep[Arbeidsbesparing (€)],"&gt;0",uitkomst_doelgroep[Uitgangssituatie/effect beleid],uitkomst_tech[[#This Row],[Uitgangssituatie/effect beleid]])</f>
        <v>18050893.546237797</v>
      </c>
      <c r="H527" s="398">
        <f>SUMIFS(uitkomst_doelgroep[Arbeidsbesparing (FTE)],uitkomst_doelgroep[Digitale zorgtoepassing],B527,uitkomst_doelgroep[Jaar],D527,uitkomst_doelgroep[Arbeidsbesparing (FTE)],"&gt;0",uitkomst_doelgroep[Uitgangssituatie/effect beleid],uitkomst_tech[[#This Row],[Uitgangssituatie/effect beleid]])</f>
        <v>425.18595831461272</v>
      </c>
      <c r="I527" s="398">
        <f>SUMIFS(uitkomst_doelgroep[Overige besparingen (€)],uitkomst_doelgroep[Digitale zorgtoepassing],B527,uitkomst_doelgroep[Jaar],D527,uitkomst_doelgroep[Overige besparingen (€)],"&gt;0",uitkomst_doelgroep[Uitgangssituatie/effect beleid],uitkomst_tech[[#This Row],[Uitgangssituatie/effect beleid]])</f>
        <v>11037738.895615783</v>
      </c>
      <c r="J527" s="398">
        <f>SUMIFS(uitkomst_doelgroep[QALY (€)],uitkomst_doelgroep[Digitale zorgtoepassing],B527,uitkomst_doelgroep[Jaar],D527,uitkomst_doelgroep[QALY (€)],"&gt;0",uitkomst_doelgroep[Uitgangssituatie/effect beleid],uitkomst_tech[[#This Row],[Uitgangssituatie/effect beleid]])</f>
        <v>0</v>
      </c>
      <c r="K527" s="398">
        <f>SUMIFS(uitkomst_doelgroep[Kosten (€)],uitkomst_doelgroep[Digitale zorgtoepassing],B527,uitkomst_doelgroep[Jaar],D527,uitkomst_doelgroep[Kosten (€)],"&gt;0",uitkomst_doelgroep[Uitgangssituatie/effect beleid],uitkomst_tech[[#This Row],[Uitgangssituatie/effect beleid]])</f>
        <v>27901917.40162864</v>
      </c>
      <c r="L527" s="398">
        <f>SUMIFS(uitkomst_doelgroep[Investering (cash flow) (€)],uitkomst_doelgroep[Digitale zorgtoepassing],B527,uitkomst_doelgroep[Jaar],D527,uitkomst_doelgroep[Investering (cash flow) (€)],"&gt;0",uitkomst_doelgroep[Uitgangssituatie/effect beleid],uitkomst_tech[[#This Row],[Uitgangssituatie/effect beleid]])</f>
        <v>156058.79260762859</v>
      </c>
    </row>
    <row r="528" spans="1:12" x14ac:dyDescent="0.5">
      <c r="A528" s="2" t="str">
        <f>INDEX(Technologieën[Veld],MATCH(B528,Technologieën[Digitale zorgtoepassing],0))</f>
        <v>Digitale hulpmiddelen - Verpleging</v>
      </c>
      <c r="B528" s="33" t="s">
        <v>58</v>
      </c>
      <c r="C528" s="33" t="s">
        <v>813</v>
      </c>
      <c r="D528" s="33">
        <v>2031</v>
      </c>
      <c r="E528" s="2"/>
      <c r="F528" s="397">
        <f>SUMIFS(uitkomst_doelgroep[Patiëntaantallen],uitkomst_doelgroep[Digitale zorgtoepassing],B528,uitkomst_doelgroep[Jaar],D528,uitkomst_doelgroep[Arbeidsbesparing (€)],"&gt;0",uitkomst_doelgroep[Uitgangssituatie/effect beleid],uitkomst_tech[[#This Row],[Uitgangssituatie/effect beleid]])</f>
        <v>147729.99773011933</v>
      </c>
      <c r="G528" s="398">
        <f>SUMIFS(uitkomst_doelgroep[Arbeidsbesparing (€)],uitkomst_doelgroep[Digitale zorgtoepassing],B528,uitkomst_doelgroep[Jaar],D528,uitkomst_doelgroep[Arbeidsbesparing (€)],"&gt;0",uitkomst_doelgroep[Uitgangssituatie/effect beleid],uitkomst_tech[[#This Row],[Uitgangssituatie/effect beleid]])</f>
        <v>18292593.386940818</v>
      </c>
      <c r="H528" s="398">
        <f>SUMIFS(uitkomst_doelgroep[Arbeidsbesparing (FTE)],uitkomst_doelgroep[Digitale zorgtoepassing],B528,uitkomst_doelgroep[Jaar],D528,uitkomst_doelgroep[Arbeidsbesparing (FTE)],"&gt;0",uitkomst_doelgroep[Uitgangssituatie/effect beleid],uitkomst_tech[[#This Row],[Uitgangssituatie/effect beleid]])</f>
        <v>430.87916004618137</v>
      </c>
      <c r="I528" s="398">
        <f>SUMIFS(uitkomst_doelgroep[Overige besparingen (€)],uitkomst_doelgroep[Digitale zorgtoepassing],B528,uitkomst_doelgroep[Jaar],D528,uitkomst_doelgroep[Overige besparingen (€)],"&gt;0",uitkomst_doelgroep[Uitgangssituatie/effect beleid],uitkomst_tech[[#This Row],[Uitgangssituatie/effect beleid]])</f>
        <v>11185533.226459194</v>
      </c>
      <c r="J528" s="398">
        <f>SUMIFS(uitkomst_doelgroep[QALY (€)],uitkomst_doelgroep[Digitale zorgtoepassing],B528,uitkomst_doelgroep[Jaar],D528,uitkomst_doelgroep[QALY (€)],"&gt;0",uitkomst_doelgroep[Uitgangssituatie/effect beleid],uitkomst_tech[[#This Row],[Uitgangssituatie/effect beleid]])</f>
        <v>0</v>
      </c>
      <c r="K528" s="398">
        <f>SUMIFS(uitkomst_doelgroep[Kosten (€)],uitkomst_doelgroep[Digitale zorgtoepassing],B528,uitkomst_doelgroep[Jaar],D528,uitkomst_doelgroep[Kosten (€)],"&gt;0",uitkomst_doelgroep[Uitgangssituatie/effect beleid],uitkomst_tech[[#This Row],[Uitgangssituatie/effect beleid]])</f>
        <v>28275521.565544836</v>
      </c>
      <c r="L528" s="398">
        <f>SUMIFS(uitkomst_doelgroep[Investering (cash flow) (€)],uitkomst_doelgroep[Digitale zorgtoepassing],B528,uitkomst_doelgroep[Jaar],D528,uitkomst_doelgroep[Investering (cash flow) (€)],"&gt;0",uitkomst_doelgroep[Uitgangssituatie/effect beleid],uitkomst_tech[[#This Row],[Uitgangssituatie/effect beleid]])</f>
        <v>84970.248164837656</v>
      </c>
    </row>
    <row r="529" spans="1:12" x14ac:dyDescent="0.5">
      <c r="A529" s="2" t="str">
        <f>INDEX(Technologieën[Veld],MATCH(B529,Technologieën[Digitale zorgtoepassing],0))</f>
        <v>Digitale hulpmiddelen - Verpleging</v>
      </c>
      <c r="B529" s="33" t="s">
        <v>58</v>
      </c>
      <c r="C529" s="33" t="s">
        <v>813</v>
      </c>
      <c r="D529" s="33">
        <v>2032</v>
      </c>
      <c r="E529" s="2"/>
      <c r="F529" s="397">
        <f>SUMIFS(uitkomst_doelgroep[Patiëntaantallen],uitkomst_doelgroep[Digitale zorgtoepassing],B529,uitkomst_doelgroep[Jaar],D529,uitkomst_doelgroep[Arbeidsbesparing (€)],"&gt;0",uitkomst_doelgroep[Uitgangssituatie/effect beleid],uitkomst_tech[[#This Row],[Uitgangssituatie/effect beleid]])</f>
        <v>148792.79007739684</v>
      </c>
      <c r="G529" s="398">
        <f>SUMIFS(uitkomst_doelgroep[Arbeidsbesparing (€)],uitkomst_doelgroep[Digitale zorgtoepassing],B529,uitkomst_doelgroep[Jaar],D529,uitkomst_doelgroep[Arbeidsbesparing (€)],"&gt;0",uitkomst_doelgroep[Uitgangssituatie/effect beleid],uitkomst_tech[[#This Row],[Uitgangssituatie/effect beleid]])</f>
        <v>18424193.119982284</v>
      </c>
      <c r="H529" s="398">
        <f>SUMIFS(uitkomst_doelgroep[Arbeidsbesparing (FTE)],uitkomst_doelgroep[Digitale zorgtoepassing],B529,uitkomst_doelgroep[Jaar],D529,uitkomst_doelgroep[Arbeidsbesparing (FTE)],"&gt;0",uitkomst_doelgroep[Uitgangssituatie/effect beleid],uitkomst_tech[[#This Row],[Uitgangssituatie/effect beleid]])</f>
        <v>433.97897105907413</v>
      </c>
      <c r="I529" s="398">
        <f>SUMIFS(uitkomst_doelgroep[Overige besparingen (€)],uitkomst_doelgroep[Digitale zorgtoepassing],B529,uitkomst_doelgroep[Jaar],D529,uitkomst_doelgroep[Overige besparingen (€)],"&gt;0",uitkomst_doelgroep[Uitgangssituatie/effect beleid],uitkomst_tech[[#This Row],[Uitgangssituatie/effect beleid]])</f>
        <v>11266003.674546635</v>
      </c>
      <c r="J529" s="398">
        <f>SUMIFS(uitkomst_doelgroep[QALY (€)],uitkomst_doelgroep[Digitale zorgtoepassing],B529,uitkomst_doelgroep[Jaar],D529,uitkomst_doelgroep[QALY (€)],"&gt;0",uitkomst_doelgroep[Uitgangssituatie/effect beleid],uitkomst_tech[[#This Row],[Uitgangssituatie/effect beleid]])</f>
        <v>0</v>
      </c>
      <c r="K529" s="398">
        <f>SUMIFS(uitkomst_doelgroep[Kosten (€)],uitkomst_doelgroep[Digitale zorgtoepassing],B529,uitkomst_doelgroep[Jaar],D529,uitkomst_doelgroep[Kosten (€)],"&gt;0",uitkomst_doelgroep[Uitgangssituatie/effect beleid],uitkomst_tech[[#This Row],[Uitgangssituatie/effect beleid]])</f>
        <v>28478940.020813756</v>
      </c>
      <c r="L529" s="398">
        <f>SUMIFS(uitkomst_doelgroep[Investering (cash flow) (€)],uitkomst_doelgroep[Digitale zorgtoepassing],B529,uitkomst_doelgroep[Jaar],D529,uitkomst_doelgroep[Investering (cash flow) (€)],"&gt;0",uitkomst_doelgroep[Uitgangssituatie/effect beleid],uitkomst_tech[[#This Row],[Uitgangssituatie/effect beleid]])</f>
        <v>45495.759035291565</v>
      </c>
    </row>
    <row r="530" spans="1:12" x14ac:dyDescent="0.5">
      <c r="A530" s="2" t="str">
        <f>INDEX(Technologieën[Veld],MATCH(B530,Technologieën[Digitale zorgtoepassing],0))</f>
        <v>Digitale hulpmiddelen - Verpleging</v>
      </c>
      <c r="B530" s="33" t="s">
        <v>58</v>
      </c>
      <c r="C530" s="33" t="s">
        <v>813</v>
      </c>
      <c r="D530" s="33">
        <v>2033</v>
      </c>
      <c r="E530" s="2"/>
      <c r="F530" s="397">
        <f>SUMIFS(uitkomst_doelgroep[Patiëntaantallen],uitkomst_doelgroep[Digitale zorgtoepassing],B530,uitkomst_doelgroep[Jaar],D530,uitkomst_doelgroep[Arbeidsbesparing (€)],"&gt;0",uitkomst_doelgroep[Uitgangssituatie/effect beleid],uitkomst_tech[[#This Row],[Uitgangssituatie/effect beleid]])</f>
        <v>149361.84272324166</v>
      </c>
      <c r="G530" s="398">
        <f>SUMIFS(uitkomst_doelgroep[Arbeidsbesparing (€)],uitkomst_doelgroep[Digitale zorgtoepassing],B530,uitkomst_doelgroep[Jaar],D530,uitkomst_doelgroep[Arbeidsbesparing (€)],"&gt;0",uitkomst_doelgroep[Uitgangssituatie/effect beleid],uitkomst_tech[[#This Row],[Uitgangssituatie/effect beleid]])</f>
        <v>18494655.780417833</v>
      </c>
      <c r="H530" s="398">
        <f>SUMIFS(uitkomst_doelgroep[Arbeidsbesparing (FTE)],uitkomst_doelgroep[Digitale zorgtoepassing],B530,uitkomst_doelgroep[Jaar],D530,uitkomst_doelgroep[Arbeidsbesparing (FTE)],"&gt;0",uitkomst_doelgroep[Uitgangssituatie/effect beleid],uitkomst_tech[[#This Row],[Uitgangssituatie/effect beleid]])</f>
        <v>435.63870794278813</v>
      </c>
      <c r="I530" s="398">
        <f>SUMIFS(uitkomst_doelgroep[Overige besparingen (€)],uitkomst_doelgroep[Digitale zorgtoepassing],B530,uitkomst_doelgroep[Jaar],D530,uitkomst_doelgroep[Overige besparingen (€)],"&gt;0",uitkomst_doelgroep[Uitgangssituatie/effect beleid],uitkomst_tech[[#This Row],[Uitgangssituatie/effect beleid]])</f>
        <v>11309090.098262215</v>
      </c>
      <c r="J530" s="398">
        <f>SUMIFS(uitkomst_doelgroep[QALY (€)],uitkomst_doelgroep[Digitale zorgtoepassing],B530,uitkomst_doelgroep[Jaar],D530,uitkomst_doelgroep[QALY (€)],"&gt;0",uitkomst_doelgroep[Uitgangssituatie/effect beleid],uitkomst_tech[[#This Row],[Uitgangssituatie/effect beleid]])</f>
        <v>0</v>
      </c>
      <c r="K530" s="398">
        <f>SUMIFS(uitkomst_doelgroep[Kosten (€)],uitkomst_doelgroep[Digitale zorgtoepassing],B530,uitkomst_doelgroep[Jaar],D530,uitkomst_doelgroep[Kosten (€)],"&gt;0",uitkomst_doelgroep[Uitgangssituatie/effect beleid],uitkomst_tech[[#This Row],[Uitgangssituatie/effect beleid]])</f>
        <v>28587856.697228447</v>
      </c>
      <c r="L530" s="398">
        <f>SUMIFS(uitkomst_doelgroep[Investering (cash flow) (€)],uitkomst_doelgroep[Digitale zorgtoepassing],B530,uitkomst_doelgroep[Jaar],D530,uitkomst_doelgroep[Investering (cash flow) (€)],"&gt;0",uitkomst_doelgroep[Uitgangssituatie/effect beleid],uitkomst_tech[[#This Row],[Uitgangssituatie/effect beleid]])</f>
        <v>24137.142637829955</v>
      </c>
    </row>
    <row r="531" spans="1:12" x14ac:dyDescent="0.5">
      <c r="A531" s="2" t="e">
        <f>INDEX(Technologieën[Veld],MATCH(B531,Technologieën[Digitale zorgtoepassing],0))</f>
        <v>#N/A</v>
      </c>
      <c r="B531" s="33" t="s">
        <v>93</v>
      </c>
      <c r="C531" s="33" t="s">
        <v>813</v>
      </c>
      <c r="D531" s="33">
        <v>2023</v>
      </c>
      <c r="E531" s="2"/>
      <c r="F531" s="397">
        <f>SUMIFS(uitkomst_doelgroep[Patiëntaantallen],uitkomst_doelgroep[Digitale zorgtoepassing],B531,uitkomst_doelgroep[Jaar],D531,uitkomst_doelgroep[Arbeidsbesparing (€)],"&gt;0",uitkomst_doelgroep[Uitgangssituatie/effect beleid],uitkomst_tech[[#This Row],[Uitgangssituatie/effect beleid]])</f>
        <v>0</v>
      </c>
      <c r="G531" s="398">
        <f>SUMIFS(uitkomst_doelgroep[Arbeidsbesparing (€)],uitkomst_doelgroep[Digitale zorgtoepassing],B531,uitkomst_doelgroep[Jaar],D531,uitkomst_doelgroep[Arbeidsbesparing (€)],"&gt;0",uitkomst_doelgroep[Uitgangssituatie/effect beleid],uitkomst_tech[[#This Row],[Uitgangssituatie/effect beleid]])</f>
        <v>0</v>
      </c>
      <c r="H531" s="398">
        <f>SUMIFS(uitkomst_doelgroep[Arbeidsbesparing (FTE)],uitkomst_doelgroep[Digitale zorgtoepassing],B531,uitkomst_doelgroep[Jaar],D531,uitkomst_doelgroep[Arbeidsbesparing (FTE)],"&gt;0",uitkomst_doelgroep[Uitgangssituatie/effect beleid],uitkomst_tech[[#This Row],[Uitgangssituatie/effect beleid]])</f>
        <v>0</v>
      </c>
      <c r="I531" s="398">
        <f>SUMIFS(uitkomst_doelgroep[Overige besparingen (€)],uitkomst_doelgroep[Digitale zorgtoepassing],B531,uitkomst_doelgroep[Jaar],D531,uitkomst_doelgroep[Overige besparingen (€)],"&gt;0",uitkomst_doelgroep[Uitgangssituatie/effect beleid],uitkomst_tech[[#This Row],[Uitgangssituatie/effect beleid]])</f>
        <v>0</v>
      </c>
      <c r="J531" s="398">
        <f>SUMIFS(uitkomst_doelgroep[QALY (€)],uitkomst_doelgroep[Digitale zorgtoepassing],B531,uitkomst_doelgroep[Jaar],D531,uitkomst_doelgroep[QALY (€)],"&gt;0",uitkomst_doelgroep[Uitgangssituatie/effect beleid],uitkomst_tech[[#This Row],[Uitgangssituatie/effect beleid]])</f>
        <v>0</v>
      </c>
      <c r="K531" s="398">
        <f>SUMIFS(uitkomst_doelgroep[Kosten (€)],uitkomst_doelgroep[Digitale zorgtoepassing],B531,uitkomst_doelgroep[Jaar],D531,uitkomst_doelgroep[Kosten (€)],"&gt;0",uitkomst_doelgroep[Uitgangssituatie/effect beleid],uitkomst_tech[[#This Row],[Uitgangssituatie/effect beleid]])</f>
        <v>0</v>
      </c>
      <c r="L531" s="398">
        <f>SUMIFS(uitkomst_doelgroep[Investering (cash flow) (€)],uitkomst_doelgroep[Digitale zorgtoepassing],B531,uitkomst_doelgroep[Jaar],D531,uitkomst_doelgroep[Investering (cash flow) (€)],"&gt;0",uitkomst_doelgroep[Uitgangssituatie/effect beleid],uitkomst_tech[[#This Row],[Uitgangssituatie/effect beleid]])</f>
        <v>0</v>
      </c>
    </row>
    <row r="532" spans="1:12" x14ac:dyDescent="0.5">
      <c r="A532" s="2" t="e">
        <f>INDEX(Technologieën[Veld],MATCH(B532,Technologieën[Digitale zorgtoepassing],0))</f>
        <v>#N/A</v>
      </c>
      <c r="B532" s="33" t="s">
        <v>93</v>
      </c>
      <c r="C532" s="33" t="s">
        <v>813</v>
      </c>
      <c r="D532" s="33">
        <v>2024</v>
      </c>
      <c r="E532" s="2"/>
      <c r="F532" s="397">
        <f>SUMIFS(uitkomst_doelgroep[Patiëntaantallen],uitkomst_doelgroep[Digitale zorgtoepassing],B532,uitkomst_doelgroep[Jaar],D532,uitkomst_doelgroep[Arbeidsbesparing (€)],"&gt;0",uitkomst_doelgroep[Uitgangssituatie/effect beleid],uitkomst_tech[[#This Row],[Uitgangssituatie/effect beleid]])</f>
        <v>0</v>
      </c>
      <c r="G532" s="398">
        <f>SUMIFS(uitkomst_doelgroep[Arbeidsbesparing (€)],uitkomst_doelgroep[Digitale zorgtoepassing],B532,uitkomst_doelgroep[Jaar],D532,uitkomst_doelgroep[Arbeidsbesparing (€)],"&gt;0",uitkomst_doelgroep[Uitgangssituatie/effect beleid],uitkomst_tech[[#This Row],[Uitgangssituatie/effect beleid]])</f>
        <v>0</v>
      </c>
      <c r="H532" s="398">
        <f>SUMIFS(uitkomst_doelgroep[Arbeidsbesparing (FTE)],uitkomst_doelgroep[Digitale zorgtoepassing],B532,uitkomst_doelgroep[Jaar],D532,uitkomst_doelgroep[Arbeidsbesparing (FTE)],"&gt;0",uitkomst_doelgroep[Uitgangssituatie/effect beleid],uitkomst_tech[[#This Row],[Uitgangssituatie/effect beleid]])</f>
        <v>0</v>
      </c>
      <c r="I532" s="398">
        <f>SUMIFS(uitkomst_doelgroep[Overige besparingen (€)],uitkomst_doelgroep[Digitale zorgtoepassing],B532,uitkomst_doelgroep[Jaar],D532,uitkomst_doelgroep[Overige besparingen (€)],"&gt;0",uitkomst_doelgroep[Uitgangssituatie/effect beleid],uitkomst_tech[[#This Row],[Uitgangssituatie/effect beleid]])</f>
        <v>0</v>
      </c>
      <c r="J532" s="398">
        <f>SUMIFS(uitkomst_doelgroep[QALY (€)],uitkomst_doelgroep[Digitale zorgtoepassing],B532,uitkomst_doelgroep[Jaar],D532,uitkomst_doelgroep[QALY (€)],"&gt;0",uitkomst_doelgroep[Uitgangssituatie/effect beleid],uitkomst_tech[[#This Row],[Uitgangssituatie/effect beleid]])</f>
        <v>0</v>
      </c>
      <c r="K532" s="398">
        <f>SUMIFS(uitkomst_doelgroep[Kosten (€)],uitkomst_doelgroep[Digitale zorgtoepassing],B532,uitkomst_doelgroep[Jaar],D532,uitkomst_doelgroep[Kosten (€)],"&gt;0",uitkomst_doelgroep[Uitgangssituatie/effect beleid],uitkomst_tech[[#This Row],[Uitgangssituatie/effect beleid]])</f>
        <v>0</v>
      </c>
      <c r="L532" s="398">
        <f>SUMIFS(uitkomst_doelgroep[Investering (cash flow) (€)],uitkomst_doelgroep[Digitale zorgtoepassing],B532,uitkomst_doelgroep[Jaar],D532,uitkomst_doelgroep[Investering (cash flow) (€)],"&gt;0",uitkomst_doelgroep[Uitgangssituatie/effect beleid],uitkomst_tech[[#This Row],[Uitgangssituatie/effect beleid]])</f>
        <v>0</v>
      </c>
    </row>
    <row r="533" spans="1:12" x14ac:dyDescent="0.5">
      <c r="A533" s="2" t="e">
        <f>INDEX(Technologieën[Veld],MATCH(B533,Technologieën[Digitale zorgtoepassing],0))</f>
        <v>#N/A</v>
      </c>
      <c r="B533" s="33" t="s">
        <v>93</v>
      </c>
      <c r="C533" s="33" t="s">
        <v>813</v>
      </c>
      <c r="D533" s="33">
        <v>2025</v>
      </c>
      <c r="E533" s="2"/>
      <c r="F533" s="397">
        <f>SUMIFS(uitkomst_doelgroep[Patiëntaantallen],uitkomst_doelgroep[Digitale zorgtoepassing],B533,uitkomst_doelgroep[Jaar],D533,uitkomst_doelgroep[Arbeidsbesparing (€)],"&gt;0",uitkomst_doelgroep[Uitgangssituatie/effect beleid],uitkomst_tech[[#This Row],[Uitgangssituatie/effect beleid]])</f>
        <v>0</v>
      </c>
      <c r="G533" s="398">
        <f>SUMIFS(uitkomst_doelgroep[Arbeidsbesparing (€)],uitkomst_doelgroep[Digitale zorgtoepassing],B533,uitkomst_doelgroep[Jaar],D533,uitkomst_doelgroep[Arbeidsbesparing (€)],"&gt;0",uitkomst_doelgroep[Uitgangssituatie/effect beleid],uitkomst_tech[[#This Row],[Uitgangssituatie/effect beleid]])</f>
        <v>0</v>
      </c>
      <c r="H533" s="398">
        <f>SUMIFS(uitkomst_doelgroep[Arbeidsbesparing (FTE)],uitkomst_doelgroep[Digitale zorgtoepassing],B533,uitkomst_doelgroep[Jaar],D533,uitkomst_doelgroep[Arbeidsbesparing (FTE)],"&gt;0",uitkomst_doelgroep[Uitgangssituatie/effect beleid],uitkomst_tech[[#This Row],[Uitgangssituatie/effect beleid]])</f>
        <v>0</v>
      </c>
      <c r="I533" s="398">
        <f>SUMIFS(uitkomst_doelgroep[Overige besparingen (€)],uitkomst_doelgroep[Digitale zorgtoepassing],B533,uitkomst_doelgroep[Jaar],D533,uitkomst_doelgroep[Overige besparingen (€)],"&gt;0",uitkomst_doelgroep[Uitgangssituatie/effect beleid],uitkomst_tech[[#This Row],[Uitgangssituatie/effect beleid]])</f>
        <v>0</v>
      </c>
      <c r="J533" s="398">
        <f>SUMIFS(uitkomst_doelgroep[QALY (€)],uitkomst_doelgroep[Digitale zorgtoepassing],B533,uitkomst_doelgroep[Jaar],D533,uitkomst_doelgroep[QALY (€)],"&gt;0",uitkomst_doelgroep[Uitgangssituatie/effect beleid],uitkomst_tech[[#This Row],[Uitgangssituatie/effect beleid]])</f>
        <v>0</v>
      </c>
      <c r="K533" s="398">
        <f>SUMIFS(uitkomst_doelgroep[Kosten (€)],uitkomst_doelgroep[Digitale zorgtoepassing],B533,uitkomst_doelgroep[Jaar],D533,uitkomst_doelgroep[Kosten (€)],"&gt;0",uitkomst_doelgroep[Uitgangssituatie/effect beleid],uitkomst_tech[[#This Row],[Uitgangssituatie/effect beleid]])</f>
        <v>0</v>
      </c>
      <c r="L533" s="398">
        <f>SUMIFS(uitkomst_doelgroep[Investering (cash flow) (€)],uitkomst_doelgroep[Digitale zorgtoepassing],B533,uitkomst_doelgroep[Jaar],D533,uitkomst_doelgroep[Investering (cash flow) (€)],"&gt;0",uitkomst_doelgroep[Uitgangssituatie/effect beleid],uitkomst_tech[[#This Row],[Uitgangssituatie/effect beleid]])</f>
        <v>0</v>
      </c>
    </row>
    <row r="534" spans="1:12" x14ac:dyDescent="0.5">
      <c r="A534" s="2" t="e">
        <f>INDEX(Technologieën[Veld],MATCH(B534,Technologieën[Digitale zorgtoepassing],0))</f>
        <v>#N/A</v>
      </c>
      <c r="B534" s="33" t="s">
        <v>93</v>
      </c>
      <c r="C534" s="33" t="s">
        <v>813</v>
      </c>
      <c r="D534" s="33">
        <v>2026</v>
      </c>
      <c r="E534" s="2"/>
      <c r="F534" s="397">
        <f>SUMIFS(uitkomst_doelgroep[Patiëntaantallen],uitkomst_doelgroep[Digitale zorgtoepassing],B534,uitkomst_doelgroep[Jaar],D534,uitkomst_doelgroep[Arbeidsbesparing (€)],"&gt;0",uitkomst_doelgroep[Uitgangssituatie/effect beleid],uitkomst_tech[[#This Row],[Uitgangssituatie/effect beleid]])</f>
        <v>0</v>
      </c>
      <c r="G534" s="398">
        <f>SUMIFS(uitkomst_doelgroep[Arbeidsbesparing (€)],uitkomst_doelgroep[Digitale zorgtoepassing],B534,uitkomst_doelgroep[Jaar],D534,uitkomst_doelgroep[Arbeidsbesparing (€)],"&gt;0",uitkomst_doelgroep[Uitgangssituatie/effect beleid],uitkomst_tech[[#This Row],[Uitgangssituatie/effect beleid]])</f>
        <v>0</v>
      </c>
      <c r="H534" s="398">
        <f>SUMIFS(uitkomst_doelgroep[Arbeidsbesparing (FTE)],uitkomst_doelgroep[Digitale zorgtoepassing],B534,uitkomst_doelgroep[Jaar],D534,uitkomst_doelgroep[Arbeidsbesparing (FTE)],"&gt;0",uitkomst_doelgroep[Uitgangssituatie/effect beleid],uitkomst_tech[[#This Row],[Uitgangssituatie/effect beleid]])</f>
        <v>0</v>
      </c>
      <c r="I534" s="398">
        <f>SUMIFS(uitkomst_doelgroep[Overige besparingen (€)],uitkomst_doelgroep[Digitale zorgtoepassing],B534,uitkomst_doelgroep[Jaar],D534,uitkomst_doelgroep[Overige besparingen (€)],"&gt;0",uitkomst_doelgroep[Uitgangssituatie/effect beleid],uitkomst_tech[[#This Row],[Uitgangssituatie/effect beleid]])</f>
        <v>0</v>
      </c>
      <c r="J534" s="398">
        <f>SUMIFS(uitkomst_doelgroep[QALY (€)],uitkomst_doelgroep[Digitale zorgtoepassing],B534,uitkomst_doelgroep[Jaar],D534,uitkomst_doelgroep[QALY (€)],"&gt;0",uitkomst_doelgroep[Uitgangssituatie/effect beleid],uitkomst_tech[[#This Row],[Uitgangssituatie/effect beleid]])</f>
        <v>0</v>
      </c>
      <c r="K534" s="398">
        <f>SUMIFS(uitkomst_doelgroep[Kosten (€)],uitkomst_doelgroep[Digitale zorgtoepassing],B534,uitkomst_doelgroep[Jaar],D534,uitkomst_doelgroep[Kosten (€)],"&gt;0",uitkomst_doelgroep[Uitgangssituatie/effect beleid],uitkomst_tech[[#This Row],[Uitgangssituatie/effect beleid]])</f>
        <v>0</v>
      </c>
      <c r="L534" s="398">
        <f>SUMIFS(uitkomst_doelgroep[Investering (cash flow) (€)],uitkomst_doelgroep[Digitale zorgtoepassing],B534,uitkomst_doelgroep[Jaar],D534,uitkomst_doelgroep[Investering (cash flow) (€)],"&gt;0",uitkomst_doelgroep[Uitgangssituatie/effect beleid],uitkomst_tech[[#This Row],[Uitgangssituatie/effect beleid]])</f>
        <v>0</v>
      </c>
    </row>
    <row r="535" spans="1:12" x14ac:dyDescent="0.5">
      <c r="A535" s="2" t="e">
        <f>INDEX(Technologieën[Veld],MATCH(B535,Technologieën[Digitale zorgtoepassing],0))</f>
        <v>#N/A</v>
      </c>
      <c r="B535" s="33" t="s">
        <v>93</v>
      </c>
      <c r="C535" s="33" t="s">
        <v>813</v>
      </c>
      <c r="D535" s="33">
        <v>2027</v>
      </c>
      <c r="E535" s="2"/>
      <c r="F535" s="397">
        <f>SUMIFS(uitkomst_doelgroep[Patiëntaantallen],uitkomst_doelgroep[Digitale zorgtoepassing],B535,uitkomst_doelgroep[Jaar],D535,uitkomst_doelgroep[Arbeidsbesparing (€)],"&gt;0",uitkomst_doelgroep[Uitgangssituatie/effect beleid],uitkomst_tech[[#This Row],[Uitgangssituatie/effect beleid]])</f>
        <v>0</v>
      </c>
      <c r="G535" s="398">
        <f>SUMIFS(uitkomst_doelgroep[Arbeidsbesparing (€)],uitkomst_doelgroep[Digitale zorgtoepassing],B535,uitkomst_doelgroep[Jaar],D535,uitkomst_doelgroep[Arbeidsbesparing (€)],"&gt;0",uitkomst_doelgroep[Uitgangssituatie/effect beleid],uitkomst_tech[[#This Row],[Uitgangssituatie/effect beleid]])</f>
        <v>0</v>
      </c>
      <c r="H535" s="398">
        <f>SUMIFS(uitkomst_doelgroep[Arbeidsbesparing (FTE)],uitkomst_doelgroep[Digitale zorgtoepassing],B535,uitkomst_doelgroep[Jaar],D535,uitkomst_doelgroep[Arbeidsbesparing (FTE)],"&gt;0",uitkomst_doelgroep[Uitgangssituatie/effect beleid],uitkomst_tech[[#This Row],[Uitgangssituatie/effect beleid]])</f>
        <v>0</v>
      </c>
      <c r="I535" s="398">
        <f>SUMIFS(uitkomst_doelgroep[Overige besparingen (€)],uitkomst_doelgroep[Digitale zorgtoepassing],B535,uitkomst_doelgroep[Jaar],D535,uitkomst_doelgroep[Overige besparingen (€)],"&gt;0",uitkomst_doelgroep[Uitgangssituatie/effect beleid],uitkomst_tech[[#This Row],[Uitgangssituatie/effect beleid]])</f>
        <v>0</v>
      </c>
      <c r="J535" s="398">
        <f>SUMIFS(uitkomst_doelgroep[QALY (€)],uitkomst_doelgroep[Digitale zorgtoepassing],B535,uitkomst_doelgroep[Jaar],D535,uitkomst_doelgroep[QALY (€)],"&gt;0",uitkomst_doelgroep[Uitgangssituatie/effect beleid],uitkomst_tech[[#This Row],[Uitgangssituatie/effect beleid]])</f>
        <v>0</v>
      </c>
      <c r="K535" s="398">
        <f>SUMIFS(uitkomst_doelgroep[Kosten (€)],uitkomst_doelgroep[Digitale zorgtoepassing],B535,uitkomst_doelgroep[Jaar],D535,uitkomst_doelgroep[Kosten (€)],"&gt;0",uitkomst_doelgroep[Uitgangssituatie/effect beleid],uitkomst_tech[[#This Row],[Uitgangssituatie/effect beleid]])</f>
        <v>0</v>
      </c>
      <c r="L535" s="398">
        <f>SUMIFS(uitkomst_doelgroep[Investering (cash flow) (€)],uitkomst_doelgroep[Digitale zorgtoepassing],B535,uitkomst_doelgroep[Jaar],D535,uitkomst_doelgroep[Investering (cash flow) (€)],"&gt;0",uitkomst_doelgroep[Uitgangssituatie/effect beleid],uitkomst_tech[[#This Row],[Uitgangssituatie/effect beleid]])</f>
        <v>0</v>
      </c>
    </row>
    <row r="536" spans="1:12" x14ac:dyDescent="0.5">
      <c r="A536" s="2" t="e">
        <f>INDEX(Technologieën[Veld],MATCH(B536,Technologieën[Digitale zorgtoepassing],0))</f>
        <v>#N/A</v>
      </c>
      <c r="B536" s="33" t="s">
        <v>93</v>
      </c>
      <c r="C536" s="33" t="s">
        <v>813</v>
      </c>
      <c r="D536" s="33">
        <v>2029</v>
      </c>
      <c r="E536" s="2"/>
      <c r="F536" s="397">
        <f>SUMIFS(uitkomst_doelgroep[Patiëntaantallen],uitkomst_doelgroep[Digitale zorgtoepassing],B536,uitkomst_doelgroep[Jaar],D536,uitkomst_doelgroep[Arbeidsbesparing (€)],"&gt;0",uitkomst_doelgroep[Uitgangssituatie/effect beleid],uitkomst_tech[[#This Row],[Uitgangssituatie/effect beleid]])</f>
        <v>0</v>
      </c>
      <c r="G536" s="398">
        <f>SUMIFS(uitkomst_doelgroep[Arbeidsbesparing (€)],uitkomst_doelgroep[Digitale zorgtoepassing],B536,uitkomst_doelgroep[Jaar],D536,uitkomst_doelgroep[Arbeidsbesparing (€)],"&gt;0",uitkomst_doelgroep[Uitgangssituatie/effect beleid],uitkomst_tech[[#This Row],[Uitgangssituatie/effect beleid]])</f>
        <v>0</v>
      </c>
      <c r="H536" s="398">
        <f>SUMIFS(uitkomst_doelgroep[Arbeidsbesparing (FTE)],uitkomst_doelgroep[Digitale zorgtoepassing],B536,uitkomst_doelgroep[Jaar],D536,uitkomst_doelgroep[Arbeidsbesparing (FTE)],"&gt;0",uitkomst_doelgroep[Uitgangssituatie/effect beleid],uitkomst_tech[[#This Row],[Uitgangssituatie/effect beleid]])</f>
        <v>0</v>
      </c>
      <c r="I536" s="398">
        <f>SUMIFS(uitkomst_doelgroep[Overige besparingen (€)],uitkomst_doelgroep[Digitale zorgtoepassing],B536,uitkomst_doelgroep[Jaar],D536,uitkomst_doelgroep[Overige besparingen (€)],"&gt;0",uitkomst_doelgroep[Uitgangssituatie/effect beleid],uitkomst_tech[[#This Row],[Uitgangssituatie/effect beleid]])</f>
        <v>0</v>
      </c>
      <c r="J536" s="398">
        <f>SUMIFS(uitkomst_doelgroep[QALY (€)],uitkomst_doelgroep[Digitale zorgtoepassing],B536,uitkomst_doelgroep[Jaar],D536,uitkomst_doelgroep[QALY (€)],"&gt;0",uitkomst_doelgroep[Uitgangssituatie/effect beleid],uitkomst_tech[[#This Row],[Uitgangssituatie/effect beleid]])</f>
        <v>0</v>
      </c>
      <c r="K536" s="398">
        <f>SUMIFS(uitkomst_doelgroep[Kosten (€)],uitkomst_doelgroep[Digitale zorgtoepassing],B536,uitkomst_doelgroep[Jaar],D536,uitkomst_doelgroep[Kosten (€)],"&gt;0",uitkomst_doelgroep[Uitgangssituatie/effect beleid],uitkomst_tech[[#This Row],[Uitgangssituatie/effect beleid]])</f>
        <v>0</v>
      </c>
      <c r="L536" s="398">
        <f>SUMIFS(uitkomst_doelgroep[Investering (cash flow) (€)],uitkomst_doelgroep[Digitale zorgtoepassing],B536,uitkomst_doelgroep[Jaar],D536,uitkomst_doelgroep[Investering (cash flow) (€)],"&gt;0",uitkomst_doelgroep[Uitgangssituatie/effect beleid],uitkomst_tech[[#This Row],[Uitgangssituatie/effect beleid]])</f>
        <v>0</v>
      </c>
    </row>
    <row r="537" spans="1:12" x14ac:dyDescent="0.5">
      <c r="A537" s="2" t="e">
        <f>INDEX(Technologieën[Veld],MATCH(B537,Technologieën[Digitale zorgtoepassing],0))</f>
        <v>#N/A</v>
      </c>
      <c r="B537" s="33" t="s">
        <v>93</v>
      </c>
      <c r="C537" s="33" t="s">
        <v>813</v>
      </c>
      <c r="D537" s="33">
        <v>2030</v>
      </c>
      <c r="E537" s="2"/>
      <c r="F537" s="397">
        <f>SUMIFS(uitkomst_doelgroep[Patiëntaantallen],uitkomst_doelgroep[Digitale zorgtoepassing],B537,uitkomst_doelgroep[Jaar],D537,uitkomst_doelgroep[Arbeidsbesparing (€)],"&gt;0",uitkomst_doelgroep[Uitgangssituatie/effect beleid],uitkomst_tech[[#This Row],[Uitgangssituatie/effect beleid]])</f>
        <v>0</v>
      </c>
      <c r="G537" s="398">
        <f>SUMIFS(uitkomst_doelgroep[Arbeidsbesparing (€)],uitkomst_doelgroep[Digitale zorgtoepassing],B537,uitkomst_doelgroep[Jaar],D537,uitkomst_doelgroep[Arbeidsbesparing (€)],"&gt;0",uitkomst_doelgroep[Uitgangssituatie/effect beleid],uitkomst_tech[[#This Row],[Uitgangssituatie/effect beleid]])</f>
        <v>0</v>
      </c>
      <c r="H537" s="398">
        <f>SUMIFS(uitkomst_doelgroep[Arbeidsbesparing (FTE)],uitkomst_doelgroep[Digitale zorgtoepassing],B537,uitkomst_doelgroep[Jaar],D537,uitkomst_doelgroep[Arbeidsbesparing (FTE)],"&gt;0",uitkomst_doelgroep[Uitgangssituatie/effect beleid],uitkomst_tech[[#This Row],[Uitgangssituatie/effect beleid]])</f>
        <v>0</v>
      </c>
      <c r="I537" s="398">
        <f>SUMIFS(uitkomst_doelgroep[Overige besparingen (€)],uitkomst_doelgroep[Digitale zorgtoepassing],B537,uitkomst_doelgroep[Jaar],D537,uitkomst_doelgroep[Overige besparingen (€)],"&gt;0",uitkomst_doelgroep[Uitgangssituatie/effect beleid],uitkomst_tech[[#This Row],[Uitgangssituatie/effect beleid]])</f>
        <v>0</v>
      </c>
      <c r="J537" s="398">
        <f>SUMIFS(uitkomst_doelgroep[QALY (€)],uitkomst_doelgroep[Digitale zorgtoepassing],B537,uitkomst_doelgroep[Jaar],D537,uitkomst_doelgroep[QALY (€)],"&gt;0",uitkomst_doelgroep[Uitgangssituatie/effect beleid],uitkomst_tech[[#This Row],[Uitgangssituatie/effect beleid]])</f>
        <v>0</v>
      </c>
      <c r="K537" s="398">
        <f>SUMIFS(uitkomst_doelgroep[Kosten (€)],uitkomst_doelgroep[Digitale zorgtoepassing],B537,uitkomst_doelgroep[Jaar],D537,uitkomst_doelgroep[Kosten (€)],"&gt;0",uitkomst_doelgroep[Uitgangssituatie/effect beleid],uitkomst_tech[[#This Row],[Uitgangssituatie/effect beleid]])</f>
        <v>0</v>
      </c>
      <c r="L537" s="398">
        <f>SUMIFS(uitkomst_doelgroep[Investering (cash flow) (€)],uitkomst_doelgroep[Digitale zorgtoepassing],B537,uitkomst_doelgroep[Jaar],D537,uitkomst_doelgroep[Investering (cash flow) (€)],"&gt;0",uitkomst_doelgroep[Uitgangssituatie/effect beleid],uitkomst_tech[[#This Row],[Uitgangssituatie/effect beleid]])</f>
        <v>0</v>
      </c>
    </row>
    <row r="538" spans="1:12" x14ac:dyDescent="0.5">
      <c r="A538" s="2" t="e">
        <f>INDEX(Technologieën[Veld],MATCH(B538,Technologieën[Digitale zorgtoepassing],0))</f>
        <v>#N/A</v>
      </c>
      <c r="B538" s="33" t="s">
        <v>93</v>
      </c>
      <c r="C538" s="33" t="s">
        <v>813</v>
      </c>
      <c r="D538" s="33">
        <v>2031</v>
      </c>
      <c r="E538" s="2"/>
      <c r="F538" s="397">
        <f>SUMIFS(uitkomst_doelgroep[Patiëntaantallen],uitkomst_doelgroep[Digitale zorgtoepassing],B538,uitkomst_doelgroep[Jaar],D538,uitkomst_doelgroep[Arbeidsbesparing (€)],"&gt;0",uitkomst_doelgroep[Uitgangssituatie/effect beleid],uitkomst_tech[[#This Row],[Uitgangssituatie/effect beleid]])</f>
        <v>0</v>
      </c>
      <c r="G538" s="398">
        <f>SUMIFS(uitkomst_doelgroep[Arbeidsbesparing (€)],uitkomst_doelgroep[Digitale zorgtoepassing],B538,uitkomst_doelgroep[Jaar],D538,uitkomst_doelgroep[Arbeidsbesparing (€)],"&gt;0",uitkomst_doelgroep[Uitgangssituatie/effect beleid],uitkomst_tech[[#This Row],[Uitgangssituatie/effect beleid]])</f>
        <v>0</v>
      </c>
      <c r="H538" s="398">
        <f>SUMIFS(uitkomst_doelgroep[Arbeidsbesparing (FTE)],uitkomst_doelgroep[Digitale zorgtoepassing],B538,uitkomst_doelgroep[Jaar],D538,uitkomst_doelgroep[Arbeidsbesparing (FTE)],"&gt;0",uitkomst_doelgroep[Uitgangssituatie/effect beleid],uitkomst_tech[[#This Row],[Uitgangssituatie/effect beleid]])</f>
        <v>0</v>
      </c>
      <c r="I538" s="398">
        <f>SUMIFS(uitkomst_doelgroep[Overige besparingen (€)],uitkomst_doelgroep[Digitale zorgtoepassing],B538,uitkomst_doelgroep[Jaar],D538,uitkomst_doelgroep[Overige besparingen (€)],"&gt;0",uitkomst_doelgroep[Uitgangssituatie/effect beleid],uitkomst_tech[[#This Row],[Uitgangssituatie/effect beleid]])</f>
        <v>0</v>
      </c>
      <c r="J538" s="398">
        <f>SUMIFS(uitkomst_doelgroep[QALY (€)],uitkomst_doelgroep[Digitale zorgtoepassing],B538,uitkomst_doelgroep[Jaar],D538,uitkomst_doelgroep[QALY (€)],"&gt;0",uitkomst_doelgroep[Uitgangssituatie/effect beleid],uitkomst_tech[[#This Row],[Uitgangssituatie/effect beleid]])</f>
        <v>0</v>
      </c>
      <c r="K538" s="398">
        <f>SUMIFS(uitkomst_doelgroep[Kosten (€)],uitkomst_doelgroep[Digitale zorgtoepassing],B538,uitkomst_doelgroep[Jaar],D538,uitkomst_doelgroep[Kosten (€)],"&gt;0",uitkomst_doelgroep[Uitgangssituatie/effect beleid],uitkomst_tech[[#This Row],[Uitgangssituatie/effect beleid]])</f>
        <v>0</v>
      </c>
      <c r="L538" s="398">
        <f>SUMIFS(uitkomst_doelgroep[Investering (cash flow) (€)],uitkomst_doelgroep[Digitale zorgtoepassing],B538,uitkomst_doelgroep[Jaar],D538,uitkomst_doelgroep[Investering (cash flow) (€)],"&gt;0",uitkomst_doelgroep[Uitgangssituatie/effect beleid],uitkomst_tech[[#This Row],[Uitgangssituatie/effect beleid]])</f>
        <v>0</v>
      </c>
    </row>
    <row r="539" spans="1:12" x14ac:dyDescent="0.5">
      <c r="A539" s="2" t="e">
        <f>INDEX(Technologieën[Veld],MATCH(B539,Technologieën[Digitale zorgtoepassing],0))</f>
        <v>#N/A</v>
      </c>
      <c r="B539" s="33" t="s">
        <v>93</v>
      </c>
      <c r="C539" s="33" t="s">
        <v>813</v>
      </c>
      <c r="D539" s="33">
        <v>2032</v>
      </c>
      <c r="E539" s="2"/>
      <c r="F539" s="397">
        <f>SUMIFS(uitkomst_doelgroep[Patiëntaantallen],uitkomst_doelgroep[Digitale zorgtoepassing],B539,uitkomst_doelgroep[Jaar],D539,uitkomst_doelgroep[Arbeidsbesparing (€)],"&gt;0",uitkomst_doelgroep[Uitgangssituatie/effect beleid],uitkomst_tech[[#This Row],[Uitgangssituatie/effect beleid]])</f>
        <v>0</v>
      </c>
      <c r="G539" s="398">
        <f>SUMIFS(uitkomst_doelgroep[Arbeidsbesparing (€)],uitkomst_doelgroep[Digitale zorgtoepassing],B539,uitkomst_doelgroep[Jaar],D539,uitkomst_doelgroep[Arbeidsbesparing (€)],"&gt;0",uitkomst_doelgroep[Uitgangssituatie/effect beleid],uitkomst_tech[[#This Row],[Uitgangssituatie/effect beleid]])</f>
        <v>0</v>
      </c>
      <c r="H539" s="398">
        <f>SUMIFS(uitkomst_doelgroep[Arbeidsbesparing (FTE)],uitkomst_doelgroep[Digitale zorgtoepassing],B539,uitkomst_doelgroep[Jaar],D539,uitkomst_doelgroep[Arbeidsbesparing (FTE)],"&gt;0",uitkomst_doelgroep[Uitgangssituatie/effect beleid],uitkomst_tech[[#This Row],[Uitgangssituatie/effect beleid]])</f>
        <v>0</v>
      </c>
      <c r="I539" s="398">
        <f>SUMIFS(uitkomst_doelgroep[Overige besparingen (€)],uitkomst_doelgroep[Digitale zorgtoepassing],B539,uitkomst_doelgroep[Jaar],D539,uitkomst_doelgroep[Overige besparingen (€)],"&gt;0",uitkomst_doelgroep[Uitgangssituatie/effect beleid],uitkomst_tech[[#This Row],[Uitgangssituatie/effect beleid]])</f>
        <v>0</v>
      </c>
      <c r="J539" s="398">
        <f>SUMIFS(uitkomst_doelgroep[QALY (€)],uitkomst_doelgroep[Digitale zorgtoepassing],B539,uitkomst_doelgroep[Jaar],D539,uitkomst_doelgroep[QALY (€)],"&gt;0",uitkomst_doelgroep[Uitgangssituatie/effect beleid],uitkomst_tech[[#This Row],[Uitgangssituatie/effect beleid]])</f>
        <v>0</v>
      </c>
      <c r="K539" s="398">
        <f>SUMIFS(uitkomst_doelgroep[Kosten (€)],uitkomst_doelgroep[Digitale zorgtoepassing],B539,uitkomst_doelgroep[Jaar],D539,uitkomst_doelgroep[Kosten (€)],"&gt;0",uitkomst_doelgroep[Uitgangssituatie/effect beleid],uitkomst_tech[[#This Row],[Uitgangssituatie/effect beleid]])</f>
        <v>0</v>
      </c>
      <c r="L539" s="398">
        <f>SUMIFS(uitkomst_doelgroep[Investering (cash flow) (€)],uitkomst_doelgroep[Digitale zorgtoepassing],B539,uitkomst_doelgroep[Jaar],D539,uitkomst_doelgroep[Investering (cash flow) (€)],"&gt;0",uitkomst_doelgroep[Uitgangssituatie/effect beleid],uitkomst_tech[[#This Row],[Uitgangssituatie/effect beleid]])</f>
        <v>0</v>
      </c>
    </row>
    <row r="540" spans="1:12" x14ac:dyDescent="0.5">
      <c r="A540" s="2" t="e">
        <f>INDEX(Technologieën[Veld],MATCH(B540,Technologieën[Digitale zorgtoepassing],0))</f>
        <v>#N/A</v>
      </c>
      <c r="B540" s="33" t="s">
        <v>93</v>
      </c>
      <c r="C540" s="33" t="s">
        <v>813</v>
      </c>
      <c r="D540" s="33">
        <v>2033</v>
      </c>
      <c r="E540" s="2"/>
      <c r="F540" s="397">
        <f>SUMIFS(uitkomst_doelgroep[Patiëntaantallen],uitkomst_doelgroep[Digitale zorgtoepassing],B540,uitkomst_doelgroep[Jaar],D540,uitkomst_doelgroep[Arbeidsbesparing (€)],"&gt;0",uitkomst_doelgroep[Uitgangssituatie/effect beleid],uitkomst_tech[[#This Row],[Uitgangssituatie/effect beleid]])</f>
        <v>0</v>
      </c>
      <c r="G540" s="398">
        <f>SUMIFS(uitkomst_doelgroep[Arbeidsbesparing (€)],uitkomst_doelgroep[Digitale zorgtoepassing],B540,uitkomst_doelgroep[Jaar],D540,uitkomst_doelgroep[Arbeidsbesparing (€)],"&gt;0",uitkomst_doelgroep[Uitgangssituatie/effect beleid],uitkomst_tech[[#This Row],[Uitgangssituatie/effect beleid]])</f>
        <v>0</v>
      </c>
      <c r="H540" s="398">
        <f>SUMIFS(uitkomst_doelgroep[Arbeidsbesparing (FTE)],uitkomst_doelgroep[Digitale zorgtoepassing],B540,uitkomst_doelgroep[Jaar],D540,uitkomst_doelgroep[Arbeidsbesparing (FTE)],"&gt;0",uitkomst_doelgroep[Uitgangssituatie/effect beleid],uitkomst_tech[[#This Row],[Uitgangssituatie/effect beleid]])</f>
        <v>0</v>
      </c>
      <c r="I540" s="398">
        <f>SUMIFS(uitkomst_doelgroep[Overige besparingen (€)],uitkomst_doelgroep[Digitale zorgtoepassing],B540,uitkomst_doelgroep[Jaar],D540,uitkomst_doelgroep[Overige besparingen (€)],"&gt;0",uitkomst_doelgroep[Uitgangssituatie/effect beleid],uitkomst_tech[[#This Row],[Uitgangssituatie/effect beleid]])</f>
        <v>0</v>
      </c>
      <c r="J540" s="398">
        <f>SUMIFS(uitkomst_doelgroep[QALY (€)],uitkomst_doelgroep[Digitale zorgtoepassing],B540,uitkomst_doelgroep[Jaar],D540,uitkomst_doelgroep[QALY (€)],"&gt;0",uitkomst_doelgroep[Uitgangssituatie/effect beleid],uitkomst_tech[[#This Row],[Uitgangssituatie/effect beleid]])</f>
        <v>0</v>
      </c>
      <c r="K540" s="398">
        <f>SUMIFS(uitkomst_doelgroep[Kosten (€)],uitkomst_doelgroep[Digitale zorgtoepassing],B540,uitkomst_doelgroep[Jaar],D540,uitkomst_doelgroep[Kosten (€)],"&gt;0",uitkomst_doelgroep[Uitgangssituatie/effect beleid],uitkomst_tech[[#This Row],[Uitgangssituatie/effect beleid]])</f>
        <v>0</v>
      </c>
      <c r="L540" s="398">
        <f>SUMIFS(uitkomst_doelgroep[Investering (cash flow) (€)],uitkomst_doelgroep[Digitale zorgtoepassing],B540,uitkomst_doelgroep[Jaar],D540,uitkomst_doelgroep[Investering (cash flow) (€)],"&gt;0",uitkomst_doelgroep[Uitgangssituatie/effect beleid],uitkomst_tech[[#This Row],[Uitgangssituatie/effect beleid]])</f>
        <v>0</v>
      </c>
    </row>
    <row r="541" spans="1:12" x14ac:dyDescent="0.5">
      <c r="A541" s="2" t="str">
        <f>INDEX(Technologieën[Veld],MATCH(B541,Technologieën[Digitale zorgtoepassing],0))</f>
        <v>Digitale hulpmiddelen - Verpleging</v>
      </c>
      <c r="B541" s="33" t="s">
        <v>105</v>
      </c>
      <c r="C541" s="33" t="s">
        <v>813</v>
      </c>
      <c r="D541" s="33">
        <v>2023</v>
      </c>
      <c r="E541" s="2"/>
      <c r="F541" s="397">
        <f>SUMIFS(uitkomst_doelgroep[Patiëntaantallen],uitkomst_doelgroep[Digitale zorgtoepassing],B541,uitkomst_doelgroep[Jaar],D541,uitkomst_doelgroep[Arbeidsbesparing (€)],"&gt;0",uitkomst_doelgroep[Uitgangssituatie/effect beleid],uitkomst_tech[[#This Row],[Uitgangssituatie/effect beleid]])</f>
        <v>0</v>
      </c>
      <c r="G541" s="398">
        <f>SUMIFS(uitkomst_doelgroep[Arbeidsbesparing (€)],uitkomst_doelgroep[Digitale zorgtoepassing],B541,uitkomst_doelgroep[Jaar],D541,uitkomst_doelgroep[Arbeidsbesparing (€)],"&gt;0",uitkomst_doelgroep[Uitgangssituatie/effect beleid],uitkomst_tech[[#This Row],[Uitgangssituatie/effect beleid]])</f>
        <v>0</v>
      </c>
      <c r="H541" s="398">
        <f>SUMIFS(uitkomst_doelgroep[Arbeidsbesparing (FTE)],uitkomst_doelgroep[Digitale zorgtoepassing],B541,uitkomst_doelgroep[Jaar],D541,uitkomst_doelgroep[Arbeidsbesparing (FTE)],"&gt;0",uitkomst_doelgroep[Uitgangssituatie/effect beleid],uitkomst_tech[[#This Row],[Uitgangssituatie/effect beleid]])</f>
        <v>0</v>
      </c>
      <c r="I541" s="398">
        <f>SUMIFS(uitkomst_doelgroep[Overige besparingen (€)],uitkomst_doelgroep[Digitale zorgtoepassing],B541,uitkomst_doelgroep[Jaar],D541,uitkomst_doelgroep[Overige besparingen (€)],"&gt;0",uitkomst_doelgroep[Uitgangssituatie/effect beleid],uitkomst_tech[[#This Row],[Uitgangssituatie/effect beleid]])</f>
        <v>0</v>
      </c>
      <c r="J541" s="398">
        <f>SUMIFS(uitkomst_doelgroep[QALY (€)],uitkomst_doelgroep[Digitale zorgtoepassing],B541,uitkomst_doelgroep[Jaar],D541,uitkomst_doelgroep[QALY (€)],"&gt;0",uitkomst_doelgroep[Uitgangssituatie/effect beleid],uitkomst_tech[[#This Row],[Uitgangssituatie/effect beleid]])</f>
        <v>0</v>
      </c>
      <c r="K541" s="398">
        <f>SUMIFS(uitkomst_doelgroep[Kosten (€)],uitkomst_doelgroep[Digitale zorgtoepassing],B541,uitkomst_doelgroep[Jaar],D541,uitkomst_doelgroep[Kosten (€)],"&gt;0",uitkomst_doelgroep[Uitgangssituatie/effect beleid],uitkomst_tech[[#This Row],[Uitgangssituatie/effect beleid]])</f>
        <v>0</v>
      </c>
      <c r="L541" s="398">
        <f>SUMIFS(uitkomst_doelgroep[Investering (cash flow) (€)],uitkomst_doelgroep[Digitale zorgtoepassing],B541,uitkomst_doelgroep[Jaar],D541,uitkomst_doelgroep[Investering (cash flow) (€)],"&gt;0",uitkomst_doelgroep[Uitgangssituatie/effect beleid],uitkomst_tech[[#This Row],[Uitgangssituatie/effect beleid]])</f>
        <v>0</v>
      </c>
    </row>
    <row r="542" spans="1:12" x14ac:dyDescent="0.5">
      <c r="A542" s="2" t="str">
        <f>INDEX(Technologieën[Veld],MATCH(B542,Technologieën[Digitale zorgtoepassing],0))</f>
        <v>Digitale hulpmiddelen - Verpleging</v>
      </c>
      <c r="B542" s="33" t="s">
        <v>105</v>
      </c>
      <c r="C542" s="33" t="s">
        <v>813</v>
      </c>
      <c r="D542" s="33">
        <v>2024</v>
      </c>
      <c r="E542" s="2"/>
      <c r="F542" s="397">
        <f>SUMIFS(uitkomst_doelgroep[Patiëntaantallen],uitkomst_doelgroep[Digitale zorgtoepassing],B542,uitkomst_doelgroep[Jaar],D542,uitkomst_doelgroep[Arbeidsbesparing (€)],"&gt;0",uitkomst_doelgroep[Uitgangssituatie/effect beleid],uitkomst_tech[[#This Row],[Uitgangssituatie/effect beleid]])</f>
        <v>0</v>
      </c>
      <c r="G542" s="398">
        <f>SUMIFS(uitkomst_doelgroep[Arbeidsbesparing (€)],uitkomst_doelgroep[Digitale zorgtoepassing],B542,uitkomst_doelgroep[Jaar],D542,uitkomst_doelgroep[Arbeidsbesparing (€)],"&gt;0",uitkomst_doelgroep[Uitgangssituatie/effect beleid],uitkomst_tech[[#This Row],[Uitgangssituatie/effect beleid]])</f>
        <v>0</v>
      </c>
      <c r="H542" s="398">
        <f>SUMIFS(uitkomst_doelgroep[Arbeidsbesparing (FTE)],uitkomst_doelgroep[Digitale zorgtoepassing],B542,uitkomst_doelgroep[Jaar],D542,uitkomst_doelgroep[Arbeidsbesparing (FTE)],"&gt;0",uitkomst_doelgroep[Uitgangssituatie/effect beleid],uitkomst_tech[[#This Row],[Uitgangssituatie/effect beleid]])</f>
        <v>0</v>
      </c>
      <c r="I542" s="398">
        <f>SUMIFS(uitkomst_doelgroep[Overige besparingen (€)],uitkomst_doelgroep[Digitale zorgtoepassing],B542,uitkomst_doelgroep[Jaar],D542,uitkomst_doelgroep[Overige besparingen (€)],"&gt;0",uitkomst_doelgroep[Uitgangssituatie/effect beleid],uitkomst_tech[[#This Row],[Uitgangssituatie/effect beleid]])</f>
        <v>0</v>
      </c>
      <c r="J542" s="398">
        <f>SUMIFS(uitkomst_doelgroep[QALY (€)],uitkomst_doelgroep[Digitale zorgtoepassing],B542,uitkomst_doelgroep[Jaar],D542,uitkomst_doelgroep[QALY (€)],"&gt;0",uitkomst_doelgroep[Uitgangssituatie/effect beleid],uitkomst_tech[[#This Row],[Uitgangssituatie/effect beleid]])</f>
        <v>0</v>
      </c>
      <c r="K542" s="398">
        <f>SUMIFS(uitkomst_doelgroep[Kosten (€)],uitkomst_doelgroep[Digitale zorgtoepassing],B542,uitkomst_doelgroep[Jaar],D542,uitkomst_doelgroep[Kosten (€)],"&gt;0",uitkomst_doelgroep[Uitgangssituatie/effect beleid],uitkomst_tech[[#This Row],[Uitgangssituatie/effect beleid]])</f>
        <v>0</v>
      </c>
      <c r="L542" s="398">
        <f>SUMIFS(uitkomst_doelgroep[Investering (cash flow) (€)],uitkomst_doelgroep[Digitale zorgtoepassing],B542,uitkomst_doelgroep[Jaar],D542,uitkomst_doelgroep[Investering (cash flow) (€)],"&gt;0",uitkomst_doelgroep[Uitgangssituatie/effect beleid],uitkomst_tech[[#This Row],[Uitgangssituatie/effect beleid]])</f>
        <v>0</v>
      </c>
    </row>
    <row r="543" spans="1:12" x14ac:dyDescent="0.5">
      <c r="A543" s="2" t="str">
        <f>INDEX(Technologieën[Veld],MATCH(B543,Technologieën[Digitale zorgtoepassing],0))</f>
        <v>Digitale hulpmiddelen - Verpleging</v>
      </c>
      <c r="B543" s="33" t="s">
        <v>105</v>
      </c>
      <c r="C543" s="33" t="s">
        <v>813</v>
      </c>
      <c r="D543" s="33">
        <v>2025</v>
      </c>
      <c r="E543" s="2"/>
      <c r="F543" s="397">
        <f>SUMIFS(uitkomst_doelgroep[Patiëntaantallen],uitkomst_doelgroep[Digitale zorgtoepassing],B543,uitkomst_doelgroep[Jaar],D543,uitkomst_doelgroep[Arbeidsbesparing (€)],"&gt;0",uitkomst_doelgroep[Uitgangssituatie/effect beleid],uitkomst_tech[[#This Row],[Uitgangssituatie/effect beleid]])</f>
        <v>0</v>
      </c>
      <c r="G543" s="398">
        <f>SUMIFS(uitkomst_doelgroep[Arbeidsbesparing (€)],uitkomst_doelgroep[Digitale zorgtoepassing],B543,uitkomst_doelgroep[Jaar],D543,uitkomst_doelgroep[Arbeidsbesparing (€)],"&gt;0",uitkomst_doelgroep[Uitgangssituatie/effect beleid],uitkomst_tech[[#This Row],[Uitgangssituatie/effect beleid]])</f>
        <v>0</v>
      </c>
      <c r="H543" s="398">
        <f>SUMIFS(uitkomst_doelgroep[Arbeidsbesparing (FTE)],uitkomst_doelgroep[Digitale zorgtoepassing],B543,uitkomst_doelgroep[Jaar],D543,uitkomst_doelgroep[Arbeidsbesparing (FTE)],"&gt;0",uitkomst_doelgroep[Uitgangssituatie/effect beleid],uitkomst_tech[[#This Row],[Uitgangssituatie/effect beleid]])</f>
        <v>0</v>
      </c>
      <c r="I543" s="398">
        <f>SUMIFS(uitkomst_doelgroep[Overige besparingen (€)],uitkomst_doelgroep[Digitale zorgtoepassing],B543,uitkomst_doelgroep[Jaar],D543,uitkomst_doelgroep[Overige besparingen (€)],"&gt;0",uitkomst_doelgroep[Uitgangssituatie/effect beleid],uitkomst_tech[[#This Row],[Uitgangssituatie/effect beleid]])</f>
        <v>0</v>
      </c>
      <c r="J543" s="398">
        <f>SUMIFS(uitkomst_doelgroep[QALY (€)],uitkomst_doelgroep[Digitale zorgtoepassing],B543,uitkomst_doelgroep[Jaar],D543,uitkomst_doelgroep[QALY (€)],"&gt;0",uitkomst_doelgroep[Uitgangssituatie/effect beleid],uitkomst_tech[[#This Row],[Uitgangssituatie/effect beleid]])</f>
        <v>0</v>
      </c>
      <c r="K543" s="398">
        <f>SUMIFS(uitkomst_doelgroep[Kosten (€)],uitkomst_doelgroep[Digitale zorgtoepassing],B543,uitkomst_doelgroep[Jaar],D543,uitkomst_doelgroep[Kosten (€)],"&gt;0",uitkomst_doelgroep[Uitgangssituatie/effect beleid],uitkomst_tech[[#This Row],[Uitgangssituatie/effect beleid]])</f>
        <v>0</v>
      </c>
      <c r="L543" s="398">
        <f>SUMIFS(uitkomst_doelgroep[Investering (cash flow) (€)],uitkomst_doelgroep[Digitale zorgtoepassing],B543,uitkomst_doelgroep[Jaar],D543,uitkomst_doelgroep[Investering (cash flow) (€)],"&gt;0",uitkomst_doelgroep[Uitgangssituatie/effect beleid],uitkomst_tech[[#This Row],[Uitgangssituatie/effect beleid]])</f>
        <v>20853.450000000004</v>
      </c>
    </row>
    <row r="544" spans="1:12" x14ac:dyDescent="0.5">
      <c r="A544" s="2" t="str">
        <f>INDEX(Technologieën[Veld],MATCH(B544,Technologieën[Digitale zorgtoepassing],0))</f>
        <v>Digitale hulpmiddelen - Verpleging</v>
      </c>
      <c r="B544" s="33" t="s">
        <v>105</v>
      </c>
      <c r="C544" s="33" t="s">
        <v>813</v>
      </c>
      <c r="D544" s="33">
        <v>2026</v>
      </c>
      <c r="E544" s="2"/>
      <c r="F544" s="397">
        <f>SUMIFS(uitkomst_doelgroep[Patiëntaantallen],uitkomst_doelgroep[Digitale zorgtoepassing],B544,uitkomst_doelgroep[Jaar],D544,uitkomst_doelgroep[Arbeidsbesparing (€)],"&gt;0",uitkomst_doelgroep[Uitgangssituatie/effect beleid],uitkomst_tech[[#This Row],[Uitgangssituatie/effect beleid]])</f>
        <v>4.634100000000001</v>
      </c>
      <c r="G544" s="398">
        <f>SUMIFS(uitkomst_doelgroep[Arbeidsbesparing (€)],uitkomst_doelgroep[Digitale zorgtoepassing],B544,uitkomst_doelgroep[Jaar],D544,uitkomst_doelgroep[Arbeidsbesparing (€)],"&gt;0",uitkomst_doelgroep[Uitgangssituatie/effect beleid],uitkomst_tech[[#This Row],[Uitgangssituatie/effect beleid]])</f>
        <v>79680.63871129656</v>
      </c>
      <c r="H544" s="398">
        <f>SUMIFS(uitkomst_doelgroep[Arbeidsbesparing (FTE)],uitkomst_doelgroep[Digitale zorgtoepassing],B544,uitkomst_doelgroep[Jaar],D544,uitkomst_doelgroep[Arbeidsbesparing (FTE)],"&gt;0",uitkomst_doelgroep[Uitgangssituatie/effect beleid],uitkomst_tech[[#This Row],[Uitgangssituatie/effect beleid]])</f>
        <v>1.3809617999999999</v>
      </c>
      <c r="I544" s="398">
        <f>SUMIFS(uitkomst_doelgroep[Overige besparingen (€)],uitkomst_doelgroep[Digitale zorgtoepassing],B544,uitkomst_doelgroep[Jaar],D544,uitkomst_doelgroep[Overige besparingen (€)],"&gt;0",uitkomst_doelgroep[Uitgangssituatie/effect beleid],uitkomst_tech[[#This Row],[Uitgangssituatie/effect beleid]])</f>
        <v>0</v>
      </c>
      <c r="J544" s="398">
        <f>SUMIFS(uitkomst_doelgroep[QALY (€)],uitkomst_doelgroep[Digitale zorgtoepassing],B544,uitkomst_doelgroep[Jaar],D544,uitkomst_doelgroep[QALY (€)],"&gt;0",uitkomst_doelgroep[Uitgangssituatie/effect beleid],uitkomst_tech[[#This Row],[Uitgangssituatie/effect beleid]])</f>
        <v>0</v>
      </c>
      <c r="K544" s="398">
        <f>SUMIFS(uitkomst_doelgroep[Kosten (€)],uitkomst_doelgroep[Digitale zorgtoepassing],B544,uitkomst_doelgroep[Jaar],D544,uitkomst_doelgroep[Kosten (€)],"&gt;0",uitkomst_doelgroep[Uitgangssituatie/effect beleid],uitkomst_tech[[#This Row],[Uitgangssituatie/effect beleid]])</f>
        <v>0</v>
      </c>
      <c r="L544" s="398">
        <f>SUMIFS(uitkomst_doelgroep[Investering (cash flow) (€)],uitkomst_doelgroep[Digitale zorgtoepassing],B544,uitkomst_doelgroep[Jaar],D544,uitkomst_doelgroep[Investering (cash flow) (€)],"&gt;0",uitkomst_doelgroep[Uitgangssituatie/effect beleid],uitkomst_tech[[#This Row],[Uitgangssituatie/effect beleid]])</f>
        <v>27729.875137500003</v>
      </c>
    </row>
    <row r="545" spans="1:12" x14ac:dyDescent="0.5">
      <c r="A545" s="2" t="str">
        <f>INDEX(Technologieën[Veld],MATCH(B545,Technologieën[Digitale zorgtoepassing],0))</f>
        <v>Digitale hulpmiddelen - Verpleging</v>
      </c>
      <c r="B545" s="33" t="s">
        <v>105</v>
      </c>
      <c r="C545" s="33" t="s">
        <v>813</v>
      </c>
      <c r="D545" s="33">
        <v>2027</v>
      </c>
      <c r="E545" s="2"/>
      <c r="F545" s="397">
        <f>SUMIFS(uitkomst_doelgroep[Patiëntaantallen],uitkomst_doelgroep[Digitale zorgtoepassing],B545,uitkomst_doelgroep[Jaar],D545,uitkomst_doelgroep[Arbeidsbesparing (€)],"&gt;0",uitkomst_doelgroep[Uitgangssituatie/effect beleid],uitkomst_tech[[#This Row],[Uitgangssituatie/effect beleid]])</f>
        <v>10.796294475000002</v>
      </c>
      <c r="G545" s="398">
        <f>SUMIFS(uitkomst_doelgroep[Arbeidsbesparing (€)],uitkomst_doelgroep[Digitale zorgtoepassing],B545,uitkomst_doelgroep[Jaar],D545,uitkomst_doelgroep[Arbeidsbesparing (€)],"&gt;0",uitkomst_doelgroep[Uitgangssituatie/effect beleid],uitkomst_tech[[#This Row],[Uitgangssituatie/effect beleid]])</f>
        <v>185635.96803764315</v>
      </c>
      <c r="H545" s="398">
        <f>SUMIFS(uitkomst_doelgroep[Arbeidsbesparing (FTE)],uitkomst_doelgroep[Digitale zorgtoepassing],B545,uitkomst_doelgroep[Jaar],D545,uitkomst_doelgroep[Arbeidsbesparing (FTE)],"&gt;0",uitkomst_doelgroep[Uitgangssituatie/effect beleid],uitkomst_tech[[#This Row],[Uitgangssituatie/effect beleid]])</f>
        <v>3.2172957535499997</v>
      </c>
      <c r="I545" s="398">
        <f>SUMIFS(uitkomst_doelgroep[Overige besparingen (€)],uitkomst_doelgroep[Digitale zorgtoepassing],B545,uitkomst_doelgroep[Jaar],D545,uitkomst_doelgroep[Overige besparingen (€)],"&gt;0",uitkomst_doelgroep[Uitgangssituatie/effect beleid],uitkomst_tech[[#This Row],[Uitgangssituatie/effect beleid]])</f>
        <v>0</v>
      </c>
      <c r="J545" s="398">
        <f>SUMIFS(uitkomst_doelgroep[QALY (€)],uitkomst_doelgroep[Digitale zorgtoepassing],B545,uitkomst_doelgroep[Jaar],D545,uitkomst_doelgroep[QALY (€)],"&gt;0",uitkomst_doelgroep[Uitgangssituatie/effect beleid],uitkomst_tech[[#This Row],[Uitgangssituatie/effect beleid]])</f>
        <v>0</v>
      </c>
      <c r="K545" s="398">
        <f>SUMIFS(uitkomst_doelgroep[Kosten (€)],uitkomst_doelgroep[Digitale zorgtoepassing],B545,uitkomst_doelgroep[Jaar],D545,uitkomst_doelgroep[Kosten (€)],"&gt;0",uitkomst_doelgroep[Uitgangssituatie/effect beleid],uitkomst_tech[[#This Row],[Uitgangssituatie/effect beleid]])</f>
        <v>0</v>
      </c>
      <c r="L545" s="398">
        <f>SUMIFS(uitkomst_doelgroep[Investering (cash flow) (€)],uitkomst_doelgroep[Digitale zorgtoepassing],B545,uitkomst_doelgroep[Jaar],D545,uitkomst_doelgroep[Investering (cash flow) (€)],"&gt;0",uitkomst_doelgroep[Uitgangssituatie/effect beleid],uitkomst_tech[[#This Row],[Uitgangssituatie/effect beleid]])</f>
        <v>36534.632161932277</v>
      </c>
    </row>
    <row r="546" spans="1:12" x14ac:dyDescent="0.5">
      <c r="A546" s="2" t="str">
        <f>INDEX(Technologieën[Veld],MATCH(B546,Technologieën[Digitale zorgtoepassing],0))</f>
        <v>Digitale hulpmiddelen - Verpleging</v>
      </c>
      <c r="B546" s="33" t="s">
        <v>105</v>
      </c>
      <c r="C546" s="33" t="s">
        <v>813</v>
      </c>
      <c r="D546" s="33">
        <v>2028</v>
      </c>
      <c r="E546" s="2"/>
      <c r="F546" s="397">
        <f>SUMIFS(uitkomst_doelgroep[Patiëntaantallen],uitkomst_doelgroep[Digitale zorgtoepassing],B546,uitkomst_doelgroep[Jaar],D546,uitkomst_doelgroep[Arbeidsbesparing (€)],"&gt;0",uitkomst_doelgroep[Uitgangssituatie/effect beleid],uitkomst_tech[[#This Row],[Uitgangssituatie/effect beleid]])</f>
        <v>18.915101622096063</v>
      </c>
      <c r="G546" s="398">
        <f>SUMIFS(uitkomst_doelgroep[Arbeidsbesparing (€)],uitkomst_doelgroep[Digitale zorgtoepassing],B546,uitkomst_doelgroep[Jaar],D546,uitkomst_doelgroep[Arbeidsbesparing (€)],"&gt;0",uitkomst_doelgroep[Uitgangssituatie/effect beleid],uitkomst_tech[[#This Row],[Uitgangssituatie/effect beleid]])</f>
        <v>325234.10770973773</v>
      </c>
      <c r="H546" s="398">
        <f>SUMIFS(uitkomst_doelgroep[Arbeidsbesparing (FTE)],uitkomst_doelgroep[Digitale zorgtoepassing],B546,uitkomst_doelgroep[Jaar],D546,uitkomst_doelgroep[Arbeidsbesparing (FTE)],"&gt;0",uitkomst_doelgroep[Uitgangssituatie/effect beleid],uitkomst_tech[[#This Row],[Uitgangssituatie/effect beleid]])</f>
        <v>5.6367002833846254</v>
      </c>
      <c r="I546" s="398">
        <f>SUMIFS(uitkomst_doelgroep[Overige besparingen (€)],uitkomst_doelgroep[Digitale zorgtoepassing],B546,uitkomst_doelgroep[Jaar],D546,uitkomst_doelgroep[Overige besparingen (€)],"&gt;0",uitkomst_doelgroep[Uitgangssituatie/effect beleid],uitkomst_tech[[#This Row],[Uitgangssituatie/effect beleid]])</f>
        <v>0</v>
      </c>
      <c r="J546" s="398">
        <f>SUMIFS(uitkomst_doelgroep[QALY (€)],uitkomst_doelgroep[Digitale zorgtoepassing],B546,uitkomst_doelgroep[Jaar],D546,uitkomst_doelgroep[QALY (€)],"&gt;0",uitkomst_doelgroep[Uitgangssituatie/effect beleid],uitkomst_tech[[#This Row],[Uitgangssituatie/effect beleid]])</f>
        <v>0</v>
      </c>
      <c r="K546" s="398">
        <f>SUMIFS(uitkomst_doelgroep[Kosten (€)],uitkomst_doelgroep[Digitale zorgtoepassing],B546,uitkomst_doelgroep[Jaar],D546,uitkomst_doelgroep[Kosten (€)],"&gt;0",uitkomst_doelgroep[Uitgangssituatie/effect beleid],uitkomst_tech[[#This Row],[Uitgangssituatie/effect beleid]])</f>
        <v>0</v>
      </c>
      <c r="L546" s="398">
        <f>SUMIFS(uitkomst_doelgroep[Investering (cash flow) (€)],uitkomst_doelgroep[Digitale zorgtoepassing],B546,uitkomst_doelgroep[Jaar],D546,uitkomst_doelgroep[Investering (cash flow) (€)],"&gt;0",uitkomst_doelgroep[Uitgangssituatie/effect beleid],uitkomst_tech[[#This Row],[Uitgangssituatie/effect beleid]])</f>
        <v>47543.970148393288</v>
      </c>
    </row>
    <row r="547" spans="1:12" x14ac:dyDescent="0.5">
      <c r="A547" s="2" t="str">
        <f>INDEX(Technologieën[Veld],MATCH(B547,Technologieën[Digitale zorgtoepassing],0))</f>
        <v>Digitale hulpmiddelen - Verpleging</v>
      </c>
      <c r="B547" s="33" t="s">
        <v>105</v>
      </c>
      <c r="C547" s="33" t="s">
        <v>813</v>
      </c>
      <c r="D547" s="33">
        <v>2029</v>
      </c>
      <c r="E547" s="2"/>
      <c r="F547" s="397">
        <f>SUMIFS(uitkomst_doelgroep[Patiëntaantallen],uitkomst_doelgroep[Digitale zorgtoepassing],B547,uitkomst_doelgroep[Jaar],D547,uitkomst_doelgroep[Arbeidsbesparing (€)],"&gt;0",uitkomst_doelgroep[Uitgangssituatie/effect beleid],uitkomst_tech[[#This Row],[Uitgangssituatie/effect beleid]])</f>
        <v>29.480428321739016</v>
      </c>
      <c r="G547" s="398">
        <f>SUMIFS(uitkomst_doelgroep[Arbeidsbesparing (€)],uitkomst_doelgroep[Digitale zorgtoepassing],B547,uitkomst_doelgroep[Jaar],D547,uitkomst_doelgroep[Arbeidsbesparing (€)],"&gt;0",uitkomst_doelgroep[Uitgangssituatie/effect beleid],uitkomst_tech[[#This Row],[Uitgangssituatie/effect beleid]])</f>
        <v>506898.71995830059</v>
      </c>
      <c r="H547" s="398">
        <f>SUMIFS(uitkomst_doelgroep[Arbeidsbesparing (FTE)],uitkomst_doelgroep[Digitale zorgtoepassing],B547,uitkomst_doelgroep[Jaar],D547,uitkomst_doelgroep[Arbeidsbesparing (FTE)],"&gt;0",uitkomst_doelgroep[Uitgangssituatie/effect beleid],uitkomst_tech[[#This Row],[Uitgangssituatie/effect beleid]])</f>
        <v>8.7851676398782246</v>
      </c>
      <c r="I547" s="398">
        <f>SUMIFS(uitkomst_doelgroep[Overige besparingen (€)],uitkomst_doelgroep[Digitale zorgtoepassing],B547,uitkomst_doelgroep[Jaar],D547,uitkomst_doelgroep[Overige besparingen (€)],"&gt;0",uitkomst_doelgroep[Uitgangssituatie/effect beleid],uitkomst_tech[[#This Row],[Uitgangssituatie/effect beleid]])</f>
        <v>0</v>
      </c>
      <c r="J547" s="398">
        <f>SUMIFS(uitkomst_doelgroep[QALY (€)],uitkomst_doelgroep[Digitale zorgtoepassing],B547,uitkomst_doelgroep[Jaar],D547,uitkomst_doelgroep[QALY (€)],"&gt;0",uitkomst_doelgroep[Uitgangssituatie/effect beleid],uitkomst_tech[[#This Row],[Uitgangssituatie/effect beleid]])</f>
        <v>0</v>
      </c>
      <c r="K547" s="398">
        <f>SUMIFS(uitkomst_doelgroep[Kosten (€)],uitkomst_doelgroep[Digitale zorgtoepassing],B547,uitkomst_doelgroep[Jaar],D547,uitkomst_doelgroep[Kosten (€)],"&gt;0",uitkomst_doelgroep[Uitgangssituatie/effect beleid],uitkomst_tech[[#This Row],[Uitgangssituatie/effect beleid]])</f>
        <v>0</v>
      </c>
      <c r="L547" s="398">
        <f>SUMIFS(uitkomst_doelgroep[Investering (cash flow) (€)],uitkomst_doelgroep[Digitale zorgtoepassing],B547,uitkomst_doelgroep[Jaar],D547,uitkomst_doelgroep[Investering (cash flow) (€)],"&gt;0",uitkomst_doelgroep[Uitgangssituatie/effect beleid],uitkomst_tech[[#This Row],[Uitgangssituatie/effect beleid]])</f>
        <v>60864.47887265389</v>
      </c>
    </row>
    <row r="548" spans="1:12" x14ac:dyDescent="0.5">
      <c r="A548" s="2" t="str">
        <f>INDEX(Technologieën[Veld],MATCH(B548,Technologieën[Digitale zorgtoepassing],0))</f>
        <v>Digitale hulpmiddelen - Verpleging</v>
      </c>
      <c r="B548" s="33" t="s">
        <v>105</v>
      </c>
      <c r="C548" s="33" t="s">
        <v>813</v>
      </c>
      <c r="D548" s="33">
        <v>2030</v>
      </c>
      <c r="E548" s="2"/>
      <c r="F548" s="397">
        <f>SUMIFS(uitkomst_doelgroep[Patiëntaantallen],uitkomst_doelgroep[Digitale zorgtoepassing],B548,uitkomst_doelgroep[Jaar],D548,uitkomst_doelgroep[Arbeidsbesparing (€)],"&gt;0",uitkomst_doelgroep[Uitgangssituatie/effect beleid],uitkomst_tech[[#This Row],[Uitgangssituatie/effect beleid]])</f>
        <v>43.005868071217655</v>
      </c>
      <c r="G548" s="398">
        <f>SUMIFS(uitkomst_doelgroep[Arbeidsbesparing (€)],uitkomst_doelgroep[Digitale zorgtoepassing],B548,uitkomst_doelgroep[Jaar],D548,uitkomst_doelgroep[Arbeidsbesparing (€)],"&gt;0",uitkomst_doelgroep[Uitgangssituatie/effect beleid],uitkomst_tech[[#This Row],[Uitgangssituatie/effect beleid]])</f>
        <v>739460.74453472684</v>
      </c>
      <c r="H548" s="398">
        <f>SUMIFS(uitkomst_doelgroep[Arbeidsbesparing (FTE)],uitkomst_doelgroep[Digitale zorgtoepassing],B548,uitkomst_doelgroep[Jaar],D548,uitkomst_doelgroep[Arbeidsbesparing (FTE)],"&gt;0",uitkomst_doelgroep[Uitgangssituatie/effect beleid],uitkomst_tech[[#This Row],[Uitgangssituatie/effect beleid]])</f>
        <v>12.815748685222861</v>
      </c>
      <c r="I548" s="398">
        <f>SUMIFS(uitkomst_doelgroep[Overige besparingen (€)],uitkomst_doelgroep[Digitale zorgtoepassing],B548,uitkomst_doelgroep[Jaar],D548,uitkomst_doelgroep[Overige besparingen (€)],"&gt;0",uitkomst_doelgroep[Uitgangssituatie/effect beleid],uitkomst_tech[[#This Row],[Uitgangssituatie/effect beleid]])</f>
        <v>0</v>
      </c>
      <c r="J548" s="398">
        <f>SUMIFS(uitkomst_doelgroep[QALY (€)],uitkomst_doelgroep[Digitale zorgtoepassing],B548,uitkomst_doelgroep[Jaar],D548,uitkomst_doelgroep[QALY (€)],"&gt;0",uitkomst_doelgroep[Uitgangssituatie/effect beleid],uitkomst_tech[[#This Row],[Uitgangssituatie/effect beleid]])</f>
        <v>0</v>
      </c>
      <c r="K548" s="398">
        <f>SUMIFS(uitkomst_doelgroep[Kosten (€)],uitkomst_doelgroep[Digitale zorgtoepassing],B548,uitkomst_doelgroep[Jaar],D548,uitkomst_doelgroep[Kosten (€)],"&gt;0",uitkomst_doelgroep[Uitgangssituatie/effect beleid],uitkomst_tech[[#This Row],[Uitgangssituatie/effect beleid]])</f>
        <v>0</v>
      </c>
      <c r="L548" s="398">
        <f>SUMIFS(uitkomst_doelgroep[Investering (cash flow) (€)],uitkomst_doelgroep[Digitale zorgtoepassing],B548,uitkomst_doelgroep[Jaar],D548,uitkomst_doelgroep[Investering (cash flow) (€)],"&gt;0",uitkomst_doelgroep[Uitgangssituatie/effect beleid],uitkomst_tech[[#This Row],[Uitgangssituatie/effect beleid]])</f>
        <v>76255.878254732306</v>
      </c>
    </row>
    <row r="549" spans="1:12" x14ac:dyDescent="0.5">
      <c r="A549" s="2" t="str">
        <f>INDEX(Technologieën[Veld],MATCH(B549,Technologieën[Digitale zorgtoepassing],0))</f>
        <v>Digitale hulpmiddelen - Verpleging</v>
      </c>
      <c r="B549" s="33" t="s">
        <v>105</v>
      </c>
      <c r="C549" s="33" t="s">
        <v>813</v>
      </c>
      <c r="D549" s="33">
        <v>2031</v>
      </c>
      <c r="E549" s="2"/>
      <c r="F549" s="397">
        <f>SUMIFS(uitkomst_doelgroep[Patiëntaantallen],uitkomst_doelgroep[Digitale zorgtoepassing],B549,uitkomst_doelgroep[Jaar],D549,uitkomst_doelgroep[Arbeidsbesparing (€)],"&gt;0",uitkomst_doelgroep[Uitgangssituatie/effect beleid],uitkomst_tech[[#This Row],[Uitgangssituatie/effect beleid]])</f>
        <v>59.951618794491502</v>
      </c>
      <c r="G549" s="398">
        <f>SUMIFS(uitkomst_doelgroep[Arbeidsbesparing (€)],uitkomst_doelgroep[Digitale zorgtoepassing],B549,uitkomst_doelgroep[Jaar],D549,uitkomst_doelgroep[Arbeidsbesparing (€)],"&gt;0",uitkomst_doelgroep[Uitgangssituatie/effect beleid],uitkomst_tech[[#This Row],[Uitgangssituatie/effect beleid]])</f>
        <v>1030833.0155415838</v>
      </c>
      <c r="H549" s="398">
        <f>SUMIFS(uitkomst_doelgroep[Arbeidsbesparing (FTE)],uitkomst_doelgroep[Digitale zorgtoepassing],B549,uitkomst_doelgroep[Jaar],D549,uitkomst_doelgroep[Arbeidsbesparing (FTE)],"&gt;0",uitkomst_doelgroep[Uitgangssituatie/effect beleid],uitkomst_tech[[#This Row],[Uitgangssituatie/effect beleid]])</f>
        <v>17.865582400758466</v>
      </c>
      <c r="I549" s="398">
        <f>SUMIFS(uitkomst_doelgroep[Overige besparingen (€)],uitkomst_doelgroep[Digitale zorgtoepassing],B549,uitkomst_doelgroep[Jaar],D549,uitkomst_doelgroep[Overige besparingen (€)],"&gt;0",uitkomst_doelgroep[Uitgangssituatie/effect beleid],uitkomst_tech[[#This Row],[Uitgangssituatie/effect beleid]])</f>
        <v>0</v>
      </c>
      <c r="J549" s="398">
        <f>SUMIFS(uitkomst_doelgroep[QALY (€)],uitkomst_doelgroep[Digitale zorgtoepassing],B549,uitkomst_doelgroep[Jaar],D549,uitkomst_doelgroep[QALY (€)],"&gt;0",uitkomst_doelgroep[Uitgangssituatie/effect beleid],uitkomst_tech[[#This Row],[Uitgangssituatie/effect beleid]])</f>
        <v>0</v>
      </c>
      <c r="K549" s="398">
        <f>SUMIFS(uitkomst_doelgroep[Kosten (€)],uitkomst_doelgroep[Digitale zorgtoepassing],B549,uitkomst_doelgroep[Jaar],D549,uitkomst_doelgroep[Kosten (€)],"&gt;0",uitkomst_doelgroep[Uitgangssituatie/effect beleid],uitkomst_tech[[#This Row],[Uitgangssituatie/effect beleid]])</f>
        <v>0</v>
      </c>
      <c r="L549" s="398">
        <f>SUMIFS(uitkomst_doelgroep[Investering (cash flow) (€)],uitkomst_doelgroep[Digitale zorgtoepassing],B549,uitkomst_doelgroep[Jaar],D549,uitkomst_doelgroep[Investering (cash flow) (€)],"&gt;0",uitkomst_doelgroep[Uitgangssituatie/effect beleid],uitkomst_tech[[#This Row],[Uitgangssituatie/effect beleid]])</f>
        <v>92907.023266838354</v>
      </c>
    </row>
    <row r="550" spans="1:12" x14ac:dyDescent="0.5">
      <c r="A550" s="2" t="str">
        <f>INDEX(Technologieën[Veld],MATCH(B550,Technologieën[Digitale zorgtoepassing],0))</f>
        <v>Digitale hulpmiddelen - Verpleging</v>
      </c>
      <c r="B550" s="33" t="s">
        <v>105</v>
      </c>
      <c r="C550" s="33" t="s">
        <v>813</v>
      </c>
      <c r="D550" s="33">
        <v>2032</v>
      </c>
      <c r="E550" s="2"/>
      <c r="F550" s="397">
        <f>SUMIFS(uitkomst_doelgroep[Patiëntaantallen],uitkomst_doelgroep[Digitale zorgtoepassing],B550,uitkomst_doelgroep[Jaar],D550,uitkomst_doelgroep[Arbeidsbesparing (€)],"&gt;0",uitkomst_doelgroep[Uitgangssituatie/effect beleid],uitkomst_tech[[#This Row],[Uitgangssituatie/effect beleid]])</f>
        <v>80.597623964900023</v>
      </c>
      <c r="G550" s="398">
        <f>SUMIFS(uitkomst_doelgroep[Arbeidsbesparing (€)],uitkomst_doelgroep[Digitale zorgtoepassing],B550,uitkomst_doelgroep[Jaar],D550,uitkomst_doelgroep[Arbeidsbesparing (€)],"&gt;0",uitkomst_doelgroep[Uitgangssituatie/effect beleid],uitkomst_tech[[#This Row],[Uitgangssituatie/effect beleid]])</f>
        <v>1385828.9972456647</v>
      </c>
      <c r="H550" s="398">
        <f>SUMIFS(uitkomst_doelgroep[Arbeidsbesparing (FTE)],uitkomst_doelgroep[Digitale zorgtoepassing],B550,uitkomst_doelgroep[Jaar],D550,uitkomst_doelgroep[Arbeidsbesparing (FTE)],"&gt;0",uitkomst_doelgroep[Uitgangssituatie/effect beleid],uitkomst_tech[[#This Row],[Uitgangssituatie/effect beleid]])</f>
        <v>24.018091941540206</v>
      </c>
      <c r="I550" s="398">
        <f>SUMIFS(uitkomst_doelgroep[Overige besparingen (€)],uitkomst_doelgroep[Digitale zorgtoepassing],B550,uitkomst_doelgroep[Jaar],D550,uitkomst_doelgroep[Overige besparingen (€)],"&gt;0",uitkomst_doelgroep[Uitgangssituatie/effect beleid],uitkomst_tech[[#This Row],[Uitgangssituatie/effect beleid]])</f>
        <v>0</v>
      </c>
      <c r="J550" s="398">
        <f>SUMIFS(uitkomst_doelgroep[QALY (€)],uitkomst_doelgroep[Digitale zorgtoepassing],B550,uitkomst_doelgroep[Jaar],D550,uitkomst_doelgroep[QALY (€)],"&gt;0",uitkomst_doelgroep[Uitgangssituatie/effect beleid],uitkomst_tech[[#This Row],[Uitgangssituatie/effect beleid]])</f>
        <v>0</v>
      </c>
      <c r="K550" s="398">
        <f>SUMIFS(uitkomst_doelgroep[Kosten (€)],uitkomst_doelgroep[Digitale zorgtoepassing],B550,uitkomst_doelgroep[Jaar],D550,uitkomst_doelgroep[Kosten (€)],"&gt;0",uitkomst_doelgroep[Uitgangssituatie/effect beleid],uitkomst_tech[[#This Row],[Uitgangssituatie/effect beleid]])</f>
        <v>0</v>
      </c>
      <c r="L550" s="398">
        <f>SUMIFS(uitkomst_doelgroep[Investering (cash flow) (€)],uitkomst_doelgroep[Digitale zorgtoepassing],B550,uitkomst_doelgroep[Jaar],D550,uitkomst_doelgroep[Investering (cash flow) (€)],"&gt;0",uitkomst_doelgroep[Uitgangssituatie/effect beleid],uitkomst_tech[[#This Row],[Uitgangssituatie/effect beleid]])</f>
        <v>109237.37532155759</v>
      </c>
    </row>
    <row r="551" spans="1:12" x14ac:dyDescent="0.5">
      <c r="A551" s="2" t="str">
        <f>INDEX(Technologieën[Veld],MATCH(B551,Technologieën[Digitale zorgtoepassing],0))</f>
        <v>Digitale hulpmiddelen - Verpleging</v>
      </c>
      <c r="B551" s="33" t="s">
        <v>105</v>
      </c>
      <c r="C551" s="33" t="s">
        <v>813</v>
      </c>
      <c r="D551" s="33">
        <v>2033</v>
      </c>
      <c r="E551" s="2"/>
      <c r="F551" s="397">
        <f>SUMIFS(uitkomst_doelgroep[Patiëntaantallen],uitkomst_doelgroep[Digitale zorgtoepassing],B551,uitkomst_doelgroep[Jaar],D551,uitkomst_doelgroep[Arbeidsbesparing (€)],"&gt;0",uitkomst_doelgroep[Uitgangssituatie/effect beleid],uitkomst_tech[[#This Row],[Uitgangssituatie/effect beleid]])</f>
        <v>104.87259625857949</v>
      </c>
      <c r="G551" s="398">
        <f>SUMIFS(uitkomst_doelgroep[Arbeidsbesparing (€)],uitkomst_doelgroep[Digitale zorgtoepassing],B551,uitkomst_doelgroep[Jaar],D551,uitkomst_doelgroep[Arbeidsbesparing (€)],"&gt;0",uitkomst_doelgroep[Uitgangssituatie/effect beleid],uitkomst_tech[[#This Row],[Uitgangssituatie/effect beleid]])</f>
        <v>1803222.9458137592</v>
      </c>
      <c r="H551" s="398">
        <f>SUMIFS(uitkomst_doelgroep[Arbeidsbesparing (FTE)],uitkomst_doelgroep[Digitale zorgtoepassing],B551,uitkomst_doelgroep[Jaar],D551,uitkomst_doelgroep[Arbeidsbesparing (FTE)],"&gt;0",uitkomst_doelgroep[Uitgangssituatie/effect beleid],uitkomst_tech[[#This Row],[Uitgangssituatie/effect beleid]])</f>
        <v>31.252033685056684</v>
      </c>
      <c r="I551" s="398">
        <f>SUMIFS(uitkomst_doelgroep[Overige besparingen (€)],uitkomst_doelgroep[Digitale zorgtoepassing],B551,uitkomst_doelgroep[Jaar],D551,uitkomst_doelgroep[Overige besparingen (€)],"&gt;0",uitkomst_doelgroep[Uitgangssituatie/effect beleid],uitkomst_tech[[#This Row],[Uitgangssituatie/effect beleid]])</f>
        <v>0</v>
      </c>
      <c r="J551" s="398">
        <f>SUMIFS(uitkomst_doelgroep[QALY (€)],uitkomst_doelgroep[Digitale zorgtoepassing],B551,uitkomst_doelgroep[Jaar],D551,uitkomst_doelgroep[QALY (€)],"&gt;0",uitkomst_doelgroep[Uitgangssituatie/effect beleid],uitkomst_tech[[#This Row],[Uitgangssituatie/effect beleid]])</f>
        <v>0</v>
      </c>
      <c r="K551" s="398">
        <f>SUMIFS(uitkomst_doelgroep[Kosten (€)],uitkomst_doelgroep[Digitale zorgtoepassing],B551,uitkomst_doelgroep[Jaar],D551,uitkomst_doelgroep[Kosten (€)],"&gt;0",uitkomst_doelgroep[Uitgangssituatie/effect beleid],uitkomst_tech[[#This Row],[Uitgangssituatie/effect beleid]])</f>
        <v>0</v>
      </c>
      <c r="L551" s="398">
        <f>SUMIFS(uitkomst_doelgroep[Investering (cash flow) (€)],uitkomst_doelgroep[Digitale zorgtoepassing],B551,uitkomst_doelgroep[Jaar],D551,uitkomst_doelgroep[Investering (cash flow) (€)],"&gt;0",uitkomst_doelgroep[Uitgangssituatie/effect beleid],uitkomst_tech[[#This Row],[Uitgangssituatie/effect beleid]])</f>
        <v>122878.90188022146</v>
      </c>
    </row>
    <row r="552" spans="1:12" x14ac:dyDescent="0.5">
      <c r="A552" s="2" t="str">
        <f>INDEX(Technologieën[Veld],MATCH(B552,Technologieën[Digitale zorgtoepassing],0))</f>
        <v>Digitale hulpmiddelen - Verpleging</v>
      </c>
      <c r="B552" s="33" t="s">
        <v>32</v>
      </c>
      <c r="C552" s="33" t="s">
        <v>813</v>
      </c>
      <c r="D552" s="33">
        <v>2023</v>
      </c>
      <c r="E552" s="2"/>
      <c r="F552" s="397">
        <f>SUMIFS(uitkomst_doelgroep[Patiëntaantallen],uitkomst_doelgroep[Digitale zorgtoepassing],B552,uitkomst_doelgroep[Jaar],D552,uitkomst_doelgroep[Arbeidsbesparing (€)],"&gt;0",uitkomst_doelgroep[Uitgangssituatie/effect beleid],uitkomst_tech[[#This Row],[Uitgangssituatie/effect beleid]])</f>
        <v>3680</v>
      </c>
      <c r="G552" s="398">
        <f>SUMIFS(uitkomst_doelgroep[Arbeidsbesparing (€)],uitkomst_doelgroep[Digitale zorgtoepassing],B552,uitkomst_doelgroep[Jaar],D552,uitkomst_doelgroep[Arbeidsbesparing (€)],"&gt;0",uitkomst_doelgroep[Uitgangssituatie/effect beleid],uitkomst_tech[[#This Row],[Uitgangssituatie/effect beleid]])</f>
        <v>9364390.1219485495</v>
      </c>
      <c r="H552" s="398">
        <f>SUMIFS(uitkomst_doelgroep[Arbeidsbesparing (FTE)],uitkomst_doelgroep[Digitale zorgtoepassing],B552,uitkomst_doelgroep[Jaar],D552,uitkomst_doelgroep[Arbeidsbesparing (FTE)],"&gt;0",uitkomst_doelgroep[Uitgangssituatie/effect beleid],uitkomst_tech[[#This Row],[Uitgangssituatie/effect beleid]])</f>
        <v>220.57673642767901</v>
      </c>
      <c r="I552" s="398">
        <f>SUMIFS(uitkomst_doelgroep[Overige besparingen (€)],uitkomst_doelgroep[Digitale zorgtoepassing],B552,uitkomst_doelgroep[Jaar],D552,uitkomst_doelgroep[Overige besparingen (€)],"&gt;0",uitkomst_doelgroep[Uitgangssituatie/effect beleid],uitkomst_tech[[#This Row],[Uitgangssituatie/effect beleid]])</f>
        <v>3268752.2535267882</v>
      </c>
      <c r="J552" s="398">
        <f>SUMIFS(uitkomst_doelgroep[QALY (€)],uitkomst_doelgroep[Digitale zorgtoepassing],B552,uitkomst_doelgroep[Jaar],D552,uitkomst_doelgroep[QALY (€)],"&gt;0",uitkomst_doelgroep[Uitgangssituatie/effect beleid],uitkomst_tech[[#This Row],[Uitgangssituatie/effect beleid]])</f>
        <v>37800000.000000007</v>
      </c>
      <c r="K552" s="398">
        <f>SUMIFS(uitkomst_doelgroep[Kosten (€)],uitkomst_doelgroep[Digitale zorgtoepassing],B552,uitkomst_doelgroep[Jaar],D552,uitkomst_doelgroep[Kosten (€)],"&gt;0",uitkomst_doelgroep[Uitgangssituatie/effect beleid],uitkomst_tech[[#This Row],[Uitgangssituatie/effect beleid]])</f>
        <v>5256056.3809523806</v>
      </c>
      <c r="L552" s="398">
        <f>SUMIFS(uitkomst_doelgroep[Investering (cash flow) (€)],uitkomst_doelgroep[Digitale zorgtoepassing],B552,uitkomst_doelgroep[Jaar],D552,uitkomst_doelgroep[Investering (cash flow) (€)],"&gt;0",uitkomst_doelgroep[Uitgangssituatie/effect beleid],uitkomst_tech[[#This Row],[Uitgangssituatie/effect beleid]])</f>
        <v>239150.84571428565</v>
      </c>
    </row>
    <row r="553" spans="1:12" x14ac:dyDescent="0.5">
      <c r="A553" s="2" t="str">
        <f>INDEX(Technologieën[Veld],MATCH(B553,Technologieën[Digitale zorgtoepassing],0))</f>
        <v>Digitale hulpmiddelen - Verpleging</v>
      </c>
      <c r="B553" s="33" t="s">
        <v>32</v>
      </c>
      <c r="C553" s="33" t="s">
        <v>813</v>
      </c>
      <c r="D553" s="33">
        <v>2024</v>
      </c>
      <c r="E553" s="2"/>
      <c r="F553" s="397">
        <f>SUMIFS(uitkomst_doelgroep[Patiëntaantallen],uitkomst_doelgroep[Digitale zorgtoepassing],B553,uitkomst_doelgroep[Jaar],D553,uitkomst_doelgroep[Arbeidsbesparing (€)],"&gt;0",uitkomst_doelgroep[Uitgangssituatie/effect beleid],uitkomst_tech[[#This Row],[Uitgangssituatie/effect beleid]])</f>
        <v>4673.6000000000004</v>
      </c>
      <c r="G553" s="398">
        <f>SUMIFS(uitkomst_doelgroep[Arbeidsbesparing (€)],uitkomst_doelgroep[Digitale zorgtoepassing],B553,uitkomst_doelgroep[Jaar],D553,uitkomst_doelgroep[Arbeidsbesparing (€)],"&gt;0",uitkomst_doelgroep[Uitgangssituatie/effect beleid],uitkomst_tech[[#This Row],[Uitgangssituatie/effect beleid]])</f>
        <v>11892775.454874657</v>
      </c>
      <c r="H553" s="398">
        <f>SUMIFS(uitkomst_doelgroep[Arbeidsbesparing (FTE)],uitkomst_doelgroep[Digitale zorgtoepassing],B553,uitkomst_doelgroep[Jaar],D553,uitkomst_doelgroep[Arbeidsbesparing (FTE)],"&gt;0",uitkomst_doelgroep[Uitgangssituatie/effect beleid],uitkomst_tech[[#This Row],[Uitgangssituatie/effect beleid]])</f>
        <v>280.13245526315234</v>
      </c>
      <c r="I553" s="398">
        <f>SUMIFS(uitkomst_doelgroep[Overige besparingen (€)],uitkomst_doelgroep[Digitale zorgtoepassing],B553,uitkomst_doelgroep[Jaar],D553,uitkomst_doelgroep[Overige besparingen (€)],"&gt;0",uitkomst_doelgroep[Uitgangssituatie/effect beleid],uitkomst_tech[[#This Row],[Uitgangssituatie/effect beleid]])</f>
        <v>4151315.3619790212</v>
      </c>
      <c r="J553" s="398">
        <f>SUMIFS(uitkomst_doelgroep[QALY (€)],uitkomst_doelgroep[Digitale zorgtoepassing],B553,uitkomst_doelgroep[Jaar],D553,uitkomst_doelgroep[QALY (€)],"&gt;0",uitkomst_doelgroep[Uitgangssituatie/effect beleid],uitkomst_tech[[#This Row],[Uitgangssituatie/effect beleid]])</f>
        <v>48006000.000000007</v>
      </c>
      <c r="K553" s="398">
        <f>SUMIFS(uitkomst_doelgroep[Kosten (€)],uitkomst_doelgroep[Digitale zorgtoepassing],B553,uitkomst_doelgroep[Jaar],D553,uitkomst_doelgroep[Kosten (€)],"&gt;0",uitkomst_doelgroep[Uitgangssituatie/effect beleid],uitkomst_tech[[#This Row],[Uitgangssituatie/effect beleid]])</f>
        <v>6675191.6038095234</v>
      </c>
      <c r="L553" s="398">
        <f>SUMIFS(uitkomst_doelgroep[Investering (cash flow) (€)],uitkomst_doelgroep[Digitale zorgtoepassing],B553,uitkomst_doelgroep[Jaar],D553,uitkomst_doelgroep[Investering (cash flow) (€)],"&gt;0",uitkomst_doelgroep[Uitgangssituatie/effect beleid],uitkomst_tech[[#This Row],[Uitgangssituatie/effect beleid]])</f>
        <v>243168.57992228566</v>
      </c>
    </row>
    <row r="554" spans="1:12" x14ac:dyDescent="0.5">
      <c r="A554" s="2" t="str">
        <f>INDEX(Technologieën[Veld],MATCH(B554,Technologieën[Digitale zorgtoepassing],0))</f>
        <v>Digitale hulpmiddelen - Verpleging</v>
      </c>
      <c r="B554" s="33" t="s">
        <v>32</v>
      </c>
      <c r="C554" s="33" t="s">
        <v>813</v>
      </c>
      <c r="D554" s="33">
        <v>2025</v>
      </c>
      <c r="E554" s="2"/>
      <c r="F554" s="397">
        <f>SUMIFS(uitkomst_doelgroep[Patiëntaantallen],uitkomst_doelgroep[Digitale zorgtoepassing],B554,uitkomst_doelgroep[Jaar],D554,uitkomst_doelgroep[Arbeidsbesparing (€)],"&gt;0",uitkomst_doelgroep[Uitgangssituatie/effect beleid],uitkomst_tech[[#This Row],[Uitgangssituatie/effect beleid]])</f>
        <v>5683.8924799999995</v>
      </c>
      <c r="G554" s="398">
        <f>SUMIFS(uitkomst_doelgroep[Arbeidsbesparing (€)],uitkomst_doelgroep[Digitale zorgtoepassing],B554,uitkomst_doelgroep[Jaar],D554,uitkomst_doelgroep[Arbeidsbesparing (€)],"&gt;0",uitkomst_doelgroep[Uitgangssituatie/effect beleid],uitkomst_tech[[#This Row],[Uitgangssituatie/effect beleid]])</f>
        <v>14463637.661393924</v>
      </c>
      <c r="H554" s="398">
        <f>SUMIFS(uitkomst_doelgroep[Arbeidsbesparing (FTE)],uitkomst_doelgroep[Digitale zorgtoepassing],B554,uitkomst_doelgroep[Jaar],D554,uitkomst_doelgroep[Arbeidsbesparing (FTE)],"&gt;0",uitkomst_doelgroep[Uitgangssituatie/effect beleid],uitkomst_tech[[#This Row],[Uitgangssituatie/effect beleid]])</f>
        <v>340.6887101750616</v>
      </c>
      <c r="I554" s="398">
        <f>SUMIFS(uitkomst_doelgroep[Overige besparingen (€)],uitkomst_doelgroep[Digitale zorgtoepassing],B554,uitkomst_doelgroep[Jaar],D554,uitkomst_doelgroep[Overige besparingen (€)],"&gt;0",uitkomst_doelgroep[Uitgangssituatie/effect beleid],uitkomst_tech[[#This Row],[Uitgangssituatie/effect beleid]])</f>
        <v>5048705.5306532513</v>
      </c>
      <c r="J554" s="398">
        <f>SUMIFS(uitkomst_doelgroep[QALY (€)],uitkomst_doelgroep[Digitale zorgtoepassing],B554,uitkomst_doelgroep[Jaar],D554,uitkomst_doelgroep[QALY (€)],"&gt;0",uitkomst_doelgroep[Uitgangssituatie/effect beleid],uitkomst_tech[[#This Row],[Uitgangssituatie/effect beleid]])</f>
        <v>58383460.800000004</v>
      </c>
      <c r="K554" s="398">
        <f>SUMIFS(uitkomst_doelgroep[Kosten (€)],uitkomst_doelgroep[Digitale zorgtoepassing],B554,uitkomst_doelgroep[Jaar],D554,uitkomst_doelgroep[Kosten (€)],"&gt;0",uitkomst_doelgroep[Uitgangssituatie/effect beleid],uitkomst_tech[[#This Row],[Uitgangssituatie/effect beleid]])</f>
        <v>8118168.2984106662</v>
      </c>
      <c r="L554" s="398">
        <f>SUMIFS(uitkomst_doelgroep[Investering (cash flow) (€)],uitkomst_doelgroep[Digitale zorgtoepassing],B554,uitkomst_doelgroep[Jaar],D554,uitkomst_doelgroep[Investering (cash flow) (€)],"&gt;0",uitkomst_doelgroep[Uitgangssituatie/effect beleid],uitkomst_tech[[#This Row],[Uitgangssituatie/effect beleid]])</f>
        <v>226067.5647311302</v>
      </c>
    </row>
    <row r="555" spans="1:12" x14ac:dyDescent="0.5">
      <c r="A555" s="2" t="str">
        <f>INDEX(Technologieën[Veld],MATCH(B555,Technologieën[Digitale zorgtoepassing],0))</f>
        <v>Digitale hulpmiddelen - Verpleging</v>
      </c>
      <c r="B555" s="33" t="s">
        <v>32</v>
      </c>
      <c r="C555" s="33" t="s">
        <v>813</v>
      </c>
      <c r="D555" s="33">
        <v>2026</v>
      </c>
      <c r="E555" s="2"/>
      <c r="F555" s="397">
        <f>SUMIFS(uitkomst_doelgroep[Patiëntaantallen],uitkomst_doelgroep[Digitale zorgtoepassing],B555,uitkomst_doelgroep[Jaar],D555,uitkomst_doelgroep[Arbeidsbesparing (€)],"&gt;0",uitkomst_doelgroep[Uitgangssituatie/effect beleid],uitkomst_tech[[#This Row],[Uitgangssituatie/effect beleid]])</f>
        <v>6623.1353735217153</v>
      </c>
      <c r="G555" s="398">
        <f>SUMIFS(uitkomst_doelgroep[Arbeidsbesparing (€)],uitkomst_doelgroep[Digitale zorgtoepassing],B555,uitkomst_doelgroep[Jaar],D555,uitkomst_doelgroep[Arbeidsbesparing (€)],"&gt;0",uitkomst_doelgroep[Uitgangssituatie/effect beleid],uitkomst_tech[[#This Row],[Uitgangssituatie/effect beleid]])</f>
        <v>16853702.029384445</v>
      </c>
      <c r="H555" s="398">
        <f>SUMIFS(uitkomst_doelgroep[Arbeidsbesparing (FTE)],uitkomst_doelgroep[Digitale zorgtoepassing],B555,uitkomst_doelgroep[Jaar],D555,uitkomst_doelgroep[Arbeidsbesparing (FTE)],"&gt;0",uitkomst_doelgroep[Uitgangssituatie/effect beleid],uitkomst_tech[[#This Row],[Uitgangssituatie/effect beleid]])</f>
        <v>396.98630043753712</v>
      </c>
      <c r="I555" s="398">
        <f>SUMIFS(uitkomst_doelgroep[Overige besparingen (€)],uitkomst_doelgroep[Digitale zorgtoepassing],B555,uitkomst_doelgroep[Jaar],D555,uitkomst_doelgroep[Overige besparingen (€)],"&gt;0",uitkomst_doelgroep[Uitgangssituatie/effect beleid],uitkomst_tech[[#This Row],[Uitgangssituatie/effect beleid]])</f>
        <v>5882986.0536989383</v>
      </c>
      <c r="J555" s="398">
        <f>SUMIFS(uitkomst_doelgroep[QALY (€)],uitkomst_doelgroep[Digitale zorgtoepassing],B555,uitkomst_doelgroep[Jaar],D555,uitkomst_doelgroep[QALY (€)],"&gt;0",uitkomst_doelgroep[Uitgangssituatie/effect beleid],uitkomst_tech[[#This Row],[Uitgangssituatie/effect beleid]])</f>
        <v>68031118.782369807</v>
      </c>
      <c r="K555" s="398">
        <f>SUMIFS(uitkomst_doelgroep[Kosten (€)],uitkomst_doelgroep[Digitale zorgtoepassing],B555,uitkomst_doelgroep[Jaar],D555,uitkomst_doelgroep[Kosten (€)],"&gt;0",uitkomst_doelgroep[Uitgangssituatie/effect beleid],uitkomst_tech[[#This Row],[Uitgangssituatie/effect beleid]])</f>
        <v>9459666.560301695</v>
      </c>
      <c r="L555" s="398">
        <f>SUMIFS(uitkomst_doelgroep[Investering (cash flow) (€)],uitkomst_doelgroep[Digitale zorgtoepassing],B555,uitkomst_doelgroep[Jaar],D555,uitkomst_doelgroep[Investering (cash flow) (€)],"&gt;0",uitkomst_doelgroep[Uitgangssituatie/effect beleid],uitkomst_tech[[#This Row],[Uitgangssituatie/effect beleid]])</f>
        <v>191007.1603757492</v>
      </c>
    </row>
    <row r="556" spans="1:12" x14ac:dyDescent="0.5">
      <c r="A556" s="2" t="str">
        <f>INDEX(Technologieën[Veld],MATCH(B556,Technologieën[Digitale zorgtoepassing],0))</f>
        <v>Digitale hulpmiddelen - Verpleging</v>
      </c>
      <c r="B556" s="33" t="s">
        <v>32</v>
      </c>
      <c r="C556" s="33" t="s">
        <v>813</v>
      </c>
      <c r="D556" s="33">
        <v>2027</v>
      </c>
      <c r="E556" s="2"/>
      <c r="F556" s="397">
        <f>SUMIFS(uitkomst_doelgroep[Patiëntaantallen],uitkomst_doelgroep[Digitale zorgtoepassing],B556,uitkomst_doelgroep[Jaar],D556,uitkomst_doelgroep[Arbeidsbesparing (€)],"&gt;0",uitkomst_doelgroep[Uitgangssituatie/effect beleid],uitkomst_tech[[#This Row],[Uitgangssituatie/effect beleid]])</f>
        <v>7416.7128078080268</v>
      </c>
      <c r="G556" s="398">
        <f>SUMIFS(uitkomst_doelgroep[Arbeidsbesparing (€)],uitkomst_doelgroep[Digitale zorgtoepassing],B556,uitkomst_doelgroep[Jaar],D556,uitkomst_doelgroep[Arbeidsbesparing (€)],"&gt;0",uitkomst_doelgroep[Uitgangssituatie/effect beleid],uitkomst_tech[[#This Row],[Uitgangssituatie/effect beleid]])</f>
        <v>18873095.694230102</v>
      </c>
      <c r="H556" s="398">
        <f>SUMIFS(uitkomst_doelgroep[Arbeidsbesparing (FTE)],uitkomst_doelgroep[Digitale zorgtoepassing],B556,uitkomst_doelgroep[Jaar],D556,uitkomst_doelgroep[Arbeidsbesparing (FTE)],"&gt;0",uitkomst_doelgroep[Uitgangssituatie/effect beleid],uitkomst_tech[[#This Row],[Uitgangssituatie/effect beleid]])</f>
        <v>444.55280058903861</v>
      </c>
      <c r="I556" s="398">
        <f>SUMIFS(uitkomst_doelgroep[Overige besparingen (€)],uitkomst_doelgroep[Digitale zorgtoepassing],B556,uitkomst_doelgroep[Jaar],D556,uitkomst_doelgroep[Overige besparingen (€)],"&gt;0",uitkomst_doelgroep[Uitgangssituatie/effect beleid],uitkomst_tech[[#This Row],[Uitgangssituatie/effect beleid]])</f>
        <v>6587879.5392074678</v>
      </c>
      <c r="J556" s="398">
        <f>SUMIFS(uitkomst_doelgroep[QALY (€)],uitkomst_doelgroep[Digitale zorgtoepassing],B556,uitkomst_doelgroep[Jaar],D556,uitkomst_doelgroep[QALY (€)],"&gt;0",uitkomst_doelgroep[Uitgangssituatie/effect beleid],uitkomst_tech[[#This Row],[Uitgangssituatie/effect beleid]])</f>
        <v>76182539.167158544</v>
      </c>
      <c r="K556" s="398">
        <f>SUMIFS(uitkomst_doelgroep[Kosten (€)],uitkomst_doelgroep[Digitale zorgtoepassing],B556,uitkomst_doelgroep[Jaar],D556,uitkomst_doelgroep[Kosten (€)],"&gt;0",uitkomst_doelgroep[Uitgangssituatie/effect beleid],uitkomst_tech[[#This Row],[Uitgangssituatie/effect beleid]])</f>
        <v>10593114.314992018</v>
      </c>
      <c r="L556" s="398">
        <f>SUMIFS(uitkomst_doelgroep[Investering (cash flow) (€)],uitkomst_doelgroep[Digitale zorgtoepassing],B556,uitkomst_doelgroep[Jaar],D556,uitkomst_doelgroep[Investering (cash flow) (€)],"&gt;0",uitkomst_doelgroep[Uitgangssituatie/effect beleid],uitkomst_tech[[#This Row],[Uitgangssituatie/effect beleid]])</f>
        <v>146993.72770016774</v>
      </c>
    </row>
    <row r="557" spans="1:12" x14ac:dyDescent="0.5">
      <c r="A557" s="2" t="str">
        <f>INDEX(Technologieën[Veld],MATCH(B557,Technologieën[Digitale zorgtoepassing],0))</f>
        <v>Digitale hulpmiddelen - Verpleging</v>
      </c>
      <c r="B557" s="33" t="s">
        <v>32</v>
      </c>
      <c r="C557" s="33" t="s">
        <v>813</v>
      </c>
      <c r="D557" s="33">
        <v>2028</v>
      </c>
      <c r="E557" s="2"/>
      <c r="F557" s="397">
        <f>SUMIFS(uitkomst_doelgroep[Patiëntaantallen],uitkomst_doelgroep[Digitale zorgtoepassing],B557,uitkomst_doelgroep[Jaar],D557,uitkomst_doelgroep[Arbeidsbesparing (€)],"&gt;0",uitkomst_doelgroep[Uitgangssituatie/effect beleid],uitkomst_tech[[#This Row],[Uitgangssituatie/effect beleid]])</f>
        <v>8027.4276367966586</v>
      </c>
      <c r="G557" s="398">
        <f>SUMIFS(uitkomst_doelgroep[Arbeidsbesparing (€)],uitkomst_doelgroep[Digitale zorgtoepassing],B557,uitkomst_doelgroep[Jaar],D557,uitkomst_doelgroep[Arbeidsbesparing (€)],"&gt;0",uitkomst_doelgroep[Uitgangssituatie/effect beleid],uitkomst_tech[[#This Row],[Uitgangssituatie/effect beleid]])</f>
        <v>20427164.148553103</v>
      </c>
      <c r="H557" s="398">
        <f>SUMIFS(uitkomst_doelgroep[Arbeidsbesparing (FTE)],uitkomst_doelgroep[Digitale zorgtoepassing],B557,uitkomst_doelgroep[Jaar],D557,uitkomst_doelgroep[Arbeidsbesparing (FTE)],"&gt;0",uitkomst_doelgroep[Uitgangssituatie/effect beleid],uitkomst_tech[[#This Row],[Uitgangssituatie/effect beleid]])</f>
        <v>481.15863859618548</v>
      </c>
      <c r="I557" s="398">
        <f>SUMIFS(uitkomst_doelgroep[Overige besparingen (€)],uitkomst_doelgroep[Digitale zorgtoepassing],B557,uitkomst_doelgroep[Jaar],D557,uitkomst_doelgroep[Overige besparingen (€)],"&gt;0",uitkomst_doelgroep[Uitgangssituatie/effect beleid],uitkomst_tech[[#This Row],[Uitgangssituatie/effect beleid]])</f>
        <v>7130345.7004897548</v>
      </c>
      <c r="J557" s="398">
        <f>SUMIFS(uitkomst_doelgroep[QALY (€)],uitkomst_doelgroep[Digitale zorgtoepassing],B557,uitkomst_doelgroep[Jaar],D557,uitkomst_doelgroep[QALY (€)],"&gt;0",uitkomst_doelgroep[Uitgangssituatie/effect beleid],uitkomst_tech[[#This Row],[Uitgangssituatie/effect beleid]])</f>
        <v>82455642.573617861</v>
      </c>
      <c r="K557" s="398">
        <f>SUMIFS(uitkomst_doelgroep[Kosten (€)],uitkomst_doelgroep[Digitale zorgtoepassing],B557,uitkomst_doelgroep[Jaar],D557,uitkomst_doelgroep[Kosten (€)],"&gt;0",uitkomst_doelgroep[Uitgangssituatie/effect beleid],uitkomst_tech[[#This Row],[Uitgangssituatie/effect beleid]])</f>
        <v>11465383.764407219</v>
      </c>
      <c r="L557" s="398">
        <f>SUMIFS(uitkomst_doelgroep[Investering (cash flow) (€)],uitkomst_doelgroep[Digitale zorgtoepassing],B557,uitkomst_doelgroep[Jaar],D557,uitkomst_doelgroep[Investering (cash flow) (€)],"&gt;0",uitkomst_doelgroep[Uitgangssituatie/effect beleid],uitkomst_tech[[#This Row],[Uitgangssituatie/effect beleid]])</f>
        <v>104147.35400547629</v>
      </c>
    </row>
    <row r="558" spans="1:12" x14ac:dyDescent="0.5">
      <c r="A558" s="2" t="str">
        <f>INDEX(Technologieën[Veld],MATCH(B558,Technologieën[Digitale zorgtoepassing],0))</f>
        <v>Digitale hulpmiddelen - Verpleging</v>
      </c>
      <c r="B558" s="33" t="s">
        <v>32</v>
      </c>
      <c r="C558" s="33" t="s">
        <v>813</v>
      </c>
      <c r="D558" s="33">
        <v>2029</v>
      </c>
      <c r="E558" s="2"/>
      <c r="F558" s="397">
        <f>SUMIFS(uitkomst_doelgroep[Patiëntaantallen],uitkomst_doelgroep[Digitale zorgtoepassing],B558,uitkomst_doelgroep[Jaar],D558,uitkomst_doelgroep[Arbeidsbesparing (€)],"&gt;0",uitkomst_doelgroep[Uitgangssituatie/effect beleid],uitkomst_tech[[#This Row],[Uitgangssituatie/effect beleid]])</f>
        <v>8460.1286403443119</v>
      </c>
      <c r="G558" s="398">
        <f>SUMIFS(uitkomst_doelgroep[Arbeidsbesparing (€)],uitkomst_doelgroep[Digitale zorgtoepassing],B558,uitkomst_doelgroep[Jaar],D558,uitkomst_doelgroep[Arbeidsbesparing (€)],"&gt;0",uitkomst_doelgroep[Uitgangssituatie/effect beleid],uitkomst_tech[[#This Row],[Uitgangssituatie/effect beleid]])</f>
        <v>21528245.94294953</v>
      </c>
      <c r="H558" s="398">
        <f>SUMIFS(uitkomst_doelgroep[Arbeidsbesparing (FTE)],uitkomst_doelgroep[Digitale zorgtoepassing],B558,uitkomst_doelgroep[Jaar],D558,uitkomst_doelgroep[Arbeidsbesparing (FTE)],"&gt;0",uitkomst_doelgroep[Uitgangssituatie/effect beleid],uitkomst_tech[[#This Row],[Uitgangssituatie/effect beleid]])</f>
        <v>507.09444707757757</v>
      </c>
      <c r="I558" s="398">
        <f>SUMIFS(uitkomst_doelgroep[Overige besparingen (€)],uitkomst_doelgroep[Digitale zorgtoepassing],B558,uitkomst_doelgroep[Jaar],D558,uitkomst_doelgroep[Overige besparingen (€)],"&gt;0",uitkomst_doelgroep[Uitgangssituatie/effect beleid],uitkomst_tech[[#This Row],[Uitgangssituatie/effect beleid]])</f>
        <v>7514691.4560467359</v>
      </c>
      <c r="J558" s="398">
        <f>SUMIFS(uitkomst_doelgroep[QALY (€)],uitkomst_doelgroep[Digitale zorgtoepassing],B558,uitkomst_doelgroep[Jaar],D558,uitkomst_doelgroep[QALY (€)],"&gt;0",uitkomst_doelgroep[Uitgangssituatie/effect beleid],uitkomst_tech[[#This Row],[Uitgangssituatie/effect beleid]])</f>
        <v>86900234.403536692</v>
      </c>
      <c r="K558" s="398">
        <f>SUMIFS(uitkomst_doelgroep[Kosten (€)],uitkomst_doelgroep[Digitale zorgtoepassing],B558,uitkomst_doelgroep[Jaar],D558,uitkomst_doelgroep[Kosten (€)],"&gt;0",uitkomst_doelgroep[Uitgangssituatie/effect beleid],uitkomst_tech[[#This Row],[Uitgangssituatie/effect beleid]])</f>
        <v>12083400.305369485</v>
      </c>
      <c r="L558" s="398">
        <f>SUMIFS(uitkomst_doelgroep[Investering (cash flow) (€)],uitkomst_doelgroep[Digitale zorgtoepassing],B558,uitkomst_doelgroep[Jaar],D558,uitkomst_doelgroep[Investering (cash flow) (€)],"&gt;0",uitkomst_doelgroep[Uitgangssituatie/effect beleid],uitkomst_tech[[#This Row],[Uitgangssituatie/effect beleid]])</f>
        <v>69065.289384922158</v>
      </c>
    </row>
    <row r="559" spans="1:12" x14ac:dyDescent="0.5">
      <c r="A559" s="2" t="str">
        <f>INDEX(Technologieën[Veld],MATCH(B559,Technologieën[Digitale zorgtoepassing],0))</f>
        <v>Digitale hulpmiddelen - Verpleging</v>
      </c>
      <c r="B559" s="33" t="s">
        <v>32</v>
      </c>
      <c r="C559" s="33" t="s">
        <v>813</v>
      </c>
      <c r="D559" s="33">
        <v>2030</v>
      </c>
      <c r="E559" s="2"/>
      <c r="F559" s="397">
        <f>SUMIFS(uitkomst_doelgroep[Patiëntaantallen],uitkomst_doelgroep[Digitale zorgtoepassing],B559,uitkomst_doelgroep[Jaar],D559,uitkomst_doelgroep[Arbeidsbesparing (€)],"&gt;0",uitkomst_doelgroep[Uitgangssituatie/effect beleid],uitkomst_tech[[#This Row],[Uitgangssituatie/effect beleid]])</f>
        <v>8747.0741927545387</v>
      </c>
      <c r="G559" s="398">
        <f>SUMIFS(uitkomst_doelgroep[Arbeidsbesparing (€)],uitkomst_doelgroep[Digitale zorgtoepassing],B559,uitkomst_doelgroep[Jaar],D559,uitkomst_doelgroep[Arbeidsbesparing (€)],"&gt;0",uitkomst_doelgroep[Uitgangssituatie/effect beleid],uitkomst_tech[[#This Row],[Uitgangssituatie/effect beleid]])</f>
        <v>22258428.034397192</v>
      </c>
      <c r="H559" s="398">
        <f>SUMIFS(uitkomst_doelgroep[Arbeidsbesparing (FTE)],uitkomst_doelgroep[Digitale zorgtoepassing],B559,uitkomst_doelgroep[Jaar],D559,uitkomst_doelgroep[Arbeidsbesparing (FTE)],"&gt;0",uitkomst_doelgroep[Uitgangssituatie/effect beleid],uitkomst_tech[[#This Row],[Uitgangssituatie/effect beleid]])</f>
        <v>524.29377139363339</v>
      </c>
      <c r="I559" s="398">
        <f>SUMIFS(uitkomst_doelgroep[Overige besparingen (€)],uitkomst_doelgroep[Digitale zorgtoepassing],B559,uitkomst_doelgroep[Jaar],D559,uitkomst_doelgroep[Overige besparingen (€)],"&gt;0",uitkomst_doelgroep[Uitgangssituatie/effect beleid],uitkomst_tech[[#This Row],[Uitgangssituatie/effect beleid]])</f>
        <v>7769570.2389490241</v>
      </c>
      <c r="J559" s="398">
        <f>SUMIFS(uitkomst_doelgroep[QALY (€)],uitkomst_doelgroep[Digitale zorgtoepassing],B559,uitkomst_doelgroep[Jaar],D559,uitkomst_doelgroep[QALY (€)],"&gt;0",uitkomst_doelgroep[Uitgangssituatie/effect beleid],uitkomst_tech[[#This Row],[Uitgangssituatie/effect beleid]])</f>
        <v>89847664.262533039</v>
      </c>
      <c r="K559" s="398">
        <f>SUMIFS(uitkomst_doelgroep[Kosten (€)],uitkomst_doelgroep[Digitale zorgtoepassing],B559,uitkomst_doelgroep[Jaar],D559,uitkomst_doelgroep[Kosten (€)],"&gt;0",uitkomst_doelgroep[Uitgangssituatie/effect beleid],uitkomst_tech[[#This Row],[Uitgangssituatie/effect beleid]])</f>
        <v>12493237.805840049</v>
      </c>
      <c r="L559" s="398">
        <f>SUMIFS(uitkomst_doelgroep[Investering (cash flow) (€)],uitkomst_doelgroep[Digitale zorgtoepassing],B559,uitkomst_doelgroep[Jaar],D559,uitkomst_doelgroep[Investering (cash flow) (€)],"&gt;0",uitkomst_doelgroep[Uitgangssituatie/effect beleid],uitkomst_tech[[#This Row],[Uitgangssituatie/effect beleid]])</f>
        <v>43639.645300191121</v>
      </c>
    </row>
    <row r="560" spans="1:12" x14ac:dyDescent="0.5">
      <c r="A560" s="2" t="str">
        <f>INDEX(Technologieën[Veld],MATCH(B560,Technologieën[Digitale zorgtoepassing],0))</f>
        <v>Digitale hulpmiddelen - Verpleging</v>
      </c>
      <c r="B560" s="33" t="s">
        <v>32</v>
      </c>
      <c r="C560" s="33" t="s">
        <v>813</v>
      </c>
      <c r="D560" s="33">
        <v>2031</v>
      </c>
      <c r="E560" s="2"/>
      <c r="F560" s="397">
        <f>SUMIFS(uitkomst_doelgroep[Patiëntaantallen],uitkomst_doelgroep[Digitale zorgtoepassing],B560,uitkomst_doelgroep[Jaar],D560,uitkomst_doelgroep[Arbeidsbesparing (€)],"&gt;0",uitkomst_doelgroep[Uitgangssituatie/effect beleid],uitkomst_tech[[#This Row],[Uitgangssituatie/effect beleid]])</f>
        <v>8928.3838236728934</v>
      </c>
      <c r="G560" s="398">
        <f>SUMIFS(uitkomst_doelgroep[Arbeidsbesparing (€)],uitkomst_doelgroep[Digitale zorgtoepassing],B560,uitkomst_doelgroep[Jaar],D560,uitkomst_doelgroep[Arbeidsbesparing (€)],"&gt;0",uitkomst_doelgroep[Uitgangssituatie/effect beleid],uitkomst_tech[[#This Row],[Uitgangssituatie/effect beleid]])</f>
        <v>22719801.435697734</v>
      </c>
      <c r="H560" s="398">
        <f>SUMIFS(uitkomst_doelgroep[Arbeidsbesparing (FTE)],uitkomst_doelgroep[Digitale zorgtoepassing],B560,uitkomst_doelgroep[Jaar],D560,uitkomst_doelgroep[Arbeidsbesparing (FTE)],"&gt;0",uitkomst_doelgroep[Uitgangssituatie/effect beleid],uitkomst_tech[[#This Row],[Uitgangssituatie/effect beleid]])</f>
        <v>535.1613492933285</v>
      </c>
      <c r="I560" s="398">
        <f>SUMIFS(uitkomst_doelgroep[Overige besparingen (€)],uitkomst_doelgroep[Digitale zorgtoepassing],B560,uitkomst_doelgroep[Jaar],D560,uitkomst_doelgroep[Overige besparingen (€)],"&gt;0",uitkomst_doelgroep[Uitgangssituatie/effect beleid],uitkomst_tech[[#This Row],[Uitgangssituatie/effect beleid]])</f>
        <v>7930618.136951874</v>
      </c>
      <c r="J560" s="398">
        <f>SUMIFS(uitkomst_doelgroep[QALY (€)],uitkomst_doelgroep[Digitale zorgtoepassing],B560,uitkomst_doelgroep[Jaar],D560,uitkomst_doelgroep[QALY (€)],"&gt;0",uitkomst_doelgroep[Uitgangssituatie/effect beleid],uitkomst_tech[[#This Row],[Uitgangssituatie/effect beleid]])</f>
        <v>91710029.493161812</v>
      </c>
      <c r="K560" s="398">
        <f>SUMIFS(uitkomst_doelgroep[Kosten (€)],uitkomst_doelgroep[Digitale zorgtoepassing],B560,uitkomst_doelgroep[Jaar],D560,uitkomst_doelgroep[Kosten (€)],"&gt;0",uitkomst_doelgroep[Uitgangssituatie/effect beleid],uitkomst_tech[[#This Row],[Uitgangssituatie/effect beleid]])</f>
        <v>12752198.034784764</v>
      </c>
      <c r="L560" s="398">
        <f>SUMIFS(uitkomst_doelgroep[Investering (cash flow) (€)],uitkomst_doelgroep[Digitale zorgtoepassing],B560,uitkomst_doelgroep[Jaar],D560,uitkomst_doelgroep[Investering (cash flow) (€)],"&gt;0",uitkomst_doelgroep[Uitgangssituatie/effect beleid],uitkomst_tech[[#This Row],[Uitgangssituatie/effect beleid]])</f>
        <v>26685.722759685174</v>
      </c>
    </row>
    <row r="561" spans="1:12" x14ac:dyDescent="0.5">
      <c r="A561" s="2" t="str">
        <f>INDEX(Technologieën[Veld],MATCH(B561,Technologieën[Digitale zorgtoepassing],0))</f>
        <v>Digitale hulpmiddelen - Verpleging</v>
      </c>
      <c r="B561" s="33" t="s">
        <v>32</v>
      </c>
      <c r="C561" s="33" t="s">
        <v>813</v>
      </c>
      <c r="D561" s="33">
        <v>2032</v>
      </c>
      <c r="E561" s="2"/>
      <c r="F561" s="397">
        <f>SUMIFS(uitkomst_doelgroep[Patiëntaantallen],uitkomst_doelgroep[Digitale zorgtoepassing],B561,uitkomst_doelgroep[Jaar],D561,uitkomst_doelgroep[Arbeidsbesparing (€)],"&gt;0",uitkomst_doelgroep[Uitgangssituatie/effect beleid],uitkomst_tech[[#This Row],[Uitgangssituatie/effect beleid]])</f>
        <v>9039.2549939371238</v>
      </c>
      <c r="G561" s="398">
        <f>SUMIFS(uitkomst_doelgroep[Arbeidsbesparing (€)],uitkomst_doelgroep[Digitale zorgtoepassing],B561,uitkomst_doelgroep[Jaar],D561,uitkomst_doelgroep[Arbeidsbesparing (€)],"&gt;0",uitkomst_doelgroep[Uitgangssituatie/effect beleid],uitkomst_tech[[#This Row],[Uitgangssituatie/effect beleid]])</f>
        <v>23001932.11277144</v>
      </c>
      <c r="H561" s="398">
        <f>SUMIFS(uitkomst_doelgroep[Arbeidsbesparing (FTE)],uitkomst_doelgroep[Digitale zorgtoepassing],B561,uitkomst_doelgroep[Jaar],D561,uitkomst_doelgroep[Arbeidsbesparing (FTE)],"&gt;0",uitkomst_doelgroep[Uitgangssituatie/effect beleid],uitkomst_tech[[#This Row],[Uitgangssituatie/effect beleid]])</f>
        <v>541.80689301637233</v>
      </c>
      <c r="I561" s="398">
        <f>SUMIFS(uitkomst_doelgroep[Overige besparingen (€)],uitkomst_doelgroep[Digitale zorgtoepassing],B561,uitkomst_doelgroep[Jaar],D561,uitkomst_doelgroep[Overige besparingen (€)],"&gt;0",uitkomst_doelgroep[Uitgangssituatie/effect beleid],uitkomst_tech[[#This Row],[Uitgangssituatie/effect beleid]])</f>
        <v>8029099.2205530563</v>
      </c>
      <c r="J561" s="398">
        <f>SUMIFS(uitkomst_doelgroep[QALY (€)],uitkomst_doelgroep[Digitale zorgtoepassing],B561,uitkomst_doelgroep[Jaar],D561,uitkomst_doelgroep[QALY (€)],"&gt;0",uitkomst_doelgroep[Uitgangssituatie/effect beleid],uitkomst_tech[[#This Row],[Uitgangssituatie/effect beleid]])</f>
        <v>92848869.231201991</v>
      </c>
      <c r="K561" s="398">
        <f>SUMIFS(uitkomst_doelgroep[Kosten (€)],uitkomst_doelgroep[Digitale zorgtoepassing],B561,uitkomst_doelgroep[Jaar],D561,uitkomst_doelgroep[Kosten (€)],"&gt;0",uitkomst_doelgroep[Uitgangssituatie/effect beleid],uitkomst_tech[[#This Row],[Uitgangssituatie/effect beleid]])</f>
        <v>12910552.687483395</v>
      </c>
      <c r="L561" s="398">
        <f>SUMIFS(uitkomst_doelgroep[Investering (cash flow) (€)],uitkomst_doelgroep[Digitale zorgtoepassing],B561,uitkomst_doelgroep[Jaar],D561,uitkomst_doelgroep[Investering (cash flow) (€)],"&gt;0",uitkomst_doelgroep[Uitgangssituatie/effect beleid],uitkomst_tech[[#This Row],[Uitgangssituatie/effect beleid]])</f>
        <v>15979.365750413424</v>
      </c>
    </row>
    <row r="562" spans="1:12" x14ac:dyDescent="0.5">
      <c r="A562" s="2" t="str">
        <f>INDEX(Technologieën[Veld],MATCH(B562,Technologieën[Digitale zorgtoepassing],0))</f>
        <v>Digitale hulpmiddelen - Verpleging</v>
      </c>
      <c r="B562" s="33" t="s">
        <v>32</v>
      </c>
      <c r="C562" s="33" t="s">
        <v>813</v>
      </c>
      <c r="D562" s="33">
        <v>2033</v>
      </c>
      <c r="E562" s="2"/>
      <c r="F562" s="397">
        <f>SUMIFS(uitkomst_doelgroep[Patiëntaantallen],uitkomst_doelgroep[Digitale zorgtoepassing],B562,uitkomst_doelgroep[Jaar],D562,uitkomst_doelgroep[Arbeidsbesparing (€)],"&gt;0",uitkomst_doelgroep[Uitgangssituatie/effect beleid],uitkomst_tech[[#This Row],[Uitgangssituatie/effect beleid]])</f>
        <v>9105.6444635716125</v>
      </c>
      <c r="G562" s="398">
        <f>SUMIFS(uitkomst_doelgroep[Arbeidsbesparing (€)],uitkomst_doelgroep[Digitale zorgtoepassing],B562,uitkomst_doelgroep[Jaar],D562,uitkomst_doelgroep[Arbeidsbesparing (€)],"&gt;0",uitkomst_doelgroep[Uitgangssituatie/effect beleid],uitkomst_tech[[#This Row],[Uitgangssituatie/effect beleid]])</f>
        <v>23170871.486044973</v>
      </c>
      <c r="H562" s="398">
        <f>SUMIFS(uitkomst_doelgroep[Arbeidsbesparing (FTE)],uitkomst_doelgroep[Digitale zorgtoepassing],B562,uitkomst_doelgroep[Jaar],D562,uitkomst_doelgroep[Arbeidsbesparing (FTE)],"&gt;0",uitkomst_doelgroep[Uitgangssituatie/effect beleid],uitkomst_tech[[#This Row],[Uitgangssituatie/effect beleid]])</f>
        <v>545.78623338189948</v>
      </c>
      <c r="I562" s="398">
        <f>SUMIFS(uitkomst_doelgroep[Overige besparingen (€)],uitkomst_doelgroep[Digitale zorgtoepassing],B562,uitkomst_doelgroep[Jaar],D562,uitkomst_doelgroep[Overige besparingen (€)],"&gt;0",uitkomst_doelgroep[Uitgangssituatie/effect beleid],uitkomst_tech[[#This Row],[Uitgangssituatie/effect beleid]])</f>
        <v>8088069.5272047371</v>
      </c>
      <c r="J562" s="398">
        <f>SUMIFS(uitkomst_doelgroep[QALY (€)],uitkomst_doelgroep[Digitale zorgtoepassing],B562,uitkomst_doelgroep[Jaar],D562,uitkomst_doelgroep[QALY (€)],"&gt;0",uitkomst_doelgroep[Uitgangssituatie/effect beleid],uitkomst_tech[[#This Row],[Uitgangssituatie/effect beleid]])</f>
        <v>93530804.544295385</v>
      </c>
      <c r="K562" s="398">
        <f>SUMIFS(uitkomst_doelgroep[Kosten (€)],uitkomst_doelgroep[Digitale zorgtoepassing],B562,uitkomst_doelgroep[Jaar],D562,uitkomst_doelgroep[Kosten (€)],"&gt;0",uitkomst_doelgroep[Uitgangssituatie/effect beleid],uitkomst_tech[[#This Row],[Uitgangssituatie/effect beleid]])</f>
        <v>13005375.186260676</v>
      </c>
      <c r="L562" s="398">
        <f>SUMIFS(uitkomst_doelgroep[Investering (cash flow) (€)],uitkomst_doelgroep[Digitale zorgtoepassing],B562,uitkomst_doelgroep[Jaar],D562,uitkomst_doelgroep[Investering (cash flow) (€)],"&gt;0",uitkomst_doelgroep[Uitgangssituatie/effect beleid],uitkomst_tech[[#This Row],[Uitgangssituatie/effect beleid]])</f>
        <v>9445.2645209612147</v>
      </c>
    </row>
    <row r="563" spans="1:12" x14ac:dyDescent="0.5">
      <c r="A563" s="2" t="str">
        <f>INDEX(Technologieën[Veld],MATCH(B563,Technologieën[Digitale zorgtoepassing],0))</f>
        <v>Software - Diagnose</v>
      </c>
      <c r="B563" s="33" t="s">
        <v>725</v>
      </c>
      <c r="C563" s="33" t="s">
        <v>813</v>
      </c>
      <c r="D563" s="33">
        <v>2023</v>
      </c>
      <c r="E563" s="2"/>
      <c r="F563" s="397">
        <f>SUMIFS(uitkomst_doelgroep[Patiëntaantallen],uitkomst_doelgroep[Digitale zorgtoepassing],B563,uitkomst_doelgroep[Jaar],D563,uitkomst_doelgroep[Arbeidsbesparing (€)],"&gt;0",uitkomst_doelgroep[Uitgangssituatie/effect beleid],uitkomst_tech[[#This Row],[Uitgangssituatie/effect beleid]])</f>
        <v>395421</v>
      </c>
      <c r="G563" s="398">
        <f>SUMIFS(uitkomst_doelgroep[Arbeidsbesparing (€)],uitkomst_doelgroep[Digitale zorgtoepassing],B563,uitkomst_doelgroep[Jaar],D563,uitkomst_doelgroep[Arbeidsbesparing (€)],"&gt;0",uitkomst_doelgroep[Uitgangssituatie/effect beleid],uitkomst_tech[[#This Row],[Uitgangssituatie/effect beleid]])</f>
        <v>183103.80354985641</v>
      </c>
      <c r="H563" s="398">
        <f>SUMIFS(uitkomst_doelgroep[Arbeidsbesparing (FTE)],uitkomst_doelgroep[Digitale zorgtoepassing],B563,uitkomst_doelgroep[Jaar],D563,uitkomst_doelgroep[Arbeidsbesparing (FTE)],"&gt;0",uitkomst_doelgroep[Uitgangssituatie/effect beleid],uitkomst_tech[[#This Row],[Uitgangssituatie/effect beleid]])</f>
        <v>4.2140218750000011</v>
      </c>
      <c r="I563" s="398">
        <f>SUMIFS(uitkomst_doelgroep[Overige besparingen (€)],uitkomst_doelgroep[Digitale zorgtoepassing],B563,uitkomst_doelgroep[Jaar],D563,uitkomst_doelgroep[Overige besparingen (€)],"&gt;0",uitkomst_doelgroep[Uitgangssituatie/effect beleid],uitkomst_tech[[#This Row],[Uitgangssituatie/effect beleid]])</f>
        <v>0</v>
      </c>
      <c r="J563" s="398">
        <f>SUMIFS(uitkomst_doelgroep[QALY (€)],uitkomst_doelgroep[Digitale zorgtoepassing],B563,uitkomst_doelgroep[Jaar],D563,uitkomst_doelgroep[QALY (€)],"&gt;0",uitkomst_doelgroep[Uitgangssituatie/effect beleid],uitkomst_tech[[#This Row],[Uitgangssituatie/effect beleid]])</f>
        <v>0</v>
      </c>
      <c r="K563" s="398">
        <f>SUMIFS(uitkomst_doelgroep[Kosten (€)],uitkomst_doelgroep[Digitale zorgtoepassing],B563,uitkomst_doelgroep[Jaar],D563,uitkomst_doelgroep[Kosten (€)],"&gt;0",uitkomst_doelgroep[Uitgangssituatie/effect beleid],uitkomst_tech[[#This Row],[Uitgangssituatie/effect beleid]])</f>
        <v>102868.79795500002</v>
      </c>
      <c r="L563" s="398">
        <f>SUMIFS(uitkomst_doelgroep[Investering (cash flow) (€)],uitkomst_doelgroep[Digitale zorgtoepassing],B563,uitkomst_doelgroep[Jaar],D563,uitkomst_doelgroep[Investering (cash flow) (€)],"&gt;0",uitkomst_doelgroep[Uitgangssituatie/effect beleid],uitkomst_tech[[#This Row],[Uitgangssituatie/effect beleid]])</f>
        <v>13999.763125708576</v>
      </c>
    </row>
    <row r="564" spans="1:12" x14ac:dyDescent="0.5">
      <c r="A564" s="2" t="str">
        <f>INDEX(Technologieën[Veld],MATCH(B564,Technologieën[Digitale zorgtoepassing],0))</f>
        <v>Software - Diagnose</v>
      </c>
      <c r="B564" s="33" t="s">
        <v>725</v>
      </c>
      <c r="C564" s="33" t="s">
        <v>813</v>
      </c>
      <c r="D564" s="33">
        <v>2024</v>
      </c>
      <c r="E564" s="2"/>
      <c r="F564" s="397">
        <f>SUMIFS(uitkomst_doelgroep[Patiëntaantallen],uitkomst_doelgroep[Digitale zorgtoepassing],B564,uitkomst_doelgroep[Jaar],D564,uitkomst_doelgroep[Arbeidsbesparing (€)],"&gt;0",uitkomst_doelgroep[Uitgangssituatie/effect beleid],uitkomst_tech[[#This Row],[Uitgangssituatie/effect beleid]])</f>
        <v>529864.14</v>
      </c>
      <c r="G564" s="398">
        <f>SUMIFS(uitkomst_doelgroep[Arbeidsbesparing (€)],uitkomst_doelgroep[Digitale zorgtoepassing],B564,uitkomst_doelgroep[Jaar],D564,uitkomst_doelgroep[Arbeidsbesparing (€)],"&gt;0",uitkomst_doelgroep[Uitgangssituatie/effect beleid],uitkomst_tech[[#This Row],[Uitgangssituatie/effect beleid]])</f>
        <v>245359.09675680759</v>
      </c>
      <c r="H564" s="398">
        <f>SUMIFS(uitkomst_doelgroep[Arbeidsbesparing (FTE)],uitkomst_doelgroep[Digitale zorgtoepassing],B564,uitkomst_doelgroep[Jaar],D564,uitkomst_doelgroep[Arbeidsbesparing (FTE)],"&gt;0",uitkomst_doelgroep[Uitgangssituatie/effect beleid],uitkomst_tech[[#This Row],[Uitgangssituatie/effect beleid]])</f>
        <v>5.6467893125000019</v>
      </c>
      <c r="I564" s="398">
        <f>SUMIFS(uitkomst_doelgroep[Overige besparingen (€)],uitkomst_doelgroep[Digitale zorgtoepassing],B564,uitkomst_doelgroep[Jaar],D564,uitkomst_doelgroep[Overige besparingen (€)],"&gt;0",uitkomst_doelgroep[Uitgangssituatie/effect beleid],uitkomst_tech[[#This Row],[Uitgangssituatie/effect beleid]])</f>
        <v>0</v>
      </c>
      <c r="J564" s="398">
        <f>SUMIFS(uitkomst_doelgroep[QALY (€)],uitkomst_doelgroep[Digitale zorgtoepassing],B564,uitkomst_doelgroep[Jaar],D564,uitkomst_doelgroep[QALY (€)],"&gt;0",uitkomst_doelgroep[Uitgangssituatie/effect beleid],uitkomst_tech[[#This Row],[Uitgangssituatie/effect beleid]])</f>
        <v>0</v>
      </c>
      <c r="K564" s="398">
        <f>SUMIFS(uitkomst_doelgroep[Kosten (€)],uitkomst_doelgroep[Digitale zorgtoepassing],B564,uitkomst_doelgroep[Jaar],D564,uitkomst_doelgroep[Kosten (€)],"&gt;0",uitkomst_doelgroep[Uitgangssituatie/effect beleid],uitkomst_tech[[#This Row],[Uitgangssituatie/effect beleid]])</f>
        <v>137844.18925970001</v>
      </c>
      <c r="L564" s="398">
        <f>SUMIFS(uitkomst_doelgroep[Investering (cash flow) (€)],uitkomst_doelgroep[Digitale zorgtoepassing],B564,uitkomst_doelgroep[Jaar],D564,uitkomst_doelgroep[Investering (cash flow) (€)],"&gt;0",uitkomst_doelgroep[Uitgangssituatie/effect beleid],uitkomst_tech[[#This Row],[Uitgangssituatie/effect beleid]])</f>
        <v>16396.522572829879</v>
      </c>
    </row>
    <row r="565" spans="1:12" x14ac:dyDescent="0.5">
      <c r="A565" s="2" t="str">
        <f>INDEX(Technologieën[Veld],MATCH(B565,Technologieën[Digitale zorgtoepassing],0))</f>
        <v>Software - Diagnose</v>
      </c>
      <c r="B565" s="33" t="s">
        <v>725</v>
      </c>
      <c r="C565" s="33" t="s">
        <v>813</v>
      </c>
      <c r="D565" s="33">
        <v>2025</v>
      </c>
      <c r="E565" s="2"/>
      <c r="F565" s="397">
        <f>SUMIFS(uitkomst_doelgroep[Patiëntaantallen],uitkomst_doelgroep[Digitale zorgtoepassing],B565,uitkomst_doelgroep[Jaar],D565,uitkomst_doelgroep[Arbeidsbesparing (€)],"&gt;0",uitkomst_doelgroep[Uitgangssituatie/effect beleid],uitkomst_tech[[#This Row],[Uitgangssituatie/effect beleid]])</f>
        <v>687323.94556799997</v>
      </c>
      <c r="G565" s="398">
        <f>SUMIFS(uitkomst_doelgroep[Arbeidsbesparing (€)],uitkomst_doelgroep[Digitale zorgtoepassing],B565,uitkomst_doelgroep[Jaar],D565,uitkomst_doelgroep[Arbeidsbesparing (€)],"&gt;0",uitkomst_doelgroep[Uitgangssituatie/effect beleid],uitkomst_tech[[#This Row],[Uitgangssituatie/effect beleid]])</f>
        <v>318272.49616078875</v>
      </c>
      <c r="H565" s="398">
        <f>SUMIFS(uitkomst_doelgroep[Arbeidsbesparing (FTE)],uitkomst_doelgroep[Digitale zorgtoepassing],B565,uitkomst_doelgroep[Jaar],D565,uitkomst_doelgroep[Arbeidsbesparing (FTE)],"&gt;0",uitkomst_doelgroep[Uitgangssituatie/effect beleid],uitkomst_tech[[#This Row],[Uitgangssituatie/effect beleid]])</f>
        <v>7.3248465353000016</v>
      </c>
      <c r="I565" s="398">
        <f>SUMIFS(uitkomst_doelgroep[Overige besparingen (€)],uitkomst_doelgroep[Digitale zorgtoepassing],B565,uitkomst_doelgroep[Jaar],D565,uitkomst_doelgroep[Overige besparingen (€)],"&gt;0",uitkomst_doelgroep[Uitgangssituatie/effect beleid],uitkomst_tech[[#This Row],[Uitgangssituatie/effect beleid]])</f>
        <v>0</v>
      </c>
      <c r="J565" s="398">
        <f>SUMIFS(uitkomst_doelgroep[QALY (€)],uitkomst_doelgroep[Digitale zorgtoepassing],B565,uitkomst_doelgroep[Jaar],D565,uitkomst_doelgroep[QALY (€)],"&gt;0",uitkomst_doelgroep[Uitgangssituatie/effect beleid],uitkomst_tech[[#This Row],[Uitgangssituatie/effect beleid]])</f>
        <v>0</v>
      </c>
      <c r="K565" s="398">
        <f>SUMIFS(uitkomst_doelgroep[Kosten (€)],uitkomst_doelgroep[Digitale zorgtoepassing],B565,uitkomst_doelgroep[Jaar],D565,uitkomst_doelgroep[Kosten (€)],"&gt;0",uitkomst_doelgroep[Uitgangssituatie/effect beleid],uitkomst_tech[[#This Row],[Uitgangssituatie/effect beleid]])</f>
        <v>178807.36755576465</v>
      </c>
      <c r="L565" s="398">
        <f>SUMIFS(uitkomst_doelgroep[Investering (cash flow) (€)],uitkomst_doelgroep[Digitale zorgtoepassing],B565,uitkomst_doelgroep[Jaar],D565,uitkomst_doelgroep[Investering (cash flow) (€)],"&gt;0",uitkomst_doelgroep[Uitgangssituatie/effect beleid],uitkomst_tech[[#This Row],[Uitgangssituatie/effect beleid]])</f>
        <v>18356.3241478173</v>
      </c>
    </row>
    <row r="566" spans="1:12" x14ac:dyDescent="0.5">
      <c r="A566" s="2" t="str">
        <f>INDEX(Technologieën[Veld],MATCH(B566,Technologieën[Digitale zorgtoepassing],0))</f>
        <v>Software - Diagnose</v>
      </c>
      <c r="B566" s="33" t="s">
        <v>725</v>
      </c>
      <c r="C566" s="33" t="s">
        <v>813</v>
      </c>
      <c r="D566" s="33">
        <v>2026</v>
      </c>
      <c r="E566" s="2"/>
      <c r="F566" s="397">
        <f>SUMIFS(uitkomst_doelgroep[Patiëntaantallen],uitkomst_doelgroep[Digitale zorgtoepassing],B566,uitkomst_doelgroep[Jaar],D566,uitkomst_doelgroep[Arbeidsbesparing (€)],"&gt;0",uitkomst_doelgroep[Uitgangssituatie/effect beleid],uitkomst_tech[[#This Row],[Uitgangssituatie/effect beleid]])</f>
        <v>863604.2036788296</v>
      </c>
      <c r="G566" s="398">
        <f>SUMIFS(uitkomst_doelgroep[Arbeidsbesparing (€)],uitkomst_doelgroep[Digitale zorgtoepassing],B566,uitkomst_doelgroep[Jaar],D566,uitkomst_doelgroep[Arbeidsbesparing (€)],"&gt;0",uitkomst_doelgroep[Uitgangssituatie/effect beleid],uitkomst_tech[[#This Row],[Uitgangssituatie/effect beleid]])</f>
        <v>399900.90171042655</v>
      </c>
      <c r="H566" s="398">
        <f>SUMIFS(uitkomst_doelgroep[Arbeidsbesparing (FTE)],uitkomst_doelgroep[Digitale zorgtoepassing],B566,uitkomst_doelgroep[Jaar],D566,uitkomst_doelgroep[Arbeidsbesparing (FTE)],"&gt;0",uitkomst_doelgroep[Uitgangssituatie/effect beleid],uitkomst_tech[[#This Row],[Uitgangssituatie/effect beleid]])</f>
        <v>9.2034742860003487</v>
      </c>
      <c r="I566" s="398">
        <f>SUMIFS(uitkomst_doelgroep[Overige besparingen (€)],uitkomst_doelgroep[Digitale zorgtoepassing],B566,uitkomst_doelgroep[Jaar],D566,uitkomst_doelgroep[Overige besparingen (€)],"&gt;0",uitkomst_doelgroep[Uitgangssituatie/effect beleid],uitkomst_tech[[#This Row],[Uitgangssituatie/effect beleid]])</f>
        <v>0</v>
      </c>
      <c r="J566" s="398">
        <f>SUMIFS(uitkomst_doelgroep[QALY (€)],uitkomst_doelgroep[Digitale zorgtoepassing],B566,uitkomst_doelgroep[Jaar],D566,uitkomst_doelgroep[QALY (€)],"&gt;0",uitkomst_doelgroep[Uitgangssituatie/effect beleid],uitkomst_tech[[#This Row],[Uitgangssituatie/effect beleid]])</f>
        <v>0</v>
      </c>
      <c r="K566" s="398">
        <f>SUMIFS(uitkomst_doelgroep[Kosten (€)],uitkomst_doelgroep[Digitale zorgtoepassing],B566,uitkomst_doelgroep[Jaar],D566,uitkomst_doelgroep[Kosten (€)],"&gt;0",uitkomst_doelgroep[Uitgangssituatie/effect beleid],uitkomst_tech[[#This Row],[Uitgangssituatie/effect beleid]])</f>
        <v>224666.68776146485</v>
      </c>
      <c r="L566" s="398">
        <f>SUMIFS(uitkomst_doelgroep[Investering (cash flow) (€)],uitkomst_doelgroep[Digitale zorgtoepassing],B566,uitkomst_doelgroep[Jaar],D566,uitkomst_doelgroep[Investering (cash flow) (€)],"&gt;0",uitkomst_doelgroep[Uitgangssituatie/effect beleid],uitkomst_tech[[#This Row],[Uitgangssituatie/effect beleid]])</f>
        <v>19465.864835862874</v>
      </c>
    </row>
    <row r="567" spans="1:12" x14ac:dyDescent="0.5">
      <c r="A567" s="2" t="str">
        <f>INDEX(Technologieën[Veld],MATCH(B567,Technologieën[Digitale zorgtoepassing],0))</f>
        <v>Software - Diagnose</v>
      </c>
      <c r="B567" s="33" t="s">
        <v>725</v>
      </c>
      <c r="C567" s="33" t="s">
        <v>813</v>
      </c>
      <c r="D567" s="33">
        <v>2027</v>
      </c>
      <c r="E567" s="2"/>
      <c r="F567" s="397">
        <f>SUMIFS(uitkomst_doelgroep[Patiëntaantallen],uitkomst_doelgroep[Digitale zorgtoepassing],B567,uitkomst_doelgroep[Jaar],D567,uitkomst_doelgroep[Arbeidsbesparing (€)],"&gt;0",uitkomst_doelgroep[Uitgangssituatie/effect beleid],uitkomst_tech[[#This Row],[Uitgangssituatie/effect beleid]])</f>
        <v>1050539.6516467417</v>
      </c>
      <c r="G567" s="398">
        <f>SUMIFS(uitkomst_doelgroep[Arbeidsbesparing (€)],uitkomst_doelgroep[Digitale zorgtoepassing],B567,uitkomst_doelgroep[Jaar],D567,uitkomst_doelgroep[Arbeidsbesparing (€)],"&gt;0",uitkomst_doelgroep[Uitgangssituatie/effect beleid],uitkomst_tech[[#This Row],[Uitgangssituatie/effect beleid]])</f>
        <v>486463.30365979439</v>
      </c>
      <c r="H567" s="398">
        <f>SUMIFS(uitkomst_doelgroep[Arbeidsbesparing (FTE)],uitkomst_doelgroep[Digitale zorgtoepassing],B567,uitkomst_doelgroep[Jaar],D567,uitkomst_doelgroep[Arbeidsbesparing (FTE)],"&gt;0",uitkomst_doelgroep[Uitgangssituatie/effect beleid],uitkomst_tech[[#This Row],[Uitgangssituatie/effect beleid]])</f>
        <v>11.195654941427618</v>
      </c>
      <c r="I567" s="398">
        <f>SUMIFS(uitkomst_doelgroep[Overige besparingen (€)],uitkomst_doelgroep[Digitale zorgtoepassing],B567,uitkomst_doelgroep[Jaar],D567,uitkomst_doelgroep[Overige besparingen (€)],"&gt;0",uitkomst_doelgroep[Uitgangssituatie/effect beleid],uitkomst_tech[[#This Row],[Uitgangssituatie/effect beleid]])</f>
        <v>0</v>
      </c>
      <c r="J567" s="398">
        <f>SUMIFS(uitkomst_doelgroep[QALY (€)],uitkomst_doelgroep[Digitale zorgtoepassing],B567,uitkomst_doelgroep[Jaar],D567,uitkomst_doelgroep[QALY (€)],"&gt;0",uitkomst_doelgroep[Uitgangssituatie/effect beleid],uitkomst_tech[[#This Row],[Uitgangssituatie/effect beleid]])</f>
        <v>0</v>
      </c>
      <c r="K567" s="398">
        <f>SUMIFS(uitkomst_doelgroep[Kosten (€)],uitkomst_doelgroep[Digitale zorgtoepassing],B567,uitkomst_doelgroep[Jaar],D567,uitkomst_doelgroep[Kosten (€)],"&gt;0",uitkomst_doelgroep[Uitgangssituatie/effect beleid],uitkomst_tech[[#This Row],[Uitgangssituatie/effect beleid]])</f>
        <v>273297.95627689158</v>
      </c>
      <c r="L567" s="398">
        <f>SUMIFS(uitkomst_doelgroep[Investering (cash flow) (€)],uitkomst_doelgroep[Digitale zorgtoepassing],B567,uitkomst_doelgroep[Jaar],D567,uitkomst_doelgroep[Investering (cash flow) (€)],"&gt;0",uitkomst_doelgroep[Uitgangssituatie/effect beleid],uitkomst_tech[[#This Row],[Uitgangssituatie/effect beleid]])</f>
        <v>19390.839339394897</v>
      </c>
    </row>
    <row r="568" spans="1:12" x14ac:dyDescent="0.5">
      <c r="A568" s="2" t="str">
        <f>INDEX(Technologieën[Veld],MATCH(B568,Technologieën[Digitale zorgtoepassing],0))</f>
        <v>Software - Diagnose</v>
      </c>
      <c r="B568" s="33" t="s">
        <v>725</v>
      </c>
      <c r="C568" s="33" t="s">
        <v>813</v>
      </c>
      <c r="D568" s="33">
        <v>2028</v>
      </c>
      <c r="E568" s="2"/>
      <c r="F568" s="397">
        <f>SUMIFS(uitkomst_doelgroep[Patiëntaantallen],uitkomst_doelgroep[Digitale zorgtoepassing],B568,uitkomst_doelgroep[Jaar],D568,uitkomst_doelgroep[Arbeidsbesparing (€)],"&gt;0",uitkomst_doelgroep[Uitgangssituatie/effect beleid],uitkomst_tech[[#This Row],[Uitgangssituatie/effect beleid]])</f>
        <v>1236754.6114724872</v>
      </c>
      <c r="G568" s="398">
        <f>SUMIFS(uitkomst_doelgroep[Arbeidsbesparing (€)],uitkomst_doelgroep[Digitale zorgtoepassing],B568,uitkomst_doelgroep[Jaar],D568,uitkomst_doelgroep[Arbeidsbesparing (€)],"&gt;0",uitkomst_doelgroep[Uitgangssituatie/effect beleid],uitkomst_tech[[#This Row],[Uitgangssituatie/effect beleid]])</f>
        <v>572692.0760871002</v>
      </c>
      <c r="H568" s="398">
        <f>SUMIFS(uitkomst_doelgroep[Arbeidsbesparing (FTE)],uitkomst_doelgroep[Digitale zorgtoepassing],B568,uitkomst_doelgroep[Jaar],D568,uitkomst_doelgroep[Arbeidsbesparing (FTE)],"&gt;0",uitkomst_doelgroep[Uitgangssituatie/effect beleid],uitkomst_tech[[#This Row],[Uitgangssituatie/effect beleid]])</f>
        <v>13.180157317775707</v>
      </c>
      <c r="I568" s="398">
        <f>SUMIFS(uitkomst_doelgroep[Overige besparingen (€)],uitkomst_doelgroep[Digitale zorgtoepassing],B568,uitkomst_doelgroep[Jaar],D568,uitkomst_doelgroep[Overige besparingen (€)],"&gt;0",uitkomst_doelgroep[Uitgangssituatie/effect beleid],uitkomst_tech[[#This Row],[Uitgangssituatie/effect beleid]])</f>
        <v>0</v>
      </c>
      <c r="J568" s="398">
        <f>SUMIFS(uitkomst_doelgroep[QALY (€)],uitkomst_doelgroep[Digitale zorgtoepassing],B568,uitkomst_doelgroep[Jaar],D568,uitkomst_doelgroep[QALY (€)],"&gt;0",uitkomst_doelgroep[Uitgangssituatie/effect beleid],uitkomst_tech[[#This Row],[Uitgangssituatie/effect beleid]])</f>
        <v>0</v>
      </c>
      <c r="K568" s="398">
        <f>SUMIFS(uitkomst_doelgroep[Kosten (€)],uitkomst_doelgroep[Digitale zorgtoepassing],B568,uitkomst_doelgroep[Jaar],D568,uitkomst_doelgroep[Kosten (€)],"&gt;0",uitkomst_doelgroep[Uitgangssituatie/effect beleid],uitkomst_tech[[#This Row],[Uitgangssituatie/effect beleid]])</f>
        <v>321741.78975693707</v>
      </c>
      <c r="L568" s="398">
        <f>SUMIFS(uitkomst_doelgroep[Investering (cash flow) (€)],uitkomst_doelgroep[Digitale zorgtoepassing],B568,uitkomst_doelgroep[Jaar],D568,uitkomst_doelgroep[Investering (cash flow) (€)],"&gt;0",uitkomst_doelgroep[Uitgangssituatie/effect beleid],uitkomst_tech[[#This Row],[Uitgangssituatie/effect beleid]])</f>
        <v>18035.192350861496</v>
      </c>
    </row>
    <row r="569" spans="1:12" x14ac:dyDescent="0.5">
      <c r="A569" s="2" t="str">
        <f>INDEX(Technologieën[Veld],MATCH(B569,Technologieën[Digitale zorgtoepassing],0))</f>
        <v>Software - Diagnose</v>
      </c>
      <c r="B569" s="33" t="s">
        <v>725</v>
      </c>
      <c r="C569" s="33" t="s">
        <v>813</v>
      </c>
      <c r="D569" s="33">
        <v>2029</v>
      </c>
      <c r="E569" s="2"/>
      <c r="F569" s="397">
        <f>SUMIFS(uitkomst_doelgroep[Patiëntaantallen],uitkomst_doelgroep[Digitale zorgtoepassing],B569,uitkomst_doelgroep[Jaar],D569,uitkomst_doelgroep[Arbeidsbesparing (€)],"&gt;0",uitkomst_doelgroep[Uitgangssituatie/effect beleid],uitkomst_tech[[#This Row],[Uitgangssituatie/effect beleid]])</f>
        <v>1409950.9626093982</v>
      </c>
      <c r="G569" s="398">
        <f>SUMIFS(uitkomst_doelgroep[Arbeidsbesparing (€)],uitkomst_doelgroep[Digitale zorgtoepassing],B569,uitkomst_doelgroep[Jaar],D569,uitkomst_doelgroep[Arbeidsbesparing (€)],"&gt;0",uitkomst_doelgroep[Uitgangssituatie/effect beleid],uitkomst_tech[[#This Row],[Uitgangssituatie/effect beleid]])</f>
        <v>652892.44646228233</v>
      </c>
      <c r="H569" s="398">
        <f>SUMIFS(uitkomst_doelgroep[Arbeidsbesparing (FTE)],uitkomst_doelgroep[Digitale zorgtoepassing],B569,uitkomst_doelgroep[Jaar],D569,uitkomst_doelgroep[Arbeidsbesparing (FTE)],"&gt;0",uitkomst_doelgroep[Uitgangssituatie/effect beleid],uitkomst_tech[[#This Row],[Uitgangssituatie/effect beleid]])</f>
        <v>15.02591971370593</v>
      </c>
      <c r="I569" s="398">
        <f>SUMIFS(uitkomst_doelgroep[Overige besparingen (€)],uitkomst_doelgroep[Digitale zorgtoepassing],B569,uitkomst_doelgroep[Jaar],D569,uitkomst_doelgroep[Overige besparingen (€)],"&gt;0",uitkomst_doelgroep[Uitgangssituatie/effect beleid],uitkomst_tech[[#This Row],[Uitgangssituatie/effect beleid]])</f>
        <v>0</v>
      </c>
      <c r="J569" s="398">
        <f>SUMIFS(uitkomst_doelgroep[QALY (€)],uitkomst_doelgroep[Digitale zorgtoepassing],B569,uitkomst_doelgroep[Jaar],D569,uitkomst_doelgroep[QALY (€)],"&gt;0",uitkomst_doelgroep[Uitgangssituatie/effect beleid],uitkomst_tech[[#This Row],[Uitgangssituatie/effect beleid]])</f>
        <v>0</v>
      </c>
      <c r="K569" s="398">
        <f>SUMIFS(uitkomst_doelgroep[Kosten (€)],uitkomst_doelgroep[Digitale zorgtoepassing],B569,uitkomst_doelgroep[Jaar],D569,uitkomst_doelgroep[Kosten (€)],"&gt;0",uitkomst_doelgroep[Uitgangssituatie/effect beleid],uitkomst_tech[[#This Row],[Uitgangssituatie/effect beleid]])</f>
        <v>366798.83136991697</v>
      </c>
      <c r="L569" s="398">
        <f>SUMIFS(uitkomst_doelgroep[Investering (cash flow) (€)],uitkomst_doelgroep[Digitale zorgtoepassing],B569,uitkomst_doelgroep[Jaar],D569,uitkomst_doelgroep[Investering (cash flow) (€)],"&gt;0",uitkomst_doelgroep[Uitgangssituatie/effect beleid],uitkomst_tech[[#This Row],[Uitgangssituatie/effect beleid]])</f>
        <v>15626.825907133079</v>
      </c>
    </row>
    <row r="570" spans="1:12" x14ac:dyDescent="0.5">
      <c r="A570" s="2" t="str">
        <f>INDEX(Technologieën[Veld],MATCH(B570,Technologieën[Digitale zorgtoepassing],0))</f>
        <v>Software - Diagnose</v>
      </c>
      <c r="B570" s="33" t="s">
        <v>725</v>
      </c>
      <c r="C570" s="33" t="s">
        <v>813</v>
      </c>
      <c r="D570" s="33">
        <v>2030</v>
      </c>
      <c r="E570" s="2"/>
      <c r="F570" s="397">
        <f>SUMIFS(uitkomst_doelgroep[Patiëntaantallen],uitkomst_doelgroep[Digitale zorgtoepassing],B570,uitkomst_doelgroep[Jaar],D570,uitkomst_doelgroep[Arbeidsbesparing (€)],"&gt;0",uitkomst_doelgroep[Uitgangssituatie/effect beleid],uitkomst_tech[[#This Row],[Uitgangssituatie/effect beleid]])</f>
        <v>1560019.1833588106</v>
      </c>
      <c r="G570" s="398">
        <f>SUMIFS(uitkomst_doelgroep[Arbeidsbesparing (€)],uitkomst_doelgroep[Digitale zorgtoepassing],B570,uitkomst_doelgroep[Jaar],D570,uitkomst_doelgroep[Arbeidsbesparing (€)],"&gt;0",uitkomst_doelgroep[Uitgangssituatie/effect beleid],uitkomst_tech[[#This Row],[Uitgangssituatie/effect beleid]])</f>
        <v>722383.095697343</v>
      </c>
      <c r="H570" s="398">
        <f>SUMIFS(uitkomst_doelgroep[Arbeidsbesparing (FTE)],uitkomst_doelgroep[Digitale zorgtoepassing],B570,uitkomst_doelgroep[Jaar],D570,uitkomst_doelgroep[Arbeidsbesparing (FTE)],"&gt;0",uitkomst_doelgroep[Uitgangssituatie/effect beleid],uitkomst_tech[[#This Row],[Uitgangssituatie/effect beleid]])</f>
        <v>16.625204438038612</v>
      </c>
      <c r="I570" s="398">
        <f>SUMIFS(uitkomst_doelgroep[Overige besparingen (€)],uitkomst_doelgroep[Digitale zorgtoepassing],B570,uitkomst_doelgroep[Jaar],D570,uitkomst_doelgroep[Overige besparingen (€)],"&gt;0",uitkomst_doelgroep[Uitgangssituatie/effect beleid],uitkomst_tech[[#This Row],[Uitgangssituatie/effect beleid]])</f>
        <v>0</v>
      </c>
      <c r="J570" s="398">
        <f>SUMIFS(uitkomst_doelgroep[QALY (€)],uitkomst_doelgroep[Digitale zorgtoepassing],B570,uitkomst_doelgroep[Jaar],D570,uitkomst_doelgroep[QALY (€)],"&gt;0",uitkomst_doelgroep[Uitgangssituatie/effect beleid],uitkomst_tech[[#This Row],[Uitgangssituatie/effect beleid]])</f>
        <v>0</v>
      </c>
      <c r="K570" s="398">
        <f>SUMIFS(uitkomst_doelgroep[Kosten (€)],uitkomst_doelgroep[Digitale zorgtoepassing],B570,uitkomst_doelgroep[Jaar],D570,uitkomst_doelgroep[Kosten (€)],"&gt;0",uitkomst_doelgroep[Uitgangssituatie/effect beleid],uitkomst_tech[[#This Row],[Uitgangssituatie/effect beleid]])</f>
        <v>405839.08841174748</v>
      </c>
      <c r="L570" s="398">
        <f>SUMIFS(uitkomst_doelgroep[Investering (cash flow) (€)],uitkomst_doelgroep[Digitale zorgtoepassing],B570,uitkomst_doelgroep[Jaar],D570,uitkomst_doelgroep[Investering (cash flow) (€)],"&gt;0",uitkomst_doelgroep[Uitgangssituatie/effect beleid],uitkomst_tech[[#This Row],[Uitgangssituatie/effect beleid]])</f>
        <v>12645.798642833131</v>
      </c>
    </row>
    <row r="571" spans="1:12" x14ac:dyDescent="0.5">
      <c r="A571" s="2" t="str">
        <f>INDEX(Technologieën[Veld],MATCH(B571,Technologieën[Digitale zorgtoepassing],0))</f>
        <v>Software - Diagnose</v>
      </c>
      <c r="B571" s="33" t="s">
        <v>725</v>
      </c>
      <c r="C571" s="33" t="s">
        <v>813</v>
      </c>
      <c r="D571" s="33">
        <v>2031</v>
      </c>
      <c r="E571" s="2"/>
      <c r="F571" s="397">
        <f>SUMIFS(uitkomst_doelgroep[Patiëntaantallen],uitkomst_doelgroep[Digitale zorgtoepassing],B571,uitkomst_doelgroep[Jaar],D571,uitkomst_doelgroep[Arbeidsbesparing (€)],"&gt;0",uitkomst_doelgroep[Uitgangssituatie/effect beleid],uitkomst_tech[[#This Row],[Uitgangssituatie/effect beleid]])</f>
        <v>1681459.872182192</v>
      </c>
      <c r="G571" s="398">
        <f>SUMIFS(uitkomst_doelgroep[Arbeidsbesparing (€)],uitkomst_doelgroep[Digitale zorgtoepassing],B571,uitkomst_doelgroep[Jaar],D571,uitkomst_doelgroep[Arbeidsbesparing (€)],"&gt;0",uitkomst_doelgroep[Uitgangssituatie/effect beleid],uitkomst_tech[[#This Row],[Uitgangssituatie/effect beleid]])</f>
        <v>778617.46875612251</v>
      </c>
      <c r="H571" s="398">
        <f>SUMIFS(uitkomst_doelgroep[Arbeidsbesparing (FTE)],uitkomst_doelgroep[Digitale zorgtoepassing],B571,uitkomst_doelgroep[Jaar],D571,uitkomst_doelgroep[Arbeidsbesparing (FTE)],"&gt;0",uitkomst_doelgroep[Uitgangssituatie/effect beleid],uitkomst_tech[[#This Row],[Uitgangssituatie/effect beleid]])</f>
        <v>17.919404086557019</v>
      </c>
      <c r="I571" s="398">
        <f>SUMIFS(uitkomst_doelgroep[Overige besparingen (€)],uitkomst_doelgroep[Digitale zorgtoepassing],B571,uitkomst_doelgroep[Jaar],D571,uitkomst_doelgroep[Overige besparingen (€)],"&gt;0",uitkomst_doelgroep[Uitgangssituatie/effect beleid],uitkomst_tech[[#This Row],[Uitgangssituatie/effect beleid]])</f>
        <v>0</v>
      </c>
      <c r="J571" s="398">
        <f>SUMIFS(uitkomst_doelgroep[QALY (€)],uitkomst_doelgroep[Digitale zorgtoepassing],B571,uitkomst_doelgroep[Jaar],D571,uitkomst_doelgroep[QALY (€)],"&gt;0",uitkomst_doelgroep[Uitgangssituatie/effect beleid],uitkomst_tech[[#This Row],[Uitgangssituatie/effect beleid]])</f>
        <v>0</v>
      </c>
      <c r="K571" s="398">
        <f>SUMIFS(uitkomst_doelgroep[Kosten (€)],uitkomst_doelgroep[Digitale zorgtoepassing],B571,uitkomst_doelgroep[Jaar],D571,uitkomst_doelgroep[Kosten (€)],"&gt;0",uitkomst_doelgroep[Uitgangssituatie/effect beleid],uitkomst_tech[[#This Row],[Uitgangssituatie/effect beleid]])</f>
        <v>437431.89122719847</v>
      </c>
      <c r="L571" s="398">
        <f>SUMIFS(uitkomst_doelgroep[Investering (cash flow) (€)],uitkomst_doelgroep[Digitale zorgtoepassing],B571,uitkomst_doelgroep[Jaar],D571,uitkomst_doelgroep[Investering (cash flow) (€)],"&gt;0",uitkomst_doelgroep[Uitgangssituatie/effect beleid],uitkomst_tech[[#This Row],[Uitgangssituatie/effect beleid]])</f>
        <v>9625.6312888767588</v>
      </c>
    </row>
    <row r="572" spans="1:12" x14ac:dyDescent="0.5">
      <c r="A572" s="2" t="str">
        <f>INDEX(Technologieën[Veld],MATCH(B572,Technologieën[Digitale zorgtoepassing],0))</f>
        <v>Software - Diagnose</v>
      </c>
      <c r="B572" s="33" t="s">
        <v>725</v>
      </c>
      <c r="C572" s="33" t="s">
        <v>813</v>
      </c>
      <c r="D572" s="33">
        <v>2032</v>
      </c>
      <c r="E572" s="2"/>
      <c r="F572" s="397">
        <f>SUMIFS(uitkomst_doelgroep[Patiëntaantallen],uitkomst_doelgroep[Digitale zorgtoepassing],B572,uitkomst_doelgroep[Jaar],D572,uitkomst_doelgroep[Arbeidsbesparing (€)],"&gt;0",uitkomst_doelgroep[Uitgangssituatie/effect beleid],uitkomst_tech[[#This Row],[Uitgangssituatie/effect beleid]])</f>
        <v>1773897.1572518521</v>
      </c>
      <c r="G572" s="398">
        <f>SUMIFS(uitkomst_doelgroep[Arbeidsbesparing (€)],uitkomst_doelgroep[Digitale zorgtoepassing],B572,uitkomst_doelgroep[Jaar],D572,uitkomst_doelgroep[Arbeidsbesparing (€)],"&gt;0",uitkomst_doelgroep[Uitgangssituatie/effect beleid],uitkomst_tech[[#This Row],[Uitgangssituatie/effect beleid]])</f>
        <v>821421.51428247825</v>
      </c>
      <c r="H572" s="398">
        <f>SUMIFS(uitkomst_doelgroep[Arbeidsbesparing (FTE)],uitkomst_doelgroep[Digitale zorgtoepassing],B572,uitkomst_doelgroep[Jaar],D572,uitkomst_doelgroep[Arbeidsbesparing (FTE)],"&gt;0",uitkomst_doelgroep[Uitgangssituatie/effect beleid],uitkomst_tech[[#This Row],[Uitgangssituatie/effect beleid]])</f>
        <v>18.904512973917981</v>
      </c>
      <c r="I572" s="398">
        <f>SUMIFS(uitkomst_doelgroep[Overige besparingen (€)],uitkomst_doelgroep[Digitale zorgtoepassing],B572,uitkomst_doelgroep[Jaar],D572,uitkomst_doelgroep[Overige besparingen (€)],"&gt;0",uitkomst_doelgroep[Uitgangssituatie/effect beleid],uitkomst_tech[[#This Row],[Uitgangssituatie/effect beleid]])</f>
        <v>0</v>
      </c>
      <c r="J572" s="398">
        <f>SUMIFS(uitkomst_doelgroep[QALY (€)],uitkomst_doelgroep[Digitale zorgtoepassing],B572,uitkomst_doelgroep[Jaar],D572,uitkomst_doelgroep[QALY (€)],"&gt;0",uitkomst_doelgroep[Uitgangssituatie/effect beleid],uitkomst_tech[[#This Row],[Uitgangssituatie/effect beleid]])</f>
        <v>0</v>
      </c>
      <c r="K572" s="398">
        <f>SUMIFS(uitkomst_doelgroep[Kosten (€)],uitkomst_doelgroep[Digitale zorgtoepassing],B572,uitkomst_doelgroep[Jaar],D572,uitkomst_doelgroep[Kosten (€)],"&gt;0",uitkomst_doelgroep[Uitgangssituatie/effect beleid],uitkomst_tech[[#This Row],[Uitgangssituatie/effect beleid]])</f>
        <v>461479.45673671772</v>
      </c>
      <c r="L572" s="398">
        <f>SUMIFS(uitkomst_doelgroep[Investering (cash flow) (€)],uitkomst_doelgroep[Digitale zorgtoepassing],B572,uitkomst_doelgroep[Jaar],D572,uitkomst_doelgroep[Investering (cash flow) (€)],"&gt;0",uitkomst_doelgroep[Uitgangssituatie/effect beleid],uitkomst_tech[[#This Row],[Uitgangssituatie/effect beleid]])</f>
        <v>6962.3173010921064</v>
      </c>
    </row>
    <row r="573" spans="1:12" x14ac:dyDescent="0.5">
      <c r="A573" s="2" t="str">
        <f>INDEX(Technologieën[Veld],MATCH(B573,Technologieën[Digitale zorgtoepassing],0))</f>
        <v>Software - Diagnose</v>
      </c>
      <c r="B573" s="33" t="s">
        <v>725</v>
      </c>
      <c r="C573" s="33" t="s">
        <v>813</v>
      </c>
      <c r="D573" s="33">
        <v>2033</v>
      </c>
      <c r="E573" s="2"/>
      <c r="F573" s="397">
        <f>SUMIFS(uitkomst_doelgroep[Patiëntaantallen],uitkomst_doelgroep[Digitale zorgtoepassing],B573,uitkomst_doelgroep[Jaar],D573,uitkomst_doelgroep[Arbeidsbesparing (€)],"&gt;0",uitkomst_doelgroep[Uitgangssituatie/effect beleid],uitkomst_tech[[#This Row],[Uitgangssituatie/effect beleid]])</f>
        <v>1840757.9884837929</v>
      </c>
      <c r="G573" s="398">
        <f>SUMIFS(uitkomst_doelgroep[Arbeidsbesparing (€)],uitkomst_doelgroep[Digitale zorgtoepassing],B573,uitkomst_doelgroep[Jaar],D573,uitkomst_doelgroep[Arbeidsbesparing (€)],"&gt;0",uitkomst_doelgroep[Uitgangssituatie/effect beleid],uitkomst_tech[[#This Row],[Uitgangssituatie/effect beleid]])</f>
        <v>852382.11705034692</v>
      </c>
      <c r="H573" s="398">
        <f>SUMIFS(uitkomst_doelgroep[Arbeidsbesparing (FTE)],uitkomst_doelgroep[Digitale zorgtoepassing],B573,uitkomst_doelgroep[Jaar],D573,uitkomst_doelgroep[Arbeidsbesparing (FTE)],"&gt;0",uitkomst_doelgroep[Uitgangssituatie/effect beleid],uitkomst_tech[[#This Row],[Uitgangssituatie/effect beleid]])</f>
        <v>19.617052281117349</v>
      </c>
      <c r="I573" s="398">
        <f>SUMIFS(uitkomst_doelgroep[Overige besparingen (€)],uitkomst_doelgroep[Digitale zorgtoepassing],B573,uitkomst_doelgroep[Jaar],D573,uitkomst_doelgroep[Overige besparingen (€)],"&gt;0",uitkomst_doelgroep[Uitgangssituatie/effect beleid],uitkomst_tech[[#This Row],[Uitgangssituatie/effect beleid]])</f>
        <v>0</v>
      </c>
      <c r="J573" s="398">
        <f>SUMIFS(uitkomst_doelgroep[QALY (€)],uitkomst_doelgroep[Digitale zorgtoepassing],B573,uitkomst_doelgroep[Jaar],D573,uitkomst_doelgroep[QALY (€)],"&gt;0",uitkomst_doelgroep[Uitgangssituatie/effect beleid],uitkomst_tech[[#This Row],[Uitgangssituatie/effect beleid]])</f>
        <v>0</v>
      </c>
      <c r="K573" s="398">
        <f>SUMIFS(uitkomst_doelgroep[Kosten (€)],uitkomst_doelgroep[Digitale zorgtoepassing],B573,uitkomst_doelgroep[Jaar],D573,uitkomst_doelgroep[Kosten (€)],"&gt;0",uitkomst_doelgroep[Uitgangssituatie/effect beleid],uitkomst_tech[[#This Row],[Uitgangssituatie/effect beleid]])</f>
        <v>478873.30617592769</v>
      </c>
      <c r="L573" s="398">
        <f>SUMIFS(uitkomst_doelgroep[Investering (cash flow) (€)],uitkomst_doelgroep[Digitale zorgtoepassing],B573,uitkomst_doelgroep[Jaar],D573,uitkomst_doelgroep[Investering (cash flow) (€)],"&gt;0",uitkomst_doelgroep[Uitgangssituatie/effect beleid],uitkomst_tech[[#This Row],[Uitgangssituatie/effect beleid]])</f>
        <v>4839.5778491737228</v>
      </c>
    </row>
    <row r="574" spans="1:12" x14ac:dyDescent="0.5">
      <c r="A574" s="2" t="str">
        <f>INDEX(Technologieën[Veld],MATCH(B574,Technologieën[Digitale zorgtoepassing],0))</f>
        <v>Software - Diagnose</v>
      </c>
      <c r="B574" s="33" t="s">
        <v>720</v>
      </c>
      <c r="C574" s="33" t="s">
        <v>813</v>
      </c>
      <c r="D574" s="33">
        <v>2023</v>
      </c>
      <c r="E574" s="2"/>
      <c r="F574" s="397">
        <f>SUMIFS(uitkomst_doelgroep[Patiëntaantallen],uitkomst_doelgroep[Digitale zorgtoepassing],B574,uitkomst_doelgroep[Jaar],D574,uitkomst_doelgroep[Arbeidsbesparing (€)],"&gt;0",uitkomst_doelgroep[Uitgangssituatie/effect beleid],uitkomst_tech[[#This Row],[Uitgangssituatie/effect beleid]])</f>
        <v>286580</v>
      </c>
      <c r="G574" s="398">
        <f>SUMIFS(uitkomst_doelgroep[Arbeidsbesparing (€)],uitkomst_doelgroep[Digitale zorgtoepassing],B574,uitkomst_doelgroep[Jaar],D574,uitkomst_doelgroep[Arbeidsbesparing (€)],"&gt;0",uitkomst_doelgroep[Uitgangssituatie/effect beleid],uitkomst_tech[[#This Row],[Uitgangssituatie/effect beleid]])</f>
        <v>124721.66103927205</v>
      </c>
      <c r="H574" s="398">
        <f>SUMIFS(uitkomst_doelgroep[Arbeidsbesparing (FTE)],uitkomst_doelgroep[Digitale zorgtoepassing],B574,uitkomst_doelgroep[Jaar],D574,uitkomst_doelgroep[Arbeidsbesparing (FTE)],"&gt;0",uitkomst_doelgroep[Uitgangssituatie/effect beleid],uitkomst_tech[[#This Row],[Uitgangssituatie/effect beleid]])</f>
        <v>2.8703926282051282</v>
      </c>
      <c r="I574" s="398">
        <f>SUMIFS(uitkomst_doelgroep[Overige besparingen (€)],uitkomst_doelgroep[Digitale zorgtoepassing],B574,uitkomst_doelgroep[Jaar],D574,uitkomst_doelgroep[Overige besparingen (€)],"&gt;0",uitkomst_doelgroep[Uitgangssituatie/effect beleid],uitkomst_tech[[#This Row],[Uitgangssituatie/effect beleid]])</f>
        <v>0</v>
      </c>
      <c r="J574" s="398">
        <f>SUMIFS(uitkomst_doelgroep[QALY (€)],uitkomst_doelgroep[Digitale zorgtoepassing],B574,uitkomst_doelgroep[Jaar],D574,uitkomst_doelgroep[QALY (€)],"&gt;0",uitkomst_doelgroep[Uitgangssituatie/effect beleid],uitkomst_tech[[#This Row],[Uitgangssituatie/effect beleid]])</f>
        <v>0</v>
      </c>
      <c r="K574" s="398">
        <f>SUMIFS(uitkomst_doelgroep[Kosten (€)],uitkomst_doelgroep[Digitale zorgtoepassing],B574,uitkomst_doelgroep[Jaar],D574,uitkomst_doelgroep[Kosten (€)],"&gt;0",uitkomst_doelgroep[Uitgangssituatie/effect beleid],uitkomst_tech[[#This Row],[Uitgangssituatie/effect beleid]])</f>
        <v>136000</v>
      </c>
      <c r="L574" s="398">
        <f>SUMIFS(uitkomst_doelgroep[Investering (cash flow) (€)],uitkomst_doelgroep[Digitale zorgtoepassing],B574,uitkomst_doelgroep[Jaar],D574,uitkomst_doelgroep[Investering (cash flow) (€)],"&gt;0",uitkomst_doelgroep[Uitgangssituatie/effect beleid],uitkomst_tech[[#This Row],[Uitgangssituatie/effect beleid]])</f>
        <v>54570.000000000007</v>
      </c>
    </row>
    <row r="575" spans="1:12" x14ac:dyDescent="0.5">
      <c r="A575" s="2" t="str">
        <f>INDEX(Technologieën[Veld],MATCH(B575,Technologieën[Digitale zorgtoepassing],0))</f>
        <v>Software - Diagnose</v>
      </c>
      <c r="B575" s="33" t="s">
        <v>720</v>
      </c>
      <c r="C575" s="33" t="s">
        <v>813</v>
      </c>
      <c r="D575" s="33">
        <v>2024</v>
      </c>
      <c r="E575" s="2"/>
      <c r="F575" s="397">
        <f>SUMIFS(uitkomst_doelgroep[Patiëntaantallen],uitkomst_doelgroep[Digitale zorgtoepassing],B575,uitkomst_doelgroep[Jaar],D575,uitkomst_doelgroep[Arbeidsbesparing (€)],"&gt;0",uitkomst_doelgroep[Uitgangssituatie/effect beleid],uitkomst_tech[[#This Row],[Uitgangssituatie/effect beleid]])</f>
        <v>384017.2</v>
      </c>
      <c r="G575" s="398">
        <f>SUMIFS(uitkomst_doelgroep[Arbeidsbesparing (€)],uitkomst_doelgroep[Digitale zorgtoepassing],B575,uitkomst_doelgroep[Jaar],D575,uitkomst_doelgroep[Arbeidsbesparing (€)],"&gt;0",uitkomst_doelgroep[Uitgangssituatie/effect beleid],uitkomst_tech[[#This Row],[Uitgangssituatie/effect beleid]])</f>
        <v>167127.02579262454</v>
      </c>
      <c r="H575" s="398">
        <f>SUMIFS(uitkomst_doelgroep[Arbeidsbesparing (FTE)],uitkomst_doelgroep[Digitale zorgtoepassing],B575,uitkomst_doelgroep[Jaar],D575,uitkomst_doelgroep[Arbeidsbesparing (FTE)],"&gt;0",uitkomst_doelgroep[Uitgangssituatie/effect beleid],uitkomst_tech[[#This Row],[Uitgangssituatie/effect beleid]])</f>
        <v>3.8463261217948719</v>
      </c>
      <c r="I575" s="398">
        <f>SUMIFS(uitkomst_doelgroep[Overige besparingen (€)],uitkomst_doelgroep[Digitale zorgtoepassing],B575,uitkomst_doelgroep[Jaar],D575,uitkomst_doelgroep[Overige besparingen (€)],"&gt;0",uitkomst_doelgroep[Uitgangssituatie/effect beleid],uitkomst_tech[[#This Row],[Uitgangssituatie/effect beleid]])</f>
        <v>0</v>
      </c>
      <c r="J575" s="398">
        <f>SUMIFS(uitkomst_doelgroep[QALY (€)],uitkomst_doelgroep[Digitale zorgtoepassing],B575,uitkomst_doelgroep[Jaar],D575,uitkomst_doelgroep[QALY (€)],"&gt;0",uitkomst_doelgroep[Uitgangssituatie/effect beleid],uitkomst_tech[[#This Row],[Uitgangssituatie/effect beleid]])</f>
        <v>0</v>
      </c>
      <c r="K575" s="398">
        <f>SUMIFS(uitkomst_doelgroep[Kosten (€)],uitkomst_doelgroep[Digitale zorgtoepassing],B575,uitkomst_doelgroep[Jaar],D575,uitkomst_doelgroep[Kosten (€)],"&gt;0",uitkomst_doelgroep[Uitgangssituatie/effect beleid],uitkomst_tech[[#This Row],[Uitgangssituatie/effect beleid]])</f>
        <v>182240</v>
      </c>
      <c r="L575" s="398">
        <f>SUMIFS(uitkomst_doelgroep[Investering (cash flow) (€)],uitkomst_doelgroep[Digitale zorgtoepassing],B575,uitkomst_doelgroep[Jaar],D575,uitkomst_doelgroep[Investering (cash flow) (€)],"&gt;0",uitkomst_doelgroep[Uitgangssituatie/effect beleid],uitkomst_tech[[#This Row],[Uitgangssituatie/effect beleid]])</f>
        <v>63912.383999999984</v>
      </c>
    </row>
    <row r="576" spans="1:12" x14ac:dyDescent="0.5">
      <c r="A576" s="2" t="str">
        <f>INDEX(Technologieën[Veld],MATCH(B576,Technologieën[Digitale zorgtoepassing],0))</f>
        <v>Software - Diagnose</v>
      </c>
      <c r="B576" s="33" t="s">
        <v>720</v>
      </c>
      <c r="C576" s="33" t="s">
        <v>813</v>
      </c>
      <c r="D576" s="33">
        <v>2025</v>
      </c>
      <c r="E576" s="2"/>
      <c r="F576" s="397">
        <f>SUMIFS(uitkomst_doelgroep[Patiëntaantallen],uitkomst_doelgroep[Digitale zorgtoepassing],B576,uitkomst_doelgroep[Jaar],D576,uitkomst_doelgroep[Arbeidsbesparing (€)],"&gt;0",uitkomst_doelgroep[Uitgangssituatie/effect beleid],uitkomst_tech[[#This Row],[Uitgangssituatie/effect beleid]])</f>
        <v>498135.64863999997</v>
      </c>
      <c r="G576" s="398">
        <f>SUMIFS(uitkomst_doelgroep[Arbeidsbesparing (€)],uitkomst_doelgroep[Digitale zorgtoepassing],B576,uitkomst_doelgroep[Jaar],D576,uitkomst_doelgroep[Arbeidsbesparing (€)],"&gt;0",uitkomst_doelgroep[Uitgangssituatie/effect beleid],uitkomst_tech[[#This Row],[Uitgangssituatie/effect beleid]])</f>
        <v>216792.18899175097</v>
      </c>
      <c r="H576" s="398">
        <f>SUMIFS(uitkomst_doelgroep[Arbeidsbesparing (FTE)],uitkomst_doelgroep[Digitale zorgtoepassing],B576,uitkomst_doelgroep[Jaar],D576,uitkomst_doelgroep[Arbeidsbesparing (FTE)],"&gt;0",uitkomst_doelgroep[Uitgangssituatie/effect beleid],uitkomst_tech[[#This Row],[Uitgangssituatie/effect beleid]])</f>
        <v>4.9893394294871793</v>
      </c>
      <c r="I576" s="398">
        <f>SUMIFS(uitkomst_doelgroep[Overige besparingen (€)],uitkomst_doelgroep[Digitale zorgtoepassing],B576,uitkomst_doelgroep[Jaar],D576,uitkomst_doelgroep[Overige besparingen (€)],"&gt;0",uitkomst_doelgroep[Uitgangssituatie/effect beleid],uitkomst_tech[[#This Row],[Uitgangssituatie/effect beleid]])</f>
        <v>0</v>
      </c>
      <c r="J576" s="398">
        <f>SUMIFS(uitkomst_doelgroep[QALY (€)],uitkomst_doelgroep[Digitale zorgtoepassing],B576,uitkomst_doelgroep[Jaar],D576,uitkomst_doelgroep[QALY (€)],"&gt;0",uitkomst_doelgroep[Uitgangssituatie/effect beleid],uitkomst_tech[[#This Row],[Uitgangssituatie/effect beleid]])</f>
        <v>0</v>
      </c>
      <c r="K576" s="398">
        <f>SUMIFS(uitkomst_doelgroep[Kosten (€)],uitkomst_doelgroep[Digitale zorgtoepassing],B576,uitkomst_doelgroep[Jaar],D576,uitkomst_doelgroep[Kosten (€)],"&gt;0",uitkomst_doelgroep[Uitgangssituatie/effect beleid],uitkomst_tech[[#This Row],[Uitgangssituatie/effect beleid]])</f>
        <v>236396.288</v>
      </c>
      <c r="L576" s="398">
        <f>SUMIFS(uitkomst_doelgroep[Investering (cash flow) (€)],uitkomst_doelgroep[Digitale zorgtoepassing],B576,uitkomst_doelgroep[Jaar],D576,uitkomst_doelgroep[Investering (cash flow) (€)],"&gt;0",uitkomst_doelgroep[Uitgangssituatie/effect beleid],uitkomst_tech[[#This Row],[Uitgangssituatie/effect beleid]])</f>
        <v>71551.539819048936</v>
      </c>
    </row>
    <row r="577" spans="1:12" x14ac:dyDescent="0.5">
      <c r="A577" s="2" t="str">
        <f>INDEX(Technologieën[Veld],MATCH(B577,Technologieën[Digitale zorgtoepassing],0))</f>
        <v>Software - Diagnose</v>
      </c>
      <c r="B577" s="33" t="s">
        <v>720</v>
      </c>
      <c r="C577" s="33" t="s">
        <v>813</v>
      </c>
      <c r="D577" s="33">
        <v>2026</v>
      </c>
      <c r="E577" s="2"/>
      <c r="F577" s="397">
        <f>SUMIFS(uitkomst_doelgroep[Patiëntaantallen],uitkomst_doelgroep[Digitale zorgtoepassing],B577,uitkomst_doelgroep[Jaar],D577,uitkomst_doelgroep[Arbeidsbesparing (€)],"&gt;0",uitkomst_doelgroep[Uitgangssituatie/effect beleid],uitkomst_tech[[#This Row],[Uitgangssituatie/effect beleid]])</f>
        <v>625894.15506581333</v>
      </c>
      <c r="G577" s="398">
        <f>SUMIFS(uitkomst_doelgroep[Arbeidsbesparing (€)],uitkomst_doelgroep[Digitale zorgtoepassing],B577,uitkomst_doelgroep[Jaar],D577,uitkomst_doelgroep[Arbeidsbesparing (€)],"&gt;0",uitkomst_doelgroep[Uitgangssituatie/effect beleid],uitkomst_tech[[#This Row],[Uitgangssituatie/effect beleid]])</f>
        <v>272393.60267492483</v>
      </c>
      <c r="H577" s="398">
        <f>SUMIFS(uitkomst_doelgroep[Arbeidsbesparing (FTE)],uitkomst_doelgroep[Digitale zorgtoepassing],B577,uitkomst_doelgroep[Jaar],D577,uitkomst_doelgroep[Arbeidsbesparing (FTE)],"&gt;0",uitkomst_doelgroep[Uitgangssituatie/effect beleid],uitkomst_tech[[#This Row],[Uitgangssituatie/effect beleid]])</f>
        <v>6.2689719057072653</v>
      </c>
      <c r="I577" s="398">
        <f>SUMIFS(uitkomst_doelgroep[Overige besparingen (€)],uitkomst_doelgroep[Digitale zorgtoepassing],B577,uitkomst_doelgroep[Jaar],D577,uitkomst_doelgroep[Overige besparingen (€)],"&gt;0",uitkomst_doelgroep[Uitgangssituatie/effect beleid],uitkomst_tech[[#This Row],[Uitgangssituatie/effect beleid]])</f>
        <v>0</v>
      </c>
      <c r="J577" s="398">
        <f>SUMIFS(uitkomst_doelgroep[QALY (€)],uitkomst_doelgroep[Digitale zorgtoepassing],B577,uitkomst_doelgroep[Jaar],D577,uitkomst_doelgroep[QALY (€)],"&gt;0",uitkomst_doelgroep[Uitgangssituatie/effect beleid],uitkomst_tech[[#This Row],[Uitgangssituatie/effect beleid]])</f>
        <v>0</v>
      </c>
      <c r="K577" s="398">
        <f>SUMIFS(uitkomst_doelgroep[Kosten (€)],uitkomst_doelgroep[Digitale zorgtoepassing],B577,uitkomst_doelgroep[Jaar],D577,uitkomst_doelgroep[Kosten (€)],"&gt;0",uitkomst_doelgroep[Uitgangssituatie/effect beleid],uitkomst_tech[[#This Row],[Uitgangssituatie/effect beleid]])</f>
        <v>297025.6301519667</v>
      </c>
      <c r="L577" s="398">
        <f>SUMIFS(uitkomst_doelgroep[Investering (cash flow) (€)],uitkomst_doelgroep[Digitale zorgtoepassing],B577,uitkomst_doelgroep[Jaar],D577,uitkomst_doelgroep[Investering (cash flow) (€)],"&gt;0",uitkomst_doelgroep[Uitgangssituatie/effect beleid],uitkomst_tech[[#This Row],[Uitgangssituatie/effect beleid]])</f>
        <v>75876.444090854784</v>
      </c>
    </row>
    <row r="578" spans="1:12" x14ac:dyDescent="0.5">
      <c r="A578" s="2" t="str">
        <f>INDEX(Technologieën[Veld],MATCH(B578,Technologieën[Digitale zorgtoepassing],0))</f>
        <v>Software - Diagnose</v>
      </c>
      <c r="B578" s="33" t="s">
        <v>720</v>
      </c>
      <c r="C578" s="33" t="s">
        <v>813</v>
      </c>
      <c r="D578" s="33">
        <v>2027</v>
      </c>
      <c r="E578" s="2"/>
      <c r="F578" s="397">
        <f>SUMIFS(uitkomst_doelgroep[Patiëntaantallen],uitkomst_doelgroep[Digitale zorgtoepassing],B578,uitkomst_doelgroep[Jaar],D578,uitkomst_doelgroep[Arbeidsbesparing (€)],"&gt;0",uitkomst_doelgroep[Uitgangssituatie/effect beleid],uitkomst_tech[[#This Row],[Uitgangssituatie/effect beleid]])</f>
        <v>761374.97343065543</v>
      </c>
      <c r="G578" s="398">
        <f>SUMIFS(uitkomst_doelgroep[Arbeidsbesparing (€)],uitkomst_doelgroep[Digitale zorgtoepassing],B578,uitkomst_doelgroep[Jaar],D578,uitkomst_doelgroep[Arbeidsbesparing (€)],"&gt;0",uitkomst_doelgroep[Uitgangssituatie/effect beleid],uitkomst_tech[[#This Row],[Uitgangssituatie/effect beleid]])</f>
        <v>331355.8216205003</v>
      </c>
      <c r="H578" s="398">
        <f>SUMIFS(uitkomst_doelgroep[Arbeidsbesparing (FTE)],uitkomst_doelgroep[Digitale zorgtoepassing],B578,uitkomst_doelgroep[Jaar],D578,uitkomst_doelgroep[Arbeidsbesparing (FTE)],"&gt;0",uitkomst_doelgroep[Uitgangssituatie/effect beleid],uitkomst_tech[[#This Row],[Uitgangssituatie/effect beleid]])</f>
        <v>7.6259512563166609</v>
      </c>
      <c r="I578" s="398">
        <f>SUMIFS(uitkomst_doelgroep[Overige besparingen (€)],uitkomst_doelgroep[Digitale zorgtoepassing],B578,uitkomst_doelgroep[Jaar],D578,uitkomst_doelgroep[Overige besparingen (€)],"&gt;0",uitkomst_doelgroep[Uitgangssituatie/effect beleid],uitkomst_tech[[#This Row],[Uitgangssituatie/effect beleid]])</f>
        <v>0</v>
      </c>
      <c r="J578" s="398">
        <f>SUMIFS(uitkomst_doelgroep[QALY (€)],uitkomst_doelgroep[Digitale zorgtoepassing],B578,uitkomst_doelgroep[Jaar],D578,uitkomst_doelgroep[QALY (€)],"&gt;0",uitkomst_doelgroep[Uitgangssituatie/effect beleid],uitkomst_tech[[#This Row],[Uitgangssituatie/effect beleid]])</f>
        <v>0</v>
      </c>
      <c r="K578" s="398">
        <f>SUMIFS(uitkomst_doelgroep[Kosten (€)],uitkomst_doelgroep[Digitale zorgtoepassing],B578,uitkomst_doelgroep[Jaar],D578,uitkomst_doelgroep[Kosten (€)],"&gt;0",uitkomst_doelgroep[Uitgangssituatie/effect beleid],uitkomst_tech[[#This Row],[Uitgangssituatie/effect beleid]])</f>
        <v>361319.6886962424</v>
      </c>
      <c r="L578" s="398">
        <f>SUMIFS(uitkomst_doelgroep[Investering (cash flow) (€)],uitkomst_doelgroep[Digitale zorgtoepassing],B578,uitkomst_doelgroep[Jaar],D578,uitkomst_doelgroep[Investering (cash flow) (€)],"&gt;0",uitkomst_doelgroep[Uitgangssituatie/effect beleid],uitkomst_tech[[#This Row],[Uitgangssituatie/effect beleid]])</f>
        <v>75584.00047552395</v>
      </c>
    </row>
    <row r="579" spans="1:12" x14ac:dyDescent="0.5">
      <c r="A579" s="2" t="str">
        <f>INDEX(Technologieën[Veld],MATCH(B579,Technologieën[Digitale zorgtoepassing],0))</f>
        <v>Software - Diagnose</v>
      </c>
      <c r="B579" s="33" t="s">
        <v>720</v>
      </c>
      <c r="C579" s="33" t="s">
        <v>813</v>
      </c>
      <c r="D579" s="33">
        <v>2028</v>
      </c>
      <c r="E579" s="2"/>
      <c r="F579" s="397">
        <f>SUMIFS(uitkomst_doelgroep[Patiëntaantallen],uitkomst_doelgroep[Digitale zorgtoepassing],B579,uitkomst_doelgroep[Jaar],D579,uitkomst_doelgroep[Arbeidsbesparing (€)],"&gt;0",uitkomst_doelgroep[Uitgangssituatie/effect beleid],uitkomst_tech[[#This Row],[Uitgangssituatie/effect beleid]])</f>
        <v>896333.62051025452</v>
      </c>
      <c r="G579" s="398">
        <f>SUMIFS(uitkomst_doelgroep[Arbeidsbesparing (€)],uitkomst_doelgroep[Digitale zorgtoepassing],B579,uitkomst_doelgroep[Jaar],D579,uitkomst_doelgroep[Arbeidsbesparing (€)],"&gt;0",uitkomst_doelgroep[Uitgangssituatie/effect beleid],uitkomst_tech[[#This Row],[Uitgangssituatie/effect beleid]])</f>
        <v>390090.78789651569</v>
      </c>
      <c r="H579" s="398">
        <f>SUMIFS(uitkomst_doelgroep[Arbeidsbesparing (FTE)],uitkomst_doelgroep[Digitale zorgtoepassing],B579,uitkomst_doelgroep[Jaar],D579,uitkomst_doelgroep[Arbeidsbesparing (FTE)],"&gt;0",uitkomst_doelgroep[Uitgangssituatie/effect beleid],uitkomst_tech[[#This Row],[Uitgangssituatie/effect beleid]])</f>
        <v>8.977700525944055</v>
      </c>
      <c r="I579" s="398">
        <f>SUMIFS(uitkomst_doelgroep[Overige besparingen (€)],uitkomst_doelgroep[Digitale zorgtoepassing],B579,uitkomst_doelgroep[Jaar],D579,uitkomst_doelgroep[Overige besparingen (€)],"&gt;0",uitkomst_doelgroep[Uitgangssituatie/effect beleid],uitkomst_tech[[#This Row],[Uitgangssituatie/effect beleid]])</f>
        <v>0</v>
      </c>
      <c r="J579" s="398">
        <f>SUMIFS(uitkomst_doelgroep[QALY (€)],uitkomst_doelgroep[Digitale zorgtoepassing],B579,uitkomst_doelgroep[Jaar],D579,uitkomst_doelgroep[QALY (€)],"&gt;0",uitkomst_doelgroep[Uitgangssituatie/effect beleid],uitkomst_tech[[#This Row],[Uitgangssituatie/effect beleid]])</f>
        <v>0</v>
      </c>
      <c r="K579" s="398">
        <f>SUMIFS(uitkomst_doelgroep[Kosten (€)],uitkomst_doelgroep[Digitale zorgtoepassing],B579,uitkomst_doelgroep[Jaar],D579,uitkomst_doelgroep[Kosten (€)],"&gt;0",uitkomst_doelgroep[Uitgangssituatie/effect beleid],uitkomst_tech[[#This Row],[Uitgangssituatie/effect beleid]])</f>
        <v>425365.94455089199</v>
      </c>
      <c r="L579" s="398">
        <f>SUMIFS(uitkomst_doelgroep[Investering (cash flow) (€)],uitkomst_doelgroep[Digitale zorgtoepassing],B579,uitkomst_doelgroep[Jaar],D579,uitkomst_doelgroep[Investering (cash flow) (€)],"&gt;0",uitkomst_doelgroep[Uitgangssituatie/effect beleid],uitkomst_tech[[#This Row],[Uitgangssituatie/effect beleid]])</f>
        <v>70299.792771436565</v>
      </c>
    </row>
    <row r="580" spans="1:12" x14ac:dyDescent="0.5">
      <c r="A580" s="2" t="str">
        <f>INDEX(Technologieën[Veld],MATCH(B580,Technologieën[Digitale zorgtoepassing],0))</f>
        <v>Software - Diagnose</v>
      </c>
      <c r="B580" s="33" t="s">
        <v>720</v>
      </c>
      <c r="C580" s="33" t="s">
        <v>813</v>
      </c>
      <c r="D580" s="33">
        <v>2029</v>
      </c>
      <c r="E580" s="2"/>
      <c r="F580" s="397">
        <f>SUMIFS(uitkomst_doelgroep[Patiëntaantallen],uitkomst_doelgroep[Digitale zorgtoepassing],B580,uitkomst_doelgroep[Jaar],D580,uitkomst_doelgroep[Arbeidsbesparing (€)],"&gt;0",uitkomst_doelgroep[Uitgangssituatie/effect beleid],uitkomst_tech[[#This Row],[Uitgangssituatie/effect beleid]])</f>
        <v>1021857.0760394651</v>
      </c>
      <c r="G580" s="398">
        <f>SUMIFS(uitkomst_doelgroep[Arbeidsbesparing (€)],uitkomst_doelgroep[Digitale zorgtoepassing],B580,uitkomst_doelgroep[Jaar],D580,uitkomst_doelgroep[Arbeidsbesparing (€)],"&gt;0",uitkomst_doelgroep[Uitgangssituatie/effect beleid],uitkomst_tech[[#This Row],[Uitgangssituatie/effect beleid]])</f>
        <v>444719.49148013053</v>
      </c>
      <c r="H580" s="398">
        <f>SUMIFS(uitkomst_doelgroep[Arbeidsbesparing (FTE)],uitkomst_doelgroep[Digitale zorgtoepassing],B580,uitkomst_doelgroep[Jaar],D580,uitkomst_doelgroep[Arbeidsbesparing (FTE)],"&gt;0",uitkomst_doelgroep[Uitgangssituatie/effect beleid],uitkomst_tech[[#This Row],[Uitgangssituatie/effect beleid]])</f>
        <v>10.23494667507477</v>
      </c>
      <c r="I580" s="398">
        <f>SUMIFS(uitkomst_doelgroep[Overige besparingen (€)],uitkomst_doelgroep[Digitale zorgtoepassing],B580,uitkomst_doelgroep[Jaar],D580,uitkomst_doelgroep[Overige besparingen (€)],"&gt;0",uitkomst_doelgroep[Uitgangssituatie/effect beleid],uitkomst_tech[[#This Row],[Uitgangssituatie/effect beleid]])</f>
        <v>0</v>
      </c>
      <c r="J580" s="398">
        <f>SUMIFS(uitkomst_doelgroep[QALY (€)],uitkomst_doelgroep[Digitale zorgtoepassing],B580,uitkomst_doelgroep[Jaar],D580,uitkomst_doelgroep[QALY (€)],"&gt;0",uitkomst_doelgroep[Uitgangssituatie/effect beleid],uitkomst_tech[[#This Row],[Uitgangssituatie/effect beleid]])</f>
        <v>0</v>
      </c>
      <c r="K580" s="398">
        <f>SUMIFS(uitkomst_doelgroep[Kosten (€)],uitkomst_doelgroep[Digitale zorgtoepassing],B580,uitkomst_doelgroep[Jaar],D580,uitkomst_doelgroep[Kosten (€)],"&gt;0",uitkomst_doelgroep[Uitgangssituatie/effect beleid],uitkomst_tech[[#This Row],[Uitgangssituatie/effect beleid]])</f>
        <v>484934.61630737403</v>
      </c>
      <c r="L580" s="398">
        <f>SUMIFS(uitkomst_doelgroep[Investering (cash flow) (€)],uitkomst_doelgroep[Digitale zorgtoepassing],B580,uitkomst_doelgroep[Jaar],D580,uitkomst_doelgroep[Investering (cash flow) (€)],"&gt;0",uitkomst_doelgroep[Uitgangssituatie/effect beleid],uitkomst_tech[[#This Row],[Uitgangssituatie/effect beleid]])</f>
        <v>60912.165591308265</v>
      </c>
    </row>
    <row r="581" spans="1:12" x14ac:dyDescent="0.5">
      <c r="A581" s="2" t="str">
        <f>INDEX(Technologieën[Veld],MATCH(B581,Technologieën[Digitale zorgtoepassing],0))</f>
        <v>Software - Diagnose</v>
      </c>
      <c r="B581" s="33" t="s">
        <v>720</v>
      </c>
      <c r="C581" s="33" t="s">
        <v>813</v>
      </c>
      <c r="D581" s="33">
        <v>2030</v>
      </c>
      <c r="E581" s="2"/>
      <c r="F581" s="397">
        <f>SUMIFS(uitkomst_doelgroep[Patiëntaantallen],uitkomst_doelgroep[Digitale zorgtoepassing],B581,uitkomst_doelgroep[Jaar],D581,uitkomst_doelgroep[Arbeidsbesparing (€)],"&gt;0",uitkomst_doelgroep[Uitgangssituatie/effect beleid],uitkomst_tech[[#This Row],[Uitgangssituatie/effect beleid]])</f>
        <v>1130618.4991868616</v>
      </c>
      <c r="G581" s="398">
        <f>SUMIFS(uitkomst_doelgroep[Arbeidsbesparing (€)],uitkomst_doelgroep[Digitale zorgtoepassing],B581,uitkomst_doelgroep[Jaar],D581,uitkomst_doelgroep[Arbeidsbesparing (€)],"&gt;0",uitkomst_doelgroep[Uitgangssituatie/effect beleid],uitkomst_tech[[#This Row],[Uitgangssituatie/effect beleid]])</f>
        <v>492053.23895705986</v>
      </c>
      <c r="H581" s="398">
        <f>SUMIFS(uitkomst_doelgroep[Arbeidsbesparing (FTE)],uitkomst_doelgroep[Digitale zorgtoepassing],B581,uitkomst_doelgroep[Jaar],D581,uitkomst_doelgroep[Arbeidsbesparing (FTE)],"&gt;0",uitkomst_doelgroep[Uitgangssituatie/effect beleid],uitkomst_tech[[#This Row],[Uitgangssituatie/effect beleid]])</f>
        <v>11.324303878073533</v>
      </c>
      <c r="I581" s="398">
        <f>SUMIFS(uitkomst_doelgroep[Overige besparingen (€)],uitkomst_doelgroep[Digitale zorgtoepassing],B581,uitkomst_doelgroep[Jaar],D581,uitkomst_doelgroep[Overige besparingen (€)],"&gt;0",uitkomst_doelgroep[Uitgangssituatie/effect beleid],uitkomst_tech[[#This Row],[Uitgangssituatie/effect beleid]])</f>
        <v>0</v>
      </c>
      <c r="J581" s="398">
        <f>SUMIFS(uitkomst_doelgroep[QALY (€)],uitkomst_doelgroep[Digitale zorgtoepassing],B581,uitkomst_doelgroep[Jaar],D581,uitkomst_doelgroep[QALY (€)],"&gt;0",uitkomst_doelgroep[Uitgangssituatie/effect beleid],uitkomst_tech[[#This Row],[Uitgangssituatie/effect beleid]])</f>
        <v>0</v>
      </c>
      <c r="K581" s="398">
        <f>SUMIFS(uitkomst_doelgroep[Kosten (€)],uitkomst_doelgroep[Digitale zorgtoepassing],B581,uitkomst_doelgroep[Jaar],D581,uitkomst_doelgroep[Kosten (€)],"&gt;0",uitkomst_doelgroep[Uitgangssituatie/effect beleid],uitkomst_tech[[#This Row],[Uitgangssituatie/effect beleid]])</f>
        <v>536548.66316356044</v>
      </c>
      <c r="L581" s="398">
        <f>SUMIFS(uitkomst_doelgroep[Investering (cash flow) (€)],uitkomst_doelgroep[Digitale zorgtoepassing],B581,uitkomst_doelgroep[Jaar],D581,uitkomst_doelgroep[Investering (cash flow) (€)],"&gt;0",uitkomst_doelgroep[Uitgangssituatie/effect beleid],uitkomst_tech[[#This Row],[Uitgangssituatie/effect beleid]])</f>
        <v>49292.350573572767</v>
      </c>
    </row>
    <row r="582" spans="1:12" x14ac:dyDescent="0.5">
      <c r="A582" s="2" t="str">
        <f>INDEX(Technologieën[Veld],MATCH(B582,Technologieën[Digitale zorgtoepassing],0))</f>
        <v>Software - Diagnose</v>
      </c>
      <c r="B582" s="33" t="s">
        <v>720</v>
      </c>
      <c r="C582" s="33" t="s">
        <v>813</v>
      </c>
      <c r="D582" s="33">
        <v>2031</v>
      </c>
      <c r="E582" s="2"/>
      <c r="F582" s="397">
        <f>SUMIFS(uitkomst_doelgroep[Patiëntaantallen],uitkomst_doelgroep[Digitale zorgtoepassing],B582,uitkomst_doelgroep[Jaar],D582,uitkomst_doelgroep[Arbeidsbesparing (€)],"&gt;0",uitkomst_doelgroep[Uitgangssituatie/effect beleid],uitkomst_tech[[#This Row],[Uitgangssituatie/effect beleid]])</f>
        <v>1218632.2177374812</v>
      </c>
      <c r="G582" s="398">
        <f>SUMIFS(uitkomst_doelgroep[Arbeidsbesparing (€)],uitkomst_doelgroep[Digitale zorgtoepassing],B582,uitkomst_doelgroep[Jaar],D582,uitkomst_doelgroep[Arbeidsbesparing (€)],"&gt;0",uitkomst_doelgroep[Uitgangssituatie/effect beleid],uitkomst_tech[[#This Row],[Uitgangssituatie/effect beleid]])</f>
        <v>530357.43733753404</v>
      </c>
      <c r="H582" s="398">
        <f>SUMIFS(uitkomst_doelgroep[Arbeidsbesparing (FTE)],uitkomst_doelgroep[Digitale zorgtoepassing],B582,uitkomst_doelgroep[Jaar],D582,uitkomst_doelgroep[Arbeidsbesparing (FTE)],"&gt;0",uitkomst_doelgroep[Uitgangssituatie/effect beleid],uitkomst_tech[[#This Row],[Uitgangssituatie/effect beleid]])</f>
        <v>12.205851539838555</v>
      </c>
      <c r="I582" s="398">
        <f>SUMIFS(uitkomst_doelgroep[Overige besparingen (€)],uitkomst_doelgroep[Digitale zorgtoepassing],B582,uitkomst_doelgroep[Jaar],D582,uitkomst_doelgroep[Overige besparingen (€)],"&gt;0",uitkomst_doelgroep[Uitgangssituatie/effect beleid],uitkomst_tech[[#This Row],[Uitgangssituatie/effect beleid]])</f>
        <v>0</v>
      </c>
      <c r="J582" s="398">
        <f>SUMIFS(uitkomst_doelgroep[QALY (€)],uitkomst_doelgroep[Digitale zorgtoepassing],B582,uitkomst_doelgroep[Jaar],D582,uitkomst_doelgroep[QALY (€)],"&gt;0",uitkomst_doelgroep[Uitgangssituatie/effect beleid],uitkomst_tech[[#This Row],[Uitgangssituatie/effect beleid]])</f>
        <v>0</v>
      </c>
      <c r="K582" s="398">
        <f>SUMIFS(uitkomst_doelgroep[Kosten (€)],uitkomst_doelgroep[Digitale zorgtoepassing],B582,uitkomst_doelgroep[Jaar],D582,uitkomst_doelgroep[Kosten (€)],"&gt;0",uitkomst_doelgroep[Uitgangssituatie/effect beleid],uitkomst_tech[[#This Row],[Uitgangssituatie/effect beleid]])</f>
        <v>578316.6362352483</v>
      </c>
      <c r="L582" s="398">
        <f>SUMIFS(uitkomst_doelgroep[Investering (cash flow) (€)],uitkomst_doelgroep[Digitale zorgtoepassing],B582,uitkomst_doelgroep[Jaar],D582,uitkomst_doelgroep[Investering (cash flow) (€)],"&gt;0",uitkomst_doelgroep[Uitgangssituatie/effect beleid],uitkomst_tech[[#This Row],[Uitgangssituatie/effect beleid]])</f>
        <v>37519.970496459311</v>
      </c>
    </row>
    <row r="583" spans="1:12" x14ac:dyDescent="0.5">
      <c r="A583" s="2" t="str">
        <f>INDEX(Technologieën[Veld],MATCH(B583,Technologieën[Digitale zorgtoepassing],0))</f>
        <v>Software - Diagnose</v>
      </c>
      <c r="B583" s="33" t="s">
        <v>720</v>
      </c>
      <c r="C583" s="33" t="s">
        <v>813</v>
      </c>
      <c r="D583" s="33">
        <v>2032</v>
      </c>
      <c r="E583" s="2"/>
      <c r="F583" s="397">
        <f>SUMIFS(uitkomst_doelgroep[Patiëntaantallen],uitkomst_doelgroep[Digitale zorgtoepassing],B583,uitkomst_doelgroep[Jaar],D583,uitkomst_doelgroep[Arbeidsbesparing (€)],"&gt;0",uitkomst_doelgroep[Uitgangssituatie/effect beleid],uitkomst_tech[[#This Row],[Uitgangssituatie/effect beleid]])</f>
        <v>1285625.8198862372</v>
      </c>
      <c r="G583" s="398">
        <f>SUMIFS(uitkomst_doelgroep[Arbeidsbesparing (€)],uitkomst_doelgroep[Digitale zorgtoepassing],B583,uitkomst_doelgroep[Jaar],D583,uitkomst_doelgroep[Arbeidsbesparing (€)],"&gt;0",uitkomst_doelgroep[Uitgangssituatie/effect beleid],uitkomst_tech[[#This Row],[Uitgangssituatie/effect beleid]])</f>
        <v>559513.5310600443</v>
      </c>
      <c r="H583" s="398">
        <f>SUMIFS(uitkomst_doelgroep[Arbeidsbesparing (FTE)],uitkomst_doelgroep[Digitale zorgtoepassing],B583,uitkomst_doelgroep[Jaar],D583,uitkomst_doelgroep[Arbeidsbesparing (FTE)],"&gt;0",uitkomst_doelgroep[Uitgangssituatie/effect beleid],uitkomst_tech[[#This Row],[Uitgangssituatie/effect beleid]])</f>
        <v>12.876861176745164</v>
      </c>
      <c r="I583" s="398">
        <f>SUMIFS(uitkomst_doelgroep[Overige besparingen (€)],uitkomst_doelgroep[Digitale zorgtoepassing],B583,uitkomst_doelgroep[Jaar],D583,uitkomst_doelgroep[Overige besparingen (€)],"&gt;0",uitkomst_doelgroep[Uitgangssituatie/effect beleid],uitkomst_tech[[#This Row],[Uitgangssituatie/effect beleid]])</f>
        <v>0</v>
      </c>
      <c r="J583" s="398">
        <f>SUMIFS(uitkomst_doelgroep[QALY (€)],uitkomst_doelgroep[Digitale zorgtoepassing],B583,uitkomst_doelgroep[Jaar],D583,uitkomst_doelgroep[QALY (€)],"&gt;0",uitkomst_doelgroep[Uitgangssituatie/effect beleid],uitkomst_tech[[#This Row],[Uitgangssituatie/effect beleid]])</f>
        <v>0</v>
      </c>
      <c r="K583" s="398">
        <f>SUMIFS(uitkomst_doelgroep[Kosten (€)],uitkomst_doelgroep[Digitale zorgtoepassing],B583,uitkomst_doelgroep[Jaar],D583,uitkomst_doelgroep[Kosten (€)],"&gt;0",uitkomst_doelgroep[Uitgangssituatie/effect beleid],uitkomst_tech[[#This Row],[Uitgangssituatie/effect beleid]])</f>
        <v>610109.25921044126</v>
      </c>
      <c r="L583" s="398">
        <f>SUMIFS(uitkomst_doelgroep[Investering (cash flow) (€)],uitkomst_doelgroep[Digitale zorgtoepassing],B583,uitkomst_doelgroep[Jaar],D583,uitkomst_doelgroep[Investering (cash flow) (€)],"&gt;0",uitkomst_doelgroep[Uitgangssituatie/effect beleid],uitkomst_tech[[#This Row],[Uitgangssituatie/effect beleid]])</f>
        <v>27138.577396563382</v>
      </c>
    </row>
    <row r="584" spans="1:12" x14ac:dyDescent="0.5">
      <c r="A584" s="2" t="str">
        <f>INDEX(Technologieën[Veld],MATCH(B584,Technologieën[Digitale zorgtoepassing],0))</f>
        <v>Software - Diagnose</v>
      </c>
      <c r="B584" s="33" t="s">
        <v>720</v>
      </c>
      <c r="C584" s="33" t="s">
        <v>813</v>
      </c>
      <c r="D584" s="33">
        <v>2033</v>
      </c>
      <c r="E584" s="2"/>
      <c r="F584" s="397">
        <f>SUMIFS(uitkomst_doelgroep[Patiëntaantallen],uitkomst_doelgroep[Digitale zorgtoepassing],B584,uitkomst_doelgroep[Jaar],D584,uitkomst_doelgroep[Arbeidsbesparing (€)],"&gt;0",uitkomst_doelgroep[Uitgangssituatie/effect beleid],uitkomst_tech[[#This Row],[Uitgangssituatie/effect beleid]])</f>
        <v>1334082.9757136959</v>
      </c>
      <c r="G584" s="398">
        <f>SUMIFS(uitkomst_doelgroep[Arbeidsbesparing (€)],uitkomst_doelgroep[Digitale zorgtoepassing],B584,uitkomst_doelgroep[Jaar],D584,uitkomst_doelgroep[Arbeidsbesparing (€)],"&gt;0",uitkomst_doelgroep[Uitgangssituatie/effect beleid],uitkomst_tech[[#This Row],[Uitgangssituatie/effect beleid]])</f>
        <v>580602.43106716091</v>
      </c>
      <c r="H584" s="398">
        <f>SUMIFS(uitkomst_doelgroep[Arbeidsbesparing (FTE)],uitkomst_doelgroep[Digitale zorgtoepassing],B584,uitkomst_doelgroep[Jaar],D584,uitkomst_doelgroep[Arbeidsbesparing (FTE)],"&gt;0",uitkomst_doelgroep[Uitgangssituatie/effect beleid],uitkomst_tech[[#This Row],[Uitgangssituatie/effect beleid]])</f>
        <v>13.362209292004165</v>
      </c>
      <c r="I584" s="398">
        <f>SUMIFS(uitkomst_doelgroep[Overige besparingen (€)],uitkomst_doelgroep[Digitale zorgtoepassing],B584,uitkomst_doelgroep[Jaar],D584,uitkomst_doelgroep[Overige besparingen (€)],"&gt;0",uitkomst_doelgroep[Uitgangssituatie/effect beleid],uitkomst_tech[[#This Row],[Uitgangssituatie/effect beleid]])</f>
        <v>0</v>
      </c>
      <c r="J584" s="398">
        <f>SUMIFS(uitkomst_doelgroep[QALY (€)],uitkomst_doelgroep[Digitale zorgtoepassing],B584,uitkomst_doelgroep[Jaar],D584,uitkomst_doelgroep[QALY (€)],"&gt;0",uitkomst_doelgroep[Uitgangssituatie/effect beleid],uitkomst_tech[[#This Row],[Uitgangssituatie/effect beleid]])</f>
        <v>0</v>
      </c>
      <c r="K584" s="398">
        <f>SUMIFS(uitkomst_doelgroep[Kosten (€)],uitkomst_doelgroep[Digitale zorgtoepassing],B584,uitkomst_doelgroep[Jaar],D584,uitkomst_doelgroep[Kosten (€)],"&gt;0",uitkomst_doelgroep[Uitgangssituatie/effect beleid],uitkomst_tech[[#This Row],[Uitgangssituatie/effect beleid]])</f>
        <v>633105.18772092485</v>
      </c>
      <c r="L584" s="398">
        <f>SUMIFS(uitkomst_doelgroep[Investering (cash flow) (€)],uitkomst_doelgroep[Digitale zorgtoepassing],B584,uitkomst_doelgroep[Jaar],D584,uitkomst_doelgroep[Investering (cash flow) (€)],"&gt;0",uitkomst_doelgroep[Uitgangssituatie/effect beleid],uitkomst_tech[[#This Row],[Uitgangssituatie/effect beleid]])</f>
        <v>18864.30226411729</v>
      </c>
    </row>
    <row r="585" spans="1:12" x14ac:dyDescent="0.5">
      <c r="A585" s="2" t="str">
        <f>INDEX(Technologieën[Veld],MATCH(B585,Technologieën[Digitale zorgtoepassing],0))</f>
        <v>Sensoren - Verpleging</v>
      </c>
      <c r="B585" s="33" t="s">
        <v>46</v>
      </c>
      <c r="C585" s="33" t="s">
        <v>813</v>
      </c>
      <c r="D585" s="33">
        <v>2023</v>
      </c>
      <c r="E585" s="2"/>
      <c r="F585" s="397">
        <f>SUMIFS(uitkomst_doelgroep[Patiëntaantallen],uitkomst_doelgroep[Digitale zorgtoepassing],B585,uitkomst_doelgroep[Jaar],D585,uitkomst_doelgroep[Arbeidsbesparing (€)],"&gt;0",uitkomst_doelgroep[Uitgangssituatie/effect beleid],uitkomst_tech[[#This Row],[Uitgangssituatie/effect beleid]])</f>
        <v>15660</v>
      </c>
      <c r="G585" s="398">
        <f>SUMIFS(uitkomst_doelgroep[Arbeidsbesparing (€)],uitkomst_doelgroep[Digitale zorgtoepassing],B585,uitkomst_doelgroep[Jaar],D585,uitkomst_doelgroep[Arbeidsbesparing (€)],"&gt;0",uitkomst_doelgroep[Uitgangssituatie/effect beleid],uitkomst_tech[[#This Row],[Uitgangssituatie/effect beleid]])</f>
        <v>8317241.2772727283</v>
      </c>
      <c r="H585" s="398">
        <f>SUMIFS(uitkomst_doelgroep[Arbeidsbesparing (FTE)],uitkomst_doelgroep[Digitale zorgtoepassing],B585,uitkomst_doelgroep[Jaar],D585,uitkomst_doelgroep[Arbeidsbesparing (FTE)],"&gt;0",uitkomst_doelgroep[Uitgangssituatie/effect beleid],uitkomst_tech[[#This Row],[Uitgangssituatie/effect beleid]])</f>
        <v>195.91131009401556</v>
      </c>
      <c r="I585" s="398">
        <f>SUMIFS(uitkomst_doelgroep[Overige besparingen (€)],uitkomst_doelgroep[Digitale zorgtoepassing],B585,uitkomst_doelgroep[Jaar],D585,uitkomst_doelgroep[Overige besparingen (€)],"&gt;0",uitkomst_doelgroep[Uitgangssituatie/effect beleid],uitkomst_tech[[#This Row],[Uitgangssituatie/effect beleid]])</f>
        <v>791423.81434426247</v>
      </c>
      <c r="J585" s="398">
        <f>SUMIFS(uitkomst_doelgroep[QALY (€)],uitkomst_doelgroep[Digitale zorgtoepassing],B585,uitkomst_doelgroep[Jaar],D585,uitkomst_doelgroep[QALY (€)],"&gt;0",uitkomst_doelgroep[Uitgangssituatie/effect beleid],uitkomst_tech[[#This Row],[Uitgangssituatie/effect beleid]])</f>
        <v>0</v>
      </c>
      <c r="K585" s="398">
        <f>SUMIFS(uitkomst_doelgroep[Kosten (€)],uitkomst_doelgroep[Digitale zorgtoepassing],B585,uitkomst_doelgroep[Jaar],D585,uitkomst_doelgroep[Kosten (€)],"&gt;0",uitkomst_doelgroep[Uitgangssituatie/effect beleid],uitkomst_tech[[#This Row],[Uitgangssituatie/effect beleid]])</f>
        <v>2231550</v>
      </c>
      <c r="L585" s="398">
        <f>SUMIFS(uitkomst_doelgroep[Investering (cash flow) (€)],uitkomst_doelgroep[Digitale zorgtoepassing],B585,uitkomst_doelgroep[Jaar],D585,uitkomst_doelgroep[Investering (cash flow) (€)],"&gt;0",uitkomst_doelgroep[Uitgangssituatie/effect beleid],uitkomst_tech[[#This Row],[Uitgangssituatie/effect beleid]])</f>
        <v>2417646.9590000003</v>
      </c>
    </row>
    <row r="586" spans="1:12" x14ac:dyDescent="0.5">
      <c r="A586" s="2" t="str">
        <f>INDEX(Technologieën[Veld],MATCH(B586,Technologieën[Digitale zorgtoepassing],0))</f>
        <v>Sensoren - Verpleging</v>
      </c>
      <c r="B586" s="33" t="s">
        <v>46</v>
      </c>
      <c r="C586" s="33" t="s">
        <v>813</v>
      </c>
      <c r="D586" s="33">
        <v>2024</v>
      </c>
      <c r="E586" s="2"/>
      <c r="F586" s="397">
        <f>SUMIFS(uitkomst_doelgroep[Patiëntaantallen],uitkomst_doelgroep[Digitale zorgtoepassing],B586,uitkomst_doelgroep[Jaar],D586,uitkomst_doelgroep[Arbeidsbesparing (€)],"&gt;0",uitkomst_doelgroep[Uitgangssituatie/effect beleid],uitkomst_tech[[#This Row],[Uitgangssituatie/effect beleid]])</f>
        <v>20984.400000000001</v>
      </c>
      <c r="G586" s="398">
        <f>SUMIFS(uitkomst_doelgroep[Arbeidsbesparing (€)],uitkomst_doelgroep[Digitale zorgtoepassing],B586,uitkomst_doelgroep[Jaar],D586,uitkomst_doelgroep[Arbeidsbesparing (€)],"&gt;0",uitkomst_doelgroep[Uitgangssituatie/effect beleid],uitkomst_tech[[#This Row],[Uitgangssituatie/effect beleid]])</f>
        <v>11145103.311545456</v>
      </c>
      <c r="H586" s="398">
        <f>SUMIFS(uitkomst_doelgroep[Arbeidsbesparing (FTE)],uitkomst_doelgroep[Digitale zorgtoepassing],B586,uitkomst_doelgroep[Jaar],D586,uitkomst_doelgroep[Arbeidsbesparing (FTE)],"&gt;0",uitkomst_doelgroep[Uitgangssituatie/effect beleid],uitkomst_tech[[#This Row],[Uitgangssituatie/effect beleid]])</f>
        <v>262.52115552598087</v>
      </c>
      <c r="I586" s="398">
        <f>SUMIFS(uitkomst_doelgroep[Overige besparingen (€)],uitkomst_doelgroep[Digitale zorgtoepassing],B586,uitkomst_doelgroep[Jaar],D586,uitkomst_doelgroep[Overige besparingen (€)],"&gt;0",uitkomst_doelgroep[Uitgangssituatie/effect beleid],uitkomst_tech[[#This Row],[Uitgangssituatie/effect beleid]])</f>
        <v>1060507.9112213117</v>
      </c>
      <c r="J586" s="398">
        <f>SUMIFS(uitkomst_doelgroep[QALY (€)],uitkomst_doelgroep[Digitale zorgtoepassing],B586,uitkomst_doelgroep[Jaar],D586,uitkomst_doelgroep[QALY (€)],"&gt;0",uitkomst_doelgroep[Uitgangssituatie/effect beleid],uitkomst_tech[[#This Row],[Uitgangssituatie/effect beleid]])</f>
        <v>0</v>
      </c>
      <c r="K586" s="398">
        <f>SUMIFS(uitkomst_doelgroep[Kosten (€)],uitkomst_doelgroep[Digitale zorgtoepassing],B586,uitkomst_doelgroep[Jaar],D586,uitkomst_doelgroep[Kosten (€)],"&gt;0",uitkomst_doelgroep[Uitgangssituatie/effect beleid],uitkomst_tech[[#This Row],[Uitgangssituatie/effect beleid]])</f>
        <v>2990277</v>
      </c>
      <c r="L586" s="398">
        <f>SUMIFS(uitkomst_doelgroep[Investering (cash flow) (€)],uitkomst_doelgroep[Digitale zorgtoepassing],B586,uitkomst_doelgroep[Jaar],D586,uitkomst_doelgroep[Investering (cash flow) (€)],"&gt;0",uitkomst_doelgroep[Uitgangssituatie/effect beleid],uitkomst_tech[[#This Row],[Uitgangssituatie/effect beleid]])</f>
        <v>2831548.1183807994</v>
      </c>
    </row>
    <row r="587" spans="1:12" x14ac:dyDescent="0.5">
      <c r="A587" s="2" t="str">
        <f>INDEX(Technologieën[Veld],MATCH(B587,Technologieën[Digitale zorgtoepassing],0))</f>
        <v>Sensoren - Verpleging</v>
      </c>
      <c r="B587" s="33" t="s">
        <v>46</v>
      </c>
      <c r="C587" s="33" t="s">
        <v>813</v>
      </c>
      <c r="D587" s="33">
        <v>2025</v>
      </c>
      <c r="E587" s="2"/>
      <c r="F587" s="397">
        <f>SUMIFS(uitkomst_doelgroep[Patiëntaantallen],uitkomst_doelgroep[Digitale zorgtoepassing],B587,uitkomst_doelgroep[Jaar],D587,uitkomst_doelgroep[Arbeidsbesparing (€)],"&gt;0",uitkomst_doelgroep[Uitgangssituatie/effect beleid],uitkomst_tech[[#This Row],[Uitgangssituatie/effect beleid]])</f>
        <v>27220.33728</v>
      </c>
      <c r="G587" s="398">
        <f>SUMIFS(uitkomst_doelgroep[Arbeidsbesparing (€)],uitkomst_doelgroep[Digitale zorgtoepassing],B587,uitkomst_doelgroep[Jaar],D587,uitkomst_doelgroep[Arbeidsbesparing (€)],"&gt;0",uitkomst_doelgroep[Uitgangssituatie/effect beleid],uitkomst_tech[[#This Row],[Uitgangssituatie/effect beleid]])</f>
        <v>14457095.326085674</v>
      </c>
      <c r="H587" s="398">
        <f>SUMIFS(uitkomst_doelgroep[Arbeidsbesparing (FTE)],uitkomst_doelgroep[Digitale zorgtoepassing],B587,uitkomst_doelgroep[Jaar],D587,uitkomst_doelgroep[Arbeidsbesparing (FTE)],"&gt;0",uitkomst_doelgroep[Uitgangssituatie/effect beleid],uitkomst_tech[[#This Row],[Uitgangssituatie/effect beleid]])</f>
        <v>340.53460649589857</v>
      </c>
      <c r="I587" s="398">
        <f>SUMIFS(uitkomst_doelgroep[Overige besparingen (€)],uitkomst_doelgroep[Digitale zorgtoepassing],B587,uitkomst_doelgroep[Jaar],D587,uitkomst_doelgroep[Overige besparingen (€)],"&gt;0",uitkomst_doelgroep[Uitgangssituatie/effect beleid],uitkomst_tech[[#This Row],[Uitgangssituatie/effect beleid]])</f>
        <v>1375659.2054837118</v>
      </c>
      <c r="J587" s="398">
        <f>SUMIFS(uitkomst_doelgroep[QALY (€)],uitkomst_doelgroep[Digitale zorgtoepassing],B587,uitkomst_doelgroep[Jaar],D587,uitkomst_doelgroep[QALY (€)],"&gt;0",uitkomst_doelgroep[Uitgangssituatie/effect beleid],uitkomst_tech[[#This Row],[Uitgangssituatie/effect beleid]])</f>
        <v>0</v>
      </c>
      <c r="K587" s="398">
        <f>SUMIFS(uitkomst_doelgroep[Kosten (€)],uitkomst_doelgroep[Digitale zorgtoepassing],B587,uitkomst_doelgroep[Jaar],D587,uitkomst_doelgroep[Kosten (€)],"&gt;0",uitkomst_doelgroep[Uitgangssituatie/effect beleid],uitkomst_tech[[#This Row],[Uitgangssituatie/effect beleid]])</f>
        <v>3878898.0624000002</v>
      </c>
      <c r="L587" s="398">
        <f>SUMIFS(uitkomst_doelgroep[Investering (cash flow) (€)],uitkomst_doelgroep[Digitale zorgtoepassing],B587,uitkomst_doelgroep[Jaar],D587,uitkomst_doelgroep[Investering (cash flow) (€)],"&gt;0",uitkomst_doelgroep[Uitgangssituatie/effect beleid],uitkomst_tech[[#This Row],[Uitgangssituatie/effect beleid]])</f>
        <v>3169990.1531114364</v>
      </c>
    </row>
    <row r="588" spans="1:12" x14ac:dyDescent="0.5">
      <c r="A588" s="2" t="str">
        <f>INDEX(Technologieën[Veld],MATCH(B588,Technologieën[Digitale zorgtoepassing],0))</f>
        <v>Sensoren - Verpleging</v>
      </c>
      <c r="B588" s="33" t="s">
        <v>46</v>
      </c>
      <c r="C588" s="33" t="s">
        <v>813</v>
      </c>
      <c r="D588" s="33">
        <v>2026</v>
      </c>
      <c r="E588" s="2"/>
      <c r="F588" s="397">
        <f>SUMIFS(uitkomst_doelgroep[Patiëntaantallen],uitkomst_doelgroep[Digitale zorgtoepassing],B588,uitkomst_doelgroep[Jaar],D588,uitkomst_doelgroep[Arbeidsbesparing (€)],"&gt;0",uitkomst_doelgroep[Uitgangssituatie/effect beleid],uitkomst_tech[[#This Row],[Uitgangssituatie/effect beleid]])</f>
        <v>34201.627707204403</v>
      </c>
      <c r="G588" s="398">
        <f>SUMIFS(uitkomst_doelgroep[Arbeidsbesparing (€)],uitkomst_doelgroep[Digitale zorgtoepassing],B588,uitkomst_doelgroep[Jaar],D588,uitkomst_doelgroep[Arbeidsbesparing (€)],"&gt;0",uitkomst_doelgroep[Uitgangssituatie/effect beleid],uitkomst_tech[[#This Row],[Uitgangssituatie/effect beleid]])</f>
        <v>18164954.643440299</v>
      </c>
      <c r="H588" s="398">
        <f>SUMIFS(uitkomst_doelgroep[Arbeidsbesparing (FTE)],uitkomst_doelgroep[Digitale zorgtoepassing],B588,uitkomst_doelgroep[Jaar],D588,uitkomst_doelgroep[Arbeidsbesparing (FTE)],"&gt;0",uitkomst_doelgroep[Uitgangssituatie/effect beleid],uitkomst_tech[[#This Row],[Uitgangssituatie/effect beleid]])</f>
        <v>427.87264951891416</v>
      </c>
      <c r="I588" s="398">
        <f>SUMIFS(uitkomst_doelgroep[Overige besparingen (€)],uitkomst_doelgroep[Digitale zorgtoepassing],B588,uitkomst_doelgroep[Jaar],D588,uitkomst_doelgroep[Overige besparingen (€)],"&gt;0",uitkomst_doelgroep[Uitgangssituatie/effect beleid],uitkomst_tech[[#This Row],[Uitgangssituatie/effect beleid]])</f>
        <v>1728479.0968593946</v>
      </c>
      <c r="J588" s="398">
        <f>SUMIFS(uitkomst_doelgroep[QALY (€)],uitkomst_doelgroep[Digitale zorgtoepassing],B588,uitkomst_doelgroep[Jaar],D588,uitkomst_doelgroep[QALY (€)],"&gt;0",uitkomst_doelgroep[Uitgangssituatie/effect beleid],uitkomst_tech[[#This Row],[Uitgangssituatie/effect beleid]])</f>
        <v>0</v>
      </c>
      <c r="K588" s="398">
        <f>SUMIFS(uitkomst_doelgroep[Kosten (€)],uitkomst_doelgroep[Digitale zorgtoepassing],B588,uitkomst_doelgroep[Jaar],D588,uitkomst_doelgroep[Kosten (€)],"&gt;0",uitkomst_doelgroep[Uitgangssituatie/effect beleid],uitkomst_tech[[#This Row],[Uitgangssituatie/effect beleid]])</f>
        <v>4873731.9482766269</v>
      </c>
      <c r="L588" s="398">
        <f>SUMIFS(uitkomst_doelgroep[Investering (cash flow) (€)],uitkomst_doelgroep[Digitale zorgtoepassing],B588,uitkomst_doelgroep[Jaar],D588,uitkomst_doelgroep[Investering (cash flow) (€)],"&gt;0",uitkomst_doelgroep[Uitgangssituatie/effect beleid],uitkomst_tech[[#This Row],[Uitgangssituatie/effect beleid]])</f>
        <v>3361598.9429354696</v>
      </c>
    </row>
    <row r="589" spans="1:12" x14ac:dyDescent="0.5">
      <c r="A589" s="2" t="str">
        <f>INDEX(Technologieën[Veld],MATCH(B589,Technologieën[Digitale zorgtoepassing],0))</f>
        <v>Sensoren - Verpleging</v>
      </c>
      <c r="B589" s="33" t="s">
        <v>46</v>
      </c>
      <c r="C589" s="33" t="s">
        <v>813</v>
      </c>
      <c r="D589" s="33">
        <v>2027</v>
      </c>
      <c r="E589" s="2"/>
      <c r="F589" s="397">
        <f>SUMIFS(uitkomst_doelgroep[Patiëntaantallen],uitkomst_doelgroep[Digitale zorgtoepassing],B589,uitkomst_doelgroep[Jaar],D589,uitkomst_doelgroep[Arbeidsbesparing (€)],"&gt;0",uitkomst_doelgroep[Uitgangssituatie/effect beleid],uitkomst_tech[[#This Row],[Uitgangssituatie/effect beleid]])</f>
        <v>41604.899448405558</v>
      </c>
      <c r="G589" s="398">
        <f>SUMIFS(uitkomst_doelgroep[Arbeidsbesparing (€)],uitkomst_doelgroep[Digitale zorgtoepassing],B589,uitkomst_doelgroep[Jaar],D589,uitkomst_doelgroep[Arbeidsbesparing (€)],"&gt;0",uitkomst_doelgroep[Uitgangssituatie/effect beleid],uitkomst_tech[[#This Row],[Uitgangssituatie/effect beleid]])</f>
        <v>22096934.037615586</v>
      </c>
      <c r="H589" s="398">
        <f>SUMIFS(uitkomst_doelgroep[Arbeidsbesparing (FTE)],uitkomst_doelgroep[Digitale zorgtoepassing],B589,uitkomst_doelgroep[Jaar],D589,uitkomst_doelgroep[Arbeidsbesparing (FTE)],"&gt;0",uitkomst_doelgroep[Uitgangssituatie/effect beleid],uitkomst_tech[[#This Row],[Uitgangssituatie/effect beleid]])</f>
        <v>520.48980570031404</v>
      </c>
      <c r="I589" s="398">
        <f>SUMIFS(uitkomst_doelgroep[Overige besparingen (€)],uitkomst_doelgroep[Digitale zorgtoepassing],B589,uitkomst_doelgroep[Jaar],D589,uitkomst_doelgroep[Overige besparingen (€)],"&gt;0",uitkomst_doelgroep[Uitgangssituatie/effect beleid],uitkomst_tech[[#This Row],[Uitgangssituatie/effect beleid]])</f>
        <v>2102625.0457769237</v>
      </c>
      <c r="J589" s="398">
        <f>SUMIFS(uitkomst_doelgroep[QALY (€)],uitkomst_doelgroep[Digitale zorgtoepassing],B589,uitkomst_doelgroep[Jaar],D589,uitkomst_doelgroep[QALY (€)],"&gt;0",uitkomst_doelgroep[Uitgangssituatie/effect beleid],uitkomst_tech[[#This Row],[Uitgangssituatie/effect beleid]])</f>
        <v>0</v>
      </c>
      <c r="K589" s="398">
        <f>SUMIFS(uitkomst_doelgroep[Kosten (€)],uitkomst_doelgroep[Digitale zorgtoepassing],B589,uitkomst_doelgroep[Jaar],D589,uitkomst_doelgroep[Kosten (€)],"&gt;0",uitkomst_doelgroep[Uitgangssituatie/effect beleid],uitkomst_tech[[#This Row],[Uitgangssituatie/effect beleid]])</f>
        <v>5928698.1713977922</v>
      </c>
      <c r="L589" s="398">
        <f>SUMIFS(uitkomst_doelgroep[Investering (cash flow) (€)],uitkomst_doelgroep[Digitale zorgtoepassing],B589,uitkomst_doelgroep[Jaar],D589,uitkomst_doelgroep[Investering (cash flow) (€)],"&gt;0",uitkomst_doelgroep[Uitgangssituatie/effect beleid],uitkomst_tech[[#This Row],[Uitgangssituatie/effect beleid]])</f>
        <v>3348642.6406213124</v>
      </c>
    </row>
    <row r="590" spans="1:12" x14ac:dyDescent="0.5">
      <c r="A590" s="2" t="str">
        <f>INDEX(Technologieën[Veld],MATCH(B590,Technologieën[Digitale zorgtoepassing],0))</f>
        <v>Sensoren - Verpleging</v>
      </c>
      <c r="B590" s="33" t="s">
        <v>46</v>
      </c>
      <c r="C590" s="33" t="s">
        <v>813</v>
      </c>
      <c r="D590" s="33">
        <v>2028</v>
      </c>
      <c r="E590" s="2"/>
      <c r="F590" s="397">
        <f>SUMIFS(uitkomst_doelgroep[Patiëntaantallen],uitkomst_doelgroep[Digitale zorgtoepassing],B590,uitkomst_doelgroep[Jaar],D590,uitkomst_doelgroep[Arbeidsbesparing (€)],"&gt;0",uitkomst_doelgroep[Uitgangssituatie/effect beleid],uitkomst_tech[[#This Row],[Uitgangssituatie/effect beleid]])</f>
        <v>48979.63743872771</v>
      </c>
      <c r="G590" s="398">
        <f>SUMIFS(uitkomst_doelgroep[Arbeidsbesparing (€)],uitkomst_doelgroep[Digitale zorgtoepassing],B590,uitkomst_doelgroep[Jaar],D590,uitkomst_doelgroep[Arbeidsbesparing (€)],"&gt;0",uitkomst_doelgroep[Uitgangssituatie/effect beleid],uitkomst_tech[[#This Row],[Uitgangssituatie/effect beleid]])</f>
        <v>26013758.764446922</v>
      </c>
      <c r="H590" s="398">
        <f>SUMIFS(uitkomst_doelgroep[Arbeidsbesparing (FTE)],uitkomst_doelgroep[Digitale zorgtoepassing],B590,uitkomst_doelgroep[Jaar],D590,uitkomst_doelgroep[Arbeidsbesparing (FTE)],"&gt;0",uitkomst_doelgroep[Uitgangssituatie/effect beleid],uitkomst_tech[[#This Row],[Uitgangssituatie/effect beleid]])</f>
        <v>612.74999607605605</v>
      </c>
      <c r="I590" s="398">
        <f>SUMIFS(uitkomst_doelgroep[Overige besparingen (€)],uitkomst_doelgroep[Digitale zorgtoepassing],B590,uitkomst_doelgroep[Jaar],D590,uitkomst_doelgroep[Overige besparingen (€)],"&gt;0",uitkomst_doelgroep[Uitgangssituatie/effect beleid],uitkomst_tech[[#This Row],[Uitgangssituatie/effect beleid]])</f>
        <v>2475328.9582986538</v>
      </c>
      <c r="J590" s="398">
        <f>SUMIFS(uitkomst_doelgroep[QALY (€)],uitkomst_doelgroep[Digitale zorgtoepassing],B590,uitkomst_doelgroep[Jaar],D590,uitkomst_doelgroep[QALY (€)],"&gt;0",uitkomst_doelgroep[Uitgangssituatie/effect beleid],uitkomst_tech[[#This Row],[Uitgangssituatie/effect beleid]])</f>
        <v>0</v>
      </c>
      <c r="K590" s="398">
        <f>SUMIFS(uitkomst_doelgroep[Kosten (€)],uitkomst_doelgroep[Digitale zorgtoepassing],B590,uitkomst_doelgroep[Jaar],D590,uitkomst_doelgroep[Kosten (€)],"&gt;0",uitkomst_doelgroep[Uitgangssituatie/effect beleid],uitkomst_tech[[#This Row],[Uitgangssituatie/effect beleid]])</f>
        <v>6979598.3350186981</v>
      </c>
      <c r="L590" s="398">
        <f>SUMIFS(uitkomst_doelgroep[Investering (cash flow) (€)],uitkomst_doelgroep[Digitale zorgtoepassing],B590,uitkomst_doelgroep[Jaar],D590,uitkomst_doelgroep[Investering (cash flow) (€)],"&gt;0",uitkomst_doelgroep[Uitgangssituatie/effect beleid],uitkomst_tech[[#This Row],[Uitgangssituatie/effect beleid]])</f>
        <v>3114533.2639214545</v>
      </c>
    </row>
    <row r="591" spans="1:12" x14ac:dyDescent="0.5">
      <c r="A591" s="2" t="str">
        <f>INDEX(Technologieën[Veld],MATCH(B591,Technologieën[Digitale zorgtoepassing],0))</f>
        <v>Sensoren - Verpleging</v>
      </c>
      <c r="B591" s="33" t="s">
        <v>46</v>
      </c>
      <c r="C591" s="33" t="s">
        <v>813</v>
      </c>
      <c r="D591" s="33">
        <v>2029</v>
      </c>
      <c r="E591" s="2"/>
      <c r="F591" s="397">
        <f>SUMIFS(uitkomst_doelgroep[Patiëntaantallen],uitkomst_doelgroep[Digitale zorgtoepassing],B591,uitkomst_doelgroep[Jaar],D591,uitkomst_doelgroep[Arbeidsbesparing (€)],"&gt;0",uitkomst_doelgroep[Uitgangssituatie/effect beleid],uitkomst_tech[[#This Row],[Uitgangssituatie/effect beleid]])</f>
        <v>55838.794789510866</v>
      </c>
      <c r="G591" s="398">
        <f>SUMIFS(uitkomst_doelgroep[Arbeidsbesparing (€)],uitkomst_doelgroep[Digitale zorgtoepassing],B591,uitkomst_doelgroep[Jaar],D591,uitkomst_doelgroep[Arbeidsbesparing (€)],"&gt;0",uitkomst_doelgroep[Uitgangssituatie/effect beleid],uitkomst_tech[[#This Row],[Uitgangssituatie/effect beleid]])</f>
        <v>29656751.525956646</v>
      </c>
      <c r="H591" s="398">
        <f>SUMIFS(uitkomst_doelgroep[Arbeidsbesparing (FTE)],uitkomst_doelgroep[Digitale zorgtoepassing],B591,uitkomst_doelgroep[Jaar],D591,uitkomst_doelgroep[Arbeidsbesparing (FTE)],"&gt;0",uitkomst_doelgroep[Uitgangssituatie/effect beleid],uitkomst_tech[[#This Row],[Uitgangssituatie/effect beleid]])</f>
        <v>698.56011757879719</v>
      </c>
      <c r="I591" s="398">
        <f>SUMIFS(uitkomst_doelgroep[Overige besparingen (€)],uitkomst_doelgroep[Digitale zorgtoepassing],B591,uitkomst_doelgroep[Jaar],D591,uitkomst_doelgroep[Overige besparingen (€)],"&gt;0",uitkomst_doelgroep[Uitgangssituatie/effect beleid],uitkomst_tech[[#This Row],[Uitgangssituatie/effect beleid]])</f>
        <v>2821976.4981290684</v>
      </c>
      <c r="J591" s="398">
        <f>SUMIFS(uitkomst_doelgroep[QALY (€)],uitkomst_doelgroep[Digitale zorgtoepassing],B591,uitkomst_doelgroep[Jaar],D591,uitkomst_doelgroep[QALY (€)],"&gt;0",uitkomst_doelgroep[Uitgangssituatie/effect beleid],uitkomst_tech[[#This Row],[Uitgangssituatie/effect beleid]])</f>
        <v>0</v>
      </c>
      <c r="K591" s="398">
        <f>SUMIFS(uitkomst_doelgroep[Kosten (€)],uitkomst_doelgroep[Digitale zorgtoepassing],B591,uitkomst_doelgroep[Jaar],D591,uitkomst_doelgroep[Kosten (€)],"&gt;0",uitkomst_doelgroep[Uitgangssituatie/effect beleid],uitkomst_tech[[#This Row],[Uitgangssituatie/effect beleid]])</f>
        <v>7957028.2575052977</v>
      </c>
      <c r="L591" s="398">
        <f>SUMIFS(uitkomst_doelgroep[Investering (cash flow) (€)],uitkomst_doelgroep[Digitale zorgtoepassing],B591,uitkomst_doelgroep[Jaar],D591,uitkomst_doelgroep[Investering (cash flow) (€)],"&gt;0",uitkomst_doelgroep[Uitgangssituatie/effect beleid],uitkomst_tech[[#This Row],[Uitgangssituatie/effect beleid]])</f>
        <v>2698627.6691942615</v>
      </c>
    </row>
    <row r="592" spans="1:12" x14ac:dyDescent="0.5">
      <c r="A592" s="2" t="str">
        <f>INDEX(Technologieën[Veld],MATCH(B592,Technologieën[Digitale zorgtoepassing],0))</f>
        <v>Sensoren - Verpleging</v>
      </c>
      <c r="B592" s="33" t="s">
        <v>46</v>
      </c>
      <c r="C592" s="33" t="s">
        <v>813</v>
      </c>
      <c r="D592" s="33">
        <v>2030</v>
      </c>
      <c r="E592" s="2"/>
      <c r="F592" s="397">
        <f>SUMIFS(uitkomst_doelgroep[Patiëntaantallen],uitkomst_doelgroep[Digitale zorgtoepassing],B592,uitkomst_doelgroep[Jaar],D592,uitkomst_doelgroep[Arbeidsbesparing (€)],"&gt;0",uitkomst_doelgroep[Uitgangssituatie/effect beleid],uitkomst_tech[[#This Row],[Uitgangssituatie/effect beleid]])</f>
        <v>61782.000478980568</v>
      </c>
      <c r="G592" s="398">
        <f>SUMIFS(uitkomst_doelgroep[Arbeidsbesparing (€)],uitkomst_doelgroep[Digitale zorgtoepassing],B592,uitkomst_doelgroep[Jaar],D592,uitkomst_doelgroep[Arbeidsbesparing (€)],"&gt;0",uitkomst_doelgroep[Uitgangssituatie/effect beleid],uitkomst_tech[[#This Row],[Uitgangssituatie/effect beleid]])</f>
        <v>32813269.768599018</v>
      </c>
      <c r="H592" s="398">
        <f>SUMIFS(uitkomst_doelgroep[Arbeidsbesparing (FTE)],uitkomst_doelgroep[Digitale zorgtoepassing],B592,uitkomst_doelgroep[Jaar],D592,uitkomst_doelgroep[Arbeidsbesparing (FTE)],"&gt;0",uitkomst_doelgroep[Uitgangssituatie/effect beleid],uitkomst_tech[[#This Row],[Uitgangssituatie/effect beleid]])</f>
        <v>772.91140830563086</v>
      </c>
      <c r="I592" s="398">
        <f>SUMIFS(uitkomst_doelgroep[Overige besparingen (€)],uitkomst_doelgroep[Digitale zorgtoepassing],B592,uitkomst_doelgroep[Jaar],D592,uitkomst_doelgroep[Overige besparingen (€)],"&gt;0",uitkomst_doelgroep[Uitgangssituatie/effect beleid],uitkomst_tech[[#This Row],[Uitgangssituatie/effect beleid]])</f>
        <v>3122333.7469280874</v>
      </c>
      <c r="J592" s="398">
        <f>SUMIFS(uitkomst_doelgroep[QALY (€)],uitkomst_doelgroep[Digitale zorgtoepassing],B592,uitkomst_doelgroep[Jaar],D592,uitkomst_doelgroep[QALY (€)],"&gt;0",uitkomst_doelgroep[Uitgangssituatie/effect beleid],uitkomst_tech[[#This Row],[Uitgangssituatie/effect beleid]])</f>
        <v>0</v>
      </c>
      <c r="K592" s="398">
        <f>SUMIFS(uitkomst_doelgroep[Kosten (€)],uitkomst_doelgroep[Digitale zorgtoepassing],B592,uitkomst_doelgroep[Jaar],D592,uitkomst_doelgroep[Kosten (€)],"&gt;0",uitkomst_doelgroep[Uitgangssituatie/effect beleid],uitkomst_tech[[#This Row],[Uitgangssituatie/effect beleid]])</f>
        <v>8803935.0682547316</v>
      </c>
      <c r="L592" s="398">
        <f>SUMIFS(uitkomst_doelgroep[Investering (cash flow) (€)],uitkomst_doelgroep[Digitale zorgtoepassing],B592,uitkomst_doelgroep[Jaar],D592,uitkomst_doelgroep[Investering (cash flow) (€)],"&gt;0",uitkomst_doelgroep[Uitgangssituatie/effect beleid],uitkomst_tech[[#This Row],[Uitgangssituatie/effect beleid]])</f>
        <v>2183828.1375510376</v>
      </c>
    </row>
    <row r="593" spans="1:12" x14ac:dyDescent="0.5">
      <c r="A593" s="2" t="str">
        <f>INDEX(Technologieën[Veld],MATCH(B593,Technologieën[Digitale zorgtoepassing],0))</f>
        <v>Sensoren - Verpleging</v>
      </c>
      <c r="B593" s="33" t="s">
        <v>46</v>
      </c>
      <c r="C593" s="33" t="s">
        <v>813</v>
      </c>
      <c r="D593" s="33">
        <v>2031</v>
      </c>
      <c r="E593" s="2"/>
      <c r="F593" s="397">
        <f>SUMIFS(uitkomst_doelgroep[Patiëntaantallen],uitkomst_doelgroep[Digitale zorgtoepassing],B593,uitkomst_doelgroep[Jaar],D593,uitkomst_doelgroep[Arbeidsbesparing (€)],"&gt;0",uitkomst_doelgroep[Uitgangssituatie/effect beleid],uitkomst_tech[[#This Row],[Uitgangssituatie/effect beleid]])</f>
        <v>66591.459731205803</v>
      </c>
      <c r="G593" s="398">
        <f>SUMIFS(uitkomst_doelgroep[Arbeidsbesparing (€)],uitkomst_doelgroep[Digitale zorgtoepassing],B593,uitkomst_doelgroep[Jaar],D593,uitkomst_doelgroep[Arbeidsbesparing (€)],"&gt;0",uitkomst_doelgroep[Uitgangssituatie/effect beleid],uitkomst_tech[[#This Row],[Uitgangssituatie/effect beleid]])</f>
        <v>35367639.692862682</v>
      </c>
      <c r="H593" s="398">
        <f>SUMIFS(uitkomst_doelgroep[Arbeidsbesparing (FTE)],uitkomst_doelgroep[Digitale zorgtoepassing],B593,uitkomst_doelgroep[Jaar],D593,uitkomst_doelgroep[Arbeidsbesparing (FTE)],"&gt;0",uitkomst_doelgroep[Uitgangssituatie/effect beleid],uitkomst_tech[[#This Row],[Uitgangssituatie/effect beleid]])</f>
        <v>833.07919010302737</v>
      </c>
      <c r="I593" s="398">
        <f>SUMIFS(uitkomst_doelgroep[Overige besparingen (€)],uitkomst_doelgroep[Digitale zorgtoepassing],B593,uitkomst_doelgroep[Jaar],D593,uitkomst_doelgroep[Overige besparingen (€)],"&gt;0",uitkomst_doelgroep[Uitgangssituatie/effect beleid],uitkomst_tech[[#This Row],[Uitgangssituatie/effect beleid]])</f>
        <v>3365393.8099120846</v>
      </c>
      <c r="J593" s="398">
        <f>SUMIFS(uitkomst_doelgroep[QALY (€)],uitkomst_doelgroep[Digitale zorgtoepassing],B593,uitkomst_doelgroep[Jaar],D593,uitkomst_doelgroep[QALY (€)],"&gt;0",uitkomst_doelgroep[Uitgangssituatie/effect beleid],uitkomst_tech[[#This Row],[Uitgangssituatie/effect beleid]])</f>
        <v>0</v>
      </c>
      <c r="K593" s="398">
        <f>SUMIFS(uitkomst_doelgroep[Kosten (€)],uitkomst_doelgroep[Digitale zorgtoepassing],B593,uitkomst_doelgroep[Jaar],D593,uitkomst_doelgroep[Kosten (€)],"&gt;0",uitkomst_doelgroep[Uitgangssituatie/effect beleid],uitkomst_tech[[#This Row],[Uitgangssituatie/effect beleid]])</f>
        <v>9489283.0116968267</v>
      </c>
      <c r="L593" s="398">
        <f>SUMIFS(uitkomst_doelgroep[Investering (cash flow) (€)],uitkomst_doelgroep[Digitale zorgtoepassing],B593,uitkomst_doelgroep[Jaar],D593,uitkomst_doelgroep[Investering (cash flow) (€)],"&gt;0",uitkomst_doelgroep[Uitgangssituatie/effect beleid],uitkomst_tech[[#This Row],[Uitgangssituatie/effect beleid]])</f>
        <v>1662269.4259214692</v>
      </c>
    </row>
    <row r="594" spans="1:12" x14ac:dyDescent="0.5">
      <c r="A594" s="2" t="str">
        <f>INDEX(Technologieën[Veld],MATCH(B594,Technologieën[Digitale zorgtoepassing],0))</f>
        <v>Sensoren - Verpleging</v>
      </c>
      <c r="B594" s="33" t="s">
        <v>46</v>
      </c>
      <c r="C594" s="33" t="s">
        <v>813</v>
      </c>
      <c r="D594" s="33">
        <v>2032</v>
      </c>
      <c r="E594" s="2"/>
      <c r="F594" s="397">
        <f>SUMIFS(uitkomst_doelgroep[Patiëntaantallen],uitkomst_doelgroep[Digitale zorgtoepassing],B594,uitkomst_doelgroep[Jaar],D594,uitkomst_doelgroep[Arbeidsbesparing (€)],"&gt;0",uitkomst_doelgroep[Uitgangssituatie/effect beleid],uitkomst_tech[[#This Row],[Uitgangssituatie/effect beleid]])</f>
        <v>70252.286759084629</v>
      </c>
      <c r="G594" s="398">
        <f>SUMIFS(uitkomst_doelgroep[Arbeidsbesparing (€)],uitkomst_doelgroep[Digitale zorgtoepassing],B594,uitkomst_doelgroep[Jaar],D594,uitkomst_doelgroep[Arbeidsbesparing (€)],"&gt;0",uitkomst_doelgroep[Uitgangssituatie/effect beleid],uitkomst_tech[[#This Row],[Uitgangssituatie/effect beleid]])</f>
        <v>37311955.252583593</v>
      </c>
      <c r="H594" s="398">
        <f>SUMIFS(uitkomst_doelgroep[Arbeidsbesparing (FTE)],uitkomst_doelgroep[Digitale zorgtoepassing],B594,uitkomst_doelgroep[Jaar],D594,uitkomst_doelgroep[Arbeidsbesparing (FTE)],"&gt;0",uitkomst_doelgroep[Uitgangssituatie/effect beleid],uitkomst_tech[[#This Row],[Uitgangssituatie/effect beleid]])</f>
        <v>878.87723729710933</v>
      </c>
      <c r="I594" s="398">
        <f>SUMIFS(uitkomst_doelgroep[Overige besparingen (€)],uitkomst_doelgroep[Digitale zorgtoepassing],B594,uitkomst_doelgroep[Jaar],D594,uitkomst_doelgroep[Overige besparingen (€)],"&gt;0",uitkomst_doelgroep[Uitgangssituatie/effect beleid],uitkomst_tech[[#This Row],[Uitgangssituatie/effect beleid]])</f>
        <v>3550404.3903755862</v>
      </c>
      <c r="J594" s="398">
        <f>SUMIFS(uitkomst_doelgroep[QALY (€)],uitkomst_doelgroep[Digitale zorgtoepassing],B594,uitkomst_doelgroep[Jaar],D594,uitkomst_doelgroep[QALY (€)],"&gt;0",uitkomst_doelgroep[Uitgangssituatie/effect beleid],uitkomst_tech[[#This Row],[Uitgangssituatie/effect beleid]])</f>
        <v>0</v>
      </c>
      <c r="K594" s="398">
        <f>SUMIFS(uitkomst_doelgroep[Kosten (€)],uitkomst_doelgroep[Digitale zorgtoepassing],B594,uitkomst_doelgroep[Jaar],D594,uitkomst_doelgroep[Kosten (€)],"&gt;0",uitkomst_doelgroep[Uitgangssituatie/effect beleid],uitkomst_tech[[#This Row],[Uitgangssituatie/effect beleid]])</f>
        <v>10010950.86316956</v>
      </c>
      <c r="L594" s="398">
        <f>SUMIFS(uitkomst_doelgroep[Investering (cash flow) (€)],uitkomst_doelgroep[Digitale zorgtoepassing],B594,uitkomst_doelgroep[Jaar],D594,uitkomst_doelgroep[Investering (cash flow) (€)],"&gt;0",uitkomst_doelgroep[Uitgangssituatie/effect beleid],uitkomst_tech[[#This Row],[Uitgangssituatie/effect beleid]])</f>
        <v>1202336.4323692063</v>
      </c>
    </row>
    <row r="595" spans="1:12" x14ac:dyDescent="0.5">
      <c r="A595" s="2" t="str">
        <f>INDEX(Technologieën[Veld],MATCH(B595,Technologieën[Digitale zorgtoepassing],0))</f>
        <v>Sensoren - Verpleging</v>
      </c>
      <c r="B595" s="33" t="s">
        <v>46</v>
      </c>
      <c r="C595" s="33" t="s">
        <v>813</v>
      </c>
      <c r="D595" s="33">
        <v>2033</v>
      </c>
      <c r="E595" s="2"/>
      <c r="F595" s="397">
        <f>SUMIFS(uitkomst_doelgroep[Patiëntaantallen],uitkomst_doelgroep[Digitale zorgtoepassing],B595,uitkomst_doelgroep[Jaar],D595,uitkomst_doelgroep[Arbeidsbesparing (€)],"&gt;0",uitkomst_doelgroep[Uitgangssituatie/effect beleid],uitkomst_tech[[#This Row],[Uitgangssituatie/effect beleid]])</f>
        <v>72900.200291982968</v>
      </c>
      <c r="G595" s="398">
        <f>SUMIFS(uitkomst_doelgroep[Arbeidsbesparing (€)],uitkomst_doelgroep[Digitale zorgtoepassing],B595,uitkomst_doelgroep[Jaar],D595,uitkomst_doelgroep[Arbeidsbesparing (€)],"&gt;0",uitkomst_doelgroep[Uitgangssituatie/effect beleid],uitkomst_tech[[#This Row],[Uitgangssituatie/effect beleid]])</f>
        <v>38718298.530646876</v>
      </c>
      <c r="H595" s="398">
        <f>SUMIFS(uitkomst_doelgroep[Arbeidsbesparing (FTE)],uitkomst_doelgroep[Digitale zorgtoepassing],B595,uitkomst_doelgroep[Jaar],D595,uitkomst_doelgroep[Arbeidsbesparing (FTE)],"&gt;0",uitkomst_doelgroep[Uitgangssituatie/effect beleid],uitkomst_tech[[#This Row],[Uitgangssituatie/effect beleid]])</f>
        <v>912.00343201267674</v>
      </c>
      <c r="I595" s="398">
        <f>SUMIFS(uitkomst_doelgroep[Overige besparingen (€)],uitkomst_doelgroep[Digitale zorgtoepassing],B595,uitkomst_doelgroep[Jaar],D595,uitkomst_doelgroep[Overige besparingen (€)],"&gt;0",uitkomst_doelgroep[Uitgangssituatie/effect beleid],uitkomst_tech[[#This Row],[Uitgangssituatie/effect beleid]])</f>
        <v>3684224.4304943723</v>
      </c>
      <c r="J595" s="398">
        <f>SUMIFS(uitkomst_doelgroep[QALY (€)],uitkomst_doelgroep[Digitale zorgtoepassing],B595,uitkomst_doelgroep[Jaar],D595,uitkomst_doelgroep[QALY (€)],"&gt;0",uitkomst_doelgroep[Uitgangssituatie/effect beleid],uitkomst_tech[[#This Row],[Uitgangssituatie/effect beleid]])</f>
        <v>0</v>
      </c>
      <c r="K595" s="398">
        <f>SUMIFS(uitkomst_doelgroep[Kosten (€)],uitkomst_doelgroep[Digitale zorgtoepassing],B595,uitkomst_doelgroep[Jaar],D595,uitkomst_doelgroep[Kosten (€)],"&gt;0",uitkomst_doelgroep[Uitgangssituatie/effect beleid],uitkomst_tech[[#This Row],[Uitgangssituatie/effect beleid]])</f>
        <v>10388278.541607572</v>
      </c>
      <c r="L595" s="398">
        <f>SUMIFS(uitkomst_doelgroep[Investering (cash flow) (€)],uitkomst_doelgroep[Digitale zorgtoepassing],B595,uitkomst_doelgroep[Jaar],D595,uitkomst_doelgroep[Investering (cash flow) (€)],"&gt;0",uitkomst_doelgroep[Uitgangssituatie/effect beleid],uitkomst_tech[[#This Row],[Uitgangssituatie/effect beleid]])</f>
        <v>835756.33136338613</v>
      </c>
    </row>
    <row r="596" spans="1:12" x14ac:dyDescent="0.5">
      <c r="A596" s="2" t="str">
        <f>INDEX(Technologieën[Veld],MATCH(B596,Technologieën[Digitale zorgtoepassing],0))</f>
        <v>Sensoren - Verpleging</v>
      </c>
      <c r="B596" s="33" t="s">
        <v>36</v>
      </c>
      <c r="C596" s="33" t="s">
        <v>813</v>
      </c>
      <c r="D596" s="33">
        <v>2023</v>
      </c>
      <c r="E596" s="2"/>
      <c r="F596" s="397">
        <f>SUMIFS(uitkomst_doelgroep[Patiëntaantallen],uitkomst_doelgroep[Digitale zorgtoepassing],B596,uitkomst_doelgroep[Jaar],D596,uitkomst_doelgroep[Arbeidsbesparing (€)],"&gt;0",uitkomst_doelgroep[Uitgangssituatie/effect beleid],uitkomst_tech[[#This Row],[Uitgangssituatie/effect beleid]])</f>
        <v>6612.87</v>
      </c>
      <c r="G596" s="398">
        <f>SUMIFS(uitkomst_doelgroep[Arbeidsbesparing (€)],uitkomst_doelgroep[Digitale zorgtoepassing],B596,uitkomst_doelgroep[Jaar],D596,uitkomst_doelgroep[Arbeidsbesparing (€)],"&gt;0",uitkomst_doelgroep[Uitgangssituatie/effect beleid],uitkomst_tech[[#This Row],[Uitgangssituatie/effect beleid]])</f>
        <v>22810548.326879766</v>
      </c>
      <c r="H596" s="398">
        <f>SUMIFS(uitkomst_doelgroep[Arbeidsbesparing (FTE)],uitkomst_doelgroep[Digitale zorgtoepassing],B596,uitkomst_doelgroep[Jaar],D596,uitkomst_doelgroep[Arbeidsbesparing (FTE)],"&gt;0",uitkomst_doelgroep[Uitgangssituatie/effect beleid],uitkomst_tech[[#This Row],[Uitgangssituatie/effect beleid]])</f>
        <v>537.29887804183431</v>
      </c>
      <c r="I596" s="398">
        <f>SUMIFS(uitkomst_doelgroep[Overige besparingen (€)],uitkomst_doelgroep[Digitale zorgtoepassing],B596,uitkomst_doelgroep[Jaar],D596,uitkomst_doelgroep[Overige besparingen (€)],"&gt;0",uitkomst_doelgroep[Uitgangssituatie/effect beleid],uitkomst_tech[[#This Row],[Uitgangssituatie/effect beleid]])</f>
        <v>3137769.0271714278</v>
      </c>
      <c r="J596" s="398">
        <f>SUMIFS(uitkomst_doelgroep[QALY (€)],uitkomst_doelgroep[Digitale zorgtoepassing],B596,uitkomst_doelgroep[Jaar],D596,uitkomst_doelgroep[QALY (€)],"&gt;0",uitkomst_doelgroep[Uitgangssituatie/effect beleid],uitkomst_tech[[#This Row],[Uitgangssituatie/effect beleid]])</f>
        <v>0</v>
      </c>
      <c r="K596" s="398">
        <f>SUMIFS(uitkomst_doelgroep[Kosten (€)],uitkomst_doelgroep[Digitale zorgtoepassing],B596,uitkomst_doelgroep[Jaar],D596,uitkomst_doelgroep[Kosten (€)],"&gt;0",uitkomst_doelgroep[Uitgangssituatie/effect beleid],uitkomst_tech[[#This Row],[Uitgangssituatie/effect beleid]])</f>
        <v>12418969.859999999</v>
      </c>
      <c r="L596" s="398">
        <f>SUMIFS(uitkomst_doelgroep[Investering (cash flow) (€)],uitkomst_doelgroep[Digitale zorgtoepassing],B596,uitkomst_doelgroep[Jaar],D596,uitkomst_doelgroep[Investering (cash flow) (€)],"&gt;0",uitkomst_doelgroep[Uitgangssituatie/effect beleid],uitkomst_tech[[#This Row],[Uitgangssituatie/effect beleid]])</f>
        <v>0</v>
      </c>
    </row>
    <row r="597" spans="1:12" x14ac:dyDescent="0.5">
      <c r="A597" s="2" t="str">
        <f>INDEX(Technologieën[Veld],MATCH(B597,Technologieën[Digitale zorgtoepassing],0))</f>
        <v>Sensoren - Verpleging</v>
      </c>
      <c r="B597" s="33" t="s">
        <v>36</v>
      </c>
      <c r="C597" s="33" t="s">
        <v>813</v>
      </c>
      <c r="D597" s="33">
        <v>2024</v>
      </c>
      <c r="E597" s="2"/>
      <c r="F597" s="397">
        <f>SUMIFS(uitkomst_doelgroep[Patiëntaantallen],uitkomst_doelgroep[Digitale zorgtoepassing],B597,uitkomst_doelgroep[Jaar],D597,uitkomst_doelgroep[Arbeidsbesparing (€)],"&gt;0",uitkomst_doelgroep[Uitgangssituatie/effect beleid],uitkomst_tech[[#This Row],[Uitgangssituatie/effect beleid]])</f>
        <v>9258.018</v>
      </c>
      <c r="G597" s="398">
        <f>SUMIFS(uitkomst_doelgroep[Arbeidsbesparing (€)],uitkomst_doelgroep[Digitale zorgtoepassing],B597,uitkomst_doelgroep[Jaar],D597,uitkomst_doelgroep[Arbeidsbesparing (€)],"&gt;0",uitkomst_doelgroep[Uitgangssituatie/effect beleid],uitkomst_tech[[#This Row],[Uitgangssituatie/effect beleid]])</f>
        <v>31934767.657631673</v>
      </c>
      <c r="H597" s="398">
        <f>SUMIFS(uitkomst_doelgroep[Arbeidsbesparing (FTE)],uitkomst_doelgroep[Digitale zorgtoepassing],B597,uitkomst_doelgroep[Jaar],D597,uitkomst_doelgroep[Arbeidsbesparing (FTE)],"&gt;0",uitkomst_doelgroep[Uitgangssituatie/effect beleid],uitkomst_tech[[#This Row],[Uitgangssituatie/effect beleid]])</f>
        <v>752.21842925856799</v>
      </c>
      <c r="I597" s="398">
        <f>SUMIFS(uitkomst_doelgroep[Overige besparingen (€)],uitkomst_doelgroep[Digitale zorgtoepassing],B597,uitkomst_doelgroep[Jaar],D597,uitkomst_doelgroep[Overige besparingen (€)],"&gt;0",uitkomst_doelgroep[Uitgangssituatie/effect beleid],uitkomst_tech[[#This Row],[Uitgangssituatie/effect beleid]])</f>
        <v>4392876.6380399996</v>
      </c>
      <c r="J597" s="398">
        <f>SUMIFS(uitkomst_doelgroep[QALY (€)],uitkomst_doelgroep[Digitale zorgtoepassing],B597,uitkomst_doelgroep[Jaar],D597,uitkomst_doelgroep[QALY (€)],"&gt;0",uitkomst_doelgroep[Uitgangssituatie/effect beleid],uitkomst_tech[[#This Row],[Uitgangssituatie/effect beleid]])</f>
        <v>0</v>
      </c>
      <c r="K597" s="398">
        <f>SUMIFS(uitkomst_doelgroep[Kosten (€)],uitkomst_doelgroep[Digitale zorgtoepassing],B597,uitkomst_doelgroep[Jaar],D597,uitkomst_doelgroep[Kosten (€)],"&gt;0",uitkomst_doelgroep[Uitgangssituatie/effect beleid],uitkomst_tech[[#This Row],[Uitgangssituatie/effect beleid]])</f>
        <v>17386557.804000001</v>
      </c>
      <c r="L597" s="398">
        <f>SUMIFS(uitkomst_doelgroep[Investering (cash flow) (€)],uitkomst_doelgroep[Digitale zorgtoepassing],B597,uitkomst_doelgroep[Jaar],D597,uitkomst_doelgroep[Investering (cash flow) (€)],"&gt;0",uitkomst_doelgroep[Uitgangssituatie/effect beleid],uitkomst_tech[[#This Row],[Uitgangssituatie/effect beleid]])</f>
        <v>0</v>
      </c>
    </row>
    <row r="598" spans="1:12" x14ac:dyDescent="0.5">
      <c r="A598" s="2" t="str">
        <f>INDEX(Technologieën[Veld],MATCH(B598,Technologieën[Digitale zorgtoepassing],0))</f>
        <v>Sensoren - Verpleging</v>
      </c>
      <c r="B598" s="33" t="s">
        <v>36</v>
      </c>
      <c r="C598" s="33" t="s">
        <v>813</v>
      </c>
      <c r="D598" s="33">
        <v>2025</v>
      </c>
      <c r="E598" s="2"/>
      <c r="F598" s="397">
        <f>SUMIFS(uitkomst_doelgroep[Patiëntaantallen],uitkomst_doelgroep[Digitale zorgtoepassing],B598,uitkomst_doelgroep[Jaar],D598,uitkomst_doelgroep[Arbeidsbesparing (€)],"&gt;0",uitkomst_doelgroep[Uitgangssituatie/effect beleid],uitkomst_tech[[#This Row],[Uitgangssituatie/effect beleid]])</f>
        <v>12400.453824</v>
      </c>
      <c r="G598" s="398">
        <f>SUMIFS(uitkomst_doelgroep[Arbeidsbesparing (€)],uitkomst_doelgroep[Digitale zorgtoepassing],B598,uitkomst_doelgroep[Jaar],D598,uitkomst_doelgroep[Arbeidsbesparing (€)],"&gt;0",uitkomst_doelgroep[Uitgangssituatie/effect beleid],uitkomst_tech[[#This Row],[Uitgangssituatie/effect beleid]])</f>
        <v>42774340.222564936</v>
      </c>
      <c r="H598" s="398">
        <f>SUMIFS(uitkomst_doelgroep[Arbeidsbesparing (FTE)],uitkomst_doelgroep[Digitale zorgtoepassing],B598,uitkomst_doelgroep[Jaar],D598,uitkomst_doelgroep[Arbeidsbesparing (FTE)],"&gt;0",uitkomst_doelgroep[Uitgangssituatie/effect beleid],uitkomst_tech[[#This Row],[Uitgangssituatie/effect beleid]])</f>
        <v>1007.5428561040477</v>
      </c>
      <c r="I598" s="398">
        <f>SUMIFS(uitkomst_doelgroep[Overige besparingen (€)],uitkomst_doelgroep[Digitale zorgtoepassing],B598,uitkomst_doelgroep[Jaar],D598,uitkomst_doelgroep[Overige besparingen (€)],"&gt;0",uitkomst_doelgroep[Uitgangssituatie/effect beleid],uitkomst_tech[[#This Row],[Uitgangssituatie/effect beleid]])</f>
        <v>5883944.4797518617</v>
      </c>
      <c r="J598" s="398">
        <f>SUMIFS(uitkomst_doelgroep[QALY (€)],uitkomst_doelgroep[Digitale zorgtoepassing],B598,uitkomst_doelgroep[Jaar],D598,uitkomst_doelgroep[QALY (€)],"&gt;0",uitkomst_doelgroep[Uitgangssituatie/effect beleid],uitkomst_tech[[#This Row],[Uitgangssituatie/effect beleid]])</f>
        <v>0</v>
      </c>
      <c r="K598" s="398">
        <f>SUMIFS(uitkomst_doelgroep[Kosten (€)],uitkomst_doelgroep[Digitale zorgtoepassing],B598,uitkomst_doelgroep[Jaar],D598,uitkomst_doelgroep[Kosten (€)],"&gt;0",uitkomst_doelgroep[Uitgangssituatie/effect beleid],uitkomst_tech[[#This Row],[Uitgangssituatie/effect beleid]])</f>
        <v>23288052.281472001</v>
      </c>
      <c r="L598" s="398">
        <f>SUMIFS(uitkomst_doelgroep[Investering (cash flow) (€)],uitkomst_doelgroep[Digitale zorgtoepassing],B598,uitkomst_doelgroep[Jaar],D598,uitkomst_doelgroep[Investering (cash flow) (€)],"&gt;0",uitkomst_doelgroep[Uitgangssituatie/effect beleid],uitkomst_tech[[#This Row],[Uitgangssituatie/effect beleid]])</f>
        <v>0</v>
      </c>
    </row>
    <row r="599" spans="1:12" x14ac:dyDescent="0.5">
      <c r="A599" s="2" t="str">
        <f>INDEX(Technologieën[Veld],MATCH(B599,Technologieën[Digitale zorgtoepassing],0))</f>
        <v>Sensoren - Verpleging</v>
      </c>
      <c r="B599" s="33" t="s">
        <v>36</v>
      </c>
      <c r="C599" s="33" t="s">
        <v>813</v>
      </c>
      <c r="D599" s="33">
        <v>2026</v>
      </c>
      <c r="E599" s="2"/>
      <c r="F599" s="397">
        <f>SUMIFS(uitkomst_doelgroep[Patiëntaantallen],uitkomst_doelgroep[Digitale zorgtoepassing],B599,uitkomst_doelgroep[Jaar],D599,uitkomst_doelgroep[Arbeidsbesparing (€)],"&gt;0",uitkomst_doelgroep[Uitgangssituatie/effect beleid],uitkomst_tech[[#This Row],[Uitgangssituatie/effect beleid]])</f>
        <v>16578.790356258814</v>
      </c>
      <c r="G599" s="398">
        <f>SUMIFS(uitkomst_doelgroep[Arbeidsbesparing (€)],uitkomst_doelgroep[Digitale zorgtoepassing],B599,uitkomst_doelgroep[Jaar],D599,uitkomst_doelgroep[Arbeidsbesparing (€)],"&gt;0",uitkomst_doelgroep[Uitgangssituatie/effect beleid],uitkomst_tech[[#This Row],[Uitgangssituatie/effect beleid]])</f>
        <v>57187166.634555034</v>
      </c>
      <c r="H599" s="398">
        <f>SUMIFS(uitkomst_doelgroep[Arbeidsbesparing (FTE)],uitkomst_doelgroep[Digitale zorgtoepassing],B599,uitkomst_doelgroep[Jaar],D599,uitkomst_doelgroep[Arbeidsbesparing (FTE)],"&gt;0",uitkomst_doelgroep[Uitgangssituatie/effect beleid],uitkomst_tech[[#This Row],[Uitgangssituatie/effect beleid]])</f>
        <v>1347.0347152913403</v>
      </c>
      <c r="I599" s="398">
        <f>SUMIFS(uitkomst_doelgroep[Overige besparingen (€)],uitkomst_doelgroep[Digitale zorgtoepassing],B599,uitkomst_doelgroep[Jaar],D599,uitkomst_doelgroep[Overige besparingen (€)],"&gt;0",uitkomst_doelgroep[Uitgangssituatie/effect beleid],uitkomst_tech[[#This Row],[Uitgangssituatie/effect beleid]])</f>
        <v>7866541.2880999139</v>
      </c>
      <c r="J599" s="398">
        <f>SUMIFS(uitkomst_doelgroep[QALY (€)],uitkomst_doelgroep[Digitale zorgtoepassing],B599,uitkomst_doelgroep[Jaar],D599,uitkomst_doelgroep[QALY (€)],"&gt;0",uitkomst_doelgroep[Uitgangssituatie/effect beleid],uitkomst_tech[[#This Row],[Uitgangssituatie/effect beleid]])</f>
        <v>0</v>
      </c>
      <c r="K599" s="398">
        <f>SUMIFS(uitkomst_doelgroep[Kosten (€)],uitkomst_doelgroep[Digitale zorgtoepassing],B599,uitkomst_doelgroep[Jaar],D599,uitkomst_doelgroep[Kosten (€)],"&gt;0",uitkomst_doelgroep[Uitgangssituatie/effect beleid],uitkomst_tech[[#This Row],[Uitgangssituatie/effect beleid]])</f>
        <v>31134968.289054058</v>
      </c>
      <c r="L599" s="398">
        <f>SUMIFS(uitkomst_doelgroep[Investering (cash flow) (€)],uitkomst_doelgroep[Digitale zorgtoepassing],B599,uitkomst_doelgroep[Jaar],D599,uitkomst_doelgroep[Investering (cash flow) (€)],"&gt;0",uitkomst_doelgroep[Uitgangssituatie/effect beleid],uitkomst_tech[[#This Row],[Uitgangssituatie/effect beleid]])</f>
        <v>0</v>
      </c>
    </row>
    <row r="600" spans="1:12" x14ac:dyDescent="0.5">
      <c r="A600" s="2" t="str">
        <f>INDEX(Technologieën[Veld],MATCH(B600,Technologieën[Digitale zorgtoepassing],0))</f>
        <v>Sensoren - Verpleging</v>
      </c>
      <c r="B600" s="33" t="s">
        <v>36</v>
      </c>
      <c r="C600" s="33" t="s">
        <v>813</v>
      </c>
      <c r="D600" s="33">
        <v>2027</v>
      </c>
      <c r="E600" s="2"/>
      <c r="F600" s="397">
        <f>SUMIFS(uitkomst_doelgroep[Patiëntaantallen],uitkomst_doelgroep[Digitale zorgtoepassing],B600,uitkomst_doelgroep[Jaar],D600,uitkomst_doelgroep[Arbeidsbesparing (€)],"&gt;0",uitkomst_doelgroep[Uitgangssituatie/effect beleid],uitkomst_tech[[#This Row],[Uitgangssituatie/effect beleid]])</f>
        <v>21136.188111134597</v>
      </c>
      <c r="G600" s="398">
        <f>SUMIFS(uitkomst_doelgroep[Arbeidsbesparing (€)],uitkomst_doelgroep[Digitale zorgtoepassing],B600,uitkomst_doelgroep[Jaar],D600,uitkomst_doelgroep[Arbeidsbesparing (€)],"&gt;0",uitkomst_doelgroep[Uitgangssituatie/effect beleid],uitkomst_tech[[#This Row],[Uitgangssituatie/effect beleid]])</f>
        <v>72907533.393981323</v>
      </c>
      <c r="H600" s="398">
        <f>SUMIFS(uitkomst_doelgroep[Arbeidsbesparing (FTE)],uitkomst_doelgroep[Digitale zorgtoepassing],B600,uitkomst_doelgroep[Jaar],D600,uitkomst_doelgroep[Arbeidsbesparing (FTE)],"&gt;0",uitkomst_doelgroep[Uitgangssituatie/effect beleid],uitkomst_tech[[#This Row],[Uitgangssituatie/effect beleid]])</f>
        <v>1717.3254817036741</v>
      </c>
      <c r="I600" s="398">
        <f>SUMIFS(uitkomst_doelgroep[Overige besparingen (€)],uitkomst_doelgroep[Digitale zorgtoepassing],B600,uitkomst_doelgroep[Jaar],D600,uitkomst_doelgroep[Overige besparingen (€)],"&gt;0",uitkomst_doelgroep[Uitgangssituatie/effect beleid],uitkomst_tech[[#This Row],[Uitgangssituatie/effect beleid]])</f>
        <v>10029000.480515588</v>
      </c>
      <c r="J600" s="398">
        <f>SUMIFS(uitkomst_doelgroep[QALY (€)],uitkomst_doelgroep[Digitale zorgtoepassing],B600,uitkomst_doelgroep[Jaar],D600,uitkomst_doelgroep[QALY (€)],"&gt;0",uitkomst_doelgroep[Uitgangssituatie/effect beleid],uitkomst_tech[[#This Row],[Uitgangssituatie/effect beleid]])</f>
        <v>0</v>
      </c>
      <c r="K600" s="398">
        <f>SUMIFS(uitkomst_doelgroep[Kosten (€)],uitkomst_doelgroep[Digitale zorgtoepassing],B600,uitkomst_doelgroep[Jaar],D600,uitkomst_doelgroep[Kosten (€)],"&gt;0",uitkomst_doelgroep[Uitgangssituatie/effect beleid],uitkomst_tech[[#This Row],[Uitgangssituatie/effect beleid]])</f>
        <v>39693761.272710778</v>
      </c>
      <c r="L600" s="398">
        <f>SUMIFS(uitkomst_doelgroep[Investering (cash flow) (€)],uitkomst_doelgroep[Digitale zorgtoepassing],B600,uitkomst_doelgroep[Jaar],D600,uitkomst_doelgroep[Investering (cash flow) (€)],"&gt;0",uitkomst_doelgroep[Uitgangssituatie/effect beleid],uitkomst_tech[[#This Row],[Uitgangssituatie/effect beleid]])</f>
        <v>0</v>
      </c>
    </row>
    <row r="601" spans="1:12" x14ac:dyDescent="0.5">
      <c r="A601" s="2" t="str">
        <f>INDEX(Technologieën[Veld],MATCH(B601,Technologieën[Digitale zorgtoepassing],0))</f>
        <v>Sensoren - Verpleging</v>
      </c>
      <c r="B601" s="33" t="s">
        <v>36</v>
      </c>
      <c r="C601" s="33" t="s">
        <v>813</v>
      </c>
      <c r="D601" s="33">
        <v>2028</v>
      </c>
      <c r="E601" s="2"/>
      <c r="F601" s="397">
        <f>SUMIFS(uitkomst_doelgroep[Patiëntaantallen],uitkomst_doelgroep[Digitale zorgtoepassing],B601,uitkomst_doelgroep[Jaar],D601,uitkomst_doelgroep[Arbeidsbesparing (€)],"&gt;0",uitkomst_doelgroep[Uitgangssituatie/effect beleid],uitkomst_tech[[#This Row],[Uitgangssituatie/effect beleid]])</f>
        <v>25836.683868431923</v>
      </c>
      <c r="G601" s="398">
        <f>SUMIFS(uitkomst_doelgroep[Arbeidsbesparing (€)],uitkomst_doelgroep[Digitale zorgtoepassing],B601,uitkomst_doelgroep[Jaar],D601,uitkomst_doelgroep[Arbeidsbesparing (€)],"&gt;0",uitkomst_doelgroep[Uitgangssituatie/effect beleid],uitkomst_tech[[#This Row],[Uitgangssituatie/effect beleid]])</f>
        <v>89121504.8817202</v>
      </c>
      <c r="H601" s="398">
        <f>SUMIFS(uitkomst_doelgroep[Arbeidsbesparing (FTE)],uitkomst_doelgroep[Digitale zorgtoepassing],B601,uitkomst_doelgroep[Jaar],D601,uitkomst_doelgroep[Arbeidsbesparing (FTE)],"&gt;0",uitkomst_doelgroep[Uitgangssituatie/effect beleid],uitkomst_tech[[#This Row],[Uitgangssituatie/effect beleid]])</f>
        <v>2099.2430298539107</v>
      </c>
      <c r="I601" s="398">
        <f>SUMIFS(uitkomst_doelgroep[Overige besparingen (€)],uitkomst_doelgroep[Digitale zorgtoepassing],B601,uitkomst_doelgroep[Jaar],D601,uitkomst_doelgroep[Overige besparingen (€)],"&gt;0",uitkomst_doelgroep[Uitgangssituatie/effect beleid],uitkomst_tech[[#This Row],[Uitgangssituatie/effect beleid]])</f>
        <v>12259358.85737741</v>
      </c>
      <c r="J601" s="398">
        <f>SUMIFS(uitkomst_doelgroep[QALY (€)],uitkomst_doelgroep[Digitale zorgtoepassing],B601,uitkomst_doelgroep[Jaar],D601,uitkomst_doelgroep[QALY (€)],"&gt;0",uitkomst_doelgroep[Uitgangssituatie/effect beleid],uitkomst_tech[[#This Row],[Uitgangssituatie/effect beleid]])</f>
        <v>0</v>
      </c>
      <c r="K601" s="398">
        <f>SUMIFS(uitkomst_doelgroep[Kosten (€)],uitkomst_doelgroep[Digitale zorgtoepassing],B601,uitkomst_doelgroep[Jaar],D601,uitkomst_doelgroep[Kosten (€)],"&gt;0",uitkomst_doelgroep[Uitgangssituatie/effect beleid],uitkomst_tech[[#This Row],[Uitgangssituatie/effect beleid]])</f>
        <v>48521292.304915145</v>
      </c>
      <c r="L601" s="398">
        <f>SUMIFS(uitkomst_doelgroep[Investering (cash flow) (€)],uitkomst_doelgroep[Digitale zorgtoepassing],B601,uitkomst_doelgroep[Jaar],D601,uitkomst_doelgroep[Investering (cash flow) (€)],"&gt;0",uitkomst_doelgroep[Uitgangssituatie/effect beleid],uitkomst_tech[[#This Row],[Uitgangssituatie/effect beleid]])</f>
        <v>0</v>
      </c>
    </row>
    <row r="602" spans="1:12" x14ac:dyDescent="0.5">
      <c r="A602" s="2" t="str">
        <f>INDEX(Technologieën[Veld],MATCH(B602,Technologieën[Digitale zorgtoepassing],0))</f>
        <v>Sensoren - Verpleging</v>
      </c>
      <c r="B602" s="33" t="s">
        <v>36</v>
      </c>
      <c r="C602" s="33" t="s">
        <v>813</v>
      </c>
      <c r="D602" s="33">
        <v>2029</v>
      </c>
      <c r="E602" s="2"/>
      <c r="F602" s="397">
        <f>SUMIFS(uitkomst_doelgroep[Patiëntaantallen],uitkomst_doelgroep[Digitale zorgtoepassing],B602,uitkomst_doelgroep[Jaar],D602,uitkomst_doelgroep[Arbeidsbesparing (€)],"&gt;0",uitkomst_doelgroep[Uitgangssituatie/effect beleid],uitkomst_tech[[#This Row],[Uitgangssituatie/effect beleid]])</f>
        <v>30472.787943863575</v>
      </c>
      <c r="G602" s="398">
        <f>SUMIFS(uitkomst_doelgroep[Arbeidsbesparing (€)],uitkomst_doelgroep[Digitale zorgtoepassing],B602,uitkomst_doelgroep[Jaar],D602,uitkomst_doelgroep[Arbeidsbesparing (€)],"&gt;0",uitkomst_doelgroep[Uitgangssituatie/effect beleid],uitkomst_tech[[#This Row],[Uitgangssituatie/effect beleid]])</f>
        <v>105113362.5866317</v>
      </c>
      <c r="H602" s="398">
        <f>SUMIFS(uitkomst_doelgroep[Arbeidsbesparing (FTE)],uitkomst_doelgroep[Digitale zorgtoepassing],B602,uitkomst_doelgroep[Jaar],D602,uitkomst_doelgroep[Arbeidsbesparing (FTE)],"&gt;0",uitkomst_doelgroep[Uitgangssituatie/effect beleid],uitkomst_tech[[#This Row],[Uitgangssituatie/effect beleid]])</f>
        <v>2475.9287227852101</v>
      </c>
      <c r="I602" s="398">
        <f>SUMIFS(uitkomst_doelgroep[Overige besparingen (€)],uitkomst_doelgroep[Digitale zorgtoepassing],B602,uitkomst_doelgroep[Jaar],D602,uitkomst_doelgroep[Overige besparingen (€)],"&gt;0",uitkomst_doelgroep[Uitgangssituatie/effect beleid],uitkomst_tech[[#This Row],[Uitgangssituatie/effect beleid]])</f>
        <v>14459163.749146441</v>
      </c>
      <c r="J602" s="398">
        <f>SUMIFS(uitkomst_doelgroep[QALY (€)],uitkomst_doelgroep[Digitale zorgtoepassing],B602,uitkomst_doelgroep[Jaar],D602,uitkomst_doelgroep[QALY (€)],"&gt;0",uitkomst_doelgroep[Uitgangssituatie/effect beleid],uitkomst_tech[[#This Row],[Uitgangssituatie/effect beleid]])</f>
        <v>0</v>
      </c>
      <c r="K602" s="398">
        <f>SUMIFS(uitkomst_doelgroep[Kosten (€)],uitkomst_doelgroep[Digitale zorgtoepassing],B602,uitkomst_doelgroep[Jaar],D602,uitkomst_doelgroep[Kosten (€)],"&gt;0",uitkomst_doelgroep[Uitgangssituatie/effect beleid],uitkomst_tech[[#This Row],[Uitgangssituatie/effect beleid]])</f>
        <v>57227895.758575797</v>
      </c>
      <c r="L602" s="398">
        <f>SUMIFS(uitkomst_doelgroep[Investering (cash flow) (€)],uitkomst_doelgroep[Digitale zorgtoepassing],B602,uitkomst_doelgroep[Jaar],D602,uitkomst_doelgroep[Investering (cash flow) (€)],"&gt;0",uitkomst_doelgroep[Uitgangssituatie/effect beleid],uitkomst_tech[[#This Row],[Uitgangssituatie/effect beleid]])</f>
        <v>0</v>
      </c>
    </row>
    <row r="603" spans="1:12" x14ac:dyDescent="0.5">
      <c r="A603" s="2" t="str">
        <f>INDEX(Technologieën[Veld],MATCH(B603,Technologieën[Digitale zorgtoepassing],0))</f>
        <v>Sensoren - Verpleging</v>
      </c>
      <c r="B603" s="33" t="s">
        <v>36</v>
      </c>
      <c r="C603" s="33" t="s">
        <v>813</v>
      </c>
      <c r="D603" s="33">
        <v>2030</v>
      </c>
      <c r="E603" s="2"/>
      <c r="F603" s="397">
        <f>SUMIFS(uitkomst_doelgroep[Patiëntaantallen],uitkomst_doelgroep[Digitale zorgtoepassing],B603,uitkomst_doelgroep[Jaar],D603,uitkomst_doelgroep[Arbeidsbesparing (€)],"&gt;0",uitkomst_doelgroep[Uitgangssituatie/effect beleid],uitkomst_tech[[#This Row],[Uitgangssituatie/effect beleid]])</f>
        <v>34948.997204417225</v>
      </c>
      <c r="G603" s="398">
        <f>SUMIFS(uitkomst_doelgroep[Arbeidsbesparing (€)],uitkomst_doelgroep[Digitale zorgtoepassing],B603,uitkomst_doelgroep[Jaar],D603,uitkomst_doelgroep[Arbeidsbesparing (€)],"&gt;0",uitkomst_doelgroep[Uitgangssituatie/effect beleid],uitkomst_tech[[#This Row],[Uitgangssituatie/effect beleid]])</f>
        <v>120553676.34738697</v>
      </c>
      <c r="H603" s="398">
        <f>SUMIFS(uitkomst_doelgroep[Arbeidsbesparing (FTE)],uitkomst_doelgroep[Digitale zorgtoepassing],B603,uitkomst_doelgroep[Jaar],D603,uitkomst_doelgroep[Arbeidsbesparing (FTE)],"&gt;0",uitkomst_doelgroep[Uitgangssituatie/effect beleid],uitkomst_tech[[#This Row],[Uitgangssituatie/effect beleid]])</f>
        <v>2839.6228848624846</v>
      </c>
      <c r="I603" s="398">
        <f>SUMIFS(uitkomst_doelgroep[Overige besparingen (€)],uitkomst_doelgroep[Digitale zorgtoepassing],B603,uitkomst_doelgroep[Jaar],D603,uitkomst_doelgroep[Overige besparingen (€)],"&gt;0",uitkomst_doelgroep[Uitgangssituatie/effect beleid],uitkomst_tech[[#This Row],[Uitgangssituatie/effect beleid]])</f>
        <v>16583099.464940514</v>
      </c>
      <c r="J603" s="398">
        <f>SUMIFS(uitkomst_doelgroep[QALY (€)],uitkomst_doelgroep[Digitale zorgtoepassing],B603,uitkomst_doelgroep[Jaar],D603,uitkomst_doelgroep[QALY (€)],"&gt;0",uitkomst_doelgroep[Uitgangssituatie/effect beleid],uitkomst_tech[[#This Row],[Uitgangssituatie/effect beleid]])</f>
        <v>0</v>
      </c>
      <c r="K603" s="398">
        <f>SUMIFS(uitkomst_doelgroep[Kosten (€)],uitkomst_doelgroep[Digitale zorgtoepassing],B603,uitkomst_doelgroep[Jaar],D603,uitkomst_doelgroep[Kosten (€)],"&gt;0",uitkomst_doelgroep[Uitgangssituatie/effect beleid],uitkomst_tech[[#This Row],[Uitgangssituatie/effect beleid]])</f>
        <v>65634216.74989555</v>
      </c>
      <c r="L603" s="398">
        <f>SUMIFS(uitkomst_doelgroep[Investering (cash flow) (€)],uitkomst_doelgroep[Digitale zorgtoepassing],B603,uitkomst_doelgroep[Jaar],D603,uitkomst_doelgroep[Investering (cash flow) (€)],"&gt;0",uitkomst_doelgroep[Uitgangssituatie/effect beleid],uitkomst_tech[[#This Row],[Uitgangssituatie/effect beleid]])</f>
        <v>0</v>
      </c>
    </row>
    <row r="604" spans="1:12" x14ac:dyDescent="0.5">
      <c r="A604" s="2" t="str">
        <f>INDEX(Technologieën[Veld],MATCH(B604,Technologieën[Digitale zorgtoepassing],0))</f>
        <v>Sensoren - Verpleging</v>
      </c>
      <c r="B604" s="33" t="s">
        <v>36</v>
      </c>
      <c r="C604" s="33" t="s">
        <v>813</v>
      </c>
      <c r="D604" s="33">
        <v>2031</v>
      </c>
      <c r="E604" s="2"/>
      <c r="F604" s="397">
        <f>SUMIFS(uitkomst_doelgroep[Patiëntaantallen],uitkomst_doelgroep[Digitale zorgtoepassing],B604,uitkomst_doelgroep[Jaar],D604,uitkomst_doelgroep[Arbeidsbesparing (€)],"&gt;0",uitkomst_doelgroep[Uitgangssituatie/effect beleid],uitkomst_tech[[#This Row],[Uitgangssituatie/effect beleid]])</f>
        <v>39293.585089069937</v>
      </c>
      <c r="G604" s="398">
        <f>SUMIFS(uitkomst_doelgroep[Arbeidsbesparing (€)],uitkomst_doelgroep[Digitale zorgtoepassing],B604,uitkomst_doelgroep[Jaar],D604,uitkomst_doelgroep[Arbeidsbesparing (€)],"&gt;0",uitkomst_doelgroep[Uitgangssituatie/effect beleid],uitkomst_tech[[#This Row],[Uitgangssituatie/effect beleid]])</f>
        <v>135539973.05414924</v>
      </c>
      <c r="H604" s="398">
        <f>SUMIFS(uitkomst_doelgroep[Arbeidsbesparing (FTE)],uitkomst_doelgroep[Digitale zorgtoepassing],B604,uitkomst_doelgroep[Jaar],D604,uitkomst_doelgroep[Arbeidsbesparing (FTE)],"&gt;0",uitkomst_doelgroep[Uitgangssituatie/effect beleid],uitkomst_tech[[#This Row],[Uitgangssituatie/effect beleid]])</f>
        <v>3192.6227466438363</v>
      </c>
      <c r="I604" s="398">
        <f>SUMIFS(uitkomst_doelgroep[Overige besparingen (€)],uitkomst_doelgroep[Digitale zorgtoepassing],B604,uitkomst_doelgroep[Jaar],D604,uitkomst_doelgroep[Overige besparingen (€)],"&gt;0",uitkomst_doelgroep[Uitgangssituatie/effect beleid],uitkomst_tech[[#This Row],[Uitgangssituatie/effect beleid]])</f>
        <v>18644581.589991745</v>
      </c>
      <c r="J604" s="398">
        <f>SUMIFS(uitkomst_doelgroep[QALY (€)],uitkomst_doelgroep[Digitale zorgtoepassing],B604,uitkomst_doelgroep[Jaar],D604,uitkomst_doelgroep[QALY (€)],"&gt;0",uitkomst_doelgroep[Uitgangssituatie/effect beleid],uitkomst_tech[[#This Row],[Uitgangssituatie/effect beleid]])</f>
        <v>0</v>
      </c>
      <c r="K604" s="398">
        <f>SUMIFS(uitkomst_doelgroep[Kosten (€)],uitkomst_doelgroep[Digitale zorgtoepassing],B604,uitkomst_doelgroep[Jaar],D604,uitkomst_doelgroep[Kosten (€)],"&gt;0",uitkomst_doelgroep[Uitgangssituatie/effect beleid],uitkomst_tech[[#This Row],[Uitgangssituatie/effect beleid]])</f>
        <v>73793352.797273338</v>
      </c>
      <c r="L604" s="398">
        <f>SUMIFS(uitkomst_doelgroep[Investering (cash flow) (€)],uitkomst_doelgroep[Digitale zorgtoepassing],B604,uitkomst_doelgroep[Jaar],D604,uitkomst_doelgroep[Investering (cash flow) (€)],"&gt;0",uitkomst_doelgroep[Uitgangssituatie/effect beleid],uitkomst_tech[[#This Row],[Uitgangssituatie/effect beleid]])</f>
        <v>0</v>
      </c>
    </row>
    <row r="605" spans="1:12" x14ac:dyDescent="0.5">
      <c r="A605" s="2" t="str">
        <f>INDEX(Technologieën[Veld],MATCH(B605,Technologieën[Digitale zorgtoepassing],0))</f>
        <v>Sensoren - Verpleging</v>
      </c>
      <c r="B605" s="33" t="s">
        <v>36</v>
      </c>
      <c r="C605" s="33" t="s">
        <v>813</v>
      </c>
      <c r="D605" s="33">
        <v>2032</v>
      </c>
      <c r="E605" s="2"/>
      <c r="F605" s="397">
        <f>SUMIFS(uitkomst_doelgroep[Patiëntaantallen],uitkomst_doelgroep[Digitale zorgtoepassing],B605,uitkomst_doelgroep[Jaar],D605,uitkomst_doelgroep[Arbeidsbesparing (€)],"&gt;0",uitkomst_doelgroep[Uitgangssituatie/effect beleid],uitkomst_tech[[#This Row],[Uitgangssituatie/effect beleid]])</f>
        <v>43583.737754015536</v>
      </c>
      <c r="G605" s="398">
        <f>SUMIFS(uitkomst_doelgroep[Arbeidsbesparing (€)],uitkomst_doelgroep[Digitale zorgtoepassing],B605,uitkomst_doelgroep[Jaar],D605,uitkomst_doelgroep[Arbeidsbesparing (€)],"&gt;0",uitkomst_doelgroep[Uitgangssituatie/effect beleid],uitkomst_tech[[#This Row],[Uitgangssituatie/effect beleid]])</f>
        <v>150338499.97112077</v>
      </c>
      <c r="H605" s="398">
        <f>SUMIFS(uitkomst_doelgroep[Arbeidsbesparing (FTE)],uitkomst_doelgroep[Digitale zorgtoepassing],B605,uitkomst_doelgroep[Jaar],D605,uitkomst_doelgroep[Arbeidsbesparing (FTE)],"&gt;0",uitkomst_doelgroep[Uitgangssituatie/effect beleid],uitkomst_tech[[#This Row],[Uitgangssituatie/effect beleid]])</f>
        <v>3541.1997205603743</v>
      </c>
      <c r="I605" s="398">
        <f>SUMIFS(uitkomst_doelgroep[Overige besparingen (€)],uitkomst_doelgroep[Digitale zorgtoepassing],B605,uitkomst_doelgroep[Jaar],D605,uitkomst_doelgroep[Overige besparingen (€)],"&gt;0",uitkomst_doelgroep[Uitgangssituatie/effect beleid],uitkomst_tech[[#This Row],[Uitgangssituatie/effect beleid]])</f>
        <v>20680234.514350347</v>
      </c>
      <c r="J605" s="398">
        <f>SUMIFS(uitkomst_doelgroep[QALY (€)],uitkomst_doelgroep[Digitale zorgtoepassing],B605,uitkomst_doelgroep[Jaar],D605,uitkomst_doelgroep[QALY (€)],"&gt;0",uitkomst_doelgroep[Uitgangssituatie/effect beleid],uitkomst_tech[[#This Row],[Uitgangssituatie/effect beleid]])</f>
        <v>0</v>
      </c>
      <c r="K605" s="398">
        <f>SUMIFS(uitkomst_doelgroep[Kosten (€)],uitkomst_doelgroep[Digitale zorgtoepassing],B605,uitkomst_doelgroep[Jaar],D605,uitkomst_doelgroep[Kosten (€)],"&gt;0",uitkomst_doelgroep[Uitgangssituatie/effect beleid],uitkomst_tech[[#This Row],[Uitgangssituatie/effect beleid]])</f>
        <v>81850259.502041176</v>
      </c>
      <c r="L605" s="398">
        <f>SUMIFS(uitkomst_doelgroep[Investering (cash flow) (€)],uitkomst_doelgroep[Digitale zorgtoepassing],B605,uitkomst_doelgroep[Jaar],D605,uitkomst_doelgroep[Investering (cash flow) (€)],"&gt;0",uitkomst_doelgroep[Uitgangssituatie/effect beleid],uitkomst_tech[[#This Row],[Uitgangssituatie/effect beleid]])</f>
        <v>0</v>
      </c>
    </row>
    <row r="606" spans="1:12" x14ac:dyDescent="0.5">
      <c r="A606" s="2" t="str">
        <f>INDEX(Technologieën[Veld],MATCH(B606,Technologieën[Digitale zorgtoepassing],0))</f>
        <v>Sensoren - Verpleging</v>
      </c>
      <c r="B606" s="33" t="s">
        <v>36</v>
      </c>
      <c r="C606" s="33" t="s">
        <v>813</v>
      </c>
      <c r="D606" s="33">
        <v>2033</v>
      </c>
      <c r="E606" s="2"/>
      <c r="F606" s="397">
        <f>SUMIFS(uitkomst_doelgroep[Patiëntaantallen],uitkomst_doelgroep[Digitale zorgtoepassing],B606,uitkomst_doelgroep[Jaar],D606,uitkomst_doelgroep[Arbeidsbesparing (€)],"&gt;0",uitkomst_doelgroep[Uitgangssituatie/effect beleid],uitkomst_tech[[#This Row],[Uitgangssituatie/effect beleid]])</f>
        <v>47838.945559301166</v>
      </c>
      <c r="G606" s="398">
        <f>SUMIFS(uitkomst_doelgroep[Arbeidsbesparing (€)],uitkomst_doelgroep[Digitale zorgtoepassing],B606,uitkomst_doelgroep[Jaar],D606,uitkomst_doelgroep[Arbeidsbesparing (€)],"&gt;0",uitkomst_doelgroep[Uitgangssituatie/effect beleid],uitkomst_tech[[#This Row],[Uitgangssituatie/effect beleid]])</f>
        <v>165016487.48386243</v>
      </c>
      <c r="H606" s="398">
        <f>SUMIFS(uitkomst_doelgroep[Arbeidsbesparing (FTE)],uitkomst_doelgroep[Digitale zorgtoepassing],B606,uitkomst_doelgroep[Jaar],D606,uitkomst_doelgroep[Arbeidsbesparing (FTE)],"&gt;0",uitkomst_doelgroep[Uitgangssituatie/effect beleid],uitkomst_tech[[#This Row],[Uitgangssituatie/effect beleid]])</f>
        <v>3886.9374077695325</v>
      </c>
      <c r="I606" s="398">
        <f>SUMIFS(uitkomst_doelgroep[Overige besparingen (€)],uitkomst_doelgroep[Digitale zorgtoepassing],B606,uitkomst_doelgroep[Jaar],D606,uitkomst_doelgroep[Overige besparingen (€)],"&gt;0",uitkomst_doelgroep[Uitgangssituatie/effect beleid],uitkomst_tech[[#This Row],[Uitgangssituatie/effect beleid]])</f>
        <v>22699306.302485205</v>
      </c>
      <c r="J606" s="398">
        <f>SUMIFS(uitkomst_doelgroep[QALY (€)],uitkomst_doelgroep[Digitale zorgtoepassing],B606,uitkomst_doelgroep[Jaar],D606,uitkomst_doelgroep[QALY (€)],"&gt;0",uitkomst_doelgroep[Uitgangssituatie/effect beleid],uitkomst_tech[[#This Row],[Uitgangssituatie/effect beleid]])</f>
        <v>0</v>
      </c>
      <c r="K606" s="398">
        <f>SUMIFS(uitkomst_doelgroep[Kosten (€)],uitkomst_doelgroep[Digitale zorgtoepassing],B606,uitkomst_doelgroep[Jaar],D606,uitkomst_doelgroep[Kosten (€)],"&gt;0",uitkomst_doelgroep[Uitgangssituatie/effect beleid],uitkomst_tech[[#This Row],[Uitgangssituatie/effect beleid]])</f>
        <v>89841539.760367587</v>
      </c>
      <c r="L606" s="398">
        <f>SUMIFS(uitkomst_doelgroep[Investering (cash flow) (€)],uitkomst_doelgroep[Digitale zorgtoepassing],B606,uitkomst_doelgroep[Jaar],D606,uitkomst_doelgroep[Investering (cash flow) (€)],"&gt;0",uitkomst_doelgroep[Uitgangssituatie/effect beleid],uitkomst_tech[[#This Row],[Uitgangssituatie/effect beleid]])</f>
        <v>0</v>
      </c>
    </row>
    <row r="607" spans="1:12" x14ac:dyDescent="0.5">
      <c r="A607" s="2" t="str">
        <f>INDEX(Technologieën[Veld],MATCH(B607,Technologieën[Digitale zorgtoepassing],0))</f>
        <v>Digitale hulpmiddelen - Verpleging</v>
      </c>
      <c r="B607" s="33" t="s">
        <v>26</v>
      </c>
      <c r="C607" s="33" t="s">
        <v>813</v>
      </c>
      <c r="D607" s="33">
        <v>2023</v>
      </c>
      <c r="E607" s="2"/>
      <c r="F607" s="397">
        <f>SUMIFS(uitkomst_doelgroep[Patiëntaantallen],uitkomst_doelgroep[Digitale zorgtoepassing],B607,uitkomst_doelgroep[Jaar],D607,uitkomst_doelgroep[Arbeidsbesparing (€)],"&gt;0",uitkomst_doelgroep[Uitgangssituatie/effect beleid],uitkomst_tech[[#This Row],[Uitgangssituatie/effect beleid]])</f>
        <v>51885.479999999996</v>
      </c>
      <c r="G607" s="398">
        <f>SUMIFS(uitkomst_doelgroep[Arbeidsbesparing (€)],uitkomst_doelgroep[Digitale zorgtoepassing],B607,uitkomst_doelgroep[Jaar],D607,uitkomst_doelgroep[Arbeidsbesparing (€)],"&gt;0",uitkomst_doelgroep[Uitgangssituatie/effect beleid],uitkomst_tech[[#This Row],[Uitgangssituatie/effect beleid]])</f>
        <v>229009110.91197327</v>
      </c>
      <c r="H607" s="398">
        <f>SUMIFS(uitkomst_doelgroep[Arbeidsbesparing (FTE)],uitkomst_doelgroep[Digitale zorgtoepassing],B607,uitkomst_doelgroep[Jaar],D607,uitkomst_doelgroep[Arbeidsbesparing (FTE)],"&gt;0",uitkomst_doelgroep[Uitgangssituatie/effect beleid],uitkomst_tech[[#This Row],[Uitgangssituatie/effect beleid]])</f>
        <v>4345.0091474999999</v>
      </c>
      <c r="I607" s="398">
        <f>SUMIFS(uitkomst_doelgroep[Overige besparingen (€)],uitkomst_doelgroep[Digitale zorgtoepassing],B607,uitkomst_doelgroep[Jaar],D607,uitkomst_doelgroep[Overige besparingen (€)],"&gt;0",uitkomst_doelgroep[Uitgangssituatie/effect beleid],uitkomst_tech[[#This Row],[Uitgangssituatie/effect beleid]])</f>
        <v>112795532.24022564</v>
      </c>
      <c r="J607" s="398">
        <f>SUMIFS(uitkomst_doelgroep[QALY (€)],uitkomst_doelgroep[Digitale zorgtoepassing],B607,uitkomst_doelgroep[Jaar],D607,uitkomst_doelgroep[QALY (€)],"&gt;0",uitkomst_doelgroep[Uitgangssituatie/effect beleid],uitkomst_tech[[#This Row],[Uitgangssituatie/effect beleid]])</f>
        <v>0</v>
      </c>
      <c r="K607" s="398">
        <f>SUMIFS(uitkomst_doelgroep[Kosten (€)],uitkomst_doelgroep[Digitale zorgtoepassing],B607,uitkomst_doelgroep[Jaar],D607,uitkomst_doelgroep[Kosten (€)],"&gt;0",uitkomst_doelgroep[Uitgangssituatie/effect beleid],uitkomst_tech[[#This Row],[Uitgangssituatie/effect beleid]])</f>
        <v>54973635.021146409</v>
      </c>
      <c r="L607" s="398">
        <f>SUMIFS(uitkomst_doelgroep[Investering (cash flow) (€)],uitkomst_doelgroep[Digitale zorgtoepassing],B607,uitkomst_doelgroep[Jaar],D607,uitkomst_doelgroep[Investering (cash flow) (€)],"&gt;0",uitkomst_doelgroep[Uitgangssituatie/effect beleid],uitkomst_tech[[#This Row],[Uitgangssituatie/effect beleid]])</f>
        <v>1144458.6490205217</v>
      </c>
    </row>
    <row r="608" spans="1:12" x14ac:dyDescent="0.5">
      <c r="A608" s="2" t="str">
        <f>INDEX(Technologieën[Veld],MATCH(B608,Technologieën[Digitale zorgtoepassing],0))</f>
        <v>Digitale hulpmiddelen - Verpleging</v>
      </c>
      <c r="B608" s="33" t="s">
        <v>26</v>
      </c>
      <c r="C608" s="33" t="s">
        <v>813</v>
      </c>
      <c r="D608" s="33">
        <v>2024</v>
      </c>
      <c r="E608" s="2"/>
      <c r="F608" s="397">
        <f>SUMIFS(uitkomst_doelgroep[Patiëntaantallen],uitkomst_doelgroep[Digitale zorgtoepassing],B608,uitkomst_doelgroep[Jaar],D608,uitkomst_doelgroep[Arbeidsbesparing (€)],"&gt;0",uitkomst_doelgroep[Uitgangssituatie/effect beleid],uitkomst_tech[[#This Row],[Uitgangssituatie/effect beleid]])</f>
        <v>65894.559600000008</v>
      </c>
      <c r="G608" s="398">
        <f>SUMIFS(uitkomst_doelgroep[Arbeidsbesparing (€)],uitkomst_doelgroep[Digitale zorgtoepassing],B608,uitkomst_doelgroep[Jaar],D608,uitkomst_doelgroep[Arbeidsbesparing (€)],"&gt;0",uitkomst_doelgroep[Uitgangssituatie/effect beleid],uitkomst_tech[[#This Row],[Uitgangssituatie/effect beleid]])</f>
        <v>290841570.85820603</v>
      </c>
      <c r="H608" s="398">
        <f>SUMIFS(uitkomst_doelgroep[Arbeidsbesparing (FTE)],uitkomst_doelgroep[Digitale zorgtoepassing],B608,uitkomst_doelgroep[Jaar],D608,uitkomst_doelgroep[Arbeidsbesparing (FTE)],"&gt;0",uitkomst_doelgroep[Uitgangssituatie/effect beleid],uitkomst_tech[[#This Row],[Uitgangssituatie/effect beleid]])</f>
        <v>5518.1616173250004</v>
      </c>
      <c r="I608" s="398">
        <f>SUMIFS(uitkomst_doelgroep[Overige besparingen (€)],uitkomst_doelgroep[Digitale zorgtoepassing],B608,uitkomst_doelgroep[Jaar],D608,uitkomst_doelgroep[Overige besparingen (€)],"&gt;0",uitkomst_doelgroep[Uitgangssituatie/effect beleid],uitkomst_tech[[#This Row],[Uitgangssituatie/effect beleid]])</f>
        <v>143250325.94508657</v>
      </c>
      <c r="J608" s="398">
        <f>SUMIFS(uitkomst_doelgroep[QALY (€)],uitkomst_doelgroep[Digitale zorgtoepassing],B608,uitkomst_doelgroep[Jaar],D608,uitkomst_doelgroep[QALY (€)],"&gt;0",uitkomst_doelgroep[Uitgangssituatie/effect beleid],uitkomst_tech[[#This Row],[Uitgangssituatie/effect beleid]])</f>
        <v>0</v>
      </c>
      <c r="K608" s="398">
        <f>SUMIFS(uitkomst_doelgroep[Kosten (€)],uitkomst_doelgroep[Digitale zorgtoepassing],B608,uitkomst_doelgroep[Jaar],D608,uitkomst_doelgroep[Kosten (€)],"&gt;0",uitkomst_doelgroep[Uitgangssituatie/effect beleid],uitkomst_tech[[#This Row],[Uitgangssituatie/effect beleid]])</f>
        <v>69816516.476855934</v>
      </c>
      <c r="L608" s="398">
        <f>SUMIFS(uitkomst_doelgroep[Investering (cash flow) (€)],uitkomst_doelgroep[Digitale zorgtoepassing],B608,uitkomst_doelgroep[Jaar],D608,uitkomst_doelgroep[Investering (cash flow) (€)],"&gt;0",uitkomst_doelgroep[Uitgangssituatie/effect beleid],uitkomst_tech[[#This Row],[Uitgangssituatie/effect beleid]])</f>
        <v>1163685.5543240663</v>
      </c>
    </row>
    <row r="609" spans="1:12" x14ac:dyDescent="0.5">
      <c r="A609" s="2" t="str">
        <f>INDEX(Technologieën[Veld],MATCH(B609,Technologieën[Digitale zorgtoepassing],0))</f>
        <v>Digitale hulpmiddelen - Verpleging</v>
      </c>
      <c r="B609" s="33" t="s">
        <v>26</v>
      </c>
      <c r="C609" s="33" t="s">
        <v>813</v>
      </c>
      <c r="D609" s="33">
        <v>2025</v>
      </c>
      <c r="E609" s="2"/>
      <c r="F609" s="397">
        <f>SUMIFS(uitkomst_doelgroep[Patiëntaantallen],uitkomst_doelgroep[Digitale zorgtoepassing],B609,uitkomst_doelgroep[Jaar],D609,uitkomst_doelgroep[Arbeidsbesparing (€)],"&gt;0",uitkomst_doelgroep[Uitgangssituatie/effect beleid],uitkomst_tech[[#This Row],[Uitgangssituatie/effect beleid]])</f>
        <v>80138.991737280012</v>
      </c>
      <c r="G609" s="398">
        <f>SUMIFS(uitkomst_doelgroep[Arbeidsbesparing (€)],uitkomst_doelgroep[Digitale zorgtoepassing],B609,uitkomst_doelgroep[Jaar],D609,uitkomst_doelgroep[Arbeidsbesparing (€)],"&gt;0",uitkomst_doelgroep[Uitgangssituatie/effect beleid],uitkomst_tech[[#This Row],[Uitgangssituatie/effect beleid]])</f>
        <v>353712816.13153553</v>
      </c>
      <c r="H609" s="398">
        <f>SUMIFS(uitkomst_doelgroep[Arbeidsbesparing (FTE)],uitkomst_doelgroep[Digitale zorgtoepassing],B609,uitkomst_doelgroep[Jaar],D609,uitkomst_doelgroep[Arbeidsbesparing (FTE)],"&gt;0",uitkomst_doelgroep[Uitgangssituatie/effect beleid],uitkomst_tech[[#This Row],[Uitgangssituatie/effect beleid]])</f>
        <v>6711.0230486430592</v>
      </c>
      <c r="I609" s="398">
        <f>SUMIFS(uitkomst_doelgroep[Overige besparingen (€)],uitkomst_doelgroep[Digitale zorgtoepassing],B609,uitkomst_doelgroep[Jaar],D609,uitkomst_doelgroep[Overige besparingen (€)],"&gt;0",uitkomst_doelgroep[Uitgangssituatie/effect beleid],uitkomst_tech[[#This Row],[Uitgangssituatie/effect beleid]])</f>
        <v>174216760.18418914</v>
      </c>
      <c r="J609" s="398">
        <f>SUMIFS(uitkomst_doelgroep[QALY (€)],uitkomst_doelgroep[Digitale zorgtoepassing],B609,uitkomst_doelgroep[Jaar],D609,uitkomst_doelgroep[QALY (€)],"&gt;0",uitkomst_doelgroep[Uitgangssituatie/effect beleid],uitkomst_tech[[#This Row],[Uitgangssituatie/effect beleid]])</f>
        <v>0</v>
      </c>
      <c r="K609" s="398">
        <f>SUMIFS(uitkomst_doelgroep[Kosten (€)],uitkomst_doelgroep[Digitale zorgtoepassing],B609,uitkomst_doelgroep[Jaar],D609,uitkomst_doelgroep[Kosten (€)],"&gt;0",uitkomst_doelgroep[Uitgangssituatie/effect beleid],uitkomst_tech[[#This Row],[Uitgangssituatie/effect beleid]])</f>
        <v>84908758.341021389</v>
      </c>
      <c r="L609" s="398">
        <f>SUMIFS(uitkomst_doelgroep[Investering (cash flow) (€)],uitkomst_doelgroep[Digitale zorgtoepassing],B609,uitkomst_doelgroep[Jaar],D609,uitkomst_doelgroep[Investering (cash flow) (€)],"&gt;0",uitkomst_doelgroep[Uitgangssituatie/effect beleid],uitkomst_tech[[#This Row],[Uitgangssituatie/effect beleid]])</f>
        <v>1081848.4833152052</v>
      </c>
    </row>
    <row r="610" spans="1:12" x14ac:dyDescent="0.5">
      <c r="A610" s="2" t="str">
        <f>INDEX(Technologieën[Veld],MATCH(B610,Technologieën[Digitale zorgtoepassing],0))</f>
        <v>Digitale hulpmiddelen - Verpleging</v>
      </c>
      <c r="B610" s="33" t="s">
        <v>26</v>
      </c>
      <c r="C610" s="33" t="s">
        <v>813</v>
      </c>
      <c r="D610" s="33">
        <v>2026</v>
      </c>
      <c r="E610" s="2"/>
      <c r="F610" s="397">
        <f>SUMIFS(uitkomst_doelgroep[Patiëntaantallen],uitkomst_doelgroep[Digitale zorgtoepassing],B610,uitkomst_doelgroep[Jaar],D610,uitkomst_doelgroep[Arbeidsbesparing (€)],"&gt;0",uitkomst_doelgroep[Uitgangssituatie/effect beleid],uitkomst_tech[[#This Row],[Uitgangssituatie/effect beleid]])</f>
        <v>93541.869758737361</v>
      </c>
      <c r="G610" s="398">
        <f>SUMIFS(uitkomst_doelgroep[Arbeidsbesparing (€)],uitkomst_doelgroep[Digitale zorgtoepassing],B610,uitkomst_doelgroep[Jaar],D610,uitkomst_doelgroep[Arbeidsbesparing (€)],"&gt;0",uitkomst_doelgroep[Uitgangssituatie/effect beleid],uitkomst_tech[[#This Row],[Uitgangssituatie/effect beleid]])</f>
        <v>412869658.84274447</v>
      </c>
      <c r="H610" s="398">
        <f>SUMIFS(uitkomst_doelgroep[Arbeidsbesparing (FTE)],uitkomst_doelgroep[Digitale zorgtoepassing],B610,uitkomst_doelgroep[Jaar],D610,uitkomst_doelgroep[Arbeidsbesparing (FTE)],"&gt;0",uitkomst_doelgroep[Uitgangssituatie/effect beleid],uitkomst_tech[[#This Row],[Uitgangssituatie/effect beleid]])</f>
        <v>7833.4108073389216</v>
      </c>
      <c r="I610" s="398">
        <f>SUMIFS(uitkomst_doelgroep[Overige besparingen (€)],uitkomst_doelgroep[Digitale zorgtoepassing],B610,uitkomst_doelgroep[Jaar],D610,uitkomst_doelgroep[Overige besparingen (€)],"&gt;0",uitkomst_doelgroep[Uitgangssituatie/effect beleid],uitkomst_tech[[#This Row],[Uitgangssituatie/effect beleid]])</f>
        <v>203353712.56433684</v>
      </c>
      <c r="J610" s="398">
        <f>SUMIFS(uitkomst_doelgroep[QALY (€)],uitkomst_doelgroep[Digitale zorgtoepassing],B610,uitkomst_doelgroep[Jaar],D610,uitkomst_doelgroep[QALY (€)],"&gt;0",uitkomst_doelgroep[Uitgangssituatie/effect beleid],uitkomst_tech[[#This Row],[Uitgangssituatie/effect beleid]])</f>
        <v>0</v>
      </c>
      <c r="K610" s="398">
        <f>SUMIFS(uitkomst_doelgroep[Kosten (€)],uitkomst_doelgroep[Digitale zorgtoepassing],B610,uitkomst_doelgroep[Jaar],D610,uitkomst_doelgroep[Kosten (€)],"&gt;0",uitkomst_doelgroep[Uitgangssituatie/effect beleid],uitkomst_tech[[#This Row],[Uitgangssituatie/effect beleid]])</f>
        <v>99109390.18619892</v>
      </c>
      <c r="L610" s="398">
        <f>SUMIFS(uitkomst_doelgroep[Investering (cash flow) (€)],uitkomst_doelgroep[Digitale zorgtoepassing],B610,uitkomst_doelgroep[Jaar],D610,uitkomst_doelgroep[Investering (cash flow) (€)],"&gt;0",uitkomst_doelgroep[Uitgangssituatie/effect beleid],uitkomst_tech[[#This Row],[Uitgangssituatie/effect beleid]])</f>
        <v>914066.58447713777</v>
      </c>
    </row>
    <row r="611" spans="1:12" x14ac:dyDescent="0.5">
      <c r="A611" s="2" t="str">
        <f>INDEX(Technologieën[Veld],MATCH(B611,Technologieën[Digitale zorgtoepassing],0))</f>
        <v>Digitale hulpmiddelen - Verpleging</v>
      </c>
      <c r="B611" s="33" t="s">
        <v>26</v>
      </c>
      <c r="C611" s="33" t="s">
        <v>813</v>
      </c>
      <c r="D611" s="33">
        <v>2027</v>
      </c>
      <c r="E611" s="2"/>
      <c r="F611" s="397">
        <f>SUMIFS(uitkomst_doelgroep[Patiëntaantallen],uitkomst_doelgroep[Digitale zorgtoepassing],B611,uitkomst_doelgroep[Jaar],D611,uitkomst_doelgroep[Arbeidsbesparing (€)],"&gt;0",uitkomst_doelgroep[Uitgangssituatie/effect beleid],uitkomst_tech[[#This Row],[Uitgangssituatie/effect beleid]])</f>
        <v>104950.55761494869</v>
      </c>
      <c r="G611" s="398">
        <f>SUMIFS(uitkomst_doelgroep[Arbeidsbesparing (€)],uitkomst_doelgroep[Digitale zorgtoepassing],B611,uitkomst_doelgroep[Jaar],D611,uitkomst_doelgroep[Arbeidsbesparing (€)],"&gt;0",uitkomst_doelgroep[Uitgangssituatie/effect beleid],uitkomst_tech[[#This Row],[Uitgangssituatie/effect beleid]])</f>
        <v>463224661.10201204</v>
      </c>
      <c r="H611" s="398">
        <f>SUMIFS(uitkomst_doelgroep[Arbeidsbesparing (FTE)],uitkomst_doelgroep[Digitale zorgtoepassing],B611,uitkomst_doelgroep[Jaar],D611,uitkomst_doelgroep[Arbeidsbesparing (FTE)],"&gt;0",uitkomst_doelgroep[Uitgangssituatie/effect beleid],uitkomst_tech[[#This Row],[Uitgangssituatie/effect beleid]])</f>
        <v>8788.8005058867693</v>
      </c>
      <c r="I611" s="398">
        <f>SUMIFS(uitkomst_doelgroep[Overige besparingen (€)],uitkomst_doelgroep[Digitale zorgtoepassing],B611,uitkomst_doelgroep[Jaar],D611,uitkomst_doelgroep[Overige besparingen (€)],"&gt;0",uitkomst_doelgroep[Uitgangssituatie/effect beleid],uitkomst_tech[[#This Row],[Uitgangssituatie/effect beleid]])</f>
        <v>228155430.09502086</v>
      </c>
      <c r="J611" s="398">
        <f>SUMIFS(uitkomst_doelgroep[QALY (€)],uitkomst_doelgroep[Digitale zorgtoepassing],B611,uitkomst_doelgroep[Jaar],D611,uitkomst_doelgroep[QALY (€)],"&gt;0",uitkomst_doelgroep[Uitgangssituatie/effect beleid],uitkomst_tech[[#This Row],[Uitgangssituatie/effect beleid]])</f>
        <v>0</v>
      </c>
      <c r="K611" s="398">
        <f>SUMIFS(uitkomst_doelgroep[Kosten (€)],uitkomst_doelgroep[Digitale zorgtoepassing],B611,uitkomst_doelgroep[Jaar],D611,uitkomst_doelgroep[Kosten (€)],"&gt;0",uitkomst_doelgroep[Uitgangssituatie/effect beleid],uitkomst_tech[[#This Row],[Uitgangssituatie/effect beleid]])</f>
        <v>111197152.31898592</v>
      </c>
      <c r="L611" s="398">
        <f>SUMIFS(uitkomst_doelgroep[Investering (cash flow) (€)],uitkomst_doelgroep[Digitale zorgtoepassing],B611,uitkomst_doelgroep[Jaar],D611,uitkomst_doelgroep[Investering (cash flow) (€)],"&gt;0",uitkomst_doelgroep[Uitgangssituatie/effect beleid],uitkomst_tech[[#This Row],[Uitgangssituatie/effect beleid]])</f>
        <v>703439.88337472687</v>
      </c>
    </row>
    <row r="612" spans="1:12" x14ac:dyDescent="0.5">
      <c r="A612" s="2" t="str">
        <f>INDEX(Technologieën[Veld],MATCH(B612,Technologieën[Digitale zorgtoepassing],0))</f>
        <v>Digitale hulpmiddelen - Verpleging</v>
      </c>
      <c r="B612" s="33" t="s">
        <v>26</v>
      </c>
      <c r="C612" s="33" t="s">
        <v>813</v>
      </c>
      <c r="D612" s="33">
        <v>2028</v>
      </c>
      <c r="E612" s="2"/>
      <c r="F612" s="397">
        <f>SUMIFS(uitkomst_doelgroep[Patiëntaantallen],uitkomst_doelgroep[Digitale zorgtoepassing],B612,uitkomst_doelgroep[Jaar],D612,uitkomst_doelgroep[Arbeidsbesparing (€)],"&gt;0",uitkomst_doelgroep[Uitgangssituatie/effect beleid],uitkomst_tech[[#This Row],[Uitgangssituatie/effect beleid]])</f>
        <v>113858.59891220411</v>
      </c>
      <c r="G612" s="398">
        <f>SUMIFS(uitkomst_doelgroep[Arbeidsbesparing (€)],uitkomst_doelgroep[Digitale zorgtoepassing],B612,uitkomst_doelgroep[Jaar],D612,uitkomst_doelgroep[Arbeidsbesparing (€)],"&gt;0",uitkomst_doelgroep[Uitgangssituatie/effect beleid],uitkomst_tech[[#This Row],[Uitgangssituatie/effect beleid]])</f>
        <v>502542455.1640811</v>
      </c>
      <c r="H612" s="398">
        <f>SUMIFS(uitkomst_doelgroep[Arbeidsbesparing (FTE)],uitkomst_doelgroep[Digitale zorgtoepassing],B612,uitkomst_doelgroep[Jaar],D612,uitkomst_doelgroep[Arbeidsbesparing (FTE)],"&gt;0",uitkomst_doelgroep[Uitgangssituatie/effect beleid],uitkomst_tech[[#This Row],[Uitgangssituatie/effect beleid]])</f>
        <v>9534.7803238027354</v>
      </c>
      <c r="I612" s="398">
        <f>SUMIFS(uitkomst_doelgroep[Overige besparingen (€)],uitkomst_doelgroep[Digitale zorgtoepassing],B612,uitkomst_doelgroep[Jaar],D612,uitkomst_doelgroep[Overige besparingen (€)],"&gt;0",uitkomst_doelgroep[Uitgangssituatie/effect beleid],uitkomst_tech[[#This Row],[Uitgangssituatie/effect beleid]])</f>
        <v>247520910.75245786</v>
      </c>
      <c r="J612" s="398">
        <f>SUMIFS(uitkomst_doelgroep[QALY (€)],uitkomst_doelgroep[Digitale zorgtoepassing],B612,uitkomst_doelgroep[Jaar],D612,uitkomst_doelgroep[QALY (€)],"&gt;0",uitkomst_doelgroep[Uitgangssituatie/effect beleid],uitkomst_tech[[#This Row],[Uitgangssituatie/effect beleid]])</f>
        <v>0</v>
      </c>
      <c r="K612" s="398">
        <f>SUMIFS(uitkomst_doelgroep[Kosten (€)],uitkomst_doelgroep[Digitale zorgtoepassing],B612,uitkomst_doelgroep[Jaar],D612,uitkomst_doelgroep[Kosten (€)],"&gt;0",uitkomst_doelgroep[Uitgangssituatie/effect beleid],uitkomst_tech[[#This Row],[Uitgangssituatie/effect beleid]])</f>
        <v>120635448.3591074</v>
      </c>
      <c r="L612" s="398">
        <f>SUMIFS(uitkomst_doelgroep[Investering (cash flow) (€)],uitkomst_doelgroep[Digitale zorgtoepassing],B612,uitkomst_doelgroep[Jaar],D612,uitkomst_doelgroep[Investering (cash flow) (€)],"&gt;0",uitkomst_doelgroep[Uitgangssituatie/effect beleid],uitkomst_tech[[#This Row],[Uitgangssituatie/effect beleid]])</f>
        <v>498398.15413644363</v>
      </c>
    </row>
    <row r="613" spans="1:12" x14ac:dyDescent="0.5">
      <c r="A613" s="2" t="str">
        <f>INDEX(Technologieën[Veld],MATCH(B613,Technologieën[Digitale zorgtoepassing],0))</f>
        <v>Digitale hulpmiddelen - Verpleging</v>
      </c>
      <c r="B613" s="33" t="s">
        <v>26</v>
      </c>
      <c r="C613" s="33" t="s">
        <v>813</v>
      </c>
      <c r="D613" s="33">
        <v>2029</v>
      </c>
      <c r="E613" s="2"/>
      <c r="F613" s="397">
        <f>SUMIFS(uitkomst_doelgroep[Patiëntaantallen],uitkomst_doelgroep[Digitale zorgtoepassing],B613,uitkomst_doelgroep[Jaar],D613,uitkomst_doelgroep[Arbeidsbesparing (€)],"&gt;0",uitkomst_doelgroep[Uitgangssituatie/effect beleid],uitkomst_tech[[#This Row],[Uitgangssituatie/effect beleid]])</f>
        <v>120354.06921332062</v>
      </c>
      <c r="G613" s="398">
        <f>SUMIFS(uitkomst_doelgroep[Arbeidsbesparing (€)],uitkomst_doelgroep[Digitale zorgtoepassing],B613,uitkomst_doelgroep[Jaar],D613,uitkomst_doelgroep[Arbeidsbesparing (€)],"&gt;0",uitkomst_doelgroep[Uitgangssituatie/effect beleid],uitkomst_tech[[#This Row],[Uitgangssituatie/effect beleid]])</f>
        <v>531211783.82045698</v>
      </c>
      <c r="H613" s="398">
        <f>SUMIFS(uitkomst_doelgroep[Arbeidsbesparing (FTE)],uitkomst_doelgroep[Digitale zorgtoepassing],B613,uitkomst_doelgroep[Jaar],D613,uitkomst_doelgroep[Arbeidsbesparing (FTE)],"&gt;0",uitkomst_doelgroep[Uitgangssituatie/effect beleid],uitkomst_tech[[#This Row],[Uitgangssituatie/effect beleid]])</f>
        <v>10078.725910808307</v>
      </c>
      <c r="I613" s="398">
        <f>SUMIFS(uitkomst_doelgroep[Overige besparingen (€)],uitkomst_doelgroep[Digitale zorgtoepassing],B613,uitkomst_doelgroep[Jaar],D613,uitkomst_doelgroep[Overige besparingen (€)],"&gt;0",uitkomst_doelgroep[Uitgangssituatie/effect beleid],uitkomst_tech[[#This Row],[Uitgangssituatie/effect beleid]])</f>
        <v>261641624.86679229</v>
      </c>
      <c r="J613" s="398">
        <f>SUMIFS(uitkomst_doelgroep[QALY (€)],uitkomst_doelgroep[Digitale zorgtoepassing],B613,uitkomst_doelgroep[Jaar],D613,uitkomst_doelgroep[QALY (€)],"&gt;0",uitkomst_doelgroep[Uitgangssituatie/effect beleid],uitkomst_tech[[#This Row],[Uitgangssituatie/effect beleid]])</f>
        <v>0</v>
      </c>
      <c r="K613" s="398">
        <f>SUMIFS(uitkomst_doelgroep[Kosten (€)],uitkomst_doelgroep[Digitale zorgtoepassing],B613,uitkomst_doelgroep[Jaar],D613,uitkomst_doelgroep[Kosten (€)],"&gt;0",uitkomst_doelgroep[Uitgangssituatie/effect beleid],uitkomst_tech[[#This Row],[Uitgangssituatie/effect beleid]])</f>
        <v>127517599.98235315</v>
      </c>
      <c r="L613" s="398">
        <f>SUMIFS(uitkomst_doelgroep[Investering (cash flow) (€)],uitkomst_doelgroep[Digitale zorgtoepassing],B613,uitkomst_doelgroep[Jaar],D613,uitkomst_doelgroep[Investering (cash flow) (€)],"&gt;0",uitkomst_doelgroep[Uitgangssituatie/effect beleid],uitkomst_tech[[#This Row],[Uitgangssituatie/effect beleid]])</f>
        <v>330512.59989317192</v>
      </c>
    </row>
    <row r="614" spans="1:12" x14ac:dyDescent="0.5">
      <c r="A614" s="2" t="str">
        <f>INDEX(Technologieën[Veld],MATCH(B614,Technologieën[Digitale zorgtoepassing],0))</f>
        <v>Digitale hulpmiddelen - Verpleging</v>
      </c>
      <c r="B614" s="33" t="s">
        <v>26</v>
      </c>
      <c r="C614" s="33" t="s">
        <v>813</v>
      </c>
      <c r="D614" s="33">
        <v>2030</v>
      </c>
      <c r="E614" s="2"/>
      <c r="F614" s="397">
        <f>SUMIFS(uitkomst_doelgroep[Patiëntaantallen],uitkomst_doelgroep[Digitale zorgtoepassing],B614,uitkomst_doelgroep[Jaar],D614,uitkomst_doelgroep[Arbeidsbesparing (€)],"&gt;0",uitkomst_doelgroep[Uitgangssituatie/effect beleid],uitkomst_tech[[#This Row],[Uitgangssituatie/effect beleid]])</f>
        <v>124909.98595244292</v>
      </c>
      <c r="G614" s="398">
        <f>SUMIFS(uitkomst_doelgroep[Arbeidsbesparing (€)],uitkomst_doelgroep[Digitale zorgtoepassing],B614,uitkomst_doelgroep[Jaar],D614,uitkomst_doelgroep[Arbeidsbesparing (€)],"&gt;0",uitkomst_doelgroep[Uitgangssituatie/effect beleid],uitkomst_tech[[#This Row],[Uitgangssituatie/effect beleid]])</f>
        <v>551320423.88344526</v>
      </c>
      <c r="H614" s="398">
        <f>SUMIFS(uitkomst_doelgroep[Arbeidsbesparing (FTE)],uitkomst_doelgroep[Digitale zorgtoepassing],B614,uitkomst_doelgroep[Jaar],D614,uitkomst_doelgroep[Arbeidsbesparing (FTE)],"&gt;0",uitkomst_doelgroep[Uitgangssituatie/effect beleid],uitkomst_tech[[#This Row],[Uitgangssituatie/effect beleid]])</f>
        <v>10460.248832186981</v>
      </c>
      <c r="I614" s="398">
        <f>SUMIFS(uitkomst_doelgroep[Overige besparingen (€)],uitkomst_doelgroep[Digitale zorgtoepassing],B614,uitkomst_doelgroep[Jaar],D614,uitkomst_doelgroep[Overige besparingen (€)],"&gt;0",uitkomst_doelgroep[Uitgangssituatie/effect beleid],uitkomst_tech[[#This Row],[Uitgangssituatie/effect beleid]])</f>
        <v>271545880.4202044</v>
      </c>
      <c r="J614" s="398">
        <f>SUMIFS(uitkomst_doelgroep[QALY (€)],uitkomst_doelgroep[Digitale zorgtoepassing],B614,uitkomst_doelgroep[Jaar],D614,uitkomst_doelgroep[QALY (€)],"&gt;0",uitkomst_doelgroep[Uitgangssituatie/effect beleid],uitkomst_tech[[#This Row],[Uitgangssituatie/effect beleid]])</f>
        <v>0</v>
      </c>
      <c r="K614" s="398">
        <f>SUMIFS(uitkomst_doelgroep[Kosten (€)],uitkomst_doelgroep[Digitale zorgtoepassing],B614,uitkomst_doelgroep[Jaar],D614,uitkomst_doelgroep[Kosten (€)],"&gt;0",uitkomst_doelgroep[Uitgangssituatie/effect beleid],uitkomst_tech[[#This Row],[Uitgangssituatie/effect beleid]])</f>
        <v>132344781.66074246</v>
      </c>
      <c r="L614" s="398">
        <f>SUMIFS(uitkomst_doelgroep[Investering (cash flow) (€)],uitkomst_doelgroep[Digitale zorgtoepassing],B614,uitkomst_doelgroep[Jaar],D614,uitkomst_doelgroep[Investering (cash flow) (€)],"&gt;0",uitkomst_doelgroep[Uitgangssituatie/effect beleid],uitkomst_tech[[#This Row],[Uitgangssituatie/effect beleid]])</f>
        <v>208837.93805880781</v>
      </c>
    </row>
    <row r="615" spans="1:12" x14ac:dyDescent="0.5">
      <c r="A615" s="2" t="str">
        <f>INDEX(Technologieën[Veld],MATCH(B615,Technologieën[Digitale zorgtoepassing],0))</f>
        <v>Digitale hulpmiddelen - Verpleging</v>
      </c>
      <c r="B615" s="33" t="s">
        <v>26</v>
      </c>
      <c r="C615" s="33" t="s">
        <v>813</v>
      </c>
      <c r="D615" s="33">
        <v>2031</v>
      </c>
      <c r="E615" s="2"/>
      <c r="F615" s="397">
        <f>SUMIFS(uitkomst_doelgroep[Patiëntaantallen],uitkomst_doelgroep[Digitale zorgtoepassing],B615,uitkomst_doelgroep[Jaar],D615,uitkomst_doelgroep[Arbeidsbesparing (€)],"&gt;0",uitkomst_doelgroep[Uitgangssituatie/effect beleid],uitkomst_tech[[#This Row],[Uitgangssituatie/effect beleid]])</f>
        <v>128102.7521917664</v>
      </c>
      <c r="G615" s="398">
        <f>SUMIFS(uitkomst_doelgroep[Arbeidsbesparing (€)],uitkomst_doelgroep[Digitale zorgtoepassing],B615,uitkomst_doelgroep[Jaar],D615,uitkomst_doelgroep[Arbeidsbesparing (€)],"&gt;0",uitkomst_doelgroep[Uitgangssituatie/effect beleid],uitkomst_tech[[#This Row],[Uitgangssituatie/effect beleid]])</f>
        <v>565412469.63145089</v>
      </c>
      <c r="H615" s="398">
        <f>SUMIFS(uitkomst_doelgroep[Arbeidsbesparing (FTE)],uitkomst_doelgroep[Digitale zorgtoepassing],B615,uitkomst_doelgroep[Jaar],D615,uitkomst_doelgroep[Arbeidsbesparing (FTE)],"&gt;0",uitkomst_doelgroep[Uitgangssituatie/effect beleid],uitkomst_tech[[#This Row],[Uitgangssituatie/effect beleid]])</f>
        <v>10727.618402935668</v>
      </c>
      <c r="I615" s="398">
        <f>SUMIFS(uitkomst_doelgroep[Overige besparingen (€)],uitkomst_doelgroep[Digitale zorgtoepassing],B615,uitkomst_doelgroep[Jaar],D615,uitkomst_doelgroep[Overige besparingen (€)],"&gt;0",uitkomst_doelgroep[Uitgangssituatie/effect beleid],uitkomst_tech[[#This Row],[Uitgangssituatie/effect beleid]])</f>
        <v>278486738.7736997</v>
      </c>
      <c r="J615" s="398">
        <f>SUMIFS(uitkomst_doelgroep[QALY (€)],uitkomst_doelgroep[Digitale zorgtoepassing],B615,uitkomst_doelgroep[Jaar],D615,uitkomst_doelgroep[QALY (€)],"&gt;0",uitkomst_doelgroep[Uitgangssituatie/effect beleid],uitkomst_tech[[#This Row],[Uitgangssituatie/effect beleid]])</f>
        <v>0</v>
      </c>
      <c r="K615" s="398">
        <f>SUMIFS(uitkomst_doelgroep[Kosten (€)],uitkomst_doelgroep[Digitale zorgtoepassing],B615,uitkomst_doelgroep[Jaar],D615,uitkomst_doelgroep[Kosten (€)],"&gt;0",uitkomst_doelgroep[Uitgangssituatie/effect beleid],uitkomst_tech[[#This Row],[Uitgangssituatie/effect beleid]])</f>
        <v>135727705.36836034</v>
      </c>
      <c r="L615" s="398">
        <f>SUMIFS(uitkomst_doelgroep[Investering (cash flow) (€)],uitkomst_doelgroep[Digitale zorgtoepassing],B615,uitkomst_doelgroep[Jaar],D615,uitkomst_doelgroep[Investering (cash flow) (€)],"&gt;0",uitkomst_doelgroep[Uitgangssituatie/effect beleid],uitkomst_tech[[#This Row],[Uitgangssituatie/effect beleid]])</f>
        <v>127704.78033003723</v>
      </c>
    </row>
    <row r="616" spans="1:12" x14ac:dyDescent="0.5">
      <c r="A616" s="2" t="str">
        <f>INDEX(Technologieën[Veld],MATCH(B616,Technologieën[Digitale zorgtoepassing],0))</f>
        <v>Digitale hulpmiddelen - Verpleging</v>
      </c>
      <c r="B616" s="33" t="s">
        <v>26</v>
      </c>
      <c r="C616" s="33" t="s">
        <v>813</v>
      </c>
      <c r="D616" s="33">
        <v>2032</v>
      </c>
      <c r="E616" s="2"/>
      <c r="F616" s="397">
        <f>SUMIFS(uitkomst_doelgroep[Patiëntaantallen],uitkomst_doelgroep[Digitale zorgtoepassing],B616,uitkomst_doelgroep[Jaar],D616,uitkomst_doelgroep[Arbeidsbesparing (€)],"&gt;0",uitkomst_doelgroep[Uitgangssituatie/effect beleid],uitkomst_tech[[#This Row],[Uitgangssituatie/effect beleid]])</f>
        <v>130423.42519908148</v>
      </c>
      <c r="G616" s="398">
        <f>SUMIFS(uitkomst_doelgroep[Arbeidsbesparing (€)],uitkomst_doelgroep[Digitale zorgtoepassing],B616,uitkomst_doelgroep[Jaar],D616,uitkomst_doelgroep[Arbeidsbesparing (€)],"&gt;0",uitkomst_doelgroep[Uitgangssituatie/effect beleid],uitkomst_tech[[#This Row],[Uitgangssituatie/effect beleid]])</f>
        <v>575655321.04426694</v>
      </c>
      <c r="H616" s="398">
        <f>SUMIFS(uitkomst_doelgroep[Arbeidsbesparing (FTE)],uitkomst_doelgroep[Digitale zorgtoepassing],B616,uitkomst_doelgroep[Jaar],D616,uitkomst_doelgroep[Arbeidsbesparing (FTE)],"&gt;0",uitkomst_doelgroep[Uitgangssituatie/effect beleid],uitkomst_tech[[#This Row],[Uitgangssituatie/effect beleid]])</f>
        <v>10921.956885400134</v>
      </c>
      <c r="I616" s="398">
        <f>SUMIFS(uitkomst_doelgroep[Overige besparingen (€)],uitkomst_doelgroep[Digitale zorgtoepassing],B616,uitkomst_doelgroep[Jaar],D616,uitkomst_doelgroep[Overige besparingen (€)],"&gt;0",uitkomst_doelgroep[Uitgangssituatie/effect beleid],uitkomst_tech[[#This Row],[Uitgangssituatie/effect beleid]])</f>
        <v>283531725.29045987</v>
      </c>
      <c r="J616" s="398">
        <f>SUMIFS(uitkomst_doelgroep[QALY (€)],uitkomst_doelgroep[Digitale zorgtoepassing],B616,uitkomst_doelgroep[Jaar],D616,uitkomst_doelgroep[QALY (€)],"&gt;0",uitkomst_doelgroep[Uitgangssituatie/effect beleid],uitkomst_tech[[#This Row],[Uitgangssituatie/effect beleid]])</f>
        <v>0</v>
      </c>
      <c r="K616" s="398">
        <f>SUMIFS(uitkomst_doelgroep[Kosten (€)],uitkomst_doelgroep[Digitale zorgtoepassing],B616,uitkomst_doelgroep[Jaar],D616,uitkomst_doelgroep[Kosten (€)],"&gt;0",uitkomst_doelgroep[Uitgangssituatie/effect beleid],uitkomst_tech[[#This Row],[Uitgangssituatie/effect beleid]])</f>
        <v>138186654.40245071</v>
      </c>
      <c r="L616" s="398">
        <f>SUMIFS(uitkomst_doelgroep[Investering (cash flow) (€)],uitkomst_doelgroep[Digitale zorgtoepassing],B616,uitkomst_doelgroep[Jaar],D616,uitkomst_doelgroep[Investering (cash flow) (€)],"&gt;0",uitkomst_doelgroep[Uitgangssituatie/effect beleid],uitkomst_tech[[#This Row],[Uitgangssituatie/effect beleid]])</f>
        <v>76469.406931436679</v>
      </c>
    </row>
    <row r="617" spans="1:12" x14ac:dyDescent="0.5">
      <c r="A617" s="2" t="str">
        <f>INDEX(Technologieën[Veld],MATCH(B617,Technologieën[Digitale zorgtoepassing],0))</f>
        <v>Digitale hulpmiddelen - Verpleging</v>
      </c>
      <c r="B617" s="33" t="s">
        <v>26</v>
      </c>
      <c r="C617" s="33" t="s">
        <v>813</v>
      </c>
      <c r="D617" s="33">
        <v>2033</v>
      </c>
      <c r="E617" s="2"/>
      <c r="F617" s="397">
        <f>SUMIFS(uitkomst_doelgroep[Patiëntaantallen],uitkomst_doelgroep[Digitale zorgtoepassing],B617,uitkomst_doelgroep[Jaar],D617,uitkomst_doelgroep[Arbeidsbesparing (€)],"&gt;0",uitkomst_doelgroep[Uitgangssituatie/effect beleid],uitkomst_tech[[#This Row],[Uitgangssituatie/effect beleid]])</f>
        <v>132208.27167150623</v>
      </c>
      <c r="G617" s="398">
        <f>SUMIFS(uitkomst_doelgroep[Arbeidsbesparing (€)],uitkomst_doelgroep[Digitale zorgtoepassing],B617,uitkomst_doelgroep[Jaar],D617,uitkomst_doelgroep[Arbeidsbesparing (€)],"&gt;0",uitkomst_doelgroep[Uitgangssituatie/effect beleid],uitkomst_tech[[#This Row],[Uitgangssituatie/effect beleid]])</f>
        <v>583533172.49257898</v>
      </c>
      <c r="H617" s="398">
        <f>SUMIFS(uitkomst_doelgroep[Arbeidsbesparing (FTE)],uitkomst_doelgroep[Digitale zorgtoepassing],B617,uitkomst_doelgroep[Jaar],D617,uitkomst_doelgroep[Arbeidsbesparing (FTE)],"&gt;0",uitkomst_doelgroep[Uitgangssituatie/effect beleid],uitkomst_tech[[#This Row],[Uitgangssituatie/effect beleid]])</f>
        <v>11071.424024367891</v>
      </c>
      <c r="I617" s="398">
        <f>SUMIFS(uitkomst_doelgroep[Overige besparingen (€)],uitkomst_doelgroep[Digitale zorgtoepassing],B617,uitkomst_doelgroep[Jaar],D617,uitkomst_doelgroep[Overige besparingen (€)],"&gt;0",uitkomst_doelgroep[Uitgangssituatie/effect beleid],uitkomst_tech[[#This Row],[Uitgangssituatie/effect beleid]])</f>
        <v>287411861.07843447</v>
      </c>
      <c r="J617" s="398">
        <f>SUMIFS(uitkomst_doelgroep[QALY (€)],uitkomst_doelgroep[Digitale zorgtoepassing],B617,uitkomst_doelgroep[Jaar],D617,uitkomst_doelgroep[QALY (€)],"&gt;0",uitkomst_doelgroep[Uitgangssituatie/effect beleid],uitkomst_tech[[#This Row],[Uitgangssituatie/effect beleid]])</f>
        <v>0</v>
      </c>
      <c r="K617" s="398">
        <f>SUMIFS(uitkomst_doelgroep[Kosten (€)],uitkomst_doelgroep[Digitale zorgtoepassing],B617,uitkomst_doelgroep[Jaar],D617,uitkomst_doelgroep[Kosten (€)],"&gt;0",uitkomst_doelgroep[Uitgangssituatie/effect beleid],uitkomst_tech[[#This Row],[Uitgangssituatie/effect beleid]])</f>
        <v>140077903.62207368</v>
      </c>
      <c r="L617" s="398">
        <f>SUMIFS(uitkomst_doelgroep[Investering (cash flow) (€)],uitkomst_doelgroep[Digitale zorgtoepassing],B617,uitkomst_doelgroep[Jaar],D617,uitkomst_doelgroep[Investering (cash flow) (€)],"&gt;0",uitkomst_doelgroep[Uitgangssituatie/effect beleid],uitkomst_tech[[#This Row],[Uitgangssituatie/effect beleid]])</f>
        <v>45200.403289458322</v>
      </c>
    </row>
    <row r="618" spans="1:12" x14ac:dyDescent="0.5">
      <c r="A618" s="2" t="str">
        <f>INDEX(Technologieën[Veld],MATCH(B618,Technologieën[Digitale zorgtoepassing],0))</f>
        <v>Digitale hulpmiddelen - Diagnose</v>
      </c>
      <c r="B618" s="33" t="s">
        <v>78</v>
      </c>
      <c r="C618" s="33" t="s">
        <v>813</v>
      </c>
      <c r="D618" s="33">
        <v>2023</v>
      </c>
      <c r="E618" s="2"/>
      <c r="F618" s="397">
        <f>SUMIFS(uitkomst_doelgroep[Patiëntaantallen],uitkomst_doelgroep[Digitale zorgtoepassing],B618,uitkomst_doelgroep[Jaar],D618,uitkomst_doelgroep[Arbeidsbesparing (€)],"&gt;0",uitkomst_doelgroep[Uitgangssituatie/effect beleid],uitkomst_tech[[#This Row],[Uitgangssituatie/effect beleid]])</f>
        <v>849208</v>
      </c>
      <c r="G618" s="398">
        <f>SUMIFS(uitkomst_doelgroep[Arbeidsbesparing (€)],uitkomst_doelgroep[Digitale zorgtoepassing],B618,uitkomst_doelgroep[Jaar],D618,uitkomst_doelgroep[Arbeidsbesparing (€)],"&gt;0",uitkomst_doelgroep[Uitgangssituatie/effect beleid],uitkomst_tech[[#This Row],[Uitgangssituatie/effect beleid]])</f>
        <v>1782189.1497318009</v>
      </c>
      <c r="H618" s="398">
        <f>SUMIFS(uitkomst_doelgroep[Arbeidsbesparing (FTE)],uitkomst_doelgroep[Digitale zorgtoepassing],B618,uitkomst_doelgroep[Jaar],D618,uitkomst_doelgroep[Arbeidsbesparing (FTE)],"&gt;0",uitkomst_doelgroep[Uitgangssituatie/effect beleid],uitkomst_tech[[#This Row],[Uitgangssituatie/effect beleid]])</f>
        <v>34.022756410256413</v>
      </c>
      <c r="I618" s="398">
        <f>SUMIFS(uitkomst_doelgroep[Overige besparingen (€)],uitkomst_doelgroep[Digitale zorgtoepassing],B618,uitkomst_doelgroep[Jaar],D618,uitkomst_doelgroep[Overige besparingen (€)],"&gt;0",uitkomst_doelgroep[Uitgangssituatie/effect beleid],uitkomst_tech[[#This Row],[Uitgangssituatie/effect beleid]])</f>
        <v>1308539.5097828868</v>
      </c>
      <c r="J618" s="398">
        <f>SUMIFS(uitkomst_doelgroep[QALY (€)],uitkomst_doelgroep[Digitale zorgtoepassing],B618,uitkomst_doelgroep[Jaar],D618,uitkomst_doelgroep[QALY (€)],"&gt;0",uitkomst_doelgroep[Uitgangssituatie/effect beleid],uitkomst_tech[[#This Row],[Uitgangssituatie/effect beleid]])</f>
        <v>0</v>
      </c>
      <c r="K618" s="398">
        <f>SUMIFS(uitkomst_doelgroep[Kosten (€)],uitkomst_doelgroep[Digitale zorgtoepassing],B618,uitkomst_doelgroep[Jaar],D618,uitkomst_doelgroep[Kosten (€)],"&gt;0",uitkomst_doelgroep[Uitgangssituatie/effect beleid],uitkomst_tech[[#This Row],[Uitgangssituatie/effect beleid]])</f>
        <v>356901.60000000003</v>
      </c>
      <c r="L618" s="398">
        <f>SUMIFS(uitkomst_doelgroep[Investering (cash flow) (€)],uitkomst_doelgroep[Digitale zorgtoepassing],B618,uitkomst_doelgroep[Jaar],D618,uitkomst_doelgroep[Investering (cash flow) (€)],"&gt;0",uitkomst_doelgroep[Uitgangssituatie/effect beleid],uitkomst_tech[[#This Row],[Uitgangssituatie/effect beleid]])</f>
        <v>0</v>
      </c>
    </row>
    <row r="619" spans="1:12" x14ac:dyDescent="0.5">
      <c r="A619" s="2" t="str">
        <f>INDEX(Technologieën[Veld],MATCH(B619,Technologieën[Digitale zorgtoepassing],0))</f>
        <v>Digitale hulpmiddelen - Diagnose</v>
      </c>
      <c r="B619" s="33" t="s">
        <v>78</v>
      </c>
      <c r="C619" s="33" t="s">
        <v>813</v>
      </c>
      <c r="D619" s="33">
        <v>2024</v>
      </c>
      <c r="E619" s="2"/>
      <c r="F619" s="397">
        <f>SUMIFS(uitkomst_doelgroep[Patiëntaantallen],uitkomst_doelgroep[Digitale zorgtoepassing],B619,uitkomst_doelgroep[Jaar],D619,uitkomst_doelgroep[Arbeidsbesparing (€)],"&gt;0",uitkomst_doelgroep[Uitgangssituatie/effect beleid],uitkomst_tech[[#This Row],[Uitgangssituatie/effect beleid]])</f>
        <v>1239843.6800000002</v>
      </c>
      <c r="G619" s="398">
        <f>SUMIFS(uitkomst_doelgroep[Arbeidsbesparing (€)],uitkomst_doelgroep[Digitale zorgtoepassing],B619,uitkomst_doelgroep[Jaar],D619,uitkomst_doelgroep[Arbeidsbesparing (€)],"&gt;0",uitkomst_doelgroep[Uitgangssituatie/effect beleid],uitkomst_tech[[#This Row],[Uitgangssituatie/effect beleid]])</f>
        <v>2601996.1586084301</v>
      </c>
      <c r="H619" s="398">
        <f>SUMIFS(uitkomst_doelgroep[Arbeidsbesparing (FTE)],uitkomst_doelgroep[Digitale zorgtoepassing],B619,uitkomst_doelgroep[Jaar],D619,uitkomst_doelgroep[Arbeidsbesparing (FTE)],"&gt;0",uitkomst_doelgroep[Uitgangssituatie/effect beleid],uitkomst_tech[[#This Row],[Uitgangssituatie/effect beleid]])</f>
        <v>49.673224358974366</v>
      </c>
      <c r="I619" s="398">
        <f>SUMIFS(uitkomst_doelgroep[Overige besparingen (€)],uitkomst_doelgroep[Digitale zorgtoepassing],B619,uitkomst_doelgroep[Jaar],D619,uitkomst_doelgroep[Overige besparingen (€)],"&gt;0",uitkomst_doelgroep[Uitgangssituatie/effect beleid],uitkomst_tech[[#This Row],[Uitgangssituatie/effect beleid]])</f>
        <v>1910467.6842830151</v>
      </c>
      <c r="J619" s="398">
        <f>SUMIFS(uitkomst_doelgroep[QALY (€)],uitkomst_doelgroep[Digitale zorgtoepassing],B619,uitkomst_doelgroep[Jaar],D619,uitkomst_doelgroep[QALY (€)],"&gt;0",uitkomst_doelgroep[Uitgangssituatie/effect beleid],uitkomst_tech[[#This Row],[Uitgangssituatie/effect beleid]])</f>
        <v>0</v>
      </c>
      <c r="K619" s="398">
        <f>SUMIFS(uitkomst_doelgroep[Kosten (€)],uitkomst_doelgroep[Digitale zorgtoepassing],B619,uitkomst_doelgroep[Jaar],D619,uitkomst_doelgroep[Kosten (€)],"&gt;0",uitkomst_doelgroep[Uitgangssituatie/effect beleid],uitkomst_tech[[#This Row],[Uitgangssituatie/effect beleid]])</f>
        <v>521076.33600000007</v>
      </c>
      <c r="L619" s="398">
        <f>SUMIFS(uitkomst_doelgroep[Investering (cash flow) (€)],uitkomst_doelgroep[Digitale zorgtoepassing],B619,uitkomst_doelgroep[Jaar],D619,uitkomst_doelgroep[Investering (cash flow) (€)],"&gt;0",uitkomst_doelgroep[Uitgangssituatie/effect beleid],uitkomst_tech[[#This Row],[Uitgangssituatie/effect beleid]])</f>
        <v>0</v>
      </c>
    </row>
    <row r="620" spans="1:12" x14ac:dyDescent="0.5">
      <c r="A620" s="2" t="str">
        <f>INDEX(Technologieën[Veld],MATCH(B620,Technologieën[Digitale zorgtoepassing],0))</f>
        <v>Digitale hulpmiddelen - Diagnose</v>
      </c>
      <c r="B620" s="33" t="s">
        <v>78</v>
      </c>
      <c r="C620" s="33" t="s">
        <v>813</v>
      </c>
      <c r="D620" s="33">
        <v>2025</v>
      </c>
      <c r="E620" s="2"/>
      <c r="F620" s="397">
        <f>SUMIFS(uitkomst_doelgroep[Patiëntaantallen],uitkomst_doelgroep[Digitale zorgtoepassing],B620,uitkomst_doelgroep[Jaar],D620,uitkomst_doelgroep[Arbeidsbesparing (€)],"&gt;0",uitkomst_doelgroep[Uitgangssituatie/effect beleid],uitkomst_tech[[#This Row],[Uitgangssituatie/effect beleid]])</f>
        <v>1710012.7844480004</v>
      </c>
      <c r="G620" s="398">
        <f>SUMIFS(uitkomst_doelgroep[Arbeidsbesparing (€)],uitkomst_doelgroep[Digitale zorgtoepassing],B620,uitkomst_doelgroep[Jaar],D620,uitkomst_doelgroep[Arbeidsbesparing (€)],"&gt;0",uitkomst_doelgroep[Uitgangssituatie/effect beleid],uitkomst_tech[[#This Row],[Uitgangssituatie/effect beleid]])</f>
        <v>3588715.8744923398</v>
      </c>
      <c r="H620" s="398">
        <f>SUMIFS(uitkomst_doelgroep[Arbeidsbesparing (FTE)],uitkomst_doelgroep[Digitale zorgtoepassing],B620,uitkomst_doelgroep[Jaar],D620,uitkomst_doelgroep[Arbeidsbesparing (FTE)],"&gt;0",uitkomst_doelgroep[Uitgangssituatie/effect beleid],uitkomst_tech[[#This Row],[Uitgangssituatie/effect beleid]])</f>
        <v>68.510127582051297</v>
      </c>
      <c r="I620" s="398">
        <f>SUMIFS(uitkomst_doelgroep[Overige besparingen (€)],uitkomst_doelgroep[Digitale zorgtoepassing],B620,uitkomst_doelgroep[Jaar],D620,uitkomst_doelgroep[Overige besparingen (€)],"&gt;0",uitkomst_doelgroep[Uitgangssituatie/effect beleid],uitkomst_tech[[#This Row],[Uitgangssituatie/effect beleid]])</f>
        <v>2634948.435111369</v>
      </c>
      <c r="J620" s="398">
        <f>SUMIFS(uitkomst_doelgroep[QALY (€)],uitkomst_doelgroep[Digitale zorgtoepassing],B620,uitkomst_doelgroep[Jaar],D620,uitkomst_doelgroep[QALY (€)],"&gt;0",uitkomst_doelgroep[Uitgangssituatie/effect beleid],uitkomst_tech[[#This Row],[Uitgangssituatie/effect beleid]])</f>
        <v>0</v>
      </c>
      <c r="K620" s="398">
        <f>SUMIFS(uitkomst_doelgroep[Kosten (€)],uitkomst_doelgroep[Digitale zorgtoepassing],B620,uitkomst_doelgroep[Jaar],D620,uitkomst_doelgroep[Kosten (€)],"&gt;0",uitkomst_doelgroep[Uitgangssituatie/effect beleid],uitkomst_tech[[#This Row],[Uitgangssituatie/effect beleid]])</f>
        <v>718677.04824960011</v>
      </c>
      <c r="L620" s="398">
        <f>SUMIFS(uitkomst_doelgroep[Investering (cash flow) (€)],uitkomst_doelgroep[Digitale zorgtoepassing],B620,uitkomst_doelgroep[Jaar],D620,uitkomst_doelgroep[Investering (cash flow) (€)],"&gt;0",uitkomst_doelgroep[Uitgangssituatie/effect beleid],uitkomst_tech[[#This Row],[Uitgangssituatie/effect beleid]])</f>
        <v>0</v>
      </c>
    </row>
    <row r="621" spans="1:12" x14ac:dyDescent="0.5">
      <c r="A621" s="2" t="str">
        <f>INDEX(Technologieën[Veld],MATCH(B621,Technologieën[Digitale zorgtoepassing],0))</f>
        <v>Digitale hulpmiddelen - Diagnose</v>
      </c>
      <c r="B621" s="33" t="s">
        <v>78</v>
      </c>
      <c r="C621" s="33" t="s">
        <v>813</v>
      </c>
      <c r="D621" s="33">
        <v>2026</v>
      </c>
      <c r="E621" s="2"/>
      <c r="F621" s="397">
        <f>SUMIFS(uitkomst_doelgroep[Patiëntaantallen],uitkomst_doelgroep[Digitale zorgtoepassing],B621,uitkomst_doelgroep[Jaar],D621,uitkomst_doelgroep[Arbeidsbesparing (€)],"&gt;0",uitkomst_doelgroep[Uitgangssituatie/effect beleid],uitkomst_tech[[#This Row],[Uitgangssituatie/effect beleid]])</f>
        <v>2233015.2425251622</v>
      </c>
      <c r="G621" s="398">
        <f>SUMIFS(uitkomst_doelgroep[Arbeidsbesparing (€)],uitkomst_doelgroep[Digitale zorgtoepassing],B621,uitkomst_doelgroep[Jaar],D621,uitkomst_doelgroep[Arbeidsbesparing (€)],"&gt;0",uitkomst_doelgroep[Uitgangssituatie/effect beleid],uitkomst_tech[[#This Row],[Uitgangssituatie/effect beleid]])</f>
        <v>4686314.2321010521</v>
      </c>
      <c r="H621" s="398">
        <f>SUMIFS(uitkomst_doelgroep[Arbeidsbesparing (FTE)],uitkomst_doelgroep[Digitale zorgtoepassing],B621,uitkomst_doelgroep[Jaar],D621,uitkomst_doelgroep[Arbeidsbesparing (FTE)],"&gt;0",uitkomst_doelgroep[Uitgangssituatie/effect beleid],uitkomst_tech[[#This Row],[Uitgangssituatie/effect beleid]])</f>
        <v>89.46375170373247</v>
      </c>
      <c r="I621" s="398">
        <f>SUMIFS(uitkomst_doelgroep[Overige besparingen (€)],uitkomst_doelgroep[Digitale zorgtoepassing],B621,uitkomst_doelgroep[Jaar],D621,uitkomst_doelgroep[Overige besparingen (€)],"&gt;0",uitkomst_doelgroep[Uitgangssituatie/effect beleid],uitkomst_tech[[#This Row],[Uitgangssituatie/effect beleid]])</f>
        <v>3440839.783411826</v>
      </c>
      <c r="J621" s="398">
        <f>SUMIFS(uitkomst_doelgroep[QALY (€)],uitkomst_doelgroep[Digitale zorgtoepassing],B621,uitkomst_doelgroep[Jaar],D621,uitkomst_doelgroep[QALY (€)],"&gt;0",uitkomst_doelgroep[Uitgangssituatie/effect beleid],uitkomst_tech[[#This Row],[Uitgangssituatie/effect beleid]])</f>
        <v>0</v>
      </c>
      <c r="K621" s="398">
        <f>SUMIFS(uitkomst_doelgroep[Kosten (€)],uitkomst_doelgroep[Digitale zorgtoepassing],B621,uitkomst_doelgroep[Jaar],D621,uitkomst_doelgroep[Kosten (€)],"&gt;0",uitkomst_doelgroep[Uitgangssituatie/effect beleid],uitkomst_tech[[#This Row],[Uitgangssituatie/effect beleid]])</f>
        <v>938482.34223137144</v>
      </c>
      <c r="L621" s="398">
        <f>SUMIFS(uitkomst_doelgroep[Investering (cash flow) (€)],uitkomst_doelgroep[Digitale zorgtoepassing],B621,uitkomst_doelgroep[Jaar],D621,uitkomst_doelgroep[Investering (cash flow) (€)],"&gt;0",uitkomst_doelgroep[Uitgangssituatie/effect beleid],uitkomst_tech[[#This Row],[Uitgangssituatie/effect beleid]])</f>
        <v>0</v>
      </c>
    </row>
    <row r="622" spans="1:12" x14ac:dyDescent="0.5">
      <c r="A622" s="2" t="str">
        <f>INDEX(Technologieën[Veld],MATCH(B622,Technologieën[Digitale zorgtoepassing],0))</f>
        <v>Digitale hulpmiddelen - Diagnose</v>
      </c>
      <c r="B622" s="33" t="s">
        <v>78</v>
      </c>
      <c r="C622" s="33" t="s">
        <v>813</v>
      </c>
      <c r="D622" s="33">
        <v>2027</v>
      </c>
      <c r="E622" s="2"/>
      <c r="F622" s="397">
        <f>SUMIFS(uitkomst_doelgroep[Patiëntaantallen],uitkomst_doelgroep[Digitale zorgtoepassing],B622,uitkomst_doelgroep[Jaar],D622,uitkomst_doelgroep[Arbeidsbesparing (€)],"&gt;0",uitkomst_doelgroep[Uitgangssituatie/effect beleid],uitkomst_tech[[#This Row],[Uitgangssituatie/effect beleid]])</f>
        <v>2759738.1010452267</v>
      </c>
      <c r="G622" s="398">
        <f>SUMIFS(uitkomst_doelgroep[Arbeidsbesparing (€)],uitkomst_doelgroep[Digitale zorgtoepassing],B622,uitkomst_doelgroep[Jaar],D622,uitkomst_doelgroep[Arbeidsbesparing (€)],"&gt;0",uitkomst_doelgroep[Uitgangssituatie/effect beleid],uitkomst_tech[[#This Row],[Uitgangssituatie/effect beleid]])</f>
        <v>5791720.4027567422</v>
      </c>
      <c r="H622" s="398">
        <f>SUMIFS(uitkomst_doelgroep[Arbeidsbesparing (FTE)],uitkomst_doelgroep[Digitale zorgtoepassing],B622,uitkomst_doelgroep[Jaar],D622,uitkomst_doelgroep[Arbeidsbesparing (FTE)],"&gt;0",uitkomst_doelgroep[Uitgangssituatie/effect beleid],uitkomst_tech[[#This Row],[Uitgangssituatie/effect beleid]])</f>
        <v>110.56643033033762</v>
      </c>
      <c r="I622" s="398">
        <f>SUMIFS(uitkomst_doelgroep[Overige besparingen (€)],uitkomst_doelgroep[Digitale zorgtoepassing],B622,uitkomst_doelgroep[Jaar],D622,uitkomst_doelgroep[Overige besparingen (€)],"&gt;0",uitkomst_doelgroep[Uitgangssituatie/effect beleid],uitkomst_tech[[#This Row],[Uitgangssituatie/effect beleid]])</f>
        <v>4252463.8744228454</v>
      </c>
      <c r="J622" s="398">
        <f>SUMIFS(uitkomst_doelgroep[QALY (€)],uitkomst_doelgroep[Digitale zorgtoepassing],B622,uitkomst_doelgroep[Jaar],D622,uitkomst_doelgroep[QALY (€)],"&gt;0",uitkomst_doelgroep[Uitgangssituatie/effect beleid],uitkomst_tech[[#This Row],[Uitgangssituatie/effect beleid]])</f>
        <v>0</v>
      </c>
      <c r="K622" s="398">
        <f>SUMIFS(uitkomst_doelgroep[Kosten (€)],uitkomst_doelgroep[Digitale zorgtoepassing],B622,uitkomst_doelgroep[Jaar],D622,uitkomst_doelgroep[Kosten (€)],"&gt;0",uitkomst_doelgroep[Uitgangssituatie/effect beleid],uitkomst_tech[[#This Row],[Uitgangssituatie/effect beleid]])</f>
        <v>1159851.2306101723</v>
      </c>
      <c r="L622" s="398">
        <f>SUMIFS(uitkomst_doelgroep[Investering (cash flow) (€)],uitkomst_doelgroep[Digitale zorgtoepassing],B622,uitkomst_doelgroep[Jaar],D622,uitkomst_doelgroep[Investering (cash flow) (€)],"&gt;0",uitkomst_doelgroep[Uitgangssituatie/effect beleid],uitkomst_tech[[#This Row],[Uitgangssituatie/effect beleid]])</f>
        <v>0</v>
      </c>
    </row>
    <row r="623" spans="1:12" x14ac:dyDescent="0.5">
      <c r="A623" s="2" t="str">
        <f>INDEX(Technologieën[Veld],MATCH(B623,Technologieën[Digitale zorgtoepassing],0))</f>
        <v>Digitale hulpmiddelen - Diagnose</v>
      </c>
      <c r="B623" s="33" t="s">
        <v>78</v>
      </c>
      <c r="C623" s="33" t="s">
        <v>813</v>
      </c>
      <c r="D623" s="33">
        <v>2028</v>
      </c>
      <c r="E623" s="2"/>
      <c r="F623" s="397">
        <f>SUMIFS(uitkomst_doelgroep[Patiëntaantallen],uitkomst_doelgroep[Digitale zorgtoepassing],B623,uitkomst_doelgroep[Jaar],D623,uitkomst_doelgroep[Arbeidsbesparing (€)],"&gt;0",uitkomst_doelgroep[Uitgangssituatie/effect beleid],uitkomst_tech[[#This Row],[Uitgangssituatie/effect beleid]])</f>
        <v>3231609.35613622</v>
      </c>
      <c r="G623" s="398">
        <f>SUMIFS(uitkomst_doelgroep[Arbeidsbesparing (€)],uitkomst_doelgroep[Digitale zorgtoepassing],B623,uitkomst_doelgroep[Jaar],D623,uitkomst_doelgroep[Arbeidsbesparing (€)],"&gt;0",uitkomst_doelgroep[Uitgangssituatie/effect beleid],uitkomst_tech[[#This Row],[Uitgangssituatie/effect beleid]])</f>
        <v>6782012.3346432708</v>
      </c>
      <c r="H623" s="398">
        <f>SUMIFS(uitkomst_doelgroep[Arbeidsbesparing (FTE)],uitkomst_doelgroep[Digitale zorgtoepassing],B623,uitkomst_doelgroep[Jaar],D623,uitkomst_doelgroep[Arbeidsbesparing (FTE)],"&gt;0",uitkomst_doelgroep[Uitgangssituatie/effect beleid],uitkomst_tech[[#This Row],[Uitgangssituatie/effect beleid]])</f>
        <v>129.47152869135499</v>
      </c>
      <c r="I623" s="398">
        <f>SUMIFS(uitkomst_doelgroep[Overige besparingen (€)],uitkomst_doelgroep[Digitale zorgtoepassing],B623,uitkomst_doelgroep[Jaar],D623,uitkomst_doelgroep[Overige besparingen (€)],"&gt;0",uitkomst_doelgroep[Uitgangssituatie/effect beleid],uitkomst_tech[[#This Row],[Uitgangssituatie/effect beleid]])</f>
        <v>4979567.4589597359</v>
      </c>
      <c r="J623" s="398">
        <f>SUMIFS(uitkomst_doelgroep[QALY (€)],uitkomst_doelgroep[Digitale zorgtoepassing],B623,uitkomst_doelgroep[Jaar],D623,uitkomst_doelgroep[QALY (€)],"&gt;0",uitkomst_doelgroep[Uitgangssituatie/effect beleid],uitkomst_tech[[#This Row],[Uitgangssituatie/effect beleid]])</f>
        <v>0</v>
      </c>
      <c r="K623" s="398">
        <f>SUMIFS(uitkomst_doelgroep[Kosten (€)],uitkomst_doelgroep[Digitale zorgtoepassing],B623,uitkomst_doelgroep[Jaar],D623,uitkomst_doelgroep[Kosten (€)],"&gt;0",uitkomst_doelgroep[Uitgangssituatie/effect beleid],uitkomst_tech[[#This Row],[Uitgangssituatie/effect beleid]])</f>
        <v>1358167.315639969</v>
      </c>
      <c r="L623" s="398">
        <f>SUMIFS(uitkomst_doelgroep[Investering (cash flow) (€)],uitkomst_doelgroep[Digitale zorgtoepassing],B623,uitkomst_doelgroep[Jaar],D623,uitkomst_doelgroep[Investering (cash flow) (€)],"&gt;0",uitkomst_doelgroep[Uitgangssituatie/effect beleid],uitkomst_tech[[#This Row],[Uitgangssituatie/effect beleid]])</f>
        <v>0</v>
      </c>
    </row>
    <row r="624" spans="1:12" x14ac:dyDescent="0.5">
      <c r="A624" s="2" t="str">
        <f>INDEX(Technologieën[Veld],MATCH(B624,Technologieën[Digitale zorgtoepassing],0))</f>
        <v>Digitale hulpmiddelen - Diagnose</v>
      </c>
      <c r="B624" s="33" t="s">
        <v>78</v>
      </c>
      <c r="C624" s="33" t="s">
        <v>813</v>
      </c>
      <c r="D624" s="33">
        <v>2029</v>
      </c>
      <c r="E624" s="2"/>
      <c r="F624" s="397">
        <f>SUMIFS(uitkomst_doelgroep[Patiëntaantallen],uitkomst_doelgroep[Digitale zorgtoepassing],B624,uitkomst_doelgroep[Jaar],D624,uitkomst_doelgroep[Arbeidsbesparing (€)],"&gt;0",uitkomst_doelgroep[Uitgangssituatie/effect beleid],uitkomst_tech[[#This Row],[Uitgangssituatie/effect beleid]])</f>
        <v>3604401.9886160009</v>
      </c>
      <c r="G624" s="398">
        <f>SUMIFS(uitkomst_doelgroep[Arbeidsbesparing (€)],uitkomst_doelgroep[Digitale zorgtoepassing],B624,uitkomst_doelgroep[Jaar],D624,uitkomst_doelgroep[Arbeidsbesparing (€)],"&gt;0",uitkomst_doelgroep[Uitgangssituatie/effect beleid],uitkomst_tech[[#This Row],[Uitgangssituatie/effect beleid]])</f>
        <v>7564373.0574643239</v>
      </c>
      <c r="H624" s="398">
        <f>SUMIFS(uitkomst_doelgroep[Arbeidsbesparing (FTE)],uitkomst_doelgroep[Digitale zorgtoepassing],B624,uitkomst_doelgroep[Jaar],D624,uitkomst_doelgroep[Arbeidsbesparing (FTE)],"&gt;0",uitkomst_doelgroep[Uitgangssituatie/effect beleid],uitkomst_tech[[#This Row],[Uitgangssituatie/effect beleid]])</f>
        <v>144.40713095416672</v>
      </c>
      <c r="I624" s="398">
        <f>SUMIFS(uitkomst_doelgroep[Overige besparingen (€)],uitkomst_doelgroep[Digitale zorgtoepassing],B624,uitkomst_doelgroep[Jaar],D624,uitkomst_doelgroep[Overige besparingen (€)],"&gt;0",uitkomst_doelgroep[Uitgangssituatie/effect beleid],uitkomst_tech[[#This Row],[Uitgangssituatie/effect beleid]])</f>
        <v>5554001.3886398207</v>
      </c>
      <c r="J624" s="398">
        <f>SUMIFS(uitkomst_doelgroep[QALY (€)],uitkomst_doelgroep[Digitale zorgtoepassing],B624,uitkomst_doelgroep[Jaar],D624,uitkomst_doelgroep[QALY (€)],"&gt;0",uitkomst_doelgroep[Uitgangssituatie/effect beleid],uitkomst_tech[[#This Row],[Uitgangssituatie/effect beleid]])</f>
        <v>0</v>
      </c>
      <c r="K624" s="398">
        <f>SUMIFS(uitkomst_doelgroep[Kosten (€)],uitkomst_doelgroep[Digitale zorgtoepassing],B624,uitkomst_doelgroep[Jaar],D624,uitkomst_doelgroep[Kosten (€)],"&gt;0",uitkomst_doelgroep[Uitgangssituatie/effect beleid],uitkomst_tech[[#This Row],[Uitgangssituatie/effect beleid]])</f>
        <v>1514843.0499715412</v>
      </c>
      <c r="L624" s="398">
        <f>SUMIFS(uitkomst_doelgroep[Investering (cash flow) (€)],uitkomst_doelgroep[Digitale zorgtoepassing],B624,uitkomst_doelgroep[Jaar],D624,uitkomst_doelgroep[Investering (cash flow) (€)],"&gt;0",uitkomst_doelgroep[Uitgangssituatie/effect beleid],uitkomst_tech[[#This Row],[Uitgangssituatie/effect beleid]])</f>
        <v>0</v>
      </c>
    </row>
    <row r="625" spans="1:12" x14ac:dyDescent="0.5">
      <c r="A625" s="2" t="str">
        <f>INDEX(Technologieën[Veld],MATCH(B625,Technologieën[Digitale zorgtoepassing],0))</f>
        <v>Digitale hulpmiddelen - Diagnose</v>
      </c>
      <c r="B625" s="33" t="s">
        <v>78</v>
      </c>
      <c r="C625" s="33" t="s">
        <v>813</v>
      </c>
      <c r="D625" s="33">
        <v>2030</v>
      </c>
      <c r="E625" s="2"/>
      <c r="F625" s="397">
        <f>SUMIFS(uitkomst_doelgroep[Patiëntaantallen],uitkomst_doelgroep[Digitale zorgtoepassing],B625,uitkomst_doelgroep[Jaar],D625,uitkomst_doelgroep[Arbeidsbesparing (€)],"&gt;0",uitkomst_doelgroep[Uitgangssituatie/effect beleid],uitkomst_tech[[#This Row],[Uitgangssituatie/effect beleid]])</f>
        <v>3865547.6943649505</v>
      </c>
      <c r="G625" s="398">
        <f>SUMIFS(uitkomst_doelgroep[Arbeidsbesparing (€)],uitkomst_doelgroep[Digitale zorgtoepassing],B625,uitkomst_doelgroep[Jaar],D625,uitkomst_doelgroep[Arbeidsbesparing (€)],"&gt;0",uitkomst_doelgroep[Uitgangssituatie/effect beleid],uitkomst_tech[[#This Row],[Uitgangssituatie/effect beleid]])</f>
        <v>8112426.1178274285</v>
      </c>
      <c r="H625" s="398">
        <f>SUMIFS(uitkomst_doelgroep[Arbeidsbesparing (FTE)],uitkomst_doelgroep[Digitale zorgtoepassing],B625,uitkomst_doelgroep[Jaar],D625,uitkomst_doelgroep[Arbeidsbesparing (FTE)],"&gt;0",uitkomst_doelgroep[Uitgangssituatie/effect beleid],uitkomst_tech[[#This Row],[Uitgangssituatie/effect beleid]])</f>
        <v>154.86969929346759</v>
      </c>
      <c r="I625" s="398">
        <f>SUMIFS(uitkomst_doelgroep[Overige besparingen (€)],uitkomst_doelgroep[Digitale zorgtoepassing],B625,uitkomst_doelgroep[Jaar],D625,uitkomst_doelgroep[Overige besparingen (€)],"&gt;0",uitkomst_doelgroep[Uitgangssituatie/effect beleid],uitkomst_tech[[#This Row],[Uitgangssituatie/effect beleid]])</f>
        <v>5956399.2390871029</v>
      </c>
      <c r="J625" s="398">
        <f>SUMIFS(uitkomst_doelgroep[QALY (€)],uitkomst_doelgroep[Digitale zorgtoepassing],B625,uitkomst_doelgroep[Jaar],D625,uitkomst_doelgroep[QALY (€)],"&gt;0",uitkomst_doelgroep[Uitgangssituatie/effect beleid],uitkomst_tech[[#This Row],[Uitgangssituatie/effect beleid]])</f>
        <v>0</v>
      </c>
      <c r="K625" s="398">
        <f>SUMIFS(uitkomst_doelgroep[Kosten (€)],uitkomst_doelgroep[Digitale zorgtoepassing],B625,uitkomst_doelgroep[Jaar],D625,uitkomst_doelgroep[Kosten (€)],"&gt;0",uitkomst_doelgroep[Uitgangssituatie/effect beleid],uitkomst_tech[[#This Row],[Uitgangssituatie/effect beleid]])</f>
        <v>1624596.2791155546</v>
      </c>
      <c r="L625" s="398">
        <f>SUMIFS(uitkomst_doelgroep[Investering (cash flow) (€)],uitkomst_doelgroep[Digitale zorgtoepassing],B625,uitkomst_doelgroep[Jaar],D625,uitkomst_doelgroep[Investering (cash flow) (€)],"&gt;0",uitkomst_doelgroep[Uitgangssituatie/effect beleid],uitkomst_tech[[#This Row],[Uitgangssituatie/effect beleid]])</f>
        <v>0</v>
      </c>
    </row>
    <row r="626" spans="1:12" x14ac:dyDescent="0.5">
      <c r="A626" s="2" t="str">
        <f>INDEX(Technologieën[Veld],MATCH(B626,Technologieën[Digitale zorgtoepassing],0))</f>
        <v>Digitale hulpmiddelen - Diagnose</v>
      </c>
      <c r="B626" s="33" t="s">
        <v>78</v>
      </c>
      <c r="C626" s="33" t="s">
        <v>813</v>
      </c>
      <c r="D626" s="33">
        <v>2031</v>
      </c>
      <c r="E626" s="2"/>
      <c r="F626" s="397">
        <f>SUMIFS(uitkomst_doelgroep[Patiëntaantallen],uitkomst_doelgroep[Digitale zorgtoepassing],B626,uitkomst_doelgroep[Jaar],D626,uitkomst_doelgroep[Arbeidsbesparing (€)],"&gt;0",uitkomst_doelgroep[Uitgangssituatie/effect beleid],uitkomst_tech[[#This Row],[Uitgangssituatie/effect beleid]])</f>
        <v>4030938.1895987433</v>
      </c>
      <c r="G626" s="398">
        <f>SUMIFS(uitkomst_doelgroep[Arbeidsbesparing (€)],uitkomst_doelgroep[Digitale zorgtoepassing],B626,uitkomst_doelgroep[Jaar],D626,uitkomst_doelgroep[Arbeidsbesparing (€)],"&gt;0",uitkomst_doelgroep[Uitgangssituatie/effect beleid],uitkomst_tech[[#This Row],[Uitgangssituatie/effect beleid]])</f>
        <v>8459522.6431480031</v>
      </c>
      <c r="H626" s="398">
        <f>SUMIFS(uitkomst_doelgroep[Arbeidsbesparing (FTE)],uitkomst_doelgroep[Digitale zorgtoepassing],B626,uitkomst_doelgroep[Jaar],D626,uitkomst_doelgroep[Arbeidsbesparing (FTE)],"&gt;0",uitkomst_doelgroep[Uitgangssituatie/effect beleid],uitkomst_tech[[#This Row],[Uitgangssituatie/effect beleid]])</f>
        <v>161.49592105764197</v>
      </c>
      <c r="I626" s="398">
        <f>SUMIFS(uitkomst_doelgroep[Overige besparingen (€)],uitkomst_doelgroep[Digitale zorgtoepassing],B626,uitkomst_doelgroep[Jaar],D626,uitkomst_doelgroep[Overige besparingen (€)],"&gt;0",uitkomst_doelgroep[Uitgangssituatie/effect beleid],uitkomst_tech[[#This Row],[Uitgangssituatie/effect beleid]])</f>
        <v>6211248.4604274305</v>
      </c>
      <c r="J626" s="398">
        <f>SUMIFS(uitkomst_doelgroep[QALY (€)],uitkomst_doelgroep[Digitale zorgtoepassing],B626,uitkomst_doelgroep[Jaar],D626,uitkomst_doelgroep[QALY (€)],"&gt;0",uitkomst_doelgroep[Uitgangssituatie/effect beleid],uitkomst_tech[[#This Row],[Uitgangssituatie/effect beleid]])</f>
        <v>0</v>
      </c>
      <c r="K626" s="398">
        <f>SUMIFS(uitkomst_doelgroep[Kosten (€)],uitkomst_doelgroep[Digitale zorgtoepassing],B626,uitkomst_doelgroep[Jaar],D626,uitkomst_doelgroep[Kosten (€)],"&gt;0",uitkomst_doelgroep[Uitgangssituatie/effect beleid],uitkomst_tech[[#This Row],[Uitgangssituatie/effect beleid]])</f>
        <v>1694105.9073500189</v>
      </c>
      <c r="L626" s="398">
        <f>SUMIFS(uitkomst_doelgroep[Investering (cash flow) (€)],uitkomst_doelgroep[Digitale zorgtoepassing],B626,uitkomst_doelgroep[Jaar],D626,uitkomst_doelgroep[Investering (cash flow) (€)],"&gt;0",uitkomst_doelgroep[Uitgangssituatie/effect beleid],uitkomst_tech[[#This Row],[Uitgangssituatie/effect beleid]])</f>
        <v>0</v>
      </c>
    </row>
    <row r="627" spans="1:12" x14ac:dyDescent="0.5">
      <c r="A627" s="2" t="str">
        <f>INDEX(Technologieën[Veld],MATCH(B627,Technologieën[Digitale zorgtoepassing],0))</f>
        <v>Digitale hulpmiddelen - Diagnose</v>
      </c>
      <c r="B627" s="33" t="s">
        <v>78</v>
      </c>
      <c r="C627" s="33" t="s">
        <v>813</v>
      </c>
      <c r="D627" s="33">
        <v>2032</v>
      </c>
      <c r="E627" s="2"/>
      <c r="F627" s="397">
        <f>SUMIFS(uitkomst_doelgroep[Patiëntaantallen],uitkomst_doelgroep[Digitale zorgtoepassing],B627,uitkomst_doelgroep[Jaar],D627,uitkomst_doelgroep[Arbeidsbesparing (€)],"&gt;0",uitkomst_doelgroep[Uitgangssituatie/effect beleid],uitkomst_tech[[#This Row],[Uitgangssituatie/effect beleid]])</f>
        <v>4128207.9322919631</v>
      </c>
      <c r="G627" s="398">
        <f>SUMIFS(uitkomst_doelgroep[Arbeidsbesparing (€)],uitkomst_doelgroep[Digitale zorgtoepassing],B627,uitkomst_doelgroep[Jaar],D627,uitkomst_doelgroep[Arbeidsbesparing (€)],"&gt;0",uitkomst_doelgroep[Uitgangssituatie/effect beleid],uitkomst_tech[[#This Row],[Uitgangssituatie/effect beleid]])</f>
        <v>8663657.648971146</v>
      </c>
      <c r="H627" s="398">
        <f>SUMIFS(uitkomst_doelgroep[Arbeidsbesparing (FTE)],uitkomst_doelgroep[Digitale zorgtoepassing],B627,uitkomst_doelgroep[Jaar],D627,uitkomst_doelgroep[Arbeidsbesparing (FTE)],"&gt;0",uitkomst_doelgroep[Uitgangssituatie/effect beleid],uitkomst_tech[[#This Row],[Uitgangssituatie/effect beleid]])</f>
        <v>165.39294600528697</v>
      </c>
      <c r="I627" s="398">
        <f>SUMIFS(uitkomst_doelgroep[Overige besparingen (€)],uitkomst_doelgroep[Digitale zorgtoepassing],B627,uitkomst_doelgroep[Jaar],D627,uitkomst_doelgroep[Overige besparingen (€)],"&gt;0",uitkomst_doelgroep[Uitgangssituatie/effect beleid],uitkomst_tech[[#This Row],[Uitgangssituatie/effect beleid]])</f>
        <v>6361130.8230765024</v>
      </c>
      <c r="J627" s="398">
        <f>SUMIFS(uitkomst_doelgroep[QALY (€)],uitkomst_doelgroep[Digitale zorgtoepassing],B627,uitkomst_doelgroep[Jaar],D627,uitkomst_doelgroep[QALY (€)],"&gt;0",uitkomst_doelgroep[Uitgangssituatie/effect beleid],uitkomst_tech[[#This Row],[Uitgangssituatie/effect beleid]])</f>
        <v>0</v>
      </c>
      <c r="K627" s="398">
        <f>SUMIFS(uitkomst_doelgroep[Kosten (€)],uitkomst_doelgroep[Digitale zorgtoepassing],B627,uitkomst_doelgroep[Jaar],D627,uitkomst_doelgroep[Kosten (€)],"&gt;0",uitkomst_doelgroep[Uitgangssituatie/effect beleid],uitkomst_tech[[#This Row],[Uitgangssituatie/effect beleid]])</f>
        <v>1734986.0295330393</v>
      </c>
      <c r="L627" s="398">
        <f>SUMIFS(uitkomst_doelgroep[Investering (cash flow) (€)],uitkomst_doelgroep[Digitale zorgtoepassing],B627,uitkomst_doelgroep[Jaar],D627,uitkomst_doelgroep[Investering (cash flow) (€)],"&gt;0",uitkomst_doelgroep[Uitgangssituatie/effect beleid],uitkomst_tech[[#This Row],[Uitgangssituatie/effect beleid]])</f>
        <v>0</v>
      </c>
    </row>
    <row r="628" spans="1:12" x14ac:dyDescent="0.5">
      <c r="A628" s="2" t="str">
        <f>INDEX(Technologieën[Veld],MATCH(B628,Technologieën[Digitale zorgtoepassing],0))</f>
        <v>Digitale hulpmiddelen - Diagnose</v>
      </c>
      <c r="B628" s="33" t="s">
        <v>78</v>
      </c>
      <c r="C628" s="33" t="s">
        <v>813</v>
      </c>
      <c r="D628" s="33">
        <v>2033</v>
      </c>
      <c r="E628" s="2"/>
      <c r="F628" s="397">
        <f>SUMIFS(uitkomst_doelgroep[Patiëntaantallen],uitkomst_doelgroep[Digitale zorgtoepassing],B628,uitkomst_doelgroep[Jaar],D628,uitkomst_doelgroep[Arbeidsbesparing (€)],"&gt;0",uitkomst_doelgroep[Uitgangssituatie/effect beleid],uitkomst_tech[[#This Row],[Uitgangssituatie/effect beleid]])</f>
        <v>4182706.6808400415</v>
      </c>
      <c r="G628" s="398">
        <f>SUMIFS(uitkomst_doelgroep[Arbeidsbesparing (€)],uitkomst_doelgroep[Digitale zorgtoepassing],B628,uitkomst_doelgroep[Jaar],D628,uitkomst_doelgroep[Arbeidsbesparing (€)],"&gt;0",uitkomst_doelgroep[Uitgangssituatie/effect beleid],uitkomst_tech[[#This Row],[Uitgangssituatie/effect beleid]])</f>
        <v>8778031.3693510145</v>
      </c>
      <c r="H628" s="398">
        <f>SUMIFS(uitkomst_doelgroep[Arbeidsbesparing (FTE)],uitkomst_doelgroep[Digitale zorgtoepassing],B628,uitkomst_doelgroep[Jaar],D628,uitkomst_doelgroep[Arbeidsbesparing (FTE)],"&gt;0",uitkomst_doelgroep[Uitgangssituatie/effect beleid],uitkomst_tech[[#This Row],[Uitgangssituatie/effect beleid]])</f>
        <v>167.57638945673244</v>
      </c>
      <c r="I628" s="398">
        <f>SUMIFS(uitkomst_doelgroep[Overige besparingen (€)],uitkomst_doelgroep[Digitale zorgtoepassing],B628,uitkomst_doelgroep[Jaar],D628,uitkomst_doelgroep[Overige besparingen (€)],"&gt;0",uitkomst_doelgroep[Uitgangssituatie/effect beleid],uitkomst_tech[[#This Row],[Uitgangssituatie/effect beleid]])</f>
        <v>6445107.6175825391</v>
      </c>
      <c r="J628" s="398">
        <f>SUMIFS(uitkomst_doelgroep[QALY (€)],uitkomst_doelgroep[Digitale zorgtoepassing],B628,uitkomst_doelgroep[Jaar],D628,uitkomst_doelgroep[QALY (€)],"&gt;0",uitkomst_doelgroep[Uitgangssituatie/effect beleid],uitkomst_tech[[#This Row],[Uitgangssituatie/effect beleid]])</f>
        <v>0</v>
      </c>
      <c r="K628" s="398">
        <f>SUMIFS(uitkomst_doelgroep[Kosten (€)],uitkomst_doelgroep[Digitale zorgtoepassing],B628,uitkomst_doelgroep[Jaar],D628,uitkomst_doelgroep[Kosten (€)],"&gt;0",uitkomst_doelgroep[Uitgangssituatie/effect beleid],uitkomst_tech[[#This Row],[Uitgangssituatie/effect beleid]])</f>
        <v>1757890.5365028358</v>
      </c>
      <c r="L628" s="398">
        <f>SUMIFS(uitkomst_doelgroep[Investering (cash flow) (€)],uitkomst_doelgroep[Digitale zorgtoepassing],B628,uitkomst_doelgroep[Jaar],D628,uitkomst_doelgroep[Investering (cash flow) (€)],"&gt;0",uitkomst_doelgroep[Uitgangssituatie/effect beleid],uitkomst_tech[[#This Row],[Uitgangssituatie/effect beleid]])</f>
        <v>0</v>
      </c>
    </row>
    <row r="629" spans="1:12" x14ac:dyDescent="0.5">
      <c r="A629" s="2" t="str">
        <f>INDEX(Technologieën[Veld],MATCH(B629,Technologieën[Digitale zorgtoepassing],0))</f>
        <v>Digitale hulpmiddelen - Diagnose</v>
      </c>
      <c r="B629" s="33" t="s">
        <v>82</v>
      </c>
      <c r="C629" s="33" t="s">
        <v>813</v>
      </c>
      <c r="D629" s="33">
        <v>2023</v>
      </c>
      <c r="E629" s="2"/>
      <c r="F629" s="397">
        <f>SUMIFS(uitkomst_doelgroep[Patiëntaantallen],uitkomst_doelgroep[Digitale zorgtoepassing],B629,uitkomst_doelgroep[Jaar],D629,uitkomst_doelgroep[Arbeidsbesparing (€)],"&gt;0",uitkomst_doelgroep[Uitgangssituatie/effect beleid],uitkomst_tech[[#This Row],[Uitgangssituatie/effect beleid]])</f>
        <v>85633.68</v>
      </c>
      <c r="G629" s="398">
        <f>SUMIFS(uitkomst_doelgroep[Arbeidsbesparing (€)],uitkomst_doelgroep[Digitale zorgtoepassing],B629,uitkomst_doelgroep[Jaar],D629,uitkomst_doelgroep[Arbeidsbesparing (€)],"&gt;0",uitkomst_doelgroep[Uitgangssituatie/effect beleid],uitkomst_tech[[#This Row],[Uitgangssituatie/effect beleid]])</f>
        <v>5257509.6558139538</v>
      </c>
      <c r="H629" s="398">
        <f>SUMIFS(uitkomst_doelgroep[Arbeidsbesparing (FTE)],uitkomst_doelgroep[Digitale zorgtoepassing],B629,uitkomst_doelgroep[Jaar],D629,uitkomst_doelgroep[Arbeidsbesparing (FTE)],"&gt;0",uitkomst_doelgroep[Uitgangssituatie/effect beleid],uitkomst_tech[[#This Row],[Uitgangssituatie/effect beleid]])</f>
        <v>96.027533301999114</v>
      </c>
      <c r="I629" s="398">
        <f>SUMIFS(uitkomst_doelgroep[Overige besparingen (€)],uitkomst_doelgroep[Digitale zorgtoepassing],B629,uitkomst_doelgroep[Jaar],D629,uitkomst_doelgroep[Overige besparingen (€)],"&gt;0",uitkomst_doelgroep[Uitgangssituatie/effect beleid],uitkomst_tech[[#This Row],[Uitgangssituatie/effect beleid]])</f>
        <v>6731205.5441860463</v>
      </c>
      <c r="J629" s="398">
        <f>SUMIFS(uitkomst_doelgroep[QALY (€)],uitkomst_doelgroep[Digitale zorgtoepassing],B629,uitkomst_doelgroep[Jaar],D629,uitkomst_doelgroep[QALY (€)],"&gt;0",uitkomst_doelgroep[Uitgangssituatie/effect beleid],uitkomst_tech[[#This Row],[Uitgangssituatie/effect beleid]])</f>
        <v>0</v>
      </c>
      <c r="K629" s="398">
        <f>SUMIFS(uitkomst_doelgroep[Kosten (€)],uitkomst_doelgroep[Digitale zorgtoepassing],B629,uitkomst_doelgroep[Jaar],D629,uitkomst_doelgroep[Kosten (€)],"&gt;0",uitkomst_doelgroep[Uitgangssituatie/effect beleid],uitkomst_tech[[#This Row],[Uitgangssituatie/effect beleid]])</f>
        <v>2631808.432</v>
      </c>
      <c r="L629" s="398">
        <f>SUMIFS(uitkomst_doelgroep[Investering (cash flow) (€)],uitkomst_doelgroep[Digitale zorgtoepassing],B629,uitkomst_doelgroep[Jaar],D629,uitkomst_doelgroep[Investering (cash flow) (€)],"&gt;0",uitkomst_doelgroep[Uitgangssituatie/effect beleid],uitkomst_tech[[#This Row],[Uitgangssituatie/effect beleid]])</f>
        <v>0</v>
      </c>
    </row>
    <row r="630" spans="1:12" x14ac:dyDescent="0.5">
      <c r="A630" s="2" t="str">
        <f>INDEX(Technologieën[Veld],MATCH(B630,Technologieën[Digitale zorgtoepassing],0))</f>
        <v>Digitale hulpmiddelen - Diagnose</v>
      </c>
      <c r="B630" s="33" t="s">
        <v>82</v>
      </c>
      <c r="C630" s="33" t="s">
        <v>813</v>
      </c>
      <c r="D630" s="33">
        <v>2024</v>
      </c>
      <c r="E630" s="2"/>
      <c r="F630" s="397">
        <f>SUMIFS(uitkomst_doelgroep[Patiëntaantallen],uitkomst_doelgroep[Digitale zorgtoepassing],B630,uitkomst_doelgroep[Jaar],D630,uitkomst_doelgroep[Arbeidsbesparing (€)],"&gt;0",uitkomst_doelgroep[Uitgangssituatie/effect beleid],uitkomst_tech[[#This Row],[Uitgangssituatie/effect beleid]])</f>
        <v>108754.7736</v>
      </c>
      <c r="G630" s="398">
        <f>SUMIFS(uitkomst_doelgroep[Arbeidsbesparing (€)],uitkomst_doelgroep[Digitale zorgtoepassing],B630,uitkomst_doelgroep[Jaar],D630,uitkomst_doelgroep[Arbeidsbesparing (€)],"&gt;0",uitkomst_doelgroep[Uitgangssituatie/effect beleid],uitkomst_tech[[#This Row],[Uitgangssituatie/effect beleid]])</f>
        <v>6677037.2628837209</v>
      </c>
      <c r="H630" s="398">
        <f>SUMIFS(uitkomst_doelgroep[Arbeidsbesparing (FTE)],uitkomst_doelgroep[Digitale zorgtoepassing],B630,uitkomst_doelgroep[Jaar],D630,uitkomst_doelgroep[Arbeidsbesparing (FTE)],"&gt;0",uitkomst_doelgroep[Uitgangssituatie/effect beleid],uitkomst_tech[[#This Row],[Uitgangssituatie/effect beleid]])</f>
        <v>121.95496729353889</v>
      </c>
      <c r="I630" s="398">
        <f>SUMIFS(uitkomst_doelgroep[Overige besparingen (€)],uitkomst_doelgroep[Digitale zorgtoepassing],B630,uitkomst_doelgroep[Jaar],D630,uitkomst_doelgroep[Overige besparingen (€)],"&gt;0",uitkomst_doelgroep[Uitgangssituatie/effect beleid],uitkomst_tech[[#This Row],[Uitgangssituatie/effect beleid]])</f>
        <v>8548631.0411162786</v>
      </c>
      <c r="J630" s="398">
        <f>SUMIFS(uitkomst_doelgroep[QALY (€)],uitkomst_doelgroep[Digitale zorgtoepassing],B630,uitkomst_doelgroep[Jaar],D630,uitkomst_doelgroep[QALY (€)],"&gt;0",uitkomst_doelgroep[Uitgangssituatie/effect beleid],uitkomst_tech[[#This Row],[Uitgangssituatie/effect beleid]])</f>
        <v>0</v>
      </c>
      <c r="K630" s="398">
        <f>SUMIFS(uitkomst_doelgroep[Kosten (€)],uitkomst_doelgroep[Digitale zorgtoepassing],B630,uitkomst_doelgroep[Jaar],D630,uitkomst_doelgroep[Kosten (€)],"&gt;0",uitkomst_doelgroep[Uitgangssituatie/effect beleid],uitkomst_tech[[#This Row],[Uitgangssituatie/effect beleid]])</f>
        <v>3342396.7086399999</v>
      </c>
      <c r="L630" s="398">
        <f>SUMIFS(uitkomst_doelgroep[Investering (cash flow) (€)],uitkomst_doelgroep[Digitale zorgtoepassing],B630,uitkomst_doelgroep[Jaar],D630,uitkomst_doelgroep[Investering (cash flow) (€)],"&gt;0",uitkomst_doelgroep[Uitgangssituatie/effect beleid],uitkomst_tech[[#This Row],[Uitgangssituatie/effect beleid]])</f>
        <v>0</v>
      </c>
    </row>
    <row r="631" spans="1:12" x14ac:dyDescent="0.5">
      <c r="A631" s="2" t="str">
        <f>INDEX(Technologieën[Veld],MATCH(B631,Technologieën[Digitale zorgtoepassing],0))</f>
        <v>Digitale hulpmiddelen - Diagnose</v>
      </c>
      <c r="B631" s="33" t="s">
        <v>82</v>
      </c>
      <c r="C631" s="33" t="s">
        <v>813</v>
      </c>
      <c r="D631" s="33">
        <v>2025</v>
      </c>
      <c r="E631" s="2"/>
      <c r="F631" s="397">
        <f>SUMIFS(uitkomst_doelgroep[Patiëntaantallen],uitkomst_doelgroep[Digitale zorgtoepassing],B631,uitkomst_doelgroep[Jaar],D631,uitkomst_doelgroep[Arbeidsbesparing (€)],"&gt;0",uitkomst_doelgroep[Uitgangssituatie/effect beleid],uitkomst_tech[[#This Row],[Uitgangssituatie/effect beleid]])</f>
        <v>132264.30157248001</v>
      </c>
      <c r="G631" s="398">
        <f>SUMIFS(uitkomst_doelgroep[Arbeidsbesparing (€)],uitkomst_doelgroep[Digitale zorgtoepassing],B631,uitkomst_doelgroep[Jaar],D631,uitkomst_doelgroep[Arbeidsbesparing (€)],"&gt;0",uitkomst_doelgroep[Uitgangssituatie/effect beleid],uitkomst_tech[[#This Row],[Uitgangssituatie/effect beleid]])</f>
        <v>8120412.9337522602</v>
      </c>
      <c r="H631" s="398">
        <f>SUMIFS(uitkomst_doelgroep[Arbeidsbesparing (FTE)],uitkomst_doelgroep[Digitale zorgtoepassing],B631,uitkomst_doelgroep[Jaar],D631,uitkomst_doelgroep[Arbeidsbesparing (FTE)],"&gt;0",uitkomst_doelgroep[Uitgangssituatie/effect beleid],uitkomst_tech[[#This Row],[Uitgangssituatie/effect beleid]])</f>
        <v>148.3179821761365</v>
      </c>
      <c r="I631" s="398">
        <f>SUMIFS(uitkomst_doelgroep[Overige besparingen (€)],uitkomst_doelgroep[Digitale zorgtoepassing],B631,uitkomst_doelgroep[Jaar],D631,uitkomst_doelgroep[Overige besparingen (€)],"&gt;0",uitkomst_doelgroep[Uitgangssituatie/effect beleid],uitkomst_tech[[#This Row],[Uitgangssituatie/effect beleid]])</f>
        <v>10396589.286394939</v>
      </c>
      <c r="J631" s="398">
        <f>SUMIFS(uitkomst_doelgroep[QALY (€)],uitkomst_doelgroep[Digitale zorgtoepassing],B631,uitkomst_doelgroep[Jaar],D631,uitkomst_doelgroep[QALY (€)],"&gt;0",uitkomst_doelgroep[Uitgangssituatie/effect beleid],uitkomst_tech[[#This Row],[Uitgangssituatie/effect beleid]])</f>
        <v>0</v>
      </c>
      <c r="K631" s="398">
        <f>SUMIFS(uitkomst_doelgroep[Kosten (€)],uitkomst_doelgroep[Digitale zorgtoepassing],B631,uitkomst_doelgroep[Jaar],D631,uitkomst_doelgroep[Kosten (€)],"&gt;0",uitkomst_doelgroep[Uitgangssituatie/effect beleid],uitkomst_tech[[#This Row],[Uitgangssituatie/effect beleid]])</f>
        <v>4064922.8683275515</v>
      </c>
      <c r="L631" s="398">
        <f>SUMIFS(uitkomst_doelgroep[Investering (cash flow) (€)],uitkomst_doelgroep[Digitale zorgtoepassing],B631,uitkomst_doelgroep[Jaar],D631,uitkomst_doelgroep[Investering (cash flow) (€)],"&gt;0",uitkomst_doelgroep[Uitgangssituatie/effect beleid],uitkomst_tech[[#This Row],[Uitgangssituatie/effect beleid]])</f>
        <v>0</v>
      </c>
    </row>
    <row r="632" spans="1:12" x14ac:dyDescent="0.5">
      <c r="A632" s="2" t="str">
        <f>INDEX(Technologieën[Veld],MATCH(B632,Technologieën[Digitale zorgtoepassing],0))</f>
        <v>Digitale hulpmiddelen - Diagnose</v>
      </c>
      <c r="B632" s="33" t="s">
        <v>82</v>
      </c>
      <c r="C632" s="33" t="s">
        <v>813</v>
      </c>
      <c r="D632" s="33">
        <v>2026</v>
      </c>
      <c r="E632" s="2"/>
      <c r="F632" s="397">
        <f>SUMIFS(uitkomst_doelgroep[Patiëntaantallen],uitkomst_doelgroep[Digitale zorgtoepassing],B632,uitkomst_doelgroep[Jaar],D632,uitkomst_doelgroep[Arbeidsbesparing (€)],"&gt;0",uitkomst_doelgroep[Uitgangssituatie/effect beleid],uitkomst_tech[[#This Row],[Uitgangssituatie/effect beleid]])</f>
        <v>154120.50412305407</v>
      </c>
      <c r="G632" s="398">
        <f>SUMIFS(uitkomst_doelgroep[Arbeidsbesparing (€)],uitkomst_doelgroep[Digitale zorgtoepassing],B632,uitkomst_doelgroep[Jaar],D632,uitkomst_doelgroep[Arbeidsbesparing (€)],"&gt;0",uitkomst_doelgroep[Uitgangssituatie/effect beleid],uitkomst_tech[[#This Row],[Uitgangssituatie/effect beleid]])</f>
        <v>9462282.1136014592</v>
      </c>
      <c r="H632" s="398">
        <f>SUMIFS(uitkomst_doelgroep[Arbeidsbesparing (FTE)],uitkomst_doelgroep[Digitale zorgtoepassing],B632,uitkomst_doelgroep[Jaar],D632,uitkomst_doelgroep[Arbeidsbesparing (FTE)],"&gt;0",uitkomst_doelgroep[Uitgangssituatie/effect beleid],uitkomst_tech[[#This Row],[Uitgangssituatie/effect beleid]])</f>
        <v>172.82699800122413</v>
      </c>
      <c r="I632" s="398">
        <f>SUMIFS(uitkomst_doelgroep[Overige besparingen (€)],uitkomst_doelgroep[Digitale zorgtoepassing],B632,uitkomst_doelgroep[Jaar],D632,uitkomst_doelgroep[Overige besparingen (€)],"&gt;0",uitkomst_doelgroep[Uitgangssituatie/effect beleid],uitkomst_tech[[#This Row],[Uitgangssituatie/effect beleid]])</f>
        <v>12114588.463626113</v>
      </c>
      <c r="J632" s="398">
        <f>SUMIFS(uitkomst_doelgroep[QALY (€)],uitkomst_doelgroep[Digitale zorgtoepassing],B632,uitkomst_doelgroep[Jaar],D632,uitkomst_doelgroep[QALY (€)],"&gt;0",uitkomst_doelgroep[Uitgangssituatie/effect beleid],uitkomst_tech[[#This Row],[Uitgangssituatie/effect beleid]])</f>
        <v>0</v>
      </c>
      <c r="K632" s="398">
        <f>SUMIFS(uitkomst_doelgroep[Kosten (€)],uitkomst_doelgroep[Digitale zorgtoepassing],B632,uitkomst_doelgroep[Jaar],D632,uitkomst_doelgroep[Kosten (€)],"&gt;0",uitkomst_doelgroep[Uitgangssituatie/effect beleid],uitkomst_tech[[#This Row],[Uitgangssituatie/effect beleid]])</f>
        <v>4736636.8267151956</v>
      </c>
      <c r="L632" s="398">
        <f>SUMIFS(uitkomst_doelgroep[Investering (cash flow) (€)],uitkomst_doelgroep[Digitale zorgtoepassing],B632,uitkomst_doelgroep[Jaar],D632,uitkomst_doelgroep[Investering (cash flow) (€)],"&gt;0",uitkomst_doelgroep[Uitgangssituatie/effect beleid],uitkomst_tech[[#This Row],[Uitgangssituatie/effect beleid]])</f>
        <v>0</v>
      </c>
    </row>
    <row r="633" spans="1:12" x14ac:dyDescent="0.5">
      <c r="A633" s="2" t="str">
        <f>INDEX(Technologieën[Veld],MATCH(B633,Technologieën[Digitale zorgtoepassing],0))</f>
        <v>Digitale hulpmiddelen - Diagnose</v>
      </c>
      <c r="B633" s="33" t="s">
        <v>82</v>
      </c>
      <c r="C633" s="33" t="s">
        <v>813</v>
      </c>
      <c r="D633" s="33">
        <v>2027</v>
      </c>
      <c r="E633" s="2"/>
      <c r="F633" s="397">
        <f>SUMIFS(uitkomst_doelgroep[Patiëntaantallen],uitkomst_doelgroep[Digitale zorgtoepassing],B633,uitkomst_doelgroep[Jaar],D633,uitkomst_doelgroep[Arbeidsbesparing (€)],"&gt;0",uitkomst_doelgroep[Uitgangssituatie/effect beleid],uitkomst_tech[[#This Row],[Uitgangssituatie/effect beleid]])</f>
        <v>172587.06827057991</v>
      </c>
      <c r="G633" s="398">
        <f>SUMIFS(uitkomst_doelgroep[Arbeidsbesparing (€)],uitkomst_doelgroep[Digitale zorgtoepassing],B633,uitkomst_doelgroep[Jaar],D633,uitkomst_doelgroep[Arbeidsbesparing (€)],"&gt;0",uitkomst_doelgroep[Uitgangssituatie/effect beleid],uitkomst_tech[[#This Row],[Uitgangssituatie/effect beleid]])</f>
        <v>10596043.26126351</v>
      </c>
      <c r="H633" s="398">
        <f>SUMIFS(uitkomst_doelgroep[Arbeidsbesparing (FTE)],uitkomst_doelgroep[Digitale zorgtoepassing],B633,uitkomst_doelgroep[Jaar],D633,uitkomst_doelgroep[Arbeidsbesparing (FTE)],"&gt;0",uitkomst_doelgroep[Uitgangssituatie/effect beleid],uitkomst_tech[[#This Row],[Uitgangssituatie/effect beleid]])</f>
        <v>193.53495547368169</v>
      </c>
      <c r="I633" s="398">
        <f>SUMIFS(uitkomst_doelgroep[Overige besparingen (€)],uitkomst_doelgroep[Digitale zorgtoepassing],B633,uitkomst_doelgroep[Jaar],D633,uitkomst_doelgroep[Overige besparingen (€)],"&gt;0",uitkomst_doelgroep[Uitgangssituatie/effect beleid],uitkomst_tech[[#This Row],[Uitgangssituatie/effect beleid]])</f>
        <v>13566146.296617676</v>
      </c>
      <c r="J633" s="398">
        <f>SUMIFS(uitkomst_doelgroep[QALY (€)],uitkomst_doelgroep[Digitale zorgtoepassing],B633,uitkomst_doelgroep[Jaar],D633,uitkomst_doelgroep[QALY (€)],"&gt;0",uitkomst_doelgroep[Uitgangssituatie/effect beleid],uitkomst_tech[[#This Row],[Uitgangssituatie/effect beleid]])</f>
        <v>0</v>
      </c>
      <c r="K633" s="398">
        <f>SUMIFS(uitkomst_doelgroep[Kosten (€)],uitkomst_doelgroep[Digitale zorgtoepassing],B633,uitkomst_doelgroep[Jaar],D633,uitkomst_doelgroep[Kosten (€)],"&gt;0",uitkomst_doelgroep[Uitgangssituatie/effect beleid],uitkomst_tech[[#This Row],[Uitgangssituatie/effect beleid]])</f>
        <v>5304175.898182489</v>
      </c>
      <c r="L633" s="398">
        <f>SUMIFS(uitkomst_doelgroep[Investering (cash flow) (€)],uitkomst_doelgroep[Digitale zorgtoepassing],B633,uitkomst_doelgroep[Jaar],D633,uitkomst_doelgroep[Investering (cash flow) (€)],"&gt;0",uitkomst_doelgroep[Uitgangssituatie/effect beleid],uitkomst_tech[[#This Row],[Uitgangssituatie/effect beleid]])</f>
        <v>0</v>
      </c>
    </row>
    <row r="634" spans="1:12" x14ac:dyDescent="0.5">
      <c r="A634" s="2" t="str">
        <f>INDEX(Technologieën[Veld],MATCH(B634,Technologieën[Digitale zorgtoepassing],0))</f>
        <v>Digitale hulpmiddelen - Diagnose</v>
      </c>
      <c r="B634" s="33" t="s">
        <v>82</v>
      </c>
      <c r="C634" s="33" t="s">
        <v>813</v>
      </c>
      <c r="D634" s="33">
        <v>2028</v>
      </c>
      <c r="E634" s="2"/>
      <c r="F634" s="397">
        <f>SUMIFS(uitkomst_doelgroep[Patiëntaantallen],uitkomst_doelgroep[Digitale zorgtoepassing],B634,uitkomst_doelgroep[Jaar],D634,uitkomst_doelgroep[Arbeidsbesparing (€)],"&gt;0",uitkomst_doelgroep[Uitgangssituatie/effect beleid],uitkomst_tech[[#This Row],[Uitgangssituatie/effect beleid]])</f>
        <v>186798.41561755468</v>
      </c>
      <c r="G634" s="398">
        <f>SUMIFS(uitkomst_doelgroep[Arbeidsbesparing (€)],uitkomst_doelgroep[Digitale zorgtoepassing],B634,uitkomst_doelgroep[Jaar],D634,uitkomst_doelgroep[Arbeidsbesparing (€)],"&gt;0",uitkomst_doelgroep[Uitgangssituatie/effect beleid],uitkomst_tech[[#This Row],[Uitgangssituatie/effect beleid]])</f>
        <v>11468553.889077775</v>
      </c>
      <c r="H634" s="398">
        <f>SUMIFS(uitkomst_doelgroep[Arbeidsbesparing (FTE)],uitkomst_doelgroep[Digitale zorgtoepassing],B634,uitkomst_doelgroep[Jaar],D634,uitkomst_doelgroep[Arbeidsbesparing (FTE)],"&gt;0",uitkomst_doelgroep[Uitgangssituatie/effect beleid],uitkomst_tech[[#This Row],[Uitgangssituatie/effect beleid]])</f>
        <v>209.4712159570324</v>
      </c>
      <c r="I634" s="398">
        <f>SUMIFS(uitkomst_doelgroep[Overige besparingen (€)],uitkomst_doelgroep[Digitale zorgtoepassing],B634,uitkomst_doelgroep[Jaar],D634,uitkomst_doelgroep[Overige besparingen (€)],"&gt;0",uitkomst_doelgroep[Uitgangssituatie/effect beleid],uitkomst_tech[[#This Row],[Uitgangssituatie/effect beleid]])</f>
        <v>14683224.297379881</v>
      </c>
      <c r="J634" s="398">
        <f>SUMIFS(uitkomst_doelgroep[QALY (€)],uitkomst_doelgroep[Digitale zorgtoepassing],B634,uitkomst_doelgroep[Jaar],D634,uitkomst_doelgroep[QALY (€)],"&gt;0",uitkomst_doelgroep[Uitgangssituatie/effect beleid],uitkomst_tech[[#This Row],[Uitgangssituatie/effect beleid]])</f>
        <v>0</v>
      </c>
      <c r="K634" s="398">
        <f>SUMIFS(uitkomst_doelgroep[Kosten (€)],uitkomst_doelgroep[Digitale zorgtoepassing],B634,uitkomst_doelgroep[Jaar],D634,uitkomst_doelgroep[Kosten (€)],"&gt;0",uitkomst_doelgroep[Uitgangssituatie/effect beleid],uitkomst_tech[[#This Row],[Uitgangssituatie/effect beleid]])</f>
        <v>5740937.9733128473</v>
      </c>
      <c r="L634" s="398">
        <f>SUMIFS(uitkomst_doelgroep[Investering (cash flow) (€)],uitkomst_doelgroep[Digitale zorgtoepassing],B634,uitkomst_doelgroep[Jaar],D634,uitkomst_doelgroep[Investering (cash flow) (€)],"&gt;0",uitkomst_doelgroep[Uitgangssituatie/effect beleid],uitkomst_tech[[#This Row],[Uitgangssituatie/effect beleid]])</f>
        <v>0</v>
      </c>
    </row>
    <row r="635" spans="1:12" x14ac:dyDescent="0.5">
      <c r="A635" s="2" t="str">
        <f>INDEX(Technologieën[Veld],MATCH(B635,Technologieën[Digitale zorgtoepassing],0))</f>
        <v>Digitale hulpmiddelen - Diagnose</v>
      </c>
      <c r="B635" s="33" t="s">
        <v>82</v>
      </c>
      <c r="C635" s="33" t="s">
        <v>813</v>
      </c>
      <c r="D635" s="33">
        <v>2029</v>
      </c>
      <c r="E635" s="2"/>
      <c r="F635" s="397">
        <f>SUMIFS(uitkomst_doelgroep[Patiëntaantallen],uitkomst_doelgroep[Digitale zorgtoepassing],B635,uitkomst_doelgroep[Jaar],D635,uitkomst_doelgroep[Arbeidsbesparing (€)],"&gt;0",uitkomst_doelgroep[Uitgangssituatie/effect beleid],uitkomst_tech[[#This Row],[Uitgangssituatie/effect beleid]])</f>
        <v>196867.37737665212</v>
      </c>
      <c r="G635" s="398">
        <f>SUMIFS(uitkomst_doelgroep[Arbeidsbesparing (€)],uitkomst_doelgroep[Digitale zorgtoepassing],B635,uitkomst_doelgroep[Jaar],D635,uitkomst_doelgroep[Arbeidsbesparing (€)],"&gt;0",uitkomst_doelgroep[Uitgangssituatie/effect beleid],uitkomst_tech[[#This Row],[Uitgangssituatie/effect beleid]])</f>
        <v>12086741.308706082</v>
      </c>
      <c r="H635" s="398">
        <f>SUMIFS(uitkomst_doelgroep[Arbeidsbesparing (FTE)],uitkomst_doelgroep[Digitale zorgtoepassing],B635,uitkomst_doelgroep[Jaar],D635,uitkomst_doelgroep[Arbeidsbesparing (FTE)],"&gt;0",uitkomst_doelgroep[Uitgangssituatie/effect beleid],uitkomst_tech[[#This Row],[Uitgangssituatie/effect beleid]])</f>
        <v>220.76230563854887</v>
      </c>
      <c r="I635" s="398">
        <f>SUMIFS(uitkomst_doelgroep[Overige besparingen (€)],uitkomst_doelgroep[Digitale zorgtoepassing],B635,uitkomst_doelgroep[Jaar],D635,uitkomst_doelgroep[Overige besparingen (€)],"&gt;0",uitkomst_doelgroep[Uitgangssituatie/effect beleid],uitkomst_tech[[#This Row],[Uitgangssituatie/effect beleid]])</f>
        <v>15474691.524025215</v>
      </c>
      <c r="J635" s="398">
        <f>SUMIFS(uitkomst_doelgroep[QALY (€)],uitkomst_doelgroep[Digitale zorgtoepassing],B635,uitkomst_doelgroep[Jaar],D635,uitkomst_doelgroep[QALY (€)],"&gt;0",uitkomst_doelgroep[Uitgangssituatie/effect beleid],uitkomst_tech[[#This Row],[Uitgangssituatie/effect beleid]])</f>
        <v>0</v>
      </c>
      <c r="K635" s="398">
        <f>SUMIFS(uitkomst_doelgroep[Kosten (€)],uitkomst_doelgroep[Digitale zorgtoepassing],B635,uitkomst_doelgroep[Jaar],D635,uitkomst_doelgroep[Kosten (€)],"&gt;0",uitkomst_doelgroep[Uitgangssituatie/effect beleid],uitkomst_tech[[#This Row],[Uitgangssituatie/effect beleid]])</f>
        <v>6050390.7313757753</v>
      </c>
      <c r="L635" s="398">
        <f>SUMIFS(uitkomst_doelgroep[Investering (cash flow) (€)],uitkomst_doelgroep[Digitale zorgtoepassing],B635,uitkomst_doelgroep[Jaar],D635,uitkomst_doelgroep[Investering (cash flow) (€)],"&gt;0",uitkomst_doelgroep[Uitgangssituatie/effect beleid],uitkomst_tech[[#This Row],[Uitgangssituatie/effect beleid]])</f>
        <v>0</v>
      </c>
    </row>
    <row r="636" spans="1:12" x14ac:dyDescent="0.5">
      <c r="A636" s="2" t="str">
        <f>INDEX(Technologieën[Veld],MATCH(B636,Technologieën[Digitale zorgtoepassing],0))</f>
        <v>Digitale hulpmiddelen - Diagnose</v>
      </c>
      <c r="B636" s="33" t="s">
        <v>82</v>
      </c>
      <c r="C636" s="33" t="s">
        <v>813</v>
      </c>
      <c r="D636" s="33">
        <v>2030</v>
      </c>
      <c r="E636" s="2"/>
      <c r="F636" s="397">
        <f>SUMIFS(uitkomst_doelgroep[Patiëntaantallen],uitkomst_doelgroep[Digitale zorgtoepassing],B636,uitkomst_doelgroep[Jaar],D636,uitkomst_doelgroep[Arbeidsbesparing (€)],"&gt;0",uitkomst_doelgroep[Uitgangssituatie/effect beleid],uitkomst_tech[[#This Row],[Uitgangssituatie/effect beleid]])</f>
        <v>203544.60661918489</v>
      </c>
      <c r="G636" s="398">
        <f>SUMIFS(uitkomst_doelgroep[Arbeidsbesparing (€)],uitkomst_doelgroep[Digitale zorgtoepassing],B636,uitkomst_doelgroep[Jaar],D636,uitkomst_doelgroep[Arbeidsbesparing (€)],"&gt;0",uitkomst_doelgroep[Uitgangssituatie/effect beleid],uitkomst_tech[[#This Row],[Uitgangssituatie/effect beleid]])</f>
        <v>12496692.127317399</v>
      </c>
      <c r="H636" s="398">
        <f>SUMIFS(uitkomst_doelgroep[Arbeidsbesparing (FTE)],uitkomst_doelgroep[Digitale zorgtoepassing],B636,uitkomst_doelgroep[Jaar],D636,uitkomst_doelgroep[Arbeidsbesparing (FTE)],"&gt;0",uitkomst_doelgroep[Uitgangssituatie/effect beleid],uitkomst_tech[[#This Row],[Uitgangssituatie/effect beleid]])</f>
        <v>228.24998867929168</v>
      </c>
      <c r="I636" s="398">
        <f>SUMIFS(uitkomst_doelgroep[Overige besparingen (€)],uitkomst_doelgroep[Digitale zorgtoepassing],B636,uitkomst_doelgroep[Jaar],D636,uitkomst_doelgroep[Overige besparingen (€)],"&gt;0",uitkomst_doelgroep[Uitgangssituatie/effect beleid],uitkomst_tech[[#This Row],[Uitgangssituatie/effect beleid]])</f>
        <v>15999552.799368486</v>
      </c>
      <c r="J636" s="398">
        <f>SUMIFS(uitkomst_doelgroep[QALY (€)],uitkomst_doelgroep[Digitale zorgtoepassing],B636,uitkomst_doelgroep[Jaar],D636,uitkomst_doelgroep[QALY (€)],"&gt;0",uitkomst_doelgroep[Uitgangssituatie/effect beleid],uitkomst_tech[[#This Row],[Uitgangssituatie/effect beleid]])</f>
        <v>0</v>
      </c>
      <c r="K636" s="398">
        <f>SUMIFS(uitkomst_doelgroep[Kosten (€)],uitkomst_doelgroep[Digitale zorgtoepassing],B636,uitkomst_doelgroep[Jaar],D636,uitkomst_doelgroep[Kosten (€)],"&gt;0",uitkomst_doelgroep[Uitgangssituatie/effect beleid],uitkomst_tech[[#This Row],[Uitgangssituatie/effect beleid]])</f>
        <v>6255604.2434296161</v>
      </c>
      <c r="L636" s="398">
        <f>SUMIFS(uitkomst_doelgroep[Investering (cash flow) (€)],uitkomst_doelgroep[Digitale zorgtoepassing],B636,uitkomst_doelgroep[Jaar],D636,uitkomst_doelgroep[Investering (cash flow) (€)],"&gt;0",uitkomst_doelgroep[Uitgangssituatie/effect beleid],uitkomst_tech[[#This Row],[Uitgangssituatie/effect beleid]])</f>
        <v>0</v>
      </c>
    </row>
    <row r="637" spans="1:12" x14ac:dyDescent="0.5">
      <c r="A637" s="2" t="str">
        <f>INDEX(Technologieën[Veld],MATCH(B637,Technologieën[Digitale zorgtoepassing],0))</f>
        <v>Digitale hulpmiddelen - Diagnose</v>
      </c>
      <c r="B637" s="33" t="s">
        <v>82</v>
      </c>
      <c r="C637" s="33" t="s">
        <v>813</v>
      </c>
      <c r="D637" s="33">
        <v>2031</v>
      </c>
      <c r="E637" s="2"/>
      <c r="F637" s="397">
        <f>SUMIFS(uitkomst_doelgroep[Patiëntaantallen],uitkomst_doelgroep[Digitale zorgtoepassing],B637,uitkomst_doelgroep[Jaar],D637,uitkomst_doelgroep[Arbeidsbesparing (€)],"&gt;0",uitkomst_doelgroep[Uitgangssituatie/effect beleid],uitkomst_tech[[#This Row],[Uitgangssituatie/effect beleid]])</f>
        <v>207763.68567216877</v>
      </c>
      <c r="G637" s="398">
        <f>SUMIFS(uitkomst_doelgroep[Arbeidsbesparing (€)],uitkomst_doelgroep[Digitale zorgtoepassing],B637,uitkomst_doelgroep[Jaar],D637,uitkomst_doelgroep[Arbeidsbesparing (€)],"&gt;0",uitkomst_doelgroep[Uitgangssituatie/effect beleid],uitkomst_tech[[#This Row],[Uitgangssituatie/effect beleid]])</f>
        <v>12755723.957547106</v>
      </c>
      <c r="H637" s="398">
        <f>SUMIFS(uitkomst_doelgroep[Arbeidsbesparing (FTE)],uitkomst_doelgroep[Digitale zorgtoepassing],B637,uitkomst_doelgroep[Jaar],D637,uitkomst_doelgroep[Arbeidsbesparing (FTE)],"&gt;0",uitkomst_doelgroep[Uitgangssituatie/effect beleid],uitkomst_tech[[#This Row],[Uitgangssituatie/effect beleid]])</f>
        <v>232.98116167412473</v>
      </c>
      <c r="I637" s="398">
        <f>SUMIFS(uitkomst_doelgroep[Overige besparingen (€)],uitkomst_doelgroep[Digitale zorgtoepassing],B637,uitkomst_doelgroep[Jaar],D637,uitkomst_doelgroep[Overige besparingen (€)],"&gt;0",uitkomst_doelgroep[Uitgangssituatie/effect beleid],uitkomst_tech[[#This Row],[Uitgangssituatie/effect beleid]])</f>
        <v>16331192.036556521</v>
      </c>
      <c r="J637" s="398">
        <f>SUMIFS(uitkomst_doelgroep[QALY (€)],uitkomst_doelgroep[Digitale zorgtoepassing],B637,uitkomst_doelgroep[Jaar],D637,uitkomst_doelgroep[QALY (€)],"&gt;0",uitkomst_doelgroep[Uitgangssituatie/effect beleid],uitkomst_tech[[#This Row],[Uitgangssituatie/effect beleid]])</f>
        <v>0</v>
      </c>
      <c r="K637" s="398">
        <f>SUMIFS(uitkomst_doelgroep[Kosten (€)],uitkomst_doelgroep[Digitale zorgtoepassing],B637,uitkomst_doelgroep[Jaar],D637,uitkomst_doelgroep[Kosten (€)],"&gt;0",uitkomst_doelgroep[Uitgangssituatie/effect beleid],uitkomst_tech[[#This Row],[Uitgangssituatie/effect beleid]])</f>
        <v>6385270.6063246531</v>
      </c>
      <c r="L637" s="398">
        <f>SUMIFS(uitkomst_doelgroep[Investering (cash flow) (€)],uitkomst_doelgroep[Digitale zorgtoepassing],B637,uitkomst_doelgroep[Jaar],D637,uitkomst_doelgroep[Investering (cash flow) (€)],"&gt;0",uitkomst_doelgroep[Uitgangssituatie/effect beleid],uitkomst_tech[[#This Row],[Uitgangssituatie/effect beleid]])</f>
        <v>0</v>
      </c>
    </row>
    <row r="638" spans="1:12" x14ac:dyDescent="0.5">
      <c r="A638" s="2" t="str">
        <f>INDEX(Technologieën[Veld],MATCH(B638,Technologieën[Digitale zorgtoepassing],0))</f>
        <v>Digitale hulpmiddelen - Diagnose</v>
      </c>
      <c r="B638" s="33" t="s">
        <v>82</v>
      </c>
      <c r="C638" s="33" t="s">
        <v>813</v>
      </c>
      <c r="D638" s="33">
        <v>2032</v>
      </c>
      <c r="E638" s="2"/>
      <c r="F638" s="397">
        <f>SUMIFS(uitkomst_doelgroep[Patiëntaantallen],uitkomst_doelgroep[Digitale zorgtoepassing],B638,uitkomst_doelgroep[Jaar],D638,uitkomst_doelgroep[Arbeidsbesparing (€)],"&gt;0",uitkomst_doelgroep[Uitgangssituatie/effect beleid],uitkomst_tech[[#This Row],[Uitgangssituatie/effect beleid]])</f>
        <v>210343.66021446022</v>
      </c>
      <c r="G638" s="398">
        <f>SUMIFS(uitkomst_doelgroep[Arbeidsbesparing (€)],uitkomst_doelgroep[Digitale zorgtoepassing],B638,uitkomst_doelgroep[Jaar],D638,uitkomst_doelgroep[Arbeidsbesparing (€)],"&gt;0",uitkomst_doelgroep[Uitgangssituatie/effect beleid],uitkomst_tech[[#This Row],[Uitgangssituatie/effect beleid]])</f>
        <v>12914122.394562209</v>
      </c>
      <c r="H638" s="398">
        <f>SUMIFS(uitkomst_doelgroep[Arbeidsbesparing (FTE)],uitkomst_doelgroep[Digitale zorgtoepassing],B638,uitkomst_doelgroep[Jaar],D638,uitkomst_doelgroep[Arbeidsbesparing (FTE)],"&gt;0",uitkomst_doelgroep[Uitgangssituatie/effect beleid],uitkomst_tech[[#This Row],[Uitgangssituatie/effect beleid]])</f>
        <v>235.87428259661931</v>
      </c>
      <c r="I638" s="398">
        <f>SUMIFS(uitkomst_doelgroep[Overige besparingen (€)],uitkomst_doelgroep[Digitale zorgtoepassing],B638,uitkomst_doelgroep[Jaar],D638,uitkomst_doelgroep[Overige besparingen (€)],"&gt;0",uitkomst_doelgroep[Uitgangssituatie/effect beleid],uitkomst_tech[[#This Row],[Uitgangssituatie/effect beleid]])</f>
        <v>16533990.035462223</v>
      </c>
      <c r="J638" s="398">
        <f>SUMIFS(uitkomst_doelgroep[QALY (€)],uitkomst_doelgroep[Digitale zorgtoepassing],B638,uitkomst_doelgroep[Jaar],D638,uitkomst_doelgroep[QALY (€)],"&gt;0",uitkomst_doelgroep[Uitgangssituatie/effect beleid],uitkomst_tech[[#This Row],[Uitgangssituatie/effect beleid]])</f>
        <v>0</v>
      </c>
      <c r="K638" s="398">
        <f>SUMIFS(uitkomst_doelgroep[Kosten (€)],uitkomst_doelgroep[Digitale zorgtoepassing],B638,uitkomst_doelgroep[Jaar],D638,uitkomst_doelgroep[Kosten (€)],"&gt;0",uitkomst_doelgroep[Uitgangssituatie/effect beleid],uitkomst_tech[[#This Row],[Uitgangssituatie/effect beleid]])</f>
        <v>6464561.8239244111</v>
      </c>
      <c r="L638" s="398">
        <f>SUMIFS(uitkomst_doelgroep[Investering (cash flow) (€)],uitkomst_doelgroep[Digitale zorgtoepassing],B638,uitkomst_doelgroep[Jaar],D638,uitkomst_doelgroep[Investering (cash flow) (€)],"&gt;0",uitkomst_doelgroep[Uitgangssituatie/effect beleid],uitkomst_tech[[#This Row],[Uitgangssituatie/effect beleid]])</f>
        <v>0</v>
      </c>
    </row>
    <row r="639" spans="1:12" x14ac:dyDescent="0.5">
      <c r="A639" s="2" t="str">
        <f>INDEX(Technologieën[Veld],MATCH(B639,Technologieën[Digitale zorgtoepassing],0))</f>
        <v>Digitale hulpmiddelen - Diagnose</v>
      </c>
      <c r="B639" s="33" t="s">
        <v>82</v>
      </c>
      <c r="C639" s="33" t="s">
        <v>813</v>
      </c>
      <c r="D639" s="33">
        <v>2033</v>
      </c>
      <c r="E639" s="2"/>
      <c r="F639" s="397">
        <f>SUMIFS(uitkomst_doelgroep[Patiëntaantallen],uitkomst_doelgroep[Digitale zorgtoepassing],B639,uitkomst_doelgroep[Jaar],D639,uitkomst_doelgroep[Arbeidsbesparing (€)],"&gt;0",uitkomst_doelgroep[Uitgangssituatie/effect beleid],uitkomst_tech[[#This Row],[Uitgangssituatie/effect beleid]])</f>
        <v>211888.5446161041</v>
      </c>
      <c r="G639" s="398">
        <f>SUMIFS(uitkomst_doelgroep[Arbeidsbesparing (€)],uitkomst_doelgroep[Digitale zorgtoepassing],B639,uitkomst_doelgroep[Jaar],D639,uitkomst_doelgroep[Arbeidsbesparing (€)],"&gt;0",uitkomst_doelgroep[Uitgangssituatie/effect beleid],uitkomst_tech[[#This Row],[Uitgangssituatie/effect beleid]])</f>
        <v>13008971.111314299</v>
      </c>
      <c r="H639" s="398">
        <f>SUMIFS(uitkomst_doelgroep[Arbeidsbesparing (FTE)],uitkomst_doelgroep[Digitale zorgtoepassing],B639,uitkomst_doelgroep[Jaar],D639,uitkomst_doelgroep[Arbeidsbesparing (FTE)],"&gt;0",uitkomst_doelgroep[Uitgangssituatie/effect beleid],uitkomst_tech[[#This Row],[Uitgangssituatie/effect beleid]])</f>
        <v>237.60667852222468</v>
      </c>
      <c r="I639" s="398">
        <f>SUMIFS(uitkomst_doelgroep[Overige besparingen (€)],uitkomst_doelgroep[Digitale zorgtoepassing],B639,uitkomst_doelgroep[Jaar],D639,uitkomst_doelgroep[Overige besparingen (€)],"&gt;0",uitkomst_doelgroep[Uitgangssituatie/effect beleid],uitkomst_tech[[#This Row],[Uitgangssituatie/effect beleid]])</f>
        <v>16655425.134940278</v>
      </c>
      <c r="J639" s="398">
        <f>SUMIFS(uitkomst_doelgroep[QALY (€)],uitkomst_doelgroep[Digitale zorgtoepassing],B639,uitkomst_doelgroep[Jaar],D639,uitkomst_doelgroep[QALY (€)],"&gt;0",uitkomst_doelgroep[Uitgangssituatie/effect beleid],uitkomst_tech[[#This Row],[Uitgangssituatie/effect beleid]])</f>
        <v>0</v>
      </c>
      <c r="K639" s="398">
        <f>SUMIFS(uitkomst_doelgroep[Kosten (€)],uitkomst_doelgroep[Digitale zorgtoepassing],B639,uitkomst_doelgroep[Jaar],D639,uitkomst_doelgroep[Kosten (€)],"&gt;0",uitkomst_doelgroep[Uitgangssituatie/effect beleid],uitkomst_tech[[#This Row],[Uitgangssituatie/effect beleid]])</f>
        <v>6512041.2712015994</v>
      </c>
      <c r="L639" s="398">
        <f>SUMIFS(uitkomst_doelgroep[Investering (cash flow) (€)],uitkomst_doelgroep[Digitale zorgtoepassing],B639,uitkomst_doelgroep[Jaar],D639,uitkomst_doelgroep[Investering (cash flow) (€)],"&gt;0",uitkomst_doelgroep[Uitgangssituatie/effect beleid],uitkomst_tech[[#This Row],[Uitgangssituatie/effect beleid]])</f>
        <v>0</v>
      </c>
    </row>
    <row r="640" spans="1:12" x14ac:dyDescent="0.5">
      <c r="A640" s="2" t="str">
        <f>INDEX(Technologieën[Veld],MATCH(B640,Technologieën[Digitale zorgtoepassing],0))</f>
        <v>Sensoren - Behandeling</v>
      </c>
      <c r="B640" s="33" t="s">
        <v>88</v>
      </c>
      <c r="C640" s="33" t="s">
        <v>813</v>
      </c>
      <c r="D640" s="33">
        <v>2023</v>
      </c>
      <c r="E640" s="2"/>
      <c r="F640" s="397">
        <f>SUMIFS(uitkomst_doelgroep[Patiëntaantallen],uitkomst_doelgroep[Digitale zorgtoepassing],B640,uitkomst_doelgroep[Jaar],D640,uitkomst_doelgroep[Arbeidsbesparing (€)],"&gt;0",uitkomst_doelgroep[Uitgangssituatie/effect beleid],uitkomst_tech[[#This Row],[Uitgangssituatie/effect beleid]])</f>
        <v>89051.199999999997</v>
      </c>
      <c r="G640" s="398">
        <f>SUMIFS(uitkomst_doelgroep[Arbeidsbesparing (€)],uitkomst_doelgroep[Digitale zorgtoepassing],B640,uitkomst_doelgroep[Jaar],D640,uitkomst_doelgroep[Arbeidsbesparing (€)],"&gt;0",uitkomst_doelgroep[Uitgangssituatie/effect beleid],uitkomst_tech[[#This Row],[Uitgangssituatie/effect beleid]])</f>
        <v>19123105.195586208</v>
      </c>
      <c r="H640" s="398">
        <f>SUMIFS(uitkomst_doelgroep[Arbeidsbesparing (FTE)],uitkomst_doelgroep[Digitale zorgtoepassing],B640,uitkomst_doelgroep[Jaar],D640,uitkomst_doelgroep[Arbeidsbesparing (FTE)],"&gt;0",uitkomst_doelgroep[Uitgangssituatie/effect beleid],uitkomst_tech[[#This Row],[Uitgangssituatie/effect beleid]])</f>
        <v>360.82140910139469</v>
      </c>
      <c r="I640" s="398">
        <f>SUMIFS(uitkomst_doelgroep[Overige besparingen (€)],uitkomst_doelgroep[Digitale zorgtoepassing],B640,uitkomst_doelgroep[Jaar],D640,uitkomst_doelgroep[Overige besparingen (€)],"&gt;0",uitkomst_doelgroep[Uitgangssituatie/effect beleid],uitkomst_tech[[#This Row],[Uitgangssituatie/effect beleid]])</f>
        <v>9600000</v>
      </c>
      <c r="J640" s="398">
        <f>SUMIFS(uitkomst_doelgroep[QALY (€)],uitkomst_doelgroep[Digitale zorgtoepassing],B640,uitkomst_doelgroep[Jaar],D640,uitkomst_doelgroep[QALY (€)],"&gt;0",uitkomst_doelgroep[Uitgangssituatie/effect beleid],uitkomst_tech[[#This Row],[Uitgangssituatie/effect beleid]])</f>
        <v>132000000</v>
      </c>
      <c r="K640" s="398">
        <f>SUMIFS(uitkomst_doelgroep[Kosten (€)],uitkomst_doelgroep[Digitale zorgtoepassing],B640,uitkomst_doelgroep[Jaar],D640,uitkomst_doelgroep[Kosten (€)],"&gt;0",uitkomst_doelgroep[Uitgangssituatie/effect beleid],uitkomst_tech[[#This Row],[Uitgangssituatie/effect beleid]])</f>
        <v>41052000</v>
      </c>
      <c r="L640" s="398">
        <f>SUMIFS(uitkomst_doelgroep[Investering (cash flow) (€)],uitkomst_doelgroep[Digitale zorgtoepassing],B640,uitkomst_doelgroep[Jaar],D640,uitkomst_doelgroep[Investering (cash flow) (€)],"&gt;0",uitkomst_doelgroep[Uitgangssituatie/effect beleid],uitkomst_tech[[#This Row],[Uitgangssituatie/effect beleid]])</f>
        <v>8152374.9999999953</v>
      </c>
    </row>
    <row r="641" spans="1:12" x14ac:dyDescent="0.5">
      <c r="A641" s="2" t="str">
        <f>INDEX(Technologieën[Veld],MATCH(B641,Technologieën[Digitale zorgtoepassing],0))</f>
        <v>Sensoren - Behandeling</v>
      </c>
      <c r="B641" s="33" t="s">
        <v>88</v>
      </c>
      <c r="C641" s="33" t="s">
        <v>813</v>
      </c>
      <c r="D641" s="33">
        <v>2024</v>
      </c>
      <c r="E641" s="2"/>
      <c r="F641" s="397">
        <f>SUMIFS(uitkomst_doelgroep[Patiëntaantallen],uitkomst_doelgroep[Digitale zorgtoepassing],B641,uitkomst_doelgroep[Jaar],D641,uitkomst_doelgroep[Arbeidsbesparing (€)],"&gt;0",uitkomst_doelgroep[Uitgangssituatie/effect beleid],uitkomst_tech[[#This Row],[Uitgangssituatie/effect beleid]])</f>
        <v>97727.936000000002</v>
      </c>
      <c r="G641" s="398">
        <f>SUMIFS(uitkomst_doelgroep[Arbeidsbesparing (€)],uitkomst_doelgroep[Digitale zorgtoepassing],B641,uitkomst_doelgroep[Jaar],D641,uitkomst_doelgroep[Arbeidsbesparing (€)],"&gt;0",uitkomst_doelgroep[Uitgangssituatie/effect beleid],uitkomst_tech[[#This Row],[Uitgangssituatie/effect beleid]])</f>
        <v>21437982.550718162</v>
      </c>
      <c r="H641" s="398">
        <f>SUMIFS(uitkomst_doelgroep[Arbeidsbesparing (FTE)],uitkomst_doelgroep[Digitale zorgtoepassing],B641,uitkomst_doelgroep[Jaar],D641,uitkomst_doelgroep[Arbeidsbesparing (FTE)],"&gt;0",uitkomst_doelgroep[Uitgangssituatie/effect beleid],uitkomst_tech[[#This Row],[Uitgangssituatie/effect beleid]])</f>
        <v>406.72202472740389</v>
      </c>
      <c r="I641" s="398">
        <f>SUMIFS(uitkomst_doelgroep[Overige besparingen (€)],uitkomst_doelgroep[Digitale zorgtoepassing],B641,uitkomst_doelgroep[Jaar],D641,uitkomst_doelgroep[Overige besparingen (€)],"&gt;0",uitkomst_doelgroep[Uitgangssituatie/effect beleid],uitkomst_tech[[#This Row],[Uitgangssituatie/effect beleid]])</f>
        <v>10524000</v>
      </c>
      <c r="J641" s="398">
        <f>SUMIFS(uitkomst_doelgroep[QALY (€)],uitkomst_doelgroep[Digitale zorgtoepassing],B641,uitkomst_doelgroep[Jaar],D641,uitkomst_doelgroep[QALY (€)],"&gt;0",uitkomst_doelgroep[Uitgangssituatie/effect beleid],uitkomst_tech[[#This Row],[Uitgangssituatie/effect beleid]])</f>
        <v>144705000</v>
      </c>
      <c r="K641" s="398">
        <f>SUMIFS(uitkomst_doelgroep[Kosten (€)],uitkomst_doelgroep[Digitale zorgtoepassing],B641,uitkomst_doelgroep[Jaar],D641,uitkomst_doelgroep[Kosten (€)],"&gt;0",uitkomst_doelgroep[Uitgangssituatie/effect beleid],uitkomst_tech[[#This Row],[Uitgangssituatie/effect beleid]])</f>
        <v>45003255</v>
      </c>
      <c r="L641" s="398">
        <f>SUMIFS(uitkomst_doelgroep[Investering (cash flow) (€)],uitkomst_doelgroep[Digitale zorgtoepassing],B641,uitkomst_doelgroep[Jaar],D641,uitkomst_doelgroep[Investering (cash flow) (€)],"&gt;0",uitkomst_doelgroep[Uitgangssituatie/effect beleid],uitkomst_tech[[#This Row],[Uitgangssituatie/effect beleid]])</f>
        <v>5464944.581250011</v>
      </c>
    </row>
    <row r="642" spans="1:12" x14ac:dyDescent="0.5">
      <c r="A642" s="2" t="str">
        <f>INDEX(Technologieën[Veld],MATCH(B642,Technologieën[Digitale zorgtoepassing],0))</f>
        <v>Sensoren - Behandeling</v>
      </c>
      <c r="B642" s="33" t="s">
        <v>88</v>
      </c>
      <c r="C642" s="33" t="s">
        <v>813</v>
      </c>
      <c r="D642" s="33">
        <v>2025</v>
      </c>
      <c r="E642" s="2"/>
      <c r="F642" s="397">
        <f>SUMIFS(uitkomst_doelgroep[Patiëntaantallen],uitkomst_doelgroep[Digitale zorgtoepassing],B642,uitkomst_doelgroep[Jaar],D642,uitkomst_doelgroep[Arbeidsbesparing (€)],"&gt;0",uitkomst_doelgroep[Uitgangssituatie/effect beleid],uitkomst_tech[[#This Row],[Uitgangssituatie/effect beleid]])</f>
        <v>103577.7841784</v>
      </c>
      <c r="G642" s="398">
        <f>SUMIFS(uitkomst_doelgroep[Arbeidsbesparing (€)],uitkomst_doelgroep[Digitale zorgtoepassing],B642,uitkomst_doelgroep[Jaar],D642,uitkomst_doelgroep[Arbeidsbesparing (€)],"&gt;0",uitkomst_doelgroep[Uitgangssituatie/effect beleid],uitkomst_tech[[#This Row],[Uitgangssituatie/effect beleid]])</f>
        <v>23139820.722452436</v>
      </c>
      <c r="H642" s="398">
        <f>SUMIFS(uitkomst_doelgroep[Arbeidsbesparing (FTE)],uitkomst_doelgroep[Digitale zorgtoepassing],B642,uitkomst_doelgroep[Jaar],D642,uitkomst_doelgroep[Arbeidsbesparing (FTE)],"&gt;0",uitkomst_doelgroep[Uitgangssituatie/effect beleid],uitkomst_tech[[#This Row],[Uitgangssituatie/effect beleid]])</f>
        <v>441.0261453302993</v>
      </c>
      <c r="I642" s="398">
        <f>SUMIFS(uitkomst_doelgroep[Overige besparingen (€)],uitkomst_doelgroep[Digitale zorgtoepassing],B642,uitkomst_doelgroep[Jaar],D642,uitkomst_doelgroep[Overige besparingen (€)],"&gt;0",uitkomst_doelgroep[Uitgangssituatie/effect beleid],uitkomst_tech[[#This Row],[Uitgangssituatie/effect beleid]])</f>
        <v>11143403.4</v>
      </c>
      <c r="J642" s="398">
        <f>SUMIFS(uitkomst_doelgroep[QALY (€)],uitkomst_doelgroep[Digitale zorgtoepassing],B642,uitkomst_doelgroep[Jaar],D642,uitkomst_doelgroep[QALY (€)],"&gt;0",uitkomst_doelgroep[Uitgangssituatie/effect beleid],uitkomst_tech[[#This Row],[Uitgangssituatie/effect beleid]])</f>
        <v>153221796.75000003</v>
      </c>
      <c r="K642" s="398">
        <f>SUMIFS(uitkomst_doelgroep[Kosten (€)],uitkomst_doelgroep[Digitale zorgtoepassing],B642,uitkomst_doelgroep[Jaar],D642,uitkomst_doelgroep[Kosten (€)],"&gt;0",uitkomst_doelgroep[Uitgangssituatie/effect beleid],uitkomst_tech[[#This Row],[Uitgangssituatie/effect beleid]])</f>
        <v>47651978.789250009</v>
      </c>
      <c r="L642" s="398">
        <f>SUMIFS(uitkomst_doelgroep[Investering (cash flow) (€)],uitkomst_doelgroep[Digitale zorgtoepassing],B642,uitkomst_doelgroep[Jaar],D642,uitkomst_doelgroep[Investering (cash flow) (€)],"&gt;0",uitkomst_doelgroep[Uitgangssituatie/effect beleid],uitkomst_tech[[#This Row],[Uitgangssituatie/effect beleid]])</f>
        <v>3347127.5732591939</v>
      </c>
    </row>
    <row r="643" spans="1:12" x14ac:dyDescent="0.5">
      <c r="A643" s="2" t="str">
        <f>INDEX(Technologieën[Veld],MATCH(B643,Technologieën[Digitale zorgtoepassing],0))</f>
        <v>Sensoren - Behandeling</v>
      </c>
      <c r="B643" s="33" t="s">
        <v>88</v>
      </c>
      <c r="C643" s="33" t="s">
        <v>813</v>
      </c>
      <c r="D643" s="33">
        <v>2026</v>
      </c>
      <c r="E643" s="2"/>
      <c r="F643" s="397">
        <f>SUMIFS(uitkomst_doelgroep[Patiëntaantallen],uitkomst_doelgroep[Digitale zorgtoepassing],B643,uitkomst_doelgroep[Jaar],D643,uitkomst_doelgroep[Arbeidsbesparing (€)],"&gt;0",uitkomst_doelgroep[Uitgangssituatie/effect beleid],uitkomst_tech[[#This Row],[Uitgangssituatie/effect beleid]])</f>
        <v>107181.66302009502</v>
      </c>
      <c r="G643" s="398">
        <f>SUMIFS(uitkomst_doelgroep[Arbeidsbesparing (€)],uitkomst_doelgroep[Digitale zorgtoepassing],B643,uitkomst_doelgroep[Jaar],D643,uitkomst_doelgroep[Arbeidsbesparing (€)],"&gt;0",uitkomst_doelgroep[Uitgangssituatie/effect beleid],uitkomst_tech[[#This Row],[Uitgangssituatie/effect beleid]])</f>
        <v>24276541.817907784</v>
      </c>
      <c r="H643" s="398">
        <f>SUMIFS(uitkomst_doelgroep[Arbeidsbesparing (FTE)],uitkomst_doelgroep[Digitale zorgtoepassing],B643,uitkomst_doelgroep[Jaar],D643,uitkomst_doelgroep[Arbeidsbesparing (FTE)],"&gt;0",uitkomst_doelgroep[Uitgangssituatie/effect beleid],uitkomst_tech[[#This Row],[Uitgangssituatie/effect beleid]])</f>
        <v>464.25986565948557</v>
      </c>
      <c r="I643" s="398">
        <f>SUMIFS(uitkomst_doelgroep[Overige besparingen (€)],uitkomst_doelgroep[Digitale zorgtoepassing],B643,uitkomst_doelgroep[Jaar],D643,uitkomst_doelgroep[Overige besparingen (€)],"&gt;0",uitkomst_doelgroep[Uitgangssituatie/effect beleid],uitkomst_tech[[#This Row],[Uitgangssituatie/effect beleid]])</f>
        <v>11522770.869932566</v>
      </c>
      <c r="J643" s="398">
        <f>SUMIFS(uitkomst_doelgroep[QALY (€)],uitkomst_doelgroep[Digitale zorgtoepassing],B643,uitkomst_doelgroep[Jaar],D643,uitkomst_doelgroep[QALY (€)],"&gt;0",uitkomst_doelgroep[Uitgangssituatie/effect beleid],uitkomst_tech[[#This Row],[Uitgangssituatie/effect beleid]])</f>
        <v>158438099.4615728</v>
      </c>
      <c r="K643" s="398">
        <f>SUMIFS(uitkomst_doelgroep[Kosten (€)],uitkomst_doelgroep[Digitale zorgtoepassing],B643,uitkomst_doelgroep[Jaar],D643,uitkomst_doelgroep[Kosten (€)],"&gt;0",uitkomst_doelgroep[Uitgangssituatie/effect beleid],uitkomst_tech[[#This Row],[Uitgangssituatie/effect beleid]])</f>
        <v>49274248.932549134</v>
      </c>
      <c r="L643" s="398">
        <f>SUMIFS(uitkomst_doelgroep[Investering (cash flow) (€)],uitkomst_doelgroep[Digitale zorgtoepassing],B643,uitkomst_doelgroep[Jaar],D643,uitkomst_doelgroep[Investering (cash flow) (€)],"&gt;0",uitkomst_doelgroep[Uitgangssituatie/effect beleid],uitkomst_tech[[#This Row],[Uitgangssituatie/effect beleid]])</f>
        <v>1924660.1589247482</v>
      </c>
    </row>
    <row r="644" spans="1:12" x14ac:dyDescent="0.5">
      <c r="A644" s="2" t="str">
        <f>INDEX(Technologieën[Veld],MATCH(B644,Technologieën[Digitale zorgtoepassing],0))</f>
        <v>Sensoren - Behandeling</v>
      </c>
      <c r="B644" s="33" t="s">
        <v>88</v>
      </c>
      <c r="C644" s="33" t="s">
        <v>813</v>
      </c>
      <c r="D644" s="33">
        <v>2027</v>
      </c>
      <c r="E644" s="2"/>
      <c r="F644" s="397">
        <f>SUMIFS(uitkomst_doelgroep[Patiëntaantallen],uitkomst_doelgroep[Digitale zorgtoepassing],B644,uitkomst_doelgroep[Jaar],D644,uitkomst_doelgroep[Arbeidsbesparing (€)],"&gt;0",uitkomst_doelgroep[Uitgangssituatie/effect beleid],uitkomst_tech[[#This Row],[Uitgangssituatie/effect beleid]])</f>
        <v>109264.44421060763</v>
      </c>
      <c r="G644" s="398">
        <f>SUMIFS(uitkomst_doelgroep[Arbeidsbesparing (€)],uitkomst_doelgroep[Digitale zorgtoepassing],B644,uitkomst_doelgroep[Jaar],D644,uitkomst_doelgroep[Arbeidsbesparing (€)],"&gt;0",uitkomst_doelgroep[Uitgangssituatie/effect beleid],uitkomst_tech[[#This Row],[Uitgangssituatie/effect beleid]])</f>
        <v>24977284.082416199</v>
      </c>
      <c r="H644" s="398">
        <f>SUMIFS(uitkomst_doelgroep[Arbeidsbesparing (FTE)],uitkomst_doelgroep[Digitale zorgtoepassing],B644,uitkomst_doelgroep[Jaar],D644,uitkomst_doelgroep[Arbeidsbesparing (FTE)],"&gt;0",uitkomst_doelgroep[Uitgangssituatie/effect beleid],uitkomst_tech[[#This Row],[Uitgangssituatie/effect beleid]])</f>
        <v>478.72927347513735</v>
      </c>
      <c r="I644" s="398">
        <f>SUMIFS(uitkomst_doelgroep[Overige besparingen (€)],uitkomst_doelgroep[Digitale zorgtoepassing],B644,uitkomst_doelgroep[Jaar],D644,uitkomst_doelgroep[Overige besparingen (€)],"&gt;0",uitkomst_doelgroep[Uitgangssituatie/effect beleid],uitkomst_tech[[#This Row],[Uitgangssituatie/effect beleid]])</f>
        <v>11740914.170117661</v>
      </c>
      <c r="J644" s="398">
        <f>SUMIFS(uitkomst_doelgroep[QALY (€)],uitkomst_doelgroep[Digitale zorgtoepassing],B644,uitkomst_doelgroep[Jaar],D644,uitkomst_doelgroep[QALY (€)],"&gt;0",uitkomst_doelgroep[Uitgangssituatie/effect beleid],uitkomst_tech[[#This Row],[Uitgangssituatie/effect beleid]])</f>
        <v>161437569.83911785</v>
      </c>
      <c r="K644" s="398">
        <f>SUMIFS(uitkomst_doelgroep[Kosten (€)],uitkomst_doelgroep[Digitale zorgtoepassing],B644,uitkomst_doelgroep[Jaar],D644,uitkomst_doelgroep[Kosten (€)],"&gt;0",uitkomst_doelgroep[Uitgangssituatie/effect beleid],uitkomst_tech[[#This Row],[Uitgangssituatie/effect beleid]])</f>
        <v>50207084.219965652</v>
      </c>
      <c r="L644" s="398">
        <f>SUMIFS(uitkomst_doelgroep[Investering (cash flow) (€)],uitkomst_doelgroep[Digitale zorgtoepassing],B644,uitkomst_doelgroep[Jaar],D644,uitkomst_doelgroep[Investering (cash flow) (€)],"&gt;0",uitkomst_doelgroep[Uitgangssituatie/effect beleid],uitkomst_tech[[#This Row],[Uitgangssituatie/effect beleid]])</f>
        <v>1063589.9359793356</v>
      </c>
    </row>
    <row r="645" spans="1:12" x14ac:dyDescent="0.5">
      <c r="A645" s="2" t="str">
        <f>INDEX(Technologieën[Veld],MATCH(B645,Technologieën[Digitale zorgtoepassing],0))</f>
        <v>Sensoren - Behandeling</v>
      </c>
      <c r="B645" s="33" t="s">
        <v>88</v>
      </c>
      <c r="C645" s="33" t="s">
        <v>813</v>
      </c>
      <c r="D645" s="33">
        <v>2028</v>
      </c>
      <c r="E645" s="2"/>
      <c r="F645" s="397">
        <f>SUMIFS(uitkomst_doelgroep[Patiëntaantallen],uitkomst_doelgroep[Digitale zorgtoepassing],B645,uitkomst_doelgroep[Jaar],D645,uitkomst_doelgroep[Arbeidsbesparing (€)],"&gt;0",uitkomst_doelgroep[Uitgangssituatie/effect beleid],uitkomst_tech[[#This Row],[Uitgangssituatie/effect beleid]])</f>
        <v>110419.70216451929</v>
      </c>
      <c r="G645" s="398">
        <f>SUMIFS(uitkomst_doelgroep[Arbeidsbesparing (€)],uitkomst_doelgroep[Digitale zorgtoepassing],B645,uitkomst_doelgroep[Jaar],D645,uitkomst_doelgroep[Arbeidsbesparing (€)],"&gt;0",uitkomst_doelgroep[Uitgangssituatie/effect beleid],uitkomst_tech[[#This Row],[Uitgangssituatie/effect beleid]])</f>
        <v>25383790.881808519</v>
      </c>
      <c r="H645" s="398">
        <f>SUMIFS(uitkomst_doelgroep[Arbeidsbesparing (FTE)],uitkomst_doelgroep[Digitale zorgtoepassing],B645,uitkomst_doelgroep[Jaar],D645,uitkomst_doelgroep[Arbeidsbesparing (FTE)],"&gt;0",uitkomst_doelgroep[Uitgangssituatie/effect beleid],uitkomst_tech[[#This Row],[Uitgangssituatie/effect beleid]])</f>
        <v>487.17910202832047</v>
      </c>
      <c r="I645" s="398">
        <f>SUMIFS(uitkomst_doelgroep[Overige besparingen (€)],uitkomst_doelgroep[Digitale zorgtoepassing],B645,uitkomst_doelgroep[Jaar],D645,uitkomst_doelgroep[Overige besparingen (€)],"&gt;0",uitkomst_doelgroep[Uitgangssituatie/effect beleid],uitkomst_tech[[#This Row],[Uitgangssituatie/effect beleid]])</f>
        <v>11861462.734290054</v>
      </c>
      <c r="J645" s="398">
        <f>SUMIFS(uitkomst_doelgroep[QALY (€)],uitkomst_doelgroep[Digitale zorgtoepassing],B645,uitkomst_doelgroep[Jaar],D645,uitkomst_doelgroep[QALY (€)],"&gt;0",uitkomst_doelgroep[Uitgangssituatie/effect beleid],uitkomst_tech[[#This Row],[Uitgangssituatie/effect beleid]])</f>
        <v>163095112.59648824</v>
      </c>
      <c r="K645" s="398">
        <f>SUMIFS(uitkomst_doelgroep[Kosten (€)],uitkomst_doelgroep[Digitale zorgtoepassing],B645,uitkomst_doelgroep[Jaar],D645,uitkomst_doelgroep[Kosten (€)],"&gt;0",uitkomst_doelgroep[Uitgangssituatie/effect beleid],uitkomst_tech[[#This Row],[Uitgangssituatie/effect beleid]])</f>
        <v>50722580.017507844</v>
      </c>
      <c r="L645" s="398">
        <f>SUMIFS(uitkomst_doelgroep[Investering (cash flow) (€)],uitkomst_doelgroep[Digitale zorgtoepassing],B645,uitkomst_doelgroep[Jaar],D645,uitkomst_doelgroep[Investering (cash flow) (€)],"&gt;0",uitkomst_doelgroep[Uitgangssituatie/effect beleid],uitkomst_tech[[#This Row],[Uitgangssituatie/effect beleid]])</f>
        <v>574243.76349358889</v>
      </c>
    </row>
    <row r="646" spans="1:12" x14ac:dyDescent="0.5">
      <c r="A646" s="2" t="str">
        <f>INDEX(Technologieën[Veld],MATCH(B646,Technologieën[Digitale zorgtoepassing],0))</f>
        <v>Sensoren - Behandeling</v>
      </c>
      <c r="B646" s="33" t="s">
        <v>88</v>
      </c>
      <c r="C646" s="33" t="s">
        <v>813</v>
      </c>
      <c r="D646" s="33">
        <v>2029</v>
      </c>
      <c r="E646" s="2"/>
      <c r="F646" s="397">
        <f>SUMIFS(uitkomst_doelgroep[Patiëntaantallen],uitkomst_doelgroep[Digitale zorgtoepassing],B646,uitkomst_doelgroep[Jaar],D646,uitkomst_doelgroep[Arbeidsbesparing (€)],"&gt;0",uitkomst_doelgroep[Uitgangssituatie/effect beleid],uitkomst_tech[[#This Row],[Uitgangssituatie/effect beleid]])</f>
        <v>111044.9469479769</v>
      </c>
      <c r="G646" s="398">
        <f>SUMIFS(uitkomst_doelgroep[Arbeidsbesparing (€)],uitkomst_doelgroep[Digitale zorgtoepassing],B646,uitkomst_doelgroep[Jaar],D646,uitkomst_doelgroep[Arbeidsbesparing (€)],"&gt;0",uitkomst_doelgroep[Uitgangssituatie/effect beleid],uitkomst_tech[[#This Row],[Uitgangssituatie/effect beleid]])</f>
        <v>25610045.926514298</v>
      </c>
      <c r="H646" s="398">
        <f>SUMIFS(uitkomst_doelgroep[Arbeidsbesparing (FTE)],uitkomst_doelgroep[Digitale zorgtoepassing],B646,uitkomst_doelgroep[Jaar],D646,uitkomst_doelgroep[Arbeidsbesparing (FTE)],"&gt;0",uitkomst_doelgroep[Uitgangssituatie/effect beleid],uitkomst_tech[[#This Row],[Uitgangssituatie/effect beleid]])</f>
        <v>491.90090173761934</v>
      </c>
      <c r="I646" s="398">
        <f>SUMIFS(uitkomst_doelgroep[Overige besparingen (€)],uitkomst_doelgroep[Digitale zorgtoepassing],B646,uitkomst_doelgroep[Jaar],D646,uitkomst_doelgroep[Overige besparingen (€)],"&gt;0",uitkomst_doelgroep[Uitgangssituatie/effect beleid],uitkomst_tech[[#This Row],[Uitgangssituatie/effect beleid]])</f>
        <v>11926548.213977639</v>
      </c>
      <c r="J646" s="398">
        <f>SUMIFS(uitkomst_doelgroep[QALY (€)],uitkomst_doelgroep[Digitale zorgtoepassing],B646,uitkomst_doelgroep[Jaar],D646,uitkomst_doelgroep[QALY (€)],"&gt;0",uitkomst_doelgroep[Uitgangssituatie/effect beleid],uitkomst_tech[[#This Row],[Uitgangssituatie/effect beleid]])</f>
        <v>163990037.94219252</v>
      </c>
      <c r="K646" s="398">
        <f>SUMIFS(uitkomst_doelgroep[Kosten (€)],uitkomst_doelgroep[Digitale zorgtoepassing],B646,uitkomst_doelgroep[Jaar],D646,uitkomst_doelgroep[Kosten (€)],"&gt;0",uitkomst_doelgroep[Uitgangssituatie/effect beleid],uitkomst_tech[[#This Row],[Uitgangssituatie/effect beleid]])</f>
        <v>51000901.800021879</v>
      </c>
      <c r="L646" s="398">
        <f>SUMIFS(uitkomst_doelgroep[Investering (cash flow) (€)],uitkomst_doelgroep[Digitale zorgtoepassing],B646,uitkomst_doelgroep[Jaar],D646,uitkomst_doelgroep[Investering (cash flow) (€)],"&gt;0",uitkomst_doelgroep[Uitgangssituatie/effect beleid],uitkomst_tech[[#This Row],[Uitgangssituatie/effect beleid]])</f>
        <v>306042.97799236403</v>
      </c>
    </row>
    <row r="647" spans="1:12" x14ac:dyDescent="0.5">
      <c r="A647" s="2" t="str">
        <f>INDEX(Technologieën[Veld],MATCH(B647,Technologieën[Digitale zorgtoepassing],0))</f>
        <v>Sensoren - Behandeling</v>
      </c>
      <c r="B647" s="33" t="s">
        <v>88</v>
      </c>
      <c r="C647" s="33" t="s">
        <v>813</v>
      </c>
      <c r="D647" s="33">
        <v>2030</v>
      </c>
      <c r="E647" s="2"/>
      <c r="F647" s="397">
        <f>SUMIFS(uitkomst_doelgroep[Patiëntaantallen],uitkomst_doelgroep[Digitale zorgtoepassing],B647,uitkomst_doelgroep[Jaar],D647,uitkomst_doelgroep[Arbeidsbesparing (€)],"&gt;0",uitkomst_doelgroep[Uitgangssituatie/effect beleid],uitkomst_tech[[#This Row],[Uitgangssituatie/effect beleid]])</f>
        <v>111378.65007878738</v>
      </c>
      <c r="G647" s="398">
        <f>SUMIFS(uitkomst_doelgroep[Arbeidsbesparing (€)],uitkomst_doelgroep[Digitale zorgtoepassing],B647,uitkomst_doelgroep[Jaar],D647,uitkomst_doelgroep[Arbeidsbesparing (€)],"&gt;0",uitkomst_doelgroep[Uitgangssituatie/effect beleid],uitkomst_tech[[#This Row],[Uitgangssituatie/effect beleid]])</f>
        <v>25732781.445179965</v>
      </c>
      <c r="H647" s="398">
        <f>SUMIFS(uitkomst_doelgroep[Arbeidsbesparing (FTE)],uitkomst_doelgroep[Digitale zorgtoepassing],B647,uitkomst_doelgroep[Jaar],D647,uitkomst_doelgroep[Arbeidsbesparing (FTE)],"&gt;0",uitkomst_doelgroep[Uitgangssituatie/effect beleid],uitkomst_tech[[#This Row],[Uitgangssituatie/effect beleid]])</f>
        <v>494.46809618847681</v>
      </c>
      <c r="I647" s="398">
        <f>SUMIFS(uitkomst_doelgroep[Overige besparingen (€)],uitkomst_doelgroep[Digitale zorgtoepassing],B647,uitkomst_doelgroep[Jaar],D647,uitkomst_doelgroep[Overige besparingen (€)],"&gt;0",uitkomst_doelgroep[Uitgangssituatie/effect beleid],uitkomst_tech[[#This Row],[Uitgangssituatie/effect beleid]])</f>
        <v>11961235.493655641</v>
      </c>
      <c r="J647" s="398">
        <f>SUMIFS(uitkomst_doelgroep[QALY (€)],uitkomst_doelgroep[Digitale zorgtoepassing],B647,uitkomst_doelgroep[Jaar],D647,uitkomst_doelgroep[QALY (€)],"&gt;0",uitkomst_doelgroep[Uitgangssituatie/effect beleid],uitkomst_tech[[#This Row],[Uitgangssituatie/effect beleid]])</f>
        <v>164466988.03776506</v>
      </c>
      <c r="K647" s="398">
        <f>SUMIFS(uitkomst_doelgroep[Kosten (€)],uitkomst_doelgroep[Digitale zorgtoepassing],B647,uitkomst_doelgroep[Jaar],D647,uitkomst_doelgroep[Kosten (€)],"&gt;0",uitkomst_doelgroep[Uitgangssituatie/effect beleid],uitkomst_tech[[#This Row],[Uitgangssituatie/effect beleid]])</f>
        <v>51149233.279744931</v>
      </c>
      <c r="L647" s="398">
        <f>SUMIFS(uitkomst_doelgroep[Investering (cash flow) (€)],uitkomst_doelgroep[Digitale zorgtoepassing],B647,uitkomst_doelgroep[Jaar],D647,uitkomst_doelgroep[Investering (cash flow) (€)],"&gt;0",uitkomst_doelgroep[Uitgangssituatie/effect beleid],uitkomst_tech[[#This Row],[Uitgangssituatie/effect beleid]])</f>
        <v>161960.42625705368</v>
      </c>
    </row>
    <row r="648" spans="1:12" x14ac:dyDescent="0.5">
      <c r="A648" s="2" t="str">
        <f>INDEX(Technologieën[Veld],MATCH(B648,Technologieën[Digitale zorgtoepassing],0))</f>
        <v>Sensoren - Behandeling</v>
      </c>
      <c r="B648" s="33" t="s">
        <v>88</v>
      </c>
      <c r="C648" s="33" t="s">
        <v>813</v>
      </c>
      <c r="D648" s="33">
        <v>2031</v>
      </c>
      <c r="E648" s="2"/>
      <c r="F648" s="397">
        <f>SUMIFS(uitkomst_doelgroep[Patiëntaantallen],uitkomst_doelgroep[Digitale zorgtoepassing],B648,uitkomst_doelgroep[Jaar],D648,uitkomst_doelgroep[Arbeidsbesparing (€)],"&gt;0",uitkomst_doelgroep[Uitgangssituatie/effect beleid],uitkomst_tech[[#This Row],[Uitgangssituatie/effect beleid]])</f>
        <v>111555.39144388516</v>
      </c>
      <c r="G648" s="398">
        <f>SUMIFS(uitkomst_doelgroep[Arbeidsbesparing (€)],uitkomst_doelgroep[Digitale zorgtoepassing],B648,uitkomst_doelgroep[Jaar],D648,uitkomst_doelgroep[Arbeidsbesparing (€)],"&gt;0",uitkomst_doelgroep[Uitgangssituatie/effect beleid],uitkomst_tech[[#This Row],[Uitgangssituatie/effect beleid]])</f>
        <v>25798376.412363786</v>
      </c>
      <c r="H648" s="398">
        <f>SUMIFS(uitkomst_doelgroep[Arbeidsbesparing (FTE)],uitkomst_doelgroep[Digitale zorgtoepassing],B648,uitkomst_doelgroep[Jaar],D648,uitkomst_doelgroep[Arbeidsbesparing (FTE)],"&gt;0",uitkomst_doelgroep[Uitgangssituatie/effect beleid],uitkomst_tech[[#This Row],[Uitgangssituatie/effect beleid]])</f>
        <v>495.84180641895824</v>
      </c>
      <c r="I648" s="398">
        <f>SUMIFS(uitkomst_doelgroep[Overige besparingen (€)],uitkomst_doelgroep[Digitale zorgtoepassing],B648,uitkomst_doelgroep[Jaar],D648,uitkomst_doelgroep[Overige besparingen (€)],"&gt;0",uitkomst_doelgroep[Uitgangssituatie/effect beleid],uitkomst_tech[[#This Row],[Uitgangssituatie/effect beleid]])</f>
        <v>11979592.283408506</v>
      </c>
      <c r="J648" s="398">
        <f>SUMIFS(uitkomst_doelgroep[QALY (€)],uitkomst_doelgroep[Digitale zorgtoepassing],B648,uitkomst_doelgroep[Jaar],D648,uitkomst_doelgroep[QALY (€)],"&gt;0",uitkomst_doelgroep[Uitgangssituatie/effect beleid],uitkomst_tech[[#This Row],[Uitgangssituatie/effect beleid]])</f>
        <v>164719393.89686695</v>
      </c>
      <c r="K648" s="398">
        <f>SUMIFS(uitkomst_doelgroep[Kosten (€)],uitkomst_doelgroep[Digitale zorgtoepassing],B648,uitkomst_doelgroep[Jaar],D648,uitkomst_doelgroep[Kosten (€)],"&gt;0",uitkomst_doelgroep[Uitgangssituatie/effect beleid],uitkomst_tech[[#This Row],[Uitgangssituatie/effect beleid]])</f>
        <v>51227731.501925625</v>
      </c>
      <c r="L648" s="398">
        <f>SUMIFS(uitkomst_doelgroep[Investering (cash flow) (€)],uitkomst_doelgroep[Digitale zorgtoepassing],B648,uitkomst_doelgroep[Jaar],D648,uitkomst_doelgroep[Investering (cash flow) (€)],"&gt;0",uitkomst_doelgroep[Uitgangssituatie/effect beleid],uitkomst_tech[[#This Row],[Uitgangssituatie/effect beleid]])</f>
        <v>85388.607226814274</v>
      </c>
    </row>
    <row r="649" spans="1:12" x14ac:dyDescent="0.5">
      <c r="A649" s="2" t="str">
        <f>INDEX(Technologieën[Veld],MATCH(B649,Technologieën[Digitale zorgtoepassing],0))</f>
        <v>Sensoren - Behandeling</v>
      </c>
      <c r="B649" s="33" t="s">
        <v>88</v>
      </c>
      <c r="C649" s="33" t="s">
        <v>813</v>
      </c>
      <c r="D649" s="33">
        <v>2032</v>
      </c>
      <c r="E649" s="2"/>
      <c r="F649" s="397">
        <f>SUMIFS(uitkomst_doelgroep[Patiëntaantallen],uitkomst_doelgroep[Digitale zorgtoepassing],B649,uitkomst_doelgroep[Jaar],D649,uitkomst_doelgroep[Arbeidsbesparing (€)],"&gt;0",uitkomst_doelgroep[Uitgangssituatie/effect beleid],uitkomst_tech[[#This Row],[Uitgangssituatie/effect beleid]])</f>
        <v>111648.61397920581</v>
      </c>
      <c r="G649" s="398">
        <f>SUMIFS(uitkomst_doelgroep[Arbeidsbesparing (€)],uitkomst_doelgroep[Digitale zorgtoepassing],B649,uitkomst_doelgroep[Jaar],D649,uitkomst_doelgroep[Arbeidsbesparing (€)],"&gt;0",uitkomst_doelgroep[Uitgangssituatie/effect beleid],uitkomst_tech[[#This Row],[Uitgangssituatie/effect beleid]])</f>
        <v>25833144.153282247</v>
      </c>
      <c r="H649" s="398">
        <f>SUMIFS(uitkomst_doelgroep[Arbeidsbesparing (FTE)],uitkomst_doelgroep[Digitale zorgtoepassing],B649,uitkomst_doelgroep[Jaar],D649,uitkomst_doelgroep[Arbeidsbesparing (FTE)],"&gt;0",uitkomst_doelgroep[Uitgangssituatie/effect beleid],uitkomst_tech[[#This Row],[Uitgangssituatie/effect beleid]])</f>
        <v>496.57040615255983</v>
      </c>
      <c r="I649" s="398">
        <f>SUMIFS(uitkomst_doelgroep[Overige besparingen (€)],uitkomst_doelgroep[Digitale zorgtoepassing],B649,uitkomst_doelgroep[Jaar],D649,uitkomst_doelgroep[Overige besparingen (€)],"&gt;0",uitkomst_doelgroep[Uitgangssituatie/effect beleid],uitkomst_tech[[#This Row],[Uitgangssituatie/effect beleid]])</f>
        <v>11989270.330980849</v>
      </c>
      <c r="J649" s="398">
        <f>SUMIFS(uitkomst_doelgroep[QALY (€)],uitkomst_doelgroep[Digitale zorgtoepassing],B649,uitkomst_doelgroep[Jaar],D649,uitkomst_doelgroep[QALY (€)],"&gt;0",uitkomst_doelgroep[Uitgangssituatie/effect beleid],uitkomst_tech[[#This Row],[Uitgangssituatie/effect beleid]])</f>
        <v>164852467.05098668</v>
      </c>
      <c r="K649" s="398">
        <f>SUMIFS(uitkomst_doelgroep[Kosten (€)],uitkomst_doelgroep[Digitale zorgtoepassing],B649,uitkomst_doelgroep[Jaar],D649,uitkomst_doelgroep[Kosten (€)],"&gt;0",uitkomst_doelgroep[Uitgangssituatie/effect beleid],uitkomst_tech[[#This Row],[Uitgangssituatie/effect beleid]])</f>
        <v>51269117.252856851</v>
      </c>
      <c r="L649" s="398">
        <f>SUMIFS(uitkomst_doelgroep[Investering (cash flow) (€)],uitkomst_doelgroep[Digitale zorgtoepassing],B649,uitkomst_doelgroep[Jaar],D649,uitkomst_doelgroep[Investering (cash flow) (€)],"&gt;0",uitkomst_doelgroep[Uitgangssituatie/effect beleid],uitkomst_tech[[#This Row],[Uitgangssituatie/effect beleid]])</f>
        <v>44928.722968689035</v>
      </c>
    </row>
    <row r="650" spans="1:12" x14ac:dyDescent="0.5">
      <c r="A650" s="2" t="str">
        <f>INDEX(Technologieën[Veld],MATCH(B650,Technologieën[Digitale zorgtoepassing],0))</f>
        <v>Sensoren - Behandeling</v>
      </c>
      <c r="B650" s="33" t="s">
        <v>88</v>
      </c>
      <c r="C650" s="33" t="s">
        <v>813</v>
      </c>
      <c r="D650" s="33">
        <v>2033</v>
      </c>
      <c r="E650" s="2"/>
      <c r="F650" s="397">
        <f>SUMIFS(uitkomst_doelgroep[Patiëntaantallen],uitkomst_doelgroep[Digitale zorgtoepassing],B650,uitkomst_doelgroep[Jaar],D650,uitkomst_doelgroep[Arbeidsbesparing (€)],"&gt;0",uitkomst_doelgroep[Uitgangssituatie/effect beleid],uitkomst_tech[[#This Row],[Uitgangssituatie/effect beleid]])</f>
        <v>111697.6762642071</v>
      </c>
      <c r="G650" s="398">
        <f>SUMIFS(uitkomst_doelgroep[Arbeidsbesparing (€)],uitkomst_doelgroep[Digitale zorgtoepassing],B650,uitkomst_doelgroep[Jaar],D650,uitkomst_doelgroep[Arbeidsbesparing (€)],"&gt;0",uitkomst_doelgroep[Uitgangssituatie/effect beleid],uitkomst_tech[[#This Row],[Uitgangssituatie/effect beleid]])</f>
        <v>25851489.944538157</v>
      </c>
      <c r="H650" s="398">
        <f>SUMIFS(uitkomst_doelgroep[Arbeidsbesparing (FTE)],uitkomst_doelgroep[Digitale zorgtoepassing],B650,uitkomst_doelgroep[Jaar],D650,uitkomst_doelgroep[Arbeidsbesparing (FTE)],"&gt;0",uitkomst_doelgroep[Uitgangssituatie/effect beleid],uitkomst_tech[[#This Row],[Uitgangssituatie/effect beleid]])</f>
        <v>496.95499969293689</v>
      </c>
      <c r="I650" s="398">
        <f>SUMIFS(uitkomst_doelgroep[Overige besparingen (€)],uitkomst_doelgroep[Digitale zorgtoepassing],B650,uitkomst_doelgroep[Jaar],D650,uitkomst_doelgroep[Overige besparingen (€)],"&gt;0",uitkomst_doelgroep[Uitgangssituatie/effect beleid],uitkomst_tech[[#This Row],[Uitgangssituatie/effect beleid]])</f>
        <v>11994362.606547548</v>
      </c>
      <c r="J650" s="398">
        <f>SUMIFS(uitkomst_doelgroep[QALY (€)],uitkomst_doelgroep[Digitale zorgtoepassing],B650,uitkomst_doelgroep[Jaar],D650,uitkomst_doelgroep[QALY (€)],"&gt;0",uitkomst_doelgroep[Uitgangssituatie/effect beleid],uitkomst_tech[[#This Row],[Uitgangssituatie/effect beleid]])</f>
        <v>164922485.84002879</v>
      </c>
      <c r="K650" s="398">
        <f>SUMIFS(uitkomst_doelgroep[Kosten (€)],uitkomst_doelgroep[Digitale zorgtoepassing],B650,uitkomst_doelgroep[Jaar],D650,uitkomst_doelgroep[Kosten (€)],"&gt;0",uitkomst_doelgroep[Uitgangssituatie/effect beleid],uitkomst_tech[[#This Row],[Uitgangssituatie/effect beleid]])</f>
        <v>51290893.096248947</v>
      </c>
      <c r="L650" s="398">
        <f>SUMIFS(uitkomst_doelgroep[Investering (cash flow) (€)],uitkomst_doelgroep[Digitale zorgtoepassing],B650,uitkomst_doelgroep[Jaar],D650,uitkomst_doelgroep[Investering (cash flow) (€)],"&gt;0",uitkomst_doelgroep[Uitgangssituatie/effect beleid],uitkomst_tech[[#This Row],[Uitgangssituatie/effect beleid]])</f>
        <v>23615.155229158136</v>
      </c>
    </row>
    <row r="651" spans="1:12" x14ac:dyDescent="0.5">
      <c r="A651" s="2" t="str">
        <f>INDEX(Technologieën[Veld],MATCH(B651,Technologieën[Digitale zorgtoepassing],0))</f>
        <v>Sensoren - Verpleging</v>
      </c>
      <c r="B651" s="33" t="s">
        <v>42</v>
      </c>
      <c r="C651" s="33" t="s">
        <v>813</v>
      </c>
      <c r="D651" s="33">
        <v>2023</v>
      </c>
      <c r="E651" s="2"/>
      <c r="F651" s="397">
        <f>SUMIFS(uitkomst_doelgroep[Patiëntaantallen],uitkomst_doelgroep[Digitale zorgtoepassing],B651,uitkomst_doelgroep[Jaar],D651,uitkomst_doelgroep[Arbeidsbesparing (€)],"&gt;0",uitkomst_doelgroep[Uitgangssituatie/effect beleid],uitkomst_tech[[#This Row],[Uitgangssituatie/effect beleid]])</f>
        <v>13041</v>
      </c>
      <c r="G651" s="398">
        <f>SUMIFS(uitkomst_doelgroep[Arbeidsbesparing (€)],uitkomst_doelgroep[Digitale zorgtoepassing],B651,uitkomst_doelgroep[Jaar],D651,uitkomst_doelgroep[Arbeidsbesparing (€)],"&gt;0",uitkomst_doelgroep[Uitgangssituatie/effect beleid],uitkomst_tech[[#This Row],[Uitgangssituatie/effect beleid]])</f>
        <v>30104398.642499998</v>
      </c>
      <c r="H651" s="398">
        <f>SUMIFS(uitkomst_doelgroep[Arbeidsbesparing (FTE)],uitkomst_doelgroep[Digitale zorgtoepassing],B651,uitkomst_doelgroep[Jaar],D651,uitkomst_doelgroep[Arbeidsbesparing (FTE)],"&gt;0",uitkomst_doelgroep[Uitgangssituatie/effect beleid],uitkomst_tech[[#This Row],[Uitgangssituatie/effect beleid]])</f>
        <v>709.10437499999989</v>
      </c>
      <c r="I651" s="398">
        <f>SUMIFS(uitkomst_doelgroep[Overige besparingen (€)],uitkomst_doelgroep[Digitale zorgtoepassing],B651,uitkomst_doelgroep[Jaar],D651,uitkomst_doelgroep[Overige besparingen (€)],"&gt;0",uitkomst_doelgroep[Uitgangssituatie/effect beleid],uitkomst_tech[[#This Row],[Uitgangssituatie/effect beleid]])</f>
        <v>10216076.083801232</v>
      </c>
      <c r="J651" s="398">
        <f>SUMIFS(uitkomst_doelgroep[QALY (€)],uitkomst_doelgroep[Digitale zorgtoepassing],B651,uitkomst_doelgroep[Jaar],D651,uitkomst_doelgroep[QALY (€)],"&gt;0",uitkomst_doelgroep[Uitgangssituatie/effect beleid],uitkomst_tech[[#This Row],[Uitgangssituatie/effect beleid]])</f>
        <v>0</v>
      </c>
      <c r="K651" s="398">
        <f>SUMIFS(uitkomst_doelgroep[Kosten (€)],uitkomst_doelgroep[Digitale zorgtoepassing],B651,uitkomst_doelgroep[Jaar],D651,uitkomst_doelgroep[Kosten (€)],"&gt;0",uitkomst_doelgroep[Uitgangssituatie/effect beleid],uitkomst_tech[[#This Row],[Uitgangssituatie/effect beleid]])</f>
        <v>37543626.225000001</v>
      </c>
      <c r="L651" s="398">
        <f>SUMIFS(uitkomst_doelgroep[Investering (cash flow) (€)],uitkomst_doelgroep[Digitale zorgtoepassing],B651,uitkomst_doelgroep[Jaar],D651,uitkomst_doelgroep[Investering (cash flow) (€)],"&gt;0",uitkomst_doelgroep[Uitgangssituatie/effect beleid],uitkomst_tech[[#This Row],[Uitgangssituatie/effect beleid]])</f>
        <v>0</v>
      </c>
    </row>
    <row r="652" spans="1:12" x14ac:dyDescent="0.5">
      <c r="A652" s="2" t="str">
        <f>INDEX(Technologieën[Veld],MATCH(B652,Technologieën[Digitale zorgtoepassing],0))</f>
        <v>Sensoren - Verpleging</v>
      </c>
      <c r="B652" s="33" t="s">
        <v>42</v>
      </c>
      <c r="C652" s="33" t="s">
        <v>813</v>
      </c>
      <c r="D652" s="33">
        <v>2024</v>
      </c>
      <c r="E652" s="2"/>
      <c r="F652" s="397">
        <f>SUMIFS(uitkomst_doelgroep[Patiëntaantallen],uitkomst_doelgroep[Digitale zorgtoepassing],B652,uitkomst_doelgroep[Jaar],D652,uitkomst_doelgroep[Arbeidsbesparing (€)],"&gt;0",uitkomst_doelgroep[Uitgangssituatie/effect beleid],uitkomst_tech[[#This Row],[Uitgangssituatie/effect beleid]])</f>
        <v>17051.107499999998</v>
      </c>
      <c r="G652" s="398">
        <f>SUMIFS(uitkomst_doelgroep[Arbeidsbesparing (€)],uitkomst_doelgroep[Digitale zorgtoepassing],B652,uitkomst_doelgroep[Jaar],D652,uitkomst_doelgroep[Arbeidsbesparing (€)],"&gt;0",uitkomst_doelgroep[Uitgangssituatie/effect beleid],uitkomst_tech[[#This Row],[Uitgangssituatie/effect beleid]])</f>
        <v>39361501.225068748</v>
      </c>
      <c r="H652" s="398">
        <f>SUMIFS(uitkomst_doelgroep[Arbeidsbesparing (FTE)],uitkomst_doelgroep[Digitale zorgtoepassing],B652,uitkomst_doelgroep[Jaar],D652,uitkomst_doelgroep[Arbeidsbesparing (FTE)],"&gt;0",uitkomst_doelgroep[Uitgangssituatie/effect beleid],uitkomst_tech[[#This Row],[Uitgangssituatie/effect beleid]])</f>
        <v>927.15397031249984</v>
      </c>
      <c r="I652" s="398">
        <f>SUMIFS(uitkomst_doelgroep[Overige besparingen (€)],uitkomst_doelgroep[Digitale zorgtoepassing],B652,uitkomst_doelgroep[Jaar],D652,uitkomst_doelgroep[Overige besparingen (€)],"&gt;0",uitkomst_doelgroep[Uitgangssituatie/effect beleid],uitkomst_tech[[#This Row],[Uitgangssituatie/effect beleid]])</f>
        <v>13357519.479570109</v>
      </c>
      <c r="J652" s="398">
        <f>SUMIFS(uitkomst_doelgroep[QALY (€)],uitkomst_doelgroep[Digitale zorgtoepassing],B652,uitkomst_doelgroep[Jaar],D652,uitkomst_doelgroep[QALY (€)],"&gt;0",uitkomst_doelgroep[Uitgangssituatie/effect beleid],uitkomst_tech[[#This Row],[Uitgangssituatie/effect beleid]])</f>
        <v>0</v>
      </c>
      <c r="K652" s="398">
        <f>SUMIFS(uitkomst_doelgroep[Kosten (€)],uitkomst_doelgroep[Digitale zorgtoepassing],B652,uitkomst_doelgroep[Jaar],D652,uitkomst_doelgroep[Kosten (€)],"&gt;0",uitkomst_doelgroep[Uitgangssituatie/effect beleid],uitkomst_tech[[#This Row],[Uitgangssituatie/effect beleid]])</f>
        <v>49088291.289187498</v>
      </c>
      <c r="L652" s="398">
        <f>SUMIFS(uitkomst_doelgroep[Investering (cash flow) (€)],uitkomst_doelgroep[Digitale zorgtoepassing],B652,uitkomst_doelgroep[Jaar],D652,uitkomst_doelgroep[Investering (cash flow) (€)],"&gt;0",uitkomst_doelgroep[Uitgangssituatie/effect beleid],uitkomst_tech[[#This Row],[Uitgangssituatie/effect beleid]])</f>
        <v>0</v>
      </c>
    </row>
    <row r="653" spans="1:12" x14ac:dyDescent="0.5">
      <c r="A653" s="2" t="str">
        <f>INDEX(Technologieën[Veld],MATCH(B653,Technologieën[Digitale zorgtoepassing],0))</f>
        <v>Sensoren - Verpleging</v>
      </c>
      <c r="B653" s="33" t="s">
        <v>42</v>
      </c>
      <c r="C653" s="33" t="s">
        <v>813</v>
      </c>
      <c r="D653" s="33">
        <v>2025</v>
      </c>
      <c r="E653" s="2"/>
      <c r="F653" s="397">
        <f>SUMIFS(uitkomst_doelgroep[Patiëntaantallen],uitkomst_doelgroep[Digitale zorgtoepassing],B653,uitkomst_doelgroep[Jaar],D653,uitkomst_doelgroep[Arbeidsbesparing (€)],"&gt;0",uitkomst_doelgroep[Uitgangssituatie/effect beleid],uitkomst_tech[[#This Row],[Uitgangssituatie/effect beleid]])</f>
        <v>21156.318787374999</v>
      </c>
      <c r="G653" s="398">
        <f>SUMIFS(uitkomst_doelgroep[Arbeidsbesparing (€)],uitkomst_doelgroep[Digitale zorgtoepassing],B653,uitkomst_doelgroep[Jaar],D653,uitkomst_doelgroep[Arbeidsbesparing (€)],"&gt;0",uitkomst_doelgroep[Uitgangssituatie/effect beleid],uitkomst_tech[[#This Row],[Uitgangssituatie/effect beleid]])</f>
        <v>48838145.432324909</v>
      </c>
      <c r="H653" s="398">
        <f>SUMIFS(uitkomst_doelgroep[Arbeidsbesparing (FTE)],uitkomst_doelgroep[Digitale zorgtoepassing],B653,uitkomst_doelgroep[Jaar],D653,uitkomst_doelgroep[Arbeidsbesparing (FTE)],"&gt;0",uitkomst_doelgroep[Uitgangssituatie/effect beleid],uitkomst_tech[[#This Row],[Uitgangssituatie/effect beleid]])</f>
        <v>1150.3748340635154</v>
      </c>
      <c r="I653" s="398">
        <f>SUMIFS(uitkomst_doelgroep[Overige besparingen (€)],uitkomst_doelgroep[Digitale zorgtoepassing],B653,uitkomst_doelgroep[Jaar],D653,uitkomst_doelgroep[Overige besparingen (€)],"&gt;0",uitkomst_doelgroep[Uitgangssituatie/effect beleid],uitkomst_tech[[#This Row],[Uitgangssituatie/effect beleid]])</f>
        <v>16573465.407942366</v>
      </c>
      <c r="J653" s="398">
        <f>SUMIFS(uitkomst_doelgroep[QALY (€)],uitkomst_doelgroep[Digitale zorgtoepassing],B653,uitkomst_doelgroep[Jaar],D653,uitkomst_doelgroep[QALY (€)],"&gt;0",uitkomst_doelgroep[Uitgangssituatie/effect beleid],uitkomst_tech[[#This Row],[Uitgangssituatie/effect beleid]])</f>
        <v>0</v>
      </c>
      <c r="K653" s="398">
        <f>SUMIFS(uitkomst_doelgroep[Kosten (€)],uitkomst_doelgroep[Digitale zorgtoepassing],B653,uitkomst_doelgroep[Jaar],D653,uitkomst_doelgroep[Kosten (€)],"&gt;0",uitkomst_doelgroep[Uitgangssituatie/effect beleid],uitkomst_tech[[#This Row],[Uitgangssituatie/effect beleid]])</f>
        <v>60906749.85431733</v>
      </c>
      <c r="L653" s="398">
        <f>SUMIFS(uitkomst_doelgroep[Investering (cash flow) (€)],uitkomst_doelgroep[Digitale zorgtoepassing],B653,uitkomst_doelgroep[Jaar],D653,uitkomst_doelgroep[Investering (cash flow) (€)],"&gt;0",uitkomst_doelgroep[Uitgangssituatie/effect beleid],uitkomst_tech[[#This Row],[Uitgangssituatie/effect beleid]])</f>
        <v>0</v>
      </c>
    </row>
    <row r="654" spans="1:12" x14ac:dyDescent="0.5">
      <c r="A654" s="2" t="str">
        <f>INDEX(Technologieën[Veld],MATCH(B654,Technologieën[Digitale zorgtoepassing],0))</f>
        <v>Sensoren - Verpleging</v>
      </c>
      <c r="B654" s="33" t="s">
        <v>42</v>
      </c>
      <c r="C654" s="33" t="s">
        <v>813</v>
      </c>
      <c r="D654" s="33">
        <v>2026</v>
      </c>
      <c r="E654" s="2"/>
      <c r="F654" s="397">
        <f>SUMIFS(uitkomst_doelgroep[Patiëntaantallen],uitkomst_doelgroep[Digitale zorgtoepassing],B654,uitkomst_doelgroep[Jaar],D654,uitkomst_doelgroep[Arbeidsbesparing (€)],"&gt;0",uitkomst_doelgroep[Uitgangssituatie/effect beleid],uitkomst_tech[[#This Row],[Uitgangssituatie/effect beleid]])</f>
        <v>24873.573833548151</v>
      </c>
      <c r="G654" s="398">
        <f>SUMIFS(uitkomst_doelgroep[Arbeidsbesparing (€)],uitkomst_doelgroep[Digitale zorgtoepassing],B654,uitkomst_doelgroep[Jaar],D654,uitkomst_doelgroep[Arbeidsbesparing (€)],"&gt;0",uitkomst_doelgroep[Uitgangssituatie/effect beleid],uitkomst_tech[[#This Row],[Uitgangssituatie/effect beleid]])</f>
        <v>57419214.964250483</v>
      </c>
      <c r="H654" s="398">
        <f>SUMIFS(uitkomst_doelgroep[Arbeidsbesparing (FTE)],uitkomst_doelgroep[Digitale zorgtoepassing],B654,uitkomst_doelgroep[Jaar],D654,uitkomst_doelgroep[Arbeidsbesparing (FTE)],"&gt;0",uitkomst_doelgroep[Uitgangssituatie/effect beleid],uitkomst_tech[[#This Row],[Uitgangssituatie/effect beleid]])</f>
        <v>1352.5005771991807</v>
      </c>
      <c r="I654" s="398">
        <f>SUMIFS(uitkomst_doelgroep[Overige besparingen (€)],uitkomst_doelgroep[Digitale zorgtoepassing],B654,uitkomst_doelgroep[Jaar],D654,uitkomst_doelgroep[Overige besparingen (€)],"&gt;0",uitkomst_doelgroep[Uitgangssituatie/effect beleid],uitkomst_tech[[#This Row],[Uitgangssituatie/effect beleid]])</f>
        <v>19485493.655361965</v>
      </c>
      <c r="J654" s="398">
        <f>SUMIFS(uitkomst_doelgroep[QALY (€)],uitkomst_doelgroep[Digitale zorgtoepassing],B654,uitkomst_doelgroep[Jaar],D654,uitkomst_doelgroep[QALY (€)],"&gt;0",uitkomst_doelgroep[Uitgangssituatie/effect beleid],uitkomst_tech[[#This Row],[Uitgangssituatie/effect beleid]])</f>
        <v>0</v>
      </c>
      <c r="K654" s="398">
        <f>SUMIFS(uitkomst_doelgroep[Kosten (€)],uitkomst_doelgroep[Digitale zorgtoepassing],B654,uitkomst_doelgroep[Jaar],D654,uitkomst_doelgroep[Kosten (€)],"&gt;0",uitkomst_doelgroep[Uitgangssituatie/effect beleid],uitkomst_tech[[#This Row],[Uitgangssituatie/effect beleid]])</f>
        <v>71608324.429619834</v>
      </c>
      <c r="L654" s="398">
        <f>SUMIFS(uitkomst_doelgroep[Investering (cash flow) (€)],uitkomst_doelgroep[Digitale zorgtoepassing],B654,uitkomst_doelgroep[Jaar],D654,uitkomst_doelgroep[Investering (cash flow) (€)],"&gt;0",uitkomst_doelgroep[Uitgangssituatie/effect beleid],uitkomst_tech[[#This Row],[Uitgangssituatie/effect beleid]])</f>
        <v>0</v>
      </c>
    </row>
    <row r="655" spans="1:12" x14ac:dyDescent="0.5">
      <c r="A655" s="2" t="str">
        <f>INDEX(Technologieën[Veld],MATCH(B655,Technologieën[Digitale zorgtoepassing],0))</f>
        <v>Sensoren - Verpleging</v>
      </c>
      <c r="B655" s="33" t="s">
        <v>42</v>
      </c>
      <c r="C655" s="33" t="s">
        <v>813</v>
      </c>
      <c r="D655" s="33">
        <v>2027</v>
      </c>
      <c r="E655" s="2"/>
      <c r="F655" s="397">
        <f>SUMIFS(uitkomst_doelgroep[Patiëntaantallen],uitkomst_doelgroep[Digitale zorgtoepassing],B655,uitkomst_doelgroep[Jaar],D655,uitkomst_doelgroep[Arbeidsbesparing (€)],"&gt;0",uitkomst_doelgroep[Uitgangssituatie/effect beleid],uitkomst_tech[[#This Row],[Uitgangssituatie/effect beleid]])</f>
        <v>27866.236021058463</v>
      </c>
      <c r="G655" s="398">
        <f>SUMIFS(uitkomst_doelgroep[Arbeidsbesparing (€)],uitkomst_doelgroep[Digitale zorgtoepassing],B655,uitkomst_doelgroep[Jaar],D655,uitkomst_doelgroep[Arbeidsbesparing (€)],"&gt;0",uitkomst_doelgroep[Uitgangssituatie/effect beleid],uitkomst_tech[[#This Row],[Uitgangssituatie/effect beleid]])</f>
        <v>64327603.546042249</v>
      </c>
      <c r="H655" s="398">
        <f>SUMIFS(uitkomst_doelgroep[Arbeidsbesparing (FTE)],uitkomst_doelgroep[Digitale zorgtoepassing],B655,uitkomst_doelgroep[Jaar],D655,uitkomst_doelgroep[Arbeidsbesparing (FTE)],"&gt;0",uitkomst_doelgroep[Uitgangssituatie/effect beleid],uitkomst_tech[[#This Row],[Uitgangssituatie/effect beleid]])</f>
        <v>1515.2265836450538</v>
      </c>
      <c r="I655" s="398">
        <f>SUMIFS(uitkomst_doelgroep[Overige besparingen (€)],uitkomst_doelgroep[Digitale zorgtoepassing],B655,uitkomst_doelgroep[Jaar],D655,uitkomst_doelgroep[Overige besparingen (€)],"&gt;0",uitkomst_doelgroep[Uitgangssituatie/effect beleid],uitkomst_tech[[#This Row],[Uitgangssituatie/effect beleid]])</f>
        <v>21829889.376604229</v>
      </c>
      <c r="J655" s="398">
        <f>SUMIFS(uitkomst_doelgroep[QALY (€)],uitkomst_doelgroep[Digitale zorgtoepassing],B655,uitkomst_doelgroep[Jaar],D655,uitkomst_doelgroep[QALY (€)],"&gt;0",uitkomst_doelgroep[Uitgangssituatie/effect beleid],uitkomst_tech[[#This Row],[Uitgangssituatie/effect beleid]])</f>
        <v>0</v>
      </c>
      <c r="K655" s="398">
        <f>SUMIFS(uitkomst_doelgroep[Kosten (€)],uitkomst_doelgroep[Digitale zorgtoepassing],B655,uitkomst_doelgroep[Jaar],D655,uitkomst_doelgroep[Kosten (€)],"&gt;0",uitkomst_doelgroep[Uitgangssituatie/effect beleid],uitkomst_tech[[#This Row],[Uitgangssituatie/effect beleid]])</f>
        <v>80223874.662391707</v>
      </c>
      <c r="L655" s="398">
        <f>SUMIFS(uitkomst_doelgroep[Investering (cash flow) (€)],uitkomst_doelgroep[Digitale zorgtoepassing],B655,uitkomst_doelgroep[Jaar],D655,uitkomst_doelgroep[Investering (cash flow) (€)],"&gt;0",uitkomst_doelgroep[Uitgangssituatie/effect beleid],uitkomst_tech[[#This Row],[Uitgangssituatie/effect beleid]])</f>
        <v>0</v>
      </c>
    </row>
    <row r="656" spans="1:12" x14ac:dyDescent="0.5">
      <c r="A656" s="2" t="str">
        <f>INDEX(Technologieën[Veld],MATCH(B656,Technologieën[Digitale zorgtoepassing],0))</f>
        <v>Sensoren - Verpleging</v>
      </c>
      <c r="B656" s="33" t="s">
        <v>42</v>
      </c>
      <c r="C656" s="33" t="s">
        <v>813</v>
      </c>
      <c r="D656" s="33">
        <v>2028</v>
      </c>
      <c r="E656" s="2"/>
      <c r="F656" s="397">
        <f>SUMIFS(uitkomst_doelgroep[Patiëntaantallen],uitkomst_doelgroep[Digitale zorgtoepassing],B656,uitkomst_doelgroep[Jaar],D656,uitkomst_doelgroep[Arbeidsbesparing (€)],"&gt;0",uitkomst_doelgroep[Uitgangssituatie/effect beleid],uitkomst_tech[[#This Row],[Uitgangssituatie/effect beleid]])</f>
        <v>30039.556793448137</v>
      </c>
      <c r="G656" s="398">
        <f>SUMIFS(uitkomst_doelgroep[Arbeidsbesparing (€)],uitkomst_doelgroep[Digitale zorgtoepassing],B656,uitkomst_doelgroep[Jaar],D656,uitkomst_doelgroep[Arbeidsbesparing (€)],"&gt;0",uitkomst_doelgroep[Uitgangssituatie/effect beleid],uitkomst_tech[[#This Row],[Uitgangssituatie/effect beleid]])</f>
        <v>69344589.583159387</v>
      </c>
      <c r="H656" s="398">
        <f>SUMIFS(uitkomst_doelgroep[Arbeidsbesparing (FTE)],uitkomst_doelgroep[Digitale zorgtoepassing],B656,uitkomst_doelgroep[Jaar],D656,uitkomst_doelgroep[Arbeidsbesparing (FTE)],"&gt;0",uitkomst_doelgroep[Uitgangssituatie/effect beleid],uitkomst_tech[[#This Row],[Uitgangssituatie/effect beleid]])</f>
        <v>1633.4009006437425</v>
      </c>
      <c r="I656" s="398">
        <f>SUMIFS(uitkomst_doelgroep[Overige besparingen (€)],uitkomst_doelgroep[Digitale zorgtoepassing],B656,uitkomst_doelgroep[Jaar],D656,uitkomst_doelgroep[Overige besparingen (€)],"&gt;0",uitkomst_doelgroep[Uitgangssituatie/effect beleid],uitkomst_tech[[#This Row],[Uitgangssituatie/effect beleid]])</f>
        <v>23532428.320338495</v>
      </c>
      <c r="J656" s="398">
        <f>SUMIFS(uitkomst_doelgroep[QALY (€)],uitkomst_doelgroep[Digitale zorgtoepassing],B656,uitkomst_doelgroep[Jaar],D656,uitkomst_doelgroep[QALY (€)],"&gt;0",uitkomst_doelgroep[Uitgangssituatie/effect beleid],uitkomst_tech[[#This Row],[Uitgangssituatie/effect beleid]])</f>
        <v>0</v>
      </c>
      <c r="K656" s="398">
        <f>SUMIFS(uitkomst_doelgroep[Kosten (€)],uitkomst_doelgroep[Digitale zorgtoepassing],B656,uitkomst_doelgroep[Jaar],D656,uitkomst_doelgroep[Kosten (€)],"&gt;0",uitkomst_doelgroep[Uitgangssituatie/effect beleid],uitkomst_tech[[#This Row],[Uitgangssituatie/effect beleid]])</f>
        <v>86480629.723017916</v>
      </c>
      <c r="L656" s="398">
        <f>SUMIFS(uitkomst_doelgroep[Investering (cash flow) (€)],uitkomst_doelgroep[Digitale zorgtoepassing],B656,uitkomst_doelgroep[Jaar],D656,uitkomst_doelgroep[Investering (cash flow) (€)],"&gt;0",uitkomst_doelgroep[Uitgangssituatie/effect beleid],uitkomst_tech[[#This Row],[Uitgangssituatie/effect beleid]])</f>
        <v>0</v>
      </c>
    </row>
    <row r="657" spans="1:12" x14ac:dyDescent="0.5">
      <c r="A657" s="2" t="str">
        <f>INDEX(Technologieën[Veld],MATCH(B657,Technologieën[Digitale zorgtoepassing],0))</f>
        <v>Sensoren - Verpleging</v>
      </c>
      <c r="B657" s="33" t="s">
        <v>42</v>
      </c>
      <c r="C657" s="33" t="s">
        <v>813</v>
      </c>
      <c r="D657" s="33">
        <v>2029</v>
      </c>
      <c r="E657" s="2"/>
      <c r="F657" s="397">
        <f>SUMIFS(uitkomst_doelgroep[Patiëntaantallen],uitkomst_doelgroep[Digitale zorgtoepassing],B657,uitkomst_doelgroep[Jaar],D657,uitkomst_doelgroep[Arbeidsbesparing (€)],"&gt;0",uitkomst_doelgroep[Uitgangssituatie/effect beleid],uitkomst_tech[[#This Row],[Uitgangssituatie/effect beleid]])</f>
        <v>31517.536814275292</v>
      </c>
      <c r="G657" s="398">
        <f>SUMIFS(uitkomst_doelgroep[Arbeidsbesparing (€)],uitkomst_doelgroep[Digitale zorgtoepassing],B657,uitkomst_doelgroep[Jaar],D657,uitkomst_doelgroep[Arbeidsbesparing (€)],"&gt;0",uitkomst_doelgroep[Uitgangssituatie/effect beleid],uitkomst_tech[[#This Row],[Uitgangssituatie/effect beleid]])</f>
        <v>72756421.477387682</v>
      </c>
      <c r="H657" s="398">
        <f>SUMIFS(uitkomst_doelgroep[Arbeidsbesparing (FTE)],uitkomst_doelgroep[Digitale zorgtoepassing],B657,uitkomst_doelgroep[Jaar],D657,uitkomst_doelgroep[Arbeidsbesparing (FTE)],"&gt;0",uitkomst_doelgroep[Uitgangssituatie/effect beleid],uitkomst_tech[[#This Row],[Uitgangssituatie/effect beleid]])</f>
        <v>1713.7660642762189</v>
      </c>
      <c r="I657" s="398">
        <f>SUMIFS(uitkomst_doelgroep[Overige besparingen (€)],uitkomst_doelgroep[Digitale zorgtoepassing],B657,uitkomst_doelgroep[Jaar],D657,uitkomst_doelgroep[Overige besparingen (€)],"&gt;0",uitkomst_doelgroep[Uitgangssituatie/effect beleid],uitkomst_tech[[#This Row],[Uitgangssituatie/effect beleid]])</f>
        <v>24690250.292818241</v>
      </c>
      <c r="J657" s="398">
        <f>SUMIFS(uitkomst_doelgroep[QALY (€)],uitkomst_doelgroep[Digitale zorgtoepassing],B657,uitkomst_doelgroep[Jaar],D657,uitkomst_doelgroep[QALY (€)],"&gt;0",uitkomst_doelgroep[Uitgangssituatie/effect beleid],uitkomst_tech[[#This Row],[Uitgangssituatie/effect beleid]])</f>
        <v>0</v>
      </c>
      <c r="K657" s="398">
        <f>SUMIFS(uitkomst_doelgroep[Kosten (€)],uitkomst_doelgroep[Digitale zorgtoepassing],B657,uitkomst_doelgroep[Jaar],D657,uitkomst_doelgroep[Kosten (€)],"&gt;0",uitkomst_doelgroep[Uitgangssituatie/effect beleid],uitkomst_tech[[#This Row],[Uitgangssituatie/effect beleid]])</f>
        <v>90735574.088477045</v>
      </c>
      <c r="L657" s="398">
        <f>SUMIFS(uitkomst_doelgroep[Investering (cash flow) (€)],uitkomst_doelgroep[Digitale zorgtoepassing],B657,uitkomst_doelgroep[Jaar],D657,uitkomst_doelgroep[Investering (cash flow) (€)],"&gt;0",uitkomst_doelgroep[Uitgangssituatie/effect beleid],uitkomst_tech[[#This Row],[Uitgangssituatie/effect beleid]])</f>
        <v>0</v>
      </c>
    </row>
    <row r="658" spans="1:12" x14ac:dyDescent="0.5">
      <c r="A658" s="2" t="str">
        <f>INDEX(Technologieën[Veld],MATCH(B658,Technologieën[Digitale zorgtoepassing],0))</f>
        <v>Sensoren - Verpleging</v>
      </c>
      <c r="B658" s="33" t="s">
        <v>42</v>
      </c>
      <c r="C658" s="33" t="s">
        <v>813</v>
      </c>
      <c r="D658" s="33">
        <v>2030</v>
      </c>
      <c r="E658" s="2"/>
      <c r="F658" s="397">
        <f>SUMIFS(uitkomst_doelgroep[Patiëntaantallen],uitkomst_doelgroep[Digitale zorgtoepassing],B658,uitkomst_doelgroep[Jaar],D658,uitkomst_doelgroep[Arbeidsbesparing (€)],"&gt;0",uitkomst_doelgroep[Uitgangssituatie/effect beleid],uitkomst_tech[[#This Row],[Uitgangssituatie/effect beleid]])</f>
        <v>32511.677394459595</v>
      </c>
      <c r="G658" s="398">
        <f>SUMIFS(uitkomst_doelgroep[Arbeidsbesparing (€)],uitkomst_doelgroep[Digitale zorgtoepassing],B658,uitkomst_doelgroep[Jaar],D658,uitkomst_doelgroep[Arbeidsbesparing (€)],"&gt;0",uitkomst_doelgroep[Uitgangssituatie/effect beleid],uitkomst_tech[[#This Row],[Uitgangssituatie/effect beleid]])</f>
        <v>75051337.843659788</v>
      </c>
      <c r="H658" s="398">
        <f>SUMIFS(uitkomst_doelgroep[Arbeidsbesparing (FTE)],uitkomst_doelgroep[Digitale zorgtoepassing],B658,uitkomst_doelgroep[Jaar],D658,uitkomst_doelgroep[Arbeidsbesparing (FTE)],"&gt;0",uitkomst_doelgroep[Uitgangssituatie/effect beleid],uitkomst_tech[[#This Row],[Uitgangssituatie/effect beleid]])</f>
        <v>1767.8224583237404</v>
      </c>
      <c r="I658" s="398">
        <f>SUMIFS(uitkomst_doelgroep[Overige besparingen (€)],uitkomst_doelgroep[Digitale zorgtoepassing],B658,uitkomst_doelgroep[Jaar],D658,uitkomst_doelgroep[Overige besparingen (€)],"&gt;0",uitkomst_doelgroep[Uitgangssituatie/effect beleid],uitkomst_tech[[#This Row],[Uitgangssituatie/effect beleid]])</f>
        <v>25469041.474871546</v>
      </c>
      <c r="J658" s="398">
        <f>SUMIFS(uitkomst_doelgroep[QALY (€)],uitkomst_doelgroep[Digitale zorgtoepassing],B658,uitkomst_doelgroep[Jaar],D658,uitkomst_doelgroep[QALY (€)],"&gt;0",uitkomst_doelgroep[Uitgangssituatie/effect beleid],uitkomst_tech[[#This Row],[Uitgangssituatie/effect beleid]])</f>
        <v>0</v>
      </c>
      <c r="K658" s="398">
        <f>SUMIFS(uitkomst_doelgroep[Kosten (€)],uitkomst_doelgroep[Digitale zorgtoepassing],B658,uitkomst_doelgroep[Jaar],D658,uitkomst_doelgroep[Kosten (€)],"&gt;0",uitkomst_doelgroep[Uitgangssituatie/effect beleid],uitkomst_tech[[#This Row],[Uitgangssituatie/effect beleid]])</f>
        <v>93597597.120264784</v>
      </c>
      <c r="L658" s="398">
        <f>SUMIFS(uitkomst_doelgroep[Investering (cash flow) (€)],uitkomst_doelgroep[Digitale zorgtoepassing],B658,uitkomst_doelgroep[Jaar],D658,uitkomst_doelgroep[Investering (cash flow) (€)],"&gt;0",uitkomst_doelgroep[Uitgangssituatie/effect beleid],uitkomst_tech[[#This Row],[Uitgangssituatie/effect beleid]])</f>
        <v>0</v>
      </c>
    </row>
    <row r="659" spans="1:12" x14ac:dyDescent="0.5">
      <c r="A659" s="2" t="str">
        <f>INDEX(Technologieën[Veld],MATCH(B659,Technologieën[Digitale zorgtoepassing],0))</f>
        <v>Sensoren - Verpleging</v>
      </c>
      <c r="B659" s="33" t="s">
        <v>42</v>
      </c>
      <c r="C659" s="33" t="s">
        <v>813</v>
      </c>
      <c r="D659" s="33">
        <v>2031</v>
      </c>
      <c r="E659" s="2"/>
      <c r="F659" s="397">
        <f>SUMIFS(uitkomst_doelgroep[Patiëntaantallen],uitkomst_doelgroep[Digitale zorgtoepassing],B659,uitkomst_doelgroep[Jaar],D659,uitkomst_doelgroep[Arbeidsbesparing (€)],"&gt;0",uitkomst_doelgroep[Uitgangssituatie/effect beleid],uitkomst_tech[[#This Row],[Uitgangssituatie/effect beleid]])</f>
        <v>33207.391997265411</v>
      </c>
      <c r="G659" s="398">
        <f>SUMIFS(uitkomst_doelgroep[Arbeidsbesparing (€)],uitkomst_doelgroep[Digitale zorgtoepassing],B659,uitkomst_doelgroep[Jaar],D659,uitkomst_doelgroep[Arbeidsbesparing (€)],"&gt;0",uitkomst_doelgroep[Uitgangssituatie/effect beleid],uitkomst_tech[[#This Row],[Uitgangssituatie/effect beleid]])</f>
        <v>76657355.000647336</v>
      </c>
      <c r="H659" s="398">
        <f>SUMIFS(uitkomst_doelgroep[Arbeidsbesparing (FTE)],uitkomst_doelgroep[Digitale zorgtoepassing],B659,uitkomst_doelgroep[Jaar],D659,uitkomst_doelgroep[Arbeidsbesparing (FTE)],"&gt;0",uitkomst_doelgroep[Uitgangssituatie/effect beleid],uitkomst_tech[[#This Row],[Uitgangssituatie/effect beleid]])</f>
        <v>1805.6519398513065</v>
      </c>
      <c r="I659" s="398">
        <f>SUMIFS(uitkomst_doelgroep[Overige besparingen (€)],uitkomst_doelgroep[Digitale zorgtoepassing],B659,uitkomst_doelgroep[Jaar],D659,uitkomst_doelgroep[Overige besparingen (€)],"&gt;0",uitkomst_doelgroep[Uitgangssituatie/effect beleid],uitkomst_tech[[#This Row],[Uitgangssituatie/effect beleid]])</f>
        <v>26014051.314214826</v>
      </c>
      <c r="J659" s="398">
        <f>SUMIFS(uitkomst_doelgroep[QALY (€)],uitkomst_doelgroep[Digitale zorgtoepassing],B659,uitkomst_doelgroep[Jaar],D659,uitkomst_doelgroep[QALY (€)],"&gt;0",uitkomst_doelgroep[Uitgangssituatie/effect beleid],uitkomst_tech[[#This Row],[Uitgangssituatie/effect beleid]])</f>
        <v>0</v>
      </c>
      <c r="K659" s="398">
        <f>SUMIFS(uitkomst_doelgroep[Kosten (€)],uitkomst_doelgroep[Digitale zorgtoepassing],B659,uitkomst_doelgroep[Jaar],D659,uitkomst_doelgroep[Kosten (€)],"&gt;0",uitkomst_doelgroep[Uitgangssituatie/effect beleid],uitkomst_tech[[#This Row],[Uitgangssituatie/effect beleid]])</f>
        <v>95600484.09266074</v>
      </c>
      <c r="L659" s="398">
        <f>SUMIFS(uitkomst_doelgroep[Investering (cash flow) (€)],uitkomst_doelgroep[Digitale zorgtoepassing],B659,uitkomst_doelgroep[Jaar],D659,uitkomst_doelgroep[Investering (cash flow) (€)],"&gt;0",uitkomst_doelgroep[Uitgangssituatie/effect beleid],uitkomst_tech[[#This Row],[Uitgangssituatie/effect beleid]])</f>
        <v>0</v>
      </c>
    </row>
    <row r="660" spans="1:12" x14ac:dyDescent="0.5">
      <c r="A660" s="2" t="str">
        <f>INDEX(Technologieën[Veld],MATCH(B660,Technologieën[Digitale zorgtoepassing],0))</f>
        <v>Sensoren - Verpleging</v>
      </c>
      <c r="B660" s="33" t="s">
        <v>42</v>
      </c>
      <c r="C660" s="33" t="s">
        <v>813</v>
      </c>
      <c r="D660" s="33">
        <v>2032</v>
      </c>
      <c r="E660" s="2"/>
      <c r="F660" s="397">
        <f>SUMIFS(uitkomst_doelgroep[Patiëntaantallen],uitkomst_doelgroep[Digitale zorgtoepassing],B660,uitkomst_doelgroep[Jaar],D660,uitkomst_doelgroep[Arbeidsbesparing (€)],"&gt;0",uitkomst_doelgroep[Uitgangssituatie/effect beleid],uitkomst_tech[[#This Row],[Uitgangssituatie/effect beleid]])</f>
        <v>33720.989677023274</v>
      </c>
      <c r="G660" s="398">
        <f>SUMIFS(uitkomst_doelgroep[Arbeidsbesparing (€)],uitkomst_doelgroep[Digitale zorgtoepassing],B660,uitkomst_doelgroep[Jaar],D660,uitkomst_doelgroep[Arbeidsbesparing (€)],"&gt;0",uitkomst_doelgroep[Uitgangssituatie/effect beleid],uitkomst_tech[[#This Row],[Uitgangssituatie/effect beleid]])</f>
        <v>77842965.712501794</v>
      </c>
      <c r="H660" s="398">
        <f>SUMIFS(uitkomst_doelgroep[Arbeidsbesparing (FTE)],uitkomst_doelgroep[Digitale zorgtoepassing],B660,uitkomst_doelgroep[Jaar],D660,uitkomst_doelgroep[Arbeidsbesparing (FTE)],"&gt;0",uitkomst_doelgroep[Uitgangssituatie/effect beleid],uitkomst_tech[[#This Row],[Uitgangssituatie/effect beleid]])</f>
        <v>1833.5788136881404</v>
      </c>
      <c r="I660" s="398">
        <f>SUMIFS(uitkomst_doelgroep[Overige besparingen (€)],uitkomst_doelgroep[Digitale zorgtoepassing],B660,uitkomst_doelgroep[Jaar],D660,uitkomst_doelgroep[Overige besparingen (€)],"&gt;0",uitkomst_doelgroep[Uitgangssituatie/effect beleid],uitkomst_tech[[#This Row],[Uitgangssituatie/effect beleid]])</f>
        <v>26416394.153941087</v>
      </c>
      <c r="J660" s="398">
        <f>SUMIFS(uitkomst_doelgroep[QALY (€)],uitkomst_doelgroep[Digitale zorgtoepassing],B660,uitkomst_doelgroep[Jaar],D660,uitkomst_doelgroep[QALY (€)],"&gt;0",uitkomst_doelgroep[Uitgangssituatie/effect beleid],uitkomst_tech[[#This Row],[Uitgangssituatie/effect beleid]])</f>
        <v>0</v>
      </c>
      <c r="K660" s="398">
        <f>SUMIFS(uitkomst_doelgroep[Kosten (€)],uitkomst_doelgroep[Digitale zorgtoepassing],B660,uitkomst_doelgroep[Jaar],D660,uitkomst_doelgroep[Kosten (€)],"&gt;0",uitkomst_doelgroep[Uitgangssituatie/effect beleid],uitkomst_tech[[#This Row],[Uitgangssituatie/effect beleid]])</f>
        <v>97079076.172935009</v>
      </c>
      <c r="L660" s="398">
        <f>SUMIFS(uitkomst_doelgroep[Investering (cash flow) (€)],uitkomst_doelgroep[Digitale zorgtoepassing],B660,uitkomst_doelgroep[Jaar],D660,uitkomst_doelgroep[Investering (cash flow) (€)],"&gt;0",uitkomst_doelgroep[Uitgangssituatie/effect beleid],uitkomst_tech[[#This Row],[Uitgangssituatie/effect beleid]])</f>
        <v>0</v>
      </c>
    </row>
    <row r="661" spans="1:12" x14ac:dyDescent="0.5">
      <c r="A661" s="2" t="str">
        <f>INDEX(Technologieën[Veld],MATCH(B661,Technologieën[Digitale zorgtoepassing],0))</f>
        <v>Sensoren - Verpleging</v>
      </c>
      <c r="B661" s="33" t="s">
        <v>42</v>
      </c>
      <c r="C661" s="33" t="s">
        <v>813</v>
      </c>
      <c r="D661" s="33">
        <v>2033</v>
      </c>
      <c r="E661" s="2"/>
      <c r="F661" s="397">
        <f>SUMIFS(uitkomst_doelgroep[Patiëntaantallen],uitkomst_doelgroep[Digitale zorgtoepassing],B661,uitkomst_doelgroep[Jaar],D661,uitkomst_doelgroep[Arbeidsbesparing (€)],"&gt;0",uitkomst_doelgroep[Uitgangssituatie/effect beleid],uitkomst_tech[[#This Row],[Uitgangssituatie/effect beleid]])</f>
        <v>34107.644428447842</v>
      </c>
      <c r="G661" s="398">
        <f>SUMIFS(uitkomst_doelgroep[Arbeidsbesparing (€)],uitkomst_doelgroep[Digitale zorgtoepassing],B661,uitkomst_doelgroep[Jaar],D661,uitkomst_doelgroep[Arbeidsbesparing (€)],"&gt;0",uitkomst_doelgroep[Uitgangssituatie/effect beleid],uitkomst_tech[[#This Row],[Uitgangssituatie/effect beleid]])</f>
        <v>78735535.973517194</v>
      </c>
      <c r="H661" s="398">
        <f>SUMIFS(uitkomst_doelgroep[Arbeidsbesparing (FTE)],uitkomst_doelgroep[Digitale zorgtoepassing],B661,uitkomst_doelgroep[Jaar],D661,uitkomst_doelgroep[Arbeidsbesparing (FTE)],"&gt;0",uitkomst_doelgroep[Uitgangssituatie/effect beleid],uitkomst_tech[[#This Row],[Uitgangssituatie/effect beleid]])</f>
        <v>1854.6031657968513</v>
      </c>
      <c r="I661" s="398">
        <f>SUMIFS(uitkomst_doelgroep[Overige besparingen (€)],uitkomst_doelgroep[Digitale zorgtoepassing],B661,uitkomst_doelgroep[Jaar],D661,uitkomst_doelgroep[Overige besparingen (€)],"&gt;0",uitkomst_doelgroep[Uitgangssituatie/effect beleid],uitkomst_tech[[#This Row],[Uitgangssituatie/effect beleid]])</f>
        <v>26719292.272085141</v>
      </c>
      <c r="J661" s="398">
        <f>SUMIFS(uitkomst_doelgroep[QALY (€)],uitkomst_doelgroep[Digitale zorgtoepassing],B661,uitkomst_doelgroep[Jaar],D661,uitkomst_doelgroep[QALY (€)],"&gt;0",uitkomst_doelgroep[Uitgangssituatie/effect beleid],uitkomst_tech[[#This Row],[Uitgangssituatie/effect beleid]])</f>
        <v>0</v>
      </c>
      <c r="K661" s="398">
        <f>SUMIFS(uitkomst_doelgroep[Kosten (€)],uitkomst_doelgroep[Digitale zorgtoepassing],B661,uitkomst_doelgroep[Jaar],D661,uitkomst_doelgroep[Kosten (€)],"&gt;0",uitkomst_doelgroep[Uitgangssituatie/effect beleid],uitkomst_tech[[#This Row],[Uitgangssituatie/effect beleid]])</f>
        <v>98192213.314688265</v>
      </c>
      <c r="L661" s="398">
        <f>SUMIFS(uitkomst_doelgroep[Investering (cash flow) (€)],uitkomst_doelgroep[Digitale zorgtoepassing],B661,uitkomst_doelgroep[Jaar],D661,uitkomst_doelgroep[Investering (cash flow) (€)],"&gt;0",uitkomst_doelgroep[Uitgangssituatie/effect beleid],uitkomst_tech[[#This Row],[Uitgangssituatie/effect beleid]])</f>
        <v>0</v>
      </c>
    </row>
    <row r="662" spans="1:12" x14ac:dyDescent="0.5">
      <c r="A662" s="2" t="str">
        <f>INDEX(Technologieën[Veld],MATCH(B662,Technologieën[Digitale zorgtoepassing],0))</f>
        <v>Sensoren - Verpleging</v>
      </c>
      <c r="B662" s="33" t="s">
        <v>61</v>
      </c>
      <c r="C662" s="33" t="s">
        <v>813</v>
      </c>
      <c r="D662" s="33">
        <v>2023</v>
      </c>
      <c r="E662" s="2"/>
      <c r="F662" s="397">
        <f>SUMIFS(uitkomst_doelgroep[Patiëntaantallen],uitkomst_doelgroep[Digitale zorgtoepassing],B662,uitkomst_doelgroep[Jaar],D662,uitkomst_doelgroep[Arbeidsbesparing (€)],"&gt;0",uitkomst_doelgroep[Uitgangssituatie/effect beleid],uitkomst_tech[[#This Row],[Uitgangssituatie/effect beleid]])</f>
        <v>37720</v>
      </c>
      <c r="G662" s="398">
        <f>SUMIFS(uitkomst_doelgroep[Arbeidsbesparing (€)],uitkomst_doelgroep[Digitale zorgtoepassing],B662,uitkomst_doelgroep[Jaar],D662,uitkomst_doelgroep[Arbeidsbesparing (€)],"&gt;0",uitkomst_doelgroep[Uitgangssituatie/effect beleid],uitkomst_tech[[#This Row],[Uitgangssituatie/effect beleid]])</f>
        <v>20035529.034473527</v>
      </c>
      <c r="H662" s="398">
        <f>SUMIFS(uitkomst_doelgroep[Arbeidsbesparing (FTE)],uitkomst_doelgroep[Digitale zorgtoepassing],B662,uitkomst_doelgroep[Jaar],D662,uitkomst_doelgroep[Arbeidsbesparing (FTE)],"&gt;0",uitkomst_doelgroep[Uitgangssituatie/effect beleid],uitkomst_tech[[#This Row],[Uitgangssituatie/effect beleid]])</f>
        <v>471.93373508306922</v>
      </c>
      <c r="I662" s="398">
        <f>SUMIFS(uitkomst_doelgroep[Overige besparingen (€)],uitkomst_doelgroep[Digitale zorgtoepassing],B662,uitkomst_doelgroep[Jaar],D662,uitkomst_doelgroep[Overige besparingen (€)],"&gt;0",uitkomst_doelgroep[Uitgangssituatie/effect beleid],uitkomst_tech[[#This Row],[Uitgangssituatie/effect beleid]])</f>
        <v>17599889.988904025</v>
      </c>
      <c r="J662" s="398">
        <f>SUMIFS(uitkomst_doelgroep[QALY (€)],uitkomst_doelgroep[Digitale zorgtoepassing],B662,uitkomst_doelgroep[Jaar],D662,uitkomst_doelgroep[QALY (€)],"&gt;0",uitkomst_doelgroep[Uitgangssituatie/effect beleid],uitkomst_tech[[#This Row],[Uitgangssituatie/effect beleid]])</f>
        <v>0</v>
      </c>
      <c r="K662" s="398">
        <f>SUMIFS(uitkomst_doelgroep[Kosten (€)],uitkomst_doelgroep[Digitale zorgtoepassing],B662,uitkomst_doelgroep[Jaar],D662,uitkomst_doelgroep[Kosten (€)],"&gt;0",uitkomst_doelgroep[Uitgangssituatie/effect beleid],uitkomst_tech[[#This Row],[Uitgangssituatie/effect beleid]])</f>
        <v>17804748.915662654</v>
      </c>
      <c r="L662" s="398">
        <f>SUMIFS(uitkomst_doelgroep[Investering (cash flow) (€)],uitkomst_doelgroep[Digitale zorgtoepassing],B662,uitkomst_doelgroep[Jaar],D662,uitkomst_doelgroep[Investering (cash flow) (€)],"&gt;0",uitkomst_doelgroep[Uitgangssituatie/effect beleid],uitkomst_tech[[#This Row],[Uitgangssituatie/effect beleid]])</f>
        <v>347198.39999999991</v>
      </c>
    </row>
    <row r="663" spans="1:12" x14ac:dyDescent="0.5">
      <c r="A663" s="2" t="str">
        <f>INDEX(Technologieën[Veld],MATCH(B663,Technologieën[Digitale zorgtoepassing],0))</f>
        <v>Sensoren - Verpleging</v>
      </c>
      <c r="B663" s="33" t="s">
        <v>61</v>
      </c>
      <c r="C663" s="33" t="s">
        <v>813</v>
      </c>
      <c r="D663" s="33">
        <v>2024</v>
      </c>
      <c r="E663" s="2"/>
      <c r="F663" s="397">
        <f>SUMIFS(uitkomst_doelgroep[Patiëntaantallen],uitkomst_doelgroep[Digitale zorgtoepassing],B663,uitkomst_doelgroep[Jaar],D663,uitkomst_doelgroep[Arbeidsbesparing (€)],"&gt;0",uitkomst_doelgroep[Uitgangssituatie/effect beleid],uitkomst_tech[[#This Row],[Uitgangssituatie/effect beleid]])</f>
        <v>47904.4</v>
      </c>
      <c r="G663" s="398">
        <f>SUMIFS(uitkomst_doelgroep[Arbeidsbesparing (€)],uitkomst_doelgroep[Digitale zorgtoepassing],B663,uitkomst_doelgroep[Jaar],D663,uitkomst_doelgroep[Arbeidsbesparing (€)],"&gt;0",uitkomst_doelgroep[Uitgangssituatie/effect beleid],uitkomst_tech[[#This Row],[Uitgangssituatie/effect beleid]])</f>
        <v>25445121.873781379</v>
      </c>
      <c r="H663" s="398">
        <f>SUMIFS(uitkomst_doelgroep[Arbeidsbesparing (FTE)],uitkomst_doelgroep[Digitale zorgtoepassing],B663,uitkomst_doelgroep[Jaar],D663,uitkomst_doelgroep[Arbeidsbesparing (FTE)],"&gt;0",uitkomst_doelgroep[Uitgangssituatie/effect beleid],uitkomst_tech[[#This Row],[Uitgangssituatie/effect beleid]])</f>
        <v>599.35584355549793</v>
      </c>
      <c r="I663" s="398">
        <f>SUMIFS(uitkomst_doelgroep[Overige besparingen (€)],uitkomst_doelgroep[Digitale zorgtoepassing],B663,uitkomst_doelgroep[Jaar],D663,uitkomst_doelgroep[Overige besparingen (€)],"&gt;0",uitkomst_doelgroep[Uitgangssituatie/effect beleid],uitkomst_tech[[#This Row],[Uitgangssituatie/effect beleid]])</f>
        <v>22351860.28590811</v>
      </c>
      <c r="J663" s="398">
        <f>SUMIFS(uitkomst_doelgroep[QALY (€)],uitkomst_doelgroep[Digitale zorgtoepassing],B663,uitkomst_doelgroep[Jaar],D663,uitkomst_doelgroep[QALY (€)],"&gt;0",uitkomst_doelgroep[Uitgangssituatie/effect beleid],uitkomst_tech[[#This Row],[Uitgangssituatie/effect beleid]])</f>
        <v>0</v>
      </c>
      <c r="K663" s="398">
        <f>SUMIFS(uitkomst_doelgroep[Kosten (€)],uitkomst_doelgroep[Digitale zorgtoepassing],B663,uitkomst_doelgroep[Jaar],D663,uitkomst_doelgroep[Kosten (€)],"&gt;0",uitkomst_doelgroep[Uitgangssituatie/effect beleid],uitkomst_tech[[#This Row],[Uitgangssituatie/effect beleid]])</f>
        <v>22612031.122891568</v>
      </c>
      <c r="L663" s="398">
        <f>SUMIFS(uitkomst_doelgroep[Investering (cash flow) (€)],uitkomst_doelgroep[Digitale zorgtoepassing],B663,uitkomst_doelgroep[Jaar],D663,uitkomst_doelgroep[Investering (cash flow) (€)],"&gt;0",uitkomst_doelgroep[Uitgangssituatie/effect beleid],uitkomst_tech[[#This Row],[Uitgangssituatie/effect beleid]])</f>
        <v>353031.33311999991</v>
      </c>
    </row>
    <row r="664" spans="1:12" x14ac:dyDescent="0.5">
      <c r="A664" s="2" t="str">
        <f>INDEX(Technologieën[Veld],MATCH(B664,Technologieën[Digitale zorgtoepassing],0))</f>
        <v>Sensoren - Verpleging</v>
      </c>
      <c r="B664" s="33" t="s">
        <v>61</v>
      </c>
      <c r="C664" s="33" t="s">
        <v>813</v>
      </c>
      <c r="D664" s="33">
        <v>2025</v>
      </c>
      <c r="E664" s="2"/>
      <c r="F664" s="397">
        <f>SUMIFS(uitkomst_doelgroep[Patiëntaantallen],uitkomst_doelgroep[Digitale zorgtoepassing],B664,uitkomst_doelgroep[Jaar],D664,uitkomst_doelgroep[Arbeidsbesparing (€)],"&gt;0",uitkomst_doelgroep[Uitgangssituatie/effect beleid],uitkomst_tech[[#This Row],[Uitgangssituatie/effect beleid]])</f>
        <v>58579.897919999996</v>
      </c>
      <c r="G664" s="398">
        <f>SUMIFS(uitkomst_doelgroep[Arbeidsbesparing (€)],uitkomst_doelgroep[Digitale zorgtoepassing],B664,uitkomst_doelgroep[Jaar],D664,uitkomst_doelgroep[Arbeidsbesparing (€)],"&gt;0",uitkomst_doelgroep[Uitgangssituatie/effect beleid],uitkomst_tech[[#This Row],[Uitgangssituatie/effect beleid]])</f>
        <v>31115568.547525328</v>
      </c>
      <c r="H664" s="398">
        <f>SUMIFS(uitkomst_doelgroep[Arbeidsbesparing (FTE)],uitkomst_doelgroep[Digitale zorgtoepassing],B664,uitkomst_doelgroep[Jaar],D664,uitkomst_doelgroep[Arbeidsbesparing (FTE)],"&gt;0",uitkomst_doelgroep[Uitgangssituatie/effect beleid],uitkomst_tech[[#This Row],[Uitgangssituatie/effect beleid]])</f>
        <v>732.92232306920778</v>
      </c>
      <c r="I664" s="398">
        <f>SUMIFS(uitkomst_doelgroep[Overige besparingen (€)],uitkomst_doelgroep[Digitale zorgtoepassing],B664,uitkomst_doelgroep[Jaar],D664,uitkomst_doelgroep[Overige besparingen (€)],"&gt;0",uitkomst_doelgroep[Uitgangssituatie/effect beleid],uitkomst_tech[[#This Row],[Uitgangssituatie/effect beleid]])</f>
        <v>27332973.461114202</v>
      </c>
      <c r="J664" s="398">
        <f>SUMIFS(uitkomst_doelgroep[QALY (€)],uitkomst_doelgroep[Digitale zorgtoepassing],B664,uitkomst_doelgroep[Jaar],D664,uitkomst_doelgroep[QALY (€)],"&gt;0",uitkomst_doelgroep[Uitgangssituatie/effect beleid],uitkomst_tech[[#This Row],[Uitgangssituatie/effect beleid]])</f>
        <v>0</v>
      </c>
      <c r="K664" s="398">
        <f>SUMIFS(uitkomst_doelgroep[Kosten (€)],uitkomst_doelgroep[Digitale zorgtoepassing],B664,uitkomst_doelgroep[Jaar],D664,uitkomst_doelgroep[Kosten (€)],"&gt;0",uitkomst_doelgroep[Uitgangssituatie/effect beleid],uitkomst_tech[[#This Row],[Uitgangssituatie/effect beleid]])</f>
        <v>27651123.382045303</v>
      </c>
      <c r="L664" s="398">
        <f>SUMIFS(uitkomst_doelgroep[Investering (cash flow) (€)],uitkomst_doelgroep[Digitale zorgtoepassing],B664,uitkomst_doelgroep[Jaar],D664,uitkomst_doelgroep[Investering (cash flow) (€)],"&gt;0",uitkomst_doelgroep[Uitgangssituatie/effect beleid],uitkomst_tech[[#This Row],[Uitgangssituatie/effect beleid]])</f>
        <v>328204.13631452277</v>
      </c>
    </row>
    <row r="665" spans="1:12" x14ac:dyDescent="0.5">
      <c r="A665" s="2" t="str">
        <f>INDEX(Technologieën[Veld],MATCH(B665,Technologieën[Digitale zorgtoepassing],0))</f>
        <v>Sensoren - Verpleging</v>
      </c>
      <c r="B665" s="33" t="s">
        <v>61</v>
      </c>
      <c r="C665" s="33" t="s">
        <v>813</v>
      </c>
      <c r="D665" s="33">
        <v>2026</v>
      </c>
      <c r="E665" s="2"/>
      <c r="F665" s="397">
        <f>SUMIFS(uitkomst_doelgroep[Patiëntaantallen],uitkomst_doelgroep[Digitale zorgtoepassing],B665,uitkomst_doelgroep[Jaar],D665,uitkomst_doelgroep[Arbeidsbesparing (€)],"&gt;0",uitkomst_doelgroep[Uitgangssituatie/effect beleid],uitkomst_tech[[#This Row],[Uitgangssituatie/effect beleid]])</f>
        <v>68646.177578597577</v>
      </c>
      <c r="G665" s="398">
        <f>SUMIFS(uitkomst_doelgroep[Arbeidsbesparing (€)],uitkomst_doelgroep[Digitale zorgtoepassing],B665,uitkomst_doelgroep[Jaar],D665,uitkomst_doelgroep[Arbeidsbesparing (€)],"&gt;0",uitkomst_doelgroep[Uitgangssituatie/effect beleid],uitkomst_tech[[#This Row],[Uitgangssituatie/effect beleid]])</f>
        <v>36462420.041930474</v>
      </c>
      <c r="H665" s="398">
        <f>SUMIFS(uitkomst_doelgroep[Arbeidsbesparing (FTE)],uitkomst_doelgroep[Digitale zorgtoepassing],B665,uitkomst_doelgroep[Jaar],D665,uitkomst_doelgroep[Arbeidsbesparing (FTE)],"&gt;0",uitkomst_doelgroep[Uitgangssituatie/effect beleid],uitkomst_tech[[#This Row],[Uitgangssituatie/effect beleid]])</f>
        <v>858.86656903083758</v>
      </c>
      <c r="I665" s="398">
        <f>SUMIFS(uitkomst_doelgroep[Overige besparingen (€)],uitkomst_doelgroep[Digitale zorgtoepassing],B665,uitkomst_doelgroep[Jaar],D665,uitkomst_doelgroep[Overige besparingen (€)],"&gt;0",uitkomst_doelgroep[Uitgangssituatie/effect beleid],uitkomst_tech[[#This Row],[Uitgangssituatie/effect beleid]])</f>
        <v>32029829.627308786</v>
      </c>
      <c r="J665" s="398">
        <f>SUMIFS(uitkomst_doelgroep[QALY (€)],uitkomst_doelgroep[Digitale zorgtoepassing],B665,uitkomst_doelgroep[Jaar],D665,uitkomst_doelgroep[QALY (€)],"&gt;0",uitkomst_doelgroep[Uitgangssituatie/effect beleid],uitkomst_tech[[#This Row],[Uitgangssituatie/effect beleid]])</f>
        <v>0</v>
      </c>
      <c r="K665" s="398">
        <f>SUMIFS(uitkomst_doelgroep[Kosten (€)],uitkomst_doelgroep[Digitale zorgtoepassing],B665,uitkomst_doelgroep[Jaar],D665,uitkomst_doelgroep[Kosten (€)],"&gt;0",uitkomst_doelgroep[Uitgangssituatie/effect beleid],uitkomst_tech[[#This Row],[Uitgangssituatie/effect beleid]])</f>
        <v>32402649.941858988</v>
      </c>
      <c r="L665" s="398">
        <f>SUMIFS(uitkomst_doelgroep[Investering (cash flow) (€)],uitkomst_doelgroep[Digitale zorgtoepassing],B665,uitkomst_doelgroep[Jaar],D665,uitkomst_doelgroep[Investering (cash flow) (€)],"&gt;0",uitkomst_doelgroep[Uitgangssituatie/effect beleid],uitkomst_tech[[#This Row],[Uitgangssituatie/effect beleid]])</f>
        <v>277303.55823300371</v>
      </c>
    </row>
    <row r="666" spans="1:12" x14ac:dyDescent="0.5">
      <c r="A666" s="2" t="str">
        <f>INDEX(Technologieën[Veld],MATCH(B666,Technologieën[Digitale zorgtoepassing],0))</f>
        <v>Sensoren - Verpleging</v>
      </c>
      <c r="B666" s="33" t="s">
        <v>61</v>
      </c>
      <c r="C666" s="33" t="s">
        <v>813</v>
      </c>
      <c r="D666" s="33">
        <v>2027</v>
      </c>
      <c r="E666" s="2"/>
      <c r="F666" s="397">
        <f>SUMIFS(uitkomst_doelgroep[Patiëntaantallen],uitkomst_doelgroep[Digitale zorgtoepassing],B666,uitkomst_doelgroep[Jaar],D666,uitkomst_doelgroep[Arbeidsbesparing (€)],"&gt;0",uitkomst_doelgroep[Uitgangssituatie/effect beleid],uitkomst_tech[[#This Row],[Uitgangssituatie/effect beleid]])</f>
        <v>77374.37793699227</v>
      </c>
      <c r="G666" s="398">
        <f>SUMIFS(uitkomst_doelgroep[Arbeidsbesparing (€)],uitkomst_doelgroep[Digitale zorgtoepassing],B666,uitkomst_doelgroep[Jaar],D666,uitkomst_doelgroep[Arbeidsbesparing (€)],"&gt;0",uitkomst_doelgroep[Uitgangssituatie/effect beleid],uitkomst_tech[[#This Row],[Uitgangssituatie/effect beleid]])</f>
        <v>41098531.168635644</v>
      </c>
      <c r="H666" s="398">
        <f>SUMIFS(uitkomst_doelgroep[Arbeidsbesparing (FTE)],uitkomst_doelgroep[Digitale zorgtoepassing],B666,uitkomst_doelgroep[Jaar],D666,uitkomst_doelgroep[Arbeidsbesparing (FTE)],"&gt;0",uitkomst_doelgroep[Uitgangssituatie/effect beleid],uitkomst_tech[[#This Row],[Uitgangssituatie/effect beleid]])</f>
        <v>968.0694374213623</v>
      </c>
      <c r="I666" s="398">
        <f>SUMIFS(uitkomst_doelgroep[Overige besparingen (€)],uitkomst_doelgroep[Digitale zorgtoepassing],B666,uitkomst_doelgroep[Jaar],D666,uitkomst_doelgroep[Overige besparingen (€)],"&gt;0",uitkomst_doelgroep[Uitgangssituatie/effect beleid],uitkomst_tech[[#This Row],[Uitgangssituatie/effect beleid]])</f>
        <v>36102347.286610469</v>
      </c>
      <c r="J666" s="398">
        <f>SUMIFS(uitkomst_doelgroep[QALY (€)],uitkomst_doelgroep[Digitale zorgtoepassing],B666,uitkomst_doelgroep[Jaar],D666,uitkomst_doelgroep[QALY (€)],"&gt;0",uitkomst_doelgroep[Uitgangssituatie/effect beleid],uitkomst_tech[[#This Row],[Uitgangssituatie/effect beleid]])</f>
        <v>0</v>
      </c>
      <c r="K666" s="398">
        <f>SUMIFS(uitkomst_doelgroep[Kosten (€)],uitkomst_doelgroep[Digitale zorgtoepassing],B666,uitkomst_doelgroep[Jaar],D666,uitkomst_doelgroep[Kosten (€)],"&gt;0",uitkomst_doelgroep[Uitgangssituatie/effect beleid],uitkomst_tech[[#This Row],[Uitgangssituatie/effect beleid]])</f>
        <v>36522570.829102211</v>
      </c>
      <c r="L666" s="398">
        <f>SUMIFS(uitkomst_doelgroep[Investering (cash flow) (€)],uitkomst_doelgroep[Digitale zorgtoepassing],B666,uitkomst_doelgroep[Jaar],D666,uitkomst_doelgroep[Investering (cash flow) (€)],"&gt;0",uitkomst_doelgroep[Uitgangssituatie/effect beleid],uitkomst_tech[[#This Row],[Uitgangssituatie/effect beleid]])</f>
        <v>213405.00350354926</v>
      </c>
    </row>
    <row r="667" spans="1:12" x14ac:dyDescent="0.5">
      <c r="A667" s="2" t="str">
        <f>INDEX(Technologieën[Veld],MATCH(B667,Technologieën[Digitale zorgtoepassing],0))</f>
        <v>Sensoren - Verpleging</v>
      </c>
      <c r="B667" s="33" t="s">
        <v>61</v>
      </c>
      <c r="C667" s="33" t="s">
        <v>813</v>
      </c>
      <c r="D667" s="33">
        <v>2028</v>
      </c>
      <c r="E667" s="2"/>
      <c r="F667" s="397">
        <f>SUMIFS(uitkomst_doelgroep[Patiëntaantallen],uitkomst_doelgroep[Digitale zorgtoepassing],B667,uitkomst_doelgroep[Jaar],D667,uitkomst_doelgroep[Arbeidsbesparing (€)],"&gt;0",uitkomst_doelgroep[Uitgangssituatie/effect beleid],uitkomst_tech[[#This Row],[Uitgangssituatie/effect beleid]])</f>
        <v>84422.60209104883</v>
      </c>
      <c r="G667" s="398">
        <f>SUMIFS(uitkomst_doelgroep[Arbeidsbesparing (€)],uitkomst_doelgroep[Digitale zorgtoepassing],B667,uitkomst_doelgroep[Jaar],D667,uitkomst_doelgroep[Arbeidsbesparing (€)],"&gt;0",uitkomst_doelgroep[Uitgangssituatie/effect beleid],uitkomst_tech[[#This Row],[Uitgangssituatie/effect beleid]])</f>
        <v>44842298.392391682</v>
      </c>
      <c r="H667" s="398">
        <f>SUMIFS(uitkomst_doelgroep[Arbeidsbesparing (FTE)],uitkomst_doelgroep[Digitale zorgtoepassing],B667,uitkomst_doelgroep[Jaar],D667,uitkomst_doelgroep[Arbeidsbesparing (FTE)],"&gt;0",uitkomst_doelgroep[Uitgangssituatie/effect beleid],uitkomst_tech[[#This Row],[Uitgangssituatie/effect beleid]])</f>
        <v>1056.2532855318241</v>
      </c>
      <c r="I667" s="398">
        <f>SUMIFS(uitkomst_doelgroep[Overige besparingen (€)],uitkomst_doelgroep[Digitale zorgtoepassing],B667,uitkomst_doelgroep[Jaar],D667,uitkomst_doelgroep[Overige besparingen (€)],"&gt;0",uitkomst_doelgroep[Uitgangssituatie/effect beleid],uitkomst_tech[[#This Row],[Uitgangssituatie/effect beleid]])</f>
        <v>39390999.718437918</v>
      </c>
      <c r="J667" s="398">
        <f>SUMIFS(uitkomst_doelgroep[QALY (€)],uitkomst_doelgroep[Digitale zorgtoepassing],B667,uitkomst_doelgroep[Jaar],D667,uitkomst_doelgroep[QALY (€)],"&gt;0",uitkomst_doelgroep[Uitgangssituatie/effect beleid],uitkomst_tech[[#This Row],[Uitgangssituatie/effect beleid]])</f>
        <v>0</v>
      </c>
      <c r="K667" s="398">
        <f>SUMIFS(uitkomst_doelgroep[Kosten (€)],uitkomst_doelgroep[Digitale zorgtoepassing],B667,uitkomst_doelgroep[Jaar],D667,uitkomst_doelgroep[Kosten (€)],"&gt;0",uitkomst_doelgroep[Uitgangssituatie/effect beleid],uitkomst_tech[[#This Row],[Uitgangssituatie/effect beleid]])</f>
        <v>39849502.466543518</v>
      </c>
      <c r="L667" s="398">
        <f>SUMIFS(uitkomst_doelgroep[Investering (cash flow) (€)],uitkomst_doelgroep[Digitale zorgtoepassing],B667,uitkomst_doelgroep[Jaar],D667,uitkomst_doelgroep[Investering (cash flow) (€)],"&gt;0",uitkomst_doelgroep[Uitgangssituatie/effect beleid],uitkomst_tech[[#This Row],[Uitgangssituatie/effect beleid]])</f>
        <v>151200.78110923839</v>
      </c>
    </row>
    <row r="668" spans="1:12" x14ac:dyDescent="0.5">
      <c r="A668" s="2" t="str">
        <f>INDEX(Technologieën[Veld],MATCH(B668,Technologieën[Digitale zorgtoepassing],0))</f>
        <v>Sensoren - Verpleging</v>
      </c>
      <c r="B668" s="33" t="s">
        <v>61</v>
      </c>
      <c r="C668" s="33" t="s">
        <v>813</v>
      </c>
      <c r="D668" s="33">
        <v>2029</v>
      </c>
      <c r="E668" s="2"/>
      <c r="F668" s="397">
        <f>SUMIFS(uitkomst_doelgroep[Patiëntaantallen],uitkomst_doelgroep[Digitale zorgtoepassing],B668,uitkomst_doelgroep[Jaar],D668,uitkomst_doelgroep[Arbeidsbesparing (€)],"&gt;0",uitkomst_doelgroep[Uitgangssituatie/effect beleid],uitkomst_tech[[#This Row],[Uitgangssituatie/effect beleid]])</f>
        <v>89876.898309666998</v>
      </c>
      <c r="G668" s="398">
        <f>SUMIFS(uitkomst_doelgroep[Arbeidsbesparing (€)],uitkomst_doelgroep[Digitale zorgtoepassing],B668,uitkomst_doelgroep[Jaar],D668,uitkomst_doelgroep[Arbeidsbesparing (€)],"&gt;0",uitkomst_doelgroep[Uitgangssituatie/effect beleid],uitkomst_tech[[#This Row],[Uitgangssituatie/effect beleid]])</f>
        <v>47739427.508265056</v>
      </c>
      <c r="H668" s="398">
        <f>SUMIFS(uitkomst_doelgroep[Arbeidsbesparing (FTE)],uitkomst_doelgroep[Digitale zorgtoepassing],B668,uitkomst_doelgroep[Jaar],D668,uitkomst_doelgroep[Arbeidsbesparing (FTE)],"&gt;0",uitkomst_doelgroep[Uitgangssituatie/effect beleid],uitkomst_tech[[#This Row],[Uitgangssituatie/effect beleid]])</f>
        <v>1124.4947061760959</v>
      </c>
      <c r="I668" s="398">
        <f>SUMIFS(uitkomst_doelgroep[Overige besparingen (€)],uitkomst_doelgroep[Digitale zorgtoepassing],B668,uitkomst_doelgroep[Jaar],D668,uitkomst_doelgroep[Overige besparingen (€)],"&gt;0",uitkomst_doelgroep[Uitgangssituatie/effect beleid],uitkomst_tech[[#This Row],[Uitgangssituatie/effect beleid]])</f>
        <v>41935936.447350301</v>
      </c>
      <c r="J668" s="398">
        <f>SUMIFS(uitkomst_doelgroep[QALY (€)],uitkomst_doelgroep[Digitale zorgtoepassing],B668,uitkomst_doelgroep[Jaar],D668,uitkomst_doelgroep[QALY (€)],"&gt;0",uitkomst_doelgroep[Uitgangssituatie/effect beleid],uitkomst_tech[[#This Row],[Uitgangssituatie/effect beleid]])</f>
        <v>0</v>
      </c>
      <c r="K668" s="398">
        <f>SUMIFS(uitkomst_doelgroep[Kosten (€)],uitkomst_doelgroep[Digitale zorgtoepassing],B668,uitkomst_doelgroep[Jaar],D668,uitkomst_doelgroep[Kosten (€)],"&gt;0",uitkomst_doelgroep[Uitgangssituatie/effect beleid],uitkomst_tech[[#This Row],[Uitgangssituatie/effect beleid]])</f>
        <v>42424061.710555837</v>
      </c>
      <c r="L668" s="398">
        <f>SUMIFS(uitkomst_doelgroep[Investering (cash flow) (€)],uitkomst_doelgroep[Digitale zorgtoepassing],B668,uitkomst_doelgroep[Jaar],D668,uitkomst_doelgroep[Investering (cash flow) (€)],"&gt;0",uitkomst_doelgroep[Uitgangssituatie/effect beleid],uitkomst_tech[[#This Row],[Uitgangssituatie/effect beleid]])</f>
        <v>100268.75672699971</v>
      </c>
    </row>
    <row r="669" spans="1:12" x14ac:dyDescent="0.5">
      <c r="A669" s="2" t="str">
        <f>INDEX(Technologieën[Veld],MATCH(B669,Technologieën[Digitale zorgtoepassing],0))</f>
        <v>Sensoren - Verpleging</v>
      </c>
      <c r="B669" s="33" t="s">
        <v>61</v>
      </c>
      <c r="C669" s="33" t="s">
        <v>813</v>
      </c>
      <c r="D669" s="33">
        <v>2030</v>
      </c>
      <c r="E669" s="2"/>
      <c r="F669" s="397">
        <f>SUMIFS(uitkomst_doelgroep[Patiëntaantallen],uitkomst_doelgroep[Digitale zorgtoepassing],B669,uitkomst_doelgroep[Jaar],D669,uitkomst_doelgroep[Arbeidsbesparing (€)],"&gt;0",uitkomst_doelgroep[Uitgangssituatie/effect beleid],uitkomst_tech[[#This Row],[Uitgangssituatie/effect beleid]])</f>
        <v>94089.378917111782</v>
      </c>
      <c r="G669" s="398">
        <f>SUMIFS(uitkomst_doelgroep[Arbeidsbesparing (€)],uitkomst_doelgroep[Digitale zorgtoepassing],B669,uitkomst_doelgroep[Jaar],D669,uitkomst_doelgroep[Arbeidsbesparing (€)],"&gt;0",uitkomst_doelgroep[Uitgangssituatie/effect beleid],uitkomst_tech[[#This Row],[Uitgangssituatie/effect beleid]])</f>
        <v>49976948.121139303</v>
      </c>
      <c r="H669" s="398">
        <f>SUMIFS(uitkomst_doelgroep[Arbeidsbesparing (FTE)],uitkomst_doelgroep[Digitale zorgtoepassing],B669,uitkomst_doelgroep[Jaar],D669,uitkomst_doelgroep[Arbeidsbesparing (FTE)],"&gt;0",uitkomst_doelgroep[Uitgangssituatie/effect beleid],uitkomst_tech[[#This Row],[Uitgangssituatie/effect beleid]])</f>
        <v>1177.1991522799244</v>
      </c>
      <c r="I669" s="398">
        <f>SUMIFS(uitkomst_doelgroep[Overige besparingen (€)],uitkomst_doelgroep[Digitale zorgtoepassing],B669,uitkomst_doelgroep[Jaar],D669,uitkomst_doelgroep[Overige besparingen (€)],"&gt;0",uitkomst_doelgroep[Uitgangssituatie/effect beleid],uitkomst_tech[[#This Row],[Uitgangssituatie/effect beleid]])</f>
        <v>43901450.638002992</v>
      </c>
      <c r="J669" s="398">
        <f>SUMIFS(uitkomst_doelgroep[QALY (€)],uitkomst_doelgroep[Digitale zorgtoepassing],B669,uitkomst_doelgroep[Jaar],D669,uitkomst_doelgroep[QALY (€)],"&gt;0",uitkomst_doelgroep[Uitgangssituatie/effect beleid],uitkomst_tech[[#This Row],[Uitgangssituatie/effect beleid]])</f>
        <v>0</v>
      </c>
      <c r="K669" s="398">
        <f>SUMIFS(uitkomst_doelgroep[Kosten (€)],uitkomst_doelgroep[Digitale zorgtoepassing],B669,uitkomst_doelgroep[Jaar],D669,uitkomst_doelgroep[Kosten (€)],"&gt;0",uitkomst_doelgroep[Uitgangssituatie/effect beleid],uitkomst_tech[[#This Row],[Uitgangssituatie/effect beleid]])</f>
        <v>44412454.062826574</v>
      </c>
      <c r="L669" s="398">
        <f>SUMIFS(uitkomst_doelgroep[Investering (cash flow) (€)],uitkomst_doelgroep[Digitale zorgtoepassing],B669,uitkomst_doelgroep[Jaar],D669,uitkomst_doelgroep[Investering (cash flow) (€)],"&gt;0",uitkomst_doelgroep[Uitgangssituatie/effect beleid],uitkomst_tech[[#This Row],[Uitgangssituatie/effect beleid]])</f>
        <v>63355.891464818655</v>
      </c>
    </row>
    <row r="670" spans="1:12" x14ac:dyDescent="0.5">
      <c r="A670" s="2" t="str">
        <f>INDEX(Technologieën[Veld],MATCH(B670,Technologieën[Digitale zorgtoepassing],0))</f>
        <v>Sensoren - Verpleging</v>
      </c>
      <c r="B670" s="33" t="s">
        <v>61</v>
      </c>
      <c r="C670" s="33" t="s">
        <v>813</v>
      </c>
      <c r="D670" s="33">
        <v>2031</v>
      </c>
      <c r="E670" s="2"/>
      <c r="F670" s="397">
        <f>SUMIFS(uitkomst_doelgroep[Patiëntaantallen],uitkomst_doelgroep[Digitale zorgtoepassing],B670,uitkomst_doelgroep[Jaar],D670,uitkomst_doelgroep[Arbeidsbesparing (€)],"&gt;0",uitkomst_doelgroep[Uitgangssituatie/effect beleid],uitkomst_tech[[#This Row],[Uitgangssituatie/effect beleid]])</f>
        <v>97460.876194706492</v>
      </c>
      <c r="G670" s="398">
        <f>SUMIFS(uitkomst_doelgroep[Arbeidsbesparing (€)],uitkomst_doelgroep[Digitale zorgtoepassing],B670,uitkomst_doelgroep[Jaar],D670,uitkomst_doelgroep[Arbeidsbesparing (€)],"&gt;0",uitkomst_doelgroep[Uitgangssituatie/effect beleid],uitkomst_tech[[#This Row],[Uitgangssituatie/effect beleid]])</f>
        <v>51767768.152817376</v>
      </c>
      <c r="H670" s="398">
        <f>SUMIFS(uitkomst_doelgroep[Arbeidsbesparing (FTE)],uitkomst_doelgroep[Digitale zorgtoepassing],B670,uitkomst_doelgroep[Jaar],D670,uitkomst_doelgroep[Arbeidsbesparing (FTE)],"&gt;0",uitkomst_doelgroep[Uitgangssituatie/effect beleid],uitkomst_tech[[#This Row],[Uitgangssituatie/effect beleid]])</f>
        <v>1219.3816364537756</v>
      </c>
      <c r="I670" s="398">
        <f>SUMIFS(uitkomst_doelgroep[Overige besparingen (€)],uitkomst_doelgroep[Digitale zorgtoepassing],B670,uitkomst_doelgroep[Jaar],D670,uitkomst_doelgroep[Overige besparingen (€)],"&gt;0",uitkomst_doelgroep[Uitgangssituatie/effect beleid],uitkomst_tech[[#This Row],[Uitgangssituatie/effect beleid]])</f>
        <v>45474567.848595679</v>
      </c>
      <c r="J670" s="398">
        <f>SUMIFS(uitkomst_doelgroep[QALY (€)],uitkomst_doelgroep[Digitale zorgtoepassing],B670,uitkomst_doelgroep[Jaar],D670,uitkomst_doelgroep[QALY (€)],"&gt;0",uitkomst_doelgroep[Uitgangssituatie/effect beleid],uitkomst_tech[[#This Row],[Uitgangssituatie/effect beleid]])</f>
        <v>0</v>
      </c>
      <c r="K670" s="398">
        <f>SUMIFS(uitkomst_doelgroep[Kosten (€)],uitkomst_doelgroep[Digitale zorgtoepassing],B670,uitkomst_doelgroep[Jaar],D670,uitkomst_doelgroep[Kosten (€)],"&gt;0",uitkomst_doelgroep[Uitgangssituatie/effect beleid],uitkomst_tech[[#This Row],[Uitgangssituatie/effect beleid]])</f>
        <v>46003882.018749528</v>
      </c>
      <c r="L670" s="398">
        <f>SUMIFS(uitkomst_doelgroep[Investering (cash flow) (€)],uitkomst_doelgroep[Digitale zorgtoepassing],B670,uitkomst_doelgroep[Jaar],D670,uitkomst_doelgroep[Investering (cash flow) (€)],"&gt;0",uitkomst_doelgroep[Uitgangssituatie/effect beleid],uitkomst_tech[[#This Row],[Uitgangssituatie/effect beleid]])</f>
        <v>38742.243278852911</v>
      </c>
    </row>
    <row r="671" spans="1:12" x14ac:dyDescent="0.5">
      <c r="A671" s="2" t="str">
        <f>INDEX(Technologieën[Veld],MATCH(B671,Technologieën[Digitale zorgtoepassing],0))</f>
        <v>Sensoren - Verpleging</v>
      </c>
      <c r="B671" s="33" t="s">
        <v>61</v>
      </c>
      <c r="C671" s="33" t="s">
        <v>813</v>
      </c>
      <c r="D671" s="33">
        <v>2032</v>
      </c>
      <c r="E671" s="2"/>
      <c r="F671" s="397">
        <f>SUMIFS(uitkomst_doelgroep[Patiëntaantallen],uitkomst_doelgroep[Digitale zorgtoepassing],B671,uitkomst_doelgroep[Jaar],D671,uitkomst_doelgroep[Arbeidsbesparing (€)],"&gt;0",uitkomst_doelgroep[Uitgangssituatie/effect beleid],uitkomst_tech[[#This Row],[Uitgangssituatie/effect beleid]])</f>
        <v>100292.82526550116</v>
      </c>
      <c r="G671" s="398">
        <f>SUMIFS(uitkomst_doelgroep[Arbeidsbesparing (€)],uitkomst_doelgroep[Digitale zorgtoepassing],B671,uitkomst_doelgroep[Jaar],D671,uitkomst_doelgroep[Arbeidsbesparing (€)],"&gt;0",uitkomst_doelgroep[Uitgangssituatie/effect beleid],uitkomst_tech[[#This Row],[Uitgangssituatie/effect beleid]])</f>
        <v>53271999.272437125</v>
      </c>
      <c r="H671" s="398">
        <f>SUMIFS(uitkomst_doelgroep[Arbeidsbesparing (FTE)],uitkomst_doelgroep[Digitale zorgtoepassing],B671,uitkomst_doelgroep[Jaar],D671,uitkomst_doelgroep[Arbeidsbesparing (FTE)],"&gt;0",uitkomst_doelgroep[Uitgangssituatie/effect beleid],uitkomst_tech[[#This Row],[Uitgangssituatie/effect beleid]])</f>
        <v>1254.8135638807416</v>
      </c>
      <c r="I671" s="398">
        <f>SUMIFS(uitkomst_doelgroep[Overige besparingen (€)],uitkomst_doelgroep[Digitale zorgtoepassing],B671,uitkomst_doelgroep[Jaar],D671,uitkomst_doelgroep[Overige besparingen (€)],"&gt;0",uitkomst_doelgroep[Uitgangssituatie/effect beleid],uitkomst_tech[[#This Row],[Uitgangssituatie/effect beleid]])</f>
        <v>46795935.613711409</v>
      </c>
      <c r="J671" s="398">
        <f>SUMIFS(uitkomst_doelgroep[QALY (€)],uitkomst_doelgroep[Digitale zorgtoepassing],B671,uitkomst_doelgroep[Jaar],D671,uitkomst_doelgroep[QALY (€)],"&gt;0",uitkomst_doelgroep[Uitgangssituatie/effect beleid],uitkomst_tech[[#This Row],[Uitgangssituatie/effect beleid]])</f>
        <v>0</v>
      </c>
      <c r="K671" s="398">
        <f>SUMIFS(uitkomst_doelgroep[Kosten (€)],uitkomst_doelgroep[Digitale zorgtoepassing],B671,uitkomst_doelgroep[Jaar],D671,uitkomst_doelgroep[Kosten (€)],"&gt;0",uitkomst_doelgroep[Uitgangssituatie/effect beleid],uitkomst_tech[[#This Row],[Uitgangssituatie/effect beleid]])</f>
        <v>47340630.219901264</v>
      </c>
      <c r="L671" s="398">
        <f>SUMIFS(uitkomst_doelgroep[Investering (cash flow) (€)],uitkomst_doelgroep[Digitale zorgtoepassing],B671,uitkomst_doelgroep[Jaar],D671,uitkomst_doelgroep[Investering (cash flow) (€)],"&gt;0",uitkomst_doelgroep[Uitgangssituatie/effect beleid],uitkomst_tech[[#This Row],[Uitgangssituatie/effect beleid]])</f>
        <v>23198.789889234034</v>
      </c>
    </row>
    <row r="672" spans="1:12" x14ac:dyDescent="0.5">
      <c r="A672" s="2" t="str">
        <f>INDEX(Technologieën[Veld],MATCH(B672,Technologieën[Digitale zorgtoepassing],0))</f>
        <v>Sensoren - Verpleging</v>
      </c>
      <c r="B672" s="33" t="s">
        <v>61</v>
      </c>
      <c r="C672" s="33" t="s">
        <v>813</v>
      </c>
      <c r="D672" s="33">
        <v>2033</v>
      </c>
      <c r="E672" s="2"/>
      <c r="F672" s="397">
        <f>SUMIFS(uitkomst_doelgroep[Patiëntaantallen],uitkomst_doelgroep[Digitale zorgtoepassing],B672,uitkomst_doelgroep[Jaar],D672,uitkomst_doelgroep[Arbeidsbesparing (€)],"&gt;0",uitkomst_doelgroep[Uitgangssituatie/effect beleid],uitkomst_tech[[#This Row],[Uitgangssituatie/effect beleid]])</f>
        <v>102737.27640077301</v>
      </c>
      <c r="G672" s="398">
        <f>SUMIFS(uitkomst_doelgroep[Arbeidsbesparing (€)],uitkomst_doelgroep[Digitale zorgtoepassing],B672,uitkomst_doelgroep[Jaar],D672,uitkomst_doelgroep[Arbeidsbesparing (€)],"&gt;0",uitkomst_doelgroep[Uitgangssituatie/effect beleid],uitkomst_tech[[#This Row],[Uitgangssituatie/effect beleid]])</f>
        <v>54570405.202821307</v>
      </c>
      <c r="H672" s="398">
        <f>SUMIFS(uitkomst_doelgroep[Arbeidsbesparing (FTE)],uitkomst_doelgroep[Digitale zorgtoepassing],B672,uitkomst_doelgroep[Jaar],D672,uitkomst_doelgroep[Arbeidsbesparing (FTE)],"&gt;0",uitkomst_doelgroep[Uitgangssituatie/effect beleid],uitkomst_tech[[#This Row],[Uitgangssituatie/effect beleid]])</f>
        <v>1285.397311348846</v>
      </c>
      <c r="I672" s="398">
        <f>SUMIFS(uitkomst_doelgroep[Overige besparingen (€)],uitkomst_doelgroep[Digitale zorgtoepassing],B672,uitkomst_doelgroep[Jaar],D672,uitkomst_doelgroep[Overige besparingen (€)],"&gt;0",uitkomst_doelgroep[Uitgangssituatie/effect beleid],uitkomst_tech[[#This Row],[Uitgangssituatie/effect beleid]])</f>
        <v>47936499.533754788</v>
      </c>
      <c r="J672" s="398">
        <f>SUMIFS(uitkomst_doelgroep[QALY (€)],uitkomst_doelgroep[Digitale zorgtoepassing],B672,uitkomst_doelgroep[Jaar],D672,uitkomst_doelgroep[QALY (€)],"&gt;0",uitkomst_doelgroep[Uitgangssituatie/effect beleid],uitkomst_tech[[#This Row],[Uitgangssituatie/effect beleid]])</f>
        <v>0</v>
      </c>
      <c r="K672" s="398">
        <f>SUMIFS(uitkomst_doelgroep[Kosten (€)],uitkomst_doelgroep[Digitale zorgtoepassing],B672,uitkomst_doelgroep[Jaar],D672,uitkomst_doelgroep[Kosten (€)],"&gt;0",uitkomst_doelgroep[Uitgangssituatie/effect beleid],uitkomst_tech[[#This Row],[Uitgangssituatie/effect beleid]])</f>
        <v>48494470.058186576</v>
      </c>
      <c r="L672" s="398">
        <f>SUMIFS(uitkomst_doelgroep[Investering (cash flow) (€)],uitkomst_doelgroep[Digitale zorgtoepassing],B672,uitkomst_doelgroep[Jaar],D672,uitkomst_doelgroep[Investering (cash flow) (€)],"&gt;0",uitkomst_doelgroep[Uitgangssituatie/effect beleid],uitkomst_tech[[#This Row],[Uitgangssituatie/effect beleid]])</f>
        <v>13712.603522098296</v>
      </c>
    </row>
    <row r="673" spans="1:12" x14ac:dyDescent="0.5">
      <c r="A673" s="2" t="e">
        <f>INDEX(Technologieën[Veld],MATCH(B673,Technologieën[Digitale zorgtoepassing],0))</f>
        <v>#N/A</v>
      </c>
      <c r="B673" s="33" t="s">
        <v>60</v>
      </c>
      <c r="C673" s="33" t="s">
        <v>813</v>
      </c>
      <c r="D673" s="33">
        <v>2023</v>
      </c>
      <c r="E673" s="2"/>
      <c r="F673" s="397">
        <f>SUMIFS(uitkomst_doelgroep[Patiëntaantallen],uitkomst_doelgroep[Digitale zorgtoepassing],B673,uitkomst_doelgroep[Jaar],D673,uitkomst_doelgroep[Arbeidsbesparing (€)],"&gt;0",uitkomst_doelgroep[Uitgangssituatie/effect beleid],uitkomst_tech[[#This Row],[Uitgangssituatie/effect beleid]])</f>
        <v>0</v>
      </c>
      <c r="G673" s="398">
        <f>SUMIFS(uitkomst_doelgroep[Arbeidsbesparing (€)],uitkomst_doelgroep[Digitale zorgtoepassing],B673,uitkomst_doelgroep[Jaar],D673,uitkomst_doelgroep[Arbeidsbesparing (€)],"&gt;0",uitkomst_doelgroep[Uitgangssituatie/effect beleid],uitkomst_tech[[#This Row],[Uitgangssituatie/effect beleid]])</f>
        <v>0</v>
      </c>
      <c r="H673" s="398">
        <f>SUMIFS(uitkomst_doelgroep[Arbeidsbesparing (FTE)],uitkomst_doelgroep[Digitale zorgtoepassing],B673,uitkomst_doelgroep[Jaar],D673,uitkomst_doelgroep[Arbeidsbesparing (FTE)],"&gt;0",uitkomst_doelgroep[Uitgangssituatie/effect beleid],uitkomst_tech[[#This Row],[Uitgangssituatie/effect beleid]])</f>
        <v>0</v>
      </c>
      <c r="I673" s="398">
        <f>SUMIFS(uitkomst_doelgroep[Overige besparingen (€)],uitkomst_doelgroep[Digitale zorgtoepassing],B673,uitkomst_doelgroep[Jaar],D673,uitkomst_doelgroep[Overige besparingen (€)],"&gt;0",uitkomst_doelgroep[Uitgangssituatie/effect beleid],uitkomst_tech[[#This Row],[Uitgangssituatie/effect beleid]])</f>
        <v>0</v>
      </c>
      <c r="J673" s="398">
        <f>SUMIFS(uitkomst_doelgroep[QALY (€)],uitkomst_doelgroep[Digitale zorgtoepassing],B673,uitkomst_doelgroep[Jaar],D673,uitkomst_doelgroep[QALY (€)],"&gt;0",uitkomst_doelgroep[Uitgangssituatie/effect beleid],uitkomst_tech[[#This Row],[Uitgangssituatie/effect beleid]])</f>
        <v>0</v>
      </c>
      <c r="K673" s="398">
        <f>SUMIFS(uitkomst_doelgroep[Kosten (€)],uitkomst_doelgroep[Digitale zorgtoepassing],B673,uitkomst_doelgroep[Jaar],D673,uitkomst_doelgroep[Kosten (€)],"&gt;0",uitkomst_doelgroep[Uitgangssituatie/effect beleid],uitkomst_tech[[#This Row],[Uitgangssituatie/effect beleid]])</f>
        <v>0</v>
      </c>
      <c r="L673" s="398">
        <f>SUMIFS(uitkomst_doelgroep[Investering (cash flow) (€)],uitkomst_doelgroep[Digitale zorgtoepassing],B673,uitkomst_doelgroep[Jaar],D673,uitkomst_doelgroep[Investering (cash flow) (€)],"&gt;0",uitkomst_doelgroep[Uitgangssituatie/effect beleid],uitkomst_tech[[#This Row],[Uitgangssituatie/effect beleid]])</f>
        <v>0</v>
      </c>
    </row>
    <row r="674" spans="1:12" x14ac:dyDescent="0.5">
      <c r="A674" s="2" t="e">
        <f>INDEX(Technologieën[Veld],MATCH(B674,Technologieën[Digitale zorgtoepassing],0))</f>
        <v>#N/A</v>
      </c>
      <c r="B674" s="33" t="s">
        <v>60</v>
      </c>
      <c r="C674" s="33" t="s">
        <v>813</v>
      </c>
      <c r="D674" s="33">
        <v>2024</v>
      </c>
      <c r="E674" s="2"/>
      <c r="F674" s="397">
        <f>SUMIFS(uitkomst_doelgroep[Patiëntaantallen],uitkomst_doelgroep[Digitale zorgtoepassing],B674,uitkomst_doelgroep[Jaar],D674,uitkomst_doelgroep[Arbeidsbesparing (€)],"&gt;0",uitkomst_doelgroep[Uitgangssituatie/effect beleid],uitkomst_tech[[#This Row],[Uitgangssituatie/effect beleid]])</f>
        <v>0</v>
      </c>
      <c r="G674" s="398">
        <f>SUMIFS(uitkomst_doelgroep[Arbeidsbesparing (€)],uitkomst_doelgroep[Digitale zorgtoepassing],B674,uitkomst_doelgroep[Jaar],D674,uitkomst_doelgroep[Arbeidsbesparing (€)],"&gt;0",uitkomst_doelgroep[Uitgangssituatie/effect beleid],uitkomst_tech[[#This Row],[Uitgangssituatie/effect beleid]])</f>
        <v>0</v>
      </c>
      <c r="H674" s="398">
        <f>SUMIFS(uitkomst_doelgroep[Arbeidsbesparing (FTE)],uitkomst_doelgroep[Digitale zorgtoepassing],B674,uitkomst_doelgroep[Jaar],D674,uitkomst_doelgroep[Arbeidsbesparing (FTE)],"&gt;0",uitkomst_doelgroep[Uitgangssituatie/effect beleid],uitkomst_tech[[#This Row],[Uitgangssituatie/effect beleid]])</f>
        <v>0</v>
      </c>
      <c r="I674" s="398">
        <f>SUMIFS(uitkomst_doelgroep[Overige besparingen (€)],uitkomst_doelgroep[Digitale zorgtoepassing],B674,uitkomst_doelgroep[Jaar],D674,uitkomst_doelgroep[Overige besparingen (€)],"&gt;0",uitkomst_doelgroep[Uitgangssituatie/effect beleid],uitkomst_tech[[#This Row],[Uitgangssituatie/effect beleid]])</f>
        <v>0</v>
      </c>
      <c r="J674" s="398">
        <f>SUMIFS(uitkomst_doelgroep[QALY (€)],uitkomst_doelgroep[Digitale zorgtoepassing],B674,uitkomst_doelgroep[Jaar],D674,uitkomst_doelgroep[QALY (€)],"&gt;0",uitkomst_doelgroep[Uitgangssituatie/effect beleid],uitkomst_tech[[#This Row],[Uitgangssituatie/effect beleid]])</f>
        <v>0</v>
      </c>
      <c r="K674" s="398">
        <f>SUMIFS(uitkomst_doelgroep[Kosten (€)],uitkomst_doelgroep[Digitale zorgtoepassing],B674,uitkomst_doelgroep[Jaar],D674,uitkomst_doelgroep[Kosten (€)],"&gt;0",uitkomst_doelgroep[Uitgangssituatie/effect beleid],uitkomst_tech[[#This Row],[Uitgangssituatie/effect beleid]])</f>
        <v>0</v>
      </c>
      <c r="L674" s="398">
        <f>SUMIFS(uitkomst_doelgroep[Investering (cash flow) (€)],uitkomst_doelgroep[Digitale zorgtoepassing],B674,uitkomst_doelgroep[Jaar],D674,uitkomst_doelgroep[Investering (cash flow) (€)],"&gt;0",uitkomst_doelgroep[Uitgangssituatie/effect beleid],uitkomst_tech[[#This Row],[Uitgangssituatie/effect beleid]])</f>
        <v>0</v>
      </c>
    </row>
    <row r="675" spans="1:12" x14ac:dyDescent="0.5">
      <c r="A675" s="2" t="e">
        <f>INDEX(Technologieën[Veld],MATCH(B675,Technologieën[Digitale zorgtoepassing],0))</f>
        <v>#N/A</v>
      </c>
      <c r="B675" s="33" t="s">
        <v>60</v>
      </c>
      <c r="C675" s="33" t="s">
        <v>813</v>
      </c>
      <c r="D675" s="33">
        <v>2025</v>
      </c>
      <c r="E675" s="2"/>
      <c r="F675" s="397">
        <f>SUMIFS(uitkomst_doelgroep[Patiëntaantallen],uitkomst_doelgroep[Digitale zorgtoepassing],B675,uitkomst_doelgroep[Jaar],D675,uitkomst_doelgroep[Arbeidsbesparing (€)],"&gt;0",uitkomst_doelgroep[Uitgangssituatie/effect beleid],uitkomst_tech[[#This Row],[Uitgangssituatie/effect beleid]])</f>
        <v>0</v>
      </c>
      <c r="G675" s="398">
        <f>SUMIFS(uitkomst_doelgroep[Arbeidsbesparing (€)],uitkomst_doelgroep[Digitale zorgtoepassing],B675,uitkomst_doelgroep[Jaar],D675,uitkomst_doelgroep[Arbeidsbesparing (€)],"&gt;0",uitkomst_doelgroep[Uitgangssituatie/effect beleid],uitkomst_tech[[#This Row],[Uitgangssituatie/effect beleid]])</f>
        <v>0</v>
      </c>
      <c r="H675" s="398">
        <f>SUMIFS(uitkomst_doelgroep[Arbeidsbesparing (FTE)],uitkomst_doelgroep[Digitale zorgtoepassing],B675,uitkomst_doelgroep[Jaar],D675,uitkomst_doelgroep[Arbeidsbesparing (FTE)],"&gt;0",uitkomst_doelgroep[Uitgangssituatie/effect beleid],uitkomst_tech[[#This Row],[Uitgangssituatie/effect beleid]])</f>
        <v>0</v>
      </c>
      <c r="I675" s="398">
        <f>SUMIFS(uitkomst_doelgroep[Overige besparingen (€)],uitkomst_doelgroep[Digitale zorgtoepassing],B675,uitkomst_doelgroep[Jaar],D675,uitkomst_doelgroep[Overige besparingen (€)],"&gt;0",uitkomst_doelgroep[Uitgangssituatie/effect beleid],uitkomst_tech[[#This Row],[Uitgangssituatie/effect beleid]])</f>
        <v>0</v>
      </c>
      <c r="J675" s="398">
        <f>SUMIFS(uitkomst_doelgroep[QALY (€)],uitkomst_doelgroep[Digitale zorgtoepassing],B675,uitkomst_doelgroep[Jaar],D675,uitkomst_doelgroep[QALY (€)],"&gt;0",uitkomst_doelgroep[Uitgangssituatie/effect beleid],uitkomst_tech[[#This Row],[Uitgangssituatie/effect beleid]])</f>
        <v>0</v>
      </c>
      <c r="K675" s="398">
        <f>SUMIFS(uitkomst_doelgroep[Kosten (€)],uitkomst_doelgroep[Digitale zorgtoepassing],B675,uitkomst_doelgroep[Jaar],D675,uitkomst_doelgroep[Kosten (€)],"&gt;0",uitkomst_doelgroep[Uitgangssituatie/effect beleid],uitkomst_tech[[#This Row],[Uitgangssituatie/effect beleid]])</f>
        <v>0</v>
      </c>
      <c r="L675" s="398">
        <f>SUMIFS(uitkomst_doelgroep[Investering (cash flow) (€)],uitkomst_doelgroep[Digitale zorgtoepassing],B675,uitkomst_doelgroep[Jaar],D675,uitkomst_doelgroep[Investering (cash flow) (€)],"&gt;0",uitkomst_doelgroep[Uitgangssituatie/effect beleid],uitkomst_tech[[#This Row],[Uitgangssituatie/effect beleid]])</f>
        <v>0</v>
      </c>
    </row>
    <row r="676" spans="1:12" x14ac:dyDescent="0.5">
      <c r="A676" s="2" t="e">
        <f>INDEX(Technologieën[Veld],MATCH(B676,Technologieën[Digitale zorgtoepassing],0))</f>
        <v>#N/A</v>
      </c>
      <c r="B676" s="33" t="s">
        <v>60</v>
      </c>
      <c r="C676" s="33" t="s">
        <v>813</v>
      </c>
      <c r="D676" s="33">
        <v>2026</v>
      </c>
      <c r="E676" s="2"/>
      <c r="F676" s="397">
        <f>SUMIFS(uitkomst_doelgroep[Patiëntaantallen],uitkomst_doelgroep[Digitale zorgtoepassing],B676,uitkomst_doelgroep[Jaar],D676,uitkomst_doelgroep[Arbeidsbesparing (€)],"&gt;0",uitkomst_doelgroep[Uitgangssituatie/effect beleid],uitkomst_tech[[#This Row],[Uitgangssituatie/effect beleid]])</f>
        <v>0</v>
      </c>
      <c r="G676" s="398">
        <f>SUMIFS(uitkomst_doelgroep[Arbeidsbesparing (€)],uitkomst_doelgroep[Digitale zorgtoepassing],B676,uitkomst_doelgroep[Jaar],D676,uitkomst_doelgroep[Arbeidsbesparing (€)],"&gt;0",uitkomst_doelgroep[Uitgangssituatie/effect beleid],uitkomst_tech[[#This Row],[Uitgangssituatie/effect beleid]])</f>
        <v>0</v>
      </c>
      <c r="H676" s="398">
        <f>SUMIFS(uitkomst_doelgroep[Arbeidsbesparing (FTE)],uitkomst_doelgroep[Digitale zorgtoepassing],B676,uitkomst_doelgroep[Jaar],D676,uitkomst_doelgroep[Arbeidsbesparing (FTE)],"&gt;0",uitkomst_doelgroep[Uitgangssituatie/effect beleid],uitkomst_tech[[#This Row],[Uitgangssituatie/effect beleid]])</f>
        <v>0</v>
      </c>
      <c r="I676" s="398">
        <f>SUMIFS(uitkomst_doelgroep[Overige besparingen (€)],uitkomst_doelgroep[Digitale zorgtoepassing],B676,uitkomst_doelgroep[Jaar],D676,uitkomst_doelgroep[Overige besparingen (€)],"&gt;0",uitkomst_doelgroep[Uitgangssituatie/effect beleid],uitkomst_tech[[#This Row],[Uitgangssituatie/effect beleid]])</f>
        <v>0</v>
      </c>
      <c r="J676" s="398">
        <f>SUMIFS(uitkomst_doelgroep[QALY (€)],uitkomst_doelgroep[Digitale zorgtoepassing],B676,uitkomst_doelgroep[Jaar],D676,uitkomst_doelgroep[QALY (€)],"&gt;0",uitkomst_doelgroep[Uitgangssituatie/effect beleid],uitkomst_tech[[#This Row],[Uitgangssituatie/effect beleid]])</f>
        <v>0</v>
      </c>
      <c r="K676" s="398">
        <f>SUMIFS(uitkomst_doelgroep[Kosten (€)],uitkomst_doelgroep[Digitale zorgtoepassing],B676,uitkomst_doelgroep[Jaar],D676,uitkomst_doelgroep[Kosten (€)],"&gt;0",uitkomst_doelgroep[Uitgangssituatie/effect beleid],uitkomst_tech[[#This Row],[Uitgangssituatie/effect beleid]])</f>
        <v>0</v>
      </c>
      <c r="L676" s="398">
        <f>SUMIFS(uitkomst_doelgroep[Investering (cash flow) (€)],uitkomst_doelgroep[Digitale zorgtoepassing],B676,uitkomst_doelgroep[Jaar],D676,uitkomst_doelgroep[Investering (cash flow) (€)],"&gt;0",uitkomst_doelgroep[Uitgangssituatie/effect beleid],uitkomst_tech[[#This Row],[Uitgangssituatie/effect beleid]])</f>
        <v>0</v>
      </c>
    </row>
    <row r="677" spans="1:12" x14ac:dyDescent="0.5">
      <c r="A677" s="2" t="e">
        <f>INDEX(Technologieën[Veld],MATCH(B677,Technologieën[Digitale zorgtoepassing],0))</f>
        <v>#N/A</v>
      </c>
      <c r="B677" s="33" t="s">
        <v>60</v>
      </c>
      <c r="C677" s="33" t="s">
        <v>813</v>
      </c>
      <c r="D677" s="33">
        <v>2027</v>
      </c>
      <c r="E677" s="2"/>
      <c r="F677" s="397">
        <f>SUMIFS(uitkomst_doelgroep[Patiëntaantallen],uitkomst_doelgroep[Digitale zorgtoepassing],B677,uitkomst_doelgroep[Jaar],D677,uitkomst_doelgroep[Arbeidsbesparing (€)],"&gt;0",uitkomst_doelgroep[Uitgangssituatie/effect beleid],uitkomst_tech[[#This Row],[Uitgangssituatie/effect beleid]])</f>
        <v>0</v>
      </c>
      <c r="G677" s="398">
        <f>SUMIFS(uitkomst_doelgroep[Arbeidsbesparing (€)],uitkomst_doelgroep[Digitale zorgtoepassing],B677,uitkomst_doelgroep[Jaar],D677,uitkomst_doelgroep[Arbeidsbesparing (€)],"&gt;0",uitkomst_doelgroep[Uitgangssituatie/effect beleid],uitkomst_tech[[#This Row],[Uitgangssituatie/effect beleid]])</f>
        <v>0</v>
      </c>
      <c r="H677" s="398">
        <f>SUMIFS(uitkomst_doelgroep[Arbeidsbesparing (FTE)],uitkomst_doelgroep[Digitale zorgtoepassing],B677,uitkomst_doelgroep[Jaar],D677,uitkomst_doelgroep[Arbeidsbesparing (FTE)],"&gt;0",uitkomst_doelgroep[Uitgangssituatie/effect beleid],uitkomst_tech[[#This Row],[Uitgangssituatie/effect beleid]])</f>
        <v>0</v>
      </c>
      <c r="I677" s="398">
        <f>SUMIFS(uitkomst_doelgroep[Overige besparingen (€)],uitkomst_doelgroep[Digitale zorgtoepassing],B677,uitkomst_doelgroep[Jaar],D677,uitkomst_doelgroep[Overige besparingen (€)],"&gt;0",uitkomst_doelgroep[Uitgangssituatie/effect beleid],uitkomst_tech[[#This Row],[Uitgangssituatie/effect beleid]])</f>
        <v>0</v>
      </c>
      <c r="J677" s="398">
        <f>SUMIFS(uitkomst_doelgroep[QALY (€)],uitkomst_doelgroep[Digitale zorgtoepassing],B677,uitkomst_doelgroep[Jaar],D677,uitkomst_doelgroep[QALY (€)],"&gt;0",uitkomst_doelgroep[Uitgangssituatie/effect beleid],uitkomst_tech[[#This Row],[Uitgangssituatie/effect beleid]])</f>
        <v>0</v>
      </c>
      <c r="K677" s="398">
        <f>SUMIFS(uitkomst_doelgroep[Kosten (€)],uitkomst_doelgroep[Digitale zorgtoepassing],B677,uitkomst_doelgroep[Jaar],D677,uitkomst_doelgroep[Kosten (€)],"&gt;0",uitkomst_doelgroep[Uitgangssituatie/effect beleid],uitkomst_tech[[#This Row],[Uitgangssituatie/effect beleid]])</f>
        <v>0</v>
      </c>
      <c r="L677" s="398">
        <f>SUMIFS(uitkomst_doelgroep[Investering (cash flow) (€)],uitkomst_doelgroep[Digitale zorgtoepassing],B677,uitkomst_doelgroep[Jaar],D677,uitkomst_doelgroep[Investering (cash flow) (€)],"&gt;0",uitkomst_doelgroep[Uitgangssituatie/effect beleid],uitkomst_tech[[#This Row],[Uitgangssituatie/effect beleid]])</f>
        <v>0</v>
      </c>
    </row>
    <row r="678" spans="1:12" x14ac:dyDescent="0.5">
      <c r="A678" s="2" t="e">
        <f>INDEX(Technologieën[Veld],MATCH(B678,Technologieën[Digitale zorgtoepassing],0))</f>
        <v>#N/A</v>
      </c>
      <c r="B678" s="33" t="s">
        <v>60</v>
      </c>
      <c r="C678" s="33" t="s">
        <v>813</v>
      </c>
      <c r="D678" s="33">
        <v>2029</v>
      </c>
      <c r="E678" s="2"/>
      <c r="F678" s="397">
        <f>SUMIFS(uitkomst_doelgroep[Patiëntaantallen],uitkomst_doelgroep[Digitale zorgtoepassing],B678,uitkomst_doelgroep[Jaar],D678,uitkomst_doelgroep[Arbeidsbesparing (€)],"&gt;0",uitkomst_doelgroep[Uitgangssituatie/effect beleid],uitkomst_tech[[#This Row],[Uitgangssituatie/effect beleid]])</f>
        <v>0</v>
      </c>
      <c r="G678" s="398">
        <f>SUMIFS(uitkomst_doelgroep[Arbeidsbesparing (€)],uitkomst_doelgroep[Digitale zorgtoepassing],B678,uitkomst_doelgroep[Jaar],D678,uitkomst_doelgroep[Arbeidsbesparing (€)],"&gt;0",uitkomst_doelgroep[Uitgangssituatie/effect beleid],uitkomst_tech[[#This Row],[Uitgangssituatie/effect beleid]])</f>
        <v>0</v>
      </c>
      <c r="H678" s="398">
        <f>SUMIFS(uitkomst_doelgroep[Arbeidsbesparing (FTE)],uitkomst_doelgroep[Digitale zorgtoepassing],B678,uitkomst_doelgroep[Jaar],D678,uitkomst_doelgroep[Arbeidsbesparing (FTE)],"&gt;0",uitkomst_doelgroep[Uitgangssituatie/effect beleid],uitkomst_tech[[#This Row],[Uitgangssituatie/effect beleid]])</f>
        <v>0</v>
      </c>
      <c r="I678" s="398">
        <f>SUMIFS(uitkomst_doelgroep[Overige besparingen (€)],uitkomst_doelgroep[Digitale zorgtoepassing],B678,uitkomst_doelgroep[Jaar],D678,uitkomst_doelgroep[Overige besparingen (€)],"&gt;0",uitkomst_doelgroep[Uitgangssituatie/effect beleid],uitkomst_tech[[#This Row],[Uitgangssituatie/effect beleid]])</f>
        <v>0</v>
      </c>
      <c r="J678" s="398">
        <f>SUMIFS(uitkomst_doelgroep[QALY (€)],uitkomst_doelgroep[Digitale zorgtoepassing],B678,uitkomst_doelgroep[Jaar],D678,uitkomst_doelgroep[QALY (€)],"&gt;0",uitkomst_doelgroep[Uitgangssituatie/effect beleid],uitkomst_tech[[#This Row],[Uitgangssituatie/effect beleid]])</f>
        <v>0</v>
      </c>
      <c r="K678" s="398">
        <f>SUMIFS(uitkomst_doelgroep[Kosten (€)],uitkomst_doelgroep[Digitale zorgtoepassing],B678,uitkomst_doelgroep[Jaar],D678,uitkomst_doelgroep[Kosten (€)],"&gt;0",uitkomst_doelgroep[Uitgangssituatie/effect beleid],uitkomst_tech[[#This Row],[Uitgangssituatie/effect beleid]])</f>
        <v>0</v>
      </c>
      <c r="L678" s="398">
        <f>SUMIFS(uitkomst_doelgroep[Investering (cash flow) (€)],uitkomst_doelgroep[Digitale zorgtoepassing],B678,uitkomst_doelgroep[Jaar],D678,uitkomst_doelgroep[Investering (cash flow) (€)],"&gt;0",uitkomst_doelgroep[Uitgangssituatie/effect beleid],uitkomst_tech[[#This Row],[Uitgangssituatie/effect beleid]])</f>
        <v>0</v>
      </c>
    </row>
    <row r="679" spans="1:12" x14ac:dyDescent="0.5">
      <c r="A679" s="2" t="e">
        <f>INDEX(Technologieën[Veld],MATCH(B679,Technologieën[Digitale zorgtoepassing],0))</f>
        <v>#N/A</v>
      </c>
      <c r="B679" s="33" t="s">
        <v>60</v>
      </c>
      <c r="C679" s="33" t="s">
        <v>813</v>
      </c>
      <c r="D679" s="33">
        <v>2030</v>
      </c>
      <c r="E679" s="2"/>
      <c r="F679" s="397">
        <f>SUMIFS(uitkomst_doelgroep[Patiëntaantallen],uitkomst_doelgroep[Digitale zorgtoepassing],B679,uitkomst_doelgroep[Jaar],D679,uitkomst_doelgroep[Arbeidsbesparing (€)],"&gt;0",uitkomst_doelgroep[Uitgangssituatie/effect beleid],uitkomst_tech[[#This Row],[Uitgangssituatie/effect beleid]])</f>
        <v>0</v>
      </c>
      <c r="G679" s="398">
        <f>SUMIFS(uitkomst_doelgroep[Arbeidsbesparing (€)],uitkomst_doelgroep[Digitale zorgtoepassing],B679,uitkomst_doelgroep[Jaar],D679,uitkomst_doelgroep[Arbeidsbesparing (€)],"&gt;0",uitkomst_doelgroep[Uitgangssituatie/effect beleid],uitkomst_tech[[#This Row],[Uitgangssituatie/effect beleid]])</f>
        <v>0</v>
      </c>
      <c r="H679" s="398">
        <f>SUMIFS(uitkomst_doelgroep[Arbeidsbesparing (FTE)],uitkomst_doelgroep[Digitale zorgtoepassing],B679,uitkomst_doelgroep[Jaar],D679,uitkomst_doelgroep[Arbeidsbesparing (FTE)],"&gt;0",uitkomst_doelgroep[Uitgangssituatie/effect beleid],uitkomst_tech[[#This Row],[Uitgangssituatie/effect beleid]])</f>
        <v>0</v>
      </c>
      <c r="I679" s="398">
        <f>SUMIFS(uitkomst_doelgroep[Overige besparingen (€)],uitkomst_doelgroep[Digitale zorgtoepassing],B679,uitkomst_doelgroep[Jaar],D679,uitkomst_doelgroep[Overige besparingen (€)],"&gt;0",uitkomst_doelgroep[Uitgangssituatie/effect beleid],uitkomst_tech[[#This Row],[Uitgangssituatie/effect beleid]])</f>
        <v>0</v>
      </c>
      <c r="J679" s="398">
        <f>SUMIFS(uitkomst_doelgroep[QALY (€)],uitkomst_doelgroep[Digitale zorgtoepassing],B679,uitkomst_doelgroep[Jaar],D679,uitkomst_doelgroep[QALY (€)],"&gt;0",uitkomst_doelgroep[Uitgangssituatie/effect beleid],uitkomst_tech[[#This Row],[Uitgangssituatie/effect beleid]])</f>
        <v>0</v>
      </c>
      <c r="K679" s="398">
        <f>SUMIFS(uitkomst_doelgroep[Kosten (€)],uitkomst_doelgroep[Digitale zorgtoepassing],B679,uitkomst_doelgroep[Jaar],D679,uitkomst_doelgroep[Kosten (€)],"&gt;0",uitkomst_doelgroep[Uitgangssituatie/effect beleid],uitkomst_tech[[#This Row],[Uitgangssituatie/effect beleid]])</f>
        <v>0</v>
      </c>
      <c r="L679" s="398">
        <f>SUMIFS(uitkomst_doelgroep[Investering (cash flow) (€)],uitkomst_doelgroep[Digitale zorgtoepassing],B679,uitkomst_doelgroep[Jaar],D679,uitkomst_doelgroep[Investering (cash flow) (€)],"&gt;0",uitkomst_doelgroep[Uitgangssituatie/effect beleid],uitkomst_tech[[#This Row],[Uitgangssituatie/effect beleid]])</f>
        <v>0</v>
      </c>
    </row>
    <row r="680" spans="1:12" x14ac:dyDescent="0.5">
      <c r="A680" s="2" t="e">
        <f>INDEX(Technologieën[Veld],MATCH(B680,Technologieën[Digitale zorgtoepassing],0))</f>
        <v>#N/A</v>
      </c>
      <c r="B680" s="33" t="s">
        <v>60</v>
      </c>
      <c r="C680" s="33" t="s">
        <v>813</v>
      </c>
      <c r="D680" s="33">
        <v>2031</v>
      </c>
      <c r="E680" s="2"/>
      <c r="F680" s="397">
        <f>SUMIFS(uitkomst_doelgroep[Patiëntaantallen],uitkomst_doelgroep[Digitale zorgtoepassing],B680,uitkomst_doelgroep[Jaar],D680,uitkomst_doelgroep[Arbeidsbesparing (€)],"&gt;0",uitkomst_doelgroep[Uitgangssituatie/effect beleid],uitkomst_tech[[#This Row],[Uitgangssituatie/effect beleid]])</f>
        <v>0</v>
      </c>
      <c r="G680" s="398">
        <f>SUMIFS(uitkomst_doelgroep[Arbeidsbesparing (€)],uitkomst_doelgroep[Digitale zorgtoepassing],B680,uitkomst_doelgroep[Jaar],D680,uitkomst_doelgroep[Arbeidsbesparing (€)],"&gt;0",uitkomst_doelgroep[Uitgangssituatie/effect beleid],uitkomst_tech[[#This Row],[Uitgangssituatie/effect beleid]])</f>
        <v>0</v>
      </c>
      <c r="H680" s="398">
        <f>SUMIFS(uitkomst_doelgroep[Arbeidsbesparing (FTE)],uitkomst_doelgroep[Digitale zorgtoepassing],B680,uitkomst_doelgroep[Jaar],D680,uitkomst_doelgroep[Arbeidsbesparing (FTE)],"&gt;0",uitkomst_doelgroep[Uitgangssituatie/effect beleid],uitkomst_tech[[#This Row],[Uitgangssituatie/effect beleid]])</f>
        <v>0</v>
      </c>
      <c r="I680" s="398">
        <f>SUMIFS(uitkomst_doelgroep[Overige besparingen (€)],uitkomst_doelgroep[Digitale zorgtoepassing],B680,uitkomst_doelgroep[Jaar],D680,uitkomst_doelgroep[Overige besparingen (€)],"&gt;0",uitkomst_doelgroep[Uitgangssituatie/effect beleid],uitkomst_tech[[#This Row],[Uitgangssituatie/effect beleid]])</f>
        <v>0</v>
      </c>
      <c r="J680" s="398">
        <f>SUMIFS(uitkomst_doelgroep[QALY (€)],uitkomst_doelgroep[Digitale zorgtoepassing],B680,uitkomst_doelgroep[Jaar],D680,uitkomst_doelgroep[QALY (€)],"&gt;0",uitkomst_doelgroep[Uitgangssituatie/effect beleid],uitkomst_tech[[#This Row],[Uitgangssituatie/effect beleid]])</f>
        <v>0</v>
      </c>
      <c r="K680" s="398">
        <f>SUMIFS(uitkomst_doelgroep[Kosten (€)],uitkomst_doelgroep[Digitale zorgtoepassing],B680,uitkomst_doelgroep[Jaar],D680,uitkomst_doelgroep[Kosten (€)],"&gt;0",uitkomst_doelgroep[Uitgangssituatie/effect beleid],uitkomst_tech[[#This Row],[Uitgangssituatie/effect beleid]])</f>
        <v>0</v>
      </c>
      <c r="L680" s="398">
        <f>SUMIFS(uitkomst_doelgroep[Investering (cash flow) (€)],uitkomst_doelgroep[Digitale zorgtoepassing],B680,uitkomst_doelgroep[Jaar],D680,uitkomst_doelgroep[Investering (cash flow) (€)],"&gt;0",uitkomst_doelgroep[Uitgangssituatie/effect beleid],uitkomst_tech[[#This Row],[Uitgangssituatie/effect beleid]])</f>
        <v>0</v>
      </c>
    </row>
    <row r="681" spans="1:12" x14ac:dyDescent="0.5">
      <c r="A681" s="2" t="e">
        <f>INDEX(Technologieën[Veld],MATCH(B681,Technologieën[Digitale zorgtoepassing],0))</f>
        <v>#N/A</v>
      </c>
      <c r="B681" s="33" t="s">
        <v>60</v>
      </c>
      <c r="C681" s="33" t="s">
        <v>813</v>
      </c>
      <c r="D681" s="33">
        <v>2032</v>
      </c>
      <c r="E681" s="2"/>
      <c r="F681" s="397">
        <f>SUMIFS(uitkomst_doelgroep[Patiëntaantallen],uitkomst_doelgroep[Digitale zorgtoepassing],B681,uitkomst_doelgroep[Jaar],D681,uitkomst_doelgroep[Arbeidsbesparing (€)],"&gt;0",uitkomst_doelgroep[Uitgangssituatie/effect beleid],uitkomst_tech[[#This Row],[Uitgangssituatie/effect beleid]])</f>
        <v>0</v>
      </c>
      <c r="G681" s="398">
        <f>SUMIFS(uitkomst_doelgroep[Arbeidsbesparing (€)],uitkomst_doelgroep[Digitale zorgtoepassing],B681,uitkomst_doelgroep[Jaar],D681,uitkomst_doelgroep[Arbeidsbesparing (€)],"&gt;0",uitkomst_doelgroep[Uitgangssituatie/effect beleid],uitkomst_tech[[#This Row],[Uitgangssituatie/effect beleid]])</f>
        <v>0</v>
      </c>
      <c r="H681" s="398">
        <f>SUMIFS(uitkomst_doelgroep[Arbeidsbesparing (FTE)],uitkomst_doelgroep[Digitale zorgtoepassing],B681,uitkomst_doelgroep[Jaar],D681,uitkomst_doelgroep[Arbeidsbesparing (FTE)],"&gt;0",uitkomst_doelgroep[Uitgangssituatie/effect beleid],uitkomst_tech[[#This Row],[Uitgangssituatie/effect beleid]])</f>
        <v>0</v>
      </c>
      <c r="I681" s="398">
        <f>SUMIFS(uitkomst_doelgroep[Overige besparingen (€)],uitkomst_doelgroep[Digitale zorgtoepassing],B681,uitkomst_doelgroep[Jaar],D681,uitkomst_doelgroep[Overige besparingen (€)],"&gt;0",uitkomst_doelgroep[Uitgangssituatie/effect beleid],uitkomst_tech[[#This Row],[Uitgangssituatie/effect beleid]])</f>
        <v>0</v>
      </c>
      <c r="J681" s="398">
        <f>SUMIFS(uitkomst_doelgroep[QALY (€)],uitkomst_doelgroep[Digitale zorgtoepassing],B681,uitkomst_doelgroep[Jaar],D681,uitkomst_doelgroep[QALY (€)],"&gt;0",uitkomst_doelgroep[Uitgangssituatie/effect beleid],uitkomst_tech[[#This Row],[Uitgangssituatie/effect beleid]])</f>
        <v>0</v>
      </c>
      <c r="K681" s="398">
        <f>SUMIFS(uitkomst_doelgroep[Kosten (€)],uitkomst_doelgroep[Digitale zorgtoepassing],B681,uitkomst_doelgroep[Jaar],D681,uitkomst_doelgroep[Kosten (€)],"&gt;0",uitkomst_doelgroep[Uitgangssituatie/effect beleid],uitkomst_tech[[#This Row],[Uitgangssituatie/effect beleid]])</f>
        <v>0</v>
      </c>
      <c r="L681" s="398">
        <f>SUMIFS(uitkomst_doelgroep[Investering (cash flow) (€)],uitkomst_doelgroep[Digitale zorgtoepassing],B681,uitkomst_doelgroep[Jaar],D681,uitkomst_doelgroep[Investering (cash flow) (€)],"&gt;0",uitkomst_doelgroep[Uitgangssituatie/effect beleid],uitkomst_tech[[#This Row],[Uitgangssituatie/effect beleid]])</f>
        <v>0</v>
      </c>
    </row>
    <row r="682" spans="1:12" x14ac:dyDescent="0.5">
      <c r="A682" s="2" t="e">
        <f>INDEX(Technologieën[Veld],MATCH(B682,Technologieën[Digitale zorgtoepassing],0))</f>
        <v>#N/A</v>
      </c>
      <c r="B682" s="33" t="s">
        <v>60</v>
      </c>
      <c r="C682" s="33" t="s">
        <v>813</v>
      </c>
      <c r="D682" s="33">
        <v>2033</v>
      </c>
      <c r="E682" s="2"/>
      <c r="F682" s="397">
        <f>SUMIFS(uitkomst_doelgroep[Patiëntaantallen],uitkomst_doelgroep[Digitale zorgtoepassing],B682,uitkomst_doelgroep[Jaar],D682,uitkomst_doelgroep[Arbeidsbesparing (€)],"&gt;0",uitkomst_doelgroep[Uitgangssituatie/effect beleid],uitkomst_tech[[#This Row],[Uitgangssituatie/effect beleid]])</f>
        <v>0</v>
      </c>
      <c r="G682" s="398">
        <f>SUMIFS(uitkomst_doelgroep[Arbeidsbesparing (€)],uitkomst_doelgroep[Digitale zorgtoepassing],B682,uitkomst_doelgroep[Jaar],D682,uitkomst_doelgroep[Arbeidsbesparing (€)],"&gt;0",uitkomst_doelgroep[Uitgangssituatie/effect beleid],uitkomst_tech[[#This Row],[Uitgangssituatie/effect beleid]])</f>
        <v>0</v>
      </c>
      <c r="H682" s="398">
        <f>SUMIFS(uitkomst_doelgroep[Arbeidsbesparing (FTE)],uitkomst_doelgroep[Digitale zorgtoepassing],B682,uitkomst_doelgroep[Jaar],D682,uitkomst_doelgroep[Arbeidsbesparing (FTE)],"&gt;0",uitkomst_doelgroep[Uitgangssituatie/effect beleid],uitkomst_tech[[#This Row],[Uitgangssituatie/effect beleid]])</f>
        <v>0</v>
      </c>
      <c r="I682" s="398">
        <f>SUMIFS(uitkomst_doelgroep[Overige besparingen (€)],uitkomst_doelgroep[Digitale zorgtoepassing],B682,uitkomst_doelgroep[Jaar],D682,uitkomst_doelgroep[Overige besparingen (€)],"&gt;0",uitkomst_doelgroep[Uitgangssituatie/effect beleid],uitkomst_tech[[#This Row],[Uitgangssituatie/effect beleid]])</f>
        <v>0</v>
      </c>
      <c r="J682" s="398">
        <f>SUMIFS(uitkomst_doelgroep[QALY (€)],uitkomst_doelgroep[Digitale zorgtoepassing],B682,uitkomst_doelgroep[Jaar],D682,uitkomst_doelgroep[QALY (€)],"&gt;0",uitkomst_doelgroep[Uitgangssituatie/effect beleid],uitkomst_tech[[#This Row],[Uitgangssituatie/effect beleid]])</f>
        <v>0</v>
      </c>
      <c r="K682" s="398">
        <f>SUMIFS(uitkomst_doelgroep[Kosten (€)],uitkomst_doelgroep[Digitale zorgtoepassing],B682,uitkomst_doelgroep[Jaar],D682,uitkomst_doelgroep[Kosten (€)],"&gt;0",uitkomst_doelgroep[Uitgangssituatie/effect beleid],uitkomst_tech[[#This Row],[Uitgangssituatie/effect beleid]])</f>
        <v>0</v>
      </c>
      <c r="L682" s="398">
        <f>SUMIFS(uitkomst_doelgroep[Investering (cash flow) (€)],uitkomst_doelgroep[Digitale zorgtoepassing],B682,uitkomst_doelgroep[Jaar],D682,uitkomst_doelgroep[Investering (cash flow) (€)],"&gt;0",uitkomst_doelgroep[Uitgangssituatie/effect beleid],uitkomst_tech[[#This Row],[Uitgangssituatie/effect beleid]])</f>
        <v>0</v>
      </c>
    </row>
    <row r="683" spans="1:12" x14ac:dyDescent="0.5">
      <c r="A683" s="2" t="str">
        <f>INDEX(Technologieën[Veld],MATCH(B683,Technologieën[Digitale zorgtoepassing],0))</f>
        <v>Sensoren - Behandeling</v>
      </c>
      <c r="B683" s="33" t="s">
        <v>53</v>
      </c>
      <c r="C683" s="33" t="s">
        <v>813</v>
      </c>
      <c r="D683" s="33">
        <v>2023</v>
      </c>
      <c r="E683" s="2"/>
      <c r="F683" s="397">
        <f>SUMIFS(uitkomst_doelgroep[Patiëntaantallen],uitkomst_doelgroep[Digitale zorgtoepassing],B683,uitkomst_doelgroep[Jaar],D683,uitkomst_doelgroep[Arbeidsbesparing (€)],"&gt;0",uitkomst_doelgroep[Uitgangssituatie/effect beleid],uitkomst_tech[[#This Row],[Uitgangssituatie/effect beleid]])</f>
        <v>13200</v>
      </c>
      <c r="G683" s="398">
        <f>SUMIFS(uitkomst_doelgroep[Arbeidsbesparing (€)],uitkomst_doelgroep[Digitale zorgtoepassing],B683,uitkomst_doelgroep[Jaar],D683,uitkomst_doelgroep[Arbeidsbesparing (€)],"&gt;0",uitkomst_doelgroep[Uitgangssituatie/effect beleid],uitkomst_tech[[#This Row],[Uitgangssituatie/effect beleid]])</f>
        <v>4238071.1999999993</v>
      </c>
      <c r="H683" s="398">
        <f>SUMIFS(uitkomst_doelgroep[Arbeidsbesparing (FTE)],uitkomst_doelgroep[Digitale zorgtoepassing],B683,uitkomst_doelgroep[Jaar],D683,uitkomst_doelgroep[Arbeidsbesparing (FTE)],"&gt;0",uitkomst_doelgroep[Uitgangssituatie/effect beleid],uitkomst_tech[[#This Row],[Uitgangssituatie/effect beleid]])</f>
        <v>73.450897577336008</v>
      </c>
      <c r="I683" s="398">
        <f>SUMIFS(uitkomst_doelgroep[Overige besparingen (€)],uitkomst_doelgroep[Digitale zorgtoepassing],B683,uitkomst_doelgroep[Jaar],D683,uitkomst_doelgroep[Overige besparingen (€)],"&gt;0",uitkomst_doelgroep[Uitgangssituatie/effect beleid],uitkomst_tech[[#This Row],[Uitgangssituatie/effect beleid]])</f>
        <v>2825380.8</v>
      </c>
      <c r="J683" s="398">
        <f>SUMIFS(uitkomst_doelgroep[QALY (€)],uitkomst_doelgroep[Digitale zorgtoepassing],B683,uitkomst_doelgroep[Jaar],D683,uitkomst_doelgroep[QALY (€)],"&gt;0",uitkomst_doelgroep[Uitgangssituatie/effect beleid],uitkomst_tech[[#This Row],[Uitgangssituatie/effect beleid]])</f>
        <v>37620000</v>
      </c>
      <c r="K683" s="398">
        <f>SUMIFS(uitkomst_doelgroep[Kosten (€)],uitkomst_doelgroep[Digitale zorgtoepassing],B683,uitkomst_doelgroep[Jaar],D683,uitkomst_doelgroep[Kosten (€)],"&gt;0",uitkomst_doelgroep[Uitgangssituatie/effect beleid],uitkomst_tech[[#This Row],[Uitgangssituatie/effect beleid]])</f>
        <v>2664833.3333333335</v>
      </c>
      <c r="L683" s="398">
        <f>SUMIFS(uitkomst_doelgroep[Investering (cash flow) (€)],uitkomst_doelgroep[Digitale zorgtoepassing],B683,uitkomst_doelgroep[Jaar],D683,uitkomst_doelgroep[Investering (cash flow) (€)],"&gt;0",uitkomst_doelgroep[Uitgangssituatie/effect beleid],uitkomst_tech[[#This Row],[Uitgangssituatie/effect beleid]])</f>
        <v>575418.59999999986</v>
      </c>
    </row>
    <row r="684" spans="1:12" x14ac:dyDescent="0.5">
      <c r="A684" s="2" t="str">
        <f>INDEX(Technologieën[Veld],MATCH(B684,Technologieën[Digitale zorgtoepassing],0))</f>
        <v>Sensoren - Behandeling</v>
      </c>
      <c r="B684" s="33" t="s">
        <v>53</v>
      </c>
      <c r="C684" s="33" t="s">
        <v>813</v>
      </c>
      <c r="D684" s="33">
        <v>2024</v>
      </c>
      <c r="E684" s="2"/>
      <c r="F684" s="397">
        <f>SUMIFS(uitkomst_doelgroep[Patiëntaantallen],uitkomst_doelgroep[Digitale zorgtoepassing],B684,uitkomst_doelgroep[Jaar],D684,uitkomst_doelgroep[Arbeidsbesparing (€)],"&gt;0",uitkomst_doelgroep[Uitgangssituatie/effect beleid],uitkomst_tech[[#This Row],[Uitgangssituatie/effect beleid]])</f>
        <v>16764</v>
      </c>
      <c r="G684" s="398">
        <f>SUMIFS(uitkomst_doelgroep[Arbeidsbesparing (€)],uitkomst_doelgroep[Digitale zorgtoepassing],B684,uitkomst_doelgroep[Jaar],D684,uitkomst_doelgroep[Arbeidsbesparing (€)],"&gt;0",uitkomst_doelgroep[Uitgangssituatie/effect beleid],uitkomst_tech[[#This Row],[Uitgangssituatie/effect beleid]])</f>
        <v>5382350.4239999987</v>
      </c>
      <c r="H684" s="398">
        <f>SUMIFS(uitkomst_doelgroep[Arbeidsbesparing (FTE)],uitkomst_doelgroep[Digitale zorgtoepassing],B684,uitkomst_doelgroep[Jaar],D684,uitkomst_doelgroep[Arbeidsbesparing (FTE)],"&gt;0",uitkomst_doelgroep[Uitgangssituatie/effect beleid],uitkomst_tech[[#This Row],[Uitgangssituatie/effect beleid]])</f>
        <v>93.282639923216735</v>
      </c>
      <c r="I684" s="398">
        <f>SUMIFS(uitkomst_doelgroep[Overige besparingen (€)],uitkomst_doelgroep[Digitale zorgtoepassing],B684,uitkomst_doelgroep[Jaar],D684,uitkomst_doelgroep[Overige besparingen (€)],"&gt;0",uitkomst_doelgroep[Uitgangssituatie/effect beleid],uitkomst_tech[[#This Row],[Uitgangssituatie/effect beleid]])</f>
        <v>3588233.6159999995</v>
      </c>
      <c r="J684" s="398">
        <f>SUMIFS(uitkomst_doelgroep[QALY (€)],uitkomst_doelgroep[Digitale zorgtoepassing],B684,uitkomst_doelgroep[Jaar],D684,uitkomst_doelgroep[QALY (€)],"&gt;0",uitkomst_doelgroep[Uitgangssituatie/effect beleid],uitkomst_tech[[#This Row],[Uitgangssituatie/effect beleid]])</f>
        <v>47777400</v>
      </c>
      <c r="K684" s="398">
        <f>SUMIFS(uitkomst_doelgroep[Kosten (€)],uitkomst_doelgroep[Digitale zorgtoepassing],B684,uitkomst_doelgroep[Jaar],D684,uitkomst_doelgroep[Kosten (€)],"&gt;0",uitkomst_doelgroep[Uitgangssituatie/effect beleid],uitkomst_tech[[#This Row],[Uitgangssituatie/effect beleid]])</f>
        <v>3384338.333333333</v>
      </c>
      <c r="L684" s="398">
        <f>SUMIFS(uitkomst_doelgroep[Investering (cash flow) (€)],uitkomst_doelgroep[Digitale zorgtoepassing],B684,uitkomst_doelgroep[Jaar],D684,uitkomst_doelgroep[Investering (cash flow) (€)],"&gt;0",uitkomst_doelgroep[Uitgangssituatie/effect beleid],uitkomst_tech[[#This Row],[Uitgangssituatie/effect beleid]])</f>
        <v>585085.6324799998</v>
      </c>
    </row>
    <row r="685" spans="1:12" x14ac:dyDescent="0.5">
      <c r="A685" s="2" t="str">
        <f>INDEX(Technologieën[Veld],MATCH(B685,Technologieën[Digitale zorgtoepassing],0))</f>
        <v>Sensoren - Behandeling</v>
      </c>
      <c r="B685" s="33" t="s">
        <v>53</v>
      </c>
      <c r="C685" s="33" t="s">
        <v>813</v>
      </c>
      <c r="D685" s="33">
        <v>2025</v>
      </c>
      <c r="E685" s="2"/>
      <c r="F685" s="397">
        <f>SUMIFS(uitkomst_doelgroep[Patiëntaantallen],uitkomst_doelgroep[Digitale zorgtoepassing],B685,uitkomst_doelgroep[Jaar],D685,uitkomst_doelgroep[Arbeidsbesparing (€)],"&gt;0",uitkomst_doelgroep[Uitgangssituatie/effect beleid],uitkomst_tech[[#This Row],[Uitgangssituatie/effect beleid]])</f>
        <v>20387.875200000002</v>
      </c>
      <c r="G685" s="398">
        <f>SUMIFS(uitkomst_doelgroep[Arbeidsbesparing (€)],uitkomst_doelgroep[Digitale zorgtoepassing],B685,uitkomst_doelgroep[Jaar],D685,uitkomst_doelgroep[Arbeidsbesparing (€)],"&gt;0",uitkomst_doelgroep[Uitgangssituatie/effect beleid],uitkomst_tech[[#This Row],[Uitgangssituatie/effect beleid]])</f>
        <v>6545853.5389631987</v>
      </c>
      <c r="H685" s="398">
        <f>SUMIFS(uitkomst_doelgroep[Arbeidsbesparing (FTE)],uitkomst_doelgroep[Digitale zorgtoepassing],B685,uitkomst_doelgroep[Jaar],D685,uitkomst_doelgroep[Arbeidsbesparing (FTE)],"&gt;0",uitkomst_doelgroep[Uitgangssituatie/effect beleid],uitkomst_tech[[#This Row],[Uitgangssituatie/effect beleid]])</f>
        <v>113.44755554050823</v>
      </c>
      <c r="I685" s="398">
        <f>SUMIFS(uitkomst_doelgroep[Overige besparingen (€)],uitkomst_doelgroep[Digitale zorgtoepassing],B685,uitkomst_doelgroep[Jaar],D685,uitkomst_doelgroep[Overige besparingen (€)],"&gt;0",uitkomst_doelgroep[Uitgangssituatie/effect beleid],uitkomst_tech[[#This Row],[Uitgangssituatie/effect beleid]])</f>
        <v>4363902.3593087988</v>
      </c>
      <c r="J685" s="398">
        <f>SUMIFS(uitkomst_doelgroep[QALY (€)],uitkomst_doelgroep[Digitale zorgtoepassing],B685,uitkomst_doelgroep[Jaar],D685,uitkomst_doelgroep[QALY (€)],"&gt;0",uitkomst_doelgroep[Uitgangssituatie/effect beleid],uitkomst_tech[[#This Row],[Uitgangssituatie/effect beleid]])</f>
        <v>58105444.319999993</v>
      </c>
      <c r="K685" s="398">
        <f>SUMIFS(uitkomst_doelgroep[Kosten (€)],uitkomst_doelgroep[Digitale zorgtoepassing],B685,uitkomst_doelgroep[Jaar],D685,uitkomst_doelgroep[Kosten (€)],"&gt;0",uitkomst_doelgroep[Uitgangssituatie/effect beleid],uitkomst_tech[[#This Row],[Uitgangssituatie/effect beleid]])</f>
        <v>4115931.0173333334</v>
      </c>
      <c r="L685" s="398">
        <f>SUMIFS(uitkomst_doelgroep[Investering (cash flow) (€)],uitkomst_doelgroep[Digitale zorgtoepassing],B685,uitkomst_doelgroep[Jaar],D685,uitkomst_doelgroep[Investering (cash flow) (€)],"&gt;0",uitkomst_doelgroep[Uitgangssituatie/effect beleid],uitkomst_tech[[#This Row],[Uitgangssituatie/effect beleid]])</f>
        <v>543939.04071076319</v>
      </c>
    </row>
    <row r="686" spans="1:12" x14ac:dyDescent="0.5">
      <c r="A686" s="2" t="str">
        <f>INDEX(Technologieën[Veld],MATCH(B686,Technologieën[Digitale zorgtoepassing],0))</f>
        <v>Sensoren - Behandeling</v>
      </c>
      <c r="B686" s="33" t="s">
        <v>53</v>
      </c>
      <c r="C686" s="33" t="s">
        <v>813</v>
      </c>
      <c r="D686" s="33">
        <v>2026</v>
      </c>
      <c r="E686" s="2"/>
      <c r="F686" s="397">
        <f>SUMIFS(uitkomst_doelgroep[Patiëntaantallen],uitkomst_doelgroep[Digitale zorgtoepassing],B686,uitkomst_doelgroep[Jaar],D686,uitkomst_doelgroep[Arbeidsbesparing (€)],"&gt;0",uitkomst_doelgroep[Uitgangssituatie/effect beleid],uitkomst_tech[[#This Row],[Uitgangssituatie/effect beleid]])</f>
        <v>28737.084761386563</v>
      </c>
      <c r="G686" s="398">
        <f>SUMIFS(uitkomst_doelgroep[Arbeidsbesparing (€)],uitkomst_doelgroep[Digitale zorgtoepassing],B686,uitkomst_doelgroep[Jaar],D686,uitkomst_doelgroep[Arbeidsbesparing (€)],"&gt;0",uitkomst_doelgroep[Uitgangssituatie/effect beleid],uitkomst_tech[[#This Row],[Uitgangssituatie/effect beleid]])</f>
        <v>9226500.8559993356</v>
      </c>
      <c r="H686" s="398">
        <f>SUMIFS(uitkomst_doelgroep[Arbeidsbesparing (FTE)],uitkomst_doelgroep[Digitale zorgtoepassing],B686,uitkomst_doelgroep[Jaar],D686,uitkomst_doelgroep[Arbeidsbesparing (FTE)],"&gt;0",uitkomst_doelgroep[Uitgangssituatie/effect beleid],uitkomst_tech[[#This Row],[Uitgangssituatie/effect beleid]])</f>
        <v>159.90641435453242</v>
      </c>
      <c r="I686" s="398">
        <f>SUMIFS(uitkomst_doelgroep[Overige besparingen (€)],uitkomst_doelgroep[Digitale zorgtoepassing],B686,uitkomst_doelgroep[Jaar],D686,uitkomst_doelgroep[Overige besparingen (€)],"&gt;0",uitkomst_doelgroep[Uitgangssituatie/effect beleid],uitkomst_tech[[#This Row],[Uitgangssituatie/effect beleid]])</f>
        <v>6151000.5706662256</v>
      </c>
      <c r="J686" s="398">
        <f>SUMIFS(uitkomst_doelgroep[QALY (€)],uitkomst_doelgroep[Digitale zorgtoepassing],B686,uitkomst_doelgroep[Jaar],D686,uitkomst_doelgroep[QALY (€)],"&gt;0",uitkomst_doelgroep[Uitgangssituatie/effect beleid],uitkomst_tech[[#This Row],[Uitgangssituatie/effect beleid]])</f>
        <v>81900691.569951713</v>
      </c>
      <c r="K686" s="398">
        <f>SUMIFS(uitkomst_doelgroep[Kosten (€)],uitkomst_doelgroep[Digitale zorgtoepassing],B686,uitkomst_doelgroep[Jaar],D686,uitkomst_doelgroep[Kosten (€)],"&gt;0",uitkomst_doelgroep[Uitgangssituatie/effect beleid],uitkomst_tech[[#This Row],[Uitgangssituatie/effect beleid]])</f>
        <v>5496282.584588822</v>
      </c>
      <c r="L686" s="398">
        <f>SUMIFS(uitkomst_doelgroep[Investering (cash flow) (€)],uitkomst_doelgroep[Digitale zorgtoepassing],B686,uitkomst_doelgroep[Jaar],D686,uitkomst_doelgroep[Investering (cash flow) (€)],"&gt;0",uitkomst_doelgroep[Uitgangssituatie/effect beleid],uitkomst_tech[[#This Row],[Uitgangssituatie/effect beleid]])</f>
        <v>459580.53163106012</v>
      </c>
    </row>
    <row r="687" spans="1:12" x14ac:dyDescent="0.5">
      <c r="A687" s="2" t="str">
        <f>INDEX(Technologieën[Veld],MATCH(B687,Technologieën[Digitale zorgtoepassing],0))</f>
        <v>Sensoren - Behandeling</v>
      </c>
      <c r="B687" s="33" t="s">
        <v>53</v>
      </c>
      <c r="C687" s="33" t="s">
        <v>813</v>
      </c>
      <c r="D687" s="33">
        <v>2027</v>
      </c>
      <c r="E687" s="2"/>
      <c r="F687" s="397">
        <f>SUMIFS(uitkomst_doelgroep[Patiëntaantallen],uitkomst_doelgroep[Digitale zorgtoepassing],B687,uitkomst_doelgroep[Jaar],D687,uitkomst_doelgroep[Arbeidsbesparing (€)],"&gt;0",uitkomst_doelgroep[Uitgangssituatie/effect beleid],uitkomst_tech[[#This Row],[Uitgangssituatie/effect beleid]])</f>
        <v>38416.427897474045</v>
      </c>
      <c r="G687" s="398">
        <f>SUMIFS(uitkomst_doelgroep[Arbeidsbesparing (€)],uitkomst_doelgroep[Digitale zorgtoepassing],B687,uitkomst_doelgroep[Jaar],D687,uitkomst_doelgroep[Arbeidsbesparing (€)],"&gt;0",uitkomst_doelgroep[Uitgangssituatie/effect beleid],uitkomst_tech[[#This Row],[Uitgangssituatie/effect beleid]])</f>
        <v>12334208.839330401</v>
      </c>
      <c r="H687" s="398">
        <f>SUMIFS(uitkomst_doelgroep[Arbeidsbesparing (FTE)],uitkomst_doelgroep[Digitale zorgtoepassing],B687,uitkomst_doelgroep[Jaar],D687,uitkomst_doelgroep[Arbeidsbesparing (FTE)],"&gt;0",uitkomst_doelgroep[Uitgangssituatie/effect beleid],uitkomst_tech[[#This Row],[Uitgangssituatie/effect beleid]])</f>
        <v>213.76675081700608</v>
      </c>
      <c r="I687" s="398">
        <f>SUMIFS(uitkomst_doelgroep[Overige besparingen (€)],uitkomst_doelgroep[Digitale zorgtoepassing],B687,uitkomst_doelgroep[Jaar],D687,uitkomst_doelgroep[Overige besparingen (€)],"&gt;0",uitkomst_doelgroep[Uitgangssituatie/effect beleid],uitkomst_tech[[#This Row],[Uitgangssituatie/effect beleid]])</f>
        <v>8222805.8928869348</v>
      </c>
      <c r="J687" s="398">
        <f>SUMIFS(uitkomst_doelgroep[QALY (€)],uitkomst_doelgroep[Digitale zorgtoepassing],B687,uitkomst_doelgroep[Jaar],D687,uitkomst_doelgroep[QALY (€)],"&gt;0",uitkomst_doelgroep[Uitgangssituatie/effect beleid],uitkomst_tech[[#This Row],[Uitgangssituatie/effect beleid]])</f>
        <v>109486819.50780106</v>
      </c>
      <c r="K687" s="398">
        <f>SUMIFS(uitkomst_doelgroep[Kosten (€)],uitkomst_doelgroep[Digitale zorgtoepassing],B687,uitkomst_doelgroep[Jaar],D687,uitkomst_doelgroep[Kosten (€)],"&gt;0",uitkomst_doelgroep[Uitgangssituatie/effect beleid],uitkomst_tech[[#This Row],[Uitgangssituatie/effect beleid]])</f>
        <v>7031629.6745356461</v>
      </c>
      <c r="L687" s="398">
        <f>SUMIFS(uitkomst_doelgroep[Investering (cash flow) (€)],uitkomst_doelgroep[Digitale zorgtoepassing],B687,uitkomst_doelgroep[Jaar],D687,uitkomst_doelgroep[Investering (cash flow) (€)],"&gt;0",uitkomst_doelgroep[Uitgangssituatie/effect beleid],uitkomst_tech[[#This Row],[Uitgangssituatie/effect beleid]])</f>
        <v>353680.22533804132</v>
      </c>
    </row>
    <row r="688" spans="1:12" x14ac:dyDescent="0.5">
      <c r="A688" s="2" t="str">
        <f>INDEX(Technologieën[Veld],MATCH(B688,Technologieën[Digitale zorgtoepassing],0))</f>
        <v>Sensoren - Behandeling</v>
      </c>
      <c r="B688" s="33" t="s">
        <v>53</v>
      </c>
      <c r="C688" s="33" t="s">
        <v>813</v>
      </c>
      <c r="D688" s="33">
        <v>2028</v>
      </c>
      <c r="E688" s="2"/>
      <c r="F688" s="397">
        <f>SUMIFS(uitkomst_doelgroep[Patiëntaantallen],uitkomst_doelgroep[Digitale zorgtoepassing],B688,uitkomst_doelgroep[Jaar],D688,uitkomst_doelgroep[Arbeidsbesparing (€)],"&gt;0",uitkomst_doelgroep[Uitgangssituatie/effect beleid],uitkomst_tech[[#This Row],[Uitgangssituatie/effect beleid]])</f>
        <v>49851.99863655823</v>
      </c>
      <c r="G688" s="398">
        <f>SUMIFS(uitkomst_doelgroep[Arbeidsbesparing (€)],uitkomst_doelgroep[Digitale zorgtoepassing],B688,uitkomst_doelgroep[Jaar],D688,uitkomst_doelgroep[Arbeidsbesparing (€)],"&gt;0",uitkomst_doelgroep[Uitgangssituatie/effect beleid],uitkomst_tech[[#This Row],[Uitgangssituatie/effect beleid]])</f>
        <v>16005781.794245202</v>
      </c>
      <c r="H688" s="398">
        <f>SUMIFS(uitkomst_doelgroep[Arbeidsbesparing (FTE)],uitkomst_doelgroep[Digitale zorgtoepassing],B688,uitkomst_doelgroep[Jaar],D688,uitkomst_doelgroep[Arbeidsbesparing (FTE)],"&gt;0",uitkomst_doelgroep[Uitgangssituatie/effect beleid],uitkomst_tech[[#This Row],[Uitgangssituatie/effect beleid]])</f>
        <v>277.39954893025254</v>
      </c>
      <c r="I688" s="398">
        <f>SUMIFS(uitkomst_doelgroep[Overige besparingen (€)],uitkomst_doelgroep[Digitale zorgtoepassing],B688,uitkomst_doelgroep[Jaar],D688,uitkomst_doelgroep[Overige besparingen (€)],"&gt;0",uitkomst_doelgroep[Uitgangssituatie/effect beleid],uitkomst_tech[[#This Row],[Uitgangssituatie/effect beleid]])</f>
        <v>10670521.196163468</v>
      </c>
      <c r="J688" s="398">
        <f>SUMIFS(uitkomst_doelgroep[QALY (€)],uitkomst_doelgroep[Digitale zorgtoepassing],B688,uitkomst_doelgroep[Jaar],D688,uitkomst_doelgroep[QALY (€)],"&gt;0",uitkomst_doelgroep[Uitgangssituatie/effect beleid],uitkomst_tech[[#This Row],[Uitgangssituatie/effect beleid]])</f>
        <v>142078196.11419097</v>
      </c>
      <c r="K688" s="398">
        <f>SUMIFS(uitkomst_doelgroep[Kosten (€)],uitkomst_doelgroep[Digitale zorgtoepassing],B688,uitkomst_doelgroep[Jaar],D688,uitkomst_doelgroep[Kosten (€)],"&gt;0",uitkomst_doelgroep[Uitgangssituatie/effect beleid],uitkomst_tech[[#This Row],[Uitgangssituatie/effect beleid]])</f>
        <v>8773704.0609258711</v>
      </c>
      <c r="L688" s="398">
        <f>SUMIFS(uitkomst_doelgroep[Investering (cash flow) (€)],uitkomst_doelgroep[Digitale zorgtoepassing],B688,uitkomst_doelgroep[Jaar],D688,uitkomst_doelgroep[Investering (cash flow) (€)],"&gt;0",uitkomst_doelgroep[Uitgangssituatie/effect beleid],uitkomst_tech[[#This Row],[Uitgangssituatie/effect beleid]])</f>
        <v>250587.96867953421</v>
      </c>
    </row>
    <row r="689" spans="1:12" x14ac:dyDescent="0.5">
      <c r="A689" s="2" t="str">
        <f>INDEX(Technologieën[Veld],MATCH(B689,Technologieën[Digitale zorgtoepassing],0))</f>
        <v>Sensoren - Behandeling</v>
      </c>
      <c r="B689" s="33" t="s">
        <v>53</v>
      </c>
      <c r="C689" s="33" t="s">
        <v>813</v>
      </c>
      <c r="D689" s="33">
        <v>2029</v>
      </c>
      <c r="E689" s="2"/>
      <c r="F689" s="397">
        <f>SUMIFS(uitkomst_doelgroep[Patiëntaantallen],uitkomst_doelgroep[Digitale zorgtoepassing],B689,uitkomst_doelgroep[Jaar],D689,uitkomst_doelgroep[Arbeidsbesparing (€)],"&gt;0",uitkomst_doelgroep[Uitgangssituatie/effect beleid],uitkomst_tech[[#This Row],[Uitgangssituatie/effect beleid]])</f>
        <v>63673.967676049899</v>
      </c>
      <c r="G689" s="398">
        <f>SUMIFS(uitkomst_doelgroep[Arbeidsbesparing (€)],uitkomst_doelgroep[Digitale zorgtoepassing],B689,uitkomst_doelgroep[Jaar],D689,uitkomst_doelgroep[Arbeidsbesparing (€)],"&gt;0",uitkomst_doelgroep[Uitgangssituatie/effect beleid],uitkomst_tech[[#This Row],[Uitgangssituatie/effect beleid]])</f>
        <v>20443546.105878633</v>
      </c>
      <c r="H689" s="398">
        <f>SUMIFS(uitkomst_doelgroep[Arbeidsbesparing (FTE)],uitkomst_doelgroep[Digitale zorgtoepassing],B689,uitkomst_doelgroep[Jaar],D689,uitkomst_doelgroep[Arbeidsbesparing (FTE)],"&gt;0",uitkomst_doelgroep[Uitgangssituatie/effect beleid],uitkomst_tech[[#This Row],[Uitgangssituatie/effect beleid]])</f>
        <v>354.31136955425347</v>
      </c>
      <c r="I689" s="398">
        <f>SUMIFS(uitkomst_doelgroep[Overige besparingen (€)],uitkomst_doelgroep[Digitale zorgtoepassing],B689,uitkomst_doelgroep[Jaar],D689,uitkomst_doelgroep[Overige besparingen (€)],"&gt;0",uitkomst_doelgroep[Uitgangssituatie/effect beleid],uitkomst_tech[[#This Row],[Uitgangssituatie/effect beleid]])</f>
        <v>13629030.737252425</v>
      </c>
      <c r="J689" s="398">
        <f>SUMIFS(uitkomst_doelgroep[QALY (€)],uitkomst_doelgroep[Digitale zorgtoepassing],B689,uitkomst_doelgroep[Jaar],D689,uitkomst_doelgroep[QALY (€)],"&gt;0",uitkomst_doelgroep[Uitgangssituatie/effect beleid],uitkomst_tech[[#This Row],[Uitgangssituatie/effect beleid]])</f>
        <v>181470807.87674224</v>
      </c>
      <c r="K689" s="398">
        <f>SUMIFS(uitkomst_doelgroep[Kosten (€)],uitkomst_doelgroep[Digitale zorgtoepassing],B689,uitkomst_doelgroep[Jaar],D689,uitkomst_doelgroep[Kosten (€)],"&gt;0",uitkomst_doelgroep[Uitgangssituatie/effect beleid],uitkomst_tech[[#This Row],[Uitgangssituatie/effect beleid]])</f>
        <v>10812172.896799162</v>
      </c>
      <c r="L689" s="398">
        <f>SUMIFS(uitkomst_doelgroep[Investering (cash flow) (€)],uitkomst_doelgroep[Digitale zorgtoepassing],B689,uitkomst_doelgroep[Jaar],D689,uitkomst_doelgroep[Investering (cash flow) (€)],"&gt;0",uitkomst_doelgroep[Uitgangssituatie/effect beleid],uitkomst_tech[[#This Row],[Uitgangssituatie/effect beleid]])</f>
        <v>166177.34303957262</v>
      </c>
    </row>
    <row r="690" spans="1:12" x14ac:dyDescent="0.5">
      <c r="A690" s="2" t="str">
        <f>INDEX(Technologieën[Veld],MATCH(B690,Technologieën[Digitale zorgtoepassing],0))</f>
        <v>Sensoren - Behandeling</v>
      </c>
      <c r="B690" s="33" t="s">
        <v>53</v>
      </c>
      <c r="C690" s="33" t="s">
        <v>813</v>
      </c>
      <c r="D690" s="33">
        <v>2030</v>
      </c>
      <c r="E690" s="2"/>
      <c r="F690" s="397">
        <f>SUMIFS(uitkomst_doelgroep[Patiëntaantallen],uitkomst_doelgroep[Digitale zorgtoepassing],B690,uitkomst_doelgroep[Jaar],D690,uitkomst_doelgroep[Arbeidsbesparing (€)],"&gt;0",uitkomst_doelgroep[Uitgangssituatie/effect beleid],uitkomst_tech[[#This Row],[Uitgangssituatie/effect beleid]])</f>
        <v>80563.735580681619</v>
      </c>
      <c r="G690" s="398">
        <f>SUMIFS(uitkomst_doelgroep[Arbeidsbesparing (€)],uitkomst_doelgroep[Digitale zorgtoepassing],B690,uitkomst_doelgroep[Jaar],D690,uitkomst_doelgroep[Arbeidsbesparing (€)],"&gt;0",uitkomst_doelgroep[Uitgangssituatie/effect beleid],uitkomst_tech[[#This Row],[Uitgangssituatie/effect beleid]])</f>
        <v>25866276.327947117</v>
      </c>
      <c r="H690" s="398">
        <f>SUMIFS(uitkomst_doelgroep[Arbeidsbesparing (FTE)],uitkomst_doelgroep[Digitale zorgtoepassing],B690,uitkomst_doelgroep[Jaar],D690,uitkomst_doelgroep[Arbeidsbesparing (FTE)],"&gt;0",uitkomst_doelgroep[Uitgangssituatie/effect beleid],uitkomst_tech[[#This Row],[Uitgangssituatie/effect beleid]])</f>
        <v>448.29384019577475</v>
      </c>
      <c r="I690" s="398">
        <f>SUMIFS(uitkomst_doelgroep[Overige besparingen (€)],uitkomst_doelgroep[Digitale zorgtoepassing],B690,uitkomst_doelgroep[Jaar],D690,uitkomst_doelgroep[Overige besparingen (€)],"&gt;0",uitkomst_doelgroep[Uitgangssituatie/effect beleid],uitkomst_tech[[#This Row],[Uitgangssituatie/effect beleid]])</f>
        <v>17244184.218631417</v>
      </c>
      <c r="J690" s="398">
        <f>SUMIFS(uitkomst_doelgroep[QALY (€)],uitkomst_doelgroep[Digitale zorgtoepassing],B690,uitkomst_doelgroep[Jaar],D690,uitkomst_doelgroep[QALY (€)],"&gt;0",uitkomst_doelgroep[Uitgangssituatie/effect beleid],uitkomst_tech[[#This Row],[Uitgangssituatie/effect beleid]])</f>
        <v>229606646.4049426</v>
      </c>
      <c r="K690" s="398">
        <f>SUMIFS(uitkomst_doelgroep[Kosten (€)],uitkomst_doelgroep[Digitale zorgtoepassing],B690,uitkomst_doelgroep[Jaar],D690,uitkomst_doelgroep[Kosten (€)],"&gt;0",uitkomst_doelgroep[Uitgangssituatie/effect beleid],uitkomst_tech[[#This Row],[Uitgangssituatie/effect beleid]])</f>
        <v>13249931.302626025</v>
      </c>
      <c r="L690" s="398">
        <f>SUMIFS(uitkomst_doelgroep[Investering (cash flow) (€)],uitkomst_doelgroep[Digitale zorgtoepassing],B690,uitkomst_doelgroep[Jaar],D690,uitkomst_doelgroep[Investering (cash flow) (€)],"&gt;0",uitkomst_doelgroep[Uitgangssituatie/effect beleid],uitkomst_tech[[#This Row],[Uitgangssituatie/effect beleid]])</f>
        <v>105000.94000559305</v>
      </c>
    </row>
    <row r="691" spans="1:12" x14ac:dyDescent="0.5">
      <c r="A691" s="2" t="str">
        <f>INDEX(Technologieën[Veld],MATCH(B691,Technologieën[Digitale zorgtoepassing],0))</f>
        <v>Sensoren - Behandeling</v>
      </c>
      <c r="B691" s="33" t="s">
        <v>53</v>
      </c>
      <c r="C691" s="33" t="s">
        <v>813</v>
      </c>
      <c r="D691" s="33">
        <v>2031</v>
      </c>
      <c r="E691" s="2"/>
      <c r="F691" s="397">
        <f>SUMIFS(uitkomst_doelgroep[Patiëntaantallen],uitkomst_doelgroep[Digitale zorgtoepassing],B691,uitkomst_doelgroep[Jaar],D691,uitkomst_doelgroep[Arbeidsbesparing (€)],"&gt;0",uitkomst_doelgroep[Uitgangssituatie/effect beleid],uitkomst_tech[[#This Row],[Uitgangssituatie/effect beleid]])</f>
        <v>100999.25515208791</v>
      </c>
      <c r="G691" s="398">
        <f>SUMIFS(uitkomst_doelgroep[Arbeidsbesparing (€)],uitkomst_doelgroep[Digitale zorgtoepassing],B691,uitkomst_doelgroep[Jaar],D691,uitkomst_doelgroep[Arbeidsbesparing (€)],"&gt;0",uitkomst_doelgroep[Uitgangssituatie/effect beleid],uitkomst_tech[[#This Row],[Uitgangssituatie/effect beleid]])</f>
        <v>32427426.854660247</v>
      </c>
      <c r="H691" s="398">
        <f>SUMIFS(uitkomst_doelgroep[Arbeidsbesparing (FTE)],uitkomst_doelgroep[Digitale zorgtoepassing],B691,uitkomst_doelgroep[Jaar],D691,uitkomst_doelgroep[Arbeidsbesparing (FTE)],"&gt;0",uitkomst_doelgroep[Uitgangssituatie/effect beleid],uitkomst_tech[[#This Row],[Uitgangssituatie/effect beleid]])</f>
        <v>562.00651102751783</v>
      </c>
      <c r="I691" s="398">
        <f>SUMIFS(uitkomst_doelgroep[Overige besparingen (€)],uitkomst_doelgroep[Digitale zorgtoepassing],B691,uitkomst_doelgroep[Jaar],D691,uitkomst_doelgroep[Overige besparingen (€)],"&gt;0",uitkomst_doelgroep[Uitgangssituatie/effect beleid],uitkomst_tech[[#This Row],[Uitgangssituatie/effect beleid]])</f>
        <v>21618284.569773503</v>
      </c>
      <c r="J691" s="398">
        <f>SUMIFS(uitkomst_doelgroep[QALY (€)],uitkomst_doelgroep[Digitale zorgtoepassing],B691,uitkomst_doelgroep[Jaar],D691,uitkomst_doelgroep[QALY (€)],"&gt;0",uitkomst_doelgroep[Uitgangssituatie/effect beleid],uitkomst_tech[[#This Row],[Uitgangssituatie/effect beleid]])</f>
        <v>287847877.18345058</v>
      </c>
      <c r="K691" s="398">
        <f>SUMIFS(uitkomst_doelgroep[Kosten (€)],uitkomst_doelgroep[Digitale zorgtoepassing],B691,uitkomst_doelgroep[Jaar],D691,uitkomst_doelgroep[Kosten (€)],"&gt;0",uitkomst_doelgroep[Uitgangssituatie/effect beleid],uitkomst_tech[[#This Row],[Uitgangssituatie/effect beleid]])</f>
        <v>16162997.885439262</v>
      </c>
      <c r="L691" s="398">
        <f>SUMIFS(uitkomst_doelgroep[Investering (cash flow) (€)],uitkomst_doelgroep[Digitale zorgtoepassing],B691,uitkomst_doelgroep[Jaar],D691,uitkomst_doelgroep[Investering (cash flow) (€)],"&gt;0",uitkomst_doelgroep[Uitgangssituatie/effect beleid],uitkomst_tech[[#This Row],[Uitgangssituatie/effect beleid]])</f>
        <v>64208.266479272235</v>
      </c>
    </row>
    <row r="692" spans="1:12" x14ac:dyDescent="0.5">
      <c r="A692" s="2" t="str">
        <f>INDEX(Technologieën[Veld],MATCH(B692,Technologieën[Digitale zorgtoepassing],0))</f>
        <v>Sensoren - Behandeling</v>
      </c>
      <c r="B692" s="33" t="s">
        <v>53</v>
      </c>
      <c r="C692" s="33" t="s">
        <v>813</v>
      </c>
      <c r="D692" s="33">
        <v>2032</v>
      </c>
      <c r="E692" s="2"/>
      <c r="F692" s="397">
        <f>SUMIFS(uitkomst_doelgroep[Patiëntaantallen],uitkomst_doelgroep[Digitale zorgtoepassing],B692,uitkomst_doelgroep[Jaar],D692,uitkomst_doelgroep[Arbeidsbesparing (€)],"&gt;0",uitkomst_doelgroep[Uitgangssituatie/effect beleid],uitkomst_tech[[#This Row],[Uitgangssituatie/effect beleid]])</f>
        <v>124945.03263856137</v>
      </c>
      <c r="G692" s="398">
        <f>SUMIFS(uitkomst_doelgroep[Arbeidsbesparing (€)],uitkomst_doelgroep[Digitale zorgtoepassing],B692,uitkomst_doelgroep[Jaar],D692,uitkomst_doelgroep[Arbeidsbesparing (€)],"&gt;0",uitkomst_doelgroep[Uitgangssituatie/effect beleid],uitkomst_tech[[#This Row],[Uitgangssituatie/effect beleid]])</f>
        <v>40115601.849132337</v>
      </c>
      <c r="H692" s="398">
        <f>SUMIFS(uitkomst_doelgroep[Arbeidsbesparing (FTE)],uitkomst_doelgroep[Digitale zorgtoepassing],B692,uitkomst_doelgroep[Jaar],D692,uitkomst_doelgroep[Arbeidsbesparing (FTE)],"&gt;0",uitkomst_doelgroep[Uitgangssituatie/effect beleid],uitkomst_tech[[#This Row],[Uitgangssituatie/effect beleid]])</f>
        <v>695.25187841908155</v>
      </c>
      <c r="I692" s="398">
        <f>SUMIFS(uitkomst_doelgroep[Overige besparingen (€)],uitkomst_doelgroep[Digitale zorgtoepassing],B692,uitkomst_doelgroep[Jaar],D692,uitkomst_doelgroep[Overige besparingen (€)],"&gt;0",uitkomst_doelgroep[Uitgangssituatie/effect beleid],uitkomst_tech[[#This Row],[Uitgangssituatie/effect beleid]])</f>
        <v>26743734.566088229</v>
      </c>
      <c r="J692" s="398">
        <f>SUMIFS(uitkomst_doelgroep[QALY (€)],uitkomst_doelgroep[Digitale zorgtoepassing],B692,uitkomst_doelgroep[Jaar],D692,uitkomst_doelgroep[QALY (€)],"&gt;0",uitkomst_doelgroep[Uitgangssituatie/effect beleid],uitkomst_tech[[#This Row],[Uitgangssituatie/effect beleid]])</f>
        <v>356093343.01989996</v>
      </c>
      <c r="K692" s="398">
        <f>SUMIFS(uitkomst_doelgroep[Kosten (€)],uitkomst_doelgroep[Digitale zorgtoepassing],B692,uitkomst_doelgroep[Jaar],D692,uitkomst_doelgroep[Kosten (€)],"&gt;0",uitkomst_doelgroep[Uitgangssituatie/effect beleid],uitkomst_tech[[#This Row],[Uitgangssituatie/effect beleid]])</f>
        <v>19554119.27535148</v>
      </c>
      <c r="L692" s="398">
        <f>SUMIFS(uitkomst_doelgroep[Investering (cash flow) (€)],uitkomst_doelgroep[Digitale zorgtoepassing],B692,uitkomst_doelgroep[Jaar],D692,uitkomst_doelgroep[Investering (cash flow) (€)],"&gt;0",uitkomst_doelgroep[Uitgangssituatie/effect beleid],uitkomst_tech[[#This Row],[Uitgangssituatie/effect beleid]])</f>
        <v>38447.801602073057</v>
      </c>
    </row>
    <row r="693" spans="1:12" x14ac:dyDescent="0.5">
      <c r="A693" s="2" t="str">
        <f>INDEX(Technologieën[Veld],MATCH(B693,Technologieën[Digitale zorgtoepassing],0))</f>
        <v>Sensoren - Behandeling</v>
      </c>
      <c r="B693" s="33" t="s">
        <v>53</v>
      </c>
      <c r="C693" s="33" t="s">
        <v>813</v>
      </c>
      <c r="D693" s="33">
        <v>2033</v>
      </c>
      <c r="E693" s="2"/>
      <c r="F693" s="397">
        <f>SUMIFS(uitkomst_doelgroep[Patiëntaantallen],uitkomst_doelgroep[Digitale zorgtoepassing],B693,uitkomst_doelgroep[Jaar],D693,uitkomst_doelgroep[Arbeidsbesparing (€)],"&gt;0",uitkomst_doelgroep[Uitgangssituatie/effect beleid],uitkomst_tech[[#This Row],[Uitgangssituatie/effect beleid]])</f>
        <v>151570.67843179841</v>
      </c>
      <c r="G693" s="398">
        <f>SUMIFS(uitkomst_doelgroep[Arbeidsbesparing (€)],uitkomst_doelgroep[Digitale zorgtoepassing],B693,uitkomst_doelgroep[Jaar],D693,uitkomst_doelgroep[Arbeidsbesparing (€)],"&gt;0",uitkomst_doelgroep[Uitgangssituatie/effect beleid],uitkomst_tech[[#This Row],[Uitgangssituatie/effect beleid]])</f>
        <v>48664191.441383772</v>
      </c>
      <c r="H693" s="398">
        <f>SUMIFS(uitkomst_doelgroep[Arbeidsbesparing (FTE)],uitkomst_doelgroep[Digitale zorgtoepassing],B693,uitkomst_doelgroep[Jaar],D693,uitkomst_doelgroep[Arbeidsbesparing (FTE)],"&gt;0",uitkomst_doelgroep[Uitgangssituatie/effect beleid],uitkomst_tech[[#This Row],[Uitgangssituatie/effect beleid]])</f>
        <v>843.40927100161798</v>
      </c>
      <c r="I693" s="398">
        <f>SUMIFS(uitkomst_doelgroep[Overige besparingen (€)],uitkomst_doelgroep[Digitale zorgtoepassing],B693,uitkomst_doelgroep[Jaar],D693,uitkomst_doelgroep[Overige besparingen (€)],"&gt;0",uitkomst_doelgroep[Uitgangssituatie/effect beleid],uitkomst_tech[[#This Row],[Uitgangssituatie/effect beleid]])</f>
        <v>32442794.294255853</v>
      </c>
      <c r="J693" s="398">
        <f>SUMIFS(uitkomst_doelgroep[QALY (€)],uitkomst_doelgroep[Digitale zorgtoepassing],B693,uitkomst_doelgroep[Jaar],D693,uitkomst_doelgroep[QALY (€)],"&gt;0",uitkomst_doelgroep[Uitgangssituatie/effect beleid],uitkomst_tech[[#This Row],[Uitgangssituatie/effect beleid]])</f>
        <v>431976433.53062546</v>
      </c>
      <c r="K693" s="398">
        <f>SUMIFS(uitkomst_doelgroep[Kosten (€)],uitkomst_doelgroep[Digitale zorgtoepassing],B693,uitkomst_doelgroep[Jaar],D693,uitkomst_doelgroep[Kosten (€)],"&gt;0",uitkomst_doelgroep[Uitgangssituatie/effect beleid],uitkomst_tech[[#This Row],[Uitgangssituatie/effect beleid]])</f>
        <v>23312249.352764517</v>
      </c>
      <c r="L693" s="398">
        <f>SUMIFS(uitkomst_doelgroep[Investering (cash flow) (€)],uitkomst_doelgroep[Digitale zorgtoepassing],B693,uitkomst_doelgroep[Jaar],D693,uitkomst_doelgroep[Investering (cash flow) (€)],"&gt;0",uitkomst_doelgroep[Uitgangssituatie/effect beleid],uitkomst_tech[[#This Row],[Uitgangssituatie/effect beleid]])</f>
        <v>22726.162105127412</v>
      </c>
    </row>
    <row r="694" spans="1:12" x14ac:dyDescent="0.5">
      <c r="A694" s="2" t="str">
        <f>INDEX(Technologieën[Veld],MATCH(B694,Technologieën[Digitale zorgtoepassing],0))</f>
        <v>Software - Behandeling</v>
      </c>
      <c r="B694" s="33" t="s">
        <v>101</v>
      </c>
      <c r="C694" s="33" t="s">
        <v>813</v>
      </c>
      <c r="D694" s="33">
        <v>2023</v>
      </c>
      <c r="E694" s="2"/>
      <c r="F694" s="397">
        <f>SUMIFS(uitkomst_doelgroep[Patiëntaantallen],uitkomst_doelgroep[Digitale zorgtoepassing],B694,uitkomst_doelgroep[Jaar],D694,uitkomst_doelgroep[Arbeidsbesparing (€)],"&gt;0",uitkomst_doelgroep[Uitgangssituatie/effect beleid],uitkomst_tech[[#This Row],[Uitgangssituatie/effect beleid]])</f>
        <v>47222.329968454258</v>
      </c>
      <c r="G694" s="398">
        <f>SUMIFS(uitkomst_doelgroep[Arbeidsbesparing (€)],uitkomst_doelgroep[Digitale zorgtoepassing],B694,uitkomst_doelgroep[Jaar],D694,uitkomst_doelgroep[Arbeidsbesparing (€)],"&gt;0",uitkomst_doelgroep[Uitgangssituatie/effect beleid],uitkomst_tech[[#This Row],[Uitgangssituatie/effect beleid]])</f>
        <v>55626930.56171035</v>
      </c>
      <c r="H694" s="398">
        <f>SUMIFS(uitkomst_doelgroep[Arbeidsbesparing (FTE)],uitkomst_doelgroep[Digitale zorgtoepassing],B694,uitkomst_doelgroep[Jaar],D694,uitkomst_doelgroep[Arbeidsbesparing (FTE)],"&gt;0",uitkomst_doelgroep[Uitgangssituatie/effect beleid],uitkomst_tech[[#This Row],[Uitgangssituatie/effect beleid]])</f>
        <v>1310.2836</v>
      </c>
      <c r="I694" s="398">
        <f>SUMIFS(uitkomst_doelgroep[Overige besparingen (€)],uitkomst_doelgroep[Digitale zorgtoepassing],B694,uitkomst_doelgroep[Jaar],D694,uitkomst_doelgroep[Overige besparingen (€)],"&gt;0",uitkomst_doelgroep[Uitgangssituatie/effect beleid],uitkomst_tech[[#This Row],[Uitgangssituatie/effect beleid]])</f>
        <v>57976.013705095218</v>
      </c>
      <c r="J694" s="398">
        <f>SUMIFS(uitkomst_doelgroep[QALY (€)],uitkomst_doelgroep[Digitale zorgtoepassing],B694,uitkomst_doelgroep[Jaar],D694,uitkomst_doelgroep[QALY (€)],"&gt;0",uitkomst_doelgroep[Uitgangssituatie/effect beleid],uitkomst_tech[[#This Row],[Uitgangssituatie/effect beleid]])</f>
        <v>0</v>
      </c>
      <c r="K694" s="398">
        <f>SUMIFS(uitkomst_doelgroep[Kosten (€)],uitkomst_doelgroep[Digitale zorgtoepassing],B694,uitkomst_doelgroep[Jaar],D694,uitkomst_doelgroep[Kosten (€)],"&gt;0",uitkomst_doelgroep[Uitgangssituatie/effect beleid],uitkomst_tech[[#This Row],[Uitgangssituatie/effect beleid]])</f>
        <v>1133335.9192429022</v>
      </c>
      <c r="L694" s="398">
        <f>SUMIFS(uitkomst_doelgroep[Investering (cash flow) (€)],uitkomst_doelgroep[Digitale zorgtoepassing],B694,uitkomst_doelgroep[Jaar],D694,uitkomst_doelgroep[Investering (cash flow) (€)],"&gt;0",uitkomst_doelgroep[Uitgangssituatie/effect beleid],uitkomst_tech[[#This Row],[Uitgangssituatie/effect beleid]])</f>
        <v>0</v>
      </c>
    </row>
    <row r="695" spans="1:12" x14ac:dyDescent="0.5">
      <c r="A695" s="2" t="str">
        <f>INDEX(Technologieën[Veld],MATCH(B695,Technologieën[Digitale zorgtoepassing],0))</f>
        <v>Software - Behandeling</v>
      </c>
      <c r="B695" s="33" t="s">
        <v>101</v>
      </c>
      <c r="C695" s="33" t="s">
        <v>813</v>
      </c>
      <c r="D695" s="33">
        <v>2024</v>
      </c>
      <c r="E695" s="2"/>
      <c r="F695" s="397">
        <f>SUMIFS(uitkomst_doelgroep[Patiëntaantallen],uitkomst_doelgroep[Digitale zorgtoepassing],B695,uitkomst_doelgroep[Jaar],D695,uitkomst_doelgroep[Arbeidsbesparing (€)],"&gt;0",uitkomst_doelgroep[Uitgangssituatie/effect beleid],uitkomst_tech[[#This Row],[Uitgangssituatie/effect beleid]])</f>
        <v>60444.582359621447</v>
      </c>
      <c r="G695" s="398">
        <f>SUMIFS(uitkomst_doelgroep[Arbeidsbesparing (€)],uitkomst_doelgroep[Digitale zorgtoepassing],B695,uitkomst_doelgroep[Jaar],D695,uitkomst_doelgroep[Arbeidsbesparing (€)],"&gt;0",uitkomst_doelgroep[Uitgangssituatie/effect beleid],uitkomst_tech[[#This Row],[Uitgangssituatie/effect beleid]])</f>
        <v>71202471.118989244</v>
      </c>
      <c r="H695" s="398">
        <f>SUMIFS(uitkomst_doelgroep[Arbeidsbesparing (FTE)],uitkomst_doelgroep[Digitale zorgtoepassing],B695,uitkomst_doelgroep[Jaar],D695,uitkomst_doelgroep[Arbeidsbesparing (FTE)],"&gt;0",uitkomst_doelgroep[Uitgangssituatie/effect beleid],uitkomst_tech[[#This Row],[Uitgangssituatie/effect beleid]])</f>
        <v>1677.163008</v>
      </c>
      <c r="I695" s="398">
        <f>SUMIFS(uitkomst_doelgroep[Overige besparingen (€)],uitkomst_doelgroep[Digitale zorgtoepassing],B695,uitkomst_doelgroep[Jaar],D695,uitkomst_doelgroep[Overige besparingen (€)],"&gt;0",uitkomst_doelgroep[Uitgangssituatie/effect beleid],uitkomst_tech[[#This Row],[Uitgangssituatie/effect beleid]])</f>
        <v>74209.297542521876</v>
      </c>
      <c r="J695" s="398">
        <f>SUMIFS(uitkomst_doelgroep[QALY (€)],uitkomst_doelgroep[Digitale zorgtoepassing],B695,uitkomst_doelgroep[Jaar],D695,uitkomst_doelgroep[QALY (€)],"&gt;0",uitkomst_doelgroep[Uitgangssituatie/effect beleid],uitkomst_tech[[#This Row],[Uitgangssituatie/effect beleid]])</f>
        <v>0</v>
      </c>
      <c r="K695" s="398">
        <f>SUMIFS(uitkomst_doelgroep[Kosten (€)],uitkomst_doelgroep[Digitale zorgtoepassing],B695,uitkomst_doelgroep[Jaar],D695,uitkomst_doelgroep[Kosten (€)],"&gt;0",uitkomst_doelgroep[Uitgangssituatie/effect beleid],uitkomst_tech[[#This Row],[Uitgangssituatie/effect beleid]])</f>
        <v>1450669.976630915</v>
      </c>
      <c r="L695" s="398">
        <f>SUMIFS(uitkomst_doelgroep[Investering (cash flow) (€)],uitkomst_doelgroep[Digitale zorgtoepassing],B695,uitkomst_doelgroep[Jaar],D695,uitkomst_doelgroep[Investering (cash flow) (€)],"&gt;0",uitkomst_doelgroep[Uitgangssituatie/effect beleid],uitkomst_tech[[#This Row],[Uitgangssituatie/effect beleid]])</f>
        <v>0</v>
      </c>
    </row>
    <row r="696" spans="1:12" x14ac:dyDescent="0.5">
      <c r="A696" s="2" t="str">
        <f>INDEX(Technologieën[Veld],MATCH(B696,Technologieën[Digitale zorgtoepassing],0))</f>
        <v>Software - Behandeling</v>
      </c>
      <c r="B696" s="33" t="s">
        <v>101</v>
      </c>
      <c r="C696" s="33" t="s">
        <v>813</v>
      </c>
      <c r="D696" s="33">
        <v>2025</v>
      </c>
      <c r="E696" s="2"/>
      <c r="F696" s="397">
        <f>SUMIFS(uitkomst_doelgroep[Patiëntaantallen],uitkomst_doelgroep[Digitale zorgtoepassing],B696,uitkomst_doelgroep[Jaar],D696,uitkomst_doelgroep[Arbeidsbesparing (€)],"&gt;0",uitkomst_doelgroep[Uitgangssituatie/effect beleid],uitkomst_tech[[#This Row],[Uitgangssituatie/effect beleid]])</f>
        <v>75692.483817115455</v>
      </c>
      <c r="G696" s="398">
        <f>SUMIFS(uitkomst_doelgroep[Arbeidsbesparing (€)],uitkomst_doelgroep[Digitale zorgtoepassing],B696,uitkomst_doelgroep[Jaar],D696,uitkomst_doelgroep[Arbeidsbesparing (€)],"&gt;0",uitkomst_doelgroep[Uitgangssituatie/effect beleid],uitkomst_tech[[#This Row],[Uitgangssituatie/effect beleid]])</f>
        <v>89164184.489643261</v>
      </c>
      <c r="H696" s="398">
        <f>SUMIFS(uitkomst_doelgroep[Arbeidsbesparing (FTE)],uitkomst_doelgroep[Digitale zorgtoepassing],B696,uitkomst_doelgroep[Jaar],D696,uitkomst_doelgroep[Arbeidsbesparing (FTE)],"&gt;0",uitkomst_doelgroep[Uitgangssituatie/effect beleid],uitkomst_tech[[#This Row],[Uitgangssituatie/effect beleid]])</f>
        <v>2100.2483413055998</v>
      </c>
      <c r="I696" s="398">
        <f>SUMIFS(uitkomst_doelgroep[Overige besparingen (€)],uitkomst_doelgroep[Digitale zorgtoepassing],B696,uitkomst_doelgroep[Jaar],D696,uitkomst_doelgroep[Overige besparingen (€)],"&gt;0",uitkomst_doelgroep[Uitgangssituatie/effect beleid],uitkomst_tech[[#This Row],[Uitgangssituatie/effect beleid]])</f>
        <v>92929.520463842302</v>
      </c>
      <c r="J696" s="398">
        <f>SUMIFS(uitkomst_doelgroep[QALY (€)],uitkomst_doelgroep[Digitale zorgtoepassing],B696,uitkomst_doelgroep[Jaar],D696,uitkomst_doelgroep[QALY (€)],"&gt;0",uitkomst_doelgroep[Uitgangssituatie/effect beleid],uitkomst_tech[[#This Row],[Uitgangssituatie/effect beleid]])</f>
        <v>0</v>
      </c>
      <c r="K696" s="398">
        <f>SUMIFS(uitkomst_doelgroep[Kosten (€)],uitkomst_doelgroep[Digitale zorgtoepassing],B696,uitkomst_doelgroep[Jaar],D696,uitkomst_doelgroep[Kosten (€)],"&gt;0",uitkomst_doelgroep[Uitgangssituatie/effect beleid],uitkomst_tech[[#This Row],[Uitgangssituatie/effect beleid]])</f>
        <v>1816619.6116107712</v>
      </c>
      <c r="L696" s="398">
        <f>SUMIFS(uitkomst_doelgroep[Investering (cash flow) (€)],uitkomst_doelgroep[Digitale zorgtoepassing],B696,uitkomst_doelgroep[Jaar],D696,uitkomst_doelgroep[Investering (cash flow) (€)],"&gt;0",uitkomst_doelgroep[Uitgangssituatie/effect beleid],uitkomst_tech[[#This Row],[Uitgangssituatie/effect beleid]])</f>
        <v>0</v>
      </c>
    </row>
    <row r="697" spans="1:12" x14ac:dyDescent="0.5">
      <c r="A697" s="2" t="str">
        <f>INDEX(Technologieën[Veld],MATCH(B697,Technologieën[Digitale zorgtoepassing],0))</f>
        <v>Software - Behandeling</v>
      </c>
      <c r="B697" s="33" t="s">
        <v>101</v>
      </c>
      <c r="C697" s="33" t="s">
        <v>813</v>
      </c>
      <c r="D697" s="33">
        <v>2026</v>
      </c>
      <c r="E697" s="2"/>
      <c r="F697" s="397">
        <f>SUMIFS(uitkomst_doelgroep[Patiëntaantallen],uitkomst_doelgroep[Digitale zorgtoepassing],B697,uitkomst_doelgroep[Jaar],D697,uitkomst_doelgroep[Arbeidsbesparing (€)],"&gt;0",uitkomst_doelgroep[Uitgangssituatie/effect beleid],uitkomst_tech[[#This Row],[Uitgangssituatie/effect beleid]])</f>
        <v>92724.78985007052</v>
      </c>
      <c r="G697" s="398">
        <f>SUMIFS(uitkomst_doelgroep[Arbeidsbesparing (€)],uitkomst_doelgroep[Digitale zorgtoepassing],B697,uitkomst_doelgroep[Jaar],D697,uitkomst_doelgroep[Arbeidsbesparing (€)],"&gt;0",uitkomst_doelgroep[Uitgangssituatie/effect beleid],uitkomst_tech[[#This Row],[Uitgangssituatie/effect beleid]])</f>
        <v>109227889.64002267</v>
      </c>
      <c r="H697" s="398">
        <f>SUMIFS(uitkomst_doelgroep[Arbeidsbesparing (FTE)],uitkomst_doelgroep[Digitale zorgtoepassing],B697,uitkomst_doelgroep[Jaar],D697,uitkomst_doelgroep[Arbeidsbesparing (FTE)],"&gt;0",uitkomst_doelgroep[Uitgangssituatie/effect beleid],uitkomst_tech[[#This Row],[Uitgangssituatie/effect beleid]])</f>
        <v>2572.8457603671009</v>
      </c>
      <c r="I697" s="398">
        <f>SUMIFS(uitkomst_doelgroep[Overige besparingen (€)],uitkomst_doelgroep[Digitale zorgtoepassing],B697,uitkomst_doelgroep[Jaar],D697,uitkomst_doelgroep[Overige besparingen (€)],"&gt;0",uitkomst_doelgroep[Uitgangssituatie/effect beleid],uitkomst_tech[[#This Row],[Uitgangssituatie/effect beleid]])</f>
        <v>113840.50068560669</v>
      </c>
      <c r="J697" s="398">
        <f>SUMIFS(uitkomst_doelgroep[QALY (€)],uitkomst_doelgroep[Digitale zorgtoepassing],B697,uitkomst_doelgroep[Jaar],D697,uitkomst_doelgroep[QALY (€)],"&gt;0",uitkomst_doelgroep[Uitgangssituatie/effect beleid],uitkomst_tech[[#This Row],[Uitgangssituatie/effect beleid]])</f>
        <v>0</v>
      </c>
      <c r="K697" s="398">
        <f>SUMIFS(uitkomst_doelgroep[Kosten (€)],uitkomst_doelgroep[Digitale zorgtoepassing],B697,uitkomst_doelgroep[Jaar],D697,uitkomst_doelgroep[Kosten (€)],"&gt;0",uitkomst_doelgroep[Uitgangssituatie/effect beleid],uitkomst_tech[[#This Row],[Uitgangssituatie/effect beleid]])</f>
        <v>2225394.9564016922</v>
      </c>
      <c r="L697" s="398">
        <f>SUMIFS(uitkomst_doelgroep[Investering (cash flow) (€)],uitkomst_doelgroep[Digitale zorgtoepassing],B697,uitkomst_doelgroep[Jaar],D697,uitkomst_doelgroep[Investering (cash flow) (€)],"&gt;0",uitkomst_doelgroep[Uitgangssituatie/effect beleid],uitkomst_tech[[#This Row],[Uitgangssituatie/effect beleid]])</f>
        <v>0</v>
      </c>
    </row>
    <row r="698" spans="1:12" x14ac:dyDescent="0.5">
      <c r="A698" s="2" t="str">
        <f>INDEX(Technologieën[Veld],MATCH(B698,Technologieën[Digitale zorgtoepassing],0))</f>
        <v>Software - Behandeling</v>
      </c>
      <c r="B698" s="33" t="s">
        <v>101</v>
      </c>
      <c r="C698" s="33" t="s">
        <v>813</v>
      </c>
      <c r="D698" s="33">
        <v>2027</v>
      </c>
      <c r="E698" s="2"/>
      <c r="F698" s="397">
        <f>SUMIFS(uitkomst_doelgroep[Patiëntaantallen],uitkomst_doelgroep[Digitale zorgtoepassing],B698,uitkomst_doelgroep[Jaar],D698,uitkomst_doelgroep[Arbeidsbesparing (€)],"&gt;0",uitkomst_doelgroep[Uitgangssituatie/effect beleid],uitkomst_tech[[#This Row],[Uitgangssituatie/effect beleid]])</f>
        <v>111051.74670157189</v>
      </c>
      <c r="G698" s="398">
        <f>SUMIFS(uitkomst_doelgroep[Arbeidsbesparing (€)],uitkomst_doelgroep[Digitale zorgtoepassing],B698,uitkomst_doelgroep[Jaar],D698,uitkomst_doelgroep[Arbeidsbesparing (€)],"&gt;0",uitkomst_doelgroep[Uitgangssituatie/effect beleid],uitkomst_tech[[#This Row],[Uitgangssituatie/effect beleid]])</f>
        <v>130816666.74752587</v>
      </c>
      <c r="H698" s="398">
        <f>SUMIFS(uitkomst_doelgroep[Arbeidsbesparing (FTE)],uitkomst_doelgroep[Digitale zorgtoepassing],B698,uitkomst_doelgroep[Jaar],D698,uitkomst_doelgroep[Arbeidsbesparing (FTE)],"&gt;0",uitkomst_doelgroep[Uitgangssituatie/effect beleid],uitkomst_tech[[#This Row],[Uitgangssituatie/effect beleid]])</f>
        <v>3081.3660095049881</v>
      </c>
      <c r="I698" s="398">
        <f>SUMIFS(uitkomst_doelgroep[Overige besparingen (€)],uitkomst_doelgroep[Digitale zorgtoepassing],B698,uitkomst_doelgroep[Jaar],D698,uitkomst_doelgroep[Overige besparingen (€)],"&gt;0",uitkomst_doelgroep[Uitgangssituatie/effect beleid],uitkomst_tech[[#This Row],[Uitgangssituatie/effect beleid]])</f>
        <v>136340.95549808894</v>
      </c>
      <c r="J698" s="398">
        <f>SUMIFS(uitkomst_doelgroep[QALY (€)],uitkomst_doelgroep[Digitale zorgtoepassing],B698,uitkomst_doelgroep[Jaar],D698,uitkomst_doelgroep[QALY (€)],"&gt;0",uitkomst_doelgroep[Uitgangssituatie/effect beleid],uitkomst_tech[[#This Row],[Uitgangssituatie/effect beleid]])</f>
        <v>0</v>
      </c>
      <c r="K698" s="398">
        <f>SUMIFS(uitkomst_doelgroep[Kosten (€)],uitkomst_doelgroep[Digitale zorgtoepassing],B698,uitkomst_doelgroep[Jaar],D698,uitkomst_doelgroep[Kosten (€)],"&gt;0",uitkomst_doelgroep[Uitgangssituatie/effect beleid],uitkomst_tech[[#This Row],[Uitgangssituatie/effect beleid]])</f>
        <v>2665241.9208377246</v>
      </c>
      <c r="L698" s="398">
        <f>SUMIFS(uitkomst_doelgroep[Investering (cash flow) (€)],uitkomst_doelgroep[Digitale zorgtoepassing],B698,uitkomst_doelgroep[Jaar],D698,uitkomst_doelgroep[Investering (cash flow) (€)],"&gt;0",uitkomst_doelgroep[Uitgangssituatie/effect beleid],uitkomst_tech[[#This Row],[Uitgangssituatie/effect beleid]])</f>
        <v>0</v>
      </c>
    </row>
    <row r="699" spans="1:12" x14ac:dyDescent="0.5">
      <c r="A699" s="2" t="str">
        <f>INDEX(Technologieën[Veld],MATCH(B699,Technologieën[Digitale zorgtoepassing],0))</f>
        <v>Software - Behandeling</v>
      </c>
      <c r="B699" s="33" t="s">
        <v>101</v>
      </c>
      <c r="C699" s="33" t="s">
        <v>813</v>
      </c>
      <c r="D699" s="33">
        <v>2028</v>
      </c>
      <c r="E699" s="2"/>
      <c r="F699" s="397">
        <f>SUMIFS(uitkomst_doelgroep[Patiëntaantallen],uitkomst_doelgroep[Digitale zorgtoepassing],B699,uitkomst_doelgroep[Jaar],D699,uitkomst_doelgroep[Arbeidsbesparing (€)],"&gt;0",uitkomst_doelgroep[Uitgangssituatie/effect beleid],uitkomst_tech[[#This Row],[Uitgangssituatie/effect beleid]])</f>
        <v>129948.38822437864</v>
      </c>
      <c r="G699" s="398">
        <f>SUMIFS(uitkomst_doelgroep[Arbeidsbesparing (€)],uitkomst_doelgroep[Digitale zorgtoepassing],B699,uitkomst_doelgroep[Jaar],D699,uitkomst_doelgroep[Arbeidsbesparing (€)],"&gt;0",uitkomst_doelgroep[Uitgangssituatie/effect beleid],uitkomst_tech[[#This Row],[Uitgangssituatie/effect beleid]])</f>
        <v>153076520.64590207</v>
      </c>
      <c r="H699" s="398">
        <f>SUMIFS(uitkomst_doelgroep[Arbeidsbesparing (FTE)],uitkomst_doelgroep[Digitale zorgtoepassing],B699,uitkomst_doelgroep[Jaar],D699,uitkomst_doelgroep[Arbeidsbesparing (FTE)],"&gt;0",uitkomst_doelgroep[Uitgangssituatie/effect beleid],uitkomst_tech[[#This Row],[Uitgangssituatie/effect beleid]])</f>
        <v>3605.6933669003774</v>
      </c>
      <c r="I699" s="398">
        <f>SUMIFS(uitkomst_doelgroep[Overige besparingen (€)],uitkomst_doelgroep[Digitale zorgtoepassing],B699,uitkomst_doelgroep[Jaar],D699,uitkomst_doelgroep[Overige besparingen (€)],"&gt;0",uitkomst_doelgroep[Uitgangssituatie/effect beleid],uitkomst_tech[[#This Row],[Uitgangssituatie/effect beleid]])</f>
        <v>159540.82616602024</v>
      </c>
      <c r="J699" s="398">
        <f>SUMIFS(uitkomst_doelgroep[QALY (€)],uitkomst_doelgroep[Digitale zorgtoepassing],B699,uitkomst_doelgroep[Jaar],D699,uitkomst_doelgroep[QALY (€)],"&gt;0",uitkomst_doelgroep[Uitgangssituatie/effect beleid],uitkomst_tech[[#This Row],[Uitgangssituatie/effect beleid]])</f>
        <v>0</v>
      </c>
      <c r="K699" s="398">
        <f>SUMIFS(uitkomst_doelgroep[Kosten (€)],uitkomst_doelgroep[Digitale zorgtoepassing],B699,uitkomst_doelgroep[Jaar],D699,uitkomst_doelgroep[Kosten (€)],"&gt;0",uitkomst_doelgroep[Uitgangssituatie/effect beleid],uitkomst_tech[[#This Row],[Uitgangssituatie/effect beleid]])</f>
        <v>3118761.3173850868</v>
      </c>
      <c r="L699" s="398">
        <f>SUMIFS(uitkomst_doelgroep[Investering (cash flow) (€)],uitkomst_doelgroep[Digitale zorgtoepassing],B699,uitkomst_doelgroep[Jaar],D699,uitkomst_doelgroep[Investering (cash flow) (€)],"&gt;0",uitkomst_doelgroep[Uitgangssituatie/effect beleid],uitkomst_tech[[#This Row],[Uitgangssituatie/effect beleid]])</f>
        <v>0</v>
      </c>
    </row>
    <row r="700" spans="1:12" x14ac:dyDescent="0.5">
      <c r="A700" s="2" t="str">
        <f>INDEX(Technologieën[Veld],MATCH(B700,Technologieën[Digitale zorgtoepassing],0))</f>
        <v>Software - Behandeling</v>
      </c>
      <c r="B700" s="33" t="s">
        <v>101</v>
      </c>
      <c r="C700" s="33" t="s">
        <v>813</v>
      </c>
      <c r="D700" s="33">
        <v>2029</v>
      </c>
      <c r="E700" s="2"/>
      <c r="F700" s="397">
        <f>SUMIFS(uitkomst_doelgroep[Patiëntaantallen],uitkomst_doelgroep[Digitale zorgtoepassing],B700,uitkomst_doelgroep[Jaar],D700,uitkomst_doelgroep[Arbeidsbesparing (€)],"&gt;0",uitkomst_doelgroep[Uitgangssituatie/effect beleid],uitkomst_tech[[#This Row],[Uitgangssituatie/effect beleid]])</f>
        <v>148538.69180419378</v>
      </c>
      <c r="G700" s="398">
        <f>SUMIFS(uitkomst_doelgroep[Arbeidsbesparing (€)],uitkomst_doelgroep[Digitale zorgtoepassing],B700,uitkomst_doelgroep[Jaar],D700,uitkomst_doelgroep[Arbeidsbesparing (€)],"&gt;0",uitkomst_doelgroep[Uitgangssituatie/effect beleid],uitkomst_tech[[#This Row],[Uitgangssituatie/effect beleid]])</f>
        <v>174975514.76682562</v>
      </c>
      <c r="H700" s="398">
        <f>SUMIFS(uitkomst_doelgroep[Arbeidsbesparing (FTE)],uitkomst_doelgroep[Digitale zorgtoepassing],B700,uitkomst_doelgroep[Jaar],D700,uitkomst_doelgroep[Arbeidsbesparing (FTE)],"&gt;0",uitkomst_doelgroep[Uitgangssituatie/effect beleid],uitkomst_tech[[#This Row],[Uitgangssituatie/effect beleid]])</f>
        <v>4121.5207289963437</v>
      </c>
      <c r="I700" s="398">
        <f>SUMIFS(uitkomst_doelgroep[Overige besparingen (€)],uitkomst_doelgroep[Digitale zorgtoepassing],B700,uitkomst_doelgroep[Jaar],D700,uitkomst_doelgroep[Overige besparingen (€)],"&gt;0",uitkomst_doelgroep[Uitgangssituatie/effect beleid],uitkomst_tech[[#This Row],[Uitgangssituatie/effect beleid]])</f>
        <v>182364.59822142785</v>
      </c>
      <c r="J700" s="398">
        <f>SUMIFS(uitkomst_doelgroep[QALY (€)],uitkomst_doelgroep[Digitale zorgtoepassing],B700,uitkomst_doelgroep[Jaar],D700,uitkomst_doelgroep[QALY (€)],"&gt;0",uitkomst_doelgroep[Uitgangssituatie/effect beleid],uitkomst_tech[[#This Row],[Uitgangssituatie/effect beleid]])</f>
        <v>0</v>
      </c>
      <c r="K700" s="398">
        <f>SUMIFS(uitkomst_doelgroep[Kosten (€)],uitkomst_doelgroep[Digitale zorgtoepassing],B700,uitkomst_doelgroep[Jaar],D700,uitkomst_doelgroep[Kosten (€)],"&gt;0",uitkomst_doelgroep[Uitgangssituatie/effect beleid],uitkomst_tech[[#This Row],[Uitgangssituatie/effect beleid]])</f>
        <v>3564928.6033006501</v>
      </c>
      <c r="L700" s="398">
        <f>SUMIFS(uitkomst_doelgroep[Investering (cash flow) (€)],uitkomst_doelgroep[Digitale zorgtoepassing],B700,uitkomst_doelgroep[Jaar],D700,uitkomst_doelgroep[Investering (cash flow) (€)],"&gt;0",uitkomst_doelgroep[Uitgangssituatie/effect beleid],uitkomst_tech[[#This Row],[Uitgangssituatie/effect beleid]])</f>
        <v>0</v>
      </c>
    </row>
    <row r="701" spans="1:12" x14ac:dyDescent="0.5">
      <c r="A701" s="2" t="str">
        <f>INDEX(Technologieën[Veld],MATCH(B701,Technologieën[Digitale zorgtoepassing],0))</f>
        <v>Software - Behandeling</v>
      </c>
      <c r="B701" s="33" t="s">
        <v>101</v>
      </c>
      <c r="C701" s="33" t="s">
        <v>813</v>
      </c>
      <c r="D701" s="33">
        <v>2030</v>
      </c>
      <c r="E701" s="2"/>
      <c r="F701" s="397">
        <f>SUMIFS(uitkomst_doelgroep[Patiëntaantallen],uitkomst_doelgroep[Digitale zorgtoepassing],B701,uitkomst_doelgroep[Jaar],D701,uitkomst_doelgroep[Arbeidsbesparing (€)],"&gt;0",uitkomst_doelgroep[Uitgangssituatie/effect beleid],uitkomst_tech[[#This Row],[Uitgangssituatie/effect beleid]])</f>
        <v>165942.16065507126</v>
      </c>
      <c r="G701" s="398">
        <f>SUMIFS(uitkomst_doelgroep[Arbeidsbesparing (€)],uitkomst_doelgroep[Digitale zorgtoepassing],B701,uitkomst_doelgroep[Jaar],D701,uitkomst_doelgroep[Arbeidsbesparing (€)],"&gt;0",uitkomst_doelgroep[Uitgangssituatie/effect beleid],uitkomst_tech[[#This Row],[Uitgangssituatie/effect beleid]])</f>
        <v>195476442.06006524</v>
      </c>
      <c r="H701" s="398">
        <f>SUMIFS(uitkomst_doelgroep[Arbeidsbesparing (FTE)],uitkomst_doelgroep[Digitale zorgtoepassing],B701,uitkomst_doelgroep[Jaar],D701,uitkomst_doelgroep[Arbeidsbesparing (FTE)],"&gt;0",uitkomst_doelgroep[Uitgangssituatie/effect beleid],uitkomst_tech[[#This Row],[Uitgangssituatie/effect beleid]])</f>
        <v>4604.4168468636526</v>
      </c>
      <c r="I701" s="398">
        <f>SUMIFS(uitkomst_doelgroep[Overige besparingen (€)],uitkomst_doelgroep[Digitale zorgtoepassing],B701,uitkomst_doelgroep[Jaar],D701,uitkomst_doelgroep[Overige besparingen (€)],"&gt;0",uitkomst_doelgroep[Uitgangssituatie/effect beleid],uitkomst_tech[[#This Row],[Uitgangssituatie/effect beleid]])</f>
        <v>203731.26414597454</v>
      </c>
      <c r="J701" s="398">
        <f>SUMIFS(uitkomst_doelgroep[QALY (€)],uitkomst_doelgroep[Digitale zorgtoepassing],B701,uitkomst_doelgroep[Jaar],D701,uitkomst_doelgroep[QALY (€)],"&gt;0",uitkomst_doelgroep[Uitgangssituatie/effect beleid],uitkomst_tech[[#This Row],[Uitgangssituatie/effect beleid]])</f>
        <v>0</v>
      </c>
      <c r="K701" s="398">
        <f>SUMIFS(uitkomst_doelgroep[Kosten (€)],uitkomst_doelgroep[Digitale zorgtoepassing],B701,uitkomst_doelgroep[Jaar],D701,uitkomst_doelgroep[Kosten (€)],"&gt;0",uitkomst_doelgroep[Uitgangssituatie/effect beleid],uitkomst_tech[[#This Row],[Uitgangssituatie/effect beleid]])</f>
        <v>3982611.8557217102</v>
      </c>
      <c r="L701" s="398">
        <f>SUMIFS(uitkomst_doelgroep[Investering (cash flow) (€)],uitkomst_doelgroep[Digitale zorgtoepassing],B701,uitkomst_doelgroep[Jaar],D701,uitkomst_doelgroep[Investering (cash flow) (€)],"&gt;0",uitkomst_doelgroep[Uitgangssituatie/effect beleid],uitkomst_tech[[#This Row],[Uitgangssituatie/effect beleid]])</f>
        <v>0</v>
      </c>
    </row>
    <row r="702" spans="1:12" x14ac:dyDescent="0.5">
      <c r="A702" s="2" t="str">
        <f>INDEX(Technologieën[Veld],MATCH(B702,Technologieën[Digitale zorgtoepassing],0))</f>
        <v>Software - Behandeling</v>
      </c>
      <c r="B702" s="33" t="s">
        <v>101</v>
      </c>
      <c r="C702" s="33" t="s">
        <v>813</v>
      </c>
      <c r="D702" s="33">
        <v>2031</v>
      </c>
      <c r="E702" s="2"/>
      <c r="F702" s="397">
        <f>SUMIFS(uitkomst_doelgroep[Patiëntaantallen],uitkomst_doelgroep[Digitale zorgtoepassing],B702,uitkomst_doelgroep[Jaar],D702,uitkomst_doelgroep[Arbeidsbesparing (€)],"&gt;0",uitkomst_doelgroep[Uitgangssituatie/effect beleid],uitkomst_tech[[#This Row],[Uitgangssituatie/effect beleid]])</f>
        <v>181438.64858942784</v>
      </c>
      <c r="G702" s="398">
        <f>SUMIFS(uitkomst_doelgroep[Arbeidsbesparing (€)],uitkomst_doelgroep[Digitale zorgtoepassing],B702,uitkomst_doelgroep[Jaar],D702,uitkomst_doelgroep[Arbeidsbesparing (€)],"&gt;0",uitkomst_doelgroep[Uitgangssituatie/effect beleid],uitkomst_tech[[#This Row],[Uitgangssituatie/effect beleid]])</f>
        <v>213730985.17241672</v>
      </c>
      <c r="H702" s="398">
        <f>SUMIFS(uitkomst_doelgroep[Arbeidsbesparing (FTE)],uitkomst_doelgroep[Digitale zorgtoepassing],B702,uitkomst_doelgroep[Jaar],D702,uitkomst_doelgroep[Arbeidsbesparing (FTE)],"&gt;0",uitkomst_doelgroep[Uitgangssituatie/effect beleid],uitkomst_tech[[#This Row],[Uitgangssituatie/effect beleid]])</f>
        <v>5034.3997386766878</v>
      </c>
      <c r="I702" s="398">
        <f>SUMIFS(uitkomst_doelgroep[Overige besparingen (€)],uitkomst_doelgroep[Digitale zorgtoepassing],B702,uitkomst_doelgroep[Jaar],D702,uitkomst_doelgroep[Overige besparingen (€)],"&gt;0",uitkomst_doelgroep[Uitgangssituatie/effect beleid],uitkomst_tech[[#This Row],[Uitgangssituatie/effect beleid]])</f>
        <v>222756.68278718242</v>
      </c>
      <c r="J702" s="398">
        <f>SUMIFS(uitkomst_doelgroep[QALY (€)],uitkomst_doelgroep[Digitale zorgtoepassing],B702,uitkomst_doelgroep[Jaar],D702,uitkomst_doelgroep[QALY (€)],"&gt;0",uitkomst_doelgroep[Uitgangssituatie/effect beleid],uitkomst_tech[[#This Row],[Uitgangssituatie/effect beleid]])</f>
        <v>0</v>
      </c>
      <c r="K702" s="398">
        <f>SUMIFS(uitkomst_doelgroep[Kosten (€)],uitkomst_doelgroep[Digitale zorgtoepassing],B702,uitkomst_doelgroep[Jaar],D702,uitkomst_doelgroep[Kosten (€)],"&gt;0",uitkomst_doelgroep[Uitgangssituatie/effect beleid],uitkomst_tech[[#This Row],[Uitgangssituatie/effect beleid]])</f>
        <v>4354527.5661462676</v>
      </c>
      <c r="L702" s="398">
        <f>SUMIFS(uitkomst_doelgroep[Investering (cash flow) (€)],uitkomst_doelgroep[Digitale zorgtoepassing],B702,uitkomst_doelgroep[Jaar],D702,uitkomst_doelgroep[Investering (cash flow) (€)],"&gt;0",uitkomst_doelgroep[Uitgangssituatie/effect beleid],uitkomst_tech[[#This Row],[Uitgangssituatie/effect beleid]])</f>
        <v>0</v>
      </c>
    </row>
    <row r="703" spans="1:12" x14ac:dyDescent="0.5">
      <c r="A703" s="2" t="str">
        <f>INDEX(Technologieën[Veld],MATCH(B703,Technologieën[Digitale zorgtoepassing],0))</f>
        <v>Software - Behandeling</v>
      </c>
      <c r="B703" s="33" t="s">
        <v>101</v>
      </c>
      <c r="C703" s="33" t="s">
        <v>813</v>
      </c>
      <c r="D703" s="33">
        <v>2032</v>
      </c>
      <c r="E703" s="2"/>
      <c r="F703" s="397">
        <f>SUMIFS(uitkomst_doelgroep[Patiëntaantallen],uitkomst_doelgroep[Digitale zorgtoepassing],B703,uitkomst_doelgroep[Jaar],D703,uitkomst_doelgroep[Arbeidsbesparing (€)],"&gt;0",uitkomst_doelgroep[Uitgangssituatie/effect beleid],uitkomst_tech[[#This Row],[Uitgangssituatie/effect beleid]])</f>
        <v>194589.32525381021</v>
      </c>
      <c r="G703" s="398">
        <f>SUMIFS(uitkomst_doelgroep[Arbeidsbesparing (€)],uitkomst_doelgroep[Digitale zorgtoepassing],B703,uitkomst_doelgroep[Jaar],D703,uitkomst_doelgroep[Arbeidsbesparing (€)],"&gt;0",uitkomst_doelgroep[Uitgangssituatie/effect beleid],uitkomst_tech[[#This Row],[Uitgangssituatie/effect beleid]])</f>
        <v>229222211.00006619</v>
      </c>
      <c r="H703" s="398">
        <f>SUMIFS(uitkomst_doelgroep[Arbeidsbesparing (FTE)],uitkomst_doelgroep[Digitale zorgtoepassing],B703,uitkomst_doelgroep[Jaar],D703,uitkomst_doelgroep[Arbeidsbesparing (FTE)],"&gt;0",uitkomst_doelgroep[Uitgangssituatie/effect beleid],uitkomst_tech[[#This Row],[Uitgangssituatie/effect beleid]])</f>
        <v>5399.2931264818581</v>
      </c>
      <c r="I703" s="398">
        <f>SUMIFS(uitkomst_doelgroep[Overige besparingen (€)],uitkomst_doelgroep[Digitale zorgtoepassing],B703,uitkomst_doelgroep[Jaar],D703,uitkomst_doelgroep[Overige besparingen (€)],"&gt;0",uitkomst_doelgroep[Uitgangssituatie/effect beleid],uitkomst_tech[[#This Row],[Uitgangssituatie/effect beleid]])</f>
        <v>238902.09134781099</v>
      </c>
      <c r="J703" s="398">
        <f>SUMIFS(uitkomst_doelgroep[QALY (€)],uitkomst_doelgroep[Digitale zorgtoepassing],B703,uitkomst_doelgroep[Jaar],D703,uitkomst_doelgroep[QALY (€)],"&gt;0",uitkomst_doelgroep[Uitgangssituatie/effect beleid],uitkomst_tech[[#This Row],[Uitgangssituatie/effect beleid]])</f>
        <v>0</v>
      </c>
      <c r="K703" s="398">
        <f>SUMIFS(uitkomst_doelgroep[Kosten (€)],uitkomst_doelgroep[Digitale zorgtoepassing],B703,uitkomst_doelgroep[Jaar],D703,uitkomst_doelgroep[Kosten (€)],"&gt;0",uitkomst_doelgroep[Uitgangssituatie/effect beleid],uitkomst_tech[[#This Row],[Uitgangssituatie/effect beleid]])</f>
        <v>4670143.8060914446</v>
      </c>
      <c r="L703" s="398">
        <f>SUMIFS(uitkomst_doelgroep[Investering (cash flow) (€)],uitkomst_doelgroep[Digitale zorgtoepassing],B703,uitkomst_doelgroep[Jaar],D703,uitkomst_doelgroep[Investering (cash flow) (€)],"&gt;0",uitkomst_doelgroep[Uitgangssituatie/effect beleid],uitkomst_tech[[#This Row],[Uitgangssituatie/effect beleid]])</f>
        <v>0</v>
      </c>
    </row>
    <row r="704" spans="1:12" x14ac:dyDescent="0.5">
      <c r="A704" s="2" t="str">
        <f>INDEX(Technologieën[Veld],MATCH(B704,Technologieën[Digitale zorgtoepassing],0))</f>
        <v>Software - Behandeling</v>
      </c>
      <c r="B704" s="33" t="s">
        <v>101</v>
      </c>
      <c r="C704" s="33" t="s">
        <v>813</v>
      </c>
      <c r="D704" s="33">
        <v>2033</v>
      </c>
      <c r="E704" s="2"/>
      <c r="F704" s="397">
        <f>SUMIFS(uitkomst_doelgroep[Patiëntaantallen],uitkomst_doelgroep[Digitale zorgtoepassing],B704,uitkomst_doelgroep[Jaar],D704,uitkomst_doelgroep[Arbeidsbesparing (€)],"&gt;0",uitkomst_doelgroep[Uitgangssituatie/effect beleid],uitkomst_tech[[#This Row],[Uitgangssituatie/effect beleid]])</f>
        <v>205270.62532822386</v>
      </c>
      <c r="G704" s="398">
        <f>SUMIFS(uitkomst_doelgroep[Arbeidsbesparing (€)],uitkomst_doelgroep[Digitale zorgtoepassing],B704,uitkomst_doelgroep[Jaar],D704,uitkomst_doelgroep[Arbeidsbesparing (€)],"&gt;0",uitkomst_doelgroep[Uitgangssituatie/effect beleid],uitkomst_tech[[#This Row],[Uitgangssituatie/effect beleid]])</f>
        <v>241804562.14506724</v>
      </c>
      <c r="H704" s="398">
        <f>SUMIFS(uitkomst_doelgroep[Arbeidsbesparing (FTE)],uitkomst_doelgroep[Digitale zorgtoepassing],B704,uitkomst_doelgroep[Jaar],D704,uitkomst_doelgroep[Arbeidsbesparing (FTE)],"&gt;0",uitkomst_doelgroep[Uitgangssituatie/effect beleid],uitkomst_tech[[#This Row],[Uitgangssituatie/effect beleid]])</f>
        <v>5695.6684286647951</v>
      </c>
      <c r="I704" s="398">
        <f>SUMIFS(uitkomst_doelgroep[Overige besparingen (€)],uitkomst_doelgroep[Digitale zorgtoepassing],B704,uitkomst_doelgroep[Jaar],D704,uitkomst_doelgroep[Overige besparingen (€)],"&gt;0",uitkomst_doelgroep[Uitgangssituatie/effect beleid],uitkomst_tech[[#This Row],[Uitgangssituatie/effect beleid]])</f>
        <v>252015.78565125007</v>
      </c>
      <c r="J704" s="398">
        <f>SUMIFS(uitkomst_doelgroep[QALY (€)],uitkomst_doelgroep[Digitale zorgtoepassing],B704,uitkomst_doelgroep[Jaar],D704,uitkomst_doelgroep[QALY (€)],"&gt;0",uitkomst_doelgroep[Uitgangssituatie/effect beleid],uitkomst_tech[[#This Row],[Uitgangssituatie/effect beleid]])</f>
        <v>0</v>
      </c>
      <c r="K704" s="398">
        <f>SUMIFS(uitkomst_doelgroep[Kosten (€)],uitkomst_doelgroep[Digitale zorgtoepassing],B704,uitkomst_doelgroep[Jaar],D704,uitkomst_doelgroep[Kosten (€)],"&gt;0",uitkomst_doelgroep[Uitgangssituatie/effect beleid],uitkomst_tech[[#This Row],[Uitgangssituatie/effect beleid]])</f>
        <v>4926495.0078773722</v>
      </c>
      <c r="L704" s="398">
        <f>SUMIFS(uitkomst_doelgroep[Investering (cash flow) (€)],uitkomst_doelgroep[Digitale zorgtoepassing],B704,uitkomst_doelgroep[Jaar],D704,uitkomst_doelgroep[Investering (cash flow) (€)],"&gt;0",uitkomst_doelgroep[Uitgangssituatie/effect beleid],uitkomst_tech[[#This Row],[Uitgangssituatie/effect beleid]])</f>
        <v>0</v>
      </c>
    </row>
    <row r="705" spans="1:12" x14ac:dyDescent="0.5">
      <c r="A705" s="2" t="str">
        <f>INDEX(Technologieën[Veld],MATCH(B705,Technologieën[Digitale zorgtoepassing],0))</f>
        <v>Digitale hulpmiddelen - Verpleging</v>
      </c>
      <c r="B705" s="33" t="s">
        <v>48</v>
      </c>
      <c r="C705" s="33" t="s">
        <v>813</v>
      </c>
      <c r="D705" s="33">
        <v>2023</v>
      </c>
      <c r="E705" s="2"/>
      <c r="F705" s="397">
        <f>SUMIFS(uitkomst_doelgroep[Patiëntaantallen],uitkomst_doelgroep[Digitale zorgtoepassing],B705,uitkomst_doelgroep[Jaar],D705,uitkomst_doelgroep[Arbeidsbesparing (€)],"&gt;0",uitkomst_doelgroep[Uitgangssituatie/effect beleid],uitkomst_tech[[#This Row],[Uitgangssituatie/effect beleid]])</f>
        <v>19200</v>
      </c>
      <c r="G705" s="398">
        <f>SUMIFS(uitkomst_doelgroep[Arbeidsbesparing (€)],uitkomst_doelgroep[Digitale zorgtoepassing],B705,uitkomst_doelgroep[Jaar],D705,uitkomst_doelgroep[Arbeidsbesparing (€)],"&gt;0",uitkomst_doelgroep[Uitgangssituatie/effect beleid],uitkomst_tech[[#This Row],[Uitgangssituatie/effect beleid]])</f>
        <v>32095310.896551728</v>
      </c>
      <c r="H705" s="398">
        <f>SUMIFS(uitkomst_doelgroep[Arbeidsbesparing (FTE)],uitkomst_doelgroep[Digitale zorgtoepassing],B705,uitkomst_doelgroep[Jaar],D705,uitkomst_doelgroep[Arbeidsbesparing (FTE)],"&gt;0",uitkomst_doelgroep[Uitgangssituatie/effect beleid],uitkomst_tech[[#This Row],[Uitgangssituatie/effect beleid]])</f>
        <v>756</v>
      </c>
      <c r="I705" s="398">
        <f>SUMIFS(uitkomst_doelgroep[Overige besparingen (€)],uitkomst_doelgroep[Digitale zorgtoepassing],B705,uitkomst_doelgroep[Jaar],D705,uitkomst_doelgroep[Overige besparingen (€)],"&gt;0",uitkomst_doelgroep[Uitgangssituatie/effect beleid],uitkomst_tech[[#This Row],[Uitgangssituatie/effect beleid]])</f>
        <v>4472297.4200113062</v>
      </c>
      <c r="J705" s="398">
        <f>SUMIFS(uitkomst_doelgroep[QALY (€)],uitkomst_doelgroep[Digitale zorgtoepassing],B705,uitkomst_doelgroep[Jaar],D705,uitkomst_doelgroep[QALY (€)],"&gt;0",uitkomst_doelgroep[Uitgangssituatie/effect beleid],uitkomst_tech[[#This Row],[Uitgangssituatie/effect beleid]])</f>
        <v>0</v>
      </c>
      <c r="K705" s="398">
        <f>SUMIFS(uitkomst_doelgroep[Kosten (€)],uitkomst_doelgroep[Digitale zorgtoepassing],B705,uitkomst_doelgroep[Jaar],D705,uitkomst_doelgroep[Kosten (€)],"&gt;0",uitkomst_doelgroep[Uitgangssituatie/effect beleid],uitkomst_tech[[#This Row],[Uitgangssituatie/effect beleid]])</f>
        <v>0</v>
      </c>
      <c r="L705" s="398">
        <f>SUMIFS(uitkomst_doelgroep[Investering (cash flow) (€)],uitkomst_doelgroep[Digitale zorgtoepassing],B705,uitkomst_doelgroep[Jaar],D705,uitkomst_doelgroep[Investering (cash flow) (€)],"&gt;0",uitkomst_doelgroep[Uitgangssituatie/effect beleid],uitkomst_tech[[#This Row],[Uitgangssituatie/effect beleid]])</f>
        <v>7904640.0000000019</v>
      </c>
    </row>
    <row r="706" spans="1:12" x14ac:dyDescent="0.5">
      <c r="A706" s="2" t="str">
        <f>INDEX(Technologieën[Veld],MATCH(B706,Technologieën[Digitale zorgtoepassing],0))</f>
        <v>Digitale hulpmiddelen - Verpleging</v>
      </c>
      <c r="B706" s="33" t="s">
        <v>48</v>
      </c>
      <c r="C706" s="33" t="s">
        <v>813</v>
      </c>
      <c r="D706" s="33">
        <v>2024</v>
      </c>
      <c r="E706" s="2"/>
      <c r="F706" s="397">
        <f>SUMIFS(uitkomst_doelgroep[Patiëntaantallen],uitkomst_doelgroep[Digitale zorgtoepassing],B706,uitkomst_doelgroep[Jaar],D706,uitkomst_doelgroep[Arbeidsbesparing (€)],"&gt;0",uitkomst_doelgroep[Uitgangssituatie/effect beleid],uitkomst_tech[[#This Row],[Uitgangssituatie/effect beleid]])</f>
        <v>28032.000000000004</v>
      </c>
      <c r="G706" s="398">
        <f>SUMIFS(uitkomst_doelgroep[Arbeidsbesparing (€)],uitkomst_doelgroep[Digitale zorgtoepassing],B706,uitkomst_doelgroep[Jaar],D706,uitkomst_doelgroep[Arbeidsbesparing (€)],"&gt;0",uitkomst_doelgroep[Uitgangssituatie/effect beleid],uitkomst_tech[[#This Row],[Uitgangssituatie/effect beleid]])</f>
        <v>46859153.908965528</v>
      </c>
      <c r="H706" s="398">
        <f>SUMIFS(uitkomst_doelgroep[Arbeidsbesparing (FTE)],uitkomst_doelgroep[Digitale zorgtoepassing],B706,uitkomst_doelgroep[Jaar],D706,uitkomst_doelgroep[Arbeidsbesparing (FTE)],"&gt;0",uitkomst_doelgroep[Uitgangssituatie/effect beleid],uitkomst_tech[[#This Row],[Uitgangssituatie/effect beleid]])</f>
        <v>1103.7600000000002</v>
      </c>
      <c r="I706" s="398">
        <f>SUMIFS(uitkomst_doelgroep[Overige besparingen (€)],uitkomst_doelgroep[Digitale zorgtoepassing],B706,uitkomst_doelgroep[Jaar],D706,uitkomst_doelgroep[Overige besparingen (€)],"&gt;0",uitkomst_doelgroep[Uitgangssituatie/effect beleid],uitkomst_tech[[#This Row],[Uitgangssituatie/effect beleid]])</f>
        <v>6529554.2332165074</v>
      </c>
      <c r="J706" s="398">
        <f>SUMIFS(uitkomst_doelgroep[QALY (€)],uitkomst_doelgroep[Digitale zorgtoepassing],B706,uitkomst_doelgroep[Jaar],D706,uitkomst_doelgroep[QALY (€)],"&gt;0",uitkomst_doelgroep[Uitgangssituatie/effect beleid],uitkomst_tech[[#This Row],[Uitgangssituatie/effect beleid]])</f>
        <v>0</v>
      </c>
      <c r="K706" s="398">
        <f>SUMIFS(uitkomst_doelgroep[Kosten (€)],uitkomst_doelgroep[Digitale zorgtoepassing],B706,uitkomst_doelgroep[Jaar],D706,uitkomst_doelgroep[Kosten (€)],"&gt;0",uitkomst_doelgroep[Uitgangssituatie/effect beleid],uitkomst_tech[[#This Row],[Uitgangssituatie/effect beleid]])</f>
        <v>0</v>
      </c>
      <c r="L706" s="398">
        <f>SUMIFS(uitkomst_doelgroep[Investering (cash flow) (€)],uitkomst_doelgroep[Digitale zorgtoepassing],B706,uitkomst_doelgroep[Jaar],D706,uitkomst_doelgroep[Investering (cash flow) (€)],"&gt;0",uitkomst_doelgroep[Uitgangssituatie/effect beleid],uitkomst_tech[[#This Row],[Uitgangssituatie/effect beleid]])</f>
        <v>9514024.7040000018</v>
      </c>
    </row>
    <row r="707" spans="1:12" x14ac:dyDescent="0.5">
      <c r="A707" s="2" t="str">
        <f>INDEX(Technologieën[Veld],MATCH(B707,Technologieën[Digitale zorgtoepassing],0))</f>
        <v>Digitale hulpmiddelen - Verpleging</v>
      </c>
      <c r="B707" s="33" t="s">
        <v>48</v>
      </c>
      <c r="C707" s="33" t="s">
        <v>813</v>
      </c>
      <c r="D707" s="33">
        <v>2025</v>
      </c>
      <c r="E707" s="2"/>
      <c r="F707" s="397">
        <f>SUMIFS(uitkomst_doelgroep[Patiëntaantallen],uitkomst_doelgroep[Digitale zorgtoepassing],B707,uitkomst_doelgroep[Jaar],D707,uitkomst_doelgroep[Arbeidsbesparing (€)],"&gt;0",uitkomst_doelgroep[Uitgangssituatie/effect beleid],uitkomst_tech[[#This Row],[Uitgangssituatie/effect beleid]])</f>
        <v>38662.195200000009</v>
      </c>
      <c r="G707" s="398">
        <f>SUMIFS(uitkomst_doelgroep[Arbeidsbesparing (€)],uitkomst_doelgroep[Digitale zorgtoepassing],B707,uitkomst_doelgroep[Jaar],D707,uitkomst_doelgroep[Arbeidsbesparing (€)],"&gt;0",uitkomst_doelgroep[Uitgangssituatie/effect beleid],uitkomst_tech[[#This Row],[Uitgangssituatie/effect beleid]])</f>
        <v>64628915.35870678</v>
      </c>
      <c r="H707" s="398">
        <f>SUMIFS(uitkomst_doelgroep[Arbeidsbesparing (FTE)],uitkomst_doelgroep[Digitale zorgtoepassing],B707,uitkomst_doelgroep[Jaar],D707,uitkomst_doelgroep[Arbeidsbesparing (FTE)],"&gt;0",uitkomst_doelgroep[Uitgangssituatie/effect beleid],uitkomst_tech[[#This Row],[Uitgangssituatie/effect beleid]])</f>
        <v>1522.3239360000002</v>
      </c>
      <c r="I707" s="398">
        <f>SUMIFS(uitkomst_doelgroep[Overige besparingen (€)],uitkomst_doelgroep[Digitale zorgtoepassing],B707,uitkomst_doelgroep[Jaar],D707,uitkomst_doelgroep[Overige besparingen (€)],"&gt;0",uitkomst_doelgroep[Uitgangssituatie/effect beleid],uitkomst_tech[[#This Row],[Uitgangssituatie/effect beleid]])</f>
        <v>9005668.533590287</v>
      </c>
      <c r="J707" s="398">
        <f>SUMIFS(uitkomst_doelgroep[QALY (€)],uitkomst_doelgroep[Digitale zorgtoepassing],B707,uitkomst_doelgroep[Jaar],D707,uitkomst_doelgroep[QALY (€)],"&gt;0",uitkomst_doelgroep[Uitgangssituatie/effect beleid],uitkomst_tech[[#This Row],[Uitgangssituatie/effect beleid]])</f>
        <v>0</v>
      </c>
      <c r="K707" s="398">
        <f>SUMIFS(uitkomst_doelgroep[Kosten (€)],uitkomst_doelgroep[Digitale zorgtoepassing],B707,uitkomst_doelgroep[Jaar],D707,uitkomst_doelgroep[Kosten (€)],"&gt;0",uitkomst_doelgroep[Uitgangssituatie/effect beleid],uitkomst_tech[[#This Row],[Uitgangssituatie/effect beleid]])</f>
        <v>0</v>
      </c>
      <c r="L707" s="398">
        <f>SUMIFS(uitkomst_doelgroep[Investering (cash flow) (€)],uitkomst_doelgroep[Digitale zorgtoepassing],B707,uitkomst_doelgroep[Jaar],D707,uitkomst_doelgroep[Investering (cash flow) (€)],"&gt;0",uitkomst_doelgroep[Uitgangssituatie/effect beleid],uitkomst_tech[[#This Row],[Uitgangssituatie/effect beleid]])</f>
        <v>10583124.793452194</v>
      </c>
    </row>
    <row r="708" spans="1:12" x14ac:dyDescent="0.5">
      <c r="A708" s="2" t="str">
        <f>INDEX(Technologieën[Veld],MATCH(B708,Technologieën[Digitale zorgtoepassing],0))</f>
        <v>Digitale hulpmiddelen - Verpleging</v>
      </c>
      <c r="B708" s="33" t="s">
        <v>48</v>
      </c>
      <c r="C708" s="33" t="s">
        <v>813</v>
      </c>
      <c r="D708" s="33">
        <v>2026</v>
      </c>
      <c r="E708" s="2"/>
      <c r="F708" s="397">
        <f>SUMIFS(uitkomst_doelgroep[Patiëntaantallen],uitkomst_doelgroep[Digitale zorgtoepassing],B708,uitkomst_doelgroep[Jaar],D708,uitkomst_doelgroep[Arbeidsbesparing (€)],"&gt;0",uitkomst_doelgroep[Uitgangssituatie/effect beleid],uitkomst_tech[[#This Row],[Uitgangssituatie/effect beleid]])</f>
        <v>50486.915639611398</v>
      </c>
      <c r="G708" s="398">
        <f>SUMIFS(uitkomst_doelgroep[Arbeidsbesparing (€)],uitkomst_doelgroep[Digitale zorgtoepassing],B708,uitkomst_doelgroep[Jaar],D708,uitkomst_doelgroep[Arbeidsbesparing (€)],"&gt;0",uitkomst_doelgroep[Uitgangssituatie/effect beleid],uitkomst_tech[[#This Row],[Uitgangssituatie/effect beleid]])</f>
        <v>84395481.961526439</v>
      </c>
      <c r="H708" s="398">
        <f>SUMIFS(uitkomst_doelgroep[Arbeidsbesparing (FTE)],uitkomst_doelgroep[Digitale zorgtoepassing],B708,uitkomst_doelgroep[Jaar],D708,uitkomst_doelgroep[Arbeidsbesparing (FTE)],"&gt;0",uitkomst_doelgroep[Uitgangssituatie/effect beleid],uitkomst_tech[[#This Row],[Uitgangssituatie/effect beleid]])</f>
        <v>1987.9223033096987</v>
      </c>
      <c r="I708" s="398">
        <f>SUMIFS(uitkomst_doelgroep[Overige besparingen (€)],uitkomst_doelgroep[Digitale zorgtoepassing],B708,uitkomst_doelgroep[Jaar],D708,uitkomst_doelgroep[Overige besparingen (€)],"&gt;0",uitkomst_doelgroep[Uitgangssituatie/effect beleid],uitkomst_tech[[#This Row],[Uitgangssituatie/effect beleid]])</f>
        <v>11760026.174966797</v>
      </c>
      <c r="J708" s="398">
        <f>SUMIFS(uitkomst_doelgroep[QALY (€)],uitkomst_doelgroep[Digitale zorgtoepassing],B708,uitkomst_doelgroep[Jaar],D708,uitkomst_doelgroep[QALY (€)],"&gt;0",uitkomst_doelgroep[Uitgangssituatie/effect beleid],uitkomst_tech[[#This Row],[Uitgangssituatie/effect beleid]])</f>
        <v>0</v>
      </c>
      <c r="K708" s="398">
        <f>SUMIFS(uitkomst_doelgroep[Kosten (€)],uitkomst_doelgroep[Digitale zorgtoepassing],B708,uitkomst_doelgroep[Jaar],D708,uitkomst_doelgroep[Kosten (€)],"&gt;0",uitkomst_doelgroep[Uitgangssituatie/effect beleid],uitkomst_tech[[#This Row],[Uitgangssituatie/effect beleid]])</f>
        <v>0</v>
      </c>
      <c r="L708" s="398">
        <f>SUMIFS(uitkomst_doelgroep[Investering (cash flow) (€)],uitkomst_doelgroep[Digitale zorgtoepassing],B708,uitkomst_doelgroep[Jaar],D708,uitkomst_doelgroep[Investering (cash flow) (€)],"&gt;0",uitkomst_doelgroep[Uitgangssituatie/effect beleid],uitkomst_tech[[#This Row],[Uitgangssituatie/effect beleid]])</f>
        <v>10658408.306102617</v>
      </c>
    </row>
    <row r="709" spans="1:12" x14ac:dyDescent="0.5">
      <c r="A709" s="2" t="str">
        <f>INDEX(Technologieën[Veld],MATCH(B709,Technologieën[Digitale zorgtoepassing],0))</f>
        <v>Digitale hulpmiddelen - Verpleging</v>
      </c>
      <c r="B709" s="33" t="s">
        <v>48</v>
      </c>
      <c r="C709" s="33" t="s">
        <v>813</v>
      </c>
      <c r="D709" s="33">
        <v>2027</v>
      </c>
      <c r="E709" s="2"/>
      <c r="F709" s="397">
        <f>SUMIFS(uitkomst_doelgroep[Patiëntaantallen],uitkomst_doelgroep[Digitale zorgtoepassing],B709,uitkomst_doelgroep[Jaar],D709,uitkomst_doelgroep[Arbeidsbesparing (€)],"&gt;0",uitkomst_doelgroep[Uitgangssituatie/effect beleid],uitkomst_tech[[#This Row],[Uitgangssituatie/effect beleid]])</f>
        <v>62395.751735815436</v>
      </c>
      <c r="G709" s="398">
        <f>SUMIFS(uitkomst_doelgroep[Arbeidsbesparing (€)],uitkomst_doelgroep[Digitale zorgtoepassing],B709,uitkomst_doelgroep[Jaar],D709,uitkomst_doelgroep[Arbeidsbesparing (€)],"&gt;0",uitkomst_doelgroep[Uitgangssituatie/effect beleid],uitkomst_tech[[#This Row],[Uitgangssituatie/effect beleid]])</f>
        <v>104302658.88463821</v>
      </c>
      <c r="H709" s="398">
        <f>SUMIFS(uitkomst_doelgroep[Arbeidsbesparing (FTE)],uitkomst_doelgroep[Digitale zorgtoepassing],B709,uitkomst_doelgroep[Jaar],D709,uitkomst_doelgroep[Arbeidsbesparing (FTE)],"&gt;0",uitkomst_doelgroep[Uitgangssituatie/effect beleid],uitkomst_tech[[#This Row],[Uitgangssituatie/effect beleid]])</f>
        <v>2456.832724597733</v>
      </c>
      <c r="I709" s="398">
        <f>SUMIFS(uitkomst_doelgroep[Overige besparingen (€)],uitkomst_doelgroep[Digitale zorgtoepassing],B709,uitkomst_doelgroep[Jaar],D709,uitkomst_doelgroep[Overige besparingen (€)],"&gt;0",uitkomst_doelgroep[Uitgangssituatie/effect beleid],uitkomst_tech[[#This Row],[Uitgangssituatie/effect beleid]])</f>
        <v>14533977.057695486</v>
      </c>
      <c r="J709" s="398">
        <f>SUMIFS(uitkomst_doelgroep[QALY (€)],uitkomst_doelgroep[Digitale zorgtoepassing],B709,uitkomst_doelgroep[Jaar],D709,uitkomst_doelgroep[QALY (€)],"&gt;0",uitkomst_doelgroep[Uitgangssituatie/effect beleid],uitkomst_tech[[#This Row],[Uitgangssituatie/effect beleid]])</f>
        <v>0</v>
      </c>
      <c r="K709" s="398">
        <f>SUMIFS(uitkomst_doelgroep[Kosten (€)],uitkomst_doelgroep[Digitale zorgtoepassing],B709,uitkomst_doelgroep[Jaar],D709,uitkomst_doelgroep[Kosten (€)],"&gt;0",uitkomst_doelgroep[Uitgangssituatie/effect beleid],uitkomst_tech[[#This Row],[Uitgangssituatie/effect beleid]])</f>
        <v>0</v>
      </c>
      <c r="L709" s="398">
        <f>SUMIFS(uitkomst_doelgroep[Investering (cash flow) (€)],uitkomst_doelgroep[Digitale zorgtoepassing],B709,uitkomst_doelgroep[Jaar],D709,uitkomst_doelgroep[Investering (cash flow) (€)],"&gt;0",uitkomst_doelgroep[Uitgangssituatie/effect beleid],uitkomst_tech[[#This Row],[Uitgangssituatie/effect beleid]])</f>
        <v>9548468.2757152859</v>
      </c>
    </row>
    <row r="710" spans="1:12" x14ac:dyDescent="0.5">
      <c r="A710" s="2" t="str">
        <f>INDEX(Technologieën[Veld],MATCH(B710,Technologieën[Digitale zorgtoepassing],0))</f>
        <v>Digitale hulpmiddelen - Verpleging</v>
      </c>
      <c r="B710" s="33" t="s">
        <v>48</v>
      </c>
      <c r="C710" s="33" t="s">
        <v>813</v>
      </c>
      <c r="D710" s="33">
        <v>2028</v>
      </c>
      <c r="E710" s="2"/>
      <c r="F710" s="397">
        <f>SUMIFS(uitkomst_doelgroep[Patiëntaantallen],uitkomst_doelgroep[Digitale zorgtoepassing],B710,uitkomst_doelgroep[Jaar],D710,uitkomst_doelgroep[Arbeidsbesparing (€)],"&gt;0",uitkomst_doelgroep[Uitgangssituatie/effect beleid],uitkomst_tech[[#This Row],[Uitgangssituatie/effect beleid]])</f>
        <v>73064.43137348615</v>
      </c>
      <c r="G710" s="398">
        <f>SUMIFS(uitkomst_doelgroep[Arbeidsbesparing (€)],uitkomst_doelgroep[Digitale zorgtoepassing],B710,uitkomst_doelgroep[Jaar],D710,uitkomst_doelgroep[Arbeidsbesparing (€)],"&gt;0",uitkomst_doelgroep[Uitgangssituatie/effect beleid],uitkomst_tech[[#This Row],[Uitgangssituatie/effect beleid]])</f>
        <v>122136752.10478155</v>
      </c>
      <c r="H710" s="398">
        <f>SUMIFS(uitkomst_doelgroep[Arbeidsbesparing (FTE)],uitkomst_doelgroep[Digitale zorgtoepassing],B710,uitkomst_doelgroep[Jaar],D710,uitkomst_doelgroep[Arbeidsbesparing (FTE)],"&gt;0",uitkomst_doelgroep[Uitgangssituatie/effect beleid],uitkomst_tech[[#This Row],[Uitgangssituatie/effect beleid]])</f>
        <v>2876.9119853310171</v>
      </c>
      <c r="I710" s="398">
        <f>SUMIFS(uitkomst_doelgroep[Overige besparingen (€)],uitkomst_doelgroep[Digitale zorgtoepassing],B710,uitkomst_doelgroep[Jaar],D710,uitkomst_doelgroep[Overige besparingen (€)],"&gt;0",uitkomst_doelgroep[Uitgangssituatie/effect beleid],uitkomst_tech[[#This Row],[Uitgangssituatie/effect beleid]])</f>
        <v>17019055.621158082</v>
      </c>
      <c r="J710" s="398">
        <f>SUMIFS(uitkomst_doelgroep[QALY (€)],uitkomst_doelgroep[Digitale zorgtoepassing],B710,uitkomst_doelgroep[Jaar],D710,uitkomst_doelgroep[QALY (€)],"&gt;0",uitkomst_doelgroep[Uitgangssituatie/effect beleid],uitkomst_tech[[#This Row],[Uitgangssituatie/effect beleid]])</f>
        <v>0</v>
      </c>
      <c r="K710" s="398">
        <f>SUMIFS(uitkomst_doelgroep[Kosten (€)],uitkomst_doelgroep[Digitale zorgtoepassing],B710,uitkomst_doelgroep[Jaar],D710,uitkomst_doelgroep[Kosten (€)],"&gt;0",uitkomst_doelgroep[Uitgangssituatie/effect beleid],uitkomst_tech[[#This Row],[Uitgangssituatie/effect beleid]])</f>
        <v>0</v>
      </c>
      <c r="L710" s="398">
        <f>SUMIFS(uitkomst_doelgroep[Investering (cash flow) (€)],uitkomst_doelgroep[Digitale zorgtoepassing],B710,uitkomst_doelgroep[Jaar],D710,uitkomst_doelgroep[Investering (cash flow) (€)],"&gt;0",uitkomst_doelgroep[Uitgangssituatie/effect beleid],uitkomst_tech[[#This Row],[Uitgangssituatie/effect beleid]])</f>
        <v>7543580.1317610741</v>
      </c>
    </row>
    <row r="711" spans="1:12" x14ac:dyDescent="0.5">
      <c r="A711" s="2" t="str">
        <f>INDEX(Technologieën[Veld],MATCH(B711,Technologieën[Digitale zorgtoepassing],0))</f>
        <v>Digitale hulpmiddelen - Verpleging</v>
      </c>
      <c r="B711" s="33" t="s">
        <v>48</v>
      </c>
      <c r="C711" s="33" t="s">
        <v>813</v>
      </c>
      <c r="D711" s="33">
        <v>2029</v>
      </c>
      <c r="E711" s="2"/>
      <c r="F711" s="397">
        <f>SUMIFS(uitkomst_doelgroep[Patiëntaantallen],uitkomst_doelgroep[Digitale zorgtoepassing],B711,uitkomst_doelgroep[Jaar],D711,uitkomst_doelgroep[Arbeidsbesparing (€)],"&gt;0",uitkomst_doelgroep[Uitgangssituatie/effect beleid],uitkomst_tech[[#This Row],[Uitgangssituatie/effect beleid]])</f>
        <v>81493.012526291815</v>
      </c>
      <c r="G711" s="398">
        <f>SUMIFS(uitkomst_doelgroep[Arbeidsbesparing (€)],uitkomst_doelgroep[Digitale zorgtoepassing],B711,uitkomst_doelgroep[Jaar],D711,uitkomst_doelgroep[Arbeidsbesparing (€)],"&gt;0",uitkomst_doelgroep[Uitgangssituatie/effect beleid],uitkomst_tech[[#This Row],[Uitgangssituatie/effect beleid]])</f>
        <v>136226227.75666252</v>
      </c>
      <c r="H711" s="398">
        <f>SUMIFS(uitkomst_doelgroep[Arbeidsbesparing (FTE)],uitkomst_doelgroep[Digitale zorgtoepassing],B711,uitkomst_doelgroep[Jaar],D711,uitkomst_doelgroep[Arbeidsbesparing (FTE)],"&gt;0",uitkomst_doelgroep[Uitgangssituatie/effect beleid],uitkomst_tech[[#This Row],[Uitgangssituatie/effect beleid]])</f>
        <v>3208.7873682227405</v>
      </c>
      <c r="I711" s="398">
        <f>SUMIFS(uitkomst_doelgroep[Overige besparingen (€)],uitkomst_doelgroep[Digitale zorgtoepassing],B711,uitkomst_doelgroep[Jaar],D711,uitkomst_doelgroep[Overige besparingen (€)],"&gt;0",uitkomst_doelgroep[Uitgangssituatie/effect beleid],uitkomst_tech[[#This Row],[Uitgangssituatie/effect beleid]])</f>
        <v>18982343.211993955</v>
      </c>
      <c r="J711" s="398">
        <f>SUMIFS(uitkomst_doelgroep[QALY (€)],uitkomst_doelgroep[Digitale zorgtoepassing],B711,uitkomst_doelgroep[Jaar],D711,uitkomst_doelgroep[QALY (€)],"&gt;0",uitkomst_doelgroep[Uitgangssituatie/effect beleid],uitkomst_tech[[#This Row],[Uitgangssituatie/effect beleid]])</f>
        <v>0</v>
      </c>
      <c r="K711" s="398">
        <f>SUMIFS(uitkomst_doelgroep[Kosten (€)],uitkomst_doelgroep[Digitale zorgtoepassing],B711,uitkomst_doelgroep[Jaar],D711,uitkomst_doelgroep[Kosten (€)],"&gt;0",uitkomst_doelgroep[Uitgangssituatie/effect beleid],uitkomst_tech[[#This Row],[Uitgangssituatie/effect beleid]])</f>
        <v>0</v>
      </c>
      <c r="L711" s="398">
        <f>SUMIFS(uitkomst_doelgroep[Investering (cash flow) (€)],uitkomst_doelgroep[Digitale zorgtoepassing],B711,uitkomst_doelgroep[Jaar],D711,uitkomst_doelgroep[Investering (cash flow) (€)],"&gt;0",uitkomst_doelgroep[Uitgangssituatie/effect beleid],uitkomst_tech[[#This Row],[Uitgangssituatie/effect beleid]])</f>
        <v>5284368.2673620004</v>
      </c>
    </row>
    <row r="712" spans="1:12" x14ac:dyDescent="0.5">
      <c r="A712" s="2" t="str">
        <f>INDEX(Technologieën[Veld],MATCH(B712,Technologieën[Digitale zorgtoepassing],0))</f>
        <v>Digitale hulpmiddelen - Verpleging</v>
      </c>
      <c r="B712" s="33" t="s">
        <v>48</v>
      </c>
      <c r="C712" s="33" t="s">
        <v>813</v>
      </c>
      <c r="D712" s="33">
        <v>2030</v>
      </c>
      <c r="E712" s="2"/>
      <c r="F712" s="397">
        <f>SUMIFS(uitkomst_doelgroep[Patiëntaantallen],uitkomst_doelgroep[Digitale zorgtoepassing],B712,uitkomst_doelgroep[Jaar],D712,uitkomst_doelgroep[Arbeidsbesparing (€)],"&gt;0",uitkomst_doelgroep[Uitgangssituatie/effect beleid],uitkomst_tech[[#This Row],[Uitgangssituatie/effect beleid]])</f>
        <v>87397.334612729814</v>
      </c>
      <c r="G712" s="398">
        <f>SUMIFS(uitkomst_doelgroep[Arbeidsbesparing (€)],uitkomst_doelgroep[Digitale zorgtoepassing],B712,uitkomst_doelgroep[Jaar],D712,uitkomst_doelgroep[Arbeidsbesparing (€)],"&gt;0",uitkomst_doelgroep[Uitgangssituatie/effect beleid],uitkomst_tech[[#This Row],[Uitgangssituatie/effect beleid]])</f>
        <v>146096074.26695439</v>
      </c>
      <c r="H712" s="398">
        <f>SUMIFS(uitkomst_doelgroep[Arbeidsbesparing (FTE)],uitkomst_doelgroep[Digitale zorgtoepassing],B712,uitkomst_doelgroep[Jaar],D712,uitkomst_doelgroep[Arbeidsbesparing (FTE)],"&gt;0",uitkomst_doelgroep[Uitgangssituatie/effect beleid],uitkomst_tech[[#This Row],[Uitgangssituatie/effect beleid]])</f>
        <v>3441.2700503762362</v>
      </c>
      <c r="I712" s="398">
        <f>SUMIFS(uitkomst_doelgroep[Overige besparingen (€)],uitkomst_doelgroep[Digitale zorgtoepassing],B712,uitkomst_doelgroep[Jaar],D712,uitkomst_doelgroep[Overige besparingen (€)],"&gt;0",uitkomst_doelgroep[Uitgangssituatie/effect beleid],uitkomst_tech[[#This Row],[Uitgangssituatie/effect beleid]])</f>
        <v>20357649.692936268</v>
      </c>
      <c r="J712" s="398">
        <f>SUMIFS(uitkomst_doelgroep[QALY (€)],uitkomst_doelgroep[Digitale zorgtoepassing],B712,uitkomst_doelgroep[Jaar],D712,uitkomst_doelgroep[QALY (€)],"&gt;0",uitkomst_doelgroep[Uitgangssituatie/effect beleid],uitkomst_tech[[#This Row],[Uitgangssituatie/effect beleid]])</f>
        <v>0</v>
      </c>
      <c r="K712" s="398">
        <f>SUMIFS(uitkomst_doelgroep[Kosten (€)],uitkomst_doelgroep[Digitale zorgtoepassing],B712,uitkomst_doelgroep[Jaar],D712,uitkomst_doelgroep[Kosten (€)],"&gt;0",uitkomst_doelgroep[Uitgangssituatie/effect beleid],uitkomst_tech[[#This Row],[Uitgangssituatie/effect beleid]])</f>
        <v>0</v>
      </c>
      <c r="L712" s="398">
        <f>SUMIFS(uitkomst_doelgroep[Investering (cash flow) (€)],uitkomst_doelgroep[Digitale zorgtoepassing],B712,uitkomst_doelgroep[Jaar],D712,uitkomst_doelgroep[Investering (cash flow) (€)],"&gt;0",uitkomst_doelgroep[Uitgangssituatie/effect beleid],uitkomst_tech[[#This Row],[Uitgangssituatie/effect beleid]])</f>
        <v>3346730.4477789821</v>
      </c>
    </row>
    <row r="713" spans="1:12" x14ac:dyDescent="0.5">
      <c r="A713" s="2" t="str">
        <f>INDEX(Technologieën[Veld],MATCH(B713,Technologieën[Digitale zorgtoepassing],0))</f>
        <v>Digitale hulpmiddelen - Verpleging</v>
      </c>
      <c r="B713" s="33" t="s">
        <v>48</v>
      </c>
      <c r="C713" s="33" t="s">
        <v>813</v>
      </c>
      <c r="D713" s="33">
        <v>2031</v>
      </c>
      <c r="E713" s="2"/>
      <c r="F713" s="397">
        <f>SUMIFS(uitkomst_doelgroep[Patiëntaantallen],uitkomst_doelgroep[Digitale zorgtoepassing],B713,uitkomst_doelgroep[Jaar],D713,uitkomst_doelgroep[Arbeidsbesparing (€)],"&gt;0",uitkomst_doelgroep[Uitgangssituatie/effect beleid],uitkomst_tech[[#This Row],[Uitgangssituatie/effect beleid]])</f>
        <v>91136.698241533144</v>
      </c>
      <c r="G713" s="398">
        <f>SUMIFS(uitkomst_doelgroep[Arbeidsbesparing (€)],uitkomst_doelgroep[Digitale zorgtoepassing],B713,uitkomst_doelgroep[Jaar],D713,uitkomst_doelgroep[Arbeidsbesparing (€)],"&gt;0",uitkomst_doelgroep[Uitgangssituatie/effect beleid],uitkomst_tech[[#This Row],[Uitgangssituatie/effect beleid]])</f>
        <v>152346909.59100133</v>
      </c>
      <c r="H713" s="398">
        <f>SUMIFS(uitkomst_doelgroep[Arbeidsbesparing (FTE)],uitkomst_doelgroep[Digitale zorgtoepassing],B713,uitkomst_doelgroep[Jaar],D713,uitkomst_doelgroep[Arbeidsbesparing (FTE)],"&gt;0",uitkomst_doelgroep[Uitgangssituatie/effect beleid],uitkomst_tech[[#This Row],[Uitgangssituatie/effect beleid]])</f>
        <v>3588.5074932603675</v>
      </c>
      <c r="I713" s="398">
        <f>SUMIFS(uitkomst_doelgroep[Overige besparingen (€)],uitkomst_doelgroep[Digitale zorgtoepassing],B713,uitkomst_doelgroep[Jaar],D713,uitkomst_doelgroep[Overige besparingen (€)],"&gt;0",uitkomst_doelgroep[Uitgangssituatie/effect beleid],uitkomst_tech[[#This Row],[Uitgangssituatie/effect beleid]])</f>
        <v>21228667.729893625</v>
      </c>
      <c r="J713" s="398">
        <f>SUMIFS(uitkomst_doelgroep[QALY (€)],uitkomst_doelgroep[Digitale zorgtoepassing],B713,uitkomst_doelgroep[Jaar],D713,uitkomst_doelgroep[QALY (€)],"&gt;0",uitkomst_doelgroep[Uitgangssituatie/effect beleid],uitkomst_tech[[#This Row],[Uitgangssituatie/effect beleid]])</f>
        <v>0</v>
      </c>
      <c r="K713" s="398">
        <f>SUMIFS(uitkomst_doelgroep[Kosten (€)],uitkomst_doelgroep[Digitale zorgtoepassing],B713,uitkomst_doelgroep[Jaar],D713,uitkomst_doelgroep[Kosten (€)],"&gt;0",uitkomst_doelgroep[Uitgangssituatie/effect beleid],uitkomst_tech[[#This Row],[Uitgangssituatie/effect beleid]])</f>
        <v>0</v>
      </c>
      <c r="L713" s="398">
        <f>SUMIFS(uitkomst_doelgroep[Investering (cash flow) (€)],uitkomst_doelgroep[Digitale zorgtoepassing],B713,uitkomst_doelgroep[Jaar],D713,uitkomst_doelgroep[Investering (cash flow) (€)],"&gt;0",uitkomst_doelgroep[Uitgangssituatie/effect beleid],uitkomst_tech[[#This Row],[Uitgangssituatie/effect beleid]])</f>
        <v>1968284.8706562894</v>
      </c>
    </row>
    <row r="714" spans="1:12" x14ac:dyDescent="0.5">
      <c r="A714" s="2" t="str">
        <f>INDEX(Technologieën[Veld],MATCH(B714,Technologieën[Digitale zorgtoepassing],0))</f>
        <v>Digitale hulpmiddelen - Verpleging</v>
      </c>
      <c r="B714" s="33" t="s">
        <v>48</v>
      </c>
      <c r="C714" s="33" t="s">
        <v>813</v>
      </c>
      <c r="D714" s="33">
        <v>2032</v>
      </c>
      <c r="E714" s="2"/>
      <c r="F714" s="397">
        <f>SUMIFS(uitkomst_doelgroep[Patiëntaantallen],uitkomst_doelgroep[Digitale zorgtoepassing],B714,uitkomst_doelgroep[Jaar],D714,uitkomst_doelgroep[Arbeidsbesparing (€)],"&gt;0",uitkomst_doelgroep[Uitgangssituatie/effect beleid],uitkomst_tech[[#This Row],[Uitgangssituatie/effect beleid]])</f>
        <v>93335.899214333462</v>
      </c>
      <c r="G714" s="398">
        <f>SUMIFS(uitkomst_doelgroep[Arbeidsbesparing (€)],uitkomst_doelgroep[Digitale zorgtoepassing],B714,uitkomst_doelgroep[Jaar],D714,uitkomst_doelgroep[Arbeidsbesparing (€)],"&gt;0",uitkomst_doelgroep[Uitgangssituatie/effect beleid],uitkomst_tech[[#This Row],[Uitgangssituatie/effect beleid]])</f>
        <v>156023161.61944014</v>
      </c>
      <c r="H714" s="398">
        <f>SUMIFS(uitkomst_doelgroep[Arbeidsbesparing (FTE)],uitkomst_doelgroep[Digitale zorgtoepassing],B714,uitkomst_doelgroep[Jaar],D714,uitkomst_doelgroep[Arbeidsbesparing (FTE)],"&gt;0",uitkomst_doelgroep[Uitgangssituatie/effect beleid],uitkomst_tech[[#This Row],[Uitgangssituatie/effect beleid]])</f>
        <v>3675.1010315643803</v>
      </c>
      <c r="I714" s="398">
        <f>SUMIFS(uitkomst_doelgroep[Overige besparingen (€)],uitkomst_doelgroep[Digitale zorgtoepassing],B714,uitkomst_doelgroep[Jaar],D714,uitkomst_doelgroep[Overige besparingen (€)],"&gt;0",uitkomst_doelgroep[Uitgangssituatie/effect beleid],uitkomst_tech[[#This Row],[Uitgangssituatie/effect beleid]])</f>
        <v>21740932.356807228</v>
      </c>
      <c r="J714" s="398">
        <f>SUMIFS(uitkomst_doelgroep[QALY (€)],uitkomst_doelgroep[Digitale zorgtoepassing],B714,uitkomst_doelgroep[Jaar],D714,uitkomst_doelgroep[QALY (€)],"&gt;0",uitkomst_doelgroep[Uitgangssituatie/effect beleid],uitkomst_tech[[#This Row],[Uitgangssituatie/effect beleid]])</f>
        <v>0</v>
      </c>
      <c r="K714" s="398">
        <f>SUMIFS(uitkomst_doelgroep[Kosten (€)],uitkomst_doelgroep[Digitale zorgtoepassing],B714,uitkomst_doelgroep[Jaar],D714,uitkomst_doelgroep[Kosten (€)],"&gt;0",uitkomst_doelgroep[Uitgangssituatie/effect beleid],uitkomst_tech[[#This Row],[Uitgangssituatie/effect beleid]])</f>
        <v>0</v>
      </c>
      <c r="L714" s="398">
        <f>SUMIFS(uitkomst_doelgroep[Investering (cash flow) (€)],uitkomst_doelgroep[Digitale zorgtoepassing],B714,uitkomst_doelgroep[Jaar],D714,uitkomst_doelgroep[Investering (cash flow) (€)],"&gt;0",uitkomst_doelgroep[Uitgangssituatie/effect beleid],uitkomst_tech[[#This Row],[Uitgangssituatie/effect beleid]])</f>
        <v>1102799.8971396617</v>
      </c>
    </row>
    <row r="715" spans="1:12" x14ac:dyDescent="0.5">
      <c r="A715" s="2" t="str">
        <f>INDEX(Technologieën[Veld],MATCH(B715,Technologieën[Digitale zorgtoepassing],0))</f>
        <v>Digitale hulpmiddelen - Verpleging</v>
      </c>
      <c r="B715" s="33" t="s">
        <v>48</v>
      </c>
      <c r="C715" s="33" t="s">
        <v>813</v>
      </c>
      <c r="D715" s="33">
        <v>2033</v>
      </c>
      <c r="E715" s="2"/>
      <c r="F715" s="397">
        <f>SUMIFS(uitkomst_doelgroep[Patiëntaantallen],uitkomst_doelgroep[Digitale zorgtoepassing],B715,uitkomst_doelgroep[Jaar],D715,uitkomst_doelgroep[Arbeidsbesparing (€)],"&gt;0",uitkomst_doelgroep[Uitgangssituatie/effect beleid],uitkomst_tech[[#This Row],[Uitgangssituatie/effect beleid]])</f>
        <v>94568.077870355424</v>
      </c>
      <c r="G715" s="398">
        <f>SUMIFS(uitkomst_doelgroep[Arbeidsbesparing (€)],uitkomst_doelgroep[Digitale zorgtoepassing],B715,uitkomst_doelgroep[Jaar],D715,uitkomst_doelgroep[Arbeidsbesparing (€)],"&gt;0",uitkomst_doelgroep[Uitgangssituatie/effect beleid],uitkomst_tech[[#This Row],[Uitgangssituatie/effect beleid]])</f>
        <v>158082909.38220683</v>
      </c>
      <c r="H715" s="398">
        <f>SUMIFS(uitkomst_doelgroep[Arbeidsbesparing (FTE)],uitkomst_doelgroep[Digitale zorgtoepassing],B715,uitkomst_doelgroep[Jaar],D715,uitkomst_doelgroep[Arbeidsbesparing (FTE)],"&gt;0",uitkomst_doelgroep[Uitgangssituatie/effect beleid],uitkomst_tech[[#This Row],[Uitgangssituatie/effect beleid]])</f>
        <v>3723.6180661452449</v>
      </c>
      <c r="I715" s="398">
        <f>SUMIFS(uitkomst_doelgroep[Overige besparingen (€)],uitkomst_doelgroep[Digitale zorgtoepassing],B715,uitkomst_doelgroep[Jaar],D715,uitkomst_doelgroep[Overige besparingen (€)],"&gt;0",uitkomst_doelgroep[Uitgangssituatie/effect beleid],uitkomst_tech[[#This Row],[Uitgangssituatie/effect beleid]])</f>
        <v>22027946.389323898</v>
      </c>
      <c r="J715" s="398">
        <f>SUMIFS(uitkomst_doelgroep[QALY (€)],uitkomst_doelgroep[Digitale zorgtoepassing],B715,uitkomst_doelgroep[Jaar],D715,uitkomst_doelgroep[QALY (€)],"&gt;0",uitkomst_doelgroep[Uitgangssituatie/effect beleid],uitkomst_tech[[#This Row],[Uitgangssituatie/effect beleid]])</f>
        <v>0</v>
      </c>
      <c r="K715" s="398">
        <f>SUMIFS(uitkomst_doelgroep[Kosten (€)],uitkomst_doelgroep[Digitale zorgtoepassing],B715,uitkomst_doelgroep[Jaar],D715,uitkomst_doelgroep[Kosten (€)],"&gt;0",uitkomst_doelgroep[Uitgangssituatie/effect beleid],uitkomst_tech[[#This Row],[Uitgangssituatie/effect beleid]])</f>
        <v>0</v>
      </c>
      <c r="L715" s="398">
        <f>SUMIFS(uitkomst_doelgroep[Investering (cash flow) (€)],uitkomst_doelgroep[Digitale zorgtoepassing],B715,uitkomst_doelgroep[Jaar],D715,uitkomst_doelgroep[Investering (cash flow) (€)],"&gt;0",uitkomst_doelgroep[Uitgangssituatie/effect beleid],uitkomst_tech[[#This Row],[Uitgangssituatie/effect beleid]])</f>
        <v>600143.82248122396</v>
      </c>
    </row>
    <row r="716" spans="1:12" x14ac:dyDescent="0.5">
      <c r="A716" s="2" t="str">
        <f>INDEX(Technologieën[Veld],MATCH(B716,Technologieën[Digitale zorgtoepassing],0))</f>
        <v>Digitale hulpmiddelen - Verpleging</v>
      </c>
      <c r="B716" s="33" t="s">
        <v>19</v>
      </c>
      <c r="C716" s="33" t="s">
        <v>813</v>
      </c>
      <c r="D716" s="33">
        <v>2023</v>
      </c>
      <c r="E716" s="2"/>
      <c r="F716" s="397">
        <f>SUMIFS(uitkomst_doelgroep[Patiëntaantallen],uitkomst_doelgroep[Digitale zorgtoepassing],B716,uitkomst_doelgroep[Jaar],D716,uitkomst_doelgroep[Arbeidsbesparing (€)],"&gt;0",uitkomst_doelgroep[Uitgangssituatie/effect beleid],uitkomst_tech[[#This Row],[Uitgangssituatie/effect beleid]])</f>
        <v>7048.3860000000004</v>
      </c>
      <c r="G716" s="398">
        <f>SUMIFS(uitkomst_doelgroep[Arbeidsbesparing (€)],uitkomst_doelgroep[Digitale zorgtoepassing],B716,uitkomst_doelgroep[Jaar],D716,uitkomst_doelgroep[Arbeidsbesparing (€)],"&gt;0",uitkomst_doelgroep[Uitgangssituatie/effect beleid],uitkomst_tech[[#This Row],[Uitgangssituatie/effect beleid]])</f>
        <v>9725072.1556075886</v>
      </c>
      <c r="H716" s="398">
        <f>SUMIFS(uitkomst_doelgroep[Arbeidsbesparing (FTE)],uitkomst_doelgroep[Digitale zorgtoepassing],B716,uitkomst_doelgroep[Jaar],D716,uitkomst_doelgroep[Arbeidsbesparing (FTE)],"&gt;0",uitkomst_doelgroep[Uitgangssituatie/effect beleid],uitkomst_tech[[#This Row],[Uitgangssituatie/effect beleid]])</f>
        <v>229.07254500000005</v>
      </c>
      <c r="I716" s="398">
        <f>SUMIFS(uitkomst_doelgroep[Overige besparingen (€)],uitkomst_doelgroep[Digitale zorgtoepassing],B716,uitkomst_doelgroep[Jaar],D716,uitkomst_doelgroep[Overige besparingen (€)],"&gt;0",uitkomst_doelgroep[Uitgangssituatie/effect beleid],uitkomst_tech[[#This Row],[Uitgangssituatie/effect beleid]])</f>
        <v>4789960.9124634387</v>
      </c>
      <c r="J716" s="398">
        <f>SUMIFS(uitkomst_doelgroep[QALY (€)],uitkomst_doelgroep[Digitale zorgtoepassing],B716,uitkomst_doelgroep[Jaar],D716,uitkomst_doelgroep[QALY (€)],"&gt;0",uitkomst_doelgroep[Uitgangssituatie/effect beleid],uitkomst_tech[[#This Row],[Uitgangssituatie/effect beleid]])</f>
        <v>0</v>
      </c>
      <c r="K716" s="398">
        <f>SUMIFS(uitkomst_doelgroep[Kosten (€)],uitkomst_doelgroep[Digitale zorgtoepassing],B716,uitkomst_doelgroep[Jaar],D716,uitkomst_doelgroep[Kosten (€)],"&gt;0",uitkomst_doelgroep[Uitgangssituatie/effect beleid],uitkomst_tech[[#This Row],[Uitgangssituatie/effect beleid]])</f>
        <v>3748983.6505049998</v>
      </c>
      <c r="L716" s="398">
        <f>SUMIFS(uitkomst_doelgroep[Investering (cash flow) (€)],uitkomst_doelgroep[Digitale zorgtoepassing],B716,uitkomst_doelgroep[Jaar],D716,uitkomst_doelgroep[Investering (cash flow) (€)],"&gt;0",uitkomst_doelgroep[Uitgangssituatie/effect beleid],uitkomst_tech[[#This Row],[Uitgangssituatie/effect beleid]])</f>
        <v>2291222.3240000005</v>
      </c>
    </row>
    <row r="717" spans="1:12" x14ac:dyDescent="0.5">
      <c r="A717" s="2" t="str">
        <f>INDEX(Technologieën[Veld],MATCH(B717,Technologieën[Digitale zorgtoepassing],0))</f>
        <v>Digitale hulpmiddelen - Verpleging</v>
      </c>
      <c r="B717" s="33" t="s">
        <v>19</v>
      </c>
      <c r="C717" s="33" t="s">
        <v>813</v>
      </c>
      <c r="D717" s="33">
        <v>2024</v>
      </c>
      <c r="E717" s="2"/>
      <c r="F717" s="397">
        <f>SUMIFS(uitkomst_doelgroep[Patiëntaantallen],uitkomst_doelgroep[Digitale zorgtoepassing],B717,uitkomst_doelgroep[Jaar],D717,uitkomst_doelgroep[Arbeidsbesparing (€)],"&gt;0",uitkomst_doelgroep[Uitgangssituatie/effect beleid],uitkomst_tech[[#This Row],[Uitgangssituatie/effect beleid]])</f>
        <v>9867.7404000000006</v>
      </c>
      <c r="G717" s="398">
        <f>SUMIFS(uitkomst_doelgroep[Arbeidsbesparing (€)],uitkomst_doelgroep[Digitale zorgtoepassing],B717,uitkomst_doelgroep[Jaar],D717,uitkomst_doelgroep[Arbeidsbesparing (€)],"&gt;0",uitkomst_doelgroep[Uitgangssituatie/effect beleid],uitkomst_tech[[#This Row],[Uitgangssituatie/effect beleid]])</f>
        <v>13615101.017850624</v>
      </c>
      <c r="H717" s="398">
        <f>SUMIFS(uitkomst_doelgroep[Arbeidsbesparing (FTE)],uitkomst_doelgroep[Digitale zorgtoepassing],B717,uitkomst_doelgroep[Jaar],D717,uitkomst_doelgroep[Arbeidsbesparing (FTE)],"&gt;0",uitkomst_doelgroep[Uitgangssituatie/effect beleid],uitkomst_tech[[#This Row],[Uitgangssituatie/effect beleid]])</f>
        <v>320.70156300000008</v>
      </c>
      <c r="I717" s="398">
        <f>SUMIFS(uitkomst_doelgroep[Overige besparingen (€)],uitkomst_doelgroep[Digitale zorgtoepassing],B717,uitkomst_doelgroep[Jaar],D717,uitkomst_doelgroep[Overige besparingen (€)],"&gt;0",uitkomst_doelgroep[Uitgangssituatie/effect beleid],uitkomst_tech[[#This Row],[Uitgangssituatie/effect beleid]])</f>
        <v>6705945.2774488144</v>
      </c>
      <c r="J717" s="398">
        <f>SUMIFS(uitkomst_doelgroep[QALY (€)],uitkomst_doelgroep[Digitale zorgtoepassing],B717,uitkomst_doelgroep[Jaar],D717,uitkomst_doelgroep[QALY (€)],"&gt;0",uitkomst_doelgroep[Uitgangssituatie/effect beleid],uitkomst_tech[[#This Row],[Uitgangssituatie/effect beleid]])</f>
        <v>0</v>
      </c>
      <c r="K717" s="398">
        <f>SUMIFS(uitkomst_doelgroep[Kosten (€)],uitkomst_doelgroep[Digitale zorgtoepassing],B717,uitkomst_doelgroep[Jaar],D717,uitkomst_doelgroep[Kosten (€)],"&gt;0",uitkomst_doelgroep[Uitgangssituatie/effect beleid],uitkomst_tech[[#This Row],[Uitgangssituatie/effect beleid]])</f>
        <v>5248577.1107069999</v>
      </c>
      <c r="L717" s="398">
        <f>SUMIFS(uitkomst_doelgroep[Investering (cash flow) (€)],uitkomst_doelgroep[Digitale zorgtoepassing],B717,uitkomst_doelgroep[Jaar],D717,uitkomst_doelgroep[Investering (cash flow) (€)],"&gt;0",uitkomst_doelgroep[Uitgangssituatie/effect beleid],uitkomst_tech[[#This Row],[Uitgangssituatie/effect beleid]])</f>
        <v>2721972.1209120005</v>
      </c>
    </row>
    <row r="718" spans="1:12" x14ac:dyDescent="0.5">
      <c r="A718" s="2" t="str">
        <f>INDEX(Technologieën[Veld],MATCH(B718,Technologieën[Digitale zorgtoepassing],0))</f>
        <v>Digitale hulpmiddelen - Verpleging</v>
      </c>
      <c r="B718" s="33" t="s">
        <v>19</v>
      </c>
      <c r="C718" s="33" t="s">
        <v>813</v>
      </c>
      <c r="D718" s="33">
        <v>2025</v>
      </c>
      <c r="E718" s="2"/>
      <c r="F718" s="397">
        <f>SUMIFS(uitkomst_doelgroep[Patiëntaantallen],uitkomst_doelgroep[Digitale zorgtoepassing],B718,uitkomst_doelgroep[Jaar],D718,uitkomst_doelgroep[Arbeidsbesparing (€)],"&gt;0",uitkomst_doelgroep[Uitgangssituatie/effect beleid],uitkomst_tech[[#This Row],[Uitgangssituatie/effect beleid]])</f>
        <v>13375.833427200001</v>
      </c>
      <c r="G718" s="398">
        <f>SUMIFS(uitkomst_doelgroep[Arbeidsbesparing (€)],uitkomst_doelgroep[Digitale zorgtoepassing],B718,uitkomst_doelgroep[Jaar],D718,uitkomst_doelgroep[Arbeidsbesparing (€)],"&gt;0",uitkomst_doelgroep[Uitgangssituatie/effect beleid],uitkomst_tech[[#This Row],[Uitgangssituatie/effect beleid]])</f>
        <v>18455423.017540179</v>
      </c>
      <c r="H718" s="398">
        <f>SUMIFS(uitkomst_doelgroep[Arbeidsbesparing (FTE)],uitkomst_doelgroep[Digitale zorgtoepassing],B718,uitkomst_doelgroep[Jaar],D718,uitkomst_doelgroep[Arbeidsbesparing (FTE)],"&gt;0",uitkomst_doelgroep[Uitgangssituatie/effect beleid],uitkomst_tech[[#This Row],[Uitgangssituatie/effect beleid]])</f>
        <v>434.71458638400009</v>
      </c>
      <c r="I718" s="398">
        <f>SUMIFS(uitkomst_doelgroep[Overige besparingen (€)],uitkomst_doelgroep[Digitale zorgtoepassing],B718,uitkomst_doelgroep[Jaar],D718,uitkomst_doelgroep[Overige besparingen (€)],"&gt;0",uitkomst_doelgroep[Uitgangssituatie/effect beleid],uitkomst_tech[[#This Row],[Uitgangssituatie/effect beleid]])</f>
        <v>9089984.4713257588</v>
      </c>
      <c r="J718" s="398">
        <f>SUMIFS(uitkomst_doelgroep[QALY (€)],uitkomst_doelgroep[Digitale zorgtoepassing],B718,uitkomst_doelgroep[Jaar],D718,uitkomst_doelgroep[QALY (€)],"&gt;0",uitkomst_doelgroep[Uitgangssituatie/effect beleid],uitkomst_tech[[#This Row],[Uitgangssituatie/effect beleid]])</f>
        <v>0</v>
      </c>
      <c r="K718" s="398">
        <f>SUMIFS(uitkomst_doelgroep[Kosten (€)],uitkomst_doelgroep[Digitale zorgtoepassing],B718,uitkomst_doelgroep[Jaar],D718,uitkomst_doelgroep[Kosten (€)],"&gt;0",uitkomst_doelgroep[Uitgangssituatie/effect beleid],uitkomst_tech[[#This Row],[Uitgangssituatie/effect beleid]])</f>
        <v>7114505.4811769761</v>
      </c>
      <c r="L718" s="398">
        <f>SUMIFS(uitkomst_doelgroep[Investering (cash flow) (€)],uitkomst_doelgroep[Digitale zorgtoepassing],B718,uitkomst_doelgroep[Jaar],D718,uitkomst_doelgroep[Investering (cash flow) (€)],"&gt;0",uitkomst_doelgroep[Uitgangssituatie/effect beleid],uitkomst_tech[[#This Row],[Uitgangssituatie/effect beleid]])</f>
        <v>3043121.2796256812</v>
      </c>
    </row>
    <row r="719" spans="1:12" x14ac:dyDescent="0.5">
      <c r="A719" s="2" t="str">
        <f>INDEX(Technologieën[Veld],MATCH(B719,Technologieën[Digitale zorgtoepassing],0))</f>
        <v>Digitale hulpmiddelen - Verpleging</v>
      </c>
      <c r="B719" s="33" t="s">
        <v>19</v>
      </c>
      <c r="C719" s="33" t="s">
        <v>813</v>
      </c>
      <c r="D719" s="33">
        <v>2026</v>
      </c>
      <c r="E719" s="2"/>
      <c r="F719" s="397">
        <f>SUMIFS(uitkomst_doelgroep[Patiëntaantallen],uitkomst_doelgroep[Digitale zorgtoepassing],B719,uitkomst_doelgroep[Jaar],D719,uitkomst_doelgroep[Arbeidsbesparing (€)],"&gt;0",uitkomst_doelgroep[Uitgangssituatie/effect beleid],uitkomst_tech[[#This Row],[Uitgangssituatie/effect beleid]])</f>
        <v>17338.137641321166</v>
      </c>
      <c r="G719" s="398">
        <f>SUMIFS(uitkomst_doelgroep[Arbeidsbesparing (€)],uitkomst_doelgroep[Digitale zorgtoepassing],B719,uitkomst_doelgroep[Jaar],D719,uitkomst_doelgroep[Arbeidsbesparing (€)],"&gt;0",uitkomst_doelgroep[Uitgangssituatie/effect beleid],uitkomst_tech[[#This Row],[Uitgangssituatie/effect beleid]])</f>
        <v>23922446.870206069</v>
      </c>
      <c r="H719" s="398">
        <f>SUMIFS(uitkomst_doelgroep[Arbeidsbesparing (FTE)],uitkomst_doelgroep[Digitale zorgtoepassing],B719,uitkomst_doelgroep[Jaar],D719,uitkomst_doelgroep[Arbeidsbesparing (FTE)],"&gt;0",uitkomst_doelgroep[Uitgangssituatie/effect beleid],uitkomst_tech[[#This Row],[Uitgangssituatie/effect beleid]])</f>
        <v>563.48947334293791</v>
      </c>
      <c r="I719" s="398">
        <f>SUMIFS(uitkomst_doelgroep[Overige besparingen (€)],uitkomst_doelgroep[Digitale zorgtoepassing],B719,uitkomst_doelgroep[Jaar],D719,uitkomst_doelgroep[Overige besparingen (€)],"&gt;0",uitkomst_doelgroep[Uitgangssituatie/effect beleid],uitkomst_tech[[#This Row],[Uitgangssituatie/effect beleid]])</f>
        <v>11782697.712191049</v>
      </c>
      <c r="J719" s="398">
        <f>SUMIFS(uitkomst_doelgroep[QALY (€)],uitkomst_doelgroep[Digitale zorgtoepassing],B719,uitkomst_doelgroep[Jaar],D719,uitkomst_doelgroep[QALY (€)],"&gt;0",uitkomst_doelgroep[Uitgangssituatie/effect beleid],uitkomst_tech[[#This Row],[Uitgangssituatie/effect beleid]])</f>
        <v>0</v>
      </c>
      <c r="K719" s="398">
        <f>SUMIFS(uitkomst_doelgroep[Kosten (€)],uitkomst_doelgroep[Digitale zorgtoepassing],B719,uitkomst_doelgroep[Jaar],D719,uitkomst_doelgroep[Kosten (€)],"&gt;0",uitkomst_doelgroep[Uitgangssituatie/effect beleid],uitkomst_tech[[#This Row],[Uitgangssituatie/effect beleid]])</f>
        <v>9222025.3753864169</v>
      </c>
      <c r="L719" s="398">
        <f>SUMIFS(uitkomst_doelgroep[Investering (cash flow) (€)],uitkomst_doelgroep[Digitale zorgtoepassing],B719,uitkomst_doelgroep[Jaar],D719,uitkomst_doelgroep[Investering (cash flow) (€)],"&gt;0",uitkomst_doelgroep[Uitgangssituatie/effect beleid],uitkomst_tech[[#This Row],[Uitgangssituatie/effect beleid]])</f>
        <v>3157137.0533144972</v>
      </c>
    </row>
    <row r="720" spans="1:12" x14ac:dyDescent="0.5">
      <c r="A720" s="2" t="str">
        <f>INDEX(Technologieën[Veld],MATCH(B720,Technologieën[Digitale zorgtoepassing],0))</f>
        <v>Digitale hulpmiddelen - Verpleging</v>
      </c>
      <c r="B720" s="33" t="s">
        <v>19</v>
      </c>
      <c r="C720" s="33" t="s">
        <v>813</v>
      </c>
      <c r="D720" s="33">
        <v>2027</v>
      </c>
      <c r="E720" s="2"/>
      <c r="F720" s="397">
        <f>SUMIFS(uitkomst_doelgroep[Patiëntaantallen],uitkomst_doelgroep[Digitale zorgtoepassing],B720,uitkomst_doelgroep[Jaar],D720,uitkomst_doelgroep[Arbeidsbesparing (€)],"&gt;0",uitkomst_doelgroep[Uitgangssituatie/effect beleid],uitkomst_tech[[#This Row],[Uitgangssituatie/effect beleid]])</f>
        <v>21517.604705087229</v>
      </c>
      <c r="G720" s="398">
        <f>SUMIFS(uitkomst_doelgroep[Arbeidsbesparing (€)],uitkomst_doelgroep[Digitale zorgtoepassing],B720,uitkomst_doelgroep[Jaar],D720,uitkomst_doelgroep[Arbeidsbesparing (€)],"&gt;0",uitkomst_doelgroep[Uitgangssituatie/effect beleid],uitkomst_tech[[#This Row],[Uitgangssituatie/effect beleid]])</f>
        <v>29689103.06172429</v>
      </c>
      <c r="H720" s="398">
        <f>SUMIFS(uitkomst_doelgroep[Arbeidsbesparing (FTE)],uitkomst_doelgroep[Digitale zorgtoepassing],B720,uitkomst_doelgroep[Jaar],D720,uitkomst_doelgroep[Arbeidsbesparing (FTE)],"&gt;0",uitkomst_doelgroep[Uitgangssituatie/effect beleid],uitkomst_tech[[#This Row],[Uitgangssituatie/effect beleid]])</f>
        <v>699.32215291533498</v>
      </c>
      <c r="I720" s="398">
        <f>SUMIFS(uitkomst_doelgroep[Overige besparingen (€)],uitkomst_doelgroep[Digitale zorgtoepassing],B720,uitkomst_doelgroep[Jaar],D720,uitkomst_doelgroep[Overige besparingen (€)],"&gt;0",uitkomst_doelgroep[Uitgangssituatie/effect beleid],uitkomst_tech[[#This Row],[Uitgangssituatie/effect beleid]])</f>
        <v>14622991.060252262</v>
      </c>
      <c r="J720" s="398">
        <f>SUMIFS(uitkomst_doelgroep[QALY (€)],uitkomst_doelgroep[Digitale zorgtoepassing],B720,uitkomst_doelgroep[Jaar],D720,uitkomst_doelgroep[QALY (€)],"&gt;0",uitkomst_doelgroep[Uitgangssituatie/effect beleid],uitkomst_tech[[#This Row],[Uitgangssituatie/effect beleid]])</f>
        <v>0</v>
      </c>
      <c r="K720" s="398">
        <f>SUMIFS(uitkomst_doelgroep[Kosten (€)],uitkomst_doelgroep[Digitale zorgtoepassing],B720,uitkomst_doelgroep[Jaar],D720,uitkomst_doelgroep[Kosten (€)],"&gt;0",uitkomst_doelgroep[Uitgangssituatie/effect beleid],uitkomst_tech[[#This Row],[Uitgangssituatie/effect beleid]])</f>
        <v>11445052.560600609</v>
      </c>
      <c r="L720" s="398">
        <f>SUMIFS(uitkomst_doelgroep[Investering (cash flow) (€)],uitkomst_doelgroep[Digitale zorgtoepassing],B720,uitkomst_doelgroep[Jaar],D720,uitkomst_doelgroep[Investering (cash flow) (€)],"&gt;0",uitkomst_doelgroep[Uitgangssituatie/effect beleid],uitkomst_tech[[#This Row],[Uitgangssituatie/effect beleid]])</f>
        <v>3002032.5207785196</v>
      </c>
    </row>
    <row r="721" spans="1:12" x14ac:dyDescent="0.5">
      <c r="A721" s="2" t="str">
        <f>INDEX(Technologieën[Veld],MATCH(B721,Technologieën[Digitale zorgtoepassing],0))</f>
        <v>Digitale hulpmiddelen - Verpleging</v>
      </c>
      <c r="B721" s="33" t="s">
        <v>19</v>
      </c>
      <c r="C721" s="33" t="s">
        <v>813</v>
      </c>
      <c r="D721" s="33">
        <v>2028</v>
      </c>
      <c r="E721" s="2"/>
      <c r="F721" s="397">
        <f>SUMIFS(uitkomst_doelgroep[Patiëntaantallen],uitkomst_doelgroep[Digitale zorgtoepassing],B721,uitkomst_doelgroep[Jaar],D721,uitkomst_doelgroep[Arbeidsbesparing (€)],"&gt;0",uitkomst_doelgroep[Uitgangssituatie/effect beleid],uitkomst_tech[[#This Row],[Uitgangssituatie/effect beleid]])</f>
        <v>25602.608420869288</v>
      </c>
      <c r="G721" s="398">
        <f>SUMIFS(uitkomst_doelgroep[Arbeidsbesparing (€)],uitkomst_doelgroep[Digitale zorgtoepassing],B721,uitkomst_doelgroep[Jaar],D721,uitkomst_doelgroep[Arbeidsbesparing (€)],"&gt;0",uitkomst_doelgroep[Uitgangssituatie/effect beleid],uitkomst_tech[[#This Row],[Uitgangssituatie/effect beleid]])</f>
        <v>35325422.623664513</v>
      </c>
      <c r="H721" s="398">
        <f>SUMIFS(uitkomst_doelgroep[Arbeidsbesparing (FTE)],uitkomst_doelgroep[Digitale zorgtoepassing],B721,uitkomst_doelgroep[Jaar],D721,uitkomst_doelgroep[Arbeidsbesparing (FTE)],"&gt;0",uitkomst_doelgroep[Uitgangssituatie/effect beleid],uitkomst_tech[[#This Row],[Uitgangssituatie/effect beleid]])</f>
        <v>832.08477367825185</v>
      </c>
      <c r="I721" s="398">
        <f>SUMIFS(uitkomst_doelgroep[Overige besparingen (€)],uitkomst_doelgroep[Digitale zorgtoepassing],B721,uitkomst_doelgroep[Jaar],D721,uitkomst_doelgroep[Overige besparingen (€)],"&gt;0",uitkomst_doelgroep[Uitgangssituatie/effect beleid],uitkomst_tech[[#This Row],[Uitgangssituatie/effect beleid]])</f>
        <v>17399088.754939236</v>
      </c>
      <c r="J721" s="398">
        <f>SUMIFS(uitkomst_doelgroep[QALY (€)],uitkomst_doelgroep[Digitale zorgtoepassing],B721,uitkomst_doelgroep[Jaar],D721,uitkomst_doelgroep[QALY (€)],"&gt;0",uitkomst_doelgroep[Uitgangssituatie/effect beleid],uitkomst_tech[[#This Row],[Uitgangssituatie/effect beleid]])</f>
        <v>0</v>
      </c>
      <c r="K721" s="398">
        <f>SUMIFS(uitkomst_doelgroep[Kosten (€)],uitkomst_doelgroep[Digitale zorgtoepassing],B721,uitkomst_doelgroep[Jaar],D721,uitkomst_doelgroep[Kosten (€)],"&gt;0",uitkomst_doelgroep[Uitgangssituatie/effect beleid],uitkomst_tech[[#This Row],[Uitgangssituatie/effect beleid]])</f>
        <v>13617835.399497215</v>
      </c>
      <c r="L721" s="398">
        <f>SUMIFS(uitkomst_doelgroep[Investering (cash flow) (€)],uitkomst_doelgroep[Digitale zorgtoepassing],B721,uitkomst_doelgroep[Jaar],D721,uitkomst_doelgroep[Investering (cash flow) (€)],"&gt;0",uitkomst_doelgroep[Uitgangssituatie/effect beleid],uitkomst_tech[[#This Row],[Uitgangssituatie/effect beleid]])</f>
        <v>2596309.9087606696</v>
      </c>
    </row>
    <row r="722" spans="1:12" x14ac:dyDescent="0.5">
      <c r="A722" s="2" t="str">
        <f>INDEX(Technologieën[Veld],MATCH(B722,Technologieën[Digitale zorgtoepassing],0))</f>
        <v>Digitale hulpmiddelen - Verpleging</v>
      </c>
      <c r="B722" s="33" t="s">
        <v>19</v>
      </c>
      <c r="C722" s="33" t="s">
        <v>813</v>
      </c>
      <c r="D722" s="33">
        <v>2029</v>
      </c>
      <c r="E722" s="2"/>
      <c r="F722" s="397">
        <f>SUMIFS(uitkomst_doelgroep[Patiëntaantallen],uitkomst_doelgroep[Digitale zorgtoepassing],B722,uitkomst_doelgroep[Jaar],D722,uitkomst_doelgroep[Arbeidsbesparing (€)],"&gt;0",uitkomst_doelgroep[Uitgangssituatie/effect beleid],uitkomst_tech[[#This Row],[Uitgangssituatie/effect beleid]])</f>
        <v>29302.789131640577</v>
      </c>
      <c r="G722" s="398">
        <f>SUMIFS(uitkomst_doelgroep[Arbeidsbesparing (€)],uitkomst_doelgroep[Digitale zorgtoepassing],B722,uitkomst_doelgroep[Jaar],D722,uitkomst_doelgroep[Arbeidsbesparing (€)],"&gt;0",uitkomst_doelgroep[Uitgangssituatie/effect beleid],uitkomst_tech[[#This Row],[Uitgangssituatie/effect beleid]])</f>
        <v>40430779.282768905</v>
      </c>
      <c r="H722" s="398">
        <f>SUMIFS(uitkomst_doelgroep[Arbeidsbesparing (FTE)],uitkomst_doelgroep[Digitale zorgtoepassing],B722,uitkomst_doelgroep[Jaar],D722,uitkomst_doelgroep[Arbeidsbesparing (FTE)],"&gt;0",uitkomst_doelgroep[Uitgangssituatie/effect beleid],uitkomst_tech[[#This Row],[Uitgangssituatie/effect beleid]])</f>
        <v>952.34064677831884</v>
      </c>
      <c r="I722" s="398">
        <f>SUMIFS(uitkomst_doelgroep[Overige besparingen (€)],uitkomst_doelgroep[Digitale zorgtoepassing],B722,uitkomst_doelgroep[Jaar],D722,uitkomst_doelgroep[Overige besparingen (€)],"&gt;0",uitkomst_doelgroep[Uitgangssituatie/effect beleid],uitkomst_tech[[#This Row],[Uitgangssituatie/effect beleid]])</f>
        <v>19913667.407930952</v>
      </c>
      <c r="J722" s="398">
        <f>SUMIFS(uitkomst_doelgroep[QALY (€)],uitkomst_doelgroep[Digitale zorgtoepassing],B722,uitkomst_doelgroep[Jaar],D722,uitkomst_doelgroep[QALY (€)],"&gt;0",uitkomst_doelgroep[Uitgangssituatie/effect beleid],uitkomst_tech[[#This Row],[Uitgangssituatie/effect beleid]])</f>
        <v>0</v>
      </c>
      <c r="K722" s="398">
        <f>SUMIFS(uitkomst_doelgroep[Kosten (€)],uitkomst_doelgroep[Digitale zorgtoepassing],B722,uitkomst_doelgroep[Jaar],D722,uitkomst_doelgroep[Kosten (€)],"&gt;0",uitkomst_doelgroep[Uitgangssituatie/effect beleid],uitkomst_tech[[#This Row],[Uitgangssituatie/effect beleid]])</f>
        <v>15585933.768201131</v>
      </c>
      <c r="L722" s="398">
        <f>SUMIFS(uitkomst_doelgroep[Investering (cash flow) (€)],uitkomst_doelgroep[Digitale zorgtoepassing],B722,uitkomst_doelgroep[Jaar],D722,uitkomst_doelgroep[Investering (cash flow) (€)],"&gt;0",uitkomst_doelgroep[Uitgangssituatie/effect beleid],uitkomst_tech[[#This Row],[Uitgangssituatie/effect beleid]])</f>
        <v>2042419.164993912</v>
      </c>
    </row>
    <row r="723" spans="1:12" x14ac:dyDescent="0.5">
      <c r="A723" s="2" t="str">
        <f>INDEX(Technologieën[Veld],MATCH(B723,Technologieën[Digitale zorgtoepassing],0))</f>
        <v>Digitale hulpmiddelen - Verpleging</v>
      </c>
      <c r="B723" s="33" t="s">
        <v>19</v>
      </c>
      <c r="C723" s="33" t="s">
        <v>813</v>
      </c>
      <c r="D723" s="33">
        <v>2030</v>
      </c>
      <c r="E723" s="2"/>
      <c r="F723" s="397">
        <f>SUMIFS(uitkomst_doelgroep[Patiëntaantallen],uitkomst_doelgroep[Digitale zorgtoepassing],B723,uitkomst_doelgroep[Jaar],D723,uitkomst_doelgroep[Arbeidsbesparing (€)],"&gt;0",uitkomst_doelgroep[Uitgangssituatie/effect beleid],uitkomst_tech[[#This Row],[Uitgangssituatie/effect beleid]])</f>
        <v>32446.470402961484</v>
      </c>
      <c r="G723" s="398">
        <f>SUMIFS(uitkomst_doelgroep[Arbeidsbesparing (€)],uitkomst_doelgroep[Digitale zorgtoepassing],B723,uitkomst_doelgroep[Jaar],D723,uitkomst_doelgroep[Arbeidsbesparing (€)],"&gt;0",uitkomst_doelgroep[Uitgangssituatie/effect beleid],uitkomst_tech[[#This Row],[Uitgangssituatie/effect beleid]])</f>
        <v>44768300.978917211</v>
      </c>
      <c r="H723" s="398">
        <f>SUMIFS(uitkomst_doelgroep[Arbeidsbesparing (FTE)],uitkomst_doelgroep[Digitale zorgtoepassing],B723,uitkomst_doelgroep[Jaar],D723,uitkomst_doelgroep[Arbeidsbesparing (FTE)],"&gt;0",uitkomst_doelgroep[Uitgangssituatie/effect beleid],uitkomst_tech[[#This Row],[Uitgangssituatie/effect beleid]])</f>
        <v>1054.5102880962481</v>
      </c>
      <c r="I723" s="398">
        <f>SUMIFS(uitkomst_doelgroep[Overige besparingen (€)],uitkomst_doelgroep[Digitale zorgtoepassing],B723,uitkomst_doelgroep[Jaar],D723,uitkomst_doelgroep[Overige besparingen (€)],"&gt;0",uitkomst_doelgroep[Uitgangssituatie/effect beleid],uitkomst_tech[[#This Row],[Uitgangssituatie/effect beleid]])</f>
        <v>22050058.69110848</v>
      </c>
      <c r="J723" s="398">
        <f>SUMIFS(uitkomst_doelgroep[QALY (€)],uitkomst_doelgroep[Digitale zorgtoepassing],B723,uitkomst_doelgroep[Jaar],D723,uitkomst_doelgroep[QALY (€)],"&gt;0",uitkomst_doelgroep[Uitgangssituatie/effect beleid],uitkomst_tech[[#This Row],[Uitgangssituatie/effect beleid]])</f>
        <v>0</v>
      </c>
      <c r="K723" s="398">
        <f>SUMIFS(uitkomst_doelgroep[Kosten (€)],uitkomst_doelgroep[Digitale zorgtoepassing],B723,uitkomst_doelgroep[Jaar],D723,uitkomst_doelgroep[Kosten (€)],"&gt;0",uitkomst_doelgroep[Uitgangssituatie/effect beleid],uitkomst_tech[[#This Row],[Uitgangssituatie/effect beleid]])</f>
        <v>17258034.25880719</v>
      </c>
      <c r="L723" s="398">
        <f>SUMIFS(uitkomst_doelgroep[Investering (cash flow) (€)],uitkomst_doelgroep[Digitale zorgtoepassing],B723,uitkomst_doelgroep[Jaar],D723,uitkomst_doelgroep[Investering (cash flow) (€)],"&gt;0",uitkomst_doelgroep[Uitgangssituatie/effect beleid],uitkomst_tech[[#This Row],[Uitgangssituatie/effect beleid]])</f>
        <v>1474373.8427927564</v>
      </c>
    </row>
    <row r="724" spans="1:12" x14ac:dyDescent="0.5">
      <c r="A724" s="2" t="str">
        <f>INDEX(Technologieën[Veld],MATCH(B724,Technologieën[Digitale zorgtoepassing],0))</f>
        <v>Digitale hulpmiddelen - Verpleging</v>
      </c>
      <c r="B724" s="33" t="s">
        <v>19</v>
      </c>
      <c r="C724" s="33" t="s">
        <v>813</v>
      </c>
      <c r="D724" s="33">
        <v>2031</v>
      </c>
      <c r="E724" s="2"/>
      <c r="F724" s="397">
        <f>SUMIFS(uitkomst_doelgroep[Patiëntaantallen],uitkomst_doelgroep[Digitale zorgtoepassing],B724,uitkomst_doelgroep[Jaar],D724,uitkomst_doelgroep[Arbeidsbesparing (€)],"&gt;0",uitkomst_doelgroep[Uitgangssituatie/effect beleid],uitkomst_tech[[#This Row],[Uitgangssituatie/effect beleid]])</f>
        <v>35011.080765513616</v>
      </c>
      <c r="G724" s="398">
        <f>SUMIFS(uitkomst_doelgroep[Arbeidsbesparing (€)],uitkomst_doelgroep[Digitale zorgtoepassing],B724,uitkomst_doelgroep[Jaar],D724,uitkomst_doelgroep[Arbeidsbesparing (€)],"&gt;0",uitkomst_doelgroep[Uitgangssituatie/effect beleid],uitkomst_tech[[#This Row],[Uitgangssituatie/effect beleid]])</f>
        <v>48306844.530141339</v>
      </c>
      <c r="H724" s="398">
        <f>SUMIFS(uitkomst_doelgroep[Arbeidsbesparing (FTE)],uitkomst_doelgroep[Digitale zorgtoepassing],B724,uitkomst_doelgroep[Jaar],D724,uitkomst_doelgroep[Arbeidsbesparing (FTE)],"&gt;0",uitkomst_doelgroep[Uitgangssituatie/effect beleid],uitkomst_tech[[#This Row],[Uitgangssituatie/effect beleid]])</f>
        <v>1137.8601248791924</v>
      </c>
      <c r="I724" s="398">
        <f>SUMIFS(uitkomst_doelgroep[Overige besparingen (€)],uitkomst_doelgroep[Digitale zorgtoepassing],B724,uitkomst_doelgroep[Jaar],D724,uitkomst_doelgroep[Overige besparingen (€)],"&gt;0",uitkomst_doelgroep[Uitgangssituatie/effect beleid],uitkomst_tech[[#This Row],[Uitgangssituatie/effect beleid]])</f>
        <v>23792923.425293498</v>
      </c>
      <c r="J724" s="398">
        <f>SUMIFS(uitkomst_doelgroep[QALY (€)],uitkomst_doelgroep[Digitale zorgtoepassing],B724,uitkomst_doelgroep[Jaar],D724,uitkomst_doelgroep[QALY (€)],"&gt;0",uitkomst_doelgroep[Uitgangssituatie/effect beleid],uitkomst_tech[[#This Row],[Uitgangssituatie/effect beleid]])</f>
        <v>0</v>
      </c>
      <c r="K724" s="398">
        <f>SUMIFS(uitkomst_doelgroep[Kosten (€)],uitkomst_doelgroep[Digitale zorgtoepassing],B724,uitkomst_doelgroep[Jaar],D724,uitkomst_doelgroep[Kosten (€)],"&gt;0",uitkomst_doelgroep[Uitgangssituatie/effect beleid],uitkomst_tech[[#This Row],[Uitgangssituatie/effect beleid]])</f>
        <v>18622131.276070949</v>
      </c>
      <c r="L724" s="398">
        <f>SUMIFS(uitkomst_doelgroep[Investering (cash flow) (€)],uitkomst_doelgroep[Digitale zorgtoepassing],B724,uitkomst_doelgroep[Jaar],D724,uitkomst_doelgroep[Investering (cash flow) (€)],"&gt;0",uitkomst_doelgroep[Uitgangssituatie/effect beleid],uitkomst_tech[[#This Row],[Uitgangssituatie/effect beleid]])</f>
        <v>991898.98830934416</v>
      </c>
    </row>
    <row r="725" spans="1:12" x14ac:dyDescent="0.5">
      <c r="A725" s="2" t="str">
        <f>INDEX(Technologieën[Veld],MATCH(B725,Technologieën[Digitale zorgtoepassing],0))</f>
        <v>Digitale hulpmiddelen - Verpleging</v>
      </c>
      <c r="B725" s="33" t="s">
        <v>19</v>
      </c>
      <c r="C725" s="33" t="s">
        <v>813</v>
      </c>
      <c r="D725" s="33">
        <v>2032</v>
      </c>
      <c r="E725" s="2"/>
      <c r="F725" s="397">
        <f>SUMIFS(uitkomst_doelgroep[Patiëntaantallen],uitkomst_doelgroep[Digitale zorgtoepassing],B725,uitkomst_doelgroep[Jaar],D725,uitkomst_doelgroep[Arbeidsbesparing (€)],"&gt;0",uitkomst_doelgroep[Uitgangssituatie/effect beleid],uitkomst_tech[[#This Row],[Uitgangssituatie/effect beleid]])</f>
        <v>37072.486517707366</v>
      </c>
      <c r="G725" s="398">
        <f>SUMIFS(uitkomst_doelgroep[Arbeidsbesparing (€)],uitkomst_doelgroep[Digitale zorgtoepassing],B725,uitkomst_doelgroep[Jaar],D725,uitkomst_doelgroep[Arbeidsbesparing (€)],"&gt;0",uitkomst_doelgroep[Uitgangssituatie/effect beleid],uitkomst_tech[[#This Row],[Uitgangssituatie/effect beleid]])</f>
        <v>51151087.124413103</v>
      </c>
      <c r="H725" s="398">
        <f>SUMIFS(uitkomst_doelgroep[Arbeidsbesparing (FTE)],uitkomst_doelgroep[Digitale zorgtoepassing],B725,uitkomst_doelgroep[Jaar],D725,uitkomst_doelgroep[Arbeidsbesparing (FTE)],"&gt;0",uitkomst_doelgroep[Uitgangssituatie/effect beleid],uitkomst_tech[[#This Row],[Uitgangssituatie/effect beleid]])</f>
        <v>1204.8558118254896</v>
      </c>
      <c r="I725" s="398">
        <f>SUMIFS(uitkomst_doelgroep[Overige besparingen (€)],uitkomst_doelgroep[Digitale zorgtoepassing],B725,uitkomst_doelgroep[Jaar],D725,uitkomst_doelgroep[Overige besparingen (€)],"&gt;0",uitkomst_doelgroep[Uitgangssituatie/effect beleid],uitkomst_tech[[#This Row],[Uitgangssituatie/effect beleid]])</f>
        <v>25193819.03142735</v>
      </c>
      <c r="J725" s="398">
        <f>SUMIFS(uitkomst_doelgroep[QALY (€)],uitkomst_doelgroep[Digitale zorgtoepassing],B725,uitkomst_doelgroep[Jaar],D725,uitkomst_doelgroep[QALY (€)],"&gt;0",uitkomst_doelgroep[Uitgangssituatie/effect beleid],uitkomst_tech[[#This Row],[Uitgangssituatie/effect beleid]])</f>
        <v>0</v>
      </c>
      <c r="K725" s="398">
        <f>SUMIFS(uitkomst_doelgroep[Kosten (€)],uitkomst_doelgroep[Digitale zorgtoepassing],B725,uitkomst_doelgroep[Jaar],D725,uitkomst_doelgroep[Kosten (€)],"&gt;0",uitkomst_doelgroep[Uitgangssituatie/effect beleid],uitkomst_tech[[#This Row],[Uitgangssituatie/effect beleid]])</f>
        <v>19718577.53511966</v>
      </c>
      <c r="L725" s="398">
        <f>SUMIFS(uitkomst_doelgroep[Investering (cash flow) (€)],uitkomst_doelgroep[Digitale zorgtoepassing],B725,uitkomst_doelgroep[Jaar],D725,uitkomst_doelgroep[Investering (cash flow) (€)],"&gt;0",uitkomst_doelgroep[Uitgangssituatie/effect beleid],uitkomst_tech[[#This Row],[Uitgangssituatie/effect beleid]])</f>
        <v>633143.67550077999</v>
      </c>
    </row>
    <row r="726" spans="1:12" x14ac:dyDescent="0.5">
      <c r="A726" s="2" t="str">
        <f>INDEX(Technologieën[Veld],MATCH(B726,Technologieën[Digitale zorgtoepassing],0))</f>
        <v>Digitale hulpmiddelen - Verpleging</v>
      </c>
      <c r="B726" s="33" t="s">
        <v>19</v>
      </c>
      <c r="C726" s="33" t="s">
        <v>813</v>
      </c>
      <c r="D726" s="33">
        <v>2033</v>
      </c>
      <c r="E726" s="2"/>
      <c r="F726" s="397">
        <f>SUMIFS(uitkomst_doelgroep[Patiëntaantallen],uitkomst_doelgroep[Digitale zorgtoepassing],B726,uitkomst_doelgroep[Jaar],D726,uitkomst_doelgroep[Arbeidsbesparing (€)],"&gt;0",uitkomst_doelgroep[Uitgangssituatie/effect beleid],uitkomst_tech[[#This Row],[Uitgangssituatie/effect beleid]])</f>
        <v>38726.384735392741</v>
      </c>
      <c r="G726" s="398">
        <f>SUMIFS(uitkomst_doelgroep[Arbeidsbesparing (€)],uitkomst_doelgroep[Digitale zorgtoepassing],B726,uitkomst_doelgroep[Jaar],D726,uitkomst_doelgroep[Arbeidsbesparing (€)],"&gt;0",uitkomst_doelgroep[Uitgangssituatie/effect beleid],uitkomst_tech[[#This Row],[Uitgangssituatie/effect beleid]])</f>
        <v>53433067.638110995</v>
      </c>
      <c r="H726" s="398">
        <f>SUMIFS(uitkomst_doelgroep[Arbeidsbesparing (FTE)],uitkomst_doelgroep[Digitale zorgtoepassing],B726,uitkomst_doelgroep[Jaar],D726,uitkomst_doelgroep[Arbeidsbesparing (FTE)],"&gt;0",uitkomst_doelgroep[Uitgangssituatie/effect beleid],uitkomst_tech[[#This Row],[Uitgangssituatie/effect beleid]])</f>
        <v>1258.6075039002642</v>
      </c>
      <c r="I726" s="398">
        <f>SUMIFS(uitkomst_doelgroep[Overige besparingen (€)],uitkomst_doelgroep[Digitale zorgtoepassing],B726,uitkomst_doelgroep[Jaar],D726,uitkomst_doelgroep[Overige besparingen (€)],"&gt;0",uitkomst_doelgroep[Uitgangssituatie/effect beleid],uitkomst_tech[[#This Row],[Uitgangssituatie/effect beleid]])</f>
        <v>26317779.58295019</v>
      </c>
      <c r="J726" s="398">
        <f>SUMIFS(uitkomst_doelgroep[QALY (€)],uitkomst_doelgroep[Digitale zorgtoepassing],B726,uitkomst_doelgroep[Jaar],D726,uitkomst_doelgroep[QALY (€)],"&gt;0",uitkomst_doelgroep[Uitgangssituatie/effect beleid],uitkomst_tech[[#This Row],[Uitgangssituatie/effect beleid]])</f>
        <v>0</v>
      </c>
      <c r="K726" s="398">
        <f>SUMIFS(uitkomst_doelgroep[Kosten (€)],uitkomst_doelgroep[Digitale zorgtoepassing],B726,uitkomst_doelgroep[Jaar],D726,uitkomst_doelgroep[Kosten (€)],"&gt;0",uitkomst_doelgroep[Uitgangssituatie/effect beleid],uitkomst_tech[[#This Row],[Uitgangssituatie/effect beleid]])</f>
        <v>20598273.592869882</v>
      </c>
      <c r="L726" s="398">
        <f>SUMIFS(uitkomst_doelgroep[Investering (cash flow) (€)],uitkomst_doelgroep[Digitale zorgtoepassing],B726,uitkomst_doelgroep[Jaar],D726,uitkomst_doelgroep[Investering (cash flow) (€)],"&gt;0",uitkomst_doelgroep[Uitgangssituatie/effect beleid],uitkomst_tech[[#This Row],[Uitgangssituatie/effect beleid]])</f>
        <v>389775.12735814007</v>
      </c>
    </row>
    <row r="727" spans="1:12" x14ac:dyDescent="0.5">
      <c r="A727" s="2" t="str">
        <f>INDEX(Technologieën[Veld],MATCH(B727,Technologieën[Digitale zorgtoepassing],0))</f>
        <v>Software - Diagnose</v>
      </c>
      <c r="B727" s="33" t="s">
        <v>56</v>
      </c>
      <c r="C727" s="33" t="s">
        <v>813</v>
      </c>
      <c r="D727" s="33">
        <v>2023</v>
      </c>
      <c r="E727" s="2"/>
      <c r="F727" s="397">
        <f>SUMIFS(uitkomst_doelgroep[Patiëntaantallen],uitkomst_doelgroep[Digitale zorgtoepassing],B727,uitkomst_doelgroep[Jaar],D727,uitkomst_doelgroep[Arbeidsbesparing (€)],"&gt;0",uitkomst_doelgroep[Uitgangssituatie/effect beleid],uitkomst_tech[[#This Row],[Uitgangssituatie/effect beleid]])</f>
        <v>200000</v>
      </c>
      <c r="G727" s="398">
        <f>SUMIFS(uitkomst_doelgroep[Arbeidsbesparing (€)],uitkomst_doelgroep[Digitale zorgtoepassing],B727,uitkomst_doelgroep[Jaar],D727,uitkomst_doelgroep[Arbeidsbesparing (€)],"&gt;0",uitkomst_doelgroep[Uitgangssituatie/effect beleid],uitkomst_tech[[#This Row],[Uitgangssituatie/effect beleid]])</f>
        <v>228471.26436781615</v>
      </c>
      <c r="H727" s="398">
        <f>SUMIFS(uitkomst_doelgroep[Arbeidsbesparing (FTE)],uitkomst_doelgroep[Digitale zorgtoepassing],B727,uitkomst_doelgroep[Jaar],D727,uitkomst_doelgroep[Arbeidsbesparing (FTE)],"&gt;0",uitkomst_doelgroep[Uitgangssituatie/effect beleid],uitkomst_tech[[#This Row],[Uitgangssituatie/effect beleid]])</f>
        <v>3.8461538461538467</v>
      </c>
      <c r="I727" s="398">
        <f>SUMIFS(uitkomst_doelgroep[Overige besparingen (€)],uitkomst_doelgroep[Digitale zorgtoepassing],B727,uitkomst_doelgroep[Jaar],D727,uitkomst_doelgroep[Overige besparingen (€)],"&gt;0",uitkomst_doelgroep[Uitgangssituatie/effect beleid],uitkomst_tech[[#This Row],[Uitgangssituatie/effect beleid]])</f>
        <v>0</v>
      </c>
      <c r="J727" s="398">
        <f>SUMIFS(uitkomst_doelgroep[QALY (€)],uitkomst_doelgroep[Digitale zorgtoepassing],B727,uitkomst_doelgroep[Jaar],D727,uitkomst_doelgroep[QALY (€)],"&gt;0",uitkomst_doelgroep[Uitgangssituatie/effect beleid],uitkomst_tech[[#This Row],[Uitgangssituatie/effect beleid]])</f>
        <v>0</v>
      </c>
      <c r="K727" s="398">
        <f>SUMIFS(uitkomst_doelgroep[Kosten (€)],uitkomst_doelgroep[Digitale zorgtoepassing],B727,uitkomst_doelgroep[Jaar],D727,uitkomst_doelgroep[Kosten (€)],"&gt;0",uitkomst_doelgroep[Uitgangssituatie/effect beleid],uitkomst_tech[[#This Row],[Uitgangssituatie/effect beleid]])</f>
        <v>194162.12520825965</v>
      </c>
      <c r="L727" s="398">
        <f>SUMIFS(uitkomst_doelgroep[Investering (cash flow) (€)],uitkomst_doelgroep[Digitale zorgtoepassing],B727,uitkomst_doelgroep[Jaar],D727,uitkomst_doelgroep[Investering (cash flow) (€)],"&gt;0",uitkomst_doelgroep[Uitgangssituatie/effect beleid],uitkomst_tech[[#This Row],[Uitgangssituatie/effect beleid]])</f>
        <v>0</v>
      </c>
    </row>
    <row r="728" spans="1:12" x14ac:dyDescent="0.5">
      <c r="A728" s="2" t="str">
        <f>INDEX(Technologieën[Veld],MATCH(B728,Technologieën[Digitale zorgtoepassing],0))</f>
        <v>Software - Diagnose</v>
      </c>
      <c r="B728" s="33" t="s">
        <v>56</v>
      </c>
      <c r="C728" s="33" t="s">
        <v>813</v>
      </c>
      <c r="D728" s="33">
        <v>2024</v>
      </c>
      <c r="E728" s="2"/>
      <c r="F728" s="397">
        <f>SUMIFS(uitkomst_doelgroep[Patiëntaantallen],uitkomst_doelgroep[Digitale zorgtoepassing],B728,uitkomst_doelgroep[Jaar],D728,uitkomst_doelgroep[Arbeidsbesparing (€)],"&gt;0",uitkomst_doelgroep[Uitgangssituatie/effect beleid],uitkomst_tech[[#This Row],[Uitgangssituatie/effect beleid]])</f>
        <v>292000.00000000006</v>
      </c>
      <c r="G728" s="398">
        <f>SUMIFS(uitkomst_doelgroep[Arbeidsbesparing (€)],uitkomst_doelgroep[Digitale zorgtoepassing],B728,uitkomst_doelgroep[Jaar],D728,uitkomst_doelgroep[Arbeidsbesparing (€)],"&gt;0",uitkomst_doelgroep[Uitgangssituatie/effect beleid],uitkomst_tech[[#This Row],[Uitgangssituatie/effect beleid]])</f>
        <v>333568.04597701161</v>
      </c>
      <c r="H728" s="398">
        <f>SUMIFS(uitkomst_doelgroep[Arbeidsbesparing (FTE)],uitkomst_doelgroep[Digitale zorgtoepassing],B728,uitkomst_doelgroep[Jaar],D728,uitkomst_doelgroep[Arbeidsbesparing (FTE)],"&gt;0",uitkomst_doelgroep[Uitgangssituatie/effect beleid],uitkomst_tech[[#This Row],[Uitgangssituatie/effect beleid]])</f>
        <v>5.6153846153846168</v>
      </c>
      <c r="I728" s="398">
        <f>SUMIFS(uitkomst_doelgroep[Overige besparingen (€)],uitkomst_doelgroep[Digitale zorgtoepassing],B728,uitkomst_doelgroep[Jaar],D728,uitkomst_doelgroep[Overige besparingen (€)],"&gt;0",uitkomst_doelgroep[Uitgangssituatie/effect beleid],uitkomst_tech[[#This Row],[Uitgangssituatie/effect beleid]])</f>
        <v>0</v>
      </c>
      <c r="J728" s="398">
        <f>SUMIFS(uitkomst_doelgroep[QALY (€)],uitkomst_doelgroep[Digitale zorgtoepassing],B728,uitkomst_doelgroep[Jaar],D728,uitkomst_doelgroep[QALY (€)],"&gt;0",uitkomst_doelgroep[Uitgangssituatie/effect beleid],uitkomst_tech[[#This Row],[Uitgangssituatie/effect beleid]])</f>
        <v>0</v>
      </c>
      <c r="K728" s="398">
        <f>SUMIFS(uitkomst_doelgroep[Kosten (€)],uitkomst_doelgroep[Digitale zorgtoepassing],B728,uitkomst_doelgroep[Jaar],D728,uitkomst_doelgroep[Kosten (€)],"&gt;0",uitkomst_doelgroep[Uitgangssituatie/effect beleid],uitkomst_tech[[#This Row],[Uitgangssituatie/effect beleid]])</f>
        <v>283476.70280405908</v>
      </c>
      <c r="L728" s="398">
        <f>SUMIFS(uitkomst_doelgroep[Investering (cash flow) (€)],uitkomst_doelgroep[Digitale zorgtoepassing],B728,uitkomst_doelgroep[Jaar],D728,uitkomst_doelgroep[Investering (cash flow) (€)],"&gt;0",uitkomst_doelgroep[Uitgangssituatie/effect beleid],uitkomst_tech[[#This Row],[Uitgangssituatie/effect beleid]])</f>
        <v>0</v>
      </c>
    </row>
    <row r="729" spans="1:12" x14ac:dyDescent="0.5">
      <c r="A729" s="2" t="str">
        <f>INDEX(Technologieën[Veld],MATCH(B729,Technologieën[Digitale zorgtoepassing],0))</f>
        <v>Software - Diagnose</v>
      </c>
      <c r="B729" s="33" t="s">
        <v>56</v>
      </c>
      <c r="C729" s="33" t="s">
        <v>813</v>
      </c>
      <c r="D729" s="33">
        <v>2025</v>
      </c>
      <c r="E729" s="2"/>
      <c r="F729" s="397">
        <f>SUMIFS(uitkomst_doelgroep[Patiëntaantallen],uitkomst_doelgroep[Digitale zorgtoepassing],B729,uitkomst_doelgroep[Jaar],D729,uitkomst_doelgroep[Arbeidsbesparing (€)],"&gt;0",uitkomst_doelgroep[Uitgangssituatie/effect beleid],uitkomst_tech[[#This Row],[Uitgangssituatie/effect beleid]])</f>
        <v>402731.20000000007</v>
      </c>
      <c r="G729" s="398">
        <f>SUMIFS(uitkomst_doelgroep[Arbeidsbesparing (€)],uitkomst_doelgroep[Digitale zorgtoepassing],B729,uitkomst_doelgroep[Jaar],D729,uitkomst_doelgroep[Arbeidsbesparing (€)],"&gt;0",uitkomst_doelgroep[Uitgangssituatie/effect beleid],uitkomst_tech[[#This Row],[Uitgangssituatie/effect beleid]])</f>
        <v>460062.53232183924</v>
      </c>
      <c r="H729" s="398">
        <f>SUMIFS(uitkomst_doelgroep[Arbeidsbesparing (FTE)],uitkomst_doelgroep[Digitale zorgtoepassing],B729,uitkomst_doelgroep[Jaar],D729,uitkomst_doelgroep[Arbeidsbesparing (FTE)],"&gt;0",uitkomst_doelgroep[Uitgangssituatie/effect beleid],uitkomst_tech[[#This Row],[Uitgangssituatie/effect beleid]])</f>
        <v>7.7448307692307718</v>
      </c>
      <c r="I729" s="398">
        <f>SUMIFS(uitkomst_doelgroep[Overige besparingen (€)],uitkomst_doelgroep[Digitale zorgtoepassing],B729,uitkomst_doelgroep[Jaar],D729,uitkomst_doelgroep[Overige besparingen (€)],"&gt;0",uitkomst_doelgroep[Uitgangssituatie/effect beleid],uitkomst_tech[[#This Row],[Uitgangssituatie/effect beleid]])</f>
        <v>0</v>
      </c>
      <c r="J729" s="398">
        <f>SUMIFS(uitkomst_doelgroep[QALY (€)],uitkomst_doelgroep[Digitale zorgtoepassing],B729,uitkomst_doelgroep[Jaar],D729,uitkomst_doelgroep[QALY (€)],"&gt;0",uitkomst_doelgroep[Uitgangssituatie/effect beleid],uitkomst_tech[[#This Row],[Uitgangssituatie/effect beleid]])</f>
        <v>0</v>
      </c>
      <c r="K729" s="398">
        <f>SUMIFS(uitkomst_doelgroep[Kosten (€)],uitkomst_doelgroep[Digitale zorgtoepassing],B729,uitkomst_doelgroep[Jaar],D729,uitkomst_doelgroep[Kosten (€)],"&gt;0",uitkomst_doelgroep[Uitgangssituatie/effect beleid],uitkomst_tech[[#This Row],[Uitgangssituatie/effect beleid]])</f>
        <v>390975.72839836334</v>
      </c>
      <c r="L729" s="398">
        <f>SUMIFS(uitkomst_doelgroep[Investering (cash flow) (€)],uitkomst_doelgroep[Digitale zorgtoepassing],B729,uitkomst_doelgroep[Jaar],D729,uitkomst_doelgroep[Investering (cash flow) (€)],"&gt;0",uitkomst_doelgroep[Uitgangssituatie/effect beleid],uitkomst_tech[[#This Row],[Uitgangssituatie/effect beleid]])</f>
        <v>0</v>
      </c>
    </row>
    <row r="730" spans="1:12" x14ac:dyDescent="0.5">
      <c r="A730" s="2" t="str">
        <f>INDEX(Technologieën[Veld],MATCH(B730,Technologieën[Digitale zorgtoepassing],0))</f>
        <v>Software - Diagnose</v>
      </c>
      <c r="B730" s="33" t="s">
        <v>56</v>
      </c>
      <c r="C730" s="33" t="s">
        <v>813</v>
      </c>
      <c r="D730" s="33">
        <v>2026</v>
      </c>
      <c r="E730" s="2"/>
      <c r="F730" s="397">
        <f>SUMIFS(uitkomst_doelgroep[Patiëntaantallen],uitkomst_doelgroep[Digitale zorgtoepassing],B730,uitkomst_doelgroep[Jaar],D730,uitkomst_doelgroep[Arbeidsbesparing (€)],"&gt;0",uitkomst_doelgroep[Uitgangssituatie/effect beleid],uitkomst_tech[[#This Row],[Uitgangssituatie/effect beleid]])</f>
        <v>525905.37124595209</v>
      </c>
      <c r="G730" s="398">
        <f>SUMIFS(uitkomst_doelgroep[Arbeidsbesparing (€)],uitkomst_doelgroep[Digitale zorgtoepassing],B730,uitkomst_doelgroep[Jaar],D730,uitkomst_doelgroep[Arbeidsbesparing (€)],"&gt;0",uitkomst_doelgroep[Uitgangssituatie/effect beleid],uitkomst_tech[[#This Row],[Uitgangssituatie/effect beleid]])</f>
        <v>600771.32553194195</v>
      </c>
      <c r="H730" s="398">
        <f>SUMIFS(uitkomst_doelgroep[Arbeidsbesparing (FTE)],uitkomst_doelgroep[Digitale zorgtoepassing],B730,uitkomst_doelgroep[Jaar],D730,uitkomst_doelgroep[Arbeidsbesparing (FTE)],"&gt;0",uitkomst_doelgroep[Uitgangssituatie/effect beleid],uitkomst_tech[[#This Row],[Uitgangssituatie/effect beleid]])</f>
        <v>10.113564831652926</v>
      </c>
      <c r="I730" s="398">
        <f>SUMIFS(uitkomst_doelgroep[Overige besparingen (€)],uitkomst_doelgroep[Digitale zorgtoepassing],B730,uitkomst_doelgroep[Jaar],D730,uitkomst_doelgroep[Overige besparingen (€)],"&gt;0",uitkomst_doelgroep[Uitgangssituatie/effect beleid],uitkomst_tech[[#This Row],[Uitgangssituatie/effect beleid]])</f>
        <v>0</v>
      </c>
      <c r="J730" s="398">
        <f>SUMIFS(uitkomst_doelgroep[QALY (€)],uitkomst_doelgroep[Digitale zorgtoepassing],B730,uitkomst_doelgroep[Jaar],D730,uitkomst_doelgroep[QALY (€)],"&gt;0",uitkomst_doelgroep[Uitgangssituatie/effect beleid],uitkomst_tech[[#This Row],[Uitgangssituatie/effect beleid]])</f>
        <v>0</v>
      </c>
      <c r="K730" s="398">
        <f>SUMIFS(uitkomst_doelgroep[Kosten (€)],uitkomst_doelgroep[Digitale zorgtoepassing],B730,uitkomst_doelgroep[Jaar],D730,uitkomst_doelgroep[Kosten (€)],"&gt;0",uitkomst_doelgroep[Uitgangssituatie/effect beleid],uitkomst_tech[[#This Row],[Uitgangssituatie/effect beleid]])</f>
        <v>510554.52269776404</v>
      </c>
      <c r="L730" s="398">
        <f>SUMIFS(uitkomst_doelgroep[Investering (cash flow) (€)],uitkomst_doelgroep[Digitale zorgtoepassing],B730,uitkomst_doelgroep[Jaar],D730,uitkomst_doelgroep[Investering (cash flow) (€)],"&gt;0",uitkomst_doelgroep[Uitgangssituatie/effect beleid],uitkomst_tech[[#This Row],[Uitgangssituatie/effect beleid]])</f>
        <v>0</v>
      </c>
    </row>
    <row r="731" spans="1:12" x14ac:dyDescent="0.5">
      <c r="A731" s="2" t="str">
        <f>INDEX(Technologieën[Veld],MATCH(B731,Technologieën[Digitale zorgtoepassing],0))</f>
        <v>Software - Diagnose</v>
      </c>
      <c r="B731" s="33" t="s">
        <v>56</v>
      </c>
      <c r="C731" s="33" t="s">
        <v>813</v>
      </c>
      <c r="D731" s="33">
        <v>2027</v>
      </c>
      <c r="E731" s="2"/>
      <c r="F731" s="397">
        <f>SUMIFS(uitkomst_doelgroep[Patiëntaantallen],uitkomst_doelgroep[Digitale zorgtoepassing],B731,uitkomst_doelgroep[Jaar],D731,uitkomst_doelgroep[Arbeidsbesparing (€)],"&gt;0",uitkomst_doelgroep[Uitgangssituatie/effect beleid],uitkomst_tech[[#This Row],[Uitgangssituatie/effect beleid]])</f>
        <v>649955.74724807753</v>
      </c>
      <c r="G731" s="398">
        <f>SUMIFS(uitkomst_doelgroep[Arbeidsbesparing (€)],uitkomst_doelgroep[Digitale zorgtoepassing],B731,uitkomst_doelgroep[Jaar],D731,uitkomst_doelgroep[Arbeidsbesparing (€)],"&gt;0",uitkomst_doelgroep[Uitgangssituatie/effect beleid],uitkomst_tech[[#This Row],[Uitgangssituatie/effect beleid]])</f>
        <v>742481.056784485</v>
      </c>
      <c r="H731" s="398">
        <f>SUMIFS(uitkomst_doelgroep[Arbeidsbesparing (FTE)],uitkomst_doelgroep[Digitale zorgtoepassing],B731,uitkomst_doelgroep[Jaar],D731,uitkomst_doelgroep[Arbeidsbesparing (FTE)],"&gt;0",uitkomst_doelgroep[Uitgangssituatie/effect beleid],uitkomst_tech[[#This Row],[Uitgangssituatie/effect beleid]])</f>
        <v>12.499148985539954</v>
      </c>
      <c r="I731" s="398">
        <f>SUMIFS(uitkomst_doelgroep[Overige besparingen (€)],uitkomst_doelgroep[Digitale zorgtoepassing],B731,uitkomst_doelgroep[Jaar],D731,uitkomst_doelgroep[Overige besparingen (€)],"&gt;0",uitkomst_doelgroep[Uitgangssituatie/effect beleid],uitkomst_tech[[#This Row],[Uitgangssituatie/effect beleid]])</f>
        <v>0</v>
      </c>
      <c r="J731" s="398">
        <f>SUMIFS(uitkomst_doelgroep[QALY (€)],uitkomst_doelgroep[Digitale zorgtoepassing],B731,uitkomst_doelgroep[Jaar],D731,uitkomst_doelgroep[QALY (€)],"&gt;0",uitkomst_doelgroep[Uitgangssituatie/effect beleid],uitkomst_tech[[#This Row],[Uitgangssituatie/effect beleid]])</f>
        <v>0</v>
      </c>
      <c r="K731" s="398">
        <f>SUMIFS(uitkomst_doelgroep[Kosten (€)],uitkomst_doelgroep[Digitale zorgtoepassing],B731,uitkomst_doelgroep[Jaar],D731,uitkomst_doelgroep[Kosten (€)],"&gt;0",uitkomst_doelgroep[Uitgangssituatie/effect beleid],uitkomst_tech[[#This Row],[Uitgangssituatie/effect beleid]])</f>
        <v>630983.9458850458</v>
      </c>
      <c r="L731" s="398">
        <f>SUMIFS(uitkomst_doelgroep[Investering (cash flow) (€)],uitkomst_doelgroep[Digitale zorgtoepassing],B731,uitkomst_doelgroep[Jaar],D731,uitkomst_doelgroep[Investering (cash flow) (€)],"&gt;0",uitkomst_doelgroep[Uitgangssituatie/effect beleid],uitkomst_tech[[#This Row],[Uitgangssituatie/effect beleid]])</f>
        <v>0</v>
      </c>
    </row>
    <row r="732" spans="1:12" x14ac:dyDescent="0.5">
      <c r="A732" s="2" t="str">
        <f>INDEX(Technologieën[Veld],MATCH(B732,Technologieën[Digitale zorgtoepassing],0))</f>
        <v>Software - Diagnose</v>
      </c>
      <c r="B732" s="33" t="s">
        <v>56</v>
      </c>
      <c r="C732" s="33" t="s">
        <v>813</v>
      </c>
      <c r="D732" s="33">
        <v>2028</v>
      </c>
      <c r="E732" s="2"/>
      <c r="F732" s="397">
        <f>SUMIFS(uitkomst_doelgroep[Patiëntaantallen],uitkomst_doelgroep[Digitale zorgtoepassing],B732,uitkomst_doelgroep[Jaar],D732,uitkomst_doelgroep[Arbeidsbesparing (€)],"&gt;0",uitkomst_doelgroep[Uitgangssituatie/effect beleid],uitkomst_tech[[#This Row],[Uitgangssituatie/effect beleid]])</f>
        <v>761087.82680714736</v>
      </c>
      <c r="G732" s="398">
        <f>SUMIFS(uitkomst_doelgroep[Arbeidsbesparing (€)],uitkomst_doelgroep[Digitale zorgtoepassing],B732,uitkomst_doelgroep[Jaar],D732,uitkomst_doelgroep[Arbeidsbesparing (€)],"&gt;0",uitkomst_doelgroep[Uitgangssituatie/effect beleid],uitkomst_tech[[#This Row],[Uitgangssituatie/effect beleid]])</f>
        <v>869433.4904279121</v>
      </c>
      <c r="H732" s="398">
        <f>SUMIFS(uitkomst_doelgroep[Arbeidsbesparing (FTE)],uitkomst_doelgroep[Digitale zorgtoepassing],B732,uitkomst_doelgroep[Jaar],D732,uitkomst_doelgroep[Arbeidsbesparing (FTE)],"&gt;0",uitkomst_doelgroep[Uitgangssituatie/effect beleid],uitkomst_tech[[#This Row],[Uitgangssituatie/effect beleid]])</f>
        <v>14.636304361675913</v>
      </c>
      <c r="I732" s="398">
        <f>SUMIFS(uitkomst_doelgroep[Overige besparingen (€)],uitkomst_doelgroep[Digitale zorgtoepassing],B732,uitkomst_doelgroep[Jaar],D732,uitkomst_doelgroep[Overige besparingen (€)],"&gt;0",uitkomst_doelgroep[Uitgangssituatie/effect beleid],uitkomst_tech[[#This Row],[Uitgangssituatie/effect beleid]])</f>
        <v>0</v>
      </c>
      <c r="J732" s="398">
        <f>SUMIFS(uitkomst_doelgroep[QALY (€)],uitkomst_doelgroep[Digitale zorgtoepassing],B732,uitkomst_doelgroep[Jaar],D732,uitkomst_doelgroep[QALY (€)],"&gt;0",uitkomst_doelgroep[Uitgangssituatie/effect beleid],uitkomst_tech[[#This Row],[Uitgangssituatie/effect beleid]])</f>
        <v>0</v>
      </c>
      <c r="K732" s="398">
        <f>SUMIFS(uitkomst_doelgroep[Kosten (€)],uitkomst_doelgroep[Digitale zorgtoepassing],B732,uitkomst_doelgroep[Jaar],D732,uitkomst_doelgroep[Kosten (€)],"&gt;0",uitkomst_doelgroep[Uitgangssituatie/effect beleid],uitkomst_tech[[#This Row],[Uitgangssituatie/effect beleid]])</f>
        <v>738872.14961505786</v>
      </c>
      <c r="L732" s="398">
        <f>SUMIFS(uitkomst_doelgroep[Investering (cash flow) (€)],uitkomst_doelgroep[Digitale zorgtoepassing],B732,uitkomst_doelgroep[Jaar],D732,uitkomst_doelgroep[Investering (cash flow) (€)],"&gt;0",uitkomst_doelgroep[Uitgangssituatie/effect beleid],uitkomst_tech[[#This Row],[Uitgangssituatie/effect beleid]])</f>
        <v>0</v>
      </c>
    </row>
    <row r="733" spans="1:12" x14ac:dyDescent="0.5">
      <c r="A733" s="2" t="str">
        <f>INDEX(Technologieën[Veld],MATCH(B733,Technologieën[Digitale zorgtoepassing],0))</f>
        <v>Software - Diagnose</v>
      </c>
      <c r="B733" s="33" t="s">
        <v>56</v>
      </c>
      <c r="C733" s="33" t="s">
        <v>813</v>
      </c>
      <c r="D733" s="33">
        <v>2029</v>
      </c>
      <c r="E733" s="2"/>
      <c r="F733" s="397">
        <f>SUMIFS(uitkomst_doelgroep[Patiëntaantallen],uitkomst_doelgroep[Digitale zorgtoepassing],B733,uitkomst_doelgroep[Jaar],D733,uitkomst_doelgroep[Arbeidsbesparing (€)],"&gt;0",uitkomst_doelgroep[Uitgangssituatie/effect beleid],uitkomst_tech[[#This Row],[Uitgangssituatie/effect beleid]])</f>
        <v>848885.5471488731</v>
      </c>
      <c r="G733" s="398">
        <f>SUMIFS(uitkomst_doelgroep[Arbeidsbesparing (€)],uitkomst_doelgroep[Digitale zorgtoepassing],B733,uitkomst_doelgroep[Jaar],D733,uitkomst_doelgroep[Arbeidsbesparing (€)],"&gt;0",uitkomst_doelgroep[Uitgangssituatie/effect beleid],uitkomst_tech[[#This Row],[Uitgangssituatie/effect beleid]])</f>
        <v>969729.77130334219</v>
      </c>
      <c r="H733" s="398">
        <f>SUMIFS(uitkomst_doelgroep[Arbeidsbesparing (FTE)],uitkomst_doelgroep[Digitale zorgtoepassing],B733,uitkomst_doelgroep[Jaar],D733,uitkomst_doelgroep[Arbeidsbesparing (FTE)],"&gt;0",uitkomst_doelgroep[Uitgangssituatie/effect beleid],uitkomst_tech[[#This Row],[Uitgangssituatie/effect beleid]])</f>
        <v>16.324722060555253</v>
      </c>
      <c r="I733" s="398">
        <f>SUMIFS(uitkomst_doelgroep[Overige besparingen (€)],uitkomst_doelgroep[Digitale zorgtoepassing],B733,uitkomst_doelgroep[Jaar],D733,uitkomst_doelgroep[Overige besparingen (€)],"&gt;0",uitkomst_doelgroep[Uitgangssituatie/effect beleid],uitkomst_tech[[#This Row],[Uitgangssituatie/effect beleid]])</f>
        <v>0</v>
      </c>
      <c r="J733" s="398">
        <f>SUMIFS(uitkomst_doelgroep[QALY (€)],uitkomst_doelgroep[Digitale zorgtoepassing],B733,uitkomst_doelgroep[Jaar],D733,uitkomst_doelgroep[QALY (€)],"&gt;0",uitkomst_doelgroep[Uitgangssituatie/effect beleid],uitkomst_tech[[#This Row],[Uitgangssituatie/effect beleid]])</f>
        <v>0</v>
      </c>
      <c r="K733" s="398">
        <f>SUMIFS(uitkomst_doelgroep[Kosten (€)],uitkomst_doelgroep[Digitale zorgtoepassing],B733,uitkomst_doelgroep[Jaar],D733,uitkomst_doelgroep[Kosten (€)],"&gt;0",uitkomst_doelgroep[Uitgangssituatie/effect beleid],uitkomst_tech[[#This Row],[Uitgangssituatie/effect beleid]])</f>
        <v>824107.10946500744</v>
      </c>
      <c r="L733" s="398">
        <f>SUMIFS(uitkomst_doelgroep[Investering (cash flow) (€)],uitkomst_doelgroep[Digitale zorgtoepassing],B733,uitkomst_doelgroep[Jaar],D733,uitkomst_doelgroep[Investering (cash flow) (€)],"&gt;0",uitkomst_doelgroep[Uitgangssituatie/effect beleid],uitkomst_tech[[#This Row],[Uitgangssituatie/effect beleid]])</f>
        <v>0</v>
      </c>
    </row>
    <row r="734" spans="1:12" x14ac:dyDescent="0.5">
      <c r="A734" s="2" t="str">
        <f>INDEX(Technologieën[Veld],MATCH(B734,Technologieën[Digitale zorgtoepassing],0))</f>
        <v>Software - Diagnose</v>
      </c>
      <c r="B734" s="33" t="s">
        <v>56</v>
      </c>
      <c r="C734" s="33" t="s">
        <v>813</v>
      </c>
      <c r="D734" s="33">
        <v>2030</v>
      </c>
      <c r="E734" s="2"/>
      <c r="F734" s="397">
        <f>SUMIFS(uitkomst_doelgroep[Patiëntaantallen],uitkomst_doelgroep[Digitale zorgtoepassing],B734,uitkomst_doelgroep[Jaar],D734,uitkomst_doelgroep[Arbeidsbesparing (€)],"&gt;0",uitkomst_doelgroep[Uitgangssituatie/effect beleid],uitkomst_tech[[#This Row],[Uitgangssituatie/effect beleid]])</f>
        <v>910388.90221593552</v>
      </c>
      <c r="G734" s="398">
        <f>SUMIFS(uitkomst_doelgroep[Arbeidsbesparing (€)],uitkomst_doelgroep[Digitale zorgtoepassing],B734,uitkomst_doelgroep[Jaar],D734,uitkomst_doelgroep[Arbeidsbesparing (€)],"&gt;0",uitkomst_doelgroep[Uitgangssituatie/effect beleid],uitkomst_tech[[#This Row],[Uitgangssituatie/effect beleid]])</f>
        <v>1039988.5177785145</v>
      </c>
      <c r="H734" s="398">
        <f>SUMIFS(uitkomst_doelgroep[Arbeidsbesparing (FTE)],uitkomst_doelgroep[Digitale zorgtoepassing],B734,uitkomst_doelgroep[Jaar],D734,uitkomst_doelgroep[Arbeidsbesparing (FTE)],"&gt;0",uitkomst_doelgroep[Uitgangssituatie/effect beleid],uitkomst_tech[[#This Row],[Uitgangssituatie/effect beleid]])</f>
        <v>17.507478888767992</v>
      </c>
      <c r="I734" s="398">
        <f>SUMIFS(uitkomst_doelgroep[Overige besparingen (€)],uitkomst_doelgroep[Digitale zorgtoepassing],B734,uitkomst_doelgroep[Jaar],D734,uitkomst_doelgroep[Overige besparingen (€)],"&gt;0",uitkomst_doelgroep[Uitgangssituatie/effect beleid],uitkomst_tech[[#This Row],[Uitgangssituatie/effect beleid]])</f>
        <v>0</v>
      </c>
      <c r="J734" s="398">
        <f>SUMIFS(uitkomst_doelgroep[QALY (€)],uitkomst_doelgroep[Digitale zorgtoepassing],B734,uitkomst_doelgroep[Jaar],D734,uitkomst_doelgroep[QALY (€)],"&gt;0",uitkomst_doelgroep[Uitgangssituatie/effect beleid],uitkomst_tech[[#This Row],[Uitgangssituatie/effect beleid]])</f>
        <v>0</v>
      </c>
      <c r="K734" s="398">
        <f>SUMIFS(uitkomst_doelgroep[Kosten (€)],uitkomst_doelgroep[Digitale zorgtoepassing],B734,uitkomst_doelgroep[Jaar],D734,uitkomst_doelgroep[Kosten (€)],"&gt;0",uitkomst_doelgroep[Uitgangssituatie/effect beleid],uitkomst_tech[[#This Row],[Uitgangssituatie/effect beleid]])</f>
        <v>883815.22010130249</v>
      </c>
      <c r="L734" s="398">
        <f>SUMIFS(uitkomst_doelgroep[Investering (cash flow) (€)],uitkomst_doelgroep[Digitale zorgtoepassing],B734,uitkomst_doelgroep[Jaar],D734,uitkomst_doelgroep[Investering (cash flow) (€)],"&gt;0",uitkomst_doelgroep[Uitgangssituatie/effect beleid],uitkomst_tech[[#This Row],[Uitgangssituatie/effect beleid]])</f>
        <v>0</v>
      </c>
    </row>
    <row r="735" spans="1:12" x14ac:dyDescent="0.5">
      <c r="A735" s="2" t="str">
        <f>INDEX(Technologieën[Veld],MATCH(B735,Technologieën[Digitale zorgtoepassing],0))</f>
        <v>Software - Diagnose</v>
      </c>
      <c r="B735" s="33" t="s">
        <v>56</v>
      </c>
      <c r="C735" s="33" t="s">
        <v>813</v>
      </c>
      <c r="D735" s="33">
        <v>2031</v>
      </c>
      <c r="E735" s="2"/>
      <c r="F735" s="397">
        <f>SUMIFS(uitkomst_doelgroep[Patiëntaantallen],uitkomst_doelgroep[Digitale zorgtoepassing],B735,uitkomst_doelgroep[Jaar],D735,uitkomst_doelgroep[Arbeidsbesparing (€)],"&gt;0",uitkomst_doelgroep[Uitgangssituatie/effect beleid],uitkomst_tech[[#This Row],[Uitgangssituatie/effect beleid]])</f>
        <v>949340.60668263689</v>
      </c>
      <c r="G735" s="398">
        <f>SUMIFS(uitkomst_doelgroep[Arbeidsbesparing (€)],uitkomst_doelgroep[Digitale zorgtoepassing],B735,uitkomst_doelgroep[Jaar],D735,uitkomst_doelgroep[Arbeidsbesparing (€)],"&gt;0",uitkomst_doelgroep[Uitgangssituatie/effect beleid],uitkomst_tech[[#This Row],[Uitgangssituatie/effect beleid]])</f>
        <v>1084485.2436224583</v>
      </c>
      <c r="H735" s="398">
        <f>SUMIFS(uitkomst_doelgroep[Arbeidsbesparing (FTE)],uitkomst_doelgroep[Digitale zorgtoepassing],B735,uitkomst_doelgroep[Jaar],D735,uitkomst_doelgroep[Arbeidsbesparing (FTE)],"&gt;0",uitkomst_doelgroep[Uitgangssituatie/effect beleid],uitkomst_tech[[#This Row],[Uitgangssituatie/effect beleid]])</f>
        <v>18.256550128512249</v>
      </c>
      <c r="I735" s="398">
        <f>SUMIFS(uitkomst_doelgroep[Overige besparingen (€)],uitkomst_doelgroep[Digitale zorgtoepassing],B735,uitkomst_doelgroep[Jaar],D735,uitkomst_doelgroep[Overige besparingen (€)],"&gt;0",uitkomst_doelgroep[Uitgangssituatie/effect beleid],uitkomst_tech[[#This Row],[Uitgangssituatie/effect beleid]])</f>
        <v>0</v>
      </c>
      <c r="J735" s="398">
        <f>SUMIFS(uitkomst_doelgroep[QALY (€)],uitkomst_doelgroep[Digitale zorgtoepassing],B735,uitkomst_doelgroep[Jaar],D735,uitkomst_doelgroep[QALY (€)],"&gt;0",uitkomst_doelgroep[Uitgangssituatie/effect beleid],uitkomst_tech[[#This Row],[Uitgangssituatie/effect beleid]])</f>
        <v>0</v>
      </c>
      <c r="K735" s="398">
        <f>SUMIFS(uitkomst_doelgroep[Kosten (€)],uitkomst_doelgroep[Digitale zorgtoepassing],B735,uitkomst_doelgroep[Jaar],D735,uitkomst_doelgroep[Kosten (€)],"&gt;0",uitkomst_doelgroep[Uitgangssituatie/effect beleid],uitkomst_tech[[#This Row],[Uitgangssituatie/effect beleid]])</f>
        <v>921629.94869999646</v>
      </c>
      <c r="L735" s="398">
        <f>SUMIFS(uitkomst_doelgroep[Investering (cash flow) (€)],uitkomst_doelgroep[Digitale zorgtoepassing],B735,uitkomst_doelgroep[Jaar],D735,uitkomst_doelgroep[Investering (cash flow) (€)],"&gt;0",uitkomst_doelgroep[Uitgangssituatie/effect beleid],uitkomst_tech[[#This Row],[Uitgangssituatie/effect beleid]])</f>
        <v>0</v>
      </c>
    </row>
    <row r="736" spans="1:12" x14ac:dyDescent="0.5">
      <c r="A736" s="2" t="str">
        <f>INDEX(Technologieën[Veld],MATCH(B736,Technologieën[Digitale zorgtoepassing],0))</f>
        <v>Software - Diagnose</v>
      </c>
      <c r="B736" s="33" t="s">
        <v>56</v>
      </c>
      <c r="C736" s="33" t="s">
        <v>813</v>
      </c>
      <c r="D736" s="33">
        <v>2032</v>
      </c>
      <c r="E736" s="2"/>
      <c r="F736" s="397">
        <f>SUMIFS(uitkomst_doelgroep[Patiëntaantallen],uitkomst_doelgroep[Digitale zorgtoepassing],B736,uitkomst_doelgroep[Jaar],D736,uitkomst_doelgroep[Arbeidsbesparing (€)],"&gt;0",uitkomst_doelgroep[Uitgangssituatie/effect beleid],uitkomst_tech[[#This Row],[Uitgangssituatie/effect beleid]])</f>
        <v>972248.95014930691</v>
      </c>
      <c r="G736" s="398">
        <f>SUMIFS(uitkomst_doelgroep[Arbeidsbesparing (€)],uitkomst_doelgroep[Digitale zorgtoepassing],B736,uitkomst_doelgroep[Jaar],D736,uitkomst_doelgroep[Arbeidsbesparing (€)],"&gt;0",uitkomst_doelgroep[Uitgangssituatie/effect beleid],uitkomst_tech[[#This Row],[Uitgangssituatie/effect beleid]])</f>
        <v>1110654.73460447</v>
      </c>
      <c r="H736" s="398">
        <f>SUMIFS(uitkomst_doelgroep[Arbeidsbesparing (FTE)],uitkomst_doelgroep[Digitale zorgtoepassing],B736,uitkomst_doelgroep[Jaar],D736,uitkomst_doelgroep[Arbeidsbesparing (FTE)],"&gt;0",uitkomst_doelgroep[Uitgangssituatie/effect beleid],uitkomst_tech[[#This Row],[Uitgangssituatie/effect beleid]])</f>
        <v>18.697095195178981</v>
      </c>
      <c r="I736" s="398">
        <f>SUMIFS(uitkomst_doelgroep[Overige besparingen (€)],uitkomst_doelgroep[Digitale zorgtoepassing],B736,uitkomst_doelgroep[Jaar],D736,uitkomst_doelgroep[Overige besparingen (€)],"&gt;0",uitkomst_doelgroep[Uitgangssituatie/effect beleid],uitkomst_tech[[#This Row],[Uitgangssituatie/effect beleid]])</f>
        <v>0</v>
      </c>
      <c r="J736" s="398">
        <f>SUMIFS(uitkomst_doelgroep[QALY (€)],uitkomst_doelgroep[Digitale zorgtoepassing],B736,uitkomst_doelgroep[Jaar],D736,uitkomst_doelgroep[QALY (€)],"&gt;0",uitkomst_doelgroep[Uitgangssituatie/effect beleid],uitkomst_tech[[#This Row],[Uitgangssituatie/effect beleid]])</f>
        <v>0</v>
      </c>
      <c r="K736" s="398">
        <f>SUMIFS(uitkomst_doelgroep[Kosten (€)],uitkomst_doelgroep[Digitale zorgtoepassing],B736,uitkomst_doelgroep[Jaar],D736,uitkomst_doelgroep[Kosten (€)],"&gt;0",uitkomst_doelgroep[Uitgangssituatie/effect beleid],uitkomst_tech[[#This Row],[Uitgangssituatie/effect beleid]])</f>
        <v>943869.61196244357</v>
      </c>
      <c r="L736" s="398">
        <f>SUMIFS(uitkomst_doelgroep[Investering (cash flow) (€)],uitkomst_doelgroep[Digitale zorgtoepassing],B736,uitkomst_doelgroep[Jaar],D736,uitkomst_doelgroep[Investering (cash flow) (€)],"&gt;0",uitkomst_doelgroep[Uitgangssituatie/effect beleid],uitkomst_tech[[#This Row],[Uitgangssituatie/effect beleid]])</f>
        <v>0</v>
      </c>
    </row>
    <row r="737" spans="1:12" x14ac:dyDescent="0.5">
      <c r="A737" s="2" t="str">
        <f>INDEX(Technologieën[Veld],MATCH(B737,Technologieën[Digitale zorgtoepassing],0))</f>
        <v>Software - Diagnose</v>
      </c>
      <c r="B737" s="33" t="s">
        <v>56</v>
      </c>
      <c r="C737" s="33" t="s">
        <v>813</v>
      </c>
      <c r="D737" s="33">
        <v>2033</v>
      </c>
      <c r="E737" s="2"/>
      <c r="F737" s="397">
        <f>SUMIFS(uitkomst_doelgroep[Patiëntaantallen],uitkomst_doelgroep[Digitale zorgtoepassing],B737,uitkomst_doelgroep[Jaar],D737,uitkomst_doelgroep[Arbeidsbesparing (€)],"&gt;0",uitkomst_doelgroep[Uitgangssituatie/effect beleid],uitkomst_tech[[#This Row],[Uitgangssituatie/effect beleid]])</f>
        <v>985084.14448286907</v>
      </c>
      <c r="G737" s="398">
        <f>SUMIFS(uitkomst_doelgroep[Arbeidsbesparing (€)],uitkomst_doelgroep[Digitale zorgtoepassing],B737,uitkomst_doelgroep[Jaar],D737,uitkomst_doelgroep[Arbeidsbesparing (€)],"&gt;0",uitkomst_doelgroep[Uitgangssituatie/effect beleid],uitkomst_tech[[#This Row],[Uitgangssituatie/effect beleid]])</f>
        <v>1125317.0999934478</v>
      </c>
      <c r="H737" s="398">
        <f>SUMIFS(uitkomst_doelgroep[Arbeidsbesparing (FTE)],uitkomst_doelgroep[Digitale zorgtoepassing],B737,uitkomst_doelgroep[Jaar],D737,uitkomst_doelgroep[Arbeidsbesparing (FTE)],"&gt;0",uitkomst_doelgroep[Uitgangssituatie/effect beleid],uitkomst_tech[[#This Row],[Uitgangssituatie/effect beleid]])</f>
        <v>18.943925855439794</v>
      </c>
      <c r="I737" s="398">
        <f>SUMIFS(uitkomst_doelgroep[Overige besparingen (€)],uitkomst_doelgroep[Digitale zorgtoepassing],B737,uitkomst_doelgroep[Jaar],D737,uitkomst_doelgroep[Overige besparingen (€)],"&gt;0",uitkomst_doelgroep[Uitgangssituatie/effect beleid],uitkomst_tech[[#This Row],[Uitgangssituatie/effect beleid]])</f>
        <v>0</v>
      </c>
      <c r="J737" s="398">
        <f>SUMIFS(uitkomst_doelgroep[QALY (€)],uitkomst_doelgroep[Digitale zorgtoepassing],B737,uitkomst_doelgroep[Jaar],D737,uitkomst_doelgroep[QALY (€)],"&gt;0",uitkomst_doelgroep[Uitgangssituatie/effect beleid],uitkomst_tech[[#This Row],[Uitgangssituatie/effect beleid]])</f>
        <v>0</v>
      </c>
      <c r="K737" s="398">
        <f>SUMIFS(uitkomst_doelgroep[Kosten (€)],uitkomst_doelgroep[Digitale zorgtoepassing],B737,uitkomst_doelgroep[Jaar],D737,uitkomst_doelgroep[Kosten (€)],"&gt;0",uitkomst_doelgroep[Uitgangssituatie/effect beleid],uitkomst_tech[[#This Row],[Uitgangssituatie/effect beleid]])</f>
        <v>956330.15500877076</v>
      </c>
      <c r="L737" s="398">
        <f>SUMIFS(uitkomst_doelgroep[Investering (cash flow) (€)],uitkomst_doelgroep[Digitale zorgtoepassing],B737,uitkomst_doelgroep[Jaar],D737,uitkomst_doelgroep[Investering (cash flow) (€)],"&gt;0",uitkomst_doelgroep[Uitgangssituatie/effect beleid],uitkomst_tech[[#This Row],[Uitgangssituatie/effect beleid]])</f>
        <v>0</v>
      </c>
    </row>
    <row r="738" spans="1:12" x14ac:dyDescent="0.5">
      <c r="A738" s="2" t="str">
        <f>INDEX(Technologieën[Veld],MATCH(B738,Technologieën[Digitale zorgtoepassing],0))</f>
        <v>Digitale hulpmiddelen - Verpleging</v>
      </c>
      <c r="B738" s="33" t="s">
        <v>85</v>
      </c>
      <c r="C738" s="33" t="s">
        <v>813</v>
      </c>
      <c r="D738" s="33">
        <v>2023</v>
      </c>
      <c r="E738" s="2"/>
      <c r="F738" s="397">
        <f>SUMIFS(uitkomst_doelgroep[Patiëntaantallen],uitkomst_doelgroep[Digitale zorgtoepassing],B738,uitkomst_doelgroep[Jaar],D738,uitkomst_doelgroep[Arbeidsbesparing (€)],"&gt;0",uitkomst_doelgroep[Uitgangssituatie/effect beleid],uitkomst_tech[[#This Row],[Uitgangssituatie/effect beleid]])</f>
        <v>34560</v>
      </c>
      <c r="G738" s="398">
        <f>SUMIFS(uitkomst_doelgroep[Arbeidsbesparing (€)],uitkomst_doelgroep[Digitale zorgtoepassing],B738,uitkomst_doelgroep[Jaar],D738,uitkomst_doelgroep[Arbeidsbesparing (€)],"&gt;0",uitkomst_doelgroep[Uitgangssituatie/effect beleid],uitkomst_tech[[#This Row],[Uitgangssituatie/effect beleid]])</f>
        <v>22252748.888275862</v>
      </c>
      <c r="H738" s="398">
        <f>SUMIFS(uitkomst_doelgroep[Arbeidsbesparing (FTE)],uitkomst_doelgroep[Digitale zorgtoepassing],B738,uitkomst_doelgroep[Jaar],D738,uitkomst_doelgroep[Arbeidsbesparing (FTE)],"&gt;0",uitkomst_doelgroep[Uitgangssituatie/effect beleid],uitkomst_tech[[#This Row],[Uitgangssituatie/effect beleid]])</f>
        <v>524.16000000000008</v>
      </c>
      <c r="I738" s="398">
        <f>SUMIFS(uitkomst_doelgroep[Overige besparingen (€)],uitkomst_doelgroep[Digitale zorgtoepassing],B738,uitkomst_doelgroep[Jaar],D738,uitkomst_doelgroep[Overige besparingen (€)],"&gt;0",uitkomst_doelgroep[Uitgangssituatie/effect beleid],uitkomst_tech[[#This Row],[Uitgangssituatie/effect beleid]])</f>
        <v>10960309.153926916</v>
      </c>
      <c r="J738" s="398">
        <f>SUMIFS(uitkomst_doelgroep[QALY (€)],uitkomst_doelgroep[Digitale zorgtoepassing],B738,uitkomst_doelgroep[Jaar],D738,uitkomst_doelgroep[QALY (€)],"&gt;0",uitkomst_doelgroep[Uitgangssituatie/effect beleid],uitkomst_tech[[#This Row],[Uitgangssituatie/effect beleid]])</f>
        <v>0</v>
      </c>
      <c r="K738" s="398">
        <f>SUMIFS(uitkomst_doelgroep[Kosten (€)],uitkomst_doelgroep[Digitale zorgtoepassing],B738,uitkomst_doelgroep[Jaar],D738,uitkomst_doelgroep[Kosten (€)],"&gt;0",uitkomst_doelgroep[Uitgangssituatie/effect beleid],uitkomst_tech[[#This Row],[Uitgangssituatie/effect beleid]])</f>
        <v>18330624.000000004</v>
      </c>
      <c r="L738" s="398">
        <f>SUMIFS(uitkomst_doelgroep[Investering (cash flow) (€)],uitkomst_doelgroep[Digitale zorgtoepassing],B738,uitkomst_doelgroep[Jaar],D738,uitkomst_doelgroep[Investering (cash flow) (€)],"&gt;0",uitkomst_doelgroep[Uitgangssituatie/effect beleid],uitkomst_tech[[#This Row],[Uitgangssituatie/effect beleid]])</f>
        <v>3496348.8</v>
      </c>
    </row>
    <row r="739" spans="1:12" x14ac:dyDescent="0.5">
      <c r="A739" s="2" t="str">
        <f>INDEX(Technologieën[Veld],MATCH(B739,Technologieën[Digitale zorgtoepassing],0))</f>
        <v>Digitale hulpmiddelen - Verpleging</v>
      </c>
      <c r="B739" s="33" t="s">
        <v>85</v>
      </c>
      <c r="C739" s="33" t="s">
        <v>813</v>
      </c>
      <c r="D739" s="33">
        <v>2024</v>
      </c>
      <c r="E739" s="2"/>
      <c r="F739" s="397">
        <f>SUMIFS(uitkomst_doelgroep[Patiëntaantallen],uitkomst_doelgroep[Digitale zorgtoepassing],B739,uitkomst_doelgroep[Jaar],D739,uitkomst_doelgroep[Arbeidsbesparing (€)],"&gt;0",uitkomst_doelgroep[Uitgangssituatie/effect beleid],uitkomst_tech[[#This Row],[Uitgangssituatie/effect beleid]])</f>
        <v>45187.200000000004</v>
      </c>
      <c r="G739" s="398">
        <f>SUMIFS(uitkomst_doelgroep[Arbeidsbesparing (€)],uitkomst_doelgroep[Digitale zorgtoepassing],B739,uitkomst_doelgroep[Jaar],D739,uitkomst_doelgroep[Arbeidsbesparing (€)],"&gt;0",uitkomst_doelgroep[Uitgangssituatie/effect beleid],uitkomst_tech[[#This Row],[Uitgangssituatie/effect beleid]])</f>
        <v>29095469.17142069</v>
      </c>
      <c r="H739" s="398">
        <f>SUMIFS(uitkomst_doelgroep[Arbeidsbesparing (FTE)],uitkomst_doelgroep[Digitale zorgtoepassing],B739,uitkomst_doelgroep[Jaar],D739,uitkomst_doelgroep[Arbeidsbesparing (FTE)],"&gt;0",uitkomst_doelgroep[Uitgangssituatie/effect beleid],uitkomst_tech[[#This Row],[Uitgangssituatie/effect beleid]])</f>
        <v>685.33920000000012</v>
      </c>
      <c r="I739" s="398">
        <f>SUMIFS(uitkomst_doelgroep[Overige besparingen (€)],uitkomst_doelgroep[Digitale zorgtoepassing],B739,uitkomst_doelgroep[Jaar],D739,uitkomst_doelgroep[Overige besparingen (€)],"&gt;0",uitkomst_doelgroep[Uitgangssituatie/effect beleid],uitkomst_tech[[#This Row],[Uitgangssituatie/effect beleid]])</f>
        <v>14330604.218759444</v>
      </c>
      <c r="J739" s="398">
        <f>SUMIFS(uitkomst_doelgroep[QALY (€)],uitkomst_doelgroep[Digitale zorgtoepassing],B739,uitkomst_doelgroep[Jaar],D739,uitkomst_doelgroep[QALY (€)],"&gt;0",uitkomst_doelgroep[Uitgangssituatie/effect beleid],uitkomst_tech[[#This Row],[Uitgangssituatie/effect beleid]])</f>
        <v>0</v>
      </c>
      <c r="K739" s="398">
        <f>SUMIFS(uitkomst_doelgroep[Kosten (€)],uitkomst_doelgroep[Digitale zorgtoepassing],B739,uitkomst_doelgroep[Jaar],D739,uitkomst_doelgroep[Kosten (€)],"&gt;0",uitkomst_doelgroep[Uitgangssituatie/effect beleid],uitkomst_tech[[#This Row],[Uitgangssituatie/effect beleid]])</f>
        <v>23967290.880000006</v>
      </c>
      <c r="L739" s="398">
        <f>SUMIFS(uitkomst_doelgroep[Investering (cash flow) (€)],uitkomst_doelgroep[Digitale zorgtoepassing],B739,uitkomst_doelgroep[Jaar],D739,uitkomst_doelgroep[Investering (cash flow) (€)],"&gt;0",uitkomst_doelgroep[Uitgangssituatie/effect beleid],uitkomst_tech[[#This Row],[Uitgangssituatie/effect beleid]])</f>
        <v>3530088.5659200004</v>
      </c>
    </row>
    <row r="740" spans="1:12" x14ac:dyDescent="0.5">
      <c r="A740" s="2" t="str">
        <f>INDEX(Technologieën[Veld],MATCH(B740,Technologieën[Digitale zorgtoepassing],0))</f>
        <v>Digitale hulpmiddelen - Verpleging</v>
      </c>
      <c r="B740" s="33" t="s">
        <v>85</v>
      </c>
      <c r="C740" s="33" t="s">
        <v>813</v>
      </c>
      <c r="D740" s="33">
        <v>2025</v>
      </c>
      <c r="E740" s="2"/>
      <c r="F740" s="397">
        <f>SUMIFS(uitkomst_doelgroep[Patiëntaantallen],uitkomst_doelgroep[Digitale zorgtoepassing],B740,uitkomst_doelgroep[Jaar],D740,uitkomst_doelgroep[Arbeidsbesparing (€)],"&gt;0",uitkomst_doelgroep[Uitgangssituatie/effect beleid],uitkomst_tech[[#This Row],[Uitgangssituatie/effect beleid]])</f>
        <v>55916.95248</v>
      </c>
      <c r="G740" s="398">
        <f>SUMIFS(uitkomst_doelgroep[Arbeidsbesparing (€)],uitkomst_doelgroep[Digitale zorgtoepassing],B740,uitkomst_doelgroep[Jaar],D740,uitkomst_doelgroep[Arbeidsbesparing (€)],"&gt;0",uitkomst_doelgroep[Uitgangssituatie/effect beleid],uitkomst_tech[[#This Row],[Uitgangssituatie/effect beleid]])</f>
        <v>36004221.705297865</v>
      </c>
      <c r="H740" s="398">
        <f>SUMIFS(uitkomst_doelgroep[Arbeidsbesparing (FTE)],uitkomst_doelgroep[Digitale zorgtoepassing],B740,uitkomst_doelgroep[Jaar],D740,uitkomst_doelgroep[Arbeidsbesparing (FTE)],"&gt;0",uitkomst_doelgroep[Uitgangssituatie/effect beleid],uitkomst_tech[[#This Row],[Uitgangssituatie/effect beleid]])</f>
        <v>848.07377928000005</v>
      </c>
      <c r="I740" s="398">
        <f>SUMIFS(uitkomst_doelgroep[Overige besparingen (€)],uitkomst_doelgroep[Digitale zorgtoepassing],B740,uitkomst_doelgroep[Jaar],D740,uitkomst_doelgroep[Overige besparingen (€)],"&gt;0",uitkomst_doelgroep[Uitgangssituatie/effect beleid],uitkomst_tech[[#This Row],[Uitgangssituatie/effect beleid]])</f>
        <v>17733422.630967606</v>
      </c>
      <c r="J740" s="398">
        <f>SUMIFS(uitkomst_doelgroep[QALY (€)],uitkomst_doelgroep[Digitale zorgtoepassing],B740,uitkomst_doelgroep[Jaar],D740,uitkomst_doelgroep[QALY (€)],"&gt;0",uitkomst_doelgroep[Uitgangssituatie/effect beleid],uitkomst_tech[[#This Row],[Uitgangssituatie/effect beleid]])</f>
        <v>0</v>
      </c>
      <c r="K740" s="398">
        <f>SUMIFS(uitkomst_doelgroep[Kosten (€)],uitkomst_doelgroep[Digitale zorgtoepassing],B740,uitkomst_doelgroep[Jaar],D740,uitkomst_doelgroep[Kosten (€)],"&gt;0",uitkomst_doelgroep[Uitgangssituatie/effect beleid],uitkomst_tech[[#This Row],[Uitgangssituatie/effect beleid]])</f>
        <v>29658351.595392007</v>
      </c>
      <c r="L740" s="398">
        <f>SUMIFS(uitkomst_doelgroep[Investering (cash flow) (€)],uitkomst_doelgroep[Digitale zorgtoepassing],B740,uitkomst_doelgroep[Jaar],D740,uitkomst_doelgroep[Investering (cash flow) (€)],"&gt;0",uitkomst_doelgroep[Uitgangssituatie/effect beleid],uitkomst_tech[[#This Row],[Uitgangssituatie/effect beleid]])</f>
        <v>3171487.5989532894</v>
      </c>
    </row>
    <row r="741" spans="1:12" x14ac:dyDescent="0.5">
      <c r="A741" s="2" t="str">
        <f>INDEX(Technologieën[Veld],MATCH(B741,Technologieën[Digitale zorgtoepassing],0))</f>
        <v>Digitale hulpmiddelen - Verpleging</v>
      </c>
      <c r="B741" s="33" t="s">
        <v>85</v>
      </c>
      <c r="C741" s="33" t="s">
        <v>813</v>
      </c>
      <c r="D741" s="33">
        <v>2026</v>
      </c>
      <c r="E741" s="2"/>
      <c r="F741" s="397">
        <f>SUMIFS(uitkomst_doelgroep[Patiëntaantallen],uitkomst_doelgroep[Digitale zorgtoepassing],B741,uitkomst_doelgroep[Jaar],D741,uitkomst_doelgroep[Arbeidsbesparing (€)],"&gt;0",uitkomst_doelgroep[Uitgangssituatie/effect beleid],uitkomst_tech[[#This Row],[Uitgangssituatie/effect beleid]])</f>
        <v>65556.732416028244</v>
      </c>
      <c r="G741" s="398">
        <f>SUMIFS(uitkomst_doelgroep[Arbeidsbesparing (€)],uitkomst_doelgroep[Digitale zorgtoepassing],B741,uitkomst_doelgroep[Jaar],D741,uitkomst_doelgroep[Arbeidsbesparing (€)],"&gt;0",uitkomst_doelgroep[Uitgangssituatie/effect beleid],uitkomst_tech[[#This Row],[Uitgangssituatie/effect beleid]])</f>
        <v>42211154.640907712</v>
      </c>
      <c r="H741" s="398">
        <f>SUMIFS(uitkomst_doelgroep[Arbeidsbesparing (FTE)],uitkomst_doelgroep[Digitale zorgtoepassing],B741,uitkomst_doelgroep[Jaar],D741,uitkomst_doelgroep[Arbeidsbesparing (FTE)],"&gt;0",uitkomst_doelgroep[Uitgangssituatie/effect beleid],uitkomst_tech[[#This Row],[Uitgangssituatie/effect beleid]])</f>
        <v>994.27710830976173</v>
      </c>
      <c r="I741" s="398">
        <f>SUMIFS(uitkomst_doelgroep[Overige besparingen (€)],uitkomst_doelgroep[Digitale zorgtoepassing],B741,uitkomst_doelgroep[Jaar],D741,uitkomst_doelgroep[Overige besparingen (€)],"&gt;0",uitkomst_doelgroep[Uitgangssituatie/effect beleid],uitkomst_tech[[#This Row],[Uitgangssituatie/effect beleid]])</f>
        <v>20790568.703730661</v>
      </c>
      <c r="J741" s="398">
        <f>SUMIFS(uitkomst_doelgroep[QALY (€)],uitkomst_doelgroep[Digitale zorgtoepassing],B741,uitkomst_doelgroep[Jaar],D741,uitkomst_doelgroep[QALY (€)],"&gt;0",uitkomst_doelgroep[Uitgangssituatie/effect beleid],uitkomst_tech[[#This Row],[Uitgangssituatie/effect beleid]])</f>
        <v>0</v>
      </c>
      <c r="K741" s="398">
        <f>SUMIFS(uitkomst_doelgroep[Kosten (€)],uitkomst_doelgroep[Digitale zorgtoepassing],B741,uitkomst_doelgroep[Jaar],D741,uitkomst_doelgroep[Kosten (€)],"&gt;0",uitkomst_doelgroep[Uitgangssituatie/effect beleid],uitkomst_tech[[#This Row],[Uitgangssituatie/effect beleid]])</f>
        <v>34771290.873461381</v>
      </c>
      <c r="L741" s="398">
        <f>SUMIFS(uitkomst_doelgroep[Investering (cash flow) (€)],uitkomst_doelgroep[Digitale zorgtoepassing],B741,uitkomst_doelgroep[Jaar],D741,uitkomst_doelgroep[Investering (cash flow) (€)],"&gt;0",uitkomst_doelgroep[Uitgangssituatie/effect beleid],uitkomst_tech[[#This Row],[Uitgangssituatie/effect beleid]])</f>
        <v>2512847.5095141008</v>
      </c>
    </row>
    <row r="742" spans="1:12" x14ac:dyDescent="0.5">
      <c r="A742" s="2" t="str">
        <f>INDEX(Technologieën[Veld],MATCH(B742,Technologieën[Digitale zorgtoepassing],0))</f>
        <v>Digitale hulpmiddelen - Verpleging</v>
      </c>
      <c r="B742" s="33" t="s">
        <v>85</v>
      </c>
      <c r="C742" s="33" t="s">
        <v>813</v>
      </c>
      <c r="D742" s="33">
        <v>2027</v>
      </c>
      <c r="E742" s="2"/>
      <c r="F742" s="397">
        <f>SUMIFS(uitkomst_doelgroep[Patiëntaantallen],uitkomst_doelgroep[Digitale zorgtoepassing],B742,uitkomst_doelgroep[Jaar],D742,uitkomst_doelgroep[Arbeidsbesparing (€)],"&gt;0",uitkomst_doelgroep[Uitgangssituatie/effect beleid],uitkomst_tech[[#This Row],[Uitgangssituatie/effect beleid]])</f>
        <v>73194.566791451041</v>
      </c>
      <c r="G742" s="398">
        <f>SUMIFS(uitkomst_doelgroep[Arbeidsbesparing (€)],uitkomst_doelgroep[Digitale zorgtoepassing],B742,uitkomst_doelgroep[Jaar],D742,uitkomst_doelgroep[Arbeidsbesparing (€)],"&gt;0",uitkomst_doelgroep[Uitgangssituatie/effect beleid],uitkomst_tech[[#This Row],[Uitgangssituatie/effect beleid]])</f>
        <v>47129060.034615032</v>
      </c>
      <c r="H742" s="398">
        <f>SUMIFS(uitkomst_doelgroep[Arbeidsbesparing (FTE)],uitkomst_doelgroep[Digitale zorgtoepassing],B742,uitkomst_doelgroep[Jaar],D742,uitkomst_doelgroep[Arbeidsbesparing (FTE)],"&gt;0",uitkomst_doelgroep[Uitgangssituatie/effect beleid],uitkomst_tech[[#This Row],[Uitgangssituatie/effect beleid]])</f>
        <v>1110.1175963370074</v>
      </c>
      <c r="I742" s="398">
        <f>SUMIFS(uitkomst_doelgroep[Overige besparingen (€)],uitkomst_doelgroep[Digitale zorgtoepassing],B742,uitkomst_doelgroep[Jaar],D742,uitkomst_doelgroep[Overige besparingen (€)],"&gt;0",uitkomst_doelgroep[Uitgangssituatie/effect beleid],uitkomst_tech[[#This Row],[Uitgangssituatie/effect beleid]])</f>
        <v>23212820.614064116</v>
      </c>
      <c r="J742" s="398">
        <f>SUMIFS(uitkomst_doelgroep[QALY (€)],uitkomst_doelgroep[Digitale zorgtoepassing],B742,uitkomst_doelgroep[Jaar],D742,uitkomst_doelgroep[QALY (€)],"&gt;0",uitkomst_doelgroep[Uitgangssituatie/effect beleid],uitkomst_tech[[#This Row],[Uitgangssituatie/effect beleid]])</f>
        <v>0</v>
      </c>
      <c r="K742" s="398">
        <f>SUMIFS(uitkomst_doelgroep[Kosten (€)],uitkomst_doelgroep[Digitale zorgtoepassing],B742,uitkomst_doelgroep[Jaar],D742,uitkomst_doelgroep[Kosten (€)],"&gt;0",uitkomst_doelgroep[Uitgangssituatie/effect beleid],uitkomst_tech[[#This Row],[Uitgangssituatie/effect beleid]])</f>
        <v>38822398.226185635</v>
      </c>
      <c r="L742" s="398">
        <f>SUMIFS(uitkomst_doelgroep[Investering (cash flow) (€)],uitkomst_doelgroep[Digitale zorgtoepassing],B742,uitkomst_doelgroep[Jaar],D742,uitkomst_doelgroep[Investering (cash flow) (€)],"&gt;0",uitkomst_doelgroep[Uitgangssituatie/effect beleid],uitkomst_tech[[#This Row],[Uitgangssituatie/effect beleid]])</f>
        <v>1764865.7393109256</v>
      </c>
    </row>
    <row r="743" spans="1:12" x14ac:dyDescent="0.5">
      <c r="A743" s="2" t="str">
        <f>INDEX(Technologieën[Veld],MATCH(B743,Technologieën[Digitale zorgtoepassing],0))</f>
        <v>Digitale hulpmiddelen - Verpleging</v>
      </c>
      <c r="B743" s="33" t="s">
        <v>85</v>
      </c>
      <c r="C743" s="33" t="s">
        <v>813</v>
      </c>
      <c r="D743" s="33">
        <v>2028</v>
      </c>
      <c r="E743" s="2"/>
      <c r="F743" s="397">
        <f>SUMIFS(uitkomst_doelgroep[Patiëntaantallen],uitkomst_doelgroep[Digitale zorgtoepassing],B743,uitkomst_doelgroep[Jaar],D743,uitkomst_doelgroep[Arbeidsbesparing (€)],"&gt;0",uitkomst_doelgroep[Uitgangssituatie/effect beleid],uitkomst_tech[[#This Row],[Uitgangssituatie/effect beleid]])</f>
        <v>78558.900345587594</v>
      </c>
      <c r="G743" s="398">
        <f>SUMIFS(uitkomst_doelgroep[Arbeidsbesparing (€)],uitkomst_doelgroep[Digitale zorgtoepassing],B743,uitkomst_doelgroep[Jaar],D743,uitkomst_doelgroep[Arbeidsbesparing (€)],"&gt;0",uitkomst_doelgroep[Uitgangssituatie/effect beleid],uitkomst_tech[[#This Row],[Uitgangssituatie/effect beleid]])</f>
        <v>50583086.872958578</v>
      </c>
      <c r="H743" s="398">
        <f>SUMIFS(uitkomst_doelgroep[Arbeidsbesparing (FTE)],uitkomst_doelgroep[Digitale zorgtoepassing],B743,uitkomst_doelgroep[Jaar],D743,uitkomst_doelgroep[Arbeidsbesparing (FTE)],"&gt;0",uitkomst_doelgroep[Uitgangssituatie/effect beleid],uitkomst_tech[[#This Row],[Uitgangssituatie/effect beleid]])</f>
        <v>1191.4766552414119</v>
      </c>
      <c r="I743" s="398">
        <f>SUMIFS(uitkomst_doelgroep[Overige besparingen (€)],uitkomst_doelgroep[Digitale zorgtoepassing],B743,uitkomst_doelgroep[Jaar],D743,uitkomst_doelgroep[Overige besparingen (€)],"&gt;0",uitkomst_doelgroep[Uitgangssituatie/effect beleid],uitkomst_tech[[#This Row],[Uitgangssituatie/effect beleid]])</f>
        <v>24914057.71354676</v>
      </c>
      <c r="J743" s="398">
        <f>SUMIFS(uitkomst_doelgroep[QALY (€)],uitkomst_doelgroep[Digitale zorgtoepassing],B743,uitkomst_doelgroep[Jaar],D743,uitkomst_doelgroep[QALY (€)],"&gt;0",uitkomst_doelgroep[Uitgangssituatie/effect beleid],uitkomst_tech[[#This Row],[Uitgangssituatie/effect beleid]])</f>
        <v>0</v>
      </c>
      <c r="K743" s="398">
        <f>SUMIFS(uitkomst_doelgroep[Kosten (€)],uitkomst_doelgroep[Digitale zorgtoepassing],B743,uitkomst_doelgroep[Jaar],D743,uitkomst_doelgroep[Kosten (€)],"&gt;0",uitkomst_doelgroep[Uitgangssituatie/effect beleid],uitkomst_tech[[#This Row],[Uitgangssituatie/effect beleid]])</f>
        <v>41667640.743299663</v>
      </c>
      <c r="L743" s="398">
        <f>SUMIFS(uitkomst_doelgroep[Investering (cash flow) (€)],uitkomst_doelgroep[Digitale zorgtoepassing],B743,uitkomst_doelgroep[Jaar],D743,uitkomst_doelgroep[Investering (cash flow) (€)],"&gt;0",uitkomst_doelgroep[Uitgangssituatie/effect beleid],uitkomst_tech[[#This Row],[Uitgangssituatie/effect beleid]])</f>
        <v>1120014.4338732462</v>
      </c>
    </row>
    <row r="744" spans="1:12" x14ac:dyDescent="0.5">
      <c r="A744" s="2" t="str">
        <f>INDEX(Technologieën[Veld],MATCH(B744,Technologieën[Digitale zorgtoepassing],0))</f>
        <v>Digitale hulpmiddelen - Verpleging</v>
      </c>
      <c r="B744" s="33" t="s">
        <v>85</v>
      </c>
      <c r="C744" s="33" t="s">
        <v>813</v>
      </c>
      <c r="D744" s="33">
        <v>2029</v>
      </c>
      <c r="E744" s="2"/>
      <c r="F744" s="397">
        <f>SUMIFS(uitkomst_doelgroep[Patiëntaantallen],uitkomst_doelgroep[Digitale zorgtoepassing],B744,uitkomst_doelgroep[Jaar],D744,uitkomst_doelgroep[Arbeidsbesparing (€)],"&gt;0",uitkomst_doelgroep[Uitgangssituatie/effect beleid],uitkomst_tech[[#This Row],[Uitgangssituatie/effect beleid]])</f>
        <v>81963.199536691682</v>
      </c>
      <c r="G744" s="398">
        <f>SUMIFS(uitkomst_doelgroep[Arbeidsbesparing (€)],uitkomst_doelgroep[Digitale zorgtoepassing],B744,uitkomst_doelgroep[Jaar],D744,uitkomst_doelgroep[Arbeidsbesparing (€)],"&gt;0",uitkomst_doelgroep[Uitgangssituatie/effect beleid],uitkomst_tech[[#This Row],[Uitgangssituatie/effect beleid]])</f>
        <v>52775072.261853255</v>
      </c>
      <c r="H744" s="398">
        <f>SUMIFS(uitkomst_doelgroep[Arbeidsbesparing (FTE)],uitkomst_doelgroep[Digitale zorgtoepassing],B744,uitkomst_doelgroep[Jaar],D744,uitkomst_doelgroep[Arbeidsbesparing (FTE)],"&gt;0",uitkomst_doelgroep[Uitgangssituatie/effect beleid],uitkomst_tech[[#This Row],[Uitgangssituatie/effect beleid]])</f>
        <v>1243.1085263064906</v>
      </c>
      <c r="I744" s="398">
        <f>SUMIFS(uitkomst_doelgroep[Overige besparingen (€)],uitkomst_doelgroep[Digitale zorgtoepassing],B744,uitkomst_doelgroep[Jaar],D744,uitkomst_doelgroep[Overige besparingen (€)],"&gt;0",uitkomst_doelgroep[Uitgangssituatie/effect beleid],uitkomst_tech[[#This Row],[Uitgangssituatie/effect beleid]])</f>
        <v>25993692.308076974</v>
      </c>
      <c r="J744" s="398">
        <f>SUMIFS(uitkomst_doelgroep[QALY (€)],uitkomst_doelgroep[Digitale zorgtoepassing],B744,uitkomst_doelgroep[Jaar],D744,uitkomst_doelgroep[QALY (€)],"&gt;0",uitkomst_doelgroep[Uitgangssituatie/effect beleid],uitkomst_tech[[#This Row],[Uitgangssituatie/effect beleid]])</f>
        <v>0</v>
      </c>
      <c r="K744" s="398">
        <f>SUMIFS(uitkomst_doelgroep[Kosten (€)],uitkomst_doelgroep[Digitale zorgtoepassing],B744,uitkomst_doelgroep[Jaar],D744,uitkomst_doelgroep[Kosten (€)],"&gt;0",uitkomst_doelgroep[Uitgangssituatie/effect beleid],uitkomst_tech[[#This Row],[Uitgangssituatie/effect beleid]])</f>
        <v>43473281.034261279</v>
      </c>
      <c r="L744" s="398">
        <f>SUMIFS(uitkomst_doelgroep[Investering (cash flow) (€)],uitkomst_doelgroep[Digitale zorgtoepassing],B744,uitkomst_doelgroep[Jaar],D744,uitkomst_doelgroep[Investering (cash flow) (€)],"&gt;0",uitkomst_doelgroep[Uitgangssituatie/effect beleid],uitkomst_tech[[#This Row],[Uitgangssituatie/effect beleid]])</f>
        <v>659629.5848121047</v>
      </c>
    </row>
    <row r="745" spans="1:12" x14ac:dyDescent="0.5">
      <c r="A745" s="2" t="str">
        <f>INDEX(Technologieën[Veld],MATCH(B745,Technologieën[Digitale zorgtoepassing],0))</f>
        <v>Digitale hulpmiddelen - Verpleging</v>
      </c>
      <c r="B745" s="33" t="s">
        <v>85</v>
      </c>
      <c r="C745" s="33" t="s">
        <v>813</v>
      </c>
      <c r="D745" s="33">
        <v>2030</v>
      </c>
      <c r="E745" s="2"/>
      <c r="F745" s="397">
        <f>SUMIFS(uitkomst_doelgroep[Patiëntaantallen],uitkomst_doelgroep[Digitale zorgtoepassing],B745,uitkomst_doelgroep[Jaar],D745,uitkomst_doelgroep[Arbeidsbesparing (€)],"&gt;0",uitkomst_doelgroep[Uitgangssituatie/effect beleid],uitkomst_tech[[#This Row],[Uitgangssituatie/effect beleid]])</f>
        <v>83968.152682017229</v>
      </c>
      <c r="G745" s="398">
        <f>SUMIFS(uitkomst_doelgroep[Arbeidsbesparing (€)],uitkomst_doelgroep[Digitale zorgtoepassing],B745,uitkomst_doelgroep[Jaar],D745,uitkomst_doelgroep[Arbeidsbesparing (€)],"&gt;0",uitkomst_doelgroep[Uitgangssituatie/effect beleid],uitkomst_tech[[#This Row],[Uitgangssituatie/effect beleid]])</f>
        <v>54066036.349691458</v>
      </c>
      <c r="H745" s="398">
        <f>SUMIFS(uitkomst_doelgroep[Arbeidsbesparing (FTE)],uitkomst_doelgroep[Digitale zorgtoepassing],B745,uitkomst_doelgroep[Jaar],D745,uitkomst_doelgroep[Arbeidsbesparing (FTE)],"&gt;0",uitkomst_doelgroep[Uitgangssituatie/effect beleid],uitkomst_tech[[#This Row],[Uitgangssituatie/effect beleid]])</f>
        <v>1273.516982343928</v>
      </c>
      <c r="I745" s="398">
        <f>SUMIFS(uitkomst_doelgroep[Overige besparingen (€)],uitkomst_doelgroep[Digitale zorgtoepassing],B745,uitkomst_doelgroep[Jaar],D745,uitkomst_doelgroep[Overige besparingen (€)],"&gt;0",uitkomst_doelgroep[Uitgangssituatie/effect beleid],uitkomst_tech[[#This Row],[Uitgangssituatie/effect beleid]])</f>
        <v>26629540.291639075</v>
      </c>
      <c r="J745" s="398">
        <f>SUMIFS(uitkomst_doelgroep[QALY (€)],uitkomst_doelgroep[Digitale zorgtoepassing],B745,uitkomst_doelgroep[Jaar],D745,uitkomst_doelgroep[QALY (€)],"&gt;0",uitkomst_doelgroep[Uitgangssituatie/effect beleid],uitkomst_tech[[#This Row],[Uitgangssituatie/effect beleid]])</f>
        <v>0</v>
      </c>
      <c r="K745" s="398">
        <f>SUMIFS(uitkomst_doelgroep[Kosten (€)],uitkomst_doelgroep[Digitale zorgtoepassing],B745,uitkomst_doelgroep[Jaar],D745,uitkomst_doelgroep[Kosten (€)],"&gt;0",uitkomst_doelgroep[Uitgangssituatie/effect beleid],uitkomst_tech[[#This Row],[Uitgangssituatie/effect beleid]])</f>
        <v>44536708.182541944</v>
      </c>
      <c r="L745" s="398">
        <f>SUMIFS(uitkomst_doelgroep[Investering (cash flow) (€)],uitkomst_doelgroep[Digitale zorgtoepassing],B745,uitkomst_doelgroep[Jaar],D745,uitkomst_doelgroep[Investering (cash flow) (€)],"&gt;0",uitkomst_doelgroep[Uitgangssituatie/effect beleid],uitkomst_tech[[#This Row],[Uitgangssituatie/effect beleid]])</f>
        <v>369903.25746486615</v>
      </c>
    </row>
    <row r="746" spans="1:12" x14ac:dyDescent="0.5">
      <c r="A746" s="2" t="str">
        <f>INDEX(Technologieën[Veld],MATCH(B746,Technologieën[Digitale zorgtoepassing],0))</f>
        <v>Digitale hulpmiddelen - Verpleging</v>
      </c>
      <c r="B746" s="33" t="s">
        <v>85</v>
      </c>
      <c r="C746" s="33" t="s">
        <v>813</v>
      </c>
      <c r="D746" s="33">
        <v>2031</v>
      </c>
      <c r="E746" s="2"/>
      <c r="F746" s="397">
        <f>SUMIFS(uitkomst_doelgroep[Patiëntaantallen],uitkomst_doelgroep[Digitale zorgtoepassing],B746,uitkomst_doelgroep[Jaar],D746,uitkomst_doelgroep[Arbeidsbesparing (€)],"&gt;0",uitkomst_doelgroep[Uitgangssituatie/effect beleid],uitkomst_tech[[#This Row],[Uitgangssituatie/effect beleid]])</f>
        <v>85092.478692548742</v>
      </c>
      <c r="G746" s="398">
        <f>SUMIFS(uitkomst_doelgroep[Arbeidsbesparing (€)],uitkomst_doelgroep[Digitale zorgtoepassing],B746,uitkomst_doelgroep[Jaar],D746,uitkomst_doelgroep[Arbeidsbesparing (€)],"&gt;0",uitkomst_doelgroep[Uitgangssituatie/effect beleid],uitkomst_tech[[#This Row],[Uitgangssituatie/effect beleid]])</f>
        <v>54789975.712565146</v>
      </c>
      <c r="H746" s="398">
        <f>SUMIFS(uitkomst_doelgroep[Arbeidsbesparing (FTE)],uitkomst_doelgroep[Digitale zorgtoepassing],B746,uitkomst_doelgroep[Jaar],D746,uitkomst_doelgroep[Arbeidsbesparing (FTE)],"&gt;0",uitkomst_doelgroep[Uitgangssituatie/effect beleid],uitkomst_tech[[#This Row],[Uitgangssituatie/effect beleid]])</f>
        <v>1290.5692601703227</v>
      </c>
      <c r="I746" s="398">
        <f>SUMIFS(uitkomst_doelgroep[Overige besparingen (€)],uitkomst_doelgroep[Digitale zorgtoepassing],B746,uitkomst_doelgroep[Jaar],D746,uitkomst_doelgroep[Overige besparingen (€)],"&gt;0",uitkomst_doelgroep[Uitgangssituatie/effect beleid],uitkomst_tech[[#This Row],[Uitgangssituatie/effect beleid]])</f>
        <v>26986107.440517157</v>
      </c>
      <c r="J746" s="398">
        <f>SUMIFS(uitkomst_doelgroep[QALY (€)],uitkomst_doelgroep[Digitale zorgtoepassing],B746,uitkomst_doelgroep[Jaar],D746,uitkomst_doelgroep[QALY (€)],"&gt;0",uitkomst_doelgroep[Uitgangssituatie/effect beleid],uitkomst_tech[[#This Row],[Uitgangssituatie/effect beleid]])</f>
        <v>0</v>
      </c>
      <c r="K746" s="398">
        <f>SUMIFS(uitkomst_doelgroep[Kosten (€)],uitkomst_doelgroep[Digitale zorgtoepassing],B746,uitkomst_doelgroep[Jaar],D746,uitkomst_doelgroep[Kosten (€)],"&gt;0",uitkomst_doelgroep[Uitgangssituatie/effect beleid],uitkomst_tech[[#This Row],[Uitgangssituatie/effect beleid]])</f>
        <v>45133050.698527858</v>
      </c>
      <c r="L746" s="398">
        <f>SUMIFS(uitkomst_doelgroep[Investering (cash flow) (€)],uitkomst_doelgroep[Digitale zorgtoepassing],B746,uitkomst_doelgroep[Jaar],D746,uitkomst_doelgroep[Investering (cash flow) (€)],"&gt;0",uitkomst_doelgroep[Uitgangssituatie/effect beleid],uitkomst_tech[[#This Row],[Uitgangssituatie/effect beleid]])</f>
        <v>201403.40097847898</v>
      </c>
    </row>
    <row r="747" spans="1:12" x14ac:dyDescent="0.5">
      <c r="A747" s="2" t="str">
        <f>INDEX(Technologieën[Veld],MATCH(B747,Technologieën[Digitale zorgtoepassing],0))</f>
        <v>Digitale hulpmiddelen - Verpleging</v>
      </c>
      <c r="B747" s="33" t="s">
        <v>85</v>
      </c>
      <c r="C747" s="33" t="s">
        <v>813</v>
      </c>
      <c r="D747" s="33">
        <v>2032</v>
      </c>
      <c r="E747" s="2"/>
      <c r="F747" s="397">
        <f>SUMIFS(uitkomst_doelgroep[Patiëntaantallen],uitkomst_doelgroep[Digitale zorgtoepassing],B747,uitkomst_doelgroep[Jaar],D747,uitkomst_doelgroep[Arbeidsbesparing (€)],"&gt;0",uitkomst_doelgroep[Uitgangssituatie/effect beleid],uitkomst_tech[[#This Row],[Uitgangssituatie/effect beleid]])</f>
        <v>85704.647084580589</v>
      </c>
      <c r="G747" s="398">
        <f>SUMIFS(uitkomst_doelgroep[Arbeidsbesparing (€)],uitkomst_doelgroep[Digitale zorgtoepassing],B747,uitkomst_doelgroep[Jaar],D747,uitkomst_doelgroep[Arbeidsbesparing (€)],"&gt;0",uitkomst_doelgroep[Uitgangssituatie/effect beleid],uitkomst_tech[[#This Row],[Uitgangssituatie/effect beleid]])</f>
        <v>55184143.232970938</v>
      </c>
      <c r="H747" s="398">
        <f>SUMIFS(uitkomst_doelgroep[Arbeidsbesparing (FTE)],uitkomst_doelgroep[Digitale zorgtoepassing],B747,uitkomst_doelgroep[Jaar],D747,uitkomst_doelgroep[Arbeidsbesparing (FTE)],"&gt;0",uitkomst_doelgroep[Uitgangssituatie/effect beleid],uitkomst_tech[[#This Row],[Uitgangssituatie/effect beleid]])</f>
        <v>1299.8538141161389</v>
      </c>
      <c r="I747" s="398">
        <f>SUMIFS(uitkomst_doelgroep[Overige besparingen (€)],uitkomst_doelgroep[Digitale zorgtoepassing],B747,uitkomst_doelgroep[Jaar],D747,uitkomst_doelgroep[Overige besparingen (€)],"&gt;0",uitkomst_doelgroep[Uitgangssituatie/effect beleid],uitkomst_tech[[#This Row],[Uitgangssituatie/effect beleid]])</f>
        <v>27180249.652060311</v>
      </c>
      <c r="J747" s="398">
        <f>SUMIFS(uitkomst_doelgroep[QALY (€)],uitkomst_doelgroep[Digitale zorgtoepassing],B747,uitkomst_doelgroep[Jaar],D747,uitkomst_doelgroep[QALY (€)],"&gt;0",uitkomst_doelgroep[Uitgangssituatie/effect beleid],uitkomst_tech[[#This Row],[Uitgangssituatie/effect beleid]])</f>
        <v>0</v>
      </c>
      <c r="K747" s="398">
        <f>SUMIFS(uitkomst_doelgroep[Kosten (€)],uitkomst_doelgroep[Digitale zorgtoepassing],B747,uitkomst_doelgroep[Jaar],D747,uitkomst_doelgroep[Kosten (€)],"&gt;0",uitkomst_doelgroep[Uitgangssituatie/effect beleid],uitkomst_tech[[#This Row],[Uitgangssituatie/effect beleid]])</f>
        <v>45457744.813661553</v>
      </c>
      <c r="L747" s="398">
        <f>SUMIFS(uitkomst_doelgroep[Investering (cash flow) (€)],uitkomst_doelgroep[Digitale zorgtoepassing],B747,uitkomst_doelgroep[Jaar],D747,uitkomst_doelgroep[Investering (cash flow) (€)],"&gt;0",uitkomst_doelgroep[Uitgangssituatie/effect beleid],uitkomst_tech[[#This Row],[Uitgangssituatie/effect beleid]])</f>
        <v>107837.7525981725</v>
      </c>
    </row>
    <row r="748" spans="1:12" x14ac:dyDescent="0.5">
      <c r="A748" s="2" t="str">
        <f>INDEX(Technologieën[Veld],MATCH(B748,Technologieën[Digitale zorgtoepassing],0))</f>
        <v>Digitale hulpmiddelen - Verpleging</v>
      </c>
      <c r="B748" s="33" t="s">
        <v>85</v>
      </c>
      <c r="C748" s="33" t="s">
        <v>813</v>
      </c>
      <c r="D748" s="33">
        <v>2033</v>
      </c>
      <c r="E748" s="2"/>
      <c r="F748" s="397">
        <f>SUMIFS(uitkomst_doelgroep[Patiëntaantallen],uitkomst_doelgroep[Digitale zorgtoepassing],B748,uitkomst_doelgroep[Jaar],D748,uitkomst_doelgroep[Arbeidsbesparing (€)],"&gt;0",uitkomst_doelgroep[Uitgangssituatie/effect beleid],uitkomst_tech[[#This Row],[Uitgangssituatie/effect beleid]])</f>
        <v>86032.421408587194</v>
      </c>
      <c r="G748" s="398">
        <f>SUMIFS(uitkomst_doelgroep[Arbeidsbesparing (€)],uitkomst_doelgroep[Digitale zorgtoepassing],B748,uitkomst_doelgroep[Jaar],D748,uitkomst_doelgroep[Arbeidsbesparing (€)],"&gt;0",uitkomst_doelgroep[Uitgangssituatie/effect beleid],uitkomst_tech[[#This Row],[Uitgangssituatie/effect beleid]])</f>
        <v>55395192.993507497</v>
      </c>
      <c r="H748" s="398">
        <f>SUMIFS(uitkomst_doelgroep[Arbeidsbesparing (FTE)],uitkomst_doelgroep[Digitale zorgtoepassing],B748,uitkomst_doelgroep[Jaar],D748,uitkomst_doelgroep[Arbeidsbesparing (FTE)],"&gt;0",uitkomst_doelgroep[Uitgangssituatie/effect beleid],uitkomst_tech[[#This Row],[Uitgangssituatie/effect beleid]])</f>
        <v>1304.8250580302392</v>
      </c>
      <c r="I748" s="398">
        <f>SUMIFS(uitkomst_doelgroep[Overige besparingen (€)],uitkomst_doelgroep[Digitale zorgtoepassing],B748,uitkomst_doelgroep[Jaar],D748,uitkomst_doelgroep[Overige besparingen (€)],"&gt;0",uitkomst_doelgroep[Uitgangssituatie/effect beleid],uitkomst_tech[[#This Row],[Uitgangssituatie/effect beleid]])</f>
        <v>27284199.534115631</v>
      </c>
      <c r="J748" s="398">
        <f>SUMIFS(uitkomst_doelgroep[QALY (€)],uitkomst_doelgroep[Digitale zorgtoepassing],B748,uitkomst_doelgroep[Jaar],D748,uitkomst_doelgroep[QALY (€)],"&gt;0",uitkomst_doelgroep[Uitgangssituatie/effect beleid],uitkomst_tech[[#This Row],[Uitgangssituatie/effect beleid]])</f>
        <v>0</v>
      </c>
      <c r="K748" s="398">
        <f>SUMIFS(uitkomst_doelgroep[Kosten (€)],uitkomst_doelgroep[Digitale zorgtoepassing],B748,uitkomst_doelgroep[Jaar],D748,uitkomst_doelgroep[Kosten (€)],"&gt;0",uitkomst_doelgroep[Uitgangssituatie/effect beleid],uitkomst_tech[[#This Row],[Uitgangssituatie/effect beleid]])</f>
        <v>45631596.315114655</v>
      </c>
      <c r="L748" s="398">
        <f>SUMIFS(uitkomst_doelgroep[Investering (cash flow) (€)],uitkomst_doelgroep[Digitale zorgtoepassing],B748,uitkomst_doelgroep[Jaar],D748,uitkomst_doelgroep[Investering (cash flow) (€)],"&gt;0",uitkomst_doelgroep[Uitgangssituatie/effect beleid],uitkomst_tech[[#This Row],[Uitgangssituatie/effect beleid]])</f>
        <v>57211.820868534429</v>
      </c>
    </row>
  </sheetData>
  <sheetProtection algorithmName="SHA-512" hashValue="J6wtHEAXZcObOV7GTrzX0zD8H2nlANrokwGlAyR6Z/Lq6VBecw0w6hcScJ9lGiehH6y2KB1XB6T/0XCoIhgOUA==" saltValue="RJyO5BU1GPpLth6ksWFyBA==" spinCount="100000" sheet="1" objects="1" scenarios="1" selectLockedCells="1" selectUnlockedCells="1"/>
  <mergeCells count="1">
    <mergeCell ref="A1:C2"/>
  </mergeCells>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7BEE8-40ED-4D40-AF2D-4158D8D7F4A8}">
  <sheetPr codeName="Blad25">
    <tabColor theme="8"/>
  </sheetPr>
  <dimension ref="A1:I136"/>
  <sheetViews>
    <sheetView showGridLines="0" zoomScale="80" zoomScaleNormal="80" workbookViewId="0">
      <selection activeCell="B13" sqref="B13"/>
    </sheetView>
  </sheetViews>
  <sheetFormatPr defaultRowHeight="17" x14ac:dyDescent="0.5"/>
  <cols>
    <col min="1" max="2" width="33.07421875" customWidth="1"/>
    <col min="4" max="4" width="22.69140625" customWidth="1"/>
    <col min="5" max="5" width="15.4609375" customWidth="1"/>
    <col min="6" max="7" width="18.84375" customWidth="1"/>
    <col min="8" max="8" width="13.07421875" bestFit="1" customWidth="1"/>
    <col min="9" max="9" width="13.84375" customWidth="1"/>
  </cols>
  <sheetData>
    <row r="1" spans="1:9" x14ac:dyDescent="0.5">
      <c r="A1" s="476" t="s">
        <v>1032</v>
      </c>
      <c r="B1" s="477"/>
      <c r="C1" s="478"/>
    </row>
    <row r="2" spans="1:9" ht="17.5" thickBot="1" x14ac:dyDescent="0.55000000000000004">
      <c r="A2" s="479"/>
      <c r="B2" s="480"/>
      <c r="C2" s="481"/>
    </row>
    <row r="3" spans="1:9" ht="17.5" thickBot="1" x14ac:dyDescent="0.55000000000000004"/>
    <row r="4" spans="1:9" s="39" customFormat="1" ht="34.5" thickBot="1" x14ac:dyDescent="0.55000000000000004">
      <c r="A4" s="15" t="s">
        <v>5</v>
      </c>
      <c r="B4" s="31" t="s">
        <v>811</v>
      </c>
      <c r="C4" s="212" t="s">
        <v>469</v>
      </c>
      <c r="D4" s="161" t="s">
        <v>502</v>
      </c>
      <c r="E4" s="15" t="s">
        <v>503</v>
      </c>
      <c r="F4" s="15" t="s">
        <v>504</v>
      </c>
      <c r="G4" s="15" t="s">
        <v>448</v>
      </c>
      <c r="H4" s="15" t="s">
        <v>505</v>
      </c>
      <c r="I4" s="16" t="s">
        <v>998</v>
      </c>
    </row>
    <row r="5" spans="1:9" x14ac:dyDescent="0.5">
      <c r="A5" s="120" t="s">
        <v>7</v>
      </c>
      <c r="B5" s="120" t="s">
        <v>812</v>
      </c>
      <c r="C5" s="33">
        <v>2023</v>
      </c>
      <c r="D5" s="398">
        <f>SUMIFS(uitkomst_tech[Arbeidsbesparing (€)],uitkomst_tech[Veld],A5,uitkomst_tech[Jaar],C5,uitkomst_tech[Uitgangssituatie/effect beleid],uitkomst_veld[[#This Row],[Uitgangssituatie/effect beleid]])</f>
        <v>7039698.8055457547</v>
      </c>
      <c r="E5" s="407">
        <f>SUMIFS(uitkomst_tech[Arbeidsbesparing (FTE)],uitkomst_tech[Veld],A5,uitkomst_tech[Jaar],C5,uitkomst_tech[Uitgangssituatie/effect beleid],uitkomst_veld[[#This Row],[Uitgangssituatie/effect beleid]])</f>
        <v>130.05028971225553</v>
      </c>
      <c r="F5" s="398">
        <f>SUMIFS(uitkomst_tech[Overige besparingen (€)],uitkomst_tech[Veld],A5,uitkomst_tech[Jaar],C5,uitkomst_tech[Uitgangssituatie/effect beleid],uitkomst_veld[[#This Row],[Uitgangssituatie/effect beleid]])</f>
        <v>8039745.0539689334</v>
      </c>
      <c r="G5" s="398">
        <f>SUMIFS(uitkomst_tech[QALY (€)],uitkomst_tech[Veld],A5,uitkomst_tech[Jaar],C5,uitkomst_tech[Uitgangssituatie/effect beleid],uitkomst_veld[[#This Row],[Uitgangssituatie/effect beleid]])</f>
        <v>0</v>
      </c>
      <c r="H5" s="398">
        <f>SUMIFS(uitkomst_tech[Kosten (€)],uitkomst_tech[Veld],A5,uitkomst_tech[Jaar],C5,uitkomst_tech[Uitgangssituatie/effect beleid],uitkomst_veld[[#This Row],[Uitgangssituatie/effect beleid]])</f>
        <v>2988710.0320000001</v>
      </c>
      <c r="I5" s="398">
        <f>SUMIFS(uitkomst_tech[Investering (cash flow) (€)],uitkomst_tech[Veld],A5,uitkomst_tech[Jaar],C5,uitkomst_tech[Uitgangssituatie/effect beleid],uitkomst_veld[[#This Row],[Uitgangssituatie/effect beleid]])</f>
        <v>0</v>
      </c>
    </row>
    <row r="6" spans="1:9" x14ac:dyDescent="0.5">
      <c r="A6" s="120" t="s">
        <v>7</v>
      </c>
      <c r="B6" s="120" t="s">
        <v>812</v>
      </c>
      <c r="C6" s="33">
        <v>2024</v>
      </c>
      <c r="D6" s="398">
        <f>SUMIFS(uitkomst_tech[Arbeidsbesparing (€)],uitkomst_tech[Veld],A6,uitkomst_tech[Jaar],C6,uitkomst_tech[Uitgangssituatie/effect beleid],uitkomst_veld[[#This Row],[Uitgangssituatie/effect beleid]])</f>
        <v>9279033.4214921519</v>
      </c>
      <c r="E6" s="407">
        <f>SUMIFS(uitkomst_tech[Arbeidsbesparing (FTE)],uitkomst_tech[Veld],A6,uitkomst_tech[Jaar],C6,uitkomst_tech[Uitgangssituatie/effect beleid],uitkomst_veld[[#This Row],[Uitgangssituatie/effect beleid]])</f>
        <v>171.62819165251324</v>
      </c>
      <c r="F6" s="398">
        <f>SUMIFS(uitkomst_tech[Overige besparingen (€)],uitkomst_tech[Veld],A6,uitkomst_tech[Jaar],C6,uitkomst_tech[Uitgangssituatie/effect beleid],uitkomst_veld[[#This Row],[Uitgangssituatie/effect beleid]])</f>
        <v>10459098.725399293</v>
      </c>
      <c r="G6" s="398">
        <f>SUMIFS(uitkomst_tech[QALY (€)],uitkomst_tech[Veld],A6,uitkomst_tech[Jaar],C6,uitkomst_tech[Uitgangssituatie/effect beleid],uitkomst_veld[[#This Row],[Uitgangssituatie/effect beleid]])</f>
        <v>0</v>
      </c>
      <c r="H6" s="398">
        <f>SUMIFS(uitkomst_tech[Kosten (€)],uitkomst_tech[Veld],A6,uitkomst_tech[Jaar],C6,uitkomst_tech[Uitgangssituatie/effect beleid],uitkomst_veld[[#This Row],[Uitgangssituatie/effect beleid]])</f>
        <v>3863473.04464</v>
      </c>
      <c r="I6" s="398">
        <f>SUMIFS(uitkomst_tech[Investering (cash flow) (€)],uitkomst_tech[Veld],A6,uitkomst_tech[Jaar],C6,uitkomst_tech[Uitgangssituatie/effect beleid],uitkomst_veld[[#This Row],[Uitgangssituatie/effect beleid]])</f>
        <v>0</v>
      </c>
    </row>
    <row r="7" spans="1:9" x14ac:dyDescent="0.5">
      <c r="A7" s="120" t="s">
        <v>7</v>
      </c>
      <c r="B7" s="120" t="s">
        <v>812</v>
      </c>
      <c r="C7" s="33">
        <v>2025</v>
      </c>
      <c r="D7" s="398">
        <f>SUMIFS(uitkomst_tech[Arbeidsbesparing (€)],uitkomst_tech[Veld],A7,uitkomst_tech[Jaar],C7,uitkomst_tech[Uitgangssituatie/effect beleid],uitkomst_veld[[#This Row],[Uitgangssituatie/effect beleid]])</f>
        <v>11709128.808244601</v>
      </c>
      <c r="E7" s="407">
        <f>SUMIFS(uitkomst_tech[Arbeidsbesparing (FTE)],uitkomst_tech[Veld],A7,uitkomst_tech[Jaar],C7,uitkomst_tech[Uitgangssituatie/effect beleid],uitkomst_veld[[#This Row],[Uitgangssituatie/effect beleid]])</f>
        <v>216.82810975818779</v>
      </c>
      <c r="F7" s="398">
        <f>SUMIFS(uitkomst_tech[Overige besparingen (€)],uitkomst_tech[Veld],A7,uitkomst_tech[Jaar],C7,uitkomst_tech[Uitgangssituatie/effect beleid],uitkomst_veld[[#This Row],[Uitgangssituatie/effect beleid]])</f>
        <v>13031537.721506309</v>
      </c>
      <c r="G7" s="398">
        <f>SUMIFS(uitkomst_tech[QALY (€)],uitkomst_tech[Veld],A7,uitkomst_tech[Jaar],C7,uitkomst_tech[Uitgangssituatie/effect beleid],uitkomst_veld[[#This Row],[Uitgangssituatie/effect beleid]])</f>
        <v>0</v>
      </c>
      <c r="H7" s="398">
        <f>SUMIFS(uitkomst_tech[Kosten (€)],uitkomst_tech[Veld],A7,uitkomst_tech[Jaar],C7,uitkomst_tech[Uitgangssituatie/effect beleid],uitkomst_veld[[#This Row],[Uitgangssituatie/effect beleid]])</f>
        <v>4783599.916577152</v>
      </c>
      <c r="I7" s="398">
        <f>SUMIFS(uitkomst_tech[Investering (cash flow) (€)],uitkomst_tech[Veld],A7,uitkomst_tech[Jaar],C7,uitkomst_tech[Uitgangssituatie/effect beleid],uitkomst_veld[[#This Row],[Uitgangssituatie/effect beleid]])</f>
        <v>0</v>
      </c>
    </row>
    <row r="8" spans="1:9" x14ac:dyDescent="0.5">
      <c r="A8" s="120" t="s">
        <v>7</v>
      </c>
      <c r="B8" s="120" t="s">
        <v>812</v>
      </c>
      <c r="C8" s="33">
        <v>2026</v>
      </c>
      <c r="D8" s="398">
        <f>SUMIFS(uitkomst_tech[Arbeidsbesparing (€)],uitkomst_tech[Veld],A8,uitkomst_tech[Jaar],C8,uitkomst_tech[Uitgangssituatie/effect beleid],uitkomst_veld[[#This Row],[Uitgangssituatie/effect beleid]])</f>
        <v>14148596.34570251</v>
      </c>
      <c r="E8" s="407">
        <f>SUMIFS(uitkomst_tech[Arbeidsbesparing (FTE)],uitkomst_tech[Veld],A8,uitkomst_tech[Jaar],C8,uitkomst_tech[Uitgangssituatie/effect beleid],uitkomst_veld[[#This Row],[Uitgangssituatie/effect beleid]])</f>
        <v>262.29074970495662</v>
      </c>
      <c r="F8" s="398">
        <f>SUMIFS(uitkomst_tech[Overige besparingen (€)],uitkomst_tech[Veld],A8,uitkomst_tech[Jaar],C8,uitkomst_tech[Uitgangssituatie/effect beleid],uitkomst_veld[[#This Row],[Uitgangssituatie/effect beleid]])</f>
        <v>15555428.24703794</v>
      </c>
      <c r="G8" s="398">
        <f>SUMIFS(uitkomst_tech[QALY (€)],uitkomst_tech[Veld],A8,uitkomst_tech[Jaar],C8,uitkomst_tech[Uitgangssituatie/effect beleid],uitkomst_veld[[#This Row],[Uitgangssituatie/effect beleid]])</f>
        <v>0</v>
      </c>
      <c r="H8" s="398">
        <f>SUMIFS(uitkomst_tech[Kosten (€)],uitkomst_tech[Veld],A8,uitkomst_tech[Jaar],C8,uitkomst_tech[Uitgangssituatie/effect beleid],uitkomst_veld[[#This Row],[Uitgangssituatie/effect beleid]])</f>
        <v>5675119.168946567</v>
      </c>
      <c r="I8" s="398">
        <f>SUMIFS(uitkomst_tech[Investering (cash flow) (€)],uitkomst_tech[Veld],A8,uitkomst_tech[Jaar],C8,uitkomst_tech[Uitgangssituatie/effect beleid],uitkomst_veld[[#This Row],[Uitgangssituatie/effect beleid]])</f>
        <v>0</v>
      </c>
    </row>
    <row r="9" spans="1:9" x14ac:dyDescent="0.5">
      <c r="A9" s="120" t="s">
        <v>7</v>
      </c>
      <c r="B9" s="120" t="s">
        <v>812</v>
      </c>
      <c r="C9" s="33">
        <v>2027</v>
      </c>
      <c r="D9" s="398">
        <f>SUMIFS(uitkomst_tech[Arbeidsbesparing (€)],uitkomst_tech[Veld],A9,uitkomst_tech[Jaar],C9,uitkomst_tech[Uitgangssituatie/effect beleid],uitkomst_veld[[#This Row],[Uitgangssituatie/effect beleid]])</f>
        <v>16387763.664020251</v>
      </c>
      <c r="E9" s="407">
        <f>SUMIFS(uitkomst_tech[Arbeidsbesparing (FTE)],uitkomst_tech[Veld],A9,uitkomst_tech[Jaar],C9,uitkomst_tech[Uitgangssituatie/effect beleid],uitkomst_veld[[#This Row],[Uitgangssituatie/effect beleid]])</f>
        <v>304.10138580401929</v>
      </c>
      <c r="F9" s="398">
        <f>SUMIFS(uitkomst_tech[Overige besparingen (€)],uitkomst_tech[Veld],A9,uitkomst_tech[Jaar],C9,uitkomst_tech[Uitgangssituatie/effect beleid],uitkomst_veld[[#This Row],[Uitgangssituatie/effect beleid]])</f>
        <v>17818610.17104052</v>
      </c>
      <c r="G9" s="398">
        <f>SUMIFS(uitkomst_tech[QALY (€)],uitkomst_tech[Veld],A9,uitkomst_tech[Jaar],C9,uitkomst_tech[Uitgangssituatie/effect beleid],uitkomst_veld[[#This Row],[Uitgangssituatie/effect beleid]])</f>
        <v>0</v>
      </c>
      <c r="H9" s="398">
        <f>SUMIFS(uitkomst_tech[Kosten (€)],uitkomst_tech[Veld],A9,uitkomst_tech[Jaar],C9,uitkomst_tech[Uitgangssituatie/effect beleid],uitkomst_veld[[#This Row],[Uitgangssituatie/effect beleid]])</f>
        <v>6464027.1287926612</v>
      </c>
      <c r="I9" s="398">
        <f>SUMIFS(uitkomst_tech[Investering (cash flow) (€)],uitkomst_tech[Veld],A9,uitkomst_tech[Jaar],C9,uitkomst_tech[Uitgangssituatie/effect beleid],uitkomst_veld[[#This Row],[Uitgangssituatie/effect beleid]])</f>
        <v>0</v>
      </c>
    </row>
    <row r="10" spans="1:9" x14ac:dyDescent="0.5">
      <c r="A10" s="120" t="s">
        <v>7</v>
      </c>
      <c r="B10" s="120" t="s">
        <v>812</v>
      </c>
      <c r="C10" s="33">
        <v>2028</v>
      </c>
      <c r="D10" s="398">
        <f>SUMIFS(uitkomst_tech[Arbeidsbesparing (€)],uitkomst_tech[Veld],A10,uitkomst_tech[Jaar],C10,uitkomst_tech[Uitgangssituatie/effect beleid],uitkomst_veld[[#This Row],[Uitgangssituatie/effect beleid]])</f>
        <v>18250566.223721046</v>
      </c>
      <c r="E10" s="407">
        <f>SUMIFS(uitkomst_tech[Arbeidsbesparing (FTE)],uitkomst_tech[Veld],A10,uitkomst_tech[Jaar],C10,uitkomst_tech[Uitgangssituatie/effect beleid],uitkomst_veld[[#This Row],[Uitgangssituatie/effect beleid]])</f>
        <v>338.94274464838736</v>
      </c>
      <c r="F10" s="398">
        <f>SUMIFS(uitkomst_tech[Overige besparingen (€)],uitkomst_tech[Veld],A10,uitkomst_tech[Jaar],C10,uitkomst_tech[Uitgangssituatie/effect beleid],uitkomst_veld[[#This Row],[Uitgangssituatie/effect beleid]])</f>
        <v>19662791.756339617</v>
      </c>
      <c r="G10" s="398">
        <f>SUMIFS(uitkomst_tech[QALY (€)],uitkomst_tech[Veld],A10,uitkomst_tech[Jaar],C10,uitkomst_tech[Uitgangssituatie/effect beleid],uitkomst_veld[[#This Row],[Uitgangssituatie/effect beleid]])</f>
        <v>0</v>
      </c>
      <c r="H10" s="398">
        <f>SUMIFS(uitkomst_tech[Kosten (€)],uitkomst_tech[Veld],A10,uitkomst_tech[Jaar],C10,uitkomst_tech[Uitgangssituatie/effect beleid],uitkomst_veld[[#This Row],[Uitgangssituatie/effect beleid]])</f>
        <v>7099105.2889528163</v>
      </c>
      <c r="I10" s="398">
        <f>SUMIFS(uitkomst_tech[Investering (cash flow) (€)],uitkomst_tech[Veld],A10,uitkomst_tech[Jaar],C10,uitkomst_tech[Uitgangssituatie/effect beleid],uitkomst_veld[[#This Row],[Uitgangssituatie/effect beleid]])</f>
        <v>0</v>
      </c>
    </row>
    <row r="11" spans="1:9" x14ac:dyDescent="0.5">
      <c r="A11" s="120" t="s">
        <v>7</v>
      </c>
      <c r="B11" s="120" t="s">
        <v>812</v>
      </c>
      <c r="C11" s="33">
        <v>2029</v>
      </c>
      <c r="D11" s="398">
        <f>SUMIFS(uitkomst_tech[Arbeidsbesparing (€)],uitkomst_tech[Veld],A11,uitkomst_tech[Jaar],C11,uitkomst_tech[Uitgangssituatie/effect beleid],uitkomst_veld[[#This Row],[Uitgangssituatie/effect beleid]])</f>
        <v>19651114.366170406</v>
      </c>
      <c r="E11" s="407">
        <f>SUMIFS(uitkomst_tech[Arbeidsbesparing (FTE)],uitkomst_tech[Veld],A11,uitkomst_tech[Jaar],C11,uitkomst_tech[Uitgangssituatie/effect beleid],uitkomst_veld[[#This Row],[Uitgangssituatie/effect beleid]])</f>
        <v>365.16943659271556</v>
      </c>
      <c r="F11" s="398">
        <f>SUMIFS(uitkomst_tech[Overige besparingen (€)],uitkomst_tech[Veld],A11,uitkomst_tech[Jaar],C11,uitkomst_tech[Uitgangssituatie/effect beleid],uitkomst_veld[[#This Row],[Uitgangssituatie/effect beleid]])</f>
        <v>21028692.912665036</v>
      </c>
      <c r="G11" s="398">
        <f>SUMIFS(uitkomst_tech[QALY (€)],uitkomst_tech[Veld],A11,uitkomst_tech[Jaar],C11,uitkomst_tech[Uitgangssituatie/effect beleid],uitkomst_veld[[#This Row],[Uitgangssituatie/effect beleid]])</f>
        <v>0</v>
      </c>
      <c r="H11" s="398">
        <f>SUMIFS(uitkomst_tech[Kosten (€)],uitkomst_tech[Veld],A11,uitkomst_tech[Jaar],C11,uitkomst_tech[Uitgangssituatie/effect beleid],uitkomst_veld[[#This Row],[Uitgangssituatie/effect beleid]])</f>
        <v>7565233.7813473167</v>
      </c>
      <c r="I11" s="398">
        <f>SUMIFS(uitkomst_tech[Investering (cash flow) (€)],uitkomst_tech[Veld],A11,uitkomst_tech[Jaar],C11,uitkomst_tech[Uitgangssituatie/effect beleid],uitkomst_veld[[#This Row],[Uitgangssituatie/effect beleid]])</f>
        <v>0</v>
      </c>
    </row>
    <row r="12" spans="1:9" x14ac:dyDescent="0.5">
      <c r="A12" s="120" t="s">
        <v>7</v>
      </c>
      <c r="B12" s="120" t="s">
        <v>812</v>
      </c>
      <c r="C12" s="33">
        <v>2030</v>
      </c>
      <c r="D12" s="398">
        <f>SUMIFS(uitkomst_tech[Arbeidsbesparing (€)],uitkomst_tech[Veld],A12,uitkomst_tech[Jaar],C12,uitkomst_tech[Uitgangssituatie/effect beleid],uitkomst_veld[[#This Row],[Uitgangssituatie/effect beleid]])</f>
        <v>20609118.245144829</v>
      </c>
      <c r="E12" s="407">
        <f>SUMIFS(uitkomst_tech[Arbeidsbesparing (FTE)],uitkomst_tech[Veld],A12,uitkomst_tech[Jaar],C12,uitkomst_tech[Uitgangssituatie/effect beleid],uitkomst_veld[[#This Row],[Uitgangssituatie/effect beleid]])</f>
        <v>383.11968797275927</v>
      </c>
      <c r="F12" s="398">
        <f>SUMIFS(uitkomst_tech[Overige besparingen (€)],uitkomst_tech[Veld],A12,uitkomst_tech[Jaar],C12,uitkomst_tech[Uitgangssituatie/effect beleid],uitkomst_veld[[#This Row],[Uitgangssituatie/effect beleid]])</f>
        <v>21955952.038455591</v>
      </c>
      <c r="G12" s="398">
        <f>SUMIFS(uitkomst_tech[QALY (€)],uitkomst_tech[Veld],A12,uitkomst_tech[Jaar],C12,uitkomst_tech[Uitgangssituatie/effect beleid],uitkomst_veld[[#This Row],[Uitgangssituatie/effect beleid]])</f>
        <v>0</v>
      </c>
      <c r="H12" s="398">
        <f>SUMIFS(uitkomst_tech[Kosten (€)],uitkomst_tech[Veld],A12,uitkomst_tech[Jaar],C12,uitkomst_tech[Uitgangssituatie/effect beleid],uitkomst_veld[[#This Row],[Uitgangssituatie/effect beleid]])</f>
        <v>7880200.522545171</v>
      </c>
      <c r="I12" s="398">
        <f>SUMIFS(uitkomst_tech[Investering (cash flow) (€)],uitkomst_tech[Veld],A12,uitkomst_tech[Jaar],C12,uitkomst_tech[Uitgangssituatie/effect beleid],uitkomst_veld[[#This Row],[Uitgangssituatie/effect beleid]])</f>
        <v>0</v>
      </c>
    </row>
    <row r="13" spans="1:9" x14ac:dyDescent="0.5">
      <c r="A13" s="120" t="s">
        <v>7</v>
      </c>
      <c r="B13" s="120" t="s">
        <v>812</v>
      </c>
      <c r="C13" s="33">
        <v>2031</v>
      </c>
      <c r="D13" s="398">
        <f>SUMIFS(uitkomst_tech[Arbeidsbesparing (€)],uitkomst_tech[Veld],A13,uitkomst_tech[Jaar],C13,uitkomst_tech[Uitgangssituatie/effect beleid],uitkomst_veld[[#This Row],[Uitgangssituatie/effect beleid]])</f>
        <v>21215246.600695111</v>
      </c>
      <c r="E13" s="407">
        <f>SUMIFS(uitkomst_tech[Arbeidsbesparing (FTE)],uitkomst_tech[Veld],A13,uitkomst_tech[Jaar],C13,uitkomst_tech[Uitgangssituatie/effect beleid],uitkomst_veld[[#This Row],[Uitgangssituatie/effect beleid]])</f>
        <v>394.4770827317667</v>
      </c>
      <c r="F13" s="398">
        <f>SUMIFS(uitkomst_tech[Overige besparingen (€)],uitkomst_tech[Veld],A13,uitkomst_tech[Jaar],C13,uitkomst_tech[Uitgangssituatie/effect beleid],uitkomst_veld[[#This Row],[Uitgangssituatie/effect beleid]])</f>
        <v>22542440.496983953</v>
      </c>
      <c r="G13" s="398">
        <f>SUMIFS(uitkomst_tech[QALY (€)],uitkomst_tech[Veld],A13,uitkomst_tech[Jaar],C13,uitkomst_tech[Uitgangssituatie/effect beleid],uitkomst_veld[[#This Row],[Uitgangssituatie/effect beleid]])</f>
        <v>0</v>
      </c>
      <c r="H13" s="398">
        <f>SUMIFS(uitkomst_tech[Kosten (€)],uitkomst_tech[Veld],A13,uitkomst_tech[Jaar],C13,uitkomst_tech[Uitgangssituatie/effect beleid],uitkomst_veld[[#This Row],[Uitgangssituatie/effect beleid]])</f>
        <v>8079376.5136746718</v>
      </c>
      <c r="I13" s="398">
        <f>SUMIFS(uitkomst_tech[Investering (cash flow) (€)],uitkomst_tech[Veld],A13,uitkomst_tech[Jaar],C13,uitkomst_tech[Uitgangssituatie/effect beleid],uitkomst_veld[[#This Row],[Uitgangssituatie/effect beleid]])</f>
        <v>0</v>
      </c>
    </row>
    <row r="14" spans="1:9" x14ac:dyDescent="0.5">
      <c r="A14" s="120" t="s">
        <v>7</v>
      </c>
      <c r="B14" s="120" t="s">
        <v>812</v>
      </c>
      <c r="C14" s="33">
        <v>2032</v>
      </c>
      <c r="D14" s="398">
        <f>SUMIFS(uitkomst_tech[Arbeidsbesparing (€)],uitkomst_tech[Veld],A14,uitkomst_tech[Jaar],C14,uitkomst_tech[Uitgangssituatie/effect beleid],uitkomst_veld[[#This Row],[Uitgangssituatie/effect beleid]])</f>
        <v>21577780.043533355</v>
      </c>
      <c r="E14" s="407">
        <f>SUMIFS(uitkomst_tech[Arbeidsbesparing (FTE)],uitkomst_tech[Veld],A14,uitkomst_tech[Jaar],C14,uitkomst_tech[Uitgangssituatie/effect beleid],uitkomst_veld[[#This Row],[Uitgangssituatie/effect beleid]])</f>
        <v>401.26722860190625</v>
      </c>
      <c r="F14" s="398">
        <f>SUMIFS(uitkomst_tech[Overige besparingen (€)],uitkomst_tech[Veld],A14,uitkomst_tech[Jaar],C14,uitkomst_tech[Uitgangssituatie/effect beleid],uitkomst_veld[[#This Row],[Uitgangssituatie/effect beleid]])</f>
        <v>22895120.858538724</v>
      </c>
      <c r="G14" s="398">
        <f>SUMIFS(uitkomst_tech[QALY (€)],uitkomst_tech[Veld],A14,uitkomst_tech[Jaar],C14,uitkomst_tech[Uitgangssituatie/effect beleid],uitkomst_veld[[#This Row],[Uitgangssituatie/effect beleid]])</f>
        <v>0</v>
      </c>
      <c r="H14" s="398">
        <f>SUMIFS(uitkomst_tech[Kosten (€)],uitkomst_tech[Veld],A14,uitkomst_tech[Jaar],C14,uitkomst_tech[Uitgangssituatie/effect beleid],uitkomst_veld[[#This Row],[Uitgangssituatie/effect beleid]])</f>
        <v>8199547.8534574509</v>
      </c>
      <c r="I14" s="398">
        <f>SUMIFS(uitkomst_tech[Investering (cash flow) (€)],uitkomst_tech[Veld],A14,uitkomst_tech[Jaar],C14,uitkomst_tech[Uitgangssituatie/effect beleid],uitkomst_veld[[#This Row],[Uitgangssituatie/effect beleid]])</f>
        <v>0</v>
      </c>
    </row>
    <row r="15" spans="1:9" x14ac:dyDescent="0.5">
      <c r="A15" s="120" t="s">
        <v>7</v>
      </c>
      <c r="B15" s="120" t="s">
        <v>812</v>
      </c>
      <c r="C15" s="33">
        <v>2033</v>
      </c>
      <c r="D15" s="398">
        <f>SUMIFS(uitkomst_tech[Arbeidsbesparing (€)],uitkomst_tech[Veld],A15,uitkomst_tech[Jaar],C15,uitkomst_tech[Uitgangssituatie/effect beleid],uitkomst_veld[[#This Row],[Uitgangssituatie/effect beleid]])</f>
        <v>21787002.480665311</v>
      </c>
      <c r="E15" s="407">
        <f>SUMIFS(uitkomst_tech[Arbeidsbesparing (FTE)],uitkomst_tech[Veld],A15,uitkomst_tech[Jaar],C15,uitkomst_tech[Uitgangssituatie/effect beleid],uitkomst_veld[[#This Row],[Uitgangssituatie/effect beleid]])</f>
        <v>405.18306797895713</v>
      </c>
      <c r="F15" s="398">
        <f>SUMIFS(uitkomst_tech[Overige besparingen (€)],uitkomst_tech[Veld],A15,uitkomst_tech[Jaar],C15,uitkomst_tech[Uitgangssituatie/effect beleid],uitkomst_veld[[#This Row],[Uitgangssituatie/effect beleid]])</f>
        <v>23100532.752522819</v>
      </c>
      <c r="G15" s="398">
        <f>SUMIFS(uitkomst_tech[QALY (€)],uitkomst_tech[Veld],A15,uitkomst_tech[Jaar],C15,uitkomst_tech[Uitgangssituatie/effect beleid],uitkomst_veld[[#This Row],[Uitgangssituatie/effect beleid]])</f>
        <v>0</v>
      </c>
      <c r="H15" s="398">
        <f>SUMIFS(uitkomst_tech[Kosten (€)],uitkomst_tech[Veld],A15,uitkomst_tech[Jaar],C15,uitkomst_tech[Uitgangssituatie/effect beleid],uitkomst_veld[[#This Row],[Uitgangssituatie/effect beleid]])</f>
        <v>8269931.8077044357</v>
      </c>
      <c r="I15" s="398">
        <f>SUMIFS(uitkomst_tech[Investering (cash flow) (€)],uitkomst_tech[Veld],A15,uitkomst_tech[Jaar],C15,uitkomst_tech[Uitgangssituatie/effect beleid],uitkomst_veld[[#This Row],[Uitgangssituatie/effect beleid]])</f>
        <v>0</v>
      </c>
    </row>
    <row r="16" spans="1:9" x14ac:dyDescent="0.5">
      <c r="A16" s="121" t="s">
        <v>8</v>
      </c>
      <c r="B16" s="120" t="s">
        <v>812</v>
      </c>
      <c r="C16" s="33">
        <v>2023</v>
      </c>
      <c r="D16" s="398">
        <f>SUMIFS(uitkomst_tech[Arbeidsbesparing (€)],uitkomst_tech[Veld],A16,uitkomst_tech[Jaar],C16,uitkomst_tech[Uitgangssituatie/effect beleid],uitkomst_veld[[#This Row],[Uitgangssituatie/effect beleid]])</f>
        <v>309876103.0892995</v>
      </c>
      <c r="E16" s="407">
        <f>SUMIFS(uitkomst_tech[Arbeidsbesparing (FTE)],uitkomst_tech[Veld],A16,uitkomst_tech[Jaar],C16,uitkomst_tech[Uitgangssituatie/effect beleid],uitkomst_veld[[#This Row],[Uitgangssituatie/effect beleid]])</f>
        <v>6249.8184289276787</v>
      </c>
      <c r="F16" s="398">
        <f>SUMIFS(uitkomst_tech[Overige besparingen (€)],uitkomst_tech[Veld],A16,uitkomst_tech[Jaar],C16,uitkomst_tech[Uitgangssituatie/effect beleid],uitkomst_veld[[#This Row],[Uitgangssituatie/effect beleid]])</f>
        <v>140829815.52107021</v>
      </c>
      <c r="G16" s="398">
        <f>SUMIFS(uitkomst_tech[QALY (€)],uitkomst_tech[Veld],A16,uitkomst_tech[Jaar],C16,uitkomst_tech[Uitgangssituatie/effect beleid],uitkomst_veld[[#This Row],[Uitgangssituatie/effect beleid]])</f>
        <v>37800000.000000007</v>
      </c>
      <c r="H16" s="398">
        <f>SUMIFS(uitkomst_tech[Kosten (€)],uitkomst_tech[Veld],A16,uitkomst_tech[Jaar],C16,uitkomst_tech[Uitgangssituatie/effect beleid],uitkomst_veld[[#This Row],[Uitgangssituatie/effect beleid]])</f>
        <v>93793299.052603796</v>
      </c>
      <c r="I16" s="398">
        <f>SUMIFS(uitkomst_tech[Investering (cash flow) (€)],uitkomst_tech[Veld],A16,uitkomst_tech[Jaar],C16,uitkomst_tech[Uitgangssituatie/effect beleid],uitkomst_veld[[#This Row],[Uitgangssituatie/effect beleid]])</f>
        <v>16550898.118734811</v>
      </c>
    </row>
    <row r="17" spans="1:9" x14ac:dyDescent="0.5">
      <c r="A17" s="121" t="s">
        <v>8</v>
      </c>
      <c r="B17" s="120" t="s">
        <v>812</v>
      </c>
      <c r="C17" s="33">
        <v>2024</v>
      </c>
      <c r="D17" s="398">
        <f>SUMIFS(uitkomst_tech[Arbeidsbesparing (€)],uitkomst_tech[Veld],A17,uitkomst_tech[Jaar],C17,uitkomst_tech[Uitgangssituatie/effect beleid],uitkomst_veld[[#This Row],[Uitgangssituatie/effect beleid]])</f>
        <v>402018102.58660489</v>
      </c>
      <c r="E17" s="407">
        <f>SUMIFS(uitkomst_tech[Arbeidsbesparing (FTE)],uitkomst_tech[Veld],A17,uitkomst_tech[Jaar],C17,uitkomst_tech[Uitgangssituatie/effect beleid],uitkomst_veld[[#This Row],[Uitgangssituatie/effect beleid]])</f>
        <v>8136.9073355881537</v>
      </c>
      <c r="F17" s="398">
        <f>SUMIFS(uitkomst_tech[Overige besparingen (€)],uitkomst_tech[Veld],A17,uitkomst_tech[Jaar],C17,uitkomst_tech[Uitgangssituatie/effect beleid],uitkomst_veld[[#This Row],[Uitgangssituatie/effect beleid]])</f>
        <v>180907669.86623815</v>
      </c>
      <c r="G17" s="398">
        <f>SUMIFS(uitkomst_tech[QALY (€)],uitkomst_tech[Veld],A17,uitkomst_tech[Jaar],C17,uitkomst_tech[Uitgangssituatie/effect beleid],uitkomst_veld[[#This Row],[Uitgangssituatie/effect beleid]])</f>
        <v>48006000.000000007</v>
      </c>
      <c r="H17" s="398">
        <f>SUMIFS(uitkomst_tech[Kosten (€)],uitkomst_tech[Veld],A17,uitkomst_tech[Jaar],C17,uitkomst_tech[Uitgangssituatie/effect beleid],uitkomst_veld[[#This Row],[Uitgangssituatie/effect beleid]])</f>
        <v>120722906.07137246</v>
      </c>
      <c r="I17" s="398">
        <f>SUMIFS(uitkomst_tech[Investering (cash flow) (€)],uitkomst_tech[Veld],A17,uitkomst_tech[Jaar],C17,uitkomst_tech[Uitgangssituatie/effect beleid],uitkomst_veld[[#This Row],[Uitgangssituatie/effect beleid]])</f>
        <v>18662251.522953354</v>
      </c>
    </row>
    <row r="18" spans="1:9" x14ac:dyDescent="0.5">
      <c r="A18" s="121" t="s">
        <v>8</v>
      </c>
      <c r="B18" s="120" t="s">
        <v>812</v>
      </c>
      <c r="C18" s="33">
        <v>2025</v>
      </c>
      <c r="D18" s="398">
        <f>SUMIFS(uitkomst_tech[Arbeidsbesparing (€)],uitkomst_tech[Veld],A18,uitkomst_tech[Jaar],C18,uitkomst_tech[Uitgangssituatie/effect beleid],uitkomst_veld[[#This Row],[Uitgangssituatie/effect beleid]])</f>
        <v>499285654.1339888</v>
      </c>
      <c r="E18" s="407">
        <f>SUMIFS(uitkomst_tech[Arbeidsbesparing (FTE)],uitkomst_tech[Veld],A18,uitkomst_tech[Jaar],C18,uitkomst_tech[Uitgangssituatie/effect beleid],uitkomst_veld[[#This Row],[Uitgangssituatie/effect beleid]])</f>
        <v>10139.96835110712</v>
      </c>
      <c r="F18" s="398">
        <f>SUMIFS(uitkomst_tech[Overige besparingen (€)],uitkomst_tech[Veld],A18,uitkomst_tech[Jaar],C18,uitkomst_tech[Uitgangssituatie/effect beleid],uitkomst_veld[[#This Row],[Uitgangssituatie/effect beleid]])</f>
        <v>222444908.1457428</v>
      </c>
      <c r="G18" s="398">
        <f>SUMIFS(uitkomst_tech[QALY (€)],uitkomst_tech[Veld],A18,uitkomst_tech[Jaar],C18,uitkomst_tech[Uitgangssituatie/effect beleid],uitkomst_veld[[#This Row],[Uitgangssituatie/effect beleid]])</f>
        <v>58383460.800000004</v>
      </c>
      <c r="H18" s="398">
        <f>SUMIFS(uitkomst_tech[Kosten (€)],uitkomst_tech[Veld],A18,uitkomst_tech[Jaar],C18,uitkomst_tech[Uitgangssituatie/effect beleid],uitkomst_veld[[#This Row],[Uitgangssituatie/effect beleid]])</f>
        <v>148380521.05050105</v>
      </c>
      <c r="I18" s="398">
        <f>SUMIFS(uitkomst_tech[Investering (cash flow) (€)],uitkomst_tech[Veld],A18,uitkomst_tech[Jaar],C18,uitkomst_tech[Uitgangssituatie/effect beleid],uitkomst_veld[[#This Row],[Uitgangssituatie/effect beleid]])</f>
        <v>19464524.708073083</v>
      </c>
    </row>
    <row r="19" spans="1:9" x14ac:dyDescent="0.5">
      <c r="A19" s="121" t="s">
        <v>8</v>
      </c>
      <c r="B19" s="120" t="s">
        <v>812</v>
      </c>
      <c r="C19" s="33">
        <v>2026</v>
      </c>
      <c r="D19" s="398">
        <f>SUMIFS(uitkomst_tech[Arbeidsbesparing (€)],uitkomst_tech[Veld],A19,uitkomst_tech[Jaar],C19,uitkomst_tech[Uitgangssituatie/effect beleid],uitkomst_veld[[#This Row],[Uitgangssituatie/effect beleid]])</f>
        <v>594425058.55750155</v>
      </c>
      <c r="E19" s="407">
        <f>SUMIFS(uitkomst_tech[Arbeidsbesparing (FTE)],uitkomst_tech[Veld],A19,uitkomst_tech[Jaar],C19,uitkomst_tech[Uitgangssituatie/effect beleid],uitkomst_veld[[#This Row],[Uitgangssituatie/effect beleid]])</f>
        <v>12109.423788242702</v>
      </c>
      <c r="F19" s="398">
        <f>SUMIFS(uitkomst_tech[Overige besparingen (€)],uitkomst_tech[Veld],A19,uitkomst_tech[Jaar],C19,uitkomst_tech[Uitgangssituatie/effect beleid],uitkomst_veld[[#This Row],[Uitgangssituatie/effect beleid]])</f>
        <v>262187521.45277873</v>
      </c>
      <c r="G19" s="398">
        <f>SUMIFS(uitkomst_tech[QALY (€)],uitkomst_tech[Veld],A19,uitkomst_tech[Jaar],C19,uitkomst_tech[Uitgangssituatie/effect beleid],uitkomst_veld[[#This Row],[Uitgangssituatie/effect beleid]])</f>
        <v>68031118.782369807</v>
      </c>
      <c r="H19" s="398">
        <f>SUMIFS(uitkomst_tech[Kosten (€)],uitkomst_tech[Veld],A19,uitkomst_tech[Jaar],C19,uitkomst_tech[Uitgangssituatie/effect beleid],uitkomst_veld[[#This Row],[Uitgangssituatie/effect beleid]])</f>
        <v>174346328.87109113</v>
      </c>
      <c r="I19" s="398">
        <f>SUMIFS(uitkomst_tech[Investering (cash flow) (€)],uitkomst_tech[Veld],A19,uitkomst_tech[Jaar],C19,uitkomst_tech[Uitgangssituatie/effect beleid],uitkomst_veld[[#This Row],[Uitgangssituatie/effect beleid]])</f>
        <v>18521343.812385239</v>
      </c>
    </row>
    <row r="20" spans="1:9" x14ac:dyDescent="0.5">
      <c r="A20" s="121" t="s">
        <v>8</v>
      </c>
      <c r="B20" s="120" t="s">
        <v>812</v>
      </c>
      <c r="C20" s="33">
        <v>2027</v>
      </c>
      <c r="D20" s="398">
        <f>SUMIFS(uitkomst_tech[Arbeidsbesparing (€)],uitkomst_tech[Veld],A20,uitkomst_tech[Jaar],C20,uitkomst_tech[Uitgangssituatie/effect beleid],uitkomst_veld[[#This Row],[Uitgangssituatie/effect beleid]])</f>
        <v>679139077.20339537</v>
      </c>
      <c r="E20" s="407">
        <f>SUMIFS(uitkomst_tech[Arbeidsbesparing (FTE)],uitkomst_tech[Veld],A20,uitkomst_tech[Jaar],C20,uitkomst_tech[Uitgangssituatie/effect beleid],uitkomst_veld[[#This Row],[Uitgangssituatie/effect beleid]])</f>
        <v>13873.47528639494</v>
      </c>
      <c r="F20" s="398">
        <f>SUMIFS(uitkomst_tech[Overige besparingen (€)],uitkomst_tech[Veld],A20,uitkomst_tech[Jaar],C20,uitkomst_tech[Uitgangssituatie/effect beleid],uitkomst_veld[[#This Row],[Uitgangssituatie/effect beleid]])</f>
        <v>296734633.32939732</v>
      </c>
      <c r="G20" s="398">
        <f>SUMIFS(uitkomst_tech[QALY (€)],uitkomst_tech[Veld],A20,uitkomst_tech[Jaar],C20,uitkomst_tech[Uitgangssituatie/effect beleid],uitkomst_veld[[#This Row],[Uitgangssituatie/effect beleid]])</f>
        <v>76182539.167158544</v>
      </c>
      <c r="H20" s="398">
        <f>SUMIFS(uitkomst_tech[Kosten (€)],uitkomst_tech[Veld],A20,uitkomst_tech[Jaar],C20,uitkomst_tech[Uitgangssituatie/effect beleid],uitkomst_veld[[#This Row],[Uitgangssituatie/effect beleid]])</f>
        <v>196379662.01084012</v>
      </c>
      <c r="I20" s="398">
        <f>SUMIFS(uitkomst_tech[Investering (cash flow) (€)],uitkomst_tech[Veld],A20,uitkomst_tech[Jaar],C20,uitkomst_tech[Uitgangssituatie/effect beleid],uitkomst_veld[[#This Row],[Uitgangssituatie/effect beleid]])</f>
        <v>15946915.452050617</v>
      </c>
    </row>
    <row r="21" spans="1:9" x14ac:dyDescent="0.5">
      <c r="A21" s="121" t="s">
        <v>8</v>
      </c>
      <c r="B21" s="120" t="s">
        <v>812</v>
      </c>
      <c r="C21" s="33">
        <v>2028</v>
      </c>
      <c r="D21" s="398">
        <f>SUMIFS(uitkomst_tech[Arbeidsbesparing (€)],uitkomst_tech[Veld],A21,uitkomst_tech[Jaar],C21,uitkomst_tech[Uitgangssituatie/effect beleid],uitkomst_veld[[#This Row],[Uitgangssituatie/effect beleid]])</f>
        <v>748228164.85914123</v>
      </c>
      <c r="E21" s="407">
        <f>SUMIFS(uitkomst_tech[Arbeidsbesparing (FTE)],uitkomst_tech[Veld],A21,uitkomst_tech[Jaar],C21,uitkomst_tech[Uitgangssituatie/effect beleid],uitkomst_veld[[#This Row],[Uitgangssituatie/effect beleid]])</f>
        <v>15319.844434585701</v>
      </c>
      <c r="F21" s="398">
        <f>SUMIFS(uitkomst_tech[Overige besparingen (€)],uitkomst_tech[Veld],A21,uitkomst_tech[Jaar],C21,uitkomst_tech[Uitgangssituatie/effect beleid],uitkomst_veld[[#This Row],[Uitgangssituatie/effect beleid]])</f>
        <v>324310143.15151721</v>
      </c>
      <c r="G21" s="398">
        <f>SUMIFS(uitkomst_tech[QALY (€)],uitkomst_tech[Veld],A21,uitkomst_tech[Jaar],C21,uitkomst_tech[Uitgangssituatie/effect beleid],uitkomst_veld[[#This Row],[Uitgangssituatie/effect beleid]])</f>
        <v>82455642.573617861</v>
      </c>
      <c r="H21" s="398">
        <f>SUMIFS(uitkomst_tech[Kosten (€)],uitkomst_tech[Veld],A21,uitkomst_tech[Jaar],C21,uitkomst_tech[Uitgangssituatie/effect beleid],uitkomst_veld[[#This Row],[Uitgangssituatie/effect beleid]])</f>
        <v>213490776.19364738</v>
      </c>
      <c r="I21" s="398">
        <f>SUMIFS(uitkomst_tech[Investering (cash flow) (€)],uitkomst_tech[Veld],A21,uitkomst_tech[Jaar],C21,uitkomst_tech[Uitgangssituatie/effect beleid],uitkomst_veld[[#This Row],[Uitgangssituatie/effect beleid]])</f>
        <v>12382517.772700531</v>
      </c>
    </row>
    <row r="22" spans="1:9" x14ac:dyDescent="0.5">
      <c r="A22" s="121" t="s">
        <v>8</v>
      </c>
      <c r="B22" s="120" t="s">
        <v>812</v>
      </c>
      <c r="C22" s="33">
        <v>2029</v>
      </c>
      <c r="D22" s="398">
        <f>SUMIFS(uitkomst_tech[Arbeidsbesparing (€)],uitkomst_tech[Veld],A22,uitkomst_tech[Jaar],C22,uitkomst_tech[Uitgangssituatie/effect beleid],uitkomst_veld[[#This Row],[Uitgangssituatie/effect beleid]])</f>
        <v>800298890.3507061</v>
      </c>
      <c r="E22" s="407">
        <f>SUMIFS(uitkomst_tech[Arbeidsbesparing (FTE)],uitkomst_tech[Veld],A22,uitkomst_tech[Jaar],C22,uitkomst_tech[Uitgangssituatie/effect beleid],uitkomst_veld[[#This Row],[Uitgangssituatie/effect beleid]])</f>
        <v>16413.875629302092</v>
      </c>
      <c r="F22" s="398">
        <f>SUMIFS(uitkomst_tech[Overige besparingen (€)],uitkomst_tech[Veld],A22,uitkomst_tech[Jaar],C22,uitkomst_tech[Uitgangssituatie/effect beleid],uitkomst_veld[[#This Row],[Uitgangssituatie/effect beleid]])</f>
        <v>344820204.06542492</v>
      </c>
      <c r="G22" s="398">
        <f>SUMIFS(uitkomst_tech[QALY (€)],uitkomst_tech[Veld],A22,uitkomst_tech[Jaar],C22,uitkomst_tech[Uitgangssituatie/effect beleid],uitkomst_veld[[#This Row],[Uitgangssituatie/effect beleid]])</f>
        <v>86900234.403536692</v>
      </c>
      <c r="H22" s="398">
        <f>SUMIFS(uitkomst_tech[Kosten (€)],uitkomst_tech[Veld],A22,uitkomst_tech[Jaar],C22,uitkomst_tech[Uitgangssituatie/effect beleid],uitkomst_veld[[#This Row],[Uitgangssituatie/effect beleid]])</f>
        <v>225895903.2695649</v>
      </c>
      <c r="I22" s="398">
        <f>SUMIFS(uitkomst_tech[Investering (cash flow) (€)],uitkomst_tech[Veld],A22,uitkomst_tech[Jaar],C22,uitkomst_tech[Uitgangssituatie/effect beleid],uitkomst_veld[[#This Row],[Uitgangssituatie/effect beleid]])</f>
        <v>8725151.0588756707</v>
      </c>
    </row>
    <row r="23" spans="1:9" x14ac:dyDescent="0.5">
      <c r="A23" s="121" t="s">
        <v>8</v>
      </c>
      <c r="B23" s="120" t="s">
        <v>812</v>
      </c>
      <c r="C23" s="33">
        <v>2030</v>
      </c>
      <c r="D23" s="398">
        <f>SUMIFS(uitkomst_tech[Arbeidsbesparing (€)],uitkomst_tech[Veld],A23,uitkomst_tech[Jaar],C23,uitkomst_tech[Uitgangssituatie/effect beleid],uitkomst_veld[[#This Row],[Uitgangssituatie/effect beleid]])</f>
        <v>837299617.80417812</v>
      </c>
      <c r="E23" s="407">
        <f>SUMIFS(uitkomst_tech[Arbeidsbesparing (FTE)],uitkomst_tech[Veld],A23,uitkomst_tech[Jaar],C23,uitkomst_tech[Uitgangssituatie/effect beleid],uitkomst_veld[[#This Row],[Uitgangssituatie/effect beleid]])</f>
        <v>17191.841631396863</v>
      </c>
      <c r="F23" s="398">
        <f>SUMIFS(uitkomst_tech[Overige besparingen (€)],uitkomst_tech[Veld],A23,uitkomst_tech[Jaar],C23,uitkomst_tech[Uitgangssituatie/effect beleid],uitkomst_veld[[#This Row],[Uitgangssituatie/effect beleid]])</f>
        <v>359390438.23045301</v>
      </c>
      <c r="G23" s="398">
        <f>SUMIFS(uitkomst_tech[QALY (€)],uitkomst_tech[Veld],A23,uitkomst_tech[Jaar],C23,uitkomst_tech[Uitgangssituatie/effect beleid],uitkomst_veld[[#This Row],[Uitgangssituatie/effect beleid]])</f>
        <v>89847664.262533039</v>
      </c>
      <c r="H23" s="398">
        <f>SUMIFS(uitkomst_tech[Kosten (€)],uitkomst_tech[Veld],A23,uitkomst_tech[Jaar],C23,uitkomst_tech[Uitgangssituatie/effect beleid],uitkomst_veld[[#This Row],[Uitgangssituatie/effect beleid]])</f>
        <v>234534679.30956027</v>
      </c>
      <c r="I23" s="398">
        <f>SUMIFS(uitkomst_tech[Investering (cash flow) (€)],uitkomst_tech[Veld],A23,uitkomst_tech[Jaar],C23,uitkomst_tech[Uitgangssituatie/effect beleid],uitkomst_veld[[#This Row],[Uitgangssituatie/effect beleid]])</f>
        <v>5675799.8022579644</v>
      </c>
    </row>
    <row r="24" spans="1:9" x14ac:dyDescent="0.5">
      <c r="A24" s="121" t="s">
        <v>8</v>
      </c>
      <c r="B24" s="120" t="s">
        <v>812</v>
      </c>
      <c r="C24" s="33">
        <v>2031</v>
      </c>
      <c r="D24" s="398">
        <f>SUMIFS(uitkomst_tech[Arbeidsbesparing (€)],uitkomst_tech[Veld],A24,uitkomst_tech[Jaar],C24,uitkomst_tech[Uitgangssituatie/effect beleid],uitkomst_veld[[#This Row],[Uitgangssituatie/effect beleid]])</f>
        <v>862899427.303339</v>
      </c>
      <c r="E24" s="407">
        <f>SUMIFS(uitkomst_tech[Arbeidsbesparing (FTE)],uitkomst_tech[Veld],A24,uitkomst_tech[Jaar],C24,uitkomst_tech[Uitgangssituatie/effect beleid],uitkomst_veld[[#This Row],[Uitgangssituatie/effect beleid]])</f>
        <v>17728.461372985817</v>
      </c>
      <c r="F24" s="398">
        <f>SUMIFS(uitkomst_tech[Overige besparingen (€)],uitkomst_tech[Veld],A24,uitkomst_tech[Jaar],C24,uitkomst_tech[Uitgangssituatie/effect beleid],uitkomst_veld[[#This Row],[Uitgangssituatie/effect beleid]])</f>
        <v>369610588.73281503</v>
      </c>
      <c r="G24" s="398">
        <f>SUMIFS(uitkomst_tech[QALY (€)],uitkomst_tech[Veld],A24,uitkomst_tech[Jaar],C24,uitkomst_tech[Uitgangssituatie/effect beleid],uitkomst_veld[[#This Row],[Uitgangssituatie/effect beleid]])</f>
        <v>91710029.493161812</v>
      </c>
      <c r="H24" s="398">
        <f>SUMIFS(uitkomst_tech[Kosten (€)],uitkomst_tech[Veld],A24,uitkomst_tech[Jaar],C24,uitkomst_tech[Uitgangssituatie/effect beleid],uitkomst_veld[[#This Row],[Uitgangssituatie/effect beleid]])</f>
        <v>240510606.94328874</v>
      </c>
      <c r="I24" s="398">
        <f>SUMIFS(uitkomst_tech[Investering (cash flow) (€)],uitkomst_tech[Veld],A24,uitkomst_tech[Jaar],C24,uitkomst_tech[Uitgangssituatie/effect beleid],uitkomst_veld[[#This Row],[Uitgangssituatie/effect beleid]])</f>
        <v>3493855.0344655113</v>
      </c>
    </row>
    <row r="25" spans="1:9" x14ac:dyDescent="0.5">
      <c r="A25" s="121" t="s">
        <v>8</v>
      </c>
      <c r="B25" s="120" t="s">
        <v>812</v>
      </c>
      <c r="C25" s="33">
        <v>2032</v>
      </c>
      <c r="D25" s="398">
        <f>SUMIFS(uitkomst_tech[Arbeidsbesparing (€)],uitkomst_tech[Veld],A25,uitkomst_tech[Jaar],C25,uitkomst_tech[Uitgangssituatie/effect beleid],uitkomst_veld[[#This Row],[Uitgangssituatie/effect beleid]])</f>
        <v>880825667.25109065</v>
      </c>
      <c r="E25" s="407">
        <f>SUMIFS(uitkomst_tech[Arbeidsbesparing (FTE)],uitkomst_tech[Veld],A25,uitkomst_tech[Jaar],C25,uitkomst_tech[Uitgangssituatie/effect beleid],uitkomst_veld[[#This Row],[Uitgangssituatie/effect beleid]])</f>
        <v>18101.571498923127</v>
      </c>
      <c r="F25" s="398">
        <f>SUMIFS(uitkomst_tech[Overige besparingen (€)],uitkomst_tech[Veld],A25,uitkomst_tech[Jaar],C25,uitkomst_tech[Uitgangssituatie/effect beleid],uitkomst_veld[[#This Row],[Uitgangssituatie/effect beleid]])</f>
        <v>376941829.22585446</v>
      </c>
      <c r="G25" s="398">
        <f>SUMIFS(uitkomst_tech[QALY (€)],uitkomst_tech[Veld],A25,uitkomst_tech[Jaar],C25,uitkomst_tech[Uitgangssituatie/effect beleid],uitkomst_veld[[#This Row],[Uitgangssituatie/effect beleid]])</f>
        <v>92848869.231201991</v>
      </c>
      <c r="H25" s="398">
        <f>SUMIFS(uitkomst_tech[Kosten (€)],uitkomst_tech[Veld],A25,uitkomst_tech[Jaar],C25,uitkomst_tech[Uitgangssituatie/effect beleid],uitkomst_veld[[#This Row],[Uitgangssituatie/effect beleid]])</f>
        <v>244752469.45952907</v>
      </c>
      <c r="I25" s="398">
        <f>SUMIFS(uitkomst_tech[Investering (cash flow) (€)],uitkomst_tech[Veld],A25,uitkomst_tech[Jaar],C25,uitkomst_tech[Uitgangssituatie/effect beleid],uitkomst_veld[[#This Row],[Uitgangssituatie/effect beleid]])</f>
        <v>2090963.2322773132</v>
      </c>
    </row>
    <row r="26" spans="1:9" x14ac:dyDescent="0.5">
      <c r="A26" s="121" t="s">
        <v>8</v>
      </c>
      <c r="B26" s="120" t="s">
        <v>812</v>
      </c>
      <c r="C26" s="33">
        <v>2033</v>
      </c>
      <c r="D26" s="398">
        <f>SUMIFS(uitkomst_tech[Arbeidsbesparing (€)],uitkomst_tech[Veld],A26,uitkomst_tech[Jaar],C26,uitkomst_tech[Uitgangssituatie/effect beleid],uitkomst_veld[[#This Row],[Uitgangssituatie/effect beleid]])</f>
        <v>893913092.71868086</v>
      </c>
      <c r="E26" s="407">
        <f>SUMIFS(uitkomst_tech[Arbeidsbesparing (FTE)],uitkomst_tech[Veld],A26,uitkomst_tech[Jaar],C26,uitkomst_tech[Uitgangssituatie/effect beleid],uitkomst_veld[[#This Row],[Uitgangssituatie/effect beleid]])</f>
        <v>18371.151627453386</v>
      </c>
      <c r="F26" s="398">
        <f>SUMIFS(uitkomst_tech[Overige besparingen (€)],uitkomst_tech[Veld],A26,uitkomst_tech[Jaar],C26,uitkomst_tech[Uitgangssituatie/effect beleid],uitkomst_veld[[#This Row],[Uitgangssituatie/effect beleid]])</f>
        <v>382438946.21029109</v>
      </c>
      <c r="G26" s="398">
        <f>SUMIFS(uitkomst_tech[QALY (€)],uitkomst_tech[Veld],A26,uitkomst_tech[Jaar],C26,uitkomst_tech[Uitgangssituatie/effect beleid],uitkomst_veld[[#This Row],[Uitgangssituatie/effect beleid]])</f>
        <v>93530804.544295385</v>
      </c>
      <c r="H26" s="398">
        <f>SUMIFS(uitkomst_tech[Kosten (€)],uitkomst_tech[Veld],A26,uitkomst_tech[Jaar],C26,uitkomst_tech[Uitgangssituatie/effect beleid],uitkomst_veld[[#This Row],[Uitgangssituatie/effect beleid]])</f>
        <v>247901005.41354734</v>
      </c>
      <c r="I26" s="398">
        <f>SUMIFS(uitkomst_tech[Investering (cash flow) (€)],uitkomst_tech[Veld],A26,uitkomst_tech[Jaar],C26,uitkomst_tech[Uitgangssituatie/effect beleid],uitkomst_veld[[#This Row],[Uitgangssituatie/effect beleid]])</f>
        <v>1248792.4830363696</v>
      </c>
    </row>
    <row r="27" spans="1:9" x14ac:dyDescent="0.5">
      <c r="A27" s="42" t="s">
        <v>9</v>
      </c>
      <c r="B27" s="120" t="s">
        <v>812</v>
      </c>
      <c r="C27" s="33">
        <v>2023</v>
      </c>
      <c r="D27" s="398">
        <f>SUMIFS(uitkomst_tech[Arbeidsbesparing (€)],uitkomst_tech[Veld],A27,uitkomst_tech[Jaar],C27,uitkomst_tech[Uitgangssituatie/effect beleid],uitkomst_veld[[#This Row],[Uitgangssituatie/effect beleid]])</f>
        <v>25160314.123586208</v>
      </c>
      <c r="E27" s="407">
        <f>SUMIFS(uitkomst_tech[Arbeidsbesparing (FTE)],uitkomst_tech[Veld],A27,uitkomst_tech[Jaar],C27,uitkomst_tech[Uitgangssituatie/effect beleid],uitkomst_veld[[#This Row],[Uitgangssituatie/effect beleid]])</f>
        <v>465.45353860018804</v>
      </c>
      <c r="F27" s="398">
        <f>SUMIFS(uitkomst_tech[Overige besparingen (€)],uitkomst_tech[Veld],A27,uitkomst_tech[Jaar],C27,uitkomst_tech[Uitgangssituatie/effect beleid],uitkomst_veld[[#This Row],[Uitgangssituatie/effect beleid]])</f>
        <v>13624805.952</v>
      </c>
      <c r="G27" s="398">
        <f>SUMIFS(uitkomst_tech[QALY (€)],uitkomst_tech[Veld],A27,uitkomst_tech[Jaar],C27,uitkomst_tech[Uitgangssituatie/effect beleid],uitkomst_veld[[#This Row],[Uitgangssituatie/effect beleid]])</f>
        <v>169620000</v>
      </c>
      <c r="H27" s="398">
        <f>SUMIFS(uitkomst_tech[Kosten (€)],uitkomst_tech[Veld],A27,uitkomst_tech[Jaar],C27,uitkomst_tech[Uitgangssituatie/effect beleid],uitkomst_veld[[#This Row],[Uitgangssituatie/effect beleid]])</f>
        <v>43944897.033333339</v>
      </c>
      <c r="I27" s="398">
        <f>SUMIFS(uitkomst_tech[Investering (cash flow) (€)],uitkomst_tech[Veld],A27,uitkomst_tech[Jaar],C27,uitkomst_tech[Uitgangssituatie/effect beleid],uitkomst_veld[[#This Row],[Uitgangssituatie/effect beleid]])</f>
        <v>8727793.5999999959</v>
      </c>
    </row>
    <row r="28" spans="1:9" x14ac:dyDescent="0.5">
      <c r="A28" s="42" t="s">
        <v>9</v>
      </c>
      <c r="B28" s="120" t="s">
        <v>812</v>
      </c>
      <c r="C28" s="33">
        <v>2024</v>
      </c>
      <c r="D28" s="398">
        <f>SUMIFS(uitkomst_tech[Arbeidsbesparing (€)],uitkomst_tech[Veld],A28,uitkomst_tech[Jaar],C28,uitkomst_tech[Uitgangssituatie/effect beleid],uitkomst_veld[[#This Row],[Uitgangssituatie/effect beleid]])</f>
        <v>29339125.793918159</v>
      </c>
      <c r="E28" s="407">
        <f>SUMIFS(uitkomst_tech[Arbeidsbesparing (FTE)],uitkomst_tech[Veld],A28,uitkomst_tech[Jaar],C28,uitkomst_tech[Uitgangssituatie/effect beleid],uitkomst_veld[[#This Row],[Uitgangssituatie/effect beleid]])</f>
        <v>543.65838934066096</v>
      </c>
      <c r="F28" s="398">
        <f>SUMIFS(uitkomst_tech[Overige besparingen (€)],uitkomst_tech[Veld],A28,uitkomst_tech[Jaar],C28,uitkomst_tech[Uitgangssituatie/effect beleid],uitkomst_veld[[#This Row],[Uitgangssituatie/effect beleid]])</f>
        <v>15791428.8288</v>
      </c>
      <c r="G28" s="398">
        <f>SUMIFS(uitkomst_tech[QALY (€)],uitkomst_tech[Veld],A28,uitkomst_tech[Jaar],C28,uitkomst_tech[Uitgangssituatie/effect beleid],uitkomst_veld[[#This Row],[Uitgangssituatie/effect beleid]])</f>
        <v>192482400</v>
      </c>
      <c r="H28" s="398">
        <f>SUMIFS(uitkomst_tech[Kosten (€)],uitkomst_tech[Veld],A28,uitkomst_tech[Jaar],C28,uitkomst_tech[Uitgangssituatie/effect beleid],uitkomst_veld[[#This Row],[Uitgangssituatie/effect beleid]])</f>
        <v>48706882.513333336</v>
      </c>
      <c r="I28" s="398">
        <f>SUMIFS(uitkomst_tech[Investering (cash flow) (€)],uitkomst_tech[Veld],A28,uitkomst_tech[Jaar],C28,uitkomst_tech[Uitgangssituatie/effect beleid],uitkomst_veld[[#This Row],[Uitgangssituatie/effect beleid]])</f>
        <v>6050030.2137300111</v>
      </c>
    </row>
    <row r="29" spans="1:9" x14ac:dyDescent="0.5">
      <c r="A29" s="42" t="s">
        <v>9</v>
      </c>
      <c r="B29" s="120" t="s">
        <v>812</v>
      </c>
      <c r="C29" s="33">
        <v>2025</v>
      </c>
      <c r="D29" s="398">
        <f>SUMIFS(uitkomst_tech[Arbeidsbesparing (€)],uitkomst_tech[Veld],A29,uitkomst_tech[Jaar],C29,uitkomst_tech[Uitgangssituatie/effect beleid],uitkomst_veld[[#This Row],[Uitgangssituatie/effect beleid]])</f>
        <v>33059417.328961235</v>
      </c>
      <c r="E29" s="407">
        <f>SUMIFS(uitkomst_tech[Arbeidsbesparing (FTE)],uitkomst_tech[Veld],A29,uitkomst_tech[Jaar],C29,uitkomst_tech[Uitgangssituatie/effect beleid],uitkomst_veld[[#This Row],[Uitgangssituatie/effect beleid]])</f>
        <v>612.94474696992438</v>
      </c>
      <c r="F29" s="398">
        <f>SUMIFS(uitkomst_tech[Overige besparingen (€)],uitkomst_tech[Veld],A29,uitkomst_tech[Jaar],C29,uitkomst_tech[Uitgangssituatie/effect beleid],uitkomst_veld[[#This Row],[Uitgangssituatie/effect beleid]])</f>
        <v>17756467.8043392</v>
      </c>
      <c r="G29" s="398">
        <f>SUMIFS(uitkomst_tech[QALY (€)],uitkomst_tech[Veld],A29,uitkomst_tech[Jaar],C29,uitkomst_tech[Uitgangssituatie/effect beleid],uitkomst_veld[[#This Row],[Uitgangssituatie/effect beleid]])</f>
        <v>211327241.07000002</v>
      </c>
      <c r="H29" s="398">
        <f>SUMIFS(uitkomst_tech[Kosten (€)],uitkomst_tech[Veld],A29,uitkomst_tech[Jaar],C29,uitkomst_tech[Uitgangssituatie/effect beleid],uitkomst_veld[[#This Row],[Uitgangssituatie/effect beleid]])</f>
        <v>52195574.856823348</v>
      </c>
      <c r="I29" s="398">
        <f>SUMIFS(uitkomst_tech[Investering (cash flow) (€)],uitkomst_tech[Veld],A29,uitkomst_tech[Jaar],C29,uitkomst_tech[Uitgangssituatie/effect beleid],uitkomst_veld[[#This Row],[Uitgangssituatie/effect beleid]])</f>
        <v>3891066.613969957</v>
      </c>
    </row>
    <row r="30" spans="1:9" x14ac:dyDescent="0.5">
      <c r="A30" s="42" t="s">
        <v>9</v>
      </c>
      <c r="B30" s="120" t="s">
        <v>812</v>
      </c>
      <c r="C30" s="33">
        <v>2026</v>
      </c>
      <c r="D30" s="398">
        <f>SUMIFS(uitkomst_tech[Arbeidsbesparing (€)],uitkomst_tech[Veld],A30,uitkomst_tech[Jaar],C30,uitkomst_tech[Uitgangssituatie/effect beleid],uitkomst_veld[[#This Row],[Uitgangssituatie/effect beleid]])</f>
        <v>37832606.439899132</v>
      </c>
      <c r="E30" s="407">
        <f>SUMIFS(uitkomst_tech[Arbeidsbesparing (FTE)],uitkomst_tech[Veld],A30,uitkomst_tech[Jaar],C30,uitkomst_tech[Uitgangssituatie/effect beleid],uitkomst_veld[[#This Row],[Uitgangssituatie/effect beleid]])</f>
        <v>699.20285437133987</v>
      </c>
      <c r="F30" s="398">
        <f>SUMIFS(uitkomst_tech[Overige besparingen (€)],uitkomst_tech[Veld],A30,uitkomst_tech[Jaar],C30,uitkomst_tech[Uitgangssituatie/effect beleid],uitkomst_veld[[#This Row],[Uitgangssituatie/effect beleid]])</f>
        <v>20560147.284593463</v>
      </c>
      <c r="G30" s="398">
        <f>SUMIFS(uitkomst_tech[QALY (€)],uitkomst_tech[Veld],A30,uitkomst_tech[Jaar],C30,uitkomst_tech[Uitgangssituatie/effect beleid],uitkomst_veld[[#This Row],[Uitgangssituatie/effect beleid]])</f>
        <v>240338791.03152451</v>
      </c>
      <c r="H30" s="398">
        <f>SUMIFS(uitkomst_tech[Kosten (€)],uitkomst_tech[Veld],A30,uitkomst_tech[Jaar],C30,uitkomst_tech[Uitgangssituatie/effect beleid],uitkomst_veld[[#This Row],[Uitgangssituatie/effect beleid]])</f>
        <v>55319359.056292355</v>
      </c>
      <c r="I30" s="398">
        <f>SUMIFS(uitkomst_tech[Investering (cash flow) (€)],uitkomst_tech[Veld],A30,uitkomst_tech[Jaar],C30,uitkomst_tech[Uitgangssituatie/effect beleid],uitkomst_veld[[#This Row],[Uitgangssituatie/effect beleid]])</f>
        <v>2384240.6905558081</v>
      </c>
    </row>
    <row r="31" spans="1:9" x14ac:dyDescent="0.5">
      <c r="A31" s="42" t="s">
        <v>9</v>
      </c>
      <c r="B31" s="120" t="s">
        <v>812</v>
      </c>
      <c r="C31" s="33">
        <v>2027</v>
      </c>
      <c r="D31" s="398">
        <f>SUMIFS(uitkomst_tech[Arbeidsbesparing (€)],uitkomst_tech[Veld],A31,uitkomst_tech[Jaar],C31,uitkomst_tech[Uitgangssituatie/effect beleid],uitkomst_veld[[#This Row],[Uitgangssituatie/effect beleid]])</f>
        <v>42632688.852908596</v>
      </c>
      <c r="E31" s="407">
        <f>SUMIFS(uitkomst_tech[Arbeidsbesparing (FTE)],uitkomst_tech[Veld],A31,uitkomst_tech[Jaar],C31,uitkomst_tech[Uitgangssituatie/effect beleid],uitkomst_veld[[#This Row],[Uitgangssituatie/effect beleid]])</f>
        <v>784.71878292081328</v>
      </c>
      <c r="F31" s="398">
        <f>SUMIFS(uitkomst_tech[Overige besparingen (€)],uitkomst_tech[Veld],A31,uitkomst_tech[Jaar],C31,uitkomst_tech[Uitgangssituatie/effect beleid],uitkomst_veld[[#This Row],[Uitgangssituatie/effect beleid]])</f>
        <v>23511184.017112598</v>
      </c>
      <c r="G31" s="398">
        <f>SUMIFS(uitkomst_tech[QALY (€)],uitkomst_tech[Veld],A31,uitkomst_tech[Jaar],C31,uitkomst_tech[Uitgangssituatie/effect beleid],uitkomst_veld[[#This Row],[Uitgangssituatie/effect beleid]])</f>
        <v>270924389.34691894</v>
      </c>
      <c r="H31" s="398">
        <f>SUMIFS(uitkomst_tech[Kosten (€)],uitkomst_tech[Veld],A31,uitkomst_tech[Jaar],C31,uitkomst_tech[Uitgangssituatie/effect beleid],uitkomst_veld[[#This Row],[Uitgangssituatie/effect beleid]])</f>
        <v>57913243.483647764</v>
      </c>
      <c r="I31" s="398">
        <f>SUMIFS(uitkomst_tech[Investering (cash flow) (€)],uitkomst_tech[Veld],A31,uitkomst_tech[Jaar],C31,uitkomst_tech[Uitgangssituatie/effect beleid],uitkomst_veld[[#This Row],[Uitgangssituatie/effect beleid]])</f>
        <v>1417270.1613173769</v>
      </c>
    </row>
    <row r="32" spans="1:9" x14ac:dyDescent="0.5">
      <c r="A32" s="42" t="s">
        <v>9</v>
      </c>
      <c r="B32" s="120" t="s">
        <v>812</v>
      </c>
      <c r="C32" s="33">
        <v>2028</v>
      </c>
      <c r="D32" s="398">
        <f>SUMIFS(uitkomst_tech[Arbeidsbesparing (€)],uitkomst_tech[Veld],A32,uitkomst_tech[Jaar],C32,uitkomst_tech[Uitgangssituatie/effect beleid],uitkomst_veld[[#This Row],[Uitgangssituatie/effect beleid]])</f>
        <v>47653683.646448828</v>
      </c>
      <c r="E32" s="407">
        <f>SUMIFS(uitkomst_tech[Arbeidsbesparing (FTE)],uitkomst_tech[Veld],A32,uitkomst_tech[Jaar],C32,uitkomst_tech[Uitgangssituatie/effect beleid],uitkomst_veld[[#This Row],[Uitgangssituatie/effect beleid]])</f>
        <v>873.14326716878634</v>
      </c>
      <c r="F32" s="398">
        <f>SUMIFS(uitkomst_tech[Overige besparingen (€)],uitkomst_tech[Veld],A32,uitkomst_tech[Jaar],C32,uitkomst_tech[Uitgangssituatie/effect beleid],uitkomst_veld[[#This Row],[Uitgangssituatie/effect beleid]])</f>
        <v>26708057.910716929</v>
      </c>
      <c r="G32" s="398">
        <f>SUMIFS(uitkomst_tech[QALY (€)],uitkomst_tech[Veld],A32,uitkomst_tech[Jaar],C32,uitkomst_tech[Uitgangssituatie/effect beleid],uitkomst_veld[[#This Row],[Uitgangssituatie/effect beleid]])</f>
        <v>305173308.71067917</v>
      </c>
      <c r="H32" s="398">
        <f>SUMIFS(uitkomst_tech[Kosten (€)],uitkomst_tech[Veld],A32,uitkomst_tech[Jaar],C32,uitkomst_tech[Uitgangssituatie/effect beleid],uitkomst_veld[[#This Row],[Uitgangssituatie/effect beleid]])</f>
        <v>60290340.199254997</v>
      </c>
      <c r="I32" s="398">
        <f>SUMIFS(uitkomst_tech[Investering (cash flow) (€)],uitkomst_tech[Veld],A32,uitkomst_tech[Jaar],C32,uitkomst_tech[Uitgangssituatie/effect beleid],uitkomst_veld[[#This Row],[Uitgangssituatie/effect beleid]])</f>
        <v>824831.73217312316</v>
      </c>
    </row>
    <row r="33" spans="1:9" x14ac:dyDescent="0.5">
      <c r="A33" s="42" t="s">
        <v>9</v>
      </c>
      <c r="B33" s="120" t="s">
        <v>812</v>
      </c>
      <c r="C33" s="33">
        <v>2029</v>
      </c>
      <c r="D33" s="398">
        <f>SUMIFS(uitkomst_tech[Arbeidsbesparing (€)],uitkomst_tech[Veld],A33,uitkomst_tech[Jaar],C33,uitkomst_tech[Uitgangssituatie/effect beleid],uitkomst_veld[[#This Row],[Uitgangssituatie/effect beleid]])</f>
        <v>53133183.728774816</v>
      </c>
      <c r="E33" s="407">
        <f>SUMIFS(uitkomst_tech[Arbeidsbesparing (FTE)],uitkomst_tech[Veld],A33,uitkomst_tech[Jaar],C33,uitkomst_tech[Uitgangssituatie/effect beleid],uitkomst_veld[[#This Row],[Uitgangssituatie/effect beleid]])</f>
        <v>968.91015437139833</v>
      </c>
      <c r="F33" s="398">
        <f>SUMIFS(uitkomst_tech[Overige besparingen (€)],uitkomst_tech[Veld],A33,uitkomst_tech[Jaar],C33,uitkomst_tech[Uitgangssituatie/effect beleid],uitkomst_veld[[#This Row],[Uitgangssituatie/effect beleid]])</f>
        <v>30275306.748817988</v>
      </c>
      <c r="G33" s="398">
        <f>SUMIFS(uitkomst_tech[QALY (€)],uitkomst_tech[Veld],A33,uitkomst_tech[Jaar],C33,uitkomst_tech[Uitgangssituatie/effect beleid],uitkomst_veld[[#This Row],[Uitgangssituatie/effect beleid]])</f>
        <v>345460845.8189348</v>
      </c>
      <c r="H33" s="398">
        <f>SUMIFS(uitkomst_tech[Kosten (€)],uitkomst_tech[Veld],A33,uitkomst_tech[Jaar],C33,uitkomst_tech[Uitgangssituatie/effect beleid],uitkomst_veld[[#This Row],[Uitgangssituatie/effect beleid]])</f>
        <v>62710503.42150294</v>
      </c>
      <c r="I33" s="398">
        <f>SUMIFS(uitkomst_tech[Investering (cash flow) (€)],uitkomst_tech[Veld],A33,uitkomst_tech[Jaar],C33,uitkomst_tech[Uitgangssituatie/effect beleid],uitkomst_veld[[#This Row],[Uitgangssituatie/effect beleid]])</f>
        <v>472220.32103193668</v>
      </c>
    </row>
    <row r="34" spans="1:9" x14ac:dyDescent="0.5">
      <c r="A34" s="42" t="s">
        <v>9</v>
      </c>
      <c r="B34" s="120" t="s">
        <v>812</v>
      </c>
      <c r="C34" s="33">
        <v>2030</v>
      </c>
      <c r="D34" s="398">
        <f>SUMIFS(uitkomst_tech[Arbeidsbesparing (€)],uitkomst_tech[Veld],A34,uitkomst_tech[Jaar],C34,uitkomst_tech[Uitgangssituatie/effect beleid],uitkomst_veld[[#This Row],[Uitgangssituatie/effect beleid]])</f>
        <v>59320157.425788954</v>
      </c>
      <c r="E34" s="407">
        <f>SUMIFS(uitkomst_tech[Arbeidsbesparing (FTE)],uitkomst_tech[Veld],A34,uitkomst_tech[Jaar],C34,uitkomst_tech[Uitgangssituatie/effect beleid],uitkomst_veld[[#This Row],[Uitgangssituatie/effect beleid]])</f>
        <v>1076.5779279070159</v>
      </c>
      <c r="F34" s="398">
        <f>SUMIFS(uitkomst_tech[Overige besparingen (€)],uitkomst_tech[Veld],A34,uitkomst_tech[Jaar],C34,uitkomst_tech[Uitgangssituatie/effect beleid],uitkomst_veld[[#This Row],[Uitgangssituatie/effect beleid]])</f>
        <v>34352819.480728306</v>
      </c>
      <c r="G34" s="398">
        <f>SUMIFS(uitkomst_tech[QALY (€)],uitkomst_tech[Veld],A34,uitkomst_tech[Jaar],C34,uitkomst_tech[Uitgangssituatie/effect beleid],uitkomst_veld[[#This Row],[Uitgangssituatie/effect beleid]])</f>
        <v>394073634.44270766</v>
      </c>
      <c r="H34" s="398">
        <f>SUMIFS(uitkomst_tech[Kosten (€)],uitkomst_tech[Veld],A34,uitkomst_tech[Jaar],C34,uitkomst_tech[Uitgangssituatie/effect beleid],uitkomst_veld[[#This Row],[Uitgangssituatie/effect beleid]])</f>
        <v>65377912.638981536</v>
      </c>
      <c r="I34" s="398">
        <f>SUMIFS(uitkomst_tech[Investering (cash flow) (€)],uitkomst_tech[Veld],A34,uitkomst_tech[Jaar],C34,uitkomst_tech[Uitgangssituatie/effect beleid],uitkomst_veld[[#This Row],[Uitgangssituatie/effect beleid]])</f>
        <v>266961.36626264674</v>
      </c>
    </row>
    <row r="35" spans="1:9" x14ac:dyDescent="0.5">
      <c r="A35" s="42" t="s">
        <v>9</v>
      </c>
      <c r="B35" s="120" t="s">
        <v>812</v>
      </c>
      <c r="C35" s="33">
        <v>2031</v>
      </c>
      <c r="D35" s="398">
        <f>SUMIFS(uitkomst_tech[Arbeidsbesparing (€)],uitkomst_tech[Veld],A35,uitkomst_tech[Jaar],C35,uitkomst_tech[Uitgangssituatie/effect beleid],uitkomst_veld[[#This Row],[Uitgangssituatie/effect beleid]])</f>
        <v>66409992.2633885</v>
      </c>
      <c r="E35" s="407">
        <f>SUMIFS(uitkomst_tech[Arbeidsbesparing (FTE)],uitkomst_tech[Veld],A35,uitkomst_tech[Jaar],C35,uitkomst_tech[Uitgangssituatie/effect beleid],uitkomst_veld[[#This Row],[Uitgangssituatie/effect beleid]])</f>
        <v>1199.6902071545883</v>
      </c>
      <c r="F35" s="398">
        <f>SUMIFS(uitkomst_tech[Overige besparingen (€)],uitkomst_tech[Veld],A35,uitkomst_tech[Jaar],C35,uitkomst_tech[Uitgangssituatie/effect beleid],uitkomst_veld[[#This Row],[Uitgangssituatie/effect beleid]])</f>
        <v>39054002.850758329</v>
      </c>
      <c r="G35" s="398">
        <f>SUMIFS(uitkomst_tech[QALY (€)],uitkomst_tech[Veld],A35,uitkomst_tech[Jaar],C35,uitkomst_tech[Uitgangssituatie/effect beleid],uitkomst_veld[[#This Row],[Uitgangssituatie/effect beleid]])</f>
        <v>452567271.0803175</v>
      </c>
      <c r="H35" s="398">
        <f>SUMIFS(uitkomst_tech[Kosten (€)],uitkomst_tech[Veld],A35,uitkomst_tech[Jaar],C35,uitkomst_tech[Uitgangssituatie/effect beleid],uitkomst_veld[[#This Row],[Uitgangssituatie/effect beleid]])</f>
        <v>68428179.936570525</v>
      </c>
      <c r="I35" s="398">
        <f>SUMIFS(uitkomst_tech[Investering (cash flow) (€)],uitkomst_tech[Veld],A35,uitkomst_tech[Jaar],C35,uitkomst_tech[Uitgangssituatie/effect beleid],uitkomst_veld[[#This Row],[Uitgangssituatie/effect beleid]])</f>
        <v>149596.87370608651</v>
      </c>
    </row>
    <row r="36" spans="1:9" x14ac:dyDescent="0.5">
      <c r="A36" s="42" t="s">
        <v>9</v>
      </c>
      <c r="B36" s="120" t="s">
        <v>812</v>
      </c>
      <c r="C36" s="33">
        <v>2032</v>
      </c>
      <c r="D36" s="398">
        <f>SUMIFS(uitkomst_tech[Arbeidsbesparing (€)],uitkomst_tech[Veld],A36,uitkomst_tech[Jaar],C36,uitkomst_tech[Uitgangssituatie/effect beleid],uitkomst_veld[[#This Row],[Uitgangssituatie/effect beleid]])</f>
        <v>74444482.747513771</v>
      </c>
      <c r="E36" s="407">
        <f>SUMIFS(uitkomst_tech[Arbeidsbesparing (FTE)],uitkomst_tech[Veld],A36,uitkomst_tech[Jaar],C36,uitkomst_tech[Uitgangssituatie/effect beleid],uitkomst_veld[[#This Row],[Uitgangssituatie/effect beleid]])</f>
        <v>1339.0636734157674</v>
      </c>
      <c r="F36" s="398">
        <f>SUMIFS(uitkomst_tech[Overige besparingen (€)],uitkomst_tech[Veld],A36,uitkomst_tech[Jaar],C36,uitkomst_tech[Uitgangssituatie/effect beleid],uitkomst_veld[[#This Row],[Uitgangssituatie/effect beleid]])</f>
        <v>44396829.393801883</v>
      </c>
      <c r="G36" s="398">
        <f>SUMIFS(uitkomst_tech[QALY (€)],uitkomst_tech[Veld],A36,uitkomst_tech[Jaar],C36,uitkomst_tech[Uitgangssituatie/effect beleid],uitkomst_veld[[#This Row],[Uitgangssituatie/effect beleid]])</f>
        <v>520945810.07088661</v>
      </c>
      <c r="H36" s="398">
        <f>SUMIFS(uitkomst_tech[Kosten (€)],uitkomst_tech[Veld],A36,uitkomst_tech[Jaar],C36,uitkomst_tech[Uitgangssituatie/effect beleid],uitkomst_veld[[#This Row],[Uitgangssituatie/effect beleid]])</f>
        <v>71900179.736145586</v>
      </c>
      <c r="I36" s="398">
        <f>SUMIFS(uitkomst_tech[Investering (cash flow) (€)],uitkomst_tech[Veld],A36,uitkomst_tech[Jaar],C36,uitkomst_tech[Uitgangssituatie/effect beleid],uitkomst_veld[[#This Row],[Uitgangssituatie/effect beleid]])</f>
        <v>83376.524570762092</v>
      </c>
    </row>
    <row r="37" spans="1:9" x14ac:dyDescent="0.5">
      <c r="A37" s="42" t="s">
        <v>9</v>
      </c>
      <c r="B37" s="120" t="s">
        <v>812</v>
      </c>
      <c r="C37" s="33">
        <v>2033</v>
      </c>
      <c r="D37" s="398">
        <f>SUMIFS(uitkomst_tech[Arbeidsbesparing (€)],uitkomst_tech[Veld],A37,uitkomst_tech[Jaar],C37,uitkomst_tech[Uitgangssituatie/effect beleid],uitkomst_veld[[#This Row],[Uitgangssituatie/effect beleid]])</f>
        <v>83210283.629476875</v>
      </c>
      <c r="E37" s="407">
        <f>SUMIFS(uitkomst_tech[Arbeidsbesparing (FTE)],uitkomst_tech[Veld],A37,uitkomst_tech[Jaar],C37,uitkomst_tech[Uitgangssituatie/effect beleid],uitkomst_veld[[#This Row],[Uitgangssituatie/effect beleid]])</f>
        <v>1491.0522390484209</v>
      </c>
      <c r="F37" s="398">
        <f>SUMIFS(uitkomst_tech[Overige besparingen (€)],uitkomst_tech[Veld],A37,uitkomst_tech[Jaar],C37,uitkomst_tech[Uitgangssituatie/effect beleid],uitkomst_veld[[#This Row],[Uitgangssituatie/effect beleid]])</f>
        <v>50233558.396506704</v>
      </c>
      <c r="G37" s="398">
        <f>SUMIFS(uitkomst_tech[QALY (€)],uitkomst_tech[Veld],A37,uitkomst_tech[Jaar],C37,uitkomst_tech[Uitgangssituatie/effect beleid],uitkomst_veld[[#This Row],[Uitgangssituatie/effect beleid]])</f>
        <v>596898919.37065423</v>
      </c>
      <c r="H37" s="398">
        <f>SUMIFS(uitkomst_tech[Kosten (€)],uitkomst_tech[Veld],A37,uitkomst_tech[Jaar],C37,uitkomst_tech[Uitgangssituatie/effect beleid],uitkomst_veld[[#This Row],[Uitgangssituatie/effect beleid]])</f>
        <v>75705294.400380611</v>
      </c>
      <c r="I37" s="398">
        <f>SUMIFS(uitkomst_tech[Investering (cash flow) (€)],uitkomst_tech[Veld],A37,uitkomst_tech[Jaar],C37,uitkomst_tech[Uitgangssituatie/effect beleid],uitkomst_veld[[#This Row],[Uitgangssituatie/effect beleid]])</f>
        <v>46341.317334285544</v>
      </c>
    </row>
    <row r="38" spans="1:9" x14ac:dyDescent="0.5">
      <c r="A38" s="120" t="s">
        <v>10</v>
      </c>
      <c r="B38" s="120" t="s">
        <v>812</v>
      </c>
      <c r="C38" s="33">
        <v>2023</v>
      </c>
      <c r="D38" s="398">
        <f>SUMIFS(uitkomst_tech[Arbeidsbesparing (€)],uitkomst_tech[Veld],A38,uitkomst_tech[Jaar],C38,uitkomst_tech[Uitgangssituatie/effect beleid],uitkomst_veld[[#This Row],[Uitgangssituatie/effect beleid]])</f>
        <v>81267717.281126022</v>
      </c>
      <c r="E38" s="407">
        <f>SUMIFS(uitkomst_tech[Arbeidsbesparing (FTE)],uitkomst_tech[Veld],A38,uitkomst_tech[Jaar],C38,uitkomst_tech[Uitgangssituatie/effect beleid],uitkomst_veld[[#This Row],[Uitgangssituatie/effect beleid]])</f>
        <v>1914.248298218919</v>
      </c>
      <c r="F38" s="398">
        <f>SUMIFS(uitkomst_tech[Overige besparingen (€)],uitkomst_tech[Veld],A38,uitkomst_tech[Jaar],C38,uitkomst_tech[Uitgangssituatie/effect beleid],uitkomst_veld[[#This Row],[Uitgangssituatie/effect beleid]])</f>
        <v>31745158.914220948</v>
      </c>
      <c r="G38" s="398">
        <f>SUMIFS(uitkomst_tech[QALY (€)],uitkomst_tech[Veld],A38,uitkomst_tech[Jaar],C38,uitkomst_tech[Uitgangssituatie/effect beleid],uitkomst_veld[[#This Row],[Uitgangssituatie/effect beleid]])</f>
        <v>0</v>
      </c>
      <c r="H38" s="398">
        <f>SUMIFS(uitkomst_tech[Kosten (€)],uitkomst_tech[Veld],A38,uitkomst_tech[Jaar],C38,uitkomst_tech[Uitgangssituatie/effect beleid],uitkomst_veld[[#This Row],[Uitgangssituatie/effect beleid]])</f>
        <v>69998895.000662655</v>
      </c>
      <c r="I38" s="398">
        <f>SUMIFS(uitkomst_tech[Investering (cash flow) (€)],uitkomst_tech[Veld],A38,uitkomst_tech[Jaar],C38,uitkomst_tech[Uitgangssituatie/effect beleid],uitkomst_veld[[#This Row],[Uitgangssituatie/effect beleid]])</f>
        <v>2764845.3590000002</v>
      </c>
    </row>
    <row r="39" spans="1:9" x14ac:dyDescent="0.5">
      <c r="A39" s="120" t="s">
        <v>10</v>
      </c>
      <c r="B39" s="120" t="s">
        <v>812</v>
      </c>
      <c r="C39" s="33">
        <v>2024</v>
      </c>
      <c r="D39" s="398">
        <f>SUMIFS(uitkomst_tech[Arbeidsbesparing (€)],uitkomst_tech[Veld],A39,uitkomst_tech[Jaar],C39,uitkomst_tech[Uitgangssituatie/effect beleid],uitkomst_veld[[#This Row],[Uitgangssituatie/effect beleid]])</f>
        <v>107886494.06802726</v>
      </c>
      <c r="E39" s="407">
        <f>SUMIFS(uitkomst_tech[Arbeidsbesparing (FTE)],uitkomst_tech[Veld],A39,uitkomst_tech[Jaar],C39,uitkomst_tech[Uitgangssituatie/effect beleid],uitkomst_veld[[#This Row],[Uitgangssituatie/effect beleid]])</f>
        <v>2541.2493986525465</v>
      </c>
      <c r="F39" s="398">
        <f>SUMIFS(uitkomst_tech[Overige besparingen (€)],uitkomst_tech[Veld],A39,uitkomst_tech[Jaar],C39,uitkomst_tech[Uitgangssituatie/effect beleid],uitkomst_veld[[#This Row],[Uitgangssituatie/effect beleid]])</f>
        <v>41162764.314739533</v>
      </c>
      <c r="G39" s="398">
        <f>SUMIFS(uitkomst_tech[QALY (€)],uitkomst_tech[Veld],A39,uitkomst_tech[Jaar],C39,uitkomst_tech[Uitgangssituatie/effect beleid],uitkomst_veld[[#This Row],[Uitgangssituatie/effect beleid]])</f>
        <v>0</v>
      </c>
      <c r="H39" s="398">
        <f>SUMIFS(uitkomst_tech[Kosten (€)],uitkomst_tech[Veld],A39,uitkomst_tech[Jaar],C39,uitkomst_tech[Uitgangssituatie/effect beleid],uitkomst_veld[[#This Row],[Uitgangssituatie/effect beleid]])</f>
        <v>92077157.216079056</v>
      </c>
      <c r="I39" s="398">
        <f>SUMIFS(uitkomst_tech[Investering (cash flow) (€)],uitkomst_tech[Veld],A39,uitkomst_tech[Jaar],C39,uitkomst_tech[Uitgangssituatie/effect beleid],uitkomst_veld[[#This Row],[Uitgangssituatie/effect beleid]])</f>
        <v>3184579.4515007995</v>
      </c>
    </row>
    <row r="40" spans="1:9" x14ac:dyDescent="0.5">
      <c r="A40" s="120" t="s">
        <v>10</v>
      </c>
      <c r="B40" s="120" t="s">
        <v>812</v>
      </c>
      <c r="C40" s="33">
        <v>2025</v>
      </c>
      <c r="D40" s="398">
        <f>SUMIFS(uitkomst_tech[Arbeidsbesparing (€)],uitkomst_tech[Veld],A40,uitkomst_tech[Jaar],C40,uitkomst_tech[Uitgangssituatie/effect beleid],uitkomst_veld[[#This Row],[Uitgangssituatie/effect beleid]])</f>
        <v>137185149.52850083</v>
      </c>
      <c r="E40" s="407">
        <f>SUMIFS(uitkomst_tech[Arbeidsbesparing (FTE)],uitkomst_tech[Veld],A40,uitkomst_tech[Jaar],C40,uitkomst_tech[Uitgangssituatie/effect beleid],uitkomst_veld[[#This Row],[Uitgangssituatie/effect beleid]])</f>
        <v>3231.3746197326695</v>
      </c>
      <c r="F40" s="398">
        <f>SUMIFS(uitkomst_tech[Overige besparingen (€)],uitkomst_tech[Veld],A40,uitkomst_tech[Jaar],C40,uitkomst_tech[Uitgangssituatie/effect beleid],uitkomst_veld[[#This Row],[Uitgangssituatie/effect beleid]])</f>
        <v>51166042.554292142</v>
      </c>
      <c r="G40" s="398">
        <f>SUMIFS(uitkomst_tech[QALY (€)],uitkomst_tech[Veld],A40,uitkomst_tech[Jaar],C40,uitkomst_tech[Uitgangssituatie/effect beleid],uitkomst_veld[[#This Row],[Uitgangssituatie/effect beleid]])</f>
        <v>0</v>
      </c>
      <c r="H40" s="398">
        <f>SUMIFS(uitkomst_tech[Kosten (€)],uitkomst_tech[Veld],A40,uitkomst_tech[Jaar],C40,uitkomst_tech[Uitgangssituatie/effect beleid],uitkomst_veld[[#This Row],[Uitgangssituatie/effect beleid]])</f>
        <v>115724823.58023463</v>
      </c>
      <c r="I40" s="398">
        <f>SUMIFS(uitkomst_tech[Investering (cash flow) (€)],uitkomst_tech[Veld],A40,uitkomst_tech[Jaar],C40,uitkomst_tech[Uitgangssituatie/effect beleid],uitkomst_veld[[#This Row],[Uitgangssituatie/effect beleid]])</f>
        <v>3498194.2894259593</v>
      </c>
    </row>
    <row r="41" spans="1:9" x14ac:dyDescent="0.5">
      <c r="A41" s="120" t="s">
        <v>10</v>
      </c>
      <c r="B41" s="120" t="s">
        <v>812</v>
      </c>
      <c r="C41" s="33">
        <v>2026</v>
      </c>
      <c r="D41" s="398">
        <f>SUMIFS(uitkomst_tech[Arbeidsbesparing (€)],uitkomst_tech[Veld],A41,uitkomst_tech[Jaar],C41,uitkomst_tech[Uitgangssituatie/effect beleid],uitkomst_veld[[#This Row],[Uitgangssituatie/effect beleid]])</f>
        <v>169233756.28417629</v>
      </c>
      <c r="E41" s="407">
        <f>SUMIFS(uitkomst_tech[Arbeidsbesparing (FTE)],uitkomst_tech[Veld],A41,uitkomst_tech[Jaar],C41,uitkomst_tech[Uitgangssituatie/effect beleid],uitkomst_veld[[#This Row],[Uitgangssituatie/effect beleid]])</f>
        <v>3986.2745110402725</v>
      </c>
      <c r="F41" s="398">
        <f>SUMIFS(uitkomst_tech[Overige besparingen (€)],uitkomst_tech[Veld],A41,uitkomst_tech[Jaar],C41,uitkomst_tech[Uitgangssituatie/effect beleid],uitkomst_veld[[#This Row],[Uitgangssituatie/effect beleid]])</f>
        <v>61110343.667630062</v>
      </c>
      <c r="G41" s="398">
        <f>SUMIFS(uitkomst_tech[QALY (€)],uitkomst_tech[Veld],A41,uitkomst_tech[Jaar],C41,uitkomst_tech[Uitgangssituatie/effect beleid],uitkomst_veld[[#This Row],[Uitgangssituatie/effect beleid]])</f>
        <v>0</v>
      </c>
      <c r="H41" s="398">
        <f>SUMIFS(uitkomst_tech[Kosten (€)],uitkomst_tech[Veld],A41,uitkomst_tech[Jaar],C41,uitkomst_tech[Uitgangssituatie/effect beleid],uitkomst_veld[[#This Row],[Uitgangssituatie/effect beleid]])</f>
        <v>140019674.6088095</v>
      </c>
      <c r="I41" s="398">
        <f>SUMIFS(uitkomst_tech[Investering (cash flow) (€)],uitkomst_tech[Veld],A41,uitkomst_tech[Jaar],C41,uitkomst_tech[Uitgangssituatie/effect beleid],uitkomst_veld[[#This Row],[Uitgangssituatie/effect beleid]])</f>
        <v>3638902.5011684732</v>
      </c>
    </row>
    <row r="42" spans="1:9" x14ac:dyDescent="0.5">
      <c r="A42" s="120" t="s">
        <v>10</v>
      </c>
      <c r="B42" s="120" t="s">
        <v>812</v>
      </c>
      <c r="C42" s="33">
        <v>2027</v>
      </c>
      <c r="D42" s="398">
        <f>SUMIFS(uitkomst_tech[Arbeidsbesparing (€)],uitkomst_tech[Veld],A42,uitkomst_tech[Jaar],C42,uitkomst_tech[Uitgangssituatie/effect beleid],uitkomst_veld[[#This Row],[Uitgangssituatie/effect beleid]])</f>
        <v>200430602.14627478</v>
      </c>
      <c r="E42" s="407">
        <f>SUMIFS(uitkomst_tech[Arbeidsbesparing (FTE)],uitkomst_tech[Veld],A42,uitkomst_tech[Jaar],C42,uitkomst_tech[Uitgangssituatie/effect beleid],uitkomst_veld[[#This Row],[Uitgangssituatie/effect beleid]])</f>
        <v>4721.1113084704039</v>
      </c>
      <c r="F42" s="398">
        <f>SUMIFS(uitkomst_tech[Overige besparingen (€)],uitkomst_tech[Veld],A42,uitkomst_tech[Jaar],C42,uitkomst_tech[Uitgangssituatie/effect beleid],uitkomst_veld[[#This Row],[Uitgangssituatie/effect beleid]])</f>
        <v>70063862.189507216</v>
      </c>
      <c r="G42" s="398">
        <f>SUMIFS(uitkomst_tech[QALY (€)],uitkomst_tech[Veld],A42,uitkomst_tech[Jaar],C42,uitkomst_tech[Uitgangssituatie/effect beleid],uitkomst_veld[[#This Row],[Uitgangssituatie/effect beleid]])</f>
        <v>0</v>
      </c>
      <c r="H42" s="398">
        <f>SUMIFS(uitkomst_tech[Kosten (€)],uitkomst_tech[Veld],A42,uitkomst_tech[Jaar],C42,uitkomst_tech[Uitgangssituatie/effect beleid],uitkomst_veld[[#This Row],[Uitgangssituatie/effect beleid]])</f>
        <v>162368904.93560249</v>
      </c>
      <c r="I42" s="398">
        <f>SUMIFS(uitkomst_tech[Investering (cash flow) (€)],uitkomst_tech[Veld],A42,uitkomst_tech[Jaar],C42,uitkomst_tech[Uitgangssituatie/effect beleid],uitkomst_veld[[#This Row],[Uitgangssituatie/effect beleid]])</f>
        <v>3562047.6441248618</v>
      </c>
    </row>
    <row r="43" spans="1:9" x14ac:dyDescent="0.5">
      <c r="A43" s="120" t="s">
        <v>10</v>
      </c>
      <c r="B43" s="120" t="s">
        <v>812</v>
      </c>
      <c r="C43" s="33">
        <v>2028</v>
      </c>
      <c r="D43" s="398">
        <f>SUMIFS(uitkomst_tech[Arbeidsbesparing (€)],uitkomst_tech[Veld],A43,uitkomst_tech[Jaar],C43,uitkomst_tech[Uitgangssituatie/effect beleid],uitkomst_veld[[#This Row],[Uitgangssituatie/effect beleid]])</f>
        <v>229322151.6217182</v>
      </c>
      <c r="E43" s="407">
        <f>SUMIFS(uitkomst_tech[Arbeidsbesparing (FTE)],uitkomst_tech[Veld],A43,uitkomst_tech[Jaar],C43,uitkomst_tech[Uitgangssituatie/effect beleid],uitkomst_veld[[#This Row],[Uitgangssituatie/effect beleid]])</f>
        <v>5401.6472121055331</v>
      </c>
      <c r="F43" s="398">
        <f>SUMIFS(uitkomst_tech[Overige besparingen (€)],uitkomst_tech[Veld],A43,uitkomst_tech[Jaar],C43,uitkomst_tech[Uitgangssituatie/effect beleid],uitkomst_veld[[#This Row],[Uitgangssituatie/effect beleid]])</f>
        <v>77658115.854452476</v>
      </c>
      <c r="G43" s="398">
        <f>SUMIFS(uitkomst_tech[QALY (€)],uitkomst_tech[Veld],A43,uitkomst_tech[Jaar],C43,uitkomst_tech[Uitgangssituatie/effect beleid],uitkomst_veld[[#This Row],[Uitgangssituatie/effect beleid]])</f>
        <v>0</v>
      </c>
      <c r="H43" s="398">
        <f>SUMIFS(uitkomst_tech[Kosten (€)],uitkomst_tech[Veld],A43,uitkomst_tech[Jaar],C43,uitkomst_tech[Uitgangssituatie/effect beleid],uitkomst_veld[[#This Row],[Uitgangssituatie/effect beleid]])</f>
        <v>181831022.82949528</v>
      </c>
      <c r="I43" s="398">
        <f>SUMIFS(uitkomst_tech[Investering (cash flow) (€)],uitkomst_tech[Veld],A43,uitkomst_tech[Jaar],C43,uitkomst_tech[Uitgangssituatie/effect beleid],uitkomst_veld[[#This Row],[Uitgangssituatie/effect beleid]])</f>
        <v>3265734.0450306931</v>
      </c>
    </row>
    <row r="44" spans="1:9" x14ac:dyDescent="0.5">
      <c r="A44" s="120" t="s">
        <v>10</v>
      </c>
      <c r="B44" s="120" t="s">
        <v>812</v>
      </c>
      <c r="C44" s="33">
        <v>2029</v>
      </c>
      <c r="D44" s="398">
        <f>SUMIFS(uitkomst_tech[Arbeidsbesparing (€)],uitkomst_tech[Veld],A44,uitkomst_tech[Jaar],C44,uitkomst_tech[Uitgangssituatie/effect beleid],uitkomst_veld[[#This Row],[Uitgangssituatie/effect beleid]])</f>
        <v>255265963.09824106</v>
      </c>
      <c r="E44" s="407">
        <f>SUMIFS(uitkomst_tech[Arbeidsbesparing (FTE)],uitkomst_tech[Veld],A44,uitkomst_tech[Jaar],C44,uitkomst_tech[Uitgangssituatie/effect beleid],uitkomst_veld[[#This Row],[Uitgangssituatie/effect beleid]])</f>
        <v>6012.7496108163214</v>
      </c>
      <c r="F44" s="398">
        <f>SUMIFS(uitkomst_tech[Overige besparingen (€)],uitkomst_tech[Veld],A44,uitkomst_tech[Jaar],C44,uitkomst_tech[Uitgangssituatie/effect beleid],uitkomst_veld[[#This Row],[Uitgangssituatie/effect beleid]])</f>
        <v>83907326.987444043</v>
      </c>
      <c r="G44" s="398">
        <f>SUMIFS(uitkomst_tech[QALY (€)],uitkomst_tech[Veld],A44,uitkomst_tech[Jaar],C44,uitkomst_tech[Uitgangssituatie/effect beleid],uitkomst_veld[[#This Row],[Uitgangssituatie/effect beleid]])</f>
        <v>0</v>
      </c>
      <c r="H44" s="398">
        <f>SUMIFS(uitkomst_tech[Kosten (€)],uitkomst_tech[Veld],A44,uitkomst_tech[Jaar],C44,uitkomst_tech[Uitgangssituatie/effect beleid],uitkomst_veld[[#This Row],[Uitgangssituatie/effect beleid]])</f>
        <v>198344559.81511396</v>
      </c>
      <c r="I44" s="398">
        <f>SUMIFS(uitkomst_tech[Investering (cash flow) (€)],uitkomst_tech[Veld],A44,uitkomst_tech[Jaar],C44,uitkomst_tech[Uitgangssituatie/effect beleid],uitkomst_veld[[#This Row],[Uitgangssituatie/effect beleid]])</f>
        <v>2798896.4259212613</v>
      </c>
    </row>
    <row r="45" spans="1:9" x14ac:dyDescent="0.5">
      <c r="A45" s="120" t="s">
        <v>10</v>
      </c>
      <c r="B45" s="120" t="s">
        <v>812</v>
      </c>
      <c r="C45" s="33">
        <v>2030</v>
      </c>
      <c r="D45" s="398">
        <f>SUMIFS(uitkomst_tech[Arbeidsbesparing (€)],uitkomst_tech[Veld],A45,uitkomst_tech[Jaar],C45,uitkomst_tech[Uitgangssituatie/effect beleid],uitkomst_veld[[#This Row],[Uitgangssituatie/effect beleid]])</f>
        <v>278395232.0807851</v>
      </c>
      <c r="E45" s="407">
        <f>SUMIFS(uitkomst_tech[Arbeidsbesparing (FTE)],uitkomst_tech[Veld],A45,uitkomst_tech[Jaar],C45,uitkomst_tech[Uitgangssituatie/effect beleid],uitkomst_veld[[#This Row],[Uitgangssituatie/effect beleid]])</f>
        <v>6557.5559037717803</v>
      </c>
      <c r="F45" s="398">
        <f>SUMIFS(uitkomst_tech[Overige besparingen (€)],uitkomst_tech[Veld],A45,uitkomst_tech[Jaar],C45,uitkomst_tech[Uitgangssituatie/effect beleid],uitkomst_veld[[#This Row],[Uitgangssituatie/effect beleid]])</f>
        <v>89075925.324743137</v>
      </c>
      <c r="G45" s="398">
        <f>SUMIFS(uitkomst_tech[QALY (€)],uitkomst_tech[Veld],A45,uitkomst_tech[Jaar],C45,uitkomst_tech[Uitgangssituatie/effect beleid],uitkomst_veld[[#This Row],[Uitgangssituatie/effect beleid]])</f>
        <v>0</v>
      </c>
      <c r="H45" s="398">
        <f>SUMIFS(uitkomst_tech[Kosten (€)],uitkomst_tech[Veld],A45,uitkomst_tech[Jaar],C45,uitkomst_tech[Uitgangssituatie/effect beleid],uitkomst_veld[[#This Row],[Uitgangssituatie/effect beleid]])</f>
        <v>212448203.00124162</v>
      </c>
      <c r="I45" s="398">
        <f>SUMIFS(uitkomst_tech[Investering (cash flow) (€)],uitkomst_tech[Veld],A45,uitkomst_tech[Jaar],C45,uitkomst_tech[Uitgangssituatie/effect beleid],uitkomst_veld[[#This Row],[Uitgangssituatie/effect beleid]])</f>
        <v>2247184.0290158563</v>
      </c>
    </row>
    <row r="46" spans="1:9" x14ac:dyDescent="0.5">
      <c r="A46" s="120" t="s">
        <v>10</v>
      </c>
      <c r="B46" s="120" t="s">
        <v>812</v>
      </c>
      <c r="C46" s="33">
        <v>2031</v>
      </c>
      <c r="D46" s="398">
        <f>SUMIFS(uitkomst_tech[Arbeidsbesparing (€)],uitkomst_tech[Veld],A46,uitkomst_tech[Jaar],C46,uitkomst_tech[Uitgangssituatie/effect beleid],uitkomst_veld[[#This Row],[Uitgangssituatie/effect beleid]])</f>
        <v>299332735.90047663</v>
      </c>
      <c r="E46" s="407">
        <f>SUMIFS(uitkomst_tech[Arbeidsbesparing (FTE)],uitkomst_tech[Veld],A46,uitkomst_tech[Jaar],C46,uitkomst_tech[Uitgangssituatie/effect beleid],uitkomst_veld[[#This Row],[Uitgangssituatie/effect beleid]])</f>
        <v>7050.7355130519463</v>
      </c>
      <c r="F46" s="398">
        <f>SUMIFS(uitkomst_tech[Overige besparingen (€)],uitkomst_tech[Veld],A46,uitkomst_tech[Jaar],C46,uitkomst_tech[Uitgangssituatie/effect beleid],uitkomst_veld[[#This Row],[Uitgangssituatie/effect beleid]])</f>
        <v>93498594.562714338</v>
      </c>
      <c r="G46" s="398">
        <f>SUMIFS(uitkomst_tech[QALY (€)],uitkomst_tech[Veld],A46,uitkomst_tech[Jaar],C46,uitkomst_tech[Uitgangssituatie/effect beleid],uitkomst_veld[[#This Row],[Uitgangssituatie/effect beleid]])</f>
        <v>0</v>
      </c>
      <c r="H46" s="398">
        <f>SUMIFS(uitkomst_tech[Kosten (€)],uitkomst_tech[Veld],A46,uitkomst_tech[Jaar],C46,uitkomst_tech[Uitgangssituatie/effect beleid],uitkomst_veld[[#This Row],[Uitgangssituatie/effect beleid]])</f>
        <v>224887001.92038044</v>
      </c>
      <c r="I46" s="398">
        <f>SUMIFS(uitkomst_tech[Investering (cash flow) (€)],uitkomst_tech[Veld],A46,uitkomst_tech[Jaar],C46,uitkomst_tech[Uitgangssituatie/effect beleid],uitkomst_veld[[#This Row],[Uitgangssituatie/effect beleid]])</f>
        <v>1701011.6692003221</v>
      </c>
    </row>
    <row r="47" spans="1:9" x14ac:dyDescent="0.5">
      <c r="A47" s="120" t="s">
        <v>10</v>
      </c>
      <c r="B47" s="120" t="s">
        <v>812</v>
      </c>
      <c r="C47" s="33">
        <v>2032</v>
      </c>
      <c r="D47" s="398">
        <f>SUMIFS(uitkomst_tech[Arbeidsbesparing (€)],uitkomst_tech[Veld],A47,uitkomst_tech[Jaar],C47,uitkomst_tech[Uitgangssituatie/effect beleid],uitkomst_veld[[#This Row],[Uitgangssituatie/effect beleid]])</f>
        <v>318765420.20864332</v>
      </c>
      <c r="E47" s="407">
        <f>SUMIFS(uitkomst_tech[Arbeidsbesparing (FTE)],uitkomst_tech[Veld],A47,uitkomst_tech[Jaar],C47,uitkomst_tech[Uitgangssituatie/effect beleid],uitkomst_veld[[#This Row],[Uitgangssituatie/effect beleid]])</f>
        <v>7508.4693354263654</v>
      </c>
      <c r="F47" s="398">
        <f>SUMIFS(uitkomst_tech[Overige besparingen (€)],uitkomst_tech[Veld],A47,uitkomst_tech[Jaar],C47,uitkomst_tech[Uitgangssituatie/effect beleid],uitkomst_veld[[#This Row],[Uitgangssituatie/effect beleid]])</f>
        <v>97442968.672378421</v>
      </c>
      <c r="G47" s="398">
        <f>SUMIFS(uitkomst_tech[QALY (€)],uitkomst_tech[Veld],A47,uitkomst_tech[Jaar],C47,uitkomst_tech[Uitgangssituatie/effect beleid],uitkomst_veld[[#This Row],[Uitgangssituatie/effect beleid]])</f>
        <v>0</v>
      </c>
      <c r="H47" s="398">
        <f>SUMIFS(uitkomst_tech[Kosten (€)],uitkomst_tech[Veld],A47,uitkomst_tech[Jaar],C47,uitkomst_tech[Uitgangssituatie/effect beleid],uitkomst_veld[[#This Row],[Uitgangssituatie/effect beleid]])</f>
        <v>236280916.75804701</v>
      </c>
      <c r="I47" s="398">
        <f>SUMIFS(uitkomst_tech[Investering (cash flow) (€)],uitkomst_tech[Veld],A47,uitkomst_tech[Jaar],C47,uitkomst_tech[Uitgangssituatie/effect beleid],uitkomst_veld[[#This Row],[Uitgangssituatie/effect beleid]])</f>
        <v>1225535.2222584405</v>
      </c>
    </row>
    <row r="48" spans="1:9" x14ac:dyDescent="0.5">
      <c r="A48" s="120" t="s">
        <v>10</v>
      </c>
      <c r="B48" s="120" t="s">
        <v>812</v>
      </c>
      <c r="C48" s="33">
        <v>2033</v>
      </c>
      <c r="D48" s="398">
        <f>SUMIFS(uitkomst_tech[Arbeidsbesparing (€)],uitkomst_tech[Veld],A48,uitkomst_tech[Jaar],C48,uitkomst_tech[Uitgangssituatie/effect beleid],uitkomst_veld[[#This Row],[Uitgangssituatie/effect beleid]])</f>
        <v>337040727.19084781</v>
      </c>
      <c r="E48" s="407">
        <f>SUMIFS(uitkomst_tech[Arbeidsbesparing (FTE)],uitkomst_tech[Veld],A48,uitkomst_tech[Jaar],C48,uitkomst_tech[Uitgangssituatie/effect beleid],uitkomst_veld[[#This Row],[Uitgangssituatie/effect beleid]])</f>
        <v>7938.9413169279069</v>
      </c>
      <c r="F48" s="398">
        <f>SUMIFS(uitkomst_tech[Overige besparingen (€)],uitkomst_tech[Veld],A48,uitkomst_tech[Jaar],C48,uitkomst_tech[Uitgangssituatie/effect beleid],uitkomst_veld[[#This Row],[Uitgangssituatie/effect beleid]])</f>
        <v>101039322.53881951</v>
      </c>
      <c r="G48" s="398">
        <f>SUMIFS(uitkomst_tech[QALY (€)],uitkomst_tech[Veld],A48,uitkomst_tech[Jaar],C48,uitkomst_tech[Uitgangssituatie/effect beleid],uitkomst_veld[[#This Row],[Uitgangssituatie/effect beleid]])</f>
        <v>0</v>
      </c>
      <c r="H48" s="398">
        <f>SUMIFS(uitkomst_tech[Kosten (€)],uitkomst_tech[Veld],A48,uitkomst_tech[Jaar],C48,uitkomst_tech[Uitgangssituatie/effect beleid],uitkomst_veld[[#This Row],[Uitgangssituatie/effect beleid]])</f>
        <v>246916501.67484999</v>
      </c>
      <c r="I48" s="398">
        <f>SUMIFS(uitkomst_tech[Investering (cash flow) (€)],uitkomst_tech[Veld],A48,uitkomst_tech[Jaar],C48,uitkomst_tech[Uitgangssituatie/effect beleid],uitkomst_veld[[#This Row],[Uitgangssituatie/effect beleid]])</f>
        <v>849468.9348854844</v>
      </c>
    </row>
    <row r="49" spans="1:9" x14ac:dyDescent="0.5">
      <c r="A49" s="42" t="s">
        <v>12</v>
      </c>
      <c r="B49" s="120" t="s">
        <v>812</v>
      </c>
      <c r="C49" s="33">
        <v>2023</v>
      </c>
      <c r="D49" s="398">
        <f>SUMIFS(uitkomst_tech[Arbeidsbesparing (€)],uitkomst_tech[Veld],A49,uitkomst_tech[Jaar],C49,uitkomst_tech[Uitgangssituatie/effect beleid],uitkomst_veld[[#This Row],[Uitgangssituatie/effect beleid]])</f>
        <v>104992472.56218967</v>
      </c>
      <c r="E49" s="407">
        <f>SUMIFS(uitkomst_tech[Arbeidsbesparing (FTE)],uitkomst_tech[Veld],A49,uitkomst_tech[Jaar],C49,uitkomst_tech[Uitgangssituatie/effect beleid],uitkomst_veld[[#This Row],[Uitgangssituatie/effect beleid]])</f>
        <v>2005.2916682873401</v>
      </c>
      <c r="F49" s="398">
        <f>SUMIFS(uitkomst_tech[Overige besparingen (€)],uitkomst_tech[Veld],A49,uitkomst_tech[Jaar],C49,uitkomst_tech[Uitgangssituatie/effect beleid],uitkomst_veld[[#This Row],[Uitgangssituatie/effect beleid]])</f>
        <v>63306030.676105097</v>
      </c>
      <c r="G49" s="398">
        <f>SUMIFS(uitkomst_tech[QALY (€)],uitkomst_tech[Veld],A49,uitkomst_tech[Jaar],C49,uitkomst_tech[Uitgangssituatie/effect beleid],uitkomst_veld[[#This Row],[Uitgangssituatie/effect beleid]])</f>
        <v>59249793.103448272</v>
      </c>
      <c r="H49" s="398">
        <f>SUMIFS(uitkomst_tech[Kosten (€)],uitkomst_tech[Veld],A49,uitkomst_tech[Jaar],C49,uitkomst_tech[Uitgangssituatie/effect beleid],uitkomst_veld[[#This Row],[Uitgangssituatie/effect beleid]])</f>
        <v>32550693.455749568</v>
      </c>
      <c r="I49" s="398">
        <f>SUMIFS(uitkomst_tech[Investering (cash flow) (€)],uitkomst_tech[Veld],A49,uitkomst_tech[Jaar],C49,uitkomst_tech[Uitgangssituatie/effect beleid],uitkomst_veld[[#This Row],[Uitgangssituatie/effect beleid]])</f>
        <v>542119.20000000019</v>
      </c>
    </row>
    <row r="50" spans="1:9" x14ac:dyDescent="0.5">
      <c r="A50" s="42" t="s">
        <v>12</v>
      </c>
      <c r="B50" s="120" t="s">
        <v>812</v>
      </c>
      <c r="C50" s="33">
        <v>2024</v>
      </c>
      <c r="D50" s="398">
        <f>SUMIFS(uitkomst_tech[Arbeidsbesparing (€)],uitkomst_tech[Veld],A50,uitkomst_tech[Jaar],C50,uitkomst_tech[Uitgangssituatie/effect beleid],uitkomst_veld[[#This Row],[Uitgangssituatie/effect beleid]])</f>
        <v>132400120.19483563</v>
      </c>
      <c r="E50" s="407">
        <f>SUMIFS(uitkomst_tech[Arbeidsbesparing (FTE)],uitkomst_tech[Veld],A50,uitkomst_tech[Jaar],C50,uitkomst_tech[Uitgangssituatie/effect beleid],uitkomst_veld[[#This Row],[Uitgangssituatie/effect beleid]])</f>
        <v>2527.1284968049922</v>
      </c>
      <c r="F50" s="398">
        <f>SUMIFS(uitkomst_tech[Overige besparingen (€)],uitkomst_tech[Veld],A50,uitkomst_tech[Jaar],C50,uitkomst_tech[Uitgangssituatie/effect beleid],uitkomst_veld[[#This Row],[Uitgangssituatie/effect beleid]])</f>
        <v>76608345.800166532</v>
      </c>
      <c r="G50" s="398">
        <f>SUMIFS(uitkomst_tech[QALY (€)],uitkomst_tech[Veld],A50,uitkomst_tech[Jaar],C50,uitkomst_tech[Uitgangssituatie/effect beleid],uitkomst_veld[[#This Row],[Uitgangssituatie/effect beleid]])</f>
        <v>78159207.931034476</v>
      </c>
      <c r="H50" s="398">
        <f>SUMIFS(uitkomst_tech[Kosten (€)],uitkomst_tech[Veld],A50,uitkomst_tech[Jaar],C50,uitkomst_tech[Uitgangssituatie/effect beleid],uitkomst_veld[[#This Row],[Uitgangssituatie/effect beleid]])</f>
        <v>41622681.15510574</v>
      </c>
      <c r="I50" s="398">
        <f>SUMIFS(uitkomst_tech[Investering (cash flow) (€)],uitkomst_tech[Veld],A50,uitkomst_tech[Jaar],C50,uitkomst_tech[Uitgangssituatie/effect beleid],uitkomst_veld[[#This Row],[Uitgangssituatie/effect beleid]])</f>
        <v>652494.66912000021</v>
      </c>
    </row>
    <row r="51" spans="1:9" x14ac:dyDescent="0.5">
      <c r="A51" s="42" t="s">
        <v>12</v>
      </c>
      <c r="B51" s="120" t="s">
        <v>812</v>
      </c>
      <c r="C51" s="33">
        <v>2025</v>
      </c>
      <c r="D51" s="398">
        <f>SUMIFS(uitkomst_tech[Arbeidsbesparing (€)],uitkomst_tech[Veld],A51,uitkomst_tech[Jaar],C51,uitkomst_tech[Uitgangssituatie/effect beleid],uitkomst_veld[[#This Row],[Uitgangssituatie/effect beleid]])</f>
        <v>161524719.7001062</v>
      </c>
      <c r="E51" s="407">
        <f>SUMIFS(uitkomst_tech[Arbeidsbesparing (FTE)],uitkomst_tech[Veld],A51,uitkomst_tech[Jaar],C51,uitkomst_tech[Uitgangssituatie/effect beleid],uitkomst_veld[[#This Row],[Uitgangssituatie/effect beleid]])</f>
        <v>3091.7769754830106</v>
      </c>
      <c r="F51" s="398">
        <f>SUMIFS(uitkomst_tech[Overige besparingen (€)],uitkomst_tech[Veld],A51,uitkomst_tech[Jaar],C51,uitkomst_tech[Uitgangssituatie/effect beleid],uitkomst_veld[[#This Row],[Uitgangssituatie/effect beleid]])</f>
        <v>88129675.142873913</v>
      </c>
      <c r="G51" s="398">
        <f>SUMIFS(uitkomst_tech[QALY (€)],uitkomst_tech[Veld],A51,uitkomst_tech[Jaar],C51,uitkomst_tech[Uitgangssituatie/effect beleid],uitkomst_veld[[#This Row],[Uitgangssituatie/effect beleid]])</f>
        <v>97798269.19101724</v>
      </c>
      <c r="H51" s="398">
        <f>SUMIFS(uitkomst_tech[Kosten (€)],uitkomst_tech[Veld],A51,uitkomst_tech[Jaar],C51,uitkomst_tech[Uitgangssituatie/effect beleid],uitkomst_veld[[#This Row],[Uitgangssituatie/effect beleid]])</f>
        <v>50659322.664693542</v>
      </c>
      <c r="I51" s="398">
        <f>SUMIFS(uitkomst_tech[Investering (cash flow) (€)],uitkomst_tech[Veld],A51,uitkomst_tech[Jaar],C51,uitkomst_tech[Uitgangssituatie/effect beleid],uitkomst_veld[[#This Row],[Uitgangssituatie/effect beleid]])</f>
        <v>725816.12148389663</v>
      </c>
    </row>
    <row r="52" spans="1:9" x14ac:dyDescent="0.5">
      <c r="A52" s="42" t="s">
        <v>12</v>
      </c>
      <c r="B52" s="120" t="s">
        <v>812</v>
      </c>
      <c r="C52" s="33">
        <v>2026</v>
      </c>
      <c r="D52" s="398">
        <f>SUMIFS(uitkomst_tech[Arbeidsbesparing (€)],uitkomst_tech[Veld],A52,uitkomst_tech[Jaar],C52,uitkomst_tech[Uitgangssituatie/effect beleid],uitkomst_veld[[#This Row],[Uitgangssituatie/effect beleid]])</f>
        <v>191475013.15116698</v>
      </c>
      <c r="E52" s="407">
        <f>SUMIFS(uitkomst_tech[Arbeidsbesparing (FTE)],uitkomst_tech[Veld],A52,uitkomst_tech[Jaar],C52,uitkomst_tech[Uitgangssituatie/effect beleid],uitkomst_veld[[#This Row],[Uitgangssituatie/effect beleid]])</f>
        <v>3685.0628874756103</v>
      </c>
      <c r="F52" s="398">
        <f>SUMIFS(uitkomst_tech[Overige besparingen (€)],uitkomst_tech[Veld],A52,uitkomst_tech[Jaar],C52,uitkomst_tech[Uitgangssituatie/effect beleid],uitkomst_veld[[#This Row],[Uitgangssituatie/effect beleid]])</f>
        <v>97071353.180463523</v>
      </c>
      <c r="G52" s="398">
        <f>SUMIFS(uitkomst_tech[QALY (€)],uitkomst_tech[Veld],A52,uitkomst_tech[Jaar],C52,uitkomst_tech[Uitgangssituatie/effect beleid],uitkomst_veld[[#This Row],[Uitgangssituatie/effect beleid]])</f>
        <v>116379743.66015176</v>
      </c>
      <c r="H52" s="398">
        <f>SUMIFS(uitkomst_tech[Kosten (€)],uitkomst_tech[Veld],A52,uitkomst_tech[Jaar],C52,uitkomst_tech[Uitgangssituatie/effect beleid],uitkomst_veld[[#This Row],[Uitgangssituatie/effect beleid]])</f>
        <v>59014255.910395734</v>
      </c>
      <c r="I52" s="398">
        <f>SUMIFS(uitkomst_tech[Investering (cash flow) (€)],uitkomst_tech[Veld],A52,uitkomst_tech[Jaar],C52,uitkomst_tech[Uitgangssituatie/effect beleid],uitkomst_veld[[#This Row],[Uitgangssituatie/effect beleid]])</f>
        <v>730979.24563012435</v>
      </c>
    </row>
    <row r="53" spans="1:9" x14ac:dyDescent="0.5">
      <c r="A53" s="42" t="s">
        <v>12</v>
      </c>
      <c r="B53" s="120" t="s">
        <v>812</v>
      </c>
      <c r="C53" s="33">
        <v>2027</v>
      </c>
      <c r="D53" s="398">
        <f>SUMIFS(uitkomst_tech[Arbeidsbesparing (€)],uitkomst_tech[Veld],A53,uitkomst_tech[Jaar],C53,uitkomst_tech[Uitgangssituatie/effect beleid],uitkomst_veld[[#This Row],[Uitgangssituatie/effect beleid]])</f>
        <v>225413563.40692389</v>
      </c>
      <c r="E53" s="407">
        <f>SUMIFS(uitkomst_tech[Arbeidsbesparing (FTE)],uitkomst_tech[Veld],A53,uitkomst_tech[Jaar],C53,uitkomst_tech[Uitgangssituatie/effect beleid],uitkomst_veld[[#This Row],[Uitgangssituatie/effect beleid]])</f>
        <v>4360.1413242183135</v>
      </c>
      <c r="F53" s="398">
        <f>SUMIFS(uitkomst_tech[Overige besparingen (€)],uitkomst_tech[Veld],A53,uitkomst_tech[Jaar],C53,uitkomst_tech[Uitgangssituatie/effect beleid],uitkomst_veld[[#This Row],[Uitgangssituatie/effect beleid]])</f>
        <v>104606449.68006432</v>
      </c>
      <c r="G53" s="398">
        <f>SUMIFS(uitkomst_tech[QALY (€)],uitkomst_tech[Veld],A53,uitkomst_tech[Jaar],C53,uitkomst_tech[Uitgangssituatie/effect beleid],uitkomst_veld[[#This Row],[Uitgangssituatie/effect beleid]])</f>
        <v>146661109.25544351</v>
      </c>
      <c r="H53" s="398">
        <f>SUMIFS(uitkomst_tech[Kosten (€)],uitkomst_tech[Veld],A53,uitkomst_tech[Jaar],C53,uitkomst_tech[Uitgangssituatie/effect beleid],uitkomst_veld[[#This Row],[Uitgangssituatie/effect beleid]])</f>
        <v>70262218.643483162</v>
      </c>
      <c r="I53" s="398">
        <f>SUMIFS(uitkomst_tech[Investering (cash flow) (€)],uitkomst_tech[Veld],A53,uitkomst_tech[Jaar],C53,uitkomst_tech[Uitgangssituatie/effect beleid],uitkomst_veld[[#This Row],[Uitgangssituatie/effect beleid]])</f>
        <v>654856.89200977527</v>
      </c>
    </row>
    <row r="54" spans="1:9" x14ac:dyDescent="0.5">
      <c r="A54" s="42" t="s">
        <v>12</v>
      </c>
      <c r="B54" s="120" t="s">
        <v>812</v>
      </c>
      <c r="C54" s="33">
        <v>2028</v>
      </c>
      <c r="D54" s="398">
        <f>SUMIFS(uitkomst_tech[Arbeidsbesparing (€)],uitkomst_tech[Veld],A54,uitkomst_tech[Jaar],C54,uitkomst_tech[Uitgangssituatie/effect beleid],uitkomst_veld[[#This Row],[Uitgangssituatie/effect beleid]])</f>
        <v>260733662.46089044</v>
      </c>
      <c r="E54" s="407">
        <f>SUMIFS(uitkomst_tech[Arbeidsbesparing (FTE)],uitkomst_tech[Veld],A54,uitkomst_tech[Jaar],C54,uitkomst_tech[Uitgangssituatie/effect beleid],uitkomst_veld[[#This Row],[Uitgangssituatie/effect beleid]])</f>
        <v>5069.0732166329417</v>
      </c>
      <c r="F54" s="398">
        <f>SUMIFS(uitkomst_tech[Overige besparingen (€)],uitkomst_tech[Veld],A54,uitkomst_tech[Jaar],C54,uitkomst_tech[Uitgangssituatie/effect beleid],uitkomst_veld[[#This Row],[Uitgangssituatie/effect beleid]])</f>
        <v>110459743.50409219</v>
      </c>
      <c r="G54" s="398">
        <f>SUMIFS(uitkomst_tech[QALY (€)],uitkomst_tech[Veld],A54,uitkomst_tech[Jaar],C54,uitkomst_tech[Uitgangssituatie/effect beleid],uitkomst_veld[[#This Row],[Uitgangssituatie/effect beleid]])</f>
        <v>179279307.36501083</v>
      </c>
      <c r="H54" s="398">
        <f>SUMIFS(uitkomst_tech[Kosten (€)],uitkomst_tech[Veld],A54,uitkomst_tech[Jaar],C54,uitkomst_tech[Uitgangssituatie/effect beleid],uitkomst_veld[[#This Row],[Uitgangssituatie/effect beleid]])</f>
        <v>81964340.82634829</v>
      </c>
      <c r="I54" s="398">
        <f>SUMIFS(uitkomst_tech[Investering (cash flow) (€)],uitkomst_tech[Veld],A54,uitkomst_tech[Jaar],C54,uitkomst_tech[Uitgangssituatie/effect beleid],uitkomst_veld[[#This Row],[Uitgangssituatie/effect beleid]])</f>
        <v>517356.84688565304</v>
      </c>
    </row>
    <row r="55" spans="1:9" x14ac:dyDescent="0.5">
      <c r="A55" s="42" t="s">
        <v>12</v>
      </c>
      <c r="B55" s="120" t="s">
        <v>812</v>
      </c>
      <c r="C55" s="33">
        <v>2029</v>
      </c>
      <c r="D55" s="398">
        <f>SUMIFS(uitkomst_tech[Arbeidsbesparing (€)],uitkomst_tech[Veld],A55,uitkomst_tech[Jaar],C55,uitkomst_tech[Uitgangssituatie/effect beleid],uitkomst_veld[[#This Row],[Uitgangssituatie/effect beleid]])</f>
        <v>296951112.7381655</v>
      </c>
      <c r="E55" s="407">
        <f>SUMIFS(uitkomst_tech[Arbeidsbesparing (FTE)],uitkomst_tech[Veld],A55,uitkomst_tech[Jaar],C55,uitkomst_tech[Uitgangssituatie/effect beleid],uitkomst_veld[[#This Row],[Uitgangssituatie/effect beleid]])</f>
        <v>5794.5336624625652</v>
      </c>
      <c r="F55" s="398">
        <f>SUMIFS(uitkomst_tech[Overige besparingen (€)],uitkomst_tech[Veld],A55,uitkomst_tech[Jaar],C55,uitkomst_tech[Uitgangssituatie/effect beleid],uitkomst_veld[[#This Row],[Uitgangssituatie/effect beleid]])</f>
        <v>115418933.39104655</v>
      </c>
      <c r="G55" s="398">
        <f>SUMIFS(uitkomst_tech[QALY (€)],uitkomst_tech[Veld],A55,uitkomst_tech[Jaar],C55,uitkomst_tech[Uitgangssituatie/effect beleid],uitkomst_veld[[#This Row],[Uitgangssituatie/effect beleid]])</f>
        <v>216230861.72974029</v>
      </c>
      <c r="H55" s="398">
        <f>SUMIFS(uitkomst_tech[Kosten (€)],uitkomst_tech[Veld],A55,uitkomst_tech[Jaar],C55,uitkomst_tech[Uitgangssituatie/effect beleid],uitkomst_veld[[#This Row],[Uitgangssituatie/effect beleid]])</f>
        <v>94832213.563194618</v>
      </c>
      <c r="I55" s="398">
        <f>SUMIFS(uitkomst_tech[Investering (cash flow) (€)],uitkomst_tech[Veld],A55,uitkomst_tech[Jaar],C55,uitkomst_tech[Uitgangssituatie/effect beleid],uitkomst_veld[[#This Row],[Uitgangssituatie/effect beleid]])</f>
        <v>362414.67006817186</v>
      </c>
    </row>
    <row r="56" spans="1:9" x14ac:dyDescent="0.5">
      <c r="A56" s="42" t="s">
        <v>12</v>
      </c>
      <c r="B56" s="120" t="s">
        <v>812</v>
      </c>
      <c r="C56" s="33">
        <v>2030</v>
      </c>
      <c r="D56" s="398">
        <f>SUMIFS(uitkomst_tech[Arbeidsbesparing (€)],uitkomst_tech[Veld],A56,uitkomst_tech[Jaar],C56,uitkomst_tech[Uitgangssituatie/effect beleid],uitkomst_veld[[#This Row],[Uitgangssituatie/effect beleid]])</f>
        <v>333857045.28311729</v>
      </c>
      <c r="E56" s="407">
        <f>SUMIFS(uitkomst_tech[Arbeidsbesparing (FTE)],uitkomst_tech[Veld],A56,uitkomst_tech[Jaar],C56,uitkomst_tech[Uitgangssituatie/effect beleid],uitkomst_veld[[#This Row],[Uitgangssituatie/effect beleid]])</f>
        <v>6525.3888373996515</v>
      </c>
      <c r="F56" s="398">
        <f>SUMIFS(uitkomst_tech[Overige besparingen (€)],uitkomst_tech[Veld],A56,uitkomst_tech[Jaar],C56,uitkomst_tech[Uitgangssituatie/effect beleid],uitkomst_veld[[#This Row],[Uitgangssituatie/effect beleid]])</f>
        <v>120207382.94062848</v>
      </c>
      <c r="G56" s="398">
        <f>SUMIFS(uitkomst_tech[QALY (€)],uitkomst_tech[Veld],A56,uitkomst_tech[Jaar],C56,uitkomst_tech[Uitgangssituatie/effect beleid],uitkomst_veld[[#This Row],[Uitgangssituatie/effect beleid]])</f>
        <v>260189551.68451947</v>
      </c>
      <c r="H56" s="398">
        <f>SUMIFS(uitkomst_tech[Kosten (€)],uitkomst_tech[Veld],A56,uitkomst_tech[Jaar],C56,uitkomst_tech[Uitgangssituatie/effect beleid],uitkomst_veld[[#This Row],[Uitgangssituatie/effect beleid]])</f>
        <v>109729832.00125872</v>
      </c>
      <c r="I56" s="398">
        <f>SUMIFS(uitkomst_tech[Investering (cash flow) (€)],uitkomst_tech[Veld],A56,uitkomst_tech[Jaar],C56,uitkomst_tech[Uitgangssituatie/effect beleid],uitkomst_veld[[#This Row],[Uitgangssituatie/effect beleid]])</f>
        <v>229526.81374048453</v>
      </c>
    </row>
    <row r="57" spans="1:9" x14ac:dyDescent="0.5">
      <c r="A57" s="42" t="s">
        <v>12</v>
      </c>
      <c r="B57" s="120" t="s">
        <v>812</v>
      </c>
      <c r="C57" s="33">
        <v>2031</v>
      </c>
      <c r="D57" s="398">
        <f>SUMIFS(uitkomst_tech[Arbeidsbesparing (€)],uitkomst_tech[Veld],A57,uitkomst_tech[Jaar],C57,uitkomst_tech[Uitgangssituatie/effect beleid],uitkomst_veld[[#This Row],[Uitgangssituatie/effect beleid]])</f>
        <v>371193071.79107571</v>
      </c>
      <c r="E57" s="407">
        <f>SUMIFS(uitkomst_tech[Arbeidsbesparing (FTE)],uitkomst_tech[Veld],A57,uitkomst_tech[Jaar],C57,uitkomst_tech[Uitgangssituatie/effect beleid],uitkomst_veld[[#This Row],[Uitgangssituatie/effect beleid]])</f>
        <v>7251.5375113368727</v>
      </c>
      <c r="F57" s="398">
        <f>SUMIFS(uitkomst_tech[Overige besparingen (€)],uitkomst_tech[Veld],A57,uitkomst_tech[Jaar],C57,uitkomst_tech[Uitgangssituatie/effect beleid],uitkomst_veld[[#This Row],[Uitgangssituatie/effect beleid]])</f>
        <v>125356474.58494616</v>
      </c>
      <c r="G57" s="398">
        <f>SUMIFS(uitkomst_tech[QALY (€)],uitkomst_tech[Veld],A57,uitkomst_tech[Jaar],C57,uitkomst_tech[Uitgangssituatie/effect beleid],uitkomst_veld[[#This Row],[Uitgangssituatie/effect beleid]])</f>
        <v>313506088.14350027</v>
      </c>
      <c r="H57" s="398">
        <f>SUMIFS(uitkomst_tech[Kosten (€)],uitkomst_tech[Veld],A57,uitkomst_tech[Jaar],C57,uitkomst_tech[Uitgangssituatie/effect beleid],uitkomst_veld[[#This Row],[Uitgangssituatie/effect beleid]])</f>
        <v>127320396.59697275</v>
      </c>
      <c r="I57" s="398">
        <f>SUMIFS(uitkomst_tech[Investering (cash flow) (€)],uitkomst_tech[Veld],A57,uitkomst_tech[Jaar],C57,uitkomst_tech[Uitgangssituatie/effect beleid],uitkomst_veld[[#This Row],[Uitgangssituatie/effect beleid]])</f>
        <v>134989.70471169983</v>
      </c>
    </row>
    <row r="58" spans="1:9" x14ac:dyDescent="0.5">
      <c r="A58" s="42" t="s">
        <v>12</v>
      </c>
      <c r="B58" s="120" t="s">
        <v>812</v>
      </c>
      <c r="C58" s="33">
        <v>2032</v>
      </c>
      <c r="D58" s="398">
        <f>SUMIFS(uitkomst_tech[Arbeidsbesparing (€)],uitkomst_tech[Veld],A58,uitkomst_tech[Jaar],C58,uitkomst_tech[Uitgangssituatie/effect beleid],uitkomst_veld[[#This Row],[Uitgangssituatie/effect beleid]])</f>
        <v>408511248.04663736</v>
      </c>
      <c r="E58" s="407">
        <f>SUMIFS(uitkomst_tech[Arbeidsbesparing (FTE)],uitkomst_tech[Veld],A58,uitkomst_tech[Jaar],C58,uitkomst_tech[Uitgangssituatie/effect beleid],uitkomst_veld[[#This Row],[Uitgangssituatie/effect beleid]])</f>
        <v>7962.9252578602545</v>
      </c>
      <c r="F58" s="398">
        <f>SUMIFS(uitkomst_tech[Overige besparingen (€)],uitkomst_tech[Veld],A58,uitkomst_tech[Jaar],C58,uitkomst_tech[Uitgangssituatie/effect beleid],uitkomst_veld[[#This Row],[Uitgangssituatie/effect beleid]])</f>
        <v>131128831.89170921</v>
      </c>
      <c r="G58" s="398">
        <f>SUMIFS(uitkomst_tech[QALY (€)],uitkomst_tech[Veld],A58,uitkomst_tech[Jaar],C58,uitkomst_tech[Uitgangssituatie/effect beleid],uitkomst_veld[[#This Row],[Uitgangssituatie/effect beleid]])</f>
        <v>376929382.83483964</v>
      </c>
      <c r="H58" s="398">
        <f>SUMIFS(uitkomst_tech[Kosten (€)],uitkomst_tech[Veld],A58,uitkomst_tech[Jaar],C58,uitkomst_tech[Uitgangssituatie/effect beleid],uitkomst_veld[[#This Row],[Uitgangssituatie/effect beleid]])</f>
        <v>147730667.4335787</v>
      </c>
      <c r="I58" s="398">
        <f>SUMIFS(uitkomst_tech[Investering (cash flow) (€)],uitkomst_tech[Veld],A58,uitkomst_tech[Jaar],C58,uitkomst_tech[Uitgangssituatie/effect beleid],uitkomst_veld[[#This Row],[Uitgangssituatie/effect beleid]])</f>
        <v>75632.666129948455</v>
      </c>
    </row>
    <row r="59" spans="1:9" x14ac:dyDescent="0.5">
      <c r="A59" s="42" t="s">
        <v>12</v>
      </c>
      <c r="B59" s="120" t="s">
        <v>812</v>
      </c>
      <c r="C59" s="33">
        <v>2033</v>
      </c>
      <c r="D59" s="398">
        <f>SUMIFS(uitkomst_tech[Arbeidsbesparing (€)],uitkomst_tech[Veld],A59,uitkomst_tech[Jaar],C59,uitkomst_tech[Uitgangssituatie/effect beleid],uitkomst_veld[[#This Row],[Uitgangssituatie/effect beleid]])</f>
        <v>444928540.38621557</v>
      </c>
      <c r="E59" s="407">
        <f>SUMIFS(uitkomst_tech[Arbeidsbesparing (FTE)],uitkomst_tech[Veld],A59,uitkomst_tech[Jaar],C59,uitkomst_tech[Uitgangssituatie/effect beleid],uitkomst_veld[[#This Row],[Uitgangssituatie/effect beleid]])</f>
        <v>8645.3429935761378</v>
      </c>
      <c r="F59" s="398">
        <f>SUMIFS(uitkomst_tech[Overige besparingen (€)],uitkomst_tech[Veld],A59,uitkomst_tech[Jaar],C59,uitkomst_tech[Uitgangssituatie/effect beleid],uitkomst_veld[[#This Row],[Uitgangssituatie/effect beleid]])</f>
        <v>137454018.64161614</v>
      </c>
      <c r="G59" s="398">
        <f>SUMIFS(uitkomst_tech[QALY (€)],uitkomst_tech[Veld],A59,uitkomst_tech[Jaar],C59,uitkomst_tech[Uitgangssituatie/effect beleid],uitkomst_veld[[#This Row],[Uitgangssituatie/effect beleid]])</f>
        <v>448336494.4161796</v>
      </c>
      <c r="H59" s="398">
        <f>SUMIFS(uitkomst_tech[Kosten (€)],uitkomst_tech[Veld],A59,uitkomst_tech[Jaar],C59,uitkomst_tech[Uitgangssituatie/effect beleid],uitkomst_veld[[#This Row],[Uitgangssituatie/effect beleid]])</f>
        <v>170237637.99148172</v>
      </c>
      <c r="I59" s="398">
        <f>SUMIFS(uitkomst_tech[Investering (cash flow) (€)],uitkomst_tech[Veld],A59,uitkomst_tech[Jaar],C59,uitkomst_tech[Uitgangssituatie/effect beleid],uitkomst_veld[[#This Row],[Uitgangssituatie/effect beleid]])</f>
        <v>41159.305032039811</v>
      </c>
    </row>
    <row r="60" spans="1:9" x14ac:dyDescent="0.5">
      <c r="A60" s="42" t="s">
        <v>11</v>
      </c>
      <c r="B60" s="120" t="s">
        <v>812</v>
      </c>
      <c r="C60" s="33">
        <v>2023</v>
      </c>
      <c r="D60" s="398">
        <f>SUMIFS(uitkomst_tech[Arbeidsbesparing (€)],uitkomst_tech[Veld],A60,uitkomst_tech[Jaar],C60,uitkomst_tech[Uitgangssituatie/effect beleid],uitkomst_veld[[#This Row],[Uitgangssituatie/effect beleid]])</f>
        <v>16454095.864316385</v>
      </c>
      <c r="E60" s="407">
        <f>SUMIFS(uitkomst_tech[Arbeidsbesparing (FTE)],uitkomst_tech[Veld],A60,uitkomst_tech[Jaar],C60,uitkomst_tech[Uitgangssituatie/effect beleid],uitkomst_veld[[#This Row],[Uitgangssituatie/effect beleid]])</f>
        <v>136.11314320352568</v>
      </c>
      <c r="F60" s="398">
        <f>SUMIFS(uitkomst_tech[Overige besparingen (€)],uitkomst_tech[Veld],A60,uitkomst_tech[Jaar],C60,uitkomst_tech[Uitgangssituatie/effect beleid],uitkomst_veld[[#This Row],[Uitgangssituatie/effect beleid]])</f>
        <v>840000</v>
      </c>
      <c r="G60" s="398">
        <f>SUMIFS(uitkomst_tech[QALY (€)],uitkomst_tech[Veld],A60,uitkomst_tech[Jaar],C60,uitkomst_tech[Uitgangssituatie/effect beleid],uitkomst_veld[[#This Row],[Uitgangssituatie/effect beleid]])</f>
        <v>15749524.000000002</v>
      </c>
      <c r="H60" s="398">
        <f>SUMIFS(uitkomst_tech[Kosten (€)],uitkomst_tech[Veld],A60,uitkomst_tech[Jaar],C60,uitkomst_tech[Uitgangssituatie/effect beleid],uitkomst_veld[[#This Row],[Uitgangssituatie/effect beleid]])</f>
        <v>14454505.325577132</v>
      </c>
      <c r="I60" s="398">
        <f>SUMIFS(uitkomst_tech[Investering (cash flow) (€)],uitkomst_tech[Veld],A60,uitkomst_tech[Jaar],C60,uitkomst_tech[Uitgangssituatie/effect beleid],uitkomst_veld[[#This Row],[Uitgangssituatie/effect beleid]])</f>
        <v>204169.76312570862</v>
      </c>
    </row>
    <row r="61" spans="1:9" x14ac:dyDescent="0.5">
      <c r="A61" s="42" t="s">
        <v>11</v>
      </c>
      <c r="B61" s="120" t="s">
        <v>812</v>
      </c>
      <c r="C61" s="33">
        <v>2024</v>
      </c>
      <c r="D61" s="398">
        <f>SUMIFS(uitkomst_tech[Arbeidsbesparing (€)],uitkomst_tech[Veld],A61,uitkomst_tech[Jaar],C61,uitkomst_tech[Uitgangssituatie/effect beleid],uitkomst_veld[[#This Row],[Uitgangssituatie/effect beleid]])</f>
        <v>19707342.819076065</v>
      </c>
      <c r="E61" s="407">
        <f>SUMIFS(uitkomst_tech[Arbeidsbesparing (FTE)],uitkomst_tech[Veld],A61,uitkomst_tech[Jaar],C61,uitkomst_tech[Uitgangssituatie/effect beleid],uitkomst_veld[[#This Row],[Uitgangssituatie/effect beleid]])</f>
        <v>169.2812951703072</v>
      </c>
      <c r="F61" s="398">
        <f>SUMIFS(uitkomst_tech[Overige besparingen (€)],uitkomst_tech[Veld],A61,uitkomst_tech[Jaar],C61,uitkomst_tech[Uitgangssituatie/effect beleid],uitkomst_veld[[#This Row],[Uitgangssituatie/effect beleid]])</f>
        <v>1129800</v>
      </c>
      <c r="G61" s="398">
        <f>SUMIFS(uitkomst_tech[QALY (€)],uitkomst_tech[Veld],A61,uitkomst_tech[Jaar],C61,uitkomst_tech[Uitgangssituatie/effect beleid],uitkomst_veld[[#This Row],[Uitgangssituatie/effect beleid]])</f>
        <v>21183109.780000005</v>
      </c>
      <c r="H61" s="398">
        <f>SUMIFS(uitkomst_tech[Kosten (€)],uitkomst_tech[Veld],A61,uitkomst_tech[Jaar],C61,uitkomst_tech[Uitgangssituatie/effect beleid],uitkomst_veld[[#This Row],[Uitgangssituatie/effect beleid]])</f>
        <v>17381927.454947997</v>
      </c>
      <c r="I61" s="398">
        <f>SUMIFS(uitkomst_tech[Investering (cash flow) (€)],uitkomst_tech[Veld],A61,uitkomst_tech[Jaar],C61,uitkomst_tech[Uitgangssituatie/effect beleid],uitkomst_veld[[#This Row],[Uitgangssituatie/effect beleid]])</f>
        <v>216044.50657282985</v>
      </c>
    </row>
    <row r="62" spans="1:9" x14ac:dyDescent="0.5">
      <c r="A62" s="42" t="s">
        <v>11</v>
      </c>
      <c r="B62" s="120" t="s">
        <v>812</v>
      </c>
      <c r="C62" s="33">
        <v>2025</v>
      </c>
      <c r="D62" s="398">
        <f>SUMIFS(uitkomst_tech[Arbeidsbesparing (€)],uitkomst_tech[Veld],A62,uitkomst_tech[Jaar],C62,uitkomst_tech[Uitgangssituatie/effect beleid],uitkomst_veld[[#This Row],[Uitgangssituatie/effect beleid]])</f>
        <v>22713187.282818642</v>
      </c>
      <c r="E62" s="407">
        <f>SUMIFS(uitkomst_tech[Arbeidsbesparing (FTE)],uitkomst_tech[Veld],A62,uitkomst_tech[Jaar],C62,uitkomst_tech[Uitgangssituatie/effect beleid],uitkomst_veld[[#This Row],[Uitgangssituatie/effect beleid]])</f>
        <v>201.81529465890944</v>
      </c>
      <c r="F62" s="398">
        <f>SUMIFS(uitkomst_tech[Overige besparingen (€)],uitkomst_tech[Veld],A62,uitkomst_tech[Jaar],C62,uitkomst_tech[Uitgangssituatie/effect beleid],uitkomst_veld[[#This Row],[Uitgangssituatie/effect beleid]])</f>
        <v>1419889.8</v>
      </c>
      <c r="G62" s="398">
        <f>SUMIFS(uitkomst_tech[QALY (€)],uitkomst_tech[Veld],A62,uitkomst_tech[Jaar],C62,uitkomst_tech[Uitgangssituatie/effect beleid],uitkomst_veld[[#This Row],[Uitgangssituatie/effect beleid]])</f>
        <v>26622129.145780005</v>
      </c>
      <c r="H62" s="398">
        <f>SUMIFS(uitkomst_tech[Kosten (€)],uitkomst_tech[Veld],A62,uitkomst_tech[Jaar],C62,uitkomst_tech[Uitgangssituatie/effect beleid],uitkomst_veld[[#This Row],[Uitgangssituatie/effect beleid]])</f>
        <v>20097946.412118547</v>
      </c>
      <c r="I62" s="398">
        <f>SUMIFS(uitkomst_tech[Investering (cash flow) (€)],uitkomst_tech[Veld],A62,uitkomst_tech[Jaar],C62,uitkomst_tech[Uitgangssituatie/effect beleid],uitkomst_veld[[#This Row],[Uitgangssituatie/effect beleid]])</f>
        <v>207038.32101046626</v>
      </c>
    </row>
    <row r="63" spans="1:9" x14ac:dyDescent="0.5">
      <c r="A63" s="42" t="s">
        <v>11</v>
      </c>
      <c r="B63" s="120" t="s">
        <v>812</v>
      </c>
      <c r="C63" s="33">
        <v>2026</v>
      </c>
      <c r="D63" s="398">
        <f>SUMIFS(uitkomst_tech[Arbeidsbesparing (€)],uitkomst_tech[Veld],A63,uitkomst_tech[Jaar],C63,uitkomst_tech[Uitgangssituatie/effect beleid],uitkomst_veld[[#This Row],[Uitgangssituatie/effect beleid]])</f>
        <v>25348512.669283051</v>
      </c>
      <c r="E63" s="407">
        <f>SUMIFS(uitkomst_tech[Arbeidsbesparing (FTE)],uitkomst_tech[Veld],A63,uitkomst_tech[Jaar],C63,uitkomst_tech[Uitgangssituatie/effect beleid],uitkomst_veld[[#This Row],[Uitgangssituatie/effect beleid]])</f>
        <v>232.04559409651816</v>
      </c>
      <c r="F63" s="398">
        <f>SUMIFS(uitkomst_tech[Overige besparingen (€)],uitkomst_tech[Veld],A63,uitkomst_tech[Jaar],C63,uitkomst_tech[Uitgangssituatie/effect beleid],uitkomst_veld[[#This Row],[Uitgangssituatie/effect beleid]])</f>
        <v>1670217.2812038001</v>
      </c>
      <c r="G63" s="398">
        <f>SUMIFS(uitkomst_tech[QALY (€)],uitkomst_tech[Veld],A63,uitkomst_tech[Jaar],C63,uitkomst_tech[Uitgangssituatie/effect beleid],uitkomst_veld[[#This Row],[Uitgangssituatie/effect beleid]])</f>
        <v>31315627.566111904</v>
      </c>
      <c r="H63" s="398">
        <f>SUMIFS(uitkomst_tech[Kosten (€)],uitkomst_tech[Veld],A63,uitkomst_tech[Jaar],C63,uitkomst_tech[Uitgangssituatie/effect beleid],uitkomst_veld[[#This Row],[Uitgangssituatie/effect beleid]])</f>
        <v>22474619.437978681</v>
      </c>
      <c r="I63" s="398">
        <f>SUMIFS(uitkomst_tech[Investering (cash flow) (€)],uitkomst_tech[Veld],A63,uitkomst_tech[Jaar],C63,uitkomst_tech[Uitgangssituatie/effect beleid],uitkomst_veld[[#This Row],[Uitgangssituatie/effect beleid]])</f>
        <v>181346.54393912724</v>
      </c>
    </row>
    <row r="64" spans="1:9" x14ac:dyDescent="0.5">
      <c r="A64" s="42" t="s">
        <v>11</v>
      </c>
      <c r="B64" s="120" t="s">
        <v>812</v>
      </c>
      <c r="C64" s="33">
        <v>2027</v>
      </c>
      <c r="D64" s="398">
        <f>SUMIFS(uitkomst_tech[Arbeidsbesparing (€)],uitkomst_tech[Veld],A64,uitkomst_tech[Jaar],C64,uitkomst_tech[Uitgangssituatie/effect beleid],uitkomst_veld[[#This Row],[Uitgangssituatie/effect beleid]])</f>
        <v>28290515.775368512</v>
      </c>
      <c r="E64" s="407">
        <f>SUMIFS(uitkomst_tech[Arbeidsbesparing (FTE)],uitkomst_tech[Veld],A64,uitkomst_tech[Jaar],C64,uitkomst_tech[Uitgangssituatie/effect beleid],uitkomst_veld[[#This Row],[Uitgangssituatie/effect beleid]])</f>
        <v>261.75165941634015</v>
      </c>
      <c r="F64" s="398">
        <f>SUMIFS(uitkomst_tech[Overige besparingen (€)],uitkomst_tech[Veld],A64,uitkomst_tech[Jaar],C64,uitkomst_tech[Uitgangssituatie/effect beleid],uitkomst_veld[[#This Row],[Uitgangssituatie/effect beleid]])</f>
        <v>1854022.7923143923</v>
      </c>
      <c r="G64" s="398">
        <f>SUMIFS(uitkomst_tech[QALY (€)],uitkomst_tech[Veld],A64,uitkomst_tech[Jaar],C64,uitkomst_tech[Uitgangssituatie/effect beleid],uitkomst_veld[[#This Row],[Uitgangssituatie/effect beleid]])</f>
        <v>34761876.742979214</v>
      </c>
      <c r="H64" s="398">
        <f>SUMIFS(uitkomst_tech[Kosten (€)],uitkomst_tech[Veld],A64,uitkomst_tech[Jaar],C64,uitkomst_tech[Uitgangssituatie/effect beleid],uitkomst_veld[[#This Row],[Uitgangssituatie/effect beleid]])</f>
        <v>25092078.50138237</v>
      </c>
      <c r="I64" s="398">
        <f>SUMIFS(uitkomst_tech[Investering (cash flow) (€)],uitkomst_tech[Veld],A64,uitkomst_tech[Jaar],C64,uitkomst_tech[Uitgangssituatie/effect beleid],uitkomst_veld[[#This Row],[Uitgangssituatie/effect beleid]])</f>
        <v>149234.50063482526</v>
      </c>
    </row>
    <row r="65" spans="1:9" x14ac:dyDescent="0.5">
      <c r="A65" s="42" t="s">
        <v>11</v>
      </c>
      <c r="B65" s="120" t="s">
        <v>812</v>
      </c>
      <c r="C65" s="33">
        <v>2028</v>
      </c>
      <c r="D65" s="398">
        <f>SUMIFS(uitkomst_tech[Arbeidsbesparing (€)],uitkomst_tech[Veld],A65,uitkomst_tech[Jaar],C65,uitkomst_tech[Uitgangssituatie/effect beleid],uitkomst_veld[[#This Row],[Uitgangssituatie/effect beleid]])</f>
        <v>31081141.915149447</v>
      </c>
      <c r="E65" s="407">
        <f>SUMIFS(uitkomst_tech[Arbeidsbesparing (FTE)],uitkomst_tech[Veld],A65,uitkomst_tech[Jaar],C65,uitkomst_tech[Uitgangssituatie/effect beleid],uitkomst_veld[[#This Row],[Uitgangssituatie/effect beleid]])</f>
        <v>287.96928021356524</v>
      </c>
      <c r="F65" s="398">
        <f>SUMIFS(uitkomst_tech[Overige besparingen (€)],uitkomst_tech[Veld],A65,uitkomst_tech[Jaar],C65,uitkomst_tech[Uitgangssituatie/effect beleid],uitkomst_veld[[#This Row],[Uitgangssituatie/effect beleid]])</f>
        <v>1969984.8107923337</v>
      </c>
      <c r="G65" s="398">
        <f>SUMIFS(uitkomst_tech[QALY (€)],uitkomst_tech[Veld],A65,uitkomst_tech[Jaar],C65,uitkomst_tech[Uitgangssituatie/effect beleid],uitkomst_veld[[#This Row],[Uitgangssituatie/effect beleid]])</f>
        <v>36936098.877630144</v>
      </c>
      <c r="H65" s="398">
        <f>SUMIFS(uitkomst_tech[Kosten (€)],uitkomst_tech[Veld],A65,uitkomst_tech[Jaar],C65,uitkomst_tech[Uitgangssituatie/effect beleid],uitkomst_veld[[#This Row],[Uitgangssituatie/effect beleid]])</f>
        <v>27550086.919607501</v>
      </c>
      <c r="I65" s="398">
        <f>SUMIFS(uitkomst_tech[Investering (cash flow) (€)],uitkomst_tech[Veld],A65,uitkomst_tech[Jaar],C65,uitkomst_tech[Uitgangssituatie/effect beleid],uitkomst_veld[[#This Row],[Uitgangssituatie/effect beleid]])</f>
        <v>118694.459023438</v>
      </c>
    </row>
    <row r="66" spans="1:9" x14ac:dyDescent="0.5">
      <c r="A66" s="42" t="s">
        <v>11</v>
      </c>
      <c r="B66" s="120" t="s">
        <v>812</v>
      </c>
      <c r="C66" s="33">
        <v>2029</v>
      </c>
      <c r="D66" s="398">
        <f>SUMIFS(uitkomst_tech[Arbeidsbesparing (€)],uitkomst_tech[Veld],A66,uitkomst_tech[Jaar],C66,uitkomst_tech[Uitgangssituatie/effect beleid],uitkomst_veld[[#This Row],[Uitgangssituatie/effect beleid]])</f>
        <v>33981346.547227383</v>
      </c>
      <c r="E66" s="407">
        <f>SUMIFS(uitkomst_tech[Arbeidsbesparing (FTE)],uitkomst_tech[Veld],A66,uitkomst_tech[Jaar],C66,uitkomst_tech[Uitgangssituatie/effect beleid],uitkomst_veld[[#This Row],[Uitgangssituatie/effect beleid]])</f>
        <v>312.29303898750726</v>
      </c>
      <c r="F66" s="398">
        <f>SUMIFS(uitkomst_tech[Overige besparingen (€)],uitkomst_tech[Veld],A66,uitkomst_tech[Jaar],C66,uitkomst_tech[Uitgangssituatie/effect beleid],uitkomst_veld[[#This Row],[Uitgangssituatie/effect beleid]])</f>
        <v>2034868.1112093718</v>
      </c>
      <c r="G66" s="398">
        <f>SUMIFS(uitkomst_tech[QALY (€)],uitkomst_tech[Veld],A66,uitkomst_tech[Jaar],C66,uitkomst_tech[Uitgangssituatie/effect beleid],uitkomst_veld[[#This Row],[Uitgangssituatie/effect beleid]])</f>
        <v>38152623.993246034</v>
      </c>
      <c r="H66" s="398">
        <f>SUMIFS(uitkomst_tech[Kosten (€)],uitkomst_tech[Veld],A66,uitkomst_tech[Jaar],C66,uitkomst_tech[Uitgangssituatie/effect beleid],uitkomst_veld[[#This Row],[Uitgangssituatie/effect beleid]])</f>
        <v>30084032.771296728</v>
      </c>
      <c r="I66" s="398">
        <f>SUMIFS(uitkomst_tech[Investering (cash flow) (€)],uitkomst_tech[Veld],A66,uitkomst_tech[Jaar],C66,uitkomst_tech[Uitgangssituatie/effect beleid],uitkomst_veld[[#This Row],[Uitgangssituatie/effect beleid]])</f>
        <v>92218.554379923095</v>
      </c>
    </row>
    <row r="67" spans="1:9" x14ac:dyDescent="0.5">
      <c r="A67" s="42" t="s">
        <v>11</v>
      </c>
      <c r="B67" s="120" t="s">
        <v>812</v>
      </c>
      <c r="C67" s="33">
        <v>2030</v>
      </c>
      <c r="D67" s="398">
        <f>SUMIFS(uitkomst_tech[Arbeidsbesparing (€)],uitkomst_tech[Veld],A67,uitkomst_tech[Jaar],C67,uitkomst_tech[Uitgangssituatie/effect beleid],uitkomst_veld[[#This Row],[Uitgangssituatie/effect beleid]])</f>
        <v>37272439.250913367</v>
      </c>
      <c r="E67" s="407">
        <f>SUMIFS(uitkomst_tech[Arbeidsbesparing (FTE)],uitkomst_tech[Veld],A67,uitkomst_tech[Jaar],C67,uitkomst_tech[Uitgangssituatie/effect beleid],uitkomst_veld[[#This Row],[Uitgangssituatie/effect beleid]])</f>
        <v>336.8179465276134</v>
      </c>
      <c r="F67" s="398">
        <f>SUMIFS(uitkomst_tech[Overige besparingen (€)],uitkomst_tech[Veld],A67,uitkomst_tech[Jaar],C67,uitkomst_tech[Uitgangssituatie/effect beleid],uitkomst_veld[[#This Row],[Uitgangssituatie/effect beleid]])</f>
        <v>2068377.9734737775</v>
      </c>
      <c r="G67" s="398">
        <f>SUMIFS(uitkomst_tech[QALY (€)],uitkomst_tech[Veld],A67,uitkomst_tech[Jaar],C67,uitkomst_tech[Uitgangssituatie/effect beleid],uitkomst_veld[[#This Row],[Uitgangssituatie/effect beleid]])</f>
        <v>38780914.921781696</v>
      </c>
      <c r="H67" s="398">
        <f>SUMIFS(uitkomst_tech[Kosten (€)],uitkomst_tech[Veld],A67,uitkomst_tech[Jaar],C67,uitkomst_tech[Uitgangssituatie/effect beleid],uitkomst_veld[[#This Row],[Uitgangssituatie/effect beleid]])</f>
        <v>32948047.892353825</v>
      </c>
      <c r="I67" s="398">
        <f>SUMIFS(uitkomst_tech[Investering (cash flow) (€)],uitkomst_tech[Veld],A67,uitkomst_tech[Jaar],C67,uitkomst_tech[Uitgangssituatie/effect beleid],uitkomst_veld[[#This Row],[Uitgangssituatie/effect beleid]])</f>
        <v>69668.748318140395</v>
      </c>
    </row>
    <row r="68" spans="1:9" x14ac:dyDescent="0.5">
      <c r="A68" s="42" t="s">
        <v>11</v>
      </c>
      <c r="B68" s="120" t="s">
        <v>812</v>
      </c>
      <c r="C68" s="33">
        <v>2031</v>
      </c>
      <c r="D68" s="398">
        <f>SUMIFS(uitkomst_tech[Arbeidsbesparing (€)],uitkomst_tech[Veld],A68,uitkomst_tech[Jaar],C68,uitkomst_tech[Uitgangssituatie/effect beleid],uitkomst_veld[[#This Row],[Uitgangssituatie/effect beleid]])</f>
        <v>41141493.589822024</v>
      </c>
      <c r="E68" s="407">
        <f>SUMIFS(uitkomst_tech[Arbeidsbesparing (FTE)],uitkomst_tech[Veld],A68,uitkomst_tech[Jaar],C68,uitkomst_tech[Uitgangssituatie/effect beleid],uitkomst_veld[[#This Row],[Uitgangssituatie/effect beleid]])</f>
        <v>363.18004108564617</v>
      </c>
      <c r="F68" s="398">
        <f>SUMIFS(uitkomst_tech[Overige besparingen (€)],uitkomst_tech[Veld],A68,uitkomst_tech[Jaar],C68,uitkomst_tech[Uitgangssituatie/effect beleid],uitkomst_veld[[#This Row],[Uitgangssituatie/effect beleid]])</f>
        <v>2084899.5635894311</v>
      </c>
      <c r="G68" s="398">
        <f>SUMIFS(uitkomst_tech[QALY (€)],uitkomst_tech[Veld],A68,uitkomst_tech[Jaar],C68,uitkomst_tech[Uitgangssituatie/effect beleid],uitkomst_veld[[#This Row],[Uitgangssituatie/effect beleid]])</f>
        <v>39090685.374215804</v>
      </c>
      <c r="H68" s="398">
        <f>SUMIFS(uitkomst_tech[Kosten (€)],uitkomst_tech[Veld],A68,uitkomst_tech[Jaar],C68,uitkomst_tech[Uitgangssituatie/effect beleid],uitkomst_veld[[#This Row],[Uitgangssituatie/effect beleid]])</f>
        <v>36311267.223258808</v>
      </c>
      <c r="I68" s="398">
        <f>SUMIFS(uitkomst_tech[Investering (cash flow) (€)],uitkomst_tech[Veld],A68,uitkomst_tech[Jaar],C68,uitkomst_tech[Uitgangssituatie/effect beleid],uitkomst_veld[[#This Row],[Uitgangssituatie/effect beleid]])</f>
        <v>50864.981608391725</v>
      </c>
    </row>
    <row r="69" spans="1:9" x14ac:dyDescent="0.5">
      <c r="A69" s="42" t="s">
        <v>11</v>
      </c>
      <c r="B69" s="120" t="s">
        <v>812</v>
      </c>
      <c r="C69" s="33">
        <v>2032</v>
      </c>
      <c r="D69" s="398">
        <f>SUMIFS(uitkomst_tech[Arbeidsbesparing (€)],uitkomst_tech[Veld],A69,uitkomst_tech[Jaar],C69,uitkomst_tech[Uitgangssituatie/effect beleid],uitkomst_veld[[#This Row],[Uitgangssituatie/effect beleid]])</f>
        <v>45574315.519046396</v>
      </c>
      <c r="E69" s="407">
        <f>SUMIFS(uitkomst_tech[Arbeidsbesparing (FTE)],uitkomst_tech[Veld],A69,uitkomst_tech[Jaar],C69,uitkomst_tech[Uitgangssituatie/effect beleid],uitkomst_veld[[#This Row],[Uitgangssituatie/effect beleid]])</f>
        <v>391.80036520408669</v>
      </c>
      <c r="F69" s="398">
        <f>SUMIFS(uitkomst_tech[Overige besparingen (€)],uitkomst_tech[Veld],A69,uitkomst_tech[Jaar],C69,uitkomst_tech[Uitgangssituatie/effect beleid],uitkomst_veld[[#This Row],[Uitgangssituatie/effect beleid]])</f>
        <v>2092848.5036537494</v>
      </c>
      <c r="G69" s="398">
        <f>SUMIFS(uitkomst_tech[QALY (€)],uitkomst_tech[Veld],A69,uitkomst_tech[Jaar],C69,uitkomst_tech[Uitgangssituatie/effect beleid],uitkomst_veld[[#This Row],[Uitgangssituatie/effect beleid]])</f>
        <v>39239723.496022403</v>
      </c>
      <c r="H69" s="398">
        <f>SUMIFS(uitkomst_tech[Kosten (€)],uitkomst_tech[Veld],A69,uitkomst_tech[Jaar],C69,uitkomst_tech[Uitgangssituatie/effect beleid],uitkomst_veld[[#This Row],[Uitgangssituatie/effect beleid]])</f>
        <v>40164367.940474577</v>
      </c>
      <c r="I69" s="398">
        <f>SUMIFS(uitkomst_tech[Investering (cash flow) (€)],uitkomst_tech[Veld],A69,uitkomst_tech[Jaar],C69,uitkomst_tech[Uitgangssituatie/effect beleid],uitkomst_veld[[#This Row],[Uitgangssituatie/effect beleid]])</f>
        <v>35868.708783472612</v>
      </c>
    </row>
    <row r="70" spans="1:9" x14ac:dyDescent="0.5">
      <c r="A70" s="42" t="s">
        <v>11</v>
      </c>
      <c r="B70" s="120" t="s">
        <v>812</v>
      </c>
      <c r="C70" s="33">
        <v>2033</v>
      </c>
      <c r="D70" s="398">
        <f>SUMIFS(uitkomst_tech[Arbeidsbesparing (€)],uitkomst_tech[Veld],A70,uitkomst_tech[Jaar],C70,uitkomst_tech[Uitgangssituatie/effect beleid],uitkomst_veld[[#This Row],[Uitgangssituatie/effect beleid]])</f>
        <v>50279692.13333939</v>
      </c>
      <c r="E70" s="407">
        <f>SUMIFS(uitkomst_tech[Arbeidsbesparing (FTE)],uitkomst_tech[Veld],A70,uitkomst_tech[Jaar],C70,uitkomst_tech[Uitgangssituatie/effect beleid],uitkomst_veld[[#This Row],[Uitgangssituatie/effect beleid]])</f>
        <v>421.41525667128997</v>
      </c>
      <c r="F70" s="398">
        <f>SUMIFS(uitkomst_tech[Overige besparingen (€)],uitkomst_tech[Veld],A70,uitkomst_tech[Jaar],C70,uitkomst_tech[Uitgangssituatie/effect beleid],uitkomst_veld[[#This Row],[Uitgangssituatie/effect beleid]])</f>
        <v>2096626.6195982168</v>
      </c>
      <c r="G70" s="398">
        <f>SUMIFS(uitkomst_tech[QALY (€)],uitkomst_tech[Veld],A70,uitkomst_tech[Jaar],C70,uitkomst_tech[Uitgangssituatie/effect beleid],uitkomst_veld[[#This Row],[Uitgangssituatie/effect beleid]])</f>
        <v>39310561.029048793</v>
      </c>
      <c r="H70" s="398">
        <f>SUMIFS(uitkomst_tech[Kosten (€)],uitkomst_tech[Veld],A70,uitkomst_tech[Jaar],C70,uitkomst_tech[Uitgangssituatie/effect beleid],uitkomst_veld[[#This Row],[Uitgangssituatie/effect beleid]])</f>
        <v>44254642.791847497</v>
      </c>
      <c r="I70" s="398">
        <f>SUMIFS(uitkomst_tech[Investering (cash flow) (€)],uitkomst_tech[Veld],A70,uitkomst_tech[Jaar],C70,uitkomst_tech[Uitgangssituatie/effect beleid],uitkomst_veld[[#This Row],[Uitgangssituatie/effect beleid]])</f>
        <v>24539.182739664673</v>
      </c>
    </row>
    <row r="71" spans="1:9" x14ac:dyDescent="0.5">
      <c r="A71" s="120" t="s">
        <v>7</v>
      </c>
      <c r="B71" s="42" t="s">
        <v>813</v>
      </c>
      <c r="C71" s="33">
        <v>2023</v>
      </c>
      <c r="D71" s="398">
        <f>SUMIFS(uitkomst_tech[Arbeidsbesparing (€)],uitkomst_tech[Veld],A71,uitkomst_tech[Jaar],C71,uitkomst_tech[Uitgangssituatie/effect beleid],uitkomst_veld[[#This Row],[Uitgangssituatie/effect beleid]])</f>
        <v>7039698.8055457547</v>
      </c>
      <c r="E71" s="407">
        <f>SUMIFS(uitkomst_tech[Arbeidsbesparing (FTE)],uitkomst_tech[Veld],A71,uitkomst_tech[Jaar],C71,uitkomst_tech[Uitgangssituatie/effect beleid],uitkomst_veld[[#This Row],[Uitgangssituatie/effect beleid]])</f>
        <v>130.05028971225553</v>
      </c>
      <c r="F71" s="398">
        <f>SUMIFS(uitkomst_tech[Overige besparingen (€)],uitkomst_tech[Veld],A71,uitkomst_tech[Jaar],C71,uitkomst_tech[Uitgangssituatie/effect beleid],uitkomst_veld[[#This Row],[Uitgangssituatie/effect beleid]])</f>
        <v>8039745.0539689334</v>
      </c>
      <c r="G71" s="398">
        <f>SUMIFS(uitkomst_tech[QALY (€)],uitkomst_tech[Veld],A71,uitkomst_tech[Jaar],C71,uitkomst_tech[Uitgangssituatie/effect beleid],uitkomst_veld[[#This Row],[Uitgangssituatie/effect beleid]])</f>
        <v>0</v>
      </c>
      <c r="H71" s="398">
        <f>SUMIFS(uitkomst_tech[Kosten (€)],uitkomst_tech[Veld],A71,uitkomst_tech[Jaar],C71,uitkomst_tech[Uitgangssituatie/effect beleid],uitkomst_veld[[#This Row],[Uitgangssituatie/effect beleid]])</f>
        <v>2988710.0320000001</v>
      </c>
      <c r="I71" s="398">
        <f>SUMIFS(uitkomst_tech[Investering (cash flow) (€)],uitkomst_tech[Veld],A71,uitkomst_tech[Jaar],C71,uitkomst_tech[Uitgangssituatie/effect beleid],uitkomst_veld[[#This Row],[Uitgangssituatie/effect beleid]])</f>
        <v>0</v>
      </c>
    </row>
    <row r="72" spans="1:9" x14ac:dyDescent="0.5">
      <c r="A72" s="120" t="s">
        <v>7</v>
      </c>
      <c r="B72" s="42" t="s">
        <v>813</v>
      </c>
      <c r="C72" s="33">
        <v>2024</v>
      </c>
      <c r="D72" s="398">
        <f>SUMIFS(uitkomst_tech[Arbeidsbesparing (€)],uitkomst_tech[Veld],A72,uitkomst_tech[Jaar],C72,uitkomst_tech[Uitgangssituatie/effect beleid],uitkomst_veld[[#This Row],[Uitgangssituatie/effect beleid]])</f>
        <v>9279033.4214921519</v>
      </c>
      <c r="E72" s="407">
        <f>SUMIFS(uitkomst_tech[Arbeidsbesparing (FTE)],uitkomst_tech[Veld],A72,uitkomst_tech[Jaar],C72,uitkomst_tech[Uitgangssituatie/effect beleid],uitkomst_veld[[#This Row],[Uitgangssituatie/effect beleid]])</f>
        <v>171.62819165251324</v>
      </c>
      <c r="F72" s="398">
        <f>SUMIFS(uitkomst_tech[Overige besparingen (€)],uitkomst_tech[Veld],A72,uitkomst_tech[Jaar],C72,uitkomst_tech[Uitgangssituatie/effect beleid],uitkomst_veld[[#This Row],[Uitgangssituatie/effect beleid]])</f>
        <v>10459098.725399293</v>
      </c>
      <c r="G72" s="398">
        <f>SUMIFS(uitkomst_tech[QALY (€)],uitkomst_tech[Veld],A72,uitkomst_tech[Jaar],C72,uitkomst_tech[Uitgangssituatie/effect beleid],uitkomst_veld[[#This Row],[Uitgangssituatie/effect beleid]])</f>
        <v>0</v>
      </c>
      <c r="H72" s="398">
        <f>SUMIFS(uitkomst_tech[Kosten (€)],uitkomst_tech[Veld],A72,uitkomst_tech[Jaar],C72,uitkomst_tech[Uitgangssituatie/effect beleid],uitkomst_veld[[#This Row],[Uitgangssituatie/effect beleid]])</f>
        <v>3863473.04464</v>
      </c>
      <c r="I72" s="398">
        <f>SUMIFS(uitkomst_tech[Investering (cash flow) (€)],uitkomst_tech[Veld],A72,uitkomst_tech[Jaar],C72,uitkomst_tech[Uitgangssituatie/effect beleid],uitkomst_veld[[#This Row],[Uitgangssituatie/effect beleid]])</f>
        <v>0</v>
      </c>
    </row>
    <row r="73" spans="1:9" x14ac:dyDescent="0.5">
      <c r="A73" s="120" t="s">
        <v>7</v>
      </c>
      <c r="B73" s="42" t="s">
        <v>813</v>
      </c>
      <c r="C73" s="33">
        <v>2025</v>
      </c>
      <c r="D73" s="398">
        <f>SUMIFS(uitkomst_tech[Arbeidsbesparing (€)],uitkomst_tech[Veld],A73,uitkomst_tech[Jaar],C73,uitkomst_tech[Uitgangssituatie/effect beleid],uitkomst_veld[[#This Row],[Uitgangssituatie/effect beleid]])</f>
        <v>11709128.808244601</v>
      </c>
      <c r="E73" s="407">
        <f>SUMIFS(uitkomst_tech[Arbeidsbesparing (FTE)],uitkomst_tech[Veld],A73,uitkomst_tech[Jaar],C73,uitkomst_tech[Uitgangssituatie/effect beleid],uitkomst_veld[[#This Row],[Uitgangssituatie/effect beleid]])</f>
        <v>216.82810975818779</v>
      </c>
      <c r="F73" s="398">
        <f>SUMIFS(uitkomst_tech[Overige besparingen (€)],uitkomst_tech[Veld],A73,uitkomst_tech[Jaar],C73,uitkomst_tech[Uitgangssituatie/effect beleid],uitkomst_veld[[#This Row],[Uitgangssituatie/effect beleid]])</f>
        <v>13031537.721506309</v>
      </c>
      <c r="G73" s="398">
        <f>SUMIFS(uitkomst_tech[QALY (€)],uitkomst_tech[Veld],A73,uitkomst_tech[Jaar],C73,uitkomst_tech[Uitgangssituatie/effect beleid],uitkomst_veld[[#This Row],[Uitgangssituatie/effect beleid]])</f>
        <v>0</v>
      </c>
      <c r="H73" s="398">
        <f>SUMIFS(uitkomst_tech[Kosten (€)],uitkomst_tech[Veld],A73,uitkomst_tech[Jaar],C73,uitkomst_tech[Uitgangssituatie/effect beleid],uitkomst_veld[[#This Row],[Uitgangssituatie/effect beleid]])</f>
        <v>4783599.916577152</v>
      </c>
      <c r="I73" s="398">
        <f>SUMIFS(uitkomst_tech[Investering (cash flow) (€)],uitkomst_tech[Veld],A73,uitkomst_tech[Jaar],C73,uitkomst_tech[Uitgangssituatie/effect beleid],uitkomst_veld[[#This Row],[Uitgangssituatie/effect beleid]])</f>
        <v>0</v>
      </c>
    </row>
    <row r="74" spans="1:9" x14ac:dyDescent="0.5">
      <c r="A74" s="120" t="s">
        <v>7</v>
      </c>
      <c r="B74" s="42" t="s">
        <v>813</v>
      </c>
      <c r="C74" s="33">
        <v>2026</v>
      </c>
      <c r="D74" s="398">
        <f>SUMIFS(uitkomst_tech[Arbeidsbesparing (€)],uitkomst_tech[Veld],A74,uitkomst_tech[Jaar],C74,uitkomst_tech[Uitgangssituatie/effect beleid],uitkomst_veld[[#This Row],[Uitgangssituatie/effect beleid]])</f>
        <v>14148596.34570251</v>
      </c>
      <c r="E74" s="407">
        <f>SUMIFS(uitkomst_tech[Arbeidsbesparing (FTE)],uitkomst_tech[Veld],A74,uitkomst_tech[Jaar],C74,uitkomst_tech[Uitgangssituatie/effect beleid],uitkomst_veld[[#This Row],[Uitgangssituatie/effect beleid]])</f>
        <v>262.29074970495662</v>
      </c>
      <c r="F74" s="398">
        <f>SUMIFS(uitkomst_tech[Overige besparingen (€)],uitkomst_tech[Veld],A74,uitkomst_tech[Jaar],C74,uitkomst_tech[Uitgangssituatie/effect beleid],uitkomst_veld[[#This Row],[Uitgangssituatie/effect beleid]])</f>
        <v>15555428.24703794</v>
      </c>
      <c r="G74" s="398">
        <f>SUMIFS(uitkomst_tech[QALY (€)],uitkomst_tech[Veld],A74,uitkomst_tech[Jaar],C74,uitkomst_tech[Uitgangssituatie/effect beleid],uitkomst_veld[[#This Row],[Uitgangssituatie/effect beleid]])</f>
        <v>0</v>
      </c>
      <c r="H74" s="398">
        <f>SUMIFS(uitkomst_tech[Kosten (€)],uitkomst_tech[Veld],A74,uitkomst_tech[Jaar],C74,uitkomst_tech[Uitgangssituatie/effect beleid],uitkomst_veld[[#This Row],[Uitgangssituatie/effect beleid]])</f>
        <v>5675119.168946567</v>
      </c>
      <c r="I74" s="398">
        <f>SUMIFS(uitkomst_tech[Investering (cash flow) (€)],uitkomst_tech[Veld],A74,uitkomst_tech[Jaar],C74,uitkomst_tech[Uitgangssituatie/effect beleid],uitkomst_veld[[#This Row],[Uitgangssituatie/effect beleid]])</f>
        <v>0</v>
      </c>
    </row>
    <row r="75" spans="1:9" x14ac:dyDescent="0.5">
      <c r="A75" s="120" t="s">
        <v>7</v>
      </c>
      <c r="B75" s="42" t="s">
        <v>813</v>
      </c>
      <c r="C75" s="33">
        <v>2027</v>
      </c>
      <c r="D75" s="398">
        <f>SUMIFS(uitkomst_tech[Arbeidsbesparing (€)],uitkomst_tech[Veld],A75,uitkomst_tech[Jaar],C75,uitkomst_tech[Uitgangssituatie/effect beleid],uitkomst_veld[[#This Row],[Uitgangssituatie/effect beleid]])</f>
        <v>16387763.664020251</v>
      </c>
      <c r="E75" s="407">
        <f>SUMIFS(uitkomst_tech[Arbeidsbesparing (FTE)],uitkomst_tech[Veld],A75,uitkomst_tech[Jaar],C75,uitkomst_tech[Uitgangssituatie/effect beleid],uitkomst_veld[[#This Row],[Uitgangssituatie/effect beleid]])</f>
        <v>304.10138580401929</v>
      </c>
      <c r="F75" s="398">
        <f>SUMIFS(uitkomst_tech[Overige besparingen (€)],uitkomst_tech[Veld],A75,uitkomst_tech[Jaar],C75,uitkomst_tech[Uitgangssituatie/effect beleid],uitkomst_veld[[#This Row],[Uitgangssituatie/effect beleid]])</f>
        <v>17818610.17104052</v>
      </c>
      <c r="G75" s="398">
        <f>SUMIFS(uitkomst_tech[QALY (€)],uitkomst_tech[Veld],A75,uitkomst_tech[Jaar],C75,uitkomst_tech[Uitgangssituatie/effect beleid],uitkomst_veld[[#This Row],[Uitgangssituatie/effect beleid]])</f>
        <v>0</v>
      </c>
      <c r="H75" s="398">
        <f>SUMIFS(uitkomst_tech[Kosten (€)],uitkomst_tech[Veld],A75,uitkomst_tech[Jaar],C75,uitkomst_tech[Uitgangssituatie/effect beleid],uitkomst_veld[[#This Row],[Uitgangssituatie/effect beleid]])</f>
        <v>6464027.1287926612</v>
      </c>
      <c r="I75" s="398">
        <f>SUMIFS(uitkomst_tech[Investering (cash flow) (€)],uitkomst_tech[Veld],A75,uitkomst_tech[Jaar],C75,uitkomst_tech[Uitgangssituatie/effect beleid],uitkomst_veld[[#This Row],[Uitgangssituatie/effect beleid]])</f>
        <v>0</v>
      </c>
    </row>
    <row r="76" spans="1:9" x14ac:dyDescent="0.5">
      <c r="A76" s="120" t="s">
        <v>7</v>
      </c>
      <c r="B76" s="42" t="s">
        <v>813</v>
      </c>
      <c r="C76" s="33">
        <v>2028</v>
      </c>
      <c r="D76" s="398">
        <f>SUMIFS(uitkomst_tech[Arbeidsbesparing (€)],uitkomst_tech[Veld],A76,uitkomst_tech[Jaar],C76,uitkomst_tech[Uitgangssituatie/effect beleid],uitkomst_veld[[#This Row],[Uitgangssituatie/effect beleid]])</f>
        <v>18250566.223721046</v>
      </c>
      <c r="E76" s="407">
        <f>SUMIFS(uitkomst_tech[Arbeidsbesparing (FTE)],uitkomst_tech[Veld],A76,uitkomst_tech[Jaar],C76,uitkomst_tech[Uitgangssituatie/effect beleid],uitkomst_veld[[#This Row],[Uitgangssituatie/effect beleid]])</f>
        <v>338.94274464838736</v>
      </c>
      <c r="F76" s="398">
        <f>SUMIFS(uitkomst_tech[Overige besparingen (€)],uitkomst_tech[Veld],A76,uitkomst_tech[Jaar],C76,uitkomst_tech[Uitgangssituatie/effect beleid],uitkomst_veld[[#This Row],[Uitgangssituatie/effect beleid]])</f>
        <v>19662791.756339617</v>
      </c>
      <c r="G76" s="398">
        <f>SUMIFS(uitkomst_tech[QALY (€)],uitkomst_tech[Veld],A76,uitkomst_tech[Jaar],C76,uitkomst_tech[Uitgangssituatie/effect beleid],uitkomst_veld[[#This Row],[Uitgangssituatie/effect beleid]])</f>
        <v>0</v>
      </c>
      <c r="H76" s="398">
        <f>SUMIFS(uitkomst_tech[Kosten (€)],uitkomst_tech[Veld],A76,uitkomst_tech[Jaar],C76,uitkomst_tech[Uitgangssituatie/effect beleid],uitkomst_veld[[#This Row],[Uitgangssituatie/effect beleid]])</f>
        <v>7099105.2889528163</v>
      </c>
      <c r="I76" s="398">
        <f>SUMIFS(uitkomst_tech[Investering (cash flow) (€)],uitkomst_tech[Veld],A76,uitkomst_tech[Jaar],C76,uitkomst_tech[Uitgangssituatie/effect beleid],uitkomst_veld[[#This Row],[Uitgangssituatie/effect beleid]])</f>
        <v>0</v>
      </c>
    </row>
    <row r="77" spans="1:9" x14ac:dyDescent="0.5">
      <c r="A77" s="120" t="s">
        <v>7</v>
      </c>
      <c r="B77" s="42" t="s">
        <v>813</v>
      </c>
      <c r="C77" s="33">
        <v>2029</v>
      </c>
      <c r="D77" s="398">
        <f>SUMIFS(uitkomst_tech[Arbeidsbesparing (€)],uitkomst_tech[Veld],A77,uitkomst_tech[Jaar],C77,uitkomst_tech[Uitgangssituatie/effect beleid],uitkomst_veld[[#This Row],[Uitgangssituatie/effect beleid]])</f>
        <v>19651114.366170406</v>
      </c>
      <c r="E77" s="407">
        <f>SUMIFS(uitkomst_tech[Arbeidsbesparing (FTE)],uitkomst_tech[Veld],A77,uitkomst_tech[Jaar],C77,uitkomst_tech[Uitgangssituatie/effect beleid],uitkomst_veld[[#This Row],[Uitgangssituatie/effect beleid]])</f>
        <v>365.16943659271556</v>
      </c>
      <c r="F77" s="398">
        <f>SUMIFS(uitkomst_tech[Overige besparingen (€)],uitkomst_tech[Veld],A77,uitkomst_tech[Jaar],C77,uitkomst_tech[Uitgangssituatie/effect beleid],uitkomst_veld[[#This Row],[Uitgangssituatie/effect beleid]])</f>
        <v>21028692.912665036</v>
      </c>
      <c r="G77" s="398">
        <f>SUMIFS(uitkomst_tech[QALY (€)],uitkomst_tech[Veld],A77,uitkomst_tech[Jaar],C77,uitkomst_tech[Uitgangssituatie/effect beleid],uitkomst_veld[[#This Row],[Uitgangssituatie/effect beleid]])</f>
        <v>0</v>
      </c>
      <c r="H77" s="398">
        <f>SUMIFS(uitkomst_tech[Kosten (€)],uitkomst_tech[Veld],A77,uitkomst_tech[Jaar],C77,uitkomst_tech[Uitgangssituatie/effect beleid],uitkomst_veld[[#This Row],[Uitgangssituatie/effect beleid]])</f>
        <v>7565233.7813473167</v>
      </c>
      <c r="I77" s="398">
        <f>SUMIFS(uitkomst_tech[Investering (cash flow) (€)],uitkomst_tech[Veld],A77,uitkomst_tech[Jaar],C77,uitkomst_tech[Uitgangssituatie/effect beleid],uitkomst_veld[[#This Row],[Uitgangssituatie/effect beleid]])</f>
        <v>0</v>
      </c>
    </row>
    <row r="78" spans="1:9" x14ac:dyDescent="0.5">
      <c r="A78" s="120" t="s">
        <v>7</v>
      </c>
      <c r="B78" s="42" t="s">
        <v>813</v>
      </c>
      <c r="C78" s="33">
        <v>2030</v>
      </c>
      <c r="D78" s="398">
        <f>SUMIFS(uitkomst_tech[Arbeidsbesparing (€)],uitkomst_tech[Veld],A78,uitkomst_tech[Jaar],C78,uitkomst_tech[Uitgangssituatie/effect beleid],uitkomst_veld[[#This Row],[Uitgangssituatie/effect beleid]])</f>
        <v>20609118.245144829</v>
      </c>
      <c r="E78" s="407">
        <f>SUMIFS(uitkomst_tech[Arbeidsbesparing (FTE)],uitkomst_tech[Veld],A78,uitkomst_tech[Jaar],C78,uitkomst_tech[Uitgangssituatie/effect beleid],uitkomst_veld[[#This Row],[Uitgangssituatie/effect beleid]])</f>
        <v>383.11968797275927</v>
      </c>
      <c r="F78" s="398">
        <f>SUMIFS(uitkomst_tech[Overige besparingen (€)],uitkomst_tech[Veld],A78,uitkomst_tech[Jaar],C78,uitkomst_tech[Uitgangssituatie/effect beleid],uitkomst_veld[[#This Row],[Uitgangssituatie/effect beleid]])</f>
        <v>21955952.038455591</v>
      </c>
      <c r="G78" s="398">
        <f>SUMIFS(uitkomst_tech[QALY (€)],uitkomst_tech[Veld],A78,uitkomst_tech[Jaar],C78,uitkomst_tech[Uitgangssituatie/effect beleid],uitkomst_veld[[#This Row],[Uitgangssituatie/effect beleid]])</f>
        <v>0</v>
      </c>
      <c r="H78" s="398">
        <f>SUMIFS(uitkomst_tech[Kosten (€)],uitkomst_tech[Veld],A78,uitkomst_tech[Jaar],C78,uitkomst_tech[Uitgangssituatie/effect beleid],uitkomst_veld[[#This Row],[Uitgangssituatie/effect beleid]])</f>
        <v>7880200.522545171</v>
      </c>
      <c r="I78" s="398">
        <f>SUMIFS(uitkomst_tech[Investering (cash flow) (€)],uitkomst_tech[Veld],A78,uitkomst_tech[Jaar],C78,uitkomst_tech[Uitgangssituatie/effect beleid],uitkomst_veld[[#This Row],[Uitgangssituatie/effect beleid]])</f>
        <v>0</v>
      </c>
    </row>
    <row r="79" spans="1:9" x14ac:dyDescent="0.5">
      <c r="A79" s="120" t="s">
        <v>7</v>
      </c>
      <c r="B79" s="42" t="s">
        <v>813</v>
      </c>
      <c r="C79" s="33">
        <v>2031</v>
      </c>
      <c r="D79" s="398">
        <f>SUMIFS(uitkomst_tech[Arbeidsbesparing (€)],uitkomst_tech[Veld],A79,uitkomst_tech[Jaar],C79,uitkomst_tech[Uitgangssituatie/effect beleid],uitkomst_veld[[#This Row],[Uitgangssituatie/effect beleid]])</f>
        <v>21215246.600695111</v>
      </c>
      <c r="E79" s="407">
        <f>SUMIFS(uitkomst_tech[Arbeidsbesparing (FTE)],uitkomst_tech[Veld],A79,uitkomst_tech[Jaar],C79,uitkomst_tech[Uitgangssituatie/effect beleid],uitkomst_veld[[#This Row],[Uitgangssituatie/effect beleid]])</f>
        <v>394.4770827317667</v>
      </c>
      <c r="F79" s="398">
        <f>SUMIFS(uitkomst_tech[Overige besparingen (€)],uitkomst_tech[Veld],A79,uitkomst_tech[Jaar],C79,uitkomst_tech[Uitgangssituatie/effect beleid],uitkomst_veld[[#This Row],[Uitgangssituatie/effect beleid]])</f>
        <v>22542440.496983953</v>
      </c>
      <c r="G79" s="398">
        <f>SUMIFS(uitkomst_tech[QALY (€)],uitkomst_tech[Veld],A79,uitkomst_tech[Jaar],C79,uitkomst_tech[Uitgangssituatie/effect beleid],uitkomst_veld[[#This Row],[Uitgangssituatie/effect beleid]])</f>
        <v>0</v>
      </c>
      <c r="H79" s="398">
        <f>SUMIFS(uitkomst_tech[Kosten (€)],uitkomst_tech[Veld],A79,uitkomst_tech[Jaar],C79,uitkomst_tech[Uitgangssituatie/effect beleid],uitkomst_veld[[#This Row],[Uitgangssituatie/effect beleid]])</f>
        <v>8079376.5136746718</v>
      </c>
      <c r="I79" s="398">
        <f>SUMIFS(uitkomst_tech[Investering (cash flow) (€)],uitkomst_tech[Veld],A79,uitkomst_tech[Jaar],C79,uitkomst_tech[Uitgangssituatie/effect beleid],uitkomst_veld[[#This Row],[Uitgangssituatie/effect beleid]])</f>
        <v>0</v>
      </c>
    </row>
    <row r="80" spans="1:9" x14ac:dyDescent="0.5">
      <c r="A80" s="120" t="s">
        <v>7</v>
      </c>
      <c r="B80" s="42" t="s">
        <v>813</v>
      </c>
      <c r="C80" s="33">
        <v>2032</v>
      </c>
      <c r="D80" s="398">
        <f>SUMIFS(uitkomst_tech[Arbeidsbesparing (€)],uitkomst_tech[Veld],A80,uitkomst_tech[Jaar],C80,uitkomst_tech[Uitgangssituatie/effect beleid],uitkomst_veld[[#This Row],[Uitgangssituatie/effect beleid]])</f>
        <v>21577780.043533355</v>
      </c>
      <c r="E80" s="407">
        <f>SUMIFS(uitkomst_tech[Arbeidsbesparing (FTE)],uitkomst_tech[Veld],A80,uitkomst_tech[Jaar],C80,uitkomst_tech[Uitgangssituatie/effect beleid],uitkomst_veld[[#This Row],[Uitgangssituatie/effect beleid]])</f>
        <v>401.26722860190625</v>
      </c>
      <c r="F80" s="398">
        <f>SUMIFS(uitkomst_tech[Overige besparingen (€)],uitkomst_tech[Veld],A80,uitkomst_tech[Jaar],C80,uitkomst_tech[Uitgangssituatie/effect beleid],uitkomst_veld[[#This Row],[Uitgangssituatie/effect beleid]])</f>
        <v>22895120.858538724</v>
      </c>
      <c r="G80" s="398">
        <f>SUMIFS(uitkomst_tech[QALY (€)],uitkomst_tech[Veld],A80,uitkomst_tech[Jaar],C80,uitkomst_tech[Uitgangssituatie/effect beleid],uitkomst_veld[[#This Row],[Uitgangssituatie/effect beleid]])</f>
        <v>0</v>
      </c>
      <c r="H80" s="398">
        <f>SUMIFS(uitkomst_tech[Kosten (€)],uitkomst_tech[Veld],A80,uitkomst_tech[Jaar],C80,uitkomst_tech[Uitgangssituatie/effect beleid],uitkomst_veld[[#This Row],[Uitgangssituatie/effect beleid]])</f>
        <v>8199547.8534574509</v>
      </c>
      <c r="I80" s="398">
        <f>SUMIFS(uitkomst_tech[Investering (cash flow) (€)],uitkomst_tech[Veld],A80,uitkomst_tech[Jaar],C80,uitkomst_tech[Uitgangssituatie/effect beleid],uitkomst_veld[[#This Row],[Uitgangssituatie/effect beleid]])</f>
        <v>0</v>
      </c>
    </row>
    <row r="81" spans="1:9" x14ac:dyDescent="0.5">
      <c r="A81" s="120" t="s">
        <v>7</v>
      </c>
      <c r="B81" s="42" t="s">
        <v>813</v>
      </c>
      <c r="C81" s="33">
        <v>2033</v>
      </c>
      <c r="D81" s="398">
        <f>SUMIFS(uitkomst_tech[Arbeidsbesparing (€)],uitkomst_tech[Veld],A81,uitkomst_tech[Jaar],C81,uitkomst_tech[Uitgangssituatie/effect beleid],uitkomst_veld[[#This Row],[Uitgangssituatie/effect beleid]])</f>
        <v>21787002.480665311</v>
      </c>
      <c r="E81" s="407">
        <f>SUMIFS(uitkomst_tech[Arbeidsbesparing (FTE)],uitkomst_tech[Veld],A81,uitkomst_tech[Jaar],C81,uitkomst_tech[Uitgangssituatie/effect beleid],uitkomst_veld[[#This Row],[Uitgangssituatie/effect beleid]])</f>
        <v>405.18306797895713</v>
      </c>
      <c r="F81" s="398">
        <f>SUMIFS(uitkomst_tech[Overige besparingen (€)],uitkomst_tech[Veld],A81,uitkomst_tech[Jaar],C81,uitkomst_tech[Uitgangssituatie/effect beleid],uitkomst_veld[[#This Row],[Uitgangssituatie/effect beleid]])</f>
        <v>23100532.752522819</v>
      </c>
      <c r="G81" s="398">
        <f>SUMIFS(uitkomst_tech[QALY (€)],uitkomst_tech[Veld],A81,uitkomst_tech[Jaar],C81,uitkomst_tech[Uitgangssituatie/effect beleid],uitkomst_veld[[#This Row],[Uitgangssituatie/effect beleid]])</f>
        <v>0</v>
      </c>
      <c r="H81" s="398">
        <f>SUMIFS(uitkomst_tech[Kosten (€)],uitkomst_tech[Veld],A81,uitkomst_tech[Jaar],C81,uitkomst_tech[Uitgangssituatie/effect beleid],uitkomst_veld[[#This Row],[Uitgangssituatie/effect beleid]])</f>
        <v>8269931.8077044357</v>
      </c>
      <c r="I81" s="398">
        <f>SUMIFS(uitkomst_tech[Investering (cash flow) (€)],uitkomst_tech[Veld],A81,uitkomst_tech[Jaar],C81,uitkomst_tech[Uitgangssituatie/effect beleid],uitkomst_veld[[#This Row],[Uitgangssituatie/effect beleid]])</f>
        <v>0</v>
      </c>
    </row>
    <row r="82" spans="1:9" x14ac:dyDescent="0.5">
      <c r="A82" s="121" t="s">
        <v>8</v>
      </c>
      <c r="B82" s="42" t="s">
        <v>813</v>
      </c>
      <c r="C82" s="33">
        <v>2023</v>
      </c>
      <c r="D82" s="398">
        <f>SUMIFS(uitkomst_tech[Arbeidsbesparing (€)],uitkomst_tech[Veld],A82,uitkomst_tech[Jaar],C82,uitkomst_tech[Uitgangssituatie/effect beleid],uitkomst_veld[[#This Row],[Uitgangssituatie/effect beleid]])</f>
        <v>309876103.0892995</v>
      </c>
      <c r="E82" s="407">
        <f>SUMIFS(uitkomst_tech[Arbeidsbesparing (FTE)],uitkomst_tech[Veld],A82,uitkomst_tech[Jaar],C82,uitkomst_tech[Uitgangssituatie/effect beleid],uitkomst_veld[[#This Row],[Uitgangssituatie/effect beleid]])</f>
        <v>6249.8184289276787</v>
      </c>
      <c r="F82" s="398">
        <f>SUMIFS(uitkomst_tech[Overige besparingen (€)],uitkomst_tech[Veld],A82,uitkomst_tech[Jaar],C82,uitkomst_tech[Uitgangssituatie/effect beleid],uitkomst_veld[[#This Row],[Uitgangssituatie/effect beleid]])</f>
        <v>140829815.52107021</v>
      </c>
      <c r="G82" s="398">
        <f>SUMIFS(uitkomst_tech[QALY (€)],uitkomst_tech[Veld],A82,uitkomst_tech[Jaar],C82,uitkomst_tech[Uitgangssituatie/effect beleid],uitkomst_veld[[#This Row],[Uitgangssituatie/effect beleid]])</f>
        <v>37800000.000000007</v>
      </c>
      <c r="H82" s="398">
        <f>SUMIFS(uitkomst_tech[Kosten (€)],uitkomst_tech[Veld],A82,uitkomst_tech[Jaar],C82,uitkomst_tech[Uitgangssituatie/effect beleid],uitkomst_veld[[#This Row],[Uitgangssituatie/effect beleid]])</f>
        <v>93793299.052603796</v>
      </c>
      <c r="I82" s="398">
        <f>SUMIFS(uitkomst_tech[Investering (cash flow) (€)],uitkomst_tech[Veld],A82,uitkomst_tech[Jaar],C82,uitkomst_tech[Uitgangssituatie/effect beleid],uitkomst_veld[[#This Row],[Uitgangssituatie/effect beleid]])</f>
        <v>16550898.118734811</v>
      </c>
    </row>
    <row r="83" spans="1:9" x14ac:dyDescent="0.5">
      <c r="A83" s="121" t="s">
        <v>8</v>
      </c>
      <c r="B83" s="42" t="s">
        <v>813</v>
      </c>
      <c r="C83" s="33">
        <v>2024</v>
      </c>
      <c r="D83" s="398">
        <f>SUMIFS(uitkomst_tech[Arbeidsbesparing (€)],uitkomst_tech[Veld],A83,uitkomst_tech[Jaar],C83,uitkomst_tech[Uitgangssituatie/effect beleid],uitkomst_veld[[#This Row],[Uitgangssituatie/effect beleid]])</f>
        <v>402018102.58660489</v>
      </c>
      <c r="E83" s="407">
        <f>SUMIFS(uitkomst_tech[Arbeidsbesparing (FTE)],uitkomst_tech[Veld],A83,uitkomst_tech[Jaar],C83,uitkomst_tech[Uitgangssituatie/effect beleid],uitkomst_veld[[#This Row],[Uitgangssituatie/effect beleid]])</f>
        <v>8136.9073355881537</v>
      </c>
      <c r="F83" s="398">
        <f>SUMIFS(uitkomst_tech[Overige besparingen (€)],uitkomst_tech[Veld],A83,uitkomst_tech[Jaar],C83,uitkomst_tech[Uitgangssituatie/effect beleid],uitkomst_veld[[#This Row],[Uitgangssituatie/effect beleid]])</f>
        <v>180907669.86623815</v>
      </c>
      <c r="G83" s="398">
        <f>SUMIFS(uitkomst_tech[QALY (€)],uitkomst_tech[Veld],A83,uitkomst_tech[Jaar],C83,uitkomst_tech[Uitgangssituatie/effect beleid],uitkomst_veld[[#This Row],[Uitgangssituatie/effect beleid]])</f>
        <v>48006000.000000007</v>
      </c>
      <c r="H83" s="398">
        <f>SUMIFS(uitkomst_tech[Kosten (€)],uitkomst_tech[Veld],A83,uitkomst_tech[Jaar],C83,uitkomst_tech[Uitgangssituatie/effect beleid],uitkomst_veld[[#This Row],[Uitgangssituatie/effect beleid]])</f>
        <v>120722906.07137246</v>
      </c>
      <c r="I83" s="398">
        <f>SUMIFS(uitkomst_tech[Investering (cash flow) (€)],uitkomst_tech[Veld],A83,uitkomst_tech[Jaar],C83,uitkomst_tech[Uitgangssituatie/effect beleid],uitkomst_veld[[#This Row],[Uitgangssituatie/effect beleid]])</f>
        <v>18662251.522953354</v>
      </c>
    </row>
    <row r="84" spans="1:9" x14ac:dyDescent="0.5">
      <c r="A84" s="121" t="s">
        <v>8</v>
      </c>
      <c r="B84" s="42" t="s">
        <v>813</v>
      </c>
      <c r="C84" s="33">
        <v>2025</v>
      </c>
      <c r="D84" s="398">
        <f>SUMIFS(uitkomst_tech[Arbeidsbesparing (€)],uitkomst_tech[Veld],A84,uitkomst_tech[Jaar],C84,uitkomst_tech[Uitgangssituatie/effect beleid],uitkomst_veld[[#This Row],[Uitgangssituatie/effect beleid]])</f>
        <v>499285654.1339888</v>
      </c>
      <c r="E84" s="407">
        <f>SUMIFS(uitkomst_tech[Arbeidsbesparing (FTE)],uitkomst_tech[Veld],A84,uitkomst_tech[Jaar],C84,uitkomst_tech[Uitgangssituatie/effect beleid],uitkomst_veld[[#This Row],[Uitgangssituatie/effect beleid]])</f>
        <v>10139.96835110712</v>
      </c>
      <c r="F84" s="398">
        <f>SUMIFS(uitkomst_tech[Overige besparingen (€)],uitkomst_tech[Veld],A84,uitkomst_tech[Jaar],C84,uitkomst_tech[Uitgangssituatie/effect beleid],uitkomst_veld[[#This Row],[Uitgangssituatie/effect beleid]])</f>
        <v>222444908.1457428</v>
      </c>
      <c r="G84" s="398">
        <f>SUMIFS(uitkomst_tech[QALY (€)],uitkomst_tech[Veld],A84,uitkomst_tech[Jaar],C84,uitkomst_tech[Uitgangssituatie/effect beleid],uitkomst_veld[[#This Row],[Uitgangssituatie/effect beleid]])</f>
        <v>58383460.800000004</v>
      </c>
      <c r="H84" s="398">
        <f>SUMIFS(uitkomst_tech[Kosten (€)],uitkomst_tech[Veld],A84,uitkomst_tech[Jaar],C84,uitkomst_tech[Uitgangssituatie/effect beleid],uitkomst_veld[[#This Row],[Uitgangssituatie/effect beleid]])</f>
        <v>148380521.05050105</v>
      </c>
      <c r="I84" s="398">
        <f>SUMIFS(uitkomst_tech[Investering (cash flow) (€)],uitkomst_tech[Veld],A84,uitkomst_tech[Jaar],C84,uitkomst_tech[Uitgangssituatie/effect beleid],uitkomst_veld[[#This Row],[Uitgangssituatie/effect beleid]])</f>
        <v>19464524.708073083</v>
      </c>
    </row>
    <row r="85" spans="1:9" x14ac:dyDescent="0.5">
      <c r="A85" s="121" t="s">
        <v>8</v>
      </c>
      <c r="B85" s="42" t="s">
        <v>813</v>
      </c>
      <c r="C85" s="33">
        <v>2026</v>
      </c>
      <c r="D85" s="398">
        <f>SUMIFS(uitkomst_tech[Arbeidsbesparing (€)],uitkomst_tech[Veld],A85,uitkomst_tech[Jaar],C85,uitkomst_tech[Uitgangssituatie/effect beleid],uitkomst_veld[[#This Row],[Uitgangssituatie/effect beleid]])</f>
        <v>594425058.55750155</v>
      </c>
      <c r="E85" s="407">
        <f>SUMIFS(uitkomst_tech[Arbeidsbesparing (FTE)],uitkomst_tech[Veld],A85,uitkomst_tech[Jaar],C85,uitkomst_tech[Uitgangssituatie/effect beleid],uitkomst_veld[[#This Row],[Uitgangssituatie/effect beleid]])</f>
        <v>12109.423788242702</v>
      </c>
      <c r="F85" s="398">
        <f>SUMIFS(uitkomst_tech[Overige besparingen (€)],uitkomst_tech[Veld],A85,uitkomst_tech[Jaar],C85,uitkomst_tech[Uitgangssituatie/effect beleid],uitkomst_veld[[#This Row],[Uitgangssituatie/effect beleid]])</f>
        <v>262187521.45277873</v>
      </c>
      <c r="G85" s="398">
        <f>SUMIFS(uitkomst_tech[QALY (€)],uitkomst_tech[Veld],A85,uitkomst_tech[Jaar],C85,uitkomst_tech[Uitgangssituatie/effect beleid],uitkomst_veld[[#This Row],[Uitgangssituatie/effect beleid]])</f>
        <v>68031118.782369807</v>
      </c>
      <c r="H85" s="398">
        <f>SUMIFS(uitkomst_tech[Kosten (€)],uitkomst_tech[Veld],A85,uitkomst_tech[Jaar],C85,uitkomst_tech[Uitgangssituatie/effect beleid],uitkomst_veld[[#This Row],[Uitgangssituatie/effect beleid]])</f>
        <v>174346328.87109113</v>
      </c>
      <c r="I85" s="398">
        <f>SUMIFS(uitkomst_tech[Investering (cash flow) (€)],uitkomst_tech[Veld],A85,uitkomst_tech[Jaar],C85,uitkomst_tech[Uitgangssituatie/effect beleid],uitkomst_veld[[#This Row],[Uitgangssituatie/effect beleid]])</f>
        <v>18521343.812385239</v>
      </c>
    </row>
    <row r="86" spans="1:9" x14ac:dyDescent="0.5">
      <c r="A86" s="121" t="s">
        <v>8</v>
      </c>
      <c r="B86" s="42" t="s">
        <v>813</v>
      </c>
      <c r="C86" s="33">
        <v>2027</v>
      </c>
      <c r="D86" s="398">
        <f>SUMIFS(uitkomst_tech[Arbeidsbesparing (€)],uitkomst_tech[Veld],A86,uitkomst_tech[Jaar],C86,uitkomst_tech[Uitgangssituatie/effect beleid],uitkomst_veld[[#This Row],[Uitgangssituatie/effect beleid]])</f>
        <v>679139077.20339537</v>
      </c>
      <c r="E86" s="407">
        <f>SUMIFS(uitkomst_tech[Arbeidsbesparing (FTE)],uitkomst_tech[Veld],A86,uitkomst_tech[Jaar],C86,uitkomst_tech[Uitgangssituatie/effect beleid],uitkomst_veld[[#This Row],[Uitgangssituatie/effect beleid]])</f>
        <v>13873.47528639494</v>
      </c>
      <c r="F86" s="398">
        <f>SUMIFS(uitkomst_tech[Overige besparingen (€)],uitkomst_tech[Veld],A86,uitkomst_tech[Jaar],C86,uitkomst_tech[Uitgangssituatie/effect beleid],uitkomst_veld[[#This Row],[Uitgangssituatie/effect beleid]])</f>
        <v>296734633.32939732</v>
      </c>
      <c r="G86" s="398">
        <f>SUMIFS(uitkomst_tech[QALY (€)],uitkomst_tech[Veld],A86,uitkomst_tech[Jaar],C86,uitkomst_tech[Uitgangssituatie/effect beleid],uitkomst_veld[[#This Row],[Uitgangssituatie/effect beleid]])</f>
        <v>76182539.167158544</v>
      </c>
      <c r="H86" s="398">
        <f>SUMIFS(uitkomst_tech[Kosten (€)],uitkomst_tech[Veld],A86,uitkomst_tech[Jaar],C86,uitkomst_tech[Uitgangssituatie/effect beleid],uitkomst_veld[[#This Row],[Uitgangssituatie/effect beleid]])</f>
        <v>196379662.01084012</v>
      </c>
      <c r="I86" s="398">
        <f>SUMIFS(uitkomst_tech[Investering (cash flow) (€)],uitkomst_tech[Veld],A86,uitkomst_tech[Jaar],C86,uitkomst_tech[Uitgangssituatie/effect beleid],uitkomst_veld[[#This Row],[Uitgangssituatie/effect beleid]])</f>
        <v>15946915.452050617</v>
      </c>
    </row>
    <row r="87" spans="1:9" x14ac:dyDescent="0.5">
      <c r="A87" s="121" t="s">
        <v>8</v>
      </c>
      <c r="B87" s="42" t="s">
        <v>813</v>
      </c>
      <c r="C87" s="33">
        <v>2028</v>
      </c>
      <c r="D87" s="398">
        <f>SUMIFS(uitkomst_tech[Arbeidsbesparing (€)],uitkomst_tech[Veld],A87,uitkomst_tech[Jaar],C87,uitkomst_tech[Uitgangssituatie/effect beleid],uitkomst_veld[[#This Row],[Uitgangssituatie/effect beleid]])</f>
        <v>748228164.85914123</v>
      </c>
      <c r="E87" s="407">
        <f>SUMIFS(uitkomst_tech[Arbeidsbesparing (FTE)],uitkomst_tech[Veld],A87,uitkomst_tech[Jaar],C87,uitkomst_tech[Uitgangssituatie/effect beleid],uitkomst_veld[[#This Row],[Uitgangssituatie/effect beleid]])</f>
        <v>15319.844434585701</v>
      </c>
      <c r="F87" s="398">
        <f>SUMIFS(uitkomst_tech[Overige besparingen (€)],uitkomst_tech[Veld],A87,uitkomst_tech[Jaar],C87,uitkomst_tech[Uitgangssituatie/effect beleid],uitkomst_veld[[#This Row],[Uitgangssituatie/effect beleid]])</f>
        <v>324310143.15151721</v>
      </c>
      <c r="G87" s="398">
        <f>SUMIFS(uitkomst_tech[QALY (€)],uitkomst_tech[Veld],A87,uitkomst_tech[Jaar],C87,uitkomst_tech[Uitgangssituatie/effect beleid],uitkomst_veld[[#This Row],[Uitgangssituatie/effect beleid]])</f>
        <v>82455642.573617861</v>
      </c>
      <c r="H87" s="398">
        <f>SUMIFS(uitkomst_tech[Kosten (€)],uitkomst_tech[Veld],A87,uitkomst_tech[Jaar],C87,uitkomst_tech[Uitgangssituatie/effect beleid],uitkomst_veld[[#This Row],[Uitgangssituatie/effect beleid]])</f>
        <v>213490776.19364738</v>
      </c>
      <c r="I87" s="398">
        <f>SUMIFS(uitkomst_tech[Investering (cash flow) (€)],uitkomst_tech[Veld],A87,uitkomst_tech[Jaar],C87,uitkomst_tech[Uitgangssituatie/effect beleid],uitkomst_veld[[#This Row],[Uitgangssituatie/effect beleid]])</f>
        <v>12382517.772700531</v>
      </c>
    </row>
    <row r="88" spans="1:9" x14ac:dyDescent="0.5">
      <c r="A88" s="121" t="s">
        <v>8</v>
      </c>
      <c r="B88" s="42" t="s">
        <v>813</v>
      </c>
      <c r="C88" s="33">
        <v>2029</v>
      </c>
      <c r="D88" s="398">
        <f>SUMIFS(uitkomst_tech[Arbeidsbesparing (€)],uitkomst_tech[Veld],A88,uitkomst_tech[Jaar],C88,uitkomst_tech[Uitgangssituatie/effect beleid],uitkomst_veld[[#This Row],[Uitgangssituatie/effect beleid]])</f>
        <v>800298890.3507061</v>
      </c>
      <c r="E88" s="407">
        <f>SUMIFS(uitkomst_tech[Arbeidsbesparing (FTE)],uitkomst_tech[Veld],A88,uitkomst_tech[Jaar],C88,uitkomst_tech[Uitgangssituatie/effect beleid],uitkomst_veld[[#This Row],[Uitgangssituatie/effect beleid]])</f>
        <v>16413.875629302092</v>
      </c>
      <c r="F88" s="398">
        <f>SUMIFS(uitkomst_tech[Overige besparingen (€)],uitkomst_tech[Veld],A88,uitkomst_tech[Jaar],C88,uitkomst_tech[Uitgangssituatie/effect beleid],uitkomst_veld[[#This Row],[Uitgangssituatie/effect beleid]])</f>
        <v>344820204.06542492</v>
      </c>
      <c r="G88" s="398">
        <f>SUMIFS(uitkomst_tech[QALY (€)],uitkomst_tech[Veld],A88,uitkomst_tech[Jaar],C88,uitkomst_tech[Uitgangssituatie/effect beleid],uitkomst_veld[[#This Row],[Uitgangssituatie/effect beleid]])</f>
        <v>86900234.403536692</v>
      </c>
      <c r="H88" s="398">
        <f>SUMIFS(uitkomst_tech[Kosten (€)],uitkomst_tech[Veld],A88,uitkomst_tech[Jaar],C88,uitkomst_tech[Uitgangssituatie/effect beleid],uitkomst_veld[[#This Row],[Uitgangssituatie/effect beleid]])</f>
        <v>225895903.2695649</v>
      </c>
      <c r="I88" s="398">
        <f>SUMIFS(uitkomst_tech[Investering (cash flow) (€)],uitkomst_tech[Veld],A88,uitkomst_tech[Jaar],C88,uitkomst_tech[Uitgangssituatie/effect beleid],uitkomst_veld[[#This Row],[Uitgangssituatie/effect beleid]])</f>
        <v>8725151.0588756707</v>
      </c>
    </row>
    <row r="89" spans="1:9" x14ac:dyDescent="0.5">
      <c r="A89" s="121" t="s">
        <v>8</v>
      </c>
      <c r="B89" s="42" t="s">
        <v>813</v>
      </c>
      <c r="C89" s="33">
        <v>2030</v>
      </c>
      <c r="D89" s="398">
        <f>SUMIFS(uitkomst_tech[Arbeidsbesparing (€)],uitkomst_tech[Veld],A89,uitkomst_tech[Jaar],C89,uitkomst_tech[Uitgangssituatie/effect beleid],uitkomst_veld[[#This Row],[Uitgangssituatie/effect beleid]])</f>
        <v>837299617.80417812</v>
      </c>
      <c r="E89" s="407">
        <f>SUMIFS(uitkomst_tech[Arbeidsbesparing (FTE)],uitkomst_tech[Veld],A89,uitkomst_tech[Jaar],C89,uitkomst_tech[Uitgangssituatie/effect beleid],uitkomst_veld[[#This Row],[Uitgangssituatie/effect beleid]])</f>
        <v>17191.841631396863</v>
      </c>
      <c r="F89" s="398">
        <f>SUMIFS(uitkomst_tech[Overige besparingen (€)],uitkomst_tech[Veld],A89,uitkomst_tech[Jaar],C89,uitkomst_tech[Uitgangssituatie/effect beleid],uitkomst_veld[[#This Row],[Uitgangssituatie/effect beleid]])</f>
        <v>359390438.23045301</v>
      </c>
      <c r="G89" s="398">
        <f>SUMIFS(uitkomst_tech[QALY (€)],uitkomst_tech[Veld],A89,uitkomst_tech[Jaar],C89,uitkomst_tech[Uitgangssituatie/effect beleid],uitkomst_veld[[#This Row],[Uitgangssituatie/effect beleid]])</f>
        <v>89847664.262533039</v>
      </c>
      <c r="H89" s="398">
        <f>SUMIFS(uitkomst_tech[Kosten (€)],uitkomst_tech[Veld],A89,uitkomst_tech[Jaar],C89,uitkomst_tech[Uitgangssituatie/effect beleid],uitkomst_veld[[#This Row],[Uitgangssituatie/effect beleid]])</f>
        <v>234534679.30956027</v>
      </c>
      <c r="I89" s="398">
        <f>SUMIFS(uitkomst_tech[Investering (cash flow) (€)],uitkomst_tech[Veld],A89,uitkomst_tech[Jaar],C89,uitkomst_tech[Uitgangssituatie/effect beleid],uitkomst_veld[[#This Row],[Uitgangssituatie/effect beleid]])</f>
        <v>5675799.8022579644</v>
      </c>
    </row>
    <row r="90" spans="1:9" x14ac:dyDescent="0.5">
      <c r="A90" s="121" t="s">
        <v>8</v>
      </c>
      <c r="B90" s="42" t="s">
        <v>813</v>
      </c>
      <c r="C90" s="33">
        <v>2031</v>
      </c>
      <c r="D90" s="398">
        <f>SUMIFS(uitkomst_tech[Arbeidsbesparing (€)],uitkomst_tech[Veld],A90,uitkomst_tech[Jaar],C90,uitkomst_tech[Uitgangssituatie/effect beleid],uitkomst_veld[[#This Row],[Uitgangssituatie/effect beleid]])</f>
        <v>862899427.303339</v>
      </c>
      <c r="E90" s="407">
        <f>SUMIFS(uitkomst_tech[Arbeidsbesparing (FTE)],uitkomst_tech[Veld],A90,uitkomst_tech[Jaar],C90,uitkomst_tech[Uitgangssituatie/effect beleid],uitkomst_veld[[#This Row],[Uitgangssituatie/effect beleid]])</f>
        <v>17728.461372985817</v>
      </c>
      <c r="F90" s="398">
        <f>SUMIFS(uitkomst_tech[Overige besparingen (€)],uitkomst_tech[Veld],A90,uitkomst_tech[Jaar],C90,uitkomst_tech[Uitgangssituatie/effect beleid],uitkomst_veld[[#This Row],[Uitgangssituatie/effect beleid]])</f>
        <v>369610588.73281503</v>
      </c>
      <c r="G90" s="398">
        <f>SUMIFS(uitkomst_tech[QALY (€)],uitkomst_tech[Veld],A90,uitkomst_tech[Jaar],C90,uitkomst_tech[Uitgangssituatie/effect beleid],uitkomst_veld[[#This Row],[Uitgangssituatie/effect beleid]])</f>
        <v>91710029.493161812</v>
      </c>
      <c r="H90" s="398">
        <f>SUMIFS(uitkomst_tech[Kosten (€)],uitkomst_tech[Veld],A90,uitkomst_tech[Jaar],C90,uitkomst_tech[Uitgangssituatie/effect beleid],uitkomst_veld[[#This Row],[Uitgangssituatie/effect beleid]])</f>
        <v>240510606.94328874</v>
      </c>
      <c r="I90" s="398">
        <f>SUMIFS(uitkomst_tech[Investering (cash flow) (€)],uitkomst_tech[Veld],A90,uitkomst_tech[Jaar],C90,uitkomst_tech[Uitgangssituatie/effect beleid],uitkomst_veld[[#This Row],[Uitgangssituatie/effect beleid]])</f>
        <v>3493855.0344655113</v>
      </c>
    </row>
    <row r="91" spans="1:9" x14ac:dyDescent="0.5">
      <c r="A91" s="121" t="s">
        <v>8</v>
      </c>
      <c r="B91" s="42" t="s">
        <v>813</v>
      </c>
      <c r="C91" s="33">
        <v>2032</v>
      </c>
      <c r="D91" s="398">
        <f>SUMIFS(uitkomst_tech[Arbeidsbesparing (€)],uitkomst_tech[Veld],A91,uitkomst_tech[Jaar],C91,uitkomst_tech[Uitgangssituatie/effect beleid],uitkomst_veld[[#This Row],[Uitgangssituatie/effect beleid]])</f>
        <v>880825667.25109065</v>
      </c>
      <c r="E91" s="407">
        <f>SUMIFS(uitkomst_tech[Arbeidsbesparing (FTE)],uitkomst_tech[Veld],A91,uitkomst_tech[Jaar],C91,uitkomst_tech[Uitgangssituatie/effect beleid],uitkomst_veld[[#This Row],[Uitgangssituatie/effect beleid]])</f>
        <v>18101.571498923127</v>
      </c>
      <c r="F91" s="398">
        <f>SUMIFS(uitkomst_tech[Overige besparingen (€)],uitkomst_tech[Veld],A91,uitkomst_tech[Jaar],C91,uitkomst_tech[Uitgangssituatie/effect beleid],uitkomst_veld[[#This Row],[Uitgangssituatie/effect beleid]])</f>
        <v>376941829.22585446</v>
      </c>
      <c r="G91" s="398">
        <f>SUMIFS(uitkomst_tech[QALY (€)],uitkomst_tech[Veld],A91,uitkomst_tech[Jaar],C91,uitkomst_tech[Uitgangssituatie/effect beleid],uitkomst_veld[[#This Row],[Uitgangssituatie/effect beleid]])</f>
        <v>92848869.231201991</v>
      </c>
      <c r="H91" s="398">
        <f>SUMIFS(uitkomst_tech[Kosten (€)],uitkomst_tech[Veld],A91,uitkomst_tech[Jaar],C91,uitkomst_tech[Uitgangssituatie/effect beleid],uitkomst_veld[[#This Row],[Uitgangssituatie/effect beleid]])</f>
        <v>244752469.45952907</v>
      </c>
      <c r="I91" s="398">
        <f>SUMIFS(uitkomst_tech[Investering (cash flow) (€)],uitkomst_tech[Veld],A91,uitkomst_tech[Jaar],C91,uitkomst_tech[Uitgangssituatie/effect beleid],uitkomst_veld[[#This Row],[Uitgangssituatie/effect beleid]])</f>
        <v>2090963.2322773132</v>
      </c>
    </row>
    <row r="92" spans="1:9" x14ac:dyDescent="0.5">
      <c r="A92" s="121" t="s">
        <v>8</v>
      </c>
      <c r="B92" s="42" t="s">
        <v>813</v>
      </c>
      <c r="C92" s="33">
        <v>2033</v>
      </c>
      <c r="D92" s="398">
        <f>SUMIFS(uitkomst_tech[Arbeidsbesparing (€)],uitkomst_tech[Veld],A92,uitkomst_tech[Jaar],C92,uitkomst_tech[Uitgangssituatie/effect beleid],uitkomst_veld[[#This Row],[Uitgangssituatie/effect beleid]])</f>
        <v>893913092.71868086</v>
      </c>
      <c r="E92" s="407">
        <f>SUMIFS(uitkomst_tech[Arbeidsbesparing (FTE)],uitkomst_tech[Veld],A92,uitkomst_tech[Jaar],C92,uitkomst_tech[Uitgangssituatie/effect beleid],uitkomst_veld[[#This Row],[Uitgangssituatie/effect beleid]])</f>
        <v>18371.151627453386</v>
      </c>
      <c r="F92" s="398">
        <f>SUMIFS(uitkomst_tech[Overige besparingen (€)],uitkomst_tech[Veld],A92,uitkomst_tech[Jaar],C92,uitkomst_tech[Uitgangssituatie/effect beleid],uitkomst_veld[[#This Row],[Uitgangssituatie/effect beleid]])</f>
        <v>382438946.21029109</v>
      </c>
      <c r="G92" s="398">
        <f>SUMIFS(uitkomst_tech[QALY (€)],uitkomst_tech[Veld],A92,uitkomst_tech[Jaar],C92,uitkomst_tech[Uitgangssituatie/effect beleid],uitkomst_veld[[#This Row],[Uitgangssituatie/effect beleid]])</f>
        <v>93530804.544295385</v>
      </c>
      <c r="H92" s="398">
        <f>SUMIFS(uitkomst_tech[Kosten (€)],uitkomst_tech[Veld],A92,uitkomst_tech[Jaar],C92,uitkomst_tech[Uitgangssituatie/effect beleid],uitkomst_veld[[#This Row],[Uitgangssituatie/effect beleid]])</f>
        <v>247901005.41354734</v>
      </c>
      <c r="I92" s="398">
        <f>SUMIFS(uitkomst_tech[Investering (cash flow) (€)],uitkomst_tech[Veld],A92,uitkomst_tech[Jaar],C92,uitkomst_tech[Uitgangssituatie/effect beleid],uitkomst_veld[[#This Row],[Uitgangssituatie/effect beleid]])</f>
        <v>1248792.4830363696</v>
      </c>
    </row>
    <row r="93" spans="1:9" x14ac:dyDescent="0.5">
      <c r="A93" s="42" t="s">
        <v>9</v>
      </c>
      <c r="B93" s="42" t="s">
        <v>813</v>
      </c>
      <c r="C93" s="33">
        <v>2023</v>
      </c>
      <c r="D93" s="398">
        <f>SUMIFS(uitkomst_tech[Arbeidsbesparing (€)],uitkomst_tech[Veld],A93,uitkomst_tech[Jaar],C93,uitkomst_tech[Uitgangssituatie/effect beleid],uitkomst_veld[[#This Row],[Uitgangssituatie/effect beleid]])</f>
        <v>25160314.123586208</v>
      </c>
      <c r="E93" s="407">
        <f>SUMIFS(uitkomst_tech[Arbeidsbesparing (FTE)],uitkomst_tech[Veld],A93,uitkomst_tech[Jaar],C93,uitkomst_tech[Uitgangssituatie/effect beleid],uitkomst_veld[[#This Row],[Uitgangssituatie/effect beleid]])</f>
        <v>465.45353860018804</v>
      </c>
      <c r="F93" s="398">
        <f>SUMIFS(uitkomst_tech[Overige besparingen (€)],uitkomst_tech[Veld],A93,uitkomst_tech[Jaar],C93,uitkomst_tech[Uitgangssituatie/effect beleid],uitkomst_veld[[#This Row],[Uitgangssituatie/effect beleid]])</f>
        <v>13624805.952</v>
      </c>
      <c r="G93" s="398">
        <f>SUMIFS(uitkomst_tech[QALY (€)],uitkomst_tech[Veld],A93,uitkomst_tech[Jaar],C93,uitkomst_tech[Uitgangssituatie/effect beleid],uitkomst_veld[[#This Row],[Uitgangssituatie/effect beleid]])</f>
        <v>169620000</v>
      </c>
      <c r="H93" s="398">
        <f>SUMIFS(uitkomst_tech[Kosten (€)],uitkomst_tech[Veld],A93,uitkomst_tech[Jaar],C93,uitkomst_tech[Uitgangssituatie/effect beleid],uitkomst_veld[[#This Row],[Uitgangssituatie/effect beleid]])</f>
        <v>43944897.033333339</v>
      </c>
      <c r="I93" s="398">
        <f>SUMIFS(uitkomst_tech[Investering (cash flow) (€)],uitkomst_tech[Veld],A93,uitkomst_tech[Jaar],C93,uitkomst_tech[Uitgangssituatie/effect beleid],uitkomst_veld[[#This Row],[Uitgangssituatie/effect beleid]])</f>
        <v>8727793.5999999959</v>
      </c>
    </row>
    <row r="94" spans="1:9" x14ac:dyDescent="0.5">
      <c r="A94" s="42" t="s">
        <v>9</v>
      </c>
      <c r="B94" s="42" t="s">
        <v>813</v>
      </c>
      <c r="C94" s="33">
        <v>2024</v>
      </c>
      <c r="D94" s="398">
        <f>SUMIFS(uitkomst_tech[Arbeidsbesparing (€)],uitkomst_tech[Veld],A94,uitkomst_tech[Jaar],C94,uitkomst_tech[Uitgangssituatie/effect beleid],uitkomst_veld[[#This Row],[Uitgangssituatie/effect beleid]])</f>
        <v>29339125.793918159</v>
      </c>
      <c r="E94" s="407">
        <f>SUMIFS(uitkomst_tech[Arbeidsbesparing (FTE)],uitkomst_tech[Veld],A94,uitkomst_tech[Jaar],C94,uitkomst_tech[Uitgangssituatie/effect beleid],uitkomst_veld[[#This Row],[Uitgangssituatie/effect beleid]])</f>
        <v>543.65838934066096</v>
      </c>
      <c r="F94" s="398">
        <f>SUMIFS(uitkomst_tech[Overige besparingen (€)],uitkomst_tech[Veld],A94,uitkomst_tech[Jaar],C94,uitkomst_tech[Uitgangssituatie/effect beleid],uitkomst_veld[[#This Row],[Uitgangssituatie/effect beleid]])</f>
        <v>15791428.8288</v>
      </c>
      <c r="G94" s="398">
        <f>SUMIFS(uitkomst_tech[QALY (€)],uitkomst_tech[Veld],A94,uitkomst_tech[Jaar],C94,uitkomst_tech[Uitgangssituatie/effect beleid],uitkomst_veld[[#This Row],[Uitgangssituatie/effect beleid]])</f>
        <v>192482400</v>
      </c>
      <c r="H94" s="398">
        <f>SUMIFS(uitkomst_tech[Kosten (€)],uitkomst_tech[Veld],A94,uitkomst_tech[Jaar],C94,uitkomst_tech[Uitgangssituatie/effect beleid],uitkomst_veld[[#This Row],[Uitgangssituatie/effect beleid]])</f>
        <v>48706882.513333336</v>
      </c>
      <c r="I94" s="398">
        <f>SUMIFS(uitkomst_tech[Investering (cash flow) (€)],uitkomst_tech[Veld],A94,uitkomst_tech[Jaar],C94,uitkomst_tech[Uitgangssituatie/effect beleid],uitkomst_veld[[#This Row],[Uitgangssituatie/effect beleid]])</f>
        <v>6050030.2137300111</v>
      </c>
    </row>
    <row r="95" spans="1:9" x14ac:dyDescent="0.5">
      <c r="A95" s="42" t="s">
        <v>9</v>
      </c>
      <c r="B95" s="42" t="s">
        <v>813</v>
      </c>
      <c r="C95" s="33">
        <v>2025</v>
      </c>
      <c r="D95" s="398">
        <f>SUMIFS(uitkomst_tech[Arbeidsbesparing (€)],uitkomst_tech[Veld],A95,uitkomst_tech[Jaar],C95,uitkomst_tech[Uitgangssituatie/effect beleid],uitkomst_veld[[#This Row],[Uitgangssituatie/effect beleid]])</f>
        <v>33059417.328961235</v>
      </c>
      <c r="E95" s="407">
        <f>SUMIFS(uitkomst_tech[Arbeidsbesparing (FTE)],uitkomst_tech[Veld],A95,uitkomst_tech[Jaar],C95,uitkomst_tech[Uitgangssituatie/effect beleid],uitkomst_veld[[#This Row],[Uitgangssituatie/effect beleid]])</f>
        <v>612.94474696992438</v>
      </c>
      <c r="F95" s="398">
        <f>SUMIFS(uitkomst_tech[Overige besparingen (€)],uitkomst_tech[Veld],A95,uitkomst_tech[Jaar],C95,uitkomst_tech[Uitgangssituatie/effect beleid],uitkomst_veld[[#This Row],[Uitgangssituatie/effect beleid]])</f>
        <v>17756467.8043392</v>
      </c>
      <c r="G95" s="398">
        <f>SUMIFS(uitkomst_tech[QALY (€)],uitkomst_tech[Veld],A95,uitkomst_tech[Jaar],C95,uitkomst_tech[Uitgangssituatie/effect beleid],uitkomst_veld[[#This Row],[Uitgangssituatie/effect beleid]])</f>
        <v>211327241.07000002</v>
      </c>
      <c r="H95" s="398">
        <f>SUMIFS(uitkomst_tech[Kosten (€)],uitkomst_tech[Veld],A95,uitkomst_tech[Jaar],C95,uitkomst_tech[Uitgangssituatie/effect beleid],uitkomst_veld[[#This Row],[Uitgangssituatie/effect beleid]])</f>
        <v>52195574.856823348</v>
      </c>
      <c r="I95" s="398">
        <f>SUMIFS(uitkomst_tech[Investering (cash flow) (€)],uitkomst_tech[Veld],A95,uitkomst_tech[Jaar],C95,uitkomst_tech[Uitgangssituatie/effect beleid],uitkomst_veld[[#This Row],[Uitgangssituatie/effect beleid]])</f>
        <v>3891066.613969957</v>
      </c>
    </row>
    <row r="96" spans="1:9" x14ac:dyDescent="0.5">
      <c r="A96" s="42" t="s">
        <v>9</v>
      </c>
      <c r="B96" s="42" t="s">
        <v>813</v>
      </c>
      <c r="C96" s="33">
        <v>2026</v>
      </c>
      <c r="D96" s="398">
        <f>SUMIFS(uitkomst_tech[Arbeidsbesparing (€)],uitkomst_tech[Veld],A96,uitkomst_tech[Jaar],C96,uitkomst_tech[Uitgangssituatie/effect beleid],uitkomst_veld[[#This Row],[Uitgangssituatie/effect beleid]])</f>
        <v>37832606.439899132</v>
      </c>
      <c r="E96" s="407">
        <f>SUMIFS(uitkomst_tech[Arbeidsbesparing (FTE)],uitkomst_tech[Veld],A96,uitkomst_tech[Jaar],C96,uitkomst_tech[Uitgangssituatie/effect beleid],uitkomst_veld[[#This Row],[Uitgangssituatie/effect beleid]])</f>
        <v>699.20285437133987</v>
      </c>
      <c r="F96" s="398">
        <f>SUMIFS(uitkomst_tech[Overige besparingen (€)],uitkomst_tech[Veld],A96,uitkomst_tech[Jaar],C96,uitkomst_tech[Uitgangssituatie/effect beleid],uitkomst_veld[[#This Row],[Uitgangssituatie/effect beleid]])</f>
        <v>20560147.284593463</v>
      </c>
      <c r="G96" s="398">
        <f>SUMIFS(uitkomst_tech[QALY (€)],uitkomst_tech[Veld],A96,uitkomst_tech[Jaar],C96,uitkomst_tech[Uitgangssituatie/effect beleid],uitkomst_veld[[#This Row],[Uitgangssituatie/effect beleid]])</f>
        <v>240338791.03152451</v>
      </c>
      <c r="H96" s="398">
        <f>SUMIFS(uitkomst_tech[Kosten (€)],uitkomst_tech[Veld],A96,uitkomst_tech[Jaar],C96,uitkomst_tech[Uitgangssituatie/effect beleid],uitkomst_veld[[#This Row],[Uitgangssituatie/effect beleid]])</f>
        <v>55319359.056292355</v>
      </c>
      <c r="I96" s="398">
        <f>SUMIFS(uitkomst_tech[Investering (cash flow) (€)],uitkomst_tech[Veld],A96,uitkomst_tech[Jaar],C96,uitkomst_tech[Uitgangssituatie/effect beleid],uitkomst_veld[[#This Row],[Uitgangssituatie/effect beleid]])</f>
        <v>2384240.6905558081</v>
      </c>
    </row>
    <row r="97" spans="1:9" x14ac:dyDescent="0.5">
      <c r="A97" s="42" t="s">
        <v>9</v>
      </c>
      <c r="B97" s="42" t="s">
        <v>813</v>
      </c>
      <c r="C97" s="33">
        <v>2027</v>
      </c>
      <c r="D97" s="398">
        <f>SUMIFS(uitkomst_tech[Arbeidsbesparing (€)],uitkomst_tech[Veld],A97,uitkomst_tech[Jaar],C97,uitkomst_tech[Uitgangssituatie/effect beleid],uitkomst_veld[[#This Row],[Uitgangssituatie/effect beleid]])</f>
        <v>42632688.852908596</v>
      </c>
      <c r="E97" s="407">
        <f>SUMIFS(uitkomst_tech[Arbeidsbesparing (FTE)],uitkomst_tech[Veld],A97,uitkomst_tech[Jaar],C97,uitkomst_tech[Uitgangssituatie/effect beleid],uitkomst_veld[[#This Row],[Uitgangssituatie/effect beleid]])</f>
        <v>784.71878292081328</v>
      </c>
      <c r="F97" s="398">
        <f>SUMIFS(uitkomst_tech[Overige besparingen (€)],uitkomst_tech[Veld],A97,uitkomst_tech[Jaar],C97,uitkomst_tech[Uitgangssituatie/effect beleid],uitkomst_veld[[#This Row],[Uitgangssituatie/effect beleid]])</f>
        <v>23511184.017112598</v>
      </c>
      <c r="G97" s="398">
        <f>SUMIFS(uitkomst_tech[QALY (€)],uitkomst_tech[Veld],A97,uitkomst_tech[Jaar],C97,uitkomst_tech[Uitgangssituatie/effect beleid],uitkomst_veld[[#This Row],[Uitgangssituatie/effect beleid]])</f>
        <v>270924389.34691894</v>
      </c>
      <c r="H97" s="398">
        <f>SUMIFS(uitkomst_tech[Kosten (€)],uitkomst_tech[Veld],A97,uitkomst_tech[Jaar],C97,uitkomst_tech[Uitgangssituatie/effect beleid],uitkomst_veld[[#This Row],[Uitgangssituatie/effect beleid]])</f>
        <v>57913243.483647764</v>
      </c>
      <c r="I97" s="398">
        <f>SUMIFS(uitkomst_tech[Investering (cash flow) (€)],uitkomst_tech[Veld],A97,uitkomst_tech[Jaar],C97,uitkomst_tech[Uitgangssituatie/effect beleid],uitkomst_veld[[#This Row],[Uitgangssituatie/effect beleid]])</f>
        <v>1417270.1613173769</v>
      </c>
    </row>
    <row r="98" spans="1:9" x14ac:dyDescent="0.5">
      <c r="A98" s="42" t="s">
        <v>9</v>
      </c>
      <c r="B98" s="42" t="s">
        <v>813</v>
      </c>
      <c r="C98" s="33">
        <v>2028</v>
      </c>
      <c r="D98" s="398">
        <f>SUMIFS(uitkomst_tech[Arbeidsbesparing (€)],uitkomst_tech[Veld],A98,uitkomst_tech[Jaar],C98,uitkomst_tech[Uitgangssituatie/effect beleid],uitkomst_veld[[#This Row],[Uitgangssituatie/effect beleid]])</f>
        <v>47653683.646448828</v>
      </c>
      <c r="E98" s="407">
        <f>SUMIFS(uitkomst_tech[Arbeidsbesparing (FTE)],uitkomst_tech[Veld],A98,uitkomst_tech[Jaar],C98,uitkomst_tech[Uitgangssituatie/effect beleid],uitkomst_veld[[#This Row],[Uitgangssituatie/effect beleid]])</f>
        <v>873.14326716878634</v>
      </c>
      <c r="F98" s="398">
        <f>SUMIFS(uitkomst_tech[Overige besparingen (€)],uitkomst_tech[Veld],A98,uitkomst_tech[Jaar],C98,uitkomst_tech[Uitgangssituatie/effect beleid],uitkomst_veld[[#This Row],[Uitgangssituatie/effect beleid]])</f>
        <v>26708057.910716929</v>
      </c>
      <c r="G98" s="398">
        <f>SUMIFS(uitkomst_tech[QALY (€)],uitkomst_tech[Veld],A98,uitkomst_tech[Jaar],C98,uitkomst_tech[Uitgangssituatie/effect beleid],uitkomst_veld[[#This Row],[Uitgangssituatie/effect beleid]])</f>
        <v>305173308.71067917</v>
      </c>
      <c r="H98" s="398">
        <f>SUMIFS(uitkomst_tech[Kosten (€)],uitkomst_tech[Veld],A98,uitkomst_tech[Jaar],C98,uitkomst_tech[Uitgangssituatie/effect beleid],uitkomst_veld[[#This Row],[Uitgangssituatie/effect beleid]])</f>
        <v>60290340.199254997</v>
      </c>
      <c r="I98" s="398">
        <f>SUMIFS(uitkomst_tech[Investering (cash flow) (€)],uitkomst_tech[Veld],A98,uitkomst_tech[Jaar],C98,uitkomst_tech[Uitgangssituatie/effect beleid],uitkomst_veld[[#This Row],[Uitgangssituatie/effect beleid]])</f>
        <v>824831.73217312316</v>
      </c>
    </row>
    <row r="99" spans="1:9" x14ac:dyDescent="0.5">
      <c r="A99" s="42" t="s">
        <v>9</v>
      </c>
      <c r="B99" s="42" t="s">
        <v>813</v>
      </c>
      <c r="C99" s="33">
        <v>2029</v>
      </c>
      <c r="D99" s="398">
        <f>SUMIFS(uitkomst_tech[Arbeidsbesparing (€)],uitkomst_tech[Veld],A99,uitkomst_tech[Jaar],C99,uitkomst_tech[Uitgangssituatie/effect beleid],uitkomst_veld[[#This Row],[Uitgangssituatie/effect beleid]])</f>
        <v>53133183.728774816</v>
      </c>
      <c r="E99" s="407">
        <f>SUMIFS(uitkomst_tech[Arbeidsbesparing (FTE)],uitkomst_tech[Veld],A99,uitkomst_tech[Jaar],C99,uitkomst_tech[Uitgangssituatie/effect beleid],uitkomst_veld[[#This Row],[Uitgangssituatie/effect beleid]])</f>
        <v>968.91015437139833</v>
      </c>
      <c r="F99" s="398">
        <f>SUMIFS(uitkomst_tech[Overige besparingen (€)],uitkomst_tech[Veld],A99,uitkomst_tech[Jaar],C99,uitkomst_tech[Uitgangssituatie/effect beleid],uitkomst_veld[[#This Row],[Uitgangssituatie/effect beleid]])</f>
        <v>30275306.748817988</v>
      </c>
      <c r="G99" s="398">
        <f>SUMIFS(uitkomst_tech[QALY (€)],uitkomst_tech[Veld],A99,uitkomst_tech[Jaar],C99,uitkomst_tech[Uitgangssituatie/effect beleid],uitkomst_veld[[#This Row],[Uitgangssituatie/effect beleid]])</f>
        <v>345460845.8189348</v>
      </c>
      <c r="H99" s="398">
        <f>SUMIFS(uitkomst_tech[Kosten (€)],uitkomst_tech[Veld],A99,uitkomst_tech[Jaar],C99,uitkomst_tech[Uitgangssituatie/effect beleid],uitkomst_veld[[#This Row],[Uitgangssituatie/effect beleid]])</f>
        <v>62710503.42150294</v>
      </c>
      <c r="I99" s="398">
        <f>SUMIFS(uitkomst_tech[Investering (cash flow) (€)],uitkomst_tech[Veld],A99,uitkomst_tech[Jaar],C99,uitkomst_tech[Uitgangssituatie/effect beleid],uitkomst_veld[[#This Row],[Uitgangssituatie/effect beleid]])</f>
        <v>472220.32103193668</v>
      </c>
    </row>
    <row r="100" spans="1:9" x14ac:dyDescent="0.5">
      <c r="A100" s="42" t="s">
        <v>9</v>
      </c>
      <c r="B100" s="42" t="s">
        <v>813</v>
      </c>
      <c r="C100" s="33">
        <v>2030</v>
      </c>
      <c r="D100" s="398">
        <f>SUMIFS(uitkomst_tech[Arbeidsbesparing (€)],uitkomst_tech[Veld],A100,uitkomst_tech[Jaar],C100,uitkomst_tech[Uitgangssituatie/effect beleid],uitkomst_veld[[#This Row],[Uitgangssituatie/effect beleid]])</f>
        <v>59320157.425788954</v>
      </c>
      <c r="E100" s="407">
        <f>SUMIFS(uitkomst_tech[Arbeidsbesparing (FTE)],uitkomst_tech[Veld],A100,uitkomst_tech[Jaar],C100,uitkomst_tech[Uitgangssituatie/effect beleid],uitkomst_veld[[#This Row],[Uitgangssituatie/effect beleid]])</f>
        <v>1076.5779279070159</v>
      </c>
      <c r="F100" s="398">
        <f>SUMIFS(uitkomst_tech[Overige besparingen (€)],uitkomst_tech[Veld],A100,uitkomst_tech[Jaar],C100,uitkomst_tech[Uitgangssituatie/effect beleid],uitkomst_veld[[#This Row],[Uitgangssituatie/effect beleid]])</f>
        <v>34352819.480728306</v>
      </c>
      <c r="G100" s="398">
        <f>SUMIFS(uitkomst_tech[QALY (€)],uitkomst_tech[Veld],A100,uitkomst_tech[Jaar],C100,uitkomst_tech[Uitgangssituatie/effect beleid],uitkomst_veld[[#This Row],[Uitgangssituatie/effect beleid]])</f>
        <v>394073634.44270766</v>
      </c>
      <c r="H100" s="398">
        <f>SUMIFS(uitkomst_tech[Kosten (€)],uitkomst_tech[Veld],A100,uitkomst_tech[Jaar],C100,uitkomst_tech[Uitgangssituatie/effect beleid],uitkomst_veld[[#This Row],[Uitgangssituatie/effect beleid]])</f>
        <v>65377912.638981536</v>
      </c>
      <c r="I100" s="398">
        <f>SUMIFS(uitkomst_tech[Investering (cash flow) (€)],uitkomst_tech[Veld],A100,uitkomst_tech[Jaar],C100,uitkomst_tech[Uitgangssituatie/effect beleid],uitkomst_veld[[#This Row],[Uitgangssituatie/effect beleid]])</f>
        <v>266961.36626264674</v>
      </c>
    </row>
    <row r="101" spans="1:9" x14ac:dyDescent="0.5">
      <c r="A101" s="42" t="s">
        <v>9</v>
      </c>
      <c r="B101" s="42" t="s">
        <v>813</v>
      </c>
      <c r="C101" s="33">
        <v>2031</v>
      </c>
      <c r="D101" s="398">
        <f>SUMIFS(uitkomst_tech[Arbeidsbesparing (€)],uitkomst_tech[Veld],A101,uitkomst_tech[Jaar],C101,uitkomst_tech[Uitgangssituatie/effect beleid],uitkomst_veld[[#This Row],[Uitgangssituatie/effect beleid]])</f>
        <v>66409992.2633885</v>
      </c>
      <c r="E101" s="407">
        <f>SUMIFS(uitkomst_tech[Arbeidsbesparing (FTE)],uitkomst_tech[Veld],A101,uitkomst_tech[Jaar],C101,uitkomst_tech[Uitgangssituatie/effect beleid],uitkomst_veld[[#This Row],[Uitgangssituatie/effect beleid]])</f>
        <v>1199.6902071545883</v>
      </c>
      <c r="F101" s="398">
        <f>SUMIFS(uitkomst_tech[Overige besparingen (€)],uitkomst_tech[Veld],A101,uitkomst_tech[Jaar],C101,uitkomst_tech[Uitgangssituatie/effect beleid],uitkomst_veld[[#This Row],[Uitgangssituatie/effect beleid]])</f>
        <v>39054002.850758329</v>
      </c>
      <c r="G101" s="398">
        <f>SUMIFS(uitkomst_tech[QALY (€)],uitkomst_tech[Veld],A101,uitkomst_tech[Jaar],C101,uitkomst_tech[Uitgangssituatie/effect beleid],uitkomst_veld[[#This Row],[Uitgangssituatie/effect beleid]])</f>
        <v>452567271.0803175</v>
      </c>
      <c r="H101" s="398">
        <f>SUMIFS(uitkomst_tech[Kosten (€)],uitkomst_tech[Veld],A101,uitkomst_tech[Jaar],C101,uitkomst_tech[Uitgangssituatie/effect beleid],uitkomst_veld[[#This Row],[Uitgangssituatie/effect beleid]])</f>
        <v>68428179.936570525</v>
      </c>
      <c r="I101" s="398">
        <f>SUMIFS(uitkomst_tech[Investering (cash flow) (€)],uitkomst_tech[Veld],A101,uitkomst_tech[Jaar],C101,uitkomst_tech[Uitgangssituatie/effect beleid],uitkomst_veld[[#This Row],[Uitgangssituatie/effect beleid]])</f>
        <v>149596.87370608651</v>
      </c>
    </row>
    <row r="102" spans="1:9" x14ac:dyDescent="0.5">
      <c r="A102" s="42" t="s">
        <v>9</v>
      </c>
      <c r="B102" s="42" t="s">
        <v>813</v>
      </c>
      <c r="C102" s="33">
        <v>2032</v>
      </c>
      <c r="D102" s="398">
        <f>SUMIFS(uitkomst_tech[Arbeidsbesparing (€)],uitkomst_tech[Veld],A102,uitkomst_tech[Jaar],C102,uitkomst_tech[Uitgangssituatie/effect beleid],uitkomst_veld[[#This Row],[Uitgangssituatie/effect beleid]])</f>
        <v>74444482.747513771</v>
      </c>
      <c r="E102" s="407">
        <f>SUMIFS(uitkomst_tech[Arbeidsbesparing (FTE)],uitkomst_tech[Veld],A102,uitkomst_tech[Jaar],C102,uitkomst_tech[Uitgangssituatie/effect beleid],uitkomst_veld[[#This Row],[Uitgangssituatie/effect beleid]])</f>
        <v>1339.0636734157674</v>
      </c>
      <c r="F102" s="398">
        <f>SUMIFS(uitkomst_tech[Overige besparingen (€)],uitkomst_tech[Veld],A102,uitkomst_tech[Jaar],C102,uitkomst_tech[Uitgangssituatie/effect beleid],uitkomst_veld[[#This Row],[Uitgangssituatie/effect beleid]])</f>
        <v>44396829.393801883</v>
      </c>
      <c r="G102" s="398">
        <f>SUMIFS(uitkomst_tech[QALY (€)],uitkomst_tech[Veld],A102,uitkomst_tech[Jaar],C102,uitkomst_tech[Uitgangssituatie/effect beleid],uitkomst_veld[[#This Row],[Uitgangssituatie/effect beleid]])</f>
        <v>520945810.07088661</v>
      </c>
      <c r="H102" s="398">
        <f>SUMIFS(uitkomst_tech[Kosten (€)],uitkomst_tech[Veld],A102,uitkomst_tech[Jaar],C102,uitkomst_tech[Uitgangssituatie/effect beleid],uitkomst_veld[[#This Row],[Uitgangssituatie/effect beleid]])</f>
        <v>71900179.736145586</v>
      </c>
      <c r="I102" s="398">
        <f>SUMIFS(uitkomst_tech[Investering (cash flow) (€)],uitkomst_tech[Veld],A102,uitkomst_tech[Jaar],C102,uitkomst_tech[Uitgangssituatie/effect beleid],uitkomst_veld[[#This Row],[Uitgangssituatie/effect beleid]])</f>
        <v>83376.524570762092</v>
      </c>
    </row>
    <row r="103" spans="1:9" x14ac:dyDescent="0.5">
      <c r="A103" s="42" t="s">
        <v>9</v>
      </c>
      <c r="B103" s="42" t="s">
        <v>813</v>
      </c>
      <c r="C103" s="33">
        <v>2033</v>
      </c>
      <c r="D103" s="398">
        <f>SUMIFS(uitkomst_tech[Arbeidsbesparing (€)],uitkomst_tech[Veld],A103,uitkomst_tech[Jaar],C103,uitkomst_tech[Uitgangssituatie/effect beleid],uitkomst_veld[[#This Row],[Uitgangssituatie/effect beleid]])</f>
        <v>83210283.629476875</v>
      </c>
      <c r="E103" s="407">
        <f>SUMIFS(uitkomst_tech[Arbeidsbesparing (FTE)],uitkomst_tech[Veld],A103,uitkomst_tech[Jaar],C103,uitkomst_tech[Uitgangssituatie/effect beleid],uitkomst_veld[[#This Row],[Uitgangssituatie/effect beleid]])</f>
        <v>1491.0522390484209</v>
      </c>
      <c r="F103" s="398">
        <f>SUMIFS(uitkomst_tech[Overige besparingen (€)],uitkomst_tech[Veld],A103,uitkomst_tech[Jaar],C103,uitkomst_tech[Uitgangssituatie/effect beleid],uitkomst_veld[[#This Row],[Uitgangssituatie/effect beleid]])</f>
        <v>50233558.396506704</v>
      </c>
      <c r="G103" s="398">
        <f>SUMIFS(uitkomst_tech[QALY (€)],uitkomst_tech[Veld],A103,uitkomst_tech[Jaar],C103,uitkomst_tech[Uitgangssituatie/effect beleid],uitkomst_veld[[#This Row],[Uitgangssituatie/effect beleid]])</f>
        <v>596898919.37065423</v>
      </c>
      <c r="H103" s="398">
        <f>SUMIFS(uitkomst_tech[Kosten (€)],uitkomst_tech[Veld],A103,uitkomst_tech[Jaar],C103,uitkomst_tech[Uitgangssituatie/effect beleid],uitkomst_veld[[#This Row],[Uitgangssituatie/effect beleid]])</f>
        <v>75705294.400380611</v>
      </c>
      <c r="I103" s="398">
        <f>SUMIFS(uitkomst_tech[Investering (cash flow) (€)],uitkomst_tech[Veld],A103,uitkomst_tech[Jaar],C103,uitkomst_tech[Uitgangssituatie/effect beleid],uitkomst_veld[[#This Row],[Uitgangssituatie/effect beleid]])</f>
        <v>46341.317334285544</v>
      </c>
    </row>
    <row r="104" spans="1:9" x14ac:dyDescent="0.5">
      <c r="A104" s="120" t="s">
        <v>10</v>
      </c>
      <c r="B104" s="42" t="s">
        <v>813</v>
      </c>
      <c r="C104" s="33">
        <v>2023</v>
      </c>
      <c r="D104" s="398">
        <f>SUMIFS(uitkomst_tech[Arbeidsbesparing (€)],uitkomst_tech[Veld],A104,uitkomst_tech[Jaar],C104,uitkomst_tech[Uitgangssituatie/effect beleid],uitkomst_veld[[#This Row],[Uitgangssituatie/effect beleid]])</f>
        <v>81267717.281126022</v>
      </c>
      <c r="E104" s="407">
        <f>SUMIFS(uitkomst_tech[Arbeidsbesparing (FTE)],uitkomst_tech[Veld],A104,uitkomst_tech[Jaar],C104,uitkomst_tech[Uitgangssituatie/effect beleid],uitkomst_veld[[#This Row],[Uitgangssituatie/effect beleid]])</f>
        <v>1914.248298218919</v>
      </c>
      <c r="F104" s="398">
        <f>SUMIFS(uitkomst_tech[Overige besparingen (€)],uitkomst_tech[Veld],A104,uitkomst_tech[Jaar],C104,uitkomst_tech[Uitgangssituatie/effect beleid],uitkomst_veld[[#This Row],[Uitgangssituatie/effect beleid]])</f>
        <v>31745158.914220948</v>
      </c>
      <c r="G104" s="398">
        <f>SUMIFS(uitkomst_tech[QALY (€)],uitkomst_tech[Veld],A104,uitkomst_tech[Jaar],C104,uitkomst_tech[Uitgangssituatie/effect beleid],uitkomst_veld[[#This Row],[Uitgangssituatie/effect beleid]])</f>
        <v>0</v>
      </c>
      <c r="H104" s="398">
        <f>SUMIFS(uitkomst_tech[Kosten (€)],uitkomst_tech[Veld],A104,uitkomst_tech[Jaar],C104,uitkomst_tech[Uitgangssituatie/effect beleid],uitkomst_veld[[#This Row],[Uitgangssituatie/effect beleid]])</f>
        <v>69998895.000662655</v>
      </c>
      <c r="I104" s="398">
        <f>SUMIFS(uitkomst_tech[Investering (cash flow) (€)],uitkomst_tech[Veld],A104,uitkomst_tech[Jaar],C104,uitkomst_tech[Uitgangssituatie/effect beleid],uitkomst_veld[[#This Row],[Uitgangssituatie/effect beleid]])</f>
        <v>2764845.3590000002</v>
      </c>
    </row>
    <row r="105" spans="1:9" x14ac:dyDescent="0.5">
      <c r="A105" s="120" t="s">
        <v>10</v>
      </c>
      <c r="B105" s="42" t="s">
        <v>813</v>
      </c>
      <c r="C105" s="33">
        <v>2024</v>
      </c>
      <c r="D105" s="398">
        <f>SUMIFS(uitkomst_tech[Arbeidsbesparing (€)],uitkomst_tech[Veld],A105,uitkomst_tech[Jaar],C105,uitkomst_tech[Uitgangssituatie/effect beleid],uitkomst_veld[[#This Row],[Uitgangssituatie/effect beleid]])</f>
        <v>107886494.06802726</v>
      </c>
      <c r="E105" s="407">
        <f>SUMIFS(uitkomst_tech[Arbeidsbesparing (FTE)],uitkomst_tech[Veld],A105,uitkomst_tech[Jaar],C105,uitkomst_tech[Uitgangssituatie/effect beleid],uitkomst_veld[[#This Row],[Uitgangssituatie/effect beleid]])</f>
        <v>2541.2493986525465</v>
      </c>
      <c r="F105" s="398">
        <f>SUMIFS(uitkomst_tech[Overige besparingen (€)],uitkomst_tech[Veld],A105,uitkomst_tech[Jaar],C105,uitkomst_tech[Uitgangssituatie/effect beleid],uitkomst_veld[[#This Row],[Uitgangssituatie/effect beleid]])</f>
        <v>41162764.314739533</v>
      </c>
      <c r="G105" s="398">
        <f>SUMIFS(uitkomst_tech[QALY (€)],uitkomst_tech[Veld],A105,uitkomst_tech[Jaar],C105,uitkomst_tech[Uitgangssituatie/effect beleid],uitkomst_veld[[#This Row],[Uitgangssituatie/effect beleid]])</f>
        <v>0</v>
      </c>
      <c r="H105" s="398">
        <f>SUMIFS(uitkomst_tech[Kosten (€)],uitkomst_tech[Veld],A105,uitkomst_tech[Jaar],C105,uitkomst_tech[Uitgangssituatie/effect beleid],uitkomst_veld[[#This Row],[Uitgangssituatie/effect beleid]])</f>
        <v>92077157.216079056</v>
      </c>
      <c r="I105" s="398">
        <f>SUMIFS(uitkomst_tech[Investering (cash flow) (€)],uitkomst_tech[Veld],A105,uitkomst_tech[Jaar],C105,uitkomst_tech[Uitgangssituatie/effect beleid],uitkomst_veld[[#This Row],[Uitgangssituatie/effect beleid]])</f>
        <v>3184579.4515007995</v>
      </c>
    </row>
    <row r="106" spans="1:9" x14ac:dyDescent="0.5">
      <c r="A106" s="120" t="s">
        <v>10</v>
      </c>
      <c r="B106" s="42" t="s">
        <v>813</v>
      </c>
      <c r="C106" s="33">
        <v>2025</v>
      </c>
      <c r="D106" s="398">
        <f>SUMIFS(uitkomst_tech[Arbeidsbesparing (€)],uitkomst_tech[Veld],A106,uitkomst_tech[Jaar],C106,uitkomst_tech[Uitgangssituatie/effect beleid],uitkomst_veld[[#This Row],[Uitgangssituatie/effect beleid]])</f>
        <v>137185149.52850083</v>
      </c>
      <c r="E106" s="407">
        <f>SUMIFS(uitkomst_tech[Arbeidsbesparing (FTE)],uitkomst_tech[Veld],A106,uitkomst_tech[Jaar],C106,uitkomst_tech[Uitgangssituatie/effect beleid],uitkomst_veld[[#This Row],[Uitgangssituatie/effect beleid]])</f>
        <v>3231.3746197326695</v>
      </c>
      <c r="F106" s="398">
        <f>SUMIFS(uitkomst_tech[Overige besparingen (€)],uitkomst_tech[Veld],A106,uitkomst_tech[Jaar],C106,uitkomst_tech[Uitgangssituatie/effect beleid],uitkomst_veld[[#This Row],[Uitgangssituatie/effect beleid]])</f>
        <v>51166042.554292142</v>
      </c>
      <c r="G106" s="398">
        <f>SUMIFS(uitkomst_tech[QALY (€)],uitkomst_tech[Veld],A106,uitkomst_tech[Jaar],C106,uitkomst_tech[Uitgangssituatie/effect beleid],uitkomst_veld[[#This Row],[Uitgangssituatie/effect beleid]])</f>
        <v>0</v>
      </c>
      <c r="H106" s="398">
        <f>SUMIFS(uitkomst_tech[Kosten (€)],uitkomst_tech[Veld],A106,uitkomst_tech[Jaar],C106,uitkomst_tech[Uitgangssituatie/effect beleid],uitkomst_veld[[#This Row],[Uitgangssituatie/effect beleid]])</f>
        <v>115724823.58023463</v>
      </c>
      <c r="I106" s="398">
        <f>SUMIFS(uitkomst_tech[Investering (cash flow) (€)],uitkomst_tech[Veld],A106,uitkomst_tech[Jaar],C106,uitkomst_tech[Uitgangssituatie/effect beleid],uitkomst_veld[[#This Row],[Uitgangssituatie/effect beleid]])</f>
        <v>3498194.2894259593</v>
      </c>
    </row>
    <row r="107" spans="1:9" x14ac:dyDescent="0.5">
      <c r="A107" s="120" t="s">
        <v>10</v>
      </c>
      <c r="B107" s="42" t="s">
        <v>813</v>
      </c>
      <c r="C107" s="33">
        <v>2026</v>
      </c>
      <c r="D107" s="398">
        <f>SUMIFS(uitkomst_tech[Arbeidsbesparing (€)],uitkomst_tech[Veld],A107,uitkomst_tech[Jaar],C107,uitkomst_tech[Uitgangssituatie/effect beleid],uitkomst_veld[[#This Row],[Uitgangssituatie/effect beleid]])</f>
        <v>169233756.28417629</v>
      </c>
      <c r="E107" s="407">
        <f>SUMIFS(uitkomst_tech[Arbeidsbesparing (FTE)],uitkomst_tech[Veld],A107,uitkomst_tech[Jaar],C107,uitkomst_tech[Uitgangssituatie/effect beleid],uitkomst_veld[[#This Row],[Uitgangssituatie/effect beleid]])</f>
        <v>3986.2745110402725</v>
      </c>
      <c r="F107" s="398">
        <f>SUMIFS(uitkomst_tech[Overige besparingen (€)],uitkomst_tech[Veld],A107,uitkomst_tech[Jaar],C107,uitkomst_tech[Uitgangssituatie/effect beleid],uitkomst_veld[[#This Row],[Uitgangssituatie/effect beleid]])</f>
        <v>61110343.667630062</v>
      </c>
      <c r="G107" s="398">
        <f>SUMIFS(uitkomst_tech[QALY (€)],uitkomst_tech[Veld],A107,uitkomst_tech[Jaar],C107,uitkomst_tech[Uitgangssituatie/effect beleid],uitkomst_veld[[#This Row],[Uitgangssituatie/effect beleid]])</f>
        <v>0</v>
      </c>
      <c r="H107" s="398">
        <f>SUMIFS(uitkomst_tech[Kosten (€)],uitkomst_tech[Veld],A107,uitkomst_tech[Jaar],C107,uitkomst_tech[Uitgangssituatie/effect beleid],uitkomst_veld[[#This Row],[Uitgangssituatie/effect beleid]])</f>
        <v>140019674.6088095</v>
      </c>
      <c r="I107" s="398">
        <f>SUMIFS(uitkomst_tech[Investering (cash flow) (€)],uitkomst_tech[Veld],A107,uitkomst_tech[Jaar],C107,uitkomst_tech[Uitgangssituatie/effect beleid],uitkomst_veld[[#This Row],[Uitgangssituatie/effect beleid]])</f>
        <v>3638902.5011684732</v>
      </c>
    </row>
    <row r="108" spans="1:9" x14ac:dyDescent="0.5">
      <c r="A108" s="120" t="s">
        <v>10</v>
      </c>
      <c r="B108" s="42" t="s">
        <v>813</v>
      </c>
      <c r="C108" s="33">
        <v>2027</v>
      </c>
      <c r="D108" s="398">
        <f>SUMIFS(uitkomst_tech[Arbeidsbesparing (€)],uitkomst_tech[Veld],A108,uitkomst_tech[Jaar],C108,uitkomst_tech[Uitgangssituatie/effect beleid],uitkomst_veld[[#This Row],[Uitgangssituatie/effect beleid]])</f>
        <v>200430602.14627478</v>
      </c>
      <c r="E108" s="407">
        <f>SUMIFS(uitkomst_tech[Arbeidsbesparing (FTE)],uitkomst_tech[Veld],A108,uitkomst_tech[Jaar],C108,uitkomst_tech[Uitgangssituatie/effect beleid],uitkomst_veld[[#This Row],[Uitgangssituatie/effect beleid]])</f>
        <v>4721.1113084704039</v>
      </c>
      <c r="F108" s="398">
        <f>SUMIFS(uitkomst_tech[Overige besparingen (€)],uitkomst_tech[Veld],A108,uitkomst_tech[Jaar],C108,uitkomst_tech[Uitgangssituatie/effect beleid],uitkomst_veld[[#This Row],[Uitgangssituatie/effect beleid]])</f>
        <v>70063862.189507216</v>
      </c>
      <c r="G108" s="398">
        <f>SUMIFS(uitkomst_tech[QALY (€)],uitkomst_tech[Veld],A108,uitkomst_tech[Jaar],C108,uitkomst_tech[Uitgangssituatie/effect beleid],uitkomst_veld[[#This Row],[Uitgangssituatie/effect beleid]])</f>
        <v>0</v>
      </c>
      <c r="H108" s="398">
        <f>SUMIFS(uitkomst_tech[Kosten (€)],uitkomst_tech[Veld],A108,uitkomst_tech[Jaar],C108,uitkomst_tech[Uitgangssituatie/effect beleid],uitkomst_veld[[#This Row],[Uitgangssituatie/effect beleid]])</f>
        <v>162368904.93560249</v>
      </c>
      <c r="I108" s="398">
        <f>SUMIFS(uitkomst_tech[Investering (cash flow) (€)],uitkomst_tech[Veld],A108,uitkomst_tech[Jaar],C108,uitkomst_tech[Uitgangssituatie/effect beleid],uitkomst_veld[[#This Row],[Uitgangssituatie/effect beleid]])</f>
        <v>3562047.6441248618</v>
      </c>
    </row>
    <row r="109" spans="1:9" x14ac:dyDescent="0.5">
      <c r="A109" s="120" t="s">
        <v>10</v>
      </c>
      <c r="B109" s="42" t="s">
        <v>813</v>
      </c>
      <c r="C109" s="33">
        <v>2028</v>
      </c>
      <c r="D109" s="398">
        <f>SUMIFS(uitkomst_tech[Arbeidsbesparing (€)],uitkomst_tech[Veld],A109,uitkomst_tech[Jaar],C109,uitkomst_tech[Uitgangssituatie/effect beleid],uitkomst_veld[[#This Row],[Uitgangssituatie/effect beleid]])</f>
        <v>229322151.6217182</v>
      </c>
      <c r="E109" s="407">
        <f>SUMIFS(uitkomst_tech[Arbeidsbesparing (FTE)],uitkomst_tech[Veld],A109,uitkomst_tech[Jaar],C109,uitkomst_tech[Uitgangssituatie/effect beleid],uitkomst_veld[[#This Row],[Uitgangssituatie/effect beleid]])</f>
        <v>5401.6472121055331</v>
      </c>
      <c r="F109" s="398">
        <f>SUMIFS(uitkomst_tech[Overige besparingen (€)],uitkomst_tech[Veld],A109,uitkomst_tech[Jaar],C109,uitkomst_tech[Uitgangssituatie/effect beleid],uitkomst_veld[[#This Row],[Uitgangssituatie/effect beleid]])</f>
        <v>77658115.854452476</v>
      </c>
      <c r="G109" s="398">
        <f>SUMIFS(uitkomst_tech[QALY (€)],uitkomst_tech[Veld],A109,uitkomst_tech[Jaar],C109,uitkomst_tech[Uitgangssituatie/effect beleid],uitkomst_veld[[#This Row],[Uitgangssituatie/effect beleid]])</f>
        <v>0</v>
      </c>
      <c r="H109" s="398">
        <f>SUMIFS(uitkomst_tech[Kosten (€)],uitkomst_tech[Veld],A109,uitkomst_tech[Jaar],C109,uitkomst_tech[Uitgangssituatie/effect beleid],uitkomst_veld[[#This Row],[Uitgangssituatie/effect beleid]])</f>
        <v>181831022.82949528</v>
      </c>
      <c r="I109" s="398">
        <f>SUMIFS(uitkomst_tech[Investering (cash flow) (€)],uitkomst_tech[Veld],A109,uitkomst_tech[Jaar],C109,uitkomst_tech[Uitgangssituatie/effect beleid],uitkomst_veld[[#This Row],[Uitgangssituatie/effect beleid]])</f>
        <v>3265734.0450306931</v>
      </c>
    </row>
    <row r="110" spans="1:9" x14ac:dyDescent="0.5">
      <c r="A110" s="120" t="s">
        <v>10</v>
      </c>
      <c r="B110" s="42" t="s">
        <v>813</v>
      </c>
      <c r="C110" s="33">
        <v>2029</v>
      </c>
      <c r="D110" s="398">
        <f>SUMIFS(uitkomst_tech[Arbeidsbesparing (€)],uitkomst_tech[Veld],A110,uitkomst_tech[Jaar],C110,uitkomst_tech[Uitgangssituatie/effect beleid],uitkomst_veld[[#This Row],[Uitgangssituatie/effect beleid]])</f>
        <v>255265963.09824106</v>
      </c>
      <c r="E110" s="407">
        <f>SUMIFS(uitkomst_tech[Arbeidsbesparing (FTE)],uitkomst_tech[Veld],A110,uitkomst_tech[Jaar],C110,uitkomst_tech[Uitgangssituatie/effect beleid],uitkomst_veld[[#This Row],[Uitgangssituatie/effect beleid]])</f>
        <v>6012.7496108163214</v>
      </c>
      <c r="F110" s="398">
        <f>SUMIFS(uitkomst_tech[Overige besparingen (€)],uitkomst_tech[Veld],A110,uitkomst_tech[Jaar],C110,uitkomst_tech[Uitgangssituatie/effect beleid],uitkomst_veld[[#This Row],[Uitgangssituatie/effect beleid]])</f>
        <v>83907326.987444043</v>
      </c>
      <c r="G110" s="398">
        <f>SUMIFS(uitkomst_tech[QALY (€)],uitkomst_tech[Veld],A110,uitkomst_tech[Jaar],C110,uitkomst_tech[Uitgangssituatie/effect beleid],uitkomst_veld[[#This Row],[Uitgangssituatie/effect beleid]])</f>
        <v>0</v>
      </c>
      <c r="H110" s="398">
        <f>SUMIFS(uitkomst_tech[Kosten (€)],uitkomst_tech[Veld],A110,uitkomst_tech[Jaar],C110,uitkomst_tech[Uitgangssituatie/effect beleid],uitkomst_veld[[#This Row],[Uitgangssituatie/effect beleid]])</f>
        <v>198344559.81511396</v>
      </c>
      <c r="I110" s="398">
        <f>SUMIFS(uitkomst_tech[Investering (cash flow) (€)],uitkomst_tech[Veld],A110,uitkomst_tech[Jaar],C110,uitkomst_tech[Uitgangssituatie/effect beleid],uitkomst_veld[[#This Row],[Uitgangssituatie/effect beleid]])</f>
        <v>2798896.4259212613</v>
      </c>
    </row>
    <row r="111" spans="1:9" x14ac:dyDescent="0.5">
      <c r="A111" s="120" t="s">
        <v>10</v>
      </c>
      <c r="B111" s="42" t="s">
        <v>813</v>
      </c>
      <c r="C111" s="33">
        <v>2030</v>
      </c>
      <c r="D111" s="398">
        <f>SUMIFS(uitkomst_tech[Arbeidsbesparing (€)],uitkomst_tech[Veld],A111,uitkomst_tech[Jaar],C111,uitkomst_tech[Uitgangssituatie/effect beleid],uitkomst_veld[[#This Row],[Uitgangssituatie/effect beleid]])</f>
        <v>278395232.0807851</v>
      </c>
      <c r="E111" s="407">
        <f>SUMIFS(uitkomst_tech[Arbeidsbesparing (FTE)],uitkomst_tech[Veld],A111,uitkomst_tech[Jaar],C111,uitkomst_tech[Uitgangssituatie/effect beleid],uitkomst_veld[[#This Row],[Uitgangssituatie/effect beleid]])</f>
        <v>6557.5559037717803</v>
      </c>
      <c r="F111" s="398">
        <f>SUMIFS(uitkomst_tech[Overige besparingen (€)],uitkomst_tech[Veld],A111,uitkomst_tech[Jaar],C111,uitkomst_tech[Uitgangssituatie/effect beleid],uitkomst_veld[[#This Row],[Uitgangssituatie/effect beleid]])</f>
        <v>89075925.324743137</v>
      </c>
      <c r="G111" s="398">
        <f>SUMIFS(uitkomst_tech[QALY (€)],uitkomst_tech[Veld],A111,uitkomst_tech[Jaar],C111,uitkomst_tech[Uitgangssituatie/effect beleid],uitkomst_veld[[#This Row],[Uitgangssituatie/effect beleid]])</f>
        <v>0</v>
      </c>
      <c r="H111" s="398">
        <f>SUMIFS(uitkomst_tech[Kosten (€)],uitkomst_tech[Veld],A111,uitkomst_tech[Jaar],C111,uitkomst_tech[Uitgangssituatie/effect beleid],uitkomst_veld[[#This Row],[Uitgangssituatie/effect beleid]])</f>
        <v>212448203.00124162</v>
      </c>
      <c r="I111" s="398">
        <f>SUMIFS(uitkomst_tech[Investering (cash flow) (€)],uitkomst_tech[Veld],A111,uitkomst_tech[Jaar],C111,uitkomst_tech[Uitgangssituatie/effect beleid],uitkomst_veld[[#This Row],[Uitgangssituatie/effect beleid]])</f>
        <v>2247184.0290158563</v>
      </c>
    </row>
    <row r="112" spans="1:9" x14ac:dyDescent="0.5">
      <c r="A112" s="120" t="s">
        <v>10</v>
      </c>
      <c r="B112" s="42" t="s">
        <v>813</v>
      </c>
      <c r="C112" s="33">
        <v>2031</v>
      </c>
      <c r="D112" s="398">
        <f>SUMIFS(uitkomst_tech[Arbeidsbesparing (€)],uitkomst_tech[Veld],A112,uitkomst_tech[Jaar],C112,uitkomst_tech[Uitgangssituatie/effect beleid],uitkomst_veld[[#This Row],[Uitgangssituatie/effect beleid]])</f>
        <v>299332735.90047663</v>
      </c>
      <c r="E112" s="407">
        <f>SUMIFS(uitkomst_tech[Arbeidsbesparing (FTE)],uitkomst_tech[Veld],A112,uitkomst_tech[Jaar],C112,uitkomst_tech[Uitgangssituatie/effect beleid],uitkomst_veld[[#This Row],[Uitgangssituatie/effect beleid]])</f>
        <v>7050.7355130519463</v>
      </c>
      <c r="F112" s="398">
        <f>SUMIFS(uitkomst_tech[Overige besparingen (€)],uitkomst_tech[Veld],A112,uitkomst_tech[Jaar],C112,uitkomst_tech[Uitgangssituatie/effect beleid],uitkomst_veld[[#This Row],[Uitgangssituatie/effect beleid]])</f>
        <v>93498594.562714338</v>
      </c>
      <c r="G112" s="398">
        <f>SUMIFS(uitkomst_tech[QALY (€)],uitkomst_tech[Veld],A112,uitkomst_tech[Jaar],C112,uitkomst_tech[Uitgangssituatie/effect beleid],uitkomst_veld[[#This Row],[Uitgangssituatie/effect beleid]])</f>
        <v>0</v>
      </c>
      <c r="H112" s="398">
        <f>SUMIFS(uitkomst_tech[Kosten (€)],uitkomst_tech[Veld],A112,uitkomst_tech[Jaar],C112,uitkomst_tech[Uitgangssituatie/effect beleid],uitkomst_veld[[#This Row],[Uitgangssituatie/effect beleid]])</f>
        <v>224887001.92038044</v>
      </c>
      <c r="I112" s="398">
        <f>SUMIFS(uitkomst_tech[Investering (cash flow) (€)],uitkomst_tech[Veld],A112,uitkomst_tech[Jaar],C112,uitkomst_tech[Uitgangssituatie/effect beleid],uitkomst_veld[[#This Row],[Uitgangssituatie/effect beleid]])</f>
        <v>1701011.6692003221</v>
      </c>
    </row>
    <row r="113" spans="1:9" x14ac:dyDescent="0.5">
      <c r="A113" s="120" t="s">
        <v>10</v>
      </c>
      <c r="B113" s="42" t="s">
        <v>813</v>
      </c>
      <c r="C113" s="33">
        <v>2032</v>
      </c>
      <c r="D113" s="398">
        <f>SUMIFS(uitkomst_tech[Arbeidsbesparing (€)],uitkomst_tech[Veld],A113,uitkomst_tech[Jaar],C113,uitkomst_tech[Uitgangssituatie/effect beleid],uitkomst_veld[[#This Row],[Uitgangssituatie/effect beleid]])</f>
        <v>318765420.20864332</v>
      </c>
      <c r="E113" s="407">
        <f>SUMIFS(uitkomst_tech[Arbeidsbesparing (FTE)],uitkomst_tech[Veld],A113,uitkomst_tech[Jaar],C113,uitkomst_tech[Uitgangssituatie/effect beleid],uitkomst_veld[[#This Row],[Uitgangssituatie/effect beleid]])</f>
        <v>7508.4693354263654</v>
      </c>
      <c r="F113" s="398">
        <f>SUMIFS(uitkomst_tech[Overige besparingen (€)],uitkomst_tech[Veld],A113,uitkomst_tech[Jaar],C113,uitkomst_tech[Uitgangssituatie/effect beleid],uitkomst_veld[[#This Row],[Uitgangssituatie/effect beleid]])</f>
        <v>97442968.672378421</v>
      </c>
      <c r="G113" s="398">
        <f>SUMIFS(uitkomst_tech[QALY (€)],uitkomst_tech[Veld],A113,uitkomst_tech[Jaar],C113,uitkomst_tech[Uitgangssituatie/effect beleid],uitkomst_veld[[#This Row],[Uitgangssituatie/effect beleid]])</f>
        <v>0</v>
      </c>
      <c r="H113" s="398">
        <f>SUMIFS(uitkomst_tech[Kosten (€)],uitkomst_tech[Veld],A113,uitkomst_tech[Jaar],C113,uitkomst_tech[Uitgangssituatie/effect beleid],uitkomst_veld[[#This Row],[Uitgangssituatie/effect beleid]])</f>
        <v>236280916.75804701</v>
      </c>
      <c r="I113" s="398">
        <f>SUMIFS(uitkomst_tech[Investering (cash flow) (€)],uitkomst_tech[Veld],A113,uitkomst_tech[Jaar],C113,uitkomst_tech[Uitgangssituatie/effect beleid],uitkomst_veld[[#This Row],[Uitgangssituatie/effect beleid]])</f>
        <v>1225535.2222584405</v>
      </c>
    </row>
    <row r="114" spans="1:9" x14ac:dyDescent="0.5">
      <c r="A114" s="120" t="s">
        <v>10</v>
      </c>
      <c r="B114" s="42" t="s">
        <v>813</v>
      </c>
      <c r="C114" s="33">
        <v>2033</v>
      </c>
      <c r="D114" s="398">
        <f>SUMIFS(uitkomst_tech[Arbeidsbesparing (€)],uitkomst_tech[Veld],A114,uitkomst_tech[Jaar],C114,uitkomst_tech[Uitgangssituatie/effect beleid],uitkomst_veld[[#This Row],[Uitgangssituatie/effect beleid]])</f>
        <v>337040727.19084781</v>
      </c>
      <c r="E114" s="407">
        <f>SUMIFS(uitkomst_tech[Arbeidsbesparing (FTE)],uitkomst_tech[Veld],A114,uitkomst_tech[Jaar],C114,uitkomst_tech[Uitgangssituatie/effect beleid],uitkomst_veld[[#This Row],[Uitgangssituatie/effect beleid]])</f>
        <v>7938.9413169279069</v>
      </c>
      <c r="F114" s="398">
        <f>SUMIFS(uitkomst_tech[Overige besparingen (€)],uitkomst_tech[Veld],A114,uitkomst_tech[Jaar],C114,uitkomst_tech[Uitgangssituatie/effect beleid],uitkomst_veld[[#This Row],[Uitgangssituatie/effect beleid]])</f>
        <v>101039322.53881951</v>
      </c>
      <c r="G114" s="398">
        <f>SUMIFS(uitkomst_tech[QALY (€)],uitkomst_tech[Veld],A114,uitkomst_tech[Jaar],C114,uitkomst_tech[Uitgangssituatie/effect beleid],uitkomst_veld[[#This Row],[Uitgangssituatie/effect beleid]])</f>
        <v>0</v>
      </c>
      <c r="H114" s="398">
        <f>SUMIFS(uitkomst_tech[Kosten (€)],uitkomst_tech[Veld],A114,uitkomst_tech[Jaar],C114,uitkomst_tech[Uitgangssituatie/effect beleid],uitkomst_veld[[#This Row],[Uitgangssituatie/effect beleid]])</f>
        <v>246916501.67484999</v>
      </c>
      <c r="I114" s="398">
        <f>SUMIFS(uitkomst_tech[Investering (cash flow) (€)],uitkomst_tech[Veld],A114,uitkomst_tech[Jaar],C114,uitkomst_tech[Uitgangssituatie/effect beleid],uitkomst_veld[[#This Row],[Uitgangssituatie/effect beleid]])</f>
        <v>849468.9348854844</v>
      </c>
    </row>
    <row r="115" spans="1:9" x14ac:dyDescent="0.5">
      <c r="A115" s="42" t="s">
        <v>12</v>
      </c>
      <c r="B115" s="42" t="s">
        <v>813</v>
      </c>
      <c r="C115" s="33">
        <v>2023</v>
      </c>
      <c r="D115" s="398">
        <f>SUMIFS(uitkomst_tech[Arbeidsbesparing (€)],uitkomst_tech[Veld],A115,uitkomst_tech[Jaar],C115,uitkomst_tech[Uitgangssituatie/effect beleid],uitkomst_veld[[#This Row],[Uitgangssituatie/effect beleid]])</f>
        <v>104992472.56218967</v>
      </c>
      <c r="E115" s="407">
        <f>SUMIFS(uitkomst_tech[Arbeidsbesparing (FTE)],uitkomst_tech[Veld],A115,uitkomst_tech[Jaar],C115,uitkomst_tech[Uitgangssituatie/effect beleid],uitkomst_veld[[#This Row],[Uitgangssituatie/effect beleid]])</f>
        <v>2005.2916682873401</v>
      </c>
      <c r="F115" s="398">
        <f>SUMIFS(uitkomst_tech[Overige besparingen (€)],uitkomst_tech[Veld],A115,uitkomst_tech[Jaar],C115,uitkomst_tech[Uitgangssituatie/effect beleid],uitkomst_veld[[#This Row],[Uitgangssituatie/effect beleid]])</f>
        <v>63306030.676105097</v>
      </c>
      <c r="G115" s="398">
        <f>SUMIFS(uitkomst_tech[QALY (€)],uitkomst_tech[Veld],A115,uitkomst_tech[Jaar],C115,uitkomst_tech[Uitgangssituatie/effect beleid],uitkomst_veld[[#This Row],[Uitgangssituatie/effect beleid]])</f>
        <v>59249793.103448272</v>
      </c>
      <c r="H115" s="398">
        <f>SUMIFS(uitkomst_tech[Kosten (€)],uitkomst_tech[Veld],A115,uitkomst_tech[Jaar],C115,uitkomst_tech[Uitgangssituatie/effect beleid],uitkomst_veld[[#This Row],[Uitgangssituatie/effect beleid]])</f>
        <v>32550693.455749568</v>
      </c>
      <c r="I115" s="398">
        <f>SUMIFS(uitkomst_tech[Investering (cash flow) (€)],uitkomst_tech[Veld],A115,uitkomst_tech[Jaar],C115,uitkomst_tech[Uitgangssituatie/effect beleid],uitkomst_veld[[#This Row],[Uitgangssituatie/effect beleid]])</f>
        <v>542119.20000000019</v>
      </c>
    </row>
    <row r="116" spans="1:9" x14ac:dyDescent="0.5">
      <c r="A116" s="42" t="s">
        <v>12</v>
      </c>
      <c r="B116" s="42" t="s">
        <v>813</v>
      </c>
      <c r="C116" s="33">
        <v>2024</v>
      </c>
      <c r="D116" s="398">
        <f>SUMIFS(uitkomst_tech[Arbeidsbesparing (€)],uitkomst_tech[Veld],A116,uitkomst_tech[Jaar],C116,uitkomst_tech[Uitgangssituatie/effect beleid],uitkomst_veld[[#This Row],[Uitgangssituatie/effect beleid]])</f>
        <v>132400120.19483563</v>
      </c>
      <c r="E116" s="407">
        <f>SUMIFS(uitkomst_tech[Arbeidsbesparing (FTE)],uitkomst_tech[Veld],A116,uitkomst_tech[Jaar],C116,uitkomst_tech[Uitgangssituatie/effect beleid],uitkomst_veld[[#This Row],[Uitgangssituatie/effect beleid]])</f>
        <v>2527.1284968049922</v>
      </c>
      <c r="F116" s="398">
        <f>SUMIFS(uitkomst_tech[Overige besparingen (€)],uitkomst_tech[Veld],A116,uitkomst_tech[Jaar],C116,uitkomst_tech[Uitgangssituatie/effect beleid],uitkomst_veld[[#This Row],[Uitgangssituatie/effect beleid]])</f>
        <v>76608345.800166532</v>
      </c>
      <c r="G116" s="398">
        <f>SUMIFS(uitkomst_tech[QALY (€)],uitkomst_tech[Veld],A116,uitkomst_tech[Jaar],C116,uitkomst_tech[Uitgangssituatie/effect beleid],uitkomst_veld[[#This Row],[Uitgangssituatie/effect beleid]])</f>
        <v>78159207.931034476</v>
      </c>
      <c r="H116" s="398">
        <f>SUMIFS(uitkomst_tech[Kosten (€)],uitkomst_tech[Veld],A116,uitkomst_tech[Jaar],C116,uitkomst_tech[Uitgangssituatie/effect beleid],uitkomst_veld[[#This Row],[Uitgangssituatie/effect beleid]])</f>
        <v>41622681.15510574</v>
      </c>
      <c r="I116" s="398">
        <f>SUMIFS(uitkomst_tech[Investering (cash flow) (€)],uitkomst_tech[Veld],A116,uitkomst_tech[Jaar],C116,uitkomst_tech[Uitgangssituatie/effect beleid],uitkomst_veld[[#This Row],[Uitgangssituatie/effect beleid]])</f>
        <v>652494.66912000021</v>
      </c>
    </row>
    <row r="117" spans="1:9" x14ac:dyDescent="0.5">
      <c r="A117" s="42" t="s">
        <v>12</v>
      </c>
      <c r="B117" s="42" t="s">
        <v>813</v>
      </c>
      <c r="C117" s="33">
        <v>2025</v>
      </c>
      <c r="D117" s="398">
        <f>SUMIFS(uitkomst_tech[Arbeidsbesparing (€)],uitkomst_tech[Veld],A117,uitkomst_tech[Jaar],C117,uitkomst_tech[Uitgangssituatie/effect beleid],uitkomst_veld[[#This Row],[Uitgangssituatie/effect beleid]])</f>
        <v>161524719.7001062</v>
      </c>
      <c r="E117" s="407">
        <f>SUMIFS(uitkomst_tech[Arbeidsbesparing (FTE)],uitkomst_tech[Veld],A117,uitkomst_tech[Jaar],C117,uitkomst_tech[Uitgangssituatie/effect beleid],uitkomst_veld[[#This Row],[Uitgangssituatie/effect beleid]])</f>
        <v>3091.7769754830106</v>
      </c>
      <c r="F117" s="398">
        <f>SUMIFS(uitkomst_tech[Overige besparingen (€)],uitkomst_tech[Veld],A117,uitkomst_tech[Jaar],C117,uitkomst_tech[Uitgangssituatie/effect beleid],uitkomst_veld[[#This Row],[Uitgangssituatie/effect beleid]])</f>
        <v>88129675.142873913</v>
      </c>
      <c r="G117" s="398">
        <f>SUMIFS(uitkomst_tech[QALY (€)],uitkomst_tech[Veld],A117,uitkomst_tech[Jaar],C117,uitkomst_tech[Uitgangssituatie/effect beleid],uitkomst_veld[[#This Row],[Uitgangssituatie/effect beleid]])</f>
        <v>97798269.19101724</v>
      </c>
      <c r="H117" s="398">
        <f>SUMIFS(uitkomst_tech[Kosten (€)],uitkomst_tech[Veld],A117,uitkomst_tech[Jaar],C117,uitkomst_tech[Uitgangssituatie/effect beleid],uitkomst_veld[[#This Row],[Uitgangssituatie/effect beleid]])</f>
        <v>50659322.664693542</v>
      </c>
      <c r="I117" s="398">
        <f>SUMIFS(uitkomst_tech[Investering (cash flow) (€)],uitkomst_tech[Veld],A117,uitkomst_tech[Jaar],C117,uitkomst_tech[Uitgangssituatie/effect beleid],uitkomst_veld[[#This Row],[Uitgangssituatie/effect beleid]])</f>
        <v>725816.12148389663</v>
      </c>
    </row>
    <row r="118" spans="1:9" x14ac:dyDescent="0.5">
      <c r="A118" s="42" t="s">
        <v>12</v>
      </c>
      <c r="B118" s="42" t="s">
        <v>813</v>
      </c>
      <c r="C118" s="33">
        <v>2026</v>
      </c>
      <c r="D118" s="398">
        <f>SUMIFS(uitkomst_tech[Arbeidsbesparing (€)],uitkomst_tech[Veld],A118,uitkomst_tech[Jaar],C118,uitkomst_tech[Uitgangssituatie/effect beleid],uitkomst_veld[[#This Row],[Uitgangssituatie/effect beleid]])</f>
        <v>191475013.15116698</v>
      </c>
      <c r="E118" s="407">
        <f>SUMIFS(uitkomst_tech[Arbeidsbesparing (FTE)],uitkomst_tech[Veld],A118,uitkomst_tech[Jaar],C118,uitkomst_tech[Uitgangssituatie/effect beleid],uitkomst_veld[[#This Row],[Uitgangssituatie/effect beleid]])</f>
        <v>3685.0628874756103</v>
      </c>
      <c r="F118" s="398">
        <f>SUMIFS(uitkomst_tech[Overige besparingen (€)],uitkomst_tech[Veld],A118,uitkomst_tech[Jaar],C118,uitkomst_tech[Uitgangssituatie/effect beleid],uitkomst_veld[[#This Row],[Uitgangssituatie/effect beleid]])</f>
        <v>97071353.180463523</v>
      </c>
      <c r="G118" s="398">
        <f>SUMIFS(uitkomst_tech[QALY (€)],uitkomst_tech[Veld],A118,uitkomst_tech[Jaar],C118,uitkomst_tech[Uitgangssituatie/effect beleid],uitkomst_veld[[#This Row],[Uitgangssituatie/effect beleid]])</f>
        <v>116379743.66015176</v>
      </c>
      <c r="H118" s="398">
        <f>SUMIFS(uitkomst_tech[Kosten (€)],uitkomst_tech[Veld],A118,uitkomst_tech[Jaar],C118,uitkomst_tech[Uitgangssituatie/effect beleid],uitkomst_veld[[#This Row],[Uitgangssituatie/effect beleid]])</f>
        <v>59014255.910395734</v>
      </c>
      <c r="I118" s="398">
        <f>SUMIFS(uitkomst_tech[Investering (cash flow) (€)],uitkomst_tech[Veld],A118,uitkomst_tech[Jaar],C118,uitkomst_tech[Uitgangssituatie/effect beleid],uitkomst_veld[[#This Row],[Uitgangssituatie/effect beleid]])</f>
        <v>730979.24563012435</v>
      </c>
    </row>
    <row r="119" spans="1:9" x14ac:dyDescent="0.5">
      <c r="A119" s="42" t="s">
        <v>12</v>
      </c>
      <c r="B119" s="42" t="s">
        <v>813</v>
      </c>
      <c r="C119" s="33">
        <v>2027</v>
      </c>
      <c r="D119" s="398">
        <f>SUMIFS(uitkomst_tech[Arbeidsbesparing (€)],uitkomst_tech[Veld],A119,uitkomst_tech[Jaar],C119,uitkomst_tech[Uitgangssituatie/effect beleid],uitkomst_veld[[#This Row],[Uitgangssituatie/effect beleid]])</f>
        <v>225413563.40692389</v>
      </c>
      <c r="E119" s="407">
        <f>SUMIFS(uitkomst_tech[Arbeidsbesparing (FTE)],uitkomst_tech[Veld],A119,uitkomst_tech[Jaar],C119,uitkomst_tech[Uitgangssituatie/effect beleid],uitkomst_veld[[#This Row],[Uitgangssituatie/effect beleid]])</f>
        <v>4360.1413242183135</v>
      </c>
      <c r="F119" s="398">
        <f>SUMIFS(uitkomst_tech[Overige besparingen (€)],uitkomst_tech[Veld],A119,uitkomst_tech[Jaar],C119,uitkomst_tech[Uitgangssituatie/effect beleid],uitkomst_veld[[#This Row],[Uitgangssituatie/effect beleid]])</f>
        <v>104606449.68006432</v>
      </c>
      <c r="G119" s="398">
        <f>SUMIFS(uitkomst_tech[QALY (€)],uitkomst_tech[Veld],A119,uitkomst_tech[Jaar],C119,uitkomst_tech[Uitgangssituatie/effect beleid],uitkomst_veld[[#This Row],[Uitgangssituatie/effect beleid]])</f>
        <v>146661109.25544351</v>
      </c>
      <c r="H119" s="398">
        <f>SUMIFS(uitkomst_tech[Kosten (€)],uitkomst_tech[Veld],A119,uitkomst_tech[Jaar],C119,uitkomst_tech[Uitgangssituatie/effect beleid],uitkomst_veld[[#This Row],[Uitgangssituatie/effect beleid]])</f>
        <v>70262218.643483162</v>
      </c>
      <c r="I119" s="398">
        <f>SUMIFS(uitkomst_tech[Investering (cash flow) (€)],uitkomst_tech[Veld],A119,uitkomst_tech[Jaar],C119,uitkomst_tech[Uitgangssituatie/effect beleid],uitkomst_veld[[#This Row],[Uitgangssituatie/effect beleid]])</f>
        <v>654856.89200977527</v>
      </c>
    </row>
    <row r="120" spans="1:9" x14ac:dyDescent="0.5">
      <c r="A120" s="42" t="s">
        <v>12</v>
      </c>
      <c r="B120" s="42" t="s">
        <v>813</v>
      </c>
      <c r="C120" s="33">
        <v>2028</v>
      </c>
      <c r="D120" s="398">
        <f>SUMIFS(uitkomst_tech[Arbeidsbesparing (€)],uitkomst_tech[Veld],A120,uitkomst_tech[Jaar],C120,uitkomst_tech[Uitgangssituatie/effect beleid],uitkomst_veld[[#This Row],[Uitgangssituatie/effect beleid]])</f>
        <v>260733662.46089044</v>
      </c>
      <c r="E120" s="407">
        <f>SUMIFS(uitkomst_tech[Arbeidsbesparing (FTE)],uitkomst_tech[Veld],A120,uitkomst_tech[Jaar],C120,uitkomst_tech[Uitgangssituatie/effect beleid],uitkomst_veld[[#This Row],[Uitgangssituatie/effect beleid]])</f>
        <v>5069.0732166329417</v>
      </c>
      <c r="F120" s="398">
        <f>SUMIFS(uitkomst_tech[Overige besparingen (€)],uitkomst_tech[Veld],A120,uitkomst_tech[Jaar],C120,uitkomst_tech[Uitgangssituatie/effect beleid],uitkomst_veld[[#This Row],[Uitgangssituatie/effect beleid]])</f>
        <v>110459743.50409219</v>
      </c>
      <c r="G120" s="398">
        <f>SUMIFS(uitkomst_tech[QALY (€)],uitkomst_tech[Veld],A120,uitkomst_tech[Jaar],C120,uitkomst_tech[Uitgangssituatie/effect beleid],uitkomst_veld[[#This Row],[Uitgangssituatie/effect beleid]])</f>
        <v>179279307.36501083</v>
      </c>
      <c r="H120" s="398">
        <f>SUMIFS(uitkomst_tech[Kosten (€)],uitkomst_tech[Veld],A120,uitkomst_tech[Jaar],C120,uitkomst_tech[Uitgangssituatie/effect beleid],uitkomst_veld[[#This Row],[Uitgangssituatie/effect beleid]])</f>
        <v>81964340.82634829</v>
      </c>
      <c r="I120" s="398">
        <f>SUMIFS(uitkomst_tech[Investering (cash flow) (€)],uitkomst_tech[Veld],A120,uitkomst_tech[Jaar],C120,uitkomst_tech[Uitgangssituatie/effect beleid],uitkomst_veld[[#This Row],[Uitgangssituatie/effect beleid]])</f>
        <v>517356.84688565304</v>
      </c>
    </row>
    <row r="121" spans="1:9" x14ac:dyDescent="0.5">
      <c r="A121" s="42" t="s">
        <v>12</v>
      </c>
      <c r="B121" s="42" t="s">
        <v>813</v>
      </c>
      <c r="C121" s="33">
        <v>2029</v>
      </c>
      <c r="D121" s="398">
        <f>SUMIFS(uitkomst_tech[Arbeidsbesparing (€)],uitkomst_tech[Veld],A121,uitkomst_tech[Jaar],C121,uitkomst_tech[Uitgangssituatie/effect beleid],uitkomst_veld[[#This Row],[Uitgangssituatie/effect beleid]])</f>
        <v>296951112.7381655</v>
      </c>
      <c r="E121" s="407">
        <f>SUMIFS(uitkomst_tech[Arbeidsbesparing (FTE)],uitkomst_tech[Veld],A121,uitkomst_tech[Jaar],C121,uitkomst_tech[Uitgangssituatie/effect beleid],uitkomst_veld[[#This Row],[Uitgangssituatie/effect beleid]])</f>
        <v>5794.5336624625652</v>
      </c>
      <c r="F121" s="398">
        <f>SUMIFS(uitkomst_tech[Overige besparingen (€)],uitkomst_tech[Veld],A121,uitkomst_tech[Jaar],C121,uitkomst_tech[Uitgangssituatie/effect beleid],uitkomst_veld[[#This Row],[Uitgangssituatie/effect beleid]])</f>
        <v>115418933.39104655</v>
      </c>
      <c r="G121" s="398">
        <f>SUMIFS(uitkomst_tech[QALY (€)],uitkomst_tech[Veld],A121,uitkomst_tech[Jaar],C121,uitkomst_tech[Uitgangssituatie/effect beleid],uitkomst_veld[[#This Row],[Uitgangssituatie/effect beleid]])</f>
        <v>216230861.72974029</v>
      </c>
      <c r="H121" s="398">
        <f>SUMIFS(uitkomst_tech[Kosten (€)],uitkomst_tech[Veld],A121,uitkomst_tech[Jaar],C121,uitkomst_tech[Uitgangssituatie/effect beleid],uitkomst_veld[[#This Row],[Uitgangssituatie/effect beleid]])</f>
        <v>94832213.563194618</v>
      </c>
      <c r="I121" s="398">
        <f>SUMIFS(uitkomst_tech[Investering (cash flow) (€)],uitkomst_tech[Veld],A121,uitkomst_tech[Jaar],C121,uitkomst_tech[Uitgangssituatie/effect beleid],uitkomst_veld[[#This Row],[Uitgangssituatie/effect beleid]])</f>
        <v>362414.67006817186</v>
      </c>
    </row>
    <row r="122" spans="1:9" x14ac:dyDescent="0.5">
      <c r="A122" s="42" t="s">
        <v>12</v>
      </c>
      <c r="B122" s="42" t="s">
        <v>813</v>
      </c>
      <c r="C122" s="33">
        <v>2030</v>
      </c>
      <c r="D122" s="398">
        <f>SUMIFS(uitkomst_tech[Arbeidsbesparing (€)],uitkomst_tech[Veld],A122,uitkomst_tech[Jaar],C122,uitkomst_tech[Uitgangssituatie/effect beleid],uitkomst_veld[[#This Row],[Uitgangssituatie/effect beleid]])</f>
        <v>333857045.28311729</v>
      </c>
      <c r="E122" s="407">
        <f>SUMIFS(uitkomst_tech[Arbeidsbesparing (FTE)],uitkomst_tech[Veld],A122,uitkomst_tech[Jaar],C122,uitkomst_tech[Uitgangssituatie/effect beleid],uitkomst_veld[[#This Row],[Uitgangssituatie/effect beleid]])</f>
        <v>6525.3888373996515</v>
      </c>
      <c r="F122" s="398">
        <f>SUMIFS(uitkomst_tech[Overige besparingen (€)],uitkomst_tech[Veld],A122,uitkomst_tech[Jaar],C122,uitkomst_tech[Uitgangssituatie/effect beleid],uitkomst_veld[[#This Row],[Uitgangssituatie/effect beleid]])</f>
        <v>120207382.94062848</v>
      </c>
      <c r="G122" s="398">
        <f>SUMIFS(uitkomst_tech[QALY (€)],uitkomst_tech[Veld],A122,uitkomst_tech[Jaar],C122,uitkomst_tech[Uitgangssituatie/effect beleid],uitkomst_veld[[#This Row],[Uitgangssituatie/effect beleid]])</f>
        <v>260189551.68451947</v>
      </c>
      <c r="H122" s="398">
        <f>SUMIFS(uitkomst_tech[Kosten (€)],uitkomst_tech[Veld],A122,uitkomst_tech[Jaar],C122,uitkomst_tech[Uitgangssituatie/effect beleid],uitkomst_veld[[#This Row],[Uitgangssituatie/effect beleid]])</f>
        <v>109729832.00125872</v>
      </c>
      <c r="I122" s="398">
        <f>SUMIFS(uitkomst_tech[Investering (cash flow) (€)],uitkomst_tech[Veld],A122,uitkomst_tech[Jaar],C122,uitkomst_tech[Uitgangssituatie/effect beleid],uitkomst_veld[[#This Row],[Uitgangssituatie/effect beleid]])</f>
        <v>229526.81374048453</v>
      </c>
    </row>
    <row r="123" spans="1:9" x14ac:dyDescent="0.5">
      <c r="A123" s="42" t="s">
        <v>12</v>
      </c>
      <c r="B123" s="42" t="s">
        <v>813</v>
      </c>
      <c r="C123" s="33">
        <v>2031</v>
      </c>
      <c r="D123" s="398">
        <f>SUMIFS(uitkomst_tech[Arbeidsbesparing (€)],uitkomst_tech[Veld],A123,uitkomst_tech[Jaar],C123,uitkomst_tech[Uitgangssituatie/effect beleid],uitkomst_veld[[#This Row],[Uitgangssituatie/effect beleid]])</f>
        <v>371193071.79107571</v>
      </c>
      <c r="E123" s="407">
        <f>SUMIFS(uitkomst_tech[Arbeidsbesparing (FTE)],uitkomst_tech[Veld],A123,uitkomst_tech[Jaar],C123,uitkomst_tech[Uitgangssituatie/effect beleid],uitkomst_veld[[#This Row],[Uitgangssituatie/effect beleid]])</f>
        <v>7251.5375113368727</v>
      </c>
      <c r="F123" s="398">
        <f>SUMIFS(uitkomst_tech[Overige besparingen (€)],uitkomst_tech[Veld],A123,uitkomst_tech[Jaar],C123,uitkomst_tech[Uitgangssituatie/effect beleid],uitkomst_veld[[#This Row],[Uitgangssituatie/effect beleid]])</f>
        <v>125356474.58494616</v>
      </c>
      <c r="G123" s="398">
        <f>SUMIFS(uitkomst_tech[QALY (€)],uitkomst_tech[Veld],A123,uitkomst_tech[Jaar],C123,uitkomst_tech[Uitgangssituatie/effect beleid],uitkomst_veld[[#This Row],[Uitgangssituatie/effect beleid]])</f>
        <v>313506088.14350027</v>
      </c>
      <c r="H123" s="398">
        <f>SUMIFS(uitkomst_tech[Kosten (€)],uitkomst_tech[Veld],A123,uitkomst_tech[Jaar],C123,uitkomst_tech[Uitgangssituatie/effect beleid],uitkomst_veld[[#This Row],[Uitgangssituatie/effect beleid]])</f>
        <v>127320396.59697275</v>
      </c>
      <c r="I123" s="398">
        <f>SUMIFS(uitkomst_tech[Investering (cash flow) (€)],uitkomst_tech[Veld],A123,uitkomst_tech[Jaar],C123,uitkomst_tech[Uitgangssituatie/effect beleid],uitkomst_veld[[#This Row],[Uitgangssituatie/effect beleid]])</f>
        <v>134989.70471169983</v>
      </c>
    </row>
    <row r="124" spans="1:9" x14ac:dyDescent="0.5">
      <c r="A124" s="42" t="s">
        <v>12</v>
      </c>
      <c r="B124" s="42" t="s">
        <v>813</v>
      </c>
      <c r="C124" s="33">
        <v>2032</v>
      </c>
      <c r="D124" s="398">
        <f>SUMIFS(uitkomst_tech[Arbeidsbesparing (€)],uitkomst_tech[Veld],A124,uitkomst_tech[Jaar],C124,uitkomst_tech[Uitgangssituatie/effect beleid],uitkomst_veld[[#This Row],[Uitgangssituatie/effect beleid]])</f>
        <v>408511248.04663736</v>
      </c>
      <c r="E124" s="407">
        <f>SUMIFS(uitkomst_tech[Arbeidsbesparing (FTE)],uitkomst_tech[Veld],A124,uitkomst_tech[Jaar],C124,uitkomst_tech[Uitgangssituatie/effect beleid],uitkomst_veld[[#This Row],[Uitgangssituatie/effect beleid]])</f>
        <v>7962.9252578602545</v>
      </c>
      <c r="F124" s="398">
        <f>SUMIFS(uitkomst_tech[Overige besparingen (€)],uitkomst_tech[Veld],A124,uitkomst_tech[Jaar],C124,uitkomst_tech[Uitgangssituatie/effect beleid],uitkomst_veld[[#This Row],[Uitgangssituatie/effect beleid]])</f>
        <v>131128831.89170921</v>
      </c>
      <c r="G124" s="398">
        <f>SUMIFS(uitkomst_tech[QALY (€)],uitkomst_tech[Veld],A124,uitkomst_tech[Jaar],C124,uitkomst_tech[Uitgangssituatie/effect beleid],uitkomst_veld[[#This Row],[Uitgangssituatie/effect beleid]])</f>
        <v>376929382.83483964</v>
      </c>
      <c r="H124" s="398">
        <f>SUMIFS(uitkomst_tech[Kosten (€)],uitkomst_tech[Veld],A124,uitkomst_tech[Jaar],C124,uitkomst_tech[Uitgangssituatie/effect beleid],uitkomst_veld[[#This Row],[Uitgangssituatie/effect beleid]])</f>
        <v>147730667.4335787</v>
      </c>
      <c r="I124" s="398">
        <f>SUMIFS(uitkomst_tech[Investering (cash flow) (€)],uitkomst_tech[Veld],A124,uitkomst_tech[Jaar],C124,uitkomst_tech[Uitgangssituatie/effect beleid],uitkomst_veld[[#This Row],[Uitgangssituatie/effect beleid]])</f>
        <v>75632.666129948455</v>
      </c>
    </row>
    <row r="125" spans="1:9" x14ac:dyDescent="0.5">
      <c r="A125" s="42" t="s">
        <v>12</v>
      </c>
      <c r="B125" s="42" t="s">
        <v>813</v>
      </c>
      <c r="C125" s="33">
        <v>2033</v>
      </c>
      <c r="D125" s="398">
        <f>SUMIFS(uitkomst_tech[Arbeidsbesparing (€)],uitkomst_tech[Veld],A125,uitkomst_tech[Jaar],C125,uitkomst_tech[Uitgangssituatie/effect beleid],uitkomst_veld[[#This Row],[Uitgangssituatie/effect beleid]])</f>
        <v>444928540.38621557</v>
      </c>
      <c r="E125" s="407">
        <f>SUMIFS(uitkomst_tech[Arbeidsbesparing (FTE)],uitkomst_tech[Veld],A125,uitkomst_tech[Jaar],C125,uitkomst_tech[Uitgangssituatie/effect beleid],uitkomst_veld[[#This Row],[Uitgangssituatie/effect beleid]])</f>
        <v>8645.3429935761378</v>
      </c>
      <c r="F125" s="398">
        <f>SUMIFS(uitkomst_tech[Overige besparingen (€)],uitkomst_tech[Veld],A125,uitkomst_tech[Jaar],C125,uitkomst_tech[Uitgangssituatie/effect beleid],uitkomst_veld[[#This Row],[Uitgangssituatie/effect beleid]])</f>
        <v>137454018.64161614</v>
      </c>
      <c r="G125" s="398">
        <f>SUMIFS(uitkomst_tech[QALY (€)],uitkomst_tech[Veld],A125,uitkomst_tech[Jaar],C125,uitkomst_tech[Uitgangssituatie/effect beleid],uitkomst_veld[[#This Row],[Uitgangssituatie/effect beleid]])</f>
        <v>448336494.4161796</v>
      </c>
      <c r="H125" s="398">
        <f>SUMIFS(uitkomst_tech[Kosten (€)],uitkomst_tech[Veld],A125,uitkomst_tech[Jaar],C125,uitkomst_tech[Uitgangssituatie/effect beleid],uitkomst_veld[[#This Row],[Uitgangssituatie/effect beleid]])</f>
        <v>170237637.99148172</v>
      </c>
      <c r="I125" s="398">
        <f>SUMIFS(uitkomst_tech[Investering (cash flow) (€)],uitkomst_tech[Veld],A125,uitkomst_tech[Jaar],C125,uitkomst_tech[Uitgangssituatie/effect beleid],uitkomst_veld[[#This Row],[Uitgangssituatie/effect beleid]])</f>
        <v>41159.305032039811</v>
      </c>
    </row>
    <row r="126" spans="1:9" x14ac:dyDescent="0.5">
      <c r="A126" s="42" t="s">
        <v>11</v>
      </c>
      <c r="B126" s="42" t="s">
        <v>813</v>
      </c>
      <c r="C126" s="33">
        <v>2023</v>
      </c>
      <c r="D126" s="398">
        <f>SUMIFS(uitkomst_tech[Arbeidsbesparing (€)],uitkomst_tech[Veld],A126,uitkomst_tech[Jaar],C126,uitkomst_tech[Uitgangssituatie/effect beleid],uitkomst_veld[[#This Row],[Uitgangssituatie/effect beleid]])</f>
        <v>16454095.864316385</v>
      </c>
      <c r="E126" s="407">
        <f>SUMIFS(uitkomst_tech[Arbeidsbesparing (FTE)],uitkomst_tech[Veld],A126,uitkomst_tech[Jaar],C126,uitkomst_tech[Uitgangssituatie/effect beleid],uitkomst_veld[[#This Row],[Uitgangssituatie/effect beleid]])</f>
        <v>136.11314320352568</v>
      </c>
      <c r="F126" s="398">
        <f>SUMIFS(uitkomst_tech[Overige besparingen (€)],uitkomst_tech[Veld],A126,uitkomst_tech[Jaar],C126,uitkomst_tech[Uitgangssituatie/effect beleid],uitkomst_veld[[#This Row],[Uitgangssituatie/effect beleid]])</f>
        <v>840000</v>
      </c>
      <c r="G126" s="398">
        <f>SUMIFS(uitkomst_tech[QALY (€)],uitkomst_tech[Veld],A126,uitkomst_tech[Jaar],C126,uitkomst_tech[Uitgangssituatie/effect beleid],uitkomst_veld[[#This Row],[Uitgangssituatie/effect beleid]])</f>
        <v>15749524.000000002</v>
      </c>
      <c r="H126" s="398">
        <f>SUMIFS(uitkomst_tech[Kosten (€)],uitkomst_tech[Veld],A126,uitkomst_tech[Jaar],C126,uitkomst_tech[Uitgangssituatie/effect beleid],uitkomst_veld[[#This Row],[Uitgangssituatie/effect beleid]])</f>
        <v>14454505.325577132</v>
      </c>
      <c r="I126" s="398">
        <f>SUMIFS(uitkomst_tech[Investering (cash flow) (€)],uitkomst_tech[Veld],A126,uitkomst_tech[Jaar],C126,uitkomst_tech[Uitgangssituatie/effect beleid],uitkomst_veld[[#This Row],[Uitgangssituatie/effect beleid]])</f>
        <v>204169.76312570862</v>
      </c>
    </row>
    <row r="127" spans="1:9" x14ac:dyDescent="0.5">
      <c r="A127" s="42" t="s">
        <v>11</v>
      </c>
      <c r="B127" s="42" t="s">
        <v>813</v>
      </c>
      <c r="C127" s="33">
        <v>2024</v>
      </c>
      <c r="D127" s="398">
        <f>SUMIFS(uitkomst_tech[Arbeidsbesparing (€)],uitkomst_tech[Veld],A127,uitkomst_tech[Jaar],C127,uitkomst_tech[Uitgangssituatie/effect beleid],uitkomst_veld[[#This Row],[Uitgangssituatie/effect beleid]])</f>
        <v>19707342.819076065</v>
      </c>
      <c r="E127" s="407">
        <f>SUMIFS(uitkomst_tech[Arbeidsbesparing (FTE)],uitkomst_tech[Veld],A127,uitkomst_tech[Jaar],C127,uitkomst_tech[Uitgangssituatie/effect beleid],uitkomst_veld[[#This Row],[Uitgangssituatie/effect beleid]])</f>
        <v>169.2812951703072</v>
      </c>
      <c r="F127" s="398">
        <f>SUMIFS(uitkomst_tech[Overige besparingen (€)],uitkomst_tech[Veld],A127,uitkomst_tech[Jaar],C127,uitkomst_tech[Uitgangssituatie/effect beleid],uitkomst_veld[[#This Row],[Uitgangssituatie/effect beleid]])</f>
        <v>1129800</v>
      </c>
      <c r="G127" s="398">
        <f>SUMIFS(uitkomst_tech[QALY (€)],uitkomst_tech[Veld],A127,uitkomst_tech[Jaar],C127,uitkomst_tech[Uitgangssituatie/effect beleid],uitkomst_veld[[#This Row],[Uitgangssituatie/effect beleid]])</f>
        <v>21183109.780000005</v>
      </c>
      <c r="H127" s="398">
        <f>SUMIFS(uitkomst_tech[Kosten (€)],uitkomst_tech[Veld],A127,uitkomst_tech[Jaar],C127,uitkomst_tech[Uitgangssituatie/effect beleid],uitkomst_veld[[#This Row],[Uitgangssituatie/effect beleid]])</f>
        <v>17381927.454947997</v>
      </c>
      <c r="I127" s="398">
        <f>SUMIFS(uitkomst_tech[Investering (cash flow) (€)],uitkomst_tech[Veld],A127,uitkomst_tech[Jaar],C127,uitkomst_tech[Uitgangssituatie/effect beleid],uitkomst_veld[[#This Row],[Uitgangssituatie/effect beleid]])</f>
        <v>216044.50657282985</v>
      </c>
    </row>
    <row r="128" spans="1:9" x14ac:dyDescent="0.5">
      <c r="A128" s="42" t="s">
        <v>11</v>
      </c>
      <c r="B128" s="42" t="s">
        <v>813</v>
      </c>
      <c r="C128" s="33">
        <v>2025</v>
      </c>
      <c r="D128" s="398">
        <f>SUMIFS(uitkomst_tech[Arbeidsbesparing (€)],uitkomst_tech[Veld],A128,uitkomst_tech[Jaar],C128,uitkomst_tech[Uitgangssituatie/effect beleid],uitkomst_veld[[#This Row],[Uitgangssituatie/effect beleid]])</f>
        <v>22713187.282818642</v>
      </c>
      <c r="E128" s="407">
        <f>SUMIFS(uitkomst_tech[Arbeidsbesparing (FTE)],uitkomst_tech[Veld],A128,uitkomst_tech[Jaar],C128,uitkomst_tech[Uitgangssituatie/effect beleid],uitkomst_veld[[#This Row],[Uitgangssituatie/effect beleid]])</f>
        <v>201.81529465890944</v>
      </c>
      <c r="F128" s="398">
        <f>SUMIFS(uitkomst_tech[Overige besparingen (€)],uitkomst_tech[Veld],A128,uitkomst_tech[Jaar],C128,uitkomst_tech[Uitgangssituatie/effect beleid],uitkomst_veld[[#This Row],[Uitgangssituatie/effect beleid]])</f>
        <v>1419889.8</v>
      </c>
      <c r="G128" s="398">
        <f>SUMIFS(uitkomst_tech[QALY (€)],uitkomst_tech[Veld],A128,uitkomst_tech[Jaar],C128,uitkomst_tech[Uitgangssituatie/effect beleid],uitkomst_veld[[#This Row],[Uitgangssituatie/effect beleid]])</f>
        <v>26622129.145780005</v>
      </c>
      <c r="H128" s="398">
        <f>SUMIFS(uitkomst_tech[Kosten (€)],uitkomst_tech[Veld],A128,uitkomst_tech[Jaar],C128,uitkomst_tech[Uitgangssituatie/effect beleid],uitkomst_veld[[#This Row],[Uitgangssituatie/effect beleid]])</f>
        <v>20097946.412118547</v>
      </c>
      <c r="I128" s="398">
        <f>SUMIFS(uitkomst_tech[Investering (cash flow) (€)],uitkomst_tech[Veld],A128,uitkomst_tech[Jaar],C128,uitkomst_tech[Uitgangssituatie/effect beleid],uitkomst_veld[[#This Row],[Uitgangssituatie/effect beleid]])</f>
        <v>207038.32101046626</v>
      </c>
    </row>
    <row r="129" spans="1:9" x14ac:dyDescent="0.5">
      <c r="A129" s="42" t="s">
        <v>11</v>
      </c>
      <c r="B129" s="42" t="s">
        <v>813</v>
      </c>
      <c r="C129" s="33">
        <v>2026</v>
      </c>
      <c r="D129" s="398">
        <f>SUMIFS(uitkomst_tech[Arbeidsbesparing (€)],uitkomst_tech[Veld],A129,uitkomst_tech[Jaar],C129,uitkomst_tech[Uitgangssituatie/effect beleid],uitkomst_veld[[#This Row],[Uitgangssituatie/effect beleid]])</f>
        <v>25348512.669283051</v>
      </c>
      <c r="E129" s="407">
        <f>SUMIFS(uitkomst_tech[Arbeidsbesparing (FTE)],uitkomst_tech[Veld],A129,uitkomst_tech[Jaar],C129,uitkomst_tech[Uitgangssituatie/effect beleid],uitkomst_veld[[#This Row],[Uitgangssituatie/effect beleid]])</f>
        <v>232.04559409651816</v>
      </c>
      <c r="F129" s="398">
        <f>SUMIFS(uitkomst_tech[Overige besparingen (€)],uitkomst_tech[Veld],A129,uitkomst_tech[Jaar],C129,uitkomst_tech[Uitgangssituatie/effect beleid],uitkomst_veld[[#This Row],[Uitgangssituatie/effect beleid]])</f>
        <v>1670217.2812038001</v>
      </c>
      <c r="G129" s="398">
        <f>SUMIFS(uitkomst_tech[QALY (€)],uitkomst_tech[Veld],A129,uitkomst_tech[Jaar],C129,uitkomst_tech[Uitgangssituatie/effect beleid],uitkomst_veld[[#This Row],[Uitgangssituatie/effect beleid]])</f>
        <v>31315627.566111904</v>
      </c>
      <c r="H129" s="398">
        <f>SUMIFS(uitkomst_tech[Kosten (€)],uitkomst_tech[Veld],A129,uitkomst_tech[Jaar],C129,uitkomst_tech[Uitgangssituatie/effect beleid],uitkomst_veld[[#This Row],[Uitgangssituatie/effect beleid]])</f>
        <v>22474619.437978681</v>
      </c>
      <c r="I129" s="398">
        <f>SUMIFS(uitkomst_tech[Investering (cash flow) (€)],uitkomst_tech[Veld],A129,uitkomst_tech[Jaar],C129,uitkomst_tech[Uitgangssituatie/effect beleid],uitkomst_veld[[#This Row],[Uitgangssituatie/effect beleid]])</f>
        <v>181346.54393912724</v>
      </c>
    </row>
    <row r="130" spans="1:9" x14ac:dyDescent="0.5">
      <c r="A130" s="42" t="s">
        <v>11</v>
      </c>
      <c r="B130" s="42" t="s">
        <v>813</v>
      </c>
      <c r="C130" s="33">
        <v>2027</v>
      </c>
      <c r="D130" s="398">
        <f>SUMIFS(uitkomst_tech[Arbeidsbesparing (€)],uitkomst_tech[Veld],A130,uitkomst_tech[Jaar],C130,uitkomst_tech[Uitgangssituatie/effect beleid],uitkomst_veld[[#This Row],[Uitgangssituatie/effect beleid]])</f>
        <v>28290515.775368512</v>
      </c>
      <c r="E130" s="407">
        <f>SUMIFS(uitkomst_tech[Arbeidsbesparing (FTE)],uitkomst_tech[Veld],A130,uitkomst_tech[Jaar],C130,uitkomst_tech[Uitgangssituatie/effect beleid],uitkomst_veld[[#This Row],[Uitgangssituatie/effect beleid]])</f>
        <v>261.75165941634015</v>
      </c>
      <c r="F130" s="398">
        <f>SUMIFS(uitkomst_tech[Overige besparingen (€)],uitkomst_tech[Veld],A130,uitkomst_tech[Jaar],C130,uitkomst_tech[Uitgangssituatie/effect beleid],uitkomst_veld[[#This Row],[Uitgangssituatie/effect beleid]])</f>
        <v>1854022.7923143923</v>
      </c>
      <c r="G130" s="398">
        <f>SUMIFS(uitkomst_tech[QALY (€)],uitkomst_tech[Veld],A130,uitkomst_tech[Jaar],C130,uitkomst_tech[Uitgangssituatie/effect beleid],uitkomst_veld[[#This Row],[Uitgangssituatie/effect beleid]])</f>
        <v>34761876.742979214</v>
      </c>
      <c r="H130" s="398">
        <f>SUMIFS(uitkomst_tech[Kosten (€)],uitkomst_tech[Veld],A130,uitkomst_tech[Jaar],C130,uitkomst_tech[Uitgangssituatie/effect beleid],uitkomst_veld[[#This Row],[Uitgangssituatie/effect beleid]])</f>
        <v>25092078.50138237</v>
      </c>
      <c r="I130" s="398">
        <f>SUMIFS(uitkomst_tech[Investering (cash flow) (€)],uitkomst_tech[Veld],A130,uitkomst_tech[Jaar],C130,uitkomst_tech[Uitgangssituatie/effect beleid],uitkomst_veld[[#This Row],[Uitgangssituatie/effect beleid]])</f>
        <v>149234.50063482526</v>
      </c>
    </row>
    <row r="131" spans="1:9" x14ac:dyDescent="0.5">
      <c r="A131" s="42" t="s">
        <v>11</v>
      </c>
      <c r="B131" s="42" t="s">
        <v>813</v>
      </c>
      <c r="C131" s="33">
        <v>2028</v>
      </c>
      <c r="D131" s="398">
        <f>SUMIFS(uitkomst_tech[Arbeidsbesparing (€)],uitkomst_tech[Veld],A131,uitkomst_tech[Jaar],C131,uitkomst_tech[Uitgangssituatie/effect beleid],uitkomst_veld[[#This Row],[Uitgangssituatie/effect beleid]])</f>
        <v>31081141.915149447</v>
      </c>
      <c r="E131" s="407">
        <f>SUMIFS(uitkomst_tech[Arbeidsbesparing (FTE)],uitkomst_tech[Veld],A131,uitkomst_tech[Jaar],C131,uitkomst_tech[Uitgangssituatie/effect beleid],uitkomst_veld[[#This Row],[Uitgangssituatie/effect beleid]])</f>
        <v>287.96928021356524</v>
      </c>
      <c r="F131" s="398">
        <f>SUMIFS(uitkomst_tech[Overige besparingen (€)],uitkomst_tech[Veld],A131,uitkomst_tech[Jaar],C131,uitkomst_tech[Uitgangssituatie/effect beleid],uitkomst_veld[[#This Row],[Uitgangssituatie/effect beleid]])</f>
        <v>1969984.8107923337</v>
      </c>
      <c r="G131" s="398">
        <f>SUMIFS(uitkomst_tech[QALY (€)],uitkomst_tech[Veld],A131,uitkomst_tech[Jaar],C131,uitkomst_tech[Uitgangssituatie/effect beleid],uitkomst_veld[[#This Row],[Uitgangssituatie/effect beleid]])</f>
        <v>36936098.877630144</v>
      </c>
      <c r="H131" s="398">
        <f>SUMIFS(uitkomst_tech[Kosten (€)],uitkomst_tech[Veld],A131,uitkomst_tech[Jaar],C131,uitkomst_tech[Uitgangssituatie/effect beleid],uitkomst_veld[[#This Row],[Uitgangssituatie/effect beleid]])</f>
        <v>27550086.919607501</v>
      </c>
      <c r="I131" s="398">
        <f>SUMIFS(uitkomst_tech[Investering (cash flow) (€)],uitkomst_tech[Veld],A131,uitkomst_tech[Jaar],C131,uitkomst_tech[Uitgangssituatie/effect beleid],uitkomst_veld[[#This Row],[Uitgangssituatie/effect beleid]])</f>
        <v>118694.459023438</v>
      </c>
    </row>
    <row r="132" spans="1:9" x14ac:dyDescent="0.5">
      <c r="A132" s="42" t="s">
        <v>11</v>
      </c>
      <c r="B132" s="42" t="s">
        <v>813</v>
      </c>
      <c r="C132" s="33">
        <v>2029</v>
      </c>
      <c r="D132" s="398">
        <f>SUMIFS(uitkomst_tech[Arbeidsbesparing (€)],uitkomst_tech[Veld],A132,uitkomst_tech[Jaar],C132,uitkomst_tech[Uitgangssituatie/effect beleid],uitkomst_veld[[#This Row],[Uitgangssituatie/effect beleid]])</f>
        <v>33981346.547227383</v>
      </c>
      <c r="E132" s="407">
        <f>SUMIFS(uitkomst_tech[Arbeidsbesparing (FTE)],uitkomst_tech[Veld],A132,uitkomst_tech[Jaar],C132,uitkomst_tech[Uitgangssituatie/effect beleid],uitkomst_veld[[#This Row],[Uitgangssituatie/effect beleid]])</f>
        <v>312.29303898750726</v>
      </c>
      <c r="F132" s="398">
        <f>SUMIFS(uitkomst_tech[Overige besparingen (€)],uitkomst_tech[Veld],A132,uitkomst_tech[Jaar],C132,uitkomst_tech[Uitgangssituatie/effect beleid],uitkomst_veld[[#This Row],[Uitgangssituatie/effect beleid]])</f>
        <v>2034868.1112093718</v>
      </c>
      <c r="G132" s="398">
        <f>SUMIFS(uitkomst_tech[QALY (€)],uitkomst_tech[Veld],A132,uitkomst_tech[Jaar],C132,uitkomst_tech[Uitgangssituatie/effect beleid],uitkomst_veld[[#This Row],[Uitgangssituatie/effect beleid]])</f>
        <v>38152623.993246034</v>
      </c>
      <c r="H132" s="398">
        <f>SUMIFS(uitkomst_tech[Kosten (€)],uitkomst_tech[Veld],A132,uitkomst_tech[Jaar],C132,uitkomst_tech[Uitgangssituatie/effect beleid],uitkomst_veld[[#This Row],[Uitgangssituatie/effect beleid]])</f>
        <v>30084032.771296728</v>
      </c>
      <c r="I132" s="398">
        <f>SUMIFS(uitkomst_tech[Investering (cash flow) (€)],uitkomst_tech[Veld],A132,uitkomst_tech[Jaar],C132,uitkomst_tech[Uitgangssituatie/effect beleid],uitkomst_veld[[#This Row],[Uitgangssituatie/effect beleid]])</f>
        <v>92218.554379923095</v>
      </c>
    </row>
    <row r="133" spans="1:9" x14ac:dyDescent="0.5">
      <c r="A133" s="42" t="s">
        <v>11</v>
      </c>
      <c r="B133" s="42" t="s">
        <v>813</v>
      </c>
      <c r="C133" s="33">
        <v>2030</v>
      </c>
      <c r="D133" s="398">
        <f>SUMIFS(uitkomst_tech[Arbeidsbesparing (€)],uitkomst_tech[Veld],A133,uitkomst_tech[Jaar],C133,uitkomst_tech[Uitgangssituatie/effect beleid],uitkomst_veld[[#This Row],[Uitgangssituatie/effect beleid]])</f>
        <v>37272439.250913367</v>
      </c>
      <c r="E133" s="407">
        <f>SUMIFS(uitkomst_tech[Arbeidsbesparing (FTE)],uitkomst_tech[Veld],A133,uitkomst_tech[Jaar],C133,uitkomst_tech[Uitgangssituatie/effect beleid],uitkomst_veld[[#This Row],[Uitgangssituatie/effect beleid]])</f>
        <v>336.8179465276134</v>
      </c>
      <c r="F133" s="398">
        <f>SUMIFS(uitkomst_tech[Overige besparingen (€)],uitkomst_tech[Veld],A133,uitkomst_tech[Jaar],C133,uitkomst_tech[Uitgangssituatie/effect beleid],uitkomst_veld[[#This Row],[Uitgangssituatie/effect beleid]])</f>
        <v>2068377.9734737775</v>
      </c>
      <c r="G133" s="398">
        <f>SUMIFS(uitkomst_tech[QALY (€)],uitkomst_tech[Veld],A133,uitkomst_tech[Jaar],C133,uitkomst_tech[Uitgangssituatie/effect beleid],uitkomst_veld[[#This Row],[Uitgangssituatie/effect beleid]])</f>
        <v>38780914.921781696</v>
      </c>
      <c r="H133" s="398">
        <f>SUMIFS(uitkomst_tech[Kosten (€)],uitkomst_tech[Veld],A133,uitkomst_tech[Jaar],C133,uitkomst_tech[Uitgangssituatie/effect beleid],uitkomst_veld[[#This Row],[Uitgangssituatie/effect beleid]])</f>
        <v>32948047.892353825</v>
      </c>
      <c r="I133" s="398">
        <f>SUMIFS(uitkomst_tech[Investering (cash flow) (€)],uitkomst_tech[Veld],A133,uitkomst_tech[Jaar],C133,uitkomst_tech[Uitgangssituatie/effect beleid],uitkomst_veld[[#This Row],[Uitgangssituatie/effect beleid]])</f>
        <v>69668.748318140395</v>
      </c>
    </row>
    <row r="134" spans="1:9" x14ac:dyDescent="0.5">
      <c r="A134" s="42" t="s">
        <v>11</v>
      </c>
      <c r="B134" s="42" t="s">
        <v>813</v>
      </c>
      <c r="C134" s="33">
        <v>2031</v>
      </c>
      <c r="D134" s="398">
        <f>SUMIFS(uitkomst_tech[Arbeidsbesparing (€)],uitkomst_tech[Veld],A134,uitkomst_tech[Jaar],C134,uitkomst_tech[Uitgangssituatie/effect beleid],uitkomst_veld[[#This Row],[Uitgangssituatie/effect beleid]])</f>
        <v>41141493.589822024</v>
      </c>
      <c r="E134" s="407">
        <f>SUMIFS(uitkomst_tech[Arbeidsbesparing (FTE)],uitkomst_tech[Veld],A134,uitkomst_tech[Jaar],C134,uitkomst_tech[Uitgangssituatie/effect beleid],uitkomst_veld[[#This Row],[Uitgangssituatie/effect beleid]])</f>
        <v>363.18004108564617</v>
      </c>
      <c r="F134" s="398">
        <f>SUMIFS(uitkomst_tech[Overige besparingen (€)],uitkomst_tech[Veld],A134,uitkomst_tech[Jaar],C134,uitkomst_tech[Uitgangssituatie/effect beleid],uitkomst_veld[[#This Row],[Uitgangssituatie/effect beleid]])</f>
        <v>2084899.5635894311</v>
      </c>
      <c r="G134" s="398">
        <f>SUMIFS(uitkomst_tech[QALY (€)],uitkomst_tech[Veld],A134,uitkomst_tech[Jaar],C134,uitkomst_tech[Uitgangssituatie/effect beleid],uitkomst_veld[[#This Row],[Uitgangssituatie/effect beleid]])</f>
        <v>39090685.374215804</v>
      </c>
      <c r="H134" s="398">
        <f>SUMIFS(uitkomst_tech[Kosten (€)],uitkomst_tech[Veld],A134,uitkomst_tech[Jaar],C134,uitkomst_tech[Uitgangssituatie/effect beleid],uitkomst_veld[[#This Row],[Uitgangssituatie/effect beleid]])</f>
        <v>36311267.223258808</v>
      </c>
      <c r="I134" s="398">
        <f>SUMIFS(uitkomst_tech[Investering (cash flow) (€)],uitkomst_tech[Veld],A134,uitkomst_tech[Jaar],C134,uitkomst_tech[Uitgangssituatie/effect beleid],uitkomst_veld[[#This Row],[Uitgangssituatie/effect beleid]])</f>
        <v>50864.981608391725</v>
      </c>
    </row>
    <row r="135" spans="1:9" x14ac:dyDescent="0.5">
      <c r="A135" s="42" t="s">
        <v>11</v>
      </c>
      <c r="B135" s="42" t="s">
        <v>813</v>
      </c>
      <c r="C135" s="33">
        <v>2032</v>
      </c>
      <c r="D135" s="398">
        <f>SUMIFS(uitkomst_tech[Arbeidsbesparing (€)],uitkomst_tech[Veld],A135,uitkomst_tech[Jaar],C135,uitkomst_tech[Uitgangssituatie/effect beleid],uitkomst_veld[[#This Row],[Uitgangssituatie/effect beleid]])</f>
        <v>45574315.519046396</v>
      </c>
      <c r="E135" s="407">
        <f>SUMIFS(uitkomst_tech[Arbeidsbesparing (FTE)],uitkomst_tech[Veld],A135,uitkomst_tech[Jaar],C135,uitkomst_tech[Uitgangssituatie/effect beleid],uitkomst_veld[[#This Row],[Uitgangssituatie/effect beleid]])</f>
        <v>391.80036520408669</v>
      </c>
      <c r="F135" s="398">
        <f>SUMIFS(uitkomst_tech[Overige besparingen (€)],uitkomst_tech[Veld],A135,uitkomst_tech[Jaar],C135,uitkomst_tech[Uitgangssituatie/effect beleid],uitkomst_veld[[#This Row],[Uitgangssituatie/effect beleid]])</f>
        <v>2092848.5036537494</v>
      </c>
      <c r="G135" s="398">
        <f>SUMIFS(uitkomst_tech[QALY (€)],uitkomst_tech[Veld],A135,uitkomst_tech[Jaar],C135,uitkomst_tech[Uitgangssituatie/effect beleid],uitkomst_veld[[#This Row],[Uitgangssituatie/effect beleid]])</f>
        <v>39239723.496022403</v>
      </c>
      <c r="H135" s="398">
        <f>SUMIFS(uitkomst_tech[Kosten (€)],uitkomst_tech[Veld],A135,uitkomst_tech[Jaar],C135,uitkomst_tech[Uitgangssituatie/effect beleid],uitkomst_veld[[#This Row],[Uitgangssituatie/effect beleid]])</f>
        <v>40164367.940474577</v>
      </c>
      <c r="I135" s="398">
        <f>SUMIFS(uitkomst_tech[Investering (cash flow) (€)],uitkomst_tech[Veld],A135,uitkomst_tech[Jaar],C135,uitkomst_tech[Uitgangssituatie/effect beleid],uitkomst_veld[[#This Row],[Uitgangssituatie/effect beleid]])</f>
        <v>35868.708783472612</v>
      </c>
    </row>
    <row r="136" spans="1:9" x14ac:dyDescent="0.5">
      <c r="A136" s="42" t="s">
        <v>11</v>
      </c>
      <c r="B136" s="42" t="s">
        <v>813</v>
      </c>
      <c r="C136" s="33">
        <v>2033</v>
      </c>
      <c r="D136" s="398">
        <f>SUMIFS(uitkomst_tech[Arbeidsbesparing (€)],uitkomst_tech[Veld],A136,uitkomst_tech[Jaar],C136,uitkomst_tech[Uitgangssituatie/effect beleid],uitkomst_veld[[#This Row],[Uitgangssituatie/effect beleid]])</f>
        <v>50279692.13333939</v>
      </c>
      <c r="E136" s="407">
        <f>SUMIFS(uitkomst_tech[Arbeidsbesparing (FTE)],uitkomst_tech[Veld],A136,uitkomst_tech[Jaar],C136,uitkomst_tech[Uitgangssituatie/effect beleid],uitkomst_veld[[#This Row],[Uitgangssituatie/effect beleid]])</f>
        <v>421.41525667128997</v>
      </c>
      <c r="F136" s="398">
        <f>SUMIFS(uitkomst_tech[Overige besparingen (€)],uitkomst_tech[Veld],A136,uitkomst_tech[Jaar],C136,uitkomst_tech[Uitgangssituatie/effect beleid],uitkomst_veld[[#This Row],[Uitgangssituatie/effect beleid]])</f>
        <v>2096626.6195982168</v>
      </c>
      <c r="G136" s="398">
        <f>SUMIFS(uitkomst_tech[QALY (€)],uitkomst_tech[Veld],A136,uitkomst_tech[Jaar],C136,uitkomst_tech[Uitgangssituatie/effect beleid],uitkomst_veld[[#This Row],[Uitgangssituatie/effect beleid]])</f>
        <v>39310561.029048793</v>
      </c>
      <c r="H136" s="398">
        <f>SUMIFS(uitkomst_tech[Kosten (€)],uitkomst_tech[Veld],A136,uitkomst_tech[Jaar],C136,uitkomst_tech[Uitgangssituatie/effect beleid],uitkomst_veld[[#This Row],[Uitgangssituatie/effect beleid]])</f>
        <v>44254642.791847497</v>
      </c>
      <c r="I136" s="398">
        <f>SUMIFS(uitkomst_tech[Investering (cash flow) (€)],uitkomst_tech[Veld],A136,uitkomst_tech[Jaar],C136,uitkomst_tech[Uitgangssituatie/effect beleid],uitkomst_veld[[#This Row],[Uitgangssituatie/effect beleid]])</f>
        <v>24539.182739664673</v>
      </c>
    </row>
  </sheetData>
  <sheetProtection algorithmName="SHA-512" hashValue="Kukcw8QHR5Q0PXk6ze7UCpvLdhpQdiTQr3I3ihY7Flu4oHTHDcbOE7FO6V2FittiElbYfshx8JDTcutGOpKW8g==" saltValue="sJ31relX9iBRtP0XTz0y8A==" spinCount="100000" sheet="1" objects="1" scenarios="1" selectLockedCells="1" selectUnlockedCells="1"/>
  <mergeCells count="1">
    <mergeCell ref="A1:C2"/>
  </mergeCells>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DAF32-403C-46B3-B412-FF2AF65FF7F6}">
  <sheetPr codeName="Blad26">
    <tabColor theme="8"/>
  </sheetPr>
  <dimension ref="A1:AH41"/>
  <sheetViews>
    <sheetView showGridLines="0" zoomScale="80" zoomScaleNormal="80" workbookViewId="0">
      <selection activeCell="B32" sqref="B32"/>
    </sheetView>
  </sheetViews>
  <sheetFormatPr defaultRowHeight="17" x14ac:dyDescent="0.5"/>
  <cols>
    <col min="1" max="1" width="32.69140625" customWidth="1"/>
    <col min="2" max="2" width="29.07421875" style="10" bestFit="1" customWidth="1"/>
    <col min="3" max="3" width="15.07421875" customWidth="1"/>
    <col min="4" max="4" width="15.07421875" bestFit="1" customWidth="1"/>
    <col min="5" max="6" width="15.07421875" customWidth="1"/>
    <col min="7" max="7" width="15.07421875" bestFit="1" customWidth="1"/>
    <col min="8" max="9" width="15.07421875" customWidth="1"/>
    <col min="10" max="10" width="15.07421875" bestFit="1" customWidth="1"/>
    <col min="11" max="12" width="15.07421875" customWidth="1"/>
    <col min="13" max="13" width="15.07421875" bestFit="1" customWidth="1"/>
    <col min="14" max="15" width="15.07421875" customWidth="1"/>
    <col min="16" max="16" width="13.53515625" bestFit="1" customWidth="1"/>
    <col min="17" max="18" width="13.53515625" customWidth="1"/>
    <col min="19" max="19" width="13.53515625" bestFit="1" customWidth="1"/>
    <col min="20" max="21" width="13.53515625" customWidth="1"/>
    <col min="22" max="22" width="13.53515625" bestFit="1" customWidth="1"/>
    <col min="23" max="24" width="13.53515625" customWidth="1"/>
    <col min="25" max="25" width="13.53515625" bestFit="1" customWidth="1"/>
    <col min="26" max="27" width="13.53515625" customWidth="1"/>
    <col min="28" max="28" width="13.53515625" bestFit="1" customWidth="1"/>
    <col min="29" max="32" width="13.53515625" customWidth="1"/>
    <col min="33" max="33" width="13.53515625" bestFit="1" customWidth="1"/>
    <col min="34" max="34" width="17.53515625" customWidth="1"/>
  </cols>
  <sheetData>
    <row r="1" spans="1:34" x14ac:dyDescent="0.5">
      <c r="A1" s="476" t="s">
        <v>1032</v>
      </c>
      <c r="B1" s="477"/>
      <c r="C1" s="478"/>
    </row>
    <row r="2" spans="1:34" ht="17.5" thickBot="1" x14ac:dyDescent="0.55000000000000004">
      <c r="A2" s="479"/>
      <c r="B2" s="480"/>
      <c r="C2" s="481"/>
    </row>
    <row r="4" spans="1:34" s="39" customFormat="1" x14ac:dyDescent="0.5">
      <c r="A4" s="46" t="s">
        <v>5</v>
      </c>
      <c r="B4" s="213"/>
      <c r="C4" s="207">
        <v>2023</v>
      </c>
      <c r="D4" s="207"/>
      <c r="E4" s="207"/>
      <c r="F4" s="207">
        <v>2024</v>
      </c>
      <c r="G4" s="207"/>
      <c r="H4" s="207"/>
      <c r="I4" s="207">
        <v>2025</v>
      </c>
      <c r="J4" s="207"/>
      <c r="K4" s="207"/>
      <c r="L4" s="207">
        <v>2026</v>
      </c>
      <c r="M4" s="207"/>
      <c r="N4" s="207"/>
      <c r="O4" s="207">
        <v>2027</v>
      </c>
      <c r="P4" s="207"/>
      <c r="Q4" s="207"/>
      <c r="R4" s="207">
        <v>2028</v>
      </c>
      <c r="S4" s="207"/>
      <c r="T4" s="207"/>
      <c r="U4" s="207">
        <v>2029</v>
      </c>
      <c r="V4" s="207"/>
      <c r="W4" s="207"/>
      <c r="X4" s="207">
        <v>2030</v>
      </c>
      <c r="Y4" s="207"/>
      <c r="Z4" s="207"/>
      <c r="AA4" s="207">
        <v>2031</v>
      </c>
      <c r="AB4" s="207"/>
      <c r="AC4" s="207"/>
      <c r="AD4" s="207">
        <v>2032</v>
      </c>
      <c r="AE4" s="207"/>
      <c r="AF4" s="207"/>
      <c r="AG4" s="207">
        <v>2033</v>
      </c>
      <c r="AH4" s="207"/>
    </row>
    <row r="5" spans="1:34" x14ac:dyDescent="0.5">
      <c r="A5" s="2" t="str">
        <f>'A2 - Resultaten per veld'!$A$5</f>
        <v>Digitale hulpmiddelen - Verpleging</v>
      </c>
      <c r="B5" s="1" t="s">
        <v>438</v>
      </c>
      <c r="C5" s="127"/>
      <c r="D5" s="127"/>
      <c r="E5" s="127"/>
      <c r="F5" s="127">
        <f>($C$6+$C$7)</f>
        <v>450.70591861036968</v>
      </c>
      <c r="G5" s="127"/>
      <c r="H5" s="127"/>
      <c r="I5" s="127">
        <f>($C$6+$C$7)</f>
        <v>450.70591861036968</v>
      </c>
      <c r="J5" s="127"/>
      <c r="K5" s="127"/>
      <c r="L5" s="127">
        <f>($C$6+$C$7)</f>
        <v>450.70591861036968</v>
      </c>
      <c r="M5" s="127"/>
      <c r="N5" s="127"/>
      <c r="O5" s="127">
        <f>($C$6+$C$7)</f>
        <v>450.70591861036968</v>
      </c>
      <c r="P5" s="127"/>
      <c r="Q5" s="127"/>
      <c r="R5" s="127">
        <f>($C$6+$C$7)</f>
        <v>450.70591861036968</v>
      </c>
      <c r="S5" s="127"/>
      <c r="T5" s="127"/>
      <c r="U5" s="127">
        <f>($C$6+$C$7)</f>
        <v>450.70591861036968</v>
      </c>
      <c r="V5" s="127"/>
      <c r="W5" s="127"/>
      <c r="X5" s="127">
        <f>($C$6+$C$7)</f>
        <v>450.70591861036968</v>
      </c>
      <c r="Y5" s="127"/>
      <c r="Z5" s="127"/>
      <c r="AA5" s="127">
        <f>($C$6+$C$7)</f>
        <v>450.70591861036968</v>
      </c>
      <c r="AB5" s="127"/>
      <c r="AC5" s="127"/>
      <c r="AD5" s="127">
        <f>($C$6+$C$7)</f>
        <v>450.70591861036968</v>
      </c>
      <c r="AE5" s="127"/>
      <c r="AF5" s="127"/>
      <c r="AG5" s="127">
        <f>($C$6+$C$7)</f>
        <v>450.70591861036968</v>
      </c>
      <c r="AH5" s="127"/>
    </row>
    <row r="6" spans="1:34" x14ac:dyDescent="0.5">
      <c r="A6" s="2" t="str">
        <f>'A2 - Resultaten per veld'!$A$5</f>
        <v>Digitale hulpmiddelen - Verpleging</v>
      </c>
      <c r="B6" s="1" t="s">
        <v>1020</v>
      </c>
      <c r="C6" s="127">
        <f>SUMIFS(uitkomst_veld[Arbeidsbesparing (€/jaar)],uitkomst_veld[[Jaar]:[Jaar]],$C4,uitkomst_veld[[Veld]:[Veld]],$A6,uitkomst_veld[[Uitgangssituatie/effect beleid]:[Uitgangssituatie/effect beleid]],"Uitgangssituatie")/1000000</f>
        <v>309.87610308929948</v>
      </c>
      <c r="D6" s="127"/>
      <c r="E6" s="127"/>
      <c r="F6" s="127">
        <f>SUMIFS(uitkomst_veld[Arbeidsbesparing (€/jaar)],uitkomst_veld[[Jaar]:[Jaar]],$F4,uitkomst_veld[[Veld]:[Veld]],$A6,uitkomst_veld[[Uitgangssituatie/effect beleid]:[Uitgangssituatie/effect beleid]],"Uitgangssituatie")/1000000-$C$6</f>
        <v>92.141999497305392</v>
      </c>
      <c r="G6" s="127"/>
      <c r="H6" s="127"/>
      <c r="I6" s="127">
        <f>SUMIFS(uitkomst_veld[Arbeidsbesparing (€/jaar)],uitkomst_veld[[Jaar]:[Jaar]],$I4,uitkomst_veld[[Veld]:[Veld]],$A6,uitkomst_veld[[Uitgangssituatie/effect beleid]:[Uitgangssituatie/effect beleid]],"Uitgangssituatie")/1000000-$C$6</f>
        <v>189.40955104468929</v>
      </c>
      <c r="J6" s="127"/>
      <c r="K6" s="127"/>
      <c r="L6" s="127">
        <f>SUMIFS(uitkomst_veld[Arbeidsbesparing (€/jaar)],uitkomst_veld[[Jaar]:[Jaar]],$L4,uitkomst_veld[[Veld]:[Veld]],$A6,uitkomst_veld[[Uitgangssituatie/effect beleid]:[Uitgangssituatie/effect beleid]],"Uitgangssituatie")/1000000-$C$6</f>
        <v>284.54895546820205</v>
      </c>
      <c r="M6" s="127"/>
      <c r="N6" s="127"/>
      <c r="O6" s="127">
        <f>SUMIFS(uitkomst_veld[Arbeidsbesparing (€/jaar)],uitkomst_veld[[Jaar]:[Jaar]],$O4,uitkomst_veld[[Veld]:[Veld]],$A6,uitkomst_veld[[Uitgangssituatie/effect beleid]:[Uitgangssituatie/effect beleid]],"Uitgangssituatie")/1000000-$C$6</f>
        <v>369.26297411409587</v>
      </c>
      <c r="P6" s="127"/>
      <c r="Q6" s="127"/>
      <c r="R6" s="127">
        <f>SUMIFS(uitkomst_veld[Arbeidsbesparing (€/jaar)],uitkomst_veld[[Jaar]:[Jaar]],$R4,uitkomst_veld[[Veld]:[Veld]],$A6,uitkomst_veld[[Uitgangssituatie/effect beleid]:[Uitgangssituatie/effect beleid]],"Uitgangssituatie")/1000000-$C$6</f>
        <v>438.35206176984173</v>
      </c>
      <c r="S6" s="127"/>
      <c r="T6" s="127"/>
      <c r="U6" s="127">
        <f>SUMIFS(uitkomst_veld[Arbeidsbesparing (€/jaar)],uitkomst_veld[[Jaar]:[Jaar]],$U4,uitkomst_veld[[Veld]:[Veld]],$A6,uitkomst_veld[[Uitgangssituatie/effect beleid]:[Uitgangssituatie/effect beleid]],"Uitgangssituatie")/1000000-$C$6</f>
        <v>490.4227872614066</v>
      </c>
      <c r="V6" s="127"/>
      <c r="W6" s="127"/>
      <c r="X6" s="127">
        <f>SUMIFS(uitkomst_veld[Arbeidsbesparing (€/jaar)],uitkomst_veld[[Jaar]:[Jaar]],$X4,uitkomst_veld[[Veld]:[Veld]],$A6,uitkomst_veld[[Uitgangssituatie/effect beleid]:[Uitgangssituatie/effect beleid]],"Uitgangssituatie")/1000000-$C$6</f>
        <v>527.42351471487859</v>
      </c>
      <c r="Y6" s="127"/>
      <c r="Z6" s="127"/>
      <c r="AA6" s="127">
        <f>SUMIFS(uitkomst_veld[Arbeidsbesparing (€/jaar)],uitkomst_veld[[Jaar]:[Jaar]],$AA4,uitkomst_veld[[Veld]:[Veld]],$A6,uitkomst_veld[[Uitgangssituatie/effect beleid]:[Uitgangssituatie/effect beleid]],"Uitgangssituatie")/1000000-$C$6</f>
        <v>553.02332421403958</v>
      </c>
      <c r="AB6" s="127"/>
      <c r="AC6" s="127"/>
      <c r="AD6" s="127">
        <f>SUMIFS(uitkomst_veld[Arbeidsbesparing (€/jaar)],uitkomst_veld[[Jaar]:[Jaar]],$AD4,uitkomst_veld[[Veld]:[Veld]],$A6,uitkomst_veld[[Uitgangssituatie/effect beleid]:[Uitgangssituatie/effect beleid]],"Uitgangssituatie")/1000000-$C$6</f>
        <v>570.94956416179116</v>
      </c>
      <c r="AE6" s="127"/>
      <c r="AF6" s="127"/>
      <c r="AG6" s="127">
        <f>SUMIFS(uitkomst_veld[Arbeidsbesparing (€/jaar)],uitkomst_veld[[Jaar]:[Jaar]],$AG4,uitkomst_veld[[Veld]:[Veld]],$A6,uitkomst_veld[[Uitgangssituatie/effect beleid]:[Uitgangssituatie/effect beleid]],"Uitgangssituatie")/1000000-$C$6</f>
        <v>584.03698962938142</v>
      </c>
      <c r="AH6" s="127"/>
    </row>
    <row r="7" spans="1:34" x14ac:dyDescent="0.5">
      <c r="A7" s="2" t="str">
        <f>'A2 - Resultaten per veld'!$A$5</f>
        <v>Digitale hulpmiddelen - Verpleging</v>
      </c>
      <c r="B7" s="1" t="s">
        <v>1021</v>
      </c>
      <c r="C7" s="127">
        <f>SUMIFS(uitkomst_veld[Overige besparingen],uitkomst_veld[[Jaar]:[Jaar]],$C4,uitkomst_veld[[Veld]:[Veld]],$A7,uitkomst_veld[[Uitgangssituatie/effect beleid]:[Uitgangssituatie/effect beleid]],"Uitgangssituatie")/1000000</f>
        <v>140.8298155210702</v>
      </c>
      <c r="D7" s="127"/>
      <c r="E7" s="127"/>
      <c r="F7" s="127">
        <f>SUMIFS(uitkomst_veld[Overige besparingen],uitkomst_veld[[Jaar]:[Jaar]],$F4,uitkomst_veld[[Veld]:[Veld]],$A7,uitkomst_veld[[Uitgangssituatie/effect beleid]:[Uitgangssituatie/effect beleid]],"Uitgangssituatie")/1000000-$C$7</f>
        <v>40.077854345167935</v>
      </c>
      <c r="G7" s="127"/>
      <c r="H7" s="127"/>
      <c r="I7" s="127">
        <f>SUMIFS(uitkomst_veld[Overige besparingen],uitkomst_veld[[Jaar]:[Jaar]],$I4,uitkomst_veld[[Veld]:[Veld]],$A7,uitkomst_veld[[Uitgangssituatie/effect beleid]:[Uitgangssituatie/effect beleid]],"Uitgangssituatie")/1000000-$C$7</f>
        <v>81.615092624672599</v>
      </c>
      <c r="J7" s="127"/>
      <c r="K7" s="127"/>
      <c r="L7" s="127">
        <f>SUMIFS(uitkomst_veld[Overige besparingen],uitkomst_veld[[Jaar]:[Jaar]],$L4,uitkomst_veld[[Veld]:[Veld]],$A7,uitkomst_veld[[Uitgangssituatie/effect beleid]:[Uitgangssituatie/effect beleid]],"Uitgangssituatie")/1000000-$C$7</f>
        <v>121.35770593170855</v>
      </c>
      <c r="M7" s="127"/>
      <c r="N7" s="127"/>
      <c r="O7" s="127">
        <f>SUMIFS(uitkomst_veld[Overige besparingen],uitkomst_veld[[Jaar]:[Jaar]],$O4,uitkomst_veld[[Veld]:[Veld]],$A7,uitkomst_veld[[Uitgangssituatie/effect beleid]:[Uitgangssituatie/effect beleid]],"Uitgangssituatie")/1000000-$C$7</f>
        <v>155.9048178083271</v>
      </c>
      <c r="P7" s="127"/>
      <c r="Q7" s="127"/>
      <c r="R7" s="127">
        <f>SUMIFS(uitkomst_veld[Overige besparingen],uitkomst_veld[[Jaar]:[Jaar]],$R4,uitkomst_veld[[Veld]:[Veld]],$A7,uitkomst_veld[[Uitgangssituatie/effect beleid]:[Uitgangssituatie/effect beleid]],"Uitgangssituatie")/1000000-$C$7</f>
        <v>183.48032763044699</v>
      </c>
      <c r="S7" s="127"/>
      <c r="T7" s="127"/>
      <c r="U7" s="127">
        <f>SUMIFS(uitkomst_veld[Overige besparingen],uitkomst_veld[[Jaar]:[Jaar]],$U4,uitkomst_veld[[Veld]:[Veld]],$A7,uitkomst_veld[[Uitgangssituatie/effect beleid]:[Uitgangssituatie/effect beleid]],"Uitgangssituatie")/1000000-$C$7</f>
        <v>203.99038854435474</v>
      </c>
      <c r="V7" s="127"/>
      <c r="W7" s="127"/>
      <c r="X7" s="127">
        <f>SUMIFS(uitkomst_veld[Overige besparingen],uitkomst_veld[[Jaar]:[Jaar]],$X4,uitkomst_veld[[Veld]:[Veld]],$A7,uitkomst_veld[[Uitgangssituatie/effect beleid]:[Uitgangssituatie/effect beleid]],"Uitgangssituatie")/1000000-$C$7</f>
        <v>218.56062270938281</v>
      </c>
      <c r="Y7" s="127"/>
      <c r="Z7" s="127"/>
      <c r="AA7" s="127">
        <f>SUMIFS(uitkomst_veld[Overige besparingen],uitkomst_veld[[Jaar]:[Jaar]],$AA4,uitkomst_veld[[Veld]:[Veld]],$A7,uitkomst_veld[[Uitgangssituatie/effect beleid]:[Uitgangssituatie/effect beleid]],"Uitgangssituatie")/1000000-$C$7</f>
        <v>228.78077321174482</v>
      </c>
      <c r="AB7" s="127"/>
      <c r="AC7" s="127"/>
      <c r="AD7" s="127">
        <f>SUMIFS(uitkomst_veld[Overige besparingen],uitkomst_veld[[Jaar]:[Jaar]],$AD4,uitkomst_veld[[Veld]:[Veld]],$A7,uitkomst_veld[[Uitgangssituatie/effect beleid]:[Uitgangssituatie/effect beleid]],"Uitgangssituatie")/1000000-$C$7</f>
        <v>236.11201370478426</v>
      </c>
      <c r="AE7" s="127"/>
      <c r="AF7" s="127"/>
      <c r="AG7" s="127">
        <f>SUMIFS(uitkomst_veld[Overige besparingen],uitkomst_veld[[Jaar]:[Jaar]],$AG4,uitkomst_veld[[Veld]:[Veld]],$A7,uitkomst_veld[[Uitgangssituatie/effect beleid]:[Uitgangssituatie/effect beleid]],"Uitgangssituatie")/1000000-$C$7</f>
        <v>241.60913068922088</v>
      </c>
      <c r="AH7" s="127"/>
    </row>
    <row r="8" spans="1:34" x14ac:dyDescent="0.5">
      <c r="A8" s="2" t="str">
        <f>'A2 - Resultaten per veld'!$A$5</f>
        <v>Digitale hulpmiddelen - Verpleging</v>
      </c>
      <c r="B8" s="1" t="s">
        <v>439</v>
      </c>
      <c r="C8" s="127"/>
      <c r="D8" s="127"/>
      <c r="E8" s="127"/>
      <c r="F8" s="127"/>
      <c r="G8" s="127">
        <f>$D$9</f>
        <v>93.7932990526038</v>
      </c>
      <c r="H8" s="127"/>
      <c r="I8" s="127"/>
      <c r="J8" s="127">
        <f>$D$9</f>
        <v>93.7932990526038</v>
      </c>
      <c r="K8" s="127"/>
      <c r="L8" s="127"/>
      <c r="M8" s="127">
        <f>$D$9</f>
        <v>93.7932990526038</v>
      </c>
      <c r="N8" s="127"/>
      <c r="O8" s="127"/>
      <c r="P8" s="127">
        <f>$D$9</f>
        <v>93.7932990526038</v>
      </c>
      <c r="Q8" s="127"/>
      <c r="R8" s="127"/>
      <c r="S8" s="127">
        <f>$D$9</f>
        <v>93.7932990526038</v>
      </c>
      <c r="T8" s="127"/>
      <c r="U8" s="127"/>
      <c r="V8" s="127">
        <f>$D$9</f>
        <v>93.7932990526038</v>
      </c>
      <c r="W8" s="127"/>
      <c r="X8" s="127"/>
      <c r="Y8" s="127">
        <f>$D$9</f>
        <v>93.7932990526038</v>
      </c>
      <c r="Z8" s="127"/>
      <c r="AA8" s="127"/>
      <c r="AB8" s="127">
        <f>$D$9</f>
        <v>93.7932990526038</v>
      </c>
      <c r="AC8" s="127"/>
      <c r="AD8" s="127"/>
      <c r="AE8" s="127">
        <f>$D$9</f>
        <v>93.7932990526038</v>
      </c>
      <c r="AF8" s="127"/>
      <c r="AG8" s="127"/>
      <c r="AH8" s="127">
        <f>$D$9</f>
        <v>93.7932990526038</v>
      </c>
    </row>
    <row r="9" spans="1:34" x14ac:dyDescent="0.5">
      <c r="A9" s="2" t="str">
        <f>'A2 - Resultaten per veld'!$A$5</f>
        <v>Digitale hulpmiddelen - Verpleging</v>
      </c>
      <c r="B9" s="1" t="s">
        <v>636</v>
      </c>
      <c r="C9" s="127"/>
      <c r="D9" s="127">
        <f>SUMIFS(uitkomst_veld[Kosten (€)],uitkomst_veld[Jaar],$C4,uitkomst_veld[Veld],$A9,uitkomst_veld[[Uitgangssituatie/effect beleid]:[Uitgangssituatie/effect beleid]],"Uitgangssituatie")/1000000</f>
        <v>93.7932990526038</v>
      </c>
      <c r="E9" s="127"/>
      <c r="F9" s="127"/>
      <c r="G9" s="127">
        <f>SUMIFS(uitkomst_veld[Kosten (€)],uitkomst_veld[Jaar],$F4,uitkomst_veld[Veld],$A9,uitkomst_veld[[Uitgangssituatie/effect beleid]:[Uitgangssituatie/effect beleid]],"Uitgangssituatie")/1000000-$D$9</f>
        <v>26.929607018768664</v>
      </c>
      <c r="H9" s="127"/>
      <c r="I9" s="127"/>
      <c r="J9" s="127">
        <f>SUMIFS(uitkomst_veld[Kosten (€)],uitkomst_veld[Jaar],$I4,uitkomst_veld[Veld],$A9,uitkomst_veld[[Uitgangssituatie/effect beleid]:[Uitgangssituatie/effect beleid]],"Uitgangssituatie")/1000000-$D$9</f>
        <v>54.587221997897245</v>
      </c>
      <c r="K9" s="127"/>
      <c r="L9" s="127"/>
      <c r="M9" s="127">
        <f>SUMIFS(uitkomst_veld[Kosten (€)],uitkomst_veld[Jaar],$L4,uitkomst_veld[Veld],$A9,uitkomst_veld[[Uitgangssituatie/effect beleid]:[Uitgangssituatie/effect beleid]],"Uitgangssituatie")/1000000-$D$9</f>
        <v>80.553029818487317</v>
      </c>
      <c r="N9" s="127"/>
      <c r="O9" s="127"/>
      <c r="P9" s="127">
        <f>SUMIFS(uitkomst_veld[Kosten (€)],uitkomst_veld[Jaar],$O4,uitkomst_veld[Veld],$A9,uitkomst_veld[[Uitgangssituatie/effect beleid]:[Uitgangssituatie/effect beleid]],"Uitgangssituatie")/1000000-$D$9</f>
        <v>102.58636295823632</v>
      </c>
      <c r="Q9" s="127"/>
      <c r="R9" s="127"/>
      <c r="S9" s="127">
        <f>SUMIFS(uitkomst_veld[Kosten (€)],uitkomst_veld[Jaar],$R4,uitkomst_veld[Veld],$A9,uitkomst_veld[[Uitgangssituatie/effect beleid]:[Uitgangssituatie/effect beleid]],"Uitgangssituatie")/1000000-$D$9</f>
        <v>119.69747714104358</v>
      </c>
      <c r="T9" s="127"/>
      <c r="U9" s="127"/>
      <c r="V9" s="127">
        <f>SUMIFS(uitkomst_veld[Kosten (€)],uitkomst_veld[Jaar],$U4,uitkomst_veld[Veld],$A9,uitkomst_veld[[Uitgangssituatie/effect beleid]:[Uitgangssituatie/effect beleid]],"Uitgangssituatie")/1000000-$D$9</f>
        <v>132.10260421696108</v>
      </c>
      <c r="W9" s="127"/>
      <c r="X9" s="127"/>
      <c r="Y9" s="127">
        <f>SUMIFS(uitkomst_veld[Kosten (€)],uitkomst_veld[Jaar],$X4,uitkomst_veld[Veld],$A9,uitkomst_veld[[Uitgangssituatie/effect beleid]:[Uitgangssituatie/effect beleid]],"Uitgangssituatie")/1000000-$D$9</f>
        <v>140.74138025695646</v>
      </c>
      <c r="Z9" s="127"/>
      <c r="AA9" s="127"/>
      <c r="AB9" s="127">
        <f>SUMIFS(uitkomst_veld[Kosten (€)],uitkomst_veld[Jaar],$AA4,uitkomst_veld[Veld],$A9,uitkomst_veld[[Uitgangssituatie/effect beleid]:[Uitgangssituatie/effect beleid]],"Uitgangssituatie")/1000000-$D$9</f>
        <v>146.71730789068494</v>
      </c>
      <c r="AC9" s="127"/>
      <c r="AD9" s="127"/>
      <c r="AE9" s="127">
        <f>SUMIFS(uitkomst_veld[Kosten (€)],uitkomst_veld[Jaar],$AD4,uitkomst_veld[Veld],$A9,uitkomst_veld[[Uitgangssituatie/effect beleid]:[Uitgangssituatie/effect beleid]],"Uitgangssituatie")/1000000-$D$9</f>
        <v>150.95917040692527</v>
      </c>
      <c r="AF9" s="127"/>
      <c r="AG9" s="127"/>
      <c r="AH9" s="127">
        <f>SUMIFS(uitkomst_veld[Kosten (€)],uitkomst_veld[Jaar],$AG4,uitkomst_veld[Veld],$A9,uitkomst_veld[[Uitgangssituatie/effect beleid]:[Uitgangssituatie/effect beleid]],"Uitgangssituatie")/1000000-$D$9</f>
        <v>154.10770636094352</v>
      </c>
    </row>
    <row r="10" spans="1:34" x14ac:dyDescent="0.5">
      <c r="A10" s="2" t="str">
        <f>'A2 - Resultaten per veld'!$A$5</f>
        <v>Digitale hulpmiddelen - Verpleging</v>
      </c>
      <c r="B10" s="288" t="s">
        <v>998</v>
      </c>
      <c r="C10" s="127"/>
      <c r="D10" s="127">
        <f>SUMIFS(uitkomst_veld[Investering (cash flow) (€)],uitkomst_veld[Jaar],$C4,uitkomst_veld[Veld],$A10,uitkomst_veld[[Uitgangssituatie/effect beleid]:[Uitgangssituatie/effect beleid]],"Uitgangssituatie")/1000000</f>
        <v>16.550898118734811</v>
      </c>
      <c r="E10" s="127"/>
      <c r="F10" s="127"/>
      <c r="G10" s="127">
        <f>SUMIFS(uitkomst_veld[Investering (cash flow) (€)],uitkomst_veld[Jaar],$F4,uitkomst_veld[Veld],$A10,uitkomst_veld[[Uitgangssituatie/effect beleid]:[Uitgangssituatie/effect beleid]],"Uitgangssituatie")/1000000</f>
        <v>18.662251522953355</v>
      </c>
      <c r="H10" s="127"/>
      <c r="I10" s="127"/>
      <c r="J10" s="127">
        <f>SUMIFS(uitkomst_veld[Investering (cash flow) (€)],uitkomst_veld[Jaar],$I4,uitkomst_veld[Veld],$A10,uitkomst_veld[[Uitgangssituatie/effect beleid]:[Uitgangssituatie/effect beleid]],"Uitgangssituatie")/1000000</f>
        <v>19.464524708073082</v>
      </c>
      <c r="K10" s="127"/>
      <c r="L10" s="127"/>
      <c r="M10" s="127">
        <f>SUMIFS(uitkomst_veld[Investering (cash flow) (€)],uitkomst_veld[Jaar],$L4,uitkomst_veld[Veld],$A10,uitkomst_veld[[Uitgangssituatie/effect beleid]:[Uitgangssituatie/effect beleid]],"Uitgangssituatie")/1000000</f>
        <v>18.52134381238524</v>
      </c>
      <c r="N10" s="127"/>
      <c r="O10" s="127"/>
      <c r="P10" s="127">
        <f>SUMIFS(uitkomst_veld[Investering (cash flow) (€)],uitkomst_veld[Jaar],$O4,uitkomst_veld[Veld],$A10,uitkomst_veld[[Uitgangssituatie/effect beleid]:[Uitgangssituatie/effect beleid]],"Uitgangssituatie")/1000000</f>
        <v>15.946915452050616</v>
      </c>
      <c r="Q10" s="127"/>
      <c r="R10" s="127"/>
      <c r="S10" s="127">
        <f>SUMIFS(uitkomst_veld[Investering (cash flow) (€)],uitkomst_veld[Jaar],$R4,uitkomst_veld[Veld],$A10,uitkomst_veld[[Uitgangssituatie/effect beleid]:[Uitgangssituatie/effect beleid]],"Uitgangssituatie")/1000000</f>
        <v>12.382517772700531</v>
      </c>
      <c r="T10" s="127"/>
      <c r="U10" s="127"/>
      <c r="V10" s="127">
        <f>SUMIFS(uitkomst_veld[Investering (cash flow) (€)],uitkomst_veld[Jaar],$U4,uitkomst_veld[Veld],$A10,uitkomst_veld[[Uitgangssituatie/effect beleid]:[Uitgangssituatie/effect beleid]],"Uitgangssituatie")/1000000</f>
        <v>8.7251510588756709</v>
      </c>
      <c r="W10" s="127"/>
      <c r="X10" s="127"/>
      <c r="Y10" s="127">
        <f>SUMIFS(uitkomst_veld[Investering (cash flow) (€)],uitkomst_veld[Jaar],$X4,uitkomst_veld[Veld],$A10,uitkomst_veld[[Uitgangssituatie/effect beleid]:[Uitgangssituatie/effect beleid]],"Uitgangssituatie")/1000000</f>
        <v>5.6757998022579645</v>
      </c>
      <c r="Z10" s="127"/>
      <c r="AA10" s="127"/>
      <c r="AB10" s="127">
        <f>SUMIFS(uitkomst_veld[Investering (cash flow) (€)],uitkomst_veld[Jaar],$AA4,uitkomst_veld[Veld],$A10,uitkomst_veld[[Uitgangssituatie/effect beleid]:[Uitgangssituatie/effect beleid]],"Uitgangssituatie")/1000000</f>
        <v>3.4938550344655113</v>
      </c>
      <c r="AC10" s="127"/>
      <c r="AD10" s="127"/>
      <c r="AE10" s="127">
        <f>SUMIFS(uitkomst_veld[Investering (cash flow) (€)],uitkomst_veld[Jaar],$AD4,uitkomst_veld[Veld],$A10,uitkomst_veld[[Uitgangssituatie/effect beleid]:[Uitgangssituatie/effect beleid]],"Uitgangssituatie")/1000000</f>
        <v>2.0909632322773133</v>
      </c>
      <c r="AF10" s="127"/>
      <c r="AG10" s="127"/>
      <c r="AH10" s="127">
        <f>SUMIFS(uitkomst_veld[Investering (cash flow) (€)],uitkomst_veld[Jaar],$AG4,uitkomst_veld[Veld],$A10,uitkomst_veld[[Uitgangssituatie/effect beleid]:[Uitgangssituatie/effect beleid]],"Uitgangssituatie")/1000000</f>
        <v>1.2487924830363695</v>
      </c>
    </row>
    <row r="11" spans="1:34" x14ac:dyDescent="0.5">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row>
    <row r="12" spans="1:34" x14ac:dyDescent="0.5">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row>
    <row r="13" spans="1:34" s="39" customFormat="1" x14ac:dyDescent="0.5">
      <c r="A13" s="46" t="s">
        <v>634</v>
      </c>
      <c r="B13" s="213"/>
      <c r="C13" s="207">
        <v>2023</v>
      </c>
      <c r="D13" s="207"/>
      <c r="E13" s="207"/>
      <c r="F13" s="207">
        <v>2024</v>
      </c>
      <c r="G13" s="207"/>
      <c r="H13" s="207"/>
      <c r="I13" s="207">
        <v>2025</v>
      </c>
      <c r="J13" s="207"/>
      <c r="K13" s="207"/>
      <c r="L13" s="207">
        <v>2026</v>
      </c>
      <c r="M13" s="207"/>
      <c r="N13" s="207"/>
      <c r="O13" s="207">
        <v>2027</v>
      </c>
      <c r="P13" s="207"/>
      <c r="Q13" s="207"/>
      <c r="R13" s="207">
        <v>2028</v>
      </c>
      <c r="S13" s="207"/>
      <c r="T13" s="207"/>
      <c r="U13" s="207">
        <v>2029</v>
      </c>
      <c r="V13" s="207"/>
      <c r="W13" s="207"/>
      <c r="X13" s="207">
        <v>2030</v>
      </c>
      <c r="Y13" s="207"/>
      <c r="Z13" s="207"/>
      <c r="AA13" s="207">
        <v>2031</v>
      </c>
      <c r="AB13" s="207"/>
      <c r="AC13" s="207"/>
      <c r="AD13" s="207">
        <v>2032</v>
      </c>
      <c r="AE13" s="207"/>
      <c r="AF13" s="207"/>
      <c r="AG13" s="207">
        <v>2033</v>
      </c>
      <c r="AH13" s="207"/>
    </row>
    <row r="14" spans="1:34" x14ac:dyDescent="0.5">
      <c r="A14" s="128" t="s">
        <v>634</v>
      </c>
      <c r="B14" s="1" t="s">
        <v>438</v>
      </c>
      <c r="C14" s="127"/>
      <c r="D14" s="127"/>
      <c r="E14" s="127"/>
      <c r="F14" s="127">
        <f>$C$15+$C$16</f>
        <v>803.17595784342871</v>
      </c>
      <c r="G14" s="127"/>
      <c r="H14" s="127"/>
      <c r="I14" s="127">
        <f>$C$15+$C$16</f>
        <v>803.17595784342871</v>
      </c>
      <c r="J14" s="127"/>
      <c r="K14" s="127"/>
      <c r="L14" s="127">
        <f>$C$15+$C$16</f>
        <v>803.17595784342871</v>
      </c>
      <c r="M14" s="127"/>
      <c r="N14" s="127"/>
      <c r="O14" s="127">
        <f>$C$15+$C$16</f>
        <v>803.17595784342871</v>
      </c>
      <c r="P14" s="127"/>
      <c r="Q14" s="127"/>
      <c r="R14" s="127">
        <f>$C$15+$C$16</f>
        <v>803.17595784342871</v>
      </c>
      <c r="S14" s="127"/>
      <c r="T14" s="127"/>
      <c r="U14" s="127">
        <f>$C$15+$C$16</f>
        <v>803.17595784342871</v>
      </c>
      <c r="V14" s="127"/>
      <c r="W14" s="127"/>
      <c r="X14" s="127">
        <f>$C$15+$C$16</f>
        <v>803.17595784342871</v>
      </c>
      <c r="Y14" s="127"/>
      <c r="Z14" s="127"/>
      <c r="AA14" s="127">
        <f>$C$15+$C$16</f>
        <v>803.17595784342871</v>
      </c>
      <c r="AB14" s="127"/>
      <c r="AC14" s="127"/>
      <c r="AD14" s="127">
        <f>$C$15+$C$16</f>
        <v>803.17595784342871</v>
      </c>
      <c r="AE14" s="127"/>
      <c r="AF14" s="127"/>
      <c r="AG14" s="127">
        <f>$C$15+$C$16</f>
        <v>803.17595784342871</v>
      </c>
      <c r="AH14" s="127"/>
    </row>
    <row r="15" spans="1:34" x14ac:dyDescent="0.5">
      <c r="A15" s="2"/>
      <c r="B15" s="1" t="s">
        <v>1020</v>
      </c>
      <c r="C15" s="127">
        <f>SUMIFS(uitkomst_veld[Arbeidsbesparing (€/jaar)],uitkomst_veld[Jaar],C4,uitkomst_veld[[Uitgangssituatie/effect beleid]:[Uitgangssituatie/effect beleid]],"Uitgangssituatie")/1000000</f>
        <v>544.79040172606346</v>
      </c>
      <c r="D15" s="127"/>
      <c r="E15" s="127"/>
      <c r="F15" s="127">
        <f>SUMIFS(uitkomst_veld[Arbeidsbesparing (€/jaar)],uitkomst_veld[Jaar],F$4,uitkomst_veld[[Uitgangssituatie/effect beleid]:[Uitgangssituatie/effect beleid]],"Uitgangssituatie")/1000000-$C$15</f>
        <v>155.83981715789071</v>
      </c>
      <c r="G15" s="127"/>
      <c r="H15" s="127"/>
      <c r="I15" s="127">
        <f>SUMIFS(uitkomst_veld[Arbeidsbesparing (€/jaar)],uitkomst_veld[Jaar],I$4,uitkomst_veld[[Uitgangssituatie/effect beleid]:[Uitgangssituatie/effect beleid]],"Uitgangssituatie")/1000000-$C$15</f>
        <v>320.68685505655685</v>
      </c>
      <c r="J15" s="127"/>
      <c r="K15" s="127"/>
      <c r="L15" s="127">
        <f>SUMIFS(uitkomst_veld[Arbeidsbesparing (€/jaar)],uitkomst_veld[Jaar],L$4,uitkomst_veld[[Uitgangssituatie/effect beleid]:[Uitgangssituatie/effect beleid]],"Uitgangssituatie")/1000000-$C$15</f>
        <v>487.67314172166607</v>
      </c>
      <c r="M15" s="127"/>
      <c r="N15" s="127"/>
      <c r="O15" s="127">
        <f>SUMIFS(uitkomst_veld[Arbeidsbesparing (€/jaar)],uitkomst_veld[Jaar],O$4,uitkomst_veld[[Uitgangssituatie/effect beleid]:[Uitgangssituatie/effect beleid]],"Uitgangssituatie")/1000000-$C$15</f>
        <v>647.50380932282792</v>
      </c>
      <c r="P15" s="127"/>
      <c r="Q15" s="127"/>
      <c r="R15" s="127">
        <f>SUMIFS(uitkomst_veld[Arbeidsbesparing (€/jaar)],uitkomst_veld[Jaar],R$4,uitkomst_veld[[Uitgangssituatie/effect beleid]:[Uitgangssituatie/effect beleid]],"Uitgangssituatie")/1000000-$C$15</f>
        <v>790.47896900100568</v>
      </c>
      <c r="S15" s="127"/>
      <c r="T15" s="127"/>
      <c r="U15" s="127">
        <f>SUMIFS(uitkomst_veld[Arbeidsbesparing (€/jaar)],uitkomst_veld[Jaar],U$4,uitkomst_veld[[Uitgangssituatie/effect beleid]:[Uitgangssituatie/effect beleid]],"Uitgangssituatie")/1000000-$C$15</f>
        <v>914.49120910322176</v>
      </c>
      <c r="V15" s="127"/>
      <c r="W15" s="127"/>
      <c r="X15" s="127">
        <f>SUMIFS(uitkomst_veld[Arbeidsbesparing (€/jaar)],uitkomst_veld[Jaar],X$4,uitkomst_veld[[Uitgangssituatie/effect beleid]:[Uitgangssituatie/effect beleid]],"Uitgangssituatie")/1000000-$C$15</f>
        <v>1021.9632083638642</v>
      </c>
      <c r="Y15" s="127"/>
      <c r="Z15" s="127"/>
      <c r="AA15" s="127">
        <f>SUMIFS(uitkomst_veld[Arbeidsbesparing (€/jaar)],uitkomst_veld[Jaar],AA$4,uitkomst_veld[[Uitgangssituatie/effect beleid]:[Uitgangssituatie/effect beleid]],"Uitgangssituatie")/1000000-$C$15</f>
        <v>1117.4015657227335</v>
      </c>
      <c r="AB15" s="127"/>
      <c r="AC15" s="127"/>
      <c r="AD15" s="127">
        <f>SUMIFS(uitkomst_veld[Arbeidsbesparing (€/jaar)],uitkomst_veld[Jaar],AD$4,uitkomst_veld[[Uitgangssituatie/effect beleid]:[Uitgangssituatie/effect beleid]],"Uitgangssituatie")/1000000-$C$15</f>
        <v>1204.9085120904012</v>
      </c>
      <c r="AE15" s="127"/>
      <c r="AF15" s="127"/>
      <c r="AG15" s="127">
        <f>SUMIFS(uitkomst_veld[Arbeidsbesparing (€/jaar)],uitkomst_veld[Jaar],AG$4,uitkomst_veld[[Uitgangssituatie/effect beleid]:[Uitgangssituatie/effect beleid]],"Uitgangssituatie")/1000000-$C$15</f>
        <v>1286.3689368131627</v>
      </c>
      <c r="AH15" s="127"/>
    </row>
    <row r="16" spans="1:34" x14ac:dyDescent="0.5">
      <c r="A16" s="2"/>
      <c r="B16" s="1" t="s">
        <v>1021</v>
      </c>
      <c r="C16" s="127">
        <f>SUMIFS(uitkomst_veld[Overige besparingen],uitkomst_veld[Jaar],C$4,uitkomst_veld[[Uitgangssituatie/effect beleid]:[Uitgangssituatie/effect beleid]],"Uitgangssituatie")/1000000</f>
        <v>258.38555611736518</v>
      </c>
      <c r="D16" s="127"/>
      <c r="E16" s="127"/>
      <c r="F16" s="127">
        <f>SUMIFS(uitkomst_veld[Overige besparingen],uitkomst_veld[Jaar],F$4,uitkomst_veld[[Uitgangssituatie/effect beleid]:[Uitgangssituatie/effect beleid]],"Uitgangssituatie")/1000000-$C$16</f>
        <v>67.673551417978274</v>
      </c>
      <c r="G16" s="127"/>
      <c r="H16" s="127"/>
      <c r="I16" s="127">
        <f>SUMIFS(uitkomst_veld[Overige besparingen],uitkomst_veld[Jaar],I$4,uitkomst_veld[[Uitgangssituatie/effect beleid]:[Uitgangssituatie/effect beleid]],"Uitgangssituatie")/1000000-$C$16</f>
        <v>135.5629650513892</v>
      </c>
      <c r="J16" s="127"/>
      <c r="K16" s="127"/>
      <c r="L16" s="127">
        <f>SUMIFS(uitkomst_veld[Overige besparingen],uitkomst_veld[Jaar],L$4,uitkomst_veld[[Uitgangssituatie/effect beleid]:[Uitgangssituatie/effect beleid]],"Uitgangssituatie")/1000000-$C$16</f>
        <v>199.76945499634229</v>
      </c>
      <c r="M16" s="127"/>
      <c r="N16" s="127"/>
      <c r="O16" s="127">
        <f>SUMIFS(uitkomst_veld[Overige besparingen],uitkomst_veld[Jaar],O$4,uitkomst_veld[[Uitgangssituatie/effect beleid]:[Uitgangssituatie/effect beleid]],"Uitgangssituatie")/1000000-$C$16</f>
        <v>256.20320606207127</v>
      </c>
      <c r="P16" s="127"/>
      <c r="Q16" s="127"/>
      <c r="R16" s="127">
        <f>SUMIFS(uitkomst_veld[Overige besparingen],uitkomst_veld[Jaar],R$4,uitkomst_veld[[Uitgangssituatie/effect beleid]:[Uitgangssituatie/effect beleid]],"Uitgangssituatie")/1000000-$C$16</f>
        <v>302.38328087054555</v>
      </c>
      <c r="S16" s="127"/>
      <c r="T16" s="127"/>
      <c r="U16" s="127">
        <f>SUMIFS(uitkomst_veld[Overige besparingen],uitkomst_veld[Jaar],U$4,uitkomst_veld[[Uitgangssituatie/effect beleid]:[Uitgangssituatie/effect beleid]],"Uitgangssituatie")/1000000-$C$16</f>
        <v>339.09977609924277</v>
      </c>
      <c r="V16" s="127"/>
      <c r="W16" s="127"/>
      <c r="X16" s="127">
        <f>SUMIFS(uitkomst_veld[Overige besparingen],uitkomst_veld[Jaar],X$4,uitkomst_veld[[Uitgangssituatie/effect beleid]:[Uitgangssituatie/effect beleid]],"Uitgangssituatie")/1000000-$C$16</f>
        <v>368.66533987111717</v>
      </c>
      <c r="Y16" s="127"/>
      <c r="Z16" s="127"/>
      <c r="AA16" s="127">
        <f>SUMIFS(uitkomst_veld[Overige besparingen],uitkomst_veld[Jaar],AA$4,uitkomst_veld[[Uitgangssituatie/effect beleid]:[Uitgangssituatie/effect beleid]],"Uitgangssituatie")/1000000-$C$16</f>
        <v>393.76144467444209</v>
      </c>
      <c r="AB16" s="127"/>
      <c r="AC16" s="127"/>
      <c r="AD16" s="127">
        <f>SUMIFS(uitkomst_veld[Overige besparingen],uitkomst_veld[Jaar],AD$4,uitkomst_veld[[Uitgangssituatie/effect beleid]:[Uitgangssituatie/effect beleid]],"Uitgangssituatie")/1000000-$C$16</f>
        <v>416.51287242857126</v>
      </c>
      <c r="AE16" s="127"/>
      <c r="AF16" s="127"/>
      <c r="AG16" s="127">
        <f>SUMIFS(uitkomst_veld[Overige besparingen],uitkomst_veld[Jaar],AG$4,uitkomst_veld[[Uitgangssituatie/effect beleid]:[Uitgangssituatie/effect beleid]],"Uitgangssituatie")/1000000-$C$16</f>
        <v>437.97744904198936</v>
      </c>
      <c r="AH16" s="127"/>
    </row>
    <row r="17" spans="1:34" x14ac:dyDescent="0.5">
      <c r="A17" s="2"/>
      <c r="B17" s="1" t="s">
        <v>635</v>
      </c>
      <c r="C17" s="127"/>
      <c r="D17" s="127"/>
      <c r="E17" s="127"/>
      <c r="F17" s="127"/>
      <c r="G17" s="127">
        <f>$D$18</f>
        <v>257.73099989992653</v>
      </c>
      <c r="H17" s="127"/>
      <c r="I17" s="127"/>
      <c r="J17" s="127">
        <f>$D$18</f>
        <v>257.73099989992653</v>
      </c>
      <c r="K17" s="127"/>
      <c r="L17" s="127"/>
      <c r="M17" s="127">
        <f t="shared" ref="M17:AH17" si="0">$D$18</f>
        <v>257.73099989992653</v>
      </c>
      <c r="N17" s="127"/>
      <c r="O17" s="127"/>
      <c r="P17" s="127">
        <f t="shared" si="0"/>
        <v>257.73099989992653</v>
      </c>
      <c r="Q17" s="127"/>
      <c r="R17" s="127"/>
      <c r="S17" s="127">
        <f t="shared" si="0"/>
        <v>257.73099989992653</v>
      </c>
      <c r="T17" s="127"/>
      <c r="U17" s="127"/>
      <c r="V17" s="127">
        <f t="shared" si="0"/>
        <v>257.73099989992653</v>
      </c>
      <c r="W17" s="127"/>
      <c r="X17" s="127"/>
      <c r="Y17" s="127">
        <f t="shared" si="0"/>
        <v>257.73099989992653</v>
      </c>
      <c r="Z17" s="127"/>
      <c r="AA17" s="127"/>
      <c r="AB17" s="127">
        <f t="shared" si="0"/>
        <v>257.73099989992653</v>
      </c>
      <c r="AC17" s="127"/>
      <c r="AD17" s="127"/>
      <c r="AE17" s="127">
        <f t="shared" si="0"/>
        <v>257.73099989992653</v>
      </c>
      <c r="AF17" s="127"/>
      <c r="AG17" s="127"/>
      <c r="AH17" s="127">
        <f t="shared" si="0"/>
        <v>257.73099989992653</v>
      </c>
    </row>
    <row r="18" spans="1:34" x14ac:dyDescent="0.5">
      <c r="A18" s="2"/>
      <c r="B18" s="1" t="s">
        <v>636</v>
      </c>
      <c r="C18" s="127"/>
      <c r="D18" s="127">
        <f>SUMIFS(uitkomst_veld[Kosten (€)],uitkomst_veld[Jaar],C$4,uitkomst_veld[[Uitgangssituatie/effect beleid]:[Uitgangssituatie/effect beleid]],"Uitgangssituatie")/1000000</f>
        <v>257.73099989992653</v>
      </c>
      <c r="E18" s="127"/>
      <c r="F18" s="127"/>
      <c r="G18" s="127">
        <f>SUMIFS(uitkomst_veld[Kosten (€)],uitkomst_veld[Jaar],F$4,uitkomst_veld[[Uitgangssituatie/effect beleid]:[Uitgangssituatie/effect beleid]],"Uitgangssituatie")/1000000-$D$18</f>
        <v>66.6440275555521</v>
      </c>
      <c r="H18" s="127"/>
      <c r="I18" s="127"/>
      <c r="J18" s="127">
        <f>SUMIFS(uitkomst_veld[Kosten (€)],uitkomst_veld[Jaar],I$4,uitkomst_veld[[Uitgangssituatie/effect beleid]:[Uitgangssituatie/effect beleid]],"Uitgangssituatie")/1000000-$D$18</f>
        <v>134.11078858102172</v>
      </c>
      <c r="K18" s="127"/>
      <c r="L18" s="127"/>
      <c r="M18" s="127">
        <f>SUMIFS(uitkomst_veld[Kosten (€)],uitkomst_veld[Jaar],L$4,uitkomst_veld[[Uitgangssituatie/effect beleid]:[Uitgangssituatie/effect beleid]],"Uitgangssituatie")/1000000-$D$18</f>
        <v>199.1183571535874</v>
      </c>
      <c r="N18" s="127"/>
      <c r="O18" s="127"/>
      <c r="P18" s="127">
        <f>SUMIFS(uitkomst_veld[Kosten (€)],uitkomst_veld[Jaar],O$4,uitkomst_veld[[Uitgangssituatie/effect beleid]:[Uitgangssituatie/effect beleid]],"Uitgangssituatie")/1000000-$D$18</f>
        <v>260.74913480382207</v>
      </c>
      <c r="Q18" s="127"/>
      <c r="R18" s="127"/>
      <c r="S18" s="127">
        <f>SUMIFS(uitkomst_veld[Kosten (€)],uitkomst_veld[Jaar],R$4,uitkomst_veld[[Uitgangssituatie/effect beleid]:[Uitgangssituatie/effect beleid]],"Uitgangssituatie")/1000000-$D$18</f>
        <v>314.49467235737978</v>
      </c>
      <c r="T18" s="127"/>
      <c r="U18" s="127"/>
      <c r="V18" s="127">
        <f>SUMIFS(uitkomst_veld[Kosten (€)],uitkomst_veld[Jaar],U$4,uitkomst_veld[[Uitgangssituatie/effect beleid]:[Uitgangssituatie/effect beleid]],"Uitgangssituatie")/1000000-$D$18</f>
        <v>361.70144672209398</v>
      </c>
      <c r="W18" s="127"/>
      <c r="X18" s="127"/>
      <c r="Y18" s="127">
        <f>SUMIFS(uitkomst_veld[Kosten (€)],uitkomst_veld[Jaar],X$4,uitkomst_veld[[Uitgangssituatie/effect beleid]:[Uitgangssituatie/effect beleid]],"Uitgangssituatie")/1000000-$D$18</f>
        <v>405.18787546601453</v>
      </c>
      <c r="Z18" s="127"/>
      <c r="AA18" s="127"/>
      <c r="AB18" s="127">
        <f>SUMIFS(uitkomst_veld[Kosten (€)],uitkomst_veld[Jaar],AA$4,uitkomst_veld[[Uitgangssituatie/effect beleid]:[Uitgangssituatie/effect beleid]],"Uitgangssituatie")/1000000-$D$18</f>
        <v>447.8058292342194</v>
      </c>
      <c r="AC18" s="127"/>
      <c r="AD18" s="127"/>
      <c r="AE18" s="127">
        <f>SUMIFS(uitkomst_veld[Kosten (€)],uitkomst_veld[Jaar],AD$4,uitkomst_veld[[Uitgangssituatie/effect beleid]:[Uitgangssituatie/effect beleid]],"Uitgangssituatie")/1000000-$D$18</f>
        <v>491.29714928130596</v>
      </c>
      <c r="AF18" s="127"/>
      <c r="AG18" s="127"/>
      <c r="AH18" s="127">
        <f>SUMIFS(uitkomst_veld[Kosten (€)],uitkomst_veld[Jaar],AG$4,uitkomst_veld[[Uitgangssituatie/effect beleid]:[Uitgangssituatie/effect beleid]],"Uitgangssituatie")/1000000-$D$18</f>
        <v>535.55401417988514</v>
      </c>
    </row>
    <row r="19" spans="1:34" x14ac:dyDescent="0.5">
      <c r="A19" s="2"/>
      <c r="B19" s="288" t="s">
        <v>998</v>
      </c>
      <c r="C19" s="127"/>
      <c r="D19" s="127">
        <f>SUMIFS(uitkomst_veld[Investering (cash flow) (€)],uitkomst_veld[Jaar],C$4,uitkomst_veld[[Uitgangssituatie/effect beleid]:[Uitgangssituatie/effect beleid]],"Uitgangssituatie")/1000000</f>
        <v>28.789826040860518</v>
      </c>
      <c r="E19" s="127"/>
      <c r="F19" s="127"/>
      <c r="G19" s="127">
        <f>SUMIFS(uitkomst_veld[Investering (cash flow) (€)],uitkomst_veld[Jaar],F$4,uitkomst_veld[[Uitgangssituatie/effect beleid]:[Uitgangssituatie/effect beleid]],"Uitgangssituatie")/1000000</f>
        <v>28.765400363876996</v>
      </c>
      <c r="H19" s="127"/>
      <c r="I19" s="127"/>
      <c r="J19" s="127">
        <f>SUMIFS(uitkomst_veld[Investering (cash flow) (€)],uitkomst_veld[Jaar],I$4,uitkomst_veld[[Uitgangssituatie/effect beleid]:[Uitgangssituatie/effect beleid]],"Uitgangssituatie")/1000000</f>
        <v>27.78664005396336</v>
      </c>
      <c r="K19" s="127"/>
      <c r="L19" s="127"/>
      <c r="M19" s="127">
        <f>SUMIFS(uitkomst_veld[Investering (cash flow) (€)],uitkomst_veld[Jaar],L$4,uitkomst_veld[[Uitgangssituatie/effect beleid]:[Uitgangssituatie/effect beleid]],"Uitgangssituatie")/1000000</f>
        <v>25.456812793678772</v>
      </c>
      <c r="N19" s="127"/>
      <c r="O19" s="127"/>
      <c r="P19" s="127">
        <f>SUMIFS(uitkomst_veld[Investering (cash flow) (€)],uitkomst_veld[Jaar],O$4,uitkomst_veld[[Uitgangssituatie/effect beleid]:[Uitgangssituatie/effect beleid]],"Uitgangssituatie")/1000000</f>
        <v>21.730324650137458</v>
      </c>
      <c r="Q19" s="127"/>
      <c r="R19" s="127"/>
      <c r="S19" s="127">
        <f>SUMIFS(uitkomst_veld[Investering (cash flow) (€)],uitkomst_veld[Jaar],R$4,uitkomst_veld[[Uitgangssituatie/effect beleid]:[Uitgangssituatie/effect beleid]],"Uitgangssituatie")/1000000</f>
        <v>17.109134855813437</v>
      </c>
      <c r="T19" s="127"/>
      <c r="U19" s="127"/>
      <c r="V19" s="127">
        <f>SUMIFS(uitkomst_veld[Investering (cash flow) (€)],uitkomst_veld[Jaar],U$4,uitkomst_veld[[Uitgangssituatie/effect beleid]:[Uitgangssituatie/effect beleid]],"Uitgangssituatie")/1000000</f>
        <v>12.450901030276965</v>
      </c>
      <c r="W19" s="127"/>
      <c r="X19" s="127"/>
      <c r="Y19" s="127">
        <f>SUMIFS(uitkomst_veld[Investering (cash flow) (€)],uitkomst_veld[Jaar],X$4,uitkomst_veld[[Uitgangssituatie/effect beleid]:[Uitgangssituatie/effect beleid]],"Uitgangssituatie")/1000000</f>
        <v>8.4891407595950916</v>
      </c>
      <c r="Z19" s="127"/>
      <c r="AA19" s="127"/>
      <c r="AB19" s="127">
        <f>SUMIFS(uitkomst_veld[Investering (cash flow) (€)],uitkomst_veld[Jaar],AA$4,uitkomst_veld[[Uitgangssituatie/effect beleid]:[Uitgangssituatie/effect beleid]],"Uitgangssituatie")/1000000</f>
        <v>5.5303182636920107</v>
      </c>
      <c r="AC19" s="127"/>
      <c r="AD19" s="127"/>
      <c r="AE19" s="127">
        <f>SUMIFS(uitkomst_veld[Investering (cash flow) (€)],uitkomst_veld[Jaar],AD$4,uitkomst_veld[[Uitgangssituatie/effect beleid]:[Uitgangssituatie/effect beleid]],"Uitgangssituatie")/1000000</f>
        <v>3.5113763540199368</v>
      </c>
      <c r="AF19" s="127"/>
      <c r="AG19" s="127"/>
      <c r="AH19" s="127">
        <f>SUMIFS(uitkomst_veld[Investering (cash flow) (€)],uitkomst_veld[Jaar],AG$4,uitkomst_veld[[Uitgangssituatie/effect beleid]:[Uitgangssituatie/effect beleid]],"Uitgangssituatie")/1000000</f>
        <v>2.210301223027844</v>
      </c>
    </row>
    <row r="20" spans="1:34" x14ac:dyDescent="0.5">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row>
    <row r="21" spans="1:34" x14ac:dyDescent="0.5">
      <c r="F21" s="21"/>
      <c r="I21" s="21"/>
      <c r="L21" s="21"/>
      <c r="O21" s="21"/>
      <c r="R21" s="21"/>
      <c r="U21" s="21"/>
      <c r="X21" s="21"/>
      <c r="AA21" s="21"/>
      <c r="AD21" s="21"/>
      <c r="AG21" s="21"/>
    </row>
    <row r="22" spans="1:34" s="39" customFormat="1" x14ac:dyDescent="0.5">
      <c r="A22" s="46" t="s">
        <v>637</v>
      </c>
      <c r="B22" s="171"/>
      <c r="C22" s="207">
        <v>2023</v>
      </c>
      <c r="D22" s="207">
        <v>2024</v>
      </c>
      <c r="E22" s="207">
        <v>2025</v>
      </c>
      <c r="F22" s="207">
        <v>2026</v>
      </c>
      <c r="G22" s="207">
        <v>2027</v>
      </c>
      <c r="H22" s="207">
        <v>2028</v>
      </c>
      <c r="I22" s="207">
        <v>2029</v>
      </c>
      <c r="J22" s="207">
        <v>2030</v>
      </c>
      <c r="K22" s="207">
        <v>2031</v>
      </c>
      <c r="L22" s="207">
        <v>2032</v>
      </c>
      <c r="M22" s="207">
        <v>2033</v>
      </c>
      <c r="S22" s="214"/>
      <c r="T22" s="214"/>
      <c r="U22" s="214"/>
      <c r="V22" s="214"/>
      <c r="W22" s="214"/>
      <c r="X22" s="214"/>
      <c r="Y22" s="214"/>
      <c r="Z22" s="214"/>
      <c r="AA22" s="214"/>
      <c r="AB22" s="214"/>
      <c r="AC22" s="214"/>
      <c r="AD22" s="214"/>
      <c r="AE22" s="214"/>
      <c r="AF22" s="214"/>
      <c r="AG22" s="214"/>
    </row>
    <row r="23" spans="1:34" ht="34" x14ac:dyDescent="0.5">
      <c r="A23" s="2"/>
      <c r="B23" s="1" t="s">
        <v>1022</v>
      </c>
      <c r="C23" s="129"/>
      <c r="D23" s="129">
        <f>SUM($C$24:$C$29)</f>
        <v>10900.975366949906</v>
      </c>
      <c r="E23" s="129">
        <f t="shared" ref="E23:M23" si="1">SUM($C$24:$C$29)</f>
        <v>10900.975366949906</v>
      </c>
      <c r="F23" s="129">
        <f t="shared" si="1"/>
        <v>10900.975366949906</v>
      </c>
      <c r="G23" s="129">
        <f t="shared" si="1"/>
        <v>10900.975366949906</v>
      </c>
      <c r="H23" s="129">
        <f t="shared" si="1"/>
        <v>10900.975366949906</v>
      </c>
      <c r="I23" s="129">
        <f t="shared" si="1"/>
        <v>10900.975366949906</v>
      </c>
      <c r="J23" s="129">
        <f t="shared" si="1"/>
        <v>10900.975366949906</v>
      </c>
      <c r="K23" s="129">
        <f t="shared" si="1"/>
        <v>10900.975366949906</v>
      </c>
      <c r="L23" s="129">
        <f t="shared" si="1"/>
        <v>10900.975366949906</v>
      </c>
      <c r="M23" s="129">
        <f t="shared" si="1"/>
        <v>10900.975366949906</v>
      </c>
      <c r="N23" s="61"/>
      <c r="Q23" s="61"/>
      <c r="S23" s="21"/>
      <c r="T23" s="21"/>
      <c r="U23" s="21"/>
      <c r="V23" s="21"/>
      <c r="W23" s="21"/>
      <c r="X23" s="21"/>
      <c r="Y23" s="21"/>
      <c r="Z23" s="21"/>
      <c r="AA23" s="21"/>
      <c r="AB23" s="21"/>
      <c r="AC23" s="21"/>
      <c r="AD23" s="21"/>
      <c r="AE23" s="21"/>
      <c r="AF23" s="21"/>
      <c r="AG23" s="21"/>
    </row>
    <row r="24" spans="1:34" x14ac:dyDescent="0.5">
      <c r="A24" s="2"/>
      <c r="B24" s="1" t="s">
        <v>7</v>
      </c>
      <c r="C24" s="129">
        <f>SUMIFS(uitkomst_veld[Arbeidsbesparing (FTE/jaar)],uitkomst_veld[Jaar],C$22,uitkomst_veld[Veld],$B24,uitkomst_veld[[Uitgangssituatie/effect beleid]:[Uitgangssituatie/effect beleid]],"Uitgangssituatie")</f>
        <v>130.05028971225553</v>
      </c>
      <c r="D24" s="129">
        <f>SUMIFS(uitkomst_veld[Arbeidsbesparing (FTE/jaar)],uitkomst_veld[Jaar],D$22,uitkomst_veld[Veld],$B24,uitkomst_veld[[Uitgangssituatie/effect beleid]:[Uitgangssituatie/effect beleid]],"Uitgangssituatie")-$C24</f>
        <v>41.577901940257703</v>
      </c>
      <c r="E24" s="129">
        <f>SUMIFS(uitkomst_veld[Arbeidsbesparing (FTE/jaar)],uitkomst_veld[Jaar],E$22,uitkomst_veld[Veld],$B24,uitkomst_veld[[Uitgangssituatie/effect beleid]:[Uitgangssituatie/effect beleid]],"Uitgangssituatie")-$C24</f>
        <v>86.777820045932259</v>
      </c>
      <c r="F24" s="129">
        <f>SUMIFS(uitkomst_veld[Arbeidsbesparing (FTE/jaar)],uitkomst_veld[Jaar],F$22,uitkomst_veld[Veld],$B24,uitkomst_veld[[Uitgangssituatie/effect beleid]:[Uitgangssituatie/effect beleid]],"Uitgangssituatie")-$C24</f>
        <v>132.24045999270109</v>
      </c>
      <c r="G24" s="129">
        <f>SUMIFS(uitkomst_veld[Arbeidsbesparing (FTE/jaar)],uitkomst_veld[Jaar],G$22,uitkomst_veld[Veld],$B24,uitkomst_veld[[Uitgangssituatie/effect beleid]:[Uitgangssituatie/effect beleid]],"Uitgangssituatie")-$C24</f>
        <v>174.05109609176375</v>
      </c>
      <c r="H24" s="129">
        <f>SUMIFS(uitkomst_veld[Arbeidsbesparing (FTE/jaar)],uitkomst_veld[Jaar],H$22,uitkomst_veld[Veld],$B24,uitkomst_veld[[Uitgangssituatie/effect beleid]:[Uitgangssituatie/effect beleid]],"Uitgangssituatie")-$C24</f>
        <v>208.89245493613183</v>
      </c>
      <c r="I24" s="129">
        <f>SUMIFS(uitkomst_veld[Arbeidsbesparing (FTE/jaar)],uitkomst_veld[Jaar],I$22,uitkomst_veld[Veld],$B24,uitkomst_veld[[Uitgangssituatie/effect beleid]:[Uitgangssituatie/effect beleid]],"Uitgangssituatie")-$C24</f>
        <v>235.11914688046002</v>
      </c>
      <c r="J24" s="129">
        <f>SUMIFS(uitkomst_veld[Arbeidsbesparing (FTE/jaar)],uitkomst_veld[Jaar],J$22,uitkomst_veld[Veld],$B24,uitkomst_veld[[Uitgangssituatie/effect beleid]:[Uitgangssituatie/effect beleid]],"Uitgangssituatie")-$C24</f>
        <v>253.06939826050373</v>
      </c>
      <c r="K24" s="129">
        <f>SUMIFS(uitkomst_veld[Arbeidsbesparing (FTE/jaar)],uitkomst_veld[Jaar],K$22,uitkomst_veld[Veld],$B24,uitkomst_veld[[Uitgangssituatie/effect beleid]:[Uitgangssituatie/effect beleid]],"Uitgangssituatie")-$C24</f>
        <v>264.42679301951114</v>
      </c>
      <c r="L24" s="129">
        <f>SUMIFS(uitkomst_veld[Arbeidsbesparing (FTE/jaar)],uitkomst_veld[Jaar],L$22,uitkomst_veld[Veld],$B24,uitkomst_veld[[Uitgangssituatie/effect beleid]:[Uitgangssituatie/effect beleid]],"Uitgangssituatie")-$C24</f>
        <v>271.21693888965069</v>
      </c>
      <c r="M24" s="129">
        <f>SUMIFS(uitkomst_veld[Arbeidsbesparing (FTE/jaar)],uitkomst_veld[Jaar],M$22,uitkomst_veld[Veld],$B24,uitkomst_veld[[Uitgangssituatie/effect beleid]:[Uitgangssituatie/effect beleid]],"Uitgangssituatie")-$C24</f>
        <v>275.13277826670162</v>
      </c>
      <c r="N24" s="61"/>
      <c r="Q24" s="61"/>
      <c r="S24" s="21"/>
      <c r="T24" s="21"/>
      <c r="U24" s="21"/>
      <c r="V24" s="21"/>
      <c r="W24" s="21"/>
      <c r="X24" s="21"/>
      <c r="Y24" s="21"/>
      <c r="Z24" s="21"/>
      <c r="AA24" s="21"/>
      <c r="AB24" s="21"/>
      <c r="AC24" s="21"/>
      <c r="AD24" s="21"/>
      <c r="AE24" s="21"/>
      <c r="AF24" s="21"/>
      <c r="AG24" s="21"/>
      <c r="AH24" s="21"/>
    </row>
    <row r="25" spans="1:34" x14ac:dyDescent="0.5">
      <c r="A25" s="2"/>
      <c r="B25" s="1" t="s">
        <v>8</v>
      </c>
      <c r="C25" s="129">
        <f>SUMIFS(uitkomst_veld[Arbeidsbesparing (FTE/jaar)],uitkomst_veld[Jaar],C$22,uitkomst_veld[Veld],$B25,uitkomst_veld[[Uitgangssituatie/effect beleid]:[Uitgangssituatie/effect beleid]],"Uitgangssituatie")</f>
        <v>6249.8184289276787</v>
      </c>
      <c r="D25" s="129">
        <f>SUMIFS(uitkomst_veld[Arbeidsbesparing (FTE/jaar)],uitkomst_veld[Jaar],D$22,uitkomst_veld[Veld],$B25,uitkomst_veld[[Uitgangssituatie/effect beleid]:[Uitgangssituatie/effect beleid]],"Uitgangssituatie")-$C25</f>
        <v>1887.088906660475</v>
      </c>
      <c r="E25" s="129">
        <f>SUMIFS(uitkomst_veld[Arbeidsbesparing (FTE/jaar)],uitkomst_veld[Jaar],E$22,uitkomst_veld[Veld],$B25,uitkomst_veld[[Uitgangssituatie/effect beleid]:[Uitgangssituatie/effect beleid]],"Uitgangssituatie")-$C25</f>
        <v>3890.1499221794411</v>
      </c>
      <c r="F25" s="129">
        <f>SUMIFS(uitkomst_veld[Arbeidsbesparing (FTE/jaar)],uitkomst_veld[Jaar],F$22,uitkomst_veld[Veld],$B25,uitkomst_veld[[Uitgangssituatie/effect beleid]:[Uitgangssituatie/effect beleid]],"Uitgangssituatie")-$C25</f>
        <v>5859.6053593150236</v>
      </c>
      <c r="G25" s="129">
        <f>SUMIFS(uitkomst_veld[Arbeidsbesparing (FTE/jaar)],uitkomst_veld[Jaar],G$22,uitkomst_veld[Veld],$B25,uitkomst_veld[[Uitgangssituatie/effect beleid]:[Uitgangssituatie/effect beleid]],"Uitgangssituatie")-$C25</f>
        <v>7623.656857467261</v>
      </c>
      <c r="H25" s="129">
        <f>SUMIFS(uitkomst_veld[Arbeidsbesparing (FTE/jaar)],uitkomst_veld[Jaar],H$22,uitkomst_veld[Veld],$B25,uitkomst_veld[[Uitgangssituatie/effect beleid]:[Uitgangssituatie/effect beleid]],"Uitgangssituatie")-$C25</f>
        <v>9070.0260056580228</v>
      </c>
      <c r="I25" s="129">
        <f>SUMIFS(uitkomst_veld[Arbeidsbesparing (FTE/jaar)],uitkomst_veld[Jaar],I$22,uitkomst_veld[Veld],$B25,uitkomst_veld[[Uitgangssituatie/effect beleid]:[Uitgangssituatie/effect beleid]],"Uitgangssituatie")-$C25</f>
        <v>10164.057200374413</v>
      </c>
      <c r="J25" s="129">
        <f>SUMIFS(uitkomst_veld[Arbeidsbesparing (FTE/jaar)],uitkomst_veld[Jaar],J$22,uitkomst_veld[Veld],$B25,uitkomst_veld[[Uitgangssituatie/effect beleid]:[Uitgangssituatie/effect beleid]],"Uitgangssituatie")-$C25</f>
        <v>10942.023202469183</v>
      </c>
      <c r="K25" s="129">
        <f>SUMIFS(uitkomst_veld[Arbeidsbesparing (FTE/jaar)],uitkomst_veld[Jaar],K$22,uitkomst_veld[Veld],$B25,uitkomst_veld[[Uitgangssituatie/effect beleid]:[Uitgangssituatie/effect beleid]],"Uitgangssituatie")-$C25</f>
        <v>11478.642944058138</v>
      </c>
      <c r="L25" s="129">
        <f>SUMIFS(uitkomst_veld[Arbeidsbesparing (FTE/jaar)],uitkomst_veld[Jaar],L$22,uitkomst_veld[Veld],$B25,uitkomst_veld[[Uitgangssituatie/effect beleid]:[Uitgangssituatie/effect beleid]],"Uitgangssituatie")-$C25</f>
        <v>11851.753069995448</v>
      </c>
      <c r="M25" s="129">
        <f>SUMIFS(uitkomst_veld[Arbeidsbesparing (FTE/jaar)],uitkomst_veld[Jaar],M$22,uitkomst_veld[Veld],$B25,uitkomst_veld[[Uitgangssituatie/effect beleid]:[Uitgangssituatie/effect beleid]],"Uitgangssituatie")-$C25</f>
        <v>12121.333198525706</v>
      </c>
      <c r="N25" s="61"/>
      <c r="Q25" s="61"/>
      <c r="S25" s="21"/>
      <c r="T25" s="21"/>
      <c r="V25" s="21"/>
      <c r="W25" s="21"/>
      <c r="Y25" s="21"/>
      <c r="Z25" s="21"/>
      <c r="AB25" s="21"/>
      <c r="AC25" s="21"/>
      <c r="AE25" s="21"/>
      <c r="AF25" s="21"/>
      <c r="AG25" s="21"/>
      <c r="AH25" s="21"/>
    </row>
    <row r="26" spans="1:34" x14ac:dyDescent="0.5">
      <c r="A26" s="2"/>
      <c r="B26" s="1" t="s">
        <v>9</v>
      </c>
      <c r="C26" s="129">
        <f>SUMIFS(uitkomst_veld[Arbeidsbesparing (FTE/jaar)],uitkomst_veld[Jaar],C$22,uitkomst_veld[Veld],$B26,uitkomst_veld[[Uitgangssituatie/effect beleid]:[Uitgangssituatie/effect beleid]],"Uitgangssituatie")</f>
        <v>465.45353860018804</v>
      </c>
      <c r="D26" s="129">
        <f>SUMIFS(uitkomst_veld[Arbeidsbesparing (FTE/jaar)],uitkomst_veld[Jaar],D$22,uitkomst_veld[Veld],$B26,uitkomst_veld[[Uitgangssituatie/effect beleid]:[Uitgangssituatie/effect beleid]],"Uitgangssituatie")-$C26</f>
        <v>78.204850740472921</v>
      </c>
      <c r="E26" s="129">
        <f>SUMIFS(uitkomst_veld[Arbeidsbesparing (FTE/jaar)],uitkomst_veld[Jaar],E$22,uitkomst_veld[Veld],$B26,uitkomst_veld[[Uitgangssituatie/effect beleid]:[Uitgangssituatie/effect beleid]],"Uitgangssituatie")-$C26</f>
        <v>147.49120836973634</v>
      </c>
      <c r="F26" s="129">
        <f>SUMIFS(uitkomst_veld[Arbeidsbesparing (FTE/jaar)],uitkomst_veld[Jaar],F$22,uitkomst_veld[Veld],$B26,uitkomst_veld[[Uitgangssituatie/effect beleid]:[Uitgangssituatie/effect beleid]],"Uitgangssituatie")-$C26</f>
        <v>233.74931577115183</v>
      </c>
      <c r="G26" s="129">
        <f>SUMIFS(uitkomst_veld[Arbeidsbesparing (FTE/jaar)],uitkomst_veld[Jaar],G$22,uitkomst_veld[Veld],$B26,uitkomst_veld[[Uitgangssituatie/effect beleid]:[Uitgangssituatie/effect beleid]],"Uitgangssituatie")-$C26</f>
        <v>319.26524432062524</v>
      </c>
      <c r="H26" s="129">
        <f>SUMIFS(uitkomst_veld[Arbeidsbesparing (FTE/jaar)],uitkomst_veld[Jaar],H$22,uitkomst_veld[Veld],$B26,uitkomst_veld[[Uitgangssituatie/effect beleid]:[Uitgangssituatie/effect beleid]],"Uitgangssituatie")-$C26</f>
        <v>407.6897285685983</v>
      </c>
      <c r="I26" s="129">
        <f>SUMIFS(uitkomst_veld[Arbeidsbesparing (FTE/jaar)],uitkomst_veld[Jaar],I$22,uitkomst_veld[Veld],$B26,uitkomst_veld[[Uitgangssituatie/effect beleid]:[Uitgangssituatie/effect beleid]],"Uitgangssituatie")-$C26</f>
        <v>503.45661577121029</v>
      </c>
      <c r="J26" s="129">
        <f>SUMIFS(uitkomst_veld[Arbeidsbesparing (FTE/jaar)],uitkomst_veld[Jaar],J$22,uitkomst_veld[Veld],$B26,uitkomst_veld[[Uitgangssituatie/effect beleid]:[Uitgangssituatie/effect beleid]],"Uitgangssituatie")-$C26</f>
        <v>611.12438930682788</v>
      </c>
      <c r="K26" s="129">
        <f>SUMIFS(uitkomst_veld[Arbeidsbesparing (FTE/jaar)],uitkomst_veld[Jaar],K$22,uitkomst_veld[Veld],$B26,uitkomst_veld[[Uitgangssituatie/effect beleid]:[Uitgangssituatie/effect beleid]],"Uitgangssituatie")-$C26</f>
        <v>734.23666855440024</v>
      </c>
      <c r="L26" s="129">
        <f>SUMIFS(uitkomst_veld[Arbeidsbesparing (FTE/jaar)],uitkomst_veld[Jaar],L$22,uitkomst_veld[Veld],$B26,uitkomst_veld[[Uitgangssituatie/effect beleid]:[Uitgangssituatie/effect beleid]],"Uitgangssituatie")-$C26</f>
        <v>873.61013481557939</v>
      </c>
      <c r="M26" s="129">
        <f>SUMIFS(uitkomst_veld[Arbeidsbesparing (FTE/jaar)],uitkomst_veld[Jaar],M$22,uitkomst_veld[Veld],$B26,uitkomst_veld[[Uitgangssituatie/effect beleid]:[Uitgangssituatie/effect beleid]],"Uitgangssituatie")-$C26</f>
        <v>1025.5987004482329</v>
      </c>
      <c r="N26" s="61"/>
      <c r="Q26" s="61"/>
      <c r="S26" s="21"/>
      <c r="T26" s="21"/>
      <c r="V26" s="21"/>
      <c r="W26" s="21"/>
      <c r="Y26" s="21"/>
      <c r="Z26" s="21"/>
      <c r="AB26" s="21"/>
      <c r="AC26" s="21"/>
      <c r="AE26" s="21"/>
      <c r="AF26" s="21"/>
      <c r="AG26" s="21"/>
      <c r="AH26" s="21"/>
    </row>
    <row r="27" spans="1:34" x14ac:dyDescent="0.5">
      <c r="A27" s="2"/>
      <c r="B27" s="1" t="s">
        <v>10</v>
      </c>
      <c r="C27" s="129">
        <f>SUMIFS(uitkomst_veld[Arbeidsbesparing (FTE/jaar)],uitkomst_veld[Jaar],C$22,uitkomst_veld[Veld],$B27,uitkomst_veld[[Uitgangssituatie/effect beleid]:[Uitgangssituatie/effect beleid]],"Uitgangssituatie")</f>
        <v>1914.248298218919</v>
      </c>
      <c r="D27" s="129">
        <f>SUMIFS(uitkomst_veld[Arbeidsbesparing (FTE/jaar)],uitkomst_veld[Jaar],D$22,uitkomst_veld[Veld],$B27,uitkomst_veld[[Uitgangssituatie/effect beleid]:[Uitgangssituatie/effect beleid]],"Uitgangssituatie")-$C27</f>
        <v>627.00110043362747</v>
      </c>
      <c r="E27" s="129">
        <f>SUMIFS(uitkomst_veld[Arbeidsbesparing (FTE/jaar)],uitkomst_veld[Jaar],E$22,uitkomst_veld[Veld],$B27,uitkomst_veld[[Uitgangssituatie/effect beleid]:[Uitgangssituatie/effect beleid]],"Uitgangssituatie")-$C27</f>
        <v>1317.1263215137506</v>
      </c>
      <c r="F27" s="129">
        <f>SUMIFS(uitkomst_veld[Arbeidsbesparing (FTE/jaar)],uitkomst_veld[Jaar],F$22,uitkomst_veld[Veld],$B27,uitkomst_veld[[Uitgangssituatie/effect beleid]:[Uitgangssituatie/effect beleid]],"Uitgangssituatie")-$C27</f>
        <v>2072.0262128213535</v>
      </c>
      <c r="G27" s="129">
        <f>SUMIFS(uitkomst_veld[Arbeidsbesparing (FTE/jaar)],uitkomst_veld[Jaar],G$22,uitkomst_veld[Veld],$B27,uitkomst_veld[[Uitgangssituatie/effect beleid]:[Uitgangssituatie/effect beleid]],"Uitgangssituatie")-$C27</f>
        <v>2806.8630102514849</v>
      </c>
      <c r="H27" s="129">
        <f>SUMIFS(uitkomst_veld[Arbeidsbesparing (FTE/jaar)],uitkomst_veld[Jaar],H$22,uitkomst_veld[Veld],$B27,uitkomst_veld[[Uitgangssituatie/effect beleid]:[Uitgangssituatie/effect beleid]],"Uitgangssituatie")-$C27</f>
        <v>3487.3989138866141</v>
      </c>
      <c r="I27" s="129">
        <f>SUMIFS(uitkomst_veld[Arbeidsbesparing (FTE/jaar)],uitkomst_veld[Jaar],I$22,uitkomst_veld[Veld],$B27,uitkomst_veld[[Uitgangssituatie/effect beleid]:[Uitgangssituatie/effect beleid]],"Uitgangssituatie")-$C27</f>
        <v>4098.5013125974019</v>
      </c>
      <c r="J27" s="129">
        <f>SUMIFS(uitkomst_veld[Arbeidsbesparing (FTE/jaar)],uitkomst_veld[Jaar],J$22,uitkomst_veld[Veld],$B27,uitkomst_veld[[Uitgangssituatie/effect beleid]:[Uitgangssituatie/effect beleid]],"Uitgangssituatie")-$C27</f>
        <v>4643.3076055528618</v>
      </c>
      <c r="K27" s="129">
        <f>SUMIFS(uitkomst_veld[Arbeidsbesparing (FTE/jaar)],uitkomst_veld[Jaar],K$22,uitkomst_veld[Veld],$B27,uitkomst_veld[[Uitgangssituatie/effect beleid]:[Uitgangssituatie/effect beleid]],"Uitgangssituatie")-$C27</f>
        <v>5136.4872148330269</v>
      </c>
      <c r="L27" s="129">
        <f>SUMIFS(uitkomst_veld[Arbeidsbesparing (FTE/jaar)],uitkomst_veld[Jaar],L$22,uitkomst_veld[Veld],$B27,uitkomst_veld[[Uitgangssituatie/effect beleid]:[Uitgangssituatie/effect beleid]],"Uitgangssituatie")-$C27</f>
        <v>5594.221037207446</v>
      </c>
      <c r="M27" s="129">
        <f>SUMIFS(uitkomst_veld[Arbeidsbesparing (FTE/jaar)],uitkomst_veld[Jaar],M$22,uitkomst_veld[Veld],$B27,uitkomst_veld[[Uitgangssituatie/effect beleid]:[Uitgangssituatie/effect beleid]],"Uitgangssituatie")-$C27</f>
        <v>6024.6930187089874</v>
      </c>
      <c r="N27" s="61"/>
      <c r="Q27" s="61"/>
      <c r="S27" s="26"/>
      <c r="T27" s="26"/>
      <c r="U27" s="26"/>
      <c r="V27" s="26"/>
      <c r="W27" s="26"/>
      <c r="X27" s="26"/>
      <c r="Y27" s="26"/>
      <c r="Z27" s="26"/>
      <c r="AA27" s="26"/>
      <c r="AB27" s="26"/>
      <c r="AC27" s="26"/>
      <c r="AD27" s="26"/>
      <c r="AE27" s="26"/>
      <c r="AF27" s="26"/>
      <c r="AG27" s="26"/>
      <c r="AH27" s="26"/>
    </row>
    <row r="28" spans="1:34" x14ac:dyDescent="0.5">
      <c r="A28" s="2"/>
      <c r="B28" s="1" t="s">
        <v>12</v>
      </c>
      <c r="C28" s="129">
        <f>SUMIFS(uitkomst_veld[Arbeidsbesparing (FTE/jaar)],uitkomst_veld[Jaar],C$22,uitkomst_veld[Veld],$B28,uitkomst_veld[[Uitgangssituatie/effect beleid]:[Uitgangssituatie/effect beleid]],"Uitgangssituatie")</f>
        <v>2005.2916682873401</v>
      </c>
      <c r="D28" s="129">
        <f>SUMIFS(uitkomst_veld[Arbeidsbesparing (FTE/jaar)],uitkomst_veld[Jaar],D$22,uitkomst_veld[Veld],$B28,uitkomst_veld[[Uitgangssituatie/effect beleid]:[Uitgangssituatie/effect beleid]],"Uitgangssituatie")-$C28</f>
        <v>521.83682851765207</v>
      </c>
      <c r="E28" s="129">
        <f>SUMIFS(uitkomst_veld[Arbeidsbesparing (FTE/jaar)],uitkomst_veld[Jaar],E$22,uitkomst_veld[Veld],$B28,uitkomst_veld[[Uitgangssituatie/effect beleid]:[Uitgangssituatie/effect beleid]],"Uitgangssituatie")-$C28</f>
        <v>1086.4853071956704</v>
      </c>
      <c r="F28" s="129">
        <f>SUMIFS(uitkomst_veld[Arbeidsbesparing (FTE/jaar)],uitkomst_veld[Jaar],F$22,uitkomst_veld[Veld],$B28,uitkomst_veld[[Uitgangssituatie/effect beleid]:[Uitgangssituatie/effect beleid]],"Uitgangssituatie")-$C28</f>
        <v>1679.7712191882702</v>
      </c>
      <c r="G28" s="129">
        <f>SUMIFS(uitkomst_veld[Arbeidsbesparing (FTE/jaar)],uitkomst_veld[Jaar],G$22,uitkomst_veld[Veld],$B28,uitkomst_veld[[Uitgangssituatie/effect beleid]:[Uitgangssituatie/effect beleid]],"Uitgangssituatie")-$C28</f>
        <v>2354.8496559309733</v>
      </c>
      <c r="H28" s="129">
        <f>SUMIFS(uitkomst_veld[Arbeidsbesparing (FTE/jaar)],uitkomst_veld[Jaar],H$22,uitkomst_veld[Veld],$B28,uitkomst_veld[[Uitgangssituatie/effect beleid]:[Uitgangssituatie/effect beleid]],"Uitgangssituatie")-$C28</f>
        <v>3063.7815483456015</v>
      </c>
      <c r="I28" s="129">
        <f>SUMIFS(uitkomst_veld[Arbeidsbesparing (FTE/jaar)],uitkomst_veld[Jaar],I$22,uitkomst_veld[Veld],$B28,uitkomst_veld[[Uitgangssituatie/effect beleid]:[Uitgangssituatie/effect beleid]],"Uitgangssituatie")-$C28</f>
        <v>3789.241994175225</v>
      </c>
      <c r="J28" s="129">
        <f>SUMIFS(uitkomst_veld[Arbeidsbesparing (FTE/jaar)],uitkomst_veld[Jaar],J$22,uitkomst_veld[Veld],$B28,uitkomst_veld[[Uitgangssituatie/effect beleid]:[Uitgangssituatie/effect beleid]],"Uitgangssituatie")-$C28</f>
        <v>4520.0971691123113</v>
      </c>
      <c r="K28" s="129">
        <f>SUMIFS(uitkomst_veld[Arbeidsbesparing (FTE/jaar)],uitkomst_veld[Jaar],K$22,uitkomst_veld[Veld],$B28,uitkomst_veld[[Uitgangssituatie/effect beleid]:[Uitgangssituatie/effect beleid]],"Uitgangssituatie")-$C28</f>
        <v>5246.2458430495326</v>
      </c>
      <c r="L28" s="129">
        <f>SUMIFS(uitkomst_veld[Arbeidsbesparing (FTE/jaar)],uitkomst_veld[Jaar],L$22,uitkomst_veld[Veld],$B28,uitkomst_veld[[Uitgangssituatie/effect beleid]:[Uitgangssituatie/effect beleid]],"Uitgangssituatie")-$C28</f>
        <v>5957.6335895729144</v>
      </c>
      <c r="M28" s="129">
        <f>SUMIFS(uitkomst_veld[Arbeidsbesparing (FTE/jaar)],uitkomst_veld[Jaar],M$22,uitkomst_veld[Veld],$B28,uitkomst_veld[[Uitgangssituatie/effect beleid]:[Uitgangssituatie/effect beleid]],"Uitgangssituatie")-$C28</f>
        <v>6640.0513252887977</v>
      </c>
      <c r="N28" s="61"/>
      <c r="Q28" s="61"/>
      <c r="U28" s="21"/>
      <c r="X28" s="21"/>
      <c r="AA28" s="21"/>
      <c r="AD28" s="21"/>
      <c r="AG28" s="21"/>
    </row>
    <row r="29" spans="1:34" x14ac:dyDescent="0.5">
      <c r="A29" s="2"/>
      <c r="B29" s="1" t="s">
        <v>11</v>
      </c>
      <c r="C29" s="129">
        <f>SUMIFS(uitkomst_veld[Arbeidsbesparing (FTE/jaar)],uitkomst_veld[Jaar],C$22,uitkomst_veld[Veld],$B29,uitkomst_veld[[Uitgangssituatie/effect beleid]:[Uitgangssituatie/effect beleid]],"Uitgangssituatie")</f>
        <v>136.11314320352568</v>
      </c>
      <c r="D29" s="129">
        <f>SUMIFS(uitkomst_veld[Arbeidsbesparing (FTE/jaar)],uitkomst_veld[Jaar],D$22,uitkomst_veld[Veld],$B29,uitkomst_veld[[Uitgangssituatie/effect beleid]:[Uitgangssituatie/effect beleid]],"Uitgangssituatie")-$C29</f>
        <v>33.168151966781522</v>
      </c>
      <c r="E29" s="129">
        <f>SUMIFS(uitkomst_veld[Arbeidsbesparing (FTE/jaar)],uitkomst_veld[Jaar],E$22,uitkomst_veld[Veld],$B29,uitkomst_veld[[Uitgangssituatie/effect beleid]:[Uitgangssituatie/effect beleid]],"Uitgangssituatie")-$C29</f>
        <v>65.702151455383756</v>
      </c>
      <c r="F29" s="129">
        <f>SUMIFS(uitkomst_veld[Arbeidsbesparing (FTE/jaar)],uitkomst_veld[Jaar],F$22,uitkomst_veld[Veld],$B29,uitkomst_veld[[Uitgangssituatie/effect beleid]:[Uitgangssituatie/effect beleid]],"Uitgangssituatie")-$C29</f>
        <v>95.932450892992478</v>
      </c>
      <c r="G29" s="129">
        <f>SUMIFS(uitkomst_veld[Arbeidsbesparing (FTE/jaar)],uitkomst_veld[Jaar],G$22,uitkomst_veld[Veld],$B29,uitkomst_veld[[Uitgangssituatie/effect beleid]:[Uitgangssituatie/effect beleid]],"Uitgangssituatie")-$C29</f>
        <v>125.63851621281447</v>
      </c>
      <c r="H29" s="129">
        <f>SUMIFS(uitkomst_veld[Arbeidsbesparing (FTE/jaar)],uitkomst_veld[Jaar],H$22,uitkomst_veld[Veld],$B29,uitkomst_veld[[Uitgangssituatie/effect beleid]:[Uitgangssituatie/effect beleid]],"Uitgangssituatie")-$C29</f>
        <v>151.85613701003956</v>
      </c>
      <c r="I29" s="129">
        <f>SUMIFS(uitkomst_veld[Arbeidsbesparing (FTE/jaar)],uitkomst_veld[Jaar],I$22,uitkomst_veld[Veld],$B29,uitkomst_veld[[Uitgangssituatie/effect beleid]:[Uitgangssituatie/effect beleid]],"Uitgangssituatie")-$C29</f>
        <v>176.17989578398158</v>
      </c>
      <c r="J29" s="129">
        <f>SUMIFS(uitkomst_veld[Arbeidsbesparing (FTE/jaar)],uitkomst_veld[Jaar],J$22,uitkomst_veld[Veld],$B29,uitkomst_veld[[Uitgangssituatie/effect beleid]:[Uitgangssituatie/effect beleid]],"Uitgangssituatie")-$C29</f>
        <v>200.70480332408772</v>
      </c>
      <c r="K29" s="129">
        <f>SUMIFS(uitkomst_veld[Arbeidsbesparing (FTE/jaar)],uitkomst_veld[Jaar],K$22,uitkomst_veld[Veld],$B29,uitkomst_veld[[Uitgangssituatie/effect beleid]:[Uitgangssituatie/effect beleid]],"Uitgangssituatie")-$C29</f>
        <v>227.06689788212049</v>
      </c>
      <c r="L29" s="129">
        <f>SUMIFS(uitkomst_veld[Arbeidsbesparing (FTE/jaar)],uitkomst_veld[Jaar],L$22,uitkomst_veld[Veld],$B29,uitkomst_veld[[Uitgangssituatie/effect beleid]:[Uitgangssituatie/effect beleid]],"Uitgangssituatie")-$C29</f>
        <v>255.68722200056101</v>
      </c>
      <c r="M29" s="129">
        <f>SUMIFS(uitkomst_veld[Arbeidsbesparing (FTE/jaar)],uitkomst_veld[Jaar],M$22,uitkomst_veld[Veld],$B29,uitkomst_veld[[Uitgangssituatie/effect beleid]:[Uitgangssituatie/effect beleid]],"Uitgangssituatie")-$C29</f>
        <v>285.30211346776429</v>
      </c>
      <c r="N29" s="61"/>
      <c r="Q29" s="61"/>
      <c r="S29" s="21"/>
      <c r="T29" s="21"/>
      <c r="U29" s="21"/>
      <c r="V29" s="21"/>
      <c r="W29" s="21"/>
      <c r="X29" s="21"/>
      <c r="Y29" s="21"/>
      <c r="Z29" s="21"/>
      <c r="AA29" s="21"/>
      <c r="AB29" s="21"/>
      <c r="AC29" s="21"/>
      <c r="AD29" s="21"/>
      <c r="AE29" s="21"/>
      <c r="AF29" s="21"/>
      <c r="AG29" s="21"/>
    </row>
    <row r="30" spans="1:34" x14ac:dyDescent="0.5">
      <c r="A30" s="2"/>
      <c r="B30" s="1"/>
      <c r="C30" s="130"/>
      <c r="D30" s="130"/>
      <c r="E30" s="130"/>
      <c r="F30" s="130"/>
      <c r="G30" s="130"/>
      <c r="H30" s="130"/>
      <c r="I30" s="130"/>
      <c r="J30" s="130"/>
      <c r="K30" s="130"/>
      <c r="L30" s="130"/>
      <c r="M30" s="130"/>
      <c r="N30" s="21"/>
      <c r="O30" s="21"/>
      <c r="P30" s="21"/>
      <c r="Q30" s="21"/>
      <c r="S30" s="21"/>
      <c r="T30" s="21"/>
      <c r="U30" s="21"/>
      <c r="V30" s="21"/>
      <c r="W30" s="21"/>
      <c r="X30" s="21"/>
      <c r="Y30" s="21"/>
      <c r="Z30" s="21"/>
      <c r="AA30" s="21"/>
      <c r="AB30" s="21"/>
      <c r="AC30" s="21"/>
      <c r="AD30" s="21"/>
      <c r="AE30" s="21"/>
      <c r="AF30" s="21"/>
    </row>
    <row r="31" spans="1:34" ht="34" x14ac:dyDescent="0.5">
      <c r="A31" s="2" t="s">
        <v>787</v>
      </c>
      <c r="B31" s="1" t="s">
        <v>1086</v>
      </c>
      <c r="C31" s="130"/>
      <c r="D31" s="129">
        <f t="shared" ref="D31:L31" si="2">MROUND(SUM(D24:D29),10)</f>
        <v>3190</v>
      </c>
      <c r="E31" s="129">
        <f t="shared" si="2"/>
        <v>6590</v>
      </c>
      <c r="F31" s="129">
        <f t="shared" si="2"/>
        <v>10070</v>
      </c>
      <c r="G31" s="129">
        <f t="shared" si="2"/>
        <v>13400</v>
      </c>
      <c r="H31" s="129">
        <f t="shared" si="2"/>
        <v>16390</v>
      </c>
      <c r="I31" s="129">
        <f t="shared" si="2"/>
        <v>18970</v>
      </c>
      <c r="J31" s="129">
        <f t="shared" si="2"/>
        <v>21170</v>
      </c>
      <c r="K31" s="129">
        <f t="shared" si="2"/>
        <v>23090</v>
      </c>
      <c r="L31" s="129">
        <f t="shared" si="2"/>
        <v>24800</v>
      </c>
      <c r="M31" s="129"/>
      <c r="N31" s="61"/>
      <c r="O31" s="21"/>
      <c r="P31" s="21"/>
      <c r="Q31" s="21"/>
      <c r="R31" s="21"/>
      <c r="S31" s="21"/>
      <c r="T31" s="21"/>
      <c r="U31" s="21"/>
      <c r="V31" s="21"/>
      <c r="W31" s="21"/>
      <c r="X31" s="21"/>
      <c r="Y31" s="21"/>
      <c r="Z31" s="21"/>
      <c r="AA31" s="21"/>
      <c r="AB31" s="21"/>
      <c r="AC31" s="21"/>
      <c r="AD31" s="21"/>
      <c r="AE31" s="21"/>
      <c r="AF31" s="21"/>
      <c r="AG31" s="21"/>
    </row>
    <row r="32" spans="1:34" ht="34" x14ac:dyDescent="0.5">
      <c r="A32" s="131" t="s">
        <v>788</v>
      </c>
      <c r="B32" s="1" t="s">
        <v>986</v>
      </c>
      <c r="C32" s="130"/>
      <c r="D32" s="129">
        <f>MROUND((53800*0.68),10)</f>
        <v>36580</v>
      </c>
      <c r="E32" s="129">
        <f>MROUND((54200*0.68),10)</f>
        <v>36860</v>
      </c>
      <c r="F32" s="129">
        <f>MROUND((60400*0.68),10)</f>
        <v>41070</v>
      </c>
      <c r="G32" s="129">
        <f>MROUND((73300*0.68),10)</f>
        <v>49840</v>
      </c>
      <c r="H32" s="129">
        <f>MROUND((87100*0.68),10)</f>
        <v>59230</v>
      </c>
      <c r="I32" s="129">
        <f>MROUND((101600*0.68),10)</f>
        <v>69090</v>
      </c>
      <c r="J32" s="129">
        <f>MROUND((117400*0.68),10)</f>
        <v>79830</v>
      </c>
      <c r="K32" s="129">
        <f>MROUND((137600*0.68),10)</f>
        <v>93570</v>
      </c>
      <c r="L32" s="129">
        <f>MROUND((155300*0.68),10)</f>
        <v>105600</v>
      </c>
      <c r="M32" s="129"/>
      <c r="N32" s="61"/>
      <c r="O32" s="21"/>
      <c r="R32" s="21"/>
      <c r="U32" s="21"/>
      <c r="X32" s="21"/>
      <c r="AA32" s="21"/>
      <c r="AD32" s="21"/>
      <c r="AE32" s="21"/>
      <c r="AF32" s="21"/>
      <c r="AG32" s="21"/>
    </row>
    <row r="33" spans="1:33" x14ac:dyDescent="0.5">
      <c r="A33" s="2"/>
      <c r="B33" s="1" t="s">
        <v>789</v>
      </c>
      <c r="C33" s="132"/>
      <c r="D33" s="133">
        <f>D31/D32</f>
        <v>8.7206123564789503E-2</v>
      </c>
      <c r="E33" s="133">
        <f t="shared" ref="E33:L33" si="3">E31/E32</f>
        <v>0.17878459034183397</v>
      </c>
      <c r="F33" s="133">
        <f t="shared" si="3"/>
        <v>0.24519113708302898</v>
      </c>
      <c r="G33" s="133">
        <f t="shared" si="3"/>
        <v>0.26886035313001605</v>
      </c>
      <c r="H33" s="133">
        <f t="shared" si="3"/>
        <v>0.27671787945297993</v>
      </c>
      <c r="I33" s="133">
        <f t="shared" si="3"/>
        <v>0.27456940222897669</v>
      </c>
      <c r="J33" s="133">
        <f t="shared" si="3"/>
        <v>0.26518852561693601</v>
      </c>
      <c r="K33" s="133">
        <f t="shared" si="3"/>
        <v>0.2467671262156674</v>
      </c>
      <c r="L33" s="133">
        <f t="shared" si="3"/>
        <v>0.23484848484848486</v>
      </c>
      <c r="M33" s="133"/>
      <c r="O33" s="21"/>
      <c r="R33" s="21"/>
      <c r="U33" s="21"/>
      <c r="X33" s="21"/>
      <c r="AA33" s="21"/>
      <c r="AD33" s="21"/>
      <c r="AE33" s="21"/>
      <c r="AF33" s="21"/>
      <c r="AG33" s="21"/>
    </row>
    <row r="34" spans="1:33" x14ac:dyDescent="0.5">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row>
    <row r="35" spans="1:33" x14ac:dyDescent="0.5">
      <c r="D35" s="21"/>
      <c r="E35" s="21"/>
      <c r="G35" s="21"/>
      <c r="H35" s="21"/>
      <c r="J35" s="21"/>
      <c r="K35" s="21"/>
      <c r="M35" s="21"/>
      <c r="N35" s="21"/>
      <c r="P35" s="21"/>
      <c r="Q35" s="21"/>
      <c r="S35" s="21"/>
      <c r="T35" s="21"/>
      <c r="V35" s="21"/>
      <c r="W35" s="21"/>
      <c r="Y35" s="21"/>
      <c r="Z35" s="21"/>
      <c r="AB35" s="21"/>
      <c r="AC35" s="21"/>
      <c r="AE35" s="21"/>
      <c r="AF35" s="21"/>
    </row>
    <row r="36" spans="1:33" x14ac:dyDescent="0.5">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row>
    <row r="37" spans="1:33" x14ac:dyDescent="0.5">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row>
    <row r="38" spans="1:33" x14ac:dyDescent="0.5">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row>
    <row r="39" spans="1:33" x14ac:dyDescent="0.5">
      <c r="C39" s="21"/>
      <c r="F39" s="21"/>
      <c r="I39" s="21"/>
      <c r="L39" s="21"/>
      <c r="O39" s="21"/>
      <c r="R39" s="21"/>
      <c r="U39" s="21"/>
      <c r="X39" s="21"/>
      <c r="AA39" s="21"/>
      <c r="AD39" s="21"/>
      <c r="AE39" s="21"/>
      <c r="AF39" s="21"/>
      <c r="AG39" s="21"/>
    </row>
    <row r="40" spans="1:33" x14ac:dyDescent="0.5">
      <c r="C40" s="21"/>
      <c r="F40" s="21"/>
      <c r="I40" s="21"/>
      <c r="L40" s="21"/>
      <c r="O40" s="21"/>
      <c r="R40" s="21"/>
      <c r="U40" s="21"/>
      <c r="X40" s="21"/>
      <c r="AA40" s="21"/>
      <c r="AD40" s="21"/>
      <c r="AE40" s="21"/>
      <c r="AF40" s="21"/>
      <c r="AG40" s="21"/>
    </row>
    <row r="41" spans="1:33" x14ac:dyDescent="0.5">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row>
  </sheetData>
  <sheetProtection algorithmName="SHA-512" hashValue="IdIlx5IpOaMRLt0yRzEmdlwgJfdKRisNNKUUJCMVZpRp3mbmquNjDRLX33L0tORHWGWT25osY3fuJYdtQufpCQ==" saltValue="5dypsLkoheryDS4BYwg/Xg==" spinCount="100000" sheet="1" objects="1" scenarios="1" selectLockedCells="1" selectUnlockedCells="1"/>
  <mergeCells count="1">
    <mergeCell ref="A1:C2"/>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59E1F-7AA5-4D0F-897E-D82552FE43BB}">
  <sheetPr codeName="Blad27">
    <tabColor theme="8"/>
  </sheetPr>
  <dimension ref="A1:F71"/>
  <sheetViews>
    <sheetView showGridLines="0" zoomScale="80" zoomScaleNormal="80" workbookViewId="0">
      <selection activeCell="B5" sqref="B5"/>
    </sheetView>
  </sheetViews>
  <sheetFormatPr defaultRowHeight="17" x14ac:dyDescent="0.5"/>
  <cols>
    <col min="1" max="1" width="32.07421875" customWidth="1"/>
    <col min="2" max="2" width="51.3046875" bestFit="1" customWidth="1"/>
    <col min="3" max="3" width="20.23046875" customWidth="1"/>
    <col min="4" max="4" width="20.07421875" customWidth="1"/>
    <col min="5" max="5" width="36.69140625" customWidth="1"/>
    <col min="6" max="6" width="32.84375" customWidth="1"/>
  </cols>
  <sheetData>
    <row r="1" spans="1:6" x14ac:dyDescent="0.5">
      <c r="A1" s="476" t="s">
        <v>1032</v>
      </c>
      <c r="B1" s="477"/>
      <c r="C1" s="478"/>
    </row>
    <row r="2" spans="1:6" ht="17.5" thickBot="1" x14ac:dyDescent="0.55000000000000004">
      <c r="A2" s="479"/>
      <c r="B2" s="480"/>
      <c r="C2" s="481"/>
    </row>
    <row r="4" spans="1:6" x14ac:dyDescent="0.5">
      <c r="A4" s="215" t="s">
        <v>573</v>
      </c>
      <c r="B4" s="7"/>
      <c r="C4" s="7"/>
    </row>
    <row r="5" spans="1:6" x14ac:dyDescent="0.5">
      <c r="A5" s="62">
        <f>'A1 Algemene resultaten'!B49</f>
        <v>2028</v>
      </c>
    </row>
    <row r="6" spans="1:6" ht="17.5" thickBot="1" x14ac:dyDescent="0.55000000000000004">
      <c r="B6" s="7"/>
      <c r="C6" s="7"/>
    </row>
    <row r="7" spans="1:6" s="39" customFormat="1" ht="34.5" thickBot="1" x14ac:dyDescent="0.55000000000000004">
      <c r="A7" s="212" t="s">
        <v>5</v>
      </c>
      <c r="B7" s="16" t="s">
        <v>751</v>
      </c>
      <c r="C7" s="31" t="s">
        <v>811</v>
      </c>
      <c r="D7" s="60" t="s">
        <v>638</v>
      </c>
      <c r="E7" s="60" t="s">
        <v>639</v>
      </c>
      <c r="F7" s="60" t="s">
        <v>640</v>
      </c>
    </row>
    <row r="8" spans="1:6" x14ac:dyDescent="0.5">
      <c r="A8" s="439" t="str">
        <f>INDEX(Technologieën[Veld],MATCH(B8,Technologieën[Digitale zorgtoepassing],0))</f>
        <v>Digitale hulpmiddelen - Diagnose</v>
      </c>
      <c r="B8" s="33" t="s">
        <v>78</v>
      </c>
      <c r="C8" s="33" t="s">
        <v>812</v>
      </c>
      <c r="D8" s="416">
        <f>SUMIFS(uitkomst_tech[Arbeidsbesparing (€)],uitkomst_tech[Digitale zorgtoepassing],B8,uitkomst_tech[Jaar],$A$5,uitkomst_tech[Uitgangssituatie/effect beleid],uitkomst_gegevensuitwisseling[[#This Row],[Uitgangssituatie/effect beleid]])+SUMIFS(uitkomst_tech[Overige besparingen (€)],uitkomst_tech[Digitale zorgtoepassing],B8,uitkomst_tech[Jaar],$A$5,uitkomst_tech[Uitgangssituatie/effect beleid],uitkomst_gegevensuitwisseling[[#This Row],[Uitgangssituatie/effect beleid]])</f>
        <v>11761579.793603007</v>
      </c>
      <c r="E8" s="398">
        <f>INDEX(Extra_gegevensuitwisseling[Schaalfactor opbrengsten],MATCH(B8,Extra_gegevensuitwisseling[Digitale zorgtoepassing],0))*uitkomst_gegevensuitwisseling[[#This Row],[Totale opbrengsten (€)]]</f>
        <v>11761579.793603007</v>
      </c>
      <c r="F8" s="398">
        <f t="shared" ref="F8:F39" si="0">E8-D8</f>
        <v>0</v>
      </c>
    </row>
    <row r="9" spans="1:6" ht="20.149999999999999" customHeight="1" x14ac:dyDescent="0.5">
      <c r="A9" s="439" t="str">
        <f>INDEX(Technologieën[Veld],MATCH(B9,Technologieën[Digitale zorgtoepassing],0))</f>
        <v>Digitale hulpmiddelen - Diagnose</v>
      </c>
      <c r="B9" s="33" t="s">
        <v>82</v>
      </c>
      <c r="C9" s="33" t="s">
        <v>812</v>
      </c>
      <c r="D9" s="416">
        <f>SUMIFS(uitkomst_tech[Arbeidsbesparing (€)],uitkomst_tech[Digitale zorgtoepassing],B9,uitkomst_tech[Jaar],$A$5,uitkomst_tech[Uitgangssituatie/effect beleid],uitkomst_gegevensuitwisseling[[#This Row],[Uitgangssituatie/effect beleid]])+SUMIFS(uitkomst_tech[Overige besparingen (€)],uitkomst_tech[Digitale zorgtoepassing],B9,uitkomst_tech[Jaar],$A$5,uitkomst_tech[Uitgangssituatie/effect beleid],uitkomst_gegevensuitwisseling[[#This Row],[Uitgangssituatie/effect beleid]])</f>
        <v>26151778.186457656</v>
      </c>
      <c r="E9" s="398">
        <f>INDEX(Extra_gegevensuitwisseling[Schaalfactor opbrengsten],MATCH(B9,Extra_gegevensuitwisseling[Digitale zorgtoepassing],0))*uitkomst_gegevensuitwisseling[[#This Row],[Totale opbrengsten (€)]]</f>
        <v>26151778.186457656</v>
      </c>
      <c r="F9" s="398">
        <f t="shared" si="0"/>
        <v>0</v>
      </c>
    </row>
    <row r="10" spans="1:6" x14ac:dyDescent="0.5">
      <c r="A10" s="439" t="str">
        <f>INDEX(Technologieën[Veld],MATCH(B10,Technologieën[Digitale zorgtoepassing],0))</f>
        <v>Digitale hulpmiddelen - Verpleging</v>
      </c>
      <c r="B10" s="33" t="s">
        <v>58</v>
      </c>
      <c r="C10" s="33" t="s">
        <v>812</v>
      </c>
      <c r="D10" s="416">
        <f>SUMIFS(uitkomst_tech[Arbeidsbesparing (€)],uitkomst_tech[Digitale zorgtoepassing],B10,uitkomst_tech[Jaar],$A$5,uitkomst_tech[Uitgangssituatie/effect beleid],uitkomst_gegevensuitwisseling[[#This Row],[Uitgangssituatie/effect beleid]])+SUMIFS(uitkomst_tech[Overige besparingen (€)],uitkomst_tech[Digitale zorgtoepassing],B10,uitkomst_tech[Jaar],$A$5,uitkomst_tech[Uitgangssituatie/effect beleid],uitkomst_gegevensuitwisseling[[#This Row],[Uitgangssituatie/effect beleid]])</f>
        <v>27214734.446318217</v>
      </c>
      <c r="E10" s="398">
        <f>INDEX(Extra_gegevensuitwisseling[Schaalfactor opbrengsten],MATCH(B10,Extra_gegevensuitwisseling[Digitale zorgtoepassing],0))*uitkomst_gegevensuitwisseling[[#This Row],[Totale opbrengsten (€)]]</f>
        <v>27214734.446318217</v>
      </c>
      <c r="F10" s="398">
        <f t="shared" si="0"/>
        <v>0</v>
      </c>
    </row>
    <row r="11" spans="1:6" x14ac:dyDescent="0.5">
      <c r="A11" s="439" t="str">
        <f>INDEX(Technologieën[Veld],MATCH(B11,Technologieën[Digitale zorgtoepassing],0))</f>
        <v>Digitale hulpmiddelen - Verpleging</v>
      </c>
      <c r="B11" s="33" t="s">
        <v>105</v>
      </c>
      <c r="C11" s="33" t="s">
        <v>812</v>
      </c>
      <c r="D11" s="416">
        <f>SUMIFS(uitkomst_tech[Arbeidsbesparing (€)],uitkomst_tech[Digitale zorgtoepassing],B11,uitkomst_tech[Jaar],$A$5,uitkomst_tech[Uitgangssituatie/effect beleid],uitkomst_gegevensuitwisseling[[#This Row],[Uitgangssituatie/effect beleid]])+SUMIFS(uitkomst_tech[Overige besparingen (€)],uitkomst_tech[Digitale zorgtoepassing],B11,uitkomst_tech[Jaar],$A$5,uitkomst_tech[Uitgangssituatie/effect beleid],uitkomst_gegevensuitwisseling[[#This Row],[Uitgangssituatie/effect beleid]])</f>
        <v>325234.10770973773</v>
      </c>
      <c r="E11" s="398">
        <f>INDEX(Extra_gegevensuitwisseling[Schaalfactor opbrengsten],MATCH(B11,Extra_gegevensuitwisseling[Digitale zorgtoepassing],0))*uitkomst_gegevensuitwisseling[[#This Row],[Totale opbrengsten (€)]]</f>
        <v>325234.10770973773</v>
      </c>
      <c r="F11" s="398">
        <f t="shared" si="0"/>
        <v>0</v>
      </c>
    </row>
    <row r="12" spans="1:6" x14ac:dyDescent="0.5">
      <c r="A12" s="439" t="str">
        <f>INDEX(Technologieën[Veld],MATCH(B12,Technologieën[Digitale zorgtoepassing],0))</f>
        <v>Digitale hulpmiddelen - Verpleging</v>
      </c>
      <c r="B12" s="33" t="s">
        <v>32</v>
      </c>
      <c r="C12" s="33" t="s">
        <v>812</v>
      </c>
      <c r="D12" s="416">
        <f>SUMIFS(uitkomst_tech[Arbeidsbesparing (€)],uitkomst_tech[Digitale zorgtoepassing],B12,uitkomst_tech[Jaar],$A$5,uitkomst_tech[Uitgangssituatie/effect beleid],uitkomst_gegevensuitwisseling[[#This Row],[Uitgangssituatie/effect beleid]])+SUMIFS(uitkomst_tech[Overige besparingen (€)],uitkomst_tech[Digitale zorgtoepassing],B12,uitkomst_tech[Jaar],$A$5,uitkomst_tech[Uitgangssituatie/effect beleid],uitkomst_gegevensuitwisseling[[#This Row],[Uitgangssituatie/effect beleid]])</f>
        <v>27557509.849042859</v>
      </c>
      <c r="E12" s="398">
        <f>INDEX(Extra_gegevensuitwisseling[Schaalfactor opbrengsten],MATCH(B12,Extra_gegevensuitwisseling[Digitale zorgtoepassing],0))*uitkomst_gegevensuitwisseling[[#This Row],[Totale opbrengsten (€)]]</f>
        <v>27557509.849042859</v>
      </c>
      <c r="F12" s="398">
        <f t="shared" si="0"/>
        <v>0</v>
      </c>
    </row>
    <row r="13" spans="1:6" x14ac:dyDescent="0.5">
      <c r="A13" s="439" t="str">
        <f>INDEX(Technologieën[Veld],MATCH(B13,Technologieën[Digitale zorgtoepassing],0))</f>
        <v>Digitale hulpmiddelen - Verpleging</v>
      </c>
      <c r="B13" s="33" t="s">
        <v>26</v>
      </c>
      <c r="C13" s="33" t="s">
        <v>812</v>
      </c>
      <c r="D13" s="416">
        <f>SUMIFS(uitkomst_tech[Arbeidsbesparing (€)],uitkomst_tech[Digitale zorgtoepassing],B13,uitkomst_tech[Jaar],$A$5,uitkomst_tech[Uitgangssituatie/effect beleid],uitkomst_gegevensuitwisseling[[#This Row],[Uitgangssituatie/effect beleid]])+SUMIFS(uitkomst_tech[Overige besparingen (€)],uitkomst_tech[Digitale zorgtoepassing],B13,uitkomst_tech[Jaar],$A$5,uitkomst_tech[Uitgangssituatie/effect beleid],uitkomst_gegevensuitwisseling[[#This Row],[Uitgangssituatie/effect beleid]])</f>
        <v>750063365.91653895</v>
      </c>
      <c r="E13" s="398">
        <f>INDEX(Extra_gegevensuitwisseling[Schaalfactor opbrengsten],MATCH(B13,Extra_gegevensuitwisseling[Digitale zorgtoepassing],0))*uitkomst_gegevensuitwisseling[[#This Row],[Totale opbrengsten (€)]]</f>
        <v>787566534.21236598</v>
      </c>
      <c r="F13" s="398">
        <f t="shared" si="0"/>
        <v>37503168.295827031</v>
      </c>
    </row>
    <row r="14" spans="1:6" x14ac:dyDescent="0.5">
      <c r="A14" s="439" t="str">
        <f>INDEX(Technologieën[Veld],MATCH(B14,Technologieën[Digitale zorgtoepassing],0))</f>
        <v>Digitale hulpmiddelen - Verpleging</v>
      </c>
      <c r="B14" s="33" t="s">
        <v>48</v>
      </c>
      <c r="C14" s="33" t="s">
        <v>812</v>
      </c>
      <c r="D14" s="416">
        <f>SUMIFS(uitkomst_tech[Arbeidsbesparing (€)],uitkomst_tech[Digitale zorgtoepassing],B14,uitkomst_tech[Jaar],$A$5,uitkomst_tech[Uitgangssituatie/effect beleid],uitkomst_gegevensuitwisseling[[#This Row],[Uitgangssituatie/effect beleid]])+SUMIFS(uitkomst_tech[Overige besparingen (€)],uitkomst_tech[Digitale zorgtoepassing],B14,uitkomst_tech[Jaar],$A$5,uitkomst_tech[Uitgangssituatie/effect beleid],uitkomst_gegevensuitwisseling[[#This Row],[Uitgangssituatie/effect beleid]])</f>
        <v>139155807.72593963</v>
      </c>
      <c r="E14" s="398">
        <f>INDEX(Extra_gegevensuitwisseling[Schaalfactor opbrengsten],MATCH(B14,Extra_gegevensuitwisseling[Digitale zorgtoepassing],0))*uitkomst_gegevensuitwisseling[[#This Row],[Totale opbrengsten (€)]]</f>
        <v>139155807.72593963</v>
      </c>
      <c r="F14" s="398">
        <f t="shared" si="0"/>
        <v>0</v>
      </c>
    </row>
    <row r="15" spans="1:6" x14ac:dyDescent="0.5">
      <c r="A15" s="439" t="str">
        <f>INDEX(Technologieën[Veld],MATCH(B15,Technologieën[Digitale zorgtoepassing],0))</f>
        <v>Digitale hulpmiddelen - Verpleging</v>
      </c>
      <c r="B15" s="33" t="s">
        <v>19</v>
      </c>
      <c r="C15" s="33" t="s">
        <v>812</v>
      </c>
      <c r="D15" s="416">
        <f>SUMIFS(uitkomst_tech[Arbeidsbesparing (€)],uitkomst_tech[Digitale zorgtoepassing],B15,uitkomst_tech[Jaar],$A$5,uitkomst_tech[Uitgangssituatie/effect beleid],uitkomst_gegevensuitwisseling[[#This Row],[Uitgangssituatie/effect beleid]])+SUMIFS(uitkomst_tech[Overige besparingen (€)],uitkomst_tech[Digitale zorgtoepassing],B15,uitkomst_tech[Jaar],$A$5,uitkomst_tech[Uitgangssituatie/effect beleid],uitkomst_gegevensuitwisseling[[#This Row],[Uitgangssituatie/effect beleid]])</f>
        <v>52724511.378603749</v>
      </c>
      <c r="E15" s="398">
        <f>INDEX(Extra_gegevensuitwisseling[Schaalfactor opbrengsten],MATCH(B15,Extra_gegevensuitwisseling[Digitale zorgtoepassing],0))*uitkomst_gegevensuitwisseling[[#This Row],[Totale opbrengsten (€)]]</f>
        <v>55360736.947533935</v>
      </c>
      <c r="F15" s="398">
        <f t="shared" si="0"/>
        <v>2636225.5689301863</v>
      </c>
    </row>
    <row r="16" spans="1:6" x14ac:dyDescent="0.5">
      <c r="A16" s="439" t="str">
        <f>INDEX(Technologieën[Veld],MATCH(B16,Technologieën[Digitale zorgtoepassing],0))</f>
        <v>Digitale hulpmiddelen - Verpleging</v>
      </c>
      <c r="B16" s="33" t="s">
        <v>85</v>
      </c>
      <c r="C16" s="33" t="s">
        <v>812</v>
      </c>
      <c r="D16" s="416">
        <f>SUMIFS(uitkomst_tech[Arbeidsbesparing (€)],uitkomst_tech[Digitale zorgtoepassing],B16,uitkomst_tech[Jaar],$A$5,uitkomst_tech[Uitgangssituatie/effect beleid],uitkomst_gegevensuitwisseling[[#This Row],[Uitgangssituatie/effect beleid]])+SUMIFS(uitkomst_tech[Overige besparingen (€)],uitkomst_tech[Digitale zorgtoepassing],B16,uitkomst_tech[Jaar],$A$5,uitkomst_tech[Uitgangssituatie/effect beleid],uitkomst_gegevensuitwisseling[[#This Row],[Uitgangssituatie/effect beleid]])</f>
        <v>75497144.586505339</v>
      </c>
      <c r="E16" s="398">
        <f>INDEX(Extra_gegevensuitwisseling[Schaalfactor opbrengsten],MATCH(B16,Extra_gegevensuitwisseling[Digitale zorgtoepassing],0))*uitkomst_gegevensuitwisseling[[#This Row],[Totale opbrengsten (€)]]</f>
        <v>83046859.045155883</v>
      </c>
      <c r="F16" s="398">
        <f t="shared" si="0"/>
        <v>7549714.4586505443</v>
      </c>
    </row>
    <row r="17" spans="1:6" x14ac:dyDescent="0.5">
      <c r="A17" s="439" t="str">
        <f>INDEX(Technologieën[Veld],MATCH(B17,Technologieën[Digitale zorgtoepassing],0))</f>
        <v>Sensoren - Behandeling</v>
      </c>
      <c r="B17" s="33" t="s">
        <v>593</v>
      </c>
      <c r="C17" s="33" t="s">
        <v>812</v>
      </c>
      <c r="D17" s="416">
        <f>SUMIFS(uitkomst_tech[Arbeidsbesparing (€)],uitkomst_tech[Digitale zorgtoepassing],B17,uitkomst_tech[Jaar],$A$5,uitkomst_tech[Uitgangssituatie/effect beleid],uitkomst_gegevensuitwisseling[[#This Row],[Uitgangssituatie/effect beleid]])+SUMIFS(uitkomst_tech[Overige besparingen (€)],uitkomst_tech[Digitale zorgtoepassing],B17,uitkomst_tech[Jaar],$A$5,uitkomst_tech[Uitgangssituatie/effect beleid],uitkomst_gegevensuitwisseling[[#This Row],[Uitgangssituatie/effect beleid]])</f>
        <v>10440184.950658513</v>
      </c>
      <c r="E17" s="398">
        <f>INDEX(Extra_gegevensuitwisseling[Schaalfactor opbrengsten],MATCH(B17,Extra_gegevensuitwisseling[Digitale zorgtoepassing],0))*uitkomst_gegevensuitwisseling[[#This Row],[Totale opbrengsten (€)]]</f>
        <v>12006212.693257289</v>
      </c>
      <c r="F17" s="398">
        <f t="shared" si="0"/>
        <v>1566027.7425987758</v>
      </c>
    </row>
    <row r="18" spans="1:6" x14ac:dyDescent="0.5">
      <c r="A18" s="439" t="str">
        <f>INDEX(Technologieën[Veld],MATCH(B18,Technologieën[Digitale zorgtoepassing],0))</f>
        <v>Sensoren - Behandeling</v>
      </c>
      <c r="B18" s="33" t="s">
        <v>88</v>
      </c>
      <c r="C18" s="33" t="s">
        <v>812</v>
      </c>
      <c r="D18" s="416">
        <f>SUMIFS(uitkomst_tech[Arbeidsbesparing (€)],uitkomst_tech[Digitale zorgtoepassing],B18,uitkomst_tech[Jaar],$A$5,uitkomst_tech[Uitgangssituatie/effect beleid],uitkomst_gegevensuitwisseling[[#This Row],[Uitgangssituatie/effect beleid]])+SUMIFS(uitkomst_tech[Overige besparingen (€)],uitkomst_tech[Digitale zorgtoepassing],B18,uitkomst_tech[Jaar],$A$5,uitkomst_tech[Uitgangssituatie/effect beleid],uitkomst_gegevensuitwisseling[[#This Row],[Uitgangssituatie/effect beleid]])</f>
        <v>37245253.616098575</v>
      </c>
      <c r="E18" s="398">
        <f>INDEX(Extra_gegevensuitwisseling[Schaalfactor opbrengsten],MATCH(B18,Extra_gegevensuitwisseling[Digitale zorgtoepassing],0))*uitkomst_gegevensuitwisseling[[#This Row],[Totale opbrengsten (€)]]</f>
        <v>39107516.296903506</v>
      </c>
      <c r="F18" s="398">
        <f t="shared" si="0"/>
        <v>1862262.6808049306</v>
      </c>
    </row>
    <row r="19" spans="1:6" x14ac:dyDescent="0.5">
      <c r="A19" s="439" t="str">
        <f>INDEX(Technologieën[Veld],MATCH(B19,Technologieën[Digitale zorgtoepassing],0))</f>
        <v>Sensoren - Behandeling</v>
      </c>
      <c r="B19" s="33" t="s">
        <v>53</v>
      </c>
      <c r="C19" s="33" t="s">
        <v>812</v>
      </c>
      <c r="D19" s="416">
        <f>SUMIFS(uitkomst_tech[Arbeidsbesparing (€)],uitkomst_tech[Digitale zorgtoepassing],B19,uitkomst_tech[Jaar],$A$5,uitkomst_tech[Uitgangssituatie/effect beleid],uitkomst_gegevensuitwisseling[[#This Row],[Uitgangssituatie/effect beleid]])+SUMIFS(uitkomst_tech[Overige besparingen (€)],uitkomst_tech[Digitale zorgtoepassing],B19,uitkomst_tech[Jaar],$A$5,uitkomst_tech[Uitgangssituatie/effect beleid],uitkomst_gegevensuitwisseling[[#This Row],[Uitgangssituatie/effect beleid]])</f>
        <v>26676302.99040867</v>
      </c>
      <c r="E19" s="398">
        <f>INDEX(Extra_gegevensuitwisseling[Schaalfactor opbrengsten],MATCH(B19,Extra_gegevensuitwisseling[Digitale zorgtoepassing],0))*uitkomst_gegevensuitwisseling[[#This Row],[Totale opbrengsten (€)]]</f>
        <v>28010118.139929105</v>
      </c>
      <c r="F19" s="398">
        <f t="shared" si="0"/>
        <v>1333815.1495204344</v>
      </c>
    </row>
    <row r="20" spans="1:6" x14ac:dyDescent="0.5">
      <c r="A20" s="439" t="str">
        <f>INDEX(Technologieën[Veld],MATCH(B20,Technologieën[Digitale zorgtoepassing],0))</f>
        <v>Sensoren - Verpleging</v>
      </c>
      <c r="B20" s="33" t="s">
        <v>46</v>
      </c>
      <c r="C20" s="33" t="s">
        <v>812</v>
      </c>
      <c r="D20" s="416">
        <f>SUMIFS(uitkomst_tech[Arbeidsbesparing (€)],uitkomst_tech[Digitale zorgtoepassing],B20,uitkomst_tech[Jaar],$A$5,uitkomst_tech[Uitgangssituatie/effect beleid],uitkomst_gegevensuitwisseling[[#This Row],[Uitgangssituatie/effect beleid]])+SUMIFS(uitkomst_tech[Overige besparingen (€)],uitkomst_tech[Digitale zorgtoepassing],B20,uitkomst_tech[Jaar],$A$5,uitkomst_tech[Uitgangssituatie/effect beleid],uitkomst_gegevensuitwisseling[[#This Row],[Uitgangssituatie/effect beleid]])</f>
        <v>28489087.722745575</v>
      </c>
      <c r="E20" s="398">
        <f>INDEX(Extra_gegevensuitwisseling[Schaalfactor opbrengsten],MATCH(B20,Extra_gegevensuitwisseling[Digitale zorgtoepassing],0))*uitkomst_gegevensuitwisseling[[#This Row],[Totale opbrengsten (€)]]</f>
        <v>29913542.108882856</v>
      </c>
      <c r="F20" s="398">
        <f t="shared" si="0"/>
        <v>1424454.3861372806</v>
      </c>
    </row>
    <row r="21" spans="1:6" x14ac:dyDescent="0.5">
      <c r="A21" s="439" t="str">
        <f>INDEX(Technologieën[Veld],MATCH(B21,Technologieën[Digitale zorgtoepassing],0))</f>
        <v>Sensoren - Verpleging</v>
      </c>
      <c r="B21" s="33" t="s">
        <v>36</v>
      </c>
      <c r="C21" s="33" t="s">
        <v>812</v>
      </c>
      <c r="D21" s="416">
        <f>SUMIFS(uitkomst_tech[Arbeidsbesparing (€)],uitkomst_tech[Digitale zorgtoepassing],B21,uitkomst_tech[Jaar],$A$5,uitkomst_tech[Uitgangssituatie/effect beleid],uitkomst_gegevensuitwisseling[[#This Row],[Uitgangssituatie/effect beleid]])+SUMIFS(uitkomst_tech[Overige besparingen (€)],uitkomst_tech[Digitale zorgtoepassing],B21,uitkomst_tech[Jaar],$A$5,uitkomst_tech[Uitgangssituatie/effect beleid],uitkomst_gegevensuitwisseling[[#This Row],[Uitgangssituatie/effect beleid]])</f>
        <v>101380863.73909761</v>
      </c>
      <c r="E21" s="398">
        <f>INDEX(Extra_gegevensuitwisseling[Schaalfactor opbrengsten],MATCH(B21,Extra_gegevensuitwisseling[Digitale zorgtoepassing],0))*uitkomst_gegevensuitwisseling[[#This Row],[Totale opbrengsten (€)]]</f>
        <v>106449906.9260525</v>
      </c>
      <c r="F21" s="398">
        <f t="shared" si="0"/>
        <v>5069043.1869548857</v>
      </c>
    </row>
    <row r="22" spans="1:6" x14ac:dyDescent="0.5">
      <c r="A22" s="439" t="str">
        <f>INDEX(Technologieën[Veld],MATCH(B22,Technologieën[Digitale zorgtoepassing],0))</f>
        <v>Sensoren - Verpleging</v>
      </c>
      <c r="B22" s="33" t="s">
        <v>42</v>
      </c>
      <c r="C22" s="33" t="s">
        <v>812</v>
      </c>
      <c r="D22" s="416">
        <f>SUMIFS(uitkomst_tech[Arbeidsbesparing (€)],uitkomst_tech[Digitale zorgtoepassing],B22,uitkomst_tech[Jaar],$A$5,uitkomst_tech[Uitgangssituatie/effect beleid],uitkomst_gegevensuitwisseling[[#This Row],[Uitgangssituatie/effect beleid]])+SUMIFS(uitkomst_tech[Overige besparingen (€)],uitkomst_tech[Digitale zorgtoepassing],B22,uitkomst_tech[Jaar],$A$5,uitkomst_tech[Uitgangssituatie/effect beleid],uitkomst_gegevensuitwisseling[[#This Row],[Uitgangssituatie/effect beleid]])</f>
        <v>92877017.903497875</v>
      </c>
      <c r="E22" s="398">
        <f>INDEX(Extra_gegevensuitwisseling[Schaalfactor opbrengsten],MATCH(B22,Extra_gegevensuitwisseling[Digitale zorgtoepassing],0))*uitkomst_gegevensuitwisseling[[#This Row],[Totale opbrengsten (€)]]</f>
        <v>97520868.798672765</v>
      </c>
      <c r="F22" s="398">
        <f t="shared" si="0"/>
        <v>4643850.8951748908</v>
      </c>
    </row>
    <row r="23" spans="1:6" x14ac:dyDescent="0.5">
      <c r="A23" s="439" t="str">
        <f>INDEX(Technologieën[Veld],MATCH(B23,Technologieën[Digitale zorgtoepassing],0))</f>
        <v>Sensoren - Verpleging</v>
      </c>
      <c r="B23" s="33" t="s">
        <v>61</v>
      </c>
      <c r="C23" s="33" t="s">
        <v>812</v>
      </c>
      <c r="D23" s="416">
        <f>SUMIFS(uitkomst_tech[Arbeidsbesparing (€)],uitkomst_tech[Digitale zorgtoepassing],B23,uitkomst_tech[Jaar],$A$5,uitkomst_tech[Uitgangssituatie/effect beleid],uitkomst_gegevensuitwisseling[[#This Row],[Uitgangssituatie/effect beleid]])+SUMIFS(uitkomst_tech[Overige besparingen (€)],uitkomst_tech[Digitale zorgtoepassing],B23,uitkomst_tech[Jaar],$A$5,uitkomst_tech[Uitgangssituatie/effect beleid],uitkomst_gegevensuitwisseling[[#This Row],[Uitgangssituatie/effect beleid]])</f>
        <v>84233298.110829592</v>
      </c>
      <c r="E23" s="398">
        <f>INDEX(Extra_gegevensuitwisseling[Schaalfactor opbrengsten],MATCH(B23,Extra_gegevensuitwisseling[Digitale zorgtoepassing],0))*uitkomst_gegevensuitwisseling[[#This Row],[Totale opbrengsten (€)]]</f>
        <v>88444963.016371071</v>
      </c>
      <c r="F23" s="398">
        <f t="shared" si="0"/>
        <v>4211664.9055414796</v>
      </c>
    </row>
    <row r="24" spans="1:6" x14ac:dyDescent="0.5">
      <c r="A24" s="439" t="str">
        <f>INDEX(Technologieën[Veld],MATCH(B24,Technologieën[Digitale zorgtoepassing],0))</f>
        <v>Software - Behandeling</v>
      </c>
      <c r="B24" s="33" t="s">
        <v>716</v>
      </c>
      <c r="C24" s="33" t="s">
        <v>812</v>
      </c>
      <c r="D24" s="416">
        <f>SUMIFS(uitkomst_tech[Arbeidsbesparing (€)],uitkomst_tech[Digitale zorgtoepassing],B24,uitkomst_tech[Jaar],$A$5,uitkomst_tech[Uitgangssituatie/effect beleid],uitkomst_gegevensuitwisseling[[#This Row],[Uitgangssituatie/effect beleid]])+SUMIFS(uitkomst_tech[Overige besparingen (€)],uitkomst_tech[Digitale zorgtoepassing],B24,uitkomst_tech[Jaar],$A$5,uitkomst_tech[Uitgangssituatie/effect beleid],uitkomst_gegevensuitwisseling[[#This Row],[Uitgangssituatie/effect beleid]])</f>
        <v>137635.98129962274</v>
      </c>
      <c r="E24" s="398">
        <f>INDEX(Extra_gegevensuitwisseling[Schaalfactor opbrengsten],MATCH(B24,Extra_gegevensuitwisseling[Digitale zorgtoepassing],0))*uitkomst_gegevensuitwisseling[[#This Row],[Totale opbrengsten (€)]]</f>
        <v>158281.37849456613</v>
      </c>
      <c r="F24" s="398">
        <f t="shared" si="0"/>
        <v>20645.397194943391</v>
      </c>
    </row>
    <row r="25" spans="1:6" x14ac:dyDescent="0.5">
      <c r="A25" s="439" t="str">
        <f>INDEX(Technologieën[Veld],MATCH(B25,Technologieën[Digitale zorgtoepassing],0))</f>
        <v>Software - Behandeling</v>
      </c>
      <c r="B25" s="33" t="s">
        <v>585</v>
      </c>
      <c r="C25" s="33" t="s">
        <v>812</v>
      </c>
      <c r="D25" s="416">
        <f>SUMIFS(uitkomst_tech[Arbeidsbesparing (€)],uitkomst_tech[Digitale zorgtoepassing],B25,uitkomst_tech[Jaar],$A$5,uitkomst_tech[Uitgangssituatie/effect beleid],uitkomst_gegevensuitwisseling[[#This Row],[Uitgangssituatie/effect beleid]])+SUMIFS(uitkomst_tech[Overige besparingen (€)],uitkomst_tech[Digitale zorgtoepassing],B25,uitkomst_tech[Jaar],$A$5,uitkomst_tech[Uitgangssituatie/effect beleid],uitkomst_gegevensuitwisseling[[#This Row],[Uitgangssituatie/effect beleid]])</f>
        <v>13775977.727776719</v>
      </c>
      <c r="E25" s="398">
        <f>INDEX(Extra_gegevensuitwisseling[Schaalfactor opbrengsten],MATCH(B25,Extra_gegevensuitwisseling[Digitale zorgtoepassing],0))*uitkomst_gegevensuitwisseling[[#This Row],[Totale opbrengsten (€)]]</f>
        <v>14464776.614165556</v>
      </c>
      <c r="F25" s="398">
        <f t="shared" si="0"/>
        <v>688798.88638883643</v>
      </c>
    </row>
    <row r="26" spans="1:6" x14ac:dyDescent="0.5">
      <c r="A26" s="439" t="str">
        <f>INDEX(Technologieën[Veld],MATCH(B26,Technologieën[Digitale zorgtoepassing],0))</f>
        <v>Software - Behandeling</v>
      </c>
      <c r="B26" s="33" t="s">
        <v>609</v>
      </c>
      <c r="C26" s="33" t="s">
        <v>812</v>
      </c>
      <c r="D26" s="416">
        <f>SUMIFS(uitkomst_tech[Arbeidsbesparing (€)],uitkomst_tech[Digitale zorgtoepassing],B26,uitkomst_tech[Jaar],$A$5,uitkomst_tech[Uitgangssituatie/effect beleid],uitkomst_gegevensuitwisseling[[#This Row],[Uitgangssituatie/effect beleid]])+SUMIFS(uitkomst_tech[Overige besparingen (€)],uitkomst_tech[Digitale zorgtoepassing],B26,uitkomst_tech[Jaar],$A$5,uitkomst_tech[Uitgangssituatie/effect beleid],uitkomst_gegevensuitwisseling[[#This Row],[Uitgangssituatie/effect beleid]])</f>
        <v>189605428.21151173</v>
      </c>
      <c r="E26" s="398">
        <f>INDEX(Extra_gegevensuitwisseling[Schaalfactor opbrengsten],MATCH(B26,Extra_gegevensuitwisseling[Digitale zorgtoepassing],0))*uitkomst_gegevensuitwisseling[[#This Row],[Totale opbrengsten (€)]]</f>
        <v>218046242.44323847</v>
      </c>
      <c r="F26" s="398">
        <f t="shared" si="0"/>
        <v>28440814.231726736</v>
      </c>
    </row>
    <row r="27" spans="1:6" x14ac:dyDescent="0.5">
      <c r="A27" s="439" t="str">
        <f>INDEX(Technologieën[Veld],MATCH(B27,Technologieën[Digitale zorgtoepassing],0))</f>
        <v>Software - Behandeling</v>
      </c>
      <c r="B27" s="33" t="s">
        <v>101</v>
      </c>
      <c r="C27" s="33" t="s">
        <v>812</v>
      </c>
      <c r="D27" s="416">
        <f>SUMIFS(uitkomst_tech[Arbeidsbesparing (€)],uitkomst_tech[Digitale zorgtoepassing],B27,uitkomst_tech[Jaar],$A$5,uitkomst_tech[Uitgangssituatie/effect beleid],uitkomst_gegevensuitwisseling[[#This Row],[Uitgangssituatie/effect beleid]])+SUMIFS(uitkomst_tech[Overige besparingen (€)],uitkomst_tech[Digitale zorgtoepassing],B27,uitkomst_tech[Jaar],$A$5,uitkomst_tech[Uitgangssituatie/effect beleid],uitkomst_gegevensuitwisseling[[#This Row],[Uitgangssituatie/effect beleid]])</f>
        <v>153236061.4720681</v>
      </c>
      <c r="E27" s="398">
        <f>INDEX(Extra_gegevensuitwisseling[Schaalfactor opbrengsten],MATCH(B27,Extra_gegevensuitwisseling[Digitale zorgtoepassing],0))*uitkomst_gegevensuitwisseling[[#This Row],[Totale opbrengsten (€)]]</f>
        <v>153236061.4720681</v>
      </c>
      <c r="F27" s="398">
        <f t="shared" si="0"/>
        <v>0</v>
      </c>
    </row>
    <row r="28" spans="1:6" x14ac:dyDescent="0.5">
      <c r="A28" s="439" t="str">
        <f>INDEX(Technologieën[Veld],MATCH(B28,Technologieën[Digitale zorgtoepassing],0))</f>
        <v>Software - Behandeling</v>
      </c>
      <c r="B28" s="33" t="s">
        <v>578</v>
      </c>
      <c r="C28" s="33" t="s">
        <v>812</v>
      </c>
      <c r="D28" s="416">
        <f>SUMIFS(uitkomst_tech[Arbeidsbesparing (€)],uitkomst_tech[Digitale zorgtoepassing],B28,uitkomst_tech[Jaar],$A$5,uitkomst_tech[Uitgangssituatie/effect beleid],uitkomst_gegevensuitwisseling[[#This Row],[Uitgangssituatie/effect beleid]])+SUMIFS(uitkomst_tech[Overige besparingen (€)],uitkomst_tech[Digitale zorgtoepassing],B28,uitkomst_tech[Jaar],$A$5,uitkomst_tech[Uitgangssituatie/effect beleid],uitkomst_gegevensuitwisseling[[#This Row],[Uitgangssituatie/effect beleid]])</f>
        <v>8683209.1327281911</v>
      </c>
      <c r="E28" s="398">
        <f>INDEX(Extra_gegevensuitwisseling[Schaalfactor opbrengsten],MATCH(B28,Extra_gegevensuitwisseling[Digitale zorgtoepassing],0))*uitkomst_gegevensuitwisseling[[#This Row],[Totale opbrengsten (€)]]</f>
        <v>8683209.1327281911</v>
      </c>
      <c r="F28" s="398">
        <f t="shared" si="0"/>
        <v>0</v>
      </c>
    </row>
    <row r="29" spans="1:6" x14ac:dyDescent="0.5">
      <c r="A29" s="439" t="str">
        <f>INDEX(Technologieën[Veld],MATCH(B29,Technologieën[Digitale zorgtoepassing],0))</f>
        <v>Software - Behandeling</v>
      </c>
      <c r="B29" s="33" t="s">
        <v>588</v>
      </c>
      <c r="C29" s="33" t="s">
        <v>812</v>
      </c>
      <c r="D29" s="416">
        <f>SUMIFS(uitkomst_tech[Arbeidsbesparing (€)],uitkomst_tech[Digitale zorgtoepassing],B29,uitkomst_tech[Jaar],$A$5,uitkomst_tech[Uitgangssituatie/effect beleid],uitkomst_gegevensuitwisseling[[#This Row],[Uitgangssituatie/effect beleid]])+SUMIFS(uitkomst_tech[Overige besparingen (€)],uitkomst_tech[Digitale zorgtoepassing],B29,uitkomst_tech[Jaar],$A$5,uitkomst_tech[Uitgangssituatie/effect beleid],uitkomst_gegevensuitwisseling[[#This Row],[Uitgangssituatie/effect beleid]])</f>
        <v>5755093.4395982632</v>
      </c>
      <c r="E29" s="398">
        <f>INDEX(Extra_gegevensuitwisseling[Schaalfactor opbrengsten],MATCH(B29,Extra_gegevensuitwisseling[Digitale zorgtoepassing],0))*uitkomst_gegevensuitwisseling[[#This Row],[Totale opbrengsten (€)]]</f>
        <v>5755093.4395982632</v>
      </c>
      <c r="F29" s="398">
        <f t="shared" si="0"/>
        <v>0</v>
      </c>
    </row>
    <row r="30" spans="1:6" x14ac:dyDescent="0.5">
      <c r="A30" s="439" t="str">
        <f>INDEX(Technologieën[Veld],MATCH(B30,Technologieën[Digitale zorgtoepassing],0))</f>
        <v>Software - Diagnose</v>
      </c>
      <c r="B30" s="33" t="s">
        <v>474</v>
      </c>
      <c r="C30" s="33" t="s">
        <v>812</v>
      </c>
      <c r="D30" s="416">
        <f>SUMIFS(uitkomst_tech[Arbeidsbesparing (€)],uitkomst_tech[Digitale zorgtoepassing],B30,uitkomst_tech[Jaar],$A$5,uitkomst_tech[Uitgangssituatie/effect beleid],uitkomst_gegevensuitwisseling[[#This Row],[Uitgangssituatie/effect beleid]])+SUMIFS(uitkomst_tech[Overige besparingen (€)],uitkomst_tech[Digitale zorgtoepassing],B30,uitkomst_tech[Jaar],$A$5,uitkomst_tech[Uitgangssituatie/effect beleid],uitkomst_gegevensuitwisseling[[#This Row],[Uitgangssituatie/effect beleid]])</f>
        <v>7547656.7516236156</v>
      </c>
      <c r="E30" s="398">
        <f>INDEX(Extra_gegevensuitwisseling[Schaalfactor opbrengsten],MATCH(B30,Extra_gegevensuitwisseling[Digitale zorgtoepassing],0))*uitkomst_gegevensuitwisseling[[#This Row],[Totale opbrengsten (€)]]</f>
        <v>8679805.2643671576</v>
      </c>
      <c r="F30" s="398">
        <f t="shared" si="0"/>
        <v>1132148.512743542</v>
      </c>
    </row>
    <row r="31" spans="1:6" x14ac:dyDescent="0.5">
      <c r="A31" s="439" t="str">
        <f>INDEX(Technologieën[Veld],MATCH(B31,Technologieën[Digitale zorgtoepassing],0))</f>
        <v>Software - Diagnose</v>
      </c>
      <c r="B31" s="33" t="s">
        <v>473</v>
      </c>
      <c r="C31" s="33" t="s">
        <v>812</v>
      </c>
      <c r="D31" s="416">
        <f>SUMIFS(uitkomst_tech[Arbeidsbesparing (€)],uitkomst_tech[Digitale zorgtoepassing],B31,uitkomst_tech[Jaar],$A$5,uitkomst_tech[Uitgangssituatie/effect beleid],uitkomst_gegevensuitwisseling[[#This Row],[Uitgangssituatie/effect beleid]])+SUMIFS(uitkomst_tech[Overige besparingen (€)],uitkomst_tech[Digitale zorgtoepassing],B31,uitkomst_tech[Jaar],$A$5,uitkomst_tech[Uitgangssituatie/effect beleid],uitkomst_gegevensuitwisseling[[#This Row],[Uitgangssituatie/effect beleid]])</f>
        <v>2618006.0544117512</v>
      </c>
      <c r="E31" s="398">
        <f>INDEX(Extra_gegevensuitwisseling[Schaalfactor opbrengsten],MATCH(B31,Extra_gegevensuitwisseling[Digitale zorgtoepassing],0))*uitkomst_gegevensuitwisseling[[#This Row],[Totale opbrengsten (€)]]</f>
        <v>3010706.9625735139</v>
      </c>
      <c r="F31" s="398">
        <f t="shared" si="0"/>
        <v>392700.90816176264</v>
      </c>
    </row>
    <row r="32" spans="1:6" x14ac:dyDescent="0.5">
      <c r="A32" s="439" t="str">
        <f>INDEX(Technologieën[Veld],MATCH(B32,Technologieën[Digitale zorgtoepassing],0))</f>
        <v>Software - Diagnose</v>
      </c>
      <c r="B32" s="33" t="s">
        <v>472</v>
      </c>
      <c r="C32" s="33" t="s">
        <v>812</v>
      </c>
      <c r="D32" s="416">
        <f>SUMIFS(uitkomst_tech[Arbeidsbesparing (€)],uitkomst_tech[Digitale zorgtoepassing],B32,uitkomst_tech[Jaar],$A$5,uitkomst_tech[Uitgangssituatie/effect beleid],uitkomst_gegevensuitwisseling[[#This Row],[Uitgangssituatie/effect beleid]])+SUMIFS(uitkomst_tech[Overige besparingen (€)],uitkomst_tech[Digitale zorgtoepassing],B32,uitkomst_tech[Jaar],$A$5,uitkomst_tech[Uitgangssituatie/effect beleid],uitkomst_gegevensuitwisseling[[#This Row],[Uitgangssituatie/effect beleid]])</f>
        <v>2188067.9608658403</v>
      </c>
      <c r="E32" s="398">
        <f>INDEX(Extra_gegevensuitwisseling[Schaalfactor opbrengsten],MATCH(B32,Extra_gegevensuitwisseling[Digitale zorgtoepassing],0))*uitkomst_gegevensuitwisseling[[#This Row],[Totale opbrengsten (€)]]</f>
        <v>2516278.1549957162</v>
      </c>
      <c r="F32" s="398">
        <f t="shared" si="0"/>
        <v>328210.19412987586</v>
      </c>
    </row>
    <row r="33" spans="1:6" x14ac:dyDescent="0.5">
      <c r="A33" s="439" t="str">
        <f>INDEX(Technologieën[Veld],MATCH(B33,Technologieën[Digitale zorgtoepassing],0))</f>
        <v>Software - Diagnose</v>
      </c>
      <c r="B33" s="33" t="s">
        <v>475</v>
      </c>
      <c r="C33" s="33" t="s">
        <v>812</v>
      </c>
      <c r="D33" s="416">
        <f>SUMIFS(uitkomst_tech[Arbeidsbesparing (€)],uitkomst_tech[Digitale zorgtoepassing],B33,uitkomst_tech[Jaar],$A$5,uitkomst_tech[Uitgangssituatie/effect beleid],uitkomst_gegevensuitwisseling[[#This Row],[Uitgangssituatie/effect beleid]])+SUMIFS(uitkomst_tech[Overige besparingen (€)],uitkomst_tech[Digitale zorgtoepassing],B33,uitkomst_tech[Jaar],$A$5,uitkomst_tech[Uitgangssituatie/effect beleid],uitkomst_gegevensuitwisseling[[#This Row],[Uitgangssituatie/effect beleid]])</f>
        <v>173793.83942848444</v>
      </c>
      <c r="E33" s="398">
        <f>INDEX(Extra_gegevensuitwisseling[Schaalfactor opbrengsten],MATCH(B33,Extra_gegevensuitwisseling[Digitale zorgtoepassing],0))*uitkomst_gegevensuitwisseling[[#This Row],[Totale opbrengsten (€)]]</f>
        <v>199862.9153427571</v>
      </c>
      <c r="F33" s="398">
        <f t="shared" si="0"/>
        <v>26069.07591427266</v>
      </c>
    </row>
    <row r="34" spans="1:6" x14ac:dyDescent="0.5">
      <c r="A34" s="439" t="str">
        <f>INDEX(Technologieën[Veld],MATCH(B34,Technologieën[Digitale zorgtoepassing],0))</f>
        <v>Software - Diagnose</v>
      </c>
      <c r="B34" s="33" t="s">
        <v>66</v>
      </c>
      <c r="C34" s="33" t="s">
        <v>812</v>
      </c>
      <c r="D34" s="416">
        <f>SUMIFS(uitkomst_tech[Arbeidsbesparing (€)],uitkomst_tech[Digitale zorgtoepassing],B34,uitkomst_tech[Jaar],$A$5,uitkomst_tech[Uitgangssituatie/effect beleid],uitkomst_gegevensuitwisseling[[#This Row],[Uitgangssituatie/effect beleid]])+SUMIFS(uitkomst_tech[Overige besparingen (€)],uitkomst_tech[Digitale zorgtoepassing],B34,uitkomst_tech[Jaar],$A$5,uitkomst_tech[Uitgangssituatie/effect beleid],uitkomst_gegevensuitwisseling[[#This Row],[Uitgangssituatie/effect beleid]])</f>
        <v>403545.0879833299</v>
      </c>
      <c r="E34" s="398">
        <f>INDEX(Extra_gegevensuitwisseling[Schaalfactor opbrengsten],MATCH(B34,Extra_gegevensuitwisseling[Digitale zorgtoepassing],0))*uitkomst_gegevensuitwisseling[[#This Row],[Totale opbrengsten (€)]]</f>
        <v>443899.5967816629</v>
      </c>
      <c r="F34" s="398">
        <f t="shared" si="0"/>
        <v>40354.508798333001</v>
      </c>
    </row>
    <row r="35" spans="1:6" x14ac:dyDescent="0.5">
      <c r="A35" s="439" t="str">
        <f>INDEX(Technologieën[Veld],MATCH(B35,Technologieën[Digitale zorgtoepassing],0))</f>
        <v>Software - Diagnose</v>
      </c>
      <c r="B35" s="33" t="s">
        <v>76</v>
      </c>
      <c r="C35" s="33" t="s">
        <v>812</v>
      </c>
      <c r="D35" s="416">
        <f>SUMIFS(uitkomst_tech[Arbeidsbesparing (€)],uitkomst_tech[Digitale zorgtoepassing],B35,uitkomst_tech[Jaar],$A$5,uitkomst_tech[Uitgangssituatie/effect beleid],uitkomst_gegevensuitwisseling[[#This Row],[Uitgangssituatie/effect beleid]])+SUMIFS(uitkomst_tech[Overige besparingen (€)],uitkomst_tech[Digitale zorgtoepassing],B35,uitkomst_tech[Jaar],$A$5,uitkomst_tech[Uitgangssituatie/effect beleid],uitkomst_gegevensuitwisseling[[#This Row],[Uitgangssituatie/effect beleid]])</f>
        <v>6661860.4449805282</v>
      </c>
      <c r="E35" s="398">
        <f>INDEX(Extra_gegevensuitwisseling[Schaalfactor opbrengsten],MATCH(B35,Extra_gegevensuitwisseling[Digitale zorgtoepassing],0))*uitkomst_gegevensuitwisseling[[#This Row],[Totale opbrengsten (€)]]</f>
        <v>6994953.4672295554</v>
      </c>
      <c r="F35" s="398">
        <f t="shared" si="0"/>
        <v>333093.02224902716</v>
      </c>
    </row>
    <row r="36" spans="1:6" x14ac:dyDescent="0.5">
      <c r="A36" s="439" t="str">
        <f>INDEX(Technologieën[Veld],MATCH(B36,Technologieën[Digitale zorgtoepassing],0))</f>
        <v>Software - Diagnose</v>
      </c>
      <c r="B36" s="33" t="s">
        <v>139</v>
      </c>
      <c r="C36" s="33" t="s">
        <v>812</v>
      </c>
      <c r="D36" s="416">
        <f>SUMIFS(uitkomst_tech[Arbeidsbesparing (€)],uitkomst_tech[Digitale zorgtoepassing],B36,uitkomst_tech[Jaar],$A$5,uitkomst_tech[Uitgangssituatie/effect beleid],uitkomst_gegevensuitwisseling[[#This Row],[Uitgangssituatie/effect beleid]])+SUMIFS(uitkomst_tech[Overige besparingen (€)],uitkomst_tech[Digitale zorgtoepassing],B36,uitkomst_tech[Jaar],$A$5,uitkomst_tech[Uitgangssituatie/effect beleid],uitkomst_gegevensuitwisseling[[#This Row],[Uitgangssituatie/effect beleid]])</f>
        <v>11625980.232236706</v>
      </c>
      <c r="E36" s="398">
        <f>INDEX(Extra_gegevensuitwisseling[Schaalfactor opbrengsten],MATCH(B36,Extra_gegevensuitwisseling[Digitale zorgtoepassing],0))*uitkomst_gegevensuitwisseling[[#This Row],[Totale opbrengsten (€)]]</f>
        <v>12207279.243848542</v>
      </c>
      <c r="F36" s="398">
        <f t="shared" si="0"/>
        <v>581299.01161183603</v>
      </c>
    </row>
    <row r="37" spans="1:6" x14ac:dyDescent="0.5">
      <c r="A37" s="439" t="str">
        <f>INDEX(Technologieën[Veld],MATCH(B37,Technologieën[Digitale zorgtoepassing],0))</f>
        <v>Software - Diagnose</v>
      </c>
      <c r="B37" s="33" t="s">
        <v>725</v>
      </c>
      <c r="C37" s="33" t="s">
        <v>812</v>
      </c>
      <c r="D37" s="416">
        <f>SUMIFS(uitkomst_tech[Arbeidsbesparing (€)],uitkomst_tech[Digitale zorgtoepassing],B37,uitkomst_tech[Jaar],$A$5,uitkomst_tech[Uitgangssituatie/effect beleid],uitkomst_gegevensuitwisseling[[#This Row],[Uitgangssituatie/effect beleid]])+SUMIFS(uitkomst_tech[Overige besparingen (€)],uitkomst_tech[Digitale zorgtoepassing],B37,uitkomst_tech[Jaar],$A$5,uitkomst_tech[Uitgangssituatie/effect beleid],uitkomst_gegevensuitwisseling[[#This Row],[Uitgangssituatie/effect beleid]])</f>
        <v>572692.0760871002</v>
      </c>
      <c r="E37" s="398">
        <f>INDEX(Extra_gegevensuitwisseling[Schaalfactor opbrengsten],MATCH(B37,Extra_gegevensuitwisseling[Digitale zorgtoepassing],0))*uitkomst_gegevensuitwisseling[[#This Row],[Totale opbrengsten (€)]]</f>
        <v>629961.28369581024</v>
      </c>
      <c r="F37" s="398">
        <f t="shared" si="0"/>
        <v>57269.207608710043</v>
      </c>
    </row>
    <row r="38" spans="1:6" x14ac:dyDescent="0.5">
      <c r="A38" s="439" t="str">
        <f>INDEX(Technologieën[Veld],MATCH(B38,Technologieën[Digitale zorgtoepassing],0))</f>
        <v>Software - Diagnose</v>
      </c>
      <c r="B38" s="33" t="s">
        <v>720</v>
      </c>
      <c r="C38" s="33" t="s">
        <v>812</v>
      </c>
      <c r="D38" s="416">
        <f>SUMIFS(uitkomst_tech[Arbeidsbesparing (€)],uitkomst_tech[Digitale zorgtoepassing],B38,uitkomst_tech[Jaar],$A$5,uitkomst_tech[Uitgangssituatie/effect beleid],uitkomst_gegevensuitwisseling[[#This Row],[Uitgangssituatie/effect beleid]])+SUMIFS(uitkomst_tech[Overige besparingen (€)],uitkomst_tech[Digitale zorgtoepassing],B38,uitkomst_tech[Jaar],$A$5,uitkomst_tech[Uitgangssituatie/effect beleid],uitkomst_gegevensuitwisseling[[#This Row],[Uitgangssituatie/effect beleid]])</f>
        <v>390090.78789651569</v>
      </c>
      <c r="E38" s="398">
        <f>INDEX(Extra_gegevensuitwisseling[Schaalfactor opbrengsten],MATCH(B38,Extra_gegevensuitwisseling[Digitale zorgtoepassing],0))*uitkomst_gegevensuitwisseling[[#This Row],[Totale opbrengsten (€)]]</f>
        <v>429099.86668616731</v>
      </c>
      <c r="F38" s="398">
        <f t="shared" si="0"/>
        <v>39009.078789651627</v>
      </c>
    </row>
    <row r="39" spans="1:6" x14ac:dyDescent="0.5">
      <c r="A39" s="439" t="str">
        <f>INDEX(Technologieën[Veld],MATCH(B39,Technologieën[Digitale zorgtoepassing],0))</f>
        <v>Software - Diagnose</v>
      </c>
      <c r="B39" s="33" t="s">
        <v>56</v>
      </c>
      <c r="C39" s="33" t="s">
        <v>812</v>
      </c>
      <c r="D39" s="416">
        <f>SUMIFS(uitkomst_tech[Arbeidsbesparing (€)],uitkomst_tech[Digitale zorgtoepassing],B39,uitkomst_tech[Jaar],$A$5,uitkomst_tech[Uitgangssituatie/effect beleid],uitkomst_gegevensuitwisseling[[#This Row],[Uitgangssituatie/effect beleid]])+SUMIFS(uitkomst_tech[Overige besparingen (€)],uitkomst_tech[Digitale zorgtoepassing],B39,uitkomst_tech[Jaar],$A$5,uitkomst_tech[Uitgangssituatie/effect beleid],uitkomst_gegevensuitwisseling[[#This Row],[Uitgangssituatie/effect beleid]])</f>
        <v>869433.4904279121</v>
      </c>
      <c r="E39" s="398">
        <f>INDEX(Extra_gegevensuitwisseling[Schaalfactor opbrengsten],MATCH(B39,Extra_gegevensuitwisseling[Digitale zorgtoepassing],0))*uitkomst_gegevensuitwisseling[[#This Row],[Totale opbrengsten (€)]]</f>
        <v>912905.16494930768</v>
      </c>
      <c r="F39" s="398">
        <f t="shared" si="0"/>
        <v>43471.674521395587</v>
      </c>
    </row>
    <row r="40" spans="1:6" x14ac:dyDescent="0.5">
      <c r="A40" s="439" t="str">
        <f>INDEX(Technologieën[Veld],MATCH(B40,Technologieën[Digitale zorgtoepassing],0))</f>
        <v>Digitale hulpmiddelen - Diagnose</v>
      </c>
      <c r="B40" s="33" t="s">
        <v>78</v>
      </c>
      <c r="C40" s="33" t="s">
        <v>813</v>
      </c>
      <c r="D40" s="398">
        <f>SUMIFS(uitkomst_tech[Arbeidsbesparing (€)],uitkomst_tech[Digitale zorgtoepassing],B40,uitkomst_tech[Jaar],$A$5,uitkomst_tech[Uitgangssituatie/effect beleid],uitkomst_gegevensuitwisseling[[#This Row],[Uitgangssituatie/effect beleid]])+SUMIFS(uitkomst_tech[Overige besparingen (€)],uitkomst_tech[Digitale zorgtoepassing],B40,uitkomst_tech[Jaar],$A$5,uitkomst_tech[Uitgangssituatie/effect beleid],uitkomst_gegevensuitwisseling[[#This Row],[Uitgangssituatie/effect beleid]])</f>
        <v>11761579.793603007</v>
      </c>
      <c r="E40" s="398">
        <f>INDEX(Extra_gegevensuitwisseling[Schaalfactor opbrengsten],MATCH(B40,Extra_gegevensuitwisseling[Digitale zorgtoepassing],0))*uitkomst_gegevensuitwisseling[[#This Row],[Totale opbrengsten (€)]]</f>
        <v>11761579.793603007</v>
      </c>
      <c r="F40" s="398">
        <f t="shared" ref="F40:F71" si="1">E40-D40</f>
        <v>0</v>
      </c>
    </row>
    <row r="41" spans="1:6" x14ac:dyDescent="0.5">
      <c r="A41" s="439" t="str">
        <f>INDEX(Technologieën[Veld],MATCH(B41,Technologieën[Digitale zorgtoepassing],0))</f>
        <v>Digitale hulpmiddelen - Diagnose</v>
      </c>
      <c r="B41" s="33" t="s">
        <v>82</v>
      </c>
      <c r="C41" s="33" t="s">
        <v>813</v>
      </c>
      <c r="D41" s="398">
        <f>SUMIFS(uitkomst_tech[Arbeidsbesparing (€)],uitkomst_tech[Digitale zorgtoepassing],B41,uitkomst_tech[Jaar],$A$5,uitkomst_tech[Uitgangssituatie/effect beleid],uitkomst_gegevensuitwisseling[[#This Row],[Uitgangssituatie/effect beleid]])+SUMIFS(uitkomst_tech[Overige besparingen (€)],uitkomst_tech[Digitale zorgtoepassing],B41,uitkomst_tech[Jaar],$A$5,uitkomst_tech[Uitgangssituatie/effect beleid],uitkomst_gegevensuitwisseling[[#This Row],[Uitgangssituatie/effect beleid]])</f>
        <v>26151778.186457656</v>
      </c>
      <c r="E41" s="398">
        <f>INDEX(Extra_gegevensuitwisseling[Schaalfactor opbrengsten],MATCH(B41,Extra_gegevensuitwisseling[Digitale zorgtoepassing],0))*uitkomst_gegevensuitwisseling[[#This Row],[Totale opbrengsten (€)]]</f>
        <v>26151778.186457656</v>
      </c>
      <c r="F41" s="398">
        <f t="shared" si="1"/>
        <v>0</v>
      </c>
    </row>
    <row r="42" spans="1:6" x14ac:dyDescent="0.5">
      <c r="A42" s="439" t="str">
        <f>INDEX(Technologieën[Veld],MATCH(B42,Technologieën[Digitale zorgtoepassing],0))</f>
        <v>Digitale hulpmiddelen - Verpleging</v>
      </c>
      <c r="B42" s="33" t="s">
        <v>58</v>
      </c>
      <c r="C42" s="33" t="s">
        <v>813</v>
      </c>
      <c r="D42" s="398">
        <f>SUMIFS(uitkomst_tech[Arbeidsbesparing (€)],uitkomst_tech[Digitale zorgtoepassing],B42,uitkomst_tech[Jaar],$A$5,uitkomst_tech[Uitgangssituatie/effect beleid],uitkomst_gegevensuitwisseling[[#This Row],[Uitgangssituatie/effect beleid]])+SUMIFS(uitkomst_tech[Overige besparingen (€)],uitkomst_tech[Digitale zorgtoepassing],B42,uitkomst_tech[Jaar],$A$5,uitkomst_tech[Uitgangssituatie/effect beleid],uitkomst_gegevensuitwisseling[[#This Row],[Uitgangssituatie/effect beleid]])</f>
        <v>27214734.446318217</v>
      </c>
      <c r="E42" s="398">
        <f>INDEX(Extra_gegevensuitwisseling[Schaalfactor opbrengsten],MATCH(B42,Extra_gegevensuitwisseling[Digitale zorgtoepassing],0))*uitkomst_gegevensuitwisseling[[#This Row],[Totale opbrengsten (€)]]</f>
        <v>27214734.446318217</v>
      </c>
      <c r="F42" s="398">
        <f t="shared" si="1"/>
        <v>0</v>
      </c>
    </row>
    <row r="43" spans="1:6" x14ac:dyDescent="0.5">
      <c r="A43" s="439" t="str">
        <f>INDEX(Technologieën[Veld],MATCH(B43,Technologieën[Digitale zorgtoepassing],0))</f>
        <v>Digitale hulpmiddelen - Verpleging</v>
      </c>
      <c r="B43" s="33" t="s">
        <v>105</v>
      </c>
      <c r="C43" s="33" t="s">
        <v>813</v>
      </c>
      <c r="D43" s="398">
        <f>SUMIFS(uitkomst_tech[Arbeidsbesparing (€)],uitkomst_tech[Digitale zorgtoepassing],B43,uitkomst_tech[Jaar],$A$5,uitkomst_tech[Uitgangssituatie/effect beleid],uitkomst_gegevensuitwisseling[[#This Row],[Uitgangssituatie/effect beleid]])+SUMIFS(uitkomst_tech[Overige besparingen (€)],uitkomst_tech[Digitale zorgtoepassing],B43,uitkomst_tech[Jaar],$A$5,uitkomst_tech[Uitgangssituatie/effect beleid],uitkomst_gegevensuitwisseling[[#This Row],[Uitgangssituatie/effect beleid]])</f>
        <v>325234.10770973773</v>
      </c>
      <c r="E43" s="398">
        <f>INDEX(Extra_gegevensuitwisseling[Schaalfactor opbrengsten],MATCH(B43,Extra_gegevensuitwisseling[Digitale zorgtoepassing],0))*uitkomst_gegevensuitwisseling[[#This Row],[Totale opbrengsten (€)]]</f>
        <v>325234.10770973773</v>
      </c>
      <c r="F43" s="398">
        <f t="shared" si="1"/>
        <v>0</v>
      </c>
    </row>
    <row r="44" spans="1:6" x14ac:dyDescent="0.5">
      <c r="A44" s="439" t="str">
        <f>INDEX(Technologieën[Veld],MATCH(B44,Technologieën[Digitale zorgtoepassing],0))</f>
        <v>Digitale hulpmiddelen - Verpleging</v>
      </c>
      <c r="B44" s="33" t="s">
        <v>32</v>
      </c>
      <c r="C44" s="33" t="s">
        <v>813</v>
      </c>
      <c r="D44" s="398">
        <f>SUMIFS(uitkomst_tech[Arbeidsbesparing (€)],uitkomst_tech[Digitale zorgtoepassing],B44,uitkomst_tech[Jaar],$A$5,uitkomst_tech[Uitgangssituatie/effect beleid],uitkomst_gegevensuitwisseling[[#This Row],[Uitgangssituatie/effect beleid]])+SUMIFS(uitkomst_tech[Overige besparingen (€)],uitkomst_tech[Digitale zorgtoepassing],B44,uitkomst_tech[Jaar],$A$5,uitkomst_tech[Uitgangssituatie/effect beleid],uitkomst_gegevensuitwisseling[[#This Row],[Uitgangssituatie/effect beleid]])</f>
        <v>27557509.849042859</v>
      </c>
      <c r="E44" s="398">
        <f>INDEX(Extra_gegevensuitwisseling[Schaalfactor opbrengsten],MATCH(B44,Extra_gegevensuitwisseling[Digitale zorgtoepassing],0))*uitkomst_gegevensuitwisseling[[#This Row],[Totale opbrengsten (€)]]</f>
        <v>27557509.849042859</v>
      </c>
      <c r="F44" s="398">
        <f t="shared" si="1"/>
        <v>0</v>
      </c>
    </row>
    <row r="45" spans="1:6" x14ac:dyDescent="0.5">
      <c r="A45" s="439" t="str">
        <f>INDEX(Technologieën[Veld],MATCH(B45,Technologieën[Digitale zorgtoepassing],0))</f>
        <v>Digitale hulpmiddelen - Verpleging</v>
      </c>
      <c r="B45" s="33" t="s">
        <v>26</v>
      </c>
      <c r="C45" s="33" t="s">
        <v>813</v>
      </c>
      <c r="D45" s="398">
        <f>SUMIFS(uitkomst_tech[Arbeidsbesparing (€)],uitkomst_tech[Digitale zorgtoepassing],B45,uitkomst_tech[Jaar],$A$5,uitkomst_tech[Uitgangssituatie/effect beleid],uitkomst_gegevensuitwisseling[[#This Row],[Uitgangssituatie/effect beleid]])+SUMIFS(uitkomst_tech[Overige besparingen (€)],uitkomst_tech[Digitale zorgtoepassing],B45,uitkomst_tech[Jaar],$A$5,uitkomst_tech[Uitgangssituatie/effect beleid],uitkomst_gegevensuitwisseling[[#This Row],[Uitgangssituatie/effect beleid]])</f>
        <v>750063365.91653895</v>
      </c>
      <c r="E45" s="398">
        <f>INDEX(Extra_gegevensuitwisseling[Schaalfactor opbrengsten],MATCH(B45,Extra_gegevensuitwisseling[Digitale zorgtoepassing],0))*uitkomst_gegevensuitwisseling[[#This Row],[Totale opbrengsten (€)]]</f>
        <v>787566534.21236598</v>
      </c>
      <c r="F45" s="398">
        <f t="shared" si="1"/>
        <v>37503168.295827031</v>
      </c>
    </row>
    <row r="46" spans="1:6" x14ac:dyDescent="0.5">
      <c r="A46" s="439" t="str">
        <f>INDEX(Technologieën[Veld],MATCH(B46,Technologieën[Digitale zorgtoepassing],0))</f>
        <v>Digitale hulpmiddelen - Verpleging</v>
      </c>
      <c r="B46" s="33" t="s">
        <v>48</v>
      </c>
      <c r="C46" s="33" t="s">
        <v>813</v>
      </c>
      <c r="D46" s="398">
        <f>SUMIFS(uitkomst_tech[Arbeidsbesparing (€)],uitkomst_tech[Digitale zorgtoepassing],B46,uitkomst_tech[Jaar],$A$5,uitkomst_tech[Uitgangssituatie/effect beleid],uitkomst_gegevensuitwisseling[[#This Row],[Uitgangssituatie/effect beleid]])+SUMIFS(uitkomst_tech[Overige besparingen (€)],uitkomst_tech[Digitale zorgtoepassing],B46,uitkomst_tech[Jaar],$A$5,uitkomst_tech[Uitgangssituatie/effect beleid],uitkomst_gegevensuitwisseling[[#This Row],[Uitgangssituatie/effect beleid]])</f>
        <v>139155807.72593963</v>
      </c>
      <c r="E46" s="398">
        <f>INDEX(Extra_gegevensuitwisseling[Schaalfactor opbrengsten],MATCH(B46,Extra_gegevensuitwisseling[Digitale zorgtoepassing],0))*uitkomst_gegevensuitwisseling[[#This Row],[Totale opbrengsten (€)]]</f>
        <v>139155807.72593963</v>
      </c>
      <c r="F46" s="398">
        <f t="shared" si="1"/>
        <v>0</v>
      </c>
    </row>
    <row r="47" spans="1:6" x14ac:dyDescent="0.5">
      <c r="A47" s="439" t="str">
        <f>INDEX(Technologieën[Veld],MATCH(B47,Technologieën[Digitale zorgtoepassing],0))</f>
        <v>Digitale hulpmiddelen - Verpleging</v>
      </c>
      <c r="B47" s="33" t="s">
        <v>19</v>
      </c>
      <c r="C47" s="33" t="s">
        <v>813</v>
      </c>
      <c r="D47" s="398">
        <f>SUMIFS(uitkomst_tech[Arbeidsbesparing (€)],uitkomst_tech[Digitale zorgtoepassing],B47,uitkomst_tech[Jaar],$A$5,uitkomst_tech[Uitgangssituatie/effect beleid],uitkomst_gegevensuitwisseling[[#This Row],[Uitgangssituatie/effect beleid]])+SUMIFS(uitkomst_tech[Overige besparingen (€)],uitkomst_tech[Digitale zorgtoepassing],B47,uitkomst_tech[Jaar],$A$5,uitkomst_tech[Uitgangssituatie/effect beleid],uitkomst_gegevensuitwisseling[[#This Row],[Uitgangssituatie/effect beleid]])</f>
        <v>52724511.378603749</v>
      </c>
      <c r="E47" s="398">
        <f>INDEX(Extra_gegevensuitwisseling[Schaalfactor opbrengsten],MATCH(B47,Extra_gegevensuitwisseling[Digitale zorgtoepassing],0))*uitkomst_gegevensuitwisseling[[#This Row],[Totale opbrengsten (€)]]</f>
        <v>55360736.947533935</v>
      </c>
      <c r="F47" s="398">
        <f t="shared" si="1"/>
        <v>2636225.5689301863</v>
      </c>
    </row>
    <row r="48" spans="1:6" x14ac:dyDescent="0.5">
      <c r="A48" s="439" t="str">
        <f>INDEX(Technologieën[Veld],MATCH(B48,Technologieën[Digitale zorgtoepassing],0))</f>
        <v>Digitale hulpmiddelen - Verpleging</v>
      </c>
      <c r="B48" s="33" t="s">
        <v>85</v>
      </c>
      <c r="C48" s="33" t="s">
        <v>813</v>
      </c>
      <c r="D48" s="398">
        <f>SUMIFS(uitkomst_tech[Arbeidsbesparing (€)],uitkomst_tech[Digitale zorgtoepassing],B48,uitkomst_tech[Jaar],$A$5,uitkomst_tech[Uitgangssituatie/effect beleid],uitkomst_gegevensuitwisseling[[#This Row],[Uitgangssituatie/effect beleid]])+SUMIFS(uitkomst_tech[Overige besparingen (€)],uitkomst_tech[Digitale zorgtoepassing],B48,uitkomst_tech[Jaar],$A$5,uitkomst_tech[Uitgangssituatie/effect beleid],uitkomst_gegevensuitwisseling[[#This Row],[Uitgangssituatie/effect beleid]])</f>
        <v>75497144.586505339</v>
      </c>
      <c r="E48" s="398">
        <f>INDEX(Extra_gegevensuitwisseling[Schaalfactor opbrengsten],MATCH(B48,Extra_gegevensuitwisseling[Digitale zorgtoepassing],0))*uitkomst_gegevensuitwisseling[[#This Row],[Totale opbrengsten (€)]]</f>
        <v>83046859.045155883</v>
      </c>
      <c r="F48" s="398">
        <f t="shared" si="1"/>
        <v>7549714.4586505443</v>
      </c>
    </row>
    <row r="49" spans="1:6" x14ac:dyDescent="0.5">
      <c r="A49" s="439" t="str">
        <f>INDEX(Technologieën[Veld],MATCH(B49,Technologieën[Digitale zorgtoepassing],0))</f>
        <v>Sensoren - Behandeling</v>
      </c>
      <c r="B49" s="33" t="s">
        <v>593</v>
      </c>
      <c r="C49" s="33" t="s">
        <v>813</v>
      </c>
      <c r="D49" s="398">
        <f>SUMIFS(uitkomst_tech[Arbeidsbesparing (€)],uitkomst_tech[Digitale zorgtoepassing],B49,uitkomst_tech[Jaar],$A$5,uitkomst_tech[Uitgangssituatie/effect beleid],uitkomst_gegevensuitwisseling[[#This Row],[Uitgangssituatie/effect beleid]])+SUMIFS(uitkomst_tech[Overige besparingen (€)],uitkomst_tech[Digitale zorgtoepassing],B49,uitkomst_tech[Jaar],$A$5,uitkomst_tech[Uitgangssituatie/effect beleid],uitkomst_gegevensuitwisseling[[#This Row],[Uitgangssituatie/effect beleid]])</f>
        <v>10440184.950658513</v>
      </c>
      <c r="E49" s="398">
        <f>INDEX(Extra_gegevensuitwisseling[Schaalfactor opbrengsten],MATCH(B49,Extra_gegevensuitwisseling[Digitale zorgtoepassing],0))*uitkomst_gegevensuitwisseling[[#This Row],[Totale opbrengsten (€)]]</f>
        <v>12006212.693257289</v>
      </c>
      <c r="F49" s="398">
        <f t="shared" si="1"/>
        <v>1566027.7425987758</v>
      </c>
    </row>
    <row r="50" spans="1:6" x14ac:dyDescent="0.5">
      <c r="A50" s="439" t="str">
        <f>INDEX(Technologieën[Veld],MATCH(B50,Technologieën[Digitale zorgtoepassing],0))</f>
        <v>Sensoren - Behandeling</v>
      </c>
      <c r="B50" s="33" t="s">
        <v>88</v>
      </c>
      <c r="C50" s="33" t="s">
        <v>813</v>
      </c>
      <c r="D50" s="398">
        <f>SUMIFS(uitkomst_tech[Arbeidsbesparing (€)],uitkomst_tech[Digitale zorgtoepassing],B50,uitkomst_tech[Jaar],$A$5,uitkomst_tech[Uitgangssituatie/effect beleid],uitkomst_gegevensuitwisseling[[#This Row],[Uitgangssituatie/effect beleid]])+SUMIFS(uitkomst_tech[Overige besparingen (€)],uitkomst_tech[Digitale zorgtoepassing],B50,uitkomst_tech[Jaar],$A$5,uitkomst_tech[Uitgangssituatie/effect beleid],uitkomst_gegevensuitwisseling[[#This Row],[Uitgangssituatie/effect beleid]])</f>
        <v>37245253.616098575</v>
      </c>
      <c r="E50" s="398">
        <f>INDEX(Extra_gegevensuitwisseling[Schaalfactor opbrengsten],MATCH(B50,Extra_gegevensuitwisseling[Digitale zorgtoepassing],0))*uitkomst_gegevensuitwisseling[[#This Row],[Totale opbrengsten (€)]]</f>
        <v>39107516.296903506</v>
      </c>
      <c r="F50" s="398">
        <f t="shared" si="1"/>
        <v>1862262.6808049306</v>
      </c>
    </row>
    <row r="51" spans="1:6" x14ac:dyDescent="0.5">
      <c r="A51" s="439" t="str">
        <f>INDEX(Technologieën[Veld],MATCH(B51,Technologieën[Digitale zorgtoepassing],0))</f>
        <v>Sensoren - Behandeling</v>
      </c>
      <c r="B51" s="33" t="s">
        <v>53</v>
      </c>
      <c r="C51" s="33" t="s">
        <v>813</v>
      </c>
      <c r="D51" s="398">
        <f>SUMIFS(uitkomst_tech[Arbeidsbesparing (€)],uitkomst_tech[Digitale zorgtoepassing],B51,uitkomst_tech[Jaar],$A$5,uitkomst_tech[Uitgangssituatie/effect beleid],uitkomst_gegevensuitwisseling[[#This Row],[Uitgangssituatie/effect beleid]])+SUMIFS(uitkomst_tech[Overige besparingen (€)],uitkomst_tech[Digitale zorgtoepassing],B51,uitkomst_tech[Jaar],$A$5,uitkomst_tech[Uitgangssituatie/effect beleid],uitkomst_gegevensuitwisseling[[#This Row],[Uitgangssituatie/effect beleid]])</f>
        <v>26676302.99040867</v>
      </c>
      <c r="E51" s="398">
        <f>INDEX(Extra_gegevensuitwisseling[Schaalfactor opbrengsten],MATCH(B51,Extra_gegevensuitwisseling[Digitale zorgtoepassing],0))*uitkomst_gegevensuitwisseling[[#This Row],[Totale opbrengsten (€)]]</f>
        <v>28010118.139929105</v>
      </c>
      <c r="F51" s="398">
        <f t="shared" si="1"/>
        <v>1333815.1495204344</v>
      </c>
    </row>
    <row r="52" spans="1:6" x14ac:dyDescent="0.5">
      <c r="A52" s="439" t="str">
        <f>INDEX(Technologieën[Veld],MATCH(B52,Technologieën[Digitale zorgtoepassing],0))</f>
        <v>Sensoren - Verpleging</v>
      </c>
      <c r="B52" s="33" t="s">
        <v>46</v>
      </c>
      <c r="C52" s="33" t="s">
        <v>813</v>
      </c>
      <c r="D52" s="398">
        <f>SUMIFS(uitkomst_tech[Arbeidsbesparing (€)],uitkomst_tech[Digitale zorgtoepassing],B52,uitkomst_tech[Jaar],$A$5,uitkomst_tech[Uitgangssituatie/effect beleid],uitkomst_gegevensuitwisseling[[#This Row],[Uitgangssituatie/effect beleid]])+SUMIFS(uitkomst_tech[Overige besparingen (€)],uitkomst_tech[Digitale zorgtoepassing],B52,uitkomst_tech[Jaar],$A$5,uitkomst_tech[Uitgangssituatie/effect beleid],uitkomst_gegevensuitwisseling[[#This Row],[Uitgangssituatie/effect beleid]])</f>
        <v>28489087.722745575</v>
      </c>
      <c r="E52" s="398">
        <f>INDEX(Extra_gegevensuitwisseling[Schaalfactor opbrengsten],MATCH(B52,Extra_gegevensuitwisseling[Digitale zorgtoepassing],0))*uitkomst_gegevensuitwisseling[[#This Row],[Totale opbrengsten (€)]]</f>
        <v>29913542.108882856</v>
      </c>
      <c r="F52" s="398">
        <f t="shared" si="1"/>
        <v>1424454.3861372806</v>
      </c>
    </row>
    <row r="53" spans="1:6" x14ac:dyDescent="0.5">
      <c r="A53" s="439" t="str">
        <f>INDEX(Technologieën[Veld],MATCH(B53,Technologieën[Digitale zorgtoepassing],0))</f>
        <v>Sensoren - Verpleging</v>
      </c>
      <c r="B53" s="33" t="s">
        <v>36</v>
      </c>
      <c r="C53" s="33" t="s">
        <v>813</v>
      </c>
      <c r="D53" s="398">
        <f>SUMIFS(uitkomst_tech[Arbeidsbesparing (€)],uitkomst_tech[Digitale zorgtoepassing],B53,uitkomst_tech[Jaar],$A$5,uitkomst_tech[Uitgangssituatie/effect beleid],uitkomst_gegevensuitwisseling[[#This Row],[Uitgangssituatie/effect beleid]])+SUMIFS(uitkomst_tech[Overige besparingen (€)],uitkomst_tech[Digitale zorgtoepassing],B53,uitkomst_tech[Jaar],$A$5,uitkomst_tech[Uitgangssituatie/effect beleid],uitkomst_gegevensuitwisseling[[#This Row],[Uitgangssituatie/effect beleid]])</f>
        <v>101380863.73909761</v>
      </c>
      <c r="E53" s="398">
        <f>INDEX(Extra_gegevensuitwisseling[Schaalfactor opbrengsten],MATCH(B53,Extra_gegevensuitwisseling[Digitale zorgtoepassing],0))*uitkomst_gegevensuitwisseling[[#This Row],[Totale opbrengsten (€)]]</f>
        <v>106449906.9260525</v>
      </c>
      <c r="F53" s="398">
        <f t="shared" si="1"/>
        <v>5069043.1869548857</v>
      </c>
    </row>
    <row r="54" spans="1:6" x14ac:dyDescent="0.5">
      <c r="A54" s="439" t="str">
        <f>INDEX(Technologieën[Veld],MATCH(B54,Technologieën[Digitale zorgtoepassing],0))</f>
        <v>Sensoren - Verpleging</v>
      </c>
      <c r="B54" s="33" t="s">
        <v>42</v>
      </c>
      <c r="C54" s="33" t="s">
        <v>813</v>
      </c>
      <c r="D54" s="398">
        <f>SUMIFS(uitkomst_tech[Arbeidsbesparing (€)],uitkomst_tech[Digitale zorgtoepassing],B54,uitkomst_tech[Jaar],$A$5,uitkomst_tech[Uitgangssituatie/effect beleid],uitkomst_gegevensuitwisseling[[#This Row],[Uitgangssituatie/effect beleid]])+SUMIFS(uitkomst_tech[Overige besparingen (€)],uitkomst_tech[Digitale zorgtoepassing],B54,uitkomst_tech[Jaar],$A$5,uitkomst_tech[Uitgangssituatie/effect beleid],uitkomst_gegevensuitwisseling[[#This Row],[Uitgangssituatie/effect beleid]])</f>
        <v>92877017.903497875</v>
      </c>
      <c r="E54" s="398">
        <f>INDEX(Extra_gegevensuitwisseling[Schaalfactor opbrengsten],MATCH(B54,Extra_gegevensuitwisseling[Digitale zorgtoepassing],0))*uitkomst_gegevensuitwisseling[[#This Row],[Totale opbrengsten (€)]]</f>
        <v>97520868.798672765</v>
      </c>
      <c r="F54" s="398">
        <f t="shared" si="1"/>
        <v>4643850.8951748908</v>
      </c>
    </row>
    <row r="55" spans="1:6" x14ac:dyDescent="0.5">
      <c r="A55" s="439" t="str">
        <f>INDEX(Technologieën[Veld],MATCH(B55,Technologieën[Digitale zorgtoepassing],0))</f>
        <v>Sensoren - Verpleging</v>
      </c>
      <c r="B55" s="33" t="s">
        <v>61</v>
      </c>
      <c r="C55" s="33" t="s">
        <v>813</v>
      </c>
      <c r="D55" s="398">
        <f>SUMIFS(uitkomst_tech[Arbeidsbesparing (€)],uitkomst_tech[Digitale zorgtoepassing],B55,uitkomst_tech[Jaar],$A$5,uitkomst_tech[Uitgangssituatie/effect beleid],uitkomst_gegevensuitwisseling[[#This Row],[Uitgangssituatie/effect beleid]])+SUMIFS(uitkomst_tech[Overige besparingen (€)],uitkomst_tech[Digitale zorgtoepassing],B55,uitkomst_tech[Jaar],$A$5,uitkomst_tech[Uitgangssituatie/effect beleid],uitkomst_gegevensuitwisseling[[#This Row],[Uitgangssituatie/effect beleid]])</f>
        <v>84233298.110829592</v>
      </c>
      <c r="E55" s="398">
        <f>INDEX(Extra_gegevensuitwisseling[Schaalfactor opbrengsten],MATCH(B55,Extra_gegevensuitwisseling[Digitale zorgtoepassing],0))*uitkomst_gegevensuitwisseling[[#This Row],[Totale opbrengsten (€)]]</f>
        <v>88444963.016371071</v>
      </c>
      <c r="F55" s="398">
        <f t="shared" si="1"/>
        <v>4211664.9055414796</v>
      </c>
    </row>
    <row r="56" spans="1:6" x14ac:dyDescent="0.5">
      <c r="A56" s="439" t="str">
        <f>INDEX(Technologieën[Veld],MATCH(B56,Technologieën[Digitale zorgtoepassing],0))</f>
        <v>Software - Behandeling</v>
      </c>
      <c r="B56" s="33" t="s">
        <v>716</v>
      </c>
      <c r="C56" s="33" t="s">
        <v>813</v>
      </c>
      <c r="D56" s="398">
        <f>SUMIFS(uitkomst_tech[Arbeidsbesparing (€)],uitkomst_tech[Digitale zorgtoepassing],B56,uitkomst_tech[Jaar],$A$5,uitkomst_tech[Uitgangssituatie/effect beleid],uitkomst_gegevensuitwisseling[[#This Row],[Uitgangssituatie/effect beleid]])+SUMIFS(uitkomst_tech[Overige besparingen (€)],uitkomst_tech[Digitale zorgtoepassing],B56,uitkomst_tech[Jaar],$A$5,uitkomst_tech[Uitgangssituatie/effect beleid],uitkomst_gegevensuitwisseling[[#This Row],[Uitgangssituatie/effect beleid]])</f>
        <v>137635.98129962274</v>
      </c>
      <c r="E56" s="398">
        <f>INDEX(Extra_gegevensuitwisseling[Schaalfactor opbrengsten],MATCH(B56,Extra_gegevensuitwisseling[Digitale zorgtoepassing],0))*uitkomst_gegevensuitwisseling[[#This Row],[Totale opbrengsten (€)]]</f>
        <v>158281.37849456613</v>
      </c>
      <c r="F56" s="398">
        <f t="shared" si="1"/>
        <v>20645.397194943391</v>
      </c>
    </row>
    <row r="57" spans="1:6" x14ac:dyDescent="0.5">
      <c r="A57" s="439" t="str">
        <f>INDEX(Technologieën[Veld],MATCH(B57,Technologieën[Digitale zorgtoepassing],0))</f>
        <v>Software - Behandeling</v>
      </c>
      <c r="B57" s="33" t="s">
        <v>585</v>
      </c>
      <c r="C57" s="33" t="s">
        <v>813</v>
      </c>
      <c r="D57" s="398">
        <f>SUMIFS(uitkomst_tech[Arbeidsbesparing (€)],uitkomst_tech[Digitale zorgtoepassing],B57,uitkomst_tech[Jaar],$A$5,uitkomst_tech[Uitgangssituatie/effect beleid],uitkomst_gegevensuitwisseling[[#This Row],[Uitgangssituatie/effect beleid]])+SUMIFS(uitkomst_tech[Overige besparingen (€)],uitkomst_tech[Digitale zorgtoepassing],B57,uitkomst_tech[Jaar],$A$5,uitkomst_tech[Uitgangssituatie/effect beleid],uitkomst_gegevensuitwisseling[[#This Row],[Uitgangssituatie/effect beleid]])</f>
        <v>13775977.727776719</v>
      </c>
      <c r="E57" s="398">
        <f>INDEX(Extra_gegevensuitwisseling[Schaalfactor opbrengsten],MATCH(B57,Extra_gegevensuitwisseling[Digitale zorgtoepassing],0))*uitkomst_gegevensuitwisseling[[#This Row],[Totale opbrengsten (€)]]</f>
        <v>14464776.614165556</v>
      </c>
      <c r="F57" s="398">
        <f t="shared" si="1"/>
        <v>688798.88638883643</v>
      </c>
    </row>
    <row r="58" spans="1:6" x14ac:dyDescent="0.5">
      <c r="A58" s="439" t="str">
        <f>INDEX(Technologieën[Veld],MATCH(B58,Technologieën[Digitale zorgtoepassing],0))</f>
        <v>Software - Behandeling</v>
      </c>
      <c r="B58" s="33" t="s">
        <v>609</v>
      </c>
      <c r="C58" s="33" t="s">
        <v>813</v>
      </c>
      <c r="D58" s="398">
        <f>SUMIFS(uitkomst_tech[Arbeidsbesparing (€)],uitkomst_tech[Digitale zorgtoepassing],B58,uitkomst_tech[Jaar],$A$5,uitkomst_tech[Uitgangssituatie/effect beleid],uitkomst_gegevensuitwisseling[[#This Row],[Uitgangssituatie/effect beleid]])+SUMIFS(uitkomst_tech[Overige besparingen (€)],uitkomst_tech[Digitale zorgtoepassing],B58,uitkomst_tech[Jaar],$A$5,uitkomst_tech[Uitgangssituatie/effect beleid],uitkomst_gegevensuitwisseling[[#This Row],[Uitgangssituatie/effect beleid]])</f>
        <v>189605428.21151173</v>
      </c>
      <c r="E58" s="398">
        <f>INDEX(Extra_gegevensuitwisseling[Schaalfactor opbrengsten],MATCH(B58,Extra_gegevensuitwisseling[Digitale zorgtoepassing],0))*uitkomst_gegevensuitwisseling[[#This Row],[Totale opbrengsten (€)]]</f>
        <v>218046242.44323847</v>
      </c>
      <c r="F58" s="398">
        <f t="shared" si="1"/>
        <v>28440814.231726736</v>
      </c>
    </row>
    <row r="59" spans="1:6" x14ac:dyDescent="0.5">
      <c r="A59" s="439" t="str">
        <f>INDEX(Technologieën[Veld],MATCH(B59,Technologieën[Digitale zorgtoepassing],0))</f>
        <v>Software - Behandeling</v>
      </c>
      <c r="B59" s="33" t="s">
        <v>101</v>
      </c>
      <c r="C59" s="33" t="s">
        <v>813</v>
      </c>
      <c r="D59" s="398">
        <f>SUMIFS(uitkomst_tech[Arbeidsbesparing (€)],uitkomst_tech[Digitale zorgtoepassing],B59,uitkomst_tech[Jaar],$A$5,uitkomst_tech[Uitgangssituatie/effect beleid],uitkomst_gegevensuitwisseling[[#This Row],[Uitgangssituatie/effect beleid]])+SUMIFS(uitkomst_tech[Overige besparingen (€)],uitkomst_tech[Digitale zorgtoepassing],B59,uitkomst_tech[Jaar],$A$5,uitkomst_tech[Uitgangssituatie/effect beleid],uitkomst_gegevensuitwisseling[[#This Row],[Uitgangssituatie/effect beleid]])</f>
        <v>153236061.4720681</v>
      </c>
      <c r="E59" s="398">
        <f>INDEX(Extra_gegevensuitwisseling[Schaalfactor opbrengsten],MATCH(B59,Extra_gegevensuitwisseling[Digitale zorgtoepassing],0))*uitkomst_gegevensuitwisseling[[#This Row],[Totale opbrengsten (€)]]</f>
        <v>153236061.4720681</v>
      </c>
      <c r="F59" s="398">
        <f t="shared" si="1"/>
        <v>0</v>
      </c>
    </row>
    <row r="60" spans="1:6" x14ac:dyDescent="0.5">
      <c r="A60" s="439" t="str">
        <f>INDEX(Technologieën[Veld],MATCH(B60,Technologieën[Digitale zorgtoepassing],0))</f>
        <v>Software - Behandeling</v>
      </c>
      <c r="B60" s="33" t="s">
        <v>578</v>
      </c>
      <c r="C60" s="33" t="s">
        <v>813</v>
      </c>
      <c r="D60" s="398">
        <f>SUMIFS(uitkomst_tech[Arbeidsbesparing (€)],uitkomst_tech[Digitale zorgtoepassing],B60,uitkomst_tech[Jaar],$A$5,uitkomst_tech[Uitgangssituatie/effect beleid],uitkomst_gegevensuitwisseling[[#This Row],[Uitgangssituatie/effect beleid]])+SUMIFS(uitkomst_tech[Overige besparingen (€)],uitkomst_tech[Digitale zorgtoepassing],B60,uitkomst_tech[Jaar],$A$5,uitkomst_tech[Uitgangssituatie/effect beleid],uitkomst_gegevensuitwisseling[[#This Row],[Uitgangssituatie/effect beleid]])</f>
        <v>8683209.1327281911</v>
      </c>
      <c r="E60" s="398">
        <f>INDEX(Extra_gegevensuitwisseling[Schaalfactor opbrengsten],MATCH(B60,Extra_gegevensuitwisseling[Digitale zorgtoepassing],0))*uitkomst_gegevensuitwisseling[[#This Row],[Totale opbrengsten (€)]]</f>
        <v>8683209.1327281911</v>
      </c>
      <c r="F60" s="398">
        <f t="shared" si="1"/>
        <v>0</v>
      </c>
    </row>
    <row r="61" spans="1:6" x14ac:dyDescent="0.5">
      <c r="A61" s="439" t="str">
        <f>INDEX(Technologieën[Veld],MATCH(B61,Technologieën[Digitale zorgtoepassing],0))</f>
        <v>Software - Behandeling</v>
      </c>
      <c r="B61" s="33" t="s">
        <v>588</v>
      </c>
      <c r="C61" s="33" t="s">
        <v>813</v>
      </c>
      <c r="D61" s="398">
        <f>SUMIFS(uitkomst_tech[Arbeidsbesparing (€)],uitkomst_tech[Digitale zorgtoepassing],B61,uitkomst_tech[Jaar],$A$5,uitkomst_tech[Uitgangssituatie/effect beleid],uitkomst_gegevensuitwisseling[[#This Row],[Uitgangssituatie/effect beleid]])+SUMIFS(uitkomst_tech[Overige besparingen (€)],uitkomst_tech[Digitale zorgtoepassing],B61,uitkomst_tech[Jaar],$A$5,uitkomst_tech[Uitgangssituatie/effect beleid],uitkomst_gegevensuitwisseling[[#This Row],[Uitgangssituatie/effect beleid]])</f>
        <v>5755093.4395982632</v>
      </c>
      <c r="E61" s="398">
        <f>INDEX(Extra_gegevensuitwisseling[Schaalfactor opbrengsten],MATCH(B61,Extra_gegevensuitwisseling[Digitale zorgtoepassing],0))*uitkomst_gegevensuitwisseling[[#This Row],[Totale opbrengsten (€)]]</f>
        <v>5755093.4395982632</v>
      </c>
      <c r="F61" s="398">
        <f t="shared" si="1"/>
        <v>0</v>
      </c>
    </row>
    <row r="62" spans="1:6" x14ac:dyDescent="0.5">
      <c r="A62" s="439" t="str">
        <f>INDEX(Technologieën[Veld],MATCH(B62,Technologieën[Digitale zorgtoepassing],0))</f>
        <v>Software - Diagnose</v>
      </c>
      <c r="B62" s="33" t="s">
        <v>474</v>
      </c>
      <c r="C62" s="33" t="s">
        <v>813</v>
      </c>
      <c r="D62" s="398">
        <f>SUMIFS(uitkomst_tech[Arbeidsbesparing (€)],uitkomst_tech[Digitale zorgtoepassing],B62,uitkomst_tech[Jaar],$A$5,uitkomst_tech[Uitgangssituatie/effect beleid],uitkomst_gegevensuitwisseling[[#This Row],[Uitgangssituatie/effect beleid]])+SUMIFS(uitkomst_tech[Overige besparingen (€)],uitkomst_tech[Digitale zorgtoepassing],B62,uitkomst_tech[Jaar],$A$5,uitkomst_tech[Uitgangssituatie/effect beleid],uitkomst_gegevensuitwisseling[[#This Row],[Uitgangssituatie/effect beleid]])</f>
        <v>7547656.7516236156</v>
      </c>
      <c r="E62" s="398">
        <f>INDEX(Extra_gegevensuitwisseling[Schaalfactor opbrengsten],MATCH(B62,Extra_gegevensuitwisseling[Digitale zorgtoepassing],0))*uitkomst_gegevensuitwisseling[[#This Row],[Totale opbrengsten (€)]]</f>
        <v>8679805.2643671576</v>
      </c>
      <c r="F62" s="398">
        <f t="shared" si="1"/>
        <v>1132148.512743542</v>
      </c>
    </row>
    <row r="63" spans="1:6" x14ac:dyDescent="0.5">
      <c r="A63" s="439" t="str">
        <f>INDEX(Technologieën[Veld],MATCH(B63,Technologieën[Digitale zorgtoepassing],0))</f>
        <v>Software - Diagnose</v>
      </c>
      <c r="B63" s="33" t="s">
        <v>473</v>
      </c>
      <c r="C63" s="33" t="s">
        <v>813</v>
      </c>
      <c r="D63" s="398">
        <f>SUMIFS(uitkomst_tech[Arbeidsbesparing (€)],uitkomst_tech[Digitale zorgtoepassing],B63,uitkomst_tech[Jaar],$A$5,uitkomst_tech[Uitgangssituatie/effect beleid],uitkomst_gegevensuitwisseling[[#This Row],[Uitgangssituatie/effect beleid]])+SUMIFS(uitkomst_tech[Overige besparingen (€)],uitkomst_tech[Digitale zorgtoepassing],B63,uitkomst_tech[Jaar],$A$5,uitkomst_tech[Uitgangssituatie/effect beleid],uitkomst_gegevensuitwisseling[[#This Row],[Uitgangssituatie/effect beleid]])</f>
        <v>2618006.0544117512</v>
      </c>
      <c r="E63" s="398">
        <f>INDEX(Extra_gegevensuitwisseling[Schaalfactor opbrengsten],MATCH(B63,Extra_gegevensuitwisseling[Digitale zorgtoepassing],0))*uitkomst_gegevensuitwisseling[[#This Row],[Totale opbrengsten (€)]]</f>
        <v>3010706.9625735139</v>
      </c>
      <c r="F63" s="398">
        <f t="shared" si="1"/>
        <v>392700.90816176264</v>
      </c>
    </row>
    <row r="64" spans="1:6" x14ac:dyDescent="0.5">
      <c r="A64" s="439" t="str">
        <f>INDEX(Technologieën[Veld],MATCH(B64,Technologieën[Digitale zorgtoepassing],0))</f>
        <v>Software - Diagnose</v>
      </c>
      <c r="B64" s="33" t="s">
        <v>472</v>
      </c>
      <c r="C64" s="33" t="s">
        <v>813</v>
      </c>
      <c r="D64" s="398">
        <f>SUMIFS(uitkomst_tech[Arbeidsbesparing (€)],uitkomst_tech[Digitale zorgtoepassing],B64,uitkomst_tech[Jaar],$A$5,uitkomst_tech[Uitgangssituatie/effect beleid],uitkomst_gegevensuitwisseling[[#This Row],[Uitgangssituatie/effect beleid]])+SUMIFS(uitkomst_tech[Overige besparingen (€)],uitkomst_tech[Digitale zorgtoepassing],B64,uitkomst_tech[Jaar],$A$5,uitkomst_tech[Uitgangssituatie/effect beleid],uitkomst_gegevensuitwisseling[[#This Row],[Uitgangssituatie/effect beleid]])</f>
        <v>2188067.9608658403</v>
      </c>
      <c r="E64" s="398">
        <f>INDEX(Extra_gegevensuitwisseling[Schaalfactor opbrengsten],MATCH(B64,Extra_gegevensuitwisseling[Digitale zorgtoepassing],0))*uitkomst_gegevensuitwisseling[[#This Row],[Totale opbrengsten (€)]]</f>
        <v>2516278.1549957162</v>
      </c>
      <c r="F64" s="398">
        <f t="shared" si="1"/>
        <v>328210.19412987586</v>
      </c>
    </row>
    <row r="65" spans="1:6" x14ac:dyDescent="0.5">
      <c r="A65" s="439" t="str">
        <f>INDEX(Technologieën[Veld],MATCH(B65,Technologieën[Digitale zorgtoepassing],0))</f>
        <v>Software - Diagnose</v>
      </c>
      <c r="B65" s="33" t="s">
        <v>475</v>
      </c>
      <c r="C65" s="33" t="s">
        <v>813</v>
      </c>
      <c r="D65" s="398">
        <f>SUMIFS(uitkomst_tech[Arbeidsbesparing (€)],uitkomst_tech[Digitale zorgtoepassing],B65,uitkomst_tech[Jaar],$A$5,uitkomst_tech[Uitgangssituatie/effect beleid],uitkomst_gegevensuitwisseling[[#This Row],[Uitgangssituatie/effect beleid]])+SUMIFS(uitkomst_tech[Overige besparingen (€)],uitkomst_tech[Digitale zorgtoepassing],B65,uitkomst_tech[Jaar],$A$5,uitkomst_tech[Uitgangssituatie/effect beleid],uitkomst_gegevensuitwisseling[[#This Row],[Uitgangssituatie/effect beleid]])</f>
        <v>173793.83942848444</v>
      </c>
      <c r="E65" s="398">
        <f>INDEX(Extra_gegevensuitwisseling[Schaalfactor opbrengsten],MATCH(B65,Extra_gegevensuitwisseling[Digitale zorgtoepassing],0))*uitkomst_gegevensuitwisseling[[#This Row],[Totale opbrengsten (€)]]</f>
        <v>199862.9153427571</v>
      </c>
      <c r="F65" s="398">
        <f t="shared" si="1"/>
        <v>26069.07591427266</v>
      </c>
    </row>
    <row r="66" spans="1:6" x14ac:dyDescent="0.5">
      <c r="A66" s="439" t="str">
        <f>INDEX(Technologieën[Veld],MATCH(B66,Technologieën[Digitale zorgtoepassing],0))</f>
        <v>Software - Diagnose</v>
      </c>
      <c r="B66" s="33" t="s">
        <v>66</v>
      </c>
      <c r="C66" s="33" t="s">
        <v>813</v>
      </c>
      <c r="D66" s="398">
        <f>SUMIFS(uitkomst_tech[Arbeidsbesparing (€)],uitkomst_tech[Digitale zorgtoepassing],B66,uitkomst_tech[Jaar],$A$5,uitkomst_tech[Uitgangssituatie/effect beleid],uitkomst_gegevensuitwisseling[[#This Row],[Uitgangssituatie/effect beleid]])+SUMIFS(uitkomst_tech[Overige besparingen (€)],uitkomst_tech[Digitale zorgtoepassing],B66,uitkomst_tech[Jaar],$A$5,uitkomst_tech[Uitgangssituatie/effect beleid],uitkomst_gegevensuitwisseling[[#This Row],[Uitgangssituatie/effect beleid]])</f>
        <v>403545.0879833299</v>
      </c>
      <c r="E66" s="398">
        <f>INDEX(Extra_gegevensuitwisseling[Schaalfactor opbrengsten],MATCH(B66,Extra_gegevensuitwisseling[Digitale zorgtoepassing],0))*uitkomst_gegevensuitwisseling[[#This Row],[Totale opbrengsten (€)]]</f>
        <v>443899.5967816629</v>
      </c>
      <c r="F66" s="398">
        <f t="shared" si="1"/>
        <v>40354.508798333001</v>
      </c>
    </row>
    <row r="67" spans="1:6" x14ac:dyDescent="0.5">
      <c r="A67" s="439" t="str">
        <f>INDEX(Technologieën[Veld],MATCH(B67,Technologieën[Digitale zorgtoepassing],0))</f>
        <v>Software - Diagnose</v>
      </c>
      <c r="B67" s="33" t="s">
        <v>76</v>
      </c>
      <c r="C67" s="33" t="s">
        <v>813</v>
      </c>
      <c r="D67" s="398">
        <f>SUMIFS(uitkomst_tech[Arbeidsbesparing (€)],uitkomst_tech[Digitale zorgtoepassing],B67,uitkomst_tech[Jaar],$A$5,uitkomst_tech[Uitgangssituatie/effect beleid],uitkomst_gegevensuitwisseling[[#This Row],[Uitgangssituatie/effect beleid]])+SUMIFS(uitkomst_tech[Overige besparingen (€)],uitkomst_tech[Digitale zorgtoepassing],B67,uitkomst_tech[Jaar],$A$5,uitkomst_tech[Uitgangssituatie/effect beleid],uitkomst_gegevensuitwisseling[[#This Row],[Uitgangssituatie/effect beleid]])</f>
        <v>6661860.4449805282</v>
      </c>
      <c r="E67" s="398">
        <f>INDEX(Extra_gegevensuitwisseling[Schaalfactor opbrengsten],MATCH(B67,Extra_gegevensuitwisseling[Digitale zorgtoepassing],0))*uitkomst_gegevensuitwisseling[[#This Row],[Totale opbrengsten (€)]]</f>
        <v>6994953.4672295554</v>
      </c>
      <c r="F67" s="398">
        <f t="shared" si="1"/>
        <v>333093.02224902716</v>
      </c>
    </row>
    <row r="68" spans="1:6" x14ac:dyDescent="0.5">
      <c r="A68" s="439" t="str">
        <f>INDEX(Technologieën[Veld],MATCH(B68,Technologieën[Digitale zorgtoepassing],0))</f>
        <v>Software - Diagnose</v>
      </c>
      <c r="B68" s="33" t="s">
        <v>139</v>
      </c>
      <c r="C68" s="33" t="s">
        <v>813</v>
      </c>
      <c r="D68" s="398">
        <f>SUMIFS(uitkomst_tech[Arbeidsbesparing (€)],uitkomst_tech[Digitale zorgtoepassing],B68,uitkomst_tech[Jaar],$A$5,uitkomst_tech[Uitgangssituatie/effect beleid],uitkomst_gegevensuitwisseling[[#This Row],[Uitgangssituatie/effect beleid]])+SUMIFS(uitkomst_tech[Overige besparingen (€)],uitkomst_tech[Digitale zorgtoepassing],B68,uitkomst_tech[Jaar],$A$5,uitkomst_tech[Uitgangssituatie/effect beleid],uitkomst_gegevensuitwisseling[[#This Row],[Uitgangssituatie/effect beleid]])</f>
        <v>11625980.232236706</v>
      </c>
      <c r="E68" s="398">
        <f>INDEX(Extra_gegevensuitwisseling[Schaalfactor opbrengsten],MATCH(B68,Extra_gegevensuitwisseling[Digitale zorgtoepassing],0))*uitkomst_gegevensuitwisseling[[#This Row],[Totale opbrengsten (€)]]</f>
        <v>12207279.243848542</v>
      </c>
      <c r="F68" s="398">
        <f t="shared" si="1"/>
        <v>581299.01161183603</v>
      </c>
    </row>
    <row r="69" spans="1:6" x14ac:dyDescent="0.5">
      <c r="A69" s="439" t="str">
        <f>INDEX(Technologieën[Veld],MATCH(B69,Technologieën[Digitale zorgtoepassing],0))</f>
        <v>Software - Diagnose</v>
      </c>
      <c r="B69" s="33" t="s">
        <v>725</v>
      </c>
      <c r="C69" s="33" t="s">
        <v>813</v>
      </c>
      <c r="D69" s="398">
        <f>SUMIFS(uitkomst_tech[Arbeidsbesparing (€)],uitkomst_tech[Digitale zorgtoepassing],B69,uitkomst_tech[Jaar],$A$5,uitkomst_tech[Uitgangssituatie/effect beleid],uitkomst_gegevensuitwisseling[[#This Row],[Uitgangssituatie/effect beleid]])+SUMIFS(uitkomst_tech[Overige besparingen (€)],uitkomst_tech[Digitale zorgtoepassing],B69,uitkomst_tech[Jaar],$A$5,uitkomst_tech[Uitgangssituatie/effect beleid],uitkomst_gegevensuitwisseling[[#This Row],[Uitgangssituatie/effect beleid]])</f>
        <v>572692.0760871002</v>
      </c>
      <c r="E69" s="398">
        <f>INDEX(Extra_gegevensuitwisseling[Schaalfactor opbrengsten],MATCH(B69,Extra_gegevensuitwisseling[Digitale zorgtoepassing],0))*uitkomst_gegevensuitwisseling[[#This Row],[Totale opbrengsten (€)]]</f>
        <v>629961.28369581024</v>
      </c>
      <c r="F69" s="398">
        <f t="shared" si="1"/>
        <v>57269.207608710043</v>
      </c>
    </row>
    <row r="70" spans="1:6" x14ac:dyDescent="0.5">
      <c r="A70" s="439" t="str">
        <f>INDEX(Technologieën[Veld],MATCH(B70,Technologieën[Digitale zorgtoepassing],0))</f>
        <v>Software - Diagnose</v>
      </c>
      <c r="B70" s="33" t="s">
        <v>720</v>
      </c>
      <c r="C70" s="33" t="s">
        <v>813</v>
      </c>
      <c r="D70" s="398">
        <f>SUMIFS(uitkomst_tech[Arbeidsbesparing (€)],uitkomst_tech[Digitale zorgtoepassing],B70,uitkomst_tech[Jaar],$A$5,uitkomst_tech[Uitgangssituatie/effect beleid],uitkomst_gegevensuitwisseling[[#This Row],[Uitgangssituatie/effect beleid]])+SUMIFS(uitkomst_tech[Overige besparingen (€)],uitkomst_tech[Digitale zorgtoepassing],B70,uitkomst_tech[Jaar],$A$5,uitkomst_tech[Uitgangssituatie/effect beleid],uitkomst_gegevensuitwisseling[[#This Row],[Uitgangssituatie/effect beleid]])</f>
        <v>390090.78789651569</v>
      </c>
      <c r="E70" s="398">
        <f>INDEX(Extra_gegevensuitwisseling[Schaalfactor opbrengsten],MATCH(B70,Extra_gegevensuitwisseling[Digitale zorgtoepassing],0))*uitkomst_gegevensuitwisseling[[#This Row],[Totale opbrengsten (€)]]</f>
        <v>429099.86668616731</v>
      </c>
      <c r="F70" s="398">
        <f t="shared" si="1"/>
        <v>39009.078789651627</v>
      </c>
    </row>
    <row r="71" spans="1:6" x14ac:dyDescent="0.5">
      <c r="A71" s="439" t="str">
        <f>INDEX(Technologieën[Veld],MATCH(B71,Technologieën[Digitale zorgtoepassing],0))</f>
        <v>Software - Diagnose</v>
      </c>
      <c r="B71" s="33" t="s">
        <v>56</v>
      </c>
      <c r="C71" s="33" t="s">
        <v>813</v>
      </c>
      <c r="D71" s="398">
        <f>SUMIFS(uitkomst_tech[Arbeidsbesparing (€)],uitkomst_tech[Digitale zorgtoepassing],B71,uitkomst_tech[Jaar],$A$5,uitkomst_tech[Uitgangssituatie/effect beleid],uitkomst_gegevensuitwisseling[[#This Row],[Uitgangssituatie/effect beleid]])+SUMIFS(uitkomst_tech[Overige besparingen (€)],uitkomst_tech[Digitale zorgtoepassing],B71,uitkomst_tech[Jaar],$A$5,uitkomst_tech[Uitgangssituatie/effect beleid],uitkomst_gegevensuitwisseling[[#This Row],[Uitgangssituatie/effect beleid]])</f>
        <v>869433.4904279121</v>
      </c>
      <c r="E71" s="398">
        <f>INDEX(Extra_gegevensuitwisseling[Schaalfactor opbrengsten],MATCH(B71,Extra_gegevensuitwisseling[Digitale zorgtoepassing],0))*uitkomst_gegevensuitwisseling[[#This Row],[Totale opbrengsten (€)]]</f>
        <v>912905.16494930768</v>
      </c>
      <c r="F71" s="398">
        <f t="shared" si="1"/>
        <v>43471.674521395587</v>
      </c>
    </row>
  </sheetData>
  <sheetProtection algorithmName="SHA-512" hashValue="AgU7GzwY5XPwkWVDNxMg/doLHJM3G54fld0RBgTldUySDPtlUuZ6i7saaxEDBMGThZzxDjatFn9QkeuIMcwsIg==" saltValue="53YNaRgsiLKACdeGQMKTFg==" spinCount="100000" sheet="1" objects="1" scenarios="1" selectLockedCells="1" selectUnlockedCells="1"/>
  <mergeCells count="1">
    <mergeCell ref="A1:C2"/>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F0DF8-6268-44A8-B5BC-F21D09C62AB5}">
  <sheetPr codeName="Blad4">
    <tabColor theme="5"/>
  </sheetPr>
  <dimension ref="A1:O51"/>
  <sheetViews>
    <sheetView tabSelected="1" zoomScale="80" zoomScaleNormal="80" workbookViewId="0">
      <selection activeCell="A5" sqref="A5"/>
    </sheetView>
  </sheetViews>
  <sheetFormatPr defaultColWidth="9.23046875" defaultRowHeight="17" x14ac:dyDescent="0.5"/>
  <cols>
    <col min="1" max="1" width="35.07421875" style="178" customWidth="1"/>
    <col min="2" max="2" width="22.765625" style="178" customWidth="1"/>
    <col min="3" max="3" width="7.3046875" style="178" hidden="1" customWidth="1"/>
    <col min="4" max="4" width="3" style="178" bestFit="1" customWidth="1"/>
    <col min="5" max="5" width="37" style="178" bestFit="1" customWidth="1"/>
    <col min="6" max="6" width="4" style="178" hidden="1" customWidth="1"/>
    <col min="7" max="7" width="17.84375" style="178" customWidth="1"/>
    <col min="8" max="8" width="17.765625" style="178" customWidth="1"/>
    <col min="9" max="9" width="18.53515625" style="178" bestFit="1" customWidth="1"/>
    <col min="10" max="10" width="22.69140625" style="178" bestFit="1" customWidth="1"/>
    <col min="11" max="11" width="16.69140625" style="178" customWidth="1"/>
    <col min="12" max="12" width="19.765625" style="178" customWidth="1"/>
    <col min="13" max="13" width="13.84375" style="178" customWidth="1"/>
    <col min="14" max="18" width="11.84375" style="178" customWidth="1"/>
    <col min="19" max="19" width="0.3046875" style="178" customWidth="1"/>
    <col min="20" max="20" width="17.4609375" style="178" customWidth="1"/>
    <col min="21" max="21" width="15.765625" style="178" customWidth="1"/>
    <col min="22" max="22" width="16.23046875" style="178" customWidth="1"/>
    <col min="23" max="23" width="18" style="178" customWidth="1"/>
    <col min="24" max="24" width="19.3046875" style="178" customWidth="1"/>
    <col min="25" max="25" width="12.07421875" style="178" customWidth="1"/>
    <col min="26" max="26" width="11.765625" style="178" customWidth="1"/>
    <col min="27" max="16384" width="9.23046875" style="178"/>
  </cols>
  <sheetData>
    <row r="1" spans="1:14" ht="16.5" customHeight="1" x14ac:dyDescent="0.5">
      <c r="A1" s="491" t="s">
        <v>1032</v>
      </c>
      <c r="B1" s="492"/>
      <c r="C1" s="492"/>
      <c r="D1" s="492"/>
      <c r="E1" s="492"/>
    </row>
    <row r="2" spans="1:14" x14ac:dyDescent="0.5">
      <c r="A2" s="491"/>
      <c r="B2" s="492"/>
      <c r="C2" s="492"/>
      <c r="D2" s="492"/>
      <c r="E2" s="492"/>
    </row>
    <row r="3" spans="1:14" ht="17.5" thickBot="1" x14ac:dyDescent="0.55000000000000004"/>
    <row r="4" spans="1:14" s="484" customFormat="1" ht="21" customHeight="1" thickBot="1" x14ac:dyDescent="0.55000000000000004">
      <c r="A4" s="58" t="s">
        <v>5</v>
      </c>
      <c r="B4" s="185"/>
      <c r="C4"/>
      <c r="D4" s="484" t="s">
        <v>790</v>
      </c>
    </row>
    <row r="5" spans="1:14" ht="68.5" thickBot="1" x14ac:dyDescent="0.55000000000000004">
      <c r="A5" s="295" t="s">
        <v>8</v>
      </c>
      <c r="B5" s="187"/>
      <c r="C5">
        <v>0</v>
      </c>
      <c r="D5" s="69" t="s">
        <v>791</v>
      </c>
      <c r="E5" s="204" t="s">
        <v>751</v>
      </c>
      <c r="F5" s="59" t="s">
        <v>574</v>
      </c>
      <c r="G5" s="47" t="s">
        <v>1014</v>
      </c>
      <c r="H5" s="48" t="s">
        <v>1015</v>
      </c>
      <c r="I5" s="48" t="s">
        <v>1016</v>
      </c>
      <c r="J5" s="48" t="s">
        <v>448</v>
      </c>
      <c r="K5" s="48" t="s">
        <v>1017</v>
      </c>
      <c r="L5" s="55" t="s">
        <v>625</v>
      </c>
      <c r="M5" s="56" t="s">
        <v>999</v>
      </c>
      <c r="N5" s="67" t="s">
        <v>792</v>
      </c>
    </row>
    <row r="6" spans="1:14" ht="17.5" thickBot="1" x14ac:dyDescent="0.55000000000000004">
      <c r="A6" s="275"/>
      <c r="C6">
        <v>1</v>
      </c>
      <c r="D6" s="85">
        <v>1</v>
      </c>
      <c r="E6" s="93" t="str">
        <f>IF(C22&gt;$A$11,"",INDEX(uitkomst_tech[Digitale zorgtoepassing],MATCH(F6,uitkomst_tech[Hulp],0)))</f>
        <v>Elektromechanisch toegangsbeheer</v>
      </c>
      <c r="F6" s="93">
        <f>_xlfn.MINIFS(uitkomst_tech[Hulp],uitkomst_tech[Veld],A5,uitkomst_tech[Jaar],A8)</f>
        <v>164</v>
      </c>
      <c r="G6" s="71">
        <f>IF(D6-1&lt;$A$11,INDEX(Uitkomsten_per_tech[Gemiddelde totale jaarlijkse arbeidsbesparing (€)],MATCH(E6,Uitkomsten_per_tech[Digitale zorgtoepassing],0))/1000000,"")</f>
        <v>18.57367528735632</v>
      </c>
      <c r="H6" s="107">
        <f>IF(D6-1&lt;$A$11,INDEX(Uitkomsten_per_tech[Gemiddelde jaarlijkse arbeidsbesparing (FTE)],MATCH(E6,Uitkomsten_per_tech[Digitale zorgtoepassing],0)),"")</f>
        <v>437.5</v>
      </c>
      <c r="I6" s="71">
        <f>IF(D6-1&lt;$A$11,INDEX(Uitkomsten_per_tech[Gemiddelde overige jaarlijkse kostenbesparing (€)],MATCH(E6,Uitkomsten_per_tech[Digitale zorgtoepassing],0))/1000000,"")</f>
        <v>11.357408852290273</v>
      </c>
      <c r="J6" s="107" cm="1">
        <f t="array" ref="J6">IF(D6-1&lt;$A$11,INDEX(Uitkomsten_per_tech[Gemiddelde opbrengsten door QALY''s],MATCH(E6,Uitkomsten_per_tech[Digitale zorgtoepassing],0))/QALY[Waarde gezond levensjaar],"")</f>
        <v>0</v>
      </c>
      <c r="K6" s="71">
        <f>IF(D6-1&lt;$A$11,G6+I6,"")</f>
        <v>29.931084139646593</v>
      </c>
      <c r="L6" s="71">
        <f>IF(D6-1&lt;$A$11,INDEX(Uitkomsten_per_tech[Gemiddelde jaarlijkse kosten (totaal) (€) incl schatting],MATCH(E6,Uitkomsten_per_tech[Digitale zorgtoepassing],0))/1000000,"")</f>
        <v>28.709999999999997</v>
      </c>
      <c r="M6" s="76">
        <f>IF(D6-1&lt;$A$11,INDEX(Uitkomsten_per_tech[Gemiddelde initiële investering (€) incl schatting],MATCH(E6,Uitkomsten_per_tech[Digitale zorgtoepassing],0))/1000000,"")</f>
        <v>11.9925</v>
      </c>
      <c r="N6" s="73">
        <f>IF(D6-1&lt;$A$11,K6-L6-M6,"")</f>
        <v>-10.771415860353404</v>
      </c>
    </row>
    <row r="7" spans="1:14" x14ac:dyDescent="0.5">
      <c r="A7" s="58" t="s">
        <v>469</v>
      </c>
      <c r="C7">
        <v>2</v>
      </c>
      <c r="D7" s="85">
        <v>2</v>
      </c>
      <c r="E7" s="93" t="str">
        <f>IF(C23&gt;$A$11,"",INDEX(uitkomst_tech[Digitale zorgtoepassing],MATCH(F7,uitkomst_tech[Hulp],0)))</f>
        <v>Exoskelet</v>
      </c>
      <c r="F7" s="93">
        <f>IF(_xlfn.MINIFS(uitkomst_tech[Hulp],uitkomst_tech[Veld],$A$5,uitkomst_tech[Jaar],$A$8,uitkomst_tech[Hulp],"&gt;"&amp;F21,uitkomst_tech[Digitale zorgtoepassing],"&lt;&gt;"&amp;E21)=0,"",_xlfn.MINIFS(uitkomst_tech[Hulp],uitkomst_tech[Veld],$A$5,uitkomst_tech[Jaar],$A$8,uitkomst_tech[Hulp],"&gt;"&amp;F21,uitkomst_tech[Digitale zorgtoepassing],"&lt;&gt;"&amp;E21))</f>
        <v>165</v>
      </c>
      <c r="G7" s="71">
        <f>IF(D7-1&lt;$A$11,INDEX(Uitkomsten_per_tech[Gemiddelde totale jaarlijkse arbeidsbesparing (€)],MATCH(E7,Uitkomsten_per_tech[Digitale zorgtoepassing],0))/1000000,"")</f>
        <v>5.3120425807531042</v>
      </c>
      <c r="H7" s="107">
        <f>IF(D7-1&lt;$A$11,INDEX(Uitkomsten_per_tech[Gemiddelde jaarlijkse arbeidsbesparing (FTE)],MATCH(E7,Uitkomsten_per_tech[Digitale zorgtoepassing],0)),"")</f>
        <v>92.064120000000003</v>
      </c>
      <c r="I7" s="71">
        <f>IF(D7-1&lt;$A$11,INDEX(Uitkomsten_per_tech[Gemiddelde overige jaarlijkse kostenbesparing (€)],MATCH(E7,Uitkomsten_per_tech[Digitale zorgtoepassing],0))/1000000,"")</f>
        <v>0</v>
      </c>
      <c r="J7" s="107" cm="1">
        <f t="array" ref="J7">IF(D7-1&lt;$A$11,INDEX(Uitkomsten_per_tech[Gemiddelde opbrengsten door QALY''s],MATCH(E7,Uitkomsten_per_tech[Digitale zorgtoepassing],0))/QALY[Waarde gezond levensjaar],"")</f>
        <v>0</v>
      </c>
      <c r="K7" s="71">
        <f t="shared" ref="K7:K15" si="0">IF(D7-1&lt;$A$11,G7+I7,"")</f>
        <v>5.3120425807531042</v>
      </c>
      <c r="L7" s="71">
        <f>IF(D7-1&lt;$A$11,INDEX(Uitkomsten_per_tech[Gemiddelde jaarlijkse kosten (totaal) (€) incl schatting],MATCH(E7,Uitkomsten_per_tech[Digitale zorgtoepassing],0))/1000000,"")</f>
        <v>0</v>
      </c>
      <c r="M7" s="76">
        <f>IF(D7-1&lt;$A$11,INDEX(Uitkomsten_per_tech[Gemiddelde initiële investering (€) incl schatting],MATCH(E7,Uitkomsten_per_tech[Digitale zorgtoepassing],0))/1000000,"")</f>
        <v>1.3902300000000003</v>
      </c>
      <c r="N7" s="73">
        <f t="shared" ref="N7:N15" si="1">IF(D7-1&lt;$A$11,K7-L7-M7,"")</f>
        <v>3.9218125807531039</v>
      </c>
    </row>
    <row r="8" spans="1:14" ht="17.5" thickBot="1" x14ac:dyDescent="0.55000000000000004">
      <c r="A8" s="464">
        <v>2028</v>
      </c>
      <c r="B8" s="188"/>
      <c r="C8">
        <v>3</v>
      </c>
      <c r="D8" s="85">
        <v>3</v>
      </c>
      <c r="E8" s="93" t="str">
        <f>IF(C24&gt;$A$11,"",INDEX(uitkomst_tech[Digitale zorgtoepassing],MATCH(F8,uitkomst_tech[Hulp],0)))</f>
        <v>Heupairbag</v>
      </c>
      <c r="F8" s="93">
        <f>IF(_xlfn.MINIFS(uitkomst_tech[Hulp],uitkomst_tech[Veld],$A$5,uitkomst_tech[Jaar],$A$8,uitkomst_tech[Hulp],"&gt;"&amp;F22,uitkomst_tech[Digitale zorgtoepassing],"&lt;&gt;"&amp;E22)=0,"",_xlfn.MINIFS(uitkomst_tech[Hulp],uitkomst_tech[Veld],$A$5,uitkomst_tech[Jaar],$A$8,uitkomst_tech[Hulp],"&gt;"&amp;F22,uitkomst_tech[Digitale zorgtoepassing],"&lt;&gt;"&amp;E22))</f>
        <v>166</v>
      </c>
      <c r="G8" s="71">
        <f>IF(D8-1&lt;$A$11,INDEX(Uitkomsten_per_tech[Gemiddelde totale jaarlijkse arbeidsbesparing (€)],MATCH(E8,Uitkomsten_per_tech[Digitale zorgtoepassing],0))/1000000,"")</f>
        <v>23.410975304871371</v>
      </c>
      <c r="H8" s="107">
        <f>IF(D8-1&lt;$A$11,INDEX(Uitkomsten_per_tech[Gemiddelde jaarlijkse arbeidsbesparing (FTE)],MATCH(E8,Uitkomsten_per_tech[Digitale zorgtoepassing],0)),"")</f>
        <v>551.44184106919749</v>
      </c>
      <c r="I8" s="71">
        <f>IF(D8-1&lt;$A$11,INDEX(Uitkomsten_per_tech[Gemiddelde overige jaarlijkse kostenbesparing (€)],MATCH(E8,Uitkomsten_per_tech[Digitale zorgtoepassing],0))/1000000,"")</f>
        <v>8.1718806338169703</v>
      </c>
      <c r="J8" s="107" cm="1">
        <f t="array" ref="J8">IF(D8-1&lt;$A$11,INDEX(Uitkomsten_per_tech[Gemiddelde opbrengsten door QALY''s],MATCH(E8,Uitkomsten_per_tech[Digitale zorgtoepassing],0))/QALY[Waarde gezond levensjaar],"")</f>
        <v>1890.0000000000002</v>
      </c>
      <c r="K8" s="71">
        <f t="shared" si="0"/>
        <v>31.58285593868834</v>
      </c>
      <c r="L8" s="71">
        <f>IF(D8-1&lt;$A$11,INDEX(Uitkomsten_per_tech[Gemiddelde jaarlijkse kosten (totaal) (€) incl schatting],MATCH(E8,Uitkomsten_per_tech[Digitale zorgtoepassing],0))/1000000,"")</f>
        <v>13.140140952380952</v>
      </c>
      <c r="M8" s="76">
        <f>IF(D8-1&lt;$A$11,INDEX(Uitkomsten_per_tech[Gemiddelde initiële investering (€) incl schatting],MATCH(E8,Uitkomsten_per_tech[Digitale zorgtoepassing],0))/1000000,"")</f>
        <v>2.2143596825396825</v>
      </c>
      <c r="N8" s="73">
        <f t="shared" si="1"/>
        <v>16.228355303767703</v>
      </c>
    </row>
    <row r="9" spans="1:14" ht="17.5" thickBot="1" x14ac:dyDescent="0.55000000000000004">
      <c r="A9" s="274"/>
      <c r="B9" s="188"/>
      <c r="C9">
        <v>4</v>
      </c>
      <c r="D9" s="85">
        <v>4</v>
      </c>
      <c r="E9" s="93" t="str">
        <f>IF(C25&gt;$A$11,"",INDEX(uitkomst_tech[Digitale zorgtoepassing],MATCH(F9,uitkomst_tech[Hulp],0)))</f>
        <v>Medicijndispenser</v>
      </c>
      <c r="F9" s="93">
        <f>IF(_xlfn.MINIFS(uitkomst_tech[Hulp],uitkomst_tech[Veld],$A$5,uitkomst_tech[Jaar],$A$8,uitkomst_tech[Hulp],"&gt;"&amp;F23,uitkomst_tech[Digitale zorgtoepassing],"&lt;&gt;"&amp;E23)=0,"",_xlfn.MINIFS(uitkomst_tech[Hulp],uitkomst_tech[Veld],$A$5,uitkomst_tech[Jaar],$A$8,uitkomst_tech[Hulp],"&gt;"&amp;F23,uitkomst_tech[Digitale zorgtoepassing],"&lt;&gt;"&amp;E23))</f>
        <v>167</v>
      </c>
      <c r="G9" s="71">
        <f>IF(D9-1&lt;$A$11,INDEX(Uitkomsten_per_tech[Gemiddelde totale jaarlijkse arbeidsbesparing (€)],MATCH(E9,Uitkomsten_per_tech[Digitale zorgtoepassing],0))/1000000,"")</f>
        <v>607.87605447357066</v>
      </c>
      <c r="H9" s="107">
        <f>IF(D9-1&lt;$A$11,INDEX(Uitkomsten_per_tech[Gemiddelde jaarlijkse arbeidsbesparing (FTE)],MATCH(E9,Uitkomsten_per_tech[Digitale zorgtoepassing],0)),"")</f>
        <v>11533.283574246574</v>
      </c>
      <c r="I9" s="71">
        <f>IF(D9-1&lt;$A$11,INDEX(Uitkomsten_per_tech[Gemiddelde overige jaarlijkse kostenbesparing (€)],MATCH(E9,Uitkomsten_per_tech[Digitale zorgtoepassing],0))/1000000,"")</f>
        <v>299.40163877056472</v>
      </c>
      <c r="J9" s="107" cm="1">
        <f t="array" ref="J9">IF(D9-1&lt;$A$11,INDEX(Uitkomsten_per_tech[Gemiddelde opbrengsten door QALY''s],MATCH(E9,Uitkomsten_per_tech[Digitale zorgtoepassing],0))/QALY[Waarde gezond levensjaar],"")</f>
        <v>0</v>
      </c>
      <c r="K9" s="71">
        <f t="shared" si="0"/>
        <v>907.27769324413543</v>
      </c>
      <c r="L9" s="71">
        <f>IF(D9-1&lt;$A$11,INDEX(Uitkomsten_per_tech[Gemiddelde jaarlijkse kosten (totaal) (€) incl schatting],MATCH(E9,Uitkomsten_per_tech[Digitale zorgtoepassing],0))/1000000,"")</f>
        <v>145.92225556353267</v>
      </c>
      <c r="M9" s="76">
        <f>IF(D9-1&lt;$A$11,INDEX(Uitkomsten_per_tech[Gemiddelde initiële investering (€) incl schatting],MATCH(E9,Uitkomsten_per_tech[Digitale zorgtoepassing],0))/1000000,"")</f>
        <v>10.596839342782609</v>
      </c>
      <c r="N9" s="73">
        <f t="shared" si="1"/>
        <v>750.75859833782022</v>
      </c>
    </row>
    <row r="10" spans="1:14" x14ac:dyDescent="0.5">
      <c r="A10" s="58" t="s">
        <v>801</v>
      </c>
      <c r="B10" s="189"/>
      <c r="C10">
        <v>5</v>
      </c>
      <c r="D10" s="85">
        <v>5</v>
      </c>
      <c r="E10" s="93" t="str">
        <f>IF(C26&gt;$A$11,"",INDEX(uitkomst_tech[Digitale zorgtoepassing],MATCH(F10,uitkomst_tech[Hulp],0)))</f>
        <v>Steunkousen technologie</v>
      </c>
      <c r="F10" s="93">
        <f>IF(_xlfn.MINIFS(uitkomst_tech[Hulp],uitkomst_tech[Veld],$A$5,uitkomst_tech[Jaar],$A$8,uitkomst_tech[Hulp],"&gt;"&amp;F24,uitkomst_tech[Digitale zorgtoepassing],"&lt;&gt;"&amp;E24)=0,"",_xlfn.MINIFS(uitkomst_tech[Hulp],uitkomst_tech[Veld],$A$5,uitkomst_tech[Jaar],$A$8,uitkomst_tech[Hulp],"&gt;"&amp;F24,uitkomst_tech[Digitale zorgtoepassing],"&lt;&gt;"&amp;E24))</f>
        <v>169</v>
      </c>
      <c r="G10" s="71">
        <f>IF(D10-1&lt;$A$11,INDEX(Uitkomsten_per_tech[Gemiddelde totale jaarlijkse arbeidsbesparing (€)],MATCH(E10,Uitkomsten_per_tech[Digitale zorgtoepassing],0))/1000000,"")</f>
        <v>160.47655448275864</v>
      </c>
      <c r="H10" s="107">
        <f>IF(D10-1&lt;$A$11,INDEX(Uitkomsten_per_tech[Gemiddelde jaarlijkse arbeidsbesparing (FTE)],MATCH(E10,Uitkomsten_per_tech[Digitale zorgtoepassing],0)),"")</f>
        <v>3780</v>
      </c>
      <c r="I10" s="71">
        <f>IF(D10-1&lt;$A$11,INDEX(Uitkomsten_per_tech[Gemiddelde overige jaarlijkse kostenbesparing (€)],MATCH(E10,Uitkomsten_per_tech[Digitale zorgtoepassing],0))/1000000,"")</f>
        <v>22.361487100056529</v>
      </c>
      <c r="J10" s="107" cm="1">
        <f t="array" ref="J10">IF(D10-1&lt;$A$11,INDEX(Uitkomsten_per_tech[Gemiddelde opbrengsten door QALY''s],MATCH(E10,Uitkomsten_per_tech[Digitale zorgtoepassing],0))/QALY[Waarde gezond levensjaar],"")</f>
        <v>0</v>
      </c>
      <c r="K10" s="71">
        <f t="shared" si="0"/>
        <v>182.83804158281518</v>
      </c>
      <c r="L10" s="71">
        <f>IF(D10-1&lt;$A$11,INDEX(Uitkomsten_per_tech[Gemiddelde jaarlijkse kosten (totaal) (€) incl schatting],MATCH(E10,Uitkomsten_per_tech[Digitale zorgtoepassing],0))/1000000,"")</f>
        <v>0</v>
      </c>
      <c r="M10" s="76">
        <f>IF(D10-1&lt;$A$11,INDEX(Uitkomsten_per_tech[Gemiddelde initiële investering (€) incl schatting],MATCH(E10,Uitkomsten_per_tech[Digitale zorgtoepassing],0))/1000000,"")</f>
        <v>85.92</v>
      </c>
      <c r="N10" s="73">
        <f t="shared" si="1"/>
        <v>96.918041582815178</v>
      </c>
    </row>
    <row r="11" spans="1:14" ht="17.5" thickBot="1" x14ac:dyDescent="0.55000000000000004">
      <c r="A11" s="197">
        <f>COUNTIFS(Uitkomsten_per_tech[Veld],A5)</f>
        <v>7</v>
      </c>
      <c r="B11" s="190"/>
      <c r="C11">
        <v>6</v>
      </c>
      <c r="D11" s="85">
        <v>6</v>
      </c>
      <c r="E11" s="93" t="str">
        <f>IF(C27&gt;$A$11,"",INDEX(uitkomst_tech[Digitale zorgtoepassing],MATCH(F11,uitkomst_tech[Hulp],0)))</f>
        <v>Structuurrobot</v>
      </c>
      <c r="F11" s="93">
        <f>IF(_xlfn.MINIFS(uitkomst_tech[Hulp],uitkomst_tech[Veld],$A$5,uitkomst_tech[Jaar],$A$8,uitkomst_tech[Hulp],"&gt;"&amp;F25,uitkomst_tech[Digitale zorgtoepassing],"&lt;&gt;"&amp;E25)=0,"",_xlfn.MINIFS(uitkomst_tech[Hulp],uitkomst_tech[Veld],$A$5,uitkomst_tech[Jaar],$A$8,uitkomst_tech[Hulp],"&gt;"&amp;F25,uitkomst_tech[Digitale zorgtoepassing],"&lt;&gt;"&amp;E25))</f>
        <v>170</v>
      </c>
      <c r="G11" s="71">
        <f>IF(D11-1&lt;$A$11,INDEX(Uitkomsten_per_tech[Gemiddelde totale jaarlijkse arbeidsbesparing (€)],MATCH(E11,Uitkomsten_per_tech[Digitale zorgtoepassing],0))/1000000,"")</f>
        <v>59.573746345279311</v>
      </c>
      <c r="H11" s="107">
        <f>IF(D11-1&lt;$A$11,INDEX(Uitkomsten_per_tech[Gemiddelde jaarlijkse arbeidsbesparing (FTE)],MATCH(E11,Uitkomsten_per_tech[Digitale zorgtoepassing],0)),"")</f>
        <v>1403.250225</v>
      </c>
      <c r="I11" s="71">
        <f>IF(D11-1&lt;$A$11,INDEX(Uitkomsten_per_tech[Gemiddelde overige jaarlijkse kostenbesparing (€)],MATCH(E11,Uitkomsten_per_tech[Digitale zorgtoepassing],0))/1000000,"")</f>
        <v>29.342292976033097</v>
      </c>
      <c r="J11" s="107" cm="1">
        <f t="array" ref="J11">IF(D11-1&lt;$A$11,INDEX(Uitkomsten_per_tech[Gemiddelde opbrengsten door QALY''s],MATCH(E11,Uitkomsten_per_tech[Digitale zorgtoepassing],0))/QALY[Waarde gezond levensjaar],"")</f>
        <v>0</v>
      </c>
      <c r="K11" s="71">
        <f t="shared" si="0"/>
        <v>88.916039321312411</v>
      </c>
      <c r="L11" s="71">
        <f>IF(D11-1&lt;$A$11,INDEX(Uitkomsten_per_tech[Gemiddelde jaarlijkse kosten (totaal) (€) incl schatting],MATCH(E11,Uitkomsten_per_tech[Digitale zorgtoepassing],0))/1000000,"")</f>
        <v>22.965485240025</v>
      </c>
      <c r="M11" s="76">
        <f>IF(D11-1&lt;$A$11,INDEX(Uitkomsten_per_tech[Gemiddelde initiële investering (€) incl schatting],MATCH(E11,Uitkomsten_per_tech[Digitale zorgtoepassing],0))/1000000,"")</f>
        <v>28.64027905</v>
      </c>
      <c r="N11" s="73">
        <f t="shared" si="1"/>
        <v>37.310275031287404</v>
      </c>
    </row>
    <row r="12" spans="1:14" ht="17.5" thickBot="1" x14ac:dyDescent="0.55000000000000004">
      <c r="A12" s="191"/>
      <c r="C12">
        <v>7</v>
      </c>
      <c r="D12" s="85">
        <v>7</v>
      </c>
      <c r="E12" s="93" t="str">
        <f>IF(C28&gt;$A$11,"",INDEX(uitkomst_tech[Digitale zorgtoepassing],MATCH(F12,uitkomst_tech[Hulp],0)))</f>
        <v>Zorg op afstand met tablet</v>
      </c>
      <c r="F12" s="93">
        <f>IF(_xlfn.MINIFS(uitkomst_tech[Hulp],uitkomst_tech[Veld],$A$5,uitkomst_tech[Jaar],$A$8,uitkomst_tech[Hulp],"&gt;"&amp;F26,uitkomst_tech[Digitale zorgtoepassing],"&lt;&gt;"&amp;E26)=0,"",_xlfn.MINIFS(uitkomst_tech[Hulp],uitkomst_tech[Veld],$A$5,uitkomst_tech[Jaar],$A$8,uitkomst_tech[Hulp],"&gt;"&amp;F26,uitkomst_tech[Digitale zorgtoepassing],"&lt;&gt;"&amp;E26))</f>
        <v>171</v>
      </c>
      <c r="G12" s="71">
        <f>IF(D12-1&lt;$A$11,INDEX(Uitkomsten_per_tech[Gemiddelde totale jaarlijkse arbeidsbesparing (€)],MATCH(E12,Uitkomsten_per_tech[Digitale zorgtoepassing],0))/1000000,"")</f>
        <v>55.631872220689651</v>
      </c>
      <c r="H12" s="107">
        <f>IF(D12-1&lt;$A$11,INDEX(Uitkomsten_per_tech[Gemiddelde jaarlijkse arbeidsbesparing (FTE)],MATCH(E12,Uitkomsten_per_tech[Digitale zorgtoepassing],0)),"")</f>
        <v>1310.4000000000001</v>
      </c>
      <c r="I12" s="71">
        <f>IF(D12-1&lt;$A$11,INDEX(Uitkomsten_per_tech[Gemiddelde overige jaarlijkse kostenbesparing (€)],MATCH(E12,Uitkomsten_per_tech[Digitale zorgtoepassing],0))/1000000,"")</f>
        <v>27.40077288481729</v>
      </c>
      <c r="J12" s="107" cm="1">
        <f t="array" ref="J12">IF(D12-1&lt;$A$11,INDEX(Uitkomsten_per_tech[Gemiddelde opbrengsten door QALY''s],MATCH(E12,Uitkomsten_per_tech[Digitale zorgtoepassing],0))/QALY[Waarde gezond levensjaar],"")</f>
        <v>0</v>
      </c>
      <c r="K12" s="71">
        <f t="shared" si="0"/>
        <v>83.032645105506944</v>
      </c>
      <c r="L12" s="71">
        <f>IF(D12-1&lt;$A$11,INDEX(Uitkomsten_per_tech[Gemiddelde jaarlijkse kosten (totaal) (€) incl schatting],MATCH(E12,Uitkomsten_per_tech[Digitale zorgtoepassing],0))/1000000,"")</f>
        <v>45.826560000000008</v>
      </c>
      <c r="M12" s="76">
        <f>IF(D12-1&lt;$A$11,INDEX(Uitkomsten_per_tech[Gemiddelde initiële investering (€) incl schatting],MATCH(E12,Uitkomsten_per_tech[Digitale zorgtoepassing],0))/1000000,"")</f>
        <v>28.425599999999999</v>
      </c>
      <c r="N12" s="73">
        <f t="shared" si="1"/>
        <v>8.7804851055069371</v>
      </c>
    </row>
    <row r="13" spans="1:14" ht="17.149999999999999" customHeight="1" x14ac:dyDescent="0.5">
      <c r="A13" s="486" t="s">
        <v>983</v>
      </c>
      <c r="B13" s="185"/>
      <c r="C13">
        <v>8</v>
      </c>
      <c r="D13" s="85">
        <v>8</v>
      </c>
      <c r="E13" s="93" t="str">
        <f>IF(C29&gt;$A$11,"",INDEX(uitkomst_tech[Digitale zorgtoepassing],MATCH(F13,uitkomst_tech[Hulp],0)))</f>
        <v/>
      </c>
      <c r="F13" s="93" t="str">
        <f>IF(_xlfn.MINIFS(uitkomst_tech[Hulp],uitkomst_tech[Veld],$A$5,uitkomst_tech[Jaar],$A$8,uitkomst_tech[Hulp],"&gt;"&amp;F27,uitkomst_tech[Digitale zorgtoepassing],"&lt;&gt;"&amp;E27)=0,"",_xlfn.MINIFS(uitkomst_tech[Hulp],uitkomst_tech[Veld],$A$5,uitkomst_tech[Jaar],$A$8,uitkomst_tech[Hulp],"&gt;"&amp;F27,uitkomst_tech[Digitale zorgtoepassing],"&lt;&gt;"&amp;E27))</f>
        <v/>
      </c>
      <c r="G13" s="71" t="str">
        <f>IF(D13-1&lt;$A$11,INDEX(Uitkomsten_per_tech[Gemiddelde totale jaarlijkse arbeidsbesparing (€)],MATCH(E13,Uitkomsten_per_tech[Digitale zorgtoepassing],0))/1000000,"")</f>
        <v/>
      </c>
      <c r="H13" s="107" t="str">
        <f>IF(D13-1&lt;$A$11,INDEX(Uitkomsten_per_tech[Gemiddelde jaarlijkse arbeidsbesparing (FTE)],MATCH(E13,Uitkomsten_per_tech[Digitale zorgtoepassing],0)),"")</f>
        <v/>
      </c>
      <c r="I13" s="71" t="str">
        <f>IF(D13-1&lt;$A$11,INDEX(Uitkomsten_per_tech[Gemiddelde overige jaarlijkse kostenbesparing (€)],MATCH(E13,Uitkomsten_per_tech[Digitale zorgtoepassing],0))/1000000,"")</f>
        <v/>
      </c>
      <c r="J13" s="107" t="str" cm="1">
        <f t="array" ref="J13">IF(D13-1&lt;$A$11,INDEX(Uitkomsten_per_tech[Gemiddelde opbrengsten door QALY''s],MATCH(E13,Uitkomsten_per_tech[Digitale zorgtoepassing],0))/QALY[Waarde gezond levensjaar],"")</f>
        <v/>
      </c>
      <c r="K13" s="71" t="str">
        <f t="shared" si="0"/>
        <v/>
      </c>
      <c r="L13" s="71" t="str">
        <f>IF(D13-1&lt;$A$11,INDEX(Uitkomsten_per_tech[Gemiddelde jaarlijkse kosten (totaal) (€) incl schatting],MATCH(E13,Uitkomsten_per_tech[Digitale zorgtoepassing],0))/1000000,"")</f>
        <v/>
      </c>
      <c r="M13" s="76" t="str">
        <f>IF(D13-1&lt;$A$11,INDEX(Uitkomsten_per_tech[Gemiddelde initiële investering (€) incl schatting],MATCH(E13,Uitkomsten_per_tech[Digitale zorgtoepassing],0))/1000000,"")</f>
        <v/>
      </c>
      <c r="N13" s="73" t="str">
        <f t="shared" si="1"/>
        <v/>
      </c>
    </row>
    <row r="14" spans="1:14" x14ac:dyDescent="0.5">
      <c r="A14" s="487"/>
      <c r="C14">
        <v>9</v>
      </c>
      <c r="D14" s="85">
        <v>9</v>
      </c>
      <c r="E14" s="93" t="str">
        <f>IF(C30&gt;$A$11,"",INDEX(uitkomst_tech[Digitale zorgtoepassing],MATCH(F14,uitkomst_tech[Hulp],0)))</f>
        <v/>
      </c>
      <c r="F14" s="93" t="str">
        <f>IF(_xlfn.MINIFS(uitkomst_tech[Hulp],uitkomst_tech[Veld],$A$5,uitkomst_tech[Jaar],$A$8,uitkomst_tech[Hulp],"&gt;"&amp;F28,uitkomst_tech[Digitale zorgtoepassing],"&lt;&gt;"&amp;E28)=0,"",_xlfn.MINIFS(uitkomst_tech[Hulp],uitkomst_tech[Veld],$A$5,uitkomst_tech[Jaar],$A$8,uitkomst_tech[Hulp],"&gt;"&amp;F28,uitkomst_tech[Digitale zorgtoepassing],"&lt;&gt;"&amp;E28))</f>
        <v/>
      </c>
      <c r="G14" s="71" t="str">
        <f>IF(D14-1&lt;$A$11,INDEX(Uitkomsten_per_tech[Gemiddelde totale jaarlijkse arbeidsbesparing (€)],MATCH(E14,Uitkomsten_per_tech[Digitale zorgtoepassing],0))/1000000,"")</f>
        <v/>
      </c>
      <c r="H14" s="107" t="str">
        <f>IF(D14-1&lt;$A$11,INDEX(Uitkomsten_per_tech[Gemiddelde jaarlijkse arbeidsbesparing (FTE)],MATCH(E14,Uitkomsten_per_tech[Digitale zorgtoepassing],0)),"")</f>
        <v/>
      </c>
      <c r="I14" s="71" t="str">
        <f>IF(D14-1&lt;$A$11,INDEX(Uitkomsten_per_tech[Gemiddelde overige jaarlijkse kostenbesparing (€)],MATCH(E14,Uitkomsten_per_tech[Digitale zorgtoepassing],0))/1000000,"")</f>
        <v/>
      </c>
      <c r="J14" s="107" t="str" cm="1">
        <f t="array" ref="J14">IF(D14-1&lt;$A$11,INDEX(Uitkomsten_per_tech[Gemiddelde opbrengsten door QALY''s],MATCH(E14,Uitkomsten_per_tech[Digitale zorgtoepassing],0))/QALY[Waarde gezond levensjaar],"")</f>
        <v/>
      </c>
      <c r="K14" s="71" t="str">
        <f t="shared" si="0"/>
        <v/>
      </c>
      <c r="L14" s="71" t="str">
        <f>IF(D14-1&lt;$A$11,INDEX(Uitkomsten_per_tech[Gemiddelde jaarlijkse kosten (totaal) (€) incl schatting],MATCH(E14,Uitkomsten_per_tech[Digitale zorgtoepassing],0))/1000000,"")</f>
        <v/>
      </c>
      <c r="M14" s="76" t="str">
        <f>IF(D14-1&lt;$A$11,INDEX(Uitkomsten_per_tech[Gemiddelde initiële investering (€) incl schatting],MATCH(E14,Uitkomsten_per_tech[Digitale zorgtoepassing],0))/1000000,"")</f>
        <v/>
      </c>
      <c r="N14" s="73" t="str">
        <f t="shared" si="1"/>
        <v/>
      </c>
    </row>
    <row r="15" spans="1:14" ht="17.5" thickBot="1" x14ac:dyDescent="0.55000000000000004">
      <c r="A15" s="488"/>
      <c r="C15">
        <v>10</v>
      </c>
      <c r="D15" s="85">
        <v>10</v>
      </c>
      <c r="E15" s="93" t="str">
        <f>IF(C31&gt;$A$11,"",INDEX(uitkomst_tech[Digitale zorgtoepassing],MATCH(F15,uitkomst_tech[Hulp],0)))</f>
        <v/>
      </c>
      <c r="F15" s="93" t="str">
        <f>IF(_xlfn.MINIFS(uitkomst_tech[Hulp],uitkomst_tech[Veld],$A$5,uitkomst_tech[Jaar],$A$8,uitkomst_tech[Hulp],"&gt;"&amp;F29,uitkomst_tech[Digitale zorgtoepassing],"&lt;&gt;"&amp;E29)=0,"",_xlfn.MINIFS(uitkomst_tech[Hulp],uitkomst_tech[Veld],$A$5,uitkomst_tech[Jaar],$A$8,uitkomst_tech[Hulp],"&gt;"&amp;F29,uitkomst_tech[Digitale zorgtoepassing],"&lt;&gt;"&amp;E29))</f>
        <v/>
      </c>
      <c r="G15" s="71" t="str">
        <f>IF(D15-1&lt;$A$11,INDEX(Uitkomsten_per_tech[Gemiddelde totale jaarlijkse arbeidsbesparing (€)],MATCH(E15,Uitkomsten_per_tech[Digitale zorgtoepassing],0))/1000000,"")</f>
        <v/>
      </c>
      <c r="H15" s="107" t="str">
        <f>IF(D15-1&lt;$A$11,INDEX(Uitkomsten_per_tech[Gemiddelde jaarlijkse arbeidsbesparing (FTE)],MATCH(E15,Uitkomsten_per_tech[Digitale zorgtoepassing],0)),"")</f>
        <v/>
      </c>
      <c r="I15" s="71" t="str">
        <f>IF(D15-1&lt;$A$11,INDEX(Uitkomsten_per_tech[Gemiddelde overige jaarlijkse kostenbesparing (€)],MATCH(E15,Uitkomsten_per_tech[Digitale zorgtoepassing],0))/1000000,"")</f>
        <v/>
      </c>
      <c r="J15" s="107" t="str" cm="1">
        <f t="array" ref="J15">IF(D15-1&lt;$A$11,INDEX(Uitkomsten_per_tech[Gemiddelde opbrengsten door QALY''s],MATCH(E15,Uitkomsten_per_tech[Digitale zorgtoepassing],0))/QALY[Waarde gezond levensjaar],"")</f>
        <v/>
      </c>
      <c r="K15" s="71" t="str">
        <f t="shared" si="0"/>
        <v/>
      </c>
      <c r="L15" s="71" t="str">
        <f>IF(D15-1&lt;$A$11,INDEX(Uitkomsten_per_tech[Gemiddelde jaarlijkse kosten (totaal) (€) incl schatting],MATCH(E15,Uitkomsten_per_tech[Digitale zorgtoepassing],0))/1000000,"")</f>
        <v/>
      </c>
      <c r="M15" s="76" t="str">
        <f>IF(D15-1&lt;$A$11,INDEX(Uitkomsten_per_tech[Gemiddelde initiële investering (€) incl schatting],MATCH(E15,Uitkomsten_per_tech[Digitale zorgtoepassing],0))/1000000,"")</f>
        <v/>
      </c>
      <c r="N15" s="73" t="str">
        <f t="shared" si="1"/>
        <v/>
      </c>
    </row>
    <row r="16" spans="1:14" ht="17.5" thickBot="1" x14ac:dyDescent="0.55000000000000004">
      <c r="C16"/>
      <c r="D16" s="108"/>
      <c r="E16" s="96" t="s">
        <v>634</v>
      </c>
      <c r="F16" s="96" t="str">
        <f>IF(_xlfn.MINIFS(uitkomst_tech[Hulp],uitkomst_tech[Veld],$A$5,uitkomst_tech[Jaar],$A$8,uitkomst_tech[Hulp],"&gt;"&amp;F15,uitkomst_tech[Digitale zorgtoepassing],"&lt;&gt;"&amp;E15)=0,"",_xlfn.MINIFS(uitkomst_tech[Hulp],uitkomst_tech[Veld],$A$5,uitkomst_tech[Jaar],$A$8,uitkomst_tech[Hulp],"&gt;"&amp;F15,uitkomst_tech[Digitale zorgtoepassing],"&lt;&gt;"&amp;E15))</f>
        <v/>
      </c>
      <c r="G16" s="75">
        <f>SUM(G6:G15)</f>
        <v>930.85492069527902</v>
      </c>
      <c r="H16" s="109">
        <f t="shared" ref="H16:M16" si="2">SUM(H6:H15)</f>
        <v>19107.939760315774</v>
      </c>
      <c r="I16" s="75">
        <f t="shared" si="2"/>
        <v>398.03548121757888</v>
      </c>
      <c r="J16" s="109">
        <f>SUM(J6:J15)</f>
        <v>1890.0000000000002</v>
      </c>
      <c r="K16" s="75">
        <f t="shared" si="2"/>
        <v>1328.8904019128579</v>
      </c>
      <c r="L16" s="75">
        <f t="shared" si="2"/>
        <v>256.56444175593862</v>
      </c>
      <c r="M16" s="80">
        <f t="shared" si="2"/>
        <v>169.17980807532228</v>
      </c>
      <c r="N16" s="110">
        <f t="shared" ref="N16" si="3">IFERROR(K16-L16-M16,"")</f>
        <v>903.14615208159705</v>
      </c>
    </row>
    <row r="17" spans="1:15" x14ac:dyDescent="0.5">
      <c r="E17" s="178" t="str">
        <f>IF(_xlfn.MINIFS(uitkomst_tech[Hulp],uitkomst_tech[Veld],$A$5,uitkomst_tech[Jaar],$A$8,uitkomst_tech[Hulp],"&gt;"&amp;F31,uitkomst_tech[Digitale zorgtoepassing],"&lt;&gt;"&amp;E31)=0,"",_xlfn.MINIFS(uitkomst_tech[Hulp],uitkomst_tech[Veld],$A$5,uitkomst_tech[Jaar],$A$8,uitkomst_tech[Hulp],"&gt;"&amp;F31,uitkomst_tech[Digitale zorgtoepassing],"&lt;&gt;"&amp;E31))</f>
        <v/>
      </c>
      <c r="F17" s="192" t="str" cm="1">
        <f t="array" ref="F17">IFERROR(INDEX(uitkomst_tech[Arbeidsbesparing (€)],MATCH(E17,uitkomst_tech[Hulp]),0),"")</f>
        <v/>
      </c>
      <c r="G17" s="192" t="str" cm="1">
        <f t="array" ref="G17">IFERROR(INDEX(uitkomst_tech[Arbeidsbesparing (FTE)],MATCH(E17,uitkomst_tech[Hulp]),0),"")</f>
        <v/>
      </c>
      <c r="H17" s="192" t="str" cm="1">
        <f t="array" ref="H17">IFERROR(INDEX(uitkomst_tech[Overige besparingen (€)],MATCH(E17,uitkomst_tech[Hulp]),0),"")</f>
        <v/>
      </c>
      <c r="I17" s="192"/>
      <c r="J17" s="192" t="str" cm="1">
        <f t="array" ref="J17">IFERROR(INDEX(uitkomst_tech[Kosten (€)],MATCH(E17,uitkomst_tech[Hulp]),0),"")</f>
        <v/>
      </c>
      <c r="K17" s="192" t="str" cm="1">
        <f t="array" ref="K17">IFERROR(INDEX(uitkomst_tech[Investering (cash flow) (€)],MATCH(E17,uitkomst_tech[Hulp]),0),"")</f>
        <v/>
      </c>
      <c r="L17" s="192"/>
    </row>
    <row r="18" spans="1:15" x14ac:dyDescent="0.5">
      <c r="I18" s="186"/>
      <c r="J18" s="193"/>
    </row>
    <row r="19" spans="1:15" s="484" customFormat="1" ht="17.5" thickBot="1" x14ac:dyDescent="0.55000000000000004">
      <c r="A19" s="178"/>
      <c r="B19" s="178"/>
      <c r="C19"/>
      <c r="D19" s="484" t="str">
        <f>CONCATENATE("Resultaten voor jaar ",A8, " bij slagen huidig beleid en huidige staat van gegevensuitwisseling")</f>
        <v>Resultaten voor jaar 2028 bij slagen huidig beleid en huidige staat van gegevensuitwisseling</v>
      </c>
    </row>
    <row r="20" spans="1:15" ht="64.5" customHeight="1" x14ac:dyDescent="0.5">
      <c r="C20"/>
      <c r="D20" s="69" t="s">
        <v>791</v>
      </c>
      <c r="E20" s="204" t="s">
        <v>751</v>
      </c>
      <c r="F20" s="59" t="s">
        <v>574</v>
      </c>
      <c r="G20" s="47" t="s">
        <v>1012</v>
      </c>
      <c r="H20" s="48" t="s">
        <v>1013</v>
      </c>
      <c r="I20" s="48" t="s">
        <v>1018</v>
      </c>
      <c r="J20" s="48" t="s">
        <v>448</v>
      </c>
      <c r="K20" s="48" t="s">
        <v>1017</v>
      </c>
      <c r="L20" s="55" t="s">
        <v>625</v>
      </c>
      <c r="M20" s="56" t="s">
        <v>999</v>
      </c>
      <c r="N20" s="68" t="s">
        <v>792</v>
      </c>
      <c r="O20" s="115" t="s">
        <v>793</v>
      </c>
    </row>
    <row r="21" spans="1:15" x14ac:dyDescent="0.5">
      <c r="C21">
        <v>0</v>
      </c>
      <c r="D21" s="85">
        <v>1</v>
      </c>
      <c r="E21" s="93" t="str">
        <f>IF(C6&gt;$A$11,"",INDEX(uitkomst_tech[Digitale zorgtoepassing],MATCH(F21,uitkomst_tech[Hulp],0)))</f>
        <v>Elektromechanisch toegangsbeheer</v>
      </c>
      <c r="F21" s="93">
        <f>_xlfn.MINIFS(uitkomst_tech[Hulp],uitkomst_tech[Veld],A5,uitkomst_tech[Jaar],A8)</f>
        <v>164</v>
      </c>
      <c r="G21" s="71">
        <f>IF(D21 - 1&lt;$A$11,SUMIFS(uitkomst_tech[Arbeidsbesparing (€)],uitkomst_tech[Hulp],F21,uitkomst_tech[Uitgangssituatie/effect beleid],"Effect beleid")/1000000,"")</f>
        <v>16.888049837392689</v>
      </c>
      <c r="H21" s="278">
        <f>IF(D21-1&lt;$A$11,SUMIFS(uitkomst_tech[Arbeidsbesparing (FTE)],uitkomst_tech[Hulp],F21,uitkomst_tech[Uitgangssituatie/effect beleid],"Effect beleid"),"")</f>
        <v>397.79535765271493</v>
      </c>
      <c r="I21" s="72">
        <f>IF(D21-1&lt;$A$11,SUMIFS(uitkomst_tech[Overige besparingen (€)],uitkomst_tech[Hulp],$F21,uitkomst_tech[Uitgangssituatie/effect beleid],"Effect beleid")/1000000,"")</f>
        <v>10.326684608925531</v>
      </c>
      <c r="J21" s="287" cm="1">
        <f t="array" ref="J21">IF(D21-1&lt;$A$11,SUMIFS(uitkomst_tech[QALY (€)],uitkomst_tech[Hulp],$F21,uitkomst_tech[Uitgangssituatie/effect beleid],"Effect beleid")/QALY[Waarde gezond levensjaar],"")</f>
        <v>0</v>
      </c>
      <c r="K21" s="72">
        <f t="shared" ref="K21:K30" si="4">IF(D21-1&lt;$A$11,G21+I21,"")</f>
        <v>27.214734446318218</v>
      </c>
      <c r="L21" s="72">
        <f>IF(D21-1&lt;$A$11,SUMIFS(uitkomst_tech[Kosten (€)],uitkomst_tech[Hulp],$F21,uitkomst_tech[Uitgangssituatie/effect beleid],"Effect beleid")/1000000,"")</f>
        <v>26.104467927335872</v>
      </c>
      <c r="M21" s="79">
        <f>IF(D21-1&lt;$A$11,SUMIFS(uitkomst_tech[Investering (cash flow) (€)],uitkomst_tech[Hulp],$F21,uitkomst_tech[Uitgangssituatie/effect beleid],"Effect beleid")/1000000,"")</f>
        <v>0.47252382001522936</v>
      </c>
      <c r="N21" s="111">
        <f t="shared" ref="N21:N30" si="5">IF(D21-1&lt;$A$11,G21+I21-L21-M21,"")</f>
        <v>0.63774269896711688</v>
      </c>
      <c r="O21" s="113">
        <f t="shared" ref="O21:O30" si="6">IFERROR(IF(K21&lt;0.5,"&lt;1 ",IF(K21&lt;=5,K21,MROUND(K21,10))),"")</f>
        <v>30</v>
      </c>
    </row>
    <row r="22" spans="1:15" x14ac:dyDescent="0.5">
      <c r="C22">
        <v>1</v>
      </c>
      <c r="D22" s="85">
        <v>2</v>
      </c>
      <c r="E22" s="93" t="str">
        <f>IF(C7&gt;$A$11,"",INDEX(uitkomst_tech[Digitale zorgtoepassing],MATCH(F22,uitkomst_tech[Hulp],0)))</f>
        <v>Exoskelet</v>
      </c>
      <c r="F22" s="93">
        <f>IF(_xlfn.MINIFS(uitkomst_tech[Hulp],uitkomst_tech[Veld],$A$5,uitkomst_tech[Jaar],$A$8,uitkomst_tech[Hulp],"&gt;"&amp;F21,uitkomst_tech[Digitale zorgtoepassing],"&lt;&gt;"&amp;E21)=0,"",_xlfn.MINIFS(uitkomst_tech[Hulp],uitkomst_tech[Veld],$A$5,uitkomst_tech[Jaar],$A$8,uitkomst_tech[Hulp],"&gt;"&amp;F21,uitkomst_tech[Digitale zorgtoepassing],"&lt;&gt;"&amp;E21))</f>
        <v>165</v>
      </c>
      <c r="G22" s="71">
        <f>IF(D22 - 1&lt;$A$11,SUMIFS(uitkomst_tech[Arbeidsbesparing (€)],uitkomst_tech[Hulp],F22,uitkomst_tech[Uitgangssituatie/effect beleid],"Effect beleid")/1000000,"")</f>
        <v>0.32523410770973771</v>
      </c>
      <c r="H22" s="278">
        <f>IF(D22-1&lt;$A$11,SUMIFS(uitkomst_tech[Arbeidsbesparing (FTE)],uitkomst_tech[Hulp],F22,uitkomst_tech[Uitgangssituatie/effect beleid],"Effect beleid"),"")</f>
        <v>5.6367002833846254</v>
      </c>
      <c r="I22" s="72">
        <f>IF(D22-1&lt;$A$11,SUMIFS(uitkomst_tech[Overige besparingen (€)],uitkomst_tech[Hulp],$F22,uitkomst_tech[Uitgangssituatie/effect beleid],"Effect beleid")/1000000,"")</f>
        <v>0</v>
      </c>
      <c r="J22" s="287" cm="1">
        <f t="array" ref="J22">IF(D22-1&lt;$A$11,SUMIFS(uitkomst_tech[QALY (€)],uitkomst_tech[Hulp],$F22,uitkomst_tech[Uitgangssituatie/effect beleid],"Effect beleid")/QALY[Waarde gezond levensjaar],"")</f>
        <v>0</v>
      </c>
      <c r="K22" s="72">
        <f t="shared" si="4"/>
        <v>0.32523410770973771</v>
      </c>
      <c r="L22" s="72">
        <f>IF(D22-1&lt;$A$11,SUMIFS(uitkomst_tech[Kosten (€)],uitkomst_tech[Hulp],$F22,uitkomst_tech[Uitgangssituatie/effect beleid],"Effect beleid")/1000000,"")</f>
        <v>0</v>
      </c>
      <c r="M22" s="79">
        <f>IF(D22-1&lt;$A$11,SUMIFS(uitkomst_tech[Investering (cash flow) (€)],uitkomst_tech[Hulp],$F22,uitkomst_tech[Uitgangssituatie/effect beleid],"Effect beleid")/1000000,"")</f>
        <v>4.7543970148393289E-2</v>
      </c>
      <c r="N22" s="111">
        <f t="shared" si="5"/>
        <v>0.27769013756134442</v>
      </c>
      <c r="O22" s="113" t="str">
        <f t="shared" si="6"/>
        <v xml:space="preserve">&lt;1 </v>
      </c>
    </row>
    <row r="23" spans="1:15" x14ac:dyDescent="0.5">
      <c r="C23">
        <v>2</v>
      </c>
      <c r="D23" s="85">
        <v>3</v>
      </c>
      <c r="E23" s="93" t="str">
        <f>IF(C8&gt;$A$11,"",INDEX(uitkomst_tech[Digitale zorgtoepassing],MATCH(F23,uitkomst_tech[Hulp],0)))</f>
        <v>Heupairbag</v>
      </c>
      <c r="F23" s="93">
        <f>IF(_xlfn.MINIFS(uitkomst_tech[Hulp],uitkomst_tech[Veld],$A$5,uitkomst_tech[Jaar],$A$8,uitkomst_tech[Hulp],"&gt;"&amp;F22,uitkomst_tech[Digitale zorgtoepassing],"&lt;&gt;"&amp;E22)=0,"",_xlfn.MINIFS(uitkomst_tech[Hulp],uitkomst_tech[Veld],$A$5,uitkomst_tech[Jaar],$A$8,uitkomst_tech[Hulp],"&gt;"&amp;F22,uitkomst_tech[Digitale zorgtoepassing],"&lt;&gt;"&amp;E22))</f>
        <v>166</v>
      </c>
      <c r="G23" s="71">
        <f>IF(D23 - 1&lt;$A$11,SUMIFS(uitkomst_tech[Arbeidsbesparing (€)],uitkomst_tech[Hulp],F23,uitkomst_tech[Uitgangssituatie/effect beleid],"Effect beleid")/1000000,"")</f>
        <v>20.427164148553103</v>
      </c>
      <c r="H23" s="278">
        <f>IF(D23-1&lt;$A$11,SUMIFS(uitkomst_tech[Arbeidsbesparing (FTE)],uitkomst_tech[Hulp],F23,uitkomst_tech[Uitgangssituatie/effect beleid],"Effect beleid"),"")</f>
        <v>481.15863859618548</v>
      </c>
      <c r="I23" s="72">
        <f>IF(D23-1&lt;$A$11,SUMIFS(uitkomst_tech[Overige besparingen (€)],uitkomst_tech[Hulp],$F23,uitkomst_tech[Uitgangssituatie/effect beleid],"Effect beleid")/1000000,"")</f>
        <v>7.1303457004897544</v>
      </c>
      <c r="J23" s="287" cm="1">
        <f t="array" ref="J23">IF(D23-1&lt;$A$11,SUMIFS(uitkomst_tech[QALY (€)],uitkomst_tech[Hulp],$F23,uitkomst_tech[Uitgangssituatie/effect beleid],"Effect beleid")/QALY[Waarde gezond levensjaar],"")</f>
        <v>1649.1128514723573</v>
      </c>
      <c r="K23" s="72">
        <f t="shared" si="4"/>
        <v>27.557509849042859</v>
      </c>
      <c r="L23" s="72">
        <f>IF(D23-1&lt;$A$11,SUMIFS(uitkomst_tech[Kosten (€)],uitkomst_tech[Hulp],$F23,uitkomst_tech[Uitgangssituatie/effect beleid],"Effect beleid")/1000000,"")</f>
        <v>11.465383764407219</v>
      </c>
      <c r="M23" s="79">
        <f>IF(D23-1&lt;$A$11,SUMIFS(uitkomst_tech[Investering (cash flow) (€)],uitkomst_tech[Hulp],$F23,uitkomst_tech[Uitgangssituatie/effect beleid],"Effect beleid")/1000000,"")</f>
        <v>0.10414735400547628</v>
      </c>
      <c r="N23" s="111">
        <f t="shared" si="5"/>
        <v>15.987978730630161</v>
      </c>
      <c r="O23" s="113">
        <f t="shared" si="6"/>
        <v>30</v>
      </c>
    </row>
    <row r="24" spans="1:15" x14ac:dyDescent="0.5">
      <c r="C24">
        <v>3</v>
      </c>
      <c r="D24" s="85">
        <v>4</v>
      </c>
      <c r="E24" s="93" t="str">
        <f>IF(C9&gt;$A$11,"",INDEX(uitkomst_tech[Digitale zorgtoepassing],MATCH(F24,uitkomst_tech[Hulp],0)))</f>
        <v>Medicijndispenser</v>
      </c>
      <c r="F24" s="93">
        <f>IF(_xlfn.MINIFS(uitkomst_tech[Hulp],uitkomst_tech[Veld],$A$5,uitkomst_tech[Jaar],$A$8,uitkomst_tech[Hulp],"&gt;"&amp;F23,uitkomst_tech[Digitale zorgtoepassing],"&lt;&gt;"&amp;E23)=0,"",_xlfn.MINIFS(uitkomst_tech[Hulp],uitkomst_tech[Veld],$A$5,uitkomst_tech[Jaar],$A$8,uitkomst_tech[Hulp],"&gt;"&amp;F23,uitkomst_tech[Digitale zorgtoepassing],"&lt;&gt;"&amp;E23))</f>
        <v>167</v>
      </c>
      <c r="G24" s="71">
        <f>IF(D24 - 1&lt;$A$11,SUMIFS(uitkomst_tech[Arbeidsbesparing (€)],uitkomst_tech[Hulp],F24,uitkomst_tech[Uitgangssituatie/effect beleid],"Effect beleid")/1000000,"")</f>
        <v>502.5424551640811</v>
      </c>
      <c r="H24" s="278">
        <f>IF(D24-1&lt;$A$11,SUMIFS(uitkomst_tech[Arbeidsbesparing (FTE)],uitkomst_tech[Hulp],F24,uitkomst_tech[Uitgangssituatie/effect beleid],"Effect beleid"),"")</f>
        <v>9534.7803238027354</v>
      </c>
      <c r="I24" s="72">
        <f>IF(D24-1&lt;$A$11,SUMIFS(uitkomst_tech[Overige besparingen (€)],uitkomst_tech[Hulp],$F24,uitkomst_tech[Uitgangssituatie/effect beleid],"Effect beleid")/1000000,"")</f>
        <v>247.52091075245787</v>
      </c>
      <c r="J24" s="287" cm="1">
        <f t="array" ref="J24">IF(D24-1&lt;$A$11,SUMIFS(uitkomst_tech[QALY (€)],uitkomst_tech[Hulp],$F24,uitkomst_tech[Uitgangssituatie/effect beleid],"Effect beleid")/QALY[Waarde gezond levensjaar],"")</f>
        <v>0</v>
      </c>
      <c r="K24" s="72">
        <f t="shared" si="4"/>
        <v>750.06336591653894</v>
      </c>
      <c r="L24" s="72">
        <f>IF(D24-1&lt;$A$11,SUMIFS(uitkomst_tech[Kosten (€)],uitkomst_tech[Hulp],$F24,uitkomst_tech[Uitgangssituatie/effect beleid],"Effect beleid")/1000000,"")</f>
        <v>120.6354483591074</v>
      </c>
      <c r="M24" s="79">
        <f>IF(D24-1&lt;$A$11,SUMIFS(uitkomst_tech[Investering (cash flow) (€)],uitkomst_tech[Hulp],$F24,uitkomst_tech[Uitgangssituatie/effect beleid],"Effect beleid")/1000000,"")</f>
        <v>0.49839815413644362</v>
      </c>
      <c r="N24" s="111">
        <f t="shared" si="5"/>
        <v>628.9295194032951</v>
      </c>
      <c r="O24" s="113">
        <f t="shared" si="6"/>
        <v>750</v>
      </c>
    </row>
    <row r="25" spans="1:15" x14ac:dyDescent="0.5">
      <c r="C25">
        <v>4</v>
      </c>
      <c r="D25" s="85">
        <v>5</v>
      </c>
      <c r="E25" s="93" t="str">
        <f>IF(C10&gt;$A$11,"",INDEX(uitkomst_tech[Digitale zorgtoepassing],MATCH(F25,uitkomst_tech[Hulp],0)))</f>
        <v>Steunkousen technologie</v>
      </c>
      <c r="F25" s="93">
        <f>IF(_xlfn.MINIFS(uitkomst_tech[Hulp],uitkomst_tech[Veld],$A$5,uitkomst_tech[Jaar],$A$8,uitkomst_tech[Hulp],"&gt;"&amp;F24,uitkomst_tech[Digitale zorgtoepassing],"&lt;&gt;"&amp;E24)=0,"",_xlfn.MINIFS(uitkomst_tech[Hulp],uitkomst_tech[Veld],$A$5,uitkomst_tech[Jaar],$A$8,uitkomst_tech[Hulp],"&gt;"&amp;F24,uitkomst_tech[Digitale zorgtoepassing],"&lt;&gt;"&amp;E24))</f>
        <v>169</v>
      </c>
      <c r="G25" s="71">
        <f>IF(D25 - 1&lt;$A$11,SUMIFS(uitkomst_tech[Arbeidsbesparing (€)],uitkomst_tech[Hulp],F25,uitkomst_tech[Uitgangssituatie/effect beleid],"Effect beleid")/1000000,"")</f>
        <v>122.13675210478155</v>
      </c>
      <c r="H25" s="278">
        <f>IF(D25-1&lt;$A$11,SUMIFS(uitkomst_tech[Arbeidsbesparing (FTE)],uitkomst_tech[Hulp],F25,uitkomst_tech[Uitgangssituatie/effect beleid],"Effect beleid"),"")</f>
        <v>2876.9119853310171</v>
      </c>
      <c r="I25" s="72">
        <f>IF(D25-1&lt;$A$11,SUMIFS(uitkomst_tech[Overige besparingen (€)],uitkomst_tech[Hulp],$F25,uitkomst_tech[Uitgangssituatie/effect beleid],"Effect beleid")/1000000,"")</f>
        <v>17.019055621158081</v>
      </c>
      <c r="J25" s="287" cm="1">
        <f t="array" ref="J25">IF(D25-1&lt;$A$11,SUMIFS(uitkomst_tech[QALY (€)],uitkomst_tech[Hulp],$F25,uitkomst_tech[Uitgangssituatie/effect beleid],"Effect beleid")/QALY[Waarde gezond levensjaar],"")</f>
        <v>0</v>
      </c>
      <c r="K25" s="72">
        <f t="shared" si="4"/>
        <v>139.15580772593964</v>
      </c>
      <c r="L25" s="72">
        <f>IF(D25-1&lt;$A$11,SUMIFS(uitkomst_tech[Kosten (€)],uitkomst_tech[Hulp],$F25,uitkomst_tech[Uitgangssituatie/effect beleid],"Effect beleid")/1000000,"")</f>
        <v>0</v>
      </c>
      <c r="M25" s="79">
        <f>IF(D25-1&lt;$A$11,SUMIFS(uitkomst_tech[Investering (cash flow) (€)],uitkomst_tech[Hulp],$F25,uitkomst_tech[Uitgangssituatie/effect beleid],"Effect beleid")/1000000,"")</f>
        <v>7.5435801317610744</v>
      </c>
      <c r="N25" s="111">
        <f t="shared" si="5"/>
        <v>131.61222759417856</v>
      </c>
      <c r="O25" s="113">
        <f t="shared" si="6"/>
        <v>140</v>
      </c>
    </row>
    <row r="26" spans="1:15" x14ac:dyDescent="0.5">
      <c r="C26">
        <v>5</v>
      </c>
      <c r="D26" s="85">
        <v>6</v>
      </c>
      <c r="E26" s="93" t="str">
        <f>IF(C11&gt;$A$11,"",INDEX(uitkomst_tech[Digitale zorgtoepassing],MATCH(F26,uitkomst_tech[Hulp],0)))</f>
        <v>Structuurrobot</v>
      </c>
      <c r="F26" s="93">
        <f>IF(_xlfn.MINIFS(uitkomst_tech[Hulp],uitkomst_tech[Veld],$A$5,uitkomst_tech[Jaar],$A$8,uitkomst_tech[Hulp],"&gt;"&amp;F25,uitkomst_tech[Digitale zorgtoepassing],"&lt;&gt;"&amp;E25)=0,"",_xlfn.MINIFS(uitkomst_tech[Hulp],uitkomst_tech[Veld],$A$5,uitkomst_tech[Jaar],$A$8,uitkomst_tech[Hulp],"&gt;"&amp;F25,uitkomst_tech[Digitale zorgtoepassing],"&lt;&gt;"&amp;E25))</f>
        <v>170</v>
      </c>
      <c r="G26" s="71">
        <f>IF(D26 - 1&lt;$A$11,SUMIFS(uitkomst_tech[Arbeidsbesparing (€)],uitkomst_tech[Hulp],F26,uitkomst_tech[Uitgangssituatie/effect beleid],"Effect beleid")/1000000,"")</f>
        <v>35.325422623664515</v>
      </c>
      <c r="H26" s="278">
        <f>IF(D26-1&lt;$A$11,SUMIFS(uitkomst_tech[Arbeidsbesparing (FTE)],uitkomst_tech[Hulp],F26,uitkomst_tech[Uitgangssituatie/effect beleid],"Effect beleid"),"")</f>
        <v>832.08477367825185</v>
      </c>
      <c r="I26" s="72">
        <f>IF(D26-1&lt;$A$11,SUMIFS(uitkomst_tech[Overige besparingen (€)],uitkomst_tech[Hulp],$F26,uitkomst_tech[Uitgangssituatie/effect beleid],"Effect beleid")/1000000,"")</f>
        <v>17.399088754939235</v>
      </c>
      <c r="J26" s="287" cm="1">
        <f t="array" ref="J26">IF(D26-1&lt;$A$11,SUMIFS(uitkomst_tech[QALY (€)],uitkomst_tech[Hulp],$F26,uitkomst_tech[Uitgangssituatie/effect beleid],"Effect beleid")/QALY[Waarde gezond levensjaar],"")</f>
        <v>0</v>
      </c>
      <c r="K26" s="72">
        <f t="shared" si="4"/>
        <v>52.724511378603751</v>
      </c>
      <c r="L26" s="72">
        <f>IF(D26-1&lt;$A$11,SUMIFS(uitkomst_tech[Kosten (€)],uitkomst_tech[Hulp],$F26,uitkomst_tech[Uitgangssituatie/effect beleid],"Effect beleid")/1000000,"")</f>
        <v>13.617835399497215</v>
      </c>
      <c r="M26" s="79">
        <f>IF(D26-1&lt;$A$11,SUMIFS(uitkomst_tech[Investering (cash flow) (€)],uitkomst_tech[Hulp],$F26,uitkomst_tech[Uitgangssituatie/effect beleid],"Effect beleid")/1000000,"")</f>
        <v>2.5963099087606696</v>
      </c>
      <c r="N26" s="111">
        <f t="shared" si="5"/>
        <v>36.510366070345867</v>
      </c>
      <c r="O26" s="113">
        <f t="shared" si="6"/>
        <v>50</v>
      </c>
    </row>
    <row r="27" spans="1:15" x14ac:dyDescent="0.5">
      <c r="C27">
        <v>6</v>
      </c>
      <c r="D27" s="85">
        <v>7</v>
      </c>
      <c r="E27" s="93" t="str">
        <f>IF(C12&gt;$A$11,"",INDEX(uitkomst_tech[Digitale zorgtoepassing],MATCH(F27,uitkomst_tech[Hulp],0)))</f>
        <v>Zorg op afstand met tablet</v>
      </c>
      <c r="F27" s="93">
        <f>IF(_xlfn.MINIFS(uitkomst_tech[Hulp],uitkomst_tech[Veld],$A$5,uitkomst_tech[Jaar],$A$8,uitkomst_tech[Hulp],"&gt;"&amp;F26,uitkomst_tech[Digitale zorgtoepassing],"&lt;&gt;"&amp;E26)=0,"",_xlfn.MINIFS(uitkomst_tech[Hulp],uitkomst_tech[Veld],$A$5,uitkomst_tech[Jaar],$A$8,uitkomst_tech[Hulp],"&gt;"&amp;F26,uitkomst_tech[Digitale zorgtoepassing],"&lt;&gt;"&amp;E26))</f>
        <v>171</v>
      </c>
      <c r="G27" s="71">
        <f>IF(D27 - 1&lt;$A$11,SUMIFS(uitkomst_tech[Arbeidsbesparing (€)],uitkomst_tech[Hulp],F27,uitkomst_tech[Uitgangssituatie/effect beleid],"Effect beleid")/1000000,"")</f>
        <v>50.583086872958582</v>
      </c>
      <c r="H27" s="278">
        <f>IF(D27-1&lt;$A$11,SUMIFS(uitkomst_tech[Arbeidsbesparing (FTE)],uitkomst_tech[Hulp],F27,uitkomst_tech[Uitgangssituatie/effect beleid],"Effect beleid"),"")</f>
        <v>1191.4766552414119</v>
      </c>
      <c r="I27" s="72">
        <f>IF(D27-1&lt;$A$11,SUMIFS(uitkomst_tech[Overige besparingen (€)],uitkomst_tech[Hulp],$F27,uitkomst_tech[Uitgangssituatie/effect beleid],"Effect beleid")/1000000,"")</f>
        <v>24.914057713546761</v>
      </c>
      <c r="J27" s="287" cm="1">
        <f t="array" ref="J27">IF(D27-1&lt;$A$11,SUMIFS(uitkomst_tech[QALY (€)],uitkomst_tech[Hulp],$F27,uitkomst_tech[Uitgangssituatie/effect beleid],"Effect beleid")/QALY[Waarde gezond levensjaar],"")</f>
        <v>0</v>
      </c>
      <c r="K27" s="72">
        <f t="shared" si="4"/>
        <v>75.497144586505343</v>
      </c>
      <c r="L27" s="72">
        <f>IF(D27-1&lt;$A$11,SUMIFS(uitkomst_tech[Kosten (€)],uitkomst_tech[Hulp],$F27,uitkomst_tech[Uitgangssituatie/effect beleid],"Effect beleid")/1000000,"")</f>
        <v>41.667640743299664</v>
      </c>
      <c r="M27" s="79">
        <f>IF(D27-1&lt;$A$11,SUMIFS(uitkomst_tech[Investering (cash flow) (€)],uitkomst_tech[Hulp],$F27,uitkomst_tech[Uitgangssituatie/effect beleid],"Effect beleid")/1000000,"")</f>
        <v>1.1200144338732463</v>
      </c>
      <c r="N27" s="111">
        <f t="shared" si="5"/>
        <v>32.709489409332434</v>
      </c>
      <c r="O27" s="113">
        <f t="shared" si="6"/>
        <v>80</v>
      </c>
    </row>
    <row r="28" spans="1:15" x14ac:dyDescent="0.5">
      <c r="C28">
        <v>7</v>
      </c>
      <c r="D28" s="85">
        <v>8</v>
      </c>
      <c r="E28" s="93" t="str">
        <f>IF(C13&gt;$A$11,"",INDEX(uitkomst_tech[Digitale zorgtoepassing],MATCH(F28,uitkomst_tech[Hulp],0)))</f>
        <v/>
      </c>
      <c r="F28" s="93" t="str">
        <f>IF(_xlfn.MINIFS(uitkomst_tech[Hulp],uitkomst_tech[Veld],$A$5,uitkomst_tech[Jaar],$A$8,uitkomst_tech[Hulp],"&gt;"&amp;F27,uitkomst_tech[Digitale zorgtoepassing],"&lt;&gt;"&amp;E27)=0,"",_xlfn.MINIFS(uitkomst_tech[Hulp],uitkomst_tech[Veld],$A$5,uitkomst_tech[Jaar],$A$8,uitkomst_tech[Hulp],"&gt;"&amp;F27,uitkomst_tech[Digitale zorgtoepassing],"&lt;&gt;"&amp;E27))</f>
        <v/>
      </c>
      <c r="G28" s="71" t="str">
        <f>IF(D28 - 1&lt;$A$11,SUMIFS(uitkomst_tech[Arbeidsbesparing (€)],uitkomst_tech[Hulp],F28,uitkomst_tech[Uitgangssituatie/effect beleid],"Effect beleid")/1000000,"")</f>
        <v/>
      </c>
      <c r="H28" s="278" t="str">
        <f>IF(D28-1&lt;$A$11,SUMIFS(uitkomst_tech[Arbeidsbesparing (FTE)],uitkomst_tech[Hulp],F28,uitkomst_tech[Uitgangssituatie/effect beleid],"Effect beleid"),"")</f>
        <v/>
      </c>
      <c r="I28" s="72" t="str">
        <f>IF(D28-1&lt;$A$11,SUMIFS(uitkomst_tech[Overige besparingen (€)],uitkomst_tech[Hulp],$F28,uitkomst_tech[Uitgangssituatie/effect beleid],"Effect beleid")/1000000,"")</f>
        <v/>
      </c>
      <c r="J28" s="287" t="str" cm="1">
        <f t="array" ref="J28">IF(D28-1&lt;$A$11,SUMIFS(uitkomst_tech[QALY (€)],uitkomst_tech[Hulp],$F28,uitkomst_tech[Uitgangssituatie/effect beleid],"Effect beleid")/QALY[Waarde gezond levensjaar],"")</f>
        <v/>
      </c>
      <c r="K28" s="72" t="str">
        <f t="shared" si="4"/>
        <v/>
      </c>
      <c r="L28" s="72" t="str">
        <f>IF(D28-1&lt;$A$11,SUMIFS(uitkomst_tech[Kosten (€)],uitkomst_tech[Hulp],$F28,uitkomst_tech[Uitgangssituatie/effect beleid],"Effect beleid")/1000000,"")</f>
        <v/>
      </c>
      <c r="M28" s="79" t="str">
        <f>IF(D28-1&lt;$A$11,SUMIFS(uitkomst_tech[Investering (cash flow) (€)],uitkomst_tech[Hulp],$F28,uitkomst_tech[Uitgangssituatie/effect beleid],"Effect beleid")/1000000,"")</f>
        <v/>
      </c>
      <c r="N28" s="111" t="str">
        <f t="shared" si="5"/>
        <v/>
      </c>
      <c r="O28" s="113" t="str">
        <f t="shared" si="6"/>
        <v/>
      </c>
    </row>
    <row r="29" spans="1:15" x14ac:dyDescent="0.5">
      <c r="C29">
        <v>8</v>
      </c>
      <c r="D29" s="85">
        <v>9</v>
      </c>
      <c r="E29" s="93" t="str">
        <f>IF(C14&gt;$A$11,"",INDEX(uitkomst_tech[Digitale zorgtoepassing],MATCH(F29,uitkomst_tech[Hulp],0)))</f>
        <v/>
      </c>
      <c r="F29" s="93" t="str">
        <f>IF(_xlfn.MINIFS(uitkomst_tech[Hulp],uitkomst_tech[Veld],$A$5,uitkomst_tech[Jaar],$A$8,uitkomst_tech[Hulp],"&gt;"&amp;F28,uitkomst_tech[Digitale zorgtoepassing],"&lt;&gt;"&amp;E28)=0,"",_xlfn.MINIFS(uitkomst_tech[Hulp],uitkomst_tech[Veld],$A$5,uitkomst_tech[Jaar],$A$8,uitkomst_tech[Hulp],"&gt;"&amp;F28,uitkomst_tech[Digitale zorgtoepassing],"&lt;&gt;"&amp;E28))</f>
        <v/>
      </c>
      <c r="G29" s="71" t="str">
        <f>IF(D29 - 1&lt;$A$11,SUMIFS(uitkomst_tech[Arbeidsbesparing (€)],uitkomst_tech[Hulp],F29,uitkomst_tech[Uitgangssituatie/effect beleid],"Effect beleid")/1000000,"")</f>
        <v/>
      </c>
      <c r="H29" s="278" t="str">
        <f>IF(D29-1&lt;$A$11,SUMIFS(uitkomst_tech[Arbeidsbesparing (FTE)],uitkomst_tech[Hulp],F29,uitkomst_tech[Uitgangssituatie/effect beleid],"Effect beleid"),"")</f>
        <v/>
      </c>
      <c r="I29" s="72" t="str">
        <f>IF(D29-1&lt;$A$11,SUMIFS(uitkomst_tech[Overige besparingen (€)],uitkomst_tech[Hulp],$F29,uitkomst_tech[Uitgangssituatie/effect beleid],"Effect beleid")/1000000,"")</f>
        <v/>
      </c>
      <c r="J29" s="287" t="str" cm="1">
        <f t="array" ref="J29">IF(D29-1&lt;$A$11,SUMIFS(uitkomst_tech[QALY (€)],uitkomst_tech[Hulp],$F29,uitkomst_tech[Uitgangssituatie/effect beleid],"Effect beleid")/QALY[Waarde gezond levensjaar],"")</f>
        <v/>
      </c>
      <c r="K29" s="72" t="str">
        <f t="shared" si="4"/>
        <v/>
      </c>
      <c r="L29" s="72" t="str">
        <f>IF(D29-1&lt;$A$11,SUMIFS(uitkomst_tech[Kosten (€)],uitkomst_tech[Hulp],$F29,uitkomst_tech[Uitgangssituatie/effect beleid],"Effect beleid")/1000000,"")</f>
        <v/>
      </c>
      <c r="M29" s="79" t="str">
        <f>IF(D29-1&lt;$A$11,SUMIFS(uitkomst_tech[Investering (cash flow) (€)],uitkomst_tech[Hulp],$F29,uitkomst_tech[Uitgangssituatie/effect beleid],"Effect beleid")/1000000,"")</f>
        <v/>
      </c>
      <c r="N29" s="111" t="str">
        <f t="shared" si="5"/>
        <v/>
      </c>
      <c r="O29" s="113" t="str">
        <f t="shared" si="6"/>
        <v/>
      </c>
    </row>
    <row r="30" spans="1:15" ht="17.5" thickBot="1" x14ac:dyDescent="0.55000000000000004">
      <c r="C30">
        <v>9</v>
      </c>
      <c r="D30" s="85">
        <v>10</v>
      </c>
      <c r="E30" s="93" t="str">
        <f>IF(C15&gt;$A$11,"",INDEX(uitkomst_tech[Digitale zorgtoepassing],MATCH(F30,uitkomst_tech[Hulp],0)))</f>
        <v/>
      </c>
      <c r="F30" s="93" t="str">
        <f>IF(_xlfn.MINIFS(uitkomst_tech[Hulp],uitkomst_tech[Veld],$A$5,uitkomst_tech[Jaar],$A$8,uitkomst_tech[Hulp],"&gt;"&amp;F29,uitkomst_tech[Digitale zorgtoepassing],"&lt;&gt;"&amp;E29)=0,"",_xlfn.MINIFS(uitkomst_tech[Hulp],uitkomst_tech[Veld],$A$5,uitkomst_tech[Jaar],$A$8,uitkomst_tech[Hulp],"&gt;"&amp;F29,uitkomst_tech[Digitale zorgtoepassing],"&lt;&gt;"&amp;E29))</f>
        <v/>
      </c>
      <c r="G30" s="71" t="str">
        <f>IF(D30 - 1&lt;$A$11,SUMIFS(uitkomst_tech[Arbeidsbesparing (€)],uitkomst_tech[Hulp],F30,uitkomst_tech[Uitgangssituatie/effect beleid],"Effect beleid")/1000000,"")</f>
        <v/>
      </c>
      <c r="H30" s="278" t="str">
        <f>IF(D30-1&lt;$A$11,SUMIFS(uitkomst_tech[Arbeidsbesparing (FTE)],uitkomst_tech[Hulp],F30,uitkomst_tech[Uitgangssituatie/effect beleid],"Effect beleid"),"")</f>
        <v/>
      </c>
      <c r="I30" s="72" t="str">
        <f>IF(D30-1&lt;$A$11,SUMIFS(uitkomst_tech[Overige besparingen (€)],uitkomst_tech[Hulp],$F30,uitkomst_tech[Uitgangssituatie/effect beleid],"Effect beleid")/1000000,"")</f>
        <v/>
      </c>
      <c r="J30" s="287" t="str" cm="1">
        <f t="array" ref="J30">IF(D30-1&lt;$A$11,SUMIFS(uitkomst_tech[QALY (€)],uitkomst_tech[Hulp],$F30,uitkomst_tech[Uitgangssituatie/effect beleid],"Effect beleid")/QALY[Waarde gezond levensjaar],"")</f>
        <v/>
      </c>
      <c r="K30" s="72" t="str">
        <f t="shared" si="4"/>
        <v/>
      </c>
      <c r="L30" s="72" t="str">
        <f>IF(D30-1&lt;$A$11,SUMIFS(uitkomst_tech[Kosten (€)],uitkomst_tech[Hulp],$F30,uitkomst_tech[Uitgangssituatie/effect beleid],"Effect beleid")/1000000,"")</f>
        <v/>
      </c>
      <c r="M30" s="79" t="str">
        <f>IF(D30-1&lt;$A$11,SUMIFS(uitkomst_tech[Investering (cash flow) (€)],uitkomst_tech[Hulp],$F30,uitkomst_tech[Uitgangssituatie/effect beleid],"Effect beleid")/1000000,"")</f>
        <v/>
      </c>
      <c r="N30" s="111" t="str">
        <f t="shared" si="5"/>
        <v/>
      </c>
      <c r="O30" s="114" t="str">
        <f t="shared" si="6"/>
        <v/>
      </c>
    </row>
    <row r="31" spans="1:15" ht="17.5" thickBot="1" x14ac:dyDescent="0.55000000000000004">
      <c r="C31">
        <v>10</v>
      </c>
      <c r="D31" s="108"/>
      <c r="E31" s="96" t="s">
        <v>634</v>
      </c>
      <c r="F31" s="96" t="str">
        <f>IF(_xlfn.MINIFS(uitkomst_tech[Hulp],uitkomst_tech[Veld],$A$5,uitkomst_tech[Jaar],$A$8,uitkomst_tech[Hulp],"&gt;"&amp;F30,uitkomst_tech[Digitale zorgtoepassing],"&lt;&gt;"&amp;E30)=0,"",_xlfn.MINIFS(uitkomst_tech[Hulp],uitkomst_tech[Veld],$A$5,uitkomst_tech[Jaar],$A$8,uitkomst_tech[Hulp],"&gt;"&amp;F30,uitkomst_tech[Digitale zorgtoepassing],"&lt;&gt;"&amp;E30))</f>
        <v/>
      </c>
      <c r="G31" s="75">
        <f>SUM(G21:G30)</f>
        <v>748.2281648591412</v>
      </c>
      <c r="H31" s="109">
        <f t="shared" ref="H31:L31" si="7">SUM(H21:H30)</f>
        <v>15319.844434585701</v>
      </c>
      <c r="I31" s="75">
        <f t="shared" si="7"/>
        <v>324.3101431515172</v>
      </c>
      <c r="J31" s="109">
        <f t="shared" si="7"/>
        <v>1649.1128514723573</v>
      </c>
      <c r="K31" s="75">
        <f>SUM(K21:K30)</f>
        <v>1072.5383080106585</v>
      </c>
      <c r="L31" s="75">
        <f t="shared" si="7"/>
        <v>213.49077619364738</v>
      </c>
      <c r="M31" s="80">
        <f>SUM(M21:M30)</f>
        <v>12.382517772700533</v>
      </c>
      <c r="N31" s="112">
        <f>K31-L31-M31</f>
        <v>846.66501404431051</v>
      </c>
      <c r="O31" s="194"/>
    </row>
    <row r="51" s="300" customFormat="1" x14ac:dyDescent="0.5"/>
  </sheetData>
  <sheetProtection algorithmName="SHA-512" hashValue="RevCtvevRF8ZRo7PLijVciLasXZ2NP0d63K4pz8ETp+uyINw+LuSlFRWPiaB3WHzZQJ7TRywxs+F5ZpLMc43FA==" saltValue="AwJjkyoTpr9JePFx2uJnbw==" spinCount="100000" sheet="1" objects="1" scenarios="1" selectLockedCells="1"/>
  <mergeCells count="4">
    <mergeCell ref="D4:XFD4"/>
    <mergeCell ref="D19:XFD19"/>
    <mergeCell ref="A13:A15"/>
    <mergeCell ref="A1:E2"/>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B9A8328-DF74-44F5-9960-5B227378C9CD}">
          <x14:formula1>
            <xm:f>Filters!$A$3:$A$8</xm:f>
          </x14:formula1>
          <xm:sqref>A5:B5</xm:sqref>
        </x14:dataValidation>
        <x14:dataValidation type="list" allowBlank="1" showInputMessage="1" showErrorMessage="1" xr:uid="{45EB55D9-1F0D-470B-8E03-25C008B3FD3C}">
          <x14:formula1>
            <xm:f>Filters!$B$3:$B$13</xm:f>
          </x14:formula1>
          <xm:sqref>A8:B9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B2AB3-8D06-4C33-B9DA-3E00145E593A}">
  <sheetPr codeName="Blad10">
    <tabColor theme="5"/>
  </sheetPr>
  <dimension ref="A1:XFB106"/>
  <sheetViews>
    <sheetView showGridLines="0" zoomScale="80" zoomScaleNormal="80" workbookViewId="0">
      <selection sqref="A1:C2"/>
    </sheetView>
  </sheetViews>
  <sheetFormatPr defaultColWidth="8.84375" defaultRowHeight="17" x14ac:dyDescent="0.5"/>
  <cols>
    <col min="1" max="1" width="59.07421875" style="178" customWidth="1"/>
    <col min="2" max="2" width="35.4609375" style="178" bestFit="1" customWidth="1"/>
    <col min="3" max="3" width="24.53515625" style="178" bestFit="1" customWidth="1"/>
    <col min="4" max="4" width="24.4609375" style="178" bestFit="1" customWidth="1"/>
    <col min="5" max="5" width="13.07421875" style="178" bestFit="1" customWidth="1"/>
    <col min="6" max="6" width="31.3046875" style="178" bestFit="1" customWidth="1"/>
    <col min="7" max="7" width="24.23046875" style="178" bestFit="1" customWidth="1"/>
    <col min="8" max="16384" width="8.84375" style="178"/>
  </cols>
  <sheetData>
    <row r="1" spans="1:16382" ht="16.5" customHeight="1" x14ac:dyDescent="0.5">
      <c r="A1" s="476" t="s">
        <v>1032</v>
      </c>
      <c r="B1" s="477"/>
      <c r="C1" s="478"/>
      <c r="D1" s="365"/>
      <c r="E1" s="365"/>
    </row>
    <row r="2" spans="1:16382" ht="17.5" thickBot="1" x14ac:dyDescent="0.55000000000000004">
      <c r="A2" s="479"/>
      <c r="B2" s="480"/>
      <c r="C2" s="481"/>
      <c r="D2" s="365"/>
      <c r="E2" s="365"/>
    </row>
    <row r="4" spans="1:16382" s="11" customFormat="1" ht="17.5" thickBot="1" x14ac:dyDescent="0.55000000000000004">
      <c r="A4" s="496" t="s">
        <v>790</v>
      </c>
      <c r="B4" s="496"/>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c r="AW4" s="496"/>
      <c r="AX4" s="496"/>
      <c r="AY4" s="496"/>
      <c r="AZ4" s="496"/>
      <c r="BA4" s="496"/>
      <c r="BB4" s="496"/>
      <c r="BC4" s="496"/>
      <c r="BD4" s="496"/>
      <c r="BE4" s="496"/>
      <c r="BF4" s="496"/>
      <c r="BG4" s="496"/>
      <c r="BH4" s="496"/>
      <c r="BI4" s="496"/>
      <c r="BJ4" s="496"/>
      <c r="BK4" s="496"/>
      <c r="BL4" s="496"/>
      <c r="BM4" s="496"/>
      <c r="BN4" s="496"/>
      <c r="BO4" s="496"/>
      <c r="BP4" s="496"/>
      <c r="BQ4" s="496"/>
      <c r="BR4" s="496"/>
      <c r="BS4" s="496"/>
      <c r="BT4" s="496"/>
      <c r="BU4" s="496"/>
      <c r="BV4" s="496"/>
      <c r="BW4" s="496"/>
      <c r="BX4" s="496"/>
      <c r="BY4" s="496"/>
      <c r="BZ4" s="496"/>
      <c r="CA4" s="496"/>
      <c r="CB4" s="496"/>
      <c r="CC4" s="496"/>
      <c r="CD4" s="496"/>
      <c r="CE4" s="496"/>
      <c r="CF4" s="496"/>
      <c r="CG4" s="496"/>
      <c r="CH4" s="496"/>
      <c r="CI4" s="496"/>
      <c r="CJ4" s="496"/>
      <c r="CK4" s="496"/>
      <c r="CL4" s="496"/>
      <c r="CM4" s="496"/>
      <c r="CN4" s="496"/>
      <c r="CO4" s="496"/>
      <c r="CP4" s="496"/>
      <c r="CQ4" s="496"/>
      <c r="CR4" s="496"/>
      <c r="CS4" s="496"/>
      <c r="CT4" s="496"/>
      <c r="CU4" s="496"/>
      <c r="CV4" s="496"/>
      <c r="CW4" s="496"/>
      <c r="CX4" s="496"/>
      <c r="CY4" s="496"/>
      <c r="CZ4" s="496"/>
      <c r="DA4" s="496"/>
      <c r="DB4" s="496"/>
      <c r="DC4" s="496"/>
      <c r="DD4" s="496"/>
      <c r="DE4" s="496"/>
      <c r="DF4" s="496"/>
      <c r="DG4" s="496"/>
      <c r="DH4" s="496"/>
      <c r="DI4" s="496"/>
      <c r="DJ4" s="496"/>
      <c r="DK4" s="496"/>
      <c r="DL4" s="496"/>
      <c r="DM4" s="496"/>
      <c r="DN4" s="496"/>
      <c r="DO4" s="496"/>
      <c r="DP4" s="496"/>
      <c r="DQ4" s="496"/>
      <c r="DR4" s="496"/>
      <c r="DS4" s="496"/>
      <c r="DT4" s="496"/>
      <c r="DU4" s="496"/>
      <c r="DV4" s="496"/>
      <c r="DW4" s="496"/>
      <c r="DX4" s="496"/>
      <c r="DY4" s="496"/>
      <c r="DZ4" s="496"/>
      <c r="EA4" s="496"/>
      <c r="EB4" s="496"/>
      <c r="EC4" s="496"/>
      <c r="ED4" s="496"/>
      <c r="EE4" s="496"/>
      <c r="EF4" s="496"/>
      <c r="EG4" s="496"/>
      <c r="EH4" s="496"/>
      <c r="EI4" s="496"/>
      <c r="EJ4" s="496"/>
      <c r="EK4" s="496"/>
      <c r="EL4" s="496"/>
      <c r="EM4" s="496"/>
      <c r="EN4" s="496"/>
      <c r="EO4" s="496"/>
      <c r="EP4" s="496"/>
      <c r="EQ4" s="496"/>
      <c r="ER4" s="496"/>
      <c r="ES4" s="496"/>
      <c r="ET4" s="496"/>
      <c r="EU4" s="496"/>
      <c r="EV4" s="496"/>
      <c r="EW4" s="496"/>
      <c r="EX4" s="496"/>
      <c r="EY4" s="496"/>
      <c r="EZ4" s="496"/>
      <c r="FA4" s="496"/>
      <c r="FB4" s="496"/>
      <c r="FC4" s="496"/>
      <c r="FD4" s="496"/>
      <c r="FE4" s="496"/>
      <c r="FF4" s="496"/>
      <c r="FG4" s="496"/>
      <c r="FH4" s="496"/>
      <c r="FI4" s="496"/>
      <c r="FJ4" s="496"/>
      <c r="FK4" s="496"/>
      <c r="FL4" s="496"/>
      <c r="FM4" s="496"/>
      <c r="FN4" s="496"/>
      <c r="FO4" s="496"/>
      <c r="FP4" s="496"/>
      <c r="FQ4" s="496"/>
      <c r="FR4" s="496"/>
      <c r="FS4" s="496"/>
      <c r="FT4" s="496"/>
      <c r="FU4" s="496"/>
      <c r="FV4" s="496"/>
      <c r="FW4" s="496"/>
      <c r="FX4" s="496"/>
      <c r="FY4" s="496"/>
      <c r="FZ4" s="496"/>
      <c r="GA4" s="496"/>
      <c r="GB4" s="496"/>
      <c r="GC4" s="496"/>
      <c r="GD4" s="496"/>
      <c r="GE4" s="496"/>
      <c r="GF4" s="496"/>
      <c r="GG4" s="496"/>
      <c r="GH4" s="496"/>
      <c r="GI4" s="496"/>
      <c r="GJ4" s="496"/>
      <c r="GK4" s="496"/>
      <c r="GL4" s="496"/>
      <c r="GM4" s="496"/>
      <c r="GN4" s="496"/>
      <c r="GO4" s="496"/>
      <c r="GP4" s="496"/>
      <c r="GQ4" s="496"/>
      <c r="GR4" s="496"/>
      <c r="GS4" s="496"/>
      <c r="GT4" s="496"/>
      <c r="GU4" s="496"/>
      <c r="GV4" s="496"/>
      <c r="GW4" s="496"/>
      <c r="GX4" s="496"/>
      <c r="GY4" s="496"/>
      <c r="GZ4" s="496"/>
      <c r="HA4" s="496"/>
      <c r="HB4" s="496"/>
      <c r="HC4" s="496"/>
      <c r="HD4" s="496"/>
      <c r="HE4" s="496"/>
      <c r="HF4" s="496"/>
      <c r="HG4" s="496"/>
      <c r="HH4" s="496"/>
      <c r="HI4" s="496"/>
      <c r="HJ4" s="496"/>
      <c r="HK4" s="496"/>
      <c r="HL4" s="496"/>
      <c r="HM4" s="496"/>
      <c r="HN4" s="496"/>
      <c r="HO4" s="496"/>
      <c r="HP4" s="496"/>
      <c r="HQ4" s="496"/>
      <c r="HR4" s="496"/>
      <c r="HS4" s="496"/>
      <c r="HT4" s="496"/>
      <c r="HU4" s="496"/>
      <c r="HV4" s="496"/>
      <c r="HW4" s="496"/>
      <c r="HX4" s="496"/>
      <c r="HY4" s="496"/>
      <c r="HZ4" s="496"/>
      <c r="IA4" s="496"/>
      <c r="IB4" s="496"/>
      <c r="IC4" s="496"/>
      <c r="ID4" s="496"/>
      <c r="IE4" s="496"/>
      <c r="IF4" s="496"/>
      <c r="IG4" s="496"/>
      <c r="IH4" s="496"/>
      <c r="II4" s="496"/>
      <c r="IJ4" s="496"/>
      <c r="IK4" s="496"/>
      <c r="IL4" s="496"/>
      <c r="IM4" s="496"/>
      <c r="IN4" s="496"/>
      <c r="IO4" s="496"/>
      <c r="IP4" s="496"/>
      <c r="IQ4" s="496"/>
      <c r="IR4" s="496"/>
      <c r="IS4" s="496"/>
      <c r="IT4" s="496"/>
      <c r="IU4" s="496"/>
      <c r="IV4" s="496"/>
      <c r="IW4" s="496"/>
      <c r="IX4" s="496"/>
      <c r="IY4" s="496"/>
      <c r="IZ4" s="496"/>
      <c r="JA4" s="496"/>
      <c r="JB4" s="496"/>
      <c r="JC4" s="496"/>
      <c r="JD4" s="496"/>
      <c r="JE4" s="496"/>
      <c r="JF4" s="496"/>
      <c r="JG4" s="496"/>
      <c r="JH4" s="496"/>
      <c r="JI4" s="496"/>
      <c r="JJ4" s="496"/>
      <c r="JK4" s="496"/>
      <c r="JL4" s="496"/>
      <c r="JM4" s="496"/>
      <c r="JN4" s="496"/>
      <c r="JO4" s="496"/>
      <c r="JP4" s="496"/>
      <c r="JQ4" s="496"/>
      <c r="JR4" s="496"/>
      <c r="JS4" s="496"/>
      <c r="JT4" s="496"/>
      <c r="JU4" s="496"/>
      <c r="JV4" s="496"/>
      <c r="JW4" s="496"/>
      <c r="JX4" s="496"/>
      <c r="JY4" s="496"/>
      <c r="JZ4" s="496"/>
      <c r="KA4" s="496"/>
      <c r="KB4" s="496"/>
      <c r="KC4" s="496"/>
      <c r="KD4" s="496"/>
      <c r="KE4" s="496"/>
      <c r="KF4" s="496"/>
      <c r="KG4" s="496"/>
      <c r="KH4" s="496"/>
      <c r="KI4" s="496"/>
      <c r="KJ4" s="496"/>
      <c r="KK4" s="496"/>
      <c r="KL4" s="496"/>
      <c r="KM4" s="496"/>
      <c r="KN4" s="496"/>
      <c r="KO4" s="496"/>
      <c r="KP4" s="496"/>
      <c r="KQ4" s="496"/>
      <c r="KR4" s="496"/>
      <c r="KS4" s="496"/>
      <c r="KT4" s="496"/>
      <c r="KU4" s="496"/>
      <c r="KV4" s="496"/>
      <c r="KW4" s="496"/>
      <c r="KX4" s="496"/>
      <c r="KY4" s="496"/>
      <c r="KZ4" s="496"/>
      <c r="LA4" s="496"/>
      <c r="LB4" s="496"/>
      <c r="LC4" s="496"/>
      <c r="LD4" s="496"/>
      <c r="LE4" s="496"/>
      <c r="LF4" s="496"/>
      <c r="LG4" s="496"/>
      <c r="LH4" s="496"/>
      <c r="LI4" s="496"/>
      <c r="LJ4" s="496"/>
      <c r="LK4" s="496"/>
      <c r="LL4" s="496"/>
      <c r="LM4" s="496"/>
      <c r="LN4" s="496"/>
      <c r="LO4" s="496"/>
      <c r="LP4" s="496"/>
      <c r="LQ4" s="496"/>
      <c r="LR4" s="496"/>
      <c r="LS4" s="496"/>
      <c r="LT4" s="496"/>
      <c r="LU4" s="496"/>
      <c r="LV4" s="496"/>
      <c r="LW4" s="496"/>
      <c r="LX4" s="496"/>
      <c r="LY4" s="496"/>
      <c r="LZ4" s="496"/>
      <c r="MA4" s="496"/>
      <c r="MB4" s="496"/>
      <c r="MC4" s="496"/>
      <c r="MD4" s="496"/>
      <c r="ME4" s="496"/>
      <c r="MF4" s="496"/>
      <c r="MG4" s="496"/>
      <c r="MH4" s="496"/>
      <c r="MI4" s="496"/>
      <c r="MJ4" s="496"/>
      <c r="MK4" s="496"/>
      <c r="ML4" s="496"/>
      <c r="MM4" s="496"/>
      <c r="MN4" s="496"/>
      <c r="MO4" s="496"/>
      <c r="MP4" s="496"/>
      <c r="MQ4" s="496"/>
      <c r="MR4" s="496"/>
      <c r="MS4" s="496"/>
      <c r="MT4" s="496"/>
      <c r="MU4" s="496"/>
      <c r="MV4" s="496"/>
      <c r="MW4" s="496"/>
      <c r="MX4" s="496"/>
      <c r="MY4" s="496"/>
      <c r="MZ4" s="496"/>
      <c r="NA4" s="496"/>
      <c r="NB4" s="496"/>
      <c r="NC4" s="496"/>
      <c r="ND4" s="496"/>
      <c r="NE4" s="496"/>
      <c r="NF4" s="496"/>
      <c r="NG4" s="496"/>
      <c r="NH4" s="496"/>
      <c r="NI4" s="496"/>
      <c r="NJ4" s="496"/>
      <c r="NK4" s="496"/>
      <c r="NL4" s="496"/>
      <c r="NM4" s="496"/>
      <c r="NN4" s="496"/>
      <c r="NO4" s="496"/>
      <c r="NP4" s="496"/>
      <c r="NQ4" s="496"/>
      <c r="NR4" s="496"/>
      <c r="NS4" s="496"/>
      <c r="NT4" s="496"/>
      <c r="NU4" s="496"/>
      <c r="NV4" s="496"/>
      <c r="NW4" s="496"/>
      <c r="NX4" s="496"/>
      <c r="NY4" s="496"/>
      <c r="NZ4" s="496"/>
      <c r="OA4" s="496"/>
      <c r="OB4" s="496"/>
      <c r="OC4" s="496"/>
      <c r="OD4" s="496"/>
      <c r="OE4" s="496"/>
      <c r="OF4" s="496"/>
      <c r="OG4" s="496"/>
      <c r="OH4" s="496"/>
      <c r="OI4" s="496"/>
      <c r="OJ4" s="496"/>
      <c r="OK4" s="496"/>
      <c r="OL4" s="496"/>
      <c r="OM4" s="496"/>
      <c r="ON4" s="496"/>
      <c r="OO4" s="496"/>
      <c r="OP4" s="496"/>
      <c r="OQ4" s="496"/>
      <c r="OR4" s="496"/>
      <c r="OS4" s="496"/>
      <c r="OT4" s="496"/>
      <c r="OU4" s="496"/>
      <c r="OV4" s="496"/>
      <c r="OW4" s="496"/>
      <c r="OX4" s="496"/>
      <c r="OY4" s="496"/>
      <c r="OZ4" s="496"/>
      <c r="PA4" s="496"/>
      <c r="PB4" s="496"/>
      <c r="PC4" s="496"/>
      <c r="PD4" s="496"/>
      <c r="PE4" s="496"/>
      <c r="PF4" s="496"/>
      <c r="PG4" s="496"/>
      <c r="PH4" s="496"/>
      <c r="PI4" s="496"/>
      <c r="PJ4" s="496"/>
      <c r="PK4" s="496"/>
      <c r="PL4" s="496"/>
      <c r="PM4" s="496"/>
      <c r="PN4" s="496"/>
      <c r="PO4" s="496"/>
      <c r="PP4" s="496"/>
      <c r="PQ4" s="496"/>
      <c r="PR4" s="496"/>
      <c r="PS4" s="496"/>
      <c r="PT4" s="496"/>
      <c r="PU4" s="496"/>
      <c r="PV4" s="496"/>
      <c r="PW4" s="496"/>
      <c r="PX4" s="496"/>
      <c r="PY4" s="496"/>
      <c r="PZ4" s="496"/>
      <c r="QA4" s="496"/>
      <c r="QB4" s="496"/>
      <c r="QC4" s="496"/>
      <c r="QD4" s="496"/>
      <c r="QE4" s="496"/>
      <c r="QF4" s="496"/>
      <c r="QG4" s="496"/>
      <c r="QH4" s="496"/>
      <c r="QI4" s="496"/>
      <c r="QJ4" s="496"/>
      <c r="QK4" s="496"/>
      <c r="QL4" s="496"/>
      <c r="QM4" s="496"/>
      <c r="QN4" s="496"/>
      <c r="QO4" s="496"/>
      <c r="QP4" s="496"/>
      <c r="QQ4" s="496"/>
      <c r="QR4" s="496"/>
      <c r="QS4" s="496"/>
      <c r="QT4" s="496"/>
      <c r="QU4" s="496"/>
      <c r="QV4" s="496"/>
      <c r="QW4" s="496"/>
      <c r="QX4" s="496"/>
      <c r="QY4" s="496"/>
      <c r="QZ4" s="496"/>
      <c r="RA4" s="496"/>
      <c r="RB4" s="496"/>
      <c r="RC4" s="496"/>
      <c r="RD4" s="496"/>
      <c r="RE4" s="496"/>
      <c r="RF4" s="496"/>
      <c r="RG4" s="496"/>
      <c r="RH4" s="496"/>
      <c r="RI4" s="496"/>
      <c r="RJ4" s="496"/>
      <c r="RK4" s="496"/>
      <c r="RL4" s="496"/>
      <c r="RM4" s="496"/>
      <c r="RN4" s="496"/>
      <c r="RO4" s="496"/>
      <c r="RP4" s="496"/>
      <c r="RQ4" s="496"/>
      <c r="RR4" s="496"/>
      <c r="RS4" s="496"/>
      <c r="RT4" s="496"/>
      <c r="RU4" s="496"/>
      <c r="RV4" s="496"/>
      <c r="RW4" s="496"/>
      <c r="RX4" s="496"/>
      <c r="RY4" s="496"/>
      <c r="RZ4" s="496"/>
      <c r="SA4" s="496"/>
      <c r="SB4" s="496"/>
      <c r="SC4" s="496"/>
      <c r="SD4" s="496"/>
      <c r="SE4" s="496"/>
      <c r="SF4" s="496"/>
      <c r="SG4" s="496"/>
      <c r="SH4" s="496"/>
      <c r="SI4" s="496"/>
      <c r="SJ4" s="496"/>
      <c r="SK4" s="496"/>
      <c r="SL4" s="496"/>
      <c r="SM4" s="496"/>
      <c r="SN4" s="496"/>
      <c r="SO4" s="496"/>
      <c r="SP4" s="496"/>
      <c r="SQ4" s="496"/>
      <c r="SR4" s="496"/>
      <c r="SS4" s="496"/>
      <c r="ST4" s="496"/>
      <c r="SU4" s="496"/>
      <c r="SV4" s="496"/>
      <c r="SW4" s="496"/>
      <c r="SX4" s="496"/>
      <c r="SY4" s="496"/>
      <c r="SZ4" s="496"/>
      <c r="TA4" s="496"/>
      <c r="TB4" s="496"/>
      <c r="TC4" s="496"/>
      <c r="TD4" s="496"/>
      <c r="TE4" s="496"/>
      <c r="TF4" s="496"/>
      <c r="TG4" s="496"/>
      <c r="TH4" s="496"/>
      <c r="TI4" s="496"/>
      <c r="TJ4" s="496"/>
      <c r="TK4" s="496"/>
      <c r="TL4" s="496"/>
      <c r="TM4" s="496"/>
      <c r="TN4" s="496"/>
      <c r="TO4" s="496"/>
      <c r="TP4" s="496"/>
      <c r="TQ4" s="496"/>
      <c r="TR4" s="496"/>
      <c r="TS4" s="496"/>
      <c r="TT4" s="496"/>
      <c r="TU4" s="496"/>
      <c r="TV4" s="496"/>
      <c r="TW4" s="496"/>
      <c r="TX4" s="496"/>
      <c r="TY4" s="496"/>
      <c r="TZ4" s="496"/>
      <c r="UA4" s="496"/>
      <c r="UB4" s="496"/>
      <c r="UC4" s="496"/>
      <c r="UD4" s="496"/>
      <c r="UE4" s="496"/>
      <c r="UF4" s="496"/>
      <c r="UG4" s="496"/>
      <c r="UH4" s="496"/>
      <c r="UI4" s="496"/>
      <c r="UJ4" s="496"/>
      <c r="UK4" s="496"/>
      <c r="UL4" s="496"/>
      <c r="UM4" s="496"/>
      <c r="UN4" s="496"/>
      <c r="UO4" s="496"/>
      <c r="UP4" s="496"/>
      <c r="UQ4" s="496"/>
      <c r="UR4" s="496"/>
      <c r="US4" s="496"/>
      <c r="UT4" s="496"/>
      <c r="UU4" s="496"/>
      <c r="UV4" s="496"/>
      <c r="UW4" s="496"/>
      <c r="UX4" s="496"/>
      <c r="UY4" s="496"/>
      <c r="UZ4" s="496"/>
      <c r="VA4" s="496"/>
      <c r="VB4" s="496"/>
      <c r="VC4" s="496"/>
      <c r="VD4" s="496"/>
      <c r="VE4" s="496"/>
      <c r="VF4" s="496"/>
      <c r="VG4" s="496"/>
      <c r="VH4" s="496"/>
      <c r="VI4" s="496"/>
      <c r="VJ4" s="496"/>
      <c r="VK4" s="496"/>
      <c r="VL4" s="496"/>
      <c r="VM4" s="496"/>
      <c r="VN4" s="496"/>
      <c r="VO4" s="496"/>
      <c r="VP4" s="496"/>
      <c r="VQ4" s="496"/>
      <c r="VR4" s="496"/>
      <c r="VS4" s="496"/>
      <c r="VT4" s="496"/>
      <c r="VU4" s="496"/>
      <c r="VV4" s="496"/>
      <c r="VW4" s="496"/>
      <c r="VX4" s="496"/>
      <c r="VY4" s="496"/>
      <c r="VZ4" s="496"/>
      <c r="WA4" s="496"/>
      <c r="WB4" s="496"/>
      <c r="WC4" s="496"/>
      <c r="WD4" s="496"/>
      <c r="WE4" s="496"/>
      <c r="WF4" s="496"/>
      <c r="WG4" s="496"/>
      <c r="WH4" s="496"/>
      <c r="WI4" s="496"/>
      <c r="WJ4" s="496"/>
      <c r="WK4" s="496"/>
      <c r="WL4" s="496"/>
      <c r="WM4" s="496"/>
      <c r="WN4" s="496"/>
      <c r="WO4" s="496"/>
      <c r="WP4" s="496"/>
      <c r="WQ4" s="496"/>
      <c r="WR4" s="496"/>
      <c r="WS4" s="496"/>
      <c r="WT4" s="496"/>
      <c r="WU4" s="496"/>
      <c r="WV4" s="496"/>
      <c r="WW4" s="496"/>
      <c r="WX4" s="496"/>
      <c r="WY4" s="496"/>
      <c r="WZ4" s="496"/>
      <c r="XA4" s="496"/>
      <c r="XB4" s="496"/>
      <c r="XC4" s="496"/>
      <c r="XD4" s="496"/>
      <c r="XE4" s="496"/>
      <c r="XF4" s="496"/>
      <c r="XG4" s="496"/>
      <c r="XH4" s="496"/>
      <c r="XI4" s="496"/>
      <c r="XJ4" s="496"/>
      <c r="XK4" s="496"/>
      <c r="XL4" s="496"/>
      <c r="XM4" s="496"/>
      <c r="XN4" s="496"/>
      <c r="XO4" s="496"/>
      <c r="XP4" s="496"/>
      <c r="XQ4" s="496"/>
      <c r="XR4" s="496"/>
      <c r="XS4" s="496"/>
      <c r="XT4" s="496"/>
      <c r="XU4" s="496"/>
      <c r="XV4" s="496"/>
      <c r="XW4" s="496"/>
      <c r="XX4" s="496"/>
      <c r="XY4" s="496"/>
      <c r="XZ4" s="496"/>
      <c r="YA4" s="496"/>
      <c r="YB4" s="496"/>
      <c r="YC4" s="496"/>
      <c r="YD4" s="496"/>
      <c r="YE4" s="496"/>
      <c r="YF4" s="496"/>
      <c r="YG4" s="496"/>
      <c r="YH4" s="496"/>
      <c r="YI4" s="496"/>
      <c r="YJ4" s="496"/>
      <c r="YK4" s="496"/>
      <c r="YL4" s="496"/>
      <c r="YM4" s="496"/>
      <c r="YN4" s="496"/>
      <c r="YO4" s="496"/>
      <c r="YP4" s="496"/>
      <c r="YQ4" s="496"/>
      <c r="YR4" s="496"/>
      <c r="YS4" s="496"/>
      <c r="YT4" s="496"/>
      <c r="YU4" s="496"/>
      <c r="YV4" s="496"/>
      <c r="YW4" s="496"/>
      <c r="YX4" s="496"/>
      <c r="YY4" s="496"/>
      <c r="YZ4" s="496"/>
      <c r="ZA4" s="496"/>
      <c r="ZB4" s="496"/>
      <c r="ZC4" s="496"/>
      <c r="ZD4" s="496"/>
      <c r="ZE4" s="496"/>
      <c r="ZF4" s="496"/>
      <c r="ZG4" s="496"/>
      <c r="ZH4" s="496"/>
      <c r="ZI4" s="496"/>
      <c r="ZJ4" s="496"/>
      <c r="ZK4" s="496"/>
      <c r="ZL4" s="496"/>
      <c r="ZM4" s="496"/>
      <c r="ZN4" s="496"/>
      <c r="ZO4" s="496"/>
      <c r="ZP4" s="496"/>
      <c r="ZQ4" s="496"/>
      <c r="ZR4" s="496"/>
      <c r="ZS4" s="496"/>
      <c r="ZT4" s="496"/>
      <c r="ZU4" s="496"/>
      <c r="ZV4" s="496"/>
      <c r="ZW4" s="496"/>
      <c r="ZX4" s="496"/>
      <c r="ZY4" s="496"/>
      <c r="ZZ4" s="496"/>
      <c r="AAA4" s="496"/>
      <c r="AAB4" s="496"/>
      <c r="AAC4" s="496"/>
      <c r="AAD4" s="496"/>
      <c r="AAE4" s="496"/>
      <c r="AAF4" s="496"/>
      <c r="AAG4" s="496"/>
      <c r="AAH4" s="496"/>
      <c r="AAI4" s="496"/>
      <c r="AAJ4" s="496"/>
      <c r="AAK4" s="496"/>
      <c r="AAL4" s="496"/>
      <c r="AAM4" s="496"/>
      <c r="AAN4" s="496"/>
      <c r="AAO4" s="496"/>
      <c r="AAP4" s="496"/>
      <c r="AAQ4" s="496"/>
      <c r="AAR4" s="496"/>
      <c r="AAS4" s="496"/>
      <c r="AAT4" s="496"/>
      <c r="AAU4" s="496"/>
      <c r="AAV4" s="496"/>
      <c r="AAW4" s="496"/>
      <c r="AAX4" s="496"/>
      <c r="AAY4" s="496"/>
      <c r="AAZ4" s="496"/>
      <c r="ABA4" s="496"/>
      <c r="ABB4" s="496"/>
      <c r="ABC4" s="496"/>
      <c r="ABD4" s="496"/>
      <c r="ABE4" s="496"/>
      <c r="ABF4" s="496"/>
      <c r="ABG4" s="496"/>
      <c r="ABH4" s="496"/>
      <c r="ABI4" s="496"/>
      <c r="ABJ4" s="496"/>
      <c r="ABK4" s="496"/>
      <c r="ABL4" s="496"/>
      <c r="ABM4" s="496"/>
      <c r="ABN4" s="496"/>
      <c r="ABO4" s="496"/>
      <c r="ABP4" s="496"/>
      <c r="ABQ4" s="496"/>
      <c r="ABR4" s="496"/>
      <c r="ABS4" s="496"/>
      <c r="ABT4" s="496"/>
      <c r="ABU4" s="496"/>
      <c r="ABV4" s="496"/>
      <c r="ABW4" s="496"/>
      <c r="ABX4" s="496"/>
      <c r="ABY4" s="496"/>
      <c r="ABZ4" s="496"/>
      <c r="ACA4" s="496"/>
      <c r="ACB4" s="496"/>
      <c r="ACC4" s="496"/>
      <c r="ACD4" s="496"/>
      <c r="ACE4" s="496"/>
      <c r="ACF4" s="496"/>
      <c r="ACG4" s="496"/>
      <c r="ACH4" s="496"/>
      <c r="ACI4" s="496"/>
      <c r="ACJ4" s="496"/>
      <c r="ACK4" s="496"/>
      <c r="ACL4" s="496"/>
      <c r="ACM4" s="496"/>
      <c r="ACN4" s="496"/>
      <c r="ACO4" s="496"/>
      <c r="ACP4" s="496"/>
      <c r="ACQ4" s="496"/>
      <c r="ACR4" s="496"/>
      <c r="ACS4" s="496"/>
      <c r="ACT4" s="496"/>
      <c r="ACU4" s="496"/>
      <c r="ACV4" s="496"/>
      <c r="ACW4" s="496"/>
      <c r="ACX4" s="496"/>
      <c r="ACY4" s="496"/>
      <c r="ACZ4" s="496"/>
      <c r="ADA4" s="496"/>
      <c r="ADB4" s="496"/>
      <c r="ADC4" s="496"/>
      <c r="ADD4" s="496"/>
      <c r="ADE4" s="496"/>
      <c r="ADF4" s="496"/>
      <c r="ADG4" s="496"/>
      <c r="ADH4" s="496"/>
      <c r="ADI4" s="496"/>
      <c r="ADJ4" s="496"/>
      <c r="ADK4" s="496"/>
      <c r="ADL4" s="496"/>
      <c r="ADM4" s="496"/>
      <c r="ADN4" s="496"/>
      <c r="ADO4" s="496"/>
      <c r="ADP4" s="496"/>
      <c r="ADQ4" s="496"/>
      <c r="ADR4" s="496"/>
      <c r="ADS4" s="496"/>
      <c r="ADT4" s="496"/>
      <c r="ADU4" s="496"/>
      <c r="ADV4" s="496"/>
      <c r="ADW4" s="496"/>
      <c r="ADX4" s="496"/>
      <c r="ADY4" s="496"/>
      <c r="ADZ4" s="496"/>
      <c r="AEA4" s="496"/>
      <c r="AEB4" s="496"/>
      <c r="AEC4" s="496"/>
      <c r="AED4" s="496"/>
      <c r="AEE4" s="496"/>
      <c r="AEF4" s="496"/>
      <c r="AEG4" s="496"/>
      <c r="AEH4" s="496"/>
      <c r="AEI4" s="496"/>
      <c r="AEJ4" s="496"/>
      <c r="AEK4" s="496"/>
      <c r="AEL4" s="496"/>
      <c r="AEM4" s="496"/>
      <c r="AEN4" s="496"/>
      <c r="AEO4" s="496"/>
      <c r="AEP4" s="496"/>
      <c r="AEQ4" s="496"/>
      <c r="AER4" s="496"/>
      <c r="AES4" s="496"/>
      <c r="AET4" s="496"/>
      <c r="AEU4" s="496"/>
      <c r="AEV4" s="496"/>
      <c r="AEW4" s="496"/>
      <c r="AEX4" s="496"/>
      <c r="AEY4" s="496"/>
      <c r="AEZ4" s="496"/>
      <c r="AFA4" s="496"/>
      <c r="AFB4" s="496"/>
      <c r="AFC4" s="496"/>
      <c r="AFD4" s="496"/>
      <c r="AFE4" s="496"/>
      <c r="AFF4" s="496"/>
      <c r="AFG4" s="496"/>
      <c r="AFH4" s="496"/>
      <c r="AFI4" s="496"/>
      <c r="AFJ4" s="496"/>
      <c r="AFK4" s="496"/>
      <c r="AFL4" s="496"/>
      <c r="AFM4" s="496"/>
      <c r="AFN4" s="496"/>
      <c r="AFO4" s="496"/>
      <c r="AFP4" s="496"/>
      <c r="AFQ4" s="496"/>
      <c r="AFR4" s="496"/>
      <c r="AFS4" s="496"/>
      <c r="AFT4" s="496"/>
      <c r="AFU4" s="496"/>
      <c r="AFV4" s="496"/>
      <c r="AFW4" s="496"/>
      <c r="AFX4" s="496"/>
      <c r="AFY4" s="496"/>
      <c r="AFZ4" s="496"/>
      <c r="AGA4" s="496"/>
      <c r="AGB4" s="496"/>
      <c r="AGC4" s="496"/>
      <c r="AGD4" s="496"/>
      <c r="AGE4" s="496"/>
      <c r="AGF4" s="496"/>
      <c r="AGG4" s="496"/>
      <c r="AGH4" s="496"/>
      <c r="AGI4" s="496"/>
      <c r="AGJ4" s="496"/>
      <c r="AGK4" s="496"/>
      <c r="AGL4" s="496"/>
      <c r="AGM4" s="496"/>
      <c r="AGN4" s="496"/>
      <c r="AGO4" s="496"/>
      <c r="AGP4" s="496"/>
      <c r="AGQ4" s="496"/>
      <c r="AGR4" s="496"/>
      <c r="AGS4" s="496"/>
      <c r="AGT4" s="496"/>
      <c r="AGU4" s="496"/>
      <c r="AGV4" s="496"/>
      <c r="AGW4" s="496"/>
      <c r="AGX4" s="496"/>
      <c r="AGY4" s="496"/>
      <c r="AGZ4" s="496"/>
      <c r="AHA4" s="496"/>
      <c r="AHB4" s="496"/>
      <c r="AHC4" s="496"/>
      <c r="AHD4" s="496"/>
      <c r="AHE4" s="496"/>
      <c r="AHF4" s="496"/>
      <c r="AHG4" s="496"/>
      <c r="AHH4" s="496"/>
      <c r="AHI4" s="496"/>
      <c r="AHJ4" s="496"/>
      <c r="AHK4" s="496"/>
      <c r="AHL4" s="496"/>
      <c r="AHM4" s="496"/>
      <c r="AHN4" s="496"/>
      <c r="AHO4" s="496"/>
      <c r="AHP4" s="496"/>
      <c r="AHQ4" s="496"/>
      <c r="AHR4" s="496"/>
      <c r="AHS4" s="496"/>
      <c r="AHT4" s="496"/>
      <c r="AHU4" s="496"/>
      <c r="AHV4" s="496"/>
      <c r="AHW4" s="496"/>
      <c r="AHX4" s="496"/>
      <c r="AHY4" s="496"/>
      <c r="AHZ4" s="496"/>
      <c r="AIA4" s="496"/>
      <c r="AIB4" s="496"/>
      <c r="AIC4" s="496"/>
      <c r="AID4" s="496"/>
      <c r="AIE4" s="496"/>
      <c r="AIF4" s="496"/>
      <c r="AIG4" s="496"/>
      <c r="AIH4" s="496"/>
      <c r="AII4" s="496"/>
      <c r="AIJ4" s="496"/>
      <c r="AIK4" s="496"/>
      <c r="AIL4" s="496"/>
      <c r="AIM4" s="496"/>
      <c r="AIN4" s="496"/>
      <c r="AIO4" s="496"/>
      <c r="AIP4" s="496"/>
      <c r="AIQ4" s="496"/>
      <c r="AIR4" s="496"/>
      <c r="AIS4" s="496"/>
      <c r="AIT4" s="496"/>
      <c r="AIU4" s="496"/>
      <c r="AIV4" s="496"/>
      <c r="AIW4" s="496"/>
      <c r="AIX4" s="496"/>
      <c r="AIY4" s="496"/>
      <c r="AIZ4" s="496"/>
      <c r="AJA4" s="496"/>
      <c r="AJB4" s="496"/>
      <c r="AJC4" s="496"/>
      <c r="AJD4" s="496"/>
      <c r="AJE4" s="496"/>
      <c r="AJF4" s="496"/>
      <c r="AJG4" s="496"/>
      <c r="AJH4" s="496"/>
      <c r="AJI4" s="496"/>
      <c r="AJJ4" s="496"/>
      <c r="AJK4" s="496"/>
      <c r="AJL4" s="496"/>
      <c r="AJM4" s="496"/>
      <c r="AJN4" s="496"/>
      <c r="AJO4" s="496"/>
      <c r="AJP4" s="496"/>
      <c r="AJQ4" s="496"/>
      <c r="AJR4" s="496"/>
      <c r="AJS4" s="496"/>
      <c r="AJT4" s="496"/>
      <c r="AJU4" s="496"/>
      <c r="AJV4" s="496"/>
      <c r="AJW4" s="496"/>
      <c r="AJX4" s="496"/>
      <c r="AJY4" s="496"/>
      <c r="AJZ4" s="496"/>
      <c r="AKA4" s="496"/>
      <c r="AKB4" s="496"/>
      <c r="AKC4" s="496"/>
      <c r="AKD4" s="496"/>
      <c r="AKE4" s="496"/>
      <c r="AKF4" s="496"/>
      <c r="AKG4" s="496"/>
      <c r="AKH4" s="496"/>
      <c r="AKI4" s="496"/>
      <c r="AKJ4" s="496"/>
      <c r="AKK4" s="496"/>
      <c r="AKL4" s="496"/>
      <c r="AKM4" s="496"/>
      <c r="AKN4" s="496"/>
      <c r="AKO4" s="496"/>
      <c r="AKP4" s="496"/>
      <c r="AKQ4" s="496"/>
      <c r="AKR4" s="496"/>
      <c r="AKS4" s="496"/>
      <c r="AKT4" s="496"/>
      <c r="AKU4" s="496"/>
      <c r="AKV4" s="496"/>
      <c r="AKW4" s="496"/>
      <c r="AKX4" s="496"/>
      <c r="AKY4" s="496"/>
      <c r="AKZ4" s="496"/>
      <c r="ALA4" s="496"/>
      <c r="ALB4" s="496"/>
      <c r="ALC4" s="496"/>
      <c r="ALD4" s="496"/>
      <c r="ALE4" s="496"/>
      <c r="ALF4" s="496"/>
      <c r="ALG4" s="496"/>
      <c r="ALH4" s="496"/>
      <c r="ALI4" s="496"/>
      <c r="ALJ4" s="496"/>
      <c r="ALK4" s="496"/>
      <c r="ALL4" s="496"/>
      <c r="ALM4" s="496"/>
      <c r="ALN4" s="496"/>
      <c r="ALO4" s="496"/>
      <c r="ALP4" s="496"/>
      <c r="ALQ4" s="496"/>
      <c r="ALR4" s="496"/>
      <c r="ALS4" s="496"/>
      <c r="ALT4" s="496"/>
      <c r="ALU4" s="496"/>
      <c r="ALV4" s="496"/>
      <c r="ALW4" s="496"/>
      <c r="ALX4" s="496"/>
      <c r="ALY4" s="496"/>
      <c r="ALZ4" s="496"/>
      <c r="AMA4" s="496"/>
      <c r="AMB4" s="496"/>
      <c r="AMC4" s="496"/>
      <c r="AMD4" s="496"/>
      <c r="AME4" s="496"/>
      <c r="AMF4" s="496"/>
      <c r="AMG4" s="496"/>
      <c r="AMH4" s="496"/>
      <c r="AMI4" s="496"/>
      <c r="AMJ4" s="496"/>
      <c r="AMK4" s="496"/>
      <c r="AML4" s="496"/>
      <c r="AMM4" s="496"/>
      <c r="AMN4" s="496"/>
      <c r="AMO4" s="496"/>
      <c r="AMP4" s="496"/>
      <c r="AMQ4" s="496"/>
      <c r="AMR4" s="496"/>
      <c r="AMS4" s="496"/>
      <c r="AMT4" s="496"/>
      <c r="AMU4" s="496"/>
      <c r="AMV4" s="496"/>
      <c r="AMW4" s="496"/>
      <c r="AMX4" s="496"/>
      <c r="AMY4" s="496"/>
      <c r="AMZ4" s="496"/>
      <c r="ANA4" s="496"/>
      <c r="ANB4" s="496"/>
      <c r="ANC4" s="496"/>
      <c r="AND4" s="496"/>
      <c r="ANE4" s="496"/>
      <c r="ANF4" s="496"/>
      <c r="ANG4" s="496"/>
      <c r="ANH4" s="496"/>
      <c r="ANI4" s="496"/>
      <c r="ANJ4" s="496"/>
      <c r="ANK4" s="496"/>
      <c r="ANL4" s="496"/>
      <c r="ANM4" s="496"/>
      <c r="ANN4" s="496"/>
      <c r="ANO4" s="496"/>
      <c r="ANP4" s="496"/>
      <c r="ANQ4" s="496"/>
      <c r="ANR4" s="496"/>
      <c r="ANS4" s="496"/>
      <c r="ANT4" s="496"/>
      <c r="ANU4" s="496"/>
      <c r="ANV4" s="496"/>
      <c r="ANW4" s="496"/>
      <c r="ANX4" s="496"/>
      <c r="ANY4" s="496"/>
      <c r="ANZ4" s="496"/>
      <c r="AOA4" s="496"/>
      <c r="AOB4" s="496"/>
      <c r="AOC4" s="496"/>
      <c r="AOD4" s="496"/>
      <c r="AOE4" s="496"/>
      <c r="AOF4" s="496"/>
      <c r="AOG4" s="496"/>
      <c r="AOH4" s="496"/>
      <c r="AOI4" s="496"/>
      <c r="AOJ4" s="496"/>
      <c r="AOK4" s="496"/>
      <c r="AOL4" s="496"/>
      <c r="AOM4" s="496"/>
      <c r="AON4" s="496"/>
      <c r="AOO4" s="496"/>
      <c r="AOP4" s="496"/>
      <c r="AOQ4" s="496"/>
      <c r="AOR4" s="496"/>
      <c r="AOS4" s="496"/>
      <c r="AOT4" s="496"/>
      <c r="AOU4" s="496"/>
      <c r="AOV4" s="496"/>
      <c r="AOW4" s="496"/>
      <c r="AOX4" s="496"/>
      <c r="AOY4" s="496"/>
      <c r="AOZ4" s="496"/>
      <c r="APA4" s="496"/>
      <c r="APB4" s="496"/>
      <c r="APC4" s="496"/>
      <c r="APD4" s="496"/>
      <c r="APE4" s="496"/>
      <c r="APF4" s="496"/>
      <c r="APG4" s="496"/>
      <c r="APH4" s="496"/>
      <c r="API4" s="496"/>
      <c r="APJ4" s="496"/>
      <c r="APK4" s="496"/>
      <c r="APL4" s="496"/>
      <c r="APM4" s="496"/>
      <c r="APN4" s="496"/>
      <c r="APO4" s="496"/>
      <c r="APP4" s="496"/>
      <c r="APQ4" s="496"/>
      <c r="APR4" s="496"/>
      <c r="APS4" s="496"/>
      <c r="APT4" s="496"/>
      <c r="APU4" s="496"/>
      <c r="APV4" s="496"/>
      <c r="APW4" s="496"/>
      <c r="APX4" s="496"/>
      <c r="APY4" s="496"/>
      <c r="APZ4" s="496"/>
      <c r="AQA4" s="496"/>
      <c r="AQB4" s="496"/>
      <c r="AQC4" s="496"/>
      <c r="AQD4" s="496"/>
      <c r="AQE4" s="496"/>
      <c r="AQF4" s="496"/>
      <c r="AQG4" s="496"/>
      <c r="AQH4" s="496"/>
      <c r="AQI4" s="496"/>
      <c r="AQJ4" s="496"/>
      <c r="AQK4" s="496"/>
      <c r="AQL4" s="496"/>
      <c r="AQM4" s="496"/>
      <c r="AQN4" s="496"/>
      <c r="AQO4" s="496"/>
      <c r="AQP4" s="496"/>
      <c r="AQQ4" s="496"/>
      <c r="AQR4" s="496"/>
      <c r="AQS4" s="496"/>
      <c r="AQT4" s="496"/>
      <c r="AQU4" s="496"/>
      <c r="AQV4" s="496"/>
      <c r="AQW4" s="496"/>
      <c r="AQX4" s="496"/>
      <c r="AQY4" s="496"/>
      <c r="AQZ4" s="496"/>
      <c r="ARA4" s="496"/>
      <c r="ARB4" s="496"/>
      <c r="ARC4" s="496"/>
      <c r="ARD4" s="496"/>
      <c r="ARE4" s="496"/>
      <c r="ARF4" s="496"/>
      <c r="ARG4" s="496"/>
      <c r="ARH4" s="496"/>
      <c r="ARI4" s="496"/>
      <c r="ARJ4" s="496"/>
      <c r="ARK4" s="496"/>
      <c r="ARL4" s="496"/>
      <c r="ARM4" s="496"/>
      <c r="ARN4" s="496"/>
      <c r="ARO4" s="496"/>
      <c r="ARP4" s="496"/>
      <c r="ARQ4" s="496"/>
      <c r="ARR4" s="496"/>
      <c r="ARS4" s="496"/>
      <c r="ART4" s="496"/>
      <c r="ARU4" s="496"/>
      <c r="ARV4" s="496"/>
      <c r="ARW4" s="496"/>
      <c r="ARX4" s="496"/>
      <c r="ARY4" s="496"/>
      <c r="ARZ4" s="496"/>
      <c r="ASA4" s="496"/>
      <c r="ASB4" s="496"/>
      <c r="ASC4" s="496"/>
      <c r="ASD4" s="496"/>
      <c r="ASE4" s="496"/>
      <c r="ASF4" s="496"/>
      <c r="ASG4" s="496"/>
      <c r="ASH4" s="496"/>
      <c r="ASI4" s="496"/>
      <c r="ASJ4" s="496"/>
      <c r="ASK4" s="496"/>
      <c r="ASL4" s="496"/>
      <c r="ASM4" s="496"/>
      <c r="ASN4" s="496"/>
      <c r="ASO4" s="496"/>
      <c r="ASP4" s="496"/>
      <c r="ASQ4" s="496"/>
      <c r="ASR4" s="496"/>
      <c r="ASS4" s="496"/>
      <c r="AST4" s="496"/>
      <c r="ASU4" s="496"/>
      <c r="ASV4" s="496"/>
      <c r="ASW4" s="496"/>
      <c r="ASX4" s="496"/>
      <c r="ASY4" s="496"/>
      <c r="ASZ4" s="496"/>
      <c r="ATA4" s="496"/>
      <c r="ATB4" s="496"/>
      <c r="ATC4" s="496"/>
      <c r="ATD4" s="496"/>
      <c r="ATE4" s="496"/>
      <c r="ATF4" s="496"/>
      <c r="ATG4" s="496"/>
      <c r="ATH4" s="496"/>
      <c r="ATI4" s="496"/>
      <c r="ATJ4" s="496"/>
      <c r="ATK4" s="496"/>
      <c r="ATL4" s="496"/>
      <c r="ATM4" s="496"/>
      <c r="ATN4" s="496"/>
      <c r="ATO4" s="496"/>
      <c r="ATP4" s="496"/>
      <c r="ATQ4" s="496"/>
      <c r="ATR4" s="496"/>
      <c r="ATS4" s="496"/>
      <c r="ATT4" s="496"/>
      <c r="ATU4" s="496"/>
      <c r="ATV4" s="496"/>
      <c r="ATW4" s="496"/>
      <c r="ATX4" s="496"/>
      <c r="ATY4" s="496"/>
      <c r="ATZ4" s="496"/>
      <c r="AUA4" s="496"/>
      <c r="AUB4" s="496"/>
      <c r="AUC4" s="496"/>
      <c r="AUD4" s="496"/>
      <c r="AUE4" s="496"/>
      <c r="AUF4" s="496"/>
      <c r="AUG4" s="496"/>
      <c r="AUH4" s="496"/>
      <c r="AUI4" s="496"/>
      <c r="AUJ4" s="496"/>
      <c r="AUK4" s="496"/>
      <c r="AUL4" s="496"/>
      <c r="AUM4" s="496"/>
      <c r="AUN4" s="496"/>
      <c r="AUO4" s="496"/>
      <c r="AUP4" s="496"/>
      <c r="AUQ4" s="496"/>
      <c r="AUR4" s="496"/>
      <c r="AUS4" s="496"/>
      <c r="AUT4" s="496"/>
      <c r="AUU4" s="496"/>
      <c r="AUV4" s="496"/>
      <c r="AUW4" s="496"/>
      <c r="AUX4" s="496"/>
      <c r="AUY4" s="496"/>
      <c r="AUZ4" s="496"/>
      <c r="AVA4" s="496"/>
      <c r="AVB4" s="496"/>
      <c r="AVC4" s="496"/>
      <c r="AVD4" s="496"/>
      <c r="AVE4" s="496"/>
      <c r="AVF4" s="496"/>
      <c r="AVG4" s="496"/>
      <c r="AVH4" s="496"/>
      <c r="AVI4" s="496"/>
      <c r="AVJ4" s="496"/>
      <c r="AVK4" s="496"/>
      <c r="AVL4" s="496"/>
      <c r="AVM4" s="496"/>
      <c r="AVN4" s="496"/>
      <c r="AVO4" s="496"/>
      <c r="AVP4" s="496"/>
      <c r="AVQ4" s="496"/>
      <c r="AVR4" s="496"/>
      <c r="AVS4" s="496"/>
      <c r="AVT4" s="496"/>
      <c r="AVU4" s="496"/>
      <c r="AVV4" s="496"/>
      <c r="AVW4" s="496"/>
      <c r="AVX4" s="496"/>
      <c r="AVY4" s="496"/>
      <c r="AVZ4" s="496"/>
      <c r="AWA4" s="496"/>
      <c r="AWB4" s="496"/>
      <c r="AWC4" s="496"/>
      <c r="AWD4" s="496"/>
      <c r="AWE4" s="496"/>
      <c r="AWF4" s="496"/>
      <c r="AWG4" s="496"/>
      <c r="AWH4" s="496"/>
      <c r="AWI4" s="496"/>
      <c r="AWJ4" s="496"/>
      <c r="AWK4" s="496"/>
      <c r="AWL4" s="496"/>
      <c r="AWM4" s="496"/>
      <c r="AWN4" s="496"/>
      <c r="AWO4" s="496"/>
      <c r="AWP4" s="496"/>
      <c r="AWQ4" s="496"/>
      <c r="AWR4" s="496"/>
      <c r="AWS4" s="496"/>
      <c r="AWT4" s="496"/>
      <c r="AWU4" s="496"/>
      <c r="AWV4" s="496"/>
      <c r="AWW4" s="496"/>
      <c r="AWX4" s="496"/>
      <c r="AWY4" s="496"/>
      <c r="AWZ4" s="496"/>
      <c r="AXA4" s="496"/>
      <c r="AXB4" s="496"/>
      <c r="AXC4" s="496"/>
      <c r="AXD4" s="496"/>
      <c r="AXE4" s="496"/>
      <c r="AXF4" s="496"/>
      <c r="AXG4" s="496"/>
      <c r="AXH4" s="496"/>
      <c r="AXI4" s="496"/>
      <c r="AXJ4" s="496"/>
      <c r="AXK4" s="496"/>
      <c r="AXL4" s="496"/>
      <c r="AXM4" s="496"/>
      <c r="AXN4" s="496"/>
      <c r="AXO4" s="496"/>
      <c r="AXP4" s="496"/>
      <c r="AXQ4" s="496"/>
      <c r="AXR4" s="496"/>
      <c r="AXS4" s="496"/>
      <c r="AXT4" s="496"/>
      <c r="AXU4" s="496"/>
      <c r="AXV4" s="496"/>
      <c r="AXW4" s="496"/>
      <c r="AXX4" s="496"/>
      <c r="AXY4" s="496"/>
      <c r="AXZ4" s="496"/>
      <c r="AYA4" s="496"/>
      <c r="AYB4" s="496"/>
      <c r="AYC4" s="496"/>
      <c r="AYD4" s="496"/>
      <c r="AYE4" s="496"/>
      <c r="AYF4" s="496"/>
      <c r="AYG4" s="496"/>
      <c r="AYH4" s="496"/>
      <c r="AYI4" s="496"/>
      <c r="AYJ4" s="496"/>
      <c r="AYK4" s="496"/>
      <c r="AYL4" s="496"/>
      <c r="AYM4" s="496"/>
      <c r="AYN4" s="496"/>
      <c r="AYO4" s="496"/>
      <c r="AYP4" s="496"/>
      <c r="AYQ4" s="496"/>
      <c r="AYR4" s="496"/>
      <c r="AYS4" s="496"/>
      <c r="AYT4" s="496"/>
      <c r="AYU4" s="496"/>
      <c r="AYV4" s="496"/>
      <c r="AYW4" s="496"/>
      <c r="AYX4" s="496"/>
      <c r="AYY4" s="496"/>
      <c r="AYZ4" s="496"/>
      <c r="AZA4" s="496"/>
      <c r="AZB4" s="496"/>
      <c r="AZC4" s="496"/>
      <c r="AZD4" s="496"/>
      <c r="AZE4" s="496"/>
      <c r="AZF4" s="496"/>
      <c r="AZG4" s="496"/>
      <c r="AZH4" s="496"/>
      <c r="AZI4" s="496"/>
      <c r="AZJ4" s="496"/>
      <c r="AZK4" s="496"/>
      <c r="AZL4" s="496"/>
      <c r="AZM4" s="496"/>
      <c r="AZN4" s="496"/>
      <c r="AZO4" s="496"/>
      <c r="AZP4" s="496"/>
      <c r="AZQ4" s="496"/>
      <c r="AZR4" s="496"/>
      <c r="AZS4" s="496"/>
      <c r="AZT4" s="496"/>
      <c r="AZU4" s="496"/>
      <c r="AZV4" s="496"/>
      <c r="AZW4" s="496"/>
      <c r="AZX4" s="496"/>
      <c r="AZY4" s="496"/>
      <c r="AZZ4" s="496"/>
      <c r="BAA4" s="496"/>
      <c r="BAB4" s="496"/>
      <c r="BAC4" s="496"/>
      <c r="BAD4" s="496"/>
      <c r="BAE4" s="496"/>
      <c r="BAF4" s="496"/>
      <c r="BAG4" s="496"/>
      <c r="BAH4" s="496"/>
      <c r="BAI4" s="496"/>
      <c r="BAJ4" s="496"/>
      <c r="BAK4" s="496"/>
      <c r="BAL4" s="496"/>
      <c r="BAM4" s="496"/>
      <c r="BAN4" s="496"/>
      <c r="BAO4" s="496"/>
      <c r="BAP4" s="496"/>
      <c r="BAQ4" s="496"/>
      <c r="BAR4" s="496"/>
      <c r="BAS4" s="496"/>
      <c r="BAT4" s="496"/>
      <c r="BAU4" s="496"/>
      <c r="BAV4" s="496"/>
      <c r="BAW4" s="496"/>
      <c r="BAX4" s="496"/>
      <c r="BAY4" s="496"/>
      <c r="BAZ4" s="496"/>
      <c r="BBA4" s="496"/>
      <c r="BBB4" s="496"/>
      <c r="BBC4" s="496"/>
      <c r="BBD4" s="496"/>
      <c r="BBE4" s="496"/>
      <c r="BBF4" s="496"/>
      <c r="BBG4" s="496"/>
      <c r="BBH4" s="496"/>
      <c r="BBI4" s="496"/>
      <c r="BBJ4" s="496"/>
      <c r="BBK4" s="496"/>
      <c r="BBL4" s="496"/>
      <c r="BBM4" s="496"/>
      <c r="BBN4" s="496"/>
      <c r="BBO4" s="496"/>
      <c r="BBP4" s="496"/>
      <c r="BBQ4" s="496"/>
      <c r="BBR4" s="496"/>
      <c r="BBS4" s="496"/>
      <c r="BBT4" s="496"/>
      <c r="BBU4" s="496"/>
      <c r="BBV4" s="496"/>
      <c r="BBW4" s="496"/>
      <c r="BBX4" s="496"/>
      <c r="BBY4" s="496"/>
      <c r="BBZ4" s="496"/>
      <c r="BCA4" s="496"/>
      <c r="BCB4" s="496"/>
      <c r="BCC4" s="496"/>
      <c r="BCD4" s="496"/>
      <c r="BCE4" s="496"/>
      <c r="BCF4" s="496"/>
      <c r="BCG4" s="496"/>
      <c r="BCH4" s="496"/>
      <c r="BCI4" s="496"/>
      <c r="BCJ4" s="496"/>
      <c r="BCK4" s="496"/>
      <c r="BCL4" s="496"/>
      <c r="BCM4" s="496"/>
      <c r="BCN4" s="496"/>
      <c r="BCO4" s="496"/>
      <c r="BCP4" s="496"/>
      <c r="BCQ4" s="496"/>
      <c r="BCR4" s="496"/>
      <c r="BCS4" s="496"/>
      <c r="BCT4" s="496"/>
      <c r="BCU4" s="496"/>
      <c r="BCV4" s="496"/>
      <c r="BCW4" s="496"/>
      <c r="BCX4" s="496"/>
      <c r="BCY4" s="496"/>
      <c r="BCZ4" s="496"/>
      <c r="BDA4" s="496"/>
      <c r="BDB4" s="496"/>
      <c r="BDC4" s="496"/>
      <c r="BDD4" s="496"/>
      <c r="BDE4" s="496"/>
      <c r="BDF4" s="496"/>
      <c r="BDG4" s="496"/>
      <c r="BDH4" s="496"/>
      <c r="BDI4" s="496"/>
      <c r="BDJ4" s="496"/>
      <c r="BDK4" s="496"/>
      <c r="BDL4" s="496"/>
      <c r="BDM4" s="496"/>
      <c r="BDN4" s="496"/>
      <c r="BDO4" s="496"/>
      <c r="BDP4" s="496"/>
      <c r="BDQ4" s="496"/>
      <c r="BDR4" s="496"/>
      <c r="BDS4" s="496"/>
      <c r="BDT4" s="496"/>
      <c r="BDU4" s="496"/>
      <c r="BDV4" s="496"/>
      <c r="BDW4" s="496"/>
      <c r="BDX4" s="496"/>
      <c r="BDY4" s="496"/>
      <c r="BDZ4" s="496"/>
      <c r="BEA4" s="496"/>
      <c r="BEB4" s="496"/>
      <c r="BEC4" s="496"/>
      <c r="BED4" s="496"/>
      <c r="BEE4" s="496"/>
      <c r="BEF4" s="496"/>
      <c r="BEG4" s="496"/>
      <c r="BEH4" s="496"/>
      <c r="BEI4" s="496"/>
      <c r="BEJ4" s="496"/>
      <c r="BEK4" s="496"/>
      <c r="BEL4" s="496"/>
      <c r="BEM4" s="496"/>
      <c r="BEN4" s="496"/>
      <c r="BEO4" s="496"/>
      <c r="BEP4" s="496"/>
      <c r="BEQ4" s="496"/>
      <c r="BER4" s="496"/>
      <c r="BES4" s="496"/>
      <c r="BET4" s="496"/>
      <c r="BEU4" s="496"/>
      <c r="BEV4" s="496"/>
      <c r="BEW4" s="496"/>
      <c r="BEX4" s="496"/>
      <c r="BEY4" s="496"/>
      <c r="BEZ4" s="496"/>
      <c r="BFA4" s="496"/>
      <c r="BFB4" s="496"/>
      <c r="BFC4" s="496"/>
      <c r="BFD4" s="496"/>
      <c r="BFE4" s="496"/>
      <c r="BFF4" s="496"/>
      <c r="BFG4" s="496"/>
      <c r="BFH4" s="496"/>
      <c r="BFI4" s="496"/>
      <c r="BFJ4" s="496"/>
      <c r="BFK4" s="496"/>
      <c r="BFL4" s="496"/>
      <c r="BFM4" s="496"/>
      <c r="BFN4" s="496"/>
      <c r="BFO4" s="496"/>
      <c r="BFP4" s="496"/>
      <c r="BFQ4" s="496"/>
      <c r="BFR4" s="496"/>
      <c r="BFS4" s="496"/>
      <c r="BFT4" s="496"/>
      <c r="BFU4" s="496"/>
      <c r="BFV4" s="496"/>
      <c r="BFW4" s="496"/>
      <c r="BFX4" s="496"/>
      <c r="BFY4" s="496"/>
      <c r="BFZ4" s="496"/>
      <c r="BGA4" s="496"/>
      <c r="BGB4" s="496"/>
      <c r="BGC4" s="496"/>
      <c r="BGD4" s="496"/>
      <c r="BGE4" s="496"/>
      <c r="BGF4" s="496"/>
      <c r="BGG4" s="496"/>
      <c r="BGH4" s="496"/>
      <c r="BGI4" s="496"/>
      <c r="BGJ4" s="496"/>
      <c r="BGK4" s="496"/>
      <c r="BGL4" s="496"/>
      <c r="BGM4" s="496"/>
      <c r="BGN4" s="496"/>
      <c r="BGO4" s="496"/>
      <c r="BGP4" s="496"/>
      <c r="BGQ4" s="496"/>
      <c r="BGR4" s="496"/>
      <c r="BGS4" s="496"/>
      <c r="BGT4" s="496"/>
      <c r="BGU4" s="496"/>
      <c r="BGV4" s="496"/>
      <c r="BGW4" s="496"/>
      <c r="BGX4" s="496"/>
      <c r="BGY4" s="496"/>
      <c r="BGZ4" s="496"/>
      <c r="BHA4" s="496"/>
      <c r="BHB4" s="496"/>
      <c r="BHC4" s="496"/>
      <c r="BHD4" s="496"/>
      <c r="BHE4" s="496"/>
      <c r="BHF4" s="496"/>
      <c r="BHG4" s="496"/>
      <c r="BHH4" s="496"/>
      <c r="BHI4" s="496"/>
      <c r="BHJ4" s="496"/>
      <c r="BHK4" s="496"/>
      <c r="BHL4" s="496"/>
      <c r="BHM4" s="496"/>
      <c r="BHN4" s="496"/>
      <c r="BHO4" s="496"/>
      <c r="BHP4" s="496"/>
      <c r="BHQ4" s="496"/>
      <c r="BHR4" s="496"/>
      <c r="BHS4" s="496"/>
      <c r="BHT4" s="496"/>
      <c r="BHU4" s="496"/>
      <c r="BHV4" s="496"/>
      <c r="BHW4" s="496"/>
      <c r="BHX4" s="496"/>
      <c r="BHY4" s="496"/>
      <c r="BHZ4" s="496"/>
      <c r="BIA4" s="496"/>
      <c r="BIB4" s="496"/>
      <c r="BIC4" s="496"/>
      <c r="BID4" s="496"/>
      <c r="BIE4" s="496"/>
      <c r="BIF4" s="496"/>
      <c r="BIG4" s="496"/>
      <c r="BIH4" s="496"/>
      <c r="BII4" s="496"/>
      <c r="BIJ4" s="496"/>
      <c r="BIK4" s="496"/>
      <c r="BIL4" s="496"/>
      <c r="BIM4" s="496"/>
      <c r="BIN4" s="496"/>
      <c r="BIO4" s="496"/>
      <c r="BIP4" s="496"/>
      <c r="BIQ4" s="496"/>
      <c r="BIR4" s="496"/>
      <c r="BIS4" s="496"/>
      <c r="BIT4" s="496"/>
      <c r="BIU4" s="496"/>
      <c r="BIV4" s="496"/>
      <c r="BIW4" s="496"/>
      <c r="BIX4" s="496"/>
      <c r="BIY4" s="496"/>
      <c r="BIZ4" s="496"/>
      <c r="BJA4" s="496"/>
      <c r="BJB4" s="496"/>
      <c r="BJC4" s="496"/>
      <c r="BJD4" s="496"/>
      <c r="BJE4" s="496"/>
      <c r="BJF4" s="496"/>
      <c r="BJG4" s="496"/>
      <c r="BJH4" s="496"/>
      <c r="BJI4" s="496"/>
      <c r="BJJ4" s="496"/>
      <c r="BJK4" s="496"/>
      <c r="BJL4" s="496"/>
      <c r="BJM4" s="496"/>
      <c r="BJN4" s="496"/>
      <c r="BJO4" s="496"/>
      <c r="BJP4" s="496"/>
      <c r="BJQ4" s="496"/>
      <c r="BJR4" s="496"/>
      <c r="BJS4" s="496"/>
      <c r="BJT4" s="496"/>
      <c r="BJU4" s="496"/>
      <c r="BJV4" s="496"/>
      <c r="BJW4" s="496"/>
      <c r="BJX4" s="496"/>
      <c r="BJY4" s="496"/>
      <c r="BJZ4" s="496"/>
      <c r="BKA4" s="496"/>
      <c r="BKB4" s="496"/>
      <c r="BKC4" s="496"/>
      <c r="BKD4" s="496"/>
      <c r="BKE4" s="496"/>
      <c r="BKF4" s="496"/>
      <c r="BKG4" s="496"/>
      <c r="BKH4" s="496"/>
      <c r="BKI4" s="496"/>
      <c r="BKJ4" s="496"/>
      <c r="BKK4" s="496"/>
      <c r="BKL4" s="496"/>
      <c r="BKM4" s="496"/>
      <c r="BKN4" s="496"/>
      <c r="BKO4" s="496"/>
      <c r="BKP4" s="496"/>
      <c r="BKQ4" s="496"/>
      <c r="BKR4" s="496"/>
      <c r="BKS4" s="496"/>
      <c r="BKT4" s="496"/>
      <c r="BKU4" s="496"/>
      <c r="BKV4" s="496"/>
      <c r="BKW4" s="496"/>
      <c r="BKX4" s="496"/>
      <c r="BKY4" s="496"/>
      <c r="BKZ4" s="496"/>
      <c r="BLA4" s="496"/>
      <c r="BLB4" s="496"/>
      <c r="BLC4" s="496"/>
      <c r="BLD4" s="496"/>
      <c r="BLE4" s="496"/>
      <c r="BLF4" s="496"/>
      <c r="BLG4" s="496"/>
      <c r="BLH4" s="496"/>
      <c r="BLI4" s="496"/>
      <c r="BLJ4" s="496"/>
      <c r="BLK4" s="496"/>
      <c r="BLL4" s="496"/>
      <c r="BLM4" s="496"/>
      <c r="BLN4" s="496"/>
      <c r="BLO4" s="496"/>
      <c r="BLP4" s="496"/>
      <c r="BLQ4" s="496"/>
      <c r="BLR4" s="496"/>
      <c r="BLS4" s="496"/>
      <c r="BLT4" s="496"/>
      <c r="BLU4" s="496"/>
      <c r="BLV4" s="496"/>
      <c r="BLW4" s="496"/>
      <c r="BLX4" s="496"/>
      <c r="BLY4" s="496"/>
      <c r="BLZ4" s="496"/>
      <c r="BMA4" s="496"/>
      <c r="BMB4" s="496"/>
      <c r="BMC4" s="496"/>
      <c r="BMD4" s="496"/>
      <c r="BME4" s="496"/>
      <c r="BMF4" s="496"/>
      <c r="BMG4" s="496"/>
      <c r="BMH4" s="496"/>
      <c r="BMI4" s="496"/>
      <c r="BMJ4" s="496"/>
      <c r="BMK4" s="496"/>
      <c r="BML4" s="496"/>
      <c r="BMM4" s="496"/>
      <c r="BMN4" s="496"/>
      <c r="BMO4" s="496"/>
      <c r="BMP4" s="496"/>
      <c r="BMQ4" s="496"/>
      <c r="BMR4" s="496"/>
      <c r="BMS4" s="496"/>
      <c r="BMT4" s="496"/>
      <c r="BMU4" s="496"/>
      <c r="BMV4" s="496"/>
      <c r="BMW4" s="496"/>
      <c r="BMX4" s="496"/>
      <c r="BMY4" s="496"/>
      <c r="BMZ4" s="496"/>
      <c r="BNA4" s="496"/>
      <c r="BNB4" s="496"/>
      <c r="BNC4" s="496"/>
      <c r="BND4" s="496"/>
      <c r="BNE4" s="496"/>
      <c r="BNF4" s="496"/>
      <c r="BNG4" s="496"/>
      <c r="BNH4" s="496"/>
      <c r="BNI4" s="496"/>
      <c r="BNJ4" s="496"/>
      <c r="BNK4" s="496"/>
      <c r="BNL4" s="496"/>
      <c r="BNM4" s="496"/>
      <c r="BNN4" s="496"/>
      <c r="BNO4" s="496"/>
      <c r="BNP4" s="496"/>
      <c r="BNQ4" s="496"/>
      <c r="BNR4" s="496"/>
      <c r="BNS4" s="496"/>
      <c r="BNT4" s="496"/>
      <c r="BNU4" s="496"/>
      <c r="BNV4" s="496"/>
      <c r="BNW4" s="496"/>
      <c r="BNX4" s="496"/>
      <c r="BNY4" s="496"/>
      <c r="BNZ4" s="496"/>
      <c r="BOA4" s="496"/>
      <c r="BOB4" s="496"/>
      <c r="BOC4" s="496"/>
      <c r="BOD4" s="496"/>
      <c r="BOE4" s="496"/>
      <c r="BOF4" s="496"/>
      <c r="BOG4" s="496"/>
      <c r="BOH4" s="496"/>
      <c r="BOI4" s="496"/>
      <c r="BOJ4" s="496"/>
      <c r="BOK4" s="496"/>
      <c r="BOL4" s="496"/>
      <c r="BOM4" s="496"/>
      <c r="BON4" s="496"/>
      <c r="BOO4" s="496"/>
      <c r="BOP4" s="496"/>
      <c r="BOQ4" s="496"/>
      <c r="BOR4" s="496"/>
      <c r="BOS4" s="496"/>
      <c r="BOT4" s="496"/>
      <c r="BOU4" s="496"/>
      <c r="BOV4" s="496"/>
      <c r="BOW4" s="496"/>
      <c r="BOX4" s="496"/>
      <c r="BOY4" s="496"/>
      <c r="BOZ4" s="496"/>
      <c r="BPA4" s="496"/>
      <c r="BPB4" s="496"/>
      <c r="BPC4" s="496"/>
      <c r="BPD4" s="496"/>
      <c r="BPE4" s="496"/>
      <c r="BPF4" s="496"/>
      <c r="BPG4" s="496"/>
      <c r="BPH4" s="496"/>
      <c r="BPI4" s="496"/>
      <c r="BPJ4" s="496"/>
      <c r="BPK4" s="496"/>
      <c r="BPL4" s="496"/>
      <c r="BPM4" s="496"/>
      <c r="BPN4" s="496"/>
      <c r="BPO4" s="496"/>
      <c r="BPP4" s="496"/>
      <c r="BPQ4" s="496"/>
      <c r="BPR4" s="496"/>
      <c r="BPS4" s="496"/>
      <c r="BPT4" s="496"/>
      <c r="BPU4" s="496"/>
      <c r="BPV4" s="496"/>
      <c r="BPW4" s="496"/>
      <c r="BPX4" s="496"/>
      <c r="BPY4" s="496"/>
      <c r="BPZ4" s="496"/>
      <c r="BQA4" s="496"/>
      <c r="BQB4" s="496"/>
      <c r="BQC4" s="496"/>
      <c r="BQD4" s="496"/>
      <c r="BQE4" s="496"/>
      <c r="BQF4" s="496"/>
      <c r="BQG4" s="496"/>
      <c r="BQH4" s="496"/>
      <c r="BQI4" s="496"/>
      <c r="BQJ4" s="496"/>
      <c r="BQK4" s="496"/>
      <c r="BQL4" s="496"/>
      <c r="BQM4" s="496"/>
      <c r="BQN4" s="496"/>
      <c r="BQO4" s="496"/>
      <c r="BQP4" s="496"/>
      <c r="BQQ4" s="496"/>
      <c r="BQR4" s="496"/>
      <c r="BQS4" s="496"/>
      <c r="BQT4" s="496"/>
      <c r="BQU4" s="496"/>
      <c r="BQV4" s="496"/>
      <c r="BQW4" s="496"/>
      <c r="BQX4" s="496"/>
      <c r="BQY4" s="496"/>
      <c r="BQZ4" s="496"/>
      <c r="BRA4" s="496"/>
      <c r="BRB4" s="496"/>
      <c r="BRC4" s="496"/>
      <c r="BRD4" s="496"/>
      <c r="BRE4" s="496"/>
      <c r="BRF4" s="496"/>
      <c r="BRG4" s="496"/>
      <c r="BRH4" s="496"/>
      <c r="BRI4" s="496"/>
      <c r="BRJ4" s="496"/>
      <c r="BRK4" s="496"/>
      <c r="BRL4" s="496"/>
      <c r="BRM4" s="496"/>
      <c r="BRN4" s="496"/>
      <c r="BRO4" s="496"/>
      <c r="BRP4" s="496"/>
      <c r="BRQ4" s="496"/>
      <c r="BRR4" s="496"/>
      <c r="BRS4" s="496"/>
      <c r="BRT4" s="496"/>
      <c r="BRU4" s="496"/>
      <c r="BRV4" s="496"/>
      <c r="BRW4" s="496"/>
      <c r="BRX4" s="496"/>
      <c r="BRY4" s="496"/>
      <c r="BRZ4" s="496"/>
      <c r="BSA4" s="496"/>
      <c r="BSB4" s="496"/>
      <c r="BSC4" s="496"/>
      <c r="BSD4" s="496"/>
      <c r="BSE4" s="496"/>
      <c r="BSF4" s="496"/>
      <c r="BSG4" s="496"/>
      <c r="BSH4" s="496"/>
      <c r="BSI4" s="496"/>
      <c r="BSJ4" s="496"/>
      <c r="BSK4" s="496"/>
      <c r="BSL4" s="496"/>
      <c r="BSM4" s="496"/>
      <c r="BSN4" s="496"/>
      <c r="BSO4" s="496"/>
      <c r="BSP4" s="496"/>
      <c r="BSQ4" s="496"/>
      <c r="BSR4" s="496"/>
      <c r="BSS4" s="496"/>
      <c r="BST4" s="496"/>
      <c r="BSU4" s="496"/>
      <c r="BSV4" s="496"/>
      <c r="BSW4" s="496"/>
      <c r="BSX4" s="496"/>
      <c r="BSY4" s="496"/>
      <c r="BSZ4" s="496"/>
      <c r="BTA4" s="496"/>
      <c r="BTB4" s="496"/>
      <c r="BTC4" s="496"/>
      <c r="BTD4" s="496"/>
      <c r="BTE4" s="496"/>
      <c r="BTF4" s="496"/>
      <c r="BTG4" s="496"/>
      <c r="BTH4" s="496"/>
      <c r="BTI4" s="496"/>
      <c r="BTJ4" s="496"/>
      <c r="BTK4" s="496"/>
      <c r="BTL4" s="496"/>
      <c r="BTM4" s="496"/>
      <c r="BTN4" s="496"/>
      <c r="BTO4" s="496"/>
      <c r="BTP4" s="496"/>
      <c r="BTQ4" s="496"/>
      <c r="BTR4" s="496"/>
      <c r="BTS4" s="496"/>
      <c r="BTT4" s="496"/>
      <c r="BTU4" s="496"/>
      <c r="BTV4" s="496"/>
      <c r="BTW4" s="496"/>
      <c r="BTX4" s="496"/>
      <c r="BTY4" s="496"/>
      <c r="BTZ4" s="496"/>
      <c r="BUA4" s="496"/>
      <c r="BUB4" s="496"/>
      <c r="BUC4" s="496"/>
      <c r="BUD4" s="496"/>
      <c r="BUE4" s="496"/>
      <c r="BUF4" s="496"/>
      <c r="BUG4" s="496"/>
      <c r="BUH4" s="496"/>
      <c r="BUI4" s="496"/>
      <c r="BUJ4" s="496"/>
      <c r="BUK4" s="496"/>
      <c r="BUL4" s="496"/>
      <c r="BUM4" s="496"/>
      <c r="BUN4" s="496"/>
      <c r="BUO4" s="496"/>
      <c r="BUP4" s="496"/>
      <c r="BUQ4" s="496"/>
      <c r="BUR4" s="496"/>
      <c r="BUS4" s="496"/>
      <c r="BUT4" s="496"/>
      <c r="BUU4" s="496"/>
      <c r="BUV4" s="496"/>
      <c r="BUW4" s="496"/>
      <c r="BUX4" s="496"/>
      <c r="BUY4" s="496"/>
      <c r="BUZ4" s="496"/>
      <c r="BVA4" s="496"/>
      <c r="BVB4" s="496"/>
      <c r="BVC4" s="496"/>
      <c r="BVD4" s="496"/>
      <c r="BVE4" s="496"/>
      <c r="BVF4" s="496"/>
      <c r="BVG4" s="496"/>
      <c r="BVH4" s="496"/>
      <c r="BVI4" s="496"/>
      <c r="BVJ4" s="496"/>
      <c r="BVK4" s="496"/>
      <c r="BVL4" s="496"/>
      <c r="BVM4" s="496"/>
      <c r="BVN4" s="496"/>
      <c r="BVO4" s="496"/>
      <c r="BVP4" s="496"/>
      <c r="BVQ4" s="496"/>
      <c r="BVR4" s="496"/>
      <c r="BVS4" s="496"/>
      <c r="BVT4" s="496"/>
      <c r="BVU4" s="496"/>
      <c r="BVV4" s="496"/>
      <c r="BVW4" s="496"/>
      <c r="BVX4" s="496"/>
      <c r="BVY4" s="496"/>
      <c r="BVZ4" s="496"/>
      <c r="BWA4" s="496"/>
      <c r="BWB4" s="496"/>
      <c r="BWC4" s="496"/>
      <c r="BWD4" s="496"/>
      <c r="BWE4" s="496"/>
      <c r="BWF4" s="496"/>
      <c r="BWG4" s="496"/>
      <c r="BWH4" s="496"/>
      <c r="BWI4" s="496"/>
      <c r="BWJ4" s="496"/>
      <c r="BWK4" s="496"/>
      <c r="BWL4" s="496"/>
      <c r="BWM4" s="496"/>
      <c r="BWN4" s="496"/>
      <c r="BWO4" s="496"/>
      <c r="BWP4" s="496"/>
      <c r="BWQ4" s="496"/>
      <c r="BWR4" s="496"/>
      <c r="BWS4" s="496"/>
      <c r="BWT4" s="496"/>
      <c r="BWU4" s="496"/>
      <c r="BWV4" s="496"/>
      <c r="BWW4" s="496"/>
      <c r="BWX4" s="496"/>
      <c r="BWY4" s="496"/>
      <c r="BWZ4" s="496"/>
      <c r="BXA4" s="496"/>
      <c r="BXB4" s="496"/>
      <c r="BXC4" s="496"/>
      <c r="BXD4" s="496"/>
      <c r="BXE4" s="496"/>
      <c r="BXF4" s="496"/>
      <c r="BXG4" s="496"/>
      <c r="BXH4" s="496"/>
      <c r="BXI4" s="496"/>
      <c r="BXJ4" s="496"/>
      <c r="BXK4" s="496"/>
      <c r="BXL4" s="496"/>
      <c r="BXM4" s="496"/>
      <c r="BXN4" s="496"/>
      <c r="BXO4" s="496"/>
      <c r="BXP4" s="496"/>
      <c r="BXQ4" s="496"/>
      <c r="BXR4" s="496"/>
      <c r="BXS4" s="496"/>
      <c r="BXT4" s="496"/>
      <c r="BXU4" s="496"/>
      <c r="BXV4" s="496"/>
      <c r="BXW4" s="496"/>
      <c r="BXX4" s="496"/>
      <c r="BXY4" s="496"/>
      <c r="BXZ4" s="496"/>
      <c r="BYA4" s="496"/>
      <c r="BYB4" s="496"/>
      <c r="BYC4" s="496"/>
      <c r="BYD4" s="496"/>
      <c r="BYE4" s="496"/>
      <c r="BYF4" s="496"/>
      <c r="BYG4" s="496"/>
      <c r="BYH4" s="496"/>
      <c r="BYI4" s="496"/>
      <c r="BYJ4" s="496"/>
      <c r="BYK4" s="496"/>
      <c r="BYL4" s="496"/>
      <c r="BYM4" s="496"/>
      <c r="BYN4" s="496"/>
      <c r="BYO4" s="496"/>
      <c r="BYP4" s="496"/>
      <c r="BYQ4" s="496"/>
      <c r="BYR4" s="496"/>
      <c r="BYS4" s="496"/>
      <c r="BYT4" s="496"/>
      <c r="BYU4" s="496"/>
      <c r="BYV4" s="496"/>
      <c r="BYW4" s="496"/>
      <c r="BYX4" s="496"/>
      <c r="BYY4" s="496"/>
      <c r="BYZ4" s="496"/>
      <c r="BZA4" s="496"/>
      <c r="BZB4" s="496"/>
      <c r="BZC4" s="496"/>
      <c r="BZD4" s="496"/>
      <c r="BZE4" s="496"/>
      <c r="BZF4" s="496"/>
      <c r="BZG4" s="496"/>
      <c r="BZH4" s="496"/>
      <c r="BZI4" s="496"/>
      <c r="BZJ4" s="496"/>
      <c r="BZK4" s="496"/>
      <c r="BZL4" s="496"/>
      <c r="BZM4" s="496"/>
      <c r="BZN4" s="496"/>
      <c r="BZO4" s="496"/>
      <c r="BZP4" s="496"/>
      <c r="BZQ4" s="496"/>
      <c r="BZR4" s="496"/>
      <c r="BZS4" s="496"/>
      <c r="BZT4" s="496"/>
      <c r="BZU4" s="496"/>
      <c r="BZV4" s="496"/>
      <c r="BZW4" s="496"/>
      <c r="BZX4" s="496"/>
      <c r="BZY4" s="496"/>
      <c r="BZZ4" s="496"/>
      <c r="CAA4" s="496"/>
      <c r="CAB4" s="496"/>
      <c r="CAC4" s="496"/>
      <c r="CAD4" s="496"/>
      <c r="CAE4" s="496"/>
      <c r="CAF4" s="496"/>
      <c r="CAG4" s="496"/>
      <c r="CAH4" s="496"/>
      <c r="CAI4" s="496"/>
      <c r="CAJ4" s="496"/>
      <c r="CAK4" s="496"/>
      <c r="CAL4" s="496"/>
      <c r="CAM4" s="496"/>
      <c r="CAN4" s="496"/>
      <c r="CAO4" s="496"/>
      <c r="CAP4" s="496"/>
      <c r="CAQ4" s="496"/>
      <c r="CAR4" s="496"/>
      <c r="CAS4" s="496"/>
      <c r="CAT4" s="496"/>
      <c r="CAU4" s="496"/>
      <c r="CAV4" s="496"/>
      <c r="CAW4" s="496"/>
      <c r="CAX4" s="496"/>
      <c r="CAY4" s="496"/>
      <c r="CAZ4" s="496"/>
      <c r="CBA4" s="496"/>
      <c r="CBB4" s="496"/>
      <c r="CBC4" s="496"/>
      <c r="CBD4" s="496"/>
      <c r="CBE4" s="496"/>
      <c r="CBF4" s="496"/>
      <c r="CBG4" s="496"/>
      <c r="CBH4" s="496"/>
      <c r="CBI4" s="496"/>
      <c r="CBJ4" s="496"/>
      <c r="CBK4" s="496"/>
      <c r="CBL4" s="496"/>
      <c r="CBM4" s="496"/>
      <c r="CBN4" s="496"/>
      <c r="CBO4" s="496"/>
      <c r="CBP4" s="496"/>
      <c r="CBQ4" s="496"/>
      <c r="CBR4" s="496"/>
      <c r="CBS4" s="496"/>
      <c r="CBT4" s="496"/>
      <c r="CBU4" s="496"/>
      <c r="CBV4" s="496"/>
      <c r="CBW4" s="496"/>
      <c r="CBX4" s="496"/>
      <c r="CBY4" s="496"/>
      <c r="CBZ4" s="496"/>
      <c r="CCA4" s="496"/>
      <c r="CCB4" s="496"/>
      <c r="CCC4" s="496"/>
      <c r="CCD4" s="496"/>
      <c r="CCE4" s="496"/>
      <c r="CCF4" s="496"/>
      <c r="CCG4" s="496"/>
      <c r="CCH4" s="496"/>
      <c r="CCI4" s="496"/>
      <c r="CCJ4" s="496"/>
      <c r="CCK4" s="496"/>
      <c r="CCL4" s="496"/>
      <c r="CCM4" s="496"/>
      <c r="CCN4" s="496"/>
      <c r="CCO4" s="496"/>
      <c r="CCP4" s="496"/>
      <c r="CCQ4" s="496"/>
      <c r="CCR4" s="496"/>
      <c r="CCS4" s="496"/>
      <c r="CCT4" s="496"/>
      <c r="CCU4" s="496"/>
      <c r="CCV4" s="496"/>
      <c r="CCW4" s="496"/>
      <c r="CCX4" s="496"/>
      <c r="CCY4" s="496"/>
      <c r="CCZ4" s="496"/>
      <c r="CDA4" s="496"/>
      <c r="CDB4" s="496"/>
      <c r="CDC4" s="496"/>
      <c r="CDD4" s="496"/>
      <c r="CDE4" s="496"/>
      <c r="CDF4" s="496"/>
      <c r="CDG4" s="496"/>
      <c r="CDH4" s="496"/>
      <c r="CDI4" s="496"/>
      <c r="CDJ4" s="496"/>
      <c r="CDK4" s="496"/>
      <c r="CDL4" s="496"/>
      <c r="CDM4" s="496"/>
      <c r="CDN4" s="496"/>
      <c r="CDO4" s="496"/>
      <c r="CDP4" s="496"/>
      <c r="CDQ4" s="496"/>
      <c r="CDR4" s="496"/>
      <c r="CDS4" s="496"/>
      <c r="CDT4" s="496"/>
      <c r="CDU4" s="496"/>
      <c r="CDV4" s="496"/>
      <c r="CDW4" s="496"/>
      <c r="CDX4" s="496"/>
      <c r="CDY4" s="496"/>
      <c r="CDZ4" s="496"/>
      <c r="CEA4" s="496"/>
      <c r="CEB4" s="496"/>
      <c r="CEC4" s="496"/>
      <c r="CED4" s="496"/>
      <c r="CEE4" s="496"/>
      <c r="CEF4" s="496"/>
      <c r="CEG4" s="496"/>
      <c r="CEH4" s="496"/>
      <c r="CEI4" s="496"/>
      <c r="CEJ4" s="496"/>
      <c r="CEK4" s="496"/>
      <c r="CEL4" s="496"/>
      <c r="CEM4" s="496"/>
      <c r="CEN4" s="496"/>
      <c r="CEO4" s="496"/>
      <c r="CEP4" s="496"/>
      <c r="CEQ4" s="496"/>
      <c r="CER4" s="496"/>
      <c r="CES4" s="496"/>
      <c r="CET4" s="496"/>
      <c r="CEU4" s="496"/>
      <c r="CEV4" s="496"/>
      <c r="CEW4" s="496"/>
      <c r="CEX4" s="496"/>
      <c r="CEY4" s="496"/>
      <c r="CEZ4" s="496"/>
      <c r="CFA4" s="496"/>
      <c r="CFB4" s="496"/>
      <c r="CFC4" s="496"/>
      <c r="CFD4" s="496"/>
      <c r="CFE4" s="496"/>
      <c r="CFF4" s="496"/>
      <c r="CFG4" s="496"/>
      <c r="CFH4" s="496"/>
      <c r="CFI4" s="496"/>
      <c r="CFJ4" s="496"/>
      <c r="CFK4" s="496"/>
      <c r="CFL4" s="496"/>
      <c r="CFM4" s="496"/>
      <c r="CFN4" s="496"/>
      <c r="CFO4" s="496"/>
      <c r="CFP4" s="496"/>
      <c r="CFQ4" s="496"/>
      <c r="CFR4" s="496"/>
      <c r="CFS4" s="496"/>
      <c r="CFT4" s="496"/>
      <c r="CFU4" s="496"/>
      <c r="CFV4" s="496"/>
      <c r="CFW4" s="496"/>
      <c r="CFX4" s="496"/>
      <c r="CFY4" s="496"/>
      <c r="CFZ4" s="496"/>
      <c r="CGA4" s="496"/>
      <c r="CGB4" s="496"/>
      <c r="CGC4" s="496"/>
      <c r="CGD4" s="496"/>
      <c r="CGE4" s="496"/>
      <c r="CGF4" s="496"/>
      <c r="CGG4" s="496"/>
      <c r="CGH4" s="496"/>
      <c r="CGI4" s="496"/>
      <c r="CGJ4" s="496"/>
      <c r="CGK4" s="496"/>
      <c r="CGL4" s="496"/>
      <c r="CGM4" s="496"/>
      <c r="CGN4" s="496"/>
      <c r="CGO4" s="496"/>
      <c r="CGP4" s="496"/>
      <c r="CGQ4" s="496"/>
      <c r="CGR4" s="496"/>
      <c r="CGS4" s="496"/>
      <c r="CGT4" s="496"/>
      <c r="CGU4" s="496"/>
      <c r="CGV4" s="496"/>
      <c r="CGW4" s="496"/>
      <c r="CGX4" s="496"/>
      <c r="CGY4" s="496"/>
      <c r="CGZ4" s="496"/>
      <c r="CHA4" s="496"/>
      <c r="CHB4" s="496"/>
      <c r="CHC4" s="496"/>
      <c r="CHD4" s="496"/>
      <c r="CHE4" s="496"/>
      <c r="CHF4" s="496"/>
      <c r="CHG4" s="496"/>
      <c r="CHH4" s="496"/>
      <c r="CHI4" s="496"/>
      <c r="CHJ4" s="496"/>
      <c r="CHK4" s="496"/>
      <c r="CHL4" s="496"/>
      <c r="CHM4" s="496"/>
      <c r="CHN4" s="496"/>
      <c r="CHO4" s="496"/>
      <c r="CHP4" s="496"/>
      <c r="CHQ4" s="496"/>
      <c r="CHR4" s="496"/>
      <c r="CHS4" s="496"/>
      <c r="CHT4" s="496"/>
      <c r="CHU4" s="496"/>
      <c r="CHV4" s="496"/>
      <c r="CHW4" s="496"/>
      <c r="CHX4" s="496"/>
      <c r="CHY4" s="496"/>
      <c r="CHZ4" s="496"/>
      <c r="CIA4" s="496"/>
      <c r="CIB4" s="496"/>
      <c r="CIC4" s="496"/>
      <c r="CID4" s="496"/>
      <c r="CIE4" s="496"/>
      <c r="CIF4" s="496"/>
      <c r="CIG4" s="496"/>
      <c r="CIH4" s="496"/>
      <c r="CII4" s="496"/>
      <c r="CIJ4" s="496"/>
      <c r="CIK4" s="496"/>
      <c r="CIL4" s="496"/>
      <c r="CIM4" s="496"/>
      <c r="CIN4" s="496"/>
      <c r="CIO4" s="496"/>
      <c r="CIP4" s="496"/>
      <c r="CIQ4" s="496"/>
      <c r="CIR4" s="496"/>
      <c r="CIS4" s="496"/>
      <c r="CIT4" s="496"/>
      <c r="CIU4" s="496"/>
      <c r="CIV4" s="496"/>
      <c r="CIW4" s="496"/>
      <c r="CIX4" s="496"/>
      <c r="CIY4" s="496"/>
      <c r="CIZ4" s="496"/>
      <c r="CJA4" s="496"/>
      <c r="CJB4" s="496"/>
      <c r="CJC4" s="496"/>
      <c r="CJD4" s="496"/>
      <c r="CJE4" s="496"/>
      <c r="CJF4" s="496"/>
      <c r="CJG4" s="496"/>
      <c r="CJH4" s="496"/>
      <c r="CJI4" s="496"/>
      <c r="CJJ4" s="496"/>
      <c r="CJK4" s="496"/>
      <c r="CJL4" s="496"/>
      <c r="CJM4" s="496"/>
      <c r="CJN4" s="496"/>
      <c r="CJO4" s="496"/>
      <c r="CJP4" s="496"/>
      <c r="CJQ4" s="496"/>
      <c r="CJR4" s="496"/>
      <c r="CJS4" s="496"/>
      <c r="CJT4" s="496"/>
      <c r="CJU4" s="496"/>
      <c r="CJV4" s="496"/>
      <c r="CJW4" s="496"/>
      <c r="CJX4" s="496"/>
      <c r="CJY4" s="496"/>
      <c r="CJZ4" s="496"/>
      <c r="CKA4" s="496"/>
      <c r="CKB4" s="496"/>
      <c r="CKC4" s="496"/>
      <c r="CKD4" s="496"/>
      <c r="CKE4" s="496"/>
      <c r="CKF4" s="496"/>
      <c r="CKG4" s="496"/>
      <c r="CKH4" s="496"/>
      <c r="CKI4" s="496"/>
      <c r="CKJ4" s="496"/>
      <c r="CKK4" s="496"/>
      <c r="CKL4" s="496"/>
      <c r="CKM4" s="496"/>
      <c r="CKN4" s="496"/>
      <c r="CKO4" s="496"/>
      <c r="CKP4" s="496"/>
      <c r="CKQ4" s="496"/>
      <c r="CKR4" s="496"/>
      <c r="CKS4" s="496"/>
      <c r="CKT4" s="496"/>
      <c r="CKU4" s="496"/>
      <c r="CKV4" s="496"/>
      <c r="CKW4" s="496"/>
      <c r="CKX4" s="496"/>
      <c r="CKY4" s="496"/>
      <c r="CKZ4" s="496"/>
      <c r="CLA4" s="496"/>
      <c r="CLB4" s="496"/>
      <c r="CLC4" s="496"/>
      <c r="CLD4" s="496"/>
      <c r="CLE4" s="496"/>
      <c r="CLF4" s="496"/>
      <c r="CLG4" s="496"/>
      <c r="CLH4" s="496"/>
      <c r="CLI4" s="496"/>
      <c r="CLJ4" s="496"/>
      <c r="CLK4" s="496"/>
      <c r="CLL4" s="496"/>
      <c r="CLM4" s="496"/>
      <c r="CLN4" s="496"/>
      <c r="CLO4" s="496"/>
      <c r="CLP4" s="496"/>
      <c r="CLQ4" s="496"/>
      <c r="CLR4" s="496"/>
      <c r="CLS4" s="496"/>
      <c r="CLT4" s="496"/>
      <c r="CLU4" s="496"/>
      <c r="CLV4" s="496"/>
      <c r="CLW4" s="496"/>
      <c r="CLX4" s="496"/>
      <c r="CLY4" s="496"/>
      <c r="CLZ4" s="496"/>
      <c r="CMA4" s="496"/>
      <c r="CMB4" s="496"/>
      <c r="CMC4" s="496"/>
      <c r="CMD4" s="496"/>
      <c r="CME4" s="496"/>
      <c r="CMF4" s="496"/>
      <c r="CMG4" s="496"/>
      <c r="CMH4" s="496"/>
      <c r="CMI4" s="496"/>
      <c r="CMJ4" s="496"/>
      <c r="CMK4" s="496"/>
      <c r="CML4" s="496"/>
      <c r="CMM4" s="496"/>
      <c r="CMN4" s="496"/>
      <c r="CMO4" s="496"/>
      <c r="CMP4" s="496"/>
      <c r="CMQ4" s="496"/>
      <c r="CMR4" s="496"/>
      <c r="CMS4" s="496"/>
      <c r="CMT4" s="496"/>
      <c r="CMU4" s="496"/>
      <c r="CMV4" s="496"/>
      <c r="CMW4" s="496"/>
      <c r="CMX4" s="496"/>
      <c r="CMY4" s="496"/>
      <c r="CMZ4" s="496"/>
      <c r="CNA4" s="496"/>
      <c r="CNB4" s="496"/>
      <c r="CNC4" s="496"/>
      <c r="CND4" s="496"/>
      <c r="CNE4" s="496"/>
      <c r="CNF4" s="496"/>
      <c r="CNG4" s="496"/>
      <c r="CNH4" s="496"/>
      <c r="CNI4" s="496"/>
      <c r="CNJ4" s="496"/>
      <c r="CNK4" s="496"/>
      <c r="CNL4" s="496"/>
      <c r="CNM4" s="496"/>
      <c r="CNN4" s="496"/>
      <c r="CNO4" s="496"/>
      <c r="CNP4" s="496"/>
      <c r="CNQ4" s="496"/>
      <c r="CNR4" s="496"/>
      <c r="CNS4" s="496"/>
      <c r="CNT4" s="496"/>
      <c r="CNU4" s="496"/>
      <c r="CNV4" s="496"/>
      <c r="CNW4" s="496"/>
      <c r="CNX4" s="496"/>
      <c r="CNY4" s="496"/>
      <c r="CNZ4" s="496"/>
      <c r="COA4" s="496"/>
      <c r="COB4" s="496"/>
      <c r="COC4" s="496"/>
      <c r="COD4" s="496"/>
      <c r="COE4" s="496"/>
      <c r="COF4" s="496"/>
      <c r="COG4" s="496"/>
      <c r="COH4" s="496"/>
      <c r="COI4" s="496"/>
      <c r="COJ4" s="496"/>
      <c r="COK4" s="496"/>
      <c r="COL4" s="496"/>
      <c r="COM4" s="496"/>
      <c r="CON4" s="496"/>
      <c r="COO4" s="496"/>
      <c r="COP4" s="496"/>
      <c r="COQ4" s="496"/>
      <c r="COR4" s="496"/>
      <c r="COS4" s="496"/>
      <c r="COT4" s="496"/>
      <c r="COU4" s="496"/>
      <c r="COV4" s="496"/>
      <c r="COW4" s="496"/>
      <c r="COX4" s="496"/>
      <c r="COY4" s="496"/>
      <c r="COZ4" s="496"/>
      <c r="CPA4" s="496"/>
      <c r="CPB4" s="496"/>
      <c r="CPC4" s="496"/>
      <c r="CPD4" s="496"/>
      <c r="CPE4" s="496"/>
      <c r="CPF4" s="496"/>
      <c r="CPG4" s="496"/>
      <c r="CPH4" s="496"/>
      <c r="CPI4" s="496"/>
      <c r="CPJ4" s="496"/>
      <c r="CPK4" s="496"/>
      <c r="CPL4" s="496"/>
      <c r="CPM4" s="496"/>
      <c r="CPN4" s="496"/>
      <c r="CPO4" s="496"/>
      <c r="CPP4" s="496"/>
      <c r="CPQ4" s="496"/>
      <c r="CPR4" s="496"/>
      <c r="CPS4" s="496"/>
      <c r="CPT4" s="496"/>
      <c r="CPU4" s="496"/>
      <c r="CPV4" s="496"/>
      <c r="CPW4" s="496"/>
      <c r="CPX4" s="496"/>
      <c r="CPY4" s="496"/>
      <c r="CPZ4" s="496"/>
      <c r="CQA4" s="496"/>
      <c r="CQB4" s="496"/>
      <c r="CQC4" s="496"/>
      <c r="CQD4" s="496"/>
      <c r="CQE4" s="496"/>
      <c r="CQF4" s="496"/>
      <c r="CQG4" s="496"/>
      <c r="CQH4" s="496"/>
      <c r="CQI4" s="496"/>
      <c r="CQJ4" s="496"/>
      <c r="CQK4" s="496"/>
      <c r="CQL4" s="496"/>
      <c r="CQM4" s="496"/>
      <c r="CQN4" s="496"/>
      <c r="CQO4" s="496"/>
      <c r="CQP4" s="496"/>
      <c r="CQQ4" s="496"/>
      <c r="CQR4" s="496"/>
      <c r="CQS4" s="496"/>
      <c r="CQT4" s="496"/>
      <c r="CQU4" s="496"/>
      <c r="CQV4" s="496"/>
      <c r="CQW4" s="496"/>
      <c r="CQX4" s="496"/>
      <c r="CQY4" s="496"/>
      <c r="CQZ4" s="496"/>
      <c r="CRA4" s="496"/>
      <c r="CRB4" s="496"/>
      <c r="CRC4" s="496"/>
      <c r="CRD4" s="496"/>
      <c r="CRE4" s="496"/>
      <c r="CRF4" s="496"/>
      <c r="CRG4" s="496"/>
      <c r="CRH4" s="496"/>
      <c r="CRI4" s="496"/>
      <c r="CRJ4" s="496"/>
      <c r="CRK4" s="496"/>
      <c r="CRL4" s="496"/>
      <c r="CRM4" s="496"/>
      <c r="CRN4" s="496"/>
      <c r="CRO4" s="496"/>
      <c r="CRP4" s="496"/>
      <c r="CRQ4" s="496"/>
      <c r="CRR4" s="496"/>
      <c r="CRS4" s="496"/>
      <c r="CRT4" s="496"/>
      <c r="CRU4" s="496"/>
      <c r="CRV4" s="496"/>
      <c r="CRW4" s="496"/>
      <c r="CRX4" s="496"/>
      <c r="CRY4" s="496"/>
      <c r="CRZ4" s="496"/>
      <c r="CSA4" s="496"/>
      <c r="CSB4" s="496"/>
      <c r="CSC4" s="496"/>
      <c r="CSD4" s="496"/>
      <c r="CSE4" s="496"/>
      <c r="CSF4" s="496"/>
      <c r="CSG4" s="496"/>
      <c r="CSH4" s="496"/>
      <c r="CSI4" s="496"/>
      <c r="CSJ4" s="496"/>
      <c r="CSK4" s="496"/>
      <c r="CSL4" s="496"/>
      <c r="CSM4" s="496"/>
      <c r="CSN4" s="496"/>
      <c r="CSO4" s="496"/>
      <c r="CSP4" s="496"/>
      <c r="CSQ4" s="496"/>
      <c r="CSR4" s="496"/>
      <c r="CSS4" s="496"/>
      <c r="CST4" s="496"/>
      <c r="CSU4" s="496"/>
      <c r="CSV4" s="496"/>
      <c r="CSW4" s="496"/>
      <c r="CSX4" s="496"/>
      <c r="CSY4" s="496"/>
      <c r="CSZ4" s="496"/>
      <c r="CTA4" s="496"/>
      <c r="CTB4" s="496"/>
      <c r="CTC4" s="496"/>
      <c r="CTD4" s="496"/>
      <c r="CTE4" s="496"/>
      <c r="CTF4" s="496"/>
      <c r="CTG4" s="496"/>
      <c r="CTH4" s="496"/>
      <c r="CTI4" s="496"/>
      <c r="CTJ4" s="496"/>
      <c r="CTK4" s="496"/>
      <c r="CTL4" s="496"/>
      <c r="CTM4" s="496"/>
      <c r="CTN4" s="496"/>
      <c r="CTO4" s="496"/>
      <c r="CTP4" s="496"/>
      <c r="CTQ4" s="496"/>
      <c r="CTR4" s="496"/>
      <c r="CTS4" s="496"/>
      <c r="CTT4" s="496"/>
      <c r="CTU4" s="496"/>
      <c r="CTV4" s="496"/>
      <c r="CTW4" s="496"/>
      <c r="CTX4" s="496"/>
      <c r="CTY4" s="496"/>
      <c r="CTZ4" s="496"/>
      <c r="CUA4" s="496"/>
      <c r="CUB4" s="496"/>
      <c r="CUC4" s="496"/>
      <c r="CUD4" s="496"/>
      <c r="CUE4" s="496"/>
      <c r="CUF4" s="496"/>
      <c r="CUG4" s="496"/>
      <c r="CUH4" s="496"/>
      <c r="CUI4" s="496"/>
      <c r="CUJ4" s="496"/>
      <c r="CUK4" s="496"/>
      <c r="CUL4" s="496"/>
      <c r="CUM4" s="496"/>
      <c r="CUN4" s="496"/>
      <c r="CUO4" s="496"/>
      <c r="CUP4" s="496"/>
      <c r="CUQ4" s="496"/>
      <c r="CUR4" s="496"/>
      <c r="CUS4" s="496"/>
      <c r="CUT4" s="496"/>
      <c r="CUU4" s="496"/>
      <c r="CUV4" s="496"/>
      <c r="CUW4" s="496"/>
      <c r="CUX4" s="496"/>
      <c r="CUY4" s="496"/>
      <c r="CUZ4" s="496"/>
      <c r="CVA4" s="496"/>
      <c r="CVB4" s="496"/>
      <c r="CVC4" s="496"/>
      <c r="CVD4" s="496"/>
      <c r="CVE4" s="496"/>
      <c r="CVF4" s="496"/>
      <c r="CVG4" s="496"/>
      <c r="CVH4" s="496"/>
      <c r="CVI4" s="496"/>
      <c r="CVJ4" s="496"/>
      <c r="CVK4" s="496"/>
      <c r="CVL4" s="496"/>
      <c r="CVM4" s="496"/>
      <c r="CVN4" s="496"/>
      <c r="CVO4" s="496"/>
      <c r="CVP4" s="496"/>
      <c r="CVQ4" s="496"/>
      <c r="CVR4" s="496"/>
      <c r="CVS4" s="496"/>
      <c r="CVT4" s="496"/>
      <c r="CVU4" s="496"/>
      <c r="CVV4" s="496"/>
      <c r="CVW4" s="496"/>
      <c r="CVX4" s="496"/>
      <c r="CVY4" s="496"/>
      <c r="CVZ4" s="496"/>
      <c r="CWA4" s="496"/>
      <c r="CWB4" s="496"/>
      <c r="CWC4" s="496"/>
      <c r="CWD4" s="496"/>
      <c r="CWE4" s="496"/>
      <c r="CWF4" s="496"/>
      <c r="CWG4" s="496"/>
      <c r="CWH4" s="496"/>
      <c r="CWI4" s="496"/>
      <c r="CWJ4" s="496"/>
      <c r="CWK4" s="496"/>
      <c r="CWL4" s="496"/>
      <c r="CWM4" s="496"/>
      <c r="CWN4" s="496"/>
      <c r="CWO4" s="496"/>
      <c r="CWP4" s="496"/>
      <c r="CWQ4" s="496"/>
      <c r="CWR4" s="496"/>
      <c r="CWS4" s="496"/>
      <c r="CWT4" s="496"/>
      <c r="CWU4" s="496"/>
      <c r="CWV4" s="496"/>
      <c r="CWW4" s="496"/>
      <c r="CWX4" s="496"/>
      <c r="CWY4" s="496"/>
      <c r="CWZ4" s="496"/>
      <c r="CXA4" s="496"/>
      <c r="CXB4" s="496"/>
      <c r="CXC4" s="496"/>
      <c r="CXD4" s="496"/>
      <c r="CXE4" s="496"/>
      <c r="CXF4" s="496"/>
      <c r="CXG4" s="496"/>
      <c r="CXH4" s="496"/>
      <c r="CXI4" s="496"/>
      <c r="CXJ4" s="496"/>
      <c r="CXK4" s="496"/>
      <c r="CXL4" s="496"/>
      <c r="CXM4" s="496"/>
      <c r="CXN4" s="496"/>
      <c r="CXO4" s="496"/>
      <c r="CXP4" s="496"/>
      <c r="CXQ4" s="496"/>
      <c r="CXR4" s="496"/>
      <c r="CXS4" s="496"/>
      <c r="CXT4" s="496"/>
      <c r="CXU4" s="496"/>
      <c r="CXV4" s="496"/>
      <c r="CXW4" s="496"/>
      <c r="CXX4" s="496"/>
      <c r="CXY4" s="496"/>
      <c r="CXZ4" s="496"/>
      <c r="CYA4" s="496"/>
      <c r="CYB4" s="496"/>
      <c r="CYC4" s="496"/>
      <c r="CYD4" s="496"/>
      <c r="CYE4" s="496"/>
      <c r="CYF4" s="496"/>
      <c r="CYG4" s="496"/>
      <c r="CYH4" s="496"/>
      <c r="CYI4" s="496"/>
      <c r="CYJ4" s="496"/>
      <c r="CYK4" s="496"/>
      <c r="CYL4" s="496"/>
      <c r="CYM4" s="496"/>
      <c r="CYN4" s="496"/>
      <c r="CYO4" s="496"/>
      <c r="CYP4" s="496"/>
      <c r="CYQ4" s="496"/>
      <c r="CYR4" s="496"/>
      <c r="CYS4" s="496"/>
      <c r="CYT4" s="496"/>
      <c r="CYU4" s="496"/>
      <c r="CYV4" s="496"/>
      <c r="CYW4" s="496"/>
      <c r="CYX4" s="496"/>
      <c r="CYY4" s="496"/>
      <c r="CYZ4" s="496"/>
      <c r="CZA4" s="496"/>
      <c r="CZB4" s="496"/>
      <c r="CZC4" s="496"/>
      <c r="CZD4" s="496"/>
      <c r="CZE4" s="496"/>
      <c r="CZF4" s="496"/>
      <c r="CZG4" s="496"/>
      <c r="CZH4" s="496"/>
      <c r="CZI4" s="496"/>
      <c r="CZJ4" s="496"/>
      <c r="CZK4" s="496"/>
      <c r="CZL4" s="496"/>
      <c r="CZM4" s="496"/>
      <c r="CZN4" s="496"/>
      <c r="CZO4" s="496"/>
      <c r="CZP4" s="496"/>
      <c r="CZQ4" s="496"/>
      <c r="CZR4" s="496"/>
      <c r="CZS4" s="496"/>
      <c r="CZT4" s="496"/>
      <c r="CZU4" s="496"/>
      <c r="CZV4" s="496"/>
      <c r="CZW4" s="496"/>
      <c r="CZX4" s="496"/>
      <c r="CZY4" s="496"/>
      <c r="CZZ4" s="496"/>
      <c r="DAA4" s="496"/>
      <c r="DAB4" s="496"/>
      <c r="DAC4" s="496"/>
      <c r="DAD4" s="496"/>
      <c r="DAE4" s="496"/>
      <c r="DAF4" s="496"/>
      <c r="DAG4" s="496"/>
      <c r="DAH4" s="496"/>
      <c r="DAI4" s="496"/>
      <c r="DAJ4" s="496"/>
      <c r="DAK4" s="496"/>
      <c r="DAL4" s="496"/>
      <c r="DAM4" s="496"/>
      <c r="DAN4" s="496"/>
      <c r="DAO4" s="496"/>
      <c r="DAP4" s="496"/>
      <c r="DAQ4" s="496"/>
      <c r="DAR4" s="496"/>
      <c r="DAS4" s="496"/>
      <c r="DAT4" s="496"/>
      <c r="DAU4" s="496"/>
      <c r="DAV4" s="496"/>
      <c r="DAW4" s="496"/>
      <c r="DAX4" s="496"/>
      <c r="DAY4" s="496"/>
      <c r="DAZ4" s="496"/>
      <c r="DBA4" s="496"/>
      <c r="DBB4" s="496"/>
      <c r="DBC4" s="496"/>
      <c r="DBD4" s="496"/>
      <c r="DBE4" s="496"/>
      <c r="DBF4" s="496"/>
      <c r="DBG4" s="496"/>
      <c r="DBH4" s="496"/>
      <c r="DBI4" s="496"/>
      <c r="DBJ4" s="496"/>
      <c r="DBK4" s="496"/>
      <c r="DBL4" s="496"/>
      <c r="DBM4" s="496"/>
      <c r="DBN4" s="496"/>
      <c r="DBO4" s="496"/>
      <c r="DBP4" s="496"/>
      <c r="DBQ4" s="496"/>
      <c r="DBR4" s="496"/>
      <c r="DBS4" s="496"/>
      <c r="DBT4" s="496"/>
      <c r="DBU4" s="496"/>
      <c r="DBV4" s="496"/>
      <c r="DBW4" s="496"/>
      <c r="DBX4" s="496"/>
      <c r="DBY4" s="496"/>
      <c r="DBZ4" s="496"/>
      <c r="DCA4" s="496"/>
      <c r="DCB4" s="496"/>
      <c r="DCC4" s="496"/>
      <c r="DCD4" s="496"/>
      <c r="DCE4" s="496"/>
      <c r="DCF4" s="496"/>
      <c r="DCG4" s="496"/>
      <c r="DCH4" s="496"/>
      <c r="DCI4" s="496"/>
      <c r="DCJ4" s="496"/>
      <c r="DCK4" s="496"/>
      <c r="DCL4" s="496"/>
      <c r="DCM4" s="496"/>
      <c r="DCN4" s="496"/>
      <c r="DCO4" s="496"/>
      <c r="DCP4" s="496"/>
      <c r="DCQ4" s="496"/>
      <c r="DCR4" s="496"/>
      <c r="DCS4" s="496"/>
      <c r="DCT4" s="496"/>
      <c r="DCU4" s="496"/>
      <c r="DCV4" s="496"/>
      <c r="DCW4" s="496"/>
      <c r="DCX4" s="496"/>
      <c r="DCY4" s="496"/>
      <c r="DCZ4" s="496"/>
      <c r="DDA4" s="496"/>
      <c r="DDB4" s="496"/>
      <c r="DDC4" s="496"/>
      <c r="DDD4" s="496"/>
      <c r="DDE4" s="496"/>
      <c r="DDF4" s="496"/>
      <c r="DDG4" s="496"/>
      <c r="DDH4" s="496"/>
      <c r="DDI4" s="496"/>
      <c r="DDJ4" s="496"/>
      <c r="DDK4" s="496"/>
      <c r="DDL4" s="496"/>
      <c r="DDM4" s="496"/>
      <c r="DDN4" s="496"/>
      <c r="DDO4" s="496"/>
      <c r="DDP4" s="496"/>
      <c r="DDQ4" s="496"/>
      <c r="DDR4" s="496"/>
      <c r="DDS4" s="496"/>
      <c r="DDT4" s="496"/>
      <c r="DDU4" s="496"/>
      <c r="DDV4" s="496"/>
      <c r="DDW4" s="496"/>
      <c r="DDX4" s="496"/>
      <c r="DDY4" s="496"/>
      <c r="DDZ4" s="496"/>
      <c r="DEA4" s="496"/>
      <c r="DEB4" s="496"/>
      <c r="DEC4" s="496"/>
      <c r="DED4" s="496"/>
      <c r="DEE4" s="496"/>
      <c r="DEF4" s="496"/>
      <c r="DEG4" s="496"/>
      <c r="DEH4" s="496"/>
      <c r="DEI4" s="496"/>
      <c r="DEJ4" s="496"/>
      <c r="DEK4" s="496"/>
      <c r="DEL4" s="496"/>
      <c r="DEM4" s="496"/>
      <c r="DEN4" s="496"/>
      <c r="DEO4" s="496"/>
      <c r="DEP4" s="496"/>
      <c r="DEQ4" s="496"/>
      <c r="DER4" s="496"/>
      <c r="DES4" s="496"/>
      <c r="DET4" s="496"/>
      <c r="DEU4" s="496"/>
      <c r="DEV4" s="496"/>
      <c r="DEW4" s="496"/>
      <c r="DEX4" s="496"/>
      <c r="DEY4" s="496"/>
      <c r="DEZ4" s="496"/>
      <c r="DFA4" s="496"/>
      <c r="DFB4" s="496"/>
      <c r="DFC4" s="496"/>
      <c r="DFD4" s="496"/>
      <c r="DFE4" s="496"/>
      <c r="DFF4" s="496"/>
      <c r="DFG4" s="496"/>
      <c r="DFH4" s="496"/>
      <c r="DFI4" s="496"/>
      <c r="DFJ4" s="496"/>
      <c r="DFK4" s="496"/>
      <c r="DFL4" s="496"/>
      <c r="DFM4" s="496"/>
      <c r="DFN4" s="496"/>
      <c r="DFO4" s="496"/>
      <c r="DFP4" s="496"/>
      <c r="DFQ4" s="496"/>
      <c r="DFR4" s="496"/>
      <c r="DFS4" s="496"/>
      <c r="DFT4" s="496"/>
      <c r="DFU4" s="496"/>
      <c r="DFV4" s="496"/>
      <c r="DFW4" s="496"/>
      <c r="DFX4" s="496"/>
      <c r="DFY4" s="496"/>
      <c r="DFZ4" s="496"/>
      <c r="DGA4" s="496"/>
      <c r="DGB4" s="496"/>
      <c r="DGC4" s="496"/>
      <c r="DGD4" s="496"/>
      <c r="DGE4" s="496"/>
      <c r="DGF4" s="496"/>
      <c r="DGG4" s="496"/>
      <c r="DGH4" s="496"/>
      <c r="DGI4" s="496"/>
      <c r="DGJ4" s="496"/>
      <c r="DGK4" s="496"/>
      <c r="DGL4" s="496"/>
      <c r="DGM4" s="496"/>
      <c r="DGN4" s="496"/>
      <c r="DGO4" s="496"/>
      <c r="DGP4" s="496"/>
      <c r="DGQ4" s="496"/>
      <c r="DGR4" s="496"/>
      <c r="DGS4" s="496"/>
      <c r="DGT4" s="496"/>
      <c r="DGU4" s="496"/>
      <c r="DGV4" s="496"/>
      <c r="DGW4" s="496"/>
      <c r="DGX4" s="496"/>
      <c r="DGY4" s="496"/>
      <c r="DGZ4" s="496"/>
      <c r="DHA4" s="496"/>
      <c r="DHB4" s="496"/>
      <c r="DHC4" s="496"/>
      <c r="DHD4" s="496"/>
      <c r="DHE4" s="496"/>
      <c r="DHF4" s="496"/>
      <c r="DHG4" s="496"/>
      <c r="DHH4" s="496"/>
      <c r="DHI4" s="496"/>
      <c r="DHJ4" s="496"/>
      <c r="DHK4" s="496"/>
      <c r="DHL4" s="496"/>
      <c r="DHM4" s="496"/>
      <c r="DHN4" s="496"/>
      <c r="DHO4" s="496"/>
      <c r="DHP4" s="496"/>
      <c r="DHQ4" s="496"/>
      <c r="DHR4" s="496"/>
      <c r="DHS4" s="496"/>
      <c r="DHT4" s="496"/>
      <c r="DHU4" s="496"/>
      <c r="DHV4" s="496"/>
      <c r="DHW4" s="496"/>
      <c r="DHX4" s="496"/>
      <c r="DHY4" s="496"/>
      <c r="DHZ4" s="496"/>
      <c r="DIA4" s="496"/>
      <c r="DIB4" s="496"/>
      <c r="DIC4" s="496"/>
      <c r="DID4" s="496"/>
      <c r="DIE4" s="496"/>
      <c r="DIF4" s="496"/>
      <c r="DIG4" s="496"/>
      <c r="DIH4" s="496"/>
      <c r="DII4" s="496"/>
      <c r="DIJ4" s="496"/>
      <c r="DIK4" s="496"/>
      <c r="DIL4" s="496"/>
      <c r="DIM4" s="496"/>
      <c r="DIN4" s="496"/>
      <c r="DIO4" s="496"/>
      <c r="DIP4" s="496"/>
      <c r="DIQ4" s="496"/>
      <c r="DIR4" s="496"/>
      <c r="DIS4" s="496"/>
      <c r="DIT4" s="496"/>
      <c r="DIU4" s="496"/>
      <c r="DIV4" s="496"/>
      <c r="DIW4" s="496"/>
      <c r="DIX4" s="496"/>
      <c r="DIY4" s="496"/>
      <c r="DIZ4" s="496"/>
      <c r="DJA4" s="496"/>
      <c r="DJB4" s="496"/>
      <c r="DJC4" s="496"/>
      <c r="DJD4" s="496"/>
      <c r="DJE4" s="496"/>
      <c r="DJF4" s="496"/>
      <c r="DJG4" s="496"/>
      <c r="DJH4" s="496"/>
      <c r="DJI4" s="496"/>
      <c r="DJJ4" s="496"/>
      <c r="DJK4" s="496"/>
      <c r="DJL4" s="496"/>
      <c r="DJM4" s="496"/>
      <c r="DJN4" s="496"/>
      <c r="DJO4" s="496"/>
      <c r="DJP4" s="496"/>
      <c r="DJQ4" s="496"/>
      <c r="DJR4" s="496"/>
      <c r="DJS4" s="496"/>
      <c r="DJT4" s="496"/>
      <c r="DJU4" s="496"/>
      <c r="DJV4" s="496"/>
      <c r="DJW4" s="496"/>
      <c r="DJX4" s="496"/>
      <c r="DJY4" s="496"/>
      <c r="DJZ4" s="496"/>
      <c r="DKA4" s="496"/>
      <c r="DKB4" s="496"/>
      <c r="DKC4" s="496"/>
      <c r="DKD4" s="496"/>
      <c r="DKE4" s="496"/>
      <c r="DKF4" s="496"/>
      <c r="DKG4" s="496"/>
      <c r="DKH4" s="496"/>
      <c r="DKI4" s="496"/>
      <c r="DKJ4" s="496"/>
      <c r="DKK4" s="496"/>
      <c r="DKL4" s="496"/>
      <c r="DKM4" s="496"/>
      <c r="DKN4" s="496"/>
      <c r="DKO4" s="496"/>
      <c r="DKP4" s="496"/>
      <c r="DKQ4" s="496"/>
      <c r="DKR4" s="496"/>
      <c r="DKS4" s="496"/>
      <c r="DKT4" s="496"/>
      <c r="DKU4" s="496"/>
      <c r="DKV4" s="496"/>
      <c r="DKW4" s="496"/>
      <c r="DKX4" s="496"/>
      <c r="DKY4" s="496"/>
      <c r="DKZ4" s="496"/>
      <c r="DLA4" s="496"/>
      <c r="DLB4" s="496"/>
      <c r="DLC4" s="496"/>
      <c r="DLD4" s="496"/>
      <c r="DLE4" s="496"/>
      <c r="DLF4" s="496"/>
      <c r="DLG4" s="496"/>
      <c r="DLH4" s="496"/>
      <c r="DLI4" s="496"/>
      <c r="DLJ4" s="496"/>
      <c r="DLK4" s="496"/>
      <c r="DLL4" s="496"/>
      <c r="DLM4" s="496"/>
      <c r="DLN4" s="496"/>
      <c r="DLO4" s="496"/>
      <c r="DLP4" s="496"/>
      <c r="DLQ4" s="496"/>
      <c r="DLR4" s="496"/>
      <c r="DLS4" s="496"/>
      <c r="DLT4" s="496"/>
      <c r="DLU4" s="496"/>
      <c r="DLV4" s="496"/>
      <c r="DLW4" s="496"/>
      <c r="DLX4" s="496"/>
      <c r="DLY4" s="496"/>
      <c r="DLZ4" s="496"/>
      <c r="DMA4" s="496"/>
      <c r="DMB4" s="496"/>
      <c r="DMC4" s="496"/>
      <c r="DMD4" s="496"/>
      <c r="DME4" s="496"/>
      <c r="DMF4" s="496"/>
      <c r="DMG4" s="496"/>
      <c r="DMH4" s="496"/>
      <c r="DMI4" s="496"/>
      <c r="DMJ4" s="496"/>
      <c r="DMK4" s="496"/>
      <c r="DML4" s="496"/>
      <c r="DMM4" s="496"/>
      <c r="DMN4" s="496"/>
      <c r="DMO4" s="496"/>
      <c r="DMP4" s="496"/>
      <c r="DMQ4" s="496"/>
      <c r="DMR4" s="496"/>
      <c r="DMS4" s="496"/>
      <c r="DMT4" s="496"/>
      <c r="DMU4" s="496"/>
      <c r="DMV4" s="496"/>
      <c r="DMW4" s="496"/>
      <c r="DMX4" s="496"/>
      <c r="DMY4" s="496"/>
      <c r="DMZ4" s="496"/>
      <c r="DNA4" s="496"/>
      <c r="DNB4" s="496"/>
      <c r="DNC4" s="496"/>
      <c r="DND4" s="496"/>
      <c r="DNE4" s="496"/>
      <c r="DNF4" s="496"/>
      <c r="DNG4" s="496"/>
      <c r="DNH4" s="496"/>
      <c r="DNI4" s="496"/>
      <c r="DNJ4" s="496"/>
      <c r="DNK4" s="496"/>
      <c r="DNL4" s="496"/>
      <c r="DNM4" s="496"/>
      <c r="DNN4" s="496"/>
      <c r="DNO4" s="496"/>
      <c r="DNP4" s="496"/>
      <c r="DNQ4" s="496"/>
      <c r="DNR4" s="496"/>
      <c r="DNS4" s="496"/>
      <c r="DNT4" s="496"/>
      <c r="DNU4" s="496"/>
      <c r="DNV4" s="496"/>
      <c r="DNW4" s="496"/>
      <c r="DNX4" s="496"/>
      <c r="DNY4" s="496"/>
      <c r="DNZ4" s="496"/>
      <c r="DOA4" s="496"/>
      <c r="DOB4" s="496"/>
      <c r="DOC4" s="496"/>
      <c r="DOD4" s="496"/>
      <c r="DOE4" s="496"/>
      <c r="DOF4" s="496"/>
      <c r="DOG4" s="496"/>
      <c r="DOH4" s="496"/>
      <c r="DOI4" s="496"/>
      <c r="DOJ4" s="496"/>
      <c r="DOK4" s="496"/>
      <c r="DOL4" s="496"/>
      <c r="DOM4" s="496"/>
      <c r="DON4" s="496"/>
      <c r="DOO4" s="496"/>
      <c r="DOP4" s="496"/>
      <c r="DOQ4" s="496"/>
      <c r="DOR4" s="496"/>
      <c r="DOS4" s="496"/>
      <c r="DOT4" s="496"/>
      <c r="DOU4" s="496"/>
      <c r="DOV4" s="496"/>
      <c r="DOW4" s="496"/>
      <c r="DOX4" s="496"/>
      <c r="DOY4" s="496"/>
      <c r="DOZ4" s="496"/>
      <c r="DPA4" s="496"/>
      <c r="DPB4" s="496"/>
      <c r="DPC4" s="496"/>
      <c r="DPD4" s="496"/>
      <c r="DPE4" s="496"/>
      <c r="DPF4" s="496"/>
      <c r="DPG4" s="496"/>
      <c r="DPH4" s="496"/>
      <c r="DPI4" s="496"/>
      <c r="DPJ4" s="496"/>
      <c r="DPK4" s="496"/>
      <c r="DPL4" s="496"/>
      <c r="DPM4" s="496"/>
      <c r="DPN4" s="496"/>
      <c r="DPO4" s="496"/>
      <c r="DPP4" s="496"/>
      <c r="DPQ4" s="496"/>
      <c r="DPR4" s="496"/>
      <c r="DPS4" s="496"/>
      <c r="DPT4" s="496"/>
      <c r="DPU4" s="496"/>
      <c r="DPV4" s="496"/>
      <c r="DPW4" s="496"/>
      <c r="DPX4" s="496"/>
      <c r="DPY4" s="496"/>
      <c r="DPZ4" s="496"/>
      <c r="DQA4" s="496"/>
      <c r="DQB4" s="496"/>
      <c r="DQC4" s="496"/>
      <c r="DQD4" s="496"/>
      <c r="DQE4" s="496"/>
      <c r="DQF4" s="496"/>
      <c r="DQG4" s="496"/>
      <c r="DQH4" s="496"/>
      <c r="DQI4" s="496"/>
      <c r="DQJ4" s="496"/>
      <c r="DQK4" s="496"/>
      <c r="DQL4" s="496"/>
      <c r="DQM4" s="496"/>
      <c r="DQN4" s="496"/>
      <c r="DQO4" s="496"/>
      <c r="DQP4" s="496"/>
      <c r="DQQ4" s="496"/>
      <c r="DQR4" s="496"/>
      <c r="DQS4" s="496"/>
      <c r="DQT4" s="496"/>
      <c r="DQU4" s="496"/>
      <c r="DQV4" s="496"/>
      <c r="DQW4" s="496"/>
      <c r="DQX4" s="496"/>
      <c r="DQY4" s="496"/>
      <c r="DQZ4" s="496"/>
      <c r="DRA4" s="496"/>
      <c r="DRB4" s="496"/>
      <c r="DRC4" s="496"/>
      <c r="DRD4" s="496"/>
      <c r="DRE4" s="496"/>
      <c r="DRF4" s="496"/>
      <c r="DRG4" s="496"/>
      <c r="DRH4" s="496"/>
      <c r="DRI4" s="496"/>
      <c r="DRJ4" s="496"/>
      <c r="DRK4" s="496"/>
      <c r="DRL4" s="496"/>
      <c r="DRM4" s="496"/>
      <c r="DRN4" s="496"/>
      <c r="DRO4" s="496"/>
      <c r="DRP4" s="496"/>
      <c r="DRQ4" s="496"/>
      <c r="DRR4" s="496"/>
      <c r="DRS4" s="496"/>
      <c r="DRT4" s="496"/>
      <c r="DRU4" s="496"/>
      <c r="DRV4" s="496"/>
      <c r="DRW4" s="496"/>
      <c r="DRX4" s="496"/>
      <c r="DRY4" s="496"/>
      <c r="DRZ4" s="496"/>
      <c r="DSA4" s="496"/>
      <c r="DSB4" s="496"/>
      <c r="DSC4" s="496"/>
      <c r="DSD4" s="496"/>
      <c r="DSE4" s="496"/>
      <c r="DSF4" s="496"/>
      <c r="DSG4" s="496"/>
      <c r="DSH4" s="496"/>
      <c r="DSI4" s="496"/>
      <c r="DSJ4" s="496"/>
      <c r="DSK4" s="496"/>
      <c r="DSL4" s="496"/>
      <c r="DSM4" s="496"/>
      <c r="DSN4" s="496"/>
      <c r="DSO4" s="496"/>
      <c r="DSP4" s="496"/>
      <c r="DSQ4" s="496"/>
      <c r="DSR4" s="496"/>
      <c r="DSS4" s="496"/>
      <c r="DST4" s="496"/>
      <c r="DSU4" s="496"/>
      <c r="DSV4" s="496"/>
      <c r="DSW4" s="496"/>
      <c r="DSX4" s="496"/>
      <c r="DSY4" s="496"/>
      <c r="DSZ4" s="496"/>
      <c r="DTA4" s="496"/>
      <c r="DTB4" s="496"/>
      <c r="DTC4" s="496"/>
      <c r="DTD4" s="496"/>
      <c r="DTE4" s="496"/>
      <c r="DTF4" s="496"/>
      <c r="DTG4" s="496"/>
      <c r="DTH4" s="496"/>
      <c r="DTI4" s="496"/>
      <c r="DTJ4" s="496"/>
      <c r="DTK4" s="496"/>
      <c r="DTL4" s="496"/>
      <c r="DTM4" s="496"/>
      <c r="DTN4" s="496"/>
      <c r="DTO4" s="496"/>
      <c r="DTP4" s="496"/>
      <c r="DTQ4" s="496"/>
      <c r="DTR4" s="496"/>
      <c r="DTS4" s="496"/>
      <c r="DTT4" s="496"/>
      <c r="DTU4" s="496"/>
      <c r="DTV4" s="496"/>
      <c r="DTW4" s="496"/>
      <c r="DTX4" s="496"/>
      <c r="DTY4" s="496"/>
      <c r="DTZ4" s="496"/>
      <c r="DUA4" s="496"/>
      <c r="DUB4" s="496"/>
      <c r="DUC4" s="496"/>
      <c r="DUD4" s="496"/>
      <c r="DUE4" s="496"/>
      <c r="DUF4" s="496"/>
      <c r="DUG4" s="496"/>
      <c r="DUH4" s="496"/>
      <c r="DUI4" s="496"/>
      <c r="DUJ4" s="496"/>
      <c r="DUK4" s="496"/>
      <c r="DUL4" s="496"/>
      <c r="DUM4" s="496"/>
      <c r="DUN4" s="496"/>
      <c r="DUO4" s="496"/>
      <c r="DUP4" s="496"/>
      <c r="DUQ4" s="496"/>
      <c r="DUR4" s="496"/>
      <c r="DUS4" s="496"/>
      <c r="DUT4" s="496"/>
      <c r="DUU4" s="496"/>
      <c r="DUV4" s="496"/>
      <c r="DUW4" s="496"/>
      <c r="DUX4" s="496"/>
      <c r="DUY4" s="496"/>
      <c r="DUZ4" s="496"/>
      <c r="DVA4" s="496"/>
      <c r="DVB4" s="496"/>
      <c r="DVC4" s="496"/>
      <c r="DVD4" s="496"/>
      <c r="DVE4" s="496"/>
      <c r="DVF4" s="496"/>
      <c r="DVG4" s="496"/>
      <c r="DVH4" s="496"/>
      <c r="DVI4" s="496"/>
      <c r="DVJ4" s="496"/>
      <c r="DVK4" s="496"/>
      <c r="DVL4" s="496"/>
      <c r="DVM4" s="496"/>
      <c r="DVN4" s="496"/>
      <c r="DVO4" s="496"/>
      <c r="DVP4" s="496"/>
      <c r="DVQ4" s="496"/>
      <c r="DVR4" s="496"/>
      <c r="DVS4" s="496"/>
      <c r="DVT4" s="496"/>
      <c r="DVU4" s="496"/>
      <c r="DVV4" s="496"/>
      <c r="DVW4" s="496"/>
      <c r="DVX4" s="496"/>
      <c r="DVY4" s="496"/>
      <c r="DVZ4" s="496"/>
      <c r="DWA4" s="496"/>
      <c r="DWB4" s="496"/>
      <c r="DWC4" s="496"/>
      <c r="DWD4" s="496"/>
      <c r="DWE4" s="496"/>
      <c r="DWF4" s="496"/>
      <c r="DWG4" s="496"/>
      <c r="DWH4" s="496"/>
      <c r="DWI4" s="496"/>
      <c r="DWJ4" s="496"/>
      <c r="DWK4" s="496"/>
      <c r="DWL4" s="496"/>
      <c r="DWM4" s="496"/>
      <c r="DWN4" s="496"/>
      <c r="DWO4" s="496"/>
      <c r="DWP4" s="496"/>
      <c r="DWQ4" s="496"/>
      <c r="DWR4" s="496"/>
      <c r="DWS4" s="496"/>
      <c r="DWT4" s="496"/>
      <c r="DWU4" s="496"/>
      <c r="DWV4" s="496"/>
      <c r="DWW4" s="496"/>
      <c r="DWX4" s="496"/>
      <c r="DWY4" s="496"/>
      <c r="DWZ4" s="496"/>
      <c r="DXA4" s="496"/>
      <c r="DXB4" s="496"/>
      <c r="DXC4" s="496"/>
      <c r="DXD4" s="496"/>
      <c r="DXE4" s="496"/>
      <c r="DXF4" s="496"/>
      <c r="DXG4" s="496"/>
      <c r="DXH4" s="496"/>
      <c r="DXI4" s="496"/>
      <c r="DXJ4" s="496"/>
      <c r="DXK4" s="496"/>
      <c r="DXL4" s="496"/>
      <c r="DXM4" s="496"/>
      <c r="DXN4" s="496"/>
      <c r="DXO4" s="496"/>
      <c r="DXP4" s="496"/>
      <c r="DXQ4" s="496"/>
      <c r="DXR4" s="496"/>
      <c r="DXS4" s="496"/>
      <c r="DXT4" s="496"/>
      <c r="DXU4" s="496"/>
      <c r="DXV4" s="496"/>
      <c r="DXW4" s="496"/>
      <c r="DXX4" s="496"/>
      <c r="DXY4" s="496"/>
      <c r="DXZ4" s="496"/>
      <c r="DYA4" s="496"/>
      <c r="DYB4" s="496"/>
      <c r="DYC4" s="496"/>
      <c r="DYD4" s="496"/>
      <c r="DYE4" s="496"/>
      <c r="DYF4" s="496"/>
      <c r="DYG4" s="496"/>
      <c r="DYH4" s="496"/>
      <c r="DYI4" s="496"/>
      <c r="DYJ4" s="496"/>
      <c r="DYK4" s="496"/>
      <c r="DYL4" s="496"/>
      <c r="DYM4" s="496"/>
      <c r="DYN4" s="496"/>
      <c r="DYO4" s="496"/>
      <c r="DYP4" s="496"/>
      <c r="DYQ4" s="496"/>
      <c r="DYR4" s="496"/>
      <c r="DYS4" s="496"/>
      <c r="DYT4" s="496"/>
      <c r="DYU4" s="496"/>
      <c r="DYV4" s="496"/>
      <c r="DYW4" s="496"/>
      <c r="DYX4" s="496"/>
      <c r="DYY4" s="496"/>
      <c r="DYZ4" s="496"/>
      <c r="DZA4" s="496"/>
      <c r="DZB4" s="496"/>
      <c r="DZC4" s="496"/>
      <c r="DZD4" s="496"/>
      <c r="DZE4" s="496"/>
      <c r="DZF4" s="496"/>
      <c r="DZG4" s="496"/>
      <c r="DZH4" s="496"/>
      <c r="DZI4" s="496"/>
      <c r="DZJ4" s="496"/>
      <c r="DZK4" s="496"/>
      <c r="DZL4" s="496"/>
      <c r="DZM4" s="496"/>
      <c r="DZN4" s="496"/>
      <c r="DZO4" s="496"/>
      <c r="DZP4" s="496"/>
      <c r="DZQ4" s="496"/>
      <c r="DZR4" s="496"/>
      <c r="DZS4" s="496"/>
      <c r="DZT4" s="496"/>
      <c r="DZU4" s="496"/>
      <c r="DZV4" s="496"/>
      <c r="DZW4" s="496"/>
      <c r="DZX4" s="496"/>
      <c r="DZY4" s="496"/>
      <c r="DZZ4" s="496"/>
      <c r="EAA4" s="496"/>
      <c r="EAB4" s="496"/>
      <c r="EAC4" s="496"/>
      <c r="EAD4" s="496"/>
      <c r="EAE4" s="496"/>
      <c r="EAF4" s="496"/>
      <c r="EAG4" s="496"/>
      <c r="EAH4" s="496"/>
      <c r="EAI4" s="496"/>
      <c r="EAJ4" s="496"/>
      <c r="EAK4" s="496"/>
      <c r="EAL4" s="496"/>
      <c r="EAM4" s="496"/>
      <c r="EAN4" s="496"/>
      <c r="EAO4" s="496"/>
      <c r="EAP4" s="496"/>
      <c r="EAQ4" s="496"/>
      <c r="EAR4" s="496"/>
      <c r="EAS4" s="496"/>
      <c r="EAT4" s="496"/>
      <c r="EAU4" s="496"/>
      <c r="EAV4" s="496"/>
      <c r="EAW4" s="496"/>
      <c r="EAX4" s="496"/>
      <c r="EAY4" s="496"/>
      <c r="EAZ4" s="496"/>
      <c r="EBA4" s="496"/>
      <c r="EBB4" s="496"/>
      <c r="EBC4" s="496"/>
      <c r="EBD4" s="496"/>
      <c r="EBE4" s="496"/>
      <c r="EBF4" s="496"/>
      <c r="EBG4" s="496"/>
      <c r="EBH4" s="496"/>
      <c r="EBI4" s="496"/>
      <c r="EBJ4" s="496"/>
      <c r="EBK4" s="496"/>
      <c r="EBL4" s="496"/>
      <c r="EBM4" s="496"/>
      <c r="EBN4" s="496"/>
      <c r="EBO4" s="496"/>
      <c r="EBP4" s="496"/>
      <c r="EBQ4" s="496"/>
      <c r="EBR4" s="496"/>
      <c r="EBS4" s="496"/>
      <c r="EBT4" s="496"/>
      <c r="EBU4" s="496"/>
      <c r="EBV4" s="496"/>
      <c r="EBW4" s="496"/>
      <c r="EBX4" s="496"/>
      <c r="EBY4" s="496"/>
      <c r="EBZ4" s="496"/>
      <c r="ECA4" s="496"/>
      <c r="ECB4" s="496"/>
      <c r="ECC4" s="496"/>
      <c r="ECD4" s="496"/>
      <c r="ECE4" s="496"/>
      <c r="ECF4" s="496"/>
      <c r="ECG4" s="496"/>
      <c r="ECH4" s="496"/>
      <c r="ECI4" s="496"/>
      <c r="ECJ4" s="496"/>
      <c r="ECK4" s="496"/>
      <c r="ECL4" s="496"/>
      <c r="ECM4" s="496"/>
      <c r="ECN4" s="496"/>
      <c r="ECO4" s="496"/>
      <c r="ECP4" s="496"/>
      <c r="ECQ4" s="496"/>
      <c r="ECR4" s="496"/>
      <c r="ECS4" s="496"/>
      <c r="ECT4" s="496"/>
      <c r="ECU4" s="496"/>
      <c r="ECV4" s="496"/>
      <c r="ECW4" s="496"/>
      <c r="ECX4" s="496"/>
      <c r="ECY4" s="496"/>
      <c r="ECZ4" s="496"/>
      <c r="EDA4" s="496"/>
      <c r="EDB4" s="496"/>
      <c r="EDC4" s="496"/>
      <c r="EDD4" s="496"/>
      <c r="EDE4" s="496"/>
      <c r="EDF4" s="496"/>
      <c r="EDG4" s="496"/>
      <c r="EDH4" s="496"/>
      <c r="EDI4" s="496"/>
      <c r="EDJ4" s="496"/>
      <c r="EDK4" s="496"/>
      <c r="EDL4" s="496"/>
      <c r="EDM4" s="496"/>
      <c r="EDN4" s="496"/>
      <c r="EDO4" s="496"/>
      <c r="EDP4" s="496"/>
      <c r="EDQ4" s="496"/>
      <c r="EDR4" s="496"/>
      <c r="EDS4" s="496"/>
      <c r="EDT4" s="496"/>
      <c r="EDU4" s="496"/>
      <c r="EDV4" s="496"/>
      <c r="EDW4" s="496"/>
      <c r="EDX4" s="496"/>
      <c r="EDY4" s="496"/>
      <c r="EDZ4" s="496"/>
      <c r="EEA4" s="496"/>
      <c r="EEB4" s="496"/>
      <c r="EEC4" s="496"/>
      <c r="EED4" s="496"/>
      <c r="EEE4" s="496"/>
      <c r="EEF4" s="496"/>
      <c r="EEG4" s="496"/>
      <c r="EEH4" s="496"/>
      <c r="EEI4" s="496"/>
      <c r="EEJ4" s="496"/>
      <c r="EEK4" s="496"/>
      <c r="EEL4" s="496"/>
      <c r="EEM4" s="496"/>
      <c r="EEN4" s="496"/>
      <c r="EEO4" s="496"/>
      <c r="EEP4" s="496"/>
      <c r="EEQ4" s="496"/>
      <c r="EER4" s="496"/>
      <c r="EES4" s="496"/>
      <c r="EET4" s="496"/>
      <c r="EEU4" s="496"/>
      <c r="EEV4" s="496"/>
      <c r="EEW4" s="496"/>
      <c r="EEX4" s="496"/>
      <c r="EEY4" s="496"/>
      <c r="EEZ4" s="496"/>
      <c r="EFA4" s="496"/>
      <c r="EFB4" s="496"/>
      <c r="EFC4" s="496"/>
      <c r="EFD4" s="496"/>
      <c r="EFE4" s="496"/>
      <c r="EFF4" s="496"/>
      <c r="EFG4" s="496"/>
      <c r="EFH4" s="496"/>
      <c r="EFI4" s="496"/>
      <c r="EFJ4" s="496"/>
      <c r="EFK4" s="496"/>
      <c r="EFL4" s="496"/>
      <c r="EFM4" s="496"/>
      <c r="EFN4" s="496"/>
      <c r="EFO4" s="496"/>
      <c r="EFP4" s="496"/>
      <c r="EFQ4" s="496"/>
      <c r="EFR4" s="496"/>
      <c r="EFS4" s="496"/>
      <c r="EFT4" s="496"/>
      <c r="EFU4" s="496"/>
      <c r="EFV4" s="496"/>
      <c r="EFW4" s="496"/>
      <c r="EFX4" s="496"/>
      <c r="EFY4" s="496"/>
      <c r="EFZ4" s="496"/>
      <c r="EGA4" s="496"/>
      <c r="EGB4" s="496"/>
      <c r="EGC4" s="496"/>
      <c r="EGD4" s="496"/>
      <c r="EGE4" s="496"/>
      <c r="EGF4" s="496"/>
      <c r="EGG4" s="496"/>
      <c r="EGH4" s="496"/>
      <c r="EGI4" s="496"/>
      <c r="EGJ4" s="496"/>
      <c r="EGK4" s="496"/>
      <c r="EGL4" s="496"/>
      <c r="EGM4" s="496"/>
      <c r="EGN4" s="496"/>
      <c r="EGO4" s="496"/>
      <c r="EGP4" s="496"/>
      <c r="EGQ4" s="496"/>
      <c r="EGR4" s="496"/>
      <c r="EGS4" s="496"/>
      <c r="EGT4" s="496"/>
      <c r="EGU4" s="496"/>
      <c r="EGV4" s="496"/>
      <c r="EGW4" s="496"/>
      <c r="EGX4" s="496"/>
      <c r="EGY4" s="496"/>
      <c r="EGZ4" s="496"/>
      <c r="EHA4" s="496"/>
      <c r="EHB4" s="496"/>
      <c r="EHC4" s="496"/>
      <c r="EHD4" s="496"/>
      <c r="EHE4" s="496"/>
      <c r="EHF4" s="496"/>
      <c r="EHG4" s="496"/>
      <c r="EHH4" s="496"/>
      <c r="EHI4" s="496"/>
      <c r="EHJ4" s="496"/>
      <c r="EHK4" s="496"/>
      <c r="EHL4" s="496"/>
      <c r="EHM4" s="496"/>
      <c r="EHN4" s="496"/>
      <c r="EHO4" s="496"/>
      <c r="EHP4" s="496"/>
      <c r="EHQ4" s="496"/>
      <c r="EHR4" s="496"/>
      <c r="EHS4" s="496"/>
      <c r="EHT4" s="496"/>
      <c r="EHU4" s="496"/>
      <c r="EHV4" s="496"/>
      <c r="EHW4" s="496"/>
      <c r="EHX4" s="496"/>
      <c r="EHY4" s="496"/>
      <c r="EHZ4" s="496"/>
      <c r="EIA4" s="496"/>
      <c r="EIB4" s="496"/>
      <c r="EIC4" s="496"/>
      <c r="EID4" s="496"/>
      <c r="EIE4" s="496"/>
      <c r="EIF4" s="496"/>
      <c r="EIG4" s="496"/>
      <c r="EIH4" s="496"/>
      <c r="EII4" s="496"/>
      <c r="EIJ4" s="496"/>
      <c r="EIK4" s="496"/>
      <c r="EIL4" s="496"/>
      <c r="EIM4" s="496"/>
      <c r="EIN4" s="496"/>
      <c r="EIO4" s="496"/>
      <c r="EIP4" s="496"/>
      <c r="EIQ4" s="496"/>
      <c r="EIR4" s="496"/>
      <c r="EIS4" s="496"/>
      <c r="EIT4" s="496"/>
      <c r="EIU4" s="496"/>
      <c r="EIV4" s="496"/>
      <c r="EIW4" s="496"/>
      <c r="EIX4" s="496"/>
      <c r="EIY4" s="496"/>
      <c r="EIZ4" s="496"/>
      <c r="EJA4" s="496"/>
      <c r="EJB4" s="496"/>
      <c r="EJC4" s="496"/>
      <c r="EJD4" s="496"/>
      <c r="EJE4" s="496"/>
      <c r="EJF4" s="496"/>
      <c r="EJG4" s="496"/>
      <c r="EJH4" s="496"/>
      <c r="EJI4" s="496"/>
      <c r="EJJ4" s="496"/>
      <c r="EJK4" s="496"/>
      <c r="EJL4" s="496"/>
      <c r="EJM4" s="496"/>
      <c r="EJN4" s="496"/>
      <c r="EJO4" s="496"/>
      <c r="EJP4" s="496"/>
      <c r="EJQ4" s="496"/>
      <c r="EJR4" s="496"/>
      <c r="EJS4" s="496"/>
      <c r="EJT4" s="496"/>
      <c r="EJU4" s="496"/>
      <c r="EJV4" s="496"/>
      <c r="EJW4" s="496"/>
      <c r="EJX4" s="496"/>
      <c r="EJY4" s="496"/>
      <c r="EJZ4" s="496"/>
      <c r="EKA4" s="496"/>
      <c r="EKB4" s="496"/>
      <c r="EKC4" s="496"/>
      <c r="EKD4" s="496"/>
      <c r="EKE4" s="496"/>
      <c r="EKF4" s="496"/>
      <c r="EKG4" s="496"/>
      <c r="EKH4" s="496"/>
      <c r="EKI4" s="496"/>
      <c r="EKJ4" s="496"/>
      <c r="EKK4" s="496"/>
      <c r="EKL4" s="496"/>
      <c r="EKM4" s="496"/>
      <c r="EKN4" s="496"/>
      <c r="EKO4" s="496"/>
      <c r="EKP4" s="496"/>
      <c r="EKQ4" s="496"/>
      <c r="EKR4" s="496"/>
      <c r="EKS4" s="496"/>
      <c r="EKT4" s="496"/>
      <c r="EKU4" s="496"/>
      <c r="EKV4" s="496"/>
      <c r="EKW4" s="496"/>
      <c r="EKX4" s="496"/>
      <c r="EKY4" s="496"/>
      <c r="EKZ4" s="496"/>
      <c r="ELA4" s="496"/>
      <c r="ELB4" s="496"/>
      <c r="ELC4" s="496"/>
      <c r="ELD4" s="496"/>
      <c r="ELE4" s="496"/>
      <c r="ELF4" s="496"/>
      <c r="ELG4" s="496"/>
      <c r="ELH4" s="496"/>
      <c r="ELI4" s="496"/>
      <c r="ELJ4" s="496"/>
      <c r="ELK4" s="496"/>
      <c r="ELL4" s="496"/>
      <c r="ELM4" s="496"/>
      <c r="ELN4" s="496"/>
      <c r="ELO4" s="496"/>
      <c r="ELP4" s="496"/>
      <c r="ELQ4" s="496"/>
      <c r="ELR4" s="496"/>
      <c r="ELS4" s="496"/>
      <c r="ELT4" s="496"/>
      <c r="ELU4" s="496"/>
      <c r="ELV4" s="496"/>
      <c r="ELW4" s="496"/>
      <c r="ELX4" s="496"/>
      <c r="ELY4" s="496"/>
      <c r="ELZ4" s="496"/>
      <c r="EMA4" s="496"/>
      <c r="EMB4" s="496"/>
      <c r="EMC4" s="496"/>
      <c r="EMD4" s="496"/>
      <c r="EME4" s="496"/>
      <c r="EMF4" s="496"/>
      <c r="EMG4" s="496"/>
      <c r="EMH4" s="496"/>
      <c r="EMI4" s="496"/>
      <c r="EMJ4" s="496"/>
      <c r="EMK4" s="496"/>
      <c r="EML4" s="496"/>
      <c r="EMM4" s="496"/>
      <c r="EMN4" s="496"/>
      <c r="EMO4" s="496"/>
      <c r="EMP4" s="496"/>
      <c r="EMQ4" s="496"/>
      <c r="EMR4" s="496"/>
      <c r="EMS4" s="496"/>
      <c r="EMT4" s="496"/>
      <c r="EMU4" s="496"/>
      <c r="EMV4" s="496"/>
      <c r="EMW4" s="496"/>
      <c r="EMX4" s="496"/>
      <c r="EMY4" s="496"/>
      <c r="EMZ4" s="496"/>
      <c r="ENA4" s="496"/>
      <c r="ENB4" s="496"/>
      <c r="ENC4" s="496"/>
      <c r="END4" s="496"/>
      <c r="ENE4" s="496"/>
      <c r="ENF4" s="496"/>
      <c r="ENG4" s="496"/>
      <c r="ENH4" s="496"/>
      <c r="ENI4" s="496"/>
      <c r="ENJ4" s="496"/>
      <c r="ENK4" s="496"/>
      <c r="ENL4" s="496"/>
      <c r="ENM4" s="496"/>
      <c r="ENN4" s="496"/>
      <c r="ENO4" s="496"/>
      <c r="ENP4" s="496"/>
      <c r="ENQ4" s="496"/>
      <c r="ENR4" s="496"/>
      <c r="ENS4" s="496"/>
      <c r="ENT4" s="496"/>
      <c r="ENU4" s="496"/>
      <c r="ENV4" s="496"/>
      <c r="ENW4" s="496"/>
      <c r="ENX4" s="496"/>
      <c r="ENY4" s="496"/>
      <c r="ENZ4" s="496"/>
      <c r="EOA4" s="496"/>
      <c r="EOB4" s="496"/>
      <c r="EOC4" s="496"/>
      <c r="EOD4" s="496"/>
      <c r="EOE4" s="496"/>
      <c r="EOF4" s="496"/>
      <c r="EOG4" s="496"/>
      <c r="EOH4" s="496"/>
      <c r="EOI4" s="496"/>
      <c r="EOJ4" s="496"/>
      <c r="EOK4" s="496"/>
      <c r="EOL4" s="496"/>
      <c r="EOM4" s="496"/>
      <c r="EON4" s="496"/>
      <c r="EOO4" s="496"/>
      <c r="EOP4" s="496"/>
      <c r="EOQ4" s="496"/>
      <c r="EOR4" s="496"/>
      <c r="EOS4" s="496"/>
      <c r="EOT4" s="496"/>
      <c r="EOU4" s="496"/>
      <c r="EOV4" s="496"/>
      <c r="EOW4" s="496"/>
      <c r="EOX4" s="496"/>
      <c r="EOY4" s="496"/>
      <c r="EOZ4" s="496"/>
      <c r="EPA4" s="496"/>
      <c r="EPB4" s="496"/>
      <c r="EPC4" s="496"/>
      <c r="EPD4" s="496"/>
      <c r="EPE4" s="496"/>
      <c r="EPF4" s="496"/>
      <c r="EPG4" s="496"/>
      <c r="EPH4" s="496"/>
      <c r="EPI4" s="496"/>
      <c r="EPJ4" s="496"/>
      <c r="EPK4" s="496"/>
      <c r="EPL4" s="496"/>
      <c r="EPM4" s="496"/>
      <c r="EPN4" s="496"/>
      <c r="EPO4" s="496"/>
      <c r="EPP4" s="496"/>
      <c r="EPQ4" s="496"/>
      <c r="EPR4" s="496"/>
      <c r="EPS4" s="496"/>
      <c r="EPT4" s="496"/>
      <c r="EPU4" s="496"/>
      <c r="EPV4" s="496"/>
      <c r="EPW4" s="496"/>
      <c r="EPX4" s="496"/>
      <c r="EPY4" s="496"/>
      <c r="EPZ4" s="496"/>
      <c r="EQA4" s="496"/>
      <c r="EQB4" s="496"/>
      <c r="EQC4" s="496"/>
      <c r="EQD4" s="496"/>
      <c r="EQE4" s="496"/>
      <c r="EQF4" s="496"/>
      <c r="EQG4" s="496"/>
      <c r="EQH4" s="496"/>
      <c r="EQI4" s="496"/>
      <c r="EQJ4" s="496"/>
      <c r="EQK4" s="496"/>
      <c r="EQL4" s="496"/>
      <c r="EQM4" s="496"/>
      <c r="EQN4" s="496"/>
      <c r="EQO4" s="496"/>
      <c r="EQP4" s="496"/>
      <c r="EQQ4" s="496"/>
      <c r="EQR4" s="496"/>
      <c r="EQS4" s="496"/>
      <c r="EQT4" s="496"/>
      <c r="EQU4" s="496"/>
      <c r="EQV4" s="496"/>
      <c r="EQW4" s="496"/>
      <c r="EQX4" s="496"/>
      <c r="EQY4" s="496"/>
      <c r="EQZ4" s="496"/>
      <c r="ERA4" s="496"/>
      <c r="ERB4" s="496"/>
      <c r="ERC4" s="496"/>
      <c r="ERD4" s="496"/>
      <c r="ERE4" s="496"/>
      <c r="ERF4" s="496"/>
      <c r="ERG4" s="496"/>
      <c r="ERH4" s="496"/>
      <c r="ERI4" s="496"/>
      <c r="ERJ4" s="496"/>
      <c r="ERK4" s="496"/>
      <c r="ERL4" s="496"/>
      <c r="ERM4" s="496"/>
      <c r="ERN4" s="496"/>
      <c r="ERO4" s="496"/>
      <c r="ERP4" s="496"/>
      <c r="ERQ4" s="496"/>
      <c r="ERR4" s="496"/>
      <c r="ERS4" s="496"/>
      <c r="ERT4" s="496"/>
      <c r="ERU4" s="496"/>
      <c r="ERV4" s="496"/>
      <c r="ERW4" s="496"/>
      <c r="ERX4" s="496"/>
      <c r="ERY4" s="496"/>
      <c r="ERZ4" s="496"/>
      <c r="ESA4" s="496"/>
      <c r="ESB4" s="496"/>
      <c r="ESC4" s="496"/>
      <c r="ESD4" s="496"/>
      <c r="ESE4" s="496"/>
      <c r="ESF4" s="496"/>
      <c r="ESG4" s="496"/>
      <c r="ESH4" s="496"/>
      <c r="ESI4" s="496"/>
      <c r="ESJ4" s="496"/>
      <c r="ESK4" s="496"/>
      <c r="ESL4" s="496"/>
      <c r="ESM4" s="496"/>
      <c r="ESN4" s="496"/>
      <c r="ESO4" s="496"/>
      <c r="ESP4" s="496"/>
      <c r="ESQ4" s="496"/>
      <c r="ESR4" s="496"/>
      <c r="ESS4" s="496"/>
      <c r="EST4" s="496"/>
      <c r="ESU4" s="496"/>
      <c r="ESV4" s="496"/>
      <c r="ESW4" s="496"/>
      <c r="ESX4" s="496"/>
      <c r="ESY4" s="496"/>
      <c r="ESZ4" s="496"/>
      <c r="ETA4" s="496"/>
      <c r="ETB4" s="496"/>
      <c r="ETC4" s="496"/>
      <c r="ETD4" s="496"/>
      <c r="ETE4" s="496"/>
      <c r="ETF4" s="496"/>
      <c r="ETG4" s="496"/>
      <c r="ETH4" s="496"/>
      <c r="ETI4" s="496"/>
      <c r="ETJ4" s="496"/>
      <c r="ETK4" s="496"/>
      <c r="ETL4" s="496"/>
      <c r="ETM4" s="496"/>
      <c r="ETN4" s="496"/>
      <c r="ETO4" s="496"/>
      <c r="ETP4" s="496"/>
      <c r="ETQ4" s="496"/>
      <c r="ETR4" s="496"/>
      <c r="ETS4" s="496"/>
      <c r="ETT4" s="496"/>
      <c r="ETU4" s="496"/>
      <c r="ETV4" s="496"/>
      <c r="ETW4" s="496"/>
      <c r="ETX4" s="496"/>
      <c r="ETY4" s="496"/>
      <c r="ETZ4" s="496"/>
      <c r="EUA4" s="496"/>
      <c r="EUB4" s="496"/>
      <c r="EUC4" s="496"/>
      <c r="EUD4" s="496"/>
      <c r="EUE4" s="496"/>
      <c r="EUF4" s="496"/>
      <c r="EUG4" s="496"/>
      <c r="EUH4" s="496"/>
      <c r="EUI4" s="496"/>
      <c r="EUJ4" s="496"/>
      <c r="EUK4" s="496"/>
      <c r="EUL4" s="496"/>
      <c r="EUM4" s="496"/>
      <c r="EUN4" s="496"/>
      <c r="EUO4" s="496"/>
      <c r="EUP4" s="496"/>
      <c r="EUQ4" s="496"/>
      <c r="EUR4" s="496"/>
      <c r="EUS4" s="496"/>
      <c r="EUT4" s="496"/>
      <c r="EUU4" s="496"/>
      <c r="EUV4" s="496"/>
      <c r="EUW4" s="496"/>
      <c r="EUX4" s="496"/>
      <c r="EUY4" s="496"/>
      <c r="EUZ4" s="496"/>
      <c r="EVA4" s="496"/>
      <c r="EVB4" s="496"/>
      <c r="EVC4" s="496"/>
      <c r="EVD4" s="496"/>
      <c r="EVE4" s="496"/>
      <c r="EVF4" s="496"/>
      <c r="EVG4" s="496"/>
      <c r="EVH4" s="496"/>
      <c r="EVI4" s="496"/>
      <c r="EVJ4" s="496"/>
      <c r="EVK4" s="496"/>
      <c r="EVL4" s="496"/>
      <c r="EVM4" s="496"/>
      <c r="EVN4" s="496"/>
      <c r="EVO4" s="496"/>
      <c r="EVP4" s="496"/>
      <c r="EVQ4" s="496"/>
      <c r="EVR4" s="496"/>
      <c r="EVS4" s="496"/>
      <c r="EVT4" s="496"/>
      <c r="EVU4" s="496"/>
      <c r="EVV4" s="496"/>
      <c r="EVW4" s="496"/>
      <c r="EVX4" s="496"/>
      <c r="EVY4" s="496"/>
      <c r="EVZ4" s="496"/>
      <c r="EWA4" s="496"/>
      <c r="EWB4" s="496"/>
      <c r="EWC4" s="496"/>
      <c r="EWD4" s="496"/>
      <c r="EWE4" s="496"/>
      <c r="EWF4" s="496"/>
      <c r="EWG4" s="496"/>
      <c r="EWH4" s="496"/>
      <c r="EWI4" s="496"/>
      <c r="EWJ4" s="496"/>
      <c r="EWK4" s="496"/>
      <c r="EWL4" s="496"/>
      <c r="EWM4" s="496"/>
      <c r="EWN4" s="496"/>
      <c r="EWO4" s="496"/>
      <c r="EWP4" s="496"/>
      <c r="EWQ4" s="496"/>
      <c r="EWR4" s="496"/>
      <c r="EWS4" s="496"/>
      <c r="EWT4" s="496"/>
      <c r="EWU4" s="496"/>
      <c r="EWV4" s="496"/>
      <c r="EWW4" s="496"/>
      <c r="EWX4" s="496"/>
      <c r="EWY4" s="496"/>
      <c r="EWZ4" s="496"/>
      <c r="EXA4" s="496"/>
      <c r="EXB4" s="496"/>
      <c r="EXC4" s="496"/>
      <c r="EXD4" s="496"/>
      <c r="EXE4" s="496"/>
      <c r="EXF4" s="496"/>
      <c r="EXG4" s="496"/>
      <c r="EXH4" s="496"/>
      <c r="EXI4" s="496"/>
      <c r="EXJ4" s="496"/>
      <c r="EXK4" s="496"/>
      <c r="EXL4" s="496"/>
      <c r="EXM4" s="496"/>
      <c r="EXN4" s="496"/>
      <c r="EXO4" s="496"/>
      <c r="EXP4" s="496"/>
      <c r="EXQ4" s="496"/>
      <c r="EXR4" s="496"/>
      <c r="EXS4" s="496"/>
      <c r="EXT4" s="496"/>
      <c r="EXU4" s="496"/>
      <c r="EXV4" s="496"/>
      <c r="EXW4" s="496"/>
      <c r="EXX4" s="496"/>
      <c r="EXY4" s="496"/>
      <c r="EXZ4" s="496"/>
      <c r="EYA4" s="496"/>
      <c r="EYB4" s="496"/>
      <c r="EYC4" s="496"/>
      <c r="EYD4" s="496"/>
      <c r="EYE4" s="496"/>
      <c r="EYF4" s="496"/>
      <c r="EYG4" s="496"/>
      <c r="EYH4" s="496"/>
      <c r="EYI4" s="496"/>
      <c r="EYJ4" s="496"/>
      <c r="EYK4" s="496"/>
      <c r="EYL4" s="496"/>
      <c r="EYM4" s="496"/>
      <c r="EYN4" s="496"/>
      <c r="EYO4" s="496"/>
      <c r="EYP4" s="496"/>
      <c r="EYQ4" s="496"/>
      <c r="EYR4" s="496"/>
      <c r="EYS4" s="496"/>
      <c r="EYT4" s="496"/>
      <c r="EYU4" s="496"/>
      <c r="EYV4" s="496"/>
      <c r="EYW4" s="496"/>
      <c r="EYX4" s="496"/>
      <c r="EYY4" s="496"/>
      <c r="EYZ4" s="496"/>
      <c r="EZA4" s="496"/>
      <c r="EZB4" s="496"/>
      <c r="EZC4" s="496"/>
      <c r="EZD4" s="496"/>
      <c r="EZE4" s="496"/>
      <c r="EZF4" s="496"/>
      <c r="EZG4" s="496"/>
      <c r="EZH4" s="496"/>
      <c r="EZI4" s="496"/>
      <c r="EZJ4" s="496"/>
      <c r="EZK4" s="496"/>
      <c r="EZL4" s="496"/>
      <c r="EZM4" s="496"/>
      <c r="EZN4" s="496"/>
      <c r="EZO4" s="496"/>
      <c r="EZP4" s="496"/>
      <c r="EZQ4" s="496"/>
      <c r="EZR4" s="496"/>
      <c r="EZS4" s="496"/>
      <c r="EZT4" s="496"/>
      <c r="EZU4" s="496"/>
      <c r="EZV4" s="496"/>
      <c r="EZW4" s="496"/>
      <c r="EZX4" s="496"/>
      <c r="EZY4" s="496"/>
      <c r="EZZ4" s="496"/>
      <c r="FAA4" s="496"/>
      <c r="FAB4" s="496"/>
      <c r="FAC4" s="496"/>
      <c r="FAD4" s="496"/>
      <c r="FAE4" s="496"/>
      <c r="FAF4" s="496"/>
      <c r="FAG4" s="496"/>
      <c r="FAH4" s="496"/>
      <c r="FAI4" s="496"/>
      <c r="FAJ4" s="496"/>
      <c r="FAK4" s="496"/>
      <c r="FAL4" s="496"/>
      <c r="FAM4" s="496"/>
      <c r="FAN4" s="496"/>
      <c r="FAO4" s="496"/>
      <c r="FAP4" s="496"/>
      <c r="FAQ4" s="496"/>
      <c r="FAR4" s="496"/>
      <c r="FAS4" s="496"/>
      <c r="FAT4" s="496"/>
      <c r="FAU4" s="496"/>
      <c r="FAV4" s="496"/>
      <c r="FAW4" s="496"/>
      <c r="FAX4" s="496"/>
      <c r="FAY4" s="496"/>
      <c r="FAZ4" s="496"/>
      <c r="FBA4" s="496"/>
      <c r="FBB4" s="496"/>
      <c r="FBC4" s="496"/>
      <c r="FBD4" s="496"/>
      <c r="FBE4" s="496"/>
      <c r="FBF4" s="496"/>
      <c r="FBG4" s="496"/>
      <c r="FBH4" s="496"/>
      <c r="FBI4" s="496"/>
      <c r="FBJ4" s="496"/>
      <c r="FBK4" s="496"/>
      <c r="FBL4" s="496"/>
      <c r="FBM4" s="496"/>
      <c r="FBN4" s="496"/>
      <c r="FBO4" s="496"/>
      <c r="FBP4" s="496"/>
      <c r="FBQ4" s="496"/>
      <c r="FBR4" s="496"/>
      <c r="FBS4" s="496"/>
      <c r="FBT4" s="496"/>
      <c r="FBU4" s="496"/>
      <c r="FBV4" s="496"/>
      <c r="FBW4" s="496"/>
      <c r="FBX4" s="496"/>
      <c r="FBY4" s="496"/>
      <c r="FBZ4" s="496"/>
      <c r="FCA4" s="496"/>
      <c r="FCB4" s="496"/>
      <c r="FCC4" s="496"/>
      <c r="FCD4" s="496"/>
      <c r="FCE4" s="496"/>
      <c r="FCF4" s="496"/>
      <c r="FCG4" s="496"/>
      <c r="FCH4" s="496"/>
      <c r="FCI4" s="496"/>
      <c r="FCJ4" s="496"/>
      <c r="FCK4" s="496"/>
      <c r="FCL4" s="496"/>
      <c r="FCM4" s="496"/>
      <c r="FCN4" s="496"/>
      <c r="FCO4" s="496"/>
      <c r="FCP4" s="496"/>
      <c r="FCQ4" s="496"/>
      <c r="FCR4" s="496"/>
      <c r="FCS4" s="496"/>
      <c r="FCT4" s="496"/>
      <c r="FCU4" s="496"/>
      <c r="FCV4" s="496"/>
      <c r="FCW4" s="496"/>
      <c r="FCX4" s="496"/>
      <c r="FCY4" s="496"/>
      <c r="FCZ4" s="496"/>
      <c r="FDA4" s="496"/>
      <c r="FDB4" s="496"/>
      <c r="FDC4" s="496"/>
      <c r="FDD4" s="496"/>
      <c r="FDE4" s="496"/>
      <c r="FDF4" s="496"/>
      <c r="FDG4" s="496"/>
      <c r="FDH4" s="496"/>
      <c r="FDI4" s="496"/>
      <c r="FDJ4" s="496"/>
      <c r="FDK4" s="496"/>
      <c r="FDL4" s="496"/>
      <c r="FDM4" s="496"/>
      <c r="FDN4" s="496"/>
      <c r="FDO4" s="496"/>
      <c r="FDP4" s="496"/>
      <c r="FDQ4" s="496"/>
      <c r="FDR4" s="496"/>
      <c r="FDS4" s="496"/>
      <c r="FDT4" s="496"/>
      <c r="FDU4" s="496"/>
      <c r="FDV4" s="496"/>
      <c r="FDW4" s="496"/>
      <c r="FDX4" s="496"/>
      <c r="FDY4" s="496"/>
      <c r="FDZ4" s="496"/>
      <c r="FEA4" s="496"/>
      <c r="FEB4" s="496"/>
      <c r="FEC4" s="496"/>
      <c r="FED4" s="496"/>
      <c r="FEE4" s="496"/>
      <c r="FEF4" s="496"/>
      <c r="FEG4" s="496"/>
      <c r="FEH4" s="496"/>
      <c r="FEI4" s="496"/>
      <c r="FEJ4" s="496"/>
      <c r="FEK4" s="496"/>
      <c r="FEL4" s="496"/>
      <c r="FEM4" s="496"/>
      <c r="FEN4" s="496"/>
      <c r="FEO4" s="496"/>
      <c r="FEP4" s="496"/>
      <c r="FEQ4" s="496"/>
      <c r="FER4" s="496"/>
      <c r="FES4" s="496"/>
      <c r="FET4" s="496"/>
      <c r="FEU4" s="496"/>
      <c r="FEV4" s="496"/>
      <c r="FEW4" s="496"/>
      <c r="FEX4" s="496"/>
      <c r="FEY4" s="496"/>
      <c r="FEZ4" s="496"/>
      <c r="FFA4" s="496"/>
      <c r="FFB4" s="496"/>
      <c r="FFC4" s="496"/>
      <c r="FFD4" s="496"/>
      <c r="FFE4" s="496"/>
      <c r="FFF4" s="496"/>
      <c r="FFG4" s="496"/>
      <c r="FFH4" s="496"/>
      <c r="FFI4" s="496"/>
      <c r="FFJ4" s="496"/>
      <c r="FFK4" s="496"/>
      <c r="FFL4" s="496"/>
      <c r="FFM4" s="496"/>
      <c r="FFN4" s="496"/>
      <c r="FFO4" s="496"/>
      <c r="FFP4" s="496"/>
      <c r="FFQ4" s="496"/>
      <c r="FFR4" s="496"/>
      <c r="FFS4" s="496"/>
      <c r="FFT4" s="496"/>
      <c r="FFU4" s="496"/>
      <c r="FFV4" s="496"/>
      <c r="FFW4" s="496"/>
      <c r="FFX4" s="496"/>
      <c r="FFY4" s="496"/>
      <c r="FFZ4" s="496"/>
      <c r="FGA4" s="496"/>
      <c r="FGB4" s="496"/>
      <c r="FGC4" s="496"/>
      <c r="FGD4" s="496"/>
      <c r="FGE4" s="496"/>
      <c r="FGF4" s="496"/>
      <c r="FGG4" s="496"/>
      <c r="FGH4" s="496"/>
      <c r="FGI4" s="496"/>
      <c r="FGJ4" s="496"/>
      <c r="FGK4" s="496"/>
      <c r="FGL4" s="496"/>
      <c r="FGM4" s="496"/>
      <c r="FGN4" s="496"/>
      <c r="FGO4" s="496"/>
      <c r="FGP4" s="496"/>
      <c r="FGQ4" s="496"/>
      <c r="FGR4" s="496"/>
      <c r="FGS4" s="496"/>
      <c r="FGT4" s="496"/>
      <c r="FGU4" s="496"/>
      <c r="FGV4" s="496"/>
      <c r="FGW4" s="496"/>
      <c r="FGX4" s="496"/>
      <c r="FGY4" s="496"/>
      <c r="FGZ4" s="496"/>
      <c r="FHA4" s="496"/>
      <c r="FHB4" s="496"/>
      <c r="FHC4" s="496"/>
      <c r="FHD4" s="496"/>
      <c r="FHE4" s="496"/>
      <c r="FHF4" s="496"/>
      <c r="FHG4" s="496"/>
      <c r="FHH4" s="496"/>
      <c r="FHI4" s="496"/>
      <c r="FHJ4" s="496"/>
      <c r="FHK4" s="496"/>
      <c r="FHL4" s="496"/>
      <c r="FHM4" s="496"/>
      <c r="FHN4" s="496"/>
      <c r="FHO4" s="496"/>
      <c r="FHP4" s="496"/>
      <c r="FHQ4" s="496"/>
      <c r="FHR4" s="496"/>
      <c r="FHS4" s="496"/>
      <c r="FHT4" s="496"/>
      <c r="FHU4" s="496"/>
      <c r="FHV4" s="496"/>
      <c r="FHW4" s="496"/>
      <c r="FHX4" s="496"/>
      <c r="FHY4" s="496"/>
      <c r="FHZ4" s="496"/>
      <c r="FIA4" s="496"/>
      <c r="FIB4" s="496"/>
      <c r="FIC4" s="496"/>
      <c r="FID4" s="496"/>
      <c r="FIE4" s="496"/>
      <c r="FIF4" s="496"/>
      <c r="FIG4" s="496"/>
      <c r="FIH4" s="496"/>
      <c r="FII4" s="496"/>
      <c r="FIJ4" s="496"/>
      <c r="FIK4" s="496"/>
      <c r="FIL4" s="496"/>
      <c r="FIM4" s="496"/>
      <c r="FIN4" s="496"/>
      <c r="FIO4" s="496"/>
      <c r="FIP4" s="496"/>
      <c r="FIQ4" s="496"/>
      <c r="FIR4" s="496"/>
      <c r="FIS4" s="496"/>
      <c r="FIT4" s="496"/>
      <c r="FIU4" s="496"/>
      <c r="FIV4" s="496"/>
      <c r="FIW4" s="496"/>
      <c r="FIX4" s="496"/>
      <c r="FIY4" s="496"/>
      <c r="FIZ4" s="496"/>
      <c r="FJA4" s="496"/>
      <c r="FJB4" s="496"/>
      <c r="FJC4" s="496"/>
      <c r="FJD4" s="496"/>
      <c r="FJE4" s="496"/>
      <c r="FJF4" s="496"/>
      <c r="FJG4" s="496"/>
      <c r="FJH4" s="496"/>
      <c r="FJI4" s="496"/>
      <c r="FJJ4" s="496"/>
      <c r="FJK4" s="496"/>
      <c r="FJL4" s="496"/>
      <c r="FJM4" s="496"/>
      <c r="FJN4" s="496"/>
      <c r="FJO4" s="496"/>
      <c r="FJP4" s="496"/>
      <c r="FJQ4" s="496"/>
      <c r="FJR4" s="496"/>
      <c r="FJS4" s="496"/>
      <c r="FJT4" s="496"/>
      <c r="FJU4" s="496"/>
      <c r="FJV4" s="496"/>
      <c r="FJW4" s="496"/>
      <c r="FJX4" s="496"/>
      <c r="FJY4" s="496"/>
      <c r="FJZ4" s="496"/>
      <c r="FKA4" s="496"/>
      <c r="FKB4" s="496"/>
      <c r="FKC4" s="496"/>
      <c r="FKD4" s="496"/>
      <c r="FKE4" s="496"/>
      <c r="FKF4" s="496"/>
      <c r="FKG4" s="496"/>
      <c r="FKH4" s="496"/>
      <c r="FKI4" s="496"/>
      <c r="FKJ4" s="496"/>
      <c r="FKK4" s="496"/>
      <c r="FKL4" s="496"/>
      <c r="FKM4" s="496"/>
      <c r="FKN4" s="496"/>
      <c r="FKO4" s="496"/>
      <c r="FKP4" s="496"/>
      <c r="FKQ4" s="496"/>
      <c r="FKR4" s="496"/>
      <c r="FKS4" s="496"/>
      <c r="FKT4" s="496"/>
      <c r="FKU4" s="496"/>
      <c r="FKV4" s="496"/>
      <c r="FKW4" s="496"/>
      <c r="FKX4" s="496"/>
      <c r="FKY4" s="496"/>
      <c r="FKZ4" s="496"/>
      <c r="FLA4" s="496"/>
      <c r="FLB4" s="496"/>
      <c r="FLC4" s="496"/>
      <c r="FLD4" s="496"/>
      <c r="FLE4" s="496"/>
      <c r="FLF4" s="496"/>
      <c r="FLG4" s="496"/>
      <c r="FLH4" s="496"/>
      <c r="FLI4" s="496"/>
      <c r="FLJ4" s="496"/>
      <c r="FLK4" s="496"/>
      <c r="FLL4" s="496"/>
      <c r="FLM4" s="496"/>
      <c r="FLN4" s="496"/>
      <c r="FLO4" s="496"/>
      <c r="FLP4" s="496"/>
      <c r="FLQ4" s="496"/>
      <c r="FLR4" s="496"/>
      <c r="FLS4" s="496"/>
      <c r="FLT4" s="496"/>
      <c r="FLU4" s="496"/>
      <c r="FLV4" s="496"/>
      <c r="FLW4" s="496"/>
      <c r="FLX4" s="496"/>
      <c r="FLY4" s="496"/>
      <c r="FLZ4" s="496"/>
      <c r="FMA4" s="496"/>
      <c r="FMB4" s="496"/>
      <c r="FMC4" s="496"/>
      <c r="FMD4" s="496"/>
      <c r="FME4" s="496"/>
      <c r="FMF4" s="496"/>
      <c r="FMG4" s="496"/>
      <c r="FMH4" s="496"/>
      <c r="FMI4" s="496"/>
      <c r="FMJ4" s="496"/>
      <c r="FMK4" s="496"/>
      <c r="FML4" s="496"/>
      <c r="FMM4" s="496"/>
      <c r="FMN4" s="496"/>
      <c r="FMO4" s="496"/>
      <c r="FMP4" s="496"/>
      <c r="FMQ4" s="496"/>
      <c r="FMR4" s="496"/>
      <c r="FMS4" s="496"/>
      <c r="FMT4" s="496"/>
      <c r="FMU4" s="496"/>
      <c r="FMV4" s="496"/>
      <c r="FMW4" s="496"/>
      <c r="FMX4" s="496"/>
      <c r="FMY4" s="496"/>
      <c r="FMZ4" s="496"/>
      <c r="FNA4" s="496"/>
      <c r="FNB4" s="496"/>
      <c r="FNC4" s="496"/>
      <c r="FND4" s="496"/>
      <c r="FNE4" s="496"/>
      <c r="FNF4" s="496"/>
      <c r="FNG4" s="496"/>
      <c r="FNH4" s="496"/>
      <c r="FNI4" s="496"/>
      <c r="FNJ4" s="496"/>
      <c r="FNK4" s="496"/>
      <c r="FNL4" s="496"/>
      <c r="FNM4" s="496"/>
      <c r="FNN4" s="496"/>
      <c r="FNO4" s="496"/>
      <c r="FNP4" s="496"/>
      <c r="FNQ4" s="496"/>
      <c r="FNR4" s="496"/>
      <c r="FNS4" s="496"/>
      <c r="FNT4" s="496"/>
      <c r="FNU4" s="496"/>
      <c r="FNV4" s="496"/>
      <c r="FNW4" s="496"/>
      <c r="FNX4" s="496"/>
      <c r="FNY4" s="496"/>
      <c r="FNZ4" s="496"/>
      <c r="FOA4" s="496"/>
      <c r="FOB4" s="496"/>
      <c r="FOC4" s="496"/>
      <c r="FOD4" s="496"/>
      <c r="FOE4" s="496"/>
      <c r="FOF4" s="496"/>
      <c r="FOG4" s="496"/>
      <c r="FOH4" s="496"/>
      <c r="FOI4" s="496"/>
      <c r="FOJ4" s="496"/>
      <c r="FOK4" s="496"/>
      <c r="FOL4" s="496"/>
      <c r="FOM4" s="496"/>
      <c r="FON4" s="496"/>
      <c r="FOO4" s="496"/>
      <c r="FOP4" s="496"/>
      <c r="FOQ4" s="496"/>
      <c r="FOR4" s="496"/>
      <c r="FOS4" s="496"/>
      <c r="FOT4" s="496"/>
      <c r="FOU4" s="496"/>
      <c r="FOV4" s="496"/>
      <c r="FOW4" s="496"/>
      <c r="FOX4" s="496"/>
      <c r="FOY4" s="496"/>
      <c r="FOZ4" s="496"/>
      <c r="FPA4" s="496"/>
      <c r="FPB4" s="496"/>
      <c r="FPC4" s="496"/>
      <c r="FPD4" s="496"/>
      <c r="FPE4" s="496"/>
      <c r="FPF4" s="496"/>
      <c r="FPG4" s="496"/>
      <c r="FPH4" s="496"/>
      <c r="FPI4" s="496"/>
      <c r="FPJ4" s="496"/>
      <c r="FPK4" s="496"/>
      <c r="FPL4" s="496"/>
      <c r="FPM4" s="496"/>
      <c r="FPN4" s="496"/>
      <c r="FPO4" s="496"/>
      <c r="FPP4" s="496"/>
      <c r="FPQ4" s="496"/>
      <c r="FPR4" s="496"/>
      <c r="FPS4" s="496"/>
      <c r="FPT4" s="496"/>
      <c r="FPU4" s="496"/>
      <c r="FPV4" s="496"/>
      <c r="FPW4" s="496"/>
      <c r="FPX4" s="496"/>
      <c r="FPY4" s="496"/>
      <c r="FPZ4" s="496"/>
      <c r="FQA4" s="496"/>
      <c r="FQB4" s="496"/>
      <c r="FQC4" s="496"/>
      <c r="FQD4" s="496"/>
      <c r="FQE4" s="496"/>
      <c r="FQF4" s="496"/>
      <c r="FQG4" s="496"/>
      <c r="FQH4" s="496"/>
      <c r="FQI4" s="496"/>
      <c r="FQJ4" s="496"/>
      <c r="FQK4" s="496"/>
      <c r="FQL4" s="496"/>
      <c r="FQM4" s="496"/>
      <c r="FQN4" s="496"/>
      <c r="FQO4" s="496"/>
      <c r="FQP4" s="496"/>
      <c r="FQQ4" s="496"/>
      <c r="FQR4" s="496"/>
      <c r="FQS4" s="496"/>
      <c r="FQT4" s="496"/>
      <c r="FQU4" s="496"/>
      <c r="FQV4" s="496"/>
      <c r="FQW4" s="496"/>
      <c r="FQX4" s="496"/>
      <c r="FQY4" s="496"/>
      <c r="FQZ4" s="496"/>
      <c r="FRA4" s="496"/>
      <c r="FRB4" s="496"/>
      <c r="FRC4" s="496"/>
      <c r="FRD4" s="496"/>
      <c r="FRE4" s="496"/>
      <c r="FRF4" s="496"/>
      <c r="FRG4" s="496"/>
      <c r="FRH4" s="496"/>
      <c r="FRI4" s="496"/>
      <c r="FRJ4" s="496"/>
      <c r="FRK4" s="496"/>
      <c r="FRL4" s="496"/>
      <c r="FRM4" s="496"/>
      <c r="FRN4" s="496"/>
      <c r="FRO4" s="496"/>
      <c r="FRP4" s="496"/>
      <c r="FRQ4" s="496"/>
      <c r="FRR4" s="496"/>
      <c r="FRS4" s="496"/>
      <c r="FRT4" s="496"/>
      <c r="FRU4" s="496"/>
      <c r="FRV4" s="496"/>
      <c r="FRW4" s="496"/>
      <c r="FRX4" s="496"/>
      <c r="FRY4" s="496"/>
      <c r="FRZ4" s="496"/>
      <c r="FSA4" s="496"/>
      <c r="FSB4" s="496"/>
      <c r="FSC4" s="496"/>
      <c r="FSD4" s="496"/>
      <c r="FSE4" s="496"/>
      <c r="FSF4" s="496"/>
      <c r="FSG4" s="496"/>
      <c r="FSH4" s="496"/>
      <c r="FSI4" s="496"/>
      <c r="FSJ4" s="496"/>
      <c r="FSK4" s="496"/>
      <c r="FSL4" s="496"/>
      <c r="FSM4" s="496"/>
      <c r="FSN4" s="496"/>
      <c r="FSO4" s="496"/>
      <c r="FSP4" s="496"/>
      <c r="FSQ4" s="496"/>
      <c r="FSR4" s="496"/>
      <c r="FSS4" s="496"/>
      <c r="FST4" s="496"/>
      <c r="FSU4" s="496"/>
      <c r="FSV4" s="496"/>
      <c r="FSW4" s="496"/>
      <c r="FSX4" s="496"/>
      <c r="FSY4" s="496"/>
      <c r="FSZ4" s="496"/>
      <c r="FTA4" s="496"/>
      <c r="FTB4" s="496"/>
      <c r="FTC4" s="496"/>
      <c r="FTD4" s="496"/>
      <c r="FTE4" s="496"/>
      <c r="FTF4" s="496"/>
      <c r="FTG4" s="496"/>
      <c r="FTH4" s="496"/>
      <c r="FTI4" s="496"/>
      <c r="FTJ4" s="496"/>
      <c r="FTK4" s="496"/>
      <c r="FTL4" s="496"/>
      <c r="FTM4" s="496"/>
      <c r="FTN4" s="496"/>
      <c r="FTO4" s="496"/>
      <c r="FTP4" s="496"/>
      <c r="FTQ4" s="496"/>
      <c r="FTR4" s="496"/>
      <c r="FTS4" s="496"/>
      <c r="FTT4" s="496"/>
      <c r="FTU4" s="496"/>
      <c r="FTV4" s="496"/>
      <c r="FTW4" s="496"/>
      <c r="FTX4" s="496"/>
      <c r="FTY4" s="496"/>
      <c r="FTZ4" s="496"/>
      <c r="FUA4" s="496"/>
      <c r="FUB4" s="496"/>
      <c r="FUC4" s="496"/>
      <c r="FUD4" s="496"/>
      <c r="FUE4" s="496"/>
      <c r="FUF4" s="496"/>
      <c r="FUG4" s="496"/>
      <c r="FUH4" s="496"/>
      <c r="FUI4" s="496"/>
      <c r="FUJ4" s="496"/>
      <c r="FUK4" s="496"/>
      <c r="FUL4" s="496"/>
      <c r="FUM4" s="496"/>
      <c r="FUN4" s="496"/>
      <c r="FUO4" s="496"/>
      <c r="FUP4" s="496"/>
      <c r="FUQ4" s="496"/>
      <c r="FUR4" s="496"/>
      <c r="FUS4" s="496"/>
      <c r="FUT4" s="496"/>
      <c r="FUU4" s="496"/>
      <c r="FUV4" s="496"/>
      <c r="FUW4" s="496"/>
      <c r="FUX4" s="496"/>
      <c r="FUY4" s="496"/>
      <c r="FUZ4" s="496"/>
      <c r="FVA4" s="496"/>
      <c r="FVB4" s="496"/>
      <c r="FVC4" s="496"/>
      <c r="FVD4" s="496"/>
      <c r="FVE4" s="496"/>
      <c r="FVF4" s="496"/>
      <c r="FVG4" s="496"/>
      <c r="FVH4" s="496"/>
      <c r="FVI4" s="496"/>
      <c r="FVJ4" s="496"/>
      <c r="FVK4" s="496"/>
      <c r="FVL4" s="496"/>
      <c r="FVM4" s="496"/>
      <c r="FVN4" s="496"/>
      <c r="FVO4" s="496"/>
      <c r="FVP4" s="496"/>
      <c r="FVQ4" s="496"/>
      <c r="FVR4" s="496"/>
      <c r="FVS4" s="496"/>
      <c r="FVT4" s="496"/>
      <c r="FVU4" s="496"/>
      <c r="FVV4" s="496"/>
      <c r="FVW4" s="496"/>
      <c r="FVX4" s="496"/>
      <c r="FVY4" s="496"/>
      <c r="FVZ4" s="496"/>
      <c r="FWA4" s="496"/>
      <c r="FWB4" s="496"/>
      <c r="FWC4" s="496"/>
      <c r="FWD4" s="496"/>
      <c r="FWE4" s="496"/>
      <c r="FWF4" s="496"/>
      <c r="FWG4" s="496"/>
      <c r="FWH4" s="496"/>
      <c r="FWI4" s="496"/>
      <c r="FWJ4" s="496"/>
      <c r="FWK4" s="496"/>
      <c r="FWL4" s="496"/>
      <c r="FWM4" s="496"/>
      <c r="FWN4" s="496"/>
      <c r="FWO4" s="496"/>
      <c r="FWP4" s="496"/>
      <c r="FWQ4" s="496"/>
      <c r="FWR4" s="496"/>
      <c r="FWS4" s="496"/>
      <c r="FWT4" s="496"/>
      <c r="FWU4" s="496"/>
      <c r="FWV4" s="496"/>
      <c r="FWW4" s="496"/>
      <c r="FWX4" s="496"/>
      <c r="FWY4" s="496"/>
      <c r="FWZ4" s="496"/>
      <c r="FXA4" s="496"/>
      <c r="FXB4" s="496"/>
      <c r="FXC4" s="496"/>
      <c r="FXD4" s="496"/>
      <c r="FXE4" s="496"/>
      <c r="FXF4" s="496"/>
      <c r="FXG4" s="496"/>
      <c r="FXH4" s="496"/>
      <c r="FXI4" s="496"/>
      <c r="FXJ4" s="496"/>
      <c r="FXK4" s="496"/>
      <c r="FXL4" s="496"/>
      <c r="FXM4" s="496"/>
      <c r="FXN4" s="496"/>
      <c r="FXO4" s="496"/>
      <c r="FXP4" s="496"/>
      <c r="FXQ4" s="496"/>
      <c r="FXR4" s="496"/>
      <c r="FXS4" s="496"/>
      <c r="FXT4" s="496"/>
      <c r="FXU4" s="496"/>
      <c r="FXV4" s="496"/>
      <c r="FXW4" s="496"/>
      <c r="FXX4" s="496"/>
      <c r="FXY4" s="496"/>
      <c r="FXZ4" s="496"/>
      <c r="FYA4" s="496"/>
      <c r="FYB4" s="496"/>
      <c r="FYC4" s="496"/>
      <c r="FYD4" s="496"/>
      <c r="FYE4" s="496"/>
      <c r="FYF4" s="496"/>
      <c r="FYG4" s="496"/>
      <c r="FYH4" s="496"/>
      <c r="FYI4" s="496"/>
      <c r="FYJ4" s="496"/>
      <c r="FYK4" s="496"/>
      <c r="FYL4" s="496"/>
      <c r="FYM4" s="496"/>
      <c r="FYN4" s="496"/>
      <c r="FYO4" s="496"/>
      <c r="FYP4" s="496"/>
      <c r="FYQ4" s="496"/>
      <c r="FYR4" s="496"/>
      <c r="FYS4" s="496"/>
      <c r="FYT4" s="496"/>
      <c r="FYU4" s="496"/>
      <c r="FYV4" s="496"/>
      <c r="FYW4" s="496"/>
      <c r="FYX4" s="496"/>
      <c r="FYY4" s="496"/>
      <c r="FYZ4" s="496"/>
      <c r="FZA4" s="496"/>
      <c r="FZB4" s="496"/>
      <c r="FZC4" s="496"/>
      <c r="FZD4" s="496"/>
      <c r="FZE4" s="496"/>
      <c r="FZF4" s="496"/>
      <c r="FZG4" s="496"/>
      <c r="FZH4" s="496"/>
      <c r="FZI4" s="496"/>
      <c r="FZJ4" s="496"/>
      <c r="FZK4" s="496"/>
      <c r="FZL4" s="496"/>
      <c r="FZM4" s="496"/>
      <c r="FZN4" s="496"/>
      <c r="FZO4" s="496"/>
      <c r="FZP4" s="496"/>
      <c r="FZQ4" s="496"/>
      <c r="FZR4" s="496"/>
      <c r="FZS4" s="496"/>
      <c r="FZT4" s="496"/>
      <c r="FZU4" s="496"/>
      <c r="FZV4" s="496"/>
      <c r="FZW4" s="496"/>
      <c r="FZX4" s="496"/>
      <c r="FZY4" s="496"/>
      <c r="FZZ4" s="496"/>
      <c r="GAA4" s="496"/>
      <c r="GAB4" s="496"/>
      <c r="GAC4" s="496"/>
      <c r="GAD4" s="496"/>
      <c r="GAE4" s="496"/>
      <c r="GAF4" s="496"/>
      <c r="GAG4" s="496"/>
      <c r="GAH4" s="496"/>
      <c r="GAI4" s="496"/>
      <c r="GAJ4" s="496"/>
      <c r="GAK4" s="496"/>
      <c r="GAL4" s="496"/>
      <c r="GAM4" s="496"/>
      <c r="GAN4" s="496"/>
      <c r="GAO4" s="496"/>
      <c r="GAP4" s="496"/>
      <c r="GAQ4" s="496"/>
      <c r="GAR4" s="496"/>
      <c r="GAS4" s="496"/>
      <c r="GAT4" s="496"/>
      <c r="GAU4" s="496"/>
      <c r="GAV4" s="496"/>
      <c r="GAW4" s="496"/>
      <c r="GAX4" s="496"/>
      <c r="GAY4" s="496"/>
      <c r="GAZ4" s="496"/>
      <c r="GBA4" s="496"/>
      <c r="GBB4" s="496"/>
      <c r="GBC4" s="496"/>
      <c r="GBD4" s="496"/>
      <c r="GBE4" s="496"/>
      <c r="GBF4" s="496"/>
      <c r="GBG4" s="496"/>
      <c r="GBH4" s="496"/>
      <c r="GBI4" s="496"/>
      <c r="GBJ4" s="496"/>
      <c r="GBK4" s="496"/>
      <c r="GBL4" s="496"/>
      <c r="GBM4" s="496"/>
      <c r="GBN4" s="496"/>
      <c r="GBO4" s="496"/>
      <c r="GBP4" s="496"/>
      <c r="GBQ4" s="496"/>
      <c r="GBR4" s="496"/>
      <c r="GBS4" s="496"/>
      <c r="GBT4" s="496"/>
      <c r="GBU4" s="496"/>
      <c r="GBV4" s="496"/>
      <c r="GBW4" s="496"/>
      <c r="GBX4" s="496"/>
      <c r="GBY4" s="496"/>
      <c r="GBZ4" s="496"/>
      <c r="GCA4" s="496"/>
      <c r="GCB4" s="496"/>
      <c r="GCC4" s="496"/>
      <c r="GCD4" s="496"/>
      <c r="GCE4" s="496"/>
      <c r="GCF4" s="496"/>
      <c r="GCG4" s="496"/>
      <c r="GCH4" s="496"/>
      <c r="GCI4" s="496"/>
      <c r="GCJ4" s="496"/>
      <c r="GCK4" s="496"/>
      <c r="GCL4" s="496"/>
      <c r="GCM4" s="496"/>
      <c r="GCN4" s="496"/>
      <c r="GCO4" s="496"/>
      <c r="GCP4" s="496"/>
      <c r="GCQ4" s="496"/>
      <c r="GCR4" s="496"/>
      <c r="GCS4" s="496"/>
      <c r="GCT4" s="496"/>
      <c r="GCU4" s="496"/>
      <c r="GCV4" s="496"/>
      <c r="GCW4" s="496"/>
      <c r="GCX4" s="496"/>
      <c r="GCY4" s="496"/>
      <c r="GCZ4" s="496"/>
      <c r="GDA4" s="496"/>
      <c r="GDB4" s="496"/>
      <c r="GDC4" s="496"/>
      <c r="GDD4" s="496"/>
      <c r="GDE4" s="496"/>
      <c r="GDF4" s="496"/>
      <c r="GDG4" s="496"/>
      <c r="GDH4" s="496"/>
      <c r="GDI4" s="496"/>
      <c r="GDJ4" s="496"/>
      <c r="GDK4" s="496"/>
      <c r="GDL4" s="496"/>
      <c r="GDM4" s="496"/>
      <c r="GDN4" s="496"/>
      <c r="GDO4" s="496"/>
      <c r="GDP4" s="496"/>
      <c r="GDQ4" s="496"/>
      <c r="GDR4" s="496"/>
      <c r="GDS4" s="496"/>
      <c r="GDT4" s="496"/>
      <c r="GDU4" s="496"/>
      <c r="GDV4" s="496"/>
      <c r="GDW4" s="496"/>
      <c r="GDX4" s="496"/>
      <c r="GDY4" s="496"/>
      <c r="GDZ4" s="496"/>
      <c r="GEA4" s="496"/>
      <c r="GEB4" s="496"/>
      <c r="GEC4" s="496"/>
      <c r="GED4" s="496"/>
      <c r="GEE4" s="496"/>
      <c r="GEF4" s="496"/>
      <c r="GEG4" s="496"/>
      <c r="GEH4" s="496"/>
      <c r="GEI4" s="496"/>
      <c r="GEJ4" s="496"/>
      <c r="GEK4" s="496"/>
      <c r="GEL4" s="496"/>
      <c r="GEM4" s="496"/>
      <c r="GEN4" s="496"/>
      <c r="GEO4" s="496"/>
      <c r="GEP4" s="496"/>
      <c r="GEQ4" s="496"/>
      <c r="GER4" s="496"/>
      <c r="GES4" s="496"/>
      <c r="GET4" s="496"/>
      <c r="GEU4" s="496"/>
      <c r="GEV4" s="496"/>
      <c r="GEW4" s="496"/>
      <c r="GEX4" s="496"/>
      <c r="GEY4" s="496"/>
      <c r="GEZ4" s="496"/>
      <c r="GFA4" s="496"/>
      <c r="GFB4" s="496"/>
      <c r="GFC4" s="496"/>
      <c r="GFD4" s="496"/>
      <c r="GFE4" s="496"/>
      <c r="GFF4" s="496"/>
      <c r="GFG4" s="496"/>
      <c r="GFH4" s="496"/>
      <c r="GFI4" s="496"/>
      <c r="GFJ4" s="496"/>
      <c r="GFK4" s="496"/>
      <c r="GFL4" s="496"/>
      <c r="GFM4" s="496"/>
      <c r="GFN4" s="496"/>
      <c r="GFO4" s="496"/>
      <c r="GFP4" s="496"/>
      <c r="GFQ4" s="496"/>
      <c r="GFR4" s="496"/>
      <c r="GFS4" s="496"/>
      <c r="GFT4" s="496"/>
      <c r="GFU4" s="496"/>
      <c r="GFV4" s="496"/>
      <c r="GFW4" s="496"/>
      <c r="GFX4" s="496"/>
      <c r="GFY4" s="496"/>
      <c r="GFZ4" s="496"/>
      <c r="GGA4" s="496"/>
      <c r="GGB4" s="496"/>
      <c r="GGC4" s="496"/>
      <c r="GGD4" s="496"/>
      <c r="GGE4" s="496"/>
      <c r="GGF4" s="496"/>
      <c r="GGG4" s="496"/>
      <c r="GGH4" s="496"/>
      <c r="GGI4" s="496"/>
      <c r="GGJ4" s="496"/>
      <c r="GGK4" s="496"/>
      <c r="GGL4" s="496"/>
      <c r="GGM4" s="496"/>
      <c r="GGN4" s="496"/>
      <c r="GGO4" s="496"/>
      <c r="GGP4" s="496"/>
      <c r="GGQ4" s="496"/>
      <c r="GGR4" s="496"/>
      <c r="GGS4" s="496"/>
      <c r="GGT4" s="496"/>
      <c r="GGU4" s="496"/>
      <c r="GGV4" s="496"/>
      <c r="GGW4" s="496"/>
      <c r="GGX4" s="496"/>
      <c r="GGY4" s="496"/>
      <c r="GGZ4" s="496"/>
      <c r="GHA4" s="496"/>
      <c r="GHB4" s="496"/>
      <c r="GHC4" s="496"/>
      <c r="GHD4" s="496"/>
      <c r="GHE4" s="496"/>
      <c r="GHF4" s="496"/>
      <c r="GHG4" s="496"/>
      <c r="GHH4" s="496"/>
      <c r="GHI4" s="496"/>
      <c r="GHJ4" s="496"/>
      <c r="GHK4" s="496"/>
      <c r="GHL4" s="496"/>
      <c r="GHM4" s="496"/>
      <c r="GHN4" s="496"/>
      <c r="GHO4" s="496"/>
      <c r="GHP4" s="496"/>
      <c r="GHQ4" s="496"/>
      <c r="GHR4" s="496"/>
      <c r="GHS4" s="496"/>
      <c r="GHT4" s="496"/>
      <c r="GHU4" s="496"/>
      <c r="GHV4" s="496"/>
      <c r="GHW4" s="496"/>
      <c r="GHX4" s="496"/>
      <c r="GHY4" s="496"/>
      <c r="GHZ4" s="496"/>
      <c r="GIA4" s="496"/>
      <c r="GIB4" s="496"/>
      <c r="GIC4" s="496"/>
      <c r="GID4" s="496"/>
      <c r="GIE4" s="496"/>
      <c r="GIF4" s="496"/>
      <c r="GIG4" s="496"/>
      <c r="GIH4" s="496"/>
      <c r="GII4" s="496"/>
      <c r="GIJ4" s="496"/>
      <c r="GIK4" s="496"/>
      <c r="GIL4" s="496"/>
      <c r="GIM4" s="496"/>
      <c r="GIN4" s="496"/>
      <c r="GIO4" s="496"/>
      <c r="GIP4" s="496"/>
      <c r="GIQ4" s="496"/>
      <c r="GIR4" s="496"/>
      <c r="GIS4" s="496"/>
      <c r="GIT4" s="496"/>
      <c r="GIU4" s="496"/>
      <c r="GIV4" s="496"/>
      <c r="GIW4" s="496"/>
      <c r="GIX4" s="496"/>
      <c r="GIY4" s="496"/>
      <c r="GIZ4" s="496"/>
      <c r="GJA4" s="496"/>
      <c r="GJB4" s="496"/>
      <c r="GJC4" s="496"/>
      <c r="GJD4" s="496"/>
      <c r="GJE4" s="496"/>
      <c r="GJF4" s="496"/>
      <c r="GJG4" s="496"/>
      <c r="GJH4" s="496"/>
      <c r="GJI4" s="496"/>
      <c r="GJJ4" s="496"/>
      <c r="GJK4" s="496"/>
      <c r="GJL4" s="496"/>
      <c r="GJM4" s="496"/>
      <c r="GJN4" s="496"/>
      <c r="GJO4" s="496"/>
      <c r="GJP4" s="496"/>
      <c r="GJQ4" s="496"/>
      <c r="GJR4" s="496"/>
      <c r="GJS4" s="496"/>
      <c r="GJT4" s="496"/>
      <c r="GJU4" s="496"/>
      <c r="GJV4" s="496"/>
      <c r="GJW4" s="496"/>
      <c r="GJX4" s="496"/>
      <c r="GJY4" s="496"/>
      <c r="GJZ4" s="496"/>
      <c r="GKA4" s="496"/>
      <c r="GKB4" s="496"/>
      <c r="GKC4" s="496"/>
      <c r="GKD4" s="496"/>
      <c r="GKE4" s="496"/>
      <c r="GKF4" s="496"/>
      <c r="GKG4" s="496"/>
      <c r="GKH4" s="496"/>
      <c r="GKI4" s="496"/>
      <c r="GKJ4" s="496"/>
      <c r="GKK4" s="496"/>
      <c r="GKL4" s="496"/>
      <c r="GKM4" s="496"/>
      <c r="GKN4" s="496"/>
      <c r="GKO4" s="496"/>
      <c r="GKP4" s="496"/>
      <c r="GKQ4" s="496"/>
      <c r="GKR4" s="496"/>
      <c r="GKS4" s="496"/>
      <c r="GKT4" s="496"/>
      <c r="GKU4" s="496"/>
      <c r="GKV4" s="496"/>
      <c r="GKW4" s="496"/>
      <c r="GKX4" s="496"/>
      <c r="GKY4" s="496"/>
      <c r="GKZ4" s="496"/>
      <c r="GLA4" s="496"/>
      <c r="GLB4" s="496"/>
      <c r="GLC4" s="496"/>
      <c r="GLD4" s="496"/>
      <c r="GLE4" s="496"/>
      <c r="GLF4" s="496"/>
      <c r="GLG4" s="496"/>
      <c r="GLH4" s="496"/>
      <c r="GLI4" s="496"/>
      <c r="GLJ4" s="496"/>
      <c r="GLK4" s="496"/>
      <c r="GLL4" s="496"/>
      <c r="GLM4" s="496"/>
      <c r="GLN4" s="496"/>
      <c r="GLO4" s="496"/>
      <c r="GLP4" s="496"/>
      <c r="GLQ4" s="496"/>
      <c r="GLR4" s="496"/>
      <c r="GLS4" s="496"/>
      <c r="GLT4" s="496"/>
      <c r="GLU4" s="496"/>
      <c r="GLV4" s="496"/>
      <c r="GLW4" s="496"/>
      <c r="GLX4" s="496"/>
      <c r="GLY4" s="496"/>
      <c r="GLZ4" s="496"/>
      <c r="GMA4" s="496"/>
      <c r="GMB4" s="496"/>
      <c r="GMC4" s="496"/>
      <c r="GMD4" s="496"/>
      <c r="GME4" s="496"/>
      <c r="GMF4" s="496"/>
      <c r="GMG4" s="496"/>
      <c r="GMH4" s="496"/>
      <c r="GMI4" s="496"/>
      <c r="GMJ4" s="496"/>
      <c r="GMK4" s="496"/>
      <c r="GML4" s="496"/>
      <c r="GMM4" s="496"/>
      <c r="GMN4" s="496"/>
      <c r="GMO4" s="496"/>
      <c r="GMP4" s="496"/>
      <c r="GMQ4" s="496"/>
      <c r="GMR4" s="496"/>
      <c r="GMS4" s="496"/>
      <c r="GMT4" s="496"/>
      <c r="GMU4" s="496"/>
      <c r="GMV4" s="496"/>
      <c r="GMW4" s="496"/>
      <c r="GMX4" s="496"/>
      <c r="GMY4" s="496"/>
      <c r="GMZ4" s="496"/>
      <c r="GNA4" s="496"/>
      <c r="GNB4" s="496"/>
      <c r="GNC4" s="496"/>
      <c r="GND4" s="496"/>
      <c r="GNE4" s="496"/>
      <c r="GNF4" s="496"/>
      <c r="GNG4" s="496"/>
      <c r="GNH4" s="496"/>
      <c r="GNI4" s="496"/>
      <c r="GNJ4" s="496"/>
      <c r="GNK4" s="496"/>
      <c r="GNL4" s="496"/>
      <c r="GNM4" s="496"/>
      <c r="GNN4" s="496"/>
      <c r="GNO4" s="496"/>
      <c r="GNP4" s="496"/>
      <c r="GNQ4" s="496"/>
      <c r="GNR4" s="496"/>
      <c r="GNS4" s="496"/>
      <c r="GNT4" s="496"/>
      <c r="GNU4" s="496"/>
      <c r="GNV4" s="496"/>
      <c r="GNW4" s="496"/>
      <c r="GNX4" s="496"/>
      <c r="GNY4" s="496"/>
      <c r="GNZ4" s="496"/>
      <c r="GOA4" s="496"/>
      <c r="GOB4" s="496"/>
      <c r="GOC4" s="496"/>
      <c r="GOD4" s="496"/>
      <c r="GOE4" s="496"/>
      <c r="GOF4" s="496"/>
      <c r="GOG4" s="496"/>
      <c r="GOH4" s="496"/>
      <c r="GOI4" s="496"/>
      <c r="GOJ4" s="496"/>
      <c r="GOK4" s="496"/>
      <c r="GOL4" s="496"/>
      <c r="GOM4" s="496"/>
      <c r="GON4" s="496"/>
      <c r="GOO4" s="496"/>
      <c r="GOP4" s="496"/>
      <c r="GOQ4" s="496"/>
      <c r="GOR4" s="496"/>
      <c r="GOS4" s="496"/>
      <c r="GOT4" s="496"/>
      <c r="GOU4" s="496"/>
      <c r="GOV4" s="496"/>
      <c r="GOW4" s="496"/>
      <c r="GOX4" s="496"/>
      <c r="GOY4" s="496"/>
      <c r="GOZ4" s="496"/>
      <c r="GPA4" s="496"/>
      <c r="GPB4" s="496"/>
      <c r="GPC4" s="496"/>
      <c r="GPD4" s="496"/>
      <c r="GPE4" s="496"/>
      <c r="GPF4" s="496"/>
      <c r="GPG4" s="496"/>
      <c r="GPH4" s="496"/>
      <c r="GPI4" s="496"/>
      <c r="GPJ4" s="496"/>
      <c r="GPK4" s="496"/>
      <c r="GPL4" s="496"/>
      <c r="GPM4" s="496"/>
      <c r="GPN4" s="496"/>
      <c r="GPO4" s="496"/>
      <c r="GPP4" s="496"/>
      <c r="GPQ4" s="496"/>
      <c r="GPR4" s="496"/>
      <c r="GPS4" s="496"/>
      <c r="GPT4" s="496"/>
      <c r="GPU4" s="496"/>
      <c r="GPV4" s="496"/>
      <c r="GPW4" s="496"/>
      <c r="GPX4" s="496"/>
      <c r="GPY4" s="496"/>
      <c r="GPZ4" s="496"/>
      <c r="GQA4" s="496"/>
      <c r="GQB4" s="496"/>
      <c r="GQC4" s="496"/>
      <c r="GQD4" s="496"/>
      <c r="GQE4" s="496"/>
      <c r="GQF4" s="496"/>
      <c r="GQG4" s="496"/>
      <c r="GQH4" s="496"/>
      <c r="GQI4" s="496"/>
      <c r="GQJ4" s="496"/>
      <c r="GQK4" s="496"/>
      <c r="GQL4" s="496"/>
      <c r="GQM4" s="496"/>
      <c r="GQN4" s="496"/>
      <c r="GQO4" s="496"/>
      <c r="GQP4" s="496"/>
      <c r="GQQ4" s="496"/>
      <c r="GQR4" s="496"/>
      <c r="GQS4" s="496"/>
      <c r="GQT4" s="496"/>
      <c r="GQU4" s="496"/>
      <c r="GQV4" s="496"/>
      <c r="GQW4" s="496"/>
      <c r="GQX4" s="496"/>
      <c r="GQY4" s="496"/>
      <c r="GQZ4" s="496"/>
      <c r="GRA4" s="496"/>
      <c r="GRB4" s="496"/>
      <c r="GRC4" s="496"/>
      <c r="GRD4" s="496"/>
      <c r="GRE4" s="496"/>
      <c r="GRF4" s="496"/>
      <c r="GRG4" s="496"/>
      <c r="GRH4" s="496"/>
      <c r="GRI4" s="496"/>
      <c r="GRJ4" s="496"/>
      <c r="GRK4" s="496"/>
      <c r="GRL4" s="496"/>
      <c r="GRM4" s="496"/>
      <c r="GRN4" s="496"/>
      <c r="GRO4" s="496"/>
      <c r="GRP4" s="496"/>
      <c r="GRQ4" s="496"/>
      <c r="GRR4" s="496"/>
      <c r="GRS4" s="496"/>
      <c r="GRT4" s="496"/>
      <c r="GRU4" s="496"/>
      <c r="GRV4" s="496"/>
      <c r="GRW4" s="496"/>
      <c r="GRX4" s="496"/>
      <c r="GRY4" s="496"/>
      <c r="GRZ4" s="496"/>
      <c r="GSA4" s="496"/>
      <c r="GSB4" s="496"/>
      <c r="GSC4" s="496"/>
      <c r="GSD4" s="496"/>
      <c r="GSE4" s="496"/>
      <c r="GSF4" s="496"/>
      <c r="GSG4" s="496"/>
      <c r="GSH4" s="496"/>
      <c r="GSI4" s="496"/>
      <c r="GSJ4" s="496"/>
      <c r="GSK4" s="496"/>
      <c r="GSL4" s="496"/>
      <c r="GSM4" s="496"/>
      <c r="GSN4" s="496"/>
      <c r="GSO4" s="496"/>
      <c r="GSP4" s="496"/>
      <c r="GSQ4" s="496"/>
      <c r="GSR4" s="496"/>
      <c r="GSS4" s="496"/>
      <c r="GST4" s="496"/>
      <c r="GSU4" s="496"/>
      <c r="GSV4" s="496"/>
      <c r="GSW4" s="496"/>
      <c r="GSX4" s="496"/>
      <c r="GSY4" s="496"/>
      <c r="GSZ4" s="496"/>
      <c r="GTA4" s="496"/>
      <c r="GTB4" s="496"/>
      <c r="GTC4" s="496"/>
      <c r="GTD4" s="496"/>
      <c r="GTE4" s="496"/>
      <c r="GTF4" s="496"/>
      <c r="GTG4" s="496"/>
      <c r="GTH4" s="496"/>
      <c r="GTI4" s="496"/>
      <c r="GTJ4" s="496"/>
      <c r="GTK4" s="496"/>
      <c r="GTL4" s="496"/>
      <c r="GTM4" s="496"/>
      <c r="GTN4" s="496"/>
      <c r="GTO4" s="496"/>
      <c r="GTP4" s="496"/>
      <c r="GTQ4" s="496"/>
      <c r="GTR4" s="496"/>
      <c r="GTS4" s="496"/>
      <c r="GTT4" s="496"/>
      <c r="GTU4" s="496"/>
      <c r="GTV4" s="496"/>
      <c r="GTW4" s="496"/>
      <c r="GTX4" s="496"/>
      <c r="GTY4" s="496"/>
      <c r="GTZ4" s="496"/>
      <c r="GUA4" s="496"/>
      <c r="GUB4" s="496"/>
      <c r="GUC4" s="496"/>
      <c r="GUD4" s="496"/>
      <c r="GUE4" s="496"/>
      <c r="GUF4" s="496"/>
      <c r="GUG4" s="496"/>
      <c r="GUH4" s="496"/>
      <c r="GUI4" s="496"/>
      <c r="GUJ4" s="496"/>
      <c r="GUK4" s="496"/>
      <c r="GUL4" s="496"/>
      <c r="GUM4" s="496"/>
      <c r="GUN4" s="496"/>
      <c r="GUO4" s="496"/>
      <c r="GUP4" s="496"/>
      <c r="GUQ4" s="496"/>
      <c r="GUR4" s="496"/>
      <c r="GUS4" s="496"/>
      <c r="GUT4" s="496"/>
      <c r="GUU4" s="496"/>
      <c r="GUV4" s="496"/>
      <c r="GUW4" s="496"/>
      <c r="GUX4" s="496"/>
      <c r="GUY4" s="496"/>
      <c r="GUZ4" s="496"/>
      <c r="GVA4" s="496"/>
      <c r="GVB4" s="496"/>
      <c r="GVC4" s="496"/>
      <c r="GVD4" s="496"/>
      <c r="GVE4" s="496"/>
      <c r="GVF4" s="496"/>
      <c r="GVG4" s="496"/>
      <c r="GVH4" s="496"/>
      <c r="GVI4" s="496"/>
      <c r="GVJ4" s="496"/>
      <c r="GVK4" s="496"/>
      <c r="GVL4" s="496"/>
      <c r="GVM4" s="496"/>
      <c r="GVN4" s="496"/>
      <c r="GVO4" s="496"/>
      <c r="GVP4" s="496"/>
      <c r="GVQ4" s="496"/>
      <c r="GVR4" s="496"/>
      <c r="GVS4" s="496"/>
      <c r="GVT4" s="496"/>
      <c r="GVU4" s="496"/>
      <c r="GVV4" s="496"/>
      <c r="GVW4" s="496"/>
      <c r="GVX4" s="496"/>
      <c r="GVY4" s="496"/>
      <c r="GVZ4" s="496"/>
      <c r="GWA4" s="496"/>
      <c r="GWB4" s="496"/>
      <c r="GWC4" s="496"/>
      <c r="GWD4" s="496"/>
      <c r="GWE4" s="496"/>
      <c r="GWF4" s="496"/>
      <c r="GWG4" s="496"/>
      <c r="GWH4" s="496"/>
      <c r="GWI4" s="496"/>
      <c r="GWJ4" s="496"/>
      <c r="GWK4" s="496"/>
      <c r="GWL4" s="496"/>
      <c r="GWM4" s="496"/>
      <c r="GWN4" s="496"/>
      <c r="GWO4" s="496"/>
      <c r="GWP4" s="496"/>
      <c r="GWQ4" s="496"/>
      <c r="GWR4" s="496"/>
      <c r="GWS4" s="496"/>
      <c r="GWT4" s="496"/>
      <c r="GWU4" s="496"/>
      <c r="GWV4" s="496"/>
      <c r="GWW4" s="496"/>
      <c r="GWX4" s="496"/>
      <c r="GWY4" s="496"/>
      <c r="GWZ4" s="496"/>
      <c r="GXA4" s="496"/>
      <c r="GXB4" s="496"/>
      <c r="GXC4" s="496"/>
      <c r="GXD4" s="496"/>
      <c r="GXE4" s="496"/>
      <c r="GXF4" s="496"/>
      <c r="GXG4" s="496"/>
      <c r="GXH4" s="496"/>
      <c r="GXI4" s="496"/>
      <c r="GXJ4" s="496"/>
      <c r="GXK4" s="496"/>
      <c r="GXL4" s="496"/>
      <c r="GXM4" s="496"/>
      <c r="GXN4" s="496"/>
      <c r="GXO4" s="496"/>
      <c r="GXP4" s="496"/>
      <c r="GXQ4" s="496"/>
      <c r="GXR4" s="496"/>
      <c r="GXS4" s="496"/>
      <c r="GXT4" s="496"/>
      <c r="GXU4" s="496"/>
      <c r="GXV4" s="496"/>
      <c r="GXW4" s="496"/>
      <c r="GXX4" s="496"/>
      <c r="GXY4" s="496"/>
      <c r="GXZ4" s="496"/>
      <c r="GYA4" s="496"/>
      <c r="GYB4" s="496"/>
      <c r="GYC4" s="496"/>
      <c r="GYD4" s="496"/>
      <c r="GYE4" s="496"/>
      <c r="GYF4" s="496"/>
      <c r="GYG4" s="496"/>
      <c r="GYH4" s="496"/>
      <c r="GYI4" s="496"/>
      <c r="GYJ4" s="496"/>
      <c r="GYK4" s="496"/>
      <c r="GYL4" s="496"/>
      <c r="GYM4" s="496"/>
      <c r="GYN4" s="496"/>
      <c r="GYO4" s="496"/>
      <c r="GYP4" s="496"/>
      <c r="GYQ4" s="496"/>
      <c r="GYR4" s="496"/>
      <c r="GYS4" s="496"/>
      <c r="GYT4" s="496"/>
      <c r="GYU4" s="496"/>
      <c r="GYV4" s="496"/>
      <c r="GYW4" s="496"/>
      <c r="GYX4" s="496"/>
      <c r="GYY4" s="496"/>
      <c r="GYZ4" s="496"/>
      <c r="GZA4" s="496"/>
      <c r="GZB4" s="496"/>
      <c r="GZC4" s="496"/>
      <c r="GZD4" s="496"/>
      <c r="GZE4" s="496"/>
      <c r="GZF4" s="496"/>
      <c r="GZG4" s="496"/>
      <c r="GZH4" s="496"/>
      <c r="GZI4" s="496"/>
      <c r="GZJ4" s="496"/>
      <c r="GZK4" s="496"/>
      <c r="GZL4" s="496"/>
      <c r="GZM4" s="496"/>
      <c r="GZN4" s="496"/>
      <c r="GZO4" s="496"/>
      <c r="GZP4" s="496"/>
      <c r="GZQ4" s="496"/>
      <c r="GZR4" s="496"/>
      <c r="GZS4" s="496"/>
      <c r="GZT4" s="496"/>
      <c r="GZU4" s="496"/>
      <c r="GZV4" s="496"/>
      <c r="GZW4" s="496"/>
      <c r="GZX4" s="496"/>
      <c r="GZY4" s="496"/>
      <c r="GZZ4" s="496"/>
      <c r="HAA4" s="496"/>
      <c r="HAB4" s="496"/>
      <c r="HAC4" s="496"/>
      <c r="HAD4" s="496"/>
      <c r="HAE4" s="496"/>
      <c r="HAF4" s="496"/>
      <c r="HAG4" s="496"/>
      <c r="HAH4" s="496"/>
      <c r="HAI4" s="496"/>
      <c r="HAJ4" s="496"/>
      <c r="HAK4" s="496"/>
      <c r="HAL4" s="496"/>
      <c r="HAM4" s="496"/>
      <c r="HAN4" s="496"/>
      <c r="HAO4" s="496"/>
      <c r="HAP4" s="496"/>
      <c r="HAQ4" s="496"/>
      <c r="HAR4" s="496"/>
      <c r="HAS4" s="496"/>
      <c r="HAT4" s="496"/>
      <c r="HAU4" s="496"/>
      <c r="HAV4" s="496"/>
      <c r="HAW4" s="496"/>
      <c r="HAX4" s="496"/>
      <c r="HAY4" s="496"/>
      <c r="HAZ4" s="496"/>
      <c r="HBA4" s="496"/>
      <c r="HBB4" s="496"/>
      <c r="HBC4" s="496"/>
      <c r="HBD4" s="496"/>
      <c r="HBE4" s="496"/>
      <c r="HBF4" s="496"/>
      <c r="HBG4" s="496"/>
      <c r="HBH4" s="496"/>
      <c r="HBI4" s="496"/>
      <c r="HBJ4" s="496"/>
      <c r="HBK4" s="496"/>
      <c r="HBL4" s="496"/>
      <c r="HBM4" s="496"/>
      <c r="HBN4" s="496"/>
      <c r="HBO4" s="496"/>
      <c r="HBP4" s="496"/>
      <c r="HBQ4" s="496"/>
      <c r="HBR4" s="496"/>
      <c r="HBS4" s="496"/>
      <c r="HBT4" s="496"/>
      <c r="HBU4" s="496"/>
      <c r="HBV4" s="496"/>
      <c r="HBW4" s="496"/>
      <c r="HBX4" s="496"/>
      <c r="HBY4" s="496"/>
      <c r="HBZ4" s="496"/>
      <c r="HCA4" s="496"/>
      <c r="HCB4" s="496"/>
      <c r="HCC4" s="496"/>
      <c r="HCD4" s="496"/>
      <c r="HCE4" s="496"/>
      <c r="HCF4" s="496"/>
      <c r="HCG4" s="496"/>
      <c r="HCH4" s="496"/>
      <c r="HCI4" s="496"/>
      <c r="HCJ4" s="496"/>
      <c r="HCK4" s="496"/>
      <c r="HCL4" s="496"/>
      <c r="HCM4" s="496"/>
      <c r="HCN4" s="496"/>
      <c r="HCO4" s="496"/>
      <c r="HCP4" s="496"/>
      <c r="HCQ4" s="496"/>
      <c r="HCR4" s="496"/>
      <c r="HCS4" s="496"/>
      <c r="HCT4" s="496"/>
      <c r="HCU4" s="496"/>
      <c r="HCV4" s="496"/>
      <c r="HCW4" s="496"/>
      <c r="HCX4" s="496"/>
      <c r="HCY4" s="496"/>
      <c r="HCZ4" s="496"/>
      <c r="HDA4" s="496"/>
      <c r="HDB4" s="496"/>
      <c r="HDC4" s="496"/>
      <c r="HDD4" s="496"/>
      <c r="HDE4" s="496"/>
      <c r="HDF4" s="496"/>
      <c r="HDG4" s="496"/>
      <c r="HDH4" s="496"/>
      <c r="HDI4" s="496"/>
      <c r="HDJ4" s="496"/>
      <c r="HDK4" s="496"/>
      <c r="HDL4" s="496"/>
      <c r="HDM4" s="496"/>
      <c r="HDN4" s="496"/>
      <c r="HDO4" s="496"/>
      <c r="HDP4" s="496"/>
      <c r="HDQ4" s="496"/>
      <c r="HDR4" s="496"/>
      <c r="HDS4" s="496"/>
      <c r="HDT4" s="496"/>
      <c r="HDU4" s="496"/>
      <c r="HDV4" s="496"/>
      <c r="HDW4" s="496"/>
      <c r="HDX4" s="496"/>
      <c r="HDY4" s="496"/>
      <c r="HDZ4" s="496"/>
      <c r="HEA4" s="496"/>
      <c r="HEB4" s="496"/>
      <c r="HEC4" s="496"/>
      <c r="HED4" s="496"/>
      <c r="HEE4" s="496"/>
      <c r="HEF4" s="496"/>
      <c r="HEG4" s="496"/>
      <c r="HEH4" s="496"/>
      <c r="HEI4" s="496"/>
      <c r="HEJ4" s="496"/>
      <c r="HEK4" s="496"/>
      <c r="HEL4" s="496"/>
      <c r="HEM4" s="496"/>
      <c r="HEN4" s="496"/>
      <c r="HEO4" s="496"/>
      <c r="HEP4" s="496"/>
      <c r="HEQ4" s="496"/>
      <c r="HER4" s="496"/>
      <c r="HES4" s="496"/>
      <c r="HET4" s="496"/>
      <c r="HEU4" s="496"/>
      <c r="HEV4" s="496"/>
      <c r="HEW4" s="496"/>
      <c r="HEX4" s="496"/>
      <c r="HEY4" s="496"/>
      <c r="HEZ4" s="496"/>
      <c r="HFA4" s="496"/>
      <c r="HFB4" s="496"/>
      <c r="HFC4" s="496"/>
      <c r="HFD4" s="496"/>
      <c r="HFE4" s="496"/>
      <c r="HFF4" s="496"/>
      <c r="HFG4" s="496"/>
      <c r="HFH4" s="496"/>
      <c r="HFI4" s="496"/>
      <c r="HFJ4" s="496"/>
      <c r="HFK4" s="496"/>
      <c r="HFL4" s="496"/>
      <c r="HFM4" s="496"/>
      <c r="HFN4" s="496"/>
      <c r="HFO4" s="496"/>
      <c r="HFP4" s="496"/>
      <c r="HFQ4" s="496"/>
      <c r="HFR4" s="496"/>
      <c r="HFS4" s="496"/>
      <c r="HFT4" s="496"/>
      <c r="HFU4" s="496"/>
      <c r="HFV4" s="496"/>
      <c r="HFW4" s="496"/>
      <c r="HFX4" s="496"/>
      <c r="HFY4" s="496"/>
      <c r="HFZ4" s="496"/>
      <c r="HGA4" s="496"/>
      <c r="HGB4" s="496"/>
      <c r="HGC4" s="496"/>
      <c r="HGD4" s="496"/>
      <c r="HGE4" s="496"/>
      <c r="HGF4" s="496"/>
      <c r="HGG4" s="496"/>
      <c r="HGH4" s="496"/>
      <c r="HGI4" s="496"/>
      <c r="HGJ4" s="496"/>
      <c r="HGK4" s="496"/>
      <c r="HGL4" s="496"/>
      <c r="HGM4" s="496"/>
      <c r="HGN4" s="496"/>
      <c r="HGO4" s="496"/>
      <c r="HGP4" s="496"/>
      <c r="HGQ4" s="496"/>
      <c r="HGR4" s="496"/>
      <c r="HGS4" s="496"/>
      <c r="HGT4" s="496"/>
      <c r="HGU4" s="496"/>
      <c r="HGV4" s="496"/>
      <c r="HGW4" s="496"/>
      <c r="HGX4" s="496"/>
      <c r="HGY4" s="496"/>
      <c r="HGZ4" s="496"/>
      <c r="HHA4" s="496"/>
      <c r="HHB4" s="496"/>
      <c r="HHC4" s="496"/>
      <c r="HHD4" s="496"/>
      <c r="HHE4" s="496"/>
      <c r="HHF4" s="496"/>
      <c r="HHG4" s="496"/>
      <c r="HHH4" s="496"/>
      <c r="HHI4" s="496"/>
      <c r="HHJ4" s="496"/>
      <c r="HHK4" s="496"/>
      <c r="HHL4" s="496"/>
      <c r="HHM4" s="496"/>
      <c r="HHN4" s="496"/>
      <c r="HHO4" s="496"/>
      <c r="HHP4" s="496"/>
      <c r="HHQ4" s="496"/>
      <c r="HHR4" s="496"/>
      <c r="HHS4" s="496"/>
      <c r="HHT4" s="496"/>
      <c r="HHU4" s="496"/>
      <c r="HHV4" s="496"/>
      <c r="HHW4" s="496"/>
      <c r="HHX4" s="496"/>
      <c r="HHY4" s="496"/>
      <c r="HHZ4" s="496"/>
      <c r="HIA4" s="496"/>
      <c r="HIB4" s="496"/>
      <c r="HIC4" s="496"/>
      <c r="HID4" s="496"/>
      <c r="HIE4" s="496"/>
      <c r="HIF4" s="496"/>
      <c r="HIG4" s="496"/>
      <c r="HIH4" s="496"/>
      <c r="HII4" s="496"/>
      <c r="HIJ4" s="496"/>
      <c r="HIK4" s="496"/>
      <c r="HIL4" s="496"/>
      <c r="HIM4" s="496"/>
      <c r="HIN4" s="496"/>
      <c r="HIO4" s="496"/>
      <c r="HIP4" s="496"/>
      <c r="HIQ4" s="496"/>
      <c r="HIR4" s="496"/>
      <c r="HIS4" s="496"/>
      <c r="HIT4" s="496"/>
      <c r="HIU4" s="496"/>
      <c r="HIV4" s="496"/>
      <c r="HIW4" s="496"/>
      <c r="HIX4" s="496"/>
      <c r="HIY4" s="496"/>
      <c r="HIZ4" s="496"/>
      <c r="HJA4" s="496"/>
      <c r="HJB4" s="496"/>
      <c r="HJC4" s="496"/>
      <c r="HJD4" s="496"/>
      <c r="HJE4" s="496"/>
      <c r="HJF4" s="496"/>
      <c r="HJG4" s="496"/>
      <c r="HJH4" s="496"/>
      <c r="HJI4" s="496"/>
      <c r="HJJ4" s="496"/>
      <c r="HJK4" s="496"/>
      <c r="HJL4" s="496"/>
      <c r="HJM4" s="496"/>
      <c r="HJN4" s="496"/>
      <c r="HJO4" s="496"/>
      <c r="HJP4" s="496"/>
      <c r="HJQ4" s="496"/>
      <c r="HJR4" s="496"/>
      <c r="HJS4" s="496"/>
      <c r="HJT4" s="496"/>
      <c r="HJU4" s="496"/>
      <c r="HJV4" s="496"/>
      <c r="HJW4" s="496"/>
      <c r="HJX4" s="496"/>
      <c r="HJY4" s="496"/>
      <c r="HJZ4" s="496"/>
      <c r="HKA4" s="496"/>
      <c r="HKB4" s="496"/>
      <c r="HKC4" s="496"/>
      <c r="HKD4" s="496"/>
      <c r="HKE4" s="496"/>
      <c r="HKF4" s="496"/>
      <c r="HKG4" s="496"/>
      <c r="HKH4" s="496"/>
      <c r="HKI4" s="496"/>
      <c r="HKJ4" s="496"/>
      <c r="HKK4" s="496"/>
      <c r="HKL4" s="496"/>
      <c r="HKM4" s="496"/>
      <c r="HKN4" s="496"/>
      <c r="HKO4" s="496"/>
      <c r="HKP4" s="496"/>
      <c r="HKQ4" s="496"/>
      <c r="HKR4" s="496"/>
      <c r="HKS4" s="496"/>
      <c r="HKT4" s="496"/>
      <c r="HKU4" s="496"/>
      <c r="HKV4" s="496"/>
      <c r="HKW4" s="496"/>
      <c r="HKX4" s="496"/>
      <c r="HKY4" s="496"/>
      <c r="HKZ4" s="496"/>
      <c r="HLA4" s="496"/>
      <c r="HLB4" s="496"/>
      <c r="HLC4" s="496"/>
      <c r="HLD4" s="496"/>
      <c r="HLE4" s="496"/>
      <c r="HLF4" s="496"/>
      <c r="HLG4" s="496"/>
      <c r="HLH4" s="496"/>
      <c r="HLI4" s="496"/>
      <c r="HLJ4" s="496"/>
      <c r="HLK4" s="496"/>
      <c r="HLL4" s="496"/>
      <c r="HLM4" s="496"/>
      <c r="HLN4" s="496"/>
      <c r="HLO4" s="496"/>
      <c r="HLP4" s="496"/>
      <c r="HLQ4" s="496"/>
      <c r="HLR4" s="496"/>
      <c r="HLS4" s="496"/>
      <c r="HLT4" s="496"/>
      <c r="HLU4" s="496"/>
      <c r="HLV4" s="496"/>
      <c r="HLW4" s="496"/>
      <c r="HLX4" s="496"/>
      <c r="HLY4" s="496"/>
      <c r="HLZ4" s="496"/>
      <c r="HMA4" s="496"/>
      <c r="HMB4" s="496"/>
      <c r="HMC4" s="496"/>
      <c r="HMD4" s="496"/>
      <c r="HME4" s="496"/>
      <c r="HMF4" s="496"/>
      <c r="HMG4" s="496"/>
      <c r="HMH4" s="496"/>
      <c r="HMI4" s="496"/>
      <c r="HMJ4" s="496"/>
      <c r="HMK4" s="496"/>
      <c r="HML4" s="496"/>
      <c r="HMM4" s="496"/>
      <c r="HMN4" s="496"/>
      <c r="HMO4" s="496"/>
      <c r="HMP4" s="496"/>
      <c r="HMQ4" s="496"/>
      <c r="HMR4" s="496"/>
      <c r="HMS4" s="496"/>
      <c r="HMT4" s="496"/>
      <c r="HMU4" s="496"/>
      <c r="HMV4" s="496"/>
      <c r="HMW4" s="496"/>
      <c r="HMX4" s="496"/>
      <c r="HMY4" s="496"/>
      <c r="HMZ4" s="496"/>
      <c r="HNA4" s="496"/>
      <c r="HNB4" s="496"/>
      <c r="HNC4" s="496"/>
      <c r="HND4" s="496"/>
      <c r="HNE4" s="496"/>
      <c r="HNF4" s="496"/>
      <c r="HNG4" s="496"/>
      <c r="HNH4" s="496"/>
      <c r="HNI4" s="496"/>
      <c r="HNJ4" s="496"/>
      <c r="HNK4" s="496"/>
      <c r="HNL4" s="496"/>
      <c r="HNM4" s="496"/>
      <c r="HNN4" s="496"/>
      <c r="HNO4" s="496"/>
      <c r="HNP4" s="496"/>
      <c r="HNQ4" s="496"/>
      <c r="HNR4" s="496"/>
      <c r="HNS4" s="496"/>
      <c r="HNT4" s="496"/>
      <c r="HNU4" s="496"/>
      <c r="HNV4" s="496"/>
      <c r="HNW4" s="496"/>
      <c r="HNX4" s="496"/>
      <c r="HNY4" s="496"/>
      <c r="HNZ4" s="496"/>
      <c r="HOA4" s="496"/>
      <c r="HOB4" s="496"/>
      <c r="HOC4" s="496"/>
      <c r="HOD4" s="496"/>
      <c r="HOE4" s="496"/>
      <c r="HOF4" s="496"/>
      <c r="HOG4" s="496"/>
      <c r="HOH4" s="496"/>
      <c r="HOI4" s="496"/>
      <c r="HOJ4" s="496"/>
      <c r="HOK4" s="496"/>
      <c r="HOL4" s="496"/>
      <c r="HOM4" s="496"/>
      <c r="HON4" s="496"/>
      <c r="HOO4" s="496"/>
      <c r="HOP4" s="496"/>
      <c r="HOQ4" s="496"/>
      <c r="HOR4" s="496"/>
      <c r="HOS4" s="496"/>
      <c r="HOT4" s="496"/>
      <c r="HOU4" s="496"/>
      <c r="HOV4" s="496"/>
      <c r="HOW4" s="496"/>
      <c r="HOX4" s="496"/>
      <c r="HOY4" s="496"/>
      <c r="HOZ4" s="496"/>
      <c r="HPA4" s="496"/>
      <c r="HPB4" s="496"/>
      <c r="HPC4" s="496"/>
      <c r="HPD4" s="496"/>
      <c r="HPE4" s="496"/>
      <c r="HPF4" s="496"/>
      <c r="HPG4" s="496"/>
      <c r="HPH4" s="496"/>
      <c r="HPI4" s="496"/>
      <c r="HPJ4" s="496"/>
      <c r="HPK4" s="496"/>
      <c r="HPL4" s="496"/>
      <c r="HPM4" s="496"/>
      <c r="HPN4" s="496"/>
      <c r="HPO4" s="496"/>
      <c r="HPP4" s="496"/>
      <c r="HPQ4" s="496"/>
      <c r="HPR4" s="496"/>
      <c r="HPS4" s="496"/>
      <c r="HPT4" s="496"/>
      <c r="HPU4" s="496"/>
      <c r="HPV4" s="496"/>
      <c r="HPW4" s="496"/>
      <c r="HPX4" s="496"/>
      <c r="HPY4" s="496"/>
      <c r="HPZ4" s="496"/>
      <c r="HQA4" s="496"/>
      <c r="HQB4" s="496"/>
      <c r="HQC4" s="496"/>
      <c r="HQD4" s="496"/>
      <c r="HQE4" s="496"/>
      <c r="HQF4" s="496"/>
      <c r="HQG4" s="496"/>
      <c r="HQH4" s="496"/>
      <c r="HQI4" s="496"/>
      <c r="HQJ4" s="496"/>
      <c r="HQK4" s="496"/>
      <c r="HQL4" s="496"/>
      <c r="HQM4" s="496"/>
      <c r="HQN4" s="496"/>
      <c r="HQO4" s="496"/>
      <c r="HQP4" s="496"/>
      <c r="HQQ4" s="496"/>
      <c r="HQR4" s="496"/>
      <c r="HQS4" s="496"/>
      <c r="HQT4" s="496"/>
      <c r="HQU4" s="496"/>
      <c r="HQV4" s="496"/>
      <c r="HQW4" s="496"/>
      <c r="HQX4" s="496"/>
      <c r="HQY4" s="496"/>
      <c r="HQZ4" s="496"/>
      <c r="HRA4" s="496"/>
      <c r="HRB4" s="496"/>
      <c r="HRC4" s="496"/>
      <c r="HRD4" s="496"/>
      <c r="HRE4" s="496"/>
      <c r="HRF4" s="496"/>
      <c r="HRG4" s="496"/>
      <c r="HRH4" s="496"/>
      <c r="HRI4" s="496"/>
      <c r="HRJ4" s="496"/>
      <c r="HRK4" s="496"/>
      <c r="HRL4" s="496"/>
      <c r="HRM4" s="496"/>
      <c r="HRN4" s="496"/>
      <c r="HRO4" s="496"/>
      <c r="HRP4" s="496"/>
      <c r="HRQ4" s="496"/>
      <c r="HRR4" s="496"/>
      <c r="HRS4" s="496"/>
      <c r="HRT4" s="496"/>
      <c r="HRU4" s="496"/>
      <c r="HRV4" s="496"/>
      <c r="HRW4" s="496"/>
      <c r="HRX4" s="496"/>
      <c r="HRY4" s="496"/>
      <c r="HRZ4" s="496"/>
      <c r="HSA4" s="496"/>
      <c r="HSB4" s="496"/>
      <c r="HSC4" s="496"/>
      <c r="HSD4" s="496"/>
      <c r="HSE4" s="496"/>
      <c r="HSF4" s="496"/>
      <c r="HSG4" s="496"/>
      <c r="HSH4" s="496"/>
      <c r="HSI4" s="496"/>
      <c r="HSJ4" s="496"/>
      <c r="HSK4" s="496"/>
      <c r="HSL4" s="496"/>
      <c r="HSM4" s="496"/>
      <c r="HSN4" s="496"/>
      <c r="HSO4" s="496"/>
      <c r="HSP4" s="496"/>
      <c r="HSQ4" s="496"/>
      <c r="HSR4" s="496"/>
      <c r="HSS4" s="496"/>
      <c r="HST4" s="496"/>
      <c r="HSU4" s="496"/>
      <c r="HSV4" s="496"/>
      <c r="HSW4" s="496"/>
      <c r="HSX4" s="496"/>
      <c r="HSY4" s="496"/>
      <c r="HSZ4" s="496"/>
      <c r="HTA4" s="496"/>
      <c r="HTB4" s="496"/>
      <c r="HTC4" s="496"/>
      <c r="HTD4" s="496"/>
      <c r="HTE4" s="496"/>
      <c r="HTF4" s="496"/>
      <c r="HTG4" s="496"/>
      <c r="HTH4" s="496"/>
      <c r="HTI4" s="496"/>
      <c r="HTJ4" s="496"/>
      <c r="HTK4" s="496"/>
      <c r="HTL4" s="496"/>
      <c r="HTM4" s="496"/>
      <c r="HTN4" s="496"/>
      <c r="HTO4" s="496"/>
      <c r="HTP4" s="496"/>
      <c r="HTQ4" s="496"/>
      <c r="HTR4" s="496"/>
      <c r="HTS4" s="496"/>
      <c r="HTT4" s="496"/>
      <c r="HTU4" s="496"/>
      <c r="HTV4" s="496"/>
      <c r="HTW4" s="496"/>
      <c r="HTX4" s="496"/>
      <c r="HTY4" s="496"/>
      <c r="HTZ4" s="496"/>
      <c r="HUA4" s="496"/>
      <c r="HUB4" s="496"/>
      <c r="HUC4" s="496"/>
      <c r="HUD4" s="496"/>
      <c r="HUE4" s="496"/>
      <c r="HUF4" s="496"/>
      <c r="HUG4" s="496"/>
      <c r="HUH4" s="496"/>
      <c r="HUI4" s="496"/>
      <c r="HUJ4" s="496"/>
      <c r="HUK4" s="496"/>
      <c r="HUL4" s="496"/>
      <c r="HUM4" s="496"/>
      <c r="HUN4" s="496"/>
      <c r="HUO4" s="496"/>
      <c r="HUP4" s="496"/>
      <c r="HUQ4" s="496"/>
      <c r="HUR4" s="496"/>
      <c r="HUS4" s="496"/>
      <c r="HUT4" s="496"/>
      <c r="HUU4" s="496"/>
      <c r="HUV4" s="496"/>
      <c r="HUW4" s="496"/>
      <c r="HUX4" s="496"/>
      <c r="HUY4" s="496"/>
      <c r="HUZ4" s="496"/>
      <c r="HVA4" s="496"/>
      <c r="HVB4" s="496"/>
      <c r="HVC4" s="496"/>
      <c r="HVD4" s="496"/>
      <c r="HVE4" s="496"/>
      <c r="HVF4" s="496"/>
      <c r="HVG4" s="496"/>
      <c r="HVH4" s="496"/>
      <c r="HVI4" s="496"/>
      <c r="HVJ4" s="496"/>
      <c r="HVK4" s="496"/>
      <c r="HVL4" s="496"/>
      <c r="HVM4" s="496"/>
      <c r="HVN4" s="496"/>
      <c r="HVO4" s="496"/>
      <c r="HVP4" s="496"/>
      <c r="HVQ4" s="496"/>
      <c r="HVR4" s="496"/>
      <c r="HVS4" s="496"/>
      <c r="HVT4" s="496"/>
      <c r="HVU4" s="496"/>
      <c r="HVV4" s="496"/>
      <c r="HVW4" s="496"/>
      <c r="HVX4" s="496"/>
      <c r="HVY4" s="496"/>
      <c r="HVZ4" s="496"/>
      <c r="HWA4" s="496"/>
      <c r="HWB4" s="496"/>
      <c r="HWC4" s="496"/>
      <c r="HWD4" s="496"/>
      <c r="HWE4" s="496"/>
      <c r="HWF4" s="496"/>
      <c r="HWG4" s="496"/>
      <c r="HWH4" s="496"/>
      <c r="HWI4" s="496"/>
      <c r="HWJ4" s="496"/>
      <c r="HWK4" s="496"/>
      <c r="HWL4" s="496"/>
      <c r="HWM4" s="496"/>
      <c r="HWN4" s="496"/>
      <c r="HWO4" s="496"/>
      <c r="HWP4" s="496"/>
      <c r="HWQ4" s="496"/>
      <c r="HWR4" s="496"/>
      <c r="HWS4" s="496"/>
      <c r="HWT4" s="496"/>
      <c r="HWU4" s="496"/>
      <c r="HWV4" s="496"/>
      <c r="HWW4" s="496"/>
      <c r="HWX4" s="496"/>
      <c r="HWY4" s="496"/>
      <c r="HWZ4" s="496"/>
      <c r="HXA4" s="496"/>
      <c r="HXB4" s="496"/>
      <c r="HXC4" s="496"/>
      <c r="HXD4" s="496"/>
      <c r="HXE4" s="496"/>
      <c r="HXF4" s="496"/>
      <c r="HXG4" s="496"/>
      <c r="HXH4" s="496"/>
      <c r="HXI4" s="496"/>
      <c r="HXJ4" s="496"/>
      <c r="HXK4" s="496"/>
      <c r="HXL4" s="496"/>
      <c r="HXM4" s="496"/>
      <c r="HXN4" s="496"/>
      <c r="HXO4" s="496"/>
      <c r="HXP4" s="496"/>
      <c r="HXQ4" s="496"/>
      <c r="HXR4" s="496"/>
      <c r="HXS4" s="496"/>
      <c r="HXT4" s="496"/>
      <c r="HXU4" s="496"/>
      <c r="HXV4" s="496"/>
      <c r="HXW4" s="496"/>
      <c r="HXX4" s="496"/>
      <c r="HXY4" s="496"/>
      <c r="HXZ4" s="496"/>
      <c r="HYA4" s="496"/>
      <c r="HYB4" s="496"/>
      <c r="HYC4" s="496"/>
      <c r="HYD4" s="496"/>
      <c r="HYE4" s="496"/>
      <c r="HYF4" s="496"/>
      <c r="HYG4" s="496"/>
      <c r="HYH4" s="496"/>
      <c r="HYI4" s="496"/>
      <c r="HYJ4" s="496"/>
      <c r="HYK4" s="496"/>
      <c r="HYL4" s="496"/>
      <c r="HYM4" s="496"/>
      <c r="HYN4" s="496"/>
      <c r="HYO4" s="496"/>
      <c r="HYP4" s="496"/>
      <c r="HYQ4" s="496"/>
      <c r="HYR4" s="496"/>
      <c r="HYS4" s="496"/>
      <c r="HYT4" s="496"/>
      <c r="HYU4" s="496"/>
      <c r="HYV4" s="496"/>
      <c r="HYW4" s="496"/>
      <c r="HYX4" s="496"/>
      <c r="HYY4" s="496"/>
      <c r="HYZ4" s="496"/>
      <c r="HZA4" s="496"/>
      <c r="HZB4" s="496"/>
      <c r="HZC4" s="496"/>
      <c r="HZD4" s="496"/>
      <c r="HZE4" s="496"/>
      <c r="HZF4" s="496"/>
      <c r="HZG4" s="496"/>
      <c r="HZH4" s="496"/>
      <c r="HZI4" s="496"/>
      <c r="HZJ4" s="496"/>
      <c r="HZK4" s="496"/>
      <c r="HZL4" s="496"/>
      <c r="HZM4" s="496"/>
      <c r="HZN4" s="496"/>
      <c r="HZO4" s="496"/>
      <c r="HZP4" s="496"/>
      <c r="HZQ4" s="496"/>
      <c r="HZR4" s="496"/>
      <c r="HZS4" s="496"/>
      <c r="HZT4" s="496"/>
      <c r="HZU4" s="496"/>
      <c r="HZV4" s="496"/>
      <c r="HZW4" s="496"/>
      <c r="HZX4" s="496"/>
      <c r="HZY4" s="496"/>
      <c r="HZZ4" s="496"/>
      <c r="IAA4" s="496"/>
      <c r="IAB4" s="496"/>
      <c r="IAC4" s="496"/>
      <c r="IAD4" s="496"/>
      <c r="IAE4" s="496"/>
      <c r="IAF4" s="496"/>
      <c r="IAG4" s="496"/>
      <c r="IAH4" s="496"/>
      <c r="IAI4" s="496"/>
      <c r="IAJ4" s="496"/>
      <c r="IAK4" s="496"/>
      <c r="IAL4" s="496"/>
      <c r="IAM4" s="496"/>
      <c r="IAN4" s="496"/>
      <c r="IAO4" s="496"/>
      <c r="IAP4" s="496"/>
      <c r="IAQ4" s="496"/>
      <c r="IAR4" s="496"/>
      <c r="IAS4" s="496"/>
      <c r="IAT4" s="496"/>
      <c r="IAU4" s="496"/>
      <c r="IAV4" s="496"/>
      <c r="IAW4" s="496"/>
      <c r="IAX4" s="496"/>
      <c r="IAY4" s="496"/>
      <c r="IAZ4" s="496"/>
      <c r="IBA4" s="496"/>
      <c r="IBB4" s="496"/>
      <c r="IBC4" s="496"/>
      <c r="IBD4" s="496"/>
      <c r="IBE4" s="496"/>
      <c r="IBF4" s="496"/>
      <c r="IBG4" s="496"/>
      <c r="IBH4" s="496"/>
      <c r="IBI4" s="496"/>
      <c r="IBJ4" s="496"/>
      <c r="IBK4" s="496"/>
      <c r="IBL4" s="496"/>
      <c r="IBM4" s="496"/>
      <c r="IBN4" s="496"/>
      <c r="IBO4" s="496"/>
      <c r="IBP4" s="496"/>
      <c r="IBQ4" s="496"/>
      <c r="IBR4" s="496"/>
      <c r="IBS4" s="496"/>
      <c r="IBT4" s="496"/>
      <c r="IBU4" s="496"/>
      <c r="IBV4" s="496"/>
      <c r="IBW4" s="496"/>
      <c r="IBX4" s="496"/>
      <c r="IBY4" s="496"/>
      <c r="IBZ4" s="496"/>
      <c r="ICA4" s="496"/>
      <c r="ICB4" s="496"/>
      <c r="ICC4" s="496"/>
      <c r="ICD4" s="496"/>
      <c r="ICE4" s="496"/>
      <c r="ICF4" s="496"/>
      <c r="ICG4" s="496"/>
      <c r="ICH4" s="496"/>
      <c r="ICI4" s="496"/>
      <c r="ICJ4" s="496"/>
      <c r="ICK4" s="496"/>
      <c r="ICL4" s="496"/>
      <c r="ICM4" s="496"/>
      <c r="ICN4" s="496"/>
      <c r="ICO4" s="496"/>
      <c r="ICP4" s="496"/>
      <c r="ICQ4" s="496"/>
      <c r="ICR4" s="496"/>
      <c r="ICS4" s="496"/>
      <c r="ICT4" s="496"/>
      <c r="ICU4" s="496"/>
      <c r="ICV4" s="496"/>
      <c r="ICW4" s="496"/>
      <c r="ICX4" s="496"/>
      <c r="ICY4" s="496"/>
      <c r="ICZ4" s="496"/>
      <c r="IDA4" s="496"/>
      <c r="IDB4" s="496"/>
      <c r="IDC4" s="496"/>
      <c r="IDD4" s="496"/>
      <c r="IDE4" s="496"/>
      <c r="IDF4" s="496"/>
      <c r="IDG4" s="496"/>
      <c r="IDH4" s="496"/>
      <c r="IDI4" s="496"/>
      <c r="IDJ4" s="496"/>
      <c r="IDK4" s="496"/>
      <c r="IDL4" s="496"/>
      <c r="IDM4" s="496"/>
      <c r="IDN4" s="496"/>
      <c r="IDO4" s="496"/>
      <c r="IDP4" s="496"/>
      <c r="IDQ4" s="496"/>
      <c r="IDR4" s="496"/>
      <c r="IDS4" s="496"/>
      <c r="IDT4" s="496"/>
      <c r="IDU4" s="496"/>
      <c r="IDV4" s="496"/>
      <c r="IDW4" s="496"/>
      <c r="IDX4" s="496"/>
      <c r="IDY4" s="496"/>
      <c r="IDZ4" s="496"/>
      <c r="IEA4" s="496"/>
      <c r="IEB4" s="496"/>
      <c r="IEC4" s="496"/>
      <c r="IED4" s="496"/>
      <c r="IEE4" s="496"/>
      <c r="IEF4" s="496"/>
      <c r="IEG4" s="496"/>
      <c r="IEH4" s="496"/>
      <c r="IEI4" s="496"/>
      <c r="IEJ4" s="496"/>
      <c r="IEK4" s="496"/>
      <c r="IEL4" s="496"/>
      <c r="IEM4" s="496"/>
      <c r="IEN4" s="496"/>
      <c r="IEO4" s="496"/>
      <c r="IEP4" s="496"/>
      <c r="IEQ4" s="496"/>
      <c r="IER4" s="496"/>
      <c r="IES4" s="496"/>
      <c r="IET4" s="496"/>
      <c r="IEU4" s="496"/>
      <c r="IEV4" s="496"/>
      <c r="IEW4" s="496"/>
      <c r="IEX4" s="496"/>
      <c r="IEY4" s="496"/>
      <c r="IEZ4" s="496"/>
      <c r="IFA4" s="496"/>
      <c r="IFB4" s="496"/>
      <c r="IFC4" s="496"/>
      <c r="IFD4" s="496"/>
      <c r="IFE4" s="496"/>
      <c r="IFF4" s="496"/>
      <c r="IFG4" s="496"/>
      <c r="IFH4" s="496"/>
      <c r="IFI4" s="496"/>
      <c r="IFJ4" s="496"/>
      <c r="IFK4" s="496"/>
      <c r="IFL4" s="496"/>
      <c r="IFM4" s="496"/>
      <c r="IFN4" s="496"/>
      <c r="IFO4" s="496"/>
      <c r="IFP4" s="496"/>
      <c r="IFQ4" s="496"/>
      <c r="IFR4" s="496"/>
      <c r="IFS4" s="496"/>
      <c r="IFT4" s="496"/>
      <c r="IFU4" s="496"/>
      <c r="IFV4" s="496"/>
      <c r="IFW4" s="496"/>
      <c r="IFX4" s="496"/>
      <c r="IFY4" s="496"/>
      <c r="IFZ4" s="496"/>
      <c r="IGA4" s="496"/>
      <c r="IGB4" s="496"/>
      <c r="IGC4" s="496"/>
      <c r="IGD4" s="496"/>
      <c r="IGE4" s="496"/>
      <c r="IGF4" s="496"/>
      <c r="IGG4" s="496"/>
      <c r="IGH4" s="496"/>
      <c r="IGI4" s="496"/>
      <c r="IGJ4" s="496"/>
      <c r="IGK4" s="496"/>
      <c r="IGL4" s="496"/>
      <c r="IGM4" s="496"/>
      <c r="IGN4" s="496"/>
      <c r="IGO4" s="496"/>
      <c r="IGP4" s="496"/>
      <c r="IGQ4" s="496"/>
      <c r="IGR4" s="496"/>
      <c r="IGS4" s="496"/>
      <c r="IGT4" s="496"/>
      <c r="IGU4" s="496"/>
      <c r="IGV4" s="496"/>
      <c r="IGW4" s="496"/>
      <c r="IGX4" s="496"/>
      <c r="IGY4" s="496"/>
      <c r="IGZ4" s="496"/>
      <c r="IHA4" s="496"/>
      <c r="IHB4" s="496"/>
      <c r="IHC4" s="496"/>
      <c r="IHD4" s="496"/>
      <c r="IHE4" s="496"/>
      <c r="IHF4" s="496"/>
      <c r="IHG4" s="496"/>
      <c r="IHH4" s="496"/>
      <c r="IHI4" s="496"/>
      <c r="IHJ4" s="496"/>
      <c r="IHK4" s="496"/>
      <c r="IHL4" s="496"/>
      <c r="IHM4" s="496"/>
      <c r="IHN4" s="496"/>
      <c r="IHO4" s="496"/>
      <c r="IHP4" s="496"/>
      <c r="IHQ4" s="496"/>
      <c r="IHR4" s="496"/>
      <c r="IHS4" s="496"/>
      <c r="IHT4" s="496"/>
      <c r="IHU4" s="496"/>
      <c r="IHV4" s="496"/>
      <c r="IHW4" s="496"/>
      <c r="IHX4" s="496"/>
      <c r="IHY4" s="496"/>
      <c r="IHZ4" s="496"/>
      <c r="IIA4" s="496"/>
      <c r="IIB4" s="496"/>
      <c r="IIC4" s="496"/>
      <c r="IID4" s="496"/>
      <c r="IIE4" s="496"/>
      <c r="IIF4" s="496"/>
      <c r="IIG4" s="496"/>
      <c r="IIH4" s="496"/>
      <c r="III4" s="496"/>
      <c r="IIJ4" s="496"/>
      <c r="IIK4" s="496"/>
      <c r="IIL4" s="496"/>
      <c r="IIM4" s="496"/>
      <c r="IIN4" s="496"/>
      <c r="IIO4" s="496"/>
      <c r="IIP4" s="496"/>
      <c r="IIQ4" s="496"/>
      <c r="IIR4" s="496"/>
      <c r="IIS4" s="496"/>
      <c r="IIT4" s="496"/>
      <c r="IIU4" s="496"/>
      <c r="IIV4" s="496"/>
      <c r="IIW4" s="496"/>
      <c r="IIX4" s="496"/>
      <c r="IIY4" s="496"/>
      <c r="IIZ4" s="496"/>
      <c r="IJA4" s="496"/>
      <c r="IJB4" s="496"/>
      <c r="IJC4" s="496"/>
      <c r="IJD4" s="496"/>
      <c r="IJE4" s="496"/>
      <c r="IJF4" s="496"/>
      <c r="IJG4" s="496"/>
      <c r="IJH4" s="496"/>
      <c r="IJI4" s="496"/>
      <c r="IJJ4" s="496"/>
      <c r="IJK4" s="496"/>
      <c r="IJL4" s="496"/>
      <c r="IJM4" s="496"/>
      <c r="IJN4" s="496"/>
      <c r="IJO4" s="496"/>
      <c r="IJP4" s="496"/>
      <c r="IJQ4" s="496"/>
      <c r="IJR4" s="496"/>
      <c r="IJS4" s="496"/>
      <c r="IJT4" s="496"/>
      <c r="IJU4" s="496"/>
      <c r="IJV4" s="496"/>
      <c r="IJW4" s="496"/>
      <c r="IJX4" s="496"/>
      <c r="IJY4" s="496"/>
      <c r="IJZ4" s="496"/>
      <c r="IKA4" s="496"/>
      <c r="IKB4" s="496"/>
      <c r="IKC4" s="496"/>
      <c r="IKD4" s="496"/>
      <c r="IKE4" s="496"/>
      <c r="IKF4" s="496"/>
      <c r="IKG4" s="496"/>
      <c r="IKH4" s="496"/>
      <c r="IKI4" s="496"/>
      <c r="IKJ4" s="496"/>
      <c r="IKK4" s="496"/>
      <c r="IKL4" s="496"/>
      <c r="IKM4" s="496"/>
      <c r="IKN4" s="496"/>
      <c r="IKO4" s="496"/>
      <c r="IKP4" s="496"/>
      <c r="IKQ4" s="496"/>
      <c r="IKR4" s="496"/>
      <c r="IKS4" s="496"/>
      <c r="IKT4" s="496"/>
      <c r="IKU4" s="496"/>
      <c r="IKV4" s="496"/>
      <c r="IKW4" s="496"/>
      <c r="IKX4" s="496"/>
      <c r="IKY4" s="496"/>
      <c r="IKZ4" s="496"/>
      <c r="ILA4" s="496"/>
      <c r="ILB4" s="496"/>
      <c r="ILC4" s="496"/>
      <c r="ILD4" s="496"/>
      <c r="ILE4" s="496"/>
      <c r="ILF4" s="496"/>
      <c r="ILG4" s="496"/>
      <c r="ILH4" s="496"/>
      <c r="ILI4" s="496"/>
      <c r="ILJ4" s="496"/>
      <c r="ILK4" s="496"/>
      <c r="ILL4" s="496"/>
      <c r="ILM4" s="496"/>
      <c r="ILN4" s="496"/>
      <c r="ILO4" s="496"/>
      <c r="ILP4" s="496"/>
      <c r="ILQ4" s="496"/>
      <c r="ILR4" s="496"/>
      <c r="ILS4" s="496"/>
      <c r="ILT4" s="496"/>
      <c r="ILU4" s="496"/>
      <c r="ILV4" s="496"/>
      <c r="ILW4" s="496"/>
      <c r="ILX4" s="496"/>
      <c r="ILY4" s="496"/>
      <c r="ILZ4" s="496"/>
      <c r="IMA4" s="496"/>
      <c r="IMB4" s="496"/>
      <c r="IMC4" s="496"/>
      <c r="IMD4" s="496"/>
      <c r="IME4" s="496"/>
      <c r="IMF4" s="496"/>
      <c r="IMG4" s="496"/>
      <c r="IMH4" s="496"/>
      <c r="IMI4" s="496"/>
      <c r="IMJ4" s="496"/>
      <c r="IMK4" s="496"/>
      <c r="IML4" s="496"/>
      <c r="IMM4" s="496"/>
      <c r="IMN4" s="496"/>
      <c r="IMO4" s="496"/>
      <c r="IMP4" s="496"/>
      <c r="IMQ4" s="496"/>
      <c r="IMR4" s="496"/>
      <c r="IMS4" s="496"/>
      <c r="IMT4" s="496"/>
      <c r="IMU4" s="496"/>
      <c r="IMV4" s="496"/>
      <c r="IMW4" s="496"/>
      <c r="IMX4" s="496"/>
      <c r="IMY4" s="496"/>
      <c r="IMZ4" s="496"/>
      <c r="INA4" s="496"/>
      <c r="INB4" s="496"/>
      <c r="INC4" s="496"/>
      <c r="IND4" s="496"/>
      <c r="INE4" s="496"/>
      <c r="INF4" s="496"/>
      <c r="ING4" s="496"/>
      <c r="INH4" s="496"/>
      <c r="INI4" s="496"/>
      <c r="INJ4" s="496"/>
      <c r="INK4" s="496"/>
      <c r="INL4" s="496"/>
      <c r="INM4" s="496"/>
      <c r="INN4" s="496"/>
      <c r="INO4" s="496"/>
      <c r="INP4" s="496"/>
      <c r="INQ4" s="496"/>
      <c r="INR4" s="496"/>
      <c r="INS4" s="496"/>
      <c r="INT4" s="496"/>
      <c r="INU4" s="496"/>
      <c r="INV4" s="496"/>
      <c r="INW4" s="496"/>
      <c r="INX4" s="496"/>
      <c r="INY4" s="496"/>
      <c r="INZ4" s="496"/>
      <c r="IOA4" s="496"/>
      <c r="IOB4" s="496"/>
      <c r="IOC4" s="496"/>
      <c r="IOD4" s="496"/>
      <c r="IOE4" s="496"/>
      <c r="IOF4" s="496"/>
      <c r="IOG4" s="496"/>
      <c r="IOH4" s="496"/>
      <c r="IOI4" s="496"/>
      <c r="IOJ4" s="496"/>
      <c r="IOK4" s="496"/>
      <c r="IOL4" s="496"/>
      <c r="IOM4" s="496"/>
      <c r="ION4" s="496"/>
      <c r="IOO4" s="496"/>
      <c r="IOP4" s="496"/>
      <c r="IOQ4" s="496"/>
      <c r="IOR4" s="496"/>
      <c r="IOS4" s="496"/>
      <c r="IOT4" s="496"/>
      <c r="IOU4" s="496"/>
      <c r="IOV4" s="496"/>
      <c r="IOW4" s="496"/>
      <c r="IOX4" s="496"/>
      <c r="IOY4" s="496"/>
      <c r="IOZ4" s="496"/>
      <c r="IPA4" s="496"/>
      <c r="IPB4" s="496"/>
      <c r="IPC4" s="496"/>
      <c r="IPD4" s="496"/>
      <c r="IPE4" s="496"/>
      <c r="IPF4" s="496"/>
      <c r="IPG4" s="496"/>
      <c r="IPH4" s="496"/>
      <c r="IPI4" s="496"/>
      <c r="IPJ4" s="496"/>
      <c r="IPK4" s="496"/>
      <c r="IPL4" s="496"/>
      <c r="IPM4" s="496"/>
      <c r="IPN4" s="496"/>
      <c r="IPO4" s="496"/>
      <c r="IPP4" s="496"/>
      <c r="IPQ4" s="496"/>
      <c r="IPR4" s="496"/>
      <c r="IPS4" s="496"/>
      <c r="IPT4" s="496"/>
      <c r="IPU4" s="496"/>
      <c r="IPV4" s="496"/>
      <c r="IPW4" s="496"/>
      <c r="IPX4" s="496"/>
      <c r="IPY4" s="496"/>
      <c r="IPZ4" s="496"/>
      <c r="IQA4" s="496"/>
      <c r="IQB4" s="496"/>
      <c r="IQC4" s="496"/>
      <c r="IQD4" s="496"/>
      <c r="IQE4" s="496"/>
      <c r="IQF4" s="496"/>
      <c r="IQG4" s="496"/>
      <c r="IQH4" s="496"/>
      <c r="IQI4" s="496"/>
      <c r="IQJ4" s="496"/>
      <c r="IQK4" s="496"/>
      <c r="IQL4" s="496"/>
      <c r="IQM4" s="496"/>
      <c r="IQN4" s="496"/>
      <c r="IQO4" s="496"/>
      <c r="IQP4" s="496"/>
      <c r="IQQ4" s="496"/>
      <c r="IQR4" s="496"/>
      <c r="IQS4" s="496"/>
      <c r="IQT4" s="496"/>
      <c r="IQU4" s="496"/>
      <c r="IQV4" s="496"/>
      <c r="IQW4" s="496"/>
      <c r="IQX4" s="496"/>
      <c r="IQY4" s="496"/>
      <c r="IQZ4" s="496"/>
      <c r="IRA4" s="496"/>
      <c r="IRB4" s="496"/>
      <c r="IRC4" s="496"/>
      <c r="IRD4" s="496"/>
      <c r="IRE4" s="496"/>
      <c r="IRF4" s="496"/>
      <c r="IRG4" s="496"/>
      <c r="IRH4" s="496"/>
      <c r="IRI4" s="496"/>
      <c r="IRJ4" s="496"/>
      <c r="IRK4" s="496"/>
      <c r="IRL4" s="496"/>
      <c r="IRM4" s="496"/>
      <c r="IRN4" s="496"/>
      <c r="IRO4" s="496"/>
      <c r="IRP4" s="496"/>
      <c r="IRQ4" s="496"/>
      <c r="IRR4" s="496"/>
      <c r="IRS4" s="496"/>
      <c r="IRT4" s="496"/>
      <c r="IRU4" s="496"/>
      <c r="IRV4" s="496"/>
      <c r="IRW4" s="496"/>
      <c r="IRX4" s="496"/>
      <c r="IRY4" s="496"/>
      <c r="IRZ4" s="496"/>
      <c r="ISA4" s="496"/>
      <c r="ISB4" s="496"/>
      <c r="ISC4" s="496"/>
      <c r="ISD4" s="496"/>
      <c r="ISE4" s="496"/>
      <c r="ISF4" s="496"/>
      <c r="ISG4" s="496"/>
      <c r="ISH4" s="496"/>
      <c r="ISI4" s="496"/>
      <c r="ISJ4" s="496"/>
      <c r="ISK4" s="496"/>
      <c r="ISL4" s="496"/>
      <c r="ISM4" s="496"/>
      <c r="ISN4" s="496"/>
      <c r="ISO4" s="496"/>
      <c r="ISP4" s="496"/>
      <c r="ISQ4" s="496"/>
      <c r="ISR4" s="496"/>
      <c r="ISS4" s="496"/>
      <c r="IST4" s="496"/>
      <c r="ISU4" s="496"/>
      <c r="ISV4" s="496"/>
      <c r="ISW4" s="496"/>
      <c r="ISX4" s="496"/>
      <c r="ISY4" s="496"/>
      <c r="ISZ4" s="496"/>
      <c r="ITA4" s="496"/>
      <c r="ITB4" s="496"/>
      <c r="ITC4" s="496"/>
      <c r="ITD4" s="496"/>
      <c r="ITE4" s="496"/>
      <c r="ITF4" s="496"/>
      <c r="ITG4" s="496"/>
      <c r="ITH4" s="496"/>
      <c r="ITI4" s="496"/>
      <c r="ITJ4" s="496"/>
      <c r="ITK4" s="496"/>
      <c r="ITL4" s="496"/>
      <c r="ITM4" s="496"/>
      <c r="ITN4" s="496"/>
      <c r="ITO4" s="496"/>
      <c r="ITP4" s="496"/>
      <c r="ITQ4" s="496"/>
      <c r="ITR4" s="496"/>
      <c r="ITS4" s="496"/>
      <c r="ITT4" s="496"/>
      <c r="ITU4" s="496"/>
      <c r="ITV4" s="496"/>
      <c r="ITW4" s="496"/>
      <c r="ITX4" s="496"/>
      <c r="ITY4" s="496"/>
      <c r="ITZ4" s="496"/>
      <c r="IUA4" s="496"/>
      <c r="IUB4" s="496"/>
      <c r="IUC4" s="496"/>
      <c r="IUD4" s="496"/>
      <c r="IUE4" s="496"/>
      <c r="IUF4" s="496"/>
      <c r="IUG4" s="496"/>
      <c r="IUH4" s="496"/>
      <c r="IUI4" s="496"/>
      <c r="IUJ4" s="496"/>
      <c r="IUK4" s="496"/>
      <c r="IUL4" s="496"/>
      <c r="IUM4" s="496"/>
      <c r="IUN4" s="496"/>
      <c r="IUO4" s="496"/>
      <c r="IUP4" s="496"/>
      <c r="IUQ4" s="496"/>
      <c r="IUR4" s="496"/>
      <c r="IUS4" s="496"/>
      <c r="IUT4" s="496"/>
      <c r="IUU4" s="496"/>
      <c r="IUV4" s="496"/>
      <c r="IUW4" s="496"/>
      <c r="IUX4" s="496"/>
      <c r="IUY4" s="496"/>
      <c r="IUZ4" s="496"/>
      <c r="IVA4" s="496"/>
      <c r="IVB4" s="496"/>
      <c r="IVC4" s="496"/>
      <c r="IVD4" s="496"/>
      <c r="IVE4" s="496"/>
      <c r="IVF4" s="496"/>
      <c r="IVG4" s="496"/>
      <c r="IVH4" s="496"/>
      <c r="IVI4" s="496"/>
      <c r="IVJ4" s="496"/>
      <c r="IVK4" s="496"/>
      <c r="IVL4" s="496"/>
      <c r="IVM4" s="496"/>
      <c r="IVN4" s="496"/>
      <c r="IVO4" s="496"/>
      <c r="IVP4" s="496"/>
      <c r="IVQ4" s="496"/>
      <c r="IVR4" s="496"/>
      <c r="IVS4" s="496"/>
      <c r="IVT4" s="496"/>
      <c r="IVU4" s="496"/>
      <c r="IVV4" s="496"/>
      <c r="IVW4" s="496"/>
      <c r="IVX4" s="496"/>
      <c r="IVY4" s="496"/>
      <c r="IVZ4" s="496"/>
      <c r="IWA4" s="496"/>
      <c r="IWB4" s="496"/>
      <c r="IWC4" s="496"/>
      <c r="IWD4" s="496"/>
      <c r="IWE4" s="496"/>
      <c r="IWF4" s="496"/>
      <c r="IWG4" s="496"/>
      <c r="IWH4" s="496"/>
      <c r="IWI4" s="496"/>
      <c r="IWJ4" s="496"/>
      <c r="IWK4" s="496"/>
      <c r="IWL4" s="496"/>
      <c r="IWM4" s="496"/>
      <c r="IWN4" s="496"/>
      <c r="IWO4" s="496"/>
      <c r="IWP4" s="496"/>
      <c r="IWQ4" s="496"/>
      <c r="IWR4" s="496"/>
      <c r="IWS4" s="496"/>
      <c r="IWT4" s="496"/>
      <c r="IWU4" s="496"/>
      <c r="IWV4" s="496"/>
      <c r="IWW4" s="496"/>
      <c r="IWX4" s="496"/>
      <c r="IWY4" s="496"/>
      <c r="IWZ4" s="496"/>
      <c r="IXA4" s="496"/>
      <c r="IXB4" s="496"/>
      <c r="IXC4" s="496"/>
      <c r="IXD4" s="496"/>
      <c r="IXE4" s="496"/>
      <c r="IXF4" s="496"/>
      <c r="IXG4" s="496"/>
      <c r="IXH4" s="496"/>
      <c r="IXI4" s="496"/>
      <c r="IXJ4" s="496"/>
      <c r="IXK4" s="496"/>
      <c r="IXL4" s="496"/>
      <c r="IXM4" s="496"/>
      <c r="IXN4" s="496"/>
      <c r="IXO4" s="496"/>
      <c r="IXP4" s="496"/>
      <c r="IXQ4" s="496"/>
      <c r="IXR4" s="496"/>
      <c r="IXS4" s="496"/>
      <c r="IXT4" s="496"/>
      <c r="IXU4" s="496"/>
      <c r="IXV4" s="496"/>
      <c r="IXW4" s="496"/>
      <c r="IXX4" s="496"/>
      <c r="IXY4" s="496"/>
      <c r="IXZ4" s="496"/>
      <c r="IYA4" s="496"/>
      <c r="IYB4" s="496"/>
      <c r="IYC4" s="496"/>
      <c r="IYD4" s="496"/>
      <c r="IYE4" s="496"/>
      <c r="IYF4" s="496"/>
      <c r="IYG4" s="496"/>
      <c r="IYH4" s="496"/>
      <c r="IYI4" s="496"/>
      <c r="IYJ4" s="496"/>
      <c r="IYK4" s="496"/>
      <c r="IYL4" s="496"/>
      <c r="IYM4" s="496"/>
      <c r="IYN4" s="496"/>
      <c r="IYO4" s="496"/>
      <c r="IYP4" s="496"/>
      <c r="IYQ4" s="496"/>
      <c r="IYR4" s="496"/>
      <c r="IYS4" s="496"/>
      <c r="IYT4" s="496"/>
      <c r="IYU4" s="496"/>
      <c r="IYV4" s="496"/>
      <c r="IYW4" s="496"/>
      <c r="IYX4" s="496"/>
      <c r="IYY4" s="496"/>
      <c r="IYZ4" s="496"/>
      <c r="IZA4" s="496"/>
      <c r="IZB4" s="496"/>
      <c r="IZC4" s="496"/>
      <c r="IZD4" s="496"/>
      <c r="IZE4" s="496"/>
      <c r="IZF4" s="496"/>
      <c r="IZG4" s="496"/>
      <c r="IZH4" s="496"/>
      <c r="IZI4" s="496"/>
      <c r="IZJ4" s="496"/>
      <c r="IZK4" s="496"/>
      <c r="IZL4" s="496"/>
      <c r="IZM4" s="496"/>
      <c r="IZN4" s="496"/>
      <c r="IZO4" s="496"/>
      <c r="IZP4" s="496"/>
      <c r="IZQ4" s="496"/>
      <c r="IZR4" s="496"/>
      <c r="IZS4" s="496"/>
      <c r="IZT4" s="496"/>
      <c r="IZU4" s="496"/>
      <c r="IZV4" s="496"/>
      <c r="IZW4" s="496"/>
      <c r="IZX4" s="496"/>
      <c r="IZY4" s="496"/>
      <c r="IZZ4" s="496"/>
      <c r="JAA4" s="496"/>
      <c r="JAB4" s="496"/>
      <c r="JAC4" s="496"/>
      <c r="JAD4" s="496"/>
      <c r="JAE4" s="496"/>
      <c r="JAF4" s="496"/>
      <c r="JAG4" s="496"/>
      <c r="JAH4" s="496"/>
      <c r="JAI4" s="496"/>
      <c r="JAJ4" s="496"/>
      <c r="JAK4" s="496"/>
      <c r="JAL4" s="496"/>
      <c r="JAM4" s="496"/>
      <c r="JAN4" s="496"/>
      <c r="JAO4" s="496"/>
      <c r="JAP4" s="496"/>
      <c r="JAQ4" s="496"/>
      <c r="JAR4" s="496"/>
      <c r="JAS4" s="496"/>
      <c r="JAT4" s="496"/>
      <c r="JAU4" s="496"/>
      <c r="JAV4" s="496"/>
      <c r="JAW4" s="496"/>
      <c r="JAX4" s="496"/>
      <c r="JAY4" s="496"/>
      <c r="JAZ4" s="496"/>
      <c r="JBA4" s="496"/>
      <c r="JBB4" s="496"/>
      <c r="JBC4" s="496"/>
      <c r="JBD4" s="496"/>
      <c r="JBE4" s="496"/>
      <c r="JBF4" s="496"/>
      <c r="JBG4" s="496"/>
      <c r="JBH4" s="496"/>
      <c r="JBI4" s="496"/>
      <c r="JBJ4" s="496"/>
      <c r="JBK4" s="496"/>
      <c r="JBL4" s="496"/>
      <c r="JBM4" s="496"/>
      <c r="JBN4" s="496"/>
      <c r="JBO4" s="496"/>
      <c r="JBP4" s="496"/>
      <c r="JBQ4" s="496"/>
      <c r="JBR4" s="496"/>
      <c r="JBS4" s="496"/>
      <c r="JBT4" s="496"/>
      <c r="JBU4" s="496"/>
      <c r="JBV4" s="496"/>
      <c r="JBW4" s="496"/>
      <c r="JBX4" s="496"/>
      <c r="JBY4" s="496"/>
      <c r="JBZ4" s="496"/>
      <c r="JCA4" s="496"/>
      <c r="JCB4" s="496"/>
      <c r="JCC4" s="496"/>
      <c r="JCD4" s="496"/>
      <c r="JCE4" s="496"/>
      <c r="JCF4" s="496"/>
      <c r="JCG4" s="496"/>
      <c r="JCH4" s="496"/>
      <c r="JCI4" s="496"/>
      <c r="JCJ4" s="496"/>
      <c r="JCK4" s="496"/>
      <c r="JCL4" s="496"/>
      <c r="JCM4" s="496"/>
      <c r="JCN4" s="496"/>
      <c r="JCO4" s="496"/>
      <c r="JCP4" s="496"/>
      <c r="JCQ4" s="496"/>
      <c r="JCR4" s="496"/>
      <c r="JCS4" s="496"/>
      <c r="JCT4" s="496"/>
      <c r="JCU4" s="496"/>
      <c r="JCV4" s="496"/>
      <c r="JCW4" s="496"/>
      <c r="JCX4" s="496"/>
      <c r="JCY4" s="496"/>
      <c r="JCZ4" s="496"/>
      <c r="JDA4" s="496"/>
      <c r="JDB4" s="496"/>
      <c r="JDC4" s="496"/>
      <c r="JDD4" s="496"/>
      <c r="JDE4" s="496"/>
      <c r="JDF4" s="496"/>
      <c r="JDG4" s="496"/>
      <c r="JDH4" s="496"/>
      <c r="JDI4" s="496"/>
      <c r="JDJ4" s="496"/>
      <c r="JDK4" s="496"/>
      <c r="JDL4" s="496"/>
      <c r="JDM4" s="496"/>
      <c r="JDN4" s="496"/>
      <c r="JDO4" s="496"/>
      <c r="JDP4" s="496"/>
      <c r="JDQ4" s="496"/>
      <c r="JDR4" s="496"/>
      <c r="JDS4" s="496"/>
      <c r="JDT4" s="496"/>
      <c r="JDU4" s="496"/>
      <c r="JDV4" s="496"/>
      <c r="JDW4" s="496"/>
      <c r="JDX4" s="496"/>
      <c r="JDY4" s="496"/>
      <c r="JDZ4" s="496"/>
      <c r="JEA4" s="496"/>
      <c r="JEB4" s="496"/>
      <c r="JEC4" s="496"/>
      <c r="JED4" s="496"/>
      <c r="JEE4" s="496"/>
      <c r="JEF4" s="496"/>
      <c r="JEG4" s="496"/>
      <c r="JEH4" s="496"/>
      <c r="JEI4" s="496"/>
      <c r="JEJ4" s="496"/>
      <c r="JEK4" s="496"/>
      <c r="JEL4" s="496"/>
      <c r="JEM4" s="496"/>
      <c r="JEN4" s="496"/>
      <c r="JEO4" s="496"/>
      <c r="JEP4" s="496"/>
      <c r="JEQ4" s="496"/>
      <c r="JER4" s="496"/>
      <c r="JES4" s="496"/>
      <c r="JET4" s="496"/>
      <c r="JEU4" s="496"/>
      <c r="JEV4" s="496"/>
      <c r="JEW4" s="496"/>
      <c r="JEX4" s="496"/>
      <c r="JEY4" s="496"/>
      <c r="JEZ4" s="496"/>
      <c r="JFA4" s="496"/>
      <c r="JFB4" s="496"/>
      <c r="JFC4" s="496"/>
      <c r="JFD4" s="496"/>
      <c r="JFE4" s="496"/>
      <c r="JFF4" s="496"/>
      <c r="JFG4" s="496"/>
      <c r="JFH4" s="496"/>
      <c r="JFI4" s="496"/>
      <c r="JFJ4" s="496"/>
      <c r="JFK4" s="496"/>
      <c r="JFL4" s="496"/>
      <c r="JFM4" s="496"/>
      <c r="JFN4" s="496"/>
      <c r="JFO4" s="496"/>
      <c r="JFP4" s="496"/>
      <c r="JFQ4" s="496"/>
      <c r="JFR4" s="496"/>
      <c r="JFS4" s="496"/>
      <c r="JFT4" s="496"/>
      <c r="JFU4" s="496"/>
      <c r="JFV4" s="496"/>
      <c r="JFW4" s="496"/>
      <c r="JFX4" s="496"/>
      <c r="JFY4" s="496"/>
      <c r="JFZ4" s="496"/>
      <c r="JGA4" s="496"/>
      <c r="JGB4" s="496"/>
      <c r="JGC4" s="496"/>
      <c r="JGD4" s="496"/>
      <c r="JGE4" s="496"/>
      <c r="JGF4" s="496"/>
      <c r="JGG4" s="496"/>
      <c r="JGH4" s="496"/>
      <c r="JGI4" s="496"/>
      <c r="JGJ4" s="496"/>
      <c r="JGK4" s="496"/>
      <c r="JGL4" s="496"/>
      <c r="JGM4" s="496"/>
      <c r="JGN4" s="496"/>
      <c r="JGO4" s="496"/>
      <c r="JGP4" s="496"/>
      <c r="JGQ4" s="496"/>
      <c r="JGR4" s="496"/>
      <c r="JGS4" s="496"/>
      <c r="JGT4" s="496"/>
      <c r="JGU4" s="496"/>
      <c r="JGV4" s="496"/>
      <c r="JGW4" s="496"/>
      <c r="JGX4" s="496"/>
      <c r="JGY4" s="496"/>
      <c r="JGZ4" s="496"/>
      <c r="JHA4" s="496"/>
      <c r="JHB4" s="496"/>
      <c r="JHC4" s="496"/>
      <c r="JHD4" s="496"/>
      <c r="JHE4" s="496"/>
      <c r="JHF4" s="496"/>
      <c r="JHG4" s="496"/>
      <c r="JHH4" s="496"/>
      <c r="JHI4" s="496"/>
      <c r="JHJ4" s="496"/>
      <c r="JHK4" s="496"/>
      <c r="JHL4" s="496"/>
      <c r="JHM4" s="496"/>
      <c r="JHN4" s="496"/>
      <c r="JHO4" s="496"/>
      <c r="JHP4" s="496"/>
      <c r="JHQ4" s="496"/>
      <c r="JHR4" s="496"/>
      <c r="JHS4" s="496"/>
      <c r="JHT4" s="496"/>
      <c r="JHU4" s="496"/>
      <c r="JHV4" s="496"/>
      <c r="JHW4" s="496"/>
      <c r="JHX4" s="496"/>
      <c r="JHY4" s="496"/>
      <c r="JHZ4" s="496"/>
      <c r="JIA4" s="496"/>
      <c r="JIB4" s="496"/>
      <c r="JIC4" s="496"/>
      <c r="JID4" s="496"/>
      <c r="JIE4" s="496"/>
      <c r="JIF4" s="496"/>
      <c r="JIG4" s="496"/>
      <c r="JIH4" s="496"/>
      <c r="JII4" s="496"/>
      <c r="JIJ4" s="496"/>
      <c r="JIK4" s="496"/>
      <c r="JIL4" s="496"/>
      <c r="JIM4" s="496"/>
      <c r="JIN4" s="496"/>
      <c r="JIO4" s="496"/>
      <c r="JIP4" s="496"/>
      <c r="JIQ4" s="496"/>
      <c r="JIR4" s="496"/>
      <c r="JIS4" s="496"/>
      <c r="JIT4" s="496"/>
      <c r="JIU4" s="496"/>
      <c r="JIV4" s="496"/>
      <c r="JIW4" s="496"/>
      <c r="JIX4" s="496"/>
      <c r="JIY4" s="496"/>
      <c r="JIZ4" s="496"/>
      <c r="JJA4" s="496"/>
      <c r="JJB4" s="496"/>
      <c r="JJC4" s="496"/>
      <c r="JJD4" s="496"/>
      <c r="JJE4" s="496"/>
      <c r="JJF4" s="496"/>
      <c r="JJG4" s="496"/>
      <c r="JJH4" s="496"/>
      <c r="JJI4" s="496"/>
      <c r="JJJ4" s="496"/>
      <c r="JJK4" s="496"/>
      <c r="JJL4" s="496"/>
      <c r="JJM4" s="496"/>
      <c r="JJN4" s="496"/>
      <c r="JJO4" s="496"/>
      <c r="JJP4" s="496"/>
      <c r="JJQ4" s="496"/>
      <c r="JJR4" s="496"/>
      <c r="JJS4" s="496"/>
      <c r="JJT4" s="496"/>
      <c r="JJU4" s="496"/>
      <c r="JJV4" s="496"/>
      <c r="JJW4" s="496"/>
      <c r="JJX4" s="496"/>
      <c r="JJY4" s="496"/>
      <c r="JJZ4" s="496"/>
      <c r="JKA4" s="496"/>
      <c r="JKB4" s="496"/>
      <c r="JKC4" s="496"/>
      <c r="JKD4" s="496"/>
      <c r="JKE4" s="496"/>
      <c r="JKF4" s="496"/>
      <c r="JKG4" s="496"/>
      <c r="JKH4" s="496"/>
      <c r="JKI4" s="496"/>
      <c r="JKJ4" s="496"/>
      <c r="JKK4" s="496"/>
      <c r="JKL4" s="496"/>
      <c r="JKM4" s="496"/>
      <c r="JKN4" s="496"/>
      <c r="JKO4" s="496"/>
      <c r="JKP4" s="496"/>
      <c r="JKQ4" s="496"/>
      <c r="JKR4" s="496"/>
      <c r="JKS4" s="496"/>
      <c r="JKT4" s="496"/>
      <c r="JKU4" s="496"/>
      <c r="JKV4" s="496"/>
      <c r="JKW4" s="496"/>
      <c r="JKX4" s="496"/>
      <c r="JKY4" s="496"/>
      <c r="JKZ4" s="496"/>
      <c r="JLA4" s="496"/>
      <c r="JLB4" s="496"/>
      <c r="JLC4" s="496"/>
      <c r="JLD4" s="496"/>
      <c r="JLE4" s="496"/>
      <c r="JLF4" s="496"/>
      <c r="JLG4" s="496"/>
      <c r="JLH4" s="496"/>
      <c r="JLI4" s="496"/>
      <c r="JLJ4" s="496"/>
      <c r="JLK4" s="496"/>
      <c r="JLL4" s="496"/>
      <c r="JLM4" s="496"/>
      <c r="JLN4" s="496"/>
      <c r="JLO4" s="496"/>
      <c r="JLP4" s="496"/>
      <c r="JLQ4" s="496"/>
      <c r="JLR4" s="496"/>
      <c r="JLS4" s="496"/>
      <c r="JLT4" s="496"/>
      <c r="JLU4" s="496"/>
      <c r="JLV4" s="496"/>
      <c r="JLW4" s="496"/>
      <c r="JLX4" s="496"/>
      <c r="JLY4" s="496"/>
      <c r="JLZ4" s="496"/>
      <c r="JMA4" s="496"/>
      <c r="JMB4" s="496"/>
      <c r="JMC4" s="496"/>
      <c r="JMD4" s="496"/>
      <c r="JME4" s="496"/>
      <c r="JMF4" s="496"/>
      <c r="JMG4" s="496"/>
      <c r="JMH4" s="496"/>
      <c r="JMI4" s="496"/>
      <c r="JMJ4" s="496"/>
      <c r="JMK4" s="496"/>
      <c r="JML4" s="496"/>
      <c r="JMM4" s="496"/>
      <c r="JMN4" s="496"/>
      <c r="JMO4" s="496"/>
      <c r="JMP4" s="496"/>
      <c r="JMQ4" s="496"/>
      <c r="JMR4" s="496"/>
      <c r="JMS4" s="496"/>
      <c r="JMT4" s="496"/>
      <c r="JMU4" s="496"/>
      <c r="JMV4" s="496"/>
      <c r="JMW4" s="496"/>
      <c r="JMX4" s="496"/>
      <c r="JMY4" s="496"/>
      <c r="JMZ4" s="496"/>
      <c r="JNA4" s="496"/>
      <c r="JNB4" s="496"/>
      <c r="JNC4" s="496"/>
      <c r="JND4" s="496"/>
      <c r="JNE4" s="496"/>
      <c r="JNF4" s="496"/>
      <c r="JNG4" s="496"/>
      <c r="JNH4" s="496"/>
      <c r="JNI4" s="496"/>
      <c r="JNJ4" s="496"/>
      <c r="JNK4" s="496"/>
      <c r="JNL4" s="496"/>
      <c r="JNM4" s="496"/>
      <c r="JNN4" s="496"/>
      <c r="JNO4" s="496"/>
      <c r="JNP4" s="496"/>
      <c r="JNQ4" s="496"/>
      <c r="JNR4" s="496"/>
      <c r="JNS4" s="496"/>
      <c r="JNT4" s="496"/>
      <c r="JNU4" s="496"/>
      <c r="JNV4" s="496"/>
      <c r="JNW4" s="496"/>
      <c r="JNX4" s="496"/>
      <c r="JNY4" s="496"/>
      <c r="JNZ4" s="496"/>
      <c r="JOA4" s="496"/>
      <c r="JOB4" s="496"/>
      <c r="JOC4" s="496"/>
      <c r="JOD4" s="496"/>
      <c r="JOE4" s="496"/>
      <c r="JOF4" s="496"/>
      <c r="JOG4" s="496"/>
      <c r="JOH4" s="496"/>
      <c r="JOI4" s="496"/>
      <c r="JOJ4" s="496"/>
      <c r="JOK4" s="496"/>
      <c r="JOL4" s="496"/>
      <c r="JOM4" s="496"/>
      <c r="JON4" s="496"/>
      <c r="JOO4" s="496"/>
      <c r="JOP4" s="496"/>
      <c r="JOQ4" s="496"/>
      <c r="JOR4" s="496"/>
      <c r="JOS4" s="496"/>
      <c r="JOT4" s="496"/>
      <c r="JOU4" s="496"/>
      <c r="JOV4" s="496"/>
      <c r="JOW4" s="496"/>
      <c r="JOX4" s="496"/>
      <c r="JOY4" s="496"/>
      <c r="JOZ4" s="496"/>
      <c r="JPA4" s="496"/>
      <c r="JPB4" s="496"/>
      <c r="JPC4" s="496"/>
      <c r="JPD4" s="496"/>
      <c r="JPE4" s="496"/>
      <c r="JPF4" s="496"/>
      <c r="JPG4" s="496"/>
      <c r="JPH4" s="496"/>
      <c r="JPI4" s="496"/>
      <c r="JPJ4" s="496"/>
      <c r="JPK4" s="496"/>
      <c r="JPL4" s="496"/>
      <c r="JPM4" s="496"/>
      <c r="JPN4" s="496"/>
      <c r="JPO4" s="496"/>
      <c r="JPP4" s="496"/>
      <c r="JPQ4" s="496"/>
      <c r="JPR4" s="496"/>
      <c r="JPS4" s="496"/>
      <c r="JPT4" s="496"/>
      <c r="JPU4" s="496"/>
      <c r="JPV4" s="496"/>
      <c r="JPW4" s="496"/>
      <c r="JPX4" s="496"/>
      <c r="JPY4" s="496"/>
      <c r="JPZ4" s="496"/>
      <c r="JQA4" s="496"/>
      <c r="JQB4" s="496"/>
      <c r="JQC4" s="496"/>
      <c r="JQD4" s="496"/>
      <c r="JQE4" s="496"/>
      <c r="JQF4" s="496"/>
      <c r="JQG4" s="496"/>
      <c r="JQH4" s="496"/>
      <c r="JQI4" s="496"/>
      <c r="JQJ4" s="496"/>
      <c r="JQK4" s="496"/>
      <c r="JQL4" s="496"/>
      <c r="JQM4" s="496"/>
      <c r="JQN4" s="496"/>
      <c r="JQO4" s="496"/>
      <c r="JQP4" s="496"/>
      <c r="JQQ4" s="496"/>
      <c r="JQR4" s="496"/>
      <c r="JQS4" s="496"/>
      <c r="JQT4" s="496"/>
      <c r="JQU4" s="496"/>
      <c r="JQV4" s="496"/>
      <c r="JQW4" s="496"/>
      <c r="JQX4" s="496"/>
      <c r="JQY4" s="496"/>
      <c r="JQZ4" s="496"/>
      <c r="JRA4" s="496"/>
      <c r="JRB4" s="496"/>
      <c r="JRC4" s="496"/>
      <c r="JRD4" s="496"/>
      <c r="JRE4" s="496"/>
      <c r="JRF4" s="496"/>
      <c r="JRG4" s="496"/>
      <c r="JRH4" s="496"/>
      <c r="JRI4" s="496"/>
      <c r="JRJ4" s="496"/>
      <c r="JRK4" s="496"/>
      <c r="JRL4" s="496"/>
      <c r="JRM4" s="496"/>
      <c r="JRN4" s="496"/>
      <c r="JRO4" s="496"/>
      <c r="JRP4" s="496"/>
      <c r="JRQ4" s="496"/>
      <c r="JRR4" s="496"/>
      <c r="JRS4" s="496"/>
      <c r="JRT4" s="496"/>
      <c r="JRU4" s="496"/>
      <c r="JRV4" s="496"/>
      <c r="JRW4" s="496"/>
      <c r="JRX4" s="496"/>
      <c r="JRY4" s="496"/>
      <c r="JRZ4" s="496"/>
      <c r="JSA4" s="496"/>
      <c r="JSB4" s="496"/>
      <c r="JSC4" s="496"/>
      <c r="JSD4" s="496"/>
      <c r="JSE4" s="496"/>
      <c r="JSF4" s="496"/>
      <c r="JSG4" s="496"/>
      <c r="JSH4" s="496"/>
      <c r="JSI4" s="496"/>
      <c r="JSJ4" s="496"/>
      <c r="JSK4" s="496"/>
      <c r="JSL4" s="496"/>
      <c r="JSM4" s="496"/>
      <c r="JSN4" s="496"/>
      <c r="JSO4" s="496"/>
      <c r="JSP4" s="496"/>
      <c r="JSQ4" s="496"/>
      <c r="JSR4" s="496"/>
      <c r="JSS4" s="496"/>
      <c r="JST4" s="496"/>
      <c r="JSU4" s="496"/>
      <c r="JSV4" s="496"/>
      <c r="JSW4" s="496"/>
      <c r="JSX4" s="496"/>
      <c r="JSY4" s="496"/>
      <c r="JSZ4" s="496"/>
      <c r="JTA4" s="496"/>
      <c r="JTB4" s="496"/>
      <c r="JTC4" s="496"/>
      <c r="JTD4" s="496"/>
      <c r="JTE4" s="496"/>
      <c r="JTF4" s="496"/>
      <c r="JTG4" s="496"/>
      <c r="JTH4" s="496"/>
      <c r="JTI4" s="496"/>
      <c r="JTJ4" s="496"/>
      <c r="JTK4" s="496"/>
      <c r="JTL4" s="496"/>
      <c r="JTM4" s="496"/>
      <c r="JTN4" s="496"/>
      <c r="JTO4" s="496"/>
      <c r="JTP4" s="496"/>
      <c r="JTQ4" s="496"/>
      <c r="JTR4" s="496"/>
      <c r="JTS4" s="496"/>
      <c r="JTT4" s="496"/>
      <c r="JTU4" s="496"/>
      <c r="JTV4" s="496"/>
      <c r="JTW4" s="496"/>
      <c r="JTX4" s="496"/>
      <c r="JTY4" s="496"/>
      <c r="JTZ4" s="496"/>
      <c r="JUA4" s="496"/>
      <c r="JUB4" s="496"/>
      <c r="JUC4" s="496"/>
      <c r="JUD4" s="496"/>
      <c r="JUE4" s="496"/>
      <c r="JUF4" s="496"/>
      <c r="JUG4" s="496"/>
      <c r="JUH4" s="496"/>
      <c r="JUI4" s="496"/>
      <c r="JUJ4" s="496"/>
      <c r="JUK4" s="496"/>
      <c r="JUL4" s="496"/>
      <c r="JUM4" s="496"/>
      <c r="JUN4" s="496"/>
      <c r="JUO4" s="496"/>
      <c r="JUP4" s="496"/>
      <c r="JUQ4" s="496"/>
      <c r="JUR4" s="496"/>
      <c r="JUS4" s="496"/>
      <c r="JUT4" s="496"/>
      <c r="JUU4" s="496"/>
      <c r="JUV4" s="496"/>
      <c r="JUW4" s="496"/>
      <c r="JUX4" s="496"/>
      <c r="JUY4" s="496"/>
      <c r="JUZ4" s="496"/>
      <c r="JVA4" s="496"/>
      <c r="JVB4" s="496"/>
      <c r="JVC4" s="496"/>
      <c r="JVD4" s="496"/>
      <c r="JVE4" s="496"/>
      <c r="JVF4" s="496"/>
      <c r="JVG4" s="496"/>
      <c r="JVH4" s="496"/>
      <c r="JVI4" s="496"/>
      <c r="JVJ4" s="496"/>
      <c r="JVK4" s="496"/>
      <c r="JVL4" s="496"/>
      <c r="JVM4" s="496"/>
      <c r="JVN4" s="496"/>
      <c r="JVO4" s="496"/>
      <c r="JVP4" s="496"/>
      <c r="JVQ4" s="496"/>
      <c r="JVR4" s="496"/>
      <c r="JVS4" s="496"/>
      <c r="JVT4" s="496"/>
      <c r="JVU4" s="496"/>
      <c r="JVV4" s="496"/>
      <c r="JVW4" s="496"/>
      <c r="JVX4" s="496"/>
      <c r="JVY4" s="496"/>
      <c r="JVZ4" s="496"/>
      <c r="JWA4" s="496"/>
      <c r="JWB4" s="496"/>
      <c r="JWC4" s="496"/>
      <c r="JWD4" s="496"/>
      <c r="JWE4" s="496"/>
      <c r="JWF4" s="496"/>
      <c r="JWG4" s="496"/>
      <c r="JWH4" s="496"/>
      <c r="JWI4" s="496"/>
      <c r="JWJ4" s="496"/>
      <c r="JWK4" s="496"/>
      <c r="JWL4" s="496"/>
      <c r="JWM4" s="496"/>
      <c r="JWN4" s="496"/>
      <c r="JWO4" s="496"/>
      <c r="JWP4" s="496"/>
      <c r="JWQ4" s="496"/>
      <c r="JWR4" s="496"/>
      <c r="JWS4" s="496"/>
      <c r="JWT4" s="496"/>
      <c r="JWU4" s="496"/>
      <c r="JWV4" s="496"/>
      <c r="JWW4" s="496"/>
      <c r="JWX4" s="496"/>
      <c r="JWY4" s="496"/>
      <c r="JWZ4" s="496"/>
      <c r="JXA4" s="496"/>
      <c r="JXB4" s="496"/>
      <c r="JXC4" s="496"/>
      <c r="JXD4" s="496"/>
      <c r="JXE4" s="496"/>
      <c r="JXF4" s="496"/>
      <c r="JXG4" s="496"/>
      <c r="JXH4" s="496"/>
      <c r="JXI4" s="496"/>
      <c r="JXJ4" s="496"/>
      <c r="JXK4" s="496"/>
      <c r="JXL4" s="496"/>
      <c r="JXM4" s="496"/>
      <c r="JXN4" s="496"/>
      <c r="JXO4" s="496"/>
      <c r="JXP4" s="496"/>
      <c r="JXQ4" s="496"/>
      <c r="JXR4" s="496"/>
      <c r="JXS4" s="496"/>
      <c r="JXT4" s="496"/>
      <c r="JXU4" s="496"/>
      <c r="JXV4" s="496"/>
      <c r="JXW4" s="496"/>
      <c r="JXX4" s="496"/>
      <c r="JXY4" s="496"/>
      <c r="JXZ4" s="496"/>
      <c r="JYA4" s="496"/>
      <c r="JYB4" s="496"/>
      <c r="JYC4" s="496"/>
      <c r="JYD4" s="496"/>
      <c r="JYE4" s="496"/>
      <c r="JYF4" s="496"/>
      <c r="JYG4" s="496"/>
      <c r="JYH4" s="496"/>
      <c r="JYI4" s="496"/>
      <c r="JYJ4" s="496"/>
      <c r="JYK4" s="496"/>
      <c r="JYL4" s="496"/>
      <c r="JYM4" s="496"/>
      <c r="JYN4" s="496"/>
      <c r="JYO4" s="496"/>
      <c r="JYP4" s="496"/>
      <c r="JYQ4" s="496"/>
      <c r="JYR4" s="496"/>
      <c r="JYS4" s="496"/>
      <c r="JYT4" s="496"/>
      <c r="JYU4" s="496"/>
      <c r="JYV4" s="496"/>
      <c r="JYW4" s="496"/>
      <c r="JYX4" s="496"/>
      <c r="JYY4" s="496"/>
      <c r="JYZ4" s="496"/>
      <c r="JZA4" s="496"/>
      <c r="JZB4" s="496"/>
      <c r="JZC4" s="496"/>
      <c r="JZD4" s="496"/>
      <c r="JZE4" s="496"/>
      <c r="JZF4" s="496"/>
      <c r="JZG4" s="496"/>
      <c r="JZH4" s="496"/>
      <c r="JZI4" s="496"/>
      <c r="JZJ4" s="496"/>
      <c r="JZK4" s="496"/>
      <c r="JZL4" s="496"/>
      <c r="JZM4" s="496"/>
      <c r="JZN4" s="496"/>
      <c r="JZO4" s="496"/>
      <c r="JZP4" s="496"/>
      <c r="JZQ4" s="496"/>
      <c r="JZR4" s="496"/>
      <c r="JZS4" s="496"/>
      <c r="JZT4" s="496"/>
      <c r="JZU4" s="496"/>
      <c r="JZV4" s="496"/>
      <c r="JZW4" s="496"/>
      <c r="JZX4" s="496"/>
      <c r="JZY4" s="496"/>
      <c r="JZZ4" s="496"/>
      <c r="KAA4" s="496"/>
      <c r="KAB4" s="496"/>
      <c r="KAC4" s="496"/>
      <c r="KAD4" s="496"/>
      <c r="KAE4" s="496"/>
      <c r="KAF4" s="496"/>
      <c r="KAG4" s="496"/>
      <c r="KAH4" s="496"/>
      <c r="KAI4" s="496"/>
      <c r="KAJ4" s="496"/>
      <c r="KAK4" s="496"/>
      <c r="KAL4" s="496"/>
      <c r="KAM4" s="496"/>
      <c r="KAN4" s="496"/>
      <c r="KAO4" s="496"/>
      <c r="KAP4" s="496"/>
      <c r="KAQ4" s="496"/>
      <c r="KAR4" s="496"/>
      <c r="KAS4" s="496"/>
      <c r="KAT4" s="496"/>
      <c r="KAU4" s="496"/>
      <c r="KAV4" s="496"/>
      <c r="KAW4" s="496"/>
      <c r="KAX4" s="496"/>
      <c r="KAY4" s="496"/>
      <c r="KAZ4" s="496"/>
      <c r="KBA4" s="496"/>
      <c r="KBB4" s="496"/>
      <c r="KBC4" s="496"/>
      <c r="KBD4" s="496"/>
      <c r="KBE4" s="496"/>
      <c r="KBF4" s="496"/>
      <c r="KBG4" s="496"/>
      <c r="KBH4" s="496"/>
      <c r="KBI4" s="496"/>
      <c r="KBJ4" s="496"/>
      <c r="KBK4" s="496"/>
      <c r="KBL4" s="496"/>
      <c r="KBM4" s="496"/>
      <c r="KBN4" s="496"/>
      <c r="KBO4" s="496"/>
      <c r="KBP4" s="496"/>
      <c r="KBQ4" s="496"/>
      <c r="KBR4" s="496"/>
      <c r="KBS4" s="496"/>
      <c r="KBT4" s="496"/>
      <c r="KBU4" s="496"/>
      <c r="KBV4" s="496"/>
      <c r="KBW4" s="496"/>
      <c r="KBX4" s="496"/>
      <c r="KBY4" s="496"/>
      <c r="KBZ4" s="496"/>
      <c r="KCA4" s="496"/>
      <c r="KCB4" s="496"/>
      <c r="KCC4" s="496"/>
      <c r="KCD4" s="496"/>
      <c r="KCE4" s="496"/>
      <c r="KCF4" s="496"/>
      <c r="KCG4" s="496"/>
      <c r="KCH4" s="496"/>
      <c r="KCI4" s="496"/>
      <c r="KCJ4" s="496"/>
      <c r="KCK4" s="496"/>
      <c r="KCL4" s="496"/>
      <c r="KCM4" s="496"/>
      <c r="KCN4" s="496"/>
      <c r="KCO4" s="496"/>
      <c r="KCP4" s="496"/>
      <c r="KCQ4" s="496"/>
      <c r="KCR4" s="496"/>
      <c r="KCS4" s="496"/>
      <c r="KCT4" s="496"/>
      <c r="KCU4" s="496"/>
      <c r="KCV4" s="496"/>
      <c r="KCW4" s="496"/>
      <c r="KCX4" s="496"/>
      <c r="KCY4" s="496"/>
      <c r="KCZ4" s="496"/>
      <c r="KDA4" s="496"/>
      <c r="KDB4" s="496"/>
      <c r="KDC4" s="496"/>
      <c r="KDD4" s="496"/>
      <c r="KDE4" s="496"/>
      <c r="KDF4" s="496"/>
      <c r="KDG4" s="496"/>
      <c r="KDH4" s="496"/>
      <c r="KDI4" s="496"/>
      <c r="KDJ4" s="496"/>
      <c r="KDK4" s="496"/>
      <c r="KDL4" s="496"/>
      <c r="KDM4" s="496"/>
      <c r="KDN4" s="496"/>
      <c r="KDO4" s="496"/>
      <c r="KDP4" s="496"/>
      <c r="KDQ4" s="496"/>
      <c r="KDR4" s="496"/>
      <c r="KDS4" s="496"/>
      <c r="KDT4" s="496"/>
      <c r="KDU4" s="496"/>
      <c r="KDV4" s="496"/>
      <c r="KDW4" s="496"/>
      <c r="KDX4" s="496"/>
      <c r="KDY4" s="496"/>
      <c r="KDZ4" s="496"/>
      <c r="KEA4" s="496"/>
      <c r="KEB4" s="496"/>
      <c r="KEC4" s="496"/>
      <c r="KED4" s="496"/>
      <c r="KEE4" s="496"/>
      <c r="KEF4" s="496"/>
      <c r="KEG4" s="496"/>
      <c r="KEH4" s="496"/>
      <c r="KEI4" s="496"/>
      <c r="KEJ4" s="496"/>
      <c r="KEK4" s="496"/>
      <c r="KEL4" s="496"/>
      <c r="KEM4" s="496"/>
      <c r="KEN4" s="496"/>
      <c r="KEO4" s="496"/>
      <c r="KEP4" s="496"/>
      <c r="KEQ4" s="496"/>
      <c r="KER4" s="496"/>
      <c r="KES4" s="496"/>
      <c r="KET4" s="496"/>
      <c r="KEU4" s="496"/>
      <c r="KEV4" s="496"/>
      <c r="KEW4" s="496"/>
      <c r="KEX4" s="496"/>
      <c r="KEY4" s="496"/>
      <c r="KEZ4" s="496"/>
      <c r="KFA4" s="496"/>
      <c r="KFB4" s="496"/>
      <c r="KFC4" s="496"/>
      <c r="KFD4" s="496"/>
      <c r="KFE4" s="496"/>
      <c r="KFF4" s="496"/>
      <c r="KFG4" s="496"/>
      <c r="KFH4" s="496"/>
      <c r="KFI4" s="496"/>
      <c r="KFJ4" s="496"/>
      <c r="KFK4" s="496"/>
      <c r="KFL4" s="496"/>
      <c r="KFM4" s="496"/>
      <c r="KFN4" s="496"/>
      <c r="KFO4" s="496"/>
      <c r="KFP4" s="496"/>
      <c r="KFQ4" s="496"/>
      <c r="KFR4" s="496"/>
      <c r="KFS4" s="496"/>
      <c r="KFT4" s="496"/>
      <c r="KFU4" s="496"/>
      <c r="KFV4" s="496"/>
      <c r="KFW4" s="496"/>
      <c r="KFX4" s="496"/>
      <c r="KFY4" s="496"/>
      <c r="KFZ4" s="496"/>
      <c r="KGA4" s="496"/>
      <c r="KGB4" s="496"/>
      <c r="KGC4" s="496"/>
      <c r="KGD4" s="496"/>
      <c r="KGE4" s="496"/>
      <c r="KGF4" s="496"/>
      <c r="KGG4" s="496"/>
      <c r="KGH4" s="496"/>
      <c r="KGI4" s="496"/>
      <c r="KGJ4" s="496"/>
      <c r="KGK4" s="496"/>
      <c r="KGL4" s="496"/>
      <c r="KGM4" s="496"/>
      <c r="KGN4" s="496"/>
      <c r="KGO4" s="496"/>
      <c r="KGP4" s="496"/>
      <c r="KGQ4" s="496"/>
      <c r="KGR4" s="496"/>
      <c r="KGS4" s="496"/>
      <c r="KGT4" s="496"/>
      <c r="KGU4" s="496"/>
      <c r="KGV4" s="496"/>
      <c r="KGW4" s="496"/>
      <c r="KGX4" s="496"/>
      <c r="KGY4" s="496"/>
      <c r="KGZ4" s="496"/>
      <c r="KHA4" s="496"/>
      <c r="KHB4" s="496"/>
      <c r="KHC4" s="496"/>
      <c r="KHD4" s="496"/>
      <c r="KHE4" s="496"/>
      <c r="KHF4" s="496"/>
      <c r="KHG4" s="496"/>
      <c r="KHH4" s="496"/>
      <c r="KHI4" s="496"/>
      <c r="KHJ4" s="496"/>
      <c r="KHK4" s="496"/>
      <c r="KHL4" s="496"/>
      <c r="KHM4" s="496"/>
      <c r="KHN4" s="496"/>
      <c r="KHO4" s="496"/>
      <c r="KHP4" s="496"/>
      <c r="KHQ4" s="496"/>
      <c r="KHR4" s="496"/>
      <c r="KHS4" s="496"/>
      <c r="KHT4" s="496"/>
      <c r="KHU4" s="496"/>
      <c r="KHV4" s="496"/>
      <c r="KHW4" s="496"/>
      <c r="KHX4" s="496"/>
      <c r="KHY4" s="496"/>
      <c r="KHZ4" s="496"/>
      <c r="KIA4" s="496"/>
      <c r="KIB4" s="496"/>
      <c r="KIC4" s="496"/>
      <c r="KID4" s="496"/>
      <c r="KIE4" s="496"/>
      <c r="KIF4" s="496"/>
      <c r="KIG4" s="496"/>
      <c r="KIH4" s="496"/>
      <c r="KII4" s="496"/>
      <c r="KIJ4" s="496"/>
      <c r="KIK4" s="496"/>
      <c r="KIL4" s="496"/>
      <c r="KIM4" s="496"/>
      <c r="KIN4" s="496"/>
      <c r="KIO4" s="496"/>
      <c r="KIP4" s="496"/>
      <c r="KIQ4" s="496"/>
      <c r="KIR4" s="496"/>
      <c r="KIS4" s="496"/>
      <c r="KIT4" s="496"/>
      <c r="KIU4" s="496"/>
      <c r="KIV4" s="496"/>
      <c r="KIW4" s="496"/>
      <c r="KIX4" s="496"/>
      <c r="KIY4" s="496"/>
      <c r="KIZ4" s="496"/>
      <c r="KJA4" s="496"/>
      <c r="KJB4" s="496"/>
      <c r="KJC4" s="496"/>
      <c r="KJD4" s="496"/>
      <c r="KJE4" s="496"/>
      <c r="KJF4" s="496"/>
      <c r="KJG4" s="496"/>
      <c r="KJH4" s="496"/>
      <c r="KJI4" s="496"/>
      <c r="KJJ4" s="496"/>
      <c r="KJK4" s="496"/>
      <c r="KJL4" s="496"/>
      <c r="KJM4" s="496"/>
      <c r="KJN4" s="496"/>
      <c r="KJO4" s="496"/>
      <c r="KJP4" s="496"/>
      <c r="KJQ4" s="496"/>
      <c r="KJR4" s="496"/>
      <c r="KJS4" s="496"/>
      <c r="KJT4" s="496"/>
      <c r="KJU4" s="496"/>
      <c r="KJV4" s="496"/>
      <c r="KJW4" s="496"/>
      <c r="KJX4" s="496"/>
      <c r="KJY4" s="496"/>
      <c r="KJZ4" s="496"/>
      <c r="KKA4" s="496"/>
      <c r="KKB4" s="496"/>
      <c r="KKC4" s="496"/>
      <c r="KKD4" s="496"/>
      <c r="KKE4" s="496"/>
      <c r="KKF4" s="496"/>
      <c r="KKG4" s="496"/>
      <c r="KKH4" s="496"/>
      <c r="KKI4" s="496"/>
      <c r="KKJ4" s="496"/>
      <c r="KKK4" s="496"/>
      <c r="KKL4" s="496"/>
      <c r="KKM4" s="496"/>
      <c r="KKN4" s="496"/>
      <c r="KKO4" s="496"/>
      <c r="KKP4" s="496"/>
      <c r="KKQ4" s="496"/>
      <c r="KKR4" s="496"/>
      <c r="KKS4" s="496"/>
      <c r="KKT4" s="496"/>
      <c r="KKU4" s="496"/>
      <c r="KKV4" s="496"/>
      <c r="KKW4" s="496"/>
      <c r="KKX4" s="496"/>
      <c r="KKY4" s="496"/>
      <c r="KKZ4" s="496"/>
      <c r="KLA4" s="496"/>
      <c r="KLB4" s="496"/>
      <c r="KLC4" s="496"/>
      <c r="KLD4" s="496"/>
      <c r="KLE4" s="496"/>
      <c r="KLF4" s="496"/>
      <c r="KLG4" s="496"/>
      <c r="KLH4" s="496"/>
      <c r="KLI4" s="496"/>
      <c r="KLJ4" s="496"/>
      <c r="KLK4" s="496"/>
      <c r="KLL4" s="496"/>
      <c r="KLM4" s="496"/>
      <c r="KLN4" s="496"/>
      <c r="KLO4" s="496"/>
      <c r="KLP4" s="496"/>
      <c r="KLQ4" s="496"/>
      <c r="KLR4" s="496"/>
      <c r="KLS4" s="496"/>
      <c r="KLT4" s="496"/>
      <c r="KLU4" s="496"/>
      <c r="KLV4" s="496"/>
      <c r="KLW4" s="496"/>
      <c r="KLX4" s="496"/>
      <c r="KLY4" s="496"/>
      <c r="KLZ4" s="496"/>
      <c r="KMA4" s="496"/>
      <c r="KMB4" s="496"/>
      <c r="KMC4" s="496"/>
      <c r="KMD4" s="496"/>
      <c r="KME4" s="496"/>
      <c r="KMF4" s="496"/>
      <c r="KMG4" s="496"/>
      <c r="KMH4" s="496"/>
      <c r="KMI4" s="496"/>
      <c r="KMJ4" s="496"/>
      <c r="KMK4" s="496"/>
      <c r="KML4" s="496"/>
      <c r="KMM4" s="496"/>
      <c r="KMN4" s="496"/>
      <c r="KMO4" s="496"/>
      <c r="KMP4" s="496"/>
      <c r="KMQ4" s="496"/>
      <c r="KMR4" s="496"/>
      <c r="KMS4" s="496"/>
      <c r="KMT4" s="496"/>
      <c r="KMU4" s="496"/>
      <c r="KMV4" s="496"/>
      <c r="KMW4" s="496"/>
      <c r="KMX4" s="496"/>
      <c r="KMY4" s="496"/>
      <c r="KMZ4" s="496"/>
      <c r="KNA4" s="496"/>
      <c r="KNB4" s="496"/>
      <c r="KNC4" s="496"/>
      <c r="KND4" s="496"/>
      <c r="KNE4" s="496"/>
      <c r="KNF4" s="496"/>
      <c r="KNG4" s="496"/>
      <c r="KNH4" s="496"/>
      <c r="KNI4" s="496"/>
      <c r="KNJ4" s="496"/>
      <c r="KNK4" s="496"/>
      <c r="KNL4" s="496"/>
      <c r="KNM4" s="496"/>
      <c r="KNN4" s="496"/>
      <c r="KNO4" s="496"/>
      <c r="KNP4" s="496"/>
      <c r="KNQ4" s="496"/>
      <c r="KNR4" s="496"/>
      <c r="KNS4" s="496"/>
      <c r="KNT4" s="496"/>
      <c r="KNU4" s="496"/>
      <c r="KNV4" s="496"/>
      <c r="KNW4" s="496"/>
      <c r="KNX4" s="496"/>
      <c r="KNY4" s="496"/>
      <c r="KNZ4" s="496"/>
      <c r="KOA4" s="496"/>
      <c r="KOB4" s="496"/>
      <c r="KOC4" s="496"/>
      <c r="KOD4" s="496"/>
      <c r="KOE4" s="496"/>
      <c r="KOF4" s="496"/>
      <c r="KOG4" s="496"/>
      <c r="KOH4" s="496"/>
      <c r="KOI4" s="496"/>
      <c r="KOJ4" s="496"/>
      <c r="KOK4" s="496"/>
      <c r="KOL4" s="496"/>
      <c r="KOM4" s="496"/>
      <c r="KON4" s="496"/>
      <c r="KOO4" s="496"/>
      <c r="KOP4" s="496"/>
      <c r="KOQ4" s="496"/>
      <c r="KOR4" s="496"/>
      <c r="KOS4" s="496"/>
      <c r="KOT4" s="496"/>
      <c r="KOU4" s="496"/>
      <c r="KOV4" s="496"/>
      <c r="KOW4" s="496"/>
      <c r="KOX4" s="496"/>
      <c r="KOY4" s="496"/>
      <c r="KOZ4" s="496"/>
      <c r="KPA4" s="496"/>
      <c r="KPB4" s="496"/>
      <c r="KPC4" s="496"/>
      <c r="KPD4" s="496"/>
      <c r="KPE4" s="496"/>
      <c r="KPF4" s="496"/>
      <c r="KPG4" s="496"/>
      <c r="KPH4" s="496"/>
      <c r="KPI4" s="496"/>
      <c r="KPJ4" s="496"/>
      <c r="KPK4" s="496"/>
      <c r="KPL4" s="496"/>
      <c r="KPM4" s="496"/>
      <c r="KPN4" s="496"/>
      <c r="KPO4" s="496"/>
      <c r="KPP4" s="496"/>
      <c r="KPQ4" s="496"/>
      <c r="KPR4" s="496"/>
      <c r="KPS4" s="496"/>
      <c r="KPT4" s="496"/>
      <c r="KPU4" s="496"/>
      <c r="KPV4" s="496"/>
      <c r="KPW4" s="496"/>
      <c r="KPX4" s="496"/>
      <c r="KPY4" s="496"/>
      <c r="KPZ4" s="496"/>
      <c r="KQA4" s="496"/>
      <c r="KQB4" s="496"/>
      <c r="KQC4" s="496"/>
      <c r="KQD4" s="496"/>
      <c r="KQE4" s="496"/>
      <c r="KQF4" s="496"/>
      <c r="KQG4" s="496"/>
      <c r="KQH4" s="496"/>
      <c r="KQI4" s="496"/>
      <c r="KQJ4" s="496"/>
      <c r="KQK4" s="496"/>
      <c r="KQL4" s="496"/>
      <c r="KQM4" s="496"/>
      <c r="KQN4" s="496"/>
      <c r="KQO4" s="496"/>
      <c r="KQP4" s="496"/>
      <c r="KQQ4" s="496"/>
      <c r="KQR4" s="496"/>
      <c r="KQS4" s="496"/>
      <c r="KQT4" s="496"/>
      <c r="KQU4" s="496"/>
      <c r="KQV4" s="496"/>
      <c r="KQW4" s="496"/>
      <c r="KQX4" s="496"/>
      <c r="KQY4" s="496"/>
      <c r="KQZ4" s="496"/>
      <c r="KRA4" s="496"/>
      <c r="KRB4" s="496"/>
      <c r="KRC4" s="496"/>
      <c r="KRD4" s="496"/>
      <c r="KRE4" s="496"/>
      <c r="KRF4" s="496"/>
      <c r="KRG4" s="496"/>
      <c r="KRH4" s="496"/>
      <c r="KRI4" s="496"/>
      <c r="KRJ4" s="496"/>
      <c r="KRK4" s="496"/>
      <c r="KRL4" s="496"/>
      <c r="KRM4" s="496"/>
      <c r="KRN4" s="496"/>
      <c r="KRO4" s="496"/>
      <c r="KRP4" s="496"/>
      <c r="KRQ4" s="496"/>
      <c r="KRR4" s="496"/>
      <c r="KRS4" s="496"/>
      <c r="KRT4" s="496"/>
      <c r="KRU4" s="496"/>
      <c r="KRV4" s="496"/>
      <c r="KRW4" s="496"/>
      <c r="KRX4" s="496"/>
      <c r="KRY4" s="496"/>
      <c r="KRZ4" s="496"/>
      <c r="KSA4" s="496"/>
      <c r="KSB4" s="496"/>
      <c r="KSC4" s="496"/>
      <c r="KSD4" s="496"/>
      <c r="KSE4" s="496"/>
      <c r="KSF4" s="496"/>
      <c r="KSG4" s="496"/>
      <c r="KSH4" s="496"/>
      <c r="KSI4" s="496"/>
      <c r="KSJ4" s="496"/>
      <c r="KSK4" s="496"/>
      <c r="KSL4" s="496"/>
      <c r="KSM4" s="496"/>
      <c r="KSN4" s="496"/>
      <c r="KSO4" s="496"/>
      <c r="KSP4" s="496"/>
      <c r="KSQ4" s="496"/>
      <c r="KSR4" s="496"/>
      <c r="KSS4" s="496"/>
      <c r="KST4" s="496"/>
      <c r="KSU4" s="496"/>
      <c r="KSV4" s="496"/>
      <c r="KSW4" s="496"/>
      <c r="KSX4" s="496"/>
      <c r="KSY4" s="496"/>
      <c r="KSZ4" s="496"/>
      <c r="KTA4" s="496"/>
      <c r="KTB4" s="496"/>
      <c r="KTC4" s="496"/>
      <c r="KTD4" s="496"/>
      <c r="KTE4" s="496"/>
      <c r="KTF4" s="496"/>
      <c r="KTG4" s="496"/>
      <c r="KTH4" s="496"/>
      <c r="KTI4" s="496"/>
      <c r="KTJ4" s="496"/>
      <c r="KTK4" s="496"/>
      <c r="KTL4" s="496"/>
      <c r="KTM4" s="496"/>
      <c r="KTN4" s="496"/>
      <c r="KTO4" s="496"/>
      <c r="KTP4" s="496"/>
      <c r="KTQ4" s="496"/>
      <c r="KTR4" s="496"/>
      <c r="KTS4" s="496"/>
      <c r="KTT4" s="496"/>
      <c r="KTU4" s="496"/>
      <c r="KTV4" s="496"/>
      <c r="KTW4" s="496"/>
      <c r="KTX4" s="496"/>
      <c r="KTY4" s="496"/>
      <c r="KTZ4" s="496"/>
      <c r="KUA4" s="496"/>
      <c r="KUB4" s="496"/>
      <c r="KUC4" s="496"/>
      <c r="KUD4" s="496"/>
      <c r="KUE4" s="496"/>
      <c r="KUF4" s="496"/>
      <c r="KUG4" s="496"/>
      <c r="KUH4" s="496"/>
      <c r="KUI4" s="496"/>
      <c r="KUJ4" s="496"/>
      <c r="KUK4" s="496"/>
      <c r="KUL4" s="496"/>
      <c r="KUM4" s="496"/>
      <c r="KUN4" s="496"/>
      <c r="KUO4" s="496"/>
      <c r="KUP4" s="496"/>
      <c r="KUQ4" s="496"/>
      <c r="KUR4" s="496"/>
      <c r="KUS4" s="496"/>
      <c r="KUT4" s="496"/>
      <c r="KUU4" s="496"/>
      <c r="KUV4" s="496"/>
      <c r="KUW4" s="496"/>
      <c r="KUX4" s="496"/>
      <c r="KUY4" s="496"/>
      <c r="KUZ4" s="496"/>
      <c r="KVA4" s="496"/>
      <c r="KVB4" s="496"/>
      <c r="KVC4" s="496"/>
      <c r="KVD4" s="496"/>
      <c r="KVE4" s="496"/>
      <c r="KVF4" s="496"/>
      <c r="KVG4" s="496"/>
      <c r="KVH4" s="496"/>
      <c r="KVI4" s="496"/>
      <c r="KVJ4" s="496"/>
      <c r="KVK4" s="496"/>
      <c r="KVL4" s="496"/>
      <c r="KVM4" s="496"/>
      <c r="KVN4" s="496"/>
      <c r="KVO4" s="496"/>
      <c r="KVP4" s="496"/>
      <c r="KVQ4" s="496"/>
      <c r="KVR4" s="496"/>
      <c r="KVS4" s="496"/>
      <c r="KVT4" s="496"/>
      <c r="KVU4" s="496"/>
      <c r="KVV4" s="496"/>
      <c r="KVW4" s="496"/>
      <c r="KVX4" s="496"/>
      <c r="KVY4" s="496"/>
      <c r="KVZ4" s="496"/>
      <c r="KWA4" s="496"/>
      <c r="KWB4" s="496"/>
      <c r="KWC4" s="496"/>
      <c r="KWD4" s="496"/>
      <c r="KWE4" s="496"/>
      <c r="KWF4" s="496"/>
      <c r="KWG4" s="496"/>
      <c r="KWH4" s="496"/>
      <c r="KWI4" s="496"/>
      <c r="KWJ4" s="496"/>
      <c r="KWK4" s="496"/>
      <c r="KWL4" s="496"/>
      <c r="KWM4" s="496"/>
      <c r="KWN4" s="496"/>
      <c r="KWO4" s="496"/>
      <c r="KWP4" s="496"/>
      <c r="KWQ4" s="496"/>
      <c r="KWR4" s="496"/>
      <c r="KWS4" s="496"/>
      <c r="KWT4" s="496"/>
      <c r="KWU4" s="496"/>
      <c r="KWV4" s="496"/>
      <c r="KWW4" s="496"/>
      <c r="KWX4" s="496"/>
      <c r="KWY4" s="496"/>
      <c r="KWZ4" s="496"/>
      <c r="KXA4" s="496"/>
      <c r="KXB4" s="496"/>
      <c r="KXC4" s="496"/>
      <c r="KXD4" s="496"/>
      <c r="KXE4" s="496"/>
      <c r="KXF4" s="496"/>
      <c r="KXG4" s="496"/>
      <c r="KXH4" s="496"/>
      <c r="KXI4" s="496"/>
      <c r="KXJ4" s="496"/>
      <c r="KXK4" s="496"/>
      <c r="KXL4" s="496"/>
      <c r="KXM4" s="496"/>
      <c r="KXN4" s="496"/>
      <c r="KXO4" s="496"/>
      <c r="KXP4" s="496"/>
      <c r="KXQ4" s="496"/>
      <c r="KXR4" s="496"/>
      <c r="KXS4" s="496"/>
      <c r="KXT4" s="496"/>
      <c r="KXU4" s="496"/>
      <c r="KXV4" s="496"/>
      <c r="KXW4" s="496"/>
      <c r="KXX4" s="496"/>
      <c r="KXY4" s="496"/>
      <c r="KXZ4" s="496"/>
      <c r="KYA4" s="496"/>
      <c r="KYB4" s="496"/>
      <c r="KYC4" s="496"/>
      <c r="KYD4" s="496"/>
      <c r="KYE4" s="496"/>
      <c r="KYF4" s="496"/>
      <c r="KYG4" s="496"/>
      <c r="KYH4" s="496"/>
      <c r="KYI4" s="496"/>
      <c r="KYJ4" s="496"/>
      <c r="KYK4" s="496"/>
      <c r="KYL4" s="496"/>
      <c r="KYM4" s="496"/>
      <c r="KYN4" s="496"/>
      <c r="KYO4" s="496"/>
      <c r="KYP4" s="496"/>
      <c r="KYQ4" s="496"/>
      <c r="KYR4" s="496"/>
      <c r="KYS4" s="496"/>
      <c r="KYT4" s="496"/>
      <c r="KYU4" s="496"/>
      <c r="KYV4" s="496"/>
      <c r="KYW4" s="496"/>
      <c r="KYX4" s="496"/>
      <c r="KYY4" s="496"/>
      <c r="KYZ4" s="496"/>
      <c r="KZA4" s="496"/>
      <c r="KZB4" s="496"/>
      <c r="KZC4" s="496"/>
      <c r="KZD4" s="496"/>
      <c r="KZE4" s="496"/>
      <c r="KZF4" s="496"/>
      <c r="KZG4" s="496"/>
      <c r="KZH4" s="496"/>
      <c r="KZI4" s="496"/>
      <c r="KZJ4" s="496"/>
      <c r="KZK4" s="496"/>
      <c r="KZL4" s="496"/>
      <c r="KZM4" s="496"/>
      <c r="KZN4" s="496"/>
      <c r="KZO4" s="496"/>
      <c r="KZP4" s="496"/>
      <c r="KZQ4" s="496"/>
      <c r="KZR4" s="496"/>
      <c r="KZS4" s="496"/>
      <c r="KZT4" s="496"/>
      <c r="KZU4" s="496"/>
      <c r="KZV4" s="496"/>
      <c r="KZW4" s="496"/>
      <c r="KZX4" s="496"/>
      <c r="KZY4" s="496"/>
      <c r="KZZ4" s="496"/>
      <c r="LAA4" s="496"/>
      <c r="LAB4" s="496"/>
      <c r="LAC4" s="496"/>
      <c r="LAD4" s="496"/>
      <c r="LAE4" s="496"/>
      <c r="LAF4" s="496"/>
      <c r="LAG4" s="496"/>
      <c r="LAH4" s="496"/>
      <c r="LAI4" s="496"/>
      <c r="LAJ4" s="496"/>
      <c r="LAK4" s="496"/>
      <c r="LAL4" s="496"/>
      <c r="LAM4" s="496"/>
      <c r="LAN4" s="496"/>
      <c r="LAO4" s="496"/>
      <c r="LAP4" s="496"/>
      <c r="LAQ4" s="496"/>
      <c r="LAR4" s="496"/>
      <c r="LAS4" s="496"/>
      <c r="LAT4" s="496"/>
      <c r="LAU4" s="496"/>
      <c r="LAV4" s="496"/>
      <c r="LAW4" s="496"/>
      <c r="LAX4" s="496"/>
      <c r="LAY4" s="496"/>
      <c r="LAZ4" s="496"/>
      <c r="LBA4" s="496"/>
      <c r="LBB4" s="496"/>
      <c r="LBC4" s="496"/>
      <c r="LBD4" s="496"/>
      <c r="LBE4" s="496"/>
      <c r="LBF4" s="496"/>
      <c r="LBG4" s="496"/>
      <c r="LBH4" s="496"/>
      <c r="LBI4" s="496"/>
      <c r="LBJ4" s="496"/>
      <c r="LBK4" s="496"/>
      <c r="LBL4" s="496"/>
      <c r="LBM4" s="496"/>
      <c r="LBN4" s="496"/>
      <c r="LBO4" s="496"/>
      <c r="LBP4" s="496"/>
      <c r="LBQ4" s="496"/>
      <c r="LBR4" s="496"/>
      <c r="LBS4" s="496"/>
      <c r="LBT4" s="496"/>
      <c r="LBU4" s="496"/>
      <c r="LBV4" s="496"/>
      <c r="LBW4" s="496"/>
      <c r="LBX4" s="496"/>
      <c r="LBY4" s="496"/>
      <c r="LBZ4" s="496"/>
      <c r="LCA4" s="496"/>
      <c r="LCB4" s="496"/>
      <c r="LCC4" s="496"/>
      <c r="LCD4" s="496"/>
      <c r="LCE4" s="496"/>
      <c r="LCF4" s="496"/>
      <c r="LCG4" s="496"/>
      <c r="LCH4" s="496"/>
      <c r="LCI4" s="496"/>
      <c r="LCJ4" s="496"/>
      <c r="LCK4" s="496"/>
      <c r="LCL4" s="496"/>
      <c r="LCM4" s="496"/>
      <c r="LCN4" s="496"/>
      <c r="LCO4" s="496"/>
      <c r="LCP4" s="496"/>
      <c r="LCQ4" s="496"/>
      <c r="LCR4" s="496"/>
      <c r="LCS4" s="496"/>
      <c r="LCT4" s="496"/>
      <c r="LCU4" s="496"/>
      <c r="LCV4" s="496"/>
      <c r="LCW4" s="496"/>
      <c r="LCX4" s="496"/>
      <c r="LCY4" s="496"/>
      <c r="LCZ4" s="496"/>
      <c r="LDA4" s="496"/>
      <c r="LDB4" s="496"/>
      <c r="LDC4" s="496"/>
      <c r="LDD4" s="496"/>
      <c r="LDE4" s="496"/>
      <c r="LDF4" s="496"/>
      <c r="LDG4" s="496"/>
      <c r="LDH4" s="496"/>
      <c r="LDI4" s="496"/>
      <c r="LDJ4" s="496"/>
      <c r="LDK4" s="496"/>
      <c r="LDL4" s="496"/>
      <c r="LDM4" s="496"/>
      <c r="LDN4" s="496"/>
      <c r="LDO4" s="496"/>
      <c r="LDP4" s="496"/>
      <c r="LDQ4" s="496"/>
      <c r="LDR4" s="496"/>
      <c r="LDS4" s="496"/>
      <c r="LDT4" s="496"/>
      <c r="LDU4" s="496"/>
      <c r="LDV4" s="496"/>
      <c r="LDW4" s="496"/>
      <c r="LDX4" s="496"/>
      <c r="LDY4" s="496"/>
      <c r="LDZ4" s="496"/>
      <c r="LEA4" s="496"/>
      <c r="LEB4" s="496"/>
      <c r="LEC4" s="496"/>
      <c r="LED4" s="496"/>
      <c r="LEE4" s="496"/>
      <c r="LEF4" s="496"/>
      <c r="LEG4" s="496"/>
      <c r="LEH4" s="496"/>
      <c r="LEI4" s="496"/>
      <c r="LEJ4" s="496"/>
      <c r="LEK4" s="496"/>
      <c r="LEL4" s="496"/>
      <c r="LEM4" s="496"/>
      <c r="LEN4" s="496"/>
      <c r="LEO4" s="496"/>
      <c r="LEP4" s="496"/>
      <c r="LEQ4" s="496"/>
      <c r="LER4" s="496"/>
      <c r="LES4" s="496"/>
      <c r="LET4" s="496"/>
      <c r="LEU4" s="496"/>
      <c r="LEV4" s="496"/>
      <c r="LEW4" s="496"/>
      <c r="LEX4" s="496"/>
      <c r="LEY4" s="496"/>
      <c r="LEZ4" s="496"/>
      <c r="LFA4" s="496"/>
      <c r="LFB4" s="496"/>
      <c r="LFC4" s="496"/>
      <c r="LFD4" s="496"/>
      <c r="LFE4" s="496"/>
      <c r="LFF4" s="496"/>
      <c r="LFG4" s="496"/>
      <c r="LFH4" s="496"/>
      <c r="LFI4" s="496"/>
      <c r="LFJ4" s="496"/>
      <c r="LFK4" s="496"/>
      <c r="LFL4" s="496"/>
      <c r="LFM4" s="496"/>
      <c r="LFN4" s="496"/>
      <c r="LFO4" s="496"/>
      <c r="LFP4" s="496"/>
      <c r="LFQ4" s="496"/>
      <c r="LFR4" s="496"/>
      <c r="LFS4" s="496"/>
      <c r="LFT4" s="496"/>
      <c r="LFU4" s="496"/>
      <c r="LFV4" s="496"/>
      <c r="LFW4" s="496"/>
      <c r="LFX4" s="496"/>
      <c r="LFY4" s="496"/>
      <c r="LFZ4" s="496"/>
      <c r="LGA4" s="496"/>
      <c r="LGB4" s="496"/>
      <c r="LGC4" s="496"/>
      <c r="LGD4" s="496"/>
      <c r="LGE4" s="496"/>
      <c r="LGF4" s="496"/>
      <c r="LGG4" s="496"/>
      <c r="LGH4" s="496"/>
      <c r="LGI4" s="496"/>
      <c r="LGJ4" s="496"/>
      <c r="LGK4" s="496"/>
      <c r="LGL4" s="496"/>
      <c r="LGM4" s="496"/>
      <c r="LGN4" s="496"/>
      <c r="LGO4" s="496"/>
      <c r="LGP4" s="496"/>
      <c r="LGQ4" s="496"/>
      <c r="LGR4" s="496"/>
      <c r="LGS4" s="496"/>
      <c r="LGT4" s="496"/>
      <c r="LGU4" s="496"/>
      <c r="LGV4" s="496"/>
      <c r="LGW4" s="496"/>
      <c r="LGX4" s="496"/>
      <c r="LGY4" s="496"/>
      <c r="LGZ4" s="496"/>
      <c r="LHA4" s="496"/>
      <c r="LHB4" s="496"/>
      <c r="LHC4" s="496"/>
      <c r="LHD4" s="496"/>
      <c r="LHE4" s="496"/>
      <c r="LHF4" s="496"/>
      <c r="LHG4" s="496"/>
      <c r="LHH4" s="496"/>
      <c r="LHI4" s="496"/>
      <c r="LHJ4" s="496"/>
      <c r="LHK4" s="496"/>
      <c r="LHL4" s="496"/>
      <c r="LHM4" s="496"/>
      <c r="LHN4" s="496"/>
      <c r="LHO4" s="496"/>
      <c r="LHP4" s="496"/>
      <c r="LHQ4" s="496"/>
      <c r="LHR4" s="496"/>
      <c r="LHS4" s="496"/>
      <c r="LHT4" s="496"/>
      <c r="LHU4" s="496"/>
      <c r="LHV4" s="496"/>
      <c r="LHW4" s="496"/>
      <c r="LHX4" s="496"/>
      <c r="LHY4" s="496"/>
      <c r="LHZ4" s="496"/>
      <c r="LIA4" s="496"/>
      <c r="LIB4" s="496"/>
      <c r="LIC4" s="496"/>
      <c r="LID4" s="496"/>
      <c r="LIE4" s="496"/>
      <c r="LIF4" s="496"/>
      <c r="LIG4" s="496"/>
      <c r="LIH4" s="496"/>
      <c r="LII4" s="496"/>
      <c r="LIJ4" s="496"/>
      <c r="LIK4" s="496"/>
      <c r="LIL4" s="496"/>
      <c r="LIM4" s="496"/>
      <c r="LIN4" s="496"/>
      <c r="LIO4" s="496"/>
      <c r="LIP4" s="496"/>
      <c r="LIQ4" s="496"/>
      <c r="LIR4" s="496"/>
      <c r="LIS4" s="496"/>
      <c r="LIT4" s="496"/>
      <c r="LIU4" s="496"/>
      <c r="LIV4" s="496"/>
      <c r="LIW4" s="496"/>
      <c r="LIX4" s="496"/>
      <c r="LIY4" s="496"/>
      <c r="LIZ4" s="496"/>
      <c r="LJA4" s="496"/>
      <c r="LJB4" s="496"/>
      <c r="LJC4" s="496"/>
      <c r="LJD4" s="496"/>
      <c r="LJE4" s="496"/>
      <c r="LJF4" s="496"/>
      <c r="LJG4" s="496"/>
      <c r="LJH4" s="496"/>
      <c r="LJI4" s="496"/>
      <c r="LJJ4" s="496"/>
      <c r="LJK4" s="496"/>
      <c r="LJL4" s="496"/>
      <c r="LJM4" s="496"/>
      <c r="LJN4" s="496"/>
      <c r="LJO4" s="496"/>
      <c r="LJP4" s="496"/>
      <c r="LJQ4" s="496"/>
      <c r="LJR4" s="496"/>
      <c r="LJS4" s="496"/>
      <c r="LJT4" s="496"/>
      <c r="LJU4" s="496"/>
      <c r="LJV4" s="496"/>
      <c r="LJW4" s="496"/>
      <c r="LJX4" s="496"/>
      <c r="LJY4" s="496"/>
      <c r="LJZ4" s="496"/>
      <c r="LKA4" s="496"/>
      <c r="LKB4" s="496"/>
      <c r="LKC4" s="496"/>
      <c r="LKD4" s="496"/>
      <c r="LKE4" s="496"/>
      <c r="LKF4" s="496"/>
      <c r="LKG4" s="496"/>
      <c r="LKH4" s="496"/>
      <c r="LKI4" s="496"/>
      <c r="LKJ4" s="496"/>
      <c r="LKK4" s="496"/>
      <c r="LKL4" s="496"/>
      <c r="LKM4" s="496"/>
      <c r="LKN4" s="496"/>
      <c r="LKO4" s="496"/>
      <c r="LKP4" s="496"/>
      <c r="LKQ4" s="496"/>
      <c r="LKR4" s="496"/>
      <c r="LKS4" s="496"/>
      <c r="LKT4" s="496"/>
      <c r="LKU4" s="496"/>
      <c r="LKV4" s="496"/>
      <c r="LKW4" s="496"/>
      <c r="LKX4" s="496"/>
      <c r="LKY4" s="496"/>
      <c r="LKZ4" s="496"/>
      <c r="LLA4" s="496"/>
      <c r="LLB4" s="496"/>
      <c r="LLC4" s="496"/>
      <c r="LLD4" s="496"/>
      <c r="LLE4" s="496"/>
      <c r="LLF4" s="496"/>
      <c r="LLG4" s="496"/>
      <c r="LLH4" s="496"/>
      <c r="LLI4" s="496"/>
      <c r="LLJ4" s="496"/>
      <c r="LLK4" s="496"/>
      <c r="LLL4" s="496"/>
      <c r="LLM4" s="496"/>
      <c r="LLN4" s="496"/>
      <c r="LLO4" s="496"/>
      <c r="LLP4" s="496"/>
      <c r="LLQ4" s="496"/>
      <c r="LLR4" s="496"/>
      <c r="LLS4" s="496"/>
      <c r="LLT4" s="496"/>
      <c r="LLU4" s="496"/>
      <c r="LLV4" s="496"/>
      <c r="LLW4" s="496"/>
      <c r="LLX4" s="496"/>
      <c r="LLY4" s="496"/>
      <c r="LLZ4" s="496"/>
      <c r="LMA4" s="496"/>
      <c r="LMB4" s="496"/>
      <c r="LMC4" s="496"/>
      <c r="LMD4" s="496"/>
      <c r="LME4" s="496"/>
      <c r="LMF4" s="496"/>
      <c r="LMG4" s="496"/>
      <c r="LMH4" s="496"/>
      <c r="LMI4" s="496"/>
      <c r="LMJ4" s="496"/>
      <c r="LMK4" s="496"/>
      <c r="LML4" s="496"/>
      <c r="LMM4" s="496"/>
      <c r="LMN4" s="496"/>
      <c r="LMO4" s="496"/>
      <c r="LMP4" s="496"/>
      <c r="LMQ4" s="496"/>
      <c r="LMR4" s="496"/>
      <c r="LMS4" s="496"/>
      <c r="LMT4" s="496"/>
      <c r="LMU4" s="496"/>
      <c r="LMV4" s="496"/>
      <c r="LMW4" s="496"/>
      <c r="LMX4" s="496"/>
      <c r="LMY4" s="496"/>
      <c r="LMZ4" s="496"/>
      <c r="LNA4" s="496"/>
      <c r="LNB4" s="496"/>
      <c r="LNC4" s="496"/>
      <c r="LND4" s="496"/>
      <c r="LNE4" s="496"/>
      <c r="LNF4" s="496"/>
      <c r="LNG4" s="496"/>
      <c r="LNH4" s="496"/>
      <c r="LNI4" s="496"/>
      <c r="LNJ4" s="496"/>
      <c r="LNK4" s="496"/>
      <c r="LNL4" s="496"/>
      <c r="LNM4" s="496"/>
      <c r="LNN4" s="496"/>
      <c r="LNO4" s="496"/>
      <c r="LNP4" s="496"/>
      <c r="LNQ4" s="496"/>
      <c r="LNR4" s="496"/>
      <c r="LNS4" s="496"/>
      <c r="LNT4" s="496"/>
      <c r="LNU4" s="496"/>
      <c r="LNV4" s="496"/>
      <c r="LNW4" s="496"/>
      <c r="LNX4" s="496"/>
      <c r="LNY4" s="496"/>
      <c r="LNZ4" s="496"/>
      <c r="LOA4" s="496"/>
      <c r="LOB4" s="496"/>
      <c r="LOC4" s="496"/>
      <c r="LOD4" s="496"/>
      <c r="LOE4" s="496"/>
      <c r="LOF4" s="496"/>
      <c r="LOG4" s="496"/>
      <c r="LOH4" s="496"/>
      <c r="LOI4" s="496"/>
      <c r="LOJ4" s="496"/>
      <c r="LOK4" s="496"/>
      <c r="LOL4" s="496"/>
      <c r="LOM4" s="496"/>
      <c r="LON4" s="496"/>
      <c r="LOO4" s="496"/>
      <c r="LOP4" s="496"/>
      <c r="LOQ4" s="496"/>
      <c r="LOR4" s="496"/>
      <c r="LOS4" s="496"/>
      <c r="LOT4" s="496"/>
      <c r="LOU4" s="496"/>
      <c r="LOV4" s="496"/>
      <c r="LOW4" s="496"/>
      <c r="LOX4" s="496"/>
      <c r="LOY4" s="496"/>
      <c r="LOZ4" s="496"/>
      <c r="LPA4" s="496"/>
      <c r="LPB4" s="496"/>
      <c r="LPC4" s="496"/>
      <c r="LPD4" s="496"/>
      <c r="LPE4" s="496"/>
      <c r="LPF4" s="496"/>
      <c r="LPG4" s="496"/>
      <c r="LPH4" s="496"/>
      <c r="LPI4" s="496"/>
      <c r="LPJ4" s="496"/>
      <c r="LPK4" s="496"/>
      <c r="LPL4" s="496"/>
      <c r="LPM4" s="496"/>
      <c r="LPN4" s="496"/>
      <c r="LPO4" s="496"/>
      <c r="LPP4" s="496"/>
      <c r="LPQ4" s="496"/>
      <c r="LPR4" s="496"/>
      <c r="LPS4" s="496"/>
      <c r="LPT4" s="496"/>
      <c r="LPU4" s="496"/>
      <c r="LPV4" s="496"/>
      <c r="LPW4" s="496"/>
      <c r="LPX4" s="496"/>
      <c r="LPY4" s="496"/>
      <c r="LPZ4" s="496"/>
      <c r="LQA4" s="496"/>
      <c r="LQB4" s="496"/>
      <c r="LQC4" s="496"/>
      <c r="LQD4" s="496"/>
      <c r="LQE4" s="496"/>
      <c r="LQF4" s="496"/>
      <c r="LQG4" s="496"/>
      <c r="LQH4" s="496"/>
      <c r="LQI4" s="496"/>
      <c r="LQJ4" s="496"/>
      <c r="LQK4" s="496"/>
      <c r="LQL4" s="496"/>
      <c r="LQM4" s="496"/>
      <c r="LQN4" s="496"/>
      <c r="LQO4" s="496"/>
      <c r="LQP4" s="496"/>
      <c r="LQQ4" s="496"/>
      <c r="LQR4" s="496"/>
      <c r="LQS4" s="496"/>
      <c r="LQT4" s="496"/>
      <c r="LQU4" s="496"/>
      <c r="LQV4" s="496"/>
      <c r="LQW4" s="496"/>
      <c r="LQX4" s="496"/>
      <c r="LQY4" s="496"/>
      <c r="LQZ4" s="496"/>
      <c r="LRA4" s="496"/>
      <c r="LRB4" s="496"/>
      <c r="LRC4" s="496"/>
      <c r="LRD4" s="496"/>
      <c r="LRE4" s="496"/>
      <c r="LRF4" s="496"/>
      <c r="LRG4" s="496"/>
      <c r="LRH4" s="496"/>
      <c r="LRI4" s="496"/>
      <c r="LRJ4" s="496"/>
      <c r="LRK4" s="496"/>
      <c r="LRL4" s="496"/>
      <c r="LRM4" s="496"/>
      <c r="LRN4" s="496"/>
      <c r="LRO4" s="496"/>
      <c r="LRP4" s="496"/>
      <c r="LRQ4" s="496"/>
      <c r="LRR4" s="496"/>
      <c r="LRS4" s="496"/>
      <c r="LRT4" s="496"/>
      <c r="LRU4" s="496"/>
      <c r="LRV4" s="496"/>
      <c r="LRW4" s="496"/>
      <c r="LRX4" s="496"/>
      <c r="LRY4" s="496"/>
      <c r="LRZ4" s="496"/>
      <c r="LSA4" s="496"/>
      <c r="LSB4" s="496"/>
      <c r="LSC4" s="496"/>
      <c r="LSD4" s="496"/>
      <c r="LSE4" s="496"/>
      <c r="LSF4" s="496"/>
      <c r="LSG4" s="496"/>
      <c r="LSH4" s="496"/>
      <c r="LSI4" s="496"/>
      <c r="LSJ4" s="496"/>
      <c r="LSK4" s="496"/>
      <c r="LSL4" s="496"/>
      <c r="LSM4" s="496"/>
      <c r="LSN4" s="496"/>
      <c r="LSO4" s="496"/>
      <c r="LSP4" s="496"/>
      <c r="LSQ4" s="496"/>
      <c r="LSR4" s="496"/>
      <c r="LSS4" s="496"/>
      <c r="LST4" s="496"/>
      <c r="LSU4" s="496"/>
      <c r="LSV4" s="496"/>
      <c r="LSW4" s="496"/>
      <c r="LSX4" s="496"/>
      <c r="LSY4" s="496"/>
      <c r="LSZ4" s="496"/>
      <c r="LTA4" s="496"/>
      <c r="LTB4" s="496"/>
      <c r="LTC4" s="496"/>
      <c r="LTD4" s="496"/>
      <c r="LTE4" s="496"/>
      <c r="LTF4" s="496"/>
      <c r="LTG4" s="496"/>
      <c r="LTH4" s="496"/>
      <c r="LTI4" s="496"/>
      <c r="LTJ4" s="496"/>
      <c r="LTK4" s="496"/>
      <c r="LTL4" s="496"/>
      <c r="LTM4" s="496"/>
      <c r="LTN4" s="496"/>
      <c r="LTO4" s="496"/>
      <c r="LTP4" s="496"/>
      <c r="LTQ4" s="496"/>
      <c r="LTR4" s="496"/>
      <c r="LTS4" s="496"/>
      <c r="LTT4" s="496"/>
      <c r="LTU4" s="496"/>
      <c r="LTV4" s="496"/>
      <c r="LTW4" s="496"/>
      <c r="LTX4" s="496"/>
      <c r="LTY4" s="496"/>
      <c r="LTZ4" s="496"/>
      <c r="LUA4" s="496"/>
      <c r="LUB4" s="496"/>
      <c r="LUC4" s="496"/>
      <c r="LUD4" s="496"/>
      <c r="LUE4" s="496"/>
      <c r="LUF4" s="496"/>
      <c r="LUG4" s="496"/>
      <c r="LUH4" s="496"/>
      <c r="LUI4" s="496"/>
      <c r="LUJ4" s="496"/>
      <c r="LUK4" s="496"/>
      <c r="LUL4" s="496"/>
      <c r="LUM4" s="496"/>
      <c r="LUN4" s="496"/>
      <c r="LUO4" s="496"/>
      <c r="LUP4" s="496"/>
      <c r="LUQ4" s="496"/>
      <c r="LUR4" s="496"/>
      <c r="LUS4" s="496"/>
      <c r="LUT4" s="496"/>
      <c r="LUU4" s="496"/>
      <c r="LUV4" s="496"/>
      <c r="LUW4" s="496"/>
      <c r="LUX4" s="496"/>
      <c r="LUY4" s="496"/>
      <c r="LUZ4" s="496"/>
      <c r="LVA4" s="496"/>
      <c r="LVB4" s="496"/>
      <c r="LVC4" s="496"/>
      <c r="LVD4" s="496"/>
      <c r="LVE4" s="496"/>
      <c r="LVF4" s="496"/>
      <c r="LVG4" s="496"/>
      <c r="LVH4" s="496"/>
      <c r="LVI4" s="496"/>
      <c r="LVJ4" s="496"/>
      <c r="LVK4" s="496"/>
      <c r="LVL4" s="496"/>
      <c r="LVM4" s="496"/>
      <c r="LVN4" s="496"/>
      <c r="LVO4" s="496"/>
      <c r="LVP4" s="496"/>
      <c r="LVQ4" s="496"/>
      <c r="LVR4" s="496"/>
      <c r="LVS4" s="496"/>
      <c r="LVT4" s="496"/>
      <c r="LVU4" s="496"/>
      <c r="LVV4" s="496"/>
      <c r="LVW4" s="496"/>
      <c r="LVX4" s="496"/>
      <c r="LVY4" s="496"/>
      <c r="LVZ4" s="496"/>
      <c r="LWA4" s="496"/>
      <c r="LWB4" s="496"/>
      <c r="LWC4" s="496"/>
      <c r="LWD4" s="496"/>
      <c r="LWE4" s="496"/>
      <c r="LWF4" s="496"/>
      <c r="LWG4" s="496"/>
      <c r="LWH4" s="496"/>
      <c r="LWI4" s="496"/>
      <c r="LWJ4" s="496"/>
      <c r="LWK4" s="496"/>
      <c r="LWL4" s="496"/>
      <c r="LWM4" s="496"/>
      <c r="LWN4" s="496"/>
      <c r="LWO4" s="496"/>
      <c r="LWP4" s="496"/>
      <c r="LWQ4" s="496"/>
      <c r="LWR4" s="496"/>
      <c r="LWS4" s="496"/>
      <c r="LWT4" s="496"/>
      <c r="LWU4" s="496"/>
      <c r="LWV4" s="496"/>
      <c r="LWW4" s="496"/>
      <c r="LWX4" s="496"/>
      <c r="LWY4" s="496"/>
      <c r="LWZ4" s="496"/>
      <c r="LXA4" s="496"/>
      <c r="LXB4" s="496"/>
      <c r="LXC4" s="496"/>
      <c r="LXD4" s="496"/>
      <c r="LXE4" s="496"/>
      <c r="LXF4" s="496"/>
      <c r="LXG4" s="496"/>
      <c r="LXH4" s="496"/>
      <c r="LXI4" s="496"/>
      <c r="LXJ4" s="496"/>
      <c r="LXK4" s="496"/>
      <c r="LXL4" s="496"/>
      <c r="LXM4" s="496"/>
      <c r="LXN4" s="496"/>
      <c r="LXO4" s="496"/>
      <c r="LXP4" s="496"/>
      <c r="LXQ4" s="496"/>
      <c r="LXR4" s="496"/>
      <c r="LXS4" s="496"/>
      <c r="LXT4" s="496"/>
      <c r="LXU4" s="496"/>
      <c r="LXV4" s="496"/>
      <c r="LXW4" s="496"/>
      <c r="LXX4" s="496"/>
      <c r="LXY4" s="496"/>
      <c r="LXZ4" s="496"/>
      <c r="LYA4" s="496"/>
      <c r="LYB4" s="496"/>
      <c r="LYC4" s="496"/>
      <c r="LYD4" s="496"/>
      <c r="LYE4" s="496"/>
      <c r="LYF4" s="496"/>
      <c r="LYG4" s="496"/>
      <c r="LYH4" s="496"/>
      <c r="LYI4" s="496"/>
      <c r="LYJ4" s="496"/>
      <c r="LYK4" s="496"/>
      <c r="LYL4" s="496"/>
      <c r="LYM4" s="496"/>
      <c r="LYN4" s="496"/>
      <c r="LYO4" s="496"/>
      <c r="LYP4" s="496"/>
      <c r="LYQ4" s="496"/>
      <c r="LYR4" s="496"/>
      <c r="LYS4" s="496"/>
      <c r="LYT4" s="496"/>
      <c r="LYU4" s="496"/>
      <c r="LYV4" s="496"/>
      <c r="LYW4" s="496"/>
      <c r="LYX4" s="496"/>
      <c r="LYY4" s="496"/>
      <c r="LYZ4" s="496"/>
      <c r="LZA4" s="496"/>
      <c r="LZB4" s="496"/>
      <c r="LZC4" s="496"/>
      <c r="LZD4" s="496"/>
      <c r="LZE4" s="496"/>
      <c r="LZF4" s="496"/>
      <c r="LZG4" s="496"/>
      <c r="LZH4" s="496"/>
      <c r="LZI4" s="496"/>
      <c r="LZJ4" s="496"/>
      <c r="LZK4" s="496"/>
      <c r="LZL4" s="496"/>
      <c r="LZM4" s="496"/>
      <c r="LZN4" s="496"/>
      <c r="LZO4" s="496"/>
      <c r="LZP4" s="496"/>
      <c r="LZQ4" s="496"/>
      <c r="LZR4" s="496"/>
      <c r="LZS4" s="496"/>
      <c r="LZT4" s="496"/>
      <c r="LZU4" s="496"/>
      <c r="LZV4" s="496"/>
      <c r="LZW4" s="496"/>
      <c r="LZX4" s="496"/>
      <c r="LZY4" s="496"/>
      <c r="LZZ4" s="496"/>
      <c r="MAA4" s="496"/>
      <c r="MAB4" s="496"/>
      <c r="MAC4" s="496"/>
      <c r="MAD4" s="496"/>
      <c r="MAE4" s="496"/>
      <c r="MAF4" s="496"/>
      <c r="MAG4" s="496"/>
      <c r="MAH4" s="496"/>
      <c r="MAI4" s="496"/>
      <c r="MAJ4" s="496"/>
      <c r="MAK4" s="496"/>
      <c r="MAL4" s="496"/>
      <c r="MAM4" s="496"/>
      <c r="MAN4" s="496"/>
      <c r="MAO4" s="496"/>
      <c r="MAP4" s="496"/>
      <c r="MAQ4" s="496"/>
      <c r="MAR4" s="496"/>
      <c r="MAS4" s="496"/>
      <c r="MAT4" s="496"/>
      <c r="MAU4" s="496"/>
      <c r="MAV4" s="496"/>
      <c r="MAW4" s="496"/>
      <c r="MAX4" s="496"/>
      <c r="MAY4" s="496"/>
      <c r="MAZ4" s="496"/>
      <c r="MBA4" s="496"/>
      <c r="MBB4" s="496"/>
      <c r="MBC4" s="496"/>
      <c r="MBD4" s="496"/>
      <c r="MBE4" s="496"/>
      <c r="MBF4" s="496"/>
      <c r="MBG4" s="496"/>
      <c r="MBH4" s="496"/>
      <c r="MBI4" s="496"/>
      <c r="MBJ4" s="496"/>
      <c r="MBK4" s="496"/>
      <c r="MBL4" s="496"/>
      <c r="MBM4" s="496"/>
      <c r="MBN4" s="496"/>
      <c r="MBO4" s="496"/>
      <c r="MBP4" s="496"/>
      <c r="MBQ4" s="496"/>
      <c r="MBR4" s="496"/>
      <c r="MBS4" s="496"/>
      <c r="MBT4" s="496"/>
      <c r="MBU4" s="496"/>
      <c r="MBV4" s="496"/>
      <c r="MBW4" s="496"/>
      <c r="MBX4" s="496"/>
      <c r="MBY4" s="496"/>
      <c r="MBZ4" s="496"/>
      <c r="MCA4" s="496"/>
      <c r="MCB4" s="496"/>
      <c r="MCC4" s="496"/>
      <c r="MCD4" s="496"/>
      <c r="MCE4" s="496"/>
      <c r="MCF4" s="496"/>
      <c r="MCG4" s="496"/>
      <c r="MCH4" s="496"/>
      <c r="MCI4" s="496"/>
      <c r="MCJ4" s="496"/>
      <c r="MCK4" s="496"/>
      <c r="MCL4" s="496"/>
      <c r="MCM4" s="496"/>
      <c r="MCN4" s="496"/>
      <c r="MCO4" s="496"/>
      <c r="MCP4" s="496"/>
      <c r="MCQ4" s="496"/>
      <c r="MCR4" s="496"/>
      <c r="MCS4" s="496"/>
      <c r="MCT4" s="496"/>
      <c r="MCU4" s="496"/>
      <c r="MCV4" s="496"/>
      <c r="MCW4" s="496"/>
      <c r="MCX4" s="496"/>
      <c r="MCY4" s="496"/>
      <c r="MCZ4" s="496"/>
      <c r="MDA4" s="496"/>
      <c r="MDB4" s="496"/>
      <c r="MDC4" s="496"/>
      <c r="MDD4" s="496"/>
      <c r="MDE4" s="496"/>
      <c r="MDF4" s="496"/>
      <c r="MDG4" s="496"/>
      <c r="MDH4" s="496"/>
      <c r="MDI4" s="496"/>
      <c r="MDJ4" s="496"/>
      <c r="MDK4" s="496"/>
      <c r="MDL4" s="496"/>
      <c r="MDM4" s="496"/>
      <c r="MDN4" s="496"/>
      <c r="MDO4" s="496"/>
      <c r="MDP4" s="496"/>
      <c r="MDQ4" s="496"/>
      <c r="MDR4" s="496"/>
      <c r="MDS4" s="496"/>
      <c r="MDT4" s="496"/>
      <c r="MDU4" s="496"/>
      <c r="MDV4" s="496"/>
      <c r="MDW4" s="496"/>
      <c r="MDX4" s="496"/>
      <c r="MDY4" s="496"/>
      <c r="MDZ4" s="496"/>
      <c r="MEA4" s="496"/>
      <c r="MEB4" s="496"/>
      <c r="MEC4" s="496"/>
      <c r="MED4" s="496"/>
      <c r="MEE4" s="496"/>
      <c r="MEF4" s="496"/>
      <c r="MEG4" s="496"/>
      <c r="MEH4" s="496"/>
      <c r="MEI4" s="496"/>
      <c r="MEJ4" s="496"/>
      <c r="MEK4" s="496"/>
      <c r="MEL4" s="496"/>
      <c r="MEM4" s="496"/>
      <c r="MEN4" s="496"/>
      <c r="MEO4" s="496"/>
      <c r="MEP4" s="496"/>
      <c r="MEQ4" s="496"/>
      <c r="MER4" s="496"/>
      <c r="MES4" s="496"/>
      <c r="MET4" s="496"/>
      <c r="MEU4" s="496"/>
      <c r="MEV4" s="496"/>
      <c r="MEW4" s="496"/>
      <c r="MEX4" s="496"/>
      <c r="MEY4" s="496"/>
      <c r="MEZ4" s="496"/>
      <c r="MFA4" s="496"/>
      <c r="MFB4" s="496"/>
      <c r="MFC4" s="496"/>
      <c r="MFD4" s="496"/>
      <c r="MFE4" s="496"/>
      <c r="MFF4" s="496"/>
      <c r="MFG4" s="496"/>
      <c r="MFH4" s="496"/>
      <c r="MFI4" s="496"/>
      <c r="MFJ4" s="496"/>
      <c r="MFK4" s="496"/>
      <c r="MFL4" s="496"/>
      <c r="MFM4" s="496"/>
      <c r="MFN4" s="496"/>
      <c r="MFO4" s="496"/>
      <c r="MFP4" s="496"/>
      <c r="MFQ4" s="496"/>
      <c r="MFR4" s="496"/>
      <c r="MFS4" s="496"/>
      <c r="MFT4" s="496"/>
      <c r="MFU4" s="496"/>
      <c r="MFV4" s="496"/>
      <c r="MFW4" s="496"/>
      <c r="MFX4" s="496"/>
      <c r="MFY4" s="496"/>
      <c r="MFZ4" s="496"/>
      <c r="MGA4" s="496"/>
      <c r="MGB4" s="496"/>
      <c r="MGC4" s="496"/>
      <c r="MGD4" s="496"/>
      <c r="MGE4" s="496"/>
      <c r="MGF4" s="496"/>
      <c r="MGG4" s="496"/>
      <c r="MGH4" s="496"/>
      <c r="MGI4" s="496"/>
      <c r="MGJ4" s="496"/>
      <c r="MGK4" s="496"/>
      <c r="MGL4" s="496"/>
      <c r="MGM4" s="496"/>
      <c r="MGN4" s="496"/>
      <c r="MGO4" s="496"/>
      <c r="MGP4" s="496"/>
      <c r="MGQ4" s="496"/>
      <c r="MGR4" s="496"/>
      <c r="MGS4" s="496"/>
      <c r="MGT4" s="496"/>
      <c r="MGU4" s="496"/>
      <c r="MGV4" s="496"/>
      <c r="MGW4" s="496"/>
      <c r="MGX4" s="496"/>
      <c r="MGY4" s="496"/>
      <c r="MGZ4" s="496"/>
      <c r="MHA4" s="496"/>
      <c r="MHB4" s="496"/>
      <c r="MHC4" s="496"/>
      <c r="MHD4" s="496"/>
      <c r="MHE4" s="496"/>
      <c r="MHF4" s="496"/>
      <c r="MHG4" s="496"/>
      <c r="MHH4" s="496"/>
      <c r="MHI4" s="496"/>
      <c r="MHJ4" s="496"/>
      <c r="MHK4" s="496"/>
      <c r="MHL4" s="496"/>
      <c r="MHM4" s="496"/>
      <c r="MHN4" s="496"/>
      <c r="MHO4" s="496"/>
      <c r="MHP4" s="496"/>
      <c r="MHQ4" s="496"/>
      <c r="MHR4" s="496"/>
      <c r="MHS4" s="496"/>
      <c r="MHT4" s="496"/>
      <c r="MHU4" s="496"/>
      <c r="MHV4" s="496"/>
      <c r="MHW4" s="496"/>
      <c r="MHX4" s="496"/>
      <c r="MHY4" s="496"/>
      <c r="MHZ4" s="496"/>
      <c r="MIA4" s="496"/>
      <c r="MIB4" s="496"/>
      <c r="MIC4" s="496"/>
      <c r="MID4" s="496"/>
      <c r="MIE4" s="496"/>
      <c r="MIF4" s="496"/>
      <c r="MIG4" s="496"/>
      <c r="MIH4" s="496"/>
      <c r="MII4" s="496"/>
      <c r="MIJ4" s="496"/>
      <c r="MIK4" s="496"/>
      <c r="MIL4" s="496"/>
      <c r="MIM4" s="496"/>
      <c r="MIN4" s="496"/>
      <c r="MIO4" s="496"/>
      <c r="MIP4" s="496"/>
      <c r="MIQ4" s="496"/>
      <c r="MIR4" s="496"/>
      <c r="MIS4" s="496"/>
      <c r="MIT4" s="496"/>
      <c r="MIU4" s="496"/>
      <c r="MIV4" s="496"/>
      <c r="MIW4" s="496"/>
      <c r="MIX4" s="496"/>
      <c r="MIY4" s="496"/>
      <c r="MIZ4" s="496"/>
      <c r="MJA4" s="496"/>
      <c r="MJB4" s="496"/>
      <c r="MJC4" s="496"/>
      <c r="MJD4" s="496"/>
      <c r="MJE4" s="496"/>
      <c r="MJF4" s="496"/>
      <c r="MJG4" s="496"/>
      <c r="MJH4" s="496"/>
      <c r="MJI4" s="496"/>
      <c r="MJJ4" s="496"/>
      <c r="MJK4" s="496"/>
      <c r="MJL4" s="496"/>
      <c r="MJM4" s="496"/>
      <c r="MJN4" s="496"/>
      <c r="MJO4" s="496"/>
      <c r="MJP4" s="496"/>
      <c r="MJQ4" s="496"/>
      <c r="MJR4" s="496"/>
      <c r="MJS4" s="496"/>
      <c r="MJT4" s="496"/>
      <c r="MJU4" s="496"/>
      <c r="MJV4" s="496"/>
      <c r="MJW4" s="496"/>
      <c r="MJX4" s="496"/>
      <c r="MJY4" s="496"/>
      <c r="MJZ4" s="496"/>
      <c r="MKA4" s="496"/>
      <c r="MKB4" s="496"/>
      <c r="MKC4" s="496"/>
      <c r="MKD4" s="496"/>
      <c r="MKE4" s="496"/>
      <c r="MKF4" s="496"/>
      <c r="MKG4" s="496"/>
      <c r="MKH4" s="496"/>
      <c r="MKI4" s="496"/>
      <c r="MKJ4" s="496"/>
      <c r="MKK4" s="496"/>
      <c r="MKL4" s="496"/>
      <c r="MKM4" s="496"/>
      <c r="MKN4" s="496"/>
      <c r="MKO4" s="496"/>
      <c r="MKP4" s="496"/>
      <c r="MKQ4" s="496"/>
      <c r="MKR4" s="496"/>
      <c r="MKS4" s="496"/>
      <c r="MKT4" s="496"/>
      <c r="MKU4" s="496"/>
      <c r="MKV4" s="496"/>
      <c r="MKW4" s="496"/>
      <c r="MKX4" s="496"/>
      <c r="MKY4" s="496"/>
      <c r="MKZ4" s="496"/>
      <c r="MLA4" s="496"/>
      <c r="MLB4" s="496"/>
      <c r="MLC4" s="496"/>
      <c r="MLD4" s="496"/>
      <c r="MLE4" s="496"/>
      <c r="MLF4" s="496"/>
      <c r="MLG4" s="496"/>
      <c r="MLH4" s="496"/>
      <c r="MLI4" s="496"/>
      <c r="MLJ4" s="496"/>
      <c r="MLK4" s="496"/>
      <c r="MLL4" s="496"/>
      <c r="MLM4" s="496"/>
      <c r="MLN4" s="496"/>
      <c r="MLO4" s="496"/>
      <c r="MLP4" s="496"/>
      <c r="MLQ4" s="496"/>
      <c r="MLR4" s="496"/>
      <c r="MLS4" s="496"/>
      <c r="MLT4" s="496"/>
      <c r="MLU4" s="496"/>
      <c r="MLV4" s="496"/>
      <c r="MLW4" s="496"/>
      <c r="MLX4" s="496"/>
      <c r="MLY4" s="496"/>
      <c r="MLZ4" s="496"/>
      <c r="MMA4" s="496"/>
      <c r="MMB4" s="496"/>
      <c r="MMC4" s="496"/>
      <c r="MMD4" s="496"/>
      <c r="MME4" s="496"/>
      <c r="MMF4" s="496"/>
      <c r="MMG4" s="496"/>
      <c r="MMH4" s="496"/>
      <c r="MMI4" s="496"/>
      <c r="MMJ4" s="496"/>
      <c r="MMK4" s="496"/>
      <c r="MML4" s="496"/>
      <c r="MMM4" s="496"/>
      <c r="MMN4" s="496"/>
      <c r="MMO4" s="496"/>
      <c r="MMP4" s="496"/>
      <c r="MMQ4" s="496"/>
      <c r="MMR4" s="496"/>
      <c r="MMS4" s="496"/>
      <c r="MMT4" s="496"/>
      <c r="MMU4" s="496"/>
      <c r="MMV4" s="496"/>
      <c r="MMW4" s="496"/>
      <c r="MMX4" s="496"/>
      <c r="MMY4" s="496"/>
      <c r="MMZ4" s="496"/>
      <c r="MNA4" s="496"/>
      <c r="MNB4" s="496"/>
      <c r="MNC4" s="496"/>
      <c r="MND4" s="496"/>
      <c r="MNE4" s="496"/>
      <c r="MNF4" s="496"/>
      <c r="MNG4" s="496"/>
      <c r="MNH4" s="496"/>
      <c r="MNI4" s="496"/>
      <c r="MNJ4" s="496"/>
      <c r="MNK4" s="496"/>
      <c r="MNL4" s="496"/>
      <c r="MNM4" s="496"/>
      <c r="MNN4" s="496"/>
      <c r="MNO4" s="496"/>
      <c r="MNP4" s="496"/>
      <c r="MNQ4" s="496"/>
      <c r="MNR4" s="496"/>
      <c r="MNS4" s="496"/>
      <c r="MNT4" s="496"/>
      <c r="MNU4" s="496"/>
      <c r="MNV4" s="496"/>
      <c r="MNW4" s="496"/>
      <c r="MNX4" s="496"/>
      <c r="MNY4" s="496"/>
      <c r="MNZ4" s="496"/>
      <c r="MOA4" s="496"/>
      <c r="MOB4" s="496"/>
      <c r="MOC4" s="496"/>
      <c r="MOD4" s="496"/>
      <c r="MOE4" s="496"/>
      <c r="MOF4" s="496"/>
      <c r="MOG4" s="496"/>
      <c r="MOH4" s="496"/>
      <c r="MOI4" s="496"/>
      <c r="MOJ4" s="496"/>
      <c r="MOK4" s="496"/>
      <c r="MOL4" s="496"/>
      <c r="MOM4" s="496"/>
      <c r="MON4" s="496"/>
      <c r="MOO4" s="496"/>
      <c r="MOP4" s="496"/>
      <c r="MOQ4" s="496"/>
      <c r="MOR4" s="496"/>
      <c r="MOS4" s="496"/>
      <c r="MOT4" s="496"/>
      <c r="MOU4" s="496"/>
      <c r="MOV4" s="496"/>
      <c r="MOW4" s="496"/>
      <c r="MOX4" s="496"/>
      <c r="MOY4" s="496"/>
      <c r="MOZ4" s="496"/>
      <c r="MPA4" s="496"/>
      <c r="MPB4" s="496"/>
      <c r="MPC4" s="496"/>
      <c r="MPD4" s="496"/>
      <c r="MPE4" s="496"/>
      <c r="MPF4" s="496"/>
      <c r="MPG4" s="496"/>
      <c r="MPH4" s="496"/>
      <c r="MPI4" s="496"/>
      <c r="MPJ4" s="496"/>
      <c r="MPK4" s="496"/>
      <c r="MPL4" s="496"/>
      <c r="MPM4" s="496"/>
      <c r="MPN4" s="496"/>
      <c r="MPO4" s="496"/>
      <c r="MPP4" s="496"/>
      <c r="MPQ4" s="496"/>
      <c r="MPR4" s="496"/>
      <c r="MPS4" s="496"/>
      <c r="MPT4" s="496"/>
      <c r="MPU4" s="496"/>
      <c r="MPV4" s="496"/>
      <c r="MPW4" s="496"/>
      <c r="MPX4" s="496"/>
      <c r="MPY4" s="496"/>
      <c r="MPZ4" s="496"/>
      <c r="MQA4" s="496"/>
      <c r="MQB4" s="496"/>
      <c r="MQC4" s="496"/>
      <c r="MQD4" s="496"/>
      <c r="MQE4" s="496"/>
      <c r="MQF4" s="496"/>
      <c r="MQG4" s="496"/>
      <c r="MQH4" s="496"/>
      <c r="MQI4" s="496"/>
      <c r="MQJ4" s="496"/>
      <c r="MQK4" s="496"/>
      <c r="MQL4" s="496"/>
      <c r="MQM4" s="496"/>
      <c r="MQN4" s="496"/>
      <c r="MQO4" s="496"/>
      <c r="MQP4" s="496"/>
      <c r="MQQ4" s="496"/>
      <c r="MQR4" s="496"/>
      <c r="MQS4" s="496"/>
      <c r="MQT4" s="496"/>
      <c r="MQU4" s="496"/>
      <c r="MQV4" s="496"/>
      <c r="MQW4" s="496"/>
      <c r="MQX4" s="496"/>
      <c r="MQY4" s="496"/>
      <c r="MQZ4" s="496"/>
      <c r="MRA4" s="496"/>
      <c r="MRB4" s="496"/>
      <c r="MRC4" s="496"/>
      <c r="MRD4" s="496"/>
      <c r="MRE4" s="496"/>
      <c r="MRF4" s="496"/>
      <c r="MRG4" s="496"/>
      <c r="MRH4" s="496"/>
      <c r="MRI4" s="496"/>
      <c r="MRJ4" s="496"/>
      <c r="MRK4" s="496"/>
      <c r="MRL4" s="496"/>
      <c r="MRM4" s="496"/>
      <c r="MRN4" s="496"/>
      <c r="MRO4" s="496"/>
      <c r="MRP4" s="496"/>
      <c r="MRQ4" s="496"/>
      <c r="MRR4" s="496"/>
      <c r="MRS4" s="496"/>
      <c r="MRT4" s="496"/>
      <c r="MRU4" s="496"/>
      <c r="MRV4" s="496"/>
      <c r="MRW4" s="496"/>
      <c r="MRX4" s="496"/>
      <c r="MRY4" s="496"/>
      <c r="MRZ4" s="496"/>
      <c r="MSA4" s="496"/>
      <c r="MSB4" s="496"/>
      <c r="MSC4" s="496"/>
      <c r="MSD4" s="496"/>
      <c r="MSE4" s="496"/>
      <c r="MSF4" s="496"/>
      <c r="MSG4" s="496"/>
      <c r="MSH4" s="496"/>
      <c r="MSI4" s="496"/>
      <c r="MSJ4" s="496"/>
      <c r="MSK4" s="496"/>
      <c r="MSL4" s="496"/>
      <c r="MSM4" s="496"/>
      <c r="MSN4" s="496"/>
      <c r="MSO4" s="496"/>
      <c r="MSP4" s="496"/>
      <c r="MSQ4" s="496"/>
      <c r="MSR4" s="496"/>
      <c r="MSS4" s="496"/>
      <c r="MST4" s="496"/>
      <c r="MSU4" s="496"/>
      <c r="MSV4" s="496"/>
      <c r="MSW4" s="496"/>
      <c r="MSX4" s="496"/>
      <c r="MSY4" s="496"/>
      <c r="MSZ4" s="496"/>
      <c r="MTA4" s="496"/>
      <c r="MTB4" s="496"/>
      <c r="MTC4" s="496"/>
      <c r="MTD4" s="496"/>
      <c r="MTE4" s="496"/>
      <c r="MTF4" s="496"/>
      <c r="MTG4" s="496"/>
      <c r="MTH4" s="496"/>
      <c r="MTI4" s="496"/>
      <c r="MTJ4" s="496"/>
      <c r="MTK4" s="496"/>
      <c r="MTL4" s="496"/>
      <c r="MTM4" s="496"/>
      <c r="MTN4" s="496"/>
      <c r="MTO4" s="496"/>
      <c r="MTP4" s="496"/>
      <c r="MTQ4" s="496"/>
      <c r="MTR4" s="496"/>
      <c r="MTS4" s="496"/>
      <c r="MTT4" s="496"/>
      <c r="MTU4" s="496"/>
      <c r="MTV4" s="496"/>
      <c r="MTW4" s="496"/>
      <c r="MTX4" s="496"/>
      <c r="MTY4" s="496"/>
      <c r="MTZ4" s="496"/>
      <c r="MUA4" s="496"/>
      <c r="MUB4" s="496"/>
      <c r="MUC4" s="496"/>
      <c r="MUD4" s="496"/>
      <c r="MUE4" s="496"/>
      <c r="MUF4" s="496"/>
      <c r="MUG4" s="496"/>
      <c r="MUH4" s="496"/>
      <c r="MUI4" s="496"/>
      <c r="MUJ4" s="496"/>
      <c r="MUK4" s="496"/>
      <c r="MUL4" s="496"/>
      <c r="MUM4" s="496"/>
      <c r="MUN4" s="496"/>
      <c r="MUO4" s="496"/>
      <c r="MUP4" s="496"/>
      <c r="MUQ4" s="496"/>
      <c r="MUR4" s="496"/>
      <c r="MUS4" s="496"/>
      <c r="MUT4" s="496"/>
      <c r="MUU4" s="496"/>
      <c r="MUV4" s="496"/>
      <c r="MUW4" s="496"/>
      <c r="MUX4" s="496"/>
      <c r="MUY4" s="496"/>
      <c r="MUZ4" s="496"/>
      <c r="MVA4" s="496"/>
      <c r="MVB4" s="496"/>
      <c r="MVC4" s="496"/>
      <c r="MVD4" s="496"/>
      <c r="MVE4" s="496"/>
      <c r="MVF4" s="496"/>
      <c r="MVG4" s="496"/>
      <c r="MVH4" s="496"/>
      <c r="MVI4" s="496"/>
      <c r="MVJ4" s="496"/>
      <c r="MVK4" s="496"/>
      <c r="MVL4" s="496"/>
      <c r="MVM4" s="496"/>
      <c r="MVN4" s="496"/>
      <c r="MVO4" s="496"/>
      <c r="MVP4" s="496"/>
      <c r="MVQ4" s="496"/>
      <c r="MVR4" s="496"/>
      <c r="MVS4" s="496"/>
      <c r="MVT4" s="496"/>
      <c r="MVU4" s="496"/>
      <c r="MVV4" s="496"/>
      <c r="MVW4" s="496"/>
      <c r="MVX4" s="496"/>
      <c r="MVY4" s="496"/>
      <c r="MVZ4" s="496"/>
      <c r="MWA4" s="496"/>
      <c r="MWB4" s="496"/>
      <c r="MWC4" s="496"/>
      <c r="MWD4" s="496"/>
      <c r="MWE4" s="496"/>
      <c r="MWF4" s="496"/>
      <c r="MWG4" s="496"/>
      <c r="MWH4" s="496"/>
      <c r="MWI4" s="496"/>
      <c r="MWJ4" s="496"/>
      <c r="MWK4" s="496"/>
      <c r="MWL4" s="496"/>
      <c r="MWM4" s="496"/>
      <c r="MWN4" s="496"/>
      <c r="MWO4" s="496"/>
      <c r="MWP4" s="496"/>
      <c r="MWQ4" s="496"/>
      <c r="MWR4" s="496"/>
      <c r="MWS4" s="496"/>
      <c r="MWT4" s="496"/>
      <c r="MWU4" s="496"/>
      <c r="MWV4" s="496"/>
      <c r="MWW4" s="496"/>
      <c r="MWX4" s="496"/>
      <c r="MWY4" s="496"/>
      <c r="MWZ4" s="496"/>
      <c r="MXA4" s="496"/>
      <c r="MXB4" s="496"/>
      <c r="MXC4" s="496"/>
      <c r="MXD4" s="496"/>
      <c r="MXE4" s="496"/>
      <c r="MXF4" s="496"/>
      <c r="MXG4" s="496"/>
      <c r="MXH4" s="496"/>
      <c r="MXI4" s="496"/>
      <c r="MXJ4" s="496"/>
      <c r="MXK4" s="496"/>
      <c r="MXL4" s="496"/>
      <c r="MXM4" s="496"/>
      <c r="MXN4" s="496"/>
      <c r="MXO4" s="496"/>
      <c r="MXP4" s="496"/>
      <c r="MXQ4" s="496"/>
      <c r="MXR4" s="496"/>
      <c r="MXS4" s="496"/>
      <c r="MXT4" s="496"/>
      <c r="MXU4" s="496"/>
      <c r="MXV4" s="496"/>
      <c r="MXW4" s="496"/>
      <c r="MXX4" s="496"/>
      <c r="MXY4" s="496"/>
      <c r="MXZ4" s="496"/>
      <c r="MYA4" s="496"/>
      <c r="MYB4" s="496"/>
      <c r="MYC4" s="496"/>
      <c r="MYD4" s="496"/>
      <c r="MYE4" s="496"/>
      <c r="MYF4" s="496"/>
      <c r="MYG4" s="496"/>
      <c r="MYH4" s="496"/>
      <c r="MYI4" s="496"/>
      <c r="MYJ4" s="496"/>
      <c r="MYK4" s="496"/>
      <c r="MYL4" s="496"/>
      <c r="MYM4" s="496"/>
      <c r="MYN4" s="496"/>
      <c r="MYO4" s="496"/>
      <c r="MYP4" s="496"/>
      <c r="MYQ4" s="496"/>
      <c r="MYR4" s="496"/>
      <c r="MYS4" s="496"/>
      <c r="MYT4" s="496"/>
      <c r="MYU4" s="496"/>
      <c r="MYV4" s="496"/>
      <c r="MYW4" s="496"/>
      <c r="MYX4" s="496"/>
      <c r="MYY4" s="496"/>
      <c r="MYZ4" s="496"/>
      <c r="MZA4" s="496"/>
      <c r="MZB4" s="496"/>
      <c r="MZC4" s="496"/>
      <c r="MZD4" s="496"/>
      <c r="MZE4" s="496"/>
      <c r="MZF4" s="496"/>
      <c r="MZG4" s="496"/>
      <c r="MZH4" s="496"/>
      <c r="MZI4" s="496"/>
      <c r="MZJ4" s="496"/>
      <c r="MZK4" s="496"/>
      <c r="MZL4" s="496"/>
      <c r="MZM4" s="496"/>
      <c r="MZN4" s="496"/>
      <c r="MZO4" s="496"/>
      <c r="MZP4" s="496"/>
      <c r="MZQ4" s="496"/>
      <c r="MZR4" s="496"/>
      <c r="MZS4" s="496"/>
      <c r="MZT4" s="496"/>
      <c r="MZU4" s="496"/>
      <c r="MZV4" s="496"/>
      <c r="MZW4" s="496"/>
      <c r="MZX4" s="496"/>
      <c r="MZY4" s="496"/>
      <c r="MZZ4" s="496"/>
      <c r="NAA4" s="496"/>
      <c r="NAB4" s="496"/>
      <c r="NAC4" s="496"/>
      <c r="NAD4" s="496"/>
      <c r="NAE4" s="496"/>
      <c r="NAF4" s="496"/>
      <c r="NAG4" s="496"/>
      <c r="NAH4" s="496"/>
      <c r="NAI4" s="496"/>
      <c r="NAJ4" s="496"/>
      <c r="NAK4" s="496"/>
      <c r="NAL4" s="496"/>
      <c r="NAM4" s="496"/>
      <c r="NAN4" s="496"/>
      <c r="NAO4" s="496"/>
      <c r="NAP4" s="496"/>
      <c r="NAQ4" s="496"/>
      <c r="NAR4" s="496"/>
      <c r="NAS4" s="496"/>
      <c r="NAT4" s="496"/>
      <c r="NAU4" s="496"/>
      <c r="NAV4" s="496"/>
      <c r="NAW4" s="496"/>
      <c r="NAX4" s="496"/>
      <c r="NAY4" s="496"/>
      <c r="NAZ4" s="496"/>
      <c r="NBA4" s="496"/>
      <c r="NBB4" s="496"/>
      <c r="NBC4" s="496"/>
      <c r="NBD4" s="496"/>
      <c r="NBE4" s="496"/>
      <c r="NBF4" s="496"/>
      <c r="NBG4" s="496"/>
      <c r="NBH4" s="496"/>
      <c r="NBI4" s="496"/>
      <c r="NBJ4" s="496"/>
      <c r="NBK4" s="496"/>
      <c r="NBL4" s="496"/>
      <c r="NBM4" s="496"/>
      <c r="NBN4" s="496"/>
      <c r="NBO4" s="496"/>
      <c r="NBP4" s="496"/>
      <c r="NBQ4" s="496"/>
      <c r="NBR4" s="496"/>
      <c r="NBS4" s="496"/>
      <c r="NBT4" s="496"/>
      <c r="NBU4" s="496"/>
      <c r="NBV4" s="496"/>
      <c r="NBW4" s="496"/>
      <c r="NBX4" s="496"/>
      <c r="NBY4" s="496"/>
      <c r="NBZ4" s="496"/>
      <c r="NCA4" s="496"/>
      <c r="NCB4" s="496"/>
      <c r="NCC4" s="496"/>
      <c r="NCD4" s="496"/>
      <c r="NCE4" s="496"/>
      <c r="NCF4" s="496"/>
      <c r="NCG4" s="496"/>
      <c r="NCH4" s="496"/>
      <c r="NCI4" s="496"/>
      <c r="NCJ4" s="496"/>
      <c r="NCK4" s="496"/>
      <c r="NCL4" s="496"/>
      <c r="NCM4" s="496"/>
      <c r="NCN4" s="496"/>
      <c r="NCO4" s="496"/>
      <c r="NCP4" s="496"/>
      <c r="NCQ4" s="496"/>
      <c r="NCR4" s="496"/>
      <c r="NCS4" s="496"/>
      <c r="NCT4" s="496"/>
      <c r="NCU4" s="496"/>
      <c r="NCV4" s="496"/>
      <c r="NCW4" s="496"/>
      <c r="NCX4" s="496"/>
      <c r="NCY4" s="496"/>
      <c r="NCZ4" s="496"/>
      <c r="NDA4" s="496"/>
      <c r="NDB4" s="496"/>
      <c r="NDC4" s="496"/>
      <c r="NDD4" s="496"/>
      <c r="NDE4" s="496"/>
      <c r="NDF4" s="496"/>
      <c r="NDG4" s="496"/>
      <c r="NDH4" s="496"/>
      <c r="NDI4" s="496"/>
      <c r="NDJ4" s="496"/>
      <c r="NDK4" s="496"/>
      <c r="NDL4" s="496"/>
      <c r="NDM4" s="496"/>
      <c r="NDN4" s="496"/>
      <c r="NDO4" s="496"/>
      <c r="NDP4" s="496"/>
      <c r="NDQ4" s="496"/>
      <c r="NDR4" s="496"/>
      <c r="NDS4" s="496"/>
      <c r="NDT4" s="496"/>
      <c r="NDU4" s="496"/>
      <c r="NDV4" s="496"/>
      <c r="NDW4" s="496"/>
      <c r="NDX4" s="496"/>
      <c r="NDY4" s="496"/>
      <c r="NDZ4" s="496"/>
      <c r="NEA4" s="496"/>
      <c r="NEB4" s="496"/>
      <c r="NEC4" s="496"/>
      <c r="NED4" s="496"/>
      <c r="NEE4" s="496"/>
      <c r="NEF4" s="496"/>
      <c r="NEG4" s="496"/>
      <c r="NEH4" s="496"/>
      <c r="NEI4" s="496"/>
      <c r="NEJ4" s="496"/>
      <c r="NEK4" s="496"/>
      <c r="NEL4" s="496"/>
      <c r="NEM4" s="496"/>
      <c r="NEN4" s="496"/>
      <c r="NEO4" s="496"/>
      <c r="NEP4" s="496"/>
      <c r="NEQ4" s="496"/>
      <c r="NER4" s="496"/>
      <c r="NES4" s="496"/>
      <c r="NET4" s="496"/>
      <c r="NEU4" s="496"/>
      <c r="NEV4" s="496"/>
      <c r="NEW4" s="496"/>
      <c r="NEX4" s="496"/>
      <c r="NEY4" s="496"/>
      <c r="NEZ4" s="496"/>
      <c r="NFA4" s="496"/>
      <c r="NFB4" s="496"/>
      <c r="NFC4" s="496"/>
      <c r="NFD4" s="496"/>
      <c r="NFE4" s="496"/>
      <c r="NFF4" s="496"/>
      <c r="NFG4" s="496"/>
      <c r="NFH4" s="496"/>
      <c r="NFI4" s="496"/>
      <c r="NFJ4" s="496"/>
      <c r="NFK4" s="496"/>
      <c r="NFL4" s="496"/>
      <c r="NFM4" s="496"/>
      <c r="NFN4" s="496"/>
      <c r="NFO4" s="496"/>
      <c r="NFP4" s="496"/>
      <c r="NFQ4" s="496"/>
      <c r="NFR4" s="496"/>
      <c r="NFS4" s="496"/>
      <c r="NFT4" s="496"/>
      <c r="NFU4" s="496"/>
      <c r="NFV4" s="496"/>
      <c r="NFW4" s="496"/>
      <c r="NFX4" s="496"/>
      <c r="NFY4" s="496"/>
      <c r="NFZ4" s="496"/>
      <c r="NGA4" s="496"/>
      <c r="NGB4" s="496"/>
      <c r="NGC4" s="496"/>
      <c r="NGD4" s="496"/>
      <c r="NGE4" s="496"/>
      <c r="NGF4" s="496"/>
      <c r="NGG4" s="496"/>
      <c r="NGH4" s="496"/>
      <c r="NGI4" s="496"/>
      <c r="NGJ4" s="496"/>
      <c r="NGK4" s="496"/>
      <c r="NGL4" s="496"/>
      <c r="NGM4" s="496"/>
      <c r="NGN4" s="496"/>
      <c r="NGO4" s="496"/>
      <c r="NGP4" s="496"/>
      <c r="NGQ4" s="496"/>
      <c r="NGR4" s="496"/>
      <c r="NGS4" s="496"/>
      <c r="NGT4" s="496"/>
      <c r="NGU4" s="496"/>
      <c r="NGV4" s="496"/>
      <c r="NGW4" s="496"/>
      <c r="NGX4" s="496"/>
      <c r="NGY4" s="496"/>
      <c r="NGZ4" s="496"/>
      <c r="NHA4" s="496"/>
      <c r="NHB4" s="496"/>
      <c r="NHC4" s="496"/>
      <c r="NHD4" s="496"/>
      <c r="NHE4" s="496"/>
      <c r="NHF4" s="496"/>
      <c r="NHG4" s="496"/>
      <c r="NHH4" s="496"/>
      <c r="NHI4" s="496"/>
      <c r="NHJ4" s="496"/>
      <c r="NHK4" s="496"/>
      <c r="NHL4" s="496"/>
      <c r="NHM4" s="496"/>
      <c r="NHN4" s="496"/>
      <c r="NHO4" s="496"/>
      <c r="NHP4" s="496"/>
      <c r="NHQ4" s="496"/>
      <c r="NHR4" s="496"/>
      <c r="NHS4" s="496"/>
      <c r="NHT4" s="496"/>
      <c r="NHU4" s="496"/>
      <c r="NHV4" s="496"/>
      <c r="NHW4" s="496"/>
      <c r="NHX4" s="496"/>
      <c r="NHY4" s="496"/>
      <c r="NHZ4" s="496"/>
      <c r="NIA4" s="496"/>
      <c r="NIB4" s="496"/>
      <c r="NIC4" s="496"/>
      <c r="NID4" s="496"/>
      <c r="NIE4" s="496"/>
      <c r="NIF4" s="496"/>
      <c r="NIG4" s="496"/>
      <c r="NIH4" s="496"/>
      <c r="NII4" s="496"/>
      <c r="NIJ4" s="496"/>
      <c r="NIK4" s="496"/>
      <c r="NIL4" s="496"/>
      <c r="NIM4" s="496"/>
      <c r="NIN4" s="496"/>
      <c r="NIO4" s="496"/>
      <c r="NIP4" s="496"/>
      <c r="NIQ4" s="496"/>
      <c r="NIR4" s="496"/>
      <c r="NIS4" s="496"/>
      <c r="NIT4" s="496"/>
      <c r="NIU4" s="496"/>
      <c r="NIV4" s="496"/>
      <c r="NIW4" s="496"/>
      <c r="NIX4" s="496"/>
      <c r="NIY4" s="496"/>
      <c r="NIZ4" s="496"/>
      <c r="NJA4" s="496"/>
      <c r="NJB4" s="496"/>
      <c r="NJC4" s="496"/>
      <c r="NJD4" s="496"/>
      <c r="NJE4" s="496"/>
      <c r="NJF4" s="496"/>
      <c r="NJG4" s="496"/>
      <c r="NJH4" s="496"/>
      <c r="NJI4" s="496"/>
      <c r="NJJ4" s="496"/>
      <c r="NJK4" s="496"/>
      <c r="NJL4" s="496"/>
      <c r="NJM4" s="496"/>
      <c r="NJN4" s="496"/>
      <c r="NJO4" s="496"/>
      <c r="NJP4" s="496"/>
      <c r="NJQ4" s="496"/>
      <c r="NJR4" s="496"/>
      <c r="NJS4" s="496"/>
      <c r="NJT4" s="496"/>
      <c r="NJU4" s="496"/>
      <c r="NJV4" s="496"/>
      <c r="NJW4" s="496"/>
      <c r="NJX4" s="496"/>
      <c r="NJY4" s="496"/>
      <c r="NJZ4" s="496"/>
      <c r="NKA4" s="496"/>
      <c r="NKB4" s="496"/>
      <c r="NKC4" s="496"/>
      <c r="NKD4" s="496"/>
      <c r="NKE4" s="496"/>
      <c r="NKF4" s="496"/>
      <c r="NKG4" s="496"/>
      <c r="NKH4" s="496"/>
      <c r="NKI4" s="496"/>
      <c r="NKJ4" s="496"/>
      <c r="NKK4" s="496"/>
      <c r="NKL4" s="496"/>
      <c r="NKM4" s="496"/>
      <c r="NKN4" s="496"/>
      <c r="NKO4" s="496"/>
      <c r="NKP4" s="496"/>
      <c r="NKQ4" s="496"/>
      <c r="NKR4" s="496"/>
      <c r="NKS4" s="496"/>
      <c r="NKT4" s="496"/>
      <c r="NKU4" s="496"/>
      <c r="NKV4" s="496"/>
      <c r="NKW4" s="496"/>
      <c r="NKX4" s="496"/>
      <c r="NKY4" s="496"/>
      <c r="NKZ4" s="496"/>
      <c r="NLA4" s="496"/>
      <c r="NLB4" s="496"/>
      <c r="NLC4" s="496"/>
      <c r="NLD4" s="496"/>
      <c r="NLE4" s="496"/>
      <c r="NLF4" s="496"/>
      <c r="NLG4" s="496"/>
      <c r="NLH4" s="496"/>
      <c r="NLI4" s="496"/>
      <c r="NLJ4" s="496"/>
      <c r="NLK4" s="496"/>
      <c r="NLL4" s="496"/>
      <c r="NLM4" s="496"/>
      <c r="NLN4" s="496"/>
      <c r="NLO4" s="496"/>
      <c r="NLP4" s="496"/>
      <c r="NLQ4" s="496"/>
      <c r="NLR4" s="496"/>
      <c r="NLS4" s="496"/>
      <c r="NLT4" s="496"/>
      <c r="NLU4" s="496"/>
      <c r="NLV4" s="496"/>
      <c r="NLW4" s="496"/>
      <c r="NLX4" s="496"/>
      <c r="NLY4" s="496"/>
      <c r="NLZ4" s="496"/>
      <c r="NMA4" s="496"/>
      <c r="NMB4" s="496"/>
      <c r="NMC4" s="496"/>
      <c r="NMD4" s="496"/>
      <c r="NME4" s="496"/>
      <c r="NMF4" s="496"/>
      <c r="NMG4" s="496"/>
      <c r="NMH4" s="496"/>
      <c r="NMI4" s="496"/>
      <c r="NMJ4" s="496"/>
      <c r="NMK4" s="496"/>
      <c r="NML4" s="496"/>
      <c r="NMM4" s="496"/>
      <c r="NMN4" s="496"/>
      <c r="NMO4" s="496"/>
      <c r="NMP4" s="496"/>
      <c r="NMQ4" s="496"/>
      <c r="NMR4" s="496"/>
      <c r="NMS4" s="496"/>
      <c r="NMT4" s="496"/>
      <c r="NMU4" s="496"/>
      <c r="NMV4" s="496"/>
      <c r="NMW4" s="496"/>
      <c r="NMX4" s="496"/>
      <c r="NMY4" s="496"/>
      <c r="NMZ4" s="496"/>
      <c r="NNA4" s="496"/>
      <c r="NNB4" s="496"/>
      <c r="NNC4" s="496"/>
      <c r="NND4" s="496"/>
      <c r="NNE4" s="496"/>
      <c r="NNF4" s="496"/>
      <c r="NNG4" s="496"/>
      <c r="NNH4" s="496"/>
      <c r="NNI4" s="496"/>
      <c r="NNJ4" s="496"/>
      <c r="NNK4" s="496"/>
      <c r="NNL4" s="496"/>
      <c r="NNM4" s="496"/>
      <c r="NNN4" s="496"/>
      <c r="NNO4" s="496"/>
      <c r="NNP4" s="496"/>
      <c r="NNQ4" s="496"/>
      <c r="NNR4" s="496"/>
      <c r="NNS4" s="496"/>
      <c r="NNT4" s="496"/>
      <c r="NNU4" s="496"/>
      <c r="NNV4" s="496"/>
      <c r="NNW4" s="496"/>
      <c r="NNX4" s="496"/>
      <c r="NNY4" s="496"/>
      <c r="NNZ4" s="496"/>
      <c r="NOA4" s="496"/>
      <c r="NOB4" s="496"/>
      <c r="NOC4" s="496"/>
      <c r="NOD4" s="496"/>
      <c r="NOE4" s="496"/>
      <c r="NOF4" s="496"/>
      <c r="NOG4" s="496"/>
      <c r="NOH4" s="496"/>
      <c r="NOI4" s="496"/>
      <c r="NOJ4" s="496"/>
      <c r="NOK4" s="496"/>
      <c r="NOL4" s="496"/>
      <c r="NOM4" s="496"/>
      <c r="NON4" s="496"/>
      <c r="NOO4" s="496"/>
      <c r="NOP4" s="496"/>
      <c r="NOQ4" s="496"/>
      <c r="NOR4" s="496"/>
      <c r="NOS4" s="496"/>
      <c r="NOT4" s="496"/>
      <c r="NOU4" s="496"/>
      <c r="NOV4" s="496"/>
      <c r="NOW4" s="496"/>
      <c r="NOX4" s="496"/>
      <c r="NOY4" s="496"/>
      <c r="NOZ4" s="496"/>
      <c r="NPA4" s="496"/>
      <c r="NPB4" s="496"/>
      <c r="NPC4" s="496"/>
      <c r="NPD4" s="496"/>
      <c r="NPE4" s="496"/>
      <c r="NPF4" s="496"/>
      <c r="NPG4" s="496"/>
      <c r="NPH4" s="496"/>
      <c r="NPI4" s="496"/>
      <c r="NPJ4" s="496"/>
      <c r="NPK4" s="496"/>
      <c r="NPL4" s="496"/>
      <c r="NPM4" s="496"/>
      <c r="NPN4" s="496"/>
      <c r="NPO4" s="496"/>
      <c r="NPP4" s="496"/>
      <c r="NPQ4" s="496"/>
      <c r="NPR4" s="496"/>
      <c r="NPS4" s="496"/>
      <c r="NPT4" s="496"/>
      <c r="NPU4" s="496"/>
      <c r="NPV4" s="496"/>
      <c r="NPW4" s="496"/>
      <c r="NPX4" s="496"/>
      <c r="NPY4" s="496"/>
      <c r="NPZ4" s="496"/>
      <c r="NQA4" s="496"/>
      <c r="NQB4" s="496"/>
      <c r="NQC4" s="496"/>
      <c r="NQD4" s="496"/>
      <c r="NQE4" s="496"/>
      <c r="NQF4" s="496"/>
      <c r="NQG4" s="496"/>
      <c r="NQH4" s="496"/>
      <c r="NQI4" s="496"/>
      <c r="NQJ4" s="496"/>
      <c r="NQK4" s="496"/>
      <c r="NQL4" s="496"/>
      <c r="NQM4" s="496"/>
      <c r="NQN4" s="496"/>
      <c r="NQO4" s="496"/>
      <c r="NQP4" s="496"/>
      <c r="NQQ4" s="496"/>
      <c r="NQR4" s="496"/>
      <c r="NQS4" s="496"/>
      <c r="NQT4" s="496"/>
      <c r="NQU4" s="496"/>
      <c r="NQV4" s="496"/>
      <c r="NQW4" s="496"/>
      <c r="NQX4" s="496"/>
      <c r="NQY4" s="496"/>
      <c r="NQZ4" s="496"/>
      <c r="NRA4" s="496"/>
      <c r="NRB4" s="496"/>
      <c r="NRC4" s="496"/>
      <c r="NRD4" s="496"/>
      <c r="NRE4" s="496"/>
      <c r="NRF4" s="496"/>
      <c r="NRG4" s="496"/>
      <c r="NRH4" s="496"/>
      <c r="NRI4" s="496"/>
      <c r="NRJ4" s="496"/>
      <c r="NRK4" s="496"/>
      <c r="NRL4" s="496"/>
      <c r="NRM4" s="496"/>
      <c r="NRN4" s="496"/>
      <c r="NRO4" s="496"/>
      <c r="NRP4" s="496"/>
      <c r="NRQ4" s="496"/>
      <c r="NRR4" s="496"/>
      <c r="NRS4" s="496"/>
      <c r="NRT4" s="496"/>
      <c r="NRU4" s="496"/>
      <c r="NRV4" s="496"/>
      <c r="NRW4" s="496"/>
      <c r="NRX4" s="496"/>
      <c r="NRY4" s="496"/>
      <c r="NRZ4" s="496"/>
      <c r="NSA4" s="496"/>
      <c r="NSB4" s="496"/>
      <c r="NSC4" s="496"/>
      <c r="NSD4" s="496"/>
      <c r="NSE4" s="496"/>
      <c r="NSF4" s="496"/>
      <c r="NSG4" s="496"/>
      <c r="NSH4" s="496"/>
      <c r="NSI4" s="496"/>
      <c r="NSJ4" s="496"/>
      <c r="NSK4" s="496"/>
      <c r="NSL4" s="496"/>
      <c r="NSM4" s="496"/>
      <c r="NSN4" s="496"/>
      <c r="NSO4" s="496"/>
      <c r="NSP4" s="496"/>
      <c r="NSQ4" s="496"/>
      <c r="NSR4" s="496"/>
      <c r="NSS4" s="496"/>
      <c r="NST4" s="496"/>
      <c r="NSU4" s="496"/>
      <c r="NSV4" s="496"/>
      <c r="NSW4" s="496"/>
      <c r="NSX4" s="496"/>
      <c r="NSY4" s="496"/>
      <c r="NSZ4" s="496"/>
      <c r="NTA4" s="496"/>
      <c r="NTB4" s="496"/>
      <c r="NTC4" s="496"/>
      <c r="NTD4" s="496"/>
      <c r="NTE4" s="496"/>
      <c r="NTF4" s="496"/>
      <c r="NTG4" s="496"/>
      <c r="NTH4" s="496"/>
      <c r="NTI4" s="496"/>
      <c r="NTJ4" s="496"/>
      <c r="NTK4" s="496"/>
      <c r="NTL4" s="496"/>
      <c r="NTM4" s="496"/>
      <c r="NTN4" s="496"/>
      <c r="NTO4" s="496"/>
      <c r="NTP4" s="496"/>
      <c r="NTQ4" s="496"/>
      <c r="NTR4" s="496"/>
      <c r="NTS4" s="496"/>
      <c r="NTT4" s="496"/>
      <c r="NTU4" s="496"/>
      <c r="NTV4" s="496"/>
      <c r="NTW4" s="496"/>
      <c r="NTX4" s="496"/>
      <c r="NTY4" s="496"/>
      <c r="NTZ4" s="496"/>
      <c r="NUA4" s="496"/>
      <c r="NUB4" s="496"/>
      <c r="NUC4" s="496"/>
      <c r="NUD4" s="496"/>
      <c r="NUE4" s="496"/>
      <c r="NUF4" s="496"/>
      <c r="NUG4" s="496"/>
      <c r="NUH4" s="496"/>
      <c r="NUI4" s="496"/>
      <c r="NUJ4" s="496"/>
      <c r="NUK4" s="496"/>
      <c r="NUL4" s="496"/>
      <c r="NUM4" s="496"/>
      <c r="NUN4" s="496"/>
      <c r="NUO4" s="496"/>
      <c r="NUP4" s="496"/>
      <c r="NUQ4" s="496"/>
      <c r="NUR4" s="496"/>
      <c r="NUS4" s="496"/>
      <c r="NUT4" s="496"/>
      <c r="NUU4" s="496"/>
      <c r="NUV4" s="496"/>
      <c r="NUW4" s="496"/>
      <c r="NUX4" s="496"/>
      <c r="NUY4" s="496"/>
      <c r="NUZ4" s="496"/>
      <c r="NVA4" s="496"/>
      <c r="NVB4" s="496"/>
      <c r="NVC4" s="496"/>
      <c r="NVD4" s="496"/>
      <c r="NVE4" s="496"/>
      <c r="NVF4" s="496"/>
      <c r="NVG4" s="496"/>
      <c r="NVH4" s="496"/>
      <c r="NVI4" s="496"/>
      <c r="NVJ4" s="496"/>
      <c r="NVK4" s="496"/>
      <c r="NVL4" s="496"/>
      <c r="NVM4" s="496"/>
      <c r="NVN4" s="496"/>
      <c r="NVO4" s="496"/>
      <c r="NVP4" s="496"/>
      <c r="NVQ4" s="496"/>
      <c r="NVR4" s="496"/>
      <c r="NVS4" s="496"/>
      <c r="NVT4" s="496"/>
      <c r="NVU4" s="496"/>
      <c r="NVV4" s="496"/>
      <c r="NVW4" s="496"/>
      <c r="NVX4" s="496"/>
      <c r="NVY4" s="496"/>
      <c r="NVZ4" s="496"/>
      <c r="NWA4" s="496"/>
      <c r="NWB4" s="496"/>
      <c r="NWC4" s="496"/>
      <c r="NWD4" s="496"/>
      <c r="NWE4" s="496"/>
      <c r="NWF4" s="496"/>
      <c r="NWG4" s="496"/>
      <c r="NWH4" s="496"/>
      <c r="NWI4" s="496"/>
      <c r="NWJ4" s="496"/>
      <c r="NWK4" s="496"/>
      <c r="NWL4" s="496"/>
      <c r="NWM4" s="496"/>
      <c r="NWN4" s="496"/>
      <c r="NWO4" s="496"/>
      <c r="NWP4" s="496"/>
      <c r="NWQ4" s="496"/>
      <c r="NWR4" s="496"/>
      <c r="NWS4" s="496"/>
      <c r="NWT4" s="496"/>
      <c r="NWU4" s="496"/>
      <c r="NWV4" s="496"/>
      <c r="NWW4" s="496"/>
      <c r="NWX4" s="496"/>
      <c r="NWY4" s="496"/>
      <c r="NWZ4" s="496"/>
      <c r="NXA4" s="496"/>
      <c r="NXB4" s="496"/>
      <c r="NXC4" s="496"/>
      <c r="NXD4" s="496"/>
      <c r="NXE4" s="496"/>
      <c r="NXF4" s="496"/>
      <c r="NXG4" s="496"/>
      <c r="NXH4" s="496"/>
      <c r="NXI4" s="496"/>
      <c r="NXJ4" s="496"/>
      <c r="NXK4" s="496"/>
      <c r="NXL4" s="496"/>
      <c r="NXM4" s="496"/>
      <c r="NXN4" s="496"/>
      <c r="NXO4" s="496"/>
      <c r="NXP4" s="496"/>
      <c r="NXQ4" s="496"/>
      <c r="NXR4" s="496"/>
      <c r="NXS4" s="496"/>
      <c r="NXT4" s="496"/>
      <c r="NXU4" s="496"/>
      <c r="NXV4" s="496"/>
      <c r="NXW4" s="496"/>
      <c r="NXX4" s="496"/>
      <c r="NXY4" s="496"/>
      <c r="NXZ4" s="496"/>
      <c r="NYA4" s="496"/>
      <c r="NYB4" s="496"/>
      <c r="NYC4" s="496"/>
      <c r="NYD4" s="496"/>
      <c r="NYE4" s="496"/>
      <c r="NYF4" s="496"/>
      <c r="NYG4" s="496"/>
      <c r="NYH4" s="496"/>
      <c r="NYI4" s="496"/>
      <c r="NYJ4" s="496"/>
      <c r="NYK4" s="496"/>
      <c r="NYL4" s="496"/>
      <c r="NYM4" s="496"/>
      <c r="NYN4" s="496"/>
      <c r="NYO4" s="496"/>
      <c r="NYP4" s="496"/>
      <c r="NYQ4" s="496"/>
      <c r="NYR4" s="496"/>
      <c r="NYS4" s="496"/>
      <c r="NYT4" s="496"/>
      <c r="NYU4" s="496"/>
      <c r="NYV4" s="496"/>
      <c r="NYW4" s="496"/>
      <c r="NYX4" s="496"/>
      <c r="NYY4" s="496"/>
      <c r="NYZ4" s="496"/>
      <c r="NZA4" s="496"/>
      <c r="NZB4" s="496"/>
      <c r="NZC4" s="496"/>
      <c r="NZD4" s="496"/>
      <c r="NZE4" s="496"/>
      <c r="NZF4" s="496"/>
      <c r="NZG4" s="496"/>
      <c r="NZH4" s="496"/>
      <c r="NZI4" s="496"/>
      <c r="NZJ4" s="496"/>
      <c r="NZK4" s="496"/>
      <c r="NZL4" s="496"/>
      <c r="NZM4" s="496"/>
      <c r="NZN4" s="496"/>
      <c r="NZO4" s="496"/>
      <c r="NZP4" s="496"/>
      <c r="NZQ4" s="496"/>
      <c r="NZR4" s="496"/>
      <c r="NZS4" s="496"/>
      <c r="NZT4" s="496"/>
      <c r="NZU4" s="496"/>
      <c r="NZV4" s="496"/>
      <c r="NZW4" s="496"/>
      <c r="NZX4" s="496"/>
      <c r="NZY4" s="496"/>
      <c r="NZZ4" s="496"/>
      <c r="OAA4" s="496"/>
      <c r="OAB4" s="496"/>
      <c r="OAC4" s="496"/>
      <c r="OAD4" s="496"/>
      <c r="OAE4" s="496"/>
      <c r="OAF4" s="496"/>
      <c r="OAG4" s="496"/>
      <c r="OAH4" s="496"/>
      <c r="OAI4" s="496"/>
      <c r="OAJ4" s="496"/>
      <c r="OAK4" s="496"/>
      <c r="OAL4" s="496"/>
      <c r="OAM4" s="496"/>
      <c r="OAN4" s="496"/>
      <c r="OAO4" s="496"/>
      <c r="OAP4" s="496"/>
      <c r="OAQ4" s="496"/>
      <c r="OAR4" s="496"/>
      <c r="OAS4" s="496"/>
      <c r="OAT4" s="496"/>
      <c r="OAU4" s="496"/>
      <c r="OAV4" s="496"/>
      <c r="OAW4" s="496"/>
      <c r="OAX4" s="496"/>
      <c r="OAY4" s="496"/>
      <c r="OAZ4" s="496"/>
      <c r="OBA4" s="496"/>
      <c r="OBB4" s="496"/>
      <c r="OBC4" s="496"/>
      <c r="OBD4" s="496"/>
      <c r="OBE4" s="496"/>
      <c r="OBF4" s="496"/>
      <c r="OBG4" s="496"/>
      <c r="OBH4" s="496"/>
      <c r="OBI4" s="496"/>
      <c r="OBJ4" s="496"/>
      <c r="OBK4" s="496"/>
      <c r="OBL4" s="496"/>
      <c r="OBM4" s="496"/>
      <c r="OBN4" s="496"/>
      <c r="OBO4" s="496"/>
      <c r="OBP4" s="496"/>
      <c r="OBQ4" s="496"/>
      <c r="OBR4" s="496"/>
      <c r="OBS4" s="496"/>
      <c r="OBT4" s="496"/>
      <c r="OBU4" s="496"/>
      <c r="OBV4" s="496"/>
      <c r="OBW4" s="496"/>
      <c r="OBX4" s="496"/>
      <c r="OBY4" s="496"/>
      <c r="OBZ4" s="496"/>
      <c r="OCA4" s="496"/>
      <c r="OCB4" s="496"/>
      <c r="OCC4" s="496"/>
      <c r="OCD4" s="496"/>
      <c r="OCE4" s="496"/>
      <c r="OCF4" s="496"/>
      <c r="OCG4" s="496"/>
      <c r="OCH4" s="496"/>
      <c r="OCI4" s="496"/>
      <c r="OCJ4" s="496"/>
      <c r="OCK4" s="496"/>
      <c r="OCL4" s="496"/>
      <c r="OCM4" s="496"/>
      <c r="OCN4" s="496"/>
      <c r="OCO4" s="496"/>
      <c r="OCP4" s="496"/>
      <c r="OCQ4" s="496"/>
      <c r="OCR4" s="496"/>
      <c r="OCS4" s="496"/>
      <c r="OCT4" s="496"/>
      <c r="OCU4" s="496"/>
      <c r="OCV4" s="496"/>
      <c r="OCW4" s="496"/>
      <c r="OCX4" s="496"/>
      <c r="OCY4" s="496"/>
      <c r="OCZ4" s="496"/>
      <c r="ODA4" s="496"/>
      <c r="ODB4" s="496"/>
      <c r="ODC4" s="496"/>
      <c r="ODD4" s="496"/>
      <c r="ODE4" s="496"/>
      <c r="ODF4" s="496"/>
      <c r="ODG4" s="496"/>
      <c r="ODH4" s="496"/>
      <c r="ODI4" s="496"/>
      <c r="ODJ4" s="496"/>
      <c r="ODK4" s="496"/>
      <c r="ODL4" s="496"/>
      <c r="ODM4" s="496"/>
      <c r="ODN4" s="496"/>
      <c r="ODO4" s="496"/>
      <c r="ODP4" s="496"/>
      <c r="ODQ4" s="496"/>
      <c r="ODR4" s="496"/>
      <c r="ODS4" s="496"/>
      <c r="ODT4" s="496"/>
      <c r="ODU4" s="496"/>
      <c r="ODV4" s="496"/>
      <c r="ODW4" s="496"/>
      <c r="ODX4" s="496"/>
      <c r="ODY4" s="496"/>
      <c r="ODZ4" s="496"/>
      <c r="OEA4" s="496"/>
      <c r="OEB4" s="496"/>
      <c r="OEC4" s="496"/>
      <c r="OED4" s="496"/>
      <c r="OEE4" s="496"/>
      <c r="OEF4" s="496"/>
      <c r="OEG4" s="496"/>
      <c r="OEH4" s="496"/>
      <c r="OEI4" s="496"/>
      <c r="OEJ4" s="496"/>
      <c r="OEK4" s="496"/>
      <c r="OEL4" s="496"/>
      <c r="OEM4" s="496"/>
      <c r="OEN4" s="496"/>
      <c r="OEO4" s="496"/>
      <c r="OEP4" s="496"/>
      <c r="OEQ4" s="496"/>
      <c r="OER4" s="496"/>
      <c r="OES4" s="496"/>
      <c r="OET4" s="496"/>
      <c r="OEU4" s="496"/>
      <c r="OEV4" s="496"/>
      <c r="OEW4" s="496"/>
      <c r="OEX4" s="496"/>
      <c r="OEY4" s="496"/>
      <c r="OEZ4" s="496"/>
      <c r="OFA4" s="496"/>
      <c r="OFB4" s="496"/>
      <c r="OFC4" s="496"/>
      <c r="OFD4" s="496"/>
      <c r="OFE4" s="496"/>
      <c r="OFF4" s="496"/>
      <c r="OFG4" s="496"/>
      <c r="OFH4" s="496"/>
      <c r="OFI4" s="496"/>
      <c r="OFJ4" s="496"/>
      <c r="OFK4" s="496"/>
      <c r="OFL4" s="496"/>
      <c r="OFM4" s="496"/>
      <c r="OFN4" s="496"/>
      <c r="OFO4" s="496"/>
      <c r="OFP4" s="496"/>
      <c r="OFQ4" s="496"/>
      <c r="OFR4" s="496"/>
      <c r="OFS4" s="496"/>
      <c r="OFT4" s="496"/>
      <c r="OFU4" s="496"/>
      <c r="OFV4" s="496"/>
      <c r="OFW4" s="496"/>
      <c r="OFX4" s="496"/>
      <c r="OFY4" s="496"/>
      <c r="OFZ4" s="496"/>
      <c r="OGA4" s="496"/>
      <c r="OGB4" s="496"/>
      <c r="OGC4" s="496"/>
      <c r="OGD4" s="496"/>
      <c r="OGE4" s="496"/>
      <c r="OGF4" s="496"/>
      <c r="OGG4" s="496"/>
      <c r="OGH4" s="496"/>
      <c r="OGI4" s="496"/>
      <c r="OGJ4" s="496"/>
      <c r="OGK4" s="496"/>
      <c r="OGL4" s="496"/>
      <c r="OGM4" s="496"/>
      <c r="OGN4" s="496"/>
      <c r="OGO4" s="496"/>
      <c r="OGP4" s="496"/>
      <c r="OGQ4" s="496"/>
      <c r="OGR4" s="496"/>
      <c r="OGS4" s="496"/>
      <c r="OGT4" s="496"/>
      <c r="OGU4" s="496"/>
      <c r="OGV4" s="496"/>
      <c r="OGW4" s="496"/>
      <c r="OGX4" s="496"/>
      <c r="OGY4" s="496"/>
      <c r="OGZ4" s="496"/>
      <c r="OHA4" s="496"/>
      <c r="OHB4" s="496"/>
      <c r="OHC4" s="496"/>
      <c r="OHD4" s="496"/>
      <c r="OHE4" s="496"/>
      <c r="OHF4" s="496"/>
      <c r="OHG4" s="496"/>
      <c r="OHH4" s="496"/>
      <c r="OHI4" s="496"/>
      <c r="OHJ4" s="496"/>
      <c r="OHK4" s="496"/>
      <c r="OHL4" s="496"/>
      <c r="OHM4" s="496"/>
      <c r="OHN4" s="496"/>
      <c r="OHO4" s="496"/>
      <c r="OHP4" s="496"/>
      <c r="OHQ4" s="496"/>
      <c r="OHR4" s="496"/>
      <c r="OHS4" s="496"/>
      <c r="OHT4" s="496"/>
      <c r="OHU4" s="496"/>
      <c r="OHV4" s="496"/>
      <c r="OHW4" s="496"/>
      <c r="OHX4" s="496"/>
      <c r="OHY4" s="496"/>
      <c r="OHZ4" s="496"/>
      <c r="OIA4" s="496"/>
      <c r="OIB4" s="496"/>
      <c r="OIC4" s="496"/>
      <c r="OID4" s="496"/>
      <c r="OIE4" s="496"/>
      <c r="OIF4" s="496"/>
      <c r="OIG4" s="496"/>
      <c r="OIH4" s="496"/>
      <c r="OII4" s="496"/>
      <c r="OIJ4" s="496"/>
      <c r="OIK4" s="496"/>
      <c r="OIL4" s="496"/>
      <c r="OIM4" s="496"/>
      <c r="OIN4" s="496"/>
      <c r="OIO4" s="496"/>
      <c r="OIP4" s="496"/>
      <c r="OIQ4" s="496"/>
      <c r="OIR4" s="496"/>
      <c r="OIS4" s="496"/>
      <c r="OIT4" s="496"/>
      <c r="OIU4" s="496"/>
      <c r="OIV4" s="496"/>
      <c r="OIW4" s="496"/>
      <c r="OIX4" s="496"/>
      <c r="OIY4" s="496"/>
      <c r="OIZ4" s="496"/>
      <c r="OJA4" s="496"/>
      <c r="OJB4" s="496"/>
      <c r="OJC4" s="496"/>
      <c r="OJD4" s="496"/>
      <c r="OJE4" s="496"/>
      <c r="OJF4" s="496"/>
      <c r="OJG4" s="496"/>
      <c r="OJH4" s="496"/>
      <c r="OJI4" s="496"/>
      <c r="OJJ4" s="496"/>
      <c r="OJK4" s="496"/>
      <c r="OJL4" s="496"/>
      <c r="OJM4" s="496"/>
      <c r="OJN4" s="496"/>
      <c r="OJO4" s="496"/>
      <c r="OJP4" s="496"/>
      <c r="OJQ4" s="496"/>
      <c r="OJR4" s="496"/>
      <c r="OJS4" s="496"/>
      <c r="OJT4" s="496"/>
      <c r="OJU4" s="496"/>
      <c r="OJV4" s="496"/>
      <c r="OJW4" s="496"/>
      <c r="OJX4" s="496"/>
      <c r="OJY4" s="496"/>
      <c r="OJZ4" s="496"/>
      <c r="OKA4" s="496"/>
      <c r="OKB4" s="496"/>
      <c r="OKC4" s="496"/>
      <c r="OKD4" s="496"/>
      <c r="OKE4" s="496"/>
      <c r="OKF4" s="496"/>
      <c r="OKG4" s="496"/>
      <c r="OKH4" s="496"/>
      <c r="OKI4" s="496"/>
      <c r="OKJ4" s="496"/>
      <c r="OKK4" s="496"/>
      <c r="OKL4" s="496"/>
      <c r="OKM4" s="496"/>
      <c r="OKN4" s="496"/>
      <c r="OKO4" s="496"/>
      <c r="OKP4" s="496"/>
      <c r="OKQ4" s="496"/>
      <c r="OKR4" s="496"/>
      <c r="OKS4" s="496"/>
      <c r="OKT4" s="496"/>
      <c r="OKU4" s="496"/>
      <c r="OKV4" s="496"/>
      <c r="OKW4" s="496"/>
      <c r="OKX4" s="496"/>
      <c r="OKY4" s="496"/>
      <c r="OKZ4" s="496"/>
      <c r="OLA4" s="496"/>
      <c r="OLB4" s="496"/>
      <c r="OLC4" s="496"/>
      <c r="OLD4" s="496"/>
      <c r="OLE4" s="496"/>
      <c r="OLF4" s="496"/>
      <c r="OLG4" s="496"/>
      <c r="OLH4" s="496"/>
      <c r="OLI4" s="496"/>
      <c r="OLJ4" s="496"/>
      <c r="OLK4" s="496"/>
      <c r="OLL4" s="496"/>
      <c r="OLM4" s="496"/>
      <c r="OLN4" s="496"/>
      <c r="OLO4" s="496"/>
      <c r="OLP4" s="496"/>
      <c r="OLQ4" s="496"/>
      <c r="OLR4" s="496"/>
      <c r="OLS4" s="496"/>
      <c r="OLT4" s="496"/>
      <c r="OLU4" s="496"/>
      <c r="OLV4" s="496"/>
      <c r="OLW4" s="496"/>
      <c r="OLX4" s="496"/>
      <c r="OLY4" s="496"/>
      <c r="OLZ4" s="496"/>
      <c r="OMA4" s="496"/>
      <c r="OMB4" s="496"/>
      <c r="OMC4" s="496"/>
      <c r="OMD4" s="496"/>
      <c r="OME4" s="496"/>
      <c r="OMF4" s="496"/>
      <c r="OMG4" s="496"/>
      <c r="OMH4" s="496"/>
      <c r="OMI4" s="496"/>
      <c r="OMJ4" s="496"/>
      <c r="OMK4" s="496"/>
      <c r="OML4" s="496"/>
      <c r="OMM4" s="496"/>
      <c r="OMN4" s="496"/>
      <c r="OMO4" s="496"/>
      <c r="OMP4" s="496"/>
      <c r="OMQ4" s="496"/>
      <c r="OMR4" s="496"/>
      <c r="OMS4" s="496"/>
      <c r="OMT4" s="496"/>
      <c r="OMU4" s="496"/>
      <c r="OMV4" s="496"/>
      <c r="OMW4" s="496"/>
      <c r="OMX4" s="496"/>
      <c r="OMY4" s="496"/>
      <c r="OMZ4" s="496"/>
      <c r="ONA4" s="496"/>
      <c r="ONB4" s="496"/>
      <c r="ONC4" s="496"/>
      <c r="OND4" s="496"/>
      <c r="ONE4" s="496"/>
      <c r="ONF4" s="496"/>
      <c r="ONG4" s="496"/>
      <c r="ONH4" s="496"/>
      <c r="ONI4" s="496"/>
      <c r="ONJ4" s="496"/>
      <c r="ONK4" s="496"/>
      <c r="ONL4" s="496"/>
      <c r="ONM4" s="496"/>
      <c r="ONN4" s="496"/>
      <c r="ONO4" s="496"/>
      <c r="ONP4" s="496"/>
      <c r="ONQ4" s="496"/>
      <c r="ONR4" s="496"/>
      <c r="ONS4" s="496"/>
      <c r="ONT4" s="496"/>
      <c r="ONU4" s="496"/>
      <c r="ONV4" s="496"/>
      <c r="ONW4" s="496"/>
      <c r="ONX4" s="496"/>
      <c r="ONY4" s="496"/>
      <c r="ONZ4" s="496"/>
      <c r="OOA4" s="496"/>
      <c r="OOB4" s="496"/>
      <c r="OOC4" s="496"/>
      <c r="OOD4" s="496"/>
      <c r="OOE4" s="496"/>
      <c r="OOF4" s="496"/>
      <c r="OOG4" s="496"/>
      <c r="OOH4" s="496"/>
      <c r="OOI4" s="496"/>
      <c r="OOJ4" s="496"/>
      <c r="OOK4" s="496"/>
      <c r="OOL4" s="496"/>
      <c r="OOM4" s="496"/>
      <c r="OON4" s="496"/>
      <c r="OOO4" s="496"/>
      <c r="OOP4" s="496"/>
      <c r="OOQ4" s="496"/>
      <c r="OOR4" s="496"/>
      <c r="OOS4" s="496"/>
      <c r="OOT4" s="496"/>
      <c r="OOU4" s="496"/>
      <c r="OOV4" s="496"/>
      <c r="OOW4" s="496"/>
      <c r="OOX4" s="496"/>
      <c r="OOY4" s="496"/>
      <c r="OOZ4" s="496"/>
      <c r="OPA4" s="496"/>
      <c r="OPB4" s="496"/>
      <c r="OPC4" s="496"/>
      <c r="OPD4" s="496"/>
      <c r="OPE4" s="496"/>
      <c r="OPF4" s="496"/>
      <c r="OPG4" s="496"/>
      <c r="OPH4" s="496"/>
      <c r="OPI4" s="496"/>
      <c r="OPJ4" s="496"/>
      <c r="OPK4" s="496"/>
      <c r="OPL4" s="496"/>
      <c r="OPM4" s="496"/>
      <c r="OPN4" s="496"/>
      <c r="OPO4" s="496"/>
      <c r="OPP4" s="496"/>
      <c r="OPQ4" s="496"/>
      <c r="OPR4" s="496"/>
      <c r="OPS4" s="496"/>
      <c r="OPT4" s="496"/>
      <c r="OPU4" s="496"/>
      <c r="OPV4" s="496"/>
      <c r="OPW4" s="496"/>
      <c r="OPX4" s="496"/>
      <c r="OPY4" s="496"/>
      <c r="OPZ4" s="496"/>
      <c r="OQA4" s="496"/>
      <c r="OQB4" s="496"/>
      <c r="OQC4" s="496"/>
      <c r="OQD4" s="496"/>
      <c r="OQE4" s="496"/>
      <c r="OQF4" s="496"/>
      <c r="OQG4" s="496"/>
      <c r="OQH4" s="496"/>
      <c r="OQI4" s="496"/>
      <c r="OQJ4" s="496"/>
      <c r="OQK4" s="496"/>
      <c r="OQL4" s="496"/>
      <c r="OQM4" s="496"/>
      <c r="OQN4" s="496"/>
      <c r="OQO4" s="496"/>
      <c r="OQP4" s="496"/>
      <c r="OQQ4" s="496"/>
      <c r="OQR4" s="496"/>
      <c r="OQS4" s="496"/>
      <c r="OQT4" s="496"/>
      <c r="OQU4" s="496"/>
      <c r="OQV4" s="496"/>
      <c r="OQW4" s="496"/>
      <c r="OQX4" s="496"/>
      <c r="OQY4" s="496"/>
      <c r="OQZ4" s="496"/>
      <c r="ORA4" s="496"/>
      <c r="ORB4" s="496"/>
      <c r="ORC4" s="496"/>
      <c r="ORD4" s="496"/>
      <c r="ORE4" s="496"/>
      <c r="ORF4" s="496"/>
      <c r="ORG4" s="496"/>
      <c r="ORH4" s="496"/>
      <c r="ORI4" s="496"/>
      <c r="ORJ4" s="496"/>
      <c r="ORK4" s="496"/>
      <c r="ORL4" s="496"/>
      <c r="ORM4" s="496"/>
      <c r="ORN4" s="496"/>
      <c r="ORO4" s="496"/>
      <c r="ORP4" s="496"/>
      <c r="ORQ4" s="496"/>
      <c r="ORR4" s="496"/>
      <c r="ORS4" s="496"/>
      <c r="ORT4" s="496"/>
      <c r="ORU4" s="496"/>
      <c r="ORV4" s="496"/>
      <c r="ORW4" s="496"/>
      <c r="ORX4" s="496"/>
      <c r="ORY4" s="496"/>
      <c r="ORZ4" s="496"/>
      <c r="OSA4" s="496"/>
      <c r="OSB4" s="496"/>
      <c r="OSC4" s="496"/>
      <c r="OSD4" s="496"/>
      <c r="OSE4" s="496"/>
      <c r="OSF4" s="496"/>
      <c r="OSG4" s="496"/>
      <c r="OSH4" s="496"/>
      <c r="OSI4" s="496"/>
      <c r="OSJ4" s="496"/>
      <c r="OSK4" s="496"/>
      <c r="OSL4" s="496"/>
      <c r="OSM4" s="496"/>
      <c r="OSN4" s="496"/>
      <c r="OSO4" s="496"/>
      <c r="OSP4" s="496"/>
      <c r="OSQ4" s="496"/>
      <c r="OSR4" s="496"/>
      <c r="OSS4" s="496"/>
      <c r="OST4" s="496"/>
      <c r="OSU4" s="496"/>
      <c r="OSV4" s="496"/>
      <c r="OSW4" s="496"/>
      <c r="OSX4" s="496"/>
      <c r="OSY4" s="496"/>
      <c r="OSZ4" s="496"/>
      <c r="OTA4" s="496"/>
      <c r="OTB4" s="496"/>
      <c r="OTC4" s="496"/>
      <c r="OTD4" s="496"/>
      <c r="OTE4" s="496"/>
      <c r="OTF4" s="496"/>
      <c r="OTG4" s="496"/>
      <c r="OTH4" s="496"/>
      <c r="OTI4" s="496"/>
      <c r="OTJ4" s="496"/>
      <c r="OTK4" s="496"/>
      <c r="OTL4" s="496"/>
      <c r="OTM4" s="496"/>
      <c r="OTN4" s="496"/>
      <c r="OTO4" s="496"/>
      <c r="OTP4" s="496"/>
      <c r="OTQ4" s="496"/>
      <c r="OTR4" s="496"/>
      <c r="OTS4" s="496"/>
      <c r="OTT4" s="496"/>
      <c r="OTU4" s="496"/>
      <c r="OTV4" s="496"/>
      <c r="OTW4" s="496"/>
      <c r="OTX4" s="496"/>
      <c r="OTY4" s="496"/>
      <c r="OTZ4" s="496"/>
      <c r="OUA4" s="496"/>
      <c r="OUB4" s="496"/>
      <c r="OUC4" s="496"/>
      <c r="OUD4" s="496"/>
      <c r="OUE4" s="496"/>
      <c r="OUF4" s="496"/>
      <c r="OUG4" s="496"/>
      <c r="OUH4" s="496"/>
      <c r="OUI4" s="496"/>
      <c r="OUJ4" s="496"/>
      <c r="OUK4" s="496"/>
      <c r="OUL4" s="496"/>
      <c r="OUM4" s="496"/>
      <c r="OUN4" s="496"/>
      <c r="OUO4" s="496"/>
      <c r="OUP4" s="496"/>
      <c r="OUQ4" s="496"/>
      <c r="OUR4" s="496"/>
      <c r="OUS4" s="496"/>
      <c r="OUT4" s="496"/>
      <c r="OUU4" s="496"/>
      <c r="OUV4" s="496"/>
      <c r="OUW4" s="496"/>
      <c r="OUX4" s="496"/>
      <c r="OUY4" s="496"/>
      <c r="OUZ4" s="496"/>
      <c r="OVA4" s="496"/>
      <c r="OVB4" s="496"/>
      <c r="OVC4" s="496"/>
      <c r="OVD4" s="496"/>
      <c r="OVE4" s="496"/>
      <c r="OVF4" s="496"/>
      <c r="OVG4" s="496"/>
      <c r="OVH4" s="496"/>
      <c r="OVI4" s="496"/>
      <c r="OVJ4" s="496"/>
      <c r="OVK4" s="496"/>
      <c r="OVL4" s="496"/>
      <c r="OVM4" s="496"/>
      <c r="OVN4" s="496"/>
      <c r="OVO4" s="496"/>
      <c r="OVP4" s="496"/>
      <c r="OVQ4" s="496"/>
      <c r="OVR4" s="496"/>
      <c r="OVS4" s="496"/>
      <c r="OVT4" s="496"/>
      <c r="OVU4" s="496"/>
      <c r="OVV4" s="496"/>
      <c r="OVW4" s="496"/>
      <c r="OVX4" s="496"/>
      <c r="OVY4" s="496"/>
      <c r="OVZ4" s="496"/>
      <c r="OWA4" s="496"/>
      <c r="OWB4" s="496"/>
      <c r="OWC4" s="496"/>
      <c r="OWD4" s="496"/>
      <c r="OWE4" s="496"/>
      <c r="OWF4" s="496"/>
      <c r="OWG4" s="496"/>
      <c r="OWH4" s="496"/>
      <c r="OWI4" s="496"/>
      <c r="OWJ4" s="496"/>
      <c r="OWK4" s="496"/>
      <c r="OWL4" s="496"/>
      <c r="OWM4" s="496"/>
      <c r="OWN4" s="496"/>
      <c r="OWO4" s="496"/>
      <c r="OWP4" s="496"/>
      <c r="OWQ4" s="496"/>
      <c r="OWR4" s="496"/>
      <c r="OWS4" s="496"/>
      <c r="OWT4" s="496"/>
      <c r="OWU4" s="496"/>
      <c r="OWV4" s="496"/>
      <c r="OWW4" s="496"/>
      <c r="OWX4" s="496"/>
      <c r="OWY4" s="496"/>
      <c r="OWZ4" s="496"/>
      <c r="OXA4" s="496"/>
      <c r="OXB4" s="496"/>
      <c r="OXC4" s="496"/>
      <c r="OXD4" s="496"/>
      <c r="OXE4" s="496"/>
      <c r="OXF4" s="496"/>
      <c r="OXG4" s="496"/>
      <c r="OXH4" s="496"/>
      <c r="OXI4" s="496"/>
      <c r="OXJ4" s="496"/>
      <c r="OXK4" s="496"/>
      <c r="OXL4" s="496"/>
      <c r="OXM4" s="496"/>
      <c r="OXN4" s="496"/>
      <c r="OXO4" s="496"/>
      <c r="OXP4" s="496"/>
      <c r="OXQ4" s="496"/>
      <c r="OXR4" s="496"/>
      <c r="OXS4" s="496"/>
      <c r="OXT4" s="496"/>
      <c r="OXU4" s="496"/>
      <c r="OXV4" s="496"/>
      <c r="OXW4" s="496"/>
      <c r="OXX4" s="496"/>
      <c r="OXY4" s="496"/>
      <c r="OXZ4" s="496"/>
      <c r="OYA4" s="496"/>
      <c r="OYB4" s="496"/>
      <c r="OYC4" s="496"/>
      <c r="OYD4" s="496"/>
      <c r="OYE4" s="496"/>
      <c r="OYF4" s="496"/>
      <c r="OYG4" s="496"/>
      <c r="OYH4" s="496"/>
      <c r="OYI4" s="496"/>
      <c r="OYJ4" s="496"/>
      <c r="OYK4" s="496"/>
      <c r="OYL4" s="496"/>
      <c r="OYM4" s="496"/>
      <c r="OYN4" s="496"/>
      <c r="OYO4" s="496"/>
      <c r="OYP4" s="496"/>
      <c r="OYQ4" s="496"/>
      <c r="OYR4" s="496"/>
      <c r="OYS4" s="496"/>
      <c r="OYT4" s="496"/>
      <c r="OYU4" s="496"/>
      <c r="OYV4" s="496"/>
      <c r="OYW4" s="496"/>
      <c r="OYX4" s="496"/>
      <c r="OYY4" s="496"/>
      <c r="OYZ4" s="496"/>
      <c r="OZA4" s="496"/>
      <c r="OZB4" s="496"/>
      <c r="OZC4" s="496"/>
      <c r="OZD4" s="496"/>
      <c r="OZE4" s="496"/>
      <c r="OZF4" s="496"/>
      <c r="OZG4" s="496"/>
      <c r="OZH4" s="496"/>
      <c r="OZI4" s="496"/>
      <c r="OZJ4" s="496"/>
      <c r="OZK4" s="496"/>
      <c r="OZL4" s="496"/>
      <c r="OZM4" s="496"/>
      <c r="OZN4" s="496"/>
      <c r="OZO4" s="496"/>
      <c r="OZP4" s="496"/>
      <c r="OZQ4" s="496"/>
      <c r="OZR4" s="496"/>
      <c r="OZS4" s="496"/>
      <c r="OZT4" s="496"/>
      <c r="OZU4" s="496"/>
      <c r="OZV4" s="496"/>
      <c r="OZW4" s="496"/>
      <c r="OZX4" s="496"/>
      <c r="OZY4" s="496"/>
      <c r="OZZ4" s="496"/>
      <c r="PAA4" s="496"/>
      <c r="PAB4" s="496"/>
      <c r="PAC4" s="496"/>
      <c r="PAD4" s="496"/>
      <c r="PAE4" s="496"/>
      <c r="PAF4" s="496"/>
      <c r="PAG4" s="496"/>
      <c r="PAH4" s="496"/>
      <c r="PAI4" s="496"/>
      <c r="PAJ4" s="496"/>
      <c r="PAK4" s="496"/>
      <c r="PAL4" s="496"/>
      <c r="PAM4" s="496"/>
      <c r="PAN4" s="496"/>
      <c r="PAO4" s="496"/>
      <c r="PAP4" s="496"/>
      <c r="PAQ4" s="496"/>
      <c r="PAR4" s="496"/>
      <c r="PAS4" s="496"/>
      <c r="PAT4" s="496"/>
      <c r="PAU4" s="496"/>
      <c r="PAV4" s="496"/>
      <c r="PAW4" s="496"/>
      <c r="PAX4" s="496"/>
      <c r="PAY4" s="496"/>
      <c r="PAZ4" s="496"/>
      <c r="PBA4" s="496"/>
      <c r="PBB4" s="496"/>
      <c r="PBC4" s="496"/>
      <c r="PBD4" s="496"/>
      <c r="PBE4" s="496"/>
      <c r="PBF4" s="496"/>
      <c r="PBG4" s="496"/>
      <c r="PBH4" s="496"/>
      <c r="PBI4" s="496"/>
      <c r="PBJ4" s="496"/>
      <c r="PBK4" s="496"/>
      <c r="PBL4" s="496"/>
      <c r="PBM4" s="496"/>
      <c r="PBN4" s="496"/>
      <c r="PBO4" s="496"/>
      <c r="PBP4" s="496"/>
      <c r="PBQ4" s="496"/>
      <c r="PBR4" s="496"/>
      <c r="PBS4" s="496"/>
      <c r="PBT4" s="496"/>
      <c r="PBU4" s="496"/>
      <c r="PBV4" s="496"/>
      <c r="PBW4" s="496"/>
      <c r="PBX4" s="496"/>
      <c r="PBY4" s="496"/>
      <c r="PBZ4" s="496"/>
      <c r="PCA4" s="496"/>
      <c r="PCB4" s="496"/>
      <c r="PCC4" s="496"/>
      <c r="PCD4" s="496"/>
      <c r="PCE4" s="496"/>
      <c r="PCF4" s="496"/>
      <c r="PCG4" s="496"/>
      <c r="PCH4" s="496"/>
      <c r="PCI4" s="496"/>
      <c r="PCJ4" s="496"/>
      <c r="PCK4" s="496"/>
      <c r="PCL4" s="496"/>
      <c r="PCM4" s="496"/>
      <c r="PCN4" s="496"/>
      <c r="PCO4" s="496"/>
      <c r="PCP4" s="496"/>
      <c r="PCQ4" s="496"/>
      <c r="PCR4" s="496"/>
      <c r="PCS4" s="496"/>
      <c r="PCT4" s="496"/>
      <c r="PCU4" s="496"/>
      <c r="PCV4" s="496"/>
      <c r="PCW4" s="496"/>
      <c r="PCX4" s="496"/>
      <c r="PCY4" s="496"/>
      <c r="PCZ4" s="496"/>
      <c r="PDA4" s="496"/>
      <c r="PDB4" s="496"/>
      <c r="PDC4" s="496"/>
      <c r="PDD4" s="496"/>
      <c r="PDE4" s="496"/>
      <c r="PDF4" s="496"/>
      <c r="PDG4" s="496"/>
      <c r="PDH4" s="496"/>
      <c r="PDI4" s="496"/>
      <c r="PDJ4" s="496"/>
      <c r="PDK4" s="496"/>
      <c r="PDL4" s="496"/>
      <c r="PDM4" s="496"/>
      <c r="PDN4" s="496"/>
      <c r="PDO4" s="496"/>
      <c r="PDP4" s="496"/>
      <c r="PDQ4" s="496"/>
      <c r="PDR4" s="496"/>
      <c r="PDS4" s="496"/>
      <c r="PDT4" s="496"/>
      <c r="PDU4" s="496"/>
      <c r="PDV4" s="496"/>
      <c r="PDW4" s="496"/>
      <c r="PDX4" s="496"/>
      <c r="PDY4" s="496"/>
      <c r="PDZ4" s="496"/>
      <c r="PEA4" s="496"/>
      <c r="PEB4" s="496"/>
      <c r="PEC4" s="496"/>
      <c r="PED4" s="496"/>
      <c r="PEE4" s="496"/>
      <c r="PEF4" s="496"/>
      <c r="PEG4" s="496"/>
      <c r="PEH4" s="496"/>
      <c r="PEI4" s="496"/>
      <c r="PEJ4" s="496"/>
      <c r="PEK4" s="496"/>
      <c r="PEL4" s="496"/>
      <c r="PEM4" s="496"/>
      <c r="PEN4" s="496"/>
      <c r="PEO4" s="496"/>
      <c r="PEP4" s="496"/>
      <c r="PEQ4" s="496"/>
      <c r="PER4" s="496"/>
      <c r="PES4" s="496"/>
      <c r="PET4" s="496"/>
      <c r="PEU4" s="496"/>
      <c r="PEV4" s="496"/>
      <c r="PEW4" s="496"/>
      <c r="PEX4" s="496"/>
      <c r="PEY4" s="496"/>
      <c r="PEZ4" s="496"/>
      <c r="PFA4" s="496"/>
      <c r="PFB4" s="496"/>
      <c r="PFC4" s="496"/>
      <c r="PFD4" s="496"/>
      <c r="PFE4" s="496"/>
      <c r="PFF4" s="496"/>
      <c r="PFG4" s="496"/>
      <c r="PFH4" s="496"/>
      <c r="PFI4" s="496"/>
      <c r="PFJ4" s="496"/>
      <c r="PFK4" s="496"/>
      <c r="PFL4" s="496"/>
      <c r="PFM4" s="496"/>
      <c r="PFN4" s="496"/>
      <c r="PFO4" s="496"/>
      <c r="PFP4" s="496"/>
      <c r="PFQ4" s="496"/>
      <c r="PFR4" s="496"/>
      <c r="PFS4" s="496"/>
      <c r="PFT4" s="496"/>
      <c r="PFU4" s="496"/>
      <c r="PFV4" s="496"/>
      <c r="PFW4" s="496"/>
      <c r="PFX4" s="496"/>
      <c r="PFY4" s="496"/>
      <c r="PFZ4" s="496"/>
      <c r="PGA4" s="496"/>
      <c r="PGB4" s="496"/>
      <c r="PGC4" s="496"/>
      <c r="PGD4" s="496"/>
      <c r="PGE4" s="496"/>
      <c r="PGF4" s="496"/>
      <c r="PGG4" s="496"/>
      <c r="PGH4" s="496"/>
      <c r="PGI4" s="496"/>
      <c r="PGJ4" s="496"/>
      <c r="PGK4" s="496"/>
      <c r="PGL4" s="496"/>
      <c r="PGM4" s="496"/>
      <c r="PGN4" s="496"/>
      <c r="PGO4" s="496"/>
      <c r="PGP4" s="496"/>
      <c r="PGQ4" s="496"/>
      <c r="PGR4" s="496"/>
      <c r="PGS4" s="496"/>
      <c r="PGT4" s="496"/>
      <c r="PGU4" s="496"/>
      <c r="PGV4" s="496"/>
      <c r="PGW4" s="496"/>
      <c r="PGX4" s="496"/>
      <c r="PGY4" s="496"/>
      <c r="PGZ4" s="496"/>
      <c r="PHA4" s="496"/>
      <c r="PHB4" s="496"/>
      <c r="PHC4" s="496"/>
      <c r="PHD4" s="496"/>
      <c r="PHE4" s="496"/>
      <c r="PHF4" s="496"/>
      <c r="PHG4" s="496"/>
      <c r="PHH4" s="496"/>
      <c r="PHI4" s="496"/>
      <c r="PHJ4" s="496"/>
      <c r="PHK4" s="496"/>
      <c r="PHL4" s="496"/>
      <c r="PHM4" s="496"/>
      <c r="PHN4" s="496"/>
      <c r="PHO4" s="496"/>
      <c r="PHP4" s="496"/>
      <c r="PHQ4" s="496"/>
      <c r="PHR4" s="496"/>
      <c r="PHS4" s="496"/>
      <c r="PHT4" s="496"/>
      <c r="PHU4" s="496"/>
      <c r="PHV4" s="496"/>
      <c r="PHW4" s="496"/>
      <c r="PHX4" s="496"/>
      <c r="PHY4" s="496"/>
      <c r="PHZ4" s="496"/>
      <c r="PIA4" s="496"/>
      <c r="PIB4" s="496"/>
      <c r="PIC4" s="496"/>
      <c r="PID4" s="496"/>
      <c r="PIE4" s="496"/>
      <c r="PIF4" s="496"/>
      <c r="PIG4" s="496"/>
      <c r="PIH4" s="496"/>
      <c r="PII4" s="496"/>
      <c r="PIJ4" s="496"/>
      <c r="PIK4" s="496"/>
      <c r="PIL4" s="496"/>
      <c r="PIM4" s="496"/>
      <c r="PIN4" s="496"/>
      <c r="PIO4" s="496"/>
      <c r="PIP4" s="496"/>
      <c r="PIQ4" s="496"/>
      <c r="PIR4" s="496"/>
      <c r="PIS4" s="496"/>
      <c r="PIT4" s="496"/>
      <c r="PIU4" s="496"/>
      <c r="PIV4" s="496"/>
      <c r="PIW4" s="496"/>
      <c r="PIX4" s="496"/>
      <c r="PIY4" s="496"/>
      <c r="PIZ4" s="496"/>
      <c r="PJA4" s="496"/>
      <c r="PJB4" s="496"/>
      <c r="PJC4" s="496"/>
      <c r="PJD4" s="496"/>
      <c r="PJE4" s="496"/>
      <c r="PJF4" s="496"/>
      <c r="PJG4" s="496"/>
      <c r="PJH4" s="496"/>
      <c r="PJI4" s="496"/>
      <c r="PJJ4" s="496"/>
      <c r="PJK4" s="496"/>
      <c r="PJL4" s="496"/>
      <c r="PJM4" s="496"/>
      <c r="PJN4" s="496"/>
      <c r="PJO4" s="496"/>
      <c r="PJP4" s="496"/>
      <c r="PJQ4" s="496"/>
      <c r="PJR4" s="496"/>
      <c r="PJS4" s="496"/>
      <c r="PJT4" s="496"/>
      <c r="PJU4" s="496"/>
      <c r="PJV4" s="496"/>
      <c r="PJW4" s="496"/>
      <c r="PJX4" s="496"/>
      <c r="PJY4" s="496"/>
      <c r="PJZ4" s="496"/>
      <c r="PKA4" s="496"/>
      <c r="PKB4" s="496"/>
      <c r="PKC4" s="496"/>
      <c r="PKD4" s="496"/>
      <c r="PKE4" s="496"/>
      <c r="PKF4" s="496"/>
      <c r="PKG4" s="496"/>
      <c r="PKH4" s="496"/>
      <c r="PKI4" s="496"/>
      <c r="PKJ4" s="496"/>
      <c r="PKK4" s="496"/>
      <c r="PKL4" s="496"/>
      <c r="PKM4" s="496"/>
      <c r="PKN4" s="496"/>
      <c r="PKO4" s="496"/>
      <c r="PKP4" s="496"/>
      <c r="PKQ4" s="496"/>
      <c r="PKR4" s="496"/>
      <c r="PKS4" s="496"/>
      <c r="PKT4" s="496"/>
      <c r="PKU4" s="496"/>
      <c r="PKV4" s="496"/>
      <c r="PKW4" s="496"/>
      <c r="PKX4" s="496"/>
      <c r="PKY4" s="496"/>
      <c r="PKZ4" s="496"/>
      <c r="PLA4" s="496"/>
      <c r="PLB4" s="496"/>
      <c r="PLC4" s="496"/>
      <c r="PLD4" s="496"/>
      <c r="PLE4" s="496"/>
      <c r="PLF4" s="496"/>
      <c r="PLG4" s="496"/>
      <c r="PLH4" s="496"/>
      <c r="PLI4" s="496"/>
      <c r="PLJ4" s="496"/>
      <c r="PLK4" s="496"/>
      <c r="PLL4" s="496"/>
      <c r="PLM4" s="496"/>
      <c r="PLN4" s="496"/>
      <c r="PLO4" s="496"/>
      <c r="PLP4" s="496"/>
      <c r="PLQ4" s="496"/>
      <c r="PLR4" s="496"/>
      <c r="PLS4" s="496"/>
      <c r="PLT4" s="496"/>
      <c r="PLU4" s="496"/>
      <c r="PLV4" s="496"/>
      <c r="PLW4" s="496"/>
      <c r="PLX4" s="496"/>
      <c r="PLY4" s="496"/>
      <c r="PLZ4" s="496"/>
      <c r="PMA4" s="496"/>
      <c r="PMB4" s="496"/>
      <c r="PMC4" s="496"/>
      <c r="PMD4" s="496"/>
      <c r="PME4" s="496"/>
      <c r="PMF4" s="496"/>
      <c r="PMG4" s="496"/>
      <c r="PMH4" s="496"/>
      <c r="PMI4" s="496"/>
      <c r="PMJ4" s="496"/>
      <c r="PMK4" s="496"/>
      <c r="PML4" s="496"/>
      <c r="PMM4" s="496"/>
      <c r="PMN4" s="496"/>
      <c r="PMO4" s="496"/>
      <c r="PMP4" s="496"/>
      <c r="PMQ4" s="496"/>
      <c r="PMR4" s="496"/>
      <c r="PMS4" s="496"/>
      <c r="PMT4" s="496"/>
      <c r="PMU4" s="496"/>
      <c r="PMV4" s="496"/>
      <c r="PMW4" s="496"/>
      <c r="PMX4" s="496"/>
      <c r="PMY4" s="496"/>
      <c r="PMZ4" s="496"/>
      <c r="PNA4" s="496"/>
      <c r="PNB4" s="496"/>
      <c r="PNC4" s="496"/>
      <c r="PND4" s="496"/>
      <c r="PNE4" s="496"/>
      <c r="PNF4" s="496"/>
      <c r="PNG4" s="496"/>
      <c r="PNH4" s="496"/>
      <c r="PNI4" s="496"/>
      <c r="PNJ4" s="496"/>
      <c r="PNK4" s="496"/>
      <c r="PNL4" s="496"/>
      <c r="PNM4" s="496"/>
      <c r="PNN4" s="496"/>
      <c r="PNO4" s="496"/>
      <c r="PNP4" s="496"/>
      <c r="PNQ4" s="496"/>
      <c r="PNR4" s="496"/>
      <c r="PNS4" s="496"/>
      <c r="PNT4" s="496"/>
      <c r="PNU4" s="496"/>
      <c r="PNV4" s="496"/>
      <c r="PNW4" s="496"/>
      <c r="PNX4" s="496"/>
      <c r="PNY4" s="496"/>
      <c r="PNZ4" s="496"/>
      <c r="POA4" s="496"/>
      <c r="POB4" s="496"/>
      <c r="POC4" s="496"/>
      <c r="POD4" s="496"/>
      <c r="POE4" s="496"/>
      <c r="POF4" s="496"/>
      <c r="POG4" s="496"/>
      <c r="POH4" s="496"/>
      <c r="POI4" s="496"/>
      <c r="POJ4" s="496"/>
      <c r="POK4" s="496"/>
      <c r="POL4" s="496"/>
      <c r="POM4" s="496"/>
      <c r="PON4" s="496"/>
      <c r="POO4" s="496"/>
      <c r="POP4" s="496"/>
      <c r="POQ4" s="496"/>
      <c r="POR4" s="496"/>
      <c r="POS4" s="496"/>
      <c r="POT4" s="496"/>
      <c r="POU4" s="496"/>
      <c r="POV4" s="496"/>
      <c r="POW4" s="496"/>
      <c r="POX4" s="496"/>
      <c r="POY4" s="496"/>
      <c r="POZ4" s="496"/>
      <c r="PPA4" s="496"/>
      <c r="PPB4" s="496"/>
      <c r="PPC4" s="496"/>
      <c r="PPD4" s="496"/>
      <c r="PPE4" s="496"/>
      <c r="PPF4" s="496"/>
      <c r="PPG4" s="496"/>
      <c r="PPH4" s="496"/>
      <c r="PPI4" s="496"/>
      <c r="PPJ4" s="496"/>
      <c r="PPK4" s="496"/>
      <c r="PPL4" s="496"/>
      <c r="PPM4" s="496"/>
      <c r="PPN4" s="496"/>
      <c r="PPO4" s="496"/>
      <c r="PPP4" s="496"/>
      <c r="PPQ4" s="496"/>
      <c r="PPR4" s="496"/>
      <c r="PPS4" s="496"/>
      <c r="PPT4" s="496"/>
      <c r="PPU4" s="496"/>
      <c r="PPV4" s="496"/>
      <c r="PPW4" s="496"/>
      <c r="PPX4" s="496"/>
      <c r="PPY4" s="496"/>
      <c r="PPZ4" s="496"/>
      <c r="PQA4" s="496"/>
      <c r="PQB4" s="496"/>
      <c r="PQC4" s="496"/>
      <c r="PQD4" s="496"/>
      <c r="PQE4" s="496"/>
      <c r="PQF4" s="496"/>
      <c r="PQG4" s="496"/>
      <c r="PQH4" s="496"/>
      <c r="PQI4" s="496"/>
      <c r="PQJ4" s="496"/>
      <c r="PQK4" s="496"/>
      <c r="PQL4" s="496"/>
      <c r="PQM4" s="496"/>
      <c r="PQN4" s="496"/>
      <c r="PQO4" s="496"/>
      <c r="PQP4" s="496"/>
      <c r="PQQ4" s="496"/>
      <c r="PQR4" s="496"/>
      <c r="PQS4" s="496"/>
      <c r="PQT4" s="496"/>
      <c r="PQU4" s="496"/>
      <c r="PQV4" s="496"/>
      <c r="PQW4" s="496"/>
      <c r="PQX4" s="496"/>
      <c r="PQY4" s="496"/>
      <c r="PQZ4" s="496"/>
      <c r="PRA4" s="496"/>
      <c r="PRB4" s="496"/>
      <c r="PRC4" s="496"/>
      <c r="PRD4" s="496"/>
      <c r="PRE4" s="496"/>
      <c r="PRF4" s="496"/>
      <c r="PRG4" s="496"/>
      <c r="PRH4" s="496"/>
      <c r="PRI4" s="496"/>
      <c r="PRJ4" s="496"/>
      <c r="PRK4" s="496"/>
      <c r="PRL4" s="496"/>
      <c r="PRM4" s="496"/>
      <c r="PRN4" s="496"/>
      <c r="PRO4" s="496"/>
      <c r="PRP4" s="496"/>
      <c r="PRQ4" s="496"/>
      <c r="PRR4" s="496"/>
      <c r="PRS4" s="496"/>
      <c r="PRT4" s="496"/>
      <c r="PRU4" s="496"/>
      <c r="PRV4" s="496"/>
      <c r="PRW4" s="496"/>
      <c r="PRX4" s="496"/>
      <c r="PRY4" s="496"/>
      <c r="PRZ4" s="496"/>
      <c r="PSA4" s="496"/>
      <c r="PSB4" s="496"/>
      <c r="PSC4" s="496"/>
      <c r="PSD4" s="496"/>
      <c r="PSE4" s="496"/>
      <c r="PSF4" s="496"/>
      <c r="PSG4" s="496"/>
      <c r="PSH4" s="496"/>
      <c r="PSI4" s="496"/>
      <c r="PSJ4" s="496"/>
      <c r="PSK4" s="496"/>
      <c r="PSL4" s="496"/>
      <c r="PSM4" s="496"/>
      <c r="PSN4" s="496"/>
      <c r="PSO4" s="496"/>
      <c r="PSP4" s="496"/>
      <c r="PSQ4" s="496"/>
      <c r="PSR4" s="496"/>
      <c r="PSS4" s="496"/>
      <c r="PST4" s="496"/>
      <c r="PSU4" s="496"/>
      <c r="PSV4" s="496"/>
      <c r="PSW4" s="496"/>
      <c r="PSX4" s="496"/>
      <c r="PSY4" s="496"/>
      <c r="PSZ4" s="496"/>
      <c r="PTA4" s="496"/>
      <c r="PTB4" s="496"/>
      <c r="PTC4" s="496"/>
      <c r="PTD4" s="496"/>
      <c r="PTE4" s="496"/>
      <c r="PTF4" s="496"/>
      <c r="PTG4" s="496"/>
      <c r="PTH4" s="496"/>
      <c r="PTI4" s="496"/>
      <c r="PTJ4" s="496"/>
      <c r="PTK4" s="496"/>
      <c r="PTL4" s="496"/>
      <c r="PTM4" s="496"/>
      <c r="PTN4" s="496"/>
      <c r="PTO4" s="496"/>
      <c r="PTP4" s="496"/>
      <c r="PTQ4" s="496"/>
      <c r="PTR4" s="496"/>
      <c r="PTS4" s="496"/>
      <c r="PTT4" s="496"/>
      <c r="PTU4" s="496"/>
      <c r="PTV4" s="496"/>
      <c r="PTW4" s="496"/>
      <c r="PTX4" s="496"/>
      <c r="PTY4" s="496"/>
      <c r="PTZ4" s="496"/>
      <c r="PUA4" s="496"/>
      <c r="PUB4" s="496"/>
      <c r="PUC4" s="496"/>
      <c r="PUD4" s="496"/>
      <c r="PUE4" s="496"/>
      <c r="PUF4" s="496"/>
      <c r="PUG4" s="496"/>
      <c r="PUH4" s="496"/>
      <c r="PUI4" s="496"/>
      <c r="PUJ4" s="496"/>
      <c r="PUK4" s="496"/>
      <c r="PUL4" s="496"/>
      <c r="PUM4" s="496"/>
      <c r="PUN4" s="496"/>
      <c r="PUO4" s="496"/>
      <c r="PUP4" s="496"/>
      <c r="PUQ4" s="496"/>
      <c r="PUR4" s="496"/>
      <c r="PUS4" s="496"/>
      <c r="PUT4" s="496"/>
      <c r="PUU4" s="496"/>
      <c r="PUV4" s="496"/>
      <c r="PUW4" s="496"/>
      <c r="PUX4" s="496"/>
      <c r="PUY4" s="496"/>
      <c r="PUZ4" s="496"/>
      <c r="PVA4" s="496"/>
      <c r="PVB4" s="496"/>
      <c r="PVC4" s="496"/>
      <c r="PVD4" s="496"/>
      <c r="PVE4" s="496"/>
      <c r="PVF4" s="496"/>
      <c r="PVG4" s="496"/>
      <c r="PVH4" s="496"/>
      <c r="PVI4" s="496"/>
      <c r="PVJ4" s="496"/>
      <c r="PVK4" s="496"/>
      <c r="PVL4" s="496"/>
      <c r="PVM4" s="496"/>
      <c r="PVN4" s="496"/>
      <c r="PVO4" s="496"/>
      <c r="PVP4" s="496"/>
      <c r="PVQ4" s="496"/>
      <c r="PVR4" s="496"/>
      <c r="PVS4" s="496"/>
      <c r="PVT4" s="496"/>
      <c r="PVU4" s="496"/>
      <c r="PVV4" s="496"/>
      <c r="PVW4" s="496"/>
      <c r="PVX4" s="496"/>
      <c r="PVY4" s="496"/>
      <c r="PVZ4" s="496"/>
      <c r="PWA4" s="496"/>
      <c r="PWB4" s="496"/>
      <c r="PWC4" s="496"/>
      <c r="PWD4" s="496"/>
      <c r="PWE4" s="496"/>
      <c r="PWF4" s="496"/>
      <c r="PWG4" s="496"/>
      <c r="PWH4" s="496"/>
      <c r="PWI4" s="496"/>
      <c r="PWJ4" s="496"/>
      <c r="PWK4" s="496"/>
      <c r="PWL4" s="496"/>
      <c r="PWM4" s="496"/>
      <c r="PWN4" s="496"/>
      <c r="PWO4" s="496"/>
      <c r="PWP4" s="496"/>
      <c r="PWQ4" s="496"/>
      <c r="PWR4" s="496"/>
      <c r="PWS4" s="496"/>
      <c r="PWT4" s="496"/>
      <c r="PWU4" s="496"/>
      <c r="PWV4" s="496"/>
      <c r="PWW4" s="496"/>
      <c r="PWX4" s="496"/>
      <c r="PWY4" s="496"/>
      <c r="PWZ4" s="496"/>
      <c r="PXA4" s="496"/>
      <c r="PXB4" s="496"/>
      <c r="PXC4" s="496"/>
      <c r="PXD4" s="496"/>
      <c r="PXE4" s="496"/>
      <c r="PXF4" s="496"/>
      <c r="PXG4" s="496"/>
      <c r="PXH4" s="496"/>
      <c r="PXI4" s="496"/>
      <c r="PXJ4" s="496"/>
      <c r="PXK4" s="496"/>
      <c r="PXL4" s="496"/>
      <c r="PXM4" s="496"/>
      <c r="PXN4" s="496"/>
      <c r="PXO4" s="496"/>
      <c r="PXP4" s="496"/>
      <c r="PXQ4" s="496"/>
      <c r="PXR4" s="496"/>
      <c r="PXS4" s="496"/>
      <c r="PXT4" s="496"/>
      <c r="PXU4" s="496"/>
      <c r="PXV4" s="496"/>
      <c r="PXW4" s="496"/>
      <c r="PXX4" s="496"/>
      <c r="PXY4" s="496"/>
      <c r="PXZ4" s="496"/>
      <c r="PYA4" s="496"/>
      <c r="PYB4" s="496"/>
      <c r="PYC4" s="496"/>
      <c r="PYD4" s="496"/>
      <c r="PYE4" s="496"/>
      <c r="PYF4" s="496"/>
      <c r="PYG4" s="496"/>
      <c r="PYH4" s="496"/>
      <c r="PYI4" s="496"/>
      <c r="PYJ4" s="496"/>
      <c r="PYK4" s="496"/>
      <c r="PYL4" s="496"/>
      <c r="PYM4" s="496"/>
      <c r="PYN4" s="496"/>
      <c r="PYO4" s="496"/>
      <c r="PYP4" s="496"/>
      <c r="PYQ4" s="496"/>
      <c r="PYR4" s="496"/>
      <c r="PYS4" s="496"/>
      <c r="PYT4" s="496"/>
      <c r="PYU4" s="496"/>
      <c r="PYV4" s="496"/>
      <c r="PYW4" s="496"/>
      <c r="PYX4" s="496"/>
      <c r="PYY4" s="496"/>
      <c r="PYZ4" s="496"/>
      <c r="PZA4" s="496"/>
      <c r="PZB4" s="496"/>
      <c r="PZC4" s="496"/>
      <c r="PZD4" s="496"/>
      <c r="PZE4" s="496"/>
      <c r="PZF4" s="496"/>
      <c r="PZG4" s="496"/>
      <c r="PZH4" s="496"/>
      <c r="PZI4" s="496"/>
      <c r="PZJ4" s="496"/>
      <c r="PZK4" s="496"/>
      <c r="PZL4" s="496"/>
      <c r="PZM4" s="496"/>
      <c r="PZN4" s="496"/>
      <c r="PZO4" s="496"/>
      <c r="PZP4" s="496"/>
      <c r="PZQ4" s="496"/>
      <c r="PZR4" s="496"/>
      <c r="PZS4" s="496"/>
      <c r="PZT4" s="496"/>
      <c r="PZU4" s="496"/>
      <c r="PZV4" s="496"/>
      <c r="PZW4" s="496"/>
      <c r="PZX4" s="496"/>
      <c r="PZY4" s="496"/>
      <c r="PZZ4" s="496"/>
      <c r="QAA4" s="496"/>
      <c r="QAB4" s="496"/>
      <c r="QAC4" s="496"/>
      <c r="QAD4" s="496"/>
      <c r="QAE4" s="496"/>
      <c r="QAF4" s="496"/>
      <c r="QAG4" s="496"/>
      <c r="QAH4" s="496"/>
      <c r="QAI4" s="496"/>
      <c r="QAJ4" s="496"/>
      <c r="QAK4" s="496"/>
      <c r="QAL4" s="496"/>
      <c r="QAM4" s="496"/>
      <c r="QAN4" s="496"/>
      <c r="QAO4" s="496"/>
      <c r="QAP4" s="496"/>
      <c r="QAQ4" s="496"/>
      <c r="QAR4" s="496"/>
      <c r="QAS4" s="496"/>
      <c r="QAT4" s="496"/>
      <c r="QAU4" s="496"/>
      <c r="QAV4" s="496"/>
      <c r="QAW4" s="496"/>
      <c r="QAX4" s="496"/>
      <c r="QAY4" s="496"/>
      <c r="QAZ4" s="496"/>
      <c r="QBA4" s="496"/>
      <c r="QBB4" s="496"/>
      <c r="QBC4" s="496"/>
      <c r="QBD4" s="496"/>
      <c r="QBE4" s="496"/>
      <c r="QBF4" s="496"/>
      <c r="QBG4" s="496"/>
      <c r="QBH4" s="496"/>
      <c r="QBI4" s="496"/>
      <c r="QBJ4" s="496"/>
      <c r="QBK4" s="496"/>
      <c r="QBL4" s="496"/>
      <c r="QBM4" s="496"/>
      <c r="QBN4" s="496"/>
      <c r="QBO4" s="496"/>
      <c r="QBP4" s="496"/>
      <c r="QBQ4" s="496"/>
      <c r="QBR4" s="496"/>
      <c r="QBS4" s="496"/>
      <c r="QBT4" s="496"/>
      <c r="QBU4" s="496"/>
      <c r="QBV4" s="496"/>
      <c r="QBW4" s="496"/>
      <c r="QBX4" s="496"/>
      <c r="QBY4" s="496"/>
      <c r="QBZ4" s="496"/>
      <c r="QCA4" s="496"/>
      <c r="QCB4" s="496"/>
      <c r="QCC4" s="496"/>
      <c r="QCD4" s="496"/>
      <c r="QCE4" s="496"/>
      <c r="QCF4" s="496"/>
      <c r="QCG4" s="496"/>
      <c r="QCH4" s="496"/>
      <c r="QCI4" s="496"/>
      <c r="QCJ4" s="496"/>
      <c r="QCK4" s="496"/>
      <c r="QCL4" s="496"/>
      <c r="QCM4" s="496"/>
      <c r="QCN4" s="496"/>
      <c r="QCO4" s="496"/>
      <c r="QCP4" s="496"/>
      <c r="QCQ4" s="496"/>
      <c r="QCR4" s="496"/>
      <c r="QCS4" s="496"/>
      <c r="QCT4" s="496"/>
      <c r="QCU4" s="496"/>
      <c r="QCV4" s="496"/>
      <c r="QCW4" s="496"/>
      <c r="QCX4" s="496"/>
      <c r="QCY4" s="496"/>
      <c r="QCZ4" s="496"/>
      <c r="QDA4" s="496"/>
      <c r="QDB4" s="496"/>
      <c r="QDC4" s="496"/>
      <c r="QDD4" s="496"/>
      <c r="QDE4" s="496"/>
      <c r="QDF4" s="496"/>
      <c r="QDG4" s="496"/>
      <c r="QDH4" s="496"/>
      <c r="QDI4" s="496"/>
      <c r="QDJ4" s="496"/>
      <c r="QDK4" s="496"/>
      <c r="QDL4" s="496"/>
      <c r="QDM4" s="496"/>
      <c r="QDN4" s="496"/>
      <c r="QDO4" s="496"/>
      <c r="QDP4" s="496"/>
      <c r="QDQ4" s="496"/>
      <c r="QDR4" s="496"/>
      <c r="QDS4" s="496"/>
      <c r="QDT4" s="496"/>
      <c r="QDU4" s="496"/>
      <c r="QDV4" s="496"/>
      <c r="QDW4" s="496"/>
      <c r="QDX4" s="496"/>
      <c r="QDY4" s="496"/>
      <c r="QDZ4" s="496"/>
      <c r="QEA4" s="496"/>
      <c r="QEB4" s="496"/>
      <c r="QEC4" s="496"/>
      <c r="QED4" s="496"/>
      <c r="QEE4" s="496"/>
      <c r="QEF4" s="496"/>
      <c r="QEG4" s="496"/>
      <c r="QEH4" s="496"/>
      <c r="QEI4" s="496"/>
      <c r="QEJ4" s="496"/>
      <c r="QEK4" s="496"/>
      <c r="QEL4" s="496"/>
      <c r="QEM4" s="496"/>
      <c r="QEN4" s="496"/>
      <c r="QEO4" s="496"/>
      <c r="QEP4" s="496"/>
      <c r="QEQ4" s="496"/>
      <c r="QER4" s="496"/>
      <c r="QES4" s="496"/>
      <c r="QET4" s="496"/>
      <c r="QEU4" s="496"/>
      <c r="QEV4" s="496"/>
      <c r="QEW4" s="496"/>
      <c r="QEX4" s="496"/>
      <c r="QEY4" s="496"/>
      <c r="QEZ4" s="496"/>
      <c r="QFA4" s="496"/>
      <c r="QFB4" s="496"/>
      <c r="QFC4" s="496"/>
      <c r="QFD4" s="496"/>
      <c r="QFE4" s="496"/>
      <c r="QFF4" s="496"/>
      <c r="QFG4" s="496"/>
      <c r="QFH4" s="496"/>
      <c r="QFI4" s="496"/>
      <c r="QFJ4" s="496"/>
      <c r="QFK4" s="496"/>
      <c r="QFL4" s="496"/>
      <c r="QFM4" s="496"/>
      <c r="QFN4" s="496"/>
      <c r="QFO4" s="496"/>
      <c r="QFP4" s="496"/>
      <c r="QFQ4" s="496"/>
      <c r="QFR4" s="496"/>
      <c r="QFS4" s="496"/>
      <c r="QFT4" s="496"/>
      <c r="QFU4" s="496"/>
      <c r="QFV4" s="496"/>
      <c r="QFW4" s="496"/>
      <c r="QFX4" s="496"/>
      <c r="QFY4" s="496"/>
      <c r="QFZ4" s="496"/>
      <c r="QGA4" s="496"/>
      <c r="QGB4" s="496"/>
      <c r="QGC4" s="496"/>
      <c r="QGD4" s="496"/>
      <c r="QGE4" s="496"/>
      <c r="QGF4" s="496"/>
      <c r="QGG4" s="496"/>
      <c r="QGH4" s="496"/>
      <c r="QGI4" s="496"/>
      <c r="QGJ4" s="496"/>
      <c r="QGK4" s="496"/>
      <c r="QGL4" s="496"/>
      <c r="QGM4" s="496"/>
      <c r="QGN4" s="496"/>
      <c r="QGO4" s="496"/>
      <c r="QGP4" s="496"/>
      <c r="QGQ4" s="496"/>
      <c r="QGR4" s="496"/>
      <c r="QGS4" s="496"/>
      <c r="QGT4" s="496"/>
      <c r="QGU4" s="496"/>
      <c r="QGV4" s="496"/>
      <c r="QGW4" s="496"/>
      <c r="QGX4" s="496"/>
      <c r="QGY4" s="496"/>
      <c r="QGZ4" s="496"/>
      <c r="QHA4" s="496"/>
      <c r="QHB4" s="496"/>
      <c r="QHC4" s="496"/>
      <c r="QHD4" s="496"/>
      <c r="QHE4" s="496"/>
      <c r="QHF4" s="496"/>
      <c r="QHG4" s="496"/>
      <c r="QHH4" s="496"/>
      <c r="QHI4" s="496"/>
      <c r="QHJ4" s="496"/>
      <c r="QHK4" s="496"/>
      <c r="QHL4" s="496"/>
      <c r="QHM4" s="496"/>
      <c r="QHN4" s="496"/>
      <c r="QHO4" s="496"/>
      <c r="QHP4" s="496"/>
      <c r="QHQ4" s="496"/>
      <c r="QHR4" s="496"/>
      <c r="QHS4" s="496"/>
      <c r="QHT4" s="496"/>
      <c r="QHU4" s="496"/>
      <c r="QHV4" s="496"/>
      <c r="QHW4" s="496"/>
      <c r="QHX4" s="496"/>
      <c r="QHY4" s="496"/>
      <c r="QHZ4" s="496"/>
      <c r="QIA4" s="496"/>
      <c r="QIB4" s="496"/>
      <c r="QIC4" s="496"/>
      <c r="QID4" s="496"/>
      <c r="QIE4" s="496"/>
      <c r="QIF4" s="496"/>
      <c r="QIG4" s="496"/>
      <c r="QIH4" s="496"/>
      <c r="QII4" s="496"/>
      <c r="QIJ4" s="496"/>
      <c r="QIK4" s="496"/>
      <c r="QIL4" s="496"/>
      <c r="QIM4" s="496"/>
      <c r="QIN4" s="496"/>
      <c r="QIO4" s="496"/>
      <c r="QIP4" s="496"/>
      <c r="QIQ4" s="496"/>
      <c r="QIR4" s="496"/>
      <c r="QIS4" s="496"/>
      <c r="QIT4" s="496"/>
      <c r="QIU4" s="496"/>
      <c r="QIV4" s="496"/>
      <c r="QIW4" s="496"/>
      <c r="QIX4" s="496"/>
      <c r="QIY4" s="496"/>
      <c r="QIZ4" s="496"/>
      <c r="QJA4" s="496"/>
      <c r="QJB4" s="496"/>
      <c r="QJC4" s="496"/>
      <c r="QJD4" s="496"/>
      <c r="QJE4" s="496"/>
      <c r="QJF4" s="496"/>
      <c r="QJG4" s="496"/>
      <c r="QJH4" s="496"/>
      <c r="QJI4" s="496"/>
      <c r="QJJ4" s="496"/>
      <c r="QJK4" s="496"/>
      <c r="QJL4" s="496"/>
      <c r="QJM4" s="496"/>
      <c r="QJN4" s="496"/>
      <c r="QJO4" s="496"/>
      <c r="QJP4" s="496"/>
      <c r="QJQ4" s="496"/>
      <c r="QJR4" s="496"/>
      <c r="QJS4" s="496"/>
      <c r="QJT4" s="496"/>
      <c r="QJU4" s="496"/>
      <c r="QJV4" s="496"/>
      <c r="QJW4" s="496"/>
      <c r="QJX4" s="496"/>
      <c r="QJY4" s="496"/>
      <c r="QJZ4" s="496"/>
      <c r="QKA4" s="496"/>
      <c r="QKB4" s="496"/>
      <c r="QKC4" s="496"/>
      <c r="QKD4" s="496"/>
      <c r="QKE4" s="496"/>
      <c r="QKF4" s="496"/>
      <c r="QKG4" s="496"/>
      <c r="QKH4" s="496"/>
      <c r="QKI4" s="496"/>
      <c r="QKJ4" s="496"/>
      <c r="QKK4" s="496"/>
      <c r="QKL4" s="496"/>
      <c r="QKM4" s="496"/>
      <c r="QKN4" s="496"/>
      <c r="QKO4" s="496"/>
      <c r="QKP4" s="496"/>
      <c r="QKQ4" s="496"/>
      <c r="QKR4" s="496"/>
      <c r="QKS4" s="496"/>
      <c r="QKT4" s="496"/>
      <c r="QKU4" s="496"/>
      <c r="QKV4" s="496"/>
      <c r="QKW4" s="496"/>
      <c r="QKX4" s="496"/>
      <c r="QKY4" s="496"/>
      <c r="QKZ4" s="496"/>
      <c r="QLA4" s="496"/>
      <c r="QLB4" s="496"/>
      <c r="QLC4" s="496"/>
      <c r="QLD4" s="496"/>
      <c r="QLE4" s="496"/>
      <c r="QLF4" s="496"/>
      <c r="QLG4" s="496"/>
      <c r="QLH4" s="496"/>
      <c r="QLI4" s="496"/>
      <c r="QLJ4" s="496"/>
      <c r="QLK4" s="496"/>
      <c r="QLL4" s="496"/>
      <c r="QLM4" s="496"/>
      <c r="QLN4" s="496"/>
      <c r="QLO4" s="496"/>
      <c r="QLP4" s="496"/>
      <c r="QLQ4" s="496"/>
      <c r="QLR4" s="496"/>
      <c r="QLS4" s="496"/>
      <c r="QLT4" s="496"/>
      <c r="QLU4" s="496"/>
      <c r="QLV4" s="496"/>
      <c r="QLW4" s="496"/>
      <c r="QLX4" s="496"/>
      <c r="QLY4" s="496"/>
      <c r="QLZ4" s="496"/>
      <c r="QMA4" s="496"/>
      <c r="QMB4" s="496"/>
      <c r="QMC4" s="496"/>
      <c r="QMD4" s="496"/>
      <c r="QME4" s="496"/>
      <c r="QMF4" s="496"/>
      <c r="QMG4" s="496"/>
      <c r="QMH4" s="496"/>
      <c r="QMI4" s="496"/>
      <c r="QMJ4" s="496"/>
      <c r="QMK4" s="496"/>
      <c r="QML4" s="496"/>
      <c r="QMM4" s="496"/>
      <c r="QMN4" s="496"/>
      <c r="QMO4" s="496"/>
      <c r="QMP4" s="496"/>
      <c r="QMQ4" s="496"/>
      <c r="QMR4" s="496"/>
      <c r="QMS4" s="496"/>
      <c r="QMT4" s="496"/>
      <c r="QMU4" s="496"/>
      <c r="QMV4" s="496"/>
      <c r="QMW4" s="496"/>
      <c r="QMX4" s="496"/>
      <c r="QMY4" s="496"/>
      <c r="QMZ4" s="496"/>
      <c r="QNA4" s="496"/>
      <c r="QNB4" s="496"/>
      <c r="QNC4" s="496"/>
      <c r="QND4" s="496"/>
      <c r="QNE4" s="496"/>
      <c r="QNF4" s="496"/>
      <c r="QNG4" s="496"/>
      <c r="QNH4" s="496"/>
      <c r="QNI4" s="496"/>
      <c r="QNJ4" s="496"/>
      <c r="QNK4" s="496"/>
      <c r="QNL4" s="496"/>
      <c r="QNM4" s="496"/>
      <c r="QNN4" s="496"/>
      <c r="QNO4" s="496"/>
      <c r="QNP4" s="496"/>
      <c r="QNQ4" s="496"/>
      <c r="QNR4" s="496"/>
      <c r="QNS4" s="496"/>
      <c r="QNT4" s="496"/>
      <c r="QNU4" s="496"/>
      <c r="QNV4" s="496"/>
      <c r="QNW4" s="496"/>
      <c r="QNX4" s="496"/>
      <c r="QNY4" s="496"/>
      <c r="QNZ4" s="496"/>
      <c r="QOA4" s="496"/>
      <c r="QOB4" s="496"/>
      <c r="QOC4" s="496"/>
      <c r="QOD4" s="496"/>
      <c r="QOE4" s="496"/>
      <c r="QOF4" s="496"/>
      <c r="QOG4" s="496"/>
      <c r="QOH4" s="496"/>
      <c r="QOI4" s="496"/>
      <c r="QOJ4" s="496"/>
      <c r="QOK4" s="496"/>
      <c r="QOL4" s="496"/>
      <c r="QOM4" s="496"/>
      <c r="QON4" s="496"/>
      <c r="QOO4" s="496"/>
      <c r="QOP4" s="496"/>
      <c r="QOQ4" s="496"/>
      <c r="QOR4" s="496"/>
      <c r="QOS4" s="496"/>
      <c r="QOT4" s="496"/>
      <c r="QOU4" s="496"/>
      <c r="QOV4" s="496"/>
      <c r="QOW4" s="496"/>
      <c r="QOX4" s="496"/>
      <c r="QOY4" s="496"/>
      <c r="QOZ4" s="496"/>
      <c r="QPA4" s="496"/>
      <c r="QPB4" s="496"/>
      <c r="QPC4" s="496"/>
      <c r="QPD4" s="496"/>
      <c r="QPE4" s="496"/>
      <c r="QPF4" s="496"/>
      <c r="QPG4" s="496"/>
      <c r="QPH4" s="496"/>
      <c r="QPI4" s="496"/>
      <c r="QPJ4" s="496"/>
      <c r="QPK4" s="496"/>
      <c r="QPL4" s="496"/>
      <c r="QPM4" s="496"/>
      <c r="QPN4" s="496"/>
      <c r="QPO4" s="496"/>
      <c r="QPP4" s="496"/>
      <c r="QPQ4" s="496"/>
      <c r="QPR4" s="496"/>
      <c r="QPS4" s="496"/>
      <c r="QPT4" s="496"/>
      <c r="QPU4" s="496"/>
      <c r="QPV4" s="496"/>
      <c r="QPW4" s="496"/>
      <c r="QPX4" s="496"/>
      <c r="QPY4" s="496"/>
      <c r="QPZ4" s="496"/>
      <c r="QQA4" s="496"/>
      <c r="QQB4" s="496"/>
      <c r="QQC4" s="496"/>
      <c r="QQD4" s="496"/>
      <c r="QQE4" s="496"/>
      <c r="QQF4" s="496"/>
      <c r="QQG4" s="496"/>
      <c r="QQH4" s="496"/>
      <c r="QQI4" s="496"/>
      <c r="QQJ4" s="496"/>
      <c r="QQK4" s="496"/>
      <c r="QQL4" s="496"/>
      <c r="QQM4" s="496"/>
      <c r="QQN4" s="496"/>
      <c r="QQO4" s="496"/>
      <c r="QQP4" s="496"/>
      <c r="QQQ4" s="496"/>
      <c r="QQR4" s="496"/>
      <c r="QQS4" s="496"/>
      <c r="QQT4" s="496"/>
      <c r="QQU4" s="496"/>
      <c r="QQV4" s="496"/>
      <c r="QQW4" s="496"/>
      <c r="QQX4" s="496"/>
      <c r="QQY4" s="496"/>
      <c r="QQZ4" s="496"/>
      <c r="QRA4" s="496"/>
      <c r="QRB4" s="496"/>
      <c r="QRC4" s="496"/>
      <c r="QRD4" s="496"/>
      <c r="QRE4" s="496"/>
      <c r="QRF4" s="496"/>
      <c r="QRG4" s="496"/>
      <c r="QRH4" s="496"/>
      <c r="QRI4" s="496"/>
      <c r="QRJ4" s="496"/>
      <c r="QRK4" s="496"/>
      <c r="QRL4" s="496"/>
      <c r="QRM4" s="496"/>
      <c r="QRN4" s="496"/>
      <c r="QRO4" s="496"/>
      <c r="QRP4" s="496"/>
      <c r="QRQ4" s="496"/>
      <c r="QRR4" s="496"/>
      <c r="QRS4" s="496"/>
      <c r="QRT4" s="496"/>
      <c r="QRU4" s="496"/>
      <c r="QRV4" s="496"/>
      <c r="QRW4" s="496"/>
      <c r="QRX4" s="496"/>
      <c r="QRY4" s="496"/>
      <c r="QRZ4" s="496"/>
      <c r="QSA4" s="496"/>
      <c r="QSB4" s="496"/>
      <c r="QSC4" s="496"/>
      <c r="QSD4" s="496"/>
      <c r="QSE4" s="496"/>
      <c r="QSF4" s="496"/>
      <c r="QSG4" s="496"/>
      <c r="QSH4" s="496"/>
      <c r="QSI4" s="496"/>
      <c r="QSJ4" s="496"/>
      <c r="QSK4" s="496"/>
      <c r="QSL4" s="496"/>
      <c r="QSM4" s="496"/>
      <c r="QSN4" s="496"/>
      <c r="QSO4" s="496"/>
      <c r="QSP4" s="496"/>
      <c r="QSQ4" s="496"/>
      <c r="QSR4" s="496"/>
      <c r="QSS4" s="496"/>
      <c r="QST4" s="496"/>
      <c r="QSU4" s="496"/>
      <c r="QSV4" s="496"/>
      <c r="QSW4" s="496"/>
      <c r="QSX4" s="496"/>
      <c r="QSY4" s="496"/>
      <c r="QSZ4" s="496"/>
      <c r="QTA4" s="496"/>
      <c r="QTB4" s="496"/>
      <c r="QTC4" s="496"/>
      <c r="QTD4" s="496"/>
      <c r="QTE4" s="496"/>
      <c r="QTF4" s="496"/>
      <c r="QTG4" s="496"/>
      <c r="QTH4" s="496"/>
      <c r="QTI4" s="496"/>
      <c r="QTJ4" s="496"/>
      <c r="QTK4" s="496"/>
      <c r="QTL4" s="496"/>
      <c r="QTM4" s="496"/>
      <c r="QTN4" s="496"/>
      <c r="QTO4" s="496"/>
      <c r="QTP4" s="496"/>
      <c r="QTQ4" s="496"/>
      <c r="QTR4" s="496"/>
      <c r="QTS4" s="496"/>
      <c r="QTT4" s="496"/>
      <c r="QTU4" s="496"/>
      <c r="QTV4" s="496"/>
      <c r="QTW4" s="496"/>
      <c r="QTX4" s="496"/>
      <c r="QTY4" s="496"/>
      <c r="QTZ4" s="496"/>
      <c r="QUA4" s="496"/>
      <c r="QUB4" s="496"/>
      <c r="QUC4" s="496"/>
      <c r="QUD4" s="496"/>
      <c r="QUE4" s="496"/>
      <c r="QUF4" s="496"/>
      <c r="QUG4" s="496"/>
      <c r="QUH4" s="496"/>
      <c r="QUI4" s="496"/>
      <c r="QUJ4" s="496"/>
      <c r="QUK4" s="496"/>
      <c r="QUL4" s="496"/>
      <c r="QUM4" s="496"/>
      <c r="QUN4" s="496"/>
      <c r="QUO4" s="496"/>
      <c r="QUP4" s="496"/>
      <c r="QUQ4" s="496"/>
      <c r="QUR4" s="496"/>
      <c r="QUS4" s="496"/>
      <c r="QUT4" s="496"/>
      <c r="QUU4" s="496"/>
      <c r="QUV4" s="496"/>
      <c r="QUW4" s="496"/>
      <c r="QUX4" s="496"/>
      <c r="QUY4" s="496"/>
      <c r="QUZ4" s="496"/>
      <c r="QVA4" s="496"/>
      <c r="QVB4" s="496"/>
      <c r="QVC4" s="496"/>
      <c r="QVD4" s="496"/>
      <c r="QVE4" s="496"/>
      <c r="QVF4" s="496"/>
      <c r="QVG4" s="496"/>
      <c r="QVH4" s="496"/>
      <c r="QVI4" s="496"/>
      <c r="QVJ4" s="496"/>
      <c r="QVK4" s="496"/>
      <c r="QVL4" s="496"/>
      <c r="QVM4" s="496"/>
      <c r="QVN4" s="496"/>
      <c r="QVO4" s="496"/>
      <c r="QVP4" s="496"/>
      <c r="QVQ4" s="496"/>
      <c r="QVR4" s="496"/>
      <c r="QVS4" s="496"/>
      <c r="QVT4" s="496"/>
      <c r="QVU4" s="496"/>
      <c r="QVV4" s="496"/>
      <c r="QVW4" s="496"/>
      <c r="QVX4" s="496"/>
      <c r="QVY4" s="496"/>
      <c r="QVZ4" s="496"/>
      <c r="QWA4" s="496"/>
      <c r="QWB4" s="496"/>
      <c r="QWC4" s="496"/>
      <c r="QWD4" s="496"/>
      <c r="QWE4" s="496"/>
      <c r="QWF4" s="496"/>
      <c r="QWG4" s="496"/>
      <c r="QWH4" s="496"/>
      <c r="QWI4" s="496"/>
      <c r="QWJ4" s="496"/>
      <c r="QWK4" s="496"/>
      <c r="QWL4" s="496"/>
      <c r="QWM4" s="496"/>
      <c r="QWN4" s="496"/>
      <c r="QWO4" s="496"/>
      <c r="QWP4" s="496"/>
      <c r="QWQ4" s="496"/>
      <c r="QWR4" s="496"/>
      <c r="QWS4" s="496"/>
      <c r="QWT4" s="496"/>
      <c r="QWU4" s="496"/>
      <c r="QWV4" s="496"/>
      <c r="QWW4" s="496"/>
      <c r="QWX4" s="496"/>
      <c r="QWY4" s="496"/>
      <c r="QWZ4" s="496"/>
      <c r="QXA4" s="496"/>
      <c r="QXB4" s="496"/>
      <c r="QXC4" s="496"/>
      <c r="QXD4" s="496"/>
      <c r="QXE4" s="496"/>
      <c r="QXF4" s="496"/>
      <c r="QXG4" s="496"/>
      <c r="QXH4" s="496"/>
      <c r="QXI4" s="496"/>
      <c r="QXJ4" s="496"/>
      <c r="QXK4" s="496"/>
      <c r="QXL4" s="496"/>
      <c r="QXM4" s="496"/>
      <c r="QXN4" s="496"/>
      <c r="QXO4" s="496"/>
      <c r="QXP4" s="496"/>
      <c r="QXQ4" s="496"/>
      <c r="QXR4" s="496"/>
      <c r="QXS4" s="496"/>
      <c r="QXT4" s="496"/>
      <c r="QXU4" s="496"/>
      <c r="QXV4" s="496"/>
      <c r="QXW4" s="496"/>
      <c r="QXX4" s="496"/>
      <c r="QXY4" s="496"/>
      <c r="QXZ4" s="496"/>
      <c r="QYA4" s="496"/>
      <c r="QYB4" s="496"/>
      <c r="QYC4" s="496"/>
      <c r="QYD4" s="496"/>
      <c r="QYE4" s="496"/>
      <c r="QYF4" s="496"/>
      <c r="QYG4" s="496"/>
      <c r="QYH4" s="496"/>
      <c r="QYI4" s="496"/>
      <c r="QYJ4" s="496"/>
      <c r="QYK4" s="496"/>
      <c r="QYL4" s="496"/>
      <c r="QYM4" s="496"/>
      <c r="QYN4" s="496"/>
      <c r="QYO4" s="496"/>
      <c r="QYP4" s="496"/>
      <c r="QYQ4" s="496"/>
      <c r="QYR4" s="496"/>
      <c r="QYS4" s="496"/>
      <c r="QYT4" s="496"/>
      <c r="QYU4" s="496"/>
      <c r="QYV4" s="496"/>
      <c r="QYW4" s="496"/>
      <c r="QYX4" s="496"/>
      <c r="QYY4" s="496"/>
      <c r="QYZ4" s="496"/>
      <c r="QZA4" s="496"/>
      <c r="QZB4" s="496"/>
      <c r="QZC4" s="496"/>
      <c r="QZD4" s="496"/>
      <c r="QZE4" s="496"/>
      <c r="QZF4" s="496"/>
      <c r="QZG4" s="496"/>
      <c r="QZH4" s="496"/>
      <c r="QZI4" s="496"/>
      <c r="QZJ4" s="496"/>
      <c r="QZK4" s="496"/>
      <c r="QZL4" s="496"/>
      <c r="QZM4" s="496"/>
      <c r="QZN4" s="496"/>
      <c r="QZO4" s="496"/>
      <c r="QZP4" s="496"/>
      <c r="QZQ4" s="496"/>
      <c r="QZR4" s="496"/>
      <c r="QZS4" s="496"/>
      <c r="QZT4" s="496"/>
      <c r="QZU4" s="496"/>
      <c r="QZV4" s="496"/>
      <c r="QZW4" s="496"/>
      <c r="QZX4" s="496"/>
      <c r="QZY4" s="496"/>
      <c r="QZZ4" s="496"/>
      <c r="RAA4" s="496"/>
      <c r="RAB4" s="496"/>
      <c r="RAC4" s="496"/>
      <c r="RAD4" s="496"/>
      <c r="RAE4" s="496"/>
      <c r="RAF4" s="496"/>
      <c r="RAG4" s="496"/>
      <c r="RAH4" s="496"/>
      <c r="RAI4" s="496"/>
      <c r="RAJ4" s="496"/>
      <c r="RAK4" s="496"/>
      <c r="RAL4" s="496"/>
      <c r="RAM4" s="496"/>
      <c r="RAN4" s="496"/>
      <c r="RAO4" s="496"/>
      <c r="RAP4" s="496"/>
      <c r="RAQ4" s="496"/>
      <c r="RAR4" s="496"/>
      <c r="RAS4" s="496"/>
      <c r="RAT4" s="496"/>
      <c r="RAU4" s="496"/>
      <c r="RAV4" s="496"/>
      <c r="RAW4" s="496"/>
      <c r="RAX4" s="496"/>
      <c r="RAY4" s="496"/>
      <c r="RAZ4" s="496"/>
      <c r="RBA4" s="496"/>
      <c r="RBB4" s="496"/>
      <c r="RBC4" s="496"/>
      <c r="RBD4" s="496"/>
      <c r="RBE4" s="496"/>
      <c r="RBF4" s="496"/>
      <c r="RBG4" s="496"/>
      <c r="RBH4" s="496"/>
      <c r="RBI4" s="496"/>
      <c r="RBJ4" s="496"/>
      <c r="RBK4" s="496"/>
      <c r="RBL4" s="496"/>
      <c r="RBM4" s="496"/>
      <c r="RBN4" s="496"/>
      <c r="RBO4" s="496"/>
      <c r="RBP4" s="496"/>
      <c r="RBQ4" s="496"/>
      <c r="RBR4" s="496"/>
      <c r="RBS4" s="496"/>
      <c r="RBT4" s="496"/>
      <c r="RBU4" s="496"/>
      <c r="RBV4" s="496"/>
      <c r="RBW4" s="496"/>
      <c r="RBX4" s="496"/>
      <c r="RBY4" s="496"/>
      <c r="RBZ4" s="496"/>
      <c r="RCA4" s="496"/>
      <c r="RCB4" s="496"/>
      <c r="RCC4" s="496"/>
      <c r="RCD4" s="496"/>
      <c r="RCE4" s="496"/>
      <c r="RCF4" s="496"/>
      <c r="RCG4" s="496"/>
      <c r="RCH4" s="496"/>
      <c r="RCI4" s="496"/>
      <c r="RCJ4" s="496"/>
      <c r="RCK4" s="496"/>
      <c r="RCL4" s="496"/>
      <c r="RCM4" s="496"/>
      <c r="RCN4" s="496"/>
      <c r="RCO4" s="496"/>
      <c r="RCP4" s="496"/>
      <c r="RCQ4" s="496"/>
      <c r="RCR4" s="496"/>
      <c r="RCS4" s="496"/>
      <c r="RCT4" s="496"/>
      <c r="RCU4" s="496"/>
      <c r="RCV4" s="496"/>
      <c r="RCW4" s="496"/>
      <c r="RCX4" s="496"/>
      <c r="RCY4" s="496"/>
      <c r="RCZ4" s="496"/>
      <c r="RDA4" s="496"/>
      <c r="RDB4" s="496"/>
      <c r="RDC4" s="496"/>
      <c r="RDD4" s="496"/>
      <c r="RDE4" s="496"/>
      <c r="RDF4" s="496"/>
      <c r="RDG4" s="496"/>
      <c r="RDH4" s="496"/>
      <c r="RDI4" s="496"/>
      <c r="RDJ4" s="496"/>
      <c r="RDK4" s="496"/>
      <c r="RDL4" s="496"/>
      <c r="RDM4" s="496"/>
      <c r="RDN4" s="496"/>
      <c r="RDO4" s="496"/>
      <c r="RDP4" s="496"/>
      <c r="RDQ4" s="496"/>
      <c r="RDR4" s="496"/>
      <c r="RDS4" s="496"/>
      <c r="RDT4" s="496"/>
      <c r="RDU4" s="496"/>
      <c r="RDV4" s="496"/>
      <c r="RDW4" s="496"/>
      <c r="RDX4" s="496"/>
      <c r="RDY4" s="496"/>
      <c r="RDZ4" s="496"/>
      <c r="REA4" s="496"/>
      <c r="REB4" s="496"/>
      <c r="REC4" s="496"/>
      <c r="RED4" s="496"/>
      <c r="REE4" s="496"/>
      <c r="REF4" s="496"/>
      <c r="REG4" s="496"/>
      <c r="REH4" s="496"/>
      <c r="REI4" s="496"/>
      <c r="REJ4" s="496"/>
      <c r="REK4" s="496"/>
      <c r="REL4" s="496"/>
      <c r="REM4" s="496"/>
      <c r="REN4" s="496"/>
      <c r="REO4" s="496"/>
      <c r="REP4" s="496"/>
      <c r="REQ4" s="496"/>
      <c r="RER4" s="496"/>
      <c r="RES4" s="496"/>
      <c r="RET4" s="496"/>
      <c r="REU4" s="496"/>
      <c r="REV4" s="496"/>
      <c r="REW4" s="496"/>
      <c r="REX4" s="496"/>
      <c r="REY4" s="496"/>
      <c r="REZ4" s="496"/>
      <c r="RFA4" s="496"/>
      <c r="RFB4" s="496"/>
      <c r="RFC4" s="496"/>
      <c r="RFD4" s="496"/>
      <c r="RFE4" s="496"/>
      <c r="RFF4" s="496"/>
      <c r="RFG4" s="496"/>
      <c r="RFH4" s="496"/>
      <c r="RFI4" s="496"/>
      <c r="RFJ4" s="496"/>
      <c r="RFK4" s="496"/>
      <c r="RFL4" s="496"/>
      <c r="RFM4" s="496"/>
      <c r="RFN4" s="496"/>
      <c r="RFO4" s="496"/>
      <c r="RFP4" s="496"/>
      <c r="RFQ4" s="496"/>
      <c r="RFR4" s="496"/>
      <c r="RFS4" s="496"/>
      <c r="RFT4" s="496"/>
      <c r="RFU4" s="496"/>
      <c r="RFV4" s="496"/>
      <c r="RFW4" s="496"/>
      <c r="RFX4" s="496"/>
      <c r="RFY4" s="496"/>
      <c r="RFZ4" s="496"/>
      <c r="RGA4" s="496"/>
      <c r="RGB4" s="496"/>
      <c r="RGC4" s="496"/>
      <c r="RGD4" s="496"/>
      <c r="RGE4" s="496"/>
      <c r="RGF4" s="496"/>
      <c r="RGG4" s="496"/>
      <c r="RGH4" s="496"/>
      <c r="RGI4" s="496"/>
      <c r="RGJ4" s="496"/>
      <c r="RGK4" s="496"/>
      <c r="RGL4" s="496"/>
      <c r="RGM4" s="496"/>
      <c r="RGN4" s="496"/>
      <c r="RGO4" s="496"/>
      <c r="RGP4" s="496"/>
      <c r="RGQ4" s="496"/>
      <c r="RGR4" s="496"/>
      <c r="RGS4" s="496"/>
      <c r="RGT4" s="496"/>
      <c r="RGU4" s="496"/>
      <c r="RGV4" s="496"/>
      <c r="RGW4" s="496"/>
      <c r="RGX4" s="496"/>
      <c r="RGY4" s="496"/>
      <c r="RGZ4" s="496"/>
      <c r="RHA4" s="496"/>
      <c r="RHB4" s="496"/>
      <c r="RHC4" s="496"/>
      <c r="RHD4" s="496"/>
      <c r="RHE4" s="496"/>
      <c r="RHF4" s="496"/>
      <c r="RHG4" s="496"/>
      <c r="RHH4" s="496"/>
      <c r="RHI4" s="496"/>
      <c r="RHJ4" s="496"/>
      <c r="RHK4" s="496"/>
      <c r="RHL4" s="496"/>
      <c r="RHM4" s="496"/>
      <c r="RHN4" s="496"/>
      <c r="RHO4" s="496"/>
      <c r="RHP4" s="496"/>
      <c r="RHQ4" s="496"/>
      <c r="RHR4" s="496"/>
      <c r="RHS4" s="496"/>
      <c r="RHT4" s="496"/>
      <c r="RHU4" s="496"/>
      <c r="RHV4" s="496"/>
      <c r="RHW4" s="496"/>
      <c r="RHX4" s="496"/>
      <c r="RHY4" s="496"/>
      <c r="RHZ4" s="496"/>
      <c r="RIA4" s="496"/>
      <c r="RIB4" s="496"/>
      <c r="RIC4" s="496"/>
      <c r="RID4" s="496"/>
      <c r="RIE4" s="496"/>
      <c r="RIF4" s="496"/>
      <c r="RIG4" s="496"/>
      <c r="RIH4" s="496"/>
      <c r="RII4" s="496"/>
      <c r="RIJ4" s="496"/>
      <c r="RIK4" s="496"/>
      <c r="RIL4" s="496"/>
      <c r="RIM4" s="496"/>
      <c r="RIN4" s="496"/>
      <c r="RIO4" s="496"/>
      <c r="RIP4" s="496"/>
      <c r="RIQ4" s="496"/>
      <c r="RIR4" s="496"/>
      <c r="RIS4" s="496"/>
      <c r="RIT4" s="496"/>
      <c r="RIU4" s="496"/>
      <c r="RIV4" s="496"/>
      <c r="RIW4" s="496"/>
      <c r="RIX4" s="496"/>
      <c r="RIY4" s="496"/>
      <c r="RIZ4" s="496"/>
      <c r="RJA4" s="496"/>
      <c r="RJB4" s="496"/>
      <c r="RJC4" s="496"/>
      <c r="RJD4" s="496"/>
      <c r="RJE4" s="496"/>
      <c r="RJF4" s="496"/>
      <c r="RJG4" s="496"/>
      <c r="RJH4" s="496"/>
      <c r="RJI4" s="496"/>
      <c r="RJJ4" s="496"/>
      <c r="RJK4" s="496"/>
      <c r="RJL4" s="496"/>
      <c r="RJM4" s="496"/>
      <c r="RJN4" s="496"/>
      <c r="RJO4" s="496"/>
      <c r="RJP4" s="496"/>
      <c r="RJQ4" s="496"/>
      <c r="RJR4" s="496"/>
      <c r="RJS4" s="496"/>
      <c r="RJT4" s="496"/>
      <c r="RJU4" s="496"/>
      <c r="RJV4" s="496"/>
      <c r="RJW4" s="496"/>
      <c r="RJX4" s="496"/>
      <c r="RJY4" s="496"/>
      <c r="RJZ4" s="496"/>
      <c r="RKA4" s="496"/>
      <c r="RKB4" s="496"/>
      <c r="RKC4" s="496"/>
      <c r="RKD4" s="496"/>
      <c r="RKE4" s="496"/>
      <c r="RKF4" s="496"/>
      <c r="RKG4" s="496"/>
      <c r="RKH4" s="496"/>
      <c r="RKI4" s="496"/>
      <c r="RKJ4" s="496"/>
      <c r="RKK4" s="496"/>
      <c r="RKL4" s="496"/>
      <c r="RKM4" s="496"/>
      <c r="RKN4" s="496"/>
      <c r="RKO4" s="496"/>
      <c r="RKP4" s="496"/>
      <c r="RKQ4" s="496"/>
      <c r="RKR4" s="496"/>
      <c r="RKS4" s="496"/>
      <c r="RKT4" s="496"/>
      <c r="RKU4" s="496"/>
      <c r="RKV4" s="496"/>
      <c r="RKW4" s="496"/>
      <c r="RKX4" s="496"/>
      <c r="RKY4" s="496"/>
      <c r="RKZ4" s="496"/>
      <c r="RLA4" s="496"/>
      <c r="RLB4" s="496"/>
      <c r="RLC4" s="496"/>
      <c r="RLD4" s="496"/>
      <c r="RLE4" s="496"/>
      <c r="RLF4" s="496"/>
      <c r="RLG4" s="496"/>
      <c r="RLH4" s="496"/>
      <c r="RLI4" s="496"/>
      <c r="RLJ4" s="496"/>
      <c r="RLK4" s="496"/>
      <c r="RLL4" s="496"/>
      <c r="RLM4" s="496"/>
      <c r="RLN4" s="496"/>
      <c r="RLO4" s="496"/>
      <c r="RLP4" s="496"/>
      <c r="RLQ4" s="496"/>
      <c r="RLR4" s="496"/>
      <c r="RLS4" s="496"/>
      <c r="RLT4" s="496"/>
      <c r="RLU4" s="496"/>
      <c r="RLV4" s="496"/>
      <c r="RLW4" s="496"/>
      <c r="RLX4" s="496"/>
      <c r="RLY4" s="496"/>
      <c r="RLZ4" s="496"/>
      <c r="RMA4" s="496"/>
      <c r="RMB4" s="496"/>
      <c r="RMC4" s="496"/>
      <c r="RMD4" s="496"/>
      <c r="RME4" s="496"/>
      <c r="RMF4" s="496"/>
      <c r="RMG4" s="496"/>
      <c r="RMH4" s="496"/>
      <c r="RMI4" s="496"/>
      <c r="RMJ4" s="496"/>
      <c r="RMK4" s="496"/>
      <c r="RML4" s="496"/>
      <c r="RMM4" s="496"/>
      <c r="RMN4" s="496"/>
      <c r="RMO4" s="496"/>
      <c r="RMP4" s="496"/>
      <c r="RMQ4" s="496"/>
      <c r="RMR4" s="496"/>
      <c r="RMS4" s="496"/>
      <c r="RMT4" s="496"/>
      <c r="RMU4" s="496"/>
      <c r="RMV4" s="496"/>
      <c r="RMW4" s="496"/>
      <c r="RMX4" s="496"/>
      <c r="RMY4" s="496"/>
      <c r="RMZ4" s="496"/>
      <c r="RNA4" s="496"/>
      <c r="RNB4" s="496"/>
      <c r="RNC4" s="496"/>
      <c r="RND4" s="496"/>
      <c r="RNE4" s="496"/>
      <c r="RNF4" s="496"/>
      <c r="RNG4" s="496"/>
      <c r="RNH4" s="496"/>
      <c r="RNI4" s="496"/>
      <c r="RNJ4" s="496"/>
      <c r="RNK4" s="496"/>
      <c r="RNL4" s="496"/>
      <c r="RNM4" s="496"/>
      <c r="RNN4" s="496"/>
      <c r="RNO4" s="496"/>
      <c r="RNP4" s="496"/>
      <c r="RNQ4" s="496"/>
      <c r="RNR4" s="496"/>
      <c r="RNS4" s="496"/>
      <c r="RNT4" s="496"/>
      <c r="RNU4" s="496"/>
      <c r="RNV4" s="496"/>
      <c r="RNW4" s="496"/>
      <c r="RNX4" s="496"/>
      <c r="RNY4" s="496"/>
      <c r="RNZ4" s="496"/>
      <c r="ROA4" s="496"/>
      <c r="ROB4" s="496"/>
      <c r="ROC4" s="496"/>
      <c r="ROD4" s="496"/>
      <c r="ROE4" s="496"/>
      <c r="ROF4" s="496"/>
      <c r="ROG4" s="496"/>
      <c r="ROH4" s="496"/>
      <c r="ROI4" s="496"/>
      <c r="ROJ4" s="496"/>
      <c r="ROK4" s="496"/>
      <c r="ROL4" s="496"/>
      <c r="ROM4" s="496"/>
      <c r="RON4" s="496"/>
      <c r="ROO4" s="496"/>
      <c r="ROP4" s="496"/>
      <c r="ROQ4" s="496"/>
      <c r="ROR4" s="496"/>
      <c r="ROS4" s="496"/>
      <c r="ROT4" s="496"/>
      <c r="ROU4" s="496"/>
      <c r="ROV4" s="496"/>
      <c r="ROW4" s="496"/>
      <c r="ROX4" s="496"/>
      <c r="ROY4" s="496"/>
      <c r="ROZ4" s="496"/>
      <c r="RPA4" s="496"/>
      <c r="RPB4" s="496"/>
      <c r="RPC4" s="496"/>
      <c r="RPD4" s="496"/>
      <c r="RPE4" s="496"/>
      <c r="RPF4" s="496"/>
      <c r="RPG4" s="496"/>
      <c r="RPH4" s="496"/>
      <c r="RPI4" s="496"/>
      <c r="RPJ4" s="496"/>
      <c r="RPK4" s="496"/>
      <c r="RPL4" s="496"/>
      <c r="RPM4" s="496"/>
      <c r="RPN4" s="496"/>
      <c r="RPO4" s="496"/>
      <c r="RPP4" s="496"/>
      <c r="RPQ4" s="496"/>
      <c r="RPR4" s="496"/>
      <c r="RPS4" s="496"/>
      <c r="RPT4" s="496"/>
      <c r="RPU4" s="496"/>
      <c r="RPV4" s="496"/>
      <c r="RPW4" s="496"/>
      <c r="RPX4" s="496"/>
      <c r="RPY4" s="496"/>
      <c r="RPZ4" s="496"/>
      <c r="RQA4" s="496"/>
      <c r="RQB4" s="496"/>
      <c r="RQC4" s="496"/>
      <c r="RQD4" s="496"/>
      <c r="RQE4" s="496"/>
      <c r="RQF4" s="496"/>
      <c r="RQG4" s="496"/>
      <c r="RQH4" s="496"/>
      <c r="RQI4" s="496"/>
      <c r="RQJ4" s="496"/>
      <c r="RQK4" s="496"/>
      <c r="RQL4" s="496"/>
      <c r="RQM4" s="496"/>
      <c r="RQN4" s="496"/>
      <c r="RQO4" s="496"/>
      <c r="RQP4" s="496"/>
      <c r="RQQ4" s="496"/>
      <c r="RQR4" s="496"/>
      <c r="RQS4" s="496"/>
      <c r="RQT4" s="496"/>
      <c r="RQU4" s="496"/>
      <c r="RQV4" s="496"/>
      <c r="RQW4" s="496"/>
      <c r="RQX4" s="496"/>
      <c r="RQY4" s="496"/>
      <c r="RQZ4" s="496"/>
      <c r="RRA4" s="496"/>
      <c r="RRB4" s="496"/>
      <c r="RRC4" s="496"/>
      <c r="RRD4" s="496"/>
      <c r="RRE4" s="496"/>
      <c r="RRF4" s="496"/>
      <c r="RRG4" s="496"/>
      <c r="RRH4" s="496"/>
      <c r="RRI4" s="496"/>
      <c r="RRJ4" s="496"/>
      <c r="RRK4" s="496"/>
      <c r="RRL4" s="496"/>
      <c r="RRM4" s="496"/>
      <c r="RRN4" s="496"/>
      <c r="RRO4" s="496"/>
      <c r="RRP4" s="496"/>
      <c r="RRQ4" s="496"/>
      <c r="RRR4" s="496"/>
      <c r="RRS4" s="496"/>
      <c r="RRT4" s="496"/>
      <c r="RRU4" s="496"/>
      <c r="RRV4" s="496"/>
      <c r="RRW4" s="496"/>
      <c r="RRX4" s="496"/>
      <c r="RRY4" s="496"/>
      <c r="RRZ4" s="496"/>
      <c r="RSA4" s="496"/>
      <c r="RSB4" s="496"/>
      <c r="RSC4" s="496"/>
      <c r="RSD4" s="496"/>
      <c r="RSE4" s="496"/>
      <c r="RSF4" s="496"/>
      <c r="RSG4" s="496"/>
      <c r="RSH4" s="496"/>
      <c r="RSI4" s="496"/>
      <c r="RSJ4" s="496"/>
      <c r="RSK4" s="496"/>
      <c r="RSL4" s="496"/>
      <c r="RSM4" s="496"/>
      <c r="RSN4" s="496"/>
      <c r="RSO4" s="496"/>
      <c r="RSP4" s="496"/>
      <c r="RSQ4" s="496"/>
      <c r="RSR4" s="496"/>
      <c r="RSS4" s="496"/>
      <c r="RST4" s="496"/>
      <c r="RSU4" s="496"/>
      <c r="RSV4" s="496"/>
      <c r="RSW4" s="496"/>
      <c r="RSX4" s="496"/>
      <c r="RSY4" s="496"/>
      <c r="RSZ4" s="496"/>
      <c r="RTA4" s="496"/>
      <c r="RTB4" s="496"/>
      <c r="RTC4" s="496"/>
      <c r="RTD4" s="496"/>
      <c r="RTE4" s="496"/>
      <c r="RTF4" s="496"/>
      <c r="RTG4" s="496"/>
      <c r="RTH4" s="496"/>
      <c r="RTI4" s="496"/>
      <c r="RTJ4" s="496"/>
      <c r="RTK4" s="496"/>
      <c r="RTL4" s="496"/>
      <c r="RTM4" s="496"/>
      <c r="RTN4" s="496"/>
      <c r="RTO4" s="496"/>
      <c r="RTP4" s="496"/>
      <c r="RTQ4" s="496"/>
      <c r="RTR4" s="496"/>
      <c r="RTS4" s="496"/>
      <c r="RTT4" s="496"/>
      <c r="RTU4" s="496"/>
      <c r="RTV4" s="496"/>
      <c r="RTW4" s="496"/>
      <c r="RTX4" s="496"/>
      <c r="RTY4" s="496"/>
      <c r="RTZ4" s="496"/>
      <c r="RUA4" s="496"/>
      <c r="RUB4" s="496"/>
      <c r="RUC4" s="496"/>
      <c r="RUD4" s="496"/>
      <c r="RUE4" s="496"/>
      <c r="RUF4" s="496"/>
      <c r="RUG4" s="496"/>
      <c r="RUH4" s="496"/>
      <c r="RUI4" s="496"/>
      <c r="RUJ4" s="496"/>
      <c r="RUK4" s="496"/>
      <c r="RUL4" s="496"/>
      <c r="RUM4" s="496"/>
      <c r="RUN4" s="496"/>
      <c r="RUO4" s="496"/>
      <c r="RUP4" s="496"/>
      <c r="RUQ4" s="496"/>
      <c r="RUR4" s="496"/>
      <c r="RUS4" s="496"/>
      <c r="RUT4" s="496"/>
      <c r="RUU4" s="496"/>
      <c r="RUV4" s="496"/>
      <c r="RUW4" s="496"/>
      <c r="RUX4" s="496"/>
      <c r="RUY4" s="496"/>
      <c r="RUZ4" s="496"/>
      <c r="RVA4" s="496"/>
      <c r="RVB4" s="496"/>
      <c r="RVC4" s="496"/>
      <c r="RVD4" s="496"/>
      <c r="RVE4" s="496"/>
      <c r="RVF4" s="496"/>
      <c r="RVG4" s="496"/>
      <c r="RVH4" s="496"/>
      <c r="RVI4" s="496"/>
      <c r="RVJ4" s="496"/>
      <c r="RVK4" s="496"/>
      <c r="RVL4" s="496"/>
      <c r="RVM4" s="496"/>
      <c r="RVN4" s="496"/>
      <c r="RVO4" s="496"/>
      <c r="RVP4" s="496"/>
      <c r="RVQ4" s="496"/>
      <c r="RVR4" s="496"/>
      <c r="RVS4" s="496"/>
      <c r="RVT4" s="496"/>
      <c r="RVU4" s="496"/>
      <c r="RVV4" s="496"/>
      <c r="RVW4" s="496"/>
      <c r="RVX4" s="496"/>
      <c r="RVY4" s="496"/>
      <c r="RVZ4" s="496"/>
      <c r="RWA4" s="496"/>
      <c r="RWB4" s="496"/>
      <c r="RWC4" s="496"/>
      <c r="RWD4" s="496"/>
      <c r="RWE4" s="496"/>
      <c r="RWF4" s="496"/>
      <c r="RWG4" s="496"/>
      <c r="RWH4" s="496"/>
      <c r="RWI4" s="496"/>
      <c r="RWJ4" s="496"/>
      <c r="RWK4" s="496"/>
      <c r="RWL4" s="496"/>
      <c r="RWM4" s="496"/>
      <c r="RWN4" s="496"/>
      <c r="RWO4" s="496"/>
      <c r="RWP4" s="496"/>
      <c r="RWQ4" s="496"/>
      <c r="RWR4" s="496"/>
      <c r="RWS4" s="496"/>
      <c r="RWT4" s="496"/>
      <c r="RWU4" s="496"/>
      <c r="RWV4" s="496"/>
      <c r="RWW4" s="496"/>
      <c r="RWX4" s="496"/>
      <c r="RWY4" s="496"/>
      <c r="RWZ4" s="496"/>
      <c r="RXA4" s="496"/>
      <c r="RXB4" s="496"/>
      <c r="RXC4" s="496"/>
      <c r="RXD4" s="496"/>
      <c r="RXE4" s="496"/>
      <c r="RXF4" s="496"/>
      <c r="RXG4" s="496"/>
      <c r="RXH4" s="496"/>
      <c r="RXI4" s="496"/>
      <c r="RXJ4" s="496"/>
      <c r="RXK4" s="496"/>
      <c r="RXL4" s="496"/>
      <c r="RXM4" s="496"/>
      <c r="RXN4" s="496"/>
      <c r="RXO4" s="496"/>
      <c r="RXP4" s="496"/>
      <c r="RXQ4" s="496"/>
      <c r="RXR4" s="496"/>
      <c r="RXS4" s="496"/>
      <c r="RXT4" s="496"/>
      <c r="RXU4" s="496"/>
      <c r="RXV4" s="496"/>
      <c r="RXW4" s="496"/>
      <c r="RXX4" s="496"/>
      <c r="RXY4" s="496"/>
      <c r="RXZ4" s="496"/>
      <c r="RYA4" s="496"/>
      <c r="RYB4" s="496"/>
      <c r="RYC4" s="496"/>
      <c r="RYD4" s="496"/>
      <c r="RYE4" s="496"/>
      <c r="RYF4" s="496"/>
      <c r="RYG4" s="496"/>
      <c r="RYH4" s="496"/>
      <c r="RYI4" s="496"/>
      <c r="RYJ4" s="496"/>
      <c r="RYK4" s="496"/>
      <c r="RYL4" s="496"/>
      <c r="RYM4" s="496"/>
      <c r="RYN4" s="496"/>
      <c r="RYO4" s="496"/>
      <c r="RYP4" s="496"/>
      <c r="RYQ4" s="496"/>
      <c r="RYR4" s="496"/>
      <c r="RYS4" s="496"/>
      <c r="RYT4" s="496"/>
      <c r="RYU4" s="496"/>
      <c r="RYV4" s="496"/>
      <c r="RYW4" s="496"/>
      <c r="RYX4" s="496"/>
      <c r="RYY4" s="496"/>
      <c r="RYZ4" s="496"/>
      <c r="RZA4" s="496"/>
      <c r="RZB4" s="496"/>
      <c r="RZC4" s="496"/>
      <c r="RZD4" s="496"/>
      <c r="RZE4" s="496"/>
      <c r="RZF4" s="496"/>
      <c r="RZG4" s="496"/>
      <c r="RZH4" s="496"/>
      <c r="RZI4" s="496"/>
      <c r="RZJ4" s="496"/>
      <c r="RZK4" s="496"/>
      <c r="RZL4" s="496"/>
      <c r="RZM4" s="496"/>
      <c r="RZN4" s="496"/>
      <c r="RZO4" s="496"/>
      <c r="RZP4" s="496"/>
      <c r="RZQ4" s="496"/>
      <c r="RZR4" s="496"/>
      <c r="RZS4" s="496"/>
      <c r="RZT4" s="496"/>
      <c r="RZU4" s="496"/>
      <c r="RZV4" s="496"/>
      <c r="RZW4" s="496"/>
      <c r="RZX4" s="496"/>
      <c r="RZY4" s="496"/>
      <c r="RZZ4" s="496"/>
      <c r="SAA4" s="496"/>
      <c r="SAB4" s="496"/>
      <c r="SAC4" s="496"/>
      <c r="SAD4" s="496"/>
      <c r="SAE4" s="496"/>
      <c r="SAF4" s="496"/>
      <c r="SAG4" s="496"/>
      <c r="SAH4" s="496"/>
      <c r="SAI4" s="496"/>
      <c r="SAJ4" s="496"/>
      <c r="SAK4" s="496"/>
      <c r="SAL4" s="496"/>
      <c r="SAM4" s="496"/>
      <c r="SAN4" s="496"/>
      <c r="SAO4" s="496"/>
      <c r="SAP4" s="496"/>
      <c r="SAQ4" s="496"/>
      <c r="SAR4" s="496"/>
      <c r="SAS4" s="496"/>
      <c r="SAT4" s="496"/>
      <c r="SAU4" s="496"/>
      <c r="SAV4" s="496"/>
      <c r="SAW4" s="496"/>
      <c r="SAX4" s="496"/>
      <c r="SAY4" s="496"/>
      <c r="SAZ4" s="496"/>
      <c r="SBA4" s="496"/>
      <c r="SBB4" s="496"/>
      <c r="SBC4" s="496"/>
      <c r="SBD4" s="496"/>
      <c r="SBE4" s="496"/>
      <c r="SBF4" s="496"/>
      <c r="SBG4" s="496"/>
      <c r="SBH4" s="496"/>
      <c r="SBI4" s="496"/>
      <c r="SBJ4" s="496"/>
      <c r="SBK4" s="496"/>
      <c r="SBL4" s="496"/>
      <c r="SBM4" s="496"/>
      <c r="SBN4" s="496"/>
      <c r="SBO4" s="496"/>
      <c r="SBP4" s="496"/>
      <c r="SBQ4" s="496"/>
      <c r="SBR4" s="496"/>
      <c r="SBS4" s="496"/>
      <c r="SBT4" s="496"/>
      <c r="SBU4" s="496"/>
      <c r="SBV4" s="496"/>
      <c r="SBW4" s="496"/>
      <c r="SBX4" s="496"/>
      <c r="SBY4" s="496"/>
      <c r="SBZ4" s="496"/>
      <c r="SCA4" s="496"/>
      <c r="SCB4" s="496"/>
      <c r="SCC4" s="496"/>
      <c r="SCD4" s="496"/>
      <c r="SCE4" s="496"/>
      <c r="SCF4" s="496"/>
      <c r="SCG4" s="496"/>
      <c r="SCH4" s="496"/>
      <c r="SCI4" s="496"/>
      <c r="SCJ4" s="496"/>
      <c r="SCK4" s="496"/>
      <c r="SCL4" s="496"/>
      <c r="SCM4" s="496"/>
      <c r="SCN4" s="496"/>
      <c r="SCO4" s="496"/>
      <c r="SCP4" s="496"/>
      <c r="SCQ4" s="496"/>
      <c r="SCR4" s="496"/>
      <c r="SCS4" s="496"/>
      <c r="SCT4" s="496"/>
      <c r="SCU4" s="496"/>
      <c r="SCV4" s="496"/>
      <c r="SCW4" s="496"/>
      <c r="SCX4" s="496"/>
      <c r="SCY4" s="496"/>
      <c r="SCZ4" s="496"/>
      <c r="SDA4" s="496"/>
      <c r="SDB4" s="496"/>
      <c r="SDC4" s="496"/>
      <c r="SDD4" s="496"/>
      <c r="SDE4" s="496"/>
      <c r="SDF4" s="496"/>
      <c r="SDG4" s="496"/>
      <c r="SDH4" s="496"/>
      <c r="SDI4" s="496"/>
      <c r="SDJ4" s="496"/>
      <c r="SDK4" s="496"/>
      <c r="SDL4" s="496"/>
      <c r="SDM4" s="496"/>
      <c r="SDN4" s="496"/>
      <c r="SDO4" s="496"/>
      <c r="SDP4" s="496"/>
      <c r="SDQ4" s="496"/>
      <c r="SDR4" s="496"/>
      <c r="SDS4" s="496"/>
      <c r="SDT4" s="496"/>
      <c r="SDU4" s="496"/>
      <c r="SDV4" s="496"/>
      <c r="SDW4" s="496"/>
      <c r="SDX4" s="496"/>
      <c r="SDY4" s="496"/>
      <c r="SDZ4" s="496"/>
      <c r="SEA4" s="496"/>
      <c r="SEB4" s="496"/>
      <c r="SEC4" s="496"/>
      <c r="SED4" s="496"/>
      <c r="SEE4" s="496"/>
      <c r="SEF4" s="496"/>
      <c r="SEG4" s="496"/>
      <c r="SEH4" s="496"/>
      <c r="SEI4" s="496"/>
      <c r="SEJ4" s="496"/>
      <c r="SEK4" s="496"/>
      <c r="SEL4" s="496"/>
      <c r="SEM4" s="496"/>
      <c r="SEN4" s="496"/>
      <c r="SEO4" s="496"/>
      <c r="SEP4" s="496"/>
      <c r="SEQ4" s="496"/>
      <c r="SER4" s="496"/>
      <c r="SES4" s="496"/>
      <c r="SET4" s="496"/>
      <c r="SEU4" s="496"/>
      <c r="SEV4" s="496"/>
      <c r="SEW4" s="496"/>
      <c r="SEX4" s="496"/>
      <c r="SEY4" s="496"/>
      <c r="SEZ4" s="496"/>
      <c r="SFA4" s="496"/>
      <c r="SFB4" s="496"/>
      <c r="SFC4" s="496"/>
      <c r="SFD4" s="496"/>
      <c r="SFE4" s="496"/>
      <c r="SFF4" s="496"/>
      <c r="SFG4" s="496"/>
      <c r="SFH4" s="496"/>
      <c r="SFI4" s="496"/>
      <c r="SFJ4" s="496"/>
      <c r="SFK4" s="496"/>
      <c r="SFL4" s="496"/>
      <c r="SFM4" s="496"/>
      <c r="SFN4" s="496"/>
      <c r="SFO4" s="496"/>
      <c r="SFP4" s="496"/>
      <c r="SFQ4" s="496"/>
      <c r="SFR4" s="496"/>
      <c r="SFS4" s="496"/>
      <c r="SFT4" s="496"/>
      <c r="SFU4" s="496"/>
      <c r="SFV4" s="496"/>
      <c r="SFW4" s="496"/>
      <c r="SFX4" s="496"/>
      <c r="SFY4" s="496"/>
      <c r="SFZ4" s="496"/>
      <c r="SGA4" s="496"/>
      <c r="SGB4" s="496"/>
      <c r="SGC4" s="496"/>
      <c r="SGD4" s="496"/>
      <c r="SGE4" s="496"/>
      <c r="SGF4" s="496"/>
      <c r="SGG4" s="496"/>
      <c r="SGH4" s="496"/>
      <c r="SGI4" s="496"/>
      <c r="SGJ4" s="496"/>
      <c r="SGK4" s="496"/>
      <c r="SGL4" s="496"/>
      <c r="SGM4" s="496"/>
      <c r="SGN4" s="496"/>
      <c r="SGO4" s="496"/>
      <c r="SGP4" s="496"/>
      <c r="SGQ4" s="496"/>
      <c r="SGR4" s="496"/>
      <c r="SGS4" s="496"/>
      <c r="SGT4" s="496"/>
      <c r="SGU4" s="496"/>
      <c r="SGV4" s="496"/>
      <c r="SGW4" s="496"/>
      <c r="SGX4" s="496"/>
      <c r="SGY4" s="496"/>
      <c r="SGZ4" s="496"/>
      <c r="SHA4" s="496"/>
      <c r="SHB4" s="496"/>
      <c r="SHC4" s="496"/>
      <c r="SHD4" s="496"/>
      <c r="SHE4" s="496"/>
      <c r="SHF4" s="496"/>
      <c r="SHG4" s="496"/>
      <c r="SHH4" s="496"/>
      <c r="SHI4" s="496"/>
      <c r="SHJ4" s="496"/>
      <c r="SHK4" s="496"/>
      <c r="SHL4" s="496"/>
      <c r="SHM4" s="496"/>
      <c r="SHN4" s="496"/>
      <c r="SHO4" s="496"/>
      <c r="SHP4" s="496"/>
      <c r="SHQ4" s="496"/>
      <c r="SHR4" s="496"/>
      <c r="SHS4" s="496"/>
      <c r="SHT4" s="496"/>
      <c r="SHU4" s="496"/>
      <c r="SHV4" s="496"/>
      <c r="SHW4" s="496"/>
      <c r="SHX4" s="496"/>
      <c r="SHY4" s="496"/>
      <c r="SHZ4" s="496"/>
      <c r="SIA4" s="496"/>
      <c r="SIB4" s="496"/>
      <c r="SIC4" s="496"/>
      <c r="SID4" s="496"/>
      <c r="SIE4" s="496"/>
      <c r="SIF4" s="496"/>
      <c r="SIG4" s="496"/>
      <c r="SIH4" s="496"/>
      <c r="SII4" s="496"/>
      <c r="SIJ4" s="496"/>
      <c r="SIK4" s="496"/>
      <c r="SIL4" s="496"/>
      <c r="SIM4" s="496"/>
      <c r="SIN4" s="496"/>
      <c r="SIO4" s="496"/>
      <c r="SIP4" s="496"/>
      <c r="SIQ4" s="496"/>
      <c r="SIR4" s="496"/>
      <c r="SIS4" s="496"/>
      <c r="SIT4" s="496"/>
      <c r="SIU4" s="496"/>
      <c r="SIV4" s="496"/>
      <c r="SIW4" s="496"/>
      <c r="SIX4" s="496"/>
      <c r="SIY4" s="496"/>
      <c r="SIZ4" s="496"/>
      <c r="SJA4" s="496"/>
      <c r="SJB4" s="496"/>
      <c r="SJC4" s="496"/>
      <c r="SJD4" s="496"/>
      <c r="SJE4" s="496"/>
      <c r="SJF4" s="496"/>
      <c r="SJG4" s="496"/>
      <c r="SJH4" s="496"/>
      <c r="SJI4" s="496"/>
      <c r="SJJ4" s="496"/>
      <c r="SJK4" s="496"/>
      <c r="SJL4" s="496"/>
      <c r="SJM4" s="496"/>
      <c r="SJN4" s="496"/>
      <c r="SJO4" s="496"/>
      <c r="SJP4" s="496"/>
      <c r="SJQ4" s="496"/>
      <c r="SJR4" s="496"/>
      <c r="SJS4" s="496"/>
      <c r="SJT4" s="496"/>
      <c r="SJU4" s="496"/>
      <c r="SJV4" s="496"/>
      <c r="SJW4" s="496"/>
      <c r="SJX4" s="496"/>
      <c r="SJY4" s="496"/>
      <c r="SJZ4" s="496"/>
      <c r="SKA4" s="496"/>
      <c r="SKB4" s="496"/>
      <c r="SKC4" s="496"/>
      <c r="SKD4" s="496"/>
      <c r="SKE4" s="496"/>
      <c r="SKF4" s="496"/>
      <c r="SKG4" s="496"/>
      <c r="SKH4" s="496"/>
      <c r="SKI4" s="496"/>
      <c r="SKJ4" s="496"/>
      <c r="SKK4" s="496"/>
      <c r="SKL4" s="496"/>
      <c r="SKM4" s="496"/>
      <c r="SKN4" s="496"/>
      <c r="SKO4" s="496"/>
      <c r="SKP4" s="496"/>
      <c r="SKQ4" s="496"/>
      <c r="SKR4" s="496"/>
      <c r="SKS4" s="496"/>
      <c r="SKT4" s="496"/>
      <c r="SKU4" s="496"/>
      <c r="SKV4" s="496"/>
      <c r="SKW4" s="496"/>
      <c r="SKX4" s="496"/>
      <c r="SKY4" s="496"/>
      <c r="SKZ4" s="496"/>
      <c r="SLA4" s="496"/>
      <c r="SLB4" s="496"/>
      <c r="SLC4" s="496"/>
      <c r="SLD4" s="496"/>
      <c r="SLE4" s="496"/>
      <c r="SLF4" s="496"/>
      <c r="SLG4" s="496"/>
      <c r="SLH4" s="496"/>
      <c r="SLI4" s="496"/>
      <c r="SLJ4" s="496"/>
      <c r="SLK4" s="496"/>
      <c r="SLL4" s="496"/>
      <c r="SLM4" s="496"/>
      <c r="SLN4" s="496"/>
      <c r="SLO4" s="496"/>
      <c r="SLP4" s="496"/>
      <c r="SLQ4" s="496"/>
      <c r="SLR4" s="496"/>
      <c r="SLS4" s="496"/>
      <c r="SLT4" s="496"/>
      <c r="SLU4" s="496"/>
      <c r="SLV4" s="496"/>
      <c r="SLW4" s="496"/>
      <c r="SLX4" s="496"/>
      <c r="SLY4" s="496"/>
      <c r="SLZ4" s="496"/>
      <c r="SMA4" s="496"/>
      <c r="SMB4" s="496"/>
      <c r="SMC4" s="496"/>
      <c r="SMD4" s="496"/>
      <c r="SME4" s="496"/>
      <c r="SMF4" s="496"/>
      <c r="SMG4" s="496"/>
      <c r="SMH4" s="496"/>
      <c r="SMI4" s="496"/>
      <c r="SMJ4" s="496"/>
      <c r="SMK4" s="496"/>
      <c r="SML4" s="496"/>
      <c r="SMM4" s="496"/>
      <c r="SMN4" s="496"/>
      <c r="SMO4" s="496"/>
      <c r="SMP4" s="496"/>
      <c r="SMQ4" s="496"/>
      <c r="SMR4" s="496"/>
      <c r="SMS4" s="496"/>
      <c r="SMT4" s="496"/>
      <c r="SMU4" s="496"/>
      <c r="SMV4" s="496"/>
      <c r="SMW4" s="496"/>
      <c r="SMX4" s="496"/>
      <c r="SMY4" s="496"/>
      <c r="SMZ4" s="496"/>
      <c r="SNA4" s="496"/>
      <c r="SNB4" s="496"/>
      <c r="SNC4" s="496"/>
      <c r="SND4" s="496"/>
      <c r="SNE4" s="496"/>
      <c r="SNF4" s="496"/>
      <c r="SNG4" s="496"/>
      <c r="SNH4" s="496"/>
      <c r="SNI4" s="496"/>
      <c r="SNJ4" s="496"/>
      <c r="SNK4" s="496"/>
      <c r="SNL4" s="496"/>
      <c r="SNM4" s="496"/>
      <c r="SNN4" s="496"/>
      <c r="SNO4" s="496"/>
      <c r="SNP4" s="496"/>
      <c r="SNQ4" s="496"/>
      <c r="SNR4" s="496"/>
      <c r="SNS4" s="496"/>
      <c r="SNT4" s="496"/>
      <c r="SNU4" s="496"/>
      <c r="SNV4" s="496"/>
      <c r="SNW4" s="496"/>
      <c r="SNX4" s="496"/>
      <c r="SNY4" s="496"/>
      <c r="SNZ4" s="496"/>
      <c r="SOA4" s="496"/>
      <c r="SOB4" s="496"/>
      <c r="SOC4" s="496"/>
      <c r="SOD4" s="496"/>
      <c r="SOE4" s="496"/>
      <c r="SOF4" s="496"/>
      <c r="SOG4" s="496"/>
      <c r="SOH4" s="496"/>
      <c r="SOI4" s="496"/>
      <c r="SOJ4" s="496"/>
      <c r="SOK4" s="496"/>
      <c r="SOL4" s="496"/>
      <c r="SOM4" s="496"/>
      <c r="SON4" s="496"/>
      <c r="SOO4" s="496"/>
      <c r="SOP4" s="496"/>
      <c r="SOQ4" s="496"/>
      <c r="SOR4" s="496"/>
      <c r="SOS4" s="496"/>
      <c r="SOT4" s="496"/>
      <c r="SOU4" s="496"/>
      <c r="SOV4" s="496"/>
      <c r="SOW4" s="496"/>
      <c r="SOX4" s="496"/>
      <c r="SOY4" s="496"/>
      <c r="SOZ4" s="496"/>
      <c r="SPA4" s="496"/>
      <c r="SPB4" s="496"/>
      <c r="SPC4" s="496"/>
      <c r="SPD4" s="496"/>
      <c r="SPE4" s="496"/>
      <c r="SPF4" s="496"/>
      <c r="SPG4" s="496"/>
      <c r="SPH4" s="496"/>
      <c r="SPI4" s="496"/>
      <c r="SPJ4" s="496"/>
      <c r="SPK4" s="496"/>
      <c r="SPL4" s="496"/>
      <c r="SPM4" s="496"/>
      <c r="SPN4" s="496"/>
      <c r="SPO4" s="496"/>
      <c r="SPP4" s="496"/>
      <c r="SPQ4" s="496"/>
      <c r="SPR4" s="496"/>
      <c r="SPS4" s="496"/>
      <c r="SPT4" s="496"/>
      <c r="SPU4" s="496"/>
      <c r="SPV4" s="496"/>
      <c r="SPW4" s="496"/>
      <c r="SPX4" s="496"/>
      <c r="SPY4" s="496"/>
      <c r="SPZ4" s="496"/>
      <c r="SQA4" s="496"/>
      <c r="SQB4" s="496"/>
      <c r="SQC4" s="496"/>
      <c r="SQD4" s="496"/>
      <c r="SQE4" s="496"/>
      <c r="SQF4" s="496"/>
      <c r="SQG4" s="496"/>
      <c r="SQH4" s="496"/>
      <c r="SQI4" s="496"/>
      <c r="SQJ4" s="496"/>
      <c r="SQK4" s="496"/>
      <c r="SQL4" s="496"/>
      <c r="SQM4" s="496"/>
      <c r="SQN4" s="496"/>
      <c r="SQO4" s="496"/>
      <c r="SQP4" s="496"/>
      <c r="SQQ4" s="496"/>
      <c r="SQR4" s="496"/>
      <c r="SQS4" s="496"/>
      <c r="SQT4" s="496"/>
      <c r="SQU4" s="496"/>
      <c r="SQV4" s="496"/>
      <c r="SQW4" s="496"/>
      <c r="SQX4" s="496"/>
      <c r="SQY4" s="496"/>
      <c r="SQZ4" s="496"/>
      <c r="SRA4" s="496"/>
      <c r="SRB4" s="496"/>
      <c r="SRC4" s="496"/>
      <c r="SRD4" s="496"/>
      <c r="SRE4" s="496"/>
      <c r="SRF4" s="496"/>
      <c r="SRG4" s="496"/>
      <c r="SRH4" s="496"/>
      <c r="SRI4" s="496"/>
      <c r="SRJ4" s="496"/>
      <c r="SRK4" s="496"/>
      <c r="SRL4" s="496"/>
      <c r="SRM4" s="496"/>
      <c r="SRN4" s="496"/>
      <c r="SRO4" s="496"/>
      <c r="SRP4" s="496"/>
      <c r="SRQ4" s="496"/>
      <c r="SRR4" s="496"/>
      <c r="SRS4" s="496"/>
      <c r="SRT4" s="496"/>
      <c r="SRU4" s="496"/>
      <c r="SRV4" s="496"/>
      <c r="SRW4" s="496"/>
      <c r="SRX4" s="496"/>
      <c r="SRY4" s="496"/>
      <c r="SRZ4" s="496"/>
      <c r="SSA4" s="496"/>
      <c r="SSB4" s="496"/>
      <c r="SSC4" s="496"/>
      <c r="SSD4" s="496"/>
      <c r="SSE4" s="496"/>
      <c r="SSF4" s="496"/>
      <c r="SSG4" s="496"/>
      <c r="SSH4" s="496"/>
      <c r="SSI4" s="496"/>
      <c r="SSJ4" s="496"/>
      <c r="SSK4" s="496"/>
      <c r="SSL4" s="496"/>
      <c r="SSM4" s="496"/>
      <c r="SSN4" s="496"/>
      <c r="SSO4" s="496"/>
      <c r="SSP4" s="496"/>
      <c r="SSQ4" s="496"/>
      <c r="SSR4" s="496"/>
      <c r="SSS4" s="496"/>
      <c r="SST4" s="496"/>
      <c r="SSU4" s="496"/>
      <c r="SSV4" s="496"/>
      <c r="SSW4" s="496"/>
      <c r="SSX4" s="496"/>
      <c r="SSY4" s="496"/>
      <c r="SSZ4" s="496"/>
      <c r="STA4" s="496"/>
      <c r="STB4" s="496"/>
      <c r="STC4" s="496"/>
      <c r="STD4" s="496"/>
      <c r="STE4" s="496"/>
      <c r="STF4" s="496"/>
      <c r="STG4" s="496"/>
      <c r="STH4" s="496"/>
      <c r="STI4" s="496"/>
      <c r="STJ4" s="496"/>
      <c r="STK4" s="496"/>
      <c r="STL4" s="496"/>
      <c r="STM4" s="496"/>
      <c r="STN4" s="496"/>
      <c r="STO4" s="496"/>
      <c r="STP4" s="496"/>
      <c r="STQ4" s="496"/>
      <c r="STR4" s="496"/>
      <c r="STS4" s="496"/>
      <c r="STT4" s="496"/>
      <c r="STU4" s="496"/>
      <c r="STV4" s="496"/>
      <c r="STW4" s="496"/>
      <c r="STX4" s="496"/>
      <c r="STY4" s="496"/>
      <c r="STZ4" s="496"/>
      <c r="SUA4" s="496"/>
      <c r="SUB4" s="496"/>
      <c r="SUC4" s="496"/>
      <c r="SUD4" s="496"/>
      <c r="SUE4" s="496"/>
      <c r="SUF4" s="496"/>
      <c r="SUG4" s="496"/>
      <c r="SUH4" s="496"/>
      <c r="SUI4" s="496"/>
      <c r="SUJ4" s="496"/>
      <c r="SUK4" s="496"/>
      <c r="SUL4" s="496"/>
      <c r="SUM4" s="496"/>
      <c r="SUN4" s="496"/>
      <c r="SUO4" s="496"/>
      <c r="SUP4" s="496"/>
      <c r="SUQ4" s="496"/>
      <c r="SUR4" s="496"/>
      <c r="SUS4" s="496"/>
      <c r="SUT4" s="496"/>
      <c r="SUU4" s="496"/>
      <c r="SUV4" s="496"/>
      <c r="SUW4" s="496"/>
      <c r="SUX4" s="496"/>
      <c r="SUY4" s="496"/>
      <c r="SUZ4" s="496"/>
      <c r="SVA4" s="496"/>
      <c r="SVB4" s="496"/>
      <c r="SVC4" s="496"/>
      <c r="SVD4" s="496"/>
      <c r="SVE4" s="496"/>
      <c r="SVF4" s="496"/>
      <c r="SVG4" s="496"/>
      <c r="SVH4" s="496"/>
      <c r="SVI4" s="496"/>
      <c r="SVJ4" s="496"/>
      <c r="SVK4" s="496"/>
      <c r="SVL4" s="496"/>
      <c r="SVM4" s="496"/>
      <c r="SVN4" s="496"/>
      <c r="SVO4" s="496"/>
      <c r="SVP4" s="496"/>
      <c r="SVQ4" s="496"/>
      <c r="SVR4" s="496"/>
      <c r="SVS4" s="496"/>
      <c r="SVT4" s="496"/>
      <c r="SVU4" s="496"/>
      <c r="SVV4" s="496"/>
      <c r="SVW4" s="496"/>
      <c r="SVX4" s="496"/>
      <c r="SVY4" s="496"/>
      <c r="SVZ4" s="496"/>
      <c r="SWA4" s="496"/>
      <c r="SWB4" s="496"/>
      <c r="SWC4" s="496"/>
      <c r="SWD4" s="496"/>
      <c r="SWE4" s="496"/>
      <c r="SWF4" s="496"/>
      <c r="SWG4" s="496"/>
      <c r="SWH4" s="496"/>
      <c r="SWI4" s="496"/>
      <c r="SWJ4" s="496"/>
      <c r="SWK4" s="496"/>
      <c r="SWL4" s="496"/>
      <c r="SWM4" s="496"/>
      <c r="SWN4" s="496"/>
      <c r="SWO4" s="496"/>
      <c r="SWP4" s="496"/>
      <c r="SWQ4" s="496"/>
      <c r="SWR4" s="496"/>
      <c r="SWS4" s="496"/>
      <c r="SWT4" s="496"/>
      <c r="SWU4" s="496"/>
      <c r="SWV4" s="496"/>
      <c r="SWW4" s="496"/>
      <c r="SWX4" s="496"/>
      <c r="SWY4" s="496"/>
      <c r="SWZ4" s="496"/>
      <c r="SXA4" s="496"/>
      <c r="SXB4" s="496"/>
      <c r="SXC4" s="496"/>
      <c r="SXD4" s="496"/>
      <c r="SXE4" s="496"/>
      <c r="SXF4" s="496"/>
      <c r="SXG4" s="496"/>
      <c r="SXH4" s="496"/>
      <c r="SXI4" s="496"/>
      <c r="SXJ4" s="496"/>
      <c r="SXK4" s="496"/>
      <c r="SXL4" s="496"/>
      <c r="SXM4" s="496"/>
      <c r="SXN4" s="496"/>
      <c r="SXO4" s="496"/>
      <c r="SXP4" s="496"/>
      <c r="SXQ4" s="496"/>
      <c r="SXR4" s="496"/>
      <c r="SXS4" s="496"/>
      <c r="SXT4" s="496"/>
      <c r="SXU4" s="496"/>
      <c r="SXV4" s="496"/>
      <c r="SXW4" s="496"/>
      <c r="SXX4" s="496"/>
      <c r="SXY4" s="496"/>
      <c r="SXZ4" s="496"/>
      <c r="SYA4" s="496"/>
      <c r="SYB4" s="496"/>
      <c r="SYC4" s="496"/>
      <c r="SYD4" s="496"/>
      <c r="SYE4" s="496"/>
      <c r="SYF4" s="496"/>
      <c r="SYG4" s="496"/>
      <c r="SYH4" s="496"/>
      <c r="SYI4" s="496"/>
      <c r="SYJ4" s="496"/>
      <c r="SYK4" s="496"/>
      <c r="SYL4" s="496"/>
      <c r="SYM4" s="496"/>
      <c r="SYN4" s="496"/>
      <c r="SYO4" s="496"/>
      <c r="SYP4" s="496"/>
      <c r="SYQ4" s="496"/>
      <c r="SYR4" s="496"/>
      <c r="SYS4" s="496"/>
      <c r="SYT4" s="496"/>
      <c r="SYU4" s="496"/>
      <c r="SYV4" s="496"/>
      <c r="SYW4" s="496"/>
      <c r="SYX4" s="496"/>
      <c r="SYY4" s="496"/>
      <c r="SYZ4" s="496"/>
      <c r="SZA4" s="496"/>
      <c r="SZB4" s="496"/>
      <c r="SZC4" s="496"/>
      <c r="SZD4" s="496"/>
      <c r="SZE4" s="496"/>
      <c r="SZF4" s="496"/>
      <c r="SZG4" s="496"/>
      <c r="SZH4" s="496"/>
      <c r="SZI4" s="496"/>
      <c r="SZJ4" s="496"/>
      <c r="SZK4" s="496"/>
      <c r="SZL4" s="496"/>
      <c r="SZM4" s="496"/>
      <c r="SZN4" s="496"/>
      <c r="SZO4" s="496"/>
      <c r="SZP4" s="496"/>
      <c r="SZQ4" s="496"/>
      <c r="SZR4" s="496"/>
      <c r="SZS4" s="496"/>
      <c r="SZT4" s="496"/>
      <c r="SZU4" s="496"/>
      <c r="SZV4" s="496"/>
      <c r="SZW4" s="496"/>
      <c r="SZX4" s="496"/>
      <c r="SZY4" s="496"/>
      <c r="SZZ4" s="496"/>
      <c r="TAA4" s="496"/>
      <c r="TAB4" s="496"/>
      <c r="TAC4" s="496"/>
      <c r="TAD4" s="496"/>
      <c r="TAE4" s="496"/>
      <c r="TAF4" s="496"/>
      <c r="TAG4" s="496"/>
      <c r="TAH4" s="496"/>
      <c r="TAI4" s="496"/>
      <c r="TAJ4" s="496"/>
      <c r="TAK4" s="496"/>
      <c r="TAL4" s="496"/>
      <c r="TAM4" s="496"/>
      <c r="TAN4" s="496"/>
      <c r="TAO4" s="496"/>
      <c r="TAP4" s="496"/>
      <c r="TAQ4" s="496"/>
      <c r="TAR4" s="496"/>
      <c r="TAS4" s="496"/>
      <c r="TAT4" s="496"/>
      <c r="TAU4" s="496"/>
      <c r="TAV4" s="496"/>
      <c r="TAW4" s="496"/>
      <c r="TAX4" s="496"/>
      <c r="TAY4" s="496"/>
      <c r="TAZ4" s="496"/>
      <c r="TBA4" s="496"/>
      <c r="TBB4" s="496"/>
      <c r="TBC4" s="496"/>
      <c r="TBD4" s="496"/>
      <c r="TBE4" s="496"/>
      <c r="TBF4" s="496"/>
      <c r="TBG4" s="496"/>
      <c r="TBH4" s="496"/>
      <c r="TBI4" s="496"/>
      <c r="TBJ4" s="496"/>
      <c r="TBK4" s="496"/>
      <c r="TBL4" s="496"/>
      <c r="TBM4" s="496"/>
      <c r="TBN4" s="496"/>
      <c r="TBO4" s="496"/>
      <c r="TBP4" s="496"/>
      <c r="TBQ4" s="496"/>
      <c r="TBR4" s="496"/>
      <c r="TBS4" s="496"/>
      <c r="TBT4" s="496"/>
      <c r="TBU4" s="496"/>
      <c r="TBV4" s="496"/>
      <c r="TBW4" s="496"/>
      <c r="TBX4" s="496"/>
      <c r="TBY4" s="496"/>
      <c r="TBZ4" s="496"/>
      <c r="TCA4" s="496"/>
      <c r="TCB4" s="496"/>
      <c r="TCC4" s="496"/>
      <c r="TCD4" s="496"/>
      <c r="TCE4" s="496"/>
      <c r="TCF4" s="496"/>
      <c r="TCG4" s="496"/>
      <c r="TCH4" s="496"/>
      <c r="TCI4" s="496"/>
      <c r="TCJ4" s="496"/>
      <c r="TCK4" s="496"/>
      <c r="TCL4" s="496"/>
      <c r="TCM4" s="496"/>
      <c r="TCN4" s="496"/>
      <c r="TCO4" s="496"/>
      <c r="TCP4" s="496"/>
      <c r="TCQ4" s="496"/>
      <c r="TCR4" s="496"/>
      <c r="TCS4" s="496"/>
      <c r="TCT4" s="496"/>
      <c r="TCU4" s="496"/>
      <c r="TCV4" s="496"/>
      <c r="TCW4" s="496"/>
      <c r="TCX4" s="496"/>
      <c r="TCY4" s="496"/>
      <c r="TCZ4" s="496"/>
      <c r="TDA4" s="496"/>
      <c r="TDB4" s="496"/>
      <c r="TDC4" s="496"/>
      <c r="TDD4" s="496"/>
      <c r="TDE4" s="496"/>
      <c r="TDF4" s="496"/>
      <c r="TDG4" s="496"/>
      <c r="TDH4" s="496"/>
      <c r="TDI4" s="496"/>
      <c r="TDJ4" s="496"/>
      <c r="TDK4" s="496"/>
      <c r="TDL4" s="496"/>
      <c r="TDM4" s="496"/>
      <c r="TDN4" s="496"/>
      <c r="TDO4" s="496"/>
      <c r="TDP4" s="496"/>
      <c r="TDQ4" s="496"/>
      <c r="TDR4" s="496"/>
      <c r="TDS4" s="496"/>
      <c r="TDT4" s="496"/>
      <c r="TDU4" s="496"/>
      <c r="TDV4" s="496"/>
      <c r="TDW4" s="496"/>
      <c r="TDX4" s="496"/>
      <c r="TDY4" s="496"/>
      <c r="TDZ4" s="496"/>
      <c r="TEA4" s="496"/>
      <c r="TEB4" s="496"/>
      <c r="TEC4" s="496"/>
      <c r="TED4" s="496"/>
      <c r="TEE4" s="496"/>
      <c r="TEF4" s="496"/>
      <c r="TEG4" s="496"/>
      <c r="TEH4" s="496"/>
      <c r="TEI4" s="496"/>
      <c r="TEJ4" s="496"/>
      <c r="TEK4" s="496"/>
      <c r="TEL4" s="496"/>
      <c r="TEM4" s="496"/>
      <c r="TEN4" s="496"/>
      <c r="TEO4" s="496"/>
      <c r="TEP4" s="496"/>
      <c r="TEQ4" s="496"/>
      <c r="TER4" s="496"/>
      <c r="TES4" s="496"/>
      <c r="TET4" s="496"/>
      <c r="TEU4" s="496"/>
      <c r="TEV4" s="496"/>
      <c r="TEW4" s="496"/>
      <c r="TEX4" s="496"/>
      <c r="TEY4" s="496"/>
      <c r="TEZ4" s="496"/>
      <c r="TFA4" s="496"/>
      <c r="TFB4" s="496"/>
      <c r="TFC4" s="496"/>
      <c r="TFD4" s="496"/>
      <c r="TFE4" s="496"/>
      <c r="TFF4" s="496"/>
      <c r="TFG4" s="496"/>
      <c r="TFH4" s="496"/>
      <c r="TFI4" s="496"/>
      <c r="TFJ4" s="496"/>
      <c r="TFK4" s="496"/>
      <c r="TFL4" s="496"/>
      <c r="TFM4" s="496"/>
      <c r="TFN4" s="496"/>
      <c r="TFO4" s="496"/>
      <c r="TFP4" s="496"/>
      <c r="TFQ4" s="496"/>
      <c r="TFR4" s="496"/>
      <c r="TFS4" s="496"/>
      <c r="TFT4" s="496"/>
      <c r="TFU4" s="496"/>
      <c r="TFV4" s="496"/>
      <c r="TFW4" s="496"/>
      <c r="TFX4" s="496"/>
      <c r="TFY4" s="496"/>
      <c r="TFZ4" s="496"/>
      <c r="TGA4" s="496"/>
      <c r="TGB4" s="496"/>
      <c r="TGC4" s="496"/>
      <c r="TGD4" s="496"/>
      <c r="TGE4" s="496"/>
      <c r="TGF4" s="496"/>
      <c r="TGG4" s="496"/>
      <c r="TGH4" s="496"/>
      <c r="TGI4" s="496"/>
      <c r="TGJ4" s="496"/>
      <c r="TGK4" s="496"/>
      <c r="TGL4" s="496"/>
      <c r="TGM4" s="496"/>
      <c r="TGN4" s="496"/>
      <c r="TGO4" s="496"/>
      <c r="TGP4" s="496"/>
      <c r="TGQ4" s="496"/>
      <c r="TGR4" s="496"/>
      <c r="TGS4" s="496"/>
      <c r="TGT4" s="496"/>
      <c r="TGU4" s="496"/>
      <c r="TGV4" s="496"/>
      <c r="TGW4" s="496"/>
      <c r="TGX4" s="496"/>
      <c r="TGY4" s="496"/>
      <c r="TGZ4" s="496"/>
      <c r="THA4" s="496"/>
      <c r="THB4" s="496"/>
      <c r="THC4" s="496"/>
      <c r="THD4" s="496"/>
      <c r="THE4" s="496"/>
      <c r="THF4" s="496"/>
      <c r="THG4" s="496"/>
      <c r="THH4" s="496"/>
      <c r="THI4" s="496"/>
      <c r="THJ4" s="496"/>
      <c r="THK4" s="496"/>
      <c r="THL4" s="496"/>
      <c r="THM4" s="496"/>
      <c r="THN4" s="496"/>
      <c r="THO4" s="496"/>
      <c r="THP4" s="496"/>
      <c r="THQ4" s="496"/>
      <c r="THR4" s="496"/>
      <c r="THS4" s="496"/>
      <c r="THT4" s="496"/>
      <c r="THU4" s="496"/>
      <c r="THV4" s="496"/>
      <c r="THW4" s="496"/>
      <c r="THX4" s="496"/>
      <c r="THY4" s="496"/>
      <c r="THZ4" s="496"/>
      <c r="TIA4" s="496"/>
      <c r="TIB4" s="496"/>
      <c r="TIC4" s="496"/>
      <c r="TID4" s="496"/>
      <c r="TIE4" s="496"/>
      <c r="TIF4" s="496"/>
      <c r="TIG4" s="496"/>
      <c r="TIH4" s="496"/>
      <c r="TII4" s="496"/>
      <c r="TIJ4" s="496"/>
      <c r="TIK4" s="496"/>
      <c r="TIL4" s="496"/>
      <c r="TIM4" s="496"/>
      <c r="TIN4" s="496"/>
      <c r="TIO4" s="496"/>
      <c r="TIP4" s="496"/>
      <c r="TIQ4" s="496"/>
      <c r="TIR4" s="496"/>
      <c r="TIS4" s="496"/>
      <c r="TIT4" s="496"/>
      <c r="TIU4" s="496"/>
      <c r="TIV4" s="496"/>
      <c r="TIW4" s="496"/>
      <c r="TIX4" s="496"/>
      <c r="TIY4" s="496"/>
      <c r="TIZ4" s="496"/>
      <c r="TJA4" s="496"/>
      <c r="TJB4" s="496"/>
      <c r="TJC4" s="496"/>
      <c r="TJD4" s="496"/>
      <c r="TJE4" s="496"/>
      <c r="TJF4" s="496"/>
      <c r="TJG4" s="496"/>
      <c r="TJH4" s="496"/>
      <c r="TJI4" s="496"/>
      <c r="TJJ4" s="496"/>
      <c r="TJK4" s="496"/>
      <c r="TJL4" s="496"/>
      <c r="TJM4" s="496"/>
      <c r="TJN4" s="496"/>
      <c r="TJO4" s="496"/>
      <c r="TJP4" s="496"/>
      <c r="TJQ4" s="496"/>
      <c r="TJR4" s="496"/>
      <c r="TJS4" s="496"/>
      <c r="TJT4" s="496"/>
      <c r="TJU4" s="496"/>
      <c r="TJV4" s="496"/>
      <c r="TJW4" s="496"/>
      <c r="TJX4" s="496"/>
      <c r="TJY4" s="496"/>
      <c r="TJZ4" s="496"/>
      <c r="TKA4" s="496"/>
      <c r="TKB4" s="496"/>
      <c r="TKC4" s="496"/>
      <c r="TKD4" s="496"/>
      <c r="TKE4" s="496"/>
      <c r="TKF4" s="496"/>
      <c r="TKG4" s="496"/>
      <c r="TKH4" s="496"/>
      <c r="TKI4" s="496"/>
      <c r="TKJ4" s="496"/>
      <c r="TKK4" s="496"/>
      <c r="TKL4" s="496"/>
      <c r="TKM4" s="496"/>
      <c r="TKN4" s="496"/>
      <c r="TKO4" s="496"/>
      <c r="TKP4" s="496"/>
      <c r="TKQ4" s="496"/>
      <c r="TKR4" s="496"/>
      <c r="TKS4" s="496"/>
      <c r="TKT4" s="496"/>
      <c r="TKU4" s="496"/>
      <c r="TKV4" s="496"/>
      <c r="TKW4" s="496"/>
      <c r="TKX4" s="496"/>
      <c r="TKY4" s="496"/>
      <c r="TKZ4" s="496"/>
      <c r="TLA4" s="496"/>
      <c r="TLB4" s="496"/>
      <c r="TLC4" s="496"/>
      <c r="TLD4" s="496"/>
      <c r="TLE4" s="496"/>
      <c r="TLF4" s="496"/>
      <c r="TLG4" s="496"/>
      <c r="TLH4" s="496"/>
      <c r="TLI4" s="496"/>
      <c r="TLJ4" s="496"/>
      <c r="TLK4" s="496"/>
      <c r="TLL4" s="496"/>
      <c r="TLM4" s="496"/>
      <c r="TLN4" s="496"/>
      <c r="TLO4" s="496"/>
      <c r="TLP4" s="496"/>
      <c r="TLQ4" s="496"/>
      <c r="TLR4" s="496"/>
      <c r="TLS4" s="496"/>
      <c r="TLT4" s="496"/>
      <c r="TLU4" s="496"/>
      <c r="TLV4" s="496"/>
      <c r="TLW4" s="496"/>
      <c r="TLX4" s="496"/>
      <c r="TLY4" s="496"/>
      <c r="TLZ4" s="496"/>
      <c r="TMA4" s="496"/>
      <c r="TMB4" s="496"/>
      <c r="TMC4" s="496"/>
      <c r="TMD4" s="496"/>
      <c r="TME4" s="496"/>
      <c r="TMF4" s="496"/>
      <c r="TMG4" s="496"/>
      <c r="TMH4" s="496"/>
      <c r="TMI4" s="496"/>
      <c r="TMJ4" s="496"/>
      <c r="TMK4" s="496"/>
      <c r="TML4" s="496"/>
      <c r="TMM4" s="496"/>
      <c r="TMN4" s="496"/>
      <c r="TMO4" s="496"/>
      <c r="TMP4" s="496"/>
      <c r="TMQ4" s="496"/>
      <c r="TMR4" s="496"/>
      <c r="TMS4" s="496"/>
      <c r="TMT4" s="496"/>
      <c r="TMU4" s="496"/>
      <c r="TMV4" s="496"/>
      <c r="TMW4" s="496"/>
      <c r="TMX4" s="496"/>
      <c r="TMY4" s="496"/>
      <c r="TMZ4" s="496"/>
      <c r="TNA4" s="496"/>
      <c r="TNB4" s="496"/>
      <c r="TNC4" s="496"/>
      <c r="TND4" s="496"/>
      <c r="TNE4" s="496"/>
      <c r="TNF4" s="496"/>
      <c r="TNG4" s="496"/>
      <c r="TNH4" s="496"/>
      <c r="TNI4" s="496"/>
      <c r="TNJ4" s="496"/>
      <c r="TNK4" s="496"/>
      <c r="TNL4" s="496"/>
      <c r="TNM4" s="496"/>
      <c r="TNN4" s="496"/>
      <c r="TNO4" s="496"/>
      <c r="TNP4" s="496"/>
      <c r="TNQ4" s="496"/>
      <c r="TNR4" s="496"/>
      <c r="TNS4" s="496"/>
      <c r="TNT4" s="496"/>
      <c r="TNU4" s="496"/>
      <c r="TNV4" s="496"/>
      <c r="TNW4" s="496"/>
      <c r="TNX4" s="496"/>
      <c r="TNY4" s="496"/>
      <c r="TNZ4" s="496"/>
      <c r="TOA4" s="496"/>
      <c r="TOB4" s="496"/>
      <c r="TOC4" s="496"/>
      <c r="TOD4" s="496"/>
      <c r="TOE4" s="496"/>
      <c r="TOF4" s="496"/>
      <c r="TOG4" s="496"/>
      <c r="TOH4" s="496"/>
      <c r="TOI4" s="496"/>
      <c r="TOJ4" s="496"/>
      <c r="TOK4" s="496"/>
      <c r="TOL4" s="496"/>
      <c r="TOM4" s="496"/>
      <c r="TON4" s="496"/>
      <c r="TOO4" s="496"/>
      <c r="TOP4" s="496"/>
      <c r="TOQ4" s="496"/>
      <c r="TOR4" s="496"/>
      <c r="TOS4" s="496"/>
      <c r="TOT4" s="496"/>
      <c r="TOU4" s="496"/>
      <c r="TOV4" s="496"/>
      <c r="TOW4" s="496"/>
      <c r="TOX4" s="496"/>
      <c r="TOY4" s="496"/>
      <c r="TOZ4" s="496"/>
      <c r="TPA4" s="496"/>
      <c r="TPB4" s="496"/>
      <c r="TPC4" s="496"/>
      <c r="TPD4" s="496"/>
      <c r="TPE4" s="496"/>
      <c r="TPF4" s="496"/>
      <c r="TPG4" s="496"/>
      <c r="TPH4" s="496"/>
      <c r="TPI4" s="496"/>
      <c r="TPJ4" s="496"/>
      <c r="TPK4" s="496"/>
      <c r="TPL4" s="496"/>
      <c r="TPM4" s="496"/>
      <c r="TPN4" s="496"/>
      <c r="TPO4" s="496"/>
      <c r="TPP4" s="496"/>
      <c r="TPQ4" s="496"/>
      <c r="TPR4" s="496"/>
      <c r="TPS4" s="496"/>
      <c r="TPT4" s="496"/>
      <c r="TPU4" s="496"/>
      <c r="TPV4" s="496"/>
      <c r="TPW4" s="496"/>
      <c r="TPX4" s="496"/>
      <c r="TPY4" s="496"/>
      <c r="TPZ4" s="496"/>
      <c r="TQA4" s="496"/>
      <c r="TQB4" s="496"/>
      <c r="TQC4" s="496"/>
      <c r="TQD4" s="496"/>
      <c r="TQE4" s="496"/>
      <c r="TQF4" s="496"/>
      <c r="TQG4" s="496"/>
      <c r="TQH4" s="496"/>
      <c r="TQI4" s="496"/>
      <c r="TQJ4" s="496"/>
      <c r="TQK4" s="496"/>
      <c r="TQL4" s="496"/>
      <c r="TQM4" s="496"/>
      <c r="TQN4" s="496"/>
      <c r="TQO4" s="496"/>
      <c r="TQP4" s="496"/>
      <c r="TQQ4" s="496"/>
      <c r="TQR4" s="496"/>
      <c r="TQS4" s="496"/>
      <c r="TQT4" s="496"/>
      <c r="TQU4" s="496"/>
      <c r="TQV4" s="496"/>
      <c r="TQW4" s="496"/>
      <c r="TQX4" s="496"/>
      <c r="TQY4" s="496"/>
      <c r="TQZ4" s="496"/>
      <c r="TRA4" s="496"/>
      <c r="TRB4" s="496"/>
      <c r="TRC4" s="496"/>
      <c r="TRD4" s="496"/>
      <c r="TRE4" s="496"/>
      <c r="TRF4" s="496"/>
      <c r="TRG4" s="496"/>
      <c r="TRH4" s="496"/>
      <c r="TRI4" s="496"/>
      <c r="TRJ4" s="496"/>
      <c r="TRK4" s="496"/>
      <c r="TRL4" s="496"/>
      <c r="TRM4" s="496"/>
      <c r="TRN4" s="496"/>
      <c r="TRO4" s="496"/>
      <c r="TRP4" s="496"/>
      <c r="TRQ4" s="496"/>
      <c r="TRR4" s="496"/>
      <c r="TRS4" s="496"/>
      <c r="TRT4" s="496"/>
      <c r="TRU4" s="496"/>
      <c r="TRV4" s="496"/>
      <c r="TRW4" s="496"/>
      <c r="TRX4" s="496"/>
      <c r="TRY4" s="496"/>
      <c r="TRZ4" s="496"/>
      <c r="TSA4" s="496"/>
      <c r="TSB4" s="496"/>
      <c r="TSC4" s="496"/>
      <c r="TSD4" s="496"/>
      <c r="TSE4" s="496"/>
      <c r="TSF4" s="496"/>
      <c r="TSG4" s="496"/>
      <c r="TSH4" s="496"/>
      <c r="TSI4" s="496"/>
      <c r="TSJ4" s="496"/>
      <c r="TSK4" s="496"/>
      <c r="TSL4" s="496"/>
      <c r="TSM4" s="496"/>
      <c r="TSN4" s="496"/>
      <c r="TSO4" s="496"/>
      <c r="TSP4" s="496"/>
      <c r="TSQ4" s="496"/>
      <c r="TSR4" s="496"/>
      <c r="TSS4" s="496"/>
      <c r="TST4" s="496"/>
      <c r="TSU4" s="496"/>
      <c r="TSV4" s="496"/>
      <c r="TSW4" s="496"/>
      <c r="TSX4" s="496"/>
      <c r="TSY4" s="496"/>
      <c r="TSZ4" s="496"/>
      <c r="TTA4" s="496"/>
      <c r="TTB4" s="496"/>
      <c r="TTC4" s="496"/>
      <c r="TTD4" s="496"/>
      <c r="TTE4" s="496"/>
      <c r="TTF4" s="496"/>
      <c r="TTG4" s="496"/>
      <c r="TTH4" s="496"/>
      <c r="TTI4" s="496"/>
      <c r="TTJ4" s="496"/>
      <c r="TTK4" s="496"/>
      <c r="TTL4" s="496"/>
      <c r="TTM4" s="496"/>
      <c r="TTN4" s="496"/>
      <c r="TTO4" s="496"/>
      <c r="TTP4" s="496"/>
      <c r="TTQ4" s="496"/>
      <c r="TTR4" s="496"/>
      <c r="TTS4" s="496"/>
      <c r="TTT4" s="496"/>
      <c r="TTU4" s="496"/>
      <c r="TTV4" s="496"/>
      <c r="TTW4" s="496"/>
      <c r="TTX4" s="496"/>
      <c r="TTY4" s="496"/>
      <c r="TTZ4" s="496"/>
      <c r="TUA4" s="496"/>
      <c r="TUB4" s="496"/>
      <c r="TUC4" s="496"/>
      <c r="TUD4" s="496"/>
      <c r="TUE4" s="496"/>
      <c r="TUF4" s="496"/>
      <c r="TUG4" s="496"/>
      <c r="TUH4" s="496"/>
      <c r="TUI4" s="496"/>
      <c r="TUJ4" s="496"/>
      <c r="TUK4" s="496"/>
      <c r="TUL4" s="496"/>
      <c r="TUM4" s="496"/>
      <c r="TUN4" s="496"/>
      <c r="TUO4" s="496"/>
      <c r="TUP4" s="496"/>
      <c r="TUQ4" s="496"/>
      <c r="TUR4" s="496"/>
      <c r="TUS4" s="496"/>
      <c r="TUT4" s="496"/>
      <c r="TUU4" s="496"/>
      <c r="TUV4" s="496"/>
      <c r="TUW4" s="496"/>
      <c r="TUX4" s="496"/>
      <c r="TUY4" s="496"/>
      <c r="TUZ4" s="496"/>
      <c r="TVA4" s="496"/>
      <c r="TVB4" s="496"/>
      <c r="TVC4" s="496"/>
      <c r="TVD4" s="496"/>
      <c r="TVE4" s="496"/>
      <c r="TVF4" s="496"/>
      <c r="TVG4" s="496"/>
      <c r="TVH4" s="496"/>
      <c r="TVI4" s="496"/>
      <c r="TVJ4" s="496"/>
      <c r="TVK4" s="496"/>
      <c r="TVL4" s="496"/>
      <c r="TVM4" s="496"/>
      <c r="TVN4" s="496"/>
      <c r="TVO4" s="496"/>
      <c r="TVP4" s="496"/>
      <c r="TVQ4" s="496"/>
      <c r="TVR4" s="496"/>
      <c r="TVS4" s="496"/>
      <c r="TVT4" s="496"/>
      <c r="TVU4" s="496"/>
      <c r="TVV4" s="496"/>
      <c r="TVW4" s="496"/>
      <c r="TVX4" s="496"/>
      <c r="TVY4" s="496"/>
      <c r="TVZ4" s="496"/>
      <c r="TWA4" s="496"/>
      <c r="TWB4" s="496"/>
      <c r="TWC4" s="496"/>
      <c r="TWD4" s="496"/>
      <c r="TWE4" s="496"/>
      <c r="TWF4" s="496"/>
      <c r="TWG4" s="496"/>
      <c r="TWH4" s="496"/>
      <c r="TWI4" s="496"/>
      <c r="TWJ4" s="496"/>
      <c r="TWK4" s="496"/>
      <c r="TWL4" s="496"/>
      <c r="TWM4" s="496"/>
      <c r="TWN4" s="496"/>
      <c r="TWO4" s="496"/>
      <c r="TWP4" s="496"/>
      <c r="TWQ4" s="496"/>
      <c r="TWR4" s="496"/>
      <c r="TWS4" s="496"/>
      <c r="TWT4" s="496"/>
      <c r="TWU4" s="496"/>
      <c r="TWV4" s="496"/>
      <c r="TWW4" s="496"/>
      <c r="TWX4" s="496"/>
      <c r="TWY4" s="496"/>
      <c r="TWZ4" s="496"/>
      <c r="TXA4" s="496"/>
      <c r="TXB4" s="496"/>
      <c r="TXC4" s="496"/>
      <c r="TXD4" s="496"/>
      <c r="TXE4" s="496"/>
      <c r="TXF4" s="496"/>
      <c r="TXG4" s="496"/>
      <c r="TXH4" s="496"/>
      <c r="TXI4" s="496"/>
      <c r="TXJ4" s="496"/>
      <c r="TXK4" s="496"/>
      <c r="TXL4" s="496"/>
      <c r="TXM4" s="496"/>
      <c r="TXN4" s="496"/>
      <c r="TXO4" s="496"/>
      <c r="TXP4" s="496"/>
      <c r="TXQ4" s="496"/>
      <c r="TXR4" s="496"/>
      <c r="TXS4" s="496"/>
      <c r="TXT4" s="496"/>
      <c r="TXU4" s="496"/>
      <c r="TXV4" s="496"/>
      <c r="TXW4" s="496"/>
      <c r="TXX4" s="496"/>
      <c r="TXY4" s="496"/>
      <c r="TXZ4" s="496"/>
      <c r="TYA4" s="496"/>
      <c r="TYB4" s="496"/>
      <c r="TYC4" s="496"/>
      <c r="TYD4" s="496"/>
      <c r="TYE4" s="496"/>
      <c r="TYF4" s="496"/>
      <c r="TYG4" s="496"/>
      <c r="TYH4" s="496"/>
      <c r="TYI4" s="496"/>
      <c r="TYJ4" s="496"/>
      <c r="TYK4" s="496"/>
      <c r="TYL4" s="496"/>
      <c r="TYM4" s="496"/>
      <c r="TYN4" s="496"/>
      <c r="TYO4" s="496"/>
      <c r="TYP4" s="496"/>
      <c r="TYQ4" s="496"/>
      <c r="TYR4" s="496"/>
      <c r="TYS4" s="496"/>
      <c r="TYT4" s="496"/>
      <c r="TYU4" s="496"/>
      <c r="TYV4" s="496"/>
      <c r="TYW4" s="496"/>
      <c r="TYX4" s="496"/>
      <c r="TYY4" s="496"/>
      <c r="TYZ4" s="496"/>
      <c r="TZA4" s="496"/>
      <c r="TZB4" s="496"/>
      <c r="TZC4" s="496"/>
      <c r="TZD4" s="496"/>
      <c r="TZE4" s="496"/>
      <c r="TZF4" s="496"/>
      <c r="TZG4" s="496"/>
      <c r="TZH4" s="496"/>
      <c r="TZI4" s="496"/>
      <c r="TZJ4" s="496"/>
      <c r="TZK4" s="496"/>
      <c r="TZL4" s="496"/>
      <c r="TZM4" s="496"/>
      <c r="TZN4" s="496"/>
      <c r="TZO4" s="496"/>
      <c r="TZP4" s="496"/>
      <c r="TZQ4" s="496"/>
      <c r="TZR4" s="496"/>
      <c r="TZS4" s="496"/>
      <c r="TZT4" s="496"/>
      <c r="TZU4" s="496"/>
      <c r="TZV4" s="496"/>
      <c r="TZW4" s="496"/>
      <c r="TZX4" s="496"/>
      <c r="TZY4" s="496"/>
      <c r="TZZ4" s="496"/>
      <c r="UAA4" s="496"/>
      <c r="UAB4" s="496"/>
      <c r="UAC4" s="496"/>
      <c r="UAD4" s="496"/>
      <c r="UAE4" s="496"/>
      <c r="UAF4" s="496"/>
      <c r="UAG4" s="496"/>
      <c r="UAH4" s="496"/>
      <c r="UAI4" s="496"/>
      <c r="UAJ4" s="496"/>
      <c r="UAK4" s="496"/>
      <c r="UAL4" s="496"/>
      <c r="UAM4" s="496"/>
      <c r="UAN4" s="496"/>
      <c r="UAO4" s="496"/>
      <c r="UAP4" s="496"/>
      <c r="UAQ4" s="496"/>
      <c r="UAR4" s="496"/>
      <c r="UAS4" s="496"/>
      <c r="UAT4" s="496"/>
      <c r="UAU4" s="496"/>
      <c r="UAV4" s="496"/>
      <c r="UAW4" s="496"/>
      <c r="UAX4" s="496"/>
      <c r="UAY4" s="496"/>
      <c r="UAZ4" s="496"/>
      <c r="UBA4" s="496"/>
      <c r="UBB4" s="496"/>
      <c r="UBC4" s="496"/>
      <c r="UBD4" s="496"/>
      <c r="UBE4" s="496"/>
      <c r="UBF4" s="496"/>
      <c r="UBG4" s="496"/>
      <c r="UBH4" s="496"/>
      <c r="UBI4" s="496"/>
      <c r="UBJ4" s="496"/>
      <c r="UBK4" s="496"/>
      <c r="UBL4" s="496"/>
      <c r="UBM4" s="496"/>
      <c r="UBN4" s="496"/>
      <c r="UBO4" s="496"/>
      <c r="UBP4" s="496"/>
      <c r="UBQ4" s="496"/>
      <c r="UBR4" s="496"/>
      <c r="UBS4" s="496"/>
      <c r="UBT4" s="496"/>
      <c r="UBU4" s="496"/>
      <c r="UBV4" s="496"/>
      <c r="UBW4" s="496"/>
      <c r="UBX4" s="496"/>
      <c r="UBY4" s="496"/>
      <c r="UBZ4" s="496"/>
      <c r="UCA4" s="496"/>
      <c r="UCB4" s="496"/>
      <c r="UCC4" s="496"/>
      <c r="UCD4" s="496"/>
      <c r="UCE4" s="496"/>
      <c r="UCF4" s="496"/>
      <c r="UCG4" s="496"/>
      <c r="UCH4" s="496"/>
      <c r="UCI4" s="496"/>
      <c r="UCJ4" s="496"/>
      <c r="UCK4" s="496"/>
      <c r="UCL4" s="496"/>
      <c r="UCM4" s="496"/>
      <c r="UCN4" s="496"/>
      <c r="UCO4" s="496"/>
      <c r="UCP4" s="496"/>
      <c r="UCQ4" s="496"/>
      <c r="UCR4" s="496"/>
      <c r="UCS4" s="496"/>
      <c r="UCT4" s="496"/>
      <c r="UCU4" s="496"/>
      <c r="UCV4" s="496"/>
      <c r="UCW4" s="496"/>
      <c r="UCX4" s="496"/>
      <c r="UCY4" s="496"/>
      <c r="UCZ4" s="496"/>
      <c r="UDA4" s="496"/>
      <c r="UDB4" s="496"/>
      <c r="UDC4" s="496"/>
      <c r="UDD4" s="496"/>
      <c r="UDE4" s="496"/>
      <c r="UDF4" s="496"/>
      <c r="UDG4" s="496"/>
      <c r="UDH4" s="496"/>
      <c r="UDI4" s="496"/>
      <c r="UDJ4" s="496"/>
      <c r="UDK4" s="496"/>
      <c r="UDL4" s="496"/>
      <c r="UDM4" s="496"/>
      <c r="UDN4" s="496"/>
      <c r="UDO4" s="496"/>
      <c r="UDP4" s="496"/>
      <c r="UDQ4" s="496"/>
      <c r="UDR4" s="496"/>
      <c r="UDS4" s="496"/>
      <c r="UDT4" s="496"/>
      <c r="UDU4" s="496"/>
      <c r="UDV4" s="496"/>
      <c r="UDW4" s="496"/>
      <c r="UDX4" s="496"/>
      <c r="UDY4" s="496"/>
      <c r="UDZ4" s="496"/>
      <c r="UEA4" s="496"/>
      <c r="UEB4" s="496"/>
      <c r="UEC4" s="496"/>
      <c r="UED4" s="496"/>
      <c r="UEE4" s="496"/>
      <c r="UEF4" s="496"/>
      <c r="UEG4" s="496"/>
      <c r="UEH4" s="496"/>
      <c r="UEI4" s="496"/>
      <c r="UEJ4" s="496"/>
      <c r="UEK4" s="496"/>
      <c r="UEL4" s="496"/>
      <c r="UEM4" s="496"/>
      <c r="UEN4" s="496"/>
      <c r="UEO4" s="496"/>
      <c r="UEP4" s="496"/>
      <c r="UEQ4" s="496"/>
      <c r="UER4" s="496"/>
      <c r="UES4" s="496"/>
      <c r="UET4" s="496"/>
      <c r="UEU4" s="496"/>
      <c r="UEV4" s="496"/>
      <c r="UEW4" s="496"/>
      <c r="UEX4" s="496"/>
      <c r="UEY4" s="496"/>
      <c r="UEZ4" s="496"/>
      <c r="UFA4" s="496"/>
      <c r="UFB4" s="496"/>
      <c r="UFC4" s="496"/>
      <c r="UFD4" s="496"/>
      <c r="UFE4" s="496"/>
      <c r="UFF4" s="496"/>
      <c r="UFG4" s="496"/>
      <c r="UFH4" s="496"/>
      <c r="UFI4" s="496"/>
      <c r="UFJ4" s="496"/>
      <c r="UFK4" s="496"/>
      <c r="UFL4" s="496"/>
      <c r="UFM4" s="496"/>
      <c r="UFN4" s="496"/>
      <c r="UFO4" s="496"/>
      <c r="UFP4" s="496"/>
      <c r="UFQ4" s="496"/>
      <c r="UFR4" s="496"/>
      <c r="UFS4" s="496"/>
      <c r="UFT4" s="496"/>
      <c r="UFU4" s="496"/>
      <c r="UFV4" s="496"/>
      <c r="UFW4" s="496"/>
      <c r="UFX4" s="496"/>
      <c r="UFY4" s="496"/>
      <c r="UFZ4" s="496"/>
      <c r="UGA4" s="496"/>
      <c r="UGB4" s="496"/>
      <c r="UGC4" s="496"/>
      <c r="UGD4" s="496"/>
      <c r="UGE4" s="496"/>
      <c r="UGF4" s="496"/>
      <c r="UGG4" s="496"/>
      <c r="UGH4" s="496"/>
      <c r="UGI4" s="496"/>
      <c r="UGJ4" s="496"/>
      <c r="UGK4" s="496"/>
      <c r="UGL4" s="496"/>
      <c r="UGM4" s="496"/>
      <c r="UGN4" s="496"/>
      <c r="UGO4" s="496"/>
      <c r="UGP4" s="496"/>
      <c r="UGQ4" s="496"/>
      <c r="UGR4" s="496"/>
      <c r="UGS4" s="496"/>
      <c r="UGT4" s="496"/>
      <c r="UGU4" s="496"/>
      <c r="UGV4" s="496"/>
      <c r="UGW4" s="496"/>
      <c r="UGX4" s="496"/>
      <c r="UGY4" s="496"/>
      <c r="UGZ4" s="496"/>
      <c r="UHA4" s="496"/>
      <c r="UHB4" s="496"/>
      <c r="UHC4" s="496"/>
      <c r="UHD4" s="496"/>
      <c r="UHE4" s="496"/>
      <c r="UHF4" s="496"/>
      <c r="UHG4" s="496"/>
      <c r="UHH4" s="496"/>
      <c r="UHI4" s="496"/>
      <c r="UHJ4" s="496"/>
      <c r="UHK4" s="496"/>
      <c r="UHL4" s="496"/>
      <c r="UHM4" s="496"/>
      <c r="UHN4" s="496"/>
      <c r="UHO4" s="496"/>
      <c r="UHP4" s="496"/>
      <c r="UHQ4" s="496"/>
      <c r="UHR4" s="496"/>
      <c r="UHS4" s="496"/>
      <c r="UHT4" s="496"/>
      <c r="UHU4" s="496"/>
      <c r="UHV4" s="496"/>
      <c r="UHW4" s="496"/>
      <c r="UHX4" s="496"/>
      <c r="UHY4" s="496"/>
      <c r="UHZ4" s="496"/>
      <c r="UIA4" s="496"/>
      <c r="UIB4" s="496"/>
      <c r="UIC4" s="496"/>
      <c r="UID4" s="496"/>
      <c r="UIE4" s="496"/>
      <c r="UIF4" s="496"/>
      <c r="UIG4" s="496"/>
      <c r="UIH4" s="496"/>
      <c r="UII4" s="496"/>
      <c r="UIJ4" s="496"/>
      <c r="UIK4" s="496"/>
      <c r="UIL4" s="496"/>
      <c r="UIM4" s="496"/>
      <c r="UIN4" s="496"/>
      <c r="UIO4" s="496"/>
      <c r="UIP4" s="496"/>
      <c r="UIQ4" s="496"/>
      <c r="UIR4" s="496"/>
      <c r="UIS4" s="496"/>
      <c r="UIT4" s="496"/>
      <c r="UIU4" s="496"/>
      <c r="UIV4" s="496"/>
      <c r="UIW4" s="496"/>
      <c r="UIX4" s="496"/>
      <c r="UIY4" s="496"/>
      <c r="UIZ4" s="496"/>
      <c r="UJA4" s="496"/>
      <c r="UJB4" s="496"/>
      <c r="UJC4" s="496"/>
      <c r="UJD4" s="496"/>
      <c r="UJE4" s="496"/>
      <c r="UJF4" s="496"/>
      <c r="UJG4" s="496"/>
      <c r="UJH4" s="496"/>
      <c r="UJI4" s="496"/>
      <c r="UJJ4" s="496"/>
      <c r="UJK4" s="496"/>
      <c r="UJL4" s="496"/>
      <c r="UJM4" s="496"/>
      <c r="UJN4" s="496"/>
      <c r="UJO4" s="496"/>
      <c r="UJP4" s="496"/>
      <c r="UJQ4" s="496"/>
      <c r="UJR4" s="496"/>
      <c r="UJS4" s="496"/>
      <c r="UJT4" s="496"/>
      <c r="UJU4" s="496"/>
      <c r="UJV4" s="496"/>
      <c r="UJW4" s="496"/>
      <c r="UJX4" s="496"/>
      <c r="UJY4" s="496"/>
      <c r="UJZ4" s="496"/>
      <c r="UKA4" s="496"/>
      <c r="UKB4" s="496"/>
      <c r="UKC4" s="496"/>
      <c r="UKD4" s="496"/>
      <c r="UKE4" s="496"/>
      <c r="UKF4" s="496"/>
      <c r="UKG4" s="496"/>
      <c r="UKH4" s="496"/>
      <c r="UKI4" s="496"/>
      <c r="UKJ4" s="496"/>
      <c r="UKK4" s="496"/>
      <c r="UKL4" s="496"/>
      <c r="UKM4" s="496"/>
      <c r="UKN4" s="496"/>
      <c r="UKO4" s="496"/>
      <c r="UKP4" s="496"/>
      <c r="UKQ4" s="496"/>
      <c r="UKR4" s="496"/>
      <c r="UKS4" s="496"/>
      <c r="UKT4" s="496"/>
      <c r="UKU4" s="496"/>
      <c r="UKV4" s="496"/>
      <c r="UKW4" s="496"/>
      <c r="UKX4" s="496"/>
      <c r="UKY4" s="496"/>
      <c r="UKZ4" s="496"/>
      <c r="ULA4" s="496"/>
      <c r="ULB4" s="496"/>
      <c r="ULC4" s="496"/>
      <c r="ULD4" s="496"/>
      <c r="ULE4" s="496"/>
      <c r="ULF4" s="496"/>
      <c r="ULG4" s="496"/>
      <c r="ULH4" s="496"/>
      <c r="ULI4" s="496"/>
      <c r="ULJ4" s="496"/>
      <c r="ULK4" s="496"/>
      <c r="ULL4" s="496"/>
      <c r="ULM4" s="496"/>
      <c r="ULN4" s="496"/>
      <c r="ULO4" s="496"/>
      <c r="ULP4" s="496"/>
      <c r="ULQ4" s="496"/>
      <c r="ULR4" s="496"/>
      <c r="ULS4" s="496"/>
      <c r="ULT4" s="496"/>
      <c r="ULU4" s="496"/>
      <c r="ULV4" s="496"/>
      <c r="ULW4" s="496"/>
      <c r="ULX4" s="496"/>
      <c r="ULY4" s="496"/>
      <c r="ULZ4" s="496"/>
      <c r="UMA4" s="496"/>
      <c r="UMB4" s="496"/>
      <c r="UMC4" s="496"/>
      <c r="UMD4" s="496"/>
      <c r="UME4" s="496"/>
      <c r="UMF4" s="496"/>
      <c r="UMG4" s="496"/>
      <c r="UMH4" s="496"/>
      <c r="UMI4" s="496"/>
      <c r="UMJ4" s="496"/>
      <c r="UMK4" s="496"/>
      <c r="UML4" s="496"/>
      <c r="UMM4" s="496"/>
      <c r="UMN4" s="496"/>
      <c r="UMO4" s="496"/>
      <c r="UMP4" s="496"/>
      <c r="UMQ4" s="496"/>
      <c r="UMR4" s="496"/>
      <c r="UMS4" s="496"/>
      <c r="UMT4" s="496"/>
      <c r="UMU4" s="496"/>
      <c r="UMV4" s="496"/>
      <c r="UMW4" s="496"/>
      <c r="UMX4" s="496"/>
      <c r="UMY4" s="496"/>
      <c r="UMZ4" s="496"/>
      <c r="UNA4" s="496"/>
      <c r="UNB4" s="496"/>
      <c r="UNC4" s="496"/>
      <c r="UND4" s="496"/>
      <c r="UNE4" s="496"/>
      <c r="UNF4" s="496"/>
      <c r="UNG4" s="496"/>
      <c r="UNH4" s="496"/>
      <c r="UNI4" s="496"/>
      <c r="UNJ4" s="496"/>
      <c r="UNK4" s="496"/>
      <c r="UNL4" s="496"/>
      <c r="UNM4" s="496"/>
      <c r="UNN4" s="496"/>
      <c r="UNO4" s="496"/>
      <c r="UNP4" s="496"/>
      <c r="UNQ4" s="496"/>
      <c r="UNR4" s="496"/>
      <c r="UNS4" s="496"/>
      <c r="UNT4" s="496"/>
      <c r="UNU4" s="496"/>
      <c r="UNV4" s="496"/>
      <c r="UNW4" s="496"/>
      <c r="UNX4" s="496"/>
      <c r="UNY4" s="496"/>
      <c r="UNZ4" s="496"/>
      <c r="UOA4" s="496"/>
      <c r="UOB4" s="496"/>
      <c r="UOC4" s="496"/>
      <c r="UOD4" s="496"/>
      <c r="UOE4" s="496"/>
      <c r="UOF4" s="496"/>
      <c r="UOG4" s="496"/>
      <c r="UOH4" s="496"/>
      <c r="UOI4" s="496"/>
      <c r="UOJ4" s="496"/>
      <c r="UOK4" s="496"/>
      <c r="UOL4" s="496"/>
      <c r="UOM4" s="496"/>
      <c r="UON4" s="496"/>
      <c r="UOO4" s="496"/>
      <c r="UOP4" s="496"/>
      <c r="UOQ4" s="496"/>
      <c r="UOR4" s="496"/>
      <c r="UOS4" s="496"/>
      <c r="UOT4" s="496"/>
      <c r="UOU4" s="496"/>
      <c r="UOV4" s="496"/>
      <c r="UOW4" s="496"/>
      <c r="UOX4" s="496"/>
      <c r="UOY4" s="496"/>
      <c r="UOZ4" s="496"/>
      <c r="UPA4" s="496"/>
      <c r="UPB4" s="496"/>
      <c r="UPC4" s="496"/>
      <c r="UPD4" s="496"/>
      <c r="UPE4" s="496"/>
      <c r="UPF4" s="496"/>
      <c r="UPG4" s="496"/>
      <c r="UPH4" s="496"/>
      <c r="UPI4" s="496"/>
      <c r="UPJ4" s="496"/>
      <c r="UPK4" s="496"/>
      <c r="UPL4" s="496"/>
      <c r="UPM4" s="496"/>
      <c r="UPN4" s="496"/>
      <c r="UPO4" s="496"/>
      <c r="UPP4" s="496"/>
      <c r="UPQ4" s="496"/>
      <c r="UPR4" s="496"/>
      <c r="UPS4" s="496"/>
      <c r="UPT4" s="496"/>
      <c r="UPU4" s="496"/>
      <c r="UPV4" s="496"/>
      <c r="UPW4" s="496"/>
      <c r="UPX4" s="496"/>
      <c r="UPY4" s="496"/>
      <c r="UPZ4" s="496"/>
      <c r="UQA4" s="496"/>
      <c r="UQB4" s="496"/>
      <c r="UQC4" s="496"/>
      <c r="UQD4" s="496"/>
      <c r="UQE4" s="496"/>
      <c r="UQF4" s="496"/>
      <c r="UQG4" s="496"/>
      <c r="UQH4" s="496"/>
      <c r="UQI4" s="496"/>
      <c r="UQJ4" s="496"/>
      <c r="UQK4" s="496"/>
      <c r="UQL4" s="496"/>
      <c r="UQM4" s="496"/>
      <c r="UQN4" s="496"/>
      <c r="UQO4" s="496"/>
      <c r="UQP4" s="496"/>
      <c r="UQQ4" s="496"/>
      <c r="UQR4" s="496"/>
      <c r="UQS4" s="496"/>
      <c r="UQT4" s="496"/>
      <c r="UQU4" s="496"/>
      <c r="UQV4" s="496"/>
      <c r="UQW4" s="496"/>
      <c r="UQX4" s="496"/>
      <c r="UQY4" s="496"/>
      <c r="UQZ4" s="496"/>
      <c r="URA4" s="496"/>
      <c r="URB4" s="496"/>
      <c r="URC4" s="496"/>
      <c r="URD4" s="496"/>
      <c r="URE4" s="496"/>
      <c r="URF4" s="496"/>
      <c r="URG4" s="496"/>
      <c r="URH4" s="496"/>
      <c r="URI4" s="496"/>
      <c r="URJ4" s="496"/>
      <c r="URK4" s="496"/>
      <c r="URL4" s="496"/>
      <c r="URM4" s="496"/>
      <c r="URN4" s="496"/>
      <c r="URO4" s="496"/>
      <c r="URP4" s="496"/>
      <c r="URQ4" s="496"/>
      <c r="URR4" s="496"/>
      <c r="URS4" s="496"/>
      <c r="URT4" s="496"/>
      <c r="URU4" s="496"/>
      <c r="URV4" s="496"/>
      <c r="URW4" s="496"/>
      <c r="URX4" s="496"/>
      <c r="URY4" s="496"/>
      <c r="URZ4" s="496"/>
      <c r="USA4" s="496"/>
      <c r="USB4" s="496"/>
      <c r="USC4" s="496"/>
      <c r="USD4" s="496"/>
      <c r="USE4" s="496"/>
      <c r="USF4" s="496"/>
      <c r="USG4" s="496"/>
      <c r="USH4" s="496"/>
      <c r="USI4" s="496"/>
      <c r="USJ4" s="496"/>
      <c r="USK4" s="496"/>
      <c r="USL4" s="496"/>
      <c r="USM4" s="496"/>
      <c r="USN4" s="496"/>
      <c r="USO4" s="496"/>
      <c r="USP4" s="496"/>
      <c r="USQ4" s="496"/>
      <c r="USR4" s="496"/>
      <c r="USS4" s="496"/>
      <c r="UST4" s="496"/>
      <c r="USU4" s="496"/>
      <c r="USV4" s="496"/>
      <c r="USW4" s="496"/>
      <c r="USX4" s="496"/>
      <c r="USY4" s="496"/>
      <c r="USZ4" s="496"/>
      <c r="UTA4" s="496"/>
      <c r="UTB4" s="496"/>
      <c r="UTC4" s="496"/>
      <c r="UTD4" s="496"/>
      <c r="UTE4" s="496"/>
      <c r="UTF4" s="496"/>
      <c r="UTG4" s="496"/>
      <c r="UTH4" s="496"/>
      <c r="UTI4" s="496"/>
      <c r="UTJ4" s="496"/>
      <c r="UTK4" s="496"/>
      <c r="UTL4" s="496"/>
      <c r="UTM4" s="496"/>
      <c r="UTN4" s="496"/>
      <c r="UTO4" s="496"/>
      <c r="UTP4" s="496"/>
      <c r="UTQ4" s="496"/>
      <c r="UTR4" s="496"/>
      <c r="UTS4" s="496"/>
      <c r="UTT4" s="496"/>
      <c r="UTU4" s="496"/>
      <c r="UTV4" s="496"/>
      <c r="UTW4" s="496"/>
      <c r="UTX4" s="496"/>
      <c r="UTY4" s="496"/>
      <c r="UTZ4" s="496"/>
      <c r="UUA4" s="496"/>
      <c r="UUB4" s="496"/>
      <c r="UUC4" s="496"/>
      <c r="UUD4" s="496"/>
      <c r="UUE4" s="496"/>
      <c r="UUF4" s="496"/>
      <c r="UUG4" s="496"/>
      <c r="UUH4" s="496"/>
      <c r="UUI4" s="496"/>
      <c r="UUJ4" s="496"/>
      <c r="UUK4" s="496"/>
      <c r="UUL4" s="496"/>
      <c r="UUM4" s="496"/>
      <c r="UUN4" s="496"/>
      <c r="UUO4" s="496"/>
      <c r="UUP4" s="496"/>
      <c r="UUQ4" s="496"/>
      <c r="UUR4" s="496"/>
      <c r="UUS4" s="496"/>
      <c r="UUT4" s="496"/>
      <c r="UUU4" s="496"/>
      <c r="UUV4" s="496"/>
      <c r="UUW4" s="496"/>
      <c r="UUX4" s="496"/>
      <c r="UUY4" s="496"/>
      <c r="UUZ4" s="496"/>
      <c r="UVA4" s="496"/>
      <c r="UVB4" s="496"/>
      <c r="UVC4" s="496"/>
      <c r="UVD4" s="496"/>
      <c r="UVE4" s="496"/>
      <c r="UVF4" s="496"/>
      <c r="UVG4" s="496"/>
      <c r="UVH4" s="496"/>
      <c r="UVI4" s="496"/>
      <c r="UVJ4" s="496"/>
      <c r="UVK4" s="496"/>
      <c r="UVL4" s="496"/>
      <c r="UVM4" s="496"/>
      <c r="UVN4" s="496"/>
      <c r="UVO4" s="496"/>
      <c r="UVP4" s="496"/>
      <c r="UVQ4" s="496"/>
      <c r="UVR4" s="496"/>
      <c r="UVS4" s="496"/>
      <c r="UVT4" s="496"/>
      <c r="UVU4" s="496"/>
      <c r="UVV4" s="496"/>
      <c r="UVW4" s="496"/>
      <c r="UVX4" s="496"/>
      <c r="UVY4" s="496"/>
      <c r="UVZ4" s="496"/>
      <c r="UWA4" s="496"/>
      <c r="UWB4" s="496"/>
      <c r="UWC4" s="496"/>
      <c r="UWD4" s="496"/>
      <c r="UWE4" s="496"/>
      <c r="UWF4" s="496"/>
      <c r="UWG4" s="496"/>
      <c r="UWH4" s="496"/>
      <c r="UWI4" s="496"/>
      <c r="UWJ4" s="496"/>
      <c r="UWK4" s="496"/>
      <c r="UWL4" s="496"/>
      <c r="UWM4" s="496"/>
      <c r="UWN4" s="496"/>
      <c r="UWO4" s="496"/>
      <c r="UWP4" s="496"/>
      <c r="UWQ4" s="496"/>
      <c r="UWR4" s="496"/>
      <c r="UWS4" s="496"/>
      <c r="UWT4" s="496"/>
      <c r="UWU4" s="496"/>
      <c r="UWV4" s="496"/>
      <c r="UWW4" s="496"/>
      <c r="UWX4" s="496"/>
      <c r="UWY4" s="496"/>
      <c r="UWZ4" s="496"/>
      <c r="UXA4" s="496"/>
      <c r="UXB4" s="496"/>
      <c r="UXC4" s="496"/>
      <c r="UXD4" s="496"/>
      <c r="UXE4" s="496"/>
      <c r="UXF4" s="496"/>
      <c r="UXG4" s="496"/>
      <c r="UXH4" s="496"/>
      <c r="UXI4" s="496"/>
      <c r="UXJ4" s="496"/>
      <c r="UXK4" s="496"/>
      <c r="UXL4" s="496"/>
      <c r="UXM4" s="496"/>
      <c r="UXN4" s="496"/>
      <c r="UXO4" s="496"/>
      <c r="UXP4" s="496"/>
      <c r="UXQ4" s="496"/>
      <c r="UXR4" s="496"/>
      <c r="UXS4" s="496"/>
      <c r="UXT4" s="496"/>
      <c r="UXU4" s="496"/>
      <c r="UXV4" s="496"/>
      <c r="UXW4" s="496"/>
      <c r="UXX4" s="496"/>
      <c r="UXY4" s="496"/>
      <c r="UXZ4" s="496"/>
      <c r="UYA4" s="496"/>
      <c r="UYB4" s="496"/>
      <c r="UYC4" s="496"/>
      <c r="UYD4" s="496"/>
      <c r="UYE4" s="496"/>
      <c r="UYF4" s="496"/>
      <c r="UYG4" s="496"/>
      <c r="UYH4" s="496"/>
      <c r="UYI4" s="496"/>
      <c r="UYJ4" s="496"/>
      <c r="UYK4" s="496"/>
      <c r="UYL4" s="496"/>
      <c r="UYM4" s="496"/>
      <c r="UYN4" s="496"/>
      <c r="UYO4" s="496"/>
      <c r="UYP4" s="496"/>
      <c r="UYQ4" s="496"/>
      <c r="UYR4" s="496"/>
      <c r="UYS4" s="496"/>
      <c r="UYT4" s="496"/>
      <c r="UYU4" s="496"/>
      <c r="UYV4" s="496"/>
      <c r="UYW4" s="496"/>
      <c r="UYX4" s="496"/>
      <c r="UYY4" s="496"/>
      <c r="UYZ4" s="496"/>
      <c r="UZA4" s="496"/>
      <c r="UZB4" s="496"/>
      <c r="UZC4" s="496"/>
      <c r="UZD4" s="496"/>
      <c r="UZE4" s="496"/>
      <c r="UZF4" s="496"/>
      <c r="UZG4" s="496"/>
      <c r="UZH4" s="496"/>
      <c r="UZI4" s="496"/>
      <c r="UZJ4" s="496"/>
      <c r="UZK4" s="496"/>
      <c r="UZL4" s="496"/>
      <c r="UZM4" s="496"/>
      <c r="UZN4" s="496"/>
      <c r="UZO4" s="496"/>
      <c r="UZP4" s="496"/>
      <c r="UZQ4" s="496"/>
      <c r="UZR4" s="496"/>
      <c r="UZS4" s="496"/>
      <c r="UZT4" s="496"/>
      <c r="UZU4" s="496"/>
      <c r="UZV4" s="496"/>
      <c r="UZW4" s="496"/>
      <c r="UZX4" s="496"/>
      <c r="UZY4" s="496"/>
      <c r="UZZ4" s="496"/>
      <c r="VAA4" s="496"/>
      <c r="VAB4" s="496"/>
      <c r="VAC4" s="496"/>
      <c r="VAD4" s="496"/>
      <c r="VAE4" s="496"/>
      <c r="VAF4" s="496"/>
      <c r="VAG4" s="496"/>
      <c r="VAH4" s="496"/>
      <c r="VAI4" s="496"/>
      <c r="VAJ4" s="496"/>
      <c r="VAK4" s="496"/>
      <c r="VAL4" s="496"/>
      <c r="VAM4" s="496"/>
      <c r="VAN4" s="496"/>
      <c r="VAO4" s="496"/>
      <c r="VAP4" s="496"/>
      <c r="VAQ4" s="496"/>
      <c r="VAR4" s="496"/>
      <c r="VAS4" s="496"/>
      <c r="VAT4" s="496"/>
      <c r="VAU4" s="496"/>
      <c r="VAV4" s="496"/>
      <c r="VAW4" s="496"/>
      <c r="VAX4" s="496"/>
      <c r="VAY4" s="496"/>
      <c r="VAZ4" s="496"/>
      <c r="VBA4" s="496"/>
      <c r="VBB4" s="496"/>
      <c r="VBC4" s="496"/>
      <c r="VBD4" s="496"/>
      <c r="VBE4" s="496"/>
      <c r="VBF4" s="496"/>
      <c r="VBG4" s="496"/>
      <c r="VBH4" s="496"/>
      <c r="VBI4" s="496"/>
      <c r="VBJ4" s="496"/>
      <c r="VBK4" s="496"/>
      <c r="VBL4" s="496"/>
      <c r="VBM4" s="496"/>
      <c r="VBN4" s="496"/>
      <c r="VBO4" s="496"/>
      <c r="VBP4" s="496"/>
      <c r="VBQ4" s="496"/>
      <c r="VBR4" s="496"/>
      <c r="VBS4" s="496"/>
      <c r="VBT4" s="496"/>
      <c r="VBU4" s="496"/>
      <c r="VBV4" s="496"/>
      <c r="VBW4" s="496"/>
      <c r="VBX4" s="496"/>
      <c r="VBY4" s="496"/>
      <c r="VBZ4" s="496"/>
      <c r="VCA4" s="496"/>
      <c r="VCB4" s="496"/>
      <c r="VCC4" s="496"/>
      <c r="VCD4" s="496"/>
      <c r="VCE4" s="496"/>
      <c r="VCF4" s="496"/>
      <c r="VCG4" s="496"/>
      <c r="VCH4" s="496"/>
      <c r="VCI4" s="496"/>
      <c r="VCJ4" s="496"/>
      <c r="VCK4" s="496"/>
      <c r="VCL4" s="496"/>
      <c r="VCM4" s="496"/>
      <c r="VCN4" s="496"/>
      <c r="VCO4" s="496"/>
      <c r="VCP4" s="496"/>
      <c r="VCQ4" s="496"/>
      <c r="VCR4" s="496"/>
      <c r="VCS4" s="496"/>
      <c r="VCT4" s="496"/>
      <c r="VCU4" s="496"/>
      <c r="VCV4" s="496"/>
      <c r="VCW4" s="496"/>
      <c r="VCX4" s="496"/>
      <c r="VCY4" s="496"/>
      <c r="VCZ4" s="496"/>
      <c r="VDA4" s="496"/>
      <c r="VDB4" s="496"/>
      <c r="VDC4" s="496"/>
      <c r="VDD4" s="496"/>
      <c r="VDE4" s="496"/>
      <c r="VDF4" s="496"/>
      <c r="VDG4" s="496"/>
      <c r="VDH4" s="496"/>
      <c r="VDI4" s="496"/>
      <c r="VDJ4" s="496"/>
      <c r="VDK4" s="496"/>
      <c r="VDL4" s="496"/>
      <c r="VDM4" s="496"/>
      <c r="VDN4" s="496"/>
      <c r="VDO4" s="496"/>
      <c r="VDP4" s="496"/>
      <c r="VDQ4" s="496"/>
      <c r="VDR4" s="496"/>
      <c r="VDS4" s="496"/>
      <c r="VDT4" s="496"/>
      <c r="VDU4" s="496"/>
      <c r="VDV4" s="496"/>
      <c r="VDW4" s="496"/>
      <c r="VDX4" s="496"/>
      <c r="VDY4" s="496"/>
      <c r="VDZ4" s="496"/>
      <c r="VEA4" s="496"/>
      <c r="VEB4" s="496"/>
      <c r="VEC4" s="496"/>
      <c r="VED4" s="496"/>
      <c r="VEE4" s="496"/>
      <c r="VEF4" s="496"/>
      <c r="VEG4" s="496"/>
      <c r="VEH4" s="496"/>
      <c r="VEI4" s="496"/>
      <c r="VEJ4" s="496"/>
      <c r="VEK4" s="496"/>
      <c r="VEL4" s="496"/>
      <c r="VEM4" s="496"/>
      <c r="VEN4" s="496"/>
      <c r="VEO4" s="496"/>
      <c r="VEP4" s="496"/>
      <c r="VEQ4" s="496"/>
      <c r="VER4" s="496"/>
      <c r="VES4" s="496"/>
      <c r="VET4" s="496"/>
      <c r="VEU4" s="496"/>
      <c r="VEV4" s="496"/>
      <c r="VEW4" s="496"/>
      <c r="VEX4" s="496"/>
      <c r="VEY4" s="496"/>
      <c r="VEZ4" s="496"/>
      <c r="VFA4" s="496"/>
      <c r="VFB4" s="496"/>
      <c r="VFC4" s="496"/>
      <c r="VFD4" s="496"/>
      <c r="VFE4" s="496"/>
      <c r="VFF4" s="496"/>
      <c r="VFG4" s="496"/>
      <c r="VFH4" s="496"/>
      <c r="VFI4" s="496"/>
      <c r="VFJ4" s="496"/>
      <c r="VFK4" s="496"/>
      <c r="VFL4" s="496"/>
      <c r="VFM4" s="496"/>
      <c r="VFN4" s="496"/>
      <c r="VFO4" s="496"/>
      <c r="VFP4" s="496"/>
      <c r="VFQ4" s="496"/>
      <c r="VFR4" s="496"/>
      <c r="VFS4" s="496"/>
      <c r="VFT4" s="496"/>
      <c r="VFU4" s="496"/>
      <c r="VFV4" s="496"/>
      <c r="VFW4" s="496"/>
      <c r="VFX4" s="496"/>
      <c r="VFY4" s="496"/>
      <c r="VFZ4" s="496"/>
      <c r="VGA4" s="496"/>
      <c r="VGB4" s="496"/>
      <c r="VGC4" s="496"/>
      <c r="VGD4" s="496"/>
      <c r="VGE4" s="496"/>
      <c r="VGF4" s="496"/>
      <c r="VGG4" s="496"/>
      <c r="VGH4" s="496"/>
      <c r="VGI4" s="496"/>
      <c r="VGJ4" s="496"/>
      <c r="VGK4" s="496"/>
      <c r="VGL4" s="496"/>
      <c r="VGM4" s="496"/>
      <c r="VGN4" s="496"/>
      <c r="VGO4" s="496"/>
      <c r="VGP4" s="496"/>
      <c r="VGQ4" s="496"/>
      <c r="VGR4" s="496"/>
      <c r="VGS4" s="496"/>
      <c r="VGT4" s="496"/>
      <c r="VGU4" s="496"/>
      <c r="VGV4" s="496"/>
      <c r="VGW4" s="496"/>
      <c r="VGX4" s="496"/>
      <c r="VGY4" s="496"/>
      <c r="VGZ4" s="496"/>
      <c r="VHA4" s="496"/>
      <c r="VHB4" s="496"/>
      <c r="VHC4" s="496"/>
      <c r="VHD4" s="496"/>
      <c r="VHE4" s="496"/>
      <c r="VHF4" s="496"/>
      <c r="VHG4" s="496"/>
      <c r="VHH4" s="496"/>
      <c r="VHI4" s="496"/>
      <c r="VHJ4" s="496"/>
      <c r="VHK4" s="496"/>
      <c r="VHL4" s="496"/>
      <c r="VHM4" s="496"/>
      <c r="VHN4" s="496"/>
      <c r="VHO4" s="496"/>
      <c r="VHP4" s="496"/>
      <c r="VHQ4" s="496"/>
      <c r="VHR4" s="496"/>
      <c r="VHS4" s="496"/>
      <c r="VHT4" s="496"/>
      <c r="VHU4" s="496"/>
      <c r="VHV4" s="496"/>
      <c r="VHW4" s="496"/>
      <c r="VHX4" s="496"/>
      <c r="VHY4" s="496"/>
      <c r="VHZ4" s="496"/>
      <c r="VIA4" s="496"/>
      <c r="VIB4" s="496"/>
      <c r="VIC4" s="496"/>
      <c r="VID4" s="496"/>
      <c r="VIE4" s="496"/>
      <c r="VIF4" s="496"/>
      <c r="VIG4" s="496"/>
      <c r="VIH4" s="496"/>
      <c r="VII4" s="496"/>
      <c r="VIJ4" s="496"/>
      <c r="VIK4" s="496"/>
      <c r="VIL4" s="496"/>
      <c r="VIM4" s="496"/>
      <c r="VIN4" s="496"/>
      <c r="VIO4" s="496"/>
      <c r="VIP4" s="496"/>
      <c r="VIQ4" s="496"/>
      <c r="VIR4" s="496"/>
      <c r="VIS4" s="496"/>
      <c r="VIT4" s="496"/>
      <c r="VIU4" s="496"/>
      <c r="VIV4" s="496"/>
      <c r="VIW4" s="496"/>
      <c r="VIX4" s="496"/>
      <c r="VIY4" s="496"/>
      <c r="VIZ4" s="496"/>
      <c r="VJA4" s="496"/>
      <c r="VJB4" s="496"/>
      <c r="VJC4" s="496"/>
      <c r="VJD4" s="496"/>
      <c r="VJE4" s="496"/>
      <c r="VJF4" s="496"/>
      <c r="VJG4" s="496"/>
      <c r="VJH4" s="496"/>
      <c r="VJI4" s="496"/>
      <c r="VJJ4" s="496"/>
      <c r="VJK4" s="496"/>
      <c r="VJL4" s="496"/>
      <c r="VJM4" s="496"/>
      <c r="VJN4" s="496"/>
      <c r="VJO4" s="496"/>
      <c r="VJP4" s="496"/>
      <c r="VJQ4" s="496"/>
      <c r="VJR4" s="496"/>
      <c r="VJS4" s="496"/>
      <c r="VJT4" s="496"/>
      <c r="VJU4" s="496"/>
      <c r="VJV4" s="496"/>
      <c r="VJW4" s="496"/>
      <c r="VJX4" s="496"/>
      <c r="VJY4" s="496"/>
      <c r="VJZ4" s="496"/>
      <c r="VKA4" s="496"/>
      <c r="VKB4" s="496"/>
      <c r="VKC4" s="496"/>
      <c r="VKD4" s="496"/>
      <c r="VKE4" s="496"/>
      <c r="VKF4" s="496"/>
      <c r="VKG4" s="496"/>
      <c r="VKH4" s="496"/>
      <c r="VKI4" s="496"/>
      <c r="VKJ4" s="496"/>
      <c r="VKK4" s="496"/>
      <c r="VKL4" s="496"/>
      <c r="VKM4" s="496"/>
      <c r="VKN4" s="496"/>
      <c r="VKO4" s="496"/>
      <c r="VKP4" s="496"/>
      <c r="VKQ4" s="496"/>
      <c r="VKR4" s="496"/>
      <c r="VKS4" s="496"/>
      <c r="VKT4" s="496"/>
      <c r="VKU4" s="496"/>
      <c r="VKV4" s="496"/>
      <c r="VKW4" s="496"/>
      <c r="VKX4" s="496"/>
      <c r="VKY4" s="496"/>
      <c r="VKZ4" s="496"/>
      <c r="VLA4" s="496"/>
      <c r="VLB4" s="496"/>
      <c r="VLC4" s="496"/>
      <c r="VLD4" s="496"/>
      <c r="VLE4" s="496"/>
      <c r="VLF4" s="496"/>
      <c r="VLG4" s="496"/>
      <c r="VLH4" s="496"/>
      <c r="VLI4" s="496"/>
      <c r="VLJ4" s="496"/>
      <c r="VLK4" s="496"/>
      <c r="VLL4" s="496"/>
      <c r="VLM4" s="496"/>
      <c r="VLN4" s="496"/>
      <c r="VLO4" s="496"/>
      <c r="VLP4" s="496"/>
      <c r="VLQ4" s="496"/>
      <c r="VLR4" s="496"/>
      <c r="VLS4" s="496"/>
      <c r="VLT4" s="496"/>
      <c r="VLU4" s="496"/>
      <c r="VLV4" s="496"/>
      <c r="VLW4" s="496"/>
      <c r="VLX4" s="496"/>
      <c r="VLY4" s="496"/>
      <c r="VLZ4" s="496"/>
      <c r="VMA4" s="496"/>
      <c r="VMB4" s="496"/>
      <c r="VMC4" s="496"/>
      <c r="VMD4" s="496"/>
      <c r="VME4" s="496"/>
      <c r="VMF4" s="496"/>
      <c r="VMG4" s="496"/>
      <c r="VMH4" s="496"/>
      <c r="VMI4" s="496"/>
      <c r="VMJ4" s="496"/>
      <c r="VMK4" s="496"/>
      <c r="VML4" s="496"/>
      <c r="VMM4" s="496"/>
      <c r="VMN4" s="496"/>
      <c r="VMO4" s="496"/>
      <c r="VMP4" s="496"/>
      <c r="VMQ4" s="496"/>
      <c r="VMR4" s="496"/>
      <c r="VMS4" s="496"/>
      <c r="VMT4" s="496"/>
      <c r="VMU4" s="496"/>
      <c r="VMV4" s="496"/>
      <c r="VMW4" s="496"/>
      <c r="VMX4" s="496"/>
      <c r="VMY4" s="496"/>
      <c r="VMZ4" s="496"/>
      <c r="VNA4" s="496"/>
      <c r="VNB4" s="496"/>
      <c r="VNC4" s="496"/>
      <c r="VND4" s="496"/>
      <c r="VNE4" s="496"/>
      <c r="VNF4" s="496"/>
      <c r="VNG4" s="496"/>
      <c r="VNH4" s="496"/>
      <c r="VNI4" s="496"/>
      <c r="VNJ4" s="496"/>
      <c r="VNK4" s="496"/>
      <c r="VNL4" s="496"/>
      <c r="VNM4" s="496"/>
      <c r="VNN4" s="496"/>
      <c r="VNO4" s="496"/>
      <c r="VNP4" s="496"/>
      <c r="VNQ4" s="496"/>
      <c r="VNR4" s="496"/>
      <c r="VNS4" s="496"/>
      <c r="VNT4" s="496"/>
      <c r="VNU4" s="496"/>
      <c r="VNV4" s="496"/>
      <c r="VNW4" s="496"/>
      <c r="VNX4" s="496"/>
      <c r="VNY4" s="496"/>
      <c r="VNZ4" s="496"/>
      <c r="VOA4" s="496"/>
      <c r="VOB4" s="496"/>
      <c r="VOC4" s="496"/>
      <c r="VOD4" s="496"/>
      <c r="VOE4" s="496"/>
      <c r="VOF4" s="496"/>
      <c r="VOG4" s="496"/>
      <c r="VOH4" s="496"/>
      <c r="VOI4" s="496"/>
      <c r="VOJ4" s="496"/>
      <c r="VOK4" s="496"/>
      <c r="VOL4" s="496"/>
      <c r="VOM4" s="496"/>
      <c r="VON4" s="496"/>
      <c r="VOO4" s="496"/>
      <c r="VOP4" s="496"/>
      <c r="VOQ4" s="496"/>
      <c r="VOR4" s="496"/>
      <c r="VOS4" s="496"/>
      <c r="VOT4" s="496"/>
      <c r="VOU4" s="496"/>
      <c r="VOV4" s="496"/>
      <c r="VOW4" s="496"/>
      <c r="VOX4" s="496"/>
      <c r="VOY4" s="496"/>
      <c r="VOZ4" s="496"/>
      <c r="VPA4" s="496"/>
      <c r="VPB4" s="496"/>
      <c r="VPC4" s="496"/>
      <c r="VPD4" s="496"/>
      <c r="VPE4" s="496"/>
      <c r="VPF4" s="496"/>
      <c r="VPG4" s="496"/>
      <c r="VPH4" s="496"/>
      <c r="VPI4" s="496"/>
      <c r="VPJ4" s="496"/>
      <c r="VPK4" s="496"/>
      <c r="VPL4" s="496"/>
      <c r="VPM4" s="496"/>
      <c r="VPN4" s="496"/>
      <c r="VPO4" s="496"/>
      <c r="VPP4" s="496"/>
      <c r="VPQ4" s="496"/>
      <c r="VPR4" s="496"/>
      <c r="VPS4" s="496"/>
      <c r="VPT4" s="496"/>
      <c r="VPU4" s="496"/>
      <c r="VPV4" s="496"/>
      <c r="VPW4" s="496"/>
      <c r="VPX4" s="496"/>
      <c r="VPY4" s="496"/>
      <c r="VPZ4" s="496"/>
      <c r="VQA4" s="496"/>
      <c r="VQB4" s="496"/>
      <c r="VQC4" s="496"/>
      <c r="VQD4" s="496"/>
      <c r="VQE4" s="496"/>
      <c r="VQF4" s="496"/>
      <c r="VQG4" s="496"/>
      <c r="VQH4" s="496"/>
      <c r="VQI4" s="496"/>
      <c r="VQJ4" s="496"/>
      <c r="VQK4" s="496"/>
      <c r="VQL4" s="496"/>
      <c r="VQM4" s="496"/>
      <c r="VQN4" s="496"/>
      <c r="VQO4" s="496"/>
      <c r="VQP4" s="496"/>
      <c r="VQQ4" s="496"/>
      <c r="VQR4" s="496"/>
      <c r="VQS4" s="496"/>
      <c r="VQT4" s="496"/>
      <c r="VQU4" s="496"/>
      <c r="VQV4" s="496"/>
      <c r="VQW4" s="496"/>
      <c r="VQX4" s="496"/>
      <c r="VQY4" s="496"/>
      <c r="VQZ4" s="496"/>
      <c r="VRA4" s="496"/>
      <c r="VRB4" s="496"/>
      <c r="VRC4" s="496"/>
      <c r="VRD4" s="496"/>
      <c r="VRE4" s="496"/>
      <c r="VRF4" s="496"/>
      <c r="VRG4" s="496"/>
      <c r="VRH4" s="496"/>
      <c r="VRI4" s="496"/>
      <c r="VRJ4" s="496"/>
      <c r="VRK4" s="496"/>
      <c r="VRL4" s="496"/>
      <c r="VRM4" s="496"/>
      <c r="VRN4" s="496"/>
      <c r="VRO4" s="496"/>
      <c r="VRP4" s="496"/>
      <c r="VRQ4" s="496"/>
      <c r="VRR4" s="496"/>
      <c r="VRS4" s="496"/>
      <c r="VRT4" s="496"/>
      <c r="VRU4" s="496"/>
      <c r="VRV4" s="496"/>
      <c r="VRW4" s="496"/>
      <c r="VRX4" s="496"/>
      <c r="VRY4" s="496"/>
      <c r="VRZ4" s="496"/>
      <c r="VSA4" s="496"/>
      <c r="VSB4" s="496"/>
      <c r="VSC4" s="496"/>
      <c r="VSD4" s="496"/>
      <c r="VSE4" s="496"/>
      <c r="VSF4" s="496"/>
      <c r="VSG4" s="496"/>
      <c r="VSH4" s="496"/>
      <c r="VSI4" s="496"/>
      <c r="VSJ4" s="496"/>
      <c r="VSK4" s="496"/>
      <c r="VSL4" s="496"/>
      <c r="VSM4" s="496"/>
      <c r="VSN4" s="496"/>
      <c r="VSO4" s="496"/>
      <c r="VSP4" s="496"/>
      <c r="VSQ4" s="496"/>
      <c r="VSR4" s="496"/>
      <c r="VSS4" s="496"/>
      <c r="VST4" s="496"/>
      <c r="VSU4" s="496"/>
      <c r="VSV4" s="496"/>
      <c r="VSW4" s="496"/>
      <c r="VSX4" s="496"/>
      <c r="VSY4" s="496"/>
      <c r="VSZ4" s="496"/>
      <c r="VTA4" s="496"/>
      <c r="VTB4" s="496"/>
      <c r="VTC4" s="496"/>
      <c r="VTD4" s="496"/>
      <c r="VTE4" s="496"/>
      <c r="VTF4" s="496"/>
      <c r="VTG4" s="496"/>
      <c r="VTH4" s="496"/>
      <c r="VTI4" s="496"/>
      <c r="VTJ4" s="496"/>
      <c r="VTK4" s="496"/>
      <c r="VTL4" s="496"/>
      <c r="VTM4" s="496"/>
      <c r="VTN4" s="496"/>
      <c r="VTO4" s="496"/>
      <c r="VTP4" s="496"/>
      <c r="VTQ4" s="496"/>
      <c r="VTR4" s="496"/>
      <c r="VTS4" s="496"/>
      <c r="VTT4" s="496"/>
      <c r="VTU4" s="496"/>
      <c r="VTV4" s="496"/>
      <c r="VTW4" s="496"/>
      <c r="VTX4" s="496"/>
      <c r="VTY4" s="496"/>
      <c r="VTZ4" s="496"/>
      <c r="VUA4" s="496"/>
      <c r="VUB4" s="496"/>
      <c r="VUC4" s="496"/>
      <c r="VUD4" s="496"/>
      <c r="VUE4" s="496"/>
      <c r="VUF4" s="496"/>
      <c r="VUG4" s="496"/>
      <c r="VUH4" s="496"/>
      <c r="VUI4" s="496"/>
      <c r="VUJ4" s="496"/>
      <c r="VUK4" s="496"/>
      <c r="VUL4" s="496"/>
      <c r="VUM4" s="496"/>
      <c r="VUN4" s="496"/>
      <c r="VUO4" s="496"/>
      <c r="VUP4" s="496"/>
      <c r="VUQ4" s="496"/>
      <c r="VUR4" s="496"/>
      <c r="VUS4" s="496"/>
      <c r="VUT4" s="496"/>
      <c r="VUU4" s="496"/>
      <c r="VUV4" s="496"/>
      <c r="VUW4" s="496"/>
      <c r="VUX4" s="496"/>
      <c r="VUY4" s="496"/>
      <c r="VUZ4" s="496"/>
      <c r="VVA4" s="496"/>
      <c r="VVB4" s="496"/>
      <c r="VVC4" s="496"/>
      <c r="VVD4" s="496"/>
      <c r="VVE4" s="496"/>
      <c r="VVF4" s="496"/>
      <c r="VVG4" s="496"/>
      <c r="VVH4" s="496"/>
      <c r="VVI4" s="496"/>
      <c r="VVJ4" s="496"/>
      <c r="VVK4" s="496"/>
      <c r="VVL4" s="496"/>
      <c r="VVM4" s="496"/>
      <c r="VVN4" s="496"/>
      <c r="VVO4" s="496"/>
      <c r="VVP4" s="496"/>
      <c r="VVQ4" s="496"/>
      <c r="VVR4" s="496"/>
      <c r="VVS4" s="496"/>
      <c r="VVT4" s="496"/>
      <c r="VVU4" s="496"/>
      <c r="VVV4" s="496"/>
      <c r="VVW4" s="496"/>
      <c r="VVX4" s="496"/>
      <c r="VVY4" s="496"/>
      <c r="VVZ4" s="496"/>
      <c r="VWA4" s="496"/>
      <c r="VWB4" s="496"/>
      <c r="VWC4" s="496"/>
      <c r="VWD4" s="496"/>
      <c r="VWE4" s="496"/>
      <c r="VWF4" s="496"/>
      <c r="VWG4" s="496"/>
      <c r="VWH4" s="496"/>
      <c r="VWI4" s="496"/>
      <c r="VWJ4" s="496"/>
      <c r="VWK4" s="496"/>
      <c r="VWL4" s="496"/>
      <c r="VWM4" s="496"/>
      <c r="VWN4" s="496"/>
      <c r="VWO4" s="496"/>
      <c r="VWP4" s="496"/>
      <c r="VWQ4" s="496"/>
      <c r="VWR4" s="496"/>
      <c r="VWS4" s="496"/>
      <c r="VWT4" s="496"/>
      <c r="VWU4" s="496"/>
      <c r="VWV4" s="496"/>
      <c r="VWW4" s="496"/>
      <c r="VWX4" s="496"/>
      <c r="VWY4" s="496"/>
      <c r="VWZ4" s="496"/>
      <c r="VXA4" s="496"/>
      <c r="VXB4" s="496"/>
      <c r="VXC4" s="496"/>
      <c r="VXD4" s="496"/>
      <c r="VXE4" s="496"/>
      <c r="VXF4" s="496"/>
      <c r="VXG4" s="496"/>
      <c r="VXH4" s="496"/>
      <c r="VXI4" s="496"/>
      <c r="VXJ4" s="496"/>
      <c r="VXK4" s="496"/>
      <c r="VXL4" s="496"/>
      <c r="VXM4" s="496"/>
      <c r="VXN4" s="496"/>
      <c r="VXO4" s="496"/>
      <c r="VXP4" s="496"/>
      <c r="VXQ4" s="496"/>
      <c r="VXR4" s="496"/>
      <c r="VXS4" s="496"/>
      <c r="VXT4" s="496"/>
      <c r="VXU4" s="496"/>
      <c r="VXV4" s="496"/>
      <c r="VXW4" s="496"/>
      <c r="VXX4" s="496"/>
      <c r="VXY4" s="496"/>
      <c r="VXZ4" s="496"/>
      <c r="VYA4" s="496"/>
      <c r="VYB4" s="496"/>
      <c r="VYC4" s="496"/>
      <c r="VYD4" s="496"/>
      <c r="VYE4" s="496"/>
      <c r="VYF4" s="496"/>
      <c r="VYG4" s="496"/>
      <c r="VYH4" s="496"/>
      <c r="VYI4" s="496"/>
      <c r="VYJ4" s="496"/>
      <c r="VYK4" s="496"/>
      <c r="VYL4" s="496"/>
      <c r="VYM4" s="496"/>
      <c r="VYN4" s="496"/>
      <c r="VYO4" s="496"/>
      <c r="VYP4" s="496"/>
      <c r="VYQ4" s="496"/>
      <c r="VYR4" s="496"/>
      <c r="VYS4" s="496"/>
      <c r="VYT4" s="496"/>
      <c r="VYU4" s="496"/>
      <c r="VYV4" s="496"/>
      <c r="VYW4" s="496"/>
      <c r="VYX4" s="496"/>
      <c r="VYY4" s="496"/>
      <c r="VYZ4" s="496"/>
      <c r="VZA4" s="496"/>
      <c r="VZB4" s="496"/>
      <c r="VZC4" s="496"/>
      <c r="VZD4" s="496"/>
      <c r="VZE4" s="496"/>
      <c r="VZF4" s="496"/>
      <c r="VZG4" s="496"/>
      <c r="VZH4" s="496"/>
      <c r="VZI4" s="496"/>
      <c r="VZJ4" s="496"/>
      <c r="VZK4" s="496"/>
      <c r="VZL4" s="496"/>
      <c r="VZM4" s="496"/>
      <c r="VZN4" s="496"/>
      <c r="VZO4" s="496"/>
      <c r="VZP4" s="496"/>
      <c r="VZQ4" s="496"/>
      <c r="VZR4" s="496"/>
      <c r="VZS4" s="496"/>
      <c r="VZT4" s="496"/>
      <c r="VZU4" s="496"/>
      <c r="VZV4" s="496"/>
      <c r="VZW4" s="496"/>
      <c r="VZX4" s="496"/>
      <c r="VZY4" s="496"/>
      <c r="VZZ4" s="496"/>
      <c r="WAA4" s="496"/>
      <c r="WAB4" s="496"/>
      <c r="WAC4" s="496"/>
      <c r="WAD4" s="496"/>
      <c r="WAE4" s="496"/>
      <c r="WAF4" s="496"/>
      <c r="WAG4" s="496"/>
      <c r="WAH4" s="496"/>
      <c r="WAI4" s="496"/>
      <c r="WAJ4" s="496"/>
      <c r="WAK4" s="496"/>
      <c r="WAL4" s="496"/>
      <c r="WAM4" s="496"/>
      <c r="WAN4" s="496"/>
      <c r="WAO4" s="496"/>
      <c r="WAP4" s="496"/>
      <c r="WAQ4" s="496"/>
      <c r="WAR4" s="496"/>
      <c r="WAS4" s="496"/>
      <c r="WAT4" s="496"/>
      <c r="WAU4" s="496"/>
      <c r="WAV4" s="496"/>
      <c r="WAW4" s="496"/>
      <c r="WAX4" s="496"/>
      <c r="WAY4" s="496"/>
      <c r="WAZ4" s="496"/>
      <c r="WBA4" s="496"/>
      <c r="WBB4" s="496"/>
      <c r="WBC4" s="496"/>
      <c r="WBD4" s="496"/>
      <c r="WBE4" s="496"/>
      <c r="WBF4" s="496"/>
      <c r="WBG4" s="496"/>
      <c r="WBH4" s="496"/>
      <c r="WBI4" s="496"/>
      <c r="WBJ4" s="496"/>
      <c r="WBK4" s="496"/>
      <c r="WBL4" s="496"/>
      <c r="WBM4" s="496"/>
      <c r="WBN4" s="496"/>
      <c r="WBO4" s="496"/>
      <c r="WBP4" s="496"/>
      <c r="WBQ4" s="496"/>
      <c r="WBR4" s="496"/>
      <c r="WBS4" s="496"/>
      <c r="WBT4" s="496"/>
      <c r="WBU4" s="496"/>
      <c r="WBV4" s="496"/>
      <c r="WBW4" s="496"/>
      <c r="WBX4" s="496"/>
      <c r="WBY4" s="496"/>
      <c r="WBZ4" s="496"/>
      <c r="WCA4" s="496"/>
      <c r="WCB4" s="496"/>
      <c r="WCC4" s="496"/>
      <c r="WCD4" s="496"/>
      <c r="WCE4" s="496"/>
      <c r="WCF4" s="496"/>
      <c r="WCG4" s="496"/>
      <c r="WCH4" s="496"/>
      <c r="WCI4" s="496"/>
      <c r="WCJ4" s="496"/>
      <c r="WCK4" s="496"/>
      <c r="WCL4" s="496"/>
      <c r="WCM4" s="496"/>
      <c r="WCN4" s="496"/>
      <c r="WCO4" s="496"/>
      <c r="WCP4" s="496"/>
      <c r="WCQ4" s="496"/>
      <c r="WCR4" s="496"/>
      <c r="WCS4" s="496"/>
      <c r="WCT4" s="496"/>
      <c r="WCU4" s="496"/>
      <c r="WCV4" s="496"/>
      <c r="WCW4" s="496"/>
      <c r="WCX4" s="496"/>
      <c r="WCY4" s="496"/>
      <c r="WCZ4" s="496"/>
      <c r="WDA4" s="496"/>
      <c r="WDB4" s="496"/>
      <c r="WDC4" s="496"/>
      <c r="WDD4" s="496"/>
      <c r="WDE4" s="496"/>
      <c r="WDF4" s="496"/>
      <c r="WDG4" s="496"/>
      <c r="WDH4" s="496"/>
      <c r="WDI4" s="496"/>
      <c r="WDJ4" s="496"/>
      <c r="WDK4" s="496"/>
      <c r="WDL4" s="496"/>
      <c r="WDM4" s="496"/>
      <c r="WDN4" s="496"/>
      <c r="WDO4" s="496"/>
      <c r="WDP4" s="496"/>
      <c r="WDQ4" s="496"/>
      <c r="WDR4" s="496"/>
      <c r="WDS4" s="496"/>
      <c r="WDT4" s="496"/>
      <c r="WDU4" s="496"/>
      <c r="WDV4" s="496"/>
      <c r="WDW4" s="496"/>
      <c r="WDX4" s="496"/>
      <c r="WDY4" s="496"/>
      <c r="WDZ4" s="496"/>
      <c r="WEA4" s="496"/>
      <c r="WEB4" s="496"/>
      <c r="WEC4" s="496"/>
      <c r="WED4" s="496"/>
      <c r="WEE4" s="496"/>
      <c r="WEF4" s="496"/>
      <c r="WEG4" s="496"/>
      <c r="WEH4" s="496"/>
      <c r="WEI4" s="496"/>
      <c r="WEJ4" s="496"/>
      <c r="WEK4" s="496"/>
      <c r="WEL4" s="496"/>
      <c r="WEM4" s="496"/>
      <c r="WEN4" s="496"/>
      <c r="WEO4" s="496"/>
      <c r="WEP4" s="496"/>
      <c r="WEQ4" s="496"/>
      <c r="WER4" s="496"/>
      <c r="WES4" s="496"/>
      <c r="WET4" s="496"/>
      <c r="WEU4" s="496"/>
      <c r="WEV4" s="496"/>
      <c r="WEW4" s="496"/>
      <c r="WEX4" s="496"/>
      <c r="WEY4" s="496"/>
      <c r="WEZ4" s="496"/>
      <c r="WFA4" s="496"/>
      <c r="WFB4" s="496"/>
      <c r="WFC4" s="496"/>
      <c r="WFD4" s="496"/>
      <c r="WFE4" s="496"/>
      <c r="WFF4" s="496"/>
      <c r="WFG4" s="496"/>
      <c r="WFH4" s="496"/>
      <c r="WFI4" s="496"/>
      <c r="WFJ4" s="496"/>
      <c r="WFK4" s="496"/>
      <c r="WFL4" s="496"/>
      <c r="WFM4" s="496"/>
      <c r="WFN4" s="496"/>
      <c r="WFO4" s="496"/>
      <c r="WFP4" s="496"/>
      <c r="WFQ4" s="496"/>
      <c r="WFR4" s="496"/>
      <c r="WFS4" s="496"/>
      <c r="WFT4" s="496"/>
      <c r="WFU4" s="496"/>
      <c r="WFV4" s="496"/>
      <c r="WFW4" s="496"/>
      <c r="WFX4" s="496"/>
      <c r="WFY4" s="496"/>
      <c r="WFZ4" s="496"/>
      <c r="WGA4" s="496"/>
      <c r="WGB4" s="496"/>
      <c r="WGC4" s="496"/>
      <c r="WGD4" s="496"/>
      <c r="WGE4" s="496"/>
      <c r="WGF4" s="496"/>
      <c r="WGG4" s="496"/>
      <c r="WGH4" s="496"/>
      <c r="WGI4" s="496"/>
      <c r="WGJ4" s="496"/>
      <c r="WGK4" s="496"/>
      <c r="WGL4" s="496"/>
      <c r="WGM4" s="496"/>
      <c r="WGN4" s="496"/>
      <c r="WGO4" s="496"/>
      <c r="WGP4" s="496"/>
      <c r="WGQ4" s="496"/>
      <c r="WGR4" s="496"/>
      <c r="WGS4" s="496"/>
      <c r="WGT4" s="496"/>
      <c r="WGU4" s="496"/>
      <c r="WGV4" s="496"/>
      <c r="WGW4" s="496"/>
      <c r="WGX4" s="496"/>
      <c r="WGY4" s="496"/>
      <c r="WGZ4" s="496"/>
      <c r="WHA4" s="496"/>
      <c r="WHB4" s="496"/>
      <c r="WHC4" s="496"/>
      <c r="WHD4" s="496"/>
      <c r="WHE4" s="496"/>
      <c r="WHF4" s="496"/>
      <c r="WHG4" s="496"/>
      <c r="WHH4" s="496"/>
      <c r="WHI4" s="496"/>
      <c r="WHJ4" s="496"/>
      <c r="WHK4" s="496"/>
      <c r="WHL4" s="496"/>
      <c r="WHM4" s="496"/>
      <c r="WHN4" s="496"/>
      <c r="WHO4" s="496"/>
      <c r="WHP4" s="496"/>
      <c r="WHQ4" s="496"/>
      <c r="WHR4" s="496"/>
      <c r="WHS4" s="496"/>
      <c r="WHT4" s="496"/>
      <c r="WHU4" s="496"/>
      <c r="WHV4" s="496"/>
      <c r="WHW4" s="496"/>
      <c r="WHX4" s="496"/>
      <c r="WHY4" s="496"/>
      <c r="WHZ4" s="496"/>
      <c r="WIA4" s="496"/>
      <c r="WIB4" s="496"/>
      <c r="WIC4" s="496"/>
      <c r="WID4" s="496"/>
      <c r="WIE4" s="496"/>
      <c r="WIF4" s="496"/>
      <c r="WIG4" s="496"/>
      <c r="WIH4" s="496"/>
      <c r="WII4" s="496"/>
      <c r="WIJ4" s="496"/>
      <c r="WIK4" s="496"/>
      <c r="WIL4" s="496"/>
      <c r="WIM4" s="496"/>
      <c r="WIN4" s="496"/>
      <c r="WIO4" s="496"/>
      <c r="WIP4" s="496"/>
      <c r="WIQ4" s="496"/>
      <c r="WIR4" s="496"/>
      <c r="WIS4" s="496"/>
      <c r="WIT4" s="496"/>
      <c r="WIU4" s="496"/>
      <c r="WIV4" s="496"/>
      <c r="WIW4" s="496"/>
      <c r="WIX4" s="496"/>
      <c r="WIY4" s="496"/>
      <c r="WIZ4" s="496"/>
      <c r="WJA4" s="496"/>
      <c r="WJB4" s="496"/>
      <c r="WJC4" s="496"/>
      <c r="WJD4" s="496"/>
      <c r="WJE4" s="496"/>
      <c r="WJF4" s="496"/>
      <c r="WJG4" s="496"/>
      <c r="WJH4" s="496"/>
      <c r="WJI4" s="496"/>
      <c r="WJJ4" s="496"/>
      <c r="WJK4" s="496"/>
      <c r="WJL4" s="496"/>
      <c r="WJM4" s="496"/>
      <c r="WJN4" s="496"/>
      <c r="WJO4" s="496"/>
      <c r="WJP4" s="496"/>
      <c r="WJQ4" s="496"/>
      <c r="WJR4" s="496"/>
      <c r="WJS4" s="496"/>
      <c r="WJT4" s="496"/>
      <c r="WJU4" s="496"/>
      <c r="WJV4" s="496"/>
      <c r="WJW4" s="496"/>
      <c r="WJX4" s="496"/>
      <c r="WJY4" s="496"/>
      <c r="WJZ4" s="496"/>
      <c r="WKA4" s="496"/>
      <c r="WKB4" s="496"/>
      <c r="WKC4" s="496"/>
      <c r="WKD4" s="496"/>
      <c r="WKE4" s="496"/>
      <c r="WKF4" s="496"/>
      <c r="WKG4" s="496"/>
      <c r="WKH4" s="496"/>
      <c r="WKI4" s="496"/>
      <c r="WKJ4" s="496"/>
      <c r="WKK4" s="496"/>
      <c r="WKL4" s="496"/>
      <c r="WKM4" s="496"/>
      <c r="WKN4" s="496"/>
      <c r="WKO4" s="496"/>
      <c r="WKP4" s="496"/>
      <c r="WKQ4" s="496"/>
      <c r="WKR4" s="496"/>
      <c r="WKS4" s="496"/>
      <c r="WKT4" s="496"/>
      <c r="WKU4" s="496"/>
      <c r="WKV4" s="496"/>
      <c r="WKW4" s="496"/>
      <c r="WKX4" s="496"/>
      <c r="WKY4" s="496"/>
      <c r="WKZ4" s="496"/>
      <c r="WLA4" s="496"/>
      <c r="WLB4" s="496"/>
      <c r="WLC4" s="496"/>
      <c r="WLD4" s="496"/>
      <c r="WLE4" s="496"/>
      <c r="WLF4" s="496"/>
      <c r="WLG4" s="496"/>
      <c r="WLH4" s="496"/>
      <c r="WLI4" s="496"/>
      <c r="WLJ4" s="496"/>
      <c r="WLK4" s="496"/>
      <c r="WLL4" s="496"/>
      <c r="WLM4" s="496"/>
      <c r="WLN4" s="496"/>
      <c r="WLO4" s="496"/>
      <c r="WLP4" s="496"/>
      <c r="WLQ4" s="496"/>
      <c r="WLR4" s="496"/>
      <c r="WLS4" s="496"/>
      <c r="WLT4" s="496"/>
      <c r="WLU4" s="496"/>
      <c r="WLV4" s="496"/>
      <c r="WLW4" s="496"/>
      <c r="WLX4" s="496"/>
      <c r="WLY4" s="496"/>
      <c r="WLZ4" s="496"/>
      <c r="WMA4" s="496"/>
      <c r="WMB4" s="496"/>
      <c r="WMC4" s="496"/>
      <c r="WMD4" s="496"/>
      <c r="WME4" s="496"/>
      <c r="WMF4" s="496"/>
      <c r="WMG4" s="496"/>
      <c r="WMH4" s="496"/>
      <c r="WMI4" s="496"/>
      <c r="WMJ4" s="496"/>
      <c r="WMK4" s="496"/>
      <c r="WML4" s="496"/>
      <c r="WMM4" s="496"/>
      <c r="WMN4" s="496"/>
      <c r="WMO4" s="496"/>
      <c r="WMP4" s="496"/>
      <c r="WMQ4" s="496"/>
      <c r="WMR4" s="496"/>
      <c r="WMS4" s="496"/>
      <c r="WMT4" s="496"/>
      <c r="WMU4" s="496"/>
      <c r="WMV4" s="496"/>
      <c r="WMW4" s="496"/>
      <c r="WMX4" s="496"/>
      <c r="WMY4" s="496"/>
      <c r="WMZ4" s="496"/>
      <c r="WNA4" s="496"/>
      <c r="WNB4" s="496"/>
      <c r="WNC4" s="496"/>
      <c r="WND4" s="496"/>
      <c r="WNE4" s="496"/>
      <c r="WNF4" s="496"/>
      <c r="WNG4" s="496"/>
      <c r="WNH4" s="496"/>
      <c r="WNI4" s="496"/>
      <c r="WNJ4" s="496"/>
      <c r="WNK4" s="496"/>
      <c r="WNL4" s="496"/>
      <c r="WNM4" s="496"/>
      <c r="WNN4" s="496"/>
      <c r="WNO4" s="496"/>
      <c r="WNP4" s="496"/>
      <c r="WNQ4" s="496"/>
      <c r="WNR4" s="496"/>
      <c r="WNS4" s="496"/>
      <c r="WNT4" s="496"/>
      <c r="WNU4" s="496"/>
      <c r="WNV4" s="496"/>
      <c r="WNW4" s="496"/>
      <c r="WNX4" s="496"/>
      <c r="WNY4" s="496"/>
      <c r="WNZ4" s="496"/>
      <c r="WOA4" s="496"/>
      <c r="WOB4" s="496"/>
      <c r="WOC4" s="496"/>
      <c r="WOD4" s="496"/>
      <c r="WOE4" s="496"/>
      <c r="WOF4" s="496"/>
      <c r="WOG4" s="496"/>
      <c r="WOH4" s="496"/>
      <c r="WOI4" s="496"/>
      <c r="WOJ4" s="496"/>
      <c r="WOK4" s="496"/>
      <c r="WOL4" s="496"/>
      <c r="WOM4" s="496"/>
      <c r="WON4" s="496"/>
      <c r="WOO4" s="496"/>
      <c r="WOP4" s="496"/>
      <c r="WOQ4" s="496"/>
      <c r="WOR4" s="496"/>
      <c r="WOS4" s="496"/>
      <c r="WOT4" s="496"/>
      <c r="WOU4" s="496"/>
      <c r="WOV4" s="496"/>
      <c r="WOW4" s="496"/>
      <c r="WOX4" s="496"/>
      <c r="WOY4" s="496"/>
      <c r="WOZ4" s="496"/>
      <c r="WPA4" s="496"/>
      <c r="WPB4" s="496"/>
      <c r="WPC4" s="496"/>
      <c r="WPD4" s="496"/>
      <c r="WPE4" s="496"/>
      <c r="WPF4" s="496"/>
      <c r="WPG4" s="496"/>
      <c r="WPH4" s="496"/>
      <c r="WPI4" s="496"/>
      <c r="WPJ4" s="496"/>
      <c r="WPK4" s="496"/>
      <c r="WPL4" s="496"/>
      <c r="WPM4" s="496"/>
      <c r="WPN4" s="496"/>
      <c r="WPO4" s="496"/>
      <c r="WPP4" s="496"/>
      <c r="WPQ4" s="496"/>
      <c r="WPR4" s="496"/>
      <c r="WPS4" s="496"/>
      <c r="WPT4" s="496"/>
      <c r="WPU4" s="496"/>
      <c r="WPV4" s="496"/>
      <c r="WPW4" s="496"/>
      <c r="WPX4" s="496"/>
      <c r="WPY4" s="496"/>
      <c r="WPZ4" s="496"/>
      <c r="WQA4" s="496"/>
      <c r="WQB4" s="496"/>
      <c r="WQC4" s="496"/>
      <c r="WQD4" s="496"/>
      <c r="WQE4" s="496"/>
      <c r="WQF4" s="496"/>
      <c r="WQG4" s="496"/>
      <c r="WQH4" s="496"/>
      <c r="WQI4" s="496"/>
      <c r="WQJ4" s="496"/>
      <c r="WQK4" s="496"/>
      <c r="WQL4" s="496"/>
      <c r="WQM4" s="496"/>
      <c r="WQN4" s="496"/>
      <c r="WQO4" s="496"/>
      <c r="WQP4" s="496"/>
      <c r="WQQ4" s="496"/>
      <c r="WQR4" s="496"/>
      <c r="WQS4" s="496"/>
      <c r="WQT4" s="496"/>
      <c r="WQU4" s="496"/>
      <c r="WQV4" s="496"/>
      <c r="WQW4" s="496"/>
      <c r="WQX4" s="496"/>
      <c r="WQY4" s="496"/>
      <c r="WQZ4" s="496"/>
      <c r="WRA4" s="496"/>
      <c r="WRB4" s="496"/>
      <c r="WRC4" s="496"/>
      <c r="WRD4" s="496"/>
      <c r="WRE4" s="496"/>
      <c r="WRF4" s="496"/>
      <c r="WRG4" s="496"/>
      <c r="WRH4" s="496"/>
      <c r="WRI4" s="496"/>
      <c r="WRJ4" s="496"/>
      <c r="WRK4" s="496"/>
      <c r="WRL4" s="496"/>
      <c r="WRM4" s="496"/>
      <c r="WRN4" s="496"/>
      <c r="WRO4" s="496"/>
      <c r="WRP4" s="496"/>
      <c r="WRQ4" s="496"/>
      <c r="WRR4" s="496"/>
      <c r="WRS4" s="496"/>
      <c r="WRT4" s="496"/>
      <c r="WRU4" s="496"/>
      <c r="WRV4" s="496"/>
      <c r="WRW4" s="496"/>
      <c r="WRX4" s="496"/>
      <c r="WRY4" s="496"/>
      <c r="WRZ4" s="496"/>
      <c r="WSA4" s="496"/>
      <c r="WSB4" s="496"/>
      <c r="WSC4" s="496"/>
      <c r="WSD4" s="496"/>
      <c r="WSE4" s="496"/>
      <c r="WSF4" s="496"/>
      <c r="WSG4" s="496"/>
      <c r="WSH4" s="496"/>
      <c r="WSI4" s="496"/>
      <c r="WSJ4" s="496"/>
      <c r="WSK4" s="496"/>
      <c r="WSL4" s="496"/>
      <c r="WSM4" s="496"/>
      <c r="WSN4" s="496"/>
      <c r="WSO4" s="496"/>
      <c r="WSP4" s="496"/>
      <c r="WSQ4" s="496"/>
      <c r="WSR4" s="496"/>
      <c r="WSS4" s="496"/>
      <c r="WST4" s="496"/>
      <c r="WSU4" s="496"/>
      <c r="WSV4" s="496"/>
      <c r="WSW4" s="496"/>
      <c r="WSX4" s="496"/>
      <c r="WSY4" s="496"/>
      <c r="WSZ4" s="496"/>
      <c r="WTA4" s="496"/>
      <c r="WTB4" s="496"/>
      <c r="WTC4" s="496"/>
      <c r="WTD4" s="496"/>
      <c r="WTE4" s="496"/>
      <c r="WTF4" s="496"/>
      <c r="WTG4" s="496"/>
      <c r="WTH4" s="496"/>
      <c r="WTI4" s="496"/>
      <c r="WTJ4" s="496"/>
      <c r="WTK4" s="496"/>
      <c r="WTL4" s="496"/>
      <c r="WTM4" s="496"/>
      <c r="WTN4" s="496"/>
      <c r="WTO4" s="496"/>
      <c r="WTP4" s="496"/>
      <c r="WTQ4" s="496"/>
      <c r="WTR4" s="496"/>
      <c r="WTS4" s="496"/>
      <c r="WTT4" s="496"/>
      <c r="WTU4" s="496"/>
      <c r="WTV4" s="496"/>
      <c r="WTW4" s="496"/>
      <c r="WTX4" s="496"/>
      <c r="WTY4" s="496"/>
      <c r="WTZ4" s="496"/>
      <c r="WUA4" s="496"/>
      <c r="WUB4" s="496"/>
      <c r="WUC4" s="496"/>
      <c r="WUD4" s="496"/>
      <c r="WUE4" s="496"/>
      <c r="WUF4" s="496"/>
      <c r="WUG4" s="496"/>
      <c r="WUH4" s="496"/>
      <c r="WUI4" s="496"/>
      <c r="WUJ4" s="496"/>
      <c r="WUK4" s="496"/>
      <c r="WUL4" s="496"/>
      <c r="WUM4" s="496"/>
      <c r="WUN4" s="496"/>
      <c r="WUO4" s="496"/>
      <c r="WUP4" s="496"/>
      <c r="WUQ4" s="496"/>
      <c r="WUR4" s="496"/>
      <c r="WUS4" s="496"/>
      <c r="WUT4" s="496"/>
      <c r="WUU4" s="496"/>
      <c r="WUV4" s="496"/>
      <c r="WUW4" s="496"/>
      <c r="WUX4" s="496"/>
      <c r="WUY4" s="496"/>
      <c r="WUZ4" s="496"/>
      <c r="WVA4" s="496"/>
      <c r="WVB4" s="496"/>
      <c r="WVC4" s="496"/>
      <c r="WVD4" s="496"/>
      <c r="WVE4" s="496"/>
      <c r="WVF4" s="496"/>
      <c r="WVG4" s="496"/>
      <c r="WVH4" s="496"/>
      <c r="WVI4" s="496"/>
      <c r="WVJ4" s="496"/>
      <c r="WVK4" s="496"/>
      <c r="WVL4" s="496"/>
      <c r="WVM4" s="496"/>
      <c r="WVN4" s="496"/>
      <c r="WVO4" s="496"/>
      <c r="WVP4" s="496"/>
      <c r="WVQ4" s="496"/>
      <c r="WVR4" s="496"/>
      <c r="WVS4" s="496"/>
      <c r="WVT4" s="496"/>
      <c r="WVU4" s="496"/>
      <c r="WVV4" s="496"/>
      <c r="WVW4" s="496"/>
      <c r="WVX4" s="496"/>
      <c r="WVY4" s="496"/>
      <c r="WVZ4" s="496"/>
      <c r="WWA4" s="496"/>
      <c r="WWB4" s="496"/>
      <c r="WWC4" s="496"/>
      <c r="WWD4" s="496"/>
      <c r="WWE4" s="496"/>
      <c r="WWF4" s="496"/>
      <c r="WWG4" s="496"/>
      <c r="WWH4" s="496"/>
      <c r="WWI4" s="496"/>
      <c r="WWJ4" s="496"/>
      <c r="WWK4" s="496"/>
      <c r="WWL4" s="496"/>
      <c r="WWM4" s="496"/>
      <c r="WWN4" s="496"/>
      <c r="WWO4" s="496"/>
      <c r="WWP4" s="496"/>
      <c r="WWQ4" s="496"/>
      <c r="WWR4" s="496"/>
      <c r="WWS4" s="496"/>
      <c r="WWT4" s="496"/>
      <c r="WWU4" s="496"/>
      <c r="WWV4" s="496"/>
      <c r="WWW4" s="496"/>
      <c r="WWX4" s="496"/>
      <c r="WWY4" s="496"/>
      <c r="WWZ4" s="496"/>
      <c r="WXA4" s="496"/>
      <c r="WXB4" s="496"/>
      <c r="WXC4" s="496"/>
      <c r="WXD4" s="496"/>
      <c r="WXE4" s="496"/>
      <c r="WXF4" s="496"/>
      <c r="WXG4" s="496"/>
      <c r="WXH4" s="496"/>
      <c r="WXI4" s="496"/>
      <c r="WXJ4" s="496"/>
      <c r="WXK4" s="496"/>
      <c r="WXL4" s="496"/>
      <c r="WXM4" s="496"/>
      <c r="WXN4" s="496"/>
      <c r="WXO4" s="496"/>
      <c r="WXP4" s="496"/>
      <c r="WXQ4" s="496"/>
      <c r="WXR4" s="496"/>
      <c r="WXS4" s="496"/>
      <c r="WXT4" s="496"/>
      <c r="WXU4" s="496"/>
      <c r="WXV4" s="496"/>
      <c r="WXW4" s="496"/>
      <c r="WXX4" s="496"/>
      <c r="WXY4" s="496"/>
      <c r="WXZ4" s="496"/>
      <c r="WYA4" s="496"/>
      <c r="WYB4" s="496"/>
      <c r="WYC4" s="496"/>
      <c r="WYD4" s="496"/>
      <c r="WYE4" s="496"/>
      <c r="WYF4" s="496"/>
      <c r="WYG4" s="496"/>
      <c r="WYH4" s="496"/>
      <c r="WYI4" s="496"/>
      <c r="WYJ4" s="496"/>
      <c r="WYK4" s="496"/>
      <c r="WYL4" s="496"/>
      <c r="WYM4" s="496"/>
      <c r="WYN4" s="496"/>
      <c r="WYO4" s="496"/>
      <c r="WYP4" s="496"/>
      <c r="WYQ4" s="496"/>
      <c r="WYR4" s="496"/>
      <c r="WYS4" s="496"/>
      <c r="WYT4" s="496"/>
      <c r="WYU4" s="496"/>
      <c r="WYV4" s="496"/>
      <c r="WYW4" s="496"/>
      <c r="WYX4" s="496"/>
      <c r="WYY4" s="496"/>
      <c r="WYZ4" s="496"/>
      <c r="WZA4" s="496"/>
      <c r="WZB4" s="496"/>
      <c r="WZC4" s="496"/>
      <c r="WZD4" s="496"/>
      <c r="WZE4" s="496"/>
      <c r="WZF4" s="496"/>
      <c r="WZG4" s="496"/>
      <c r="WZH4" s="496"/>
      <c r="WZI4" s="496"/>
      <c r="WZJ4" s="496"/>
      <c r="WZK4" s="496"/>
      <c r="WZL4" s="496"/>
      <c r="WZM4" s="496"/>
      <c r="WZN4" s="496"/>
      <c r="WZO4" s="496"/>
      <c r="WZP4" s="496"/>
      <c r="WZQ4" s="496"/>
      <c r="WZR4" s="496"/>
      <c r="WZS4" s="496"/>
      <c r="WZT4" s="496"/>
      <c r="WZU4" s="496"/>
      <c r="WZV4" s="496"/>
      <c r="WZW4" s="496"/>
      <c r="WZX4" s="496"/>
      <c r="WZY4" s="496"/>
      <c r="WZZ4" s="496"/>
      <c r="XAA4" s="496"/>
      <c r="XAB4" s="496"/>
      <c r="XAC4" s="496"/>
      <c r="XAD4" s="496"/>
      <c r="XAE4" s="496"/>
      <c r="XAF4" s="496"/>
      <c r="XAG4" s="496"/>
      <c r="XAH4" s="496"/>
      <c r="XAI4" s="496"/>
      <c r="XAJ4" s="496"/>
      <c r="XAK4" s="496"/>
      <c r="XAL4" s="496"/>
      <c r="XAM4" s="496"/>
      <c r="XAN4" s="496"/>
      <c r="XAO4" s="496"/>
      <c r="XAP4" s="496"/>
      <c r="XAQ4" s="496"/>
      <c r="XAR4" s="496"/>
      <c r="XAS4" s="496"/>
      <c r="XAT4" s="496"/>
      <c r="XAU4" s="496"/>
      <c r="XAV4" s="496"/>
      <c r="XAW4" s="496"/>
      <c r="XAX4" s="496"/>
      <c r="XAY4" s="496"/>
      <c r="XAZ4" s="496"/>
      <c r="XBA4" s="496"/>
      <c r="XBB4" s="496"/>
      <c r="XBC4" s="496"/>
      <c r="XBD4" s="496"/>
      <c r="XBE4" s="496"/>
      <c r="XBF4" s="496"/>
      <c r="XBG4" s="496"/>
      <c r="XBH4" s="496"/>
      <c r="XBI4" s="496"/>
      <c r="XBJ4" s="496"/>
      <c r="XBK4" s="496"/>
      <c r="XBL4" s="496"/>
      <c r="XBM4" s="496"/>
      <c r="XBN4" s="496"/>
      <c r="XBO4" s="496"/>
      <c r="XBP4" s="496"/>
      <c r="XBQ4" s="496"/>
      <c r="XBR4" s="496"/>
      <c r="XBS4" s="496"/>
      <c r="XBT4" s="496"/>
      <c r="XBU4" s="496"/>
      <c r="XBV4" s="496"/>
      <c r="XBW4" s="496"/>
      <c r="XBX4" s="496"/>
      <c r="XBY4" s="496"/>
      <c r="XBZ4" s="496"/>
      <c r="XCA4" s="496"/>
      <c r="XCB4" s="496"/>
      <c r="XCC4" s="496"/>
      <c r="XCD4" s="496"/>
      <c r="XCE4" s="496"/>
      <c r="XCF4" s="496"/>
      <c r="XCG4" s="496"/>
      <c r="XCH4" s="496"/>
      <c r="XCI4" s="496"/>
      <c r="XCJ4" s="496"/>
      <c r="XCK4" s="496"/>
      <c r="XCL4" s="496"/>
      <c r="XCM4" s="496"/>
      <c r="XCN4" s="496"/>
      <c r="XCO4" s="496"/>
      <c r="XCP4" s="496"/>
      <c r="XCQ4" s="496"/>
      <c r="XCR4" s="496"/>
      <c r="XCS4" s="496"/>
      <c r="XCT4" s="496"/>
      <c r="XCU4" s="496"/>
      <c r="XCV4" s="496"/>
      <c r="XCW4" s="496"/>
      <c r="XCX4" s="496"/>
      <c r="XCY4" s="496"/>
      <c r="XCZ4" s="496"/>
      <c r="XDA4" s="496"/>
      <c r="XDB4" s="496"/>
      <c r="XDC4" s="496"/>
      <c r="XDD4" s="496"/>
      <c r="XDE4" s="496"/>
      <c r="XDF4" s="496"/>
      <c r="XDG4" s="496"/>
      <c r="XDH4" s="496"/>
      <c r="XDI4" s="496"/>
      <c r="XDJ4" s="496"/>
      <c r="XDK4" s="496"/>
      <c r="XDL4" s="496"/>
      <c r="XDM4" s="496"/>
      <c r="XDN4" s="496"/>
      <c r="XDO4" s="496"/>
      <c r="XDP4" s="496"/>
      <c r="XDQ4" s="496"/>
      <c r="XDR4" s="496"/>
      <c r="XDS4" s="496"/>
      <c r="XDT4" s="496"/>
      <c r="XDU4" s="496"/>
      <c r="XDV4" s="496"/>
      <c r="XDW4" s="496"/>
      <c r="XDX4" s="496"/>
      <c r="XDY4" s="496"/>
      <c r="XDZ4" s="496"/>
      <c r="XEA4" s="496"/>
      <c r="XEB4" s="496"/>
      <c r="XEC4" s="496"/>
      <c r="XED4" s="496"/>
      <c r="XEE4" s="496"/>
      <c r="XEF4" s="496"/>
      <c r="XEG4" s="496"/>
      <c r="XEH4" s="496"/>
      <c r="XEI4" s="496"/>
      <c r="XEJ4" s="496"/>
      <c r="XEK4" s="496"/>
      <c r="XEL4" s="496"/>
      <c r="XEM4" s="496"/>
      <c r="XEN4" s="496"/>
      <c r="XEO4" s="496"/>
      <c r="XEP4" s="496"/>
      <c r="XEQ4" s="496"/>
      <c r="XER4" s="496"/>
      <c r="XES4" s="496"/>
      <c r="XET4" s="496"/>
      <c r="XEU4" s="496"/>
      <c r="XEV4" s="496"/>
      <c r="XEW4" s="496"/>
      <c r="XEX4" s="496"/>
      <c r="XEY4" s="496"/>
      <c r="XEZ4" s="496"/>
      <c r="XFA4" s="496"/>
      <c r="XFB4" s="496"/>
    </row>
    <row r="5" spans="1:16382" ht="34.5" thickBot="1" x14ac:dyDescent="0.55000000000000004">
      <c r="A5" s="292" t="s">
        <v>983</v>
      </c>
      <c r="B5" s="234"/>
      <c r="C5" s="234"/>
      <c r="D5" s="234"/>
      <c r="E5" s="234"/>
      <c r="F5" s="234"/>
      <c r="G5" s="234"/>
      <c r="H5" s="234"/>
      <c r="I5" s="234"/>
      <c r="J5" s="234"/>
      <c r="K5" s="234"/>
      <c r="L5" s="234"/>
      <c r="M5" s="234"/>
      <c r="N5" s="234"/>
      <c r="O5" s="234"/>
      <c r="P5" s="234"/>
      <c r="Q5" s="234"/>
      <c r="R5" s="234"/>
      <c r="S5" s="234"/>
      <c r="T5" s="234"/>
      <c r="U5" s="234"/>
      <c r="V5" s="234"/>
      <c r="W5" s="234"/>
      <c r="X5" s="234"/>
      <c r="Y5" s="234"/>
      <c r="Z5" s="234"/>
      <c r="AA5" s="234"/>
      <c r="AB5" s="234"/>
      <c r="AC5" s="234"/>
      <c r="AD5" s="234"/>
      <c r="AE5" s="234"/>
      <c r="AF5" s="234"/>
      <c r="AG5" s="234"/>
      <c r="AH5" s="234"/>
      <c r="AI5" s="234"/>
      <c r="AJ5" s="234"/>
      <c r="AK5" s="234"/>
      <c r="AL5" s="234"/>
      <c r="AM5" s="234"/>
      <c r="AN5" s="234"/>
      <c r="AO5" s="234"/>
      <c r="AP5" s="234"/>
      <c r="AQ5" s="234"/>
      <c r="AR5" s="234"/>
      <c r="AS5" s="234"/>
      <c r="AT5" s="234"/>
      <c r="AU5" s="234"/>
      <c r="AV5" s="234"/>
      <c r="AW5" s="234"/>
      <c r="AX5" s="234"/>
      <c r="AY5" s="234"/>
      <c r="AZ5" s="234"/>
      <c r="BA5" s="234"/>
      <c r="BB5" s="234"/>
      <c r="BC5" s="234"/>
      <c r="BD5" s="234"/>
      <c r="BE5" s="234"/>
      <c r="BF5" s="234"/>
      <c r="BG5" s="234"/>
      <c r="BH5" s="234"/>
      <c r="BI5" s="234"/>
      <c r="BJ5" s="234"/>
      <c r="BK5" s="234"/>
      <c r="BL5" s="234"/>
      <c r="BM5" s="234"/>
      <c r="BN5" s="234"/>
      <c r="BO5" s="234"/>
      <c r="BP5" s="234"/>
      <c r="BQ5" s="234"/>
      <c r="BR5" s="234"/>
      <c r="BS5" s="234"/>
      <c r="BT5" s="234"/>
      <c r="BU5" s="234"/>
      <c r="BV5" s="234"/>
      <c r="BW5" s="234"/>
      <c r="BX5" s="234"/>
      <c r="BY5" s="234"/>
      <c r="BZ5" s="234"/>
      <c r="CA5" s="234"/>
      <c r="CB5" s="234"/>
      <c r="CC5" s="234"/>
      <c r="CD5" s="234"/>
      <c r="CE5" s="234"/>
      <c r="CF5" s="234"/>
      <c r="CG5" s="234"/>
      <c r="CH5" s="234"/>
      <c r="CI5" s="234"/>
      <c r="CJ5" s="234"/>
      <c r="CK5" s="234"/>
      <c r="CL5" s="234"/>
      <c r="CM5" s="234"/>
      <c r="CN5" s="234"/>
      <c r="CO5" s="234"/>
      <c r="CP5" s="234"/>
      <c r="CQ5" s="234"/>
      <c r="CR5" s="234"/>
      <c r="CS5" s="234"/>
      <c r="CT5" s="234"/>
      <c r="CU5" s="234"/>
      <c r="CV5" s="234"/>
      <c r="CW5" s="234"/>
      <c r="CX5" s="234"/>
      <c r="CY5" s="234"/>
      <c r="CZ5" s="234"/>
      <c r="DA5" s="234"/>
      <c r="DB5" s="234"/>
      <c r="DC5" s="234"/>
      <c r="DD5" s="234"/>
      <c r="DE5" s="234"/>
      <c r="DF5" s="234"/>
      <c r="DG5" s="234"/>
      <c r="DH5" s="234"/>
      <c r="DI5" s="234"/>
      <c r="DJ5" s="234"/>
      <c r="DK5" s="234"/>
      <c r="DL5" s="234"/>
      <c r="DM5" s="234"/>
      <c r="DN5" s="234"/>
      <c r="DO5" s="234"/>
      <c r="DP5" s="234"/>
      <c r="DQ5" s="234"/>
      <c r="DR5" s="234"/>
      <c r="DS5" s="234"/>
      <c r="DT5" s="234"/>
      <c r="DU5" s="234"/>
      <c r="DV5" s="234"/>
      <c r="DW5" s="234"/>
      <c r="DX5" s="234"/>
      <c r="DY5" s="234"/>
      <c r="DZ5" s="234"/>
      <c r="EA5" s="234"/>
      <c r="EB5" s="234"/>
      <c r="EC5" s="234"/>
      <c r="ED5" s="234"/>
      <c r="EE5" s="234"/>
      <c r="EF5" s="234"/>
      <c r="EG5" s="234"/>
      <c r="EH5" s="234"/>
      <c r="EI5" s="234"/>
      <c r="EJ5" s="234"/>
      <c r="EK5" s="234"/>
      <c r="EL5" s="234"/>
      <c r="EM5" s="234"/>
      <c r="EN5" s="234"/>
      <c r="EO5" s="234"/>
      <c r="EP5" s="234"/>
      <c r="EQ5" s="234"/>
      <c r="ER5" s="234"/>
      <c r="ES5" s="234"/>
      <c r="ET5" s="234"/>
      <c r="EU5" s="234"/>
      <c r="EV5" s="234"/>
      <c r="EW5" s="234"/>
      <c r="EX5" s="234"/>
      <c r="EY5" s="234"/>
      <c r="EZ5" s="234"/>
      <c r="FA5" s="234"/>
      <c r="FB5" s="234"/>
      <c r="FC5" s="234"/>
      <c r="FD5" s="234"/>
      <c r="FE5" s="234"/>
      <c r="FF5" s="234"/>
      <c r="FG5" s="234"/>
      <c r="FH5" s="234"/>
      <c r="FI5" s="234"/>
      <c r="FJ5" s="234"/>
      <c r="FK5" s="234"/>
      <c r="FL5" s="234"/>
      <c r="FM5" s="234"/>
      <c r="FN5" s="234"/>
      <c r="FO5" s="234"/>
      <c r="FP5" s="234"/>
      <c r="FQ5" s="234"/>
      <c r="FR5" s="234"/>
      <c r="FS5" s="234"/>
      <c r="FT5" s="234"/>
      <c r="FU5" s="234"/>
      <c r="FV5" s="234"/>
      <c r="FW5" s="234"/>
      <c r="FX5" s="234"/>
      <c r="FY5" s="234"/>
      <c r="FZ5" s="234"/>
      <c r="GA5" s="234"/>
      <c r="GB5" s="234"/>
      <c r="GC5" s="234"/>
      <c r="GD5" s="234"/>
      <c r="GE5" s="234"/>
      <c r="GF5" s="234"/>
      <c r="GG5" s="234"/>
      <c r="GH5" s="234"/>
      <c r="GI5" s="234"/>
      <c r="GJ5" s="234"/>
      <c r="GK5" s="234"/>
      <c r="GL5" s="234"/>
      <c r="GM5" s="234"/>
      <c r="GN5" s="234"/>
      <c r="GO5" s="234"/>
      <c r="GP5" s="234"/>
      <c r="GQ5" s="234"/>
      <c r="GR5" s="234"/>
      <c r="GS5" s="234"/>
      <c r="GT5" s="234"/>
      <c r="GU5" s="234"/>
      <c r="GV5" s="234"/>
      <c r="GW5" s="234"/>
      <c r="GX5" s="234"/>
      <c r="GY5" s="234"/>
      <c r="GZ5" s="234"/>
      <c r="HA5" s="234"/>
      <c r="HB5" s="234"/>
      <c r="HC5" s="234"/>
      <c r="HD5" s="234"/>
      <c r="HE5" s="234"/>
      <c r="HF5" s="234"/>
      <c r="HG5" s="234"/>
      <c r="HH5" s="234"/>
      <c r="HI5" s="234"/>
      <c r="HJ5" s="234"/>
      <c r="HK5" s="234"/>
      <c r="HL5" s="234"/>
      <c r="HM5" s="234"/>
      <c r="HN5" s="234"/>
      <c r="HO5" s="234"/>
      <c r="HP5" s="234"/>
      <c r="HQ5" s="234"/>
      <c r="HR5" s="234"/>
      <c r="HS5" s="234"/>
      <c r="HT5" s="234"/>
      <c r="HU5" s="234"/>
      <c r="HV5" s="234"/>
      <c r="HW5" s="234"/>
      <c r="HX5" s="234"/>
      <c r="HY5" s="234"/>
      <c r="HZ5" s="234"/>
      <c r="IA5" s="234"/>
      <c r="IB5" s="234"/>
      <c r="IC5" s="234"/>
      <c r="ID5" s="234"/>
      <c r="IE5" s="234"/>
      <c r="IF5" s="234"/>
      <c r="IG5" s="234"/>
      <c r="IH5" s="234"/>
      <c r="II5" s="234"/>
      <c r="IJ5" s="234"/>
      <c r="IK5" s="234"/>
      <c r="IL5" s="234"/>
      <c r="IM5" s="234"/>
      <c r="IN5" s="234"/>
      <c r="IO5" s="234"/>
      <c r="IP5" s="234"/>
      <c r="IQ5" s="234"/>
      <c r="IR5" s="234"/>
      <c r="IS5" s="234"/>
      <c r="IT5" s="234"/>
      <c r="IU5" s="234"/>
      <c r="IV5" s="234"/>
      <c r="IW5" s="234"/>
      <c r="IX5" s="234"/>
      <c r="IY5" s="234"/>
      <c r="IZ5" s="234"/>
      <c r="JA5" s="234"/>
      <c r="JB5" s="234"/>
      <c r="JC5" s="234"/>
      <c r="JD5" s="234"/>
      <c r="JE5" s="234"/>
      <c r="JF5" s="234"/>
      <c r="JG5" s="234"/>
      <c r="JH5" s="234"/>
      <c r="JI5" s="234"/>
      <c r="JJ5" s="234"/>
      <c r="JK5" s="234"/>
      <c r="JL5" s="234"/>
      <c r="JM5" s="234"/>
      <c r="JN5" s="234"/>
      <c r="JO5" s="234"/>
      <c r="JP5" s="234"/>
      <c r="JQ5" s="234"/>
      <c r="JR5" s="234"/>
      <c r="JS5" s="234"/>
      <c r="JT5" s="234"/>
      <c r="JU5" s="234"/>
      <c r="JV5" s="234"/>
      <c r="JW5" s="234"/>
      <c r="JX5" s="234"/>
      <c r="JY5" s="234"/>
      <c r="JZ5" s="234"/>
      <c r="KA5" s="234"/>
      <c r="KB5" s="234"/>
      <c r="KC5" s="234"/>
      <c r="KD5" s="234"/>
      <c r="KE5" s="234"/>
      <c r="KF5" s="234"/>
      <c r="KG5" s="234"/>
      <c r="KH5" s="234"/>
      <c r="KI5" s="234"/>
      <c r="KJ5" s="234"/>
      <c r="KK5" s="234"/>
      <c r="KL5" s="234"/>
      <c r="KM5" s="234"/>
      <c r="KN5" s="234"/>
      <c r="KO5" s="234"/>
      <c r="KP5" s="234"/>
      <c r="KQ5" s="234"/>
      <c r="KR5" s="234"/>
      <c r="KS5" s="234"/>
      <c r="KT5" s="234"/>
      <c r="KU5" s="234"/>
      <c r="KV5" s="234"/>
      <c r="KW5" s="234"/>
      <c r="KX5" s="234"/>
      <c r="KY5" s="234"/>
      <c r="KZ5" s="234"/>
      <c r="LA5" s="234"/>
      <c r="LB5" s="234"/>
      <c r="LC5" s="234"/>
      <c r="LD5" s="234"/>
      <c r="LE5" s="234"/>
      <c r="LF5" s="234"/>
      <c r="LG5" s="234"/>
      <c r="LH5" s="234"/>
      <c r="LI5" s="234"/>
      <c r="LJ5" s="234"/>
      <c r="LK5" s="234"/>
      <c r="LL5" s="234"/>
      <c r="LM5" s="234"/>
      <c r="LN5" s="234"/>
      <c r="LO5" s="234"/>
      <c r="LP5" s="234"/>
      <c r="LQ5" s="234"/>
      <c r="LR5" s="234"/>
      <c r="LS5" s="234"/>
      <c r="LT5" s="234"/>
      <c r="LU5" s="234"/>
      <c r="LV5" s="234"/>
      <c r="LW5" s="234"/>
      <c r="LX5" s="234"/>
      <c r="LY5" s="234"/>
      <c r="LZ5" s="234"/>
      <c r="MA5" s="234"/>
      <c r="MB5" s="234"/>
      <c r="MC5" s="234"/>
      <c r="MD5" s="234"/>
      <c r="ME5" s="234"/>
      <c r="MF5" s="234"/>
      <c r="MG5" s="234"/>
      <c r="MH5" s="234"/>
      <c r="MI5" s="234"/>
      <c r="MJ5" s="234"/>
      <c r="MK5" s="234"/>
      <c r="ML5" s="234"/>
      <c r="MM5" s="234"/>
      <c r="MN5" s="234"/>
      <c r="MO5" s="234"/>
      <c r="MP5" s="234"/>
      <c r="MQ5" s="234"/>
      <c r="MR5" s="234"/>
      <c r="MS5" s="234"/>
      <c r="MT5" s="234"/>
      <c r="MU5" s="234"/>
      <c r="MV5" s="234"/>
      <c r="MW5" s="234"/>
      <c r="MX5" s="234"/>
      <c r="MY5" s="234"/>
      <c r="MZ5" s="234"/>
      <c r="NA5" s="234"/>
      <c r="NB5" s="234"/>
      <c r="NC5" s="234"/>
      <c r="ND5" s="234"/>
      <c r="NE5" s="234"/>
      <c r="NF5" s="234"/>
      <c r="NG5" s="234"/>
      <c r="NH5" s="234"/>
      <c r="NI5" s="234"/>
      <c r="NJ5" s="234"/>
      <c r="NK5" s="234"/>
      <c r="NL5" s="234"/>
      <c r="NM5" s="234"/>
      <c r="NN5" s="234"/>
      <c r="NO5" s="234"/>
      <c r="NP5" s="234"/>
      <c r="NQ5" s="234"/>
      <c r="NR5" s="234"/>
      <c r="NS5" s="234"/>
      <c r="NT5" s="234"/>
      <c r="NU5" s="234"/>
      <c r="NV5" s="234"/>
      <c r="NW5" s="234"/>
      <c r="NX5" s="234"/>
      <c r="NY5" s="234"/>
      <c r="NZ5" s="234"/>
      <c r="OA5" s="234"/>
      <c r="OB5" s="234"/>
      <c r="OC5" s="234"/>
      <c r="OD5" s="234"/>
      <c r="OE5" s="234"/>
      <c r="OF5" s="234"/>
      <c r="OG5" s="234"/>
      <c r="OH5" s="234"/>
      <c r="OI5" s="234"/>
      <c r="OJ5" s="234"/>
      <c r="OK5" s="234"/>
      <c r="OL5" s="234"/>
      <c r="OM5" s="234"/>
      <c r="ON5" s="234"/>
      <c r="OO5" s="234"/>
      <c r="OP5" s="234"/>
      <c r="OQ5" s="234"/>
      <c r="OR5" s="234"/>
      <c r="OS5" s="234"/>
      <c r="OT5" s="234"/>
      <c r="OU5" s="234"/>
      <c r="OV5" s="234"/>
      <c r="OW5" s="234"/>
      <c r="OX5" s="234"/>
      <c r="OY5" s="234"/>
      <c r="OZ5" s="234"/>
      <c r="PA5" s="234"/>
      <c r="PB5" s="234"/>
      <c r="PC5" s="234"/>
      <c r="PD5" s="234"/>
      <c r="PE5" s="234"/>
      <c r="PF5" s="234"/>
      <c r="PG5" s="234"/>
      <c r="PH5" s="234"/>
      <c r="PI5" s="234"/>
      <c r="PJ5" s="234"/>
      <c r="PK5" s="234"/>
      <c r="PL5" s="234"/>
      <c r="PM5" s="234"/>
      <c r="PN5" s="234"/>
      <c r="PO5" s="234"/>
      <c r="PP5" s="234"/>
      <c r="PQ5" s="234"/>
      <c r="PR5" s="234"/>
      <c r="PS5" s="234"/>
      <c r="PT5" s="234"/>
      <c r="PU5" s="234"/>
      <c r="PV5" s="234"/>
      <c r="PW5" s="234"/>
      <c r="PX5" s="234"/>
      <c r="PY5" s="234"/>
      <c r="PZ5" s="234"/>
      <c r="QA5" s="234"/>
      <c r="QB5" s="234"/>
      <c r="QC5" s="234"/>
      <c r="QD5" s="234"/>
      <c r="QE5" s="234"/>
      <c r="QF5" s="234"/>
      <c r="QG5" s="234"/>
      <c r="QH5" s="234"/>
      <c r="QI5" s="234"/>
      <c r="QJ5" s="234"/>
      <c r="QK5" s="234"/>
      <c r="QL5" s="234"/>
      <c r="QM5" s="234"/>
      <c r="QN5" s="234"/>
      <c r="QO5" s="234"/>
      <c r="QP5" s="234"/>
      <c r="QQ5" s="234"/>
      <c r="QR5" s="234"/>
      <c r="QS5" s="234"/>
      <c r="QT5" s="234"/>
      <c r="QU5" s="234"/>
      <c r="QV5" s="234"/>
      <c r="QW5" s="234"/>
      <c r="QX5" s="234"/>
      <c r="QY5" s="234"/>
      <c r="QZ5" s="234"/>
      <c r="RA5" s="234"/>
      <c r="RB5" s="234"/>
      <c r="RC5" s="234"/>
      <c r="RD5" s="234"/>
      <c r="RE5" s="234"/>
      <c r="RF5" s="234"/>
      <c r="RG5" s="234"/>
      <c r="RH5" s="234"/>
      <c r="RI5" s="234"/>
      <c r="RJ5" s="234"/>
      <c r="RK5" s="234"/>
      <c r="RL5" s="234"/>
      <c r="RM5" s="234"/>
      <c r="RN5" s="234"/>
      <c r="RO5" s="234"/>
      <c r="RP5" s="234"/>
      <c r="RQ5" s="234"/>
      <c r="RR5" s="234"/>
      <c r="RS5" s="234"/>
      <c r="RT5" s="234"/>
      <c r="RU5" s="234"/>
      <c r="RV5" s="234"/>
      <c r="RW5" s="234"/>
      <c r="RX5" s="234"/>
      <c r="RY5" s="234"/>
      <c r="RZ5" s="234"/>
      <c r="SA5" s="234"/>
      <c r="SB5" s="234"/>
      <c r="SC5" s="234"/>
      <c r="SD5" s="234"/>
      <c r="SE5" s="234"/>
      <c r="SF5" s="234"/>
      <c r="SG5" s="234"/>
      <c r="SH5" s="234"/>
      <c r="SI5" s="234"/>
      <c r="SJ5" s="234"/>
      <c r="SK5" s="234"/>
      <c r="SL5" s="234"/>
      <c r="SM5" s="234"/>
      <c r="SN5" s="234"/>
      <c r="SO5" s="234"/>
      <c r="SP5" s="234"/>
      <c r="SQ5" s="234"/>
      <c r="SR5" s="234"/>
      <c r="SS5" s="234"/>
      <c r="ST5" s="234"/>
      <c r="SU5" s="234"/>
      <c r="SV5" s="234"/>
      <c r="SW5" s="234"/>
      <c r="SX5" s="234"/>
      <c r="SY5" s="234"/>
      <c r="SZ5" s="234"/>
      <c r="TA5" s="234"/>
      <c r="TB5" s="234"/>
      <c r="TC5" s="234"/>
      <c r="TD5" s="234"/>
      <c r="TE5" s="234"/>
      <c r="TF5" s="234"/>
      <c r="TG5" s="234"/>
      <c r="TH5" s="234"/>
      <c r="TI5" s="234"/>
      <c r="TJ5" s="234"/>
      <c r="TK5" s="234"/>
      <c r="TL5" s="234"/>
      <c r="TM5" s="234"/>
      <c r="TN5" s="234"/>
      <c r="TO5" s="234"/>
      <c r="TP5" s="234"/>
      <c r="TQ5" s="234"/>
      <c r="TR5" s="234"/>
      <c r="TS5" s="234"/>
      <c r="TT5" s="234"/>
      <c r="TU5" s="234"/>
      <c r="TV5" s="234"/>
      <c r="TW5" s="234"/>
      <c r="TX5" s="234"/>
      <c r="TY5" s="234"/>
      <c r="TZ5" s="234"/>
      <c r="UA5" s="234"/>
      <c r="UB5" s="234"/>
      <c r="UC5" s="234"/>
      <c r="UD5" s="234"/>
      <c r="UE5" s="234"/>
      <c r="UF5" s="234"/>
      <c r="UG5" s="234"/>
      <c r="UH5" s="234"/>
      <c r="UI5" s="234"/>
      <c r="UJ5" s="234"/>
      <c r="UK5" s="234"/>
      <c r="UL5" s="234"/>
      <c r="UM5" s="234"/>
      <c r="UN5" s="234"/>
      <c r="UO5" s="234"/>
      <c r="UP5" s="234"/>
      <c r="UQ5" s="234"/>
      <c r="UR5" s="234"/>
      <c r="US5" s="234"/>
      <c r="UT5" s="234"/>
      <c r="UU5" s="234"/>
      <c r="UV5" s="234"/>
      <c r="UW5" s="234"/>
      <c r="UX5" s="234"/>
      <c r="UY5" s="234"/>
      <c r="UZ5" s="234"/>
      <c r="VA5" s="234"/>
      <c r="VB5" s="234"/>
      <c r="VC5" s="234"/>
      <c r="VD5" s="234"/>
      <c r="VE5" s="234"/>
      <c r="VF5" s="234"/>
      <c r="VG5" s="234"/>
      <c r="VH5" s="234"/>
      <c r="VI5" s="234"/>
      <c r="VJ5" s="234"/>
      <c r="VK5" s="234"/>
      <c r="VL5" s="234"/>
      <c r="VM5" s="234"/>
      <c r="VN5" s="234"/>
      <c r="VO5" s="234"/>
      <c r="VP5" s="234"/>
      <c r="VQ5" s="234"/>
      <c r="VR5" s="234"/>
      <c r="VS5" s="234"/>
      <c r="VT5" s="234"/>
      <c r="VU5" s="234"/>
      <c r="VV5" s="234"/>
      <c r="VW5" s="234"/>
      <c r="VX5" s="234"/>
      <c r="VY5" s="234"/>
      <c r="VZ5" s="234"/>
      <c r="WA5" s="234"/>
      <c r="WB5" s="234"/>
      <c r="WC5" s="234"/>
      <c r="WD5" s="234"/>
      <c r="WE5" s="234"/>
      <c r="WF5" s="234"/>
      <c r="WG5" s="234"/>
      <c r="WH5" s="234"/>
      <c r="WI5" s="234"/>
      <c r="WJ5" s="234"/>
      <c r="WK5" s="234"/>
      <c r="WL5" s="234"/>
      <c r="WM5" s="234"/>
      <c r="WN5" s="234"/>
      <c r="WO5" s="234"/>
      <c r="WP5" s="234"/>
      <c r="WQ5" s="234"/>
      <c r="WR5" s="234"/>
      <c r="WS5" s="234"/>
      <c r="WT5" s="234"/>
      <c r="WU5" s="234"/>
      <c r="WV5" s="234"/>
      <c r="WW5" s="234"/>
      <c r="WX5" s="234"/>
      <c r="WY5" s="234"/>
      <c r="WZ5" s="234"/>
      <c r="XA5" s="234"/>
      <c r="XB5" s="234"/>
      <c r="XC5" s="234"/>
      <c r="XD5" s="234"/>
      <c r="XE5" s="234"/>
      <c r="XF5" s="234"/>
      <c r="XG5" s="234"/>
      <c r="XH5" s="234"/>
      <c r="XI5" s="234"/>
      <c r="XJ5" s="234"/>
      <c r="XK5" s="234"/>
      <c r="XL5" s="234"/>
      <c r="XM5" s="234"/>
      <c r="XN5" s="234"/>
      <c r="XO5" s="234"/>
      <c r="XP5" s="234"/>
      <c r="XQ5" s="234"/>
      <c r="XR5" s="234"/>
      <c r="XS5" s="234"/>
      <c r="XT5" s="234"/>
      <c r="XU5" s="234"/>
      <c r="XV5" s="234"/>
      <c r="XW5" s="234"/>
      <c r="XX5" s="234"/>
      <c r="XY5" s="234"/>
      <c r="XZ5" s="234"/>
      <c r="YA5" s="234"/>
      <c r="YB5" s="234"/>
      <c r="YC5" s="234"/>
      <c r="YD5" s="234"/>
      <c r="YE5" s="234"/>
      <c r="YF5" s="234"/>
      <c r="YG5" s="234"/>
      <c r="YH5" s="234"/>
      <c r="YI5" s="234"/>
      <c r="YJ5" s="234"/>
      <c r="YK5" s="234"/>
      <c r="YL5" s="234"/>
      <c r="YM5" s="234"/>
      <c r="YN5" s="234"/>
      <c r="YO5" s="234"/>
      <c r="YP5" s="234"/>
      <c r="YQ5" s="234"/>
      <c r="YR5" s="234"/>
      <c r="YS5" s="234"/>
      <c r="YT5" s="234"/>
      <c r="YU5" s="234"/>
      <c r="YV5" s="234"/>
      <c r="YW5" s="234"/>
      <c r="YX5" s="234"/>
      <c r="YY5" s="234"/>
      <c r="YZ5" s="234"/>
      <c r="ZA5" s="234"/>
      <c r="ZB5" s="234"/>
      <c r="ZC5" s="234"/>
      <c r="ZD5" s="234"/>
      <c r="ZE5" s="234"/>
      <c r="ZF5" s="234"/>
      <c r="ZG5" s="234"/>
      <c r="ZH5" s="234"/>
      <c r="ZI5" s="234"/>
      <c r="ZJ5" s="234"/>
      <c r="ZK5" s="234"/>
      <c r="ZL5" s="234"/>
      <c r="ZM5" s="234"/>
      <c r="ZN5" s="234"/>
      <c r="ZO5" s="234"/>
      <c r="ZP5" s="234"/>
      <c r="ZQ5" s="234"/>
      <c r="ZR5" s="234"/>
      <c r="ZS5" s="234"/>
      <c r="ZT5" s="234"/>
      <c r="ZU5" s="234"/>
      <c r="ZV5" s="234"/>
      <c r="ZW5" s="234"/>
      <c r="ZX5" s="234"/>
      <c r="ZY5" s="234"/>
      <c r="ZZ5" s="234"/>
      <c r="AAA5" s="234"/>
      <c r="AAB5" s="234"/>
      <c r="AAC5" s="234"/>
      <c r="AAD5" s="234"/>
      <c r="AAE5" s="234"/>
      <c r="AAF5" s="234"/>
      <c r="AAG5" s="234"/>
      <c r="AAH5" s="234"/>
      <c r="AAI5" s="234"/>
      <c r="AAJ5" s="234"/>
      <c r="AAK5" s="234"/>
      <c r="AAL5" s="234"/>
      <c r="AAM5" s="234"/>
      <c r="AAN5" s="234"/>
      <c r="AAO5" s="234"/>
      <c r="AAP5" s="234"/>
      <c r="AAQ5" s="234"/>
      <c r="AAR5" s="234"/>
      <c r="AAS5" s="234"/>
      <c r="AAT5" s="234"/>
      <c r="AAU5" s="234"/>
      <c r="AAV5" s="234"/>
      <c r="AAW5" s="234"/>
      <c r="AAX5" s="234"/>
      <c r="AAY5" s="234"/>
      <c r="AAZ5" s="234"/>
      <c r="ABA5" s="234"/>
      <c r="ABB5" s="234"/>
      <c r="ABC5" s="234"/>
      <c r="ABD5" s="234"/>
      <c r="ABE5" s="234"/>
      <c r="ABF5" s="234"/>
      <c r="ABG5" s="234"/>
      <c r="ABH5" s="234"/>
      <c r="ABI5" s="234"/>
      <c r="ABJ5" s="234"/>
      <c r="ABK5" s="234"/>
      <c r="ABL5" s="234"/>
      <c r="ABM5" s="234"/>
      <c r="ABN5" s="234"/>
      <c r="ABO5" s="234"/>
      <c r="ABP5" s="234"/>
      <c r="ABQ5" s="234"/>
      <c r="ABR5" s="234"/>
      <c r="ABS5" s="234"/>
      <c r="ABT5" s="234"/>
      <c r="ABU5" s="234"/>
      <c r="ABV5" s="234"/>
      <c r="ABW5" s="234"/>
      <c r="ABX5" s="234"/>
      <c r="ABY5" s="234"/>
      <c r="ABZ5" s="234"/>
      <c r="ACA5" s="234"/>
      <c r="ACB5" s="234"/>
      <c r="ACC5" s="234"/>
      <c r="ACD5" s="234"/>
      <c r="ACE5" s="234"/>
      <c r="ACF5" s="234"/>
      <c r="ACG5" s="234"/>
      <c r="ACH5" s="234"/>
      <c r="ACI5" s="234"/>
      <c r="ACJ5" s="234"/>
      <c r="ACK5" s="234"/>
      <c r="ACL5" s="234"/>
      <c r="ACM5" s="234"/>
      <c r="ACN5" s="234"/>
      <c r="ACO5" s="234"/>
      <c r="ACP5" s="234"/>
      <c r="ACQ5" s="234"/>
      <c r="ACR5" s="234"/>
      <c r="ACS5" s="234"/>
      <c r="ACT5" s="234"/>
      <c r="ACU5" s="234"/>
      <c r="ACV5" s="234"/>
      <c r="ACW5" s="234"/>
      <c r="ACX5" s="234"/>
      <c r="ACY5" s="234"/>
      <c r="ACZ5" s="234"/>
      <c r="ADA5" s="234"/>
      <c r="ADB5" s="234"/>
      <c r="ADC5" s="234"/>
      <c r="ADD5" s="234"/>
      <c r="ADE5" s="234"/>
      <c r="ADF5" s="234"/>
      <c r="ADG5" s="234"/>
      <c r="ADH5" s="234"/>
      <c r="ADI5" s="234"/>
      <c r="ADJ5" s="234"/>
      <c r="ADK5" s="234"/>
      <c r="ADL5" s="234"/>
      <c r="ADM5" s="234"/>
      <c r="ADN5" s="234"/>
      <c r="ADO5" s="234"/>
      <c r="ADP5" s="234"/>
      <c r="ADQ5" s="234"/>
      <c r="ADR5" s="234"/>
      <c r="ADS5" s="234"/>
      <c r="ADT5" s="234"/>
      <c r="ADU5" s="234"/>
      <c r="ADV5" s="234"/>
      <c r="ADW5" s="234"/>
      <c r="ADX5" s="234"/>
      <c r="ADY5" s="234"/>
      <c r="ADZ5" s="234"/>
      <c r="AEA5" s="234"/>
      <c r="AEB5" s="234"/>
      <c r="AEC5" s="234"/>
      <c r="AED5" s="234"/>
      <c r="AEE5" s="234"/>
      <c r="AEF5" s="234"/>
      <c r="AEG5" s="234"/>
      <c r="AEH5" s="234"/>
      <c r="AEI5" s="234"/>
      <c r="AEJ5" s="234"/>
      <c r="AEK5" s="234"/>
      <c r="AEL5" s="234"/>
      <c r="AEM5" s="234"/>
      <c r="AEN5" s="234"/>
      <c r="AEO5" s="234"/>
      <c r="AEP5" s="234"/>
      <c r="AEQ5" s="234"/>
      <c r="AER5" s="234"/>
      <c r="AES5" s="234"/>
      <c r="AET5" s="234"/>
      <c r="AEU5" s="234"/>
      <c r="AEV5" s="234"/>
      <c r="AEW5" s="234"/>
      <c r="AEX5" s="234"/>
      <c r="AEY5" s="234"/>
      <c r="AEZ5" s="234"/>
      <c r="AFA5" s="234"/>
      <c r="AFB5" s="234"/>
      <c r="AFC5" s="234"/>
      <c r="AFD5" s="234"/>
      <c r="AFE5" s="234"/>
      <c r="AFF5" s="234"/>
      <c r="AFG5" s="234"/>
      <c r="AFH5" s="234"/>
      <c r="AFI5" s="234"/>
      <c r="AFJ5" s="234"/>
      <c r="AFK5" s="234"/>
      <c r="AFL5" s="234"/>
      <c r="AFM5" s="234"/>
      <c r="AFN5" s="234"/>
      <c r="AFO5" s="234"/>
      <c r="AFP5" s="234"/>
      <c r="AFQ5" s="234"/>
      <c r="AFR5" s="234"/>
      <c r="AFS5" s="234"/>
      <c r="AFT5" s="234"/>
      <c r="AFU5" s="234"/>
      <c r="AFV5" s="234"/>
      <c r="AFW5" s="234"/>
      <c r="AFX5" s="234"/>
      <c r="AFY5" s="234"/>
      <c r="AFZ5" s="234"/>
      <c r="AGA5" s="234"/>
      <c r="AGB5" s="234"/>
      <c r="AGC5" s="234"/>
      <c r="AGD5" s="234"/>
      <c r="AGE5" s="234"/>
      <c r="AGF5" s="234"/>
      <c r="AGG5" s="234"/>
      <c r="AGH5" s="234"/>
      <c r="AGI5" s="234"/>
      <c r="AGJ5" s="234"/>
      <c r="AGK5" s="234"/>
      <c r="AGL5" s="234"/>
      <c r="AGM5" s="234"/>
      <c r="AGN5" s="234"/>
      <c r="AGO5" s="234"/>
      <c r="AGP5" s="234"/>
      <c r="AGQ5" s="234"/>
      <c r="AGR5" s="234"/>
      <c r="AGS5" s="234"/>
      <c r="AGT5" s="234"/>
      <c r="AGU5" s="234"/>
      <c r="AGV5" s="234"/>
      <c r="AGW5" s="234"/>
      <c r="AGX5" s="234"/>
      <c r="AGY5" s="234"/>
      <c r="AGZ5" s="234"/>
      <c r="AHA5" s="234"/>
      <c r="AHB5" s="234"/>
      <c r="AHC5" s="234"/>
      <c r="AHD5" s="234"/>
      <c r="AHE5" s="234"/>
      <c r="AHF5" s="234"/>
      <c r="AHG5" s="234"/>
      <c r="AHH5" s="234"/>
      <c r="AHI5" s="234"/>
      <c r="AHJ5" s="234"/>
      <c r="AHK5" s="234"/>
      <c r="AHL5" s="234"/>
      <c r="AHM5" s="234"/>
      <c r="AHN5" s="234"/>
      <c r="AHO5" s="234"/>
      <c r="AHP5" s="234"/>
      <c r="AHQ5" s="234"/>
      <c r="AHR5" s="234"/>
      <c r="AHS5" s="234"/>
      <c r="AHT5" s="234"/>
      <c r="AHU5" s="234"/>
      <c r="AHV5" s="234"/>
      <c r="AHW5" s="234"/>
      <c r="AHX5" s="234"/>
      <c r="AHY5" s="234"/>
      <c r="AHZ5" s="234"/>
      <c r="AIA5" s="234"/>
      <c r="AIB5" s="234"/>
      <c r="AIC5" s="234"/>
      <c r="AID5" s="234"/>
      <c r="AIE5" s="234"/>
      <c r="AIF5" s="234"/>
      <c r="AIG5" s="234"/>
      <c r="AIH5" s="234"/>
      <c r="AII5" s="234"/>
      <c r="AIJ5" s="234"/>
      <c r="AIK5" s="234"/>
      <c r="AIL5" s="234"/>
      <c r="AIM5" s="234"/>
      <c r="AIN5" s="234"/>
      <c r="AIO5" s="234"/>
      <c r="AIP5" s="234"/>
      <c r="AIQ5" s="234"/>
      <c r="AIR5" s="234"/>
      <c r="AIS5" s="234"/>
      <c r="AIT5" s="234"/>
      <c r="AIU5" s="234"/>
      <c r="AIV5" s="234"/>
      <c r="AIW5" s="234"/>
      <c r="AIX5" s="234"/>
      <c r="AIY5" s="234"/>
      <c r="AIZ5" s="234"/>
      <c r="AJA5" s="234"/>
      <c r="AJB5" s="234"/>
      <c r="AJC5" s="234"/>
      <c r="AJD5" s="234"/>
      <c r="AJE5" s="234"/>
      <c r="AJF5" s="234"/>
      <c r="AJG5" s="234"/>
      <c r="AJH5" s="234"/>
      <c r="AJI5" s="234"/>
      <c r="AJJ5" s="234"/>
      <c r="AJK5" s="234"/>
      <c r="AJL5" s="234"/>
      <c r="AJM5" s="234"/>
      <c r="AJN5" s="234"/>
      <c r="AJO5" s="234"/>
      <c r="AJP5" s="234"/>
      <c r="AJQ5" s="234"/>
      <c r="AJR5" s="234"/>
      <c r="AJS5" s="234"/>
      <c r="AJT5" s="234"/>
      <c r="AJU5" s="234"/>
      <c r="AJV5" s="234"/>
      <c r="AJW5" s="234"/>
      <c r="AJX5" s="234"/>
      <c r="AJY5" s="234"/>
      <c r="AJZ5" s="234"/>
      <c r="AKA5" s="234"/>
      <c r="AKB5" s="234"/>
      <c r="AKC5" s="234"/>
      <c r="AKD5" s="234"/>
      <c r="AKE5" s="234"/>
      <c r="AKF5" s="234"/>
      <c r="AKG5" s="234"/>
      <c r="AKH5" s="234"/>
      <c r="AKI5" s="234"/>
      <c r="AKJ5" s="234"/>
      <c r="AKK5" s="234"/>
      <c r="AKL5" s="234"/>
      <c r="AKM5" s="234"/>
      <c r="AKN5" s="234"/>
      <c r="AKO5" s="234"/>
      <c r="AKP5" s="234"/>
      <c r="AKQ5" s="234"/>
      <c r="AKR5" s="234"/>
      <c r="AKS5" s="234"/>
      <c r="AKT5" s="234"/>
      <c r="AKU5" s="234"/>
      <c r="AKV5" s="234"/>
      <c r="AKW5" s="234"/>
      <c r="AKX5" s="234"/>
      <c r="AKY5" s="234"/>
      <c r="AKZ5" s="234"/>
      <c r="ALA5" s="234"/>
      <c r="ALB5" s="234"/>
      <c r="ALC5" s="234"/>
      <c r="ALD5" s="234"/>
      <c r="ALE5" s="234"/>
      <c r="ALF5" s="234"/>
      <c r="ALG5" s="234"/>
      <c r="ALH5" s="234"/>
      <c r="ALI5" s="234"/>
      <c r="ALJ5" s="234"/>
      <c r="ALK5" s="234"/>
      <c r="ALL5" s="234"/>
      <c r="ALM5" s="234"/>
      <c r="ALN5" s="234"/>
      <c r="ALO5" s="234"/>
      <c r="ALP5" s="234"/>
      <c r="ALQ5" s="234"/>
      <c r="ALR5" s="234"/>
      <c r="ALS5" s="234"/>
      <c r="ALT5" s="234"/>
      <c r="ALU5" s="234"/>
      <c r="ALV5" s="234"/>
      <c r="ALW5" s="234"/>
      <c r="ALX5" s="234"/>
      <c r="ALY5" s="234"/>
      <c r="ALZ5" s="234"/>
      <c r="AMA5" s="234"/>
      <c r="AMB5" s="234"/>
      <c r="AMC5" s="234"/>
      <c r="AMD5" s="234"/>
      <c r="AME5" s="234"/>
      <c r="AMF5" s="234"/>
      <c r="AMG5" s="234"/>
      <c r="AMH5" s="234"/>
      <c r="AMI5" s="234"/>
      <c r="AMJ5" s="234"/>
      <c r="AMK5" s="234"/>
      <c r="AML5" s="234"/>
      <c r="AMM5" s="234"/>
      <c r="AMN5" s="234"/>
      <c r="AMO5" s="234"/>
      <c r="AMP5" s="234"/>
      <c r="AMQ5" s="234"/>
      <c r="AMR5" s="234"/>
      <c r="AMS5" s="234"/>
      <c r="AMT5" s="234"/>
      <c r="AMU5" s="234"/>
      <c r="AMV5" s="234"/>
      <c r="AMW5" s="234"/>
      <c r="AMX5" s="234"/>
      <c r="AMY5" s="234"/>
      <c r="AMZ5" s="234"/>
      <c r="ANA5" s="234"/>
      <c r="ANB5" s="234"/>
      <c r="ANC5" s="234"/>
      <c r="AND5" s="234"/>
      <c r="ANE5" s="234"/>
      <c r="ANF5" s="234"/>
      <c r="ANG5" s="234"/>
      <c r="ANH5" s="234"/>
      <c r="ANI5" s="234"/>
      <c r="ANJ5" s="234"/>
      <c r="ANK5" s="234"/>
      <c r="ANL5" s="234"/>
      <c r="ANM5" s="234"/>
      <c r="ANN5" s="234"/>
      <c r="ANO5" s="234"/>
      <c r="ANP5" s="234"/>
      <c r="ANQ5" s="234"/>
      <c r="ANR5" s="234"/>
      <c r="ANS5" s="234"/>
      <c r="ANT5" s="234"/>
      <c r="ANU5" s="234"/>
      <c r="ANV5" s="234"/>
      <c r="ANW5" s="234"/>
      <c r="ANX5" s="234"/>
      <c r="ANY5" s="234"/>
      <c r="ANZ5" s="234"/>
      <c r="AOA5" s="234"/>
      <c r="AOB5" s="234"/>
      <c r="AOC5" s="234"/>
      <c r="AOD5" s="234"/>
      <c r="AOE5" s="234"/>
      <c r="AOF5" s="234"/>
      <c r="AOG5" s="234"/>
      <c r="AOH5" s="234"/>
      <c r="AOI5" s="234"/>
      <c r="AOJ5" s="234"/>
      <c r="AOK5" s="234"/>
      <c r="AOL5" s="234"/>
      <c r="AOM5" s="234"/>
      <c r="AON5" s="234"/>
      <c r="AOO5" s="234"/>
      <c r="AOP5" s="234"/>
      <c r="AOQ5" s="234"/>
      <c r="AOR5" s="234"/>
      <c r="AOS5" s="234"/>
      <c r="AOT5" s="234"/>
      <c r="AOU5" s="234"/>
      <c r="AOV5" s="234"/>
      <c r="AOW5" s="234"/>
      <c r="AOX5" s="234"/>
      <c r="AOY5" s="234"/>
      <c r="AOZ5" s="234"/>
      <c r="APA5" s="234"/>
      <c r="APB5" s="234"/>
      <c r="APC5" s="234"/>
      <c r="APD5" s="234"/>
      <c r="APE5" s="234"/>
      <c r="APF5" s="234"/>
      <c r="APG5" s="234"/>
      <c r="APH5" s="234"/>
      <c r="API5" s="234"/>
      <c r="APJ5" s="234"/>
      <c r="APK5" s="234"/>
      <c r="APL5" s="234"/>
      <c r="APM5" s="234"/>
      <c r="APN5" s="234"/>
      <c r="APO5" s="234"/>
      <c r="APP5" s="234"/>
      <c r="APQ5" s="234"/>
      <c r="APR5" s="234"/>
      <c r="APS5" s="234"/>
      <c r="APT5" s="234"/>
      <c r="APU5" s="234"/>
      <c r="APV5" s="234"/>
      <c r="APW5" s="234"/>
      <c r="APX5" s="234"/>
      <c r="APY5" s="234"/>
      <c r="APZ5" s="234"/>
      <c r="AQA5" s="234"/>
      <c r="AQB5" s="234"/>
      <c r="AQC5" s="234"/>
      <c r="AQD5" s="234"/>
      <c r="AQE5" s="234"/>
      <c r="AQF5" s="234"/>
      <c r="AQG5" s="234"/>
      <c r="AQH5" s="234"/>
      <c r="AQI5" s="234"/>
      <c r="AQJ5" s="234"/>
      <c r="AQK5" s="234"/>
      <c r="AQL5" s="234"/>
      <c r="AQM5" s="234"/>
      <c r="AQN5" s="234"/>
      <c r="AQO5" s="234"/>
      <c r="AQP5" s="234"/>
      <c r="AQQ5" s="234"/>
      <c r="AQR5" s="234"/>
      <c r="AQS5" s="234"/>
      <c r="AQT5" s="234"/>
      <c r="AQU5" s="234"/>
      <c r="AQV5" s="234"/>
      <c r="AQW5" s="234"/>
      <c r="AQX5" s="234"/>
      <c r="AQY5" s="234"/>
      <c r="AQZ5" s="234"/>
      <c r="ARA5" s="234"/>
      <c r="ARB5" s="234"/>
      <c r="ARC5" s="234"/>
      <c r="ARD5" s="234"/>
      <c r="ARE5" s="234"/>
      <c r="ARF5" s="234"/>
      <c r="ARG5" s="234"/>
      <c r="ARH5" s="234"/>
      <c r="ARI5" s="234"/>
      <c r="ARJ5" s="234"/>
      <c r="ARK5" s="234"/>
      <c r="ARL5" s="234"/>
      <c r="ARM5" s="234"/>
      <c r="ARN5" s="234"/>
      <c r="ARO5" s="234"/>
      <c r="ARP5" s="234"/>
      <c r="ARQ5" s="234"/>
      <c r="ARR5" s="234"/>
      <c r="ARS5" s="234"/>
      <c r="ART5" s="234"/>
      <c r="ARU5" s="234"/>
      <c r="ARV5" s="234"/>
      <c r="ARW5" s="234"/>
      <c r="ARX5" s="234"/>
      <c r="ARY5" s="234"/>
      <c r="ARZ5" s="234"/>
      <c r="ASA5" s="234"/>
      <c r="ASB5" s="234"/>
      <c r="ASC5" s="234"/>
      <c r="ASD5" s="234"/>
      <c r="ASE5" s="234"/>
      <c r="ASF5" s="234"/>
      <c r="ASG5" s="234"/>
      <c r="ASH5" s="234"/>
      <c r="ASI5" s="234"/>
      <c r="ASJ5" s="234"/>
      <c r="ASK5" s="234"/>
      <c r="ASL5" s="234"/>
      <c r="ASM5" s="234"/>
      <c r="ASN5" s="234"/>
      <c r="ASO5" s="234"/>
      <c r="ASP5" s="234"/>
      <c r="ASQ5" s="234"/>
      <c r="ASR5" s="234"/>
      <c r="ASS5" s="234"/>
      <c r="AST5" s="234"/>
      <c r="ASU5" s="234"/>
      <c r="ASV5" s="234"/>
      <c r="ASW5" s="234"/>
      <c r="ASX5" s="234"/>
      <c r="ASY5" s="234"/>
      <c r="ASZ5" s="234"/>
      <c r="ATA5" s="234"/>
      <c r="ATB5" s="234"/>
      <c r="ATC5" s="234"/>
      <c r="ATD5" s="234"/>
      <c r="ATE5" s="234"/>
      <c r="ATF5" s="234"/>
      <c r="ATG5" s="234"/>
      <c r="ATH5" s="234"/>
      <c r="ATI5" s="234"/>
      <c r="ATJ5" s="234"/>
      <c r="ATK5" s="234"/>
      <c r="ATL5" s="234"/>
      <c r="ATM5" s="234"/>
      <c r="ATN5" s="234"/>
      <c r="ATO5" s="234"/>
      <c r="ATP5" s="234"/>
      <c r="ATQ5" s="234"/>
      <c r="ATR5" s="234"/>
      <c r="ATS5" s="234"/>
      <c r="ATT5" s="234"/>
      <c r="ATU5" s="234"/>
      <c r="ATV5" s="234"/>
      <c r="ATW5" s="234"/>
      <c r="ATX5" s="234"/>
      <c r="ATY5" s="234"/>
      <c r="ATZ5" s="234"/>
      <c r="AUA5" s="234"/>
      <c r="AUB5" s="234"/>
      <c r="AUC5" s="234"/>
      <c r="AUD5" s="234"/>
      <c r="AUE5" s="234"/>
      <c r="AUF5" s="234"/>
      <c r="AUG5" s="234"/>
      <c r="AUH5" s="234"/>
      <c r="AUI5" s="234"/>
      <c r="AUJ5" s="234"/>
      <c r="AUK5" s="234"/>
      <c r="AUL5" s="234"/>
      <c r="AUM5" s="234"/>
      <c r="AUN5" s="234"/>
      <c r="AUO5" s="234"/>
      <c r="AUP5" s="234"/>
      <c r="AUQ5" s="234"/>
      <c r="AUR5" s="234"/>
      <c r="AUS5" s="234"/>
      <c r="AUT5" s="234"/>
      <c r="AUU5" s="234"/>
      <c r="AUV5" s="234"/>
      <c r="AUW5" s="234"/>
      <c r="AUX5" s="234"/>
      <c r="AUY5" s="234"/>
      <c r="AUZ5" s="234"/>
      <c r="AVA5" s="234"/>
      <c r="AVB5" s="234"/>
      <c r="AVC5" s="234"/>
      <c r="AVD5" s="234"/>
      <c r="AVE5" s="234"/>
      <c r="AVF5" s="234"/>
      <c r="AVG5" s="234"/>
      <c r="AVH5" s="234"/>
      <c r="AVI5" s="234"/>
      <c r="AVJ5" s="234"/>
      <c r="AVK5" s="234"/>
      <c r="AVL5" s="234"/>
      <c r="AVM5" s="234"/>
      <c r="AVN5" s="234"/>
      <c r="AVO5" s="234"/>
      <c r="AVP5" s="234"/>
      <c r="AVQ5" s="234"/>
      <c r="AVR5" s="234"/>
      <c r="AVS5" s="234"/>
      <c r="AVT5" s="234"/>
      <c r="AVU5" s="234"/>
      <c r="AVV5" s="234"/>
      <c r="AVW5" s="234"/>
      <c r="AVX5" s="234"/>
      <c r="AVY5" s="234"/>
      <c r="AVZ5" s="234"/>
      <c r="AWA5" s="234"/>
      <c r="AWB5" s="234"/>
      <c r="AWC5" s="234"/>
      <c r="AWD5" s="234"/>
      <c r="AWE5" s="234"/>
      <c r="AWF5" s="234"/>
      <c r="AWG5" s="234"/>
      <c r="AWH5" s="234"/>
      <c r="AWI5" s="234"/>
      <c r="AWJ5" s="234"/>
      <c r="AWK5" s="234"/>
      <c r="AWL5" s="234"/>
      <c r="AWM5" s="234"/>
      <c r="AWN5" s="234"/>
      <c r="AWO5" s="234"/>
      <c r="AWP5" s="234"/>
      <c r="AWQ5" s="234"/>
      <c r="AWR5" s="234"/>
      <c r="AWS5" s="234"/>
      <c r="AWT5" s="234"/>
      <c r="AWU5" s="234"/>
      <c r="AWV5" s="234"/>
      <c r="AWW5" s="234"/>
      <c r="AWX5" s="234"/>
      <c r="AWY5" s="234"/>
      <c r="AWZ5" s="234"/>
      <c r="AXA5" s="234"/>
      <c r="AXB5" s="234"/>
      <c r="AXC5" s="234"/>
      <c r="AXD5" s="234"/>
      <c r="AXE5" s="234"/>
      <c r="AXF5" s="234"/>
      <c r="AXG5" s="234"/>
      <c r="AXH5" s="234"/>
      <c r="AXI5" s="234"/>
      <c r="AXJ5" s="234"/>
      <c r="AXK5" s="234"/>
      <c r="AXL5" s="234"/>
      <c r="AXM5" s="234"/>
      <c r="AXN5" s="234"/>
      <c r="AXO5" s="234"/>
      <c r="AXP5" s="234"/>
      <c r="AXQ5" s="234"/>
      <c r="AXR5" s="234"/>
      <c r="AXS5" s="234"/>
      <c r="AXT5" s="234"/>
      <c r="AXU5" s="234"/>
      <c r="AXV5" s="234"/>
      <c r="AXW5" s="234"/>
      <c r="AXX5" s="234"/>
      <c r="AXY5" s="234"/>
      <c r="AXZ5" s="234"/>
      <c r="AYA5" s="234"/>
      <c r="AYB5" s="234"/>
      <c r="AYC5" s="234"/>
      <c r="AYD5" s="234"/>
      <c r="AYE5" s="234"/>
      <c r="AYF5" s="234"/>
      <c r="AYG5" s="234"/>
      <c r="AYH5" s="234"/>
      <c r="AYI5" s="234"/>
      <c r="AYJ5" s="234"/>
      <c r="AYK5" s="234"/>
      <c r="AYL5" s="234"/>
      <c r="AYM5" s="234"/>
      <c r="AYN5" s="234"/>
      <c r="AYO5" s="234"/>
      <c r="AYP5" s="234"/>
      <c r="AYQ5" s="234"/>
      <c r="AYR5" s="234"/>
      <c r="AYS5" s="234"/>
      <c r="AYT5" s="234"/>
      <c r="AYU5" s="234"/>
      <c r="AYV5" s="234"/>
      <c r="AYW5" s="234"/>
      <c r="AYX5" s="234"/>
      <c r="AYY5" s="234"/>
      <c r="AYZ5" s="234"/>
      <c r="AZA5" s="234"/>
      <c r="AZB5" s="234"/>
      <c r="AZC5" s="234"/>
      <c r="AZD5" s="234"/>
      <c r="AZE5" s="234"/>
      <c r="AZF5" s="234"/>
      <c r="AZG5" s="234"/>
      <c r="AZH5" s="234"/>
      <c r="AZI5" s="234"/>
      <c r="AZJ5" s="234"/>
      <c r="AZK5" s="234"/>
      <c r="AZL5" s="234"/>
      <c r="AZM5" s="234"/>
      <c r="AZN5" s="234"/>
      <c r="AZO5" s="234"/>
      <c r="AZP5" s="234"/>
      <c r="AZQ5" s="234"/>
      <c r="AZR5" s="234"/>
      <c r="AZS5" s="234"/>
      <c r="AZT5" s="234"/>
      <c r="AZU5" s="234"/>
      <c r="AZV5" s="234"/>
      <c r="AZW5" s="234"/>
      <c r="AZX5" s="234"/>
      <c r="AZY5" s="234"/>
      <c r="AZZ5" s="234"/>
      <c r="BAA5" s="234"/>
      <c r="BAB5" s="234"/>
      <c r="BAC5" s="234"/>
      <c r="BAD5" s="234"/>
      <c r="BAE5" s="234"/>
      <c r="BAF5" s="234"/>
      <c r="BAG5" s="234"/>
      <c r="BAH5" s="234"/>
      <c r="BAI5" s="234"/>
      <c r="BAJ5" s="234"/>
      <c r="BAK5" s="234"/>
      <c r="BAL5" s="234"/>
      <c r="BAM5" s="234"/>
      <c r="BAN5" s="234"/>
      <c r="BAO5" s="234"/>
      <c r="BAP5" s="234"/>
      <c r="BAQ5" s="234"/>
      <c r="BAR5" s="234"/>
      <c r="BAS5" s="234"/>
      <c r="BAT5" s="234"/>
      <c r="BAU5" s="234"/>
      <c r="BAV5" s="234"/>
      <c r="BAW5" s="234"/>
      <c r="BAX5" s="234"/>
      <c r="BAY5" s="234"/>
      <c r="BAZ5" s="234"/>
      <c r="BBA5" s="234"/>
      <c r="BBB5" s="234"/>
      <c r="BBC5" s="234"/>
      <c r="BBD5" s="234"/>
      <c r="BBE5" s="234"/>
      <c r="BBF5" s="234"/>
      <c r="BBG5" s="234"/>
      <c r="BBH5" s="234"/>
      <c r="BBI5" s="234"/>
      <c r="BBJ5" s="234"/>
      <c r="BBK5" s="234"/>
      <c r="BBL5" s="234"/>
      <c r="BBM5" s="234"/>
      <c r="BBN5" s="234"/>
      <c r="BBO5" s="234"/>
      <c r="BBP5" s="234"/>
      <c r="BBQ5" s="234"/>
      <c r="BBR5" s="234"/>
      <c r="BBS5" s="234"/>
      <c r="BBT5" s="234"/>
      <c r="BBU5" s="234"/>
      <c r="BBV5" s="234"/>
      <c r="BBW5" s="234"/>
      <c r="BBX5" s="234"/>
      <c r="BBY5" s="234"/>
      <c r="BBZ5" s="234"/>
      <c r="BCA5" s="234"/>
      <c r="BCB5" s="234"/>
      <c r="BCC5" s="234"/>
      <c r="BCD5" s="234"/>
      <c r="BCE5" s="234"/>
      <c r="BCF5" s="234"/>
      <c r="BCG5" s="234"/>
      <c r="BCH5" s="234"/>
      <c r="BCI5" s="234"/>
      <c r="BCJ5" s="234"/>
      <c r="BCK5" s="234"/>
      <c r="BCL5" s="234"/>
      <c r="BCM5" s="234"/>
      <c r="BCN5" s="234"/>
      <c r="BCO5" s="234"/>
      <c r="BCP5" s="234"/>
      <c r="BCQ5" s="234"/>
      <c r="BCR5" s="234"/>
      <c r="BCS5" s="234"/>
      <c r="BCT5" s="234"/>
      <c r="BCU5" s="234"/>
      <c r="BCV5" s="234"/>
      <c r="BCW5" s="234"/>
      <c r="BCX5" s="234"/>
      <c r="BCY5" s="234"/>
      <c r="BCZ5" s="234"/>
      <c r="BDA5" s="234"/>
      <c r="BDB5" s="234"/>
      <c r="BDC5" s="234"/>
      <c r="BDD5" s="234"/>
      <c r="BDE5" s="234"/>
      <c r="BDF5" s="234"/>
      <c r="BDG5" s="234"/>
      <c r="BDH5" s="234"/>
      <c r="BDI5" s="234"/>
      <c r="BDJ5" s="234"/>
      <c r="BDK5" s="234"/>
      <c r="BDL5" s="234"/>
      <c r="BDM5" s="234"/>
      <c r="BDN5" s="234"/>
      <c r="BDO5" s="234"/>
      <c r="BDP5" s="234"/>
      <c r="BDQ5" s="234"/>
      <c r="BDR5" s="234"/>
      <c r="BDS5" s="234"/>
      <c r="BDT5" s="234"/>
      <c r="BDU5" s="234"/>
      <c r="BDV5" s="234"/>
      <c r="BDW5" s="234"/>
      <c r="BDX5" s="234"/>
      <c r="BDY5" s="234"/>
      <c r="BDZ5" s="234"/>
      <c r="BEA5" s="234"/>
      <c r="BEB5" s="234"/>
      <c r="BEC5" s="234"/>
      <c r="BED5" s="234"/>
      <c r="BEE5" s="234"/>
      <c r="BEF5" s="234"/>
      <c r="BEG5" s="234"/>
      <c r="BEH5" s="234"/>
      <c r="BEI5" s="234"/>
      <c r="BEJ5" s="234"/>
      <c r="BEK5" s="234"/>
      <c r="BEL5" s="234"/>
      <c r="BEM5" s="234"/>
      <c r="BEN5" s="234"/>
      <c r="BEO5" s="234"/>
      <c r="BEP5" s="234"/>
      <c r="BEQ5" s="234"/>
      <c r="BER5" s="234"/>
      <c r="BES5" s="234"/>
      <c r="BET5" s="234"/>
      <c r="BEU5" s="234"/>
      <c r="BEV5" s="234"/>
      <c r="BEW5" s="234"/>
      <c r="BEX5" s="234"/>
      <c r="BEY5" s="234"/>
      <c r="BEZ5" s="234"/>
      <c r="BFA5" s="234"/>
      <c r="BFB5" s="234"/>
      <c r="BFC5" s="234"/>
      <c r="BFD5" s="234"/>
      <c r="BFE5" s="234"/>
      <c r="BFF5" s="234"/>
      <c r="BFG5" s="234"/>
      <c r="BFH5" s="234"/>
      <c r="BFI5" s="234"/>
      <c r="BFJ5" s="234"/>
      <c r="BFK5" s="234"/>
      <c r="BFL5" s="234"/>
      <c r="BFM5" s="234"/>
      <c r="BFN5" s="234"/>
      <c r="BFO5" s="234"/>
      <c r="BFP5" s="234"/>
      <c r="BFQ5" s="234"/>
      <c r="BFR5" s="234"/>
      <c r="BFS5" s="234"/>
      <c r="BFT5" s="234"/>
      <c r="BFU5" s="234"/>
      <c r="BFV5" s="234"/>
      <c r="BFW5" s="234"/>
      <c r="BFX5" s="234"/>
      <c r="BFY5" s="234"/>
      <c r="BFZ5" s="234"/>
      <c r="BGA5" s="234"/>
      <c r="BGB5" s="234"/>
      <c r="BGC5" s="234"/>
      <c r="BGD5" s="234"/>
      <c r="BGE5" s="234"/>
      <c r="BGF5" s="234"/>
      <c r="BGG5" s="234"/>
      <c r="BGH5" s="234"/>
      <c r="BGI5" s="234"/>
      <c r="BGJ5" s="234"/>
      <c r="BGK5" s="234"/>
      <c r="BGL5" s="234"/>
      <c r="BGM5" s="234"/>
      <c r="BGN5" s="234"/>
      <c r="BGO5" s="234"/>
      <c r="BGP5" s="234"/>
      <c r="BGQ5" s="234"/>
      <c r="BGR5" s="234"/>
      <c r="BGS5" s="234"/>
      <c r="BGT5" s="234"/>
      <c r="BGU5" s="234"/>
      <c r="BGV5" s="234"/>
      <c r="BGW5" s="234"/>
      <c r="BGX5" s="234"/>
      <c r="BGY5" s="234"/>
      <c r="BGZ5" s="234"/>
      <c r="BHA5" s="234"/>
      <c r="BHB5" s="234"/>
      <c r="BHC5" s="234"/>
      <c r="BHD5" s="234"/>
      <c r="BHE5" s="234"/>
      <c r="BHF5" s="234"/>
      <c r="BHG5" s="234"/>
      <c r="BHH5" s="234"/>
      <c r="BHI5" s="234"/>
      <c r="BHJ5" s="234"/>
      <c r="BHK5" s="234"/>
      <c r="BHL5" s="234"/>
      <c r="BHM5" s="234"/>
      <c r="BHN5" s="234"/>
      <c r="BHO5" s="234"/>
      <c r="BHP5" s="234"/>
      <c r="BHQ5" s="234"/>
      <c r="BHR5" s="234"/>
      <c r="BHS5" s="234"/>
      <c r="BHT5" s="234"/>
      <c r="BHU5" s="234"/>
      <c r="BHV5" s="234"/>
      <c r="BHW5" s="234"/>
      <c r="BHX5" s="234"/>
      <c r="BHY5" s="234"/>
      <c r="BHZ5" s="234"/>
      <c r="BIA5" s="234"/>
      <c r="BIB5" s="234"/>
      <c r="BIC5" s="234"/>
      <c r="BID5" s="234"/>
      <c r="BIE5" s="234"/>
      <c r="BIF5" s="234"/>
      <c r="BIG5" s="234"/>
      <c r="BIH5" s="234"/>
      <c r="BII5" s="234"/>
      <c r="BIJ5" s="234"/>
      <c r="BIK5" s="234"/>
      <c r="BIL5" s="234"/>
      <c r="BIM5" s="234"/>
      <c r="BIN5" s="234"/>
      <c r="BIO5" s="234"/>
      <c r="BIP5" s="234"/>
      <c r="BIQ5" s="234"/>
      <c r="BIR5" s="234"/>
      <c r="BIS5" s="234"/>
      <c r="BIT5" s="234"/>
      <c r="BIU5" s="234"/>
      <c r="BIV5" s="234"/>
      <c r="BIW5" s="234"/>
      <c r="BIX5" s="234"/>
      <c r="BIY5" s="234"/>
      <c r="BIZ5" s="234"/>
      <c r="BJA5" s="234"/>
      <c r="BJB5" s="234"/>
      <c r="BJC5" s="234"/>
      <c r="BJD5" s="234"/>
      <c r="BJE5" s="234"/>
      <c r="BJF5" s="234"/>
      <c r="BJG5" s="234"/>
      <c r="BJH5" s="234"/>
      <c r="BJI5" s="234"/>
      <c r="BJJ5" s="234"/>
      <c r="BJK5" s="234"/>
      <c r="BJL5" s="234"/>
      <c r="BJM5" s="234"/>
      <c r="BJN5" s="234"/>
      <c r="BJO5" s="234"/>
      <c r="BJP5" s="234"/>
      <c r="BJQ5" s="234"/>
      <c r="BJR5" s="234"/>
      <c r="BJS5" s="234"/>
      <c r="BJT5" s="234"/>
      <c r="BJU5" s="234"/>
      <c r="BJV5" s="234"/>
      <c r="BJW5" s="234"/>
      <c r="BJX5" s="234"/>
      <c r="BJY5" s="234"/>
      <c r="BJZ5" s="234"/>
      <c r="BKA5" s="234"/>
      <c r="BKB5" s="234"/>
      <c r="BKC5" s="234"/>
      <c r="BKD5" s="234"/>
      <c r="BKE5" s="234"/>
      <c r="BKF5" s="234"/>
      <c r="BKG5" s="234"/>
      <c r="BKH5" s="234"/>
      <c r="BKI5" s="234"/>
      <c r="BKJ5" s="234"/>
      <c r="BKK5" s="234"/>
      <c r="BKL5" s="234"/>
      <c r="BKM5" s="234"/>
      <c r="BKN5" s="234"/>
      <c r="BKO5" s="234"/>
      <c r="BKP5" s="234"/>
      <c r="BKQ5" s="234"/>
      <c r="BKR5" s="234"/>
      <c r="BKS5" s="234"/>
      <c r="BKT5" s="234"/>
      <c r="BKU5" s="234"/>
      <c r="BKV5" s="234"/>
      <c r="BKW5" s="234"/>
      <c r="BKX5" s="234"/>
      <c r="BKY5" s="234"/>
      <c r="BKZ5" s="234"/>
      <c r="BLA5" s="234"/>
      <c r="BLB5" s="234"/>
      <c r="BLC5" s="234"/>
      <c r="BLD5" s="234"/>
      <c r="BLE5" s="234"/>
      <c r="BLF5" s="234"/>
      <c r="BLG5" s="234"/>
      <c r="BLH5" s="234"/>
      <c r="BLI5" s="234"/>
      <c r="BLJ5" s="234"/>
      <c r="BLK5" s="234"/>
      <c r="BLL5" s="234"/>
      <c r="BLM5" s="234"/>
      <c r="BLN5" s="234"/>
      <c r="BLO5" s="234"/>
      <c r="BLP5" s="234"/>
      <c r="BLQ5" s="234"/>
      <c r="BLR5" s="234"/>
      <c r="BLS5" s="234"/>
      <c r="BLT5" s="234"/>
      <c r="BLU5" s="234"/>
      <c r="BLV5" s="234"/>
      <c r="BLW5" s="234"/>
      <c r="BLX5" s="234"/>
      <c r="BLY5" s="234"/>
      <c r="BLZ5" s="234"/>
      <c r="BMA5" s="234"/>
      <c r="BMB5" s="234"/>
      <c r="BMC5" s="234"/>
      <c r="BMD5" s="234"/>
      <c r="BME5" s="234"/>
      <c r="BMF5" s="234"/>
      <c r="BMG5" s="234"/>
      <c r="BMH5" s="234"/>
      <c r="BMI5" s="234"/>
      <c r="BMJ5" s="234"/>
      <c r="BMK5" s="234"/>
      <c r="BML5" s="234"/>
      <c r="BMM5" s="234"/>
      <c r="BMN5" s="234"/>
      <c r="BMO5" s="234"/>
      <c r="BMP5" s="234"/>
      <c r="BMQ5" s="234"/>
      <c r="BMR5" s="234"/>
      <c r="BMS5" s="234"/>
      <c r="BMT5" s="234"/>
      <c r="BMU5" s="234"/>
      <c r="BMV5" s="234"/>
      <c r="BMW5" s="234"/>
      <c r="BMX5" s="234"/>
      <c r="BMY5" s="234"/>
      <c r="BMZ5" s="234"/>
      <c r="BNA5" s="234"/>
      <c r="BNB5" s="234"/>
      <c r="BNC5" s="234"/>
      <c r="BND5" s="234"/>
      <c r="BNE5" s="234"/>
      <c r="BNF5" s="234"/>
      <c r="BNG5" s="234"/>
      <c r="BNH5" s="234"/>
      <c r="BNI5" s="234"/>
      <c r="BNJ5" s="234"/>
      <c r="BNK5" s="234"/>
      <c r="BNL5" s="234"/>
      <c r="BNM5" s="234"/>
      <c r="BNN5" s="234"/>
      <c r="BNO5" s="234"/>
      <c r="BNP5" s="234"/>
      <c r="BNQ5" s="234"/>
      <c r="BNR5" s="234"/>
      <c r="BNS5" s="234"/>
      <c r="BNT5" s="234"/>
      <c r="BNU5" s="234"/>
      <c r="BNV5" s="234"/>
      <c r="BNW5" s="234"/>
      <c r="BNX5" s="234"/>
      <c r="BNY5" s="234"/>
      <c r="BNZ5" s="234"/>
      <c r="BOA5" s="234"/>
      <c r="BOB5" s="234"/>
      <c r="BOC5" s="234"/>
      <c r="BOD5" s="234"/>
      <c r="BOE5" s="234"/>
      <c r="BOF5" s="234"/>
      <c r="BOG5" s="234"/>
      <c r="BOH5" s="234"/>
      <c r="BOI5" s="234"/>
      <c r="BOJ5" s="234"/>
      <c r="BOK5" s="234"/>
      <c r="BOL5" s="234"/>
      <c r="BOM5" s="234"/>
      <c r="BON5" s="234"/>
      <c r="BOO5" s="234"/>
      <c r="BOP5" s="234"/>
      <c r="BOQ5" s="234"/>
      <c r="BOR5" s="234"/>
      <c r="BOS5" s="234"/>
      <c r="BOT5" s="234"/>
      <c r="BOU5" s="234"/>
      <c r="BOV5" s="234"/>
      <c r="BOW5" s="234"/>
      <c r="BOX5" s="234"/>
      <c r="BOY5" s="234"/>
      <c r="BOZ5" s="234"/>
      <c r="BPA5" s="234"/>
      <c r="BPB5" s="234"/>
      <c r="BPC5" s="234"/>
      <c r="BPD5" s="234"/>
      <c r="BPE5" s="234"/>
      <c r="BPF5" s="234"/>
      <c r="BPG5" s="234"/>
      <c r="BPH5" s="234"/>
      <c r="BPI5" s="234"/>
      <c r="BPJ5" s="234"/>
      <c r="BPK5" s="234"/>
      <c r="BPL5" s="234"/>
      <c r="BPM5" s="234"/>
      <c r="BPN5" s="234"/>
      <c r="BPO5" s="234"/>
      <c r="BPP5" s="234"/>
      <c r="BPQ5" s="234"/>
      <c r="BPR5" s="234"/>
      <c r="BPS5" s="234"/>
      <c r="BPT5" s="234"/>
      <c r="BPU5" s="234"/>
      <c r="BPV5" s="234"/>
      <c r="BPW5" s="234"/>
      <c r="BPX5" s="234"/>
      <c r="BPY5" s="234"/>
      <c r="BPZ5" s="234"/>
      <c r="BQA5" s="234"/>
      <c r="BQB5" s="234"/>
      <c r="BQC5" s="234"/>
      <c r="BQD5" s="234"/>
      <c r="BQE5" s="234"/>
      <c r="BQF5" s="234"/>
      <c r="BQG5" s="234"/>
      <c r="BQH5" s="234"/>
      <c r="BQI5" s="234"/>
      <c r="BQJ5" s="234"/>
      <c r="BQK5" s="234"/>
      <c r="BQL5" s="234"/>
      <c r="BQM5" s="234"/>
      <c r="BQN5" s="234"/>
      <c r="BQO5" s="234"/>
      <c r="BQP5" s="234"/>
      <c r="BQQ5" s="234"/>
      <c r="BQR5" s="234"/>
      <c r="BQS5" s="234"/>
      <c r="BQT5" s="234"/>
      <c r="BQU5" s="234"/>
      <c r="BQV5" s="234"/>
      <c r="BQW5" s="234"/>
      <c r="BQX5" s="234"/>
      <c r="BQY5" s="234"/>
      <c r="BQZ5" s="234"/>
      <c r="BRA5" s="234"/>
      <c r="BRB5" s="234"/>
      <c r="BRC5" s="234"/>
      <c r="BRD5" s="234"/>
      <c r="BRE5" s="234"/>
      <c r="BRF5" s="234"/>
      <c r="BRG5" s="234"/>
      <c r="BRH5" s="234"/>
      <c r="BRI5" s="234"/>
      <c r="BRJ5" s="234"/>
      <c r="BRK5" s="234"/>
      <c r="BRL5" s="234"/>
      <c r="BRM5" s="234"/>
      <c r="BRN5" s="234"/>
      <c r="BRO5" s="234"/>
      <c r="BRP5" s="234"/>
      <c r="BRQ5" s="234"/>
      <c r="BRR5" s="234"/>
      <c r="BRS5" s="234"/>
      <c r="BRT5" s="234"/>
      <c r="BRU5" s="234"/>
      <c r="BRV5" s="234"/>
      <c r="BRW5" s="234"/>
      <c r="BRX5" s="234"/>
      <c r="BRY5" s="234"/>
      <c r="BRZ5" s="234"/>
      <c r="BSA5" s="234"/>
      <c r="BSB5" s="234"/>
      <c r="BSC5" s="234"/>
      <c r="BSD5" s="234"/>
      <c r="BSE5" s="234"/>
      <c r="BSF5" s="234"/>
      <c r="BSG5" s="234"/>
      <c r="BSH5" s="234"/>
      <c r="BSI5" s="234"/>
      <c r="BSJ5" s="234"/>
      <c r="BSK5" s="234"/>
      <c r="BSL5" s="234"/>
      <c r="BSM5" s="234"/>
      <c r="BSN5" s="234"/>
      <c r="BSO5" s="234"/>
      <c r="BSP5" s="234"/>
      <c r="BSQ5" s="234"/>
      <c r="BSR5" s="234"/>
      <c r="BSS5" s="234"/>
      <c r="BST5" s="234"/>
      <c r="BSU5" s="234"/>
      <c r="BSV5" s="234"/>
      <c r="BSW5" s="234"/>
      <c r="BSX5" s="234"/>
      <c r="BSY5" s="234"/>
      <c r="BSZ5" s="234"/>
      <c r="BTA5" s="234"/>
      <c r="BTB5" s="234"/>
      <c r="BTC5" s="234"/>
      <c r="BTD5" s="234"/>
      <c r="BTE5" s="234"/>
      <c r="BTF5" s="234"/>
      <c r="BTG5" s="234"/>
      <c r="BTH5" s="234"/>
      <c r="BTI5" s="234"/>
      <c r="BTJ5" s="234"/>
      <c r="BTK5" s="234"/>
      <c r="BTL5" s="234"/>
      <c r="BTM5" s="234"/>
      <c r="BTN5" s="234"/>
      <c r="BTO5" s="234"/>
      <c r="BTP5" s="234"/>
      <c r="BTQ5" s="234"/>
      <c r="BTR5" s="234"/>
      <c r="BTS5" s="234"/>
      <c r="BTT5" s="234"/>
      <c r="BTU5" s="234"/>
      <c r="BTV5" s="234"/>
      <c r="BTW5" s="234"/>
      <c r="BTX5" s="234"/>
      <c r="BTY5" s="234"/>
      <c r="BTZ5" s="234"/>
      <c r="BUA5" s="234"/>
      <c r="BUB5" s="234"/>
      <c r="BUC5" s="234"/>
      <c r="BUD5" s="234"/>
      <c r="BUE5" s="234"/>
      <c r="BUF5" s="234"/>
      <c r="BUG5" s="234"/>
      <c r="BUH5" s="234"/>
      <c r="BUI5" s="234"/>
      <c r="BUJ5" s="234"/>
      <c r="BUK5" s="234"/>
      <c r="BUL5" s="234"/>
      <c r="BUM5" s="234"/>
      <c r="BUN5" s="234"/>
      <c r="BUO5" s="234"/>
      <c r="BUP5" s="234"/>
      <c r="BUQ5" s="234"/>
      <c r="BUR5" s="234"/>
      <c r="BUS5" s="234"/>
      <c r="BUT5" s="234"/>
      <c r="BUU5" s="234"/>
      <c r="BUV5" s="234"/>
      <c r="BUW5" s="234"/>
      <c r="BUX5" s="234"/>
      <c r="BUY5" s="234"/>
      <c r="BUZ5" s="234"/>
      <c r="BVA5" s="234"/>
      <c r="BVB5" s="234"/>
      <c r="BVC5" s="234"/>
      <c r="BVD5" s="234"/>
      <c r="BVE5" s="234"/>
      <c r="BVF5" s="234"/>
      <c r="BVG5" s="234"/>
      <c r="BVH5" s="234"/>
      <c r="BVI5" s="234"/>
      <c r="BVJ5" s="234"/>
      <c r="BVK5" s="234"/>
      <c r="BVL5" s="234"/>
      <c r="BVM5" s="234"/>
      <c r="BVN5" s="234"/>
      <c r="BVO5" s="234"/>
      <c r="BVP5" s="234"/>
      <c r="BVQ5" s="234"/>
      <c r="BVR5" s="234"/>
      <c r="BVS5" s="234"/>
      <c r="BVT5" s="234"/>
      <c r="BVU5" s="234"/>
      <c r="BVV5" s="234"/>
      <c r="BVW5" s="234"/>
      <c r="BVX5" s="234"/>
      <c r="BVY5" s="234"/>
      <c r="BVZ5" s="234"/>
      <c r="BWA5" s="234"/>
      <c r="BWB5" s="234"/>
      <c r="BWC5" s="234"/>
      <c r="BWD5" s="234"/>
      <c r="BWE5" s="234"/>
      <c r="BWF5" s="234"/>
      <c r="BWG5" s="234"/>
      <c r="BWH5" s="234"/>
      <c r="BWI5" s="234"/>
      <c r="BWJ5" s="234"/>
      <c r="BWK5" s="234"/>
      <c r="BWL5" s="234"/>
      <c r="BWM5" s="234"/>
      <c r="BWN5" s="234"/>
      <c r="BWO5" s="234"/>
      <c r="BWP5" s="234"/>
      <c r="BWQ5" s="234"/>
      <c r="BWR5" s="234"/>
      <c r="BWS5" s="234"/>
      <c r="BWT5" s="234"/>
      <c r="BWU5" s="234"/>
      <c r="BWV5" s="234"/>
      <c r="BWW5" s="234"/>
      <c r="BWX5" s="234"/>
      <c r="BWY5" s="234"/>
      <c r="BWZ5" s="234"/>
      <c r="BXA5" s="234"/>
      <c r="BXB5" s="234"/>
      <c r="BXC5" s="234"/>
      <c r="BXD5" s="234"/>
      <c r="BXE5" s="234"/>
      <c r="BXF5" s="234"/>
      <c r="BXG5" s="234"/>
      <c r="BXH5" s="234"/>
      <c r="BXI5" s="234"/>
      <c r="BXJ5" s="234"/>
      <c r="BXK5" s="234"/>
      <c r="BXL5" s="234"/>
      <c r="BXM5" s="234"/>
      <c r="BXN5" s="234"/>
      <c r="BXO5" s="234"/>
      <c r="BXP5" s="234"/>
      <c r="BXQ5" s="234"/>
      <c r="BXR5" s="234"/>
      <c r="BXS5" s="234"/>
      <c r="BXT5" s="234"/>
      <c r="BXU5" s="234"/>
      <c r="BXV5" s="234"/>
      <c r="BXW5" s="234"/>
      <c r="BXX5" s="234"/>
      <c r="BXY5" s="234"/>
      <c r="BXZ5" s="234"/>
      <c r="BYA5" s="234"/>
      <c r="BYB5" s="234"/>
      <c r="BYC5" s="234"/>
      <c r="BYD5" s="234"/>
      <c r="BYE5" s="234"/>
      <c r="BYF5" s="234"/>
      <c r="BYG5" s="234"/>
      <c r="BYH5" s="234"/>
      <c r="BYI5" s="234"/>
      <c r="BYJ5" s="234"/>
      <c r="BYK5" s="234"/>
      <c r="BYL5" s="234"/>
      <c r="BYM5" s="234"/>
      <c r="BYN5" s="234"/>
      <c r="BYO5" s="234"/>
      <c r="BYP5" s="234"/>
      <c r="BYQ5" s="234"/>
      <c r="BYR5" s="234"/>
      <c r="BYS5" s="234"/>
      <c r="BYT5" s="234"/>
      <c r="BYU5" s="234"/>
      <c r="BYV5" s="234"/>
      <c r="BYW5" s="234"/>
      <c r="BYX5" s="234"/>
      <c r="BYY5" s="234"/>
      <c r="BYZ5" s="234"/>
      <c r="BZA5" s="234"/>
      <c r="BZB5" s="234"/>
      <c r="BZC5" s="234"/>
      <c r="BZD5" s="234"/>
      <c r="BZE5" s="234"/>
      <c r="BZF5" s="234"/>
      <c r="BZG5" s="234"/>
      <c r="BZH5" s="234"/>
      <c r="BZI5" s="234"/>
      <c r="BZJ5" s="234"/>
      <c r="BZK5" s="234"/>
      <c r="BZL5" s="234"/>
      <c r="BZM5" s="234"/>
      <c r="BZN5" s="234"/>
      <c r="BZO5" s="234"/>
      <c r="BZP5" s="234"/>
      <c r="BZQ5" s="234"/>
      <c r="BZR5" s="234"/>
      <c r="BZS5" s="234"/>
      <c r="BZT5" s="234"/>
      <c r="BZU5" s="234"/>
      <c r="BZV5" s="234"/>
      <c r="BZW5" s="234"/>
      <c r="BZX5" s="234"/>
      <c r="BZY5" s="234"/>
      <c r="BZZ5" s="234"/>
      <c r="CAA5" s="234"/>
      <c r="CAB5" s="234"/>
      <c r="CAC5" s="234"/>
      <c r="CAD5" s="234"/>
      <c r="CAE5" s="234"/>
      <c r="CAF5" s="234"/>
      <c r="CAG5" s="234"/>
      <c r="CAH5" s="234"/>
      <c r="CAI5" s="234"/>
      <c r="CAJ5" s="234"/>
      <c r="CAK5" s="234"/>
      <c r="CAL5" s="234"/>
      <c r="CAM5" s="234"/>
      <c r="CAN5" s="234"/>
      <c r="CAO5" s="234"/>
      <c r="CAP5" s="234"/>
      <c r="CAQ5" s="234"/>
      <c r="CAR5" s="234"/>
      <c r="CAS5" s="234"/>
      <c r="CAT5" s="234"/>
      <c r="CAU5" s="234"/>
      <c r="CAV5" s="234"/>
      <c r="CAW5" s="234"/>
      <c r="CAX5" s="234"/>
      <c r="CAY5" s="234"/>
      <c r="CAZ5" s="234"/>
      <c r="CBA5" s="234"/>
      <c r="CBB5" s="234"/>
      <c r="CBC5" s="234"/>
      <c r="CBD5" s="234"/>
      <c r="CBE5" s="234"/>
      <c r="CBF5" s="234"/>
      <c r="CBG5" s="234"/>
      <c r="CBH5" s="234"/>
      <c r="CBI5" s="234"/>
      <c r="CBJ5" s="234"/>
      <c r="CBK5" s="234"/>
      <c r="CBL5" s="234"/>
      <c r="CBM5" s="234"/>
      <c r="CBN5" s="234"/>
      <c r="CBO5" s="234"/>
      <c r="CBP5" s="234"/>
      <c r="CBQ5" s="234"/>
      <c r="CBR5" s="234"/>
      <c r="CBS5" s="234"/>
      <c r="CBT5" s="234"/>
      <c r="CBU5" s="234"/>
      <c r="CBV5" s="234"/>
      <c r="CBW5" s="234"/>
      <c r="CBX5" s="234"/>
      <c r="CBY5" s="234"/>
      <c r="CBZ5" s="234"/>
      <c r="CCA5" s="234"/>
      <c r="CCB5" s="234"/>
      <c r="CCC5" s="234"/>
      <c r="CCD5" s="234"/>
      <c r="CCE5" s="234"/>
      <c r="CCF5" s="234"/>
      <c r="CCG5" s="234"/>
      <c r="CCH5" s="234"/>
      <c r="CCI5" s="234"/>
      <c r="CCJ5" s="234"/>
      <c r="CCK5" s="234"/>
      <c r="CCL5" s="234"/>
      <c r="CCM5" s="234"/>
      <c r="CCN5" s="234"/>
      <c r="CCO5" s="234"/>
      <c r="CCP5" s="234"/>
      <c r="CCQ5" s="234"/>
      <c r="CCR5" s="234"/>
      <c r="CCS5" s="234"/>
      <c r="CCT5" s="234"/>
      <c r="CCU5" s="234"/>
      <c r="CCV5" s="234"/>
      <c r="CCW5" s="234"/>
      <c r="CCX5" s="234"/>
      <c r="CCY5" s="234"/>
      <c r="CCZ5" s="234"/>
      <c r="CDA5" s="234"/>
      <c r="CDB5" s="234"/>
      <c r="CDC5" s="234"/>
      <c r="CDD5" s="234"/>
      <c r="CDE5" s="234"/>
      <c r="CDF5" s="234"/>
      <c r="CDG5" s="234"/>
      <c r="CDH5" s="234"/>
      <c r="CDI5" s="234"/>
      <c r="CDJ5" s="234"/>
      <c r="CDK5" s="234"/>
      <c r="CDL5" s="234"/>
      <c r="CDM5" s="234"/>
      <c r="CDN5" s="234"/>
      <c r="CDO5" s="234"/>
      <c r="CDP5" s="234"/>
      <c r="CDQ5" s="234"/>
      <c r="CDR5" s="234"/>
      <c r="CDS5" s="234"/>
      <c r="CDT5" s="234"/>
      <c r="CDU5" s="234"/>
      <c r="CDV5" s="234"/>
      <c r="CDW5" s="234"/>
      <c r="CDX5" s="234"/>
      <c r="CDY5" s="234"/>
      <c r="CDZ5" s="234"/>
      <c r="CEA5" s="234"/>
      <c r="CEB5" s="234"/>
      <c r="CEC5" s="234"/>
      <c r="CED5" s="234"/>
      <c r="CEE5" s="234"/>
      <c r="CEF5" s="234"/>
      <c r="CEG5" s="234"/>
      <c r="CEH5" s="234"/>
      <c r="CEI5" s="234"/>
      <c r="CEJ5" s="234"/>
      <c r="CEK5" s="234"/>
      <c r="CEL5" s="234"/>
      <c r="CEM5" s="234"/>
      <c r="CEN5" s="234"/>
      <c r="CEO5" s="234"/>
      <c r="CEP5" s="234"/>
      <c r="CEQ5" s="234"/>
      <c r="CER5" s="234"/>
      <c r="CES5" s="234"/>
      <c r="CET5" s="234"/>
      <c r="CEU5" s="234"/>
      <c r="CEV5" s="234"/>
      <c r="CEW5" s="234"/>
      <c r="CEX5" s="234"/>
      <c r="CEY5" s="234"/>
      <c r="CEZ5" s="234"/>
      <c r="CFA5" s="234"/>
      <c r="CFB5" s="234"/>
      <c r="CFC5" s="234"/>
      <c r="CFD5" s="234"/>
      <c r="CFE5" s="234"/>
      <c r="CFF5" s="234"/>
      <c r="CFG5" s="234"/>
      <c r="CFH5" s="234"/>
      <c r="CFI5" s="234"/>
      <c r="CFJ5" s="234"/>
      <c r="CFK5" s="234"/>
      <c r="CFL5" s="234"/>
      <c r="CFM5" s="234"/>
      <c r="CFN5" s="234"/>
      <c r="CFO5" s="234"/>
      <c r="CFP5" s="234"/>
      <c r="CFQ5" s="234"/>
      <c r="CFR5" s="234"/>
      <c r="CFS5" s="234"/>
      <c r="CFT5" s="234"/>
      <c r="CFU5" s="234"/>
      <c r="CFV5" s="234"/>
      <c r="CFW5" s="234"/>
      <c r="CFX5" s="234"/>
      <c r="CFY5" s="234"/>
      <c r="CFZ5" s="234"/>
      <c r="CGA5" s="234"/>
      <c r="CGB5" s="234"/>
      <c r="CGC5" s="234"/>
      <c r="CGD5" s="234"/>
      <c r="CGE5" s="234"/>
      <c r="CGF5" s="234"/>
      <c r="CGG5" s="234"/>
      <c r="CGH5" s="234"/>
      <c r="CGI5" s="234"/>
      <c r="CGJ5" s="234"/>
      <c r="CGK5" s="234"/>
      <c r="CGL5" s="234"/>
      <c r="CGM5" s="234"/>
      <c r="CGN5" s="234"/>
      <c r="CGO5" s="234"/>
      <c r="CGP5" s="234"/>
      <c r="CGQ5" s="234"/>
      <c r="CGR5" s="234"/>
      <c r="CGS5" s="234"/>
      <c r="CGT5" s="234"/>
      <c r="CGU5" s="234"/>
      <c r="CGV5" s="234"/>
      <c r="CGW5" s="234"/>
      <c r="CGX5" s="234"/>
      <c r="CGY5" s="234"/>
      <c r="CGZ5" s="234"/>
      <c r="CHA5" s="234"/>
      <c r="CHB5" s="234"/>
      <c r="CHC5" s="234"/>
      <c r="CHD5" s="234"/>
      <c r="CHE5" s="234"/>
      <c r="CHF5" s="234"/>
      <c r="CHG5" s="234"/>
      <c r="CHH5" s="234"/>
      <c r="CHI5" s="234"/>
      <c r="CHJ5" s="234"/>
      <c r="CHK5" s="234"/>
      <c r="CHL5" s="234"/>
      <c r="CHM5" s="234"/>
      <c r="CHN5" s="234"/>
      <c r="CHO5" s="234"/>
      <c r="CHP5" s="234"/>
      <c r="CHQ5" s="234"/>
      <c r="CHR5" s="234"/>
      <c r="CHS5" s="234"/>
      <c r="CHT5" s="234"/>
      <c r="CHU5" s="234"/>
      <c r="CHV5" s="234"/>
      <c r="CHW5" s="234"/>
      <c r="CHX5" s="234"/>
      <c r="CHY5" s="234"/>
      <c r="CHZ5" s="234"/>
      <c r="CIA5" s="234"/>
      <c r="CIB5" s="234"/>
      <c r="CIC5" s="234"/>
      <c r="CID5" s="234"/>
      <c r="CIE5" s="234"/>
      <c r="CIF5" s="234"/>
      <c r="CIG5" s="234"/>
      <c r="CIH5" s="234"/>
      <c r="CII5" s="234"/>
      <c r="CIJ5" s="234"/>
      <c r="CIK5" s="234"/>
      <c r="CIL5" s="234"/>
      <c r="CIM5" s="234"/>
      <c r="CIN5" s="234"/>
      <c r="CIO5" s="234"/>
      <c r="CIP5" s="234"/>
      <c r="CIQ5" s="234"/>
      <c r="CIR5" s="234"/>
      <c r="CIS5" s="234"/>
      <c r="CIT5" s="234"/>
      <c r="CIU5" s="234"/>
      <c r="CIV5" s="234"/>
      <c r="CIW5" s="234"/>
      <c r="CIX5" s="234"/>
      <c r="CIY5" s="234"/>
      <c r="CIZ5" s="234"/>
      <c r="CJA5" s="234"/>
      <c r="CJB5" s="234"/>
      <c r="CJC5" s="234"/>
      <c r="CJD5" s="234"/>
      <c r="CJE5" s="234"/>
      <c r="CJF5" s="234"/>
      <c r="CJG5" s="234"/>
      <c r="CJH5" s="234"/>
      <c r="CJI5" s="234"/>
      <c r="CJJ5" s="234"/>
      <c r="CJK5" s="234"/>
      <c r="CJL5" s="234"/>
      <c r="CJM5" s="234"/>
      <c r="CJN5" s="234"/>
      <c r="CJO5" s="234"/>
      <c r="CJP5" s="234"/>
      <c r="CJQ5" s="234"/>
      <c r="CJR5" s="234"/>
      <c r="CJS5" s="234"/>
      <c r="CJT5" s="234"/>
      <c r="CJU5" s="234"/>
      <c r="CJV5" s="234"/>
      <c r="CJW5" s="234"/>
      <c r="CJX5" s="234"/>
      <c r="CJY5" s="234"/>
      <c r="CJZ5" s="234"/>
      <c r="CKA5" s="234"/>
      <c r="CKB5" s="234"/>
      <c r="CKC5" s="234"/>
      <c r="CKD5" s="234"/>
      <c r="CKE5" s="234"/>
      <c r="CKF5" s="234"/>
      <c r="CKG5" s="234"/>
      <c r="CKH5" s="234"/>
      <c r="CKI5" s="234"/>
      <c r="CKJ5" s="234"/>
      <c r="CKK5" s="234"/>
      <c r="CKL5" s="234"/>
      <c r="CKM5" s="234"/>
      <c r="CKN5" s="234"/>
      <c r="CKO5" s="234"/>
      <c r="CKP5" s="234"/>
      <c r="CKQ5" s="234"/>
      <c r="CKR5" s="234"/>
      <c r="CKS5" s="234"/>
      <c r="CKT5" s="234"/>
      <c r="CKU5" s="234"/>
      <c r="CKV5" s="234"/>
      <c r="CKW5" s="234"/>
      <c r="CKX5" s="234"/>
      <c r="CKY5" s="234"/>
      <c r="CKZ5" s="234"/>
      <c r="CLA5" s="234"/>
      <c r="CLB5" s="234"/>
      <c r="CLC5" s="234"/>
      <c r="CLD5" s="234"/>
      <c r="CLE5" s="234"/>
      <c r="CLF5" s="234"/>
      <c r="CLG5" s="234"/>
      <c r="CLH5" s="234"/>
      <c r="CLI5" s="234"/>
      <c r="CLJ5" s="234"/>
      <c r="CLK5" s="234"/>
      <c r="CLL5" s="234"/>
      <c r="CLM5" s="234"/>
      <c r="CLN5" s="234"/>
      <c r="CLO5" s="234"/>
      <c r="CLP5" s="234"/>
      <c r="CLQ5" s="234"/>
      <c r="CLR5" s="234"/>
      <c r="CLS5" s="234"/>
      <c r="CLT5" s="234"/>
      <c r="CLU5" s="234"/>
      <c r="CLV5" s="234"/>
      <c r="CLW5" s="234"/>
      <c r="CLX5" s="234"/>
      <c r="CLY5" s="234"/>
      <c r="CLZ5" s="234"/>
      <c r="CMA5" s="234"/>
      <c r="CMB5" s="234"/>
      <c r="CMC5" s="234"/>
      <c r="CMD5" s="234"/>
      <c r="CME5" s="234"/>
      <c r="CMF5" s="234"/>
      <c r="CMG5" s="234"/>
      <c r="CMH5" s="234"/>
      <c r="CMI5" s="234"/>
      <c r="CMJ5" s="234"/>
      <c r="CMK5" s="234"/>
      <c r="CML5" s="234"/>
      <c r="CMM5" s="234"/>
      <c r="CMN5" s="234"/>
      <c r="CMO5" s="234"/>
      <c r="CMP5" s="234"/>
      <c r="CMQ5" s="234"/>
      <c r="CMR5" s="234"/>
      <c r="CMS5" s="234"/>
      <c r="CMT5" s="234"/>
      <c r="CMU5" s="234"/>
      <c r="CMV5" s="234"/>
      <c r="CMW5" s="234"/>
      <c r="CMX5" s="234"/>
      <c r="CMY5" s="234"/>
      <c r="CMZ5" s="234"/>
      <c r="CNA5" s="234"/>
      <c r="CNB5" s="234"/>
      <c r="CNC5" s="234"/>
      <c r="CND5" s="234"/>
      <c r="CNE5" s="234"/>
      <c r="CNF5" s="234"/>
      <c r="CNG5" s="234"/>
      <c r="CNH5" s="234"/>
      <c r="CNI5" s="234"/>
      <c r="CNJ5" s="234"/>
      <c r="CNK5" s="234"/>
      <c r="CNL5" s="234"/>
      <c r="CNM5" s="234"/>
      <c r="CNN5" s="234"/>
      <c r="CNO5" s="234"/>
      <c r="CNP5" s="234"/>
      <c r="CNQ5" s="234"/>
      <c r="CNR5" s="234"/>
      <c r="CNS5" s="234"/>
      <c r="CNT5" s="234"/>
      <c r="CNU5" s="234"/>
      <c r="CNV5" s="234"/>
      <c r="CNW5" s="234"/>
      <c r="CNX5" s="234"/>
      <c r="CNY5" s="234"/>
      <c r="CNZ5" s="234"/>
      <c r="COA5" s="234"/>
      <c r="COB5" s="234"/>
      <c r="COC5" s="234"/>
      <c r="COD5" s="234"/>
      <c r="COE5" s="234"/>
      <c r="COF5" s="234"/>
      <c r="COG5" s="234"/>
      <c r="COH5" s="234"/>
      <c r="COI5" s="234"/>
      <c r="COJ5" s="234"/>
      <c r="COK5" s="234"/>
      <c r="COL5" s="234"/>
      <c r="COM5" s="234"/>
      <c r="CON5" s="234"/>
      <c r="COO5" s="234"/>
      <c r="COP5" s="234"/>
      <c r="COQ5" s="234"/>
      <c r="COR5" s="234"/>
      <c r="COS5" s="234"/>
      <c r="COT5" s="234"/>
      <c r="COU5" s="234"/>
      <c r="COV5" s="234"/>
      <c r="COW5" s="234"/>
      <c r="COX5" s="234"/>
      <c r="COY5" s="234"/>
      <c r="COZ5" s="234"/>
      <c r="CPA5" s="234"/>
      <c r="CPB5" s="234"/>
      <c r="CPC5" s="234"/>
      <c r="CPD5" s="234"/>
      <c r="CPE5" s="234"/>
      <c r="CPF5" s="234"/>
      <c r="CPG5" s="234"/>
      <c r="CPH5" s="234"/>
      <c r="CPI5" s="234"/>
      <c r="CPJ5" s="234"/>
      <c r="CPK5" s="234"/>
      <c r="CPL5" s="234"/>
      <c r="CPM5" s="234"/>
      <c r="CPN5" s="234"/>
      <c r="CPO5" s="234"/>
      <c r="CPP5" s="234"/>
      <c r="CPQ5" s="234"/>
      <c r="CPR5" s="234"/>
      <c r="CPS5" s="234"/>
      <c r="CPT5" s="234"/>
      <c r="CPU5" s="234"/>
      <c r="CPV5" s="234"/>
      <c r="CPW5" s="234"/>
      <c r="CPX5" s="234"/>
      <c r="CPY5" s="234"/>
      <c r="CPZ5" s="234"/>
      <c r="CQA5" s="234"/>
      <c r="CQB5" s="234"/>
      <c r="CQC5" s="234"/>
      <c r="CQD5" s="234"/>
      <c r="CQE5" s="234"/>
      <c r="CQF5" s="234"/>
      <c r="CQG5" s="234"/>
      <c r="CQH5" s="234"/>
      <c r="CQI5" s="234"/>
      <c r="CQJ5" s="234"/>
      <c r="CQK5" s="234"/>
      <c r="CQL5" s="234"/>
      <c r="CQM5" s="234"/>
      <c r="CQN5" s="234"/>
      <c r="CQO5" s="234"/>
      <c r="CQP5" s="234"/>
      <c r="CQQ5" s="234"/>
      <c r="CQR5" s="234"/>
      <c r="CQS5" s="234"/>
      <c r="CQT5" s="234"/>
      <c r="CQU5" s="234"/>
      <c r="CQV5" s="234"/>
      <c r="CQW5" s="234"/>
      <c r="CQX5" s="234"/>
      <c r="CQY5" s="234"/>
      <c r="CQZ5" s="234"/>
      <c r="CRA5" s="234"/>
      <c r="CRB5" s="234"/>
      <c r="CRC5" s="234"/>
      <c r="CRD5" s="234"/>
      <c r="CRE5" s="234"/>
      <c r="CRF5" s="234"/>
      <c r="CRG5" s="234"/>
      <c r="CRH5" s="234"/>
      <c r="CRI5" s="234"/>
      <c r="CRJ5" s="234"/>
      <c r="CRK5" s="234"/>
      <c r="CRL5" s="234"/>
      <c r="CRM5" s="234"/>
      <c r="CRN5" s="234"/>
      <c r="CRO5" s="234"/>
      <c r="CRP5" s="234"/>
      <c r="CRQ5" s="234"/>
      <c r="CRR5" s="234"/>
      <c r="CRS5" s="234"/>
      <c r="CRT5" s="234"/>
      <c r="CRU5" s="234"/>
      <c r="CRV5" s="234"/>
      <c r="CRW5" s="234"/>
      <c r="CRX5" s="234"/>
      <c r="CRY5" s="234"/>
      <c r="CRZ5" s="234"/>
      <c r="CSA5" s="234"/>
      <c r="CSB5" s="234"/>
      <c r="CSC5" s="234"/>
      <c r="CSD5" s="234"/>
      <c r="CSE5" s="234"/>
      <c r="CSF5" s="234"/>
      <c r="CSG5" s="234"/>
      <c r="CSH5" s="234"/>
      <c r="CSI5" s="234"/>
      <c r="CSJ5" s="234"/>
      <c r="CSK5" s="234"/>
      <c r="CSL5" s="234"/>
      <c r="CSM5" s="234"/>
      <c r="CSN5" s="234"/>
      <c r="CSO5" s="234"/>
      <c r="CSP5" s="234"/>
      <c r="CSQ5" s="234"/>
      <c r="CSR5" s="234"/>
      <c r="CSS5" s="234"/>
      <c r="CST5" s="234"/>
      <c r="CSU5" s="234"/>
      <c r="CSV5" s="234"/>
      <c r="CSW5" s="234"/>
      <c r="CSX5" s="234"/>
      <c r="CSY5" s="234"/>
      <c r="CSZ5" s="234"/>
      <c r="CTA5" s="234"/>
      <c r="CTB5" s="234"/>
      <c r="CTC5" s="234"/>
      <c r="CTD5" s="234"/>
      <c r="CTE5" s="234"/>
      <c r="CTF5" s="234"/>
      <c r="CTG5" s="234"/>
      <c r="CTH5" s="234"/>
      <c r="CTI5" s="234"/>
      <c r="CTJ5" s="234"/>
      <c r="CTK5" s="234"/>
      <c r="CTL5" s="234"/>
      <c r="CTM5" s="234"/>
      <c r="CTN5" s="234"/>
      <c r="CTO5" s="234"/>
      <c r="CTP5" s="234"/>
      <c r="CTQ5" s="234"/>
      <c r="CTR5" s="234"/>
      <c r="CTS5" s="234"/>
      <c r="CTT5" s="234"/>
      <c r="CTU5" s="234"/>
      <c r="CTV5" s="234"/>
      <c r="CTW5" s="234"/>
      <c r="CTX5" s="234"/>
      <c r="CTY5" s="234"/>
      <c r="CTZ5" s="234"/>
      <c r="CUA5" s="234"/>
      <c r="CUB5" s="234"/>
      <c r="CUC5" s="234"/>
      <c r="CUD5" s="234"/>
      <c r="CUE5" s="234"/>
      <c r="CUF5" s="234"/>
      <c r="CUG5" s="234"/>
      <c r="CUH5" s="234"/>
      <c r="CUI5" s="234"/>
      <c r="CUJ5" s="234"/>
      <c r="CUK5" s="234"/>
      <c r="CUL5" s="234"/>
      <c r="CUM5" s="234"/>
      <c r="CUN5" s="234"/>
      <c r="CUO5" s="234"/>
      <c r="CUP5" s="234"/>
      <c r="CUQ5" s="234"/>
      <c r="CUR5" s="234"/>
      <c r="CUS5" s="234"/>
      <c r="CUT5" s="234"/>
      <c r="CUU5" s="234"/>
      <c r="CUV5" s="234"/>
      <c r="CUW5" s="234"/>
      <c r="CUX5" s="234"/>
      <c r="CUY5" s="234"/>
      <c r="CUZ5" s="234"/>
      <c r="CVA5" s="234"/>
      <c r="CVB5" s="234"/>
      <c r="CVC5" s="234"/>
      <c r="CVD5" s="234"/>
      <c r="CVE5" s="234"/>
      <c r="CVF5" s="234"/>
      <c r="CVG5" s="234"/>
      <c r="CVH5" s="234"/>
      <c r="CVI5" s="234"/>
      <c r="CVJ5" s="234"/>
      <c r="CVK5" s="234"/>
      <c r="CVL5" s="234"/>
      <c r="CVM5" s="234"/>
      <c r="CVN5" s="234"/>
      <c r="CVO5" s="234"/>
      <c r="CVP5" s="234"/>
      <c r="CVQ5" s="234"/>
      <c r="CVR5" s="234"/>
      <c r="CVS5" s="234"/>
      <c r="CVT5" s="234"/>
      <c r="CVU5" s="234"/>
      <c r="CVV5" s="234"/>
      <c r="CVW5" s="234"/>
      <c r="CVX5" s="234"/>
      <c r="CVY5" s="234"/>
      <c r="CVZ5" s="234"/>
      <c r="CWA5" s="234"/>
      <c r="CWB5" s="234"/>
      <c r="CWC5" s="234"/>
      <c r="CWD5" s="234"/>
      <c r="CWE5" s="234"/>
      <c r="CWF5" s="234"/>
      <c r="CWG5" s="234"/>
      <c r="CWH5" s="234"/>
      <c r="CWI5" s="234"/>
      <c r="CWJ5" s="234"/>
      <c r="CWK5" s="234"/>
      <c r="CWL5" s="234"/>
      <c r="CWM5" s="234"/>
      <c r="CWN5" s="234"/>
      <c r="CWO5" s="234"/>
      <c r="CWP5" s="234"/>
      <c r="CWQ5" s="234"/>
      <c r="CWR5" s="234"/>
      <c r="CWS5" s="234"/>
      <c r="CWT5" s="234"/>
      <c r="CWU5" s="234"/>
      <c r="CWV5" s="234"/>
      <c r="CWW5" s="234"/>
      <c r="CWX5" s="234"/>
      <c r="CWY5" s="234"/>
      <c r="CWZ5" s="234"/>
      <c r="CXA5" s="234"/>
      <c r="CXB5" s="234"/>
      <c r="CXC5" s="234"/>
      <c r="CXD5" s="234"/>
      <c r="CXE5" s="234"/>
      <c r="CXF5" s="234"/>
      <c r="CXG5" s="234"/>
      <c r="CXH5" s="234"/>
      <c r="CXI5" s="234"/>
      <c r="CXJ5" s="234"/>
      <c r="CXK5" s="234"/>
      <c r="CXL5" s="234"/>
      <c r="CXM5" s="234"/>
      <c r="CXN5" s="234"/>
      <c r="CXO5" s="234"/>
      <c r="CXP5" s="234"/>
      <c r="CXQ5" s="234"/>
      <c r="CXR5" s="234"/>
      <c r="CXS5" s="234"/>
      <c r="CXT5" s="234"/>
      <c r="CXU5" s="234"/>
      <c r="CXV5" s="234"/>
      <c r="CXW5" s="234"/>
      <c r="CXX5" s="234"/>
      <c r="CXY5" s="234"/>
      <c r="CXZ5" s="234"/>
      <c r="CYA5" s="234"/>
      <c r="CYB5" s="234"/>
      <c r="CYC5" s="234"/>
      <c r="CYD5" s="234"/>
      <c r="CYE5" s="234"/>
      <c r="CYF5" s="234"/>
      <c r="CYG5" s="234"/>
      <c r="CYH5" s="234"/>
      <c r="CYI5" s="234"/>
      <c r="CYJ5" s="234"/>
      <c r="CYK5" s="234"/>
      <c r="CYL5" s="234"/>
      <c r="CYM5" s="234"/>
      <c r="CYN5" s="234"/>
      <c r="CYO5" s="234"/>
      <c r="CYP5" s="234"/>
      <c r="CYQ5" s="234"/>
      <c r="CYR5" s="234"/>
      <c r="CYS5" s="234"/>
      <c r="CYT5" s="234"/>
      <c r="CYU5" s="234"/>
      <c r="CYV5" s="234"/>
      <c r="CYW5" s="234"/>
      <c r="CYX5" s="234"/>
      <c r="CYY5" s="234"/>
      <c r="CYZ5" s="234"/>
      <c r="CZA5" s="234"/>
      <c r="CZB5" s="234"/>
      <c r="CZC5" s="234"/>
      <c r="CZD5" s="234"/>
      <c r="CZE5" s="234"/>
      <c r="CZF5" s="234"/>
      <c r="CZG5" s="234"/>
      <c r="CZH5" s="234"/>
      <c r="CZI5" s="234"/>
      <c r="CZJ5" s="234"/>
      <c r="CZK5" s="234"/>
      <c r="CZL5" s="234"/>
      <c r="CZM5" s="234"/>
      <c r="CZN5" s="234"/>
      <c r="CZO5" s="234"/>
      <c r="CZP5" s="234"/>
      <c r="CZQ5" s="234"/>
      <c r="CZR5" s="234"/>
      <c r="CZS5" s="234"/>
      <c r="CZT5" s="234"/>
      <c r="CZU5" s="234"/>
      <c r="CZV5" s="234"/>
      <c r="CZW5" s="234"/>
      <c r="CZX5" s="234"/>
      <c r="CZY5" s="234"/>
      <c r="CZZ5" s="234"/>
      <c r="DAA5" s="234"/>
      <c r="DAB5" s="234"/>
      <c r="DAC5" s="234"/>
      <c r="DAD5" s="234"/>
      <c r="DAE5" s="234"/>
      <c r="DAF5" s="234"/>
      <c r="DAG5" s="234"/>
      <c r="DAH5" s="234"/>
      <c r="DAI5" s="234"/>
      <c r="DAJ5" s="234"/>
      <c r="DAK5" s="234"/>
      <c r="DAL5" s="234"/>
      <c r="DAM5" s="234"/>
      <c r="DAN5" s="234"/>
      <c r="DAO5" s="234"/>
      <c r="DAP5" s="234"/>
      <c r="DAQ5" s="234"/>
      <c r="DAR5" s="234"/>
      <c r="DAS5" s="234"/>
      <c r="DAT5" s="234"/>
      <c r="DAU5" s="234"/>
      <c r="DAV5" s="234"/>
      <c r="DAW5" s="234"/>
      <c r="DAX5" s="234"/>
      <c r="DAY5" s="234"/>
      <c r="DAZ5" s="234"/>
      <c r="DBA5" s="234"/>
      <c r="DBB5" s="234"/>
      <c r="DBC5" s="234"/>
      <c r="DBD5" s="234"/>
      <c r="DBE5" s="234"/>
      <c r="DBF5" s="234"/>
      <c r="DBG5" s="234"/>
      <c r="DBH5" s="234"/>
      <c r="DBI5" s="234"/>
      <c r="DBJ5" s="234"/>
      <c r="DBK5" s="234"/>
      <c r="DBL5" s="234"/>
      <c r="DBM5" s="234"/>
      <c r="DBN5" s="234"/>
      <c r="DBO5" s="234"/>
      <c r="DBP5" s="234"/>
      <c r="DBQ5" s="234"/>
      <c r="DBR5" s="234"/>
      <c r="DBS5" s="234"/>
      <c r="DBT5" s="234"/>
      <c r="DBU5" s="234"/>
      <c r="DBV5" s="234"/>
      <c r="DBW5" s="234"/>
      <c r="DBX5" s="234"/>
      <c r="DBY5" s="234"/>
      <c r="DBZ5" s="234"/>
      <c r="DCA5" s="234"/>
      <c r="DCB5" s="234"/>
      <c r="DCC5" s="234"/>
      <c r="DCD5" s="234"/>
      <c r="DCE5" s="234"/>
      <c r="DCF5" s="234"/>
      <c r="DCG5" s="234"/>
      <c r="DCH5" s="234"/>
      <c r="DCI5" s="234"/>
      <c r="DCJ5" s="234"/>
      <c r="DCK5" s="234"/>
      <c r="DCL5" s="234"/>
      <c r="DCM5" s="234"/>
      <c r="DCN5" s="234"/>
      <c r="DCO5" s="234"/>
      <c r="DCP5" s="234"/>
      <c r="DCQ5" s="234"/>
      <c r="DCR5" s="234"/>
      <c r="DCS5" s="234"/>
      <c r="DCT5" s="234"/>
      <c r="DCU5" s="234"/>
      <c r="DCV5" s="234"/>
      <c r="DCW5" s="234"/>
      <c r="DCX5" s="234"/>
      <c r="DCY5" s="234"/>
      <c r="DCZ5" s="234"/>
      <c r="DDA5" s="234"/>
      <c r="DDB5" s="234"/>
      <c r="DDC5" s="234"/>
      <c r="DDD5" s="234"/>
      <c r="DDE5" s="234"/>
      <c r="DDF5" s="234"/>
      <c r="DDG5" s="234"/>
      <c r="DDH5" s="234"/>
      <c r="DDI5" s="234"/>
      <c r="DDJ5" s="234"/>
      <c r="DDK5" s="234"/>
      <c r="DDL5" s="234"/>
      <c r="DDM5" s="234"/>
      <c r="DDN5" s="234"/>
      <c r="DDO5" s="234"/>
      <c r="DDP5" s="234"/>
      <c r="DDQ5" s="234"/>
      <c r="DDR5" s="234"/>
      <c r="DDS5" s="234"/>
      <c r="DDT5" s="234"/>
      <c r="DDU5" s="234"/>
      <c r="DDV5" s="234"/>
      <c r="DDW5" s="234"/>
      <c r="DDX5" s="234"/>
      <c r="DDY5" s="234"/>
      <c r="DDZ5" s="234"/>
      <c r="DEA5" s="234"/>
      <c r="DEB5" s="234"/>
      <c r="DEC5" s="234"/>
      <c r="DED5" s="234"/>
      <c r="DEE5" s="234"/>
      <c r="DEF5" s="234"/>
      <c r="DEG5" s="234"/>
      <c r="DEH5" s="234"/>
      <c r="DEI5" s="234"/>
      <c r="DEJ5" s="234"/>
      <c r="DEK5" s="234"/>
      <c r="DEL5" s="234"/>
      <c r="DEM5" s="234"/>
      <c r="DEN5" s="234"/>
      <c r="DEO5" s="234"/>
      <c r="DEP5" s="234"/>
      <c r="DEQ5" s="234"/>
      <c r="DER5" s="234"/>
      <c r="DES5" s="234"/>
      <c r="DET5" s="234"/>
      <c r="DEU5" s="234"/>
      <c r="DEV5" s="234"/>
      <c r="DEW5" s="234"/>
      <c r="DEX5" s="234"/>
      <c r="DEY5" s="234"/>
      <c r="DEZ5" s="234"/>
      <c r="DFA5" s="234"/>
      <c r="DFB5" s="234"/>
      <c r="DFC5" s="234"/>
      <c r="DFD5" s="234"/>
      <c r="DFE5" s="234"/>
      <c r="DFF5" s="234"/>
      <c r="DFG5" s="234"/>
      <c r="DFH5" s="234"/>
      <c r="DFI5" s="234"/>
      <c r="DFJ5" s="234"/>
      <c r="DFK5" s="234"/>
      <c r="DFL5" s="234"/>
      <c r="DFM5" s="234"/>
      <c r="DFN5" s="234"/>
      <c r="DFO5" s="234"/>
      <c r="DFP5" s="234"/>
      <c r="DFQ5" s="234"/>
      <c r="DFR5" s="234"/>
      <c r="DFS5" s="234"/>
      <c r="DFT5" s="234"/>
      <c r="DFU5" s="234"/>
      <c r="DFV5" s="234"/>
      <c r="DFW5" s="234"/>
      <c r="DFX5" s="234"/>
      <c r="DFY5" s="234"/>
      <c r="DFZ5" s="234"/>
      <c r="DGA5" s="234"/>
      <c r="DGB5" s="234"/>
      <c r="DGC5" s="234"/>
      <c r="DGD5" s="234"/>
      <c r="DGE5" s="234"/>
      <c r="DGF5" s="234"/>
      <c r="DGG5" s="234"/>
      <c r="DGH5" s="234"/>
      <c r="DGI5" s="234"/>
      <c r="DGJ5" s="234"/>
      <c r="DGK5" s="234"/>
      <c r="DGL5" s="234"/>
      <c r="DGM5" s="234"/>
      <c r="DGN5" s="234"/>
      <c r="DGO5" s="234"/>
      <c r="DGP5" s="234"/>
      <c r="DGQ5" s="234"/>
      <c r="DGR5" s="234"/>
      <c r="DGS5" s="234"/>
      <c r="DGT5" s="234"/>
      <c r="DGU5" s="234"/>
      <c r="DGV5" s="234"/>
      <c r="DGW5" s="234"/>
      <c r="DGX5" s="234"/>
      <c r="DGY5" s="234"/>
      <c r="DGZ5" s="234"/>
      <c r="DHA5" s="234"/>
      <c r="DHB5" s="234"/>
      <c r="DHC5" s="234"/>
      <c r="DHD5" s="234"/>
      <c r="DHE5" s="234"/>
      <c r="DHF5" s="234"/>
      <c r="DHG5" s="234"/>
      <c r="DHH5" s="234"/>
      <c r="DHI5" s="234"/>
      <c r="DHJ5" s="234"/>
      <c r="DHK5" s="234"/>
      <c r="DHL5" s="234"/>
      <c r="DHM5" s="234"/>
      <c r="DHN5" s="234"/>
      <c r="DHO5" s="234"/>
      <c r="DHP5" s="234"/>
      <c r="DHQ5" s="234"/>
      <c r="DHR5" s="234"/>
      <c r="DHS5" s="234"/>
      <c r="DHT5" s="234"/>
      <c r="DHU5" s="234"/>
      <c r="DHV5" s="234"/>
      <c r="DHW5" s="234"/>
      <c r="DHX5" s="234"/>
      <c r="DHY5" s="234"/>
      <c r="DHZ5" s="234"/>
      <c r="DIA5" s="234"/>
      <c r="DIB5" s="234"/>
      <c r="DIC5" s="234"/>
      <c r="DID5" s="234"/>
      <c r="DIE5" s="234"/>
      <c r="DIF5" s="234"/>
      <c r="DIG5" s="234"/>
      <c r="DIH5" s="234"/>
      <c r="DII5" s="234"/>
      <c r="DIJ5" s="234"/>
      <c r="DIK5" s="234"/>
      <c r="DIL5" s="234"/>
      <c r="DIM5" s="234"/>
      <c r="DIN5" s="234"/>
      <c r="DIO5" s="234"/>
      <c r="DIP5" s="234"/>
      <c r="DIQ5" s="234"/>
      <c r="DIR5" s="234"/>
      <c r="DIS5" s="234"/>
      <c r="DIT5" s="234"/>
      <c r="DIU5" s="234"/>
      <c r="DIV5" s="234"/>
      <c r="DIW5" s="234"/>
      <c r="DIX5" s="234"/>
      <c r="DIY5" s="234"/>
      <c r="DIZ5" s="234"/>
      <c r="DJA5" s="234"/>
      <c r="DJB5" s="234"/>
      <c r="DJC5" s="234"/>
      <c r="DJD5" s="234"/>
      <c r="DJE5" s="234"/>
      <c r="DJF5" s="234"/>
      <c r="DJG5" s="234"/>
      <c r="DJH5" s="234"/>
      <c r="DJI5" s="234"/>
      <c r="DJJ5" s="234"/>
      <c r="DJK5" s="234"/>
      <c r="DJL5" s="234"/>
      <c r="DJM5" s="234"/>
      <c r="DJN5" s="234"/>
      <c r="DJO5" s="234"/>
      <c r="DJP5" s="234"/>
      <c r="DJQ5" s="234"/>
      <c r="DJR5" s="234"/>
      <c r="DJS5" s="234"/>
      <c r="DJT5" s="234"/>
      <c r="DJU5" s="234"/>
      <c r="DJV5" s="234"/>
      <c r="DJW5" s="234"/>
      <c r="DJX5" s="234"/>
      <c r="DJY5" s="234"/>
      <c r="DJZ5" s="234"/>
      <c r="DKA5" s="234"/>
      <c r="DKB5" s="234"/>
      <c r="DKC5" s="234"/>
      <c r="DKD5" s="234"/>
      <c r="DKE5" s="234"/>
      <c r="DKF5" s="234"/>
      <c r="DKG5" s="234"/>
      <c r="DKH5" s="234"/>
      <c r="DKI5" s="234"/>
      <c r="DKJ5" s="234"/>
      <c r="DKK5" s="234"/>
      <c r="DKL5" s="234"/>
      <c r="DKM5" s="234"/>
      <c r="DKN5" s="234"/>
      <c r="DKO5" s="234"/>
      <c r="DKP5" s="234"/>
      <c r="DKQ5" s="234"/>
      <c r="DKR5" s="234"/>
      <c r="DKS5" s="234"/>
      <c r="DKT5" s="234"/>
      <c r="DKU5" s="234"/>
      <c r="DKV5" s="234"/>
      <c r="DKW5" s="234"/>
      <c r="DKX5" s="234"/>
      <c r="DKY5" s="234"/>
      <c r="DKZ5" s="234"/>
      <c r="DLA5" s="234"/>
      <c r="DLB5" s="234"/>
      <c r="DLC5" s="234"/>
      <c r="DLD5" s="234"/>
      <c r="DLE5" s="234"/>
      <c r="DLF5" s="234"/>
      <c r="DLG5" s="234"/>
      <c r="DLH5" s="234"/>
      <c r="DLI5" s="234"/>
      <c r="DLJ5" s="234"/>
      <c r="DLK5" s="234"/>
      <c r="DLL5" s="234"/>
      <c r="DLM5" s="234"/>
      <c r="DLN5" s="234"/>
      <c r="DLO5" s="234"/>
      <c r="DLP5" s="234"/>
      <c r="DLQ5" s="234"/>
      <c r="DLR5" s="234"/>
      <c r="DLS5" s="234"/>
      <c r="DLT5" s="234"/>
      <c r="DLU5" s="234"/>
      <c r="DLV5" s="234"/>
      <c r="DLW5" s="234"/>
      <c r="DLX5" s="234"/>
      <c r="DLY5" s="234"/>
      <c r="DLZ5" s="234"/>
      <c r="DMA5" s="234"/>
      <c r="DMB5" s="234"/>
      <c r="DMC5" s="234"/>
      <c r="DMD5" s="234"/>
      <c r="DME5" s="234"/>
      <c r="DMF5" s="234"/>
      <c r="DMG5" s="234"/>
      <c r="DMH5" s="234"/>
      <c r="DMI5" s="234"/>
      <c r="DMJ5" s="234"/>
      <c r="DMK5" s="234"/>
      <c r="DML5" s="234"/>
      <c r="DMM5" s="234"/>
      <c r="DMN5" s="234"/>
      <c r="DMO5" s="234"/>
      <c r="DMP5" s="234"/>
      <c r="DMQ5" s="234"/>
      <c r="DMR5" s="234"/>
      <c r="DMS5" s="234"/>
      <c r="DMT5" s="234"/>
      <c r="DMU5" s="234"/>
      <c r="DMV5" s="234"/>
      <c r="DMW5" s="234"/>
      <c r="DMX5" s="234"/>
      <c r="DMY5" s="234"/>
      <c r="DMZ5" s="234"/>
      <c r="DNA5" s="234"/>
      <c r="DNB5" s="234"/>
      <c r="DNC5" s="234"/>
      <c r="DND5" s="234"/>
      <c r="DNE5" s="234"/>
      <c r="DNF5" s="234"/>
      <c r="DNG5" s="234"/>
      <c r="DNH5" s="234"/>
      <c r="DNI5" s="234"/>
      <c r="DNJ5" s="234"/>
      <c r="DNK5" s="234"/>
      <c r="DNL5" s="234"/>
      <c r="DNM5" s="234"/>
      <c r="DNN5" s="234"/>
      <c r="DNO5" s="234"/>
      <c r="DNP5" s="234"/>
      <c r="DNQ5" s="234"/>
      <c r="DNR5" s="234"/>
      <c r="DNS5" s="234"/>
      <c r="DNT5" s="234"/>
      <c r="DNU5" s="234"/>
      <c r="DNV5" s="234"/>
      <c r="DNW5" s="234"/>
      <c r="DNX5" s="234"/>
      <c r="DNY5" s="234"/>
      <c r="DNZ5" s="234"/>
      <c r="DOA5" s="234"/>
      <c r="DOB5" s="234"/>
      <c r="DOC5" s="234"/>
      <c r="DOD5" s="234"/>
      <c r="DOE5" s="234"/>
      <c r="DOF5" s="234"/>
      <c r="DOG5" s="234"/>
      <c r="DOH5" s="234"/>
      <c r="DOI5" s="234"/>
      <c r="DOJ5" s="234"/>
      <c r="DOK5" s="234"/>
      <c r="DOL5" s="234"/>
      <c r="DOM5" s="234"/>
      <c r="DON5" s="234"/>
      <c r="DOO5" s="234"/>
      <c r="DOP5" s="234"/>
      <c r="DOQ5" s="234"/>
      <c r="DOR5" s="234"/>
      <c r="DOS5" s="234"/>
      <c r="DOT5" s="234"/>
      <c r="DOU5" s="234"/>
      <c r="DOV5" s="234"/>
      <c r="DOW5" s="234"/>
      <c r="DOX5" s="234"/>
      <c r="DOY5" s="234"/>
      <c r="DOZ5" s="234"/>
      <c r="DPA5" s="234"/>
      <c r="DPB5" s="234"/>
      <c r="DPC5" s="234"/>
      <c r="DPD5" s="234"/>
      <c r="DPE5" s="234"/>
      <c r="DPF5" s="234"/>
      <c r="DPG5" s="234"/>
      <c r="DPH5" s="234"/>
      <c r="DPI5" s="234"/>
      <c r="DPJ5" s="234"/>
      <c r="DPK5" s="234"/>
      <c r="DPL5" s="234"/>
      <c r="DPM5" s="234"/>
      <c r="DPN5" s="234"/>
      <c r="DPO5" s="234"/>
      <c r="DPP5" s="234"/>
      <c r="DPQ5" s="234"/>
      <c r="DPR5" s="234"/>
      <c r="DPS5" s="234"/>
      <c r="DPT5" s="234"/>
      <c r="DPU5" s="234"/>
      <c r="DPV5" s="234"/>
      <c r="DPW5" s="234"/>
      <c r="DPX5" s="234"/>
      <c r="DPY5" s="234"/>
      <c r="DPZ5" s="234"/>
      <c r="DQA5" s="234"/>
      <c r="DQB5" s="234"/>
      <c r="DQC5" s="234"/>
      <c r="DQD5" s="234"/>
      <c r="DQE5" s="234"/>
      <c r="DQF5" s="234"/>
      <c r="DQG5" s="234"/>
      <c r="DQH5" s="234"/>
      <c r="DQI5" s="234"/>
      <c r="DQJ5" s="234"/>
      <c r="DQK5" s="234"/>
      <c r="DQL5" s="234"/>
      <c r="DQM5" s="234"/>
      <c r="DQN5" s="234"/>
      <c r="DQO5" s="234"/>
      <c r="DQP5" s="234"/>
      <c r="DQQ5" s="234"/>
      <c r="DQR5" s="234"/>
      <c r="DQS5" s="234"/>
      <c r="DQT5" s="234"/>
      <c r="DQU5" s="234"/>
      <c r="DQV5" s="234"/>
      <c r="DQW5" s="234"/>
      <c r="DQX5" s="234"/>
      <c r="DQY5" s="234"/>
      <c r="DQZ5" s="234"/>
      <c r="DRA5" s="234"/>
      <c r="DRB5" s="234"/>
      <c r="DRC5" s="234"/>
      <c r="DRD5" s="234"/>
      <c r="DRE5" s="234"/>
      <c r="DRF5" s="234"/>
      <c r="DRG5" s="234"/>
      <c r="DRH5" s="234"/>
      <c r="DRI5" s="234"/>
      <c r="DRJ5" s="234"/>
      <c r="DRK5" s="234"/>
      <c r="DRL5" s="234"/>
      <c r="DRM5" s="234"/>
      <c r="DRN5" s="234"/>
      <c r="DRO5" s="234"/>
      <c r="DRP5" s="234"/>
      <c r="DRQ5" s="234"/>
      <c r="DRR5" s="234"/>
      <c r="DRS5" s="234"/>
      <c r="DRT5" s="234"/>
      <c r="DRU5" s="234"/>
      <c r="DRV5" s="234"/>
      <c r="DRW5" s="234"/>
      <c r="DRX5" s="234"/>
      <c r="DRY5" s="234"/>
      <c r="DRZ5" s="234"/>
      <c r="DSA5" s="234"/>
      <c r="DSB5" s="234"/>
      <c r="DSC5" s="234"/>
      <c r="DSD5" s="234"/>
      <c r="DSE5" s="234"/>
      <c r="DSF5" s="234"/>
      <c r="DSG5" s="234"/>
      <c r="DSH5" s="234"/>
      <c r="DSI5" s="234"/>
      <c r="DSJ5" s="234"/>
      <c r="DSK5" s="234"/>
      <c r="DSL5" s="234"/>
      <c r="DSM5" s="234"/>
      <c r="DSN5" s="234"/>
      <c r="DSO5" s="234"/>
      <c r="DSP5" s="234"/>
      <c r="DSQ5" s="234"/>
      <c r="DSR5" s="234"/>
      <c r="DSS5" s="234"/>
      <c r="DST5" s="234"/>
      <c r="DSU5" s="234"/>
      <c r="DSV5" s="234"/>
      <c r="DSW5" s="234"/>
      <c r="DSX5" s="234"/>
      <c r="DSY5" s="234"/>
      <c r="DSZ5" s="234"/>
      <c r="DTA5" s="234"/>
      <c r="DTB5" s="234"/>
      <c r="DTC5" s="234"/>
      <c r="DTD5" s="234"/>
      <c r="DTE5" s="234"/>
      <c r="DTF5" s="234"/>
      <c r="DTG5" s="234"/>
      <c r="DTH5" s="234"/>
      <c r="DTI5" s="234"/>
      <c r="DTJ5" s="234"/>
      <c r="DTK5" s="234"/>
      <c r="DTL5" s="234"/>
      <c r="DTM5" s="234"/>
      <c r="DTN5" s="234"/>
      <c r="DTO5" s="234"/>
      <c r="DTP5" s="234"/>
      <c r="DTQ5" s="234"/>
      <c r="DTR5" s="234"/>
      <c r="DTS5" s="234"/>
      <c r="DTT5" s="234"/>
      <c r="DTU5" s="234"/>
      <c r="DTV5" s="234"/>
      <c r="DTW5" s="234"/>
      <c r="DTX5" s="234"/>
      <c r="DTY5" s="234"/>
      <c r="DTZ5" s="234"/>
      <c r="DUA5" s="234"/>
      <c r="DUB5" s="234"/>
      <c r="DUC5" s="234"/>
      <c r="DUD5" s="234"/>
      <c r="DUE5" s="234"/>
      <c r="DUF5" s="234"/>
      <c r="DUG5" s="234"/>
      <c r="DUH5" s="234"/>
      <c r="DUI5" s="234"/>
      <c r="DUJ5" s="234"/>
      <c r="DUK5" s="234"/>
      <c r="DUL5" s="234"/>
      <c r="DUM5" s="234"/>
      <c r="DUN5" s="234"/>
      <c r="DUO5" s="234"/>
      <c r="DUP5" s="234"/>
      <c r="DUQ5" s="234"/>
      <c r="DUR5" s="234"/>
      <c r="DUS5" s="234"/>
      <c r="DUT5" s="234"/>
      <c r="DUU5" s="234"/>
      <c r="DUV5" s="234"/>
      <c r="DUW5" s="234"/>
      <c r="DUX5" s="234"/>
      <c r="DUY5" s="234"/>
      <c r="DUZ5" s="234"/>
      <c r="DVA5" s="234"/>
      <c r="DVB5" s="234"/>
      <c r="DVC5" s="234"/>
      <c r="DVD5" s="234"/>
      <c r="DVE5" s="234"/>
      <c r="DVF5" s="234"/>
      <c r="DVG5" s="234"/>
      <c r="DVH5" s="234"/>
      <c r="DVI5" s="234"/>
      <c r="DVJ5" s="234"/>
      <c r="DVK5" s="234"/>
      <c r="DVL5" s="234"/>
      <c r="DVM5" s="234"/>
      <c r="DVN5" s="234"/>
      <c r="DVO5" s="234"/>
      <c r="DVP5" s="234"/>
      <c r="DVQ5" s="234"/>
      <c r="DVR5" s="234"/>
      <c r="DVS5" s="234"/>
      <c r="DVT5" s="234"/>
      <c r="DVU5" s="234"/>
      <c r="DVV5" s="234"/>
      <c r="DVW5" s="234"/>
      <c r="DVX5" s="234"/>
      <c r="DVY5" s="234"/>
      <c r="DVZ5" s="234"/>
      <c r="DWA5" s="234"/>
      <c r="DWB5" s="234"/>
      <c r="DWC5" s="234"/>
      <c r="DWD5" s="234"/>
      <c r="DWE5" s="234"/>
      <c r="DWF5" s="234"/>
      <c r="DWG5" s="234"/>
      <c r="DWH5" s="234"/>
      <c r="DWI5" s="234"/>
      <c r="DWJ5" s="234"/>
      <c r="DWK5" s="234"/>
      <c r="DWL5" s="234"/>
      <c r="DWM5" s="234"/>
      <c r="DWN5" s="234"/>
      <c r="DWO5" s="234"/>
      <c r="DWP5" s="234"/>
      <c r="DWQ5" s="234"/>
      <c r="DWR5" s="234"/>
      <c r="DWS5" s="234"/>
      <c r="DWT5" s="234"/>
      <c r="DWU5" s="234"/>
      <c r="DWV5" s="234"/>
      <c r="DWW5" s="234"/>
      <c r="DWX5" s="234"/>
      <c r="DWY5" s="234"/>
      <c r="DWZ5" s="234"/>
      <c r="DXA5" s="234"/>
      <c r="DXB5" s="234"/>
      <c r="DXC5" s="234"/>
      <c r="DXD5" s="234"/>
      <c r="DXE5" s="234"/>
      <c r="DXF5" s="234"/>
      <c r="DXG5" s="234"/>
      <c r="DXH5" s="234"/>
      <c r="DXI5" s="234"/>
      <c r="DXJ5" s="234"/>
      <c r="DXK5" s="234"/>
      <c r="DXL5" s="234"/>
      <c r="DXM5" s="234"/>
      <c r="DXN5" s="234"/>
      <c r="DXO5" s="234"/>
      <c r="DXP5" s="234"/>
      <c r="DXQ5" s="234"/>
      <c r="DXR5" s="234"/>
      <c r="DXS5" s="234"/>
      <c r="DXT5" s="234"/>
      <c r="DXU5" s="234"/>
      <c r="DXV5" s="234"/>
      <c r="DXW5" s="234"/>
      <c r="DXX5" s="234"/>
      <c r="DXY5" s="234"/>
      <c r="DXZ5" s="234"/>
      <c r="DYA5" s="234"/>
      <c r="DYB5" s="234"/>
      <c r="DYC5" s="234"/>
      <c r="DYD5" s="234"/>
      <c r="DYE5" s="234"/>
      <c r="DYF5" s="234"/>
      <c r="DYG5" s="234"/>
      <c r="DYH5" s="234"/>
      <c r="DYI5" s="234"/>
      <c r="DYJ5" s="234"/>
      <c r="DYK5" s="234"/>
      <c r="DYL5" s="234"/>
      <c r="DYM5" s="234"/>
      <c r="DYN5" s="234"/>
      <c r="DYO5" s="234"/>
      <c r="DYP5" s="234"/>
      <c r="DYQ5" s="234"/>
      <c r="DYR5" s="234"/>
      <c r="DYS5" s="234"/>
      <c r="DYT5" s="234"/>
      <c r="DYU5" s="234"/>
      <c r="DYV5" s="234"/>
      <c r="DYW5" s="234"/>
      <c r="DYX5" s="234"/>
      <c r="DYY5" s="234"/>
      <c r="DYZ5" s="234"/>
      <c r="DZA5" s="234"/>
      <c r="DZB5" s="234"/>
      <c r="DZC5" s="234"/>
      <c r="DZD5" s="234"/>
      <c r="DZE5" s="234"/>
      <c r="DZF5" s="234"/>
      <c r="DZG5" s="234"/>
      <c r="DZH5" s="234"/>
      <c r="DZI5" s="234"/>
      <c r="DZJ5" s="234"/>
      <c r="DZK5" s="234"/>
      <c r="DZL5" s="234"/>
      <c r="DZM5" s="234"/>
      <c r="DZN5" s="234"/>
      <c r="DZO5" s="234"/>
      <c r="DZP5" s="234"/>
      <c r="DZQ5" s="234"/>
      <c r="DZR5" s="234"/>
      <c r="DZS5" s="234"/>
      <c r="DZT5" s="234"/>
      <c r="DZU5" s="234"/>
      <c r="DZV5" s="234"/>
      <c r="DZW5" s="234"/>
      <c r="DZX5" s="234"/>
      <c r="DZY5" s="234"/>
      <c r="DZZ5" s="234"/>
      <c r="EAA5" s="234"/>
      <c r="EAB5" s="234"/>
      <c r="EAC5" s="234"/>
      <c r="EAD5" s="234"/>
      <c r="EAE5" s="234"/>
      <c r="EAF5" s="234"/>
      <c r="EAG5" s="234"/>
      <c r="EAH5" s="234"/>
      <c r="EAI5" s="234"/>
      <c r="EAJ5" s="234"/>
      <c r="EAK5" s="234"/>
      <c r="EAL5" s="234"/>
      <c r="EAM5" s="234"/>
      <c r="EAN5" s="234"/>
      <c r="EAO5" s="234"/>
      <c r="EAP5" s="234"/>
      <c r="EAQ5" s="234"/>
      <c r="EAR5" s="234"/>
      <c r="EAS5" s="234"/>
      <c r="EAT5" s="234"/>
      <c r="EAU5" s="234"/>
      <c r="EAV5" s="234"/>
      <c r="EAW5" s="234"/>
      <c r="EAX5" s="234"/>
      <c r="EAY5" s="234"/>
      <c r="EAZ5" s="234"/>
      <c r="EBA5" s="234"/>
      <c r="EBB5" s="234"/>
      <c r="EBC5" s="234"/>
      <c r="EBD5" s="234"/>
      <c r="EBE5" s="234"/>
      <c r="EBF5" s="234"/>
      <c r="EBG5" s="234"/>
      <c r="EBH5" s="234"/>
      <c r="EBI5" s="234"/>
      <c r="EBJ5" s="234"/>
      <c r="EBK5" s="234"/>
      <c r="EBL5" s="234"/>
      <c r="EBM5" s="234"/>
      <c r="EBN5" s="234"/>
      <c r="EBO5" s="234"/>
      <c r="EBP5" s="234"/>
      <c r="EBQ5" s="234"/>
      <c r="EBR5" s="234"/>
      <c r="EBS5" s="234"/>
      <c r="EBT5" s="234"/>
      <c r="EBU5" s="234"/>
      <c r="EBV5" s="234"/>
      <c r="EBW5" s="234"/>
      <c r="EBX5" s="234"/>
      <c r="EBY5" s="234"/>
      <c r="EBZ5" s="234"/>
      <c r="ECA5" s="234"/>
      <c r="ECB5" s="234"/>
      <c r="ECC5" s="234"/>
      <c r="ECD5" s="234"/>
      <c r="ECE5" s="234"/>
      <c r="ECF5" s="234"/>
      <c r="ECG5" s="234"/>
      <c r="ECH5" s="234"/>
      <c r="ECI5" s="234"/>
      <c r="ECJ5" s="234"/>
      <c r="ECK5" s="234"/>
      <c r="ECL5" s="234"/>
      <c r="ECM5" s="234"/>
      <c r="ECN5" s="234"/>
      <c r="ECO5" s="234"/>
      <c r="ECP5" s="234"/>
      <c r="ECQ5" s="234"/>
      <c r="ECR5" s="234"/>
      <c r="ECS5" s="234"/>
      <c r="ECT5" s="234"/>
      <c r="ECU5" s="234"/>
      <c r="ECV5" s="234"/>
      <c r="ECW5" s="234"/>
      <c r="ECX5" s="234"/>
      <c r="ECY5" s="234"/>
      <c r="ECZ5" s="234"/>
      <c r="EDA5" s="234"/>
      <c r="EDB5" s="234"/>
      <c r="EDC5" s="234"/>
      <c r="EDD5" s="234"/>
      <c r="EDE5" s="234"/>
      <c r="EDF5" s="234"/>
      <c r="EDG5" s="234"/>
      <c r="EDH5" s="234"/>
      <c r="EDI5" s="234"/>
      <c r="EDJ5" s="234"/>
      <c r="EDK5" s="234"/>
      <c r="EDL5" s="234"/>
      <c r="EDM5" s="234"/>
      <c r="EDN5" s="234"/>
      <c r="EDO5" s="234"/>
      <c r="EDP5" s="234"/>
      <c r="EDQ5" s="234"/>
      <c r="EDR5" s="234"/>
      <c r="EDS5" s="234"/>
      <c r="EDT5" s="234"/>
      <c r="EDU5" s="234"/>
      <c r="EDV5" s="234"/>
      <c r="EDW5" s="234"/>
      <c r="EDX5" s="234"/>
      <c r="EDY5" s="234"/>
      <c r="EDZ5" s="234"/>
      <c r="EEA5" s="234"/>
      <c r="EEB5" s="234"/>
      <c r="EEC5" s="234"/>
      <c r="EED5" s="234"/>
      <c r="EEE5" s="234"/>
      <c r="EEF5" s="234"/>
      <c r="EEG5" s="234"/>
      <c r="EEH5" s="234"/>
      <c r="EEI5" s="234"/>
      <c r="EEJ5" s="234"/>
      <c r="EEK5" s="234"/>
      <c r="EEL5" s="234"/>
      <c r="EEM5" s="234"/>
      <c r="EEN5" s="234"/>
      <c r="EEO5" s="234"/>
      <c r="EEP5" s="234"/>
      <c r="EEQ5" s="234"/>
      <c r="EER5" s="234"/>
      <c r="EES5" s="234"/>
      <c r="EET5" s="234"/>
      <c r="EEU5" s="234"/>
      <c r="EEV5" s="234"/>
      <c r="EEW5" s="234"/>
      <c r="EEX5" s="234"/>
      <c r="EEY5" s="234"/>
      <c r="EEZ5" s="234"/>
      <c r="EFA5" s="234"/>
      <c r="EFB5" s="234"/>
      <c r="EFC5" s="234"/>
      <c r="EFD5" s="234"/>
      <c r="EFE5" s="234"/>
      <c r="EFF5" s="234"/>
      <c r="EFG5" s="234"/>
      <c r="EFH5" s="234"/>
      <c r="EFI5" s="234"/>
      <c r="EFJ5" s="234"/>
      <c r="EFK5" s="234"/>
      <c r="EFL5" s="234"/>
      <c r="EFM5" s="234"/>
      <c r="EFN5" s="234"/>
      <c r="EFO5" s="234"/>
      <c r="EFP5" s="234"/>
      <c r="EFQ5" s="234"/>
      <c r="EFR5" s="234"/>
      <c r="EFS5" s="234"/>
      <c r="EFT5" s="234"/>
      <c r="EFU5" s="234"/>
      <c r="EFV5" s="234"/>
      <c r="EFW5" s="234"/>
      <c r="EFX5" s="234"/>
      <c r="EFY5" s="234"/>
      <c r="EFZ5" s="234"/>
      <c r="EGA5" s="234"/>
      <c r="EGB5" s="234"/>
      <c r="EGC5" s="234"/>
      <c r="EGD5" s="234"/>
      <c r="EGE5" s="234"/>
      <c r="EGF5" s="234"/>
      <c r="EGG5" s="234"/>
      <c r="EGH5" s="234"/>
      <c r="EGI5" s="234"/>
      <c r="EGJ5" s="234"/>
      <c r="EGK5" s="234"/>
      <c r="EGL5" s="234"/>
      <c r="EGM5" s="234"/>
      <c r="EGN5" s="234"/>
      <c r="EGO5" s="234"/>
      <c r="EGP5" s="234"/>
      <c r="EGQ5" s="234"/>
      <c r="EGR5" s="234"/>
      <c r="EGS5" s="234"/>
      <c r="EGT5" s="234"/>
      <c r="EGU5" s="234"/>
      <c r="EGV5" s="234"/>
      <c r="EGW5" s="234"/>
      <c r="EGX5" s="234"/>
      <c r="EGY5" s="234"/>
      <c r="EGZ5" s="234"/>
      <c r="EHA5" s="234"/>
      <c r="EHB5" s="234"/>
      <c r="EHC5" s="234"/>
      <c r="EHD5" s="234"/>
      <c r="EHE5" s="234"/>
      <c r="EHF5" s="234"/>
      <c r="EHG5" s="234"/>
      <c r="EHH5" s="234"/>
      <c r="EHI5" s="234"/>
      <c r="EHJ5" s="234"/>
      <c r="EHK5" s="234"/>
      <c r="EHL5" s="234"/>
      <c r="EHM5" s="234"/>
      <c r="EHN5" s="234"/>
      <c r="EHO5" s="234"/>
      <c r="EHP5" s="234"/>
      <c r="EHQ5" s="234"/>
      <c r="EHR5" s="234"/>
      <c r="EHS5" s="234"/>
      <c r="EHT5" s="234"/>
      <c r="EHU5" s="234"/>
      <c r="EHV5" s="234"/>
      <c r="EHW5" s="234"/>
      <c r="EHX5" s="234"/>
      <c r="EHY5" s="234"/>
      <c r="EHZ5" s="234"/>
      <c r="EIA5" s="234"/>
      <c r="EIB5" s="234"/>
      <c r="EIC5" s="234"/>
      <c r="EID5" s="234"/>
      <c r="EIE5" s="234"/>
      <c r="EIF5" s="234"/>
      <c r="EIG5" s="234"/>
      <c r="EIH5" s="234"/>
      <c r="EII5" s="234"/>
      <c r="EIJ5" s="234"/>
      <c r="EIK5" s="234"/>
      <c r="EIL5" s="234"/>
      <c r="EIM5" s="234"/>
      <c r="EIN5" s="234"/>
      <c r="EIO5" s="234"/>
      <c r="EIP5" s="234"/>
      <c r="EIQ5" s="234"/>
      <c r="EIR5" s="234"/>
      <c r="EIS5" s="234"/>
      <c r="EIT5" s="234"/>
      <c r="EIU5" s="234"/>
      <c r="EIV5" s="234"/>
      <c r="EIW5" s="234"/>
      <c r="EIX5" s="234"/>
      <c r="EIY5" s="234"/>
      <c r="EIZ5" s="234"/>
      <c r="EJA5" s="234"/>
      <c r="EJB5" s="234"/>
      <c r="EJC5" s="234"/>
      <c r="EJD5" s="234"/>
      <c r="EJE5" s="234"/>
      <c r="EJF5" s="234"/>
      <c r="EJG5" s="234"/>
      <c r="EJH5" s="234"/>
      <c r="EJI5" s="234"/>
      <c r="EJJ5" s="234"/>
      <c r="EJK5" s="234"/>
      <c r="EJL5" s="234"/>
      <c r="EJM5" s="234"/>
      <c r="EJN5" s="234"/>
      <c r="EJO5" s="234"/>
      <c r="EJP5" s="234"/>
      <c r="EJQ5" s="234"/>
      <c r="EJR5" s="234"/>
      <c r="EJS5" s="234"/>
      <c r="EJT5" s="234"/>
      <c r="EJU5" s="234"/>
      <c r="EJV5" s="234"/>
      <c r="EJW5" s="234"/>
      <c r="EJX5" s="234"/>
      <c r="EJY5" s="234"/>
      <c r="EJZ5" s="234"/>
      <c r="EKA5" s="234"/>
      <c r="EKB5" s="234"/>
      <c r="EKC5" s="234"/>
      <c r="EKD5" s="234"/>
      <c r="EKE5" s="234"/>
      <c r="EKF5" s="234"/>
      <c r="EKG5" s="234"/>
      <c r="EKH5" s="234"/>
      <c r="EKI5" s="234"/>
      <c r="EKJ5" s="234"/>
      <c r="EKK5" s="234"/>
      <c r="EKL5" s="234"/>
      <c r="EKM5" s="234"/>
      <c r="EKN5" s="234"/>
      <c r="EKO5" s="234"/>
      <c r="EKP5" s="234"/>
      <c r="EKQ5" s="234"/>
      <c r="EKR5" s="234"/>
      <c r="EKS5" s="234"/>
      <c r="EKT5" s="234"/>
      <c r="EKU5" s="234"/>
      <c r="EKV5" s="234"/>
      <c r="EKW5" s="234"/>
      <c r="EKX5" s="234"/>
      <c r="EKY5" s="234"/>
      <c r="EKZ5" s="234"/>
      <c r="ELA5" s="234"/>
      <c r="ELB5" s="234"/>
      <c r="ELC5" s="234"/>
      <c r="ELD5" s="234"/>
      <c r="ELE5" s="234"/>
      <c r="ELF5" s="234"/>
      <c r="ELG5" s="234"/>
      <c r="ELH5" s="234"/>
      <c r="ELI5" s="234"/>
      <c r="ELJ5" s="234"/>
      <c r="ELK5" s="234"/>
      <c r="ELL5" s="234"/>
      <c r="ELM5" s="234"/>
      <c r="ELN5" s="234"/>
      <c r="ELO5" s="234"/>
      <c r="ELP5" s="234"/>
      <c r="ELQ5" s="234"/>
      <c r="ELR5" s="234"/>
      <c r="ELS5" s="234"/>
      <c r="ELT5" s="234"/>
      <c r="ELU5" s="234"/>
      <c r="ELV5" s="234"/>
      <c r="ELW5" s="234"/>
      <c r="ELX5" s="234"/>
      <c r="ELY5" s="234"/>
      <c r="ELZ5" s="234"/>
      <c r="EMA5" s="234"/>
      <c r="EMB5" s="234"/>
      <c r="EMC5" s="234"/>
      <c r="EMD5" s="234"/>
      <c r="EME5" s="234"/>
      <c r="EMF5" s="234"/>
      <c r="EMG5" s="234"/>
      <c r="EMH5" s="234"/>
      <c r="EMI5" s="234"/>
      <c r="EMJ5" s="234"/>
      <c r="EMK5" s="234"/>
      <c r="EML5" s="234"/>
      <c r="EMM5" s="234"/>
      <c r="EMN5" s="234"/>
      <c r="EMO5" s="234"/>
      <c r="EMP5" s="234"/>
      <c r="EMQ5" s="234"/>
      <c r="EMR5" s="234"/>
      <c r="EMS5" s="234"/>
      <c r="EMT5" s="234"/>
      <c r="EMU5" s="234"/>
      <c r="EMV5" s="234"/>
      <c r="EMW5" s="234"/>
      <c r="EMX5" s="234"/>
      <c r="EMY5" s="234"/>
      <c r="EMZ5" s="234"/>
      <c r="ENA5" s="234"/>
      <c r="ENB5" s="234"/>
      <c r="ENC5" s="234"/>
      <c r="END5" s="234"/>
      <c r="ENE5" s="234"/>
      <c r="ENF5" s="234"/>
      <c r="ENG5" s="234"/>
      <c r="ENH5" s="234"/>
      <c r="ENI5" s="234"/>
      <c r="ENJ5" s="234"/>
      <c r="ENK5" s="234"/>
      <c r="ENL5" s="234"/>
      <c r="ENM5" s="234"/>
      <c r="ENN5" s="234"/>
      <c r="ENO5" s="234"/>
      <c r="ENP5" s="234"/>
      <c r="ENQ5" s="234"/>
      <c r="ENR5" s="234"/>
      <c r="ENS5" s="234"/>
      <c r="ENT5" s="234"/>
      <c r="ENU5" s="234"/>
      <c r="ENV5" s="234"/>
      <c r="ENW5" s="234"/>
      <c r="ENX5" s="234"/>
      <c r="ENY5" s="234"/>
      <c r="ENZ5" s="234"/>
      <c r="EOA5" s="234"/>
      <c r="EOB5" s="234"/>
      <c r="EOC5" s="234"/>
      <c r="EOD5" s="234"/>
      <c r="EOE5" s="234"/>
      <c r="EOF5" s="234"/>
      <c r="EOG5" s="234"/>
      <c r="EOH5" s="234"/>
      <c r="EOI5" s="234"/>
      <c r="EOJ5" s="234"/>
      <c r="EOK5" s="234"/>
      <c r="EOL5" s="234"/>
      <c r="EOM5" s="234"/>
      <c r="EON5" s="234"/>
      <c r="EOO5" s="234"/>
      <c r="EOP5" s="234"/>
      <c r="EOQ5" s="234"/>
      <c r="EOR5" s="234"/>
      <c r="EOS5" s="234"/>
      <c r="EOT5" s="234"/>
      <c r="EOU5" s="234"/>
      <c r="EOV5" s="234"/>
      <c r="EOW5" s="234"/>
      <c r="EOX5" s="234"/>
      <c r="EOY5" s="234"/>
      <c r="EOZ5" s="234"/>
      <c r="EPA5" s="234"/>
      <c r="EPB5" s="234"/>
      <c r="EPC5" s="234"/>
      <c r="EPD5" s="234"/>
      <c r="EPE5" s="234"/>
      <c r="EPF5" s="234"/>
      <c r="EPG5" s="234"/>
      <c r="EPH5" s="234"/>
      <c r="EPI5" s="234"/>
      <c r="EPJ5" s="234"/>
      <c r="EPK5" s="234"/>
      <c r="EPL5" s="234"/>
      <c r="EPM5" s="234"/>
      <c r="EPN5" s="234"/>
      <c r="EPO5" s="234"/>
      <c r="EPP5" s="234"/>
      <c r="EPQ5" s="234"/>
      <c r="EPR5" s="234"/>
      <c r="EPS5" s="234"/>
      <c r="EPT5" s="234"/>
      <c r="EPU5" s="234"/>
      <c r="EPV5" s="234"/>
      <c r="EPW5" s="234"/>
      <c r="EPX5" s="234"/>
      <c r="EPY5" s="234"/>
      <c r="EPZ5" s="234"/>
      <c r="EQA5" s="234"/>
      <c r="EQB5" s="234"/>
      <c r="EQC5" s="234"/>
      <c r="EQD5" s="234"/>
      <c r="EQE5" s="234"/>
      <c r="EQF5" s="234"/>
      <c r="EQG5" s="234"/>
      <c r="EQH5" s="234"/>
      <c r="EQI5" s="234"/>
      <c r="EQJ5" s="234"/>
      <c r="EQK5" s="234"/>
      <c r="EQL5" s="234"/>
      <c r="EQM5" s="234"/>
      <c r="EQN5" s="234"/>
      <c r="EQO5" s="234"/>
      <c r="EQP5" s="234"/>
      <c r="EQQ5" s="234"/>
      <c r="EQR5" s="234"/>
      <c r="EQS5" s="234"/>
      <c r="EQT5" s="234"/>
      <c r="EQU5" s="234"/>
      <c r="EQV5" s="234"/>
      <c r="EQW5" s="234"/>
      <c r="EQX5" s="234"/>
      <c r="EQY5" s="234"/>
      <c r="EQZ5" s="234"/>
      <c r="ERA5" s="234"/>
      <c r="ERB5" s="234"/>
      <c r="ERC5" s="234"/>
      <c r="ERD5" s="234"/>
      <c r="ERE5" s="234"/>
      <c r="ERF5" s="234"/>
      <c r="ERG5" s="234"/>
      <c r="ERH5" s="234"/>
      <c r="ERI5" s="234"/>
      <c r="ERJ5" s="234"/>
      <c r="ERK5" s="234"/>
      <c r="ERL5" s="234"/>
      <c r="ERM5" s="234"/>
      <c r="ERN5" s="234"/>
      <c r="ERO5" s="234"/>
      <c r="ERP5" s="234"/>
      <c r="ERQ5" s="234"/>
      <c r="ERR5" s="234"/>
      <c r="ERS5" s="234"/>
      <c r="ERT5" s="234"/>
      <c r="ERU5" s="234"/>
      <c r="ERV5" s="234"/>
      <c r="ERW5" s="234"/>
      <c r="ERX5" s="234"/>
      <c r="ERY5" s="234"/>
      <c r="ERZ5" s="234"/>
      <c r="ESA5" s="234"/>
      <c r="ESB5" s="234"/>
      <c r="ESC5" s="234"/>
      <c r="ESD5" s="234"/>
      <c r="ESE5" s="234"/>
      <c r="ESF5" s="234"/>
      <c r="ESG5" s="234"/>
      <c r="ESH5" s="234"/>
      <c r="ESI5" s="234"/>
      <c r="ESJ5" s="234"/>
      <c r="ESK5" s="234"/>
      <c r="ESL5" s="234"/>
      <c r="ESM5" s="234"/>
      <c r="ESN5" s="234"/>
      <c r="ESO5" s="234"/>
      <c r="ESP5" s="234"/>
      <c r="ESQ5" s="234"/>
      <c r="ESR5" s="234"/>
      <c r="ESS5" s="234"/>
      <c r="EST5" s="234"/>
      <c r="ESU5" s="234"/>
      <c r="ESV5" s="234"/>
      <c r="ESW5" s="234"/>
      <c r="ESX5" s="234"/>
      <c r="ESY5" s="234"/>
      <c r="ESZ5" s="234"/>
      <c r="ETA5" s="234"/>
      <c r="ETB5" s="234"/>
      <c r="ETC5" s="234"/>
      <c r="ETD5" s="234"/>
      <c r="ETE5" s="234"/>
      <c r="ETF5" s="234"/>
      <c r="ETG5" s="234"/>
      <c r="ETH5" s="234"/>
      <c r="ETI5" s="234"/>
      <c r="ETJ5" s="234"/>
      <c r="ETK5" s="234"/>
      <c r="ETL5" s="234"/>
      <c r="ETM5" s="234"/>
      <c r="ETN5" s="234"/>
      <c r="ETO5" s="234"/>
      <c r="ETP5" s="234"/>
      <c r="ETQ5" s="234"/>
      <c r="ETR5" s="234"/>
      <c r="ETS5" s="234"/>
      <c r="ETT5" s="234"/>
      <c r="ETU5" s="234"/>
      <c r="ETV5" s="234"/>
      <c r="ETW5" s="234"/>
      <c r="ETX5" s="234"/>
      <c r="ETY5" s="234"/>
      <c r="ETZ5" s="234"/>
      <c r="EUA5" s="234"/>
      <c r="EUB5" s="234"/>
      <c r="EUC5" s="234"/>
      <c r="EUD5" s="234"/>
      <c r="EUE5" s="234"/>
      <c r="EUF5" s="234"/>
      <c r="EUG5" s="234"/>
      <c r="EUH5" s="234"/>
      <c r="EUI5" s="234"/>
      <c r="EUJ5" s="234"/>
      <c r="EUK5" s="234"/>
      <c r="EUL5" s="234"/>
      <c r="EUM5" s="234"/>
      <c r="EUN5" s="234"/>
      <c r="EUO5" s="234"/>
      <c r="EUP5" s="234"/>
      <c r="EUQ5" s="234"/>
      <c r="EUR5" s="234"/>
      <c r="EUS5" s="234"/>
      <c r="EUT5" s="234"/>
      <c r="EUU5" s="234"/>
      <c r="EUV5" s="234"/>
      <c r="EUW5" s="234"/>
      <c r="EUX5" s="234"/>
      <c r="EUY5" s="234"/>
      <c r="EUZ5" s="234"/>
      <c r="EVA5" s="234"/>
      <c r="EVB5" s="234"/>
      <c r="EVC5" s="234"/>
      <c r="EVD5" s="234"/>
      <c r="EVE5" s="234"/>
      <c r="EVF5" s="234"/>
      <c r="EVG5" s="234"/>
      <c r="EVH5" s="234"/>
      <c r="EVI5" s="234"/>
      <c r="EVJ5" s="234"/>
      <c r="EVK5" s="234"/>
      <c r="EVL5" s="234"/>
      <c r="EVM5" s="234"/>
      <c r="EVN5" s="234"/>
      <c r="EVO5" s="234"/>
      <c r="EVP5" s="234"/>
      <c r="EVQ5" s="234"/>
      <c r="EVR5" s="234"/>
      <c r="EVS5" s="234"/>
      <c r="EVT5" s="234"/>
      <c r="EVU5" s="234"/>
      <c r="EVV5" s="234"/>
      <c r="EVW5" s="234"/>
      <c r="EVX5" s="234"/>
      <c r="EVY5" s="234"/>
      <c r="EVZ5" s="234"/>
      <c r="EWA5" s="234"/>
      <c r="EWB5" s="234"/>
      <c r="EWC5" s="234"/>
      <c r="EWD5" s="234"/>
      <c r="EWE5" s="234"/>
      <c r="EWF5" s="234"/>
      <c r="EWG5" s="234"/>
      <c r="EWH5" s="234"/>
      <c r="EWI5" s="234"/>
      <c r="EWJ5" s="234"/>
      <c r="EWK5" s="234"/>
      <c r="EWL5" s="234"/>
      <c r="EWM5" s="234"/>
      <c r="EWN5" s="234"/>
      <c r="EWO5" s="234"/>
      <c r="EWP5" s="234"/>
      <c r="EWQ5" s="234"/>
      <c r="EWR5" s="234"/>
      <c r="EWS5" s="234"/>
      <c r="EWT5" s="234"/>
      <c r="EWU5" s="234"/>
      <c r="EWV5" s="234"/>
      <c r="EWW5" s="234"/>
      <c r="EWX5" s="234"/>
      <c r="EWY5" s="234"/>
      <c r="EWZ5" s="234"/>
      <c r="EXA5" s="234"/>
      <c r="EXB5" s="234"/>
      <c r="EXC5" s="234"/>
      <c r="EXD5" s="234"/>
      <c r="EXE5" s="234"/>
      <c r="EXF5" s="234"/>
      <c r="EXG5" s="234"/>
      <c r="EXH5" s="234"/>
      <c r="EXI5" s="234"/>
      <c r="EXJ5" s="234"/>
      <c r="EXK5" s="234"/>
      <c r="EXL5" s="234"/>
      <c r="EXM5" s="234"/>
      <c r="EXN5" s="234"/>
      <c r="EXO5" s="234"/>
      <c r="EXP5" s="234"/>
      <c r="EXQ5" s="234"/>
      <c r="EXR5" s="234"/>
      <c r="EXS5" s="234"/>
      <c r="EXT5" s="234"/>
      <c r="EXU5" s="234"/>
      <c r="EXV5" s="234"/>
      <c r="EXW5" s="234"/>
      <c r="EXX5" s="234"/>
      <c r="EXY5" s="234"/>
      <c r="EXZ5" s="234"/>
      <c r="EYA5" s="234"/>
      <c r="EYB5" s="234"/>
      <c r="EYC5" s="234"/>
      <c r="EYD5" s="234"/>
      <c r="EYE5" s="234"/>
      <c r="EYF5" s="234"/>
      <c r="EYG5" s="234"/>
      <c r="EYH5" s="234"/>
      <c r="EYI5" s="234"/>
      <c r="EYJ5" s="234"/>
      <c r="EYK5" s="234"/>
      <c r="EYL5" s="234"/>
      <c r="EYM5" s="234"/>
      <c r="EYN5" s="234"/>
      <c r="EYO5" s="234"/>
      <c r="EYP5" s="234"/>
      <c r="EYQ5" s="234"/>
      <c r="EYR5" s="234"/>
      <c r="EYS5" s="234"/>
      <c r="EYT5" s="234"/>
      <c r="EYU5" s="234"/>
      <c r="EYV5" s="234"/>
      <c r="EYW5" s="234"/>
      <c r="EYX5" s="234"/>
      <c r="EYY5" s="234"/>
      <c r="EYZ5" s="234"/>
      <c r="EZA5" s="234"/>
      <c r="EZB5" s="234"/>
      <c r="EZC5" s="234"/>
      <c r="EZD5" s="234"/>
      <c r="EZE5" s="234"/>
      <c r="EZF5" s="234"/>
      <c r="EZG5" s="234"/>
      <c r="EZH5" s="234"/>
      <c r="EZI5" s="234"/>
      <c r="EZJ5" s="234"/>
      <c r="EZK5" s="234"/>
      <c r="EZL5" s="234"/>
      <c r="EZM5" s="234"/>
      <c r="EZN5" s="234"/>
      <c r="EZO5" s="234"/>
      <c r="EZP5" s="234"/>
      <c r="EZQ5" s="234"/>
      <c r="EZR5" s="234"/>
      <c r="EZS5" s="234"/>
      <c r="EZT5" s="234"/>
      <c r="EZU5" s="234"/>
      <c r="EZV5" s="234"/>
      <c r="EZW5" s="234"/>
      <c r="EZX5" s="234"/>
      <c r="EZY5" s="234"/>
      <c r="EZZ5" s="234"/>
      <c r="FAA5" s="234"/>
      <c r="FAB5" s="234"/>
      <c r="FAC5" s="234"/>
      <c r="FAD5" s="234"/>
      <c r="FAE5" s="234"/>
      <c r="FAF5" s="234"/>
      <c r="FAG5" s="234"/>
      <c r="FAH5" s="234"/>
      <c r="FAI5" s="234"/>
      <c r="FAJ5" s="234"/>
      <c r="FAK5" s="234"/>
      <c r="FAL5" s="234"/>
      <c r="FAM5" s="234"/>
      <c r="FAN5" s="234"/>
      <c r="FAO5" s="234"/>
      <c r="FAP5" s="234"/>
      <c r="FAQ5" s="234"/>
      <c r="FAR5" s="234"/>
      <c r="FAS5" s="234"/>
      <c r="FAT5" s="234"/>
      <c r="FAU5" s="234"/>
      <c r="FAV5" s="234"/>
      <c r="FAW5" s="234"/>
      <c r="FAX5" s="234"/>
      <c r="FAY5" s="234"/>
      <c r="FAZ5" s="234"/>
      <c r="FBA5" s="234"/>
      <c r="FBB5" s="234"/>
      <c r="FBC5" s="234"/>
      <c r="FBD5" s="234"/>
      <c r="FBE5" s="234"/>
      <c r="FBF5" s="234"/>
      <c r="FBG5" s="234"/>
      <c r="FBH5" s="234"/>
      <c r="FBI5" s="234"/>
      <c r="FBJ5" s="234"/>
      <c r="FBK5" s="234"/>
      <c r="FBL5" s="234"/>
      <c r="FBM5" s="234"/>
      <c r="FBN5" s="234"/>
      <c r="FBO5" s="234"/>
      <c r="FBP5" s="234"/>
      <c r="FBQ5" s="234"/>
      <c r="FBR5" s="234"/>
      <c r="FBS5" s="234"/>
      <c r="FBT5" s="234"/>
      <c r="FBU5" s="234"/>
      <c r="FBV5" s="234"/>
      <c r="FBW5" s="234"/>
      <c r="FBX5" s="234"/>
      <c r="FBY5" s="234"/>
      <c r="FBZ5" s="234"/>
      <c r="FCA5" s="234"/>
      <c r="FCB5" s="234"/>
      <c r="FCC5" s="234"/>
      <c r="FCD5" s="234"/>
      <c r="FCE5" s="234"/>
      <c r="FCF5" s="234"/>
      <c r="FCG5" s="234"/>
      <c r="FCH5" s="234"/>
      <c r="FCI5" s="234"/>
      <c r="FCJ5" s="234"/>
      <c r="FCK5" s="234"/>
      <c r="FCL5" s="234"/>
      <c r="FCM5" s="234"/>
      <c r="FCN5" s="234"/>
      <c r="FCO5" s="234"/>
      <c r="FCP5" s="234"/>
      <c r="FCQ5" s="234"/>
      <c r="FCR5" s="234"/>
      <c r="FCS5" s="234"/>
      <c r="FCT5" s="234"/>
      <c r="FCU5" s="234"/>
      <c r="FCV5" s="234"/>
      <c r="FCW5" s="234"/>
      <c r="FCX5" s="234"/>
      <c r="FCY5" s="234"/>
      <c r="FCZ5" s="234"/>
      <c r="FDA5" s="234"/>
      <c r="FDB5" s="234"/>
      <c r="FDC5" s="234"/>
      <c r="FDD5" s="234"/>
      <c r="FDE5" s="234"/>
      <c r="FDF5" s="234"/>
      <c r="FDG5" s="234"/>
      <c r="FDH5" s="234"/>
      <c r="FDI5" s="234"/>
      <c r="FDJ5" s="234"/>
      <c r="FDK5" s="234"/>
      <c r="FDL5" s="234"/>
      <c r="FDM5" s="234"/>
      <c r="FDN5" s="234"/>
      <c r="FDO5" s="234"/>
      <c r="FDP5" s="234"/>
      <c r="FDQ5" s="234"/>
      <c r="FDR5" s="234"/>
      <c r="FDS5" s="234"/>
      <c r="FDT5" s="234"/>
      <c r="FDU5" s="234"/>
      <c r="FDV5" s="234"/>
      <c r="FDW5" s="234"/>
      <c r="FDX5" s="234"/>
      <c r="FDY5" s="234"/>
      <c r="FDZ5" s="234"/>
      <c r="FEA5" s="234"/>
      <c r="FEB5" s="234"/>
      <c r="FEC5" s="234"/>
      <c r="FED5" s="234"/>
      <c r="FEE5" s="234"/>
      <c r="FEF5" s="234"/>
      <c r="FEG5" s="234"/>
      <c r="FEH5" s="234"/>
      <c r="FEI5" s="234"/>
      <c r="FEJ5" s="234"/>
      <c r="FEK5" s="234"/>
      <c r="FEL5" s="234"/>
      <c r="FEM5" s="234"/>
      <c r="FEN5" s="234"/>
      <c r="FEO5" s="234"/>
      <c r="FEP5" s="234"/>
      <c r="FEQ5" s="234"/>
      <c r="FER5" s="234"/>
      <c r="FES5" s="234"/>
      <c r="FET5" s="234"/>
      <c r="FEU5" s="234"/>
      <c r="FEV5" s="234"/>
      <c r="FEW5" s="234"/>
      <c r="FEX5" s="234"/>
      <c r="FEY5" s="234"/>
      <c r="FEZ5" s="234"/>
      <c r="FFA5" s="234"/>
      <c r="FFB5" s="234"/>
      <c r="FFC5" s="234"/>
      <c r="FFD5" s="234"/>
      <c r="FFE5" s="234"/>
      <c r="FFF5" s="234"/>
      <c r="FFG5" s="234"/>
      <c r="FFH5" s="234"/>
      <c r="FFI5" s="234"/>
      <c r="FFJ5" s="234"/>
      <c r="FFK5" s="234"/>
      <c r="FFL5" s="234"/>
      <c r="FFM5" s="234"/>
      <c r="FFN5" s="234"/>
      <c r="FFO5" s="234"/>
      <c r="FFP5" s="234"/>
      <c r="FFQ5" s="234"/>
      <c r="FFR5" s="234"/>
      <c r="FFS5" s="234"/>
      <c r="FFT5" s="234"/>
      <c r="FFU5" s="234"/>
      <c r="FFV5" s="234"/>
      <c r="FFW5" s="234"/>
      <c r="FFX5" s="234"/>
      <c r="FFY5" s="234"/>
      <c r="FFZ5" s="234"/>
      <c r="FGA5" s="234"/>
      <c r="FGB5" s="234"/>
      <c r="FGC5" s="234"/>
      <c r="FGD5" s="234"/>
      <c r="FGE5" s="234"/>
      <c r="FGF5" s="234"/>
      <c r="FGG5" s="234"/>
      <c r="FGH5" s="234"/>
      <c r="FGI5" s="234"/>
      <c r="FGJ5" s="234"/>
      <c r="FGK5" s="234"/>
      <c r="FGL5" s="234"/>
      <c r="FGM5" s="234"/>
      <c r="FGN5" s="234"/>
      <c r="FGO5" s="234"/>
      <c r="FGP5" s="234"/>
      <c r="FGQ5" s="234"/>
      <c r="FGR5" s="234"/>
      <c r="FGS5" s="234"/>
      <c r="FGT5" s="234"/>
      <c r="FGU5" s="234"/>
      <c r="FGV5" s="234"/>
      <c r="FGW5" s="234"/>
      <c r="FGX5" s="234"/>
      <c r="FGY5" s="234"/>
      <c r="FGZ5" s="234"/>
      <c r="FHA5" s="234"/>
      <c r="FHB5" s="234"/>
      <c r="FHC5" s="234"/>
      <c r="FHD5" s="234"/>
      <c r="FHE5" s="234"/>
      <c r="FHF5" s="234"/>
      <c r="FHG5" s="234"/>
      <c r="FHH5" s="234"/>
      <c r="FHI5" s="234"/>
      <c r="FHJ5" s="234"/>
      <c r="FHK5" s="234"/>
      <c r="FHL5" s="234"/>
      <c r="FHM5" s="234"/>
      <c r="FHN5" s="234"/>
      <c r="FHO5" s="234"/>
      <c r="FHP5" s="234"/>
      <c r="FHQ5" s="234"/>
      <c r="FHR5" s="234"/>
      <c r="FHS5" s="234"/>
      <c r="FHT5" s="234"/>
      <c r="FHU5" s="234"/>
      <c r="FHV5" s="234"/>
      <c r="FHW5" s="234"/>
      <c r="FHX5" s="234"/>
      <c r="FHY5" s="234"/>
      <c r="FHZ5" s="234"/>
      <c r="FIA5" s="234"/>
      <c r="FIB5" s="234"/>
      <c r="FIC5" s="234"/>
      <c r="FID5" s="234"/>
      <c r="FIE5" s="234"/>
      <c r="FIF5" s="234"/>
      <c r="FIG5" s="234"/>
      <c r="FIH5" s="234"/>
      <c r="FII5" s="234"/>
      <c r="FIJ5" s="234"/>
      <c r="FIK5" s="234"/>
      <c r="FIL5" s="234"/>
      <c r="FIM5" s="234"/>
      <c r="FIN5" s="234"/>
      <c r="FIO5" s="234"/>
      <c r="FIP5" s="234"/>
      <c r="FIQ5" s="234"/>
      <c r="FIR5" s="234"/>
      <c r="FIS5" s="234"/>
      <c r="FIT5" s="234"/>
      <c r="FIU5" s="234"/>
      <c r="FIV5" s="234"/>
      <c r="FIW5" s="234"/>
      <c r="FIX5" s="234"/>
      <c r="FIY5" s="234"/>
      <c r="FIZ5" s="234"/>
      <c r="FJA5" s="234"/>
      <c r="FJB5" s="234"/>
      <c r="FJC5" s="234"/>
      <c r="FJD5" s="234"/>
      <c r="FJE5" s="234"/>
      <c r="FJF5" s="234"/>
      <c r="FJG5" s="234"/>
      <c r="FJH5" s="234"/>
      <c r="FJI5" s="234"/>
      <c r="FJJ5" s="234"/>
      <c r="FJK5" s="234"/>
      <c r="FJL5" s="234"/>
      <c r="FJM5" s="234"/>
      <c r="FJN5" s="234"/>
      <c r="FJO5" s="234"/>
      <c r="FJP5" s="234"/>
      <c r="FJQ5" s="234"/>
      <c r="FJR5" s="234"/>
      <c r="FJS5" s="234"/>
      <c r="FJT5" s="234"/>
      <c r="FJU5" s="234"/>
      <c r="FJV5" s="234"/>
      <c r="FJW5" s="234"/>
      <c r="FJX5" s="234"/>
      <c r="FJY5" s="234"/>
      <c r="FJZ5" s="234"/>
      <c r="FKA5" s="234"/>
      <c r="FKB5" s="234"/>
      <c r="FKC5" s="234"/>
      <c r="FKD5" s="234"/>
      <c r="FKE5" s="234"/>
      <c r="FKF5" s="234"/>
      <c r="FKG5" s="234"/>
      <c r="FKH5" s="234"/>
      <c r="FKI5" s="234"/>
      <c r="FKJ5" s="234"/>
      <c r="FKK5" s="234"/>
      <c r="FKL5" s="234"/>
      <c r="FKM5" s="234"/>
      <c r="FKN5" s="234"/>
      <c r="FKO5" s="234"/>
      <c r="FKP5" s="234"/>
      <c r="FKQ5" s="234"/>
      <c r="FKR5" s="234"/>
      <c r="FKS5" s="234"/>
      <c r="FKT5" s="234"/>
      <c r="FKU5" s="234"/>
      <c r="FKV5" s="234"/>
      <c r="FKW5" s="234"/>
      <c r="FKX5" s="234"/>
      <c r="FKY5" s="234"/>
      <c r="FKZ5" s="234"/>
      <c r="FLA5" s="234"/>
      <c r="FLB5" s="234"/>
      <c r="FLC5" s="234"/>
      <c r="FLD5" s="234"/>
      <c r="FLE5" s="234"/>
      <c r="FLF5" s="234"/>
      <c r="FLG5" s="234"/>
      <c r="FLH5" s="234"/>
      <c r="FLI5" s="234"/>
      <c r="FLJ5" s="234"/>
      <c r="FLK5" s="234"/>
      <c r="FLL5" s="234"/>
      <c r="FLM5" s="234"/>
      <c r="FLN5" s="234"/>
      <c r="FLO5" s="234"/>
      <c r="FLP5" s="234"/>
      <c r="FLQ5" s="234"/>
      <c r="FLR5" s="234"/>
      <c r="FLS5" s="234"/>
      <c r="FLT5" s="234"/>
      <c r="FLU5" s="234"/>
      <c r="FLV5" s="234"/>
      <c r="FLW5" s="234"/>
      <c r="FLX5" s="234"/>
      <c r="FLY5" s="234"/>
      <c r="FLZ5" s="234"/>
      <c r="FMA5" s="234"/>
      <c r="FMB5" s="234"/>
      <c r="FMC5" s="234"/>
      <c r="FMD5" s="234"/>
      <c r="FME5" s="234"/>
      <c r="FMF5" s="234"/>
      <c r="FMG5" s="234"/>
      <c r="FMH5" s="234"/>
      <c r="FMI5" s="234"/>
      <c r="FMJ5" s="234"/>
      <c r="FMK5" s="234"/>
      <c r="FML5" s="234"/>
      <c r="FMM5" s="234"/>
      <c r="FMN5" s="234"/>
      <c r="FMO5" s="234"/>
      <c r="FMP5" s="234"/>
      <c r="FMQ5" s="234"/>
      <c r="FMR5" s="234"/>
      <c r="FMS5" s="234"/>
      <c r="FMT5" s="234"/>
      <c r="FMU5" s="234"/>
      <c r="FMV5" s="234"/>
      <c r="FMW5" s="234"/>
      <c r="FMX5" s="234"/>
      <c r="FMY5" s="234"/>
      <c r="FMZ5" s="234"/>
      <c r="FNA5" s="234"/>
      <c r="FNB5" s="234"/>
      <c r="FNC5" s="234"/>
      <c r="FND5" s="234"/>
      <c r="FNE5" s="234"/>
      <c r="FNF5" s="234"/>
      <c r="FNG5" s="234"/>
      <c r="FNH5" s="234"/>
      <c r="FNI5" s="234"/>
      <c r="FNJ5" s="234"/>
      <c r="FNK5" s="234"/>
      <c r="FNL5" s="234"/>
      <c r="FNM5" s="234"/>
      <c r="FNN5" s="234"/>
      <c r="FNO5" s="234"/>
      <c r="FNP5" s="234"/>
      <c r="FNQ5" s="234"/>
      <c r="FNR5" s="234"/>
      <c r="FNS5" s="234"/>
      <c r="FNT5" s="234"/>
      <c r="FNU5" s="234"/>
      <c r="FNV5" s="234"/>
      <c r="FNW5" s="234"/>
      <c r="FNX5" s="234"/>
      <c r="FNY5" s="234"/>
      <c r="FNZ5" s="234"/>
      <c r="FOA5" s="234"/>
      <c r="FOB5" s="234"/>
      <c r="FOC5" s="234"/>
      <c r="FOD5" s="234"/>
      <c r="FOE5" s="234"/>
      <c r="FOF5" s="234"/>
      <c r="FOG5" s="234"/>
      <c r="FOH5" s="234"/>
      <c r="FOI5" s="234"/>
      <c r="FOJ5" s="234"/>
      <c r="FOK5" s="234"/>
      <c r="FOL5" s="234"/>
      <c r="FOM5" s="234"/>
      <c r="FON5" s="234"/>
      <c r="FOO5" s="234"/>
      <c r="FOP5" s="234"/>
      <c r="FOQ5" s="234"/>
      <c r="FOR5" s="234"/>
      <c r="FOS5" s="234"/>
      <c r="FOT5" s="234"/>
      <c r="FOU5" s="234"/>
      <c r="FOV5" s="234"/>
      <c r="FOW5" s="234"/>
      <c r="FOX5" s="234"/>
      <c r="FOY5" s="234"/>
      <c r="FOZ5" s="234"/>
      <c r="FPA5" s="234"/>
      <c r="FPB5" s="234"/>
      <c r="FPC5" s="234"/>
      <c r="FPD5" s="234"/>
      <c r="FPE5" s="234"/>
      <c r="FPF5" s="234"/>
      <c r="FPG5" s="234"/>
      <c r="FPH5" s="234"/>
      <c r="FPI5" s="234"/>
      <c r="FPJ5" s="234"/>
      <c r="FPK5" s="234"/>
      <c r="FPL5" s="234"/>
      <c r="FPM5" s="234"/>
      <c r="FPN5" s="234"/>
      <c r="FPO5" s="234"/>
      <c r="FPP5" s="234"/>
      <c r="FPQ5" s="234"/>
      <c r="FPR5" s="234"/>
      <c r="FPS5" s="234"/>
      <c r="FPT5" s="234"/>
      <c r="FPU5" s="234"/>
      <c r="FPV5" s="234"/>
      <c r="FPW5" s="234"/>
      <c r="FPX5" s="234"/>
      <c r="FPY5" s="234"/>
      <c r="FPZ5" s="234"/>
      <c r="FQA5" s="234"/>
      <c r="FQB5" s="234"/>
      <c r="FQC5" s="234"/>
      <c r="FQD5" s="234"/>
      <c r="FQE5" s="234"/>
      <c r="FQF5" s="234"/>
      <c r="FQG5" s="234"/>
      <c r="FQH5" s="234"/>
      <c r="FQI5" s="234"/>
      <c r="FQJ5" s="234"/>
      <c r="FQK5" s="234"/>
      <c r="FQL5" s="234"/>
      <c r="FQM5" s="234"/>
      <c r="FQN5" s="234"/>
      <c r="FQO5" s="234"/>
      <c r="FQP5" s="234"/>
      <c r="FQQ5" s="234"/>
      <c r="FQR5" s="234"/>
      <c r="FQS5" s="234"/>
      <c r="FQT5" s="234"/>
      <c r="FQU5" s="234"/>
      <c r="FQV5" s="234"/>
      <c r="FQW5" s="234"/>
      <c r="FQX5" s="234"/>
      <c r="FQY5" s="234"/>
      <c r="FQZ5" s="234"/>
      <c r="FRA5" s="234"/>
      <c r="FRB5" s="234"/>
      <c r="FRC5" s="234"/>
      <c r="FRD5" s="234"/>
      <c r="FRE5" s="234"/>
      <c r="FRF5" s="234"/>
      <c r="FRG5" s="234"/>
      <c r="FRH5" s="234"/>
      <c r="FRI5" s="234"/>
      <c r="FRJ5" s="234"/>
      <c r="FRK5" s="234"/>
      <c r="FRL5" s="234"/>
      <c r="FRM5" s="234"/>
      <c r="FRN5" s="234"/>
      <c r="FRO5" s="234"/>
      <c r="FRP5" s="234"/>
      <c r="FRQ5" s="234"/>
      <c r="FRR5" s="234"/>
      <c r="FRS5" s="234"/>
      <c r="FRT5" s="234"/>
      <c r="FRU5" s="234"/>
      <c r="FRV5" s="234"/>
      <c r="FRW5" s="234"/>
      <c r="FRX5" s="234"/>
      <c r="FRY5" s="234"/>
      <c r="FRZ5" s="234"/>
      <c r="FSA5" s="234"/>
      <c r="FSB5" s="234"/>
      <c r="FSC5" s="234"/>
      <c r="FSD5" s="234"/>
      <c r="FSE5" s="234"/>
      <c r="FSF5" s="234"/>
      <c r="FSG5" s="234"/>
      <c r="FSH5" s="234"/>
      <c r="FSI5" s="234"/>
      <c r="FSJ5" s="234"/>
      <c r="FSK5" s="234"/>
      <c r="FSL5" s="234"/>
      <c r="FSM5" s="234"/>
      <c r="FSN5" s="234"/>
      <c r="FSO5" s="234"/>
      <c r="FSP5" s="234"/>
      <c r="FSQ5" s="234"/>
      <c r="FSR5" s="234"/>
      <c r="FSS5" s="234"/>
      <c r="FST5" s="234"/>
      <c r="FSU5" s="234"/>
      <c r="FSV5" s="234"/>
      <c r="FSW5" s="234"/>
      <c r="FSX5" s="234"/>
      <c r="FSY5" s="234"/>
      <c r="FSZ5" s="234"/>
      <c r="FTA5" s="234"/>
      <c r="FTB5" s="234"/>
      <c r="FTC5" s="234"/>
      <c r="FTD5" s="234"/>
      <c r="FTE5" s="234"/>
      <c r="FTF5" s="234"/>
      <c r="FTG5" s="234"/>
      <c r="FTH5" s="234"/>
      <c r="FTI5" s="234"/>
      <c r="FTJ5" s="234"/>
      <c r="FTK5" s="234"/>
      <c r="FTL5" s="234"/>
      <c r="FTM5" s="234"/>
      <c r="FTN5" s="234"/>
      <c r="FTO5" s="234"/>
      <c r="FTP5" s="234"/>
      <c r="FTQ5" s="234"/>
      <c r="FTR5" s="234"/>
      <c r="FTS5" s="234"/>
      <c r="FTT5" s="234"/>
      <c r="FTU5" s="234"/>
      <c r="FTV5" s="234"/>
      <c r="FTW5" s="234"/>
      <c r="FTX5" s="234"/>
      <c r="FTY5" s="234"/>
      <c r="FTZ5" s="234"/>
      <c r="FUA5" s="234"/>
      <c r="FUB5" s="234"/>
      <c r="FUC5" s="234"/>
      <c r="FUD5" s="234"/>
      <c r="FUE5" s="234"/>
      <c r="FUF5" s="234"/>
      <c r="FUG5" s="234"/>
      <c r="FUH5" s="234"/>
      <c r="FUI5" s="234"/>
      <c r="FUJ5" s="234"/>
      <c r="FUK5" s="234"/>
      <c r="FUL5" s="234"/>
      <c r="FUM5" s="234"/>
      <c r="FUN5" s="234"/>
      <c r="FUO5" s="234"/>
      <c r="FUP5" s="234"/>
      <c r="FUQ5" s="234"/>
      <c r="FUR5" s="234"/>
      <c r="FUS5" s="234"/>
      <c r="FUT5" s="234"/>
      <c r="FUU5" s="234"/>
      <c r="FUV5" s="234"/>
      <c r="FUW5" s="234"/>
      <c r="FUX5" s="234"/>
      <c r="FUY5" s="234"/>
      <c r="FUZ5" s="234"/>
      <c r="FVA5" s="234"/>
      <c r="FVB5" s="234"/>
      <c r="FVC5" s="234"/>
      <c r="FVD5" s="234"/>
      <c r="FVE5" s="234"/>
      <c r="FVF5" s="234"/>
      <c r="FVG5" s="234"/>
      <c r="FVH5" s="234"/>
      <c r="FVI5" s="234"/>
      <c r="FVJ5" s="234"/>
      <c r="FVK5" s="234"/>
      <c r="FVL5" s="234"/>
      <c r="FVM5" s="234"/>
      <c r="FVN5" s="234"/>
      <c r="FVO5" s="234"/>
      <c r="FVP5" s="234"/>
      <c r="FVQ5" s="234"/>
      <c r="FVR5" s="234"/>
      <c r="FVS5" s="234"/>
      <c r="FVT5" s="234"/>
      <c r="FVU5" s="234"/>
      <c r="FVV5" s="234"/>
      <c r="FVW5" s="234"/>
      <c r="FVX5" s="234"/>
      <c r="FVY5" s="234"/>
      <c r="FVZ5" s="234"/>
      <c r="FWA5" s="234"/>
      <c r="FWB5" s="234"/>
      <c r="FWC5" s="234"/>
      <c r="FWD5" s="234"/>
      <c r="FWE5" s="234"/>
      <c r="FWF5" s="234"/>
      <c r="FWG5" s="234"/>
      <c r="FWH5" s="234"/>
      <c r="FWI5" s="234"/>
      <c r="FWJ5" s="234"/>
      <c r="FWK5" s="234"/>
      <c r="FWL5" s="234"/>
      <c r="FWM5" s="234"/>
      <c r="FWN5" s="234"/>
      <c r="FWO5" s="234"/>
      <c r="FWP5" s="234"/>
      <c r="FWQ5" s="234"/>
      <c r="FWR5" s="234"/>
      <c r="FWS5" s="234"/>
      <c r="FWT5" s="234"/>
      <c r="FWU5" s="234"/>
      <c r="FWV5" s="234"/>
      <c r="FWW5" s="234"/>
      <c r="FWX5" s="234"/>
      <c r="FWY5" s="234"/>
      <c r="FWZ5" s="234"/>
      <c r="FXA5" s="234"/>
      <c r="FXB5" s="234"/>
      <c r="FXC5" s="234"/>
      <c r="FXD5" s="234"/>
      <c r="FXE5" s="234"/>
      <c r="FXF5" s="234"/>
      <c r="FXG5" s="234"/>
      <c r="FXH5" s="234"/>
      <c r="FXI5" s="234"/>
      <c r="FXJ5" s="234"/>
      <c r="FXK5" s="234"/>
      <c r="FXL5" s="234"/>
      <c r="FXM5" s="234"/>
      <c r="FXN5" s="234"/>
      <c r="FXO5" s="234"/>
      <c r="FXP5" s="234"/>
      <c r="FXQ5" s="234"/>
      <c r="FXR5" s="234"/>
      <c r="FXS5" s="234"/>
      <c r="FXT5" s="234"/>
      <c r="FXU5" s="234"/>
      <c r="FXV5" s="234"/>
      <c r="FXW5" s="234"/>
      <c r="FXX5" s="234"/>
      <c r="FXY5" s="234"/>
      <c r="FXZ5" s="234"/>
      <c r="FYA5" s="234"/>
      <c r="FYB5" s="234"/>
      <c r="FYC5" s="234"/>
      <c r="FYD5" s="234"/>
      <c r="FYE5" s="234"/>
      <c r="FYF5" s="234"/>
      <c r="FYG5" s="234"/>
      <c r="FYH5" s="234"/>
      <c r="FYI5" s="234"/>
      <c r="FYJ5" s="234"/>
      <c r="FYK5" s="234"/>
      <c r="FYL5" s="234"/>
      <c r="FYM5" s="234"/>
      <c r="FYN5" s="234"/>
      <c r="FYO5" s="234"/>
      <c r="FYP5" s="234"/>
      <c r="FYQ5" s="234"/>
      <c r="FYR5" s="234"/>
      <c r="FYS5" s="234"/>
      <c r="FYT5" s="234"/>
      <c r="FYU5" s="234"/>
      <c r="FYV5" s="234"/>
      <c r="FYW5" s="234"/>
      <c r="FYX5" s="234"/>
      <c r="FYY5" s="234"/>
      <c r="FYZ5" s="234"/>
      <c r="FZA5" s="234"/>
      <c r="FZB5" s="234"/>
      <c r="FZC5" s="234"/>
      <c r="FZD5" s="234"/>
      <c r="FZE5" s="234"/>
      <c r="FZF5" s="234"/>
      <c r="FZG5" s="234"/>
      <c r="FZH5" s="234"/>
      <c r="FZI5" s="234"/>
      <c r="FZJ5" s="234"/>
      <c r="FZK5" s="234"/>
      <c r="FZL5" s="234"/>
      <c r="FZM5" s="234"/>
      <c r="FZN5" s="234"/>
      <c r="FZO5" s="234"/>
      <c r="FZP5" s="234"/>
      <c r="FZQ5" s="234"/>
      <c r="FZR5" s="234"/>
      <c r="FZS5" s="234"/>
      <c r="FZT5" s="234"/>
      <c r="FZU5" s="234"/>
      <c r="FZV5" s="234"/>
      <c r="FZW5" s="234"/>
      <c r="FZX5" s="234"/>
      <c r="FZY5" s="234"/>
      <c r="FZZ5" s="234"/>
      <c r="GAA5" s="234"/>
      <c r="GAB5" s="234"/>
      <c r="GAC5" s="234"/>
      <c r="GAD5" s="234"/>
      <c r="GAE5" s="234"/>
      <c r="GAF5" s="234"/>
      <c r="GAG5" s="234"/>
      <c r="GAH5" s="234"/>
      <c r="GAI5" s="234"/>
      <c r="GAJ5" s="234"/>
      <c r="GAK5" s="234"/>
      <c r="GAL5" s="234"/>
      <c r="GAM5" s="234"/>
      <c r="GAN5" s="234"/>
      <c r="GAO5" s="234"/>
      <c r="GAP5" s="234"/>
      <c r="GAQ5" s="234"/>
      <c r="GAR5" s="234"/>
      <c r="GAS5" s="234"/>
      <c r="GAT5" s="234"/>
      <c r="GAU5" s="234"/>
      <c r="GAV5" s="234"/>
      <c r="GAW5" s="234"/>
      <c r="GAX5" s="234"/>
      <c r="GAY5" s="234"/>
      <c r="GAZ5" s="234"/>
      <c r="GBA5" s="234"/>
      <c r="GBB5" s="234"/>
      <c r="GBC5" s="234"/>
      <c r="GBD5" s="234"/>
      <c r="GBE5" s="234"/>
      <c r="GBF5" s="234"/>
      <c r="GBG5" s="234"/>
      <c r="GBH5" s="234"/>
      <c r="GBI5" s="234"/>
      <c r="GBJ5" s="234"/>
      <c r="GBK5" s="234"/>
      <c r="GBL5" s="234"/>
      <c r="GBM5" s="234"/>
      <c r="GBN5" s="234"/>
      <c r="GBO5" s="234"/>
      <c r="GBP5" s="234"/>
      <c r="GBQ5" s="234"/>
      <c r="GBR5" s="234"/>
      <c r="GBS5" s="234"/>
      <c r="GBT5" s="234"/>
      <c r="GBU5" s="234"/>
      <c r="GBV5" s="234"/>
      <c r="GBW5" s="234"/>
      <c r="GBX5" s="234"/>
      <c r="GBY5" s="234"/>
      <c r="GBZ5" s="234"/>
      <c r="GCA5" s="234"/>
      <c r="GCB5" s="234"/>
      <c r="GCC5" s="234"/>
      <c r="GCD5" s="234"/>
      <c r="GCE5" s="234"/>
      <c r="GCF5" s="234"/>
      <c r="GCG5" s="234"/>
      <c r="GCH5" s="234"/>
      <c r="GCI5" s="234"/>
      <c r="GCJ5" s="234"/>
      <c r="GCK5" s="234"/>
      <c r="GCL5" s="234"/>
      <c r="GCM5" s="234"/>
      <c r="GCN5" s="234"/>
      <c r="GCO5" s="234"/>
      <c r="GCP5" s="234"/>
      <c r="GCQ5" s="234"/>
      <c r="GCR5" s="234"/>
      <c r="GCS5" s="234"/>
      <c r="GCT5" s="234"/>
      <c r="GCU5" s="234"/>
      <c r="GCV5" s="234"/>
      <c r="GCW5" s="234"/>
      <c r="GCX5" s="234"/>
      <c r="GCY5" s="234"/>
      <c r="GCZ5" s="234"/>
      <c r="GDA5" s="234"/>
      <c r="GDB5" s="234"/>
      <c r="GDC5" s="234"/>
      <c r="GDD5" s="234"/>
      <c r="GDE5" s="234"/>
      <c r="GDF5" s="234"/>
      <c r="GDG5" s="234"/>
      <c r="GDH5" s="234"/>
      <c r="GDI5" s="234"/>
      <c r="GDJ5" s="234"/>
      <c r="GDK5" s="234"/>
      <c r="GDL5" s="234"/>
      <c r="GDM5" s="234"/>
      <c r="GDN5" s="234"/>
      <c r="GDO5" s="234"/>
      <c r="GDP5" s="234"/>
      <c r="GDQ5" s="234"/>
      <c r="GDR5" s="234"/>
      <c r="GDS5" s="234"/>
      <c r="GDT5" s="234"/>
      <c r="GDU5" s="234"/>
      <c r="GDV5" s="234"/>
      <c r="GDW5" s="234"/>
      <c r="GDX5" s="234"/>
      <c r="GDY5" s="234"/>
      <c r="GDZ5" s="234"/>
      <c r="GEA5" s="234"/>
      <c r="GEB5" s="234"/>
      <c r="GEC5" s="234"/>
      <c r="GED5" s="234"/>
      <c r="GEE5" s="234"/>
      <c r="GEF5" s="234"/>
      <c r="GEG5" s="234"/>
      <c r="GEH5" s="234"/>
      <c r="GEI5" s="234"/>
      <c r="GEJ5" s="234"/>
      <c r="GEK5" s="234"/>
      <c r="GEL5" s="234"/>
      <c r="GEM5" s="234"/>
      <c r="GEN5" s="234"/>
      <c r="GEO5" s="234"/>
      <c r="GEP5" s="234"/>
      <c r="GEQ5" s="234"/>
      <c r="GER5" s="234"/>
      <c r="GES5" s="234"/>
      <c r="GET5" s="234"/>
      <c r="GEU5" s="234"/>
      <c r="GEV5" s="234"/>
      <c r="GEW5" s="234"/>
      <c r="GEX5" s="234"/>
      <c r="GEY5" s="234"/>
      <c r="GEZ5" s="234"/>
      <c r="GFA5" s="234"/>
      <c r="GFB5" s="234"/>
      <c r="GFC5" s="234"/>
      <c r="GFD5" s="234"/>
      <c r="GFE5" s="234"/>
      <c r="GFF5" s="234"/>
      <c r="GFG5" s="234"/>
      <c r="GFH5" s="234"/>
      <c r="GFI5" s="234"/>
      <c r="GFJ5" s="234"/>
      <c r="GFK5" s="234"/>
      <c r="GFL5" s="234"/>
      <c r="GFM5" s="234"/>
      <c r="GFN5" s="234"/>
      <c r="GFO5" s="234"/>
      <c r="GFP5" s="234"/>
      <c r="GFQ5" s="234"/>
      <c r="GFR5" s="234"/>
      <c r="GFS5" s="234"/>
      <c r="GFT5" s="234"/>
      <c r="GFU5" s="234"/>
      <c r="GFV5" s="234"/>
      <c r="GFW5" s="234"/>
      <c r="GFX5" s="234"/>
      <c r="GFY5" s="234"/>
      <c r="GFZ5" s="234"/>
      <c r="GGA5" s="234"/>
      <c r="GGB5" s="234"/>
      <c r="GGC5" s="234"/>
      <c r="GGD5" s="234"/>
      <c r="GGE5" s="234"/>
      <c r="GGF5" s="234"/>
      <c r="GGG5" s="234"/>
      <c r="GGH5" s="234"/>
      <c r="GGI5" s="234"/>
      <c r="GGJ5" s="234"/>
      <c r="GGK5" s="234"/>
      <c r="GGL5" s="234"/>
      <c r="GGM5" s="234"/>
      <c r="GGN5" s="234"/>
      <c r="GGO5" s="234"/>
      <c r="GGP5" s="234"/>
      <c r="GGQ5" s="234"/>
      <c r="GGR5" s="234"/>
      <c r="GGS5" s="234"/>
      <c r="GGT5" s="234"/>
      <c r="GGU5" s="234"/>
      <c r="GGV5" s="234"/>
      <c r="GGW5" s="234"/>
      <c r="GGX5" s="234"/>
      <c r="GGY5" s="234"/>
      <c r="GGZ5" s="234"/>
      <c r="GHA5" s="234"/>
      <c r="GHB5" s="234"/>
      <c r="GHC5" s="234"/>
      <c r="GHD5" s="234"/>
      <c r="GHE5" s="234"/>
      <c r="GHF5" s="234"/>
      <c r="GHG5" s="234"/>
      <c r="GHH5" s="234"/>
      <c r="GHI5" s="234"/>
      <c r="GHJ5" s="234"/>
      <c r="GHK5" s="234"/>
      <c r="GHL5" s="234"/>
      <c r="GHM5" s="234"/>
      <c r="GHN5" s="234"/>
      <c r="GHO5" s="234"/>
      <c r="GHP5" s="234"/>
      <c r="GHQ5" s="234"/>
      <c r="GHR5" s="234"/>
      <c r="GHS5" s="234"/>
      <c r="GHT5" s="234"/>
      <c r="GHU5" s="234"/>
      <c r="GHV5" s="234"/>
      <c r="GHW5" s="234"/>
      <c r="GHX5" s="234"/>
      <c r="GHY5" s="234"/>
      <c r="GHZ5" s="234"/>
      <c r="GIA5" s="234"/>
      <c r="GIB5" s="234"/>
      <c r="GIC5" s="234"/>
      <c r="GID5" s="234"/>
      <c r="GIE5" s="234"/>
      <c r="GIF5" s="234"/>
      <c r="GIG5" s="234"/>
      <c r="GIH5" s="234"/>
      <c r="GII5" s="234"/>
      <c r="GIJ5" s="234"/>
      <c r="GIK5" s="234"/>
      <c r="GIL5" s="234"/>
      <c r="GIM5" s="234"/>
      <c r="GIN5" s="234"/>
      <c r="GIO5" s="234"/>
      <c r="GIP5" s="234"/>
      <c r="GIQ5" s="234"/>
      <c r="GIR5" s="234"/>
      <c r="GIS5" s="234"/>
      <c r="GIT5" s="234"/>
      <c r="GIU5" s="234"/>
      <c r="GIV5" s="234"/>
      <c r="GIW5" s="234"/>
      <c r="GIX5" s="234"/>
      <c r="GIY5" s="234"/>
      <c r="GIZ5" s="234"/>
      <c r="GJA5" s="234"/>
      <c r="GJB5" s="234"/>
      <c r="GJC5" s="234"/>
      <c r="GJD5" s="234"/>
      <c r="GJE5" s="234"/>
      <c r="GJF5" s="234"/>
      <c r="GJG5" s="234"/>
      <c r="GJH5" s="234"/>
      <c r="GJI5" s="234"/>
      <c r="GJJ5" s="234"/>
      <c r="GJK5" s="234"/>
      <c r="GJL5" s="234"/>
      <c r="GJM5" s="234"/>
      <c r="GJN5" s="234"/>
      <c r="GJO5" s="234"/>
      <c r="GJP5" s="234"/>
      <c r="GJQ5" s="234"/>
      <c r="GJR5" s="234"/>
      <c r="GJS5" s="234"/>
      <c r="GJT5" s="234"/>
      <c r="GJU5" s="234"/>
      <c r="GJV5" s="234"/>
      <c r="GJW5" s="234"/>
      <c r="GJX5" s="234"/>
      <c r="GJY5" s="234"/>
      <c r="GJZ5" s="234"/>
      <c r="GKA5" s="234"/>
      <c r="GKB5" s="234"/>
      <c r="GKC5" s="234"/>
      <c r="GKD5" s="234"/>
      <c r="GKE5" s="234"/>
      <c r="GKF5" s="234"/>
      <c r="GKG5" s="234"/>
      <c r="GKH5" s="234"/>
      <c r="GKI5" s="234"/>
      <c r="GKJ5" s="234"/>
      <c r="GKK5" s="234"/>
      <c r="GKL5" s="234"/>
      <c r="GKM5" s="234"/>
      <c r="GKN5" s="234"/>
      <c r="GKO5" s="234"/>
      <c r="GKP5" s="234"/>
      <c r="GKQ5" s="234"/>
      <c r="GKR5" s="234"/>
      <c r="GKS5" s="234"/>
      <c r="GKT5" s="234"/>
      <c r="GKU5" s="234"/>
      <c r="GKV5" s="234"/>
      <c r="GKW5" s="234"/>
      <c r="GKX5" s="234"/>
      <c r="GKY5" s="234"/>
      <c r="GKZ5" s="234"/>
      <c r="GLA5" s="234"/>
      <c r="GLB5" s="234"/>
      <c r="GLC5" s="234"/>
      <c r="GLD5" s="234"/>
      <c r="GLE5" s="234"/>
      <c r="GLF5" s="234"/>
      <c r="GLG5" s="234"/>
      <c r="GLH5" s="234"/>
      <c r="GLI5" s="234"/>
      <c r="GLJ5" s="234"/>
      <c r="GLK5" s="234"/>
      <c r="GLL5" s="234"/>
      <c r="GLM5" s="234"/>
      <c r="GLN5" s="234"/>
      <c r="GLO5" s="234"/>
      <c r="GLP5" s="234"/>
      <c r="GLQ5" s="234"/>
      <c r="GLR5" s="234"/>
      <c r="GLS5" s="234"/>
      <c r="GLT5" s="234"/>
      <c r="GLU5" s="234"/>
      <c r="GLV5" s="234"/>
      <c r="GLW5" s="234"/>
      <c r="GLX5" s="234"/>
      <c r="GLY5" s="234"/>
      <c r="GLZ5" s="234"/>
      <c r="GMA5" s="234"/>
      <c r="GMB5" s="234"/>
      <c r="GMC5" s="234"/>
      <c r="GMD5" s="234"/>
      <c r="GME5" s="234"/>
      <c r="GMF5" s="234"/>
      <c r="GMG5" s="234"/>
      <c r="GMH5" s="234"/>
      <c r="GMI5" s="234"/>
      <c r="GMJ5" s="234"/>
      <c r="GMK5" s="234"/>
      <c r="GML5" s="234"/>
      <c r="GMM5" s="234"/>
      <c r="GMN5" s="234"/>
      <c r="GMO5" s="234"/>
      <c r="GMP5" s="234"/>
      <c r="GMQ5" s="234"/>
      <c r="GMR5" s="234"/>
      <c r="GMS5" s="234"/>
      <c r="GMT5" s="234"/>
      <c r="GMU5" s="234"/>
      <c r="GMV5" s="234"/>
      <c r="GMW5" s="234"/>
      <c r="GMX5" s="234"/>
      <c r="GMY5" s="234"/>
      <c r="GMZ5" s="234"/>
      <c r="GNA5" s="234"/>
      <c r="GNB5" s="234"/>
      <c r="GNC5" s="234"/>
      <c r="GND5" s="234"/>
      <c r="GNE5" s="234"/>
      <c r="GNF5" s="234"/>
      <c r="GNG5" s="234"/>
      <c r="GNH5" s="234"/>
      <c r="GNI5" s="234"/>
      <c r="GNJ5" s="234"/>
      <c r="GNK5" s="234"/>
      <c r="GNL5" s="234"/>
      <c r="GNM5" s="234"/>
      <c r="GNN5" s="234"/>
      <c r="GNO5" s="234"/>
      <c r="GNP5" s="234"/>
      <c r="GNQ5" s="234"/>
      <c r="GNR5" s="234"/>
      <c r="GNS5" s="234"/>
      <c r="GNT5" s="234"/>
      <c r="GNU5" s="234"/>
      <c r="GNV5" s="234"/>
      <c r="GNW5" s="234"/>
      <c r="GNX5" s="234"/>
      <c r="GNY5" s="234"/>
      <c r="GNZ5" s="234"/>
      <c r="GOA5" s="234"/>
      <c r="GOB5" s="234"/>
      <c r="GOC5" s="234"/>
      <c r="GOD5" s="234"/>
      <c r="GOE5" s="234"/>
      <c r="GOF5" s="234"/>
      <c r="GOG5" s="234"/>
      <c r="GOH5" s="234"/>
      <c r="GOI5" s="234"/>
      <c r="GOJ5" s="234"/>
      <c r="GOK5" s="234"/>
      <c r="GOL5" s="234"/>
      <c r="GOM5" s="234"/>
      <c r="GON5" s="234"/>
      <c r="GOO5" s="234"/>
      <c r="GOP5" s="234"/>
      <c r="GOQ5" s="234"/>
      <c r="GOR5" s="234"/>
      <c r="GOS5" s="234"/>
      <c r="GOT5" s="234"/>
      <c r="GOU5" s="234"/>
      <c r="GOV5" s="234"/>
      <c r="GOW5" s="234"/>
      <c r="GOX5" s="234"/>
      <c r="GOY5" s="234"/>
      <c r="GOZ5" s="234"/>
      <c r="GPA5" s="234"/>
      <c r="GPB5" s="234"/>
      <c r="GPC5" s="234"/>
      <c r="GPD5" s="234"/>
      <c r="GPE5" s="234"/>
      <c r="GPF5" s="234"/>
      <c r="GPG5" s="234"/>
      <c r="GPH5" s="234"/>
      <c r="GPI5" s="234"/>
      <c r="GPJ5" s="234"/>
      <c r="GPK5" s="234"/>
      <c r="GPL5" s="234"/>
      <c r="GPM5" s="234"/>
      <c r="GPN5" s="234"/>
      <c r="GPO5" s="234"/>
      <c r="GPP5" s="234"/>
      <c r="GPQ5" s="234"/>
      <c r="GPR5" s="234"/>
      <c r="GPS5" s="234"/>
      <c r="GPT5" s="234"/>
      <c r="GPU5" s="234"/>
      <c r="GPV5" s="234"/>
      <c r="GPW5" s="234"/>
      <c r="GPX5" s="234"/>
      <c r="GPY5" s="234"/>
      <c r="GPZ5" s="234"/>
      <c r="GQA5" s="234"/>
      <c r="GQB5" s="234"/>
      <c r="GQC5" s="234"/>
      <c r="GQD5" s="234"/>
      <c r="GQE5" s="234"/>
      <c r="GQF5" s="234"/>
      <c r="GQG5" s="234"/>
      <c r="GQH5" s="234"/>
      <c r="GQI5" s="234"/>
      <c r="GQJ5" s="234"/>
      <c r="GQK5" s="234"/>
      <c r="GQL5" s="234"/>
      <c r="GQM5" s="234"/>
      <c r="GQN5" s="234"/>
      <c r="GQO5" s="234"/>
      <c r="GQP5" s="234"/>
      <c r="GQQ5" s="234"/>
      <c r="GQR5" s="234"/>
      <c r="GQS5" s="234"/>
      <c r="GQT5" s="234"/>
      <c r="GQU5" s="234"/>
      <c r="GQV5" s="234"/>
      <c r="GQW5" s="234"/>
      <c r="GQX5" s="234"/>
      <c r="GQY5" s="234"/>
      <c r="GQZ5" s="234"/>
      <c r="GRA5" s="234"/>
      <c r="GRB5" s="234"/>
      <c r="GRC5" s="234"/>
      <c r="GRD5" s="234"/>
      <c r="GRE5" s="234"/>
      <c r="GRF5" s="234"/>
      <c r="GRG5" s="234"/>
      <c r="GRH5" s="234"/>
      <c r="GRI5" s="234"/>
      <c r="GRJ5" s="234"/>
      <c r="GRK5" s="234"/>
      <c r="GRL5" s="234"/>
      <c r="GRM5" s="234"/>
      <c r="GRN5" s="234"/>
      <c r="GRO5" s="234"/>
      <c r="GRP5" s="234"/>
      <c r="GRQ5" s="234"/>
      <c r="GRR5" s="234"/>
      <c r="GRS5" s="234"/>
      <c r="GRT5" s="234"/>
      <c r="GRU5" s="234"/>
      <c r="GRV5" s="234"/>
      <c r="GRW5" s="234"/>
      <c r="GRX5" s="234"/>
      <c r="GRY5" s="234"/>
      <c r="GRZ5" s="234"/>
      <c r="GSA5" s="234"/>
      <c r="GSB5" s="234"/>
      <c r="GSC5" s="234"/>
      <c r="GSD5" s="234"/>
      <c r="GSE5" s="234"/>
      <c r="GSF5" s="234"/>
      <c r="GSG5" s="234"/>
      <c r="GSH5" s="234"/>
      <c r="GSI5" s="234"/>
      <c r="GSJ5" s="234"/>
      <c r="GSK5" s="234"/>
      <c r="GSL5" s="234"/>
      <c r="GSM5" s="234"/>
      <c r="GSN5" s="234"/>
      <c r="GSO5" s="234"/>
      <c r="GSP5" s="234"/>
      <c r="GSQ5" s="234"/>
      <c r="GSR5" s="234"/>
      <c r="GSS5" s="234"/>
      <c r="GST5" s="234"/>
      <c r="GSU5" s="234"/>
      <c r="GSV5" s="234"/>
      <c r="GSW5" s="234"/>
      <c r="GSX5" s="234"/>
      <c r="GSY5" s="234"/>
      <c r="GSZ5" s="234"/>
      <c r="GTA5" s="234"/>
      <c r="GTB5" s="234"/>
      <c r="GTC5" s="234"/>
      <c r="GTD5" s="234"/>
      <c r="GTE5" s="234"/>
      <c r="GTF5" s="234"/>
      <c r="GTG5" s="234"/>
      <c r="GTH5" s="234"/>
      <c r="GTI5" s="234"/>
      <c r="GTJ5" s="234"/>
      <c r="GTK5" s="234"/>
      <c r="GTL5" s="234"/>
      <c r="GTM5" s="234"/>
      <c r="GTN5" s="234"/>
      <c r="GTO5" s="234"/>
      <c r="GTP5" s="234"/>
      <c r="GTQ5" s="234"/>
      <c r="GTR5" s="234"/>
      <c r="GTS5" s="234"/>
      <c r="GTT5" s="234"/>
      <c r="GTU5" s="234"/>
      <c r="GTV5" s="234"/>
      <c r="GTW5" s="234"/>
      <c r="GTX5" s="234"/>
      <c r="GTY5" s="234"/>
      <c r="GTZ5" s="234"/>
      <c r="GUA5" s="234"/>
      <c r="GUB5" s="234"/>
      <c r="GUC5" s="234"/>
      <c r="GUD5" s="234"/>
      <c r="GUE5" s="234"/>
      <c r="GUF5" s="234"/>
      <c r="GUG5" s="234"/>
      <c r="GUH5" s="234"/>
      <c r="GUI5" s="234"/>
      <c r="GUJ5" s="234"/>
      <c r="GUK5" s="234"/>
      <c r="GUL5" s="234"/>
      <c r="GUM5" s="234"/>
      <c r="GUN5" s="234"/>
      <c r="GUO5" s="234"/>
      <c r="GUP5" s="234"/>
      <c r="GUQ5" s="234"/>
      <c r="GUR5" s="234"/>
      <c r="GUS5" s="234"/>
      <c r="GUT5" s="234"/>
      <c r="GUU5" s="234"/>
      <c r="GUV5" s="234"/>
      <c r="GUW5" s="234"/>
      <c r="GUX5" s="234"/>
      <c r="GUY5" s="234"/>
      <c r="GUZ5" s="234"/>
      <c r="GVA5" s="234"/>
      <c r="GVB5" s="234"/>
      <c r="GVC5" s="234"/>
      <c r="GVD5" s="234"/>
      <c r="GVE5" s="234"/>
      <c r="GVF5" s="234"/>
      <c r="GVG5" s="234"/>
      <c r="GVH5" s="234"/>
      <c r="GVI5" s="234"/>
      <c r="GVJ5" s="234"/>
      <c r="GVK5" s="234"/>
      <c r="GVL5" s="234"/>
      <c r="GVM5" s="234"/>
      <c r="GVN5" s="234"/>
      <c r="GVO5" s="234"/>
      <c r="GVP5" s="234"/>
      <c r="GVQ5" s="234"/>
      <c r="GVR5" s="234"/>
      <c r="GVS5" s="234"/>
      <c r="GVT5" s="234"/>
      <c r="GVU5" s="234"/>
      <c r="GVV5" s="234"/>
      <c r="GVW5" s="234"/>
      <c r="GVX5" s="234"/>
      <c r="GVY5" s="234"/>
      <c r="GVZ5" s="234"/>
      <c r="GWA5" s="234"/>
      <c r="GWB5" s="234"/>
      <c r="GWC5" s="234"/>
      <c r="GWD5" s="234"/>
      <c r="GWE5" s="234"/>
      <c r="GWF5" s="234"/>
      <c r="GWG5" s="234"/>
      <c r="GWH5" s="234"/>
      <c r="GWI5" s="234"/>
      <c r="GWJ5" s="234"/>
      <c r="GWK5" s="234"/>
      <c r="GWL5" s="234"/>
      <c r="GWM5" s="234"/>
      <c r="GWN5" s="234"/>
      <c r="GWO5" s="234"/>
      <c r="GWP5" s="234"/>
      <c r="GWQ5" s="234"/>
      <c r="GWR5" s="234"/>
      <c r="GWS5" s="234"/>
      <c r="GWT5" s="234"/>
      <c r="GWU5" s="234"/>
      <c r="GWV5" s="234"/>
      <c r="GWW5" s="234"/>
      <c r="GWX5" s="234"/>
      <c r="GWY5" s="234"/>
      <c r="GWZ5" s="234"/>
      <c r="GXA5" s="234"/>
      <c r="GXB5" s="234"/>
      <c r="GXC5" s="234"/>
      <c r="GXD5" s="234"/>
      <c r="GXE5" s="234"/>
      <c r="GXF5" s="234"/>
      <c r="GXG5" s="234"/>
      <c r="GXH5" s="234"/>
      <c r="GXI5" s="234"/>
      <c r="GXJ5" s="234"/>
      <c r="GXK5" s="234"/>
      <c r="GXL5" s="234"/>
      <c r="GXM5" s="234"/>
      <c r="GXN5" s="234"/>
      <c r="GXO5" s="234"/>
      <c r="GXP5" s="234"/>
      <c r="GXQ5" s="234"/>
      <c r="GXR5" s="234"/>
      <c r="GXS5" s="234"/>
      <c r="GXT5" s="234"/>
      <c r="GXU5" s="234"/>
      <c r="GXV5" s="234"/>
      <c r="GXW5" s="234"/>
      <c r="GXX5" s="234"/>
      <c r="GXY5" s="234"/>
      <c r="GXZ5" s="234"/>
      <c r="GYA5" s="234"/>
      <c r="GYB5" s="234"/>
      <c r="GYC5" s="234"/>
      <c r="GYD5" s="234"/>
      <c r="GYE5" s="234"/>
      <c r="GYF5" s="234"/>
      <c r="GYG5" s="234"/>
      <c r="GYH5" s="234"/>
      <c r="GYI5" s="234"/>
      <c r="GYJ5" s="234"/>
      <c r="GYK5" s="234"/>
      <c r="GYL5" s="234"/>
      <c r="GYM5" s="234"/>
      <c r="GYN5" s="234"/>
      <c r="GYO5" s="234"/>
      <c r="GYP5" s="234"/>
      <c r="GYQ5" s="234"/>
      <c r="GYR5" s="234"/>
      <c r="GYS5" s="234"/>
      <c r="GYT5" s="234"/>
      <c r="GYU5" s="234"/>
      <c r="GYV5" s="234"/>
      <c r="GYW5" s="234"/>
      <c r="GYX5" s="234"/>
      <c r="GYY5" s="234"/>
      <c r="GYZ5" s="234"/>
      <c r="GZA5" s="234"/>
      <c r="GZB5" s="234"/>
      <c r="GZC5" s="234"/>
      <c r="GZD5" s="234"/>
      <c r="GZE5" s="234"/>
      <c r="GZF5" s="234"/>
      <c r="GZG5" s="234"/>
      <c r="GZH5" s="234"/>
      <c r="GZI5" s="234"/>
      <c r="GZJ5" s="234"/>
      <c r="GZK5" s="234"/>
      <c r="GZL5" s="234"/>
      <c r="GZM5" s="234"/>
      <c r="GZN5" s="234"/>
      <c r="GZO5" s="234"/>
      <c r="GZP5" s="234"/>
      <c r="GZQ5" s="234"/>
      <c r="GZR5" s="234"/>
      <c r="GZS5" s="234"/>
      <c r="GZT5" s="234"/>
      <c r="GZU5" s="234"/>
      <c r="GZV5" s="234"/>
      <c r="GZW5" s="234"/>
      <c r="GZX5" s="234"/>
      <c r="GZY5" s="234"/>
      <c r="GZZ5" s="234"/>
      <c r="HAA5" s="234"/>
      <c r="HAB5" s="234"/>
      <c r="HAC5" s="234"/>
      <c r="HAD5" s="234"/>
      <c r="HAE5" s="234"/>
      <c r="HAF5" s="234"/>
      <c r="HAG5" s="234"/>
      <c r="HAH5" s="234"/>
      <c r="HAI5" s="234"/>
      <c r="HAJ5" s="234"/>
      <c r="HAK5" s="234"/>
      <c r="HAL5" s="234"/>
      <c r="HAM5" s="234"/>
      <c r="HAN5" s="234"/>
      <c r="HAO5" s="234"/>
      <c r="HAP5" s="234"/>
      <c r="HAQ5" s="234"/>
      <c r="HAR5" s="234"/>
      <c r="HAS5" s="234"/>
      <c r="HAT5" s="234"/>
      <c r="HAU5" s="234"/>
      <c r="HAV5" s="234"/>
      <c r="HAW5" s="234"/>
      <c r="HAX5" s="234"/>
      <c r="HAY5" s="234"/>
      <c r="HAZ5" s="234"/>
      <c r="HBA5" s="234"/>
      <c r="HBB5" s="234"/>
      <c r="HBC5" s="234"/>
      <c r="HBD5" s="234"/>
      <c r="HBE5" s="234"/>
      <c r="HBF5" s="234"/>
      <c r="HBG5" s="234"/>
      <c r="HBH5" s="234"/>
      <c r="HBI5" s="234"/>
      <c r="HBJ5" s="234"/>
      <c r="HBK5" s="234"/>
      <c r="HBL5" s="234"/>
      <c r="HBM5" s="234"/>
      <c r="HBN5" s="234"/>
      <c r="HBO5" s="234"/>
      <c r="HBP5" s="234"/>
      <c r="HBQ5" s="234"/>
      <c r="HBR5" s="234"/>
      <c r="HBS5" s="234"/>
      <c r="HBT5" s="234"/>
      <c r="HBU5" s="234"/>
      <c r="HBV5" s="234"/>
      <c r="HBW5" s="234"/>
      <c r="HBX5" s="234"/>
      <c r="HBY5" s="234"/>
      <c r="HBZ5" s="234"/>
      <c r="HCA5" s="234"/>
      <c r="HCB5" s="234"/>
      <c r="HCC5" s="234"/>
      <c r="HCD5" s="234"/>
      <c r="HCE5" s="234"/>
      <c r="HCF5" s="234"/>
      <c r="HCG5" s="234"/>
      <c r="HCH5" s="234"/>
      <c r="HCI5" s="234"/>
      <c r="HCJ5" s="234"/>
      <c r="HCK5" s="234"/>
      <c r="HCL5" s="234"/>
      <c r="HCM5" s="234"/>
      <c r="HCN5" s="234"/>
      <c r="HCO5" s="234"/>
      <c r="HCP5" s="234"/>
      <c r="HCQ5" s="234"/>
      <c r="HCR5" s="234"/>
      <c r="HCS5" s="234"/>
      <c r="HCT5" s="234"/>
      <c r="HCU5" s="234"/>
      <c r="HCV5" s="234"/>
      <c r="HCW5" s="234"/>
      <c r="HCX5" s="234"/>
      <c r="HCY5" s="234"/>
      <c r="HCZ5" s="234"/>
      <c r="HDA5" s="234"/>
      <c r="HDB5" s="234"/>
      <c r="HDC5" s="234"/>
      <c r="HDD5" s="234"/>
      <c r="HDE5" s="234"/>
      <c r="HDF5" s="234"/>
      <c r="HDG5" s="234"/>
      <c r="HDH5" s="234"/>
      <c r="HDI5" s="234"/>
      <c r="HDJ5" s="234"/>
      <c r="HDK5" s="234"/>
      <c r="HDL5" s="234"/>
      <c r="HDM5" s="234"/>
      <c r="HDN5" s="234"/>
      <c r="HDO5" s="234"/>
      <c r="HDP5" s="234"/>
      <c r="HDQ5" s="234"/>
      <c r="HDR5" s="234"/>
      <c r="HDS5" s="234"/>
      <c r="HDT5" s="234"/>
      <c r="HDU5" s="234"/>
      <c r="HDV5" s="234"/>
      <c r="HDW5" s="234"/>
      <c r="HDX5" s="234"/>
      <c r="HDY5" s="234"/>
      <c r="HDZ5" s="234"/>
      <c r="HEA5" s="234"/>
      <c r="HEB5" s="234"/>
      <c r="HEC5" s="234"/>
      <c r="HED5" s="234"/>
      <c r="HEE5" s="234"/>
      <c r="HEF5" s="234"/>
      <c r="HEG5" s="234"/>
      <c r="HEH5" s="234"/>
      <c r="HEI5" s="234"/>
      <c r="HEJ5" s="234"/>
      <c r="HEK5" s="234"/>
      <c r="HEL5" s="234"/>
      <c r="HEM5" s="234"/>
      <c r="HEN5" s="234"/>
      <c r="HEO5" s="234"/>
      <c r="HEP5" s="234"/>
      <c r="HEQ5" s="234"/>
      <c r="HER5" s="234"/>
      <c r="HES5" s="234"/>
      <c r="HET5" s="234"/>
      <c r="HEU5" s="234"/>
      <c r="HEV5" s="234"/>
      <c r="HEW5" s="234"/>
      <c r="HEX5" s="234"/>
      <c r="HEY5" s="234"/>
      <c r="HEZ5" s="234"/>
      <c r="HFA5" s="234"/>
      <c r="HFB5" s="234"/>
      <c r="HFC5" s="234"/>
      <c r="HFD5" s="234"/>
      <c r="HFE5" s="234"/>
      <c r="HFF5" s="234"/>
      <c r="HFG5" s="234"/>
      <c r="HFH5" s="234"/>
      <c r="HFI5" s="234"/>
      <c r="HFJ5" s="234"/>
      <c r="HFK5" s="234"/>
      <c r="HFL5" s="234"/>
      <c r="HFM5" s="234"/>
      <c r="HFN5" s="234"/>
      <c r="HFO5" s="234"/>
      <c r="HFP5" s="234"/>
      <c r="HFQ5" s="234"/>
      <c r="HFR5" s="234"/>
      <c r="HFS5" s="234"/>
      <c r="HFT5" s="234"/>
      <c r="HFU5" s="234"/>
      <c r="HFV5" s="234"/>
      <c r="HFW5" s="234"/>
      <c r="HFX5" s="234"/>
      <c r="HFY5" s="234"/>
      <c r="HFZ5" s="234"/>
      <c r="HGA5" s="234"/>
      <c r="HGB5" s="234"/>
      <c r="HGC5" s="234"/>
      <c r="HGD5" s="234"/>
      <c r="HGE5" s="234"/>
      <c r="HGF5" s="234"/>
      <c r="HGG5" s="234"/>
      <c r="HGH5" s="234"/>
      <c r="HGI5" s="234"/>
      <c r="HGJ5" s="234"/>
      <c r="HGK5" s="234"/>
      <c r="HGL5" s="234"/>
      <c r="HGM5" s="234"/>
      <c r="HGN5" s="234"/>
      <c r="HGO5" s="234"/>
      <c r="HGP5" s="234"/>
      <c r="HGQ5" s="234"/>
      <c r="HGR5" s="234"/>
      <c r="HGS5" s="234"/>
      <c r="HGT5" s="234"/>
      <c r="HGU5" s="234"/>
      <c r="HGV5" s="234"/>
      <c r="HGW5" s="234"/>
      <c r="HGX5" s="234"/>
      <c r="HGY5" s="234"/>
      <c r="HGZ5" s="234"/>
      <c r="HHA5" s="234"/>
      <c r="HHB5" s="234"/>
      <c r="HHC5" s="234"/>
      <c r="HHD5" s="234"/>
      <c r="HHE5" s="234"/>
      <c r="HHF5" s="234"/>
      <c r="HHG5" s="234"/>
      <c r="HHH5" s="234"/>
      <c r="HHI5" s="234"/>
      <c r="HHJ5" s="234"/>
      <c r="HHK5" s="234"/>
      <c r="HHL5" s="234"/>
      <c r="HHM5" s="234"/>
      <c r="HHN5" s="234"/>
      <c r="HHO5" s="234"/>
      <c r="HHP5" s="234"/>
      <c r="HHQ5" s="234"/>
      <c r="HHR5" s="234"/>
      <c r="HHS5" s="234"/>
      <c r="HHT5" s="234"/>
      <c r="HHU5" s="234"/>
      <c r="HHV5" s="234"/>
      <c r="HHW5" s="234"/>
      <c r="HHX5" s="234"/>
      <c r="HHY5" s="234"/>
      <c r="HHZ5" s="234"/>
      <c r="HIA5" s="234"/>
      <c r="HIB5" s="234"/>
      <c r="HIC5" s="234"/>
      <c r="HID5" s="234"/>
      <c r="HIE5" s="234"/>
      <c r="HIF5" s="234"/>
      <c r="HIG5" s="234"/>
      <c r="HIH5" s="234"/>
      <c r="HII5" s="234"/>
      <c r="HIJ5" s="234"/>
      <c r="HIK5" s="234"/>
      <c r="HIL5" s="234"/>
      <c r="HIM5" s="234"/>
      <c r="HIN5" s="234"/>
      <c r="HIO5" s="234"/>
      <c r="HIP5" s="234"/>
      <c r="HIQ5" s="234"/>
      <c r="HIR5" s="234"/>
      <c r="HIS5" s="234"/>
      <c r="HIT5" s="234"/>
      <c r="HIU5" s="234"/>
      <c r="HIV5" s="234"/>
      <c r="HIW5" s="234"/>
      <c r="HIX5" s="234"/>
      <c r="HIY5" s="234"/>
      <c r="HIZ5" s="234"/>
      <c r="HJA5" s="234"/>
      <c r="HJB5" s="234"/>
      <c r="HJC5" s="234"/>
      <c r="HJD5" s="234"/>
      <c r="HJE5" s="234"/>
      <c r="HJF5" s="234"/>
      <c r="HJG5" s="234"/>
      <c r="HJH5" s="234"/>
      <c r="HJI5" s="234"/>
      <c r="HJJ5" s="234"/>
      <c r="HJK5" s="234"/>
      <c r="HJL5" s="234"/>
      <c r="HJM5" s="234"/>
      <c r="HJN5" s="234"/>
      <c r="HJO5" s="234"/>
      <c r="HJP5" s="234"/>
      <c r="HJQ5" s="234"/>
      <c r="HJR5" s="234"/>
      <c r="HJS5" s="234"/>
      <c r="HJT5" s="234"/>
      <c r="HJU5" s="234"/>
      <c r="HJV5" s="234"/>
      <c r="HJW5" s="234"/>
      <c r="HJX5" s="234"/>
      <c r="HJY5" s="234"/>
      <c r="HJZ5" s="234"/>
      <c r="HKA5" s="234"/>
      <c r="HKB5" s="234"/>
      <c r="HKC5" s="234"/>
      <c r="HKD5" s="234"/>
      <c r="HKE5" s="234"/>
      <c r="HKF5" s="234"/>
      <c r="HKG5" s="234"/>
      <c r="HKH5" s="234"/>
      <c r="HKI5" s="234"/>
      <c r="HKJ5" s="234"/>
      <c r="HKK5" s="234"/>
      <c r="HKL5" s="234"/>
      <c r="HKM5" s="234"/>
      <c r="HKN5" s="234"/>
      <c r="HKO5" s="234"/>
      <c r="HKP5" s="234"/>
      <c r="HKQ5" s="234"/>
      <c r="HKR5" s="234"/>
      <c r="HKS5" s="234"/>
      <c r="HKT5" s="234"/>
      <c r="HKU5" s="234"/>
      <c r="HKV5" s="234"/>
      <c r="HKW5" s="234"/>
      <c r="HKX5" s="234"/>
      <c r="HKY5" s="234"/>
      <c r="HKZ5" s="234"/>
      <c r="HLA5" s="234"/>
      <c r="HLB5" s="234"/>
      <c r="HLC5" s="234"/>
      <c r="HLD5" s="234"/>
      <c r="HLE5" s="234"/>
      <c r="HLF5" s="234"/>
      <c r="HLG5" s="234"/>
      <c r="HLH5" s="234"/>
      <c r="HLI5" s="234"/>
      <c r="HLJ5" s="234"/>
      <c r="HLK5" s="234"/>
      <c r="HLL5" s="234"/>
      <c r="HLM5" s="234"/>
      <c r="HLN5" s="234"/>
      <c r="HLO5" s="234"/>
      <c r="HLP5" s="234"/>
      <c r="HLQ5" s="234"/>
      <c r="HLR5" s="234"/>
      <c r="HLS5" s="234"/>
      <c r="HLT5" s="234"/>
      <c r="HLU5" s="234"/>
      <c r="HLV5" s="234"/>
      <c r="HLW5" s="234"/>
      <c r="HLX5" s="234"/>
      <c r="HLY5" s="234"/>
      <c r="HLZ5" s="234"/>
      <c r="HMA5" s="234"/>
      <c r="HMB5" s="234"/>
      <c r="HMC5" s="234"/>
      <c r="HMD5" s="234"/>
      <c r="HME5" s="234"/>
      <c r="HMF5" s="234"/>
      <c r="HMG5" s="234"/>
      <c r="HMH5" s="234"/>
      <c r="HMI5" s="234"/>
      <c r="HMJ5" s="234"/>
      <c r="HMK5" s="234"/>
      <c r="HML5" s="234"/>
      <c r="HMM5" s="234"/>
      <c r="HMN5" s="234"/>
      <c r="HMO5" s="234"/>
      <c r="HMP5" s="234"/>
      <c r="HMQ5" s="234"/>
      <c r="HMR5" s="234"/>
      <c r="HMS5" s="234"/>
      <c r="HMT5" s="234"/>
      <c r="HMU5" s="234"/>
      <c r="HMV5" s="234"/>
      <c r="HMW5" s="234"/>
      <c r="HMX5" s="234"/>
      <c r="HMY5" s="234"/>
      <c r="HMZ5" s="234"/>
      <c r="HNA5" s="234"/>
      <c r="HNB5" s="234"/>
      <c r="HNC5" s="234"/>
      <c r="HND5" s="234"/>
      <c r="HNE5" s="234"/>
      <c r="HNF5" s="234"/>
      <c r="HNG5" s="234"/>
      <c r="HNH5" s="234"/>
      <c r="HNI5" s="234"/>
      <c r="HNJ5" s="234"/>
      <c r="HNK5" s="234"/>
      <c r="HNL5" s="234"/>
      <c r="HNM5" s="234"/>
      <c r="HNN5" s="234"/>
      <c r="HNO5" s="234"/>
      <c r="HNP5" s="234"/>
      <c r="HNQ5" s="234"/>
      <c r="HNR5" s="234"/>
      <c r="HNS5" s="234"/>
      <c r="HNT5" s="234"/>
      <c r="HNU5" s="234"/>
      <c r="HNV5" s="234"/>
      <c r="HNW5" s="234"/>
      <c r="HNX5" s="234"/>
      <c r="HNY5" s="234"/>
      <c r="HNZ5" s="234"/>
      <c r="HOA5" s="234"/>
      <c r="HOB5" s="234"/>
      <c r="HOC5" s="234"/>
      <c r="HOD5" s="234"/>
      <c r="HOE5" s="234"/>
      <c r="HOF5" s="234"/>
      <c r="HOG5" s="234"/>
      <c r="HOH5" s="234"/>
      <c r="HOI5" s="234"/>
      <c r="HOJ5" s="234"/>
      <c r="HOK5" s="234"/>
      <c r="HOL5" s="234"/>
      <c r="HOM5" s="234"/>
      <c r="HON5" s="234"/>
      <c r="HOO5" s="234"/>
      <c r="HOP5" s="234"/>
      <c r="HOQ5" s="234"/>
      <c r="HOR5" s="234"/>
      <c r="HOS5" s="234"/>
      <c r="HOT5" s="234"/>
      <c r="HOU5" s="234"/>
      <c r="HOV5" s="234"/>
      <c r="HOW5" s="234"/>
      <c r="HOX5" s="234"/>
      <c r="HOY5" s="234"/>
      <c r="HOZ5" s="234"/>
      <c r="HPA5" s="234"/>
      <c r="HPB5" s="234"/>
      <c r="HPC5" s="234"/>
      <c r="HPD5" s="234"/>
      <c r="HPE5" s="234"/>
      <c r="HPF5" s="234"/>
      <c r="HPG5" s="234"/>
      <c r="HPH5" s="234"/>
      <c r="HPI5" s="234"/>
      <c r="HPJ5" s="234"/>
      <c r="HPK5" s="234"/>
      <c r="HPL5" s="234"/>
      <c r="HPM5" s="234"/>
      <c r="HPN5" s="234"/>
      <c r="HPO5" s="234"/>
      <c r="HPP5" s="234"/>
      <c r="HPQ5" s="234"/>
      <c r="HPR5" s="234"/>
      <c r="HPS5" s="234"/>
      <c r="HPT5" s="234"/>
      <c r="HPU5" s="234"/>
      <c r="HPV5" s="234"/>
      <c r="HPW5" s="234"/>
      <c r="HPX5" s="234"/>
      <c r="HPY5" s="234"/>
      <c r="HPZ5" s="234"/>
      <c r="HQA5" s="234"/>
      <c r="HQB5" s="234"/>
      <c r="HQC5" s="234"/>
      <c r="HQD5" s="234"/>
      <c r="HQE5" s="234"/>
      <c r="HQF5" s="234"/>
      <c r="HQG5" s="234"/>
      <c r="HQH5" s="234"/>
      <c r="HQI5" s="234"/>
      <c r="HQJ5" s="234"/>
      <c r="HQK5" s="234"/>
      <c r="HQL5" s="234"/>
      <c r="HQM5" s="234"/>
      <c r="HQN5" s="234"/>
      <c r="HQO5" s="234"/>
      <c r="HQP5" s="234"/>
      <c r="HQQ5" s="234"/>
      <c r="HQR5" s="234"/>
      <c r="HQS5" s="234"/>
      <c r="HQT5" s="234"/>
      <c r="HQU5" s="234"/>
      <c r="HQV5" s="234"/>
      <c r="HQW5" s="234"/>
      <c r="HQX5" s="234"/>
      <c r="HQY5" s="234"/>
      <c r="HQZ5" s="234"/>
      <c r="HRA5" s="234"/>
      <c r="HRB5" s="234"/>
      <c r="HRC5" s="234"/>
      <c r="HRD5" s="234"/>
      <c r="HRE5" s="234"/>
      <c r="HRF5" s="234"/>
      <c r="HRG5" s="234"/>
      <c r="HRH5" s="234"/>
      <c r="HRI5" s="234"/>
      <c r="HRJ5" s="234"/>
      <c r="HRK5" s="234"/>
      <c r="HRL5" s="234"/>
      <c r="HRM5" s="234"/>
      <c r="HRN5" s="234"/>
      <c r="HRO5" s="234"/>
      <c r="HRP5" s="234"/>
      <c r="HRQ5" s="234"/>
      <c r="HRR5" s="234"/>
      <c r="HRS5" s="234"/>
      <c r="HRT5" s="234"/>
      <c r="HRU5" s="234"/>
      <c r="HRV5" s="234"/>
      <c r="HRW5" s="234"/>
      <c r="HRX5" s="234"/>
      <c r="HRY5" s="234"/>
      <c r="HRZ5" s="234"/>
      <c r="HSA5" s="234"/>
      <c r="HSB5" s="234"/>
      <c r="HSC5" s="234"/>
      <c r="HSD5" s="234"/>
      <c r="HSE5" s="234"/>
      <c r="HSF5" s="234"/>
      <c r="HSG5" s="234"/>
      <c r="HSH5" s="234"/>
      <c r="HSI5" s="234"/>
      <c r="HSJ5" s="234"/>
      <c r="HSK5" s="234"/>
      <c r="HSL5" s="234"/>
      <c r="HSM5" s="234"/>
      <c r="HSN5" s="234"/>
      <c r="HSO5" s="234"/>
      <c r="HSP5" s="234"/>
      <c r="HSQ5" s="234"/>
      <c r="HSR5" s="234"/>
      <c r="HSS5" s="234"/>
      <c r="HST5" s="234"/>
      <c r="HSU5" s="234"/>
      <c r="HSV5" s="234"/>
      <c r="HSW5" s="234"/>
      <c r="HSX5" s="234"/>
      <c r="HSY5" s="234"/>
      <c r="HSZ5" s="234"/>
      <c r="HTA5" s="234"/>
      <c r="HTB5" s="234"/>
      <c r="HTC5" s="234"/>
      <c r="HTD5" s="234"/>
      <c r="HTE5" s="234"/>
      <c r="HTF5" s="234"/>
      <c r="HTG5" s="234"/>
      <c r="HTH5" s="234"/>
      <c r="HTI5" s="234"/>
      <c r="HTJ5" s="234"/>
      <c r="HTK5" s="234"/>
      <c r="HTL5" s="234"/>
      <c r="HTM5" s="234"/>
      <c r="HTN5" s="234"/>
      <c r="HTO5" s="234"/>
      <c r="HTP5" s="234"/>
      <c r="HTQ5" s="234"/>
      <c r="HTR5" s="234"/>
      <c r="HTS5" s="234"/>
      <c r="HTT5" s="234"/>
      <c r="HTU5" s="234"/>
      <c r="HTV5" s="234"/>
      <c r="HTW5" s="234"/>
      <c r="HTX5" s="234"/>
      <c r="HTY5" s="234"/>
      <c r="HTZ5" s="234"/>
      <c r="HUA5" s="234"/>
      <c r="HUB5" s="234"/>
      <c r="HUC5" s="234"/>
      <c r="HUD5" s="234"/>
      <c r="HUE5" s="234"/>
      <c r="HUF5" s="234"/>
      <c r="HUG5" s="234"/>
      <c r="HUH5" s="234"/>
      <c r="HUI5" s="234"/>
      <c r="HUJ5" s="234"/>
      <c r="HUK5" s="234"/>
      <c r="HUL5" s="234"/>
      <c r="HUM5" s="234"/>
      <c r="HUN5" s="234"/>
      <c r="HUO5" s="234"/>
      <c r="HUP5" s="234"/>
      <c r="HUQ5" s="234"/>
      <c r="HUR5" s="234"/>
      <c r="HUS5" s="234"/>
      <c r="HUT5" s="234"/>
      <c r="HUU5" s="234"/>
      <c r="HUV5" s="234"/>
      <c r="HUW5" s="234"/>
      <c r="HUX5" s="234"/>
      <c r="HUY5" s="234"/>
      <c r="HUZ5" s="234"/>
      <c r="HVA5" s="234"/>
      <c r="HVB5" s="234"/>
      <c r="HVC5" s="234"/>
      <c r="HVD5" s="234"/>
      <c r="HVE5" s="234"/>
      <c r="HVF5" s="234"/>
      <c r="HVG5" s="234"/>
      <c r="HVH5" s="234"/>
      <c r="HVI5" s="234"/>
      <c r="HVJ5" s="234"/>
      <c r="HVK5" s="234"/>
      <c r="HVL5" s="234"/>
      <c r="HVM5" s="234"/>
      <c r="HVN5" s="234"/>
      <c r="HVO5" s="234"/>
      <c r="HVP5" s="234"/>
      <c r="HVQ5" s="234"/>
      <c r="HVR5" s="234"/>
      <c r="HVS5" s="234"/>
      <c r="HVT5" s="234"/>
      <c r="HVU5" s="234"/>
      <c r="HVV5" s="234"/>
      <c r="HVW5" s="234"/>
      <c r="HVX5" s="234"/>
      <c r="HVY5" s="234"/>
      <c r="HVZ5" s="234"/>
      <c r="HWA5" s="234"/>
      <c r="HWB5" s="234"/>
      <c r="HWC5" s="234"/>
      <c r="HWD5" s="234"/>
      <c r="HWE5" s="234"/>
      <c r="HWF5" s="234"/>
      <c r="HWG5" s="234"/>
      <c r="HWH5" s="234"/>
      <c r="HWI5" s="234"/>
      <c r="HWJ5" s="234"/>
      <c r="HWK5" s="234"/>
      <c r="HWL5" s="234"/>
      <c r="HWM5" s="234"/>
      <c r="HWN5" s="234"/>
      <c r="HWO5" s="234"/>
      <c r="HWP5" s="234"/>
      <c r="HWQ5" s="234"/>
      <c r="HWR5" s="234"/>
      <c r="HWS5" s="234"/>
      <c r="HWT5" s="234"/>
      <c r="HWU5" s="234"/>
      <c r="HWV5" s="234"/>
      <c r="HWW5" s="234"/>
      <c r="HWX5" s="234"/>
      <c r="HWY5" s="234"/>
      <c r="HWZ5" s="234"/>
      <c r="HXA5" s="234"/>
      <c r="HXB5" s="234"/>
      <c r="HXC5" s="234"/>
      <c r="HXD5" s="234"/>
      <c r="HXE5" s="234"/>
      <c r="HXF5" s="234"/>
      <c r="HXG5" s="234"/>
      <c r="HXH5" s="234"/>
      <c r="HXI5" s="234"/>
      <c r="HXJ5" s="234"/>
      <c r="HXK5" s="234"/>
      <c r="HXL5" s="234"/>
      <c r="HXM5" s="234"/>
      <c r="HXN5" s="234"/>
      <c r="HXO5" s="234"/>
      <c r="HXP5" s="234"/>
      <c r="HXQ5" s="234"/>
      <c r="HXR5" s="234"/>
      <c r="HXS5" s="234"/>
      <c r="HXT5" s="234"/>
      <c r="HXU5" s="234"/>
      <c r="HXV5" s="234"/>
      <c r="HXW5" s="234"/>
      <c r="HXX5" s="234"/>
      <c r="HXY5" s="234"/>
      <c r="HXZ5" s="234"/>
      <c r="HYA5" s="234"/>
      <c r="HYB5" s="234"/>
      <c r="HYC5" s="234"/>
      <c r="HYD5" s="234"/>
      <c r="HYE5" s="234"/>
      <c r="HYF5" s="234"/>
      <c r="HYG5" s="234"/>
      <c r="HYH5" s="234"/>
      <c r="HYI5" s="234"/>
      <c r="HYJ5" s="234"/>
      <c r="HYK5" s="234"/>
      <c r="HYL5" s="234"/>
      <c r="HYM5" s="234"/>
      <c r="HYN5" s="234"/>
      <c r="HYO5" s="234"/>
      <c r="HYP5" s="234"/>
      <c r="HYQ5" s="234"/>
      <c r="HYR5" s="234"/>
      <c r="HYS5" s="234"/>
      <c r="HYT5" s="234"/>
      <c r="HYU5" s="234"/>
      <c r="HYV5" s="234"/>
      <c r="HYW5" s="234"/>
      <c r="HYX5" s="234"/>
      <c r="HYY5" s="234"/>
      <c r="HYZ5" s="234"/>
      <c r="HZA5" s="234"/>
      <c r="HZB5" s="234"/>
      <c r="HZC5" s="234"/>
      <c r="HZD5" s="234"/>
      <c r="HZE5" s="234"/>
      <c r="HZF5" s="234"/>
      <c r="HZG5" s="234"/>
      <c r="HZH5" s="234"/>
      <c r="HZI5" s="234"/>
      <c r="HZJ5" s="234"/>
      <c r="HZK5" s="234"/>
      <c r="HZL5" s="234"/>
      <c r="HZM5" s="234"/>
      <c r="HZN5" s="234"/>
      <c r="HZO5" s="234"/>
      <c r="HZP5" s="234"/>
      <c r="HZQ5" s="234"/>
      <c r="HZR5" s="234"/>
      <c r="HZS5" s="234"/>
      <c r="HZT5" s="234"/>
      <c r="HZU5" s="234"/>
      <c r="HZV5" s="234"/>
      <c r="HZW5" s="234"/>
      <c r="HZX5" s="234"/>
      <c r="HZY5" s="234"/>
      <c r="HZZ5" s="234"/>
      <c r="IAA5" s="234"/>
      <c r="IAB5" s="234"/>
      <c r="IAC5" s="234"/>
      <c r="IAD5" s="234"/>
      <c r="IAE5" s="234"/>
      <c r="IAF5" s="234"/>
      <c r="IAG5" s="234"/>
      <c r="IAH5" s="234"/>
      <c r="IAI5" s="234"/>
      <c r="IAJ5" s="234"/>
      <c r="IAK5" s="234"/>
      <c r="IAL5" s="234"/>
      <c r="IAM5" s="234"/>
      <c r="IAN5" s="234"/>
      <c r="IAO5" s="234"/>
      <c r="IAP5" s="234"/>
      <c r="IAQ5" s="234"/>
      <c r="IAR5" s="234"/>
      <c r="IAS5" s="234"/>
      <c r="IAT5" s="234"/>
      <c r="IAU5" s="234"/>
      <c r="IAV5" s="234"/>
      <c r="IAW5" s="234"/>
      <c r="IAX5" s="234"/>
      <c r="IAY5" s="234"/>
      <c r="IAZ5" s="234"/>
      <c r="IBA5" s="234"/>
      <c r="IBB5" s="234"/>
      <c r="IBC5" s="234"/>
      <c r="IBD5" s="234"/>
      <c r="IBE5" s="234"/>
      <c r="IBF5" s="234"/>
      <c r="IBG5" s="234"/>
      <c r="IBH5" s="234"/>
      <c r="IBI5" s="234"/>
      <c r="IBJ5" s="234"/>
      <c r="IBK5" s="234"/>
      <c r="IBL5" s="234"/>
      <c r="IBM5" s="234"/>
      <c r="IBN5" s="234"/>
      <c r="IBO5" s="234"/>
      <c r="IBP5" s="234"/>
      <c r="IBQ5" s="234"/>
      <c r="IBR5" s="234"/>
      <c r="IBS5" s="234"/>
      <c r="IBT5" s="234"/>
      <c r="IBU5" s="234"/>
      <c r="IBV5" s="234"/>
      <c r="IBW5" s="234"/>
      <c r="IBX5" s="234"/>
      <c r="IBY5" s="234"/>
      <c r="IBZ5" s="234"/>
      <c r="ICA5" s="234"/>
      <c r="ICB5" s="234"/>
      <c r="ICC5" s="234"/>
      <c r="ICD5" s="234"/>
      <c r="ICE5" s="234"/>
      <c r="ICF5" s="234"/>
      <c r="ICG5" s="234"/>
      <c r="ICH5" s="234"/>
      <c r="ICI5" s="234"/>
      <c r="ICJ5" s="234"/>
      <c r="ICK5" s="234"/>
      <c r="ICL5" s="234"/>
      <c r="ICM5" s="234"/>
      <c r="ICN5" s="234"/>
      <c r="ICO5" s="234"/>
      <c r="ICP5" s="234"/>
      <c r="ICQ5" s="234"/>
      <c r="ICR5" s="234"/>
      <c r="ICS5" s="234"/>
      <c r="ICT5" s="234"/>
      <c r="ICU5" s="234"/>
      <c r="ICV5" s="234"/>
      <c r="ICW5" s="234"/>
      <c r="ICX5" s="234"/>
      <c r="ICY5" s="234"/>
      <c r="ICZ5" s="234"/>
      <c r="IDA5" s="234"/>
      <c r="IDB5" s="234"/>
      <c r="IDC5" s="234"/>
      <c r="IDD5" s="234"/>
      <c r="IDE5" s="234"/>
      <c r="IDF5" s="234"/>
      <c r="IDG5" s="234"/>
      <c r="IDH5" s="234"/>
      <c r="IDI5" s="234"/>
      <c r="IDJ5" s="234"/>
      <c r="IDK5" s="234"/>
      <c r="IDL5" s="234"/>
      <c r="IDM5" s="234"/>
      <c r="IDN5" s="234"/>
      <c r="IDO5" s="234"/>
      <c r="IDP5" s="234"/>
      <c r="IDQ5" s="234"/>
      <c r="IDR5" s="234"/>
      <c r="IDS5" s="234"/>
      <c r="IDT5" s="234"/>
      <c r="IDU5" s="234"/>
      <c r="IDV5" s="234"/>
      <c r="IDW5" s="234"/>
      <c r="IDX5" s="234"/>
      <c r="IDY5" s="234"/>
      <c r="IDZ5" s="234"/>
      <c r="IEA5" s="234"/>
      <c r="IEB5" s="234"/>
      <c r="IEC5" s="234"/>
      <c r="IED5" s="234"/>
      <c r="IEE5" s="234"/>
      <c r="IEF5" s="234"/>
      <c r="IEG5" s="234"/>
      <c r="IEH5" s="234"/>
      <c r="IEI5" s="234"/>
      <c r="IEJ5" s="234"/>
      <c r="IEK5" s="234"/>
      <c r="IEL5" s="234"/>
      <c r="IEM5" s="234"/>
      <c r="IEN5" s="234"/>
      <c r="IEO5" s="234"/>
      <c r="IEP5" s="234"/>
      <c r="IEQ5" s="234"/>
      <c r="IER5" s="234"/>
      <c r="IES5" s="234"/>
      <c r="IET5" s="234"/>
      <c r="IEU5" s="234"/>
      <c r="IEV5" s="234"/>
      <c r="IEW5" s="234"/>
      <c r="IEX5" s="234"/>
      <c r="IEY5" s="234"/>
      <c r="IEZ5" s="234"/>
      <c r="IFA5" s="234"/>
      <c r="IFB5" s="234"/>
      <c r="IFC5" s="234"/>
      <c r="IFD5" s="234"/>
      <c r="IFE5" s="234"/>
      <c r="IFF5" s="234"/>
      <c r="IFG5" s="234"/>
      <c r="IFH5" s="234"/>
      <c r="IFI5" s="234"/>
      <c r="IFJ5" s="234"/>
      <c r="IFK5" s="234"/>
      <c r="IFL5" s="234"/>
      <c r="IFM5" s="234"/>
      <c r="IFN5" s="234"/>
      <c r="IFO5" s="234"/>
      <c r="IFP5" s="234"/>
      <c r="IFQ5" s="234"/>
      <c r="IFR5" s="234"/>
      <c r="IFS5" s="234"/>
      <c r="IFT5" s="234"/>
      <c r="IFU5" s="234"/>
      <c r="IFV5" s="234"/>
      <c r="IFW5" s="234"/>
      <c r="IFX5" s="234"/>
      <c r="IFY5" s="234"/>
      <c r="IFZ5" s="234"/>
      <c r="IGA5" s="234"/>
      <c r="IGB5" s="234"/>
      <c r="IGC5" s="234"/>
      <c r="IGD5" s="234"/>
      <c r="IGE5" s="234"/>
      <c r="IGF5" s="234"/>
      <c r="IGG5" s="234"/>
      <c r="IGH5" s="234"/>
      <c r="IGI5" s="234"/>
      <c r="IGJ5" s="234"/>
      <c r="IGK5" s="234"/>
      <c r="IGL5" s="234"/>
      <c r="IGM5" s="234"/>
      <c r="IGN5" s="234"/>
      <c r="IGO5" s="234"/>
      <c r="IGP5" s="234"/>
      <c r="IGQ5" s="234"/>
      <c r="IGR5" s="234"/>
      <c r="IGS5" s="234"/>
      <c r="IGT5" s="234"/>
      <c r="IGU5" s="234"/>
      <c r="IGV5" s="234"/>
      <c r="IGW5" s="234"/>
      <c r="IGX5" s="234"/>
      <c r="IGY5" s="234"/>
      <c r="IGZ5" s="234"/>
      <c r="IHA5" s="234"/>
      <c r="IHB5" s="234"/>
      <c r="IHC5" s="234"/>
      <c r="IHD5" s="234"/>
      <c r="IHE5" s="234"/>
      <c r="IHF5" s="234"/>
      <c r="IHG5" s="234"/>
      <c r="IHH5" s="234"/>
      <c r="IHI5" s="234"/>
      <c r="IHJ5" s="234"/>
      <c r="IHK5" s="234"/>
      <c r="IHL5" s="234"/>
      <c r="IHM5" s="234"/>
      <c r="IHN5" s="234"/>
      <c r="IHO5" s="234"/>
      <c r="IHP5" s="234"/>
      <c r="IHQ5" s="234"/>
      <c r="IHR5" s="234"/>
      <c r="IHS5" s="234"/>
      <c r="IHT5" s="234"/>
      <c r="IHU5" s="234"/>
      <c r="IHV5" s="234"/>
      <c r="IHW5" s="234"/>
      <c r="IHX5" s="234"/>
      <c r="IHY5" s="234"/>
      <c r="IHZ5" s="234"/>
      <c r="IIA5" s="234"/>
      <c r="IIB5" s="234"/>
      <c r="IIC5" s="234"/>
      <c r="IID5" s="234"/>
      <c r="IIE5" s="234"/>
      <c r="IIF5" s="234"/>
      <c r="IIG5" s="234"/>
      <c r="IIH5" s="234"/>
      <c r="III5" s="234"/>
      <c r="IIJ5" s="234"/>
      <c r="IIK5" s="234"/>
      <c r="IIL5" s="234"/>
      <c r="IIM5" s="234"/>
      <c r="IIN5" s="234"/>
      <c r="IIO5" s="234"/>
      <c r="IIP5" s="234"/>
      <c r="IIQ5" s="234"/>
      <c r="IIR5" s="234"/>
      <c r="IIS5" s="234"/>
      <c r="IIT5" s="234"/>
      <c r="IIU5" s="234"/>
      <c r="IIV5" s="234"/>
      <c r="IIW5" s="234"/>
      <c r="IIX5" s="234"/>
      <c r="IIY5" s="234"/>
      <c r="IIZ5" s="234"/>
      <c r="IJA5" s="234"/>
      <c r="IJB5" s="234"/>
      <c r="IJC5" s="234"/>
      <c r="IJD5" s="234"/>
      <c r="IJE5" s="234"/>
      <c r="IJF5" s="234"/>
      <c r="IJG5" s="234"/>
      <c r="IJH5" s="234"/>
      <c r="IJI5" s="234"/>
      <c r="IJJ5" s="234"/>
      <c r="IJK5" s="234"/>
      <c r="IJL5" s="234"/>
      <c r="IJM5" s="234"/>
      <c r="IJN5" s="234"/>
      <c r="IJO5" s="234"/>
      <c r="IJP5" s="234"/>
      <c r="IJQ5" s="234"/>
      <c r="IJR5" s="234"/>
      <c r="IJS5" s="234"/>
      <c r="IJT5" s="234"/>
      <c r="IJU5" s="234"/>
      <c r="IJV5" s="234"/>
      <c r="IJW5" s="234"/>
      <c r="IJX5" s="234"/>
      <c r="IJY5" s="234"/>
      <c r="IJZ5" s="234"/>
      <c r="IKA5" s="234"/>
      <c r="IKB5" s="234"/>
      <c r="IKC5" s="234"/>
      <c r="IKD5" s="234"/>
      <c r="IKE5" s="234"/>
      <c r="IKF5" s="234"/>
      <c r="IKG5" s="234"/>
      <c r="IKH5" s="234"/>
      <c r="IKI5" s="234"/>
      <c r="IKJ5" s="234"/>
      <c r="IKK5" s="234"/>
      <c r="IKL5" s="234"/>
      <c r="IKM5" s="234"/>
      <c r="IKN5" s="234"/>
      <c r="IKO5" s="234"/>
      <c r="IKP5" s="234"/>
      <c r="IKQ5" s="234"/>
      <c r="IKR5" s="234"/>
      <c r="IKS5" s="234"/>
      <c r="IKT5" s="234"/>
      <c r="IKU5" s="234"/>
      <c r="IKV5" s="234"/>
      <c r="IKW5" s="234"/>
      <c r="IKX5" s="234"/>
      <c r="IKY5" s="234"/>
      <c r="IKZ5" s="234"/>
      <c r="ILA5" s="234"/>
      <c r="ILB5" s="234"/>
      <c r="ILC5" s="234"/>
      <c r="ILD5" s="234"/>
      <c r="ILE5" s="234"/>
      <c r="ILF5" s="234"/>
      <c r="ILG5" s="234"/>
      <c r="ILH5" s="234"/>
      <c r="ILI5" s="234"/>
      <c r="ILJ5" s="234"/>
      <c r="ILK5" s="234"/>
      <c r="ILL5" s="234"/>
      <c r="ILM5" s="234"/>
      <c r="ILN5" s="234"/>
      <c r="ILO5" s="234"/>
      <c r="ILP5" s="234"/>
      <c r="ILQ5" s="234"/>
      <c r="ILR5" s="234"/>
      <c r="ILS5" s="234"/>
      <c r="ILT5" s="234"/>
      <c r="ILU5" s="234"/>
      <c r="ILV5" s="234"/>
      <c r="ILW5" s="234"/>
      <c r="ILX5" s="234"/>
      <c r="ILY5" s="234"/>
      <c r="ILZ5" s="234"/>
      <c r="IMA5" s="234"/>
      <c r="IMB5" s="234"/>
      <c r="IMC5" s="234"/>
      <c r="IMD5" s="234"/>
      <c r="IME5" s="234"/>
      <c r="IMF5" s="234"/>
      <c r="IMG5" s="234"/>
      <c r="IMH5" s="234"/>
      <c r="IMI5" s="234"/>
      <c r="IMJ5" s="234"/>
      <c r="IMK5" s="234"/>
      <c r="IML5" s="234"/>
      <c r="IMM5" s="234"/>
      <c r="IMN5" s="234"/>
      <c r="IMO5" s="234"/>
      <c r="IMP5" s="234"/>
      <c r="IMQ5" s="234"/>
      <c r="IMR5" s="234"/>
      <c r="IMS5" s="234"/>
      <c r="IMT5" s="234"/>
      <c r="IMU5" s="234"/>
      <c r="IMV5" s="234"/>
      <c r="IMW5" s="234"/>
      <c r="IMX5" s="234"/>
      <c r="IMY5" s="234"/>
      <c r="IMZ5" s="234"/>
      <c r="INA5" s="234"/>
      <c r="INB5" s="234"/>
      <c r="INC5" s="234"/>
      <c r="IND5" s="234"/>
      <c r="INE5" s="234"/>
      <c r="INF5" s="234"/>
      <c r="ING5" s="234"/>
      <c r="INH5" s="234"/>
      <c r="INI5" s="234"/>
      <c r="INJ5" s="234"/>
      <c r="INK5" s="234"/>
      <c r="INL5" s="234"/>
      <c r="INM5" s="234"/>
      <c r="INN5" s="234"/>
      <c r="INO5" s="234"/>
      <c r="INP5" s="234"/>
      <c r="INQ5" s="234"/>
      <c r="INR5" s="234"/>
      <c r="INS5" s="234"/>
      <c r="INT5" s="234"/>
      <c r="INU5" s="234"/>
      <c r="INV5" s="234"/>
      <c r="INW5" s="234"/>
      <c r="INX5" s="234"/>
      <c r="INY5" s="234"/>
      <c r="INZ5" s="234"/>
      <c r="IOA5" s="234"/>
      <c r="IOB5" s="234"/>
      <c r="IOC5" s="234"/>
      <c r="IOD5" s="234"/>
      <c r="IOE5" s="234"/>
      <c r="IOF5" s="234"/>
      <c r="IOG5" s="234"/>
      <c r="IOH5" s="234"/>
      <c r="IOI5" s="234"/>
      <c r="IOJ5" s="234"/>
      <c r="IOK5" s="234"/>
      <c r="IOL5" s="234"/>
      <c r="IOM5" s="234"/>
      <c r="ION5" s="234"/>
      <c r="IOO5" s="234"/>
      <c r="IOP5" s="234"/>
      <c r="IOQ5" s="234"/>
      <c r="IOR5" s="234"/>
      <c r="IOS5" s="234"/>
      <c r="IOT5" s="234"/>
      <c r="IOU5" s="234"/>
      <c r="IOV5" s="234"/>
      <c r="IOW5" s="234"/>
      <c r="IOX5" s="234"/>
      <c r="IOY5" s="234"/>
      <c r="IOZ5" s="234"/>
      <c r="IPA5" s="234"/>
      <c r="IPB5" s="234"/>
      <c r="IPC5" s="234"/>
      <c r="IPD5" s="234"/>
      <c r="IPE5" s="234"/>
      <c r="IPF5" s="234"/>
      <c r="IPG5" s="234"/>
      <c r="IPH5" s="234"/>
      <c r="IPI5" s="234"/>
      <c r="IPJ5" s="234"/>
      <c r="IPK5" s="234"/>
      <c r="IPL5" s="234"/>
      <c r="IPM5" s="234"/>
      <c r="IPN5" s="234"/>
      <c r="IPO5" s="234"/>
      <c r="IPP5" s="234"/>
      <c r="IPQ5" s="234"/>
      <c r="IPR5" s="234"/>
      <c r="IPS5" s="234"/>
      <c r="IPT5" s="234"/>
      <c r="IPU5" s="234"/>
      <c r="IPV5" s="234"/>
      <c r="IPW5" s="234"/>
      <c r="IPX5" s="234"/>
      <c r="IPY5" s="234"/>
      <c r="IPZ5" s="234"/>
      <c r="IQA5" s="234"/>
      <c r="IQB5" s="234"/>
      <c r="IQC5" s="234"/>
      <c r="IQD5" s="234"/>
      <c r="IQE5" s="234"/>
      <c r="IQF5" s="234"/>
      <c r="IQG5" s="234"/>
      <c r="IQH5" s="234"/>
      <c r="IQI5" s="234"/>
      <c r="IQJ5" s="234"/>
      <c r="IQK5" s="234"/>
      <c r="IQL5" s="234"/>
      <c r="IQM5" s="234"/>
      <c r="IQN5" s="234"/>
      <c r="IQO5" s="234"/>
      <c r="IQP5" s="234"/>
      <c r="IQQ5" s="234"/>
      <c r="IQR5" s="234"/>
      <c r="IQS5" s="234"/>
      <c r="IQT5" s="234"/>
      <c r="IQU5" s="234"/>
      <c r="IQV5" s="234"/>
      <c r="IQW5" s="234"/>
      <c r="IQX5" s="234"/>
      <c r="IQY5" s="234"/>
      <c r="IQZ5" s="234"/>
      <c r="IRA5" s="234"/>
      <c r="IRB5" s="234"/>
      <c r="IRC5" s="234"/>
      <c r="IRD5" s="234"/>
      <c r="IRE5" s="234"/>
      <c r="IRF5" s="234"/>
      <c r="IRG5" s="234"/>
      <c r="IRH5" s="234"/>
      <c r="IRI5" s="234"/>
      <c r="IRJ5" s="234"/>
      <c r="IRK5" s="234"/>
      <c r="IRL5" s="234"/>
      <c r="IRM5" s="234"/>
      <c r="IRN5" s="234"/>
      <c r="IRO5" s="234"/>
      <c r="IRP5" s="234"/>
      <c r="IRQ5" s="234"/>
      <c r="IRR5" s="234"/>
      <c r="IRS5" s="234"/>
      <c r="IRT5" s="234"/>
      <c r="IRU5" s="234"/>
      <c r="IRV5" s="234"/>
      <c r="IRW5" s="234"/>
      <c r="IRX5" s="234"/>
      <c r="IRY5" s="234"/>
      <c r="IRZ5" s="234"/>
      <c r="ISA5" s="234"/>
      <c r="ISB5" s="234"/>
      <c r="ISC5" s="234"/>
      <c r="ISD5" s="234"/>
      <c r="ISE5" s="234"/>
      <c r="ISF5" s="234"/>
      <c r="ISG5" s="234"/>
      <c r="ISH5" s="234"/>
      <c r="ISI5" s="234"/>
      <c r="ISJ5" s="234"/>
      <c r="ISK5" s="234"/>
      <c r="ISL5" s="234"/>
      <c r="ISM5" s="234"/>
      <c r="ISN5" s="234"/>
      <c r="ISO5" s="234"/>
      <c r="ISP5" s="234"/>
      <c r="ISQ5" s="234"/>
      <c r="ISR5" s="234"/>
      <c r="ISS5" s="234"/>
      <c r="IST5" s="234"/>
      <c r="ISU5" s="234"/>
      <c r="ISV5" s="234"/>
      <c r="ISW5" s="234"/>
      <c r="ISX5" s="234"/>
      <c r="ISY5" s="234"/>
      <c r="ISZ5" s="234"/>
      <c r="ITA5" s="234"/>
      <c r="ITB5" s="234"/>
      <c r="ITC5" s="234"/>
      <c r="ITD5" s="234"/>
      <c r="ITE5" s="234"/>
      <c r="ITF5" s="234"/>
      <c r="ITG5" s="234"/>
      <c r="ITH5" s="234"/>
      <c r="ITI5" s="234"/>
      <c r="ITJ5" s="234"/>
      <c r="ITK5" s="234"/>
      <c r="ITL5" s="234"/>
      <c r="ITM5" s="234"/>
      <c r="ITN5" s="234"/>
      <c r="ITO5" s="234"/>
      <c r="ITP5" s="234"/>
      <c r="ITQ5" s="234"/>
      <c r="ITR5" s="234"/>
      <c r="ITS5" s="234"/>
      <c r="ITT5" s="234"/>
      <c r="ITU5" s="234"/>
      <c r="ITV5" s="234"/>
      <c r="ITW5" s="234"/>
      <c r="ITX5" s="234"/>
      <c r="ITY5" s="234"/>
      <c r="ITZ5" s="234"/>
      <c r="IUA5" s="234"/>
      <c r="IUB5" s="234"/>
      <c r="IUC5" s="234"/>
      <c r="IUD5" s="234"/>
      <c r="IUE5" s="234"/>
      <c r="IUF5" s="234"/>
      <c r="IUG5" s="234"/>
      <c r="IUH5" s="234"/>
      <c r="IUI5" s="234"/>
      <c r="IUJ5" s="234"/>
      <c r="IUK5" s="234"/>
      <c r="IUL5" s="234"/>
      <c r="IUM5" s="234"/>
      <c r="IUN5" s="234"/>
      <c r="IUO5" s="234"/>
      <c r="IUP5" s="234"/>
      <c r="IUQ5" s="234"/>
      <c r="IUR5" s="234"/>
      <c r="IUS5" s="234"/>
      <c r="IUT5" s="234"/>
      <c r="IUU5" s="234"/>
      <c r="IUV5" s="234"/>
      <c r="IUW5" s="234"/>
      <c r="IUX5" s="234"/>
      <c r="IUY5" s="234"/>
      <c r="IUZ5" s="234"/>
      <c r="IVA5" s="234"/>
      <c r="IVB5" s="234"/>
      <c r="IVC5" s="234"/>
      <c r="IVD5" s="234"/>
      <c r="IVE5" s="234"/>
      <c r="IVF5" s="234"/>
      <c r="IVG5" s="234"/>
      <c r="IVH5" s="234"/>
      <c r="IVI5" s="234"/>
      <c r="IVJ5" s="234"/>
      <c r="IVK5" s="234"/>
      <c r="IVL5" s="234"/>
      <c r="IVM5" s="234"/>
      <c r="IVN5" s="234"/>
      <c r="IVO5" s="234"/>
      <c r="IVP5" s="234"/>
      <c r="IVQ5" s="234"/>
      <c r="IVR5" s="234"/>
      <c r="IVS5" s="234"/>
      <c r="IVT5" s="234"/>
      <c r="IVU5" s="234"/>
      <c r="IVV5" s="234"/>
      <c r="IVW5" s="234"/>
      <c r="IVX5" s="234"/>
      <c r="IVY5" s="234"/>
      <c r="IVZ5" s="234"/>
      <c r="IWA5" s="234"/>
      <c r="IWB5" s="234"/>
      <c r="IWC5" s="234"/>
      <c r="IWD5" s="234"/>
      <c r="IWE5" s="234"/>
      <c r="IWF5" s="234"/>
      <c r="IWG5" s="234"/>
      <c r="IWH5" s="234"/>
      <c r="IWI5" s="234"/>
      <c r="IWJ5" s="234"/>
      <c r="IWK5" s="234"/>
      <c r="IWL5" s="234"/>
      <c r="IWM5" s="234"/>
      <c r="IWN5" s="234"/>
      <c r="IWO5" s="234"/>
      <c r="IWP5" s="234"/>
      <c r="IWQ5" s="234"/>
      <c r="IWR5" s="234"/>
      <c r="IWS5" s="234"/>
      <c r="IWT5" s="234"/>
      <c r="IWU5" s="234"/>
      <c r="IWV5" s="234"/>
      <c r="IWW5" s="234"/>
      <c r="IWX5" s="234"/>
      <c r="IWY5" s="234"/>
      <c r="IWZ5" s="234"/>
      <c r="IXA5" s="234"/>
      <c r="IXB5" s="234"/>
      <c r="IXC5" s="234"/>
      <c r="IXD5" s="234"/>
      <c r="IXE5" s="234"/>
      <c r="IXF5" s="234"/>
      <c r="IXG5" s="234"/>
      <c r="IXH5" s="234"/>
      <c r="IXI5" s="234"/>
      <c r="IXJ5" s="234"/>
      <c r="IXK5" s="234"/>
      <c r="IXL5" s="234"/>
      <c r="IXM5" s="234"/>
      <c r="IXN5" s="234"/>
      <c r="IXO5" s="234"/>
      <c r="IXP5" s="234"/>
      <c r="IXQ5" s="234"/>
      <c r="IXR5" s="234"/>
      <c r="IXS5" s="234"/>
      <c r="IXT5" s="234"/>
      <c r="IXU5" s="234"/>
      <c r="IXV5" s="234"/>
      <c r="IXW5" s="234"/>
      <c r="IXX5" s="234"/>
      <c r="IXY5" s="234"/>
      <c r="IXZ5" s="234"/>
      <c r="IYA5" s="234"/>
      <c r="IYB5" s="234"/>
      <c r="IYC5" s="234"/>
      <c r="IYD5" s="234"/>
      <c r="IYE5" s="234"/>
      <c r="IYF5" s="234"/>
      <c r="IYG5" s="234"/>
      <c r="IYH5" s="234"/>
      <c r="IYI5" s="234"/>
      <c r="IYJ5" s="234"/>
      <c r="IYK5" s="234"/>
      <c r="IYL5" s="234"/>
      <c r="IYM5" s="234"/>
      <c r="IYN5" s="234"/>
      <c r="IYO5" s="234"/>
      <c r="IYP5" s="234"/>
      <c r="IYQ5" s="234"/>
      <c r="IYR5" s="234"/>
      <c r="IYS5" s="234"/>
      <c r="IYT5" s="234"/>
      <c r="IYU5" s="234"/>
      <c r="IYV5" s="234"/>
      <c r="IYW5" s="234"/>
      <c r="IYX5" s="234"/>
      <c r="IYY5" s="234"/>
      <c r="IYZ5" s="234"/>
      <c r="IZA5" s="234"/>
      <c r="IZB5" s="234"/>
      <c r="IZC5" s="234"/>
      <c r="IZD5" s="234"/>
      <c r="IZE5" s="234"/>
      <c r="IZF5" s="234"/>
      <c r="IZG5" s="234"/>
      <c r="IZH5" s="234"/>
      <c r="IZI5" s="234"/>
      <c r="IZJ5" s="234"/>
      <c r="IZK5" s="234"/>
      <c r="IZL5" s="234"/>
      <c r="IZM5" s="234"/>
      <c r="IZN5" s="234"/>
      <c r="IZO5" s="234"/>
      <c r="IZP5" s="234"/>
      <c r="IZQ5" s="234"/>
      <c r="IZR5" s="234"/>
      <c r="IZS5" s="234"/>
      <c r="IZT5" s="234"/>
      <c r="IZU5" s="234"/>
      <c r="IZV5" s="234"/>
      <c r="IZW5" s="234"/>
      <c r="IZX5" s="234"/>
      <c r="IZY5" s="234"/>
      <c r="IZZ5" s="234"/>
      <c r="JAA5" s="234"/>
      <c r="JAB5" s="234"/>
      <c r="JAC5" s="234"/>
      <c r="JAD5" s="234"/>
      <c r="JAE5" s="234"/>
      <c r="JAF5" s="234"/>
      <c r="JAG5" s="234"/>
      <c r="JAH5" s="234"/>
      <c r="JAI5" s="234"/>
      <c r="JAJ5" s="234"/>
      <c r="JAK5" s="234"/>
      <c r="JAL5" s="234"/>
      <c r="JAM5" s="234"/>
      <c r="JAN5" s="234"/>
      <c r="JAO5" s="234"/>
      <c r="JAP5" s="234"/>
      <c r="JAQ5" s="234"/>
      <c r="JAR5" s="234"/>
      <c r="JAS5" s="234"/>
      <c r="JAT5" s="234"/>
      <c r="JAU5" s="234"/>
      <c r="JAV5" s="234"/>
      <c r="JAW5" s="234"/>
      <c r="JAX5" s="234"/>
      <c r="JAY5" s="234"/>
      <c r="JAZ5" s="234"/>
      <c r="JBA5" s="234"/>
      <c r="JBB5" s="234"/>
      <c r="JBC5" s="234"/>
      <c r="JBD5" s="234"/>
      <c r="JBE5" s="234"/>
      <c r="JBF5" s="234"/>
      <c r="JBG5" s="234"/>
      <c r="JBH5" s="234"/>
      <c r="JBI5" s="234"/>
      <c r="JBJ5" s="234"/>
      <c r="JBK5" s="234"/>
      <c r="JBL5" s="234"/>
      <c r="JBM5" s="234"/>
      <c r="JBN5" s="234"/>
      <c r="JBO5" s="234"/>
      <c r="JBP5" s="234"/>
      <c r="JBQ5" s="234"/>
      <c r="JBR5" s="234"/>
      <c r="JBS5" s="234"/>
      <c r="JBT5" s="234"/>
      <c r="JBU5" s="234"/>
      <c r="JBV5" s="234"/>
      <c r="JBW5" s="234"/>
      <c r="JBX5" s="234"/>
      <c r="JBY5" s="234"/>
      <c r="JBZ5" s="234"/>
      <c r="JCA5" s="234"/>
      <c r="JCB5" s="234"/>
      <c r="JCC5" s="234"/>
      <c r="JCD5" s="234"/>
      <c r="JCE5" s="234"/>
      <c r="JCF5" s="234"/>
      <c r="JCG5" s="234"/>
      <c r="JCH5" s="234"/>
      <c r="JCI5" s="234"/>
      <c r="JCJ5" s="234"/>
      <c r="JCK5" s="234"/>
      <c r="JCL5" s="234"/>
      <c r="JCM5" s="234"/>
      <c r="JCN5" s="234"/>
      <c r="JCO5" s="234"/>
      <c r="JCP5" s="234"/>
      <c r="JCQ5" s="234"/>
      <c r="JCR5" s="234"/>
      <c r="JCS5" s="234"/>
      <c r="JCT5" s="234"/>
      <c r="JCU5" s="234"/>
      <c r="JCV5" s="234"/>
      <c r="JCW5" s="234"/>
      <c r="JCX5" s="234"/>
      <c r="JCY5" s="234"/>
      <c r="JCZ5" s="234"/>
      <c r="JDA5" s="234"/>
      <c r="JDB5" s="234"/>
      <c r="JDC5" s="234"/>
      <c r="JDD5" s="234"/>
      <c r="JDE5" s="234"/>
      <c r="JDF5" s="234"/>
      <c r="JDG5" s="234"/>
      <c r="JDH5" s="234"/>
      <c r="JDI5" s="234"/>
      <c r="JDJ5" s="234"/>
      <c r="JDK5" s="234"/>
      <c r="JDL5" s="234"/>
      <c r="JDM5" s="234"/>
      <c r="JDN5" s="234"/>
      <c r="JDO5" s="234"/>
      <c r="JDP5" s="234"/>
      <c r="JDQ5" s="234"/>
      <c r="JDR5" s="234"/>
      <c r="JDS5" s="234"/>
      <c r="JDT5" s="234"/>
      <c r="JDU5" s="234"/>
      <c r="JDV5" s="234"/>
      <c r="JDW5" s="234"/>
      <c r="JDX5" s="234"/>
      <c r="JDY5" s="234"/>
      <c r="JDZ5" s="234"/>
      <c r="JEA5" s="234"/>
      <c r="JEB5" s="234"/>
      <c r="JEC5" s="234"/>
      <c r="JED5" s="234"/>
      <c r="JEE5" s="234"/>
      <c r="JEF5" s="234"/>
      <c r="JEG5" s="234"/>
      <c r="JEH5" s="234"/>
      <c r="JEI5" s="234"/>
      <c r="JEJ5" s="234"/>
      <c r="JEK5" s="234"/>
      <c r="JEL5" s="234"/>
      <c r="JEM5" s="234"/>
      <c r="JEN5" s="234"/>
      <c r="JEO5" s="234"/>
      <c r="JEP5" s="234"/>
      <c r="JEQ5" s="234"/>
      <c r="JER5" s="234"/>
      <c r="JES5" s="234"/>
      <c r="JET5" s="234"/>
      <c r="JEU5" s="234"/>
      <c r="JEV5" s="234"/>
      <c r="JEW5" s="234"/>
      <c r="JEX5" s="234"/>
      <c r="JEY5" s="234"/>
      <c r="JEZ5" s="234"/>
      <c r="JFA5" s="234"/>
      <c r="JFB5" s="234"/>
      <c r="JFC5" s="234"/>
      <c r="JFD5" s="234"/>
      <c r="JFE5" s="234"/>
      <c r="JFF5" s="234"/>
      <c r="JFG5" s="234"/>
      <c r="JFH5" s="234"/>
      <c r="JFI5" s="234"/>
      <c r="JFJ5" s="234"/>
      <c r="JFK5" s="234"/>
      <c r="JFL5" s="234"/>
      <c r="JFM5" s="234"/>
      <c r="JFN5" s="234"/>
      <c r="JFO5" s="234"/>
      <c r="JFP5" s="234"/>
      <c r="JFQ5" s="234"/>
      <c r="JFR5" s="234"/>
      <c r="JFS5" s="234"/>
      <c r="JFT5" s="234"/>
      <c r="JFU5" s="234"/>
      <c r="JFV5" s="234"/>
      <c r="JFW5" s="234"/>
      <c r="JFX5" s="234"/>
      <c r="JFY5" s="234"/>
      <c r="JFZ5" s="234"/>
      <c r="JGA5" s="234"/>
      <c r="JGB5" s="234"/>
      <c r="JGC5" s="234"/>
      <c r="JGD5" s="234"/>
      <c r="JGE5" s="234"/>
      <c r="JGF5" s="234"/>
      <c r="JGG5" s="234"/>
      <c r="JGH5" s="234"/>
      <c r="JGI5" s="234"/>
      <c r="JGJ5" s="234"/>
      <c r="JGK5" s="234"/>
      <c r="JGL5" s="234"/>
      <c r="JGM5" s="234"/>
      <c r="JGN5" s="234"/>
      <c r="JGO5" s="234"/>
      <c r="JGP5" s="234"/>
      <c r="JGQ5" s="234"/>
      <c r="JGR5" s="234"/>
      <c r="JGS5" s="234"/>
      <c r="JGT5" s="234"/>
      <c r="JGU5" s="234"/>
      <c r="JGV5" s="234"/>
      <c r="JGW5" s="234"/>
      <c r="JGX5" s="234"/>
      <c r="JGY5" s="234"/>
      <c r="JGZ5" s="234"/>
      <c r="JHA5" s="234"/>
      <c r="JHB5" s="234"/>
      <c r="JHC5" s="234"/>
      <c r="JHD5" s="234"/>
      <c r="JHE5" s="234"/>
      <c r="JHF5" s="234"/>
      <c r="JHG5" s="234"/>
      <c r="JHH5" s="234"/>
      <c r="JHI5" s="234"/>
      <c r="JHJ5" s="234"/>
      <c r="JHK5" s="234"/>
      <c r="JHL5" s="234"/>
      <c r="JHM5" s="234"/>
      <c r="JHN5" s="234"/>
      <c r="JHO5" s="234"/>
      <c r="JHP5" s="234"/>
      <c r="JHQ5" s="234"/>
      <c r="JHR5" s="234"/>
      <c r="JHS5" s="234"/>
      <c r="JHT5" s="234"/>
      <c r="JHU5" s="234"/>
      <c r="JHV5" s="234"/>
      <c r="JHW5" s="234"/>
      <c r="JHX5" s="234"/>
      <c r="JHY5" s="234"/>
      <c r="JHZ5" s="234"/>
      <c r="JIA5" s="234"/>
      <c r="JIB5" s="234"/>
      <c r="JIC5" s="234"/>
      <c r="JID5" s="234"/>
      <c r="JIE5" s="234"/>
      <c r="JIF5" s="234"/>
      <c r="JIG5" s="234"/>
      <c r="JIH5" s="234"/>
      <c r="JII5" s="234"/>
      <c r="JIJ5" s="234"/>
      <c r="JIK5" s="234"/>
      <c r="JIL5" s="234"/>
      <c r="JIM5" s="234"/>
      <c r="JIN5" s="234"/>
      <c r="JIO5" s="234"/>
      <c r="JIP5" s="234"/>
      <c r="JIQ5" s="234"/>
      <c r="JIR5" s="234"/>
      <c r="JIS5" s="234"/>
      <c r="JIT5" s="234"/>
      <c r="JIU5" s="234"/>
      <c r="JIV5" s="234"/>
      <c r="JIW5" s="234"/>
      <c r="JIX5" s="234"/>
      <c r="JIY5" s="234"/>
      <c r="JIZ5" s="234"/>
      <c r="JJA5" s="234"/>
      <c r="JJB5" s="234"/>
      <c r="JJC5" s="234"/>
      <c r="JJD5" s="234"/>
      <c r="JJE5" s="234"/>
      <c r="JJF5" s="234"/>
      <c r="JJG5" s="234"/>
      <c r="JJH5" s="234"/>
      <c r="JJI5" s="234"/>
      <c r="JJJ5" s="234"/>
      <c r="JJK5" s="234"/>
      <c r="JJL5" s="234"/>
      <c r="JJM5" s="234"/>
      <c r="JJN5" s="234"/>
      <c r="JJO5" s="234"/>
      <c r="JJP5" s="234"/>
      <c r="JJQ5" s="234"/>
      <c r="JJR5" s="234"/>
      <c r="JJS5" s="234"/>
      <c r="JJT5" s="234"/>
      <c r="JJU5" s="234"/>
      <c r="JJV5" s="234"/>
      <c r="JJW5" s="234"/>
      <c r="JJX5" s="234"/>
      <c r="JJY5" s="234"/>
      <c r="JJZ5" s="234"/>
      <c r="JKA5" s="234"/>
      <c r="JKB5" s="234"/>
      <c r="JKC5" s="234"/>
      <c r="JKD5" s="234"/>
      <c r="JKE5" s="234"/>
      <c r="JKF5" s="234"/>
      <c r="JKG5" s="234"/>
      <c r="JKH5" s="234"/>
      <c r="JKI5" s="234"/>
      <c r="JKJ5" s="234"/>
      <c r="JKK5" s="234"/>
      <c r="JKL5" s="234"/>
      <c r="JKM5" s="234"/>
      <c r="JKN5" s="234"/>
      <c r="JKO5" s="234"/>
      <c r="JKP5" s="234"/>
      <c r="JKQ5" s="234"/>
      <c r="JKR5" s="234"/>
      <c r="JKS5" s="234"/>
      <c r="JKT5" s="234"/>
      <c r="JKU5" s="234"/>
      <c r="JKV5" s="234"/>
      <c r="JKW5" s="234"/>
      <c r="JKX5" s="234"/>
      <c r="JKY5" s="234"/>
      <c r="JKZ5" s="234"/>
      <c r="JLA5" s="234"/>
      <c r="JLB5" s="234"/>
      <c r="JLC5" s="234"/>
      <c r="JLD5" s="234"/>
      <c r="JLE5" s="234"/>
      <c r="JLF5" s="234"/>
      <c r="JLG5" s="234"/>
      <c r="JLH5" s="234"/>
      <c r="JLI5" s="234"/>
      <c r="JLJ5" s="234"/>
      <c r="JLK5" s="234"/>
      <c r="JLL5" s="234"/>
      <c r="JLM5" s="234"/>
      <c r="JLN5" s="234"/>
      <c r="JLO5" s="234"/>
      <c r="JLP5" s="234"/>
      <c r="JLQ5" s="234"/>
      <c r="JLR5" s="234"/>
      <c r="JLS5" s="234"/>
      <c r="JLT5" s="234"/>
      <c r="JLU5" s="234"/>
      <c r="JLV5" s="234"/>
      <c r="JLW5" s="234"/>
      <c r="JLX5" s="234"/>
      <c r="JLY5" s="234"/>
      <c r="JLZ5" s="234"/>
      <c r="JMA5" s="234"/>
      <c r="JMB5" s="234"/>
      <c r="JMC5" s="234"/>
      <c r="JMD5" s="234"/>
      <c r="JME5" s="234"/>
      <c r="JMF5" s="234"/>
      <c r="JMG5" s="234"/>
      <c r="JMH5" s="234"/>
      <c r="JMI5" s="234"/>
      <c r="JMJ5" s="234"/>
      <c r="JMK5" s="234"/>
      <c r="JML5" s="234"/>
      <c r="JMM5" s="234"/>
      <c r="JMN5" s="234"/>
      <c r="JMO5" s="234"/>
      <c r="JMP5" s="234"/>
      <c r="JMQ5" s="234"/>
      <c r="JMR5" s="234"/>
      <c r="JMS5" s="234"/>
      <c r="JMT5" s="234"/>
      <c r="JMU5" s="234"/>
      <c r="JMV5" s="234"/>
      <c r="JMW5" s="234"/>
      <c r="JMX5" s="234"/>
      <c r="JMY5" s="234"/>
      <c r="JMZ5" s="234"/>
      <c r="JNA5" s="234"/>
      <c r="JNB5" s="234"/>
      <c r="JNC5" s="234"/>
      <c r="JND5" s="234"/>
      <c r="JNE5" s="234"/>
      <c r="JNF5" s="234"/>
      <c r="JNG5" s="234"/>
      <c r="JNH5" s="234"/>
      <c r="JNI5" s="234"/>
      <c r="JNJ5" s="234"/>
      <c r="JNK5" s="234"/>
      <c r="JNL5" s="234"/>
      <c r="JNM5" s="234"/>
      <c r="JNN5" s="234"/>
      <c r="JNO5" s="234"/>
      <c r="JNP5" s="234"/>
      <c r="JNQ5" s="234"/>
      <c r="JNR5" s="234"/>
      <c r="JNS5" s="234"/>
      <c r="JNT5" s="234"/>
      <c r="JNU5" s="234"/>
      <c r="JNV5" s="234"/>
      <c r="JNW5" s="234"/>
      <c r="JNX5" s="234"/>
      <c r="JNY5" s="234"/>
      <c r="JNZ5" s="234"/>
      <c r="JOA5" s="234"/>
      <c r="JOB5" s="234"/>
      <c r="JOC5" s="234"/>
      <c r="JOD5" s="234"/>
      <c r="JOE5" s="234"/>
      <c r="JOF5" s="234"/>
      <c r="JOG5" s="234"/>
      <c r="JOH5" s="234"/>
      <c r="JOI5" s="234"/>
      <c r="JOJ5" s="234"/>
      <c r="JOK5" s="234"/>
      <c r="JOL5" s="234"/>
      <c r="JOM5" s="234"/>
      <c r="JON5" s="234"/>
      <c r="JOO5" s="234"/>
      <c r="JOP5" s="234"/>
      <c r="JOQ5" s="234"/>
      <c r="JOR5" s="234"/>
      <c r="JOS5" s="234"/>
      <c r="JOT5" s="234"/>
      <c r="JOU5" s="234"/>
      <c r="JOV5" s="234"/>
      <c r="JOW5" s="234"/>
      <c r="JOX5" s="234"/>
      <c r="JOY5" s="234"/>
      <c r="JOZ5" s="234"/>
      <c r="JPA5" s="234"/>
      <c r="JPB5" s="234"/>
      <c r="JPC5" s="234"/>
      <c r="JPD5" s="234"/>
      <c r="JPE5" s="234"/>
      <c r="JPF5" s="234"/>
      <c r="JPG5" s="234"/>
      <c r="JPH5" s="234"/>
      <c r="JPI5" s="234"/>
      <c r="JPJ5" s="234"/>
      <c r="JPK5" s="234"/>
      <c r="JPL5" s="234"/>
      <c r="JPM5" s="234"/>
      <c r="JPN5" s="234"/>
      <c r="JPO5" s="234"/>
      <c r="JPP5" s="234"/>
      <c r="JPQ5" s="234"/>
      <c r="JPR5" s="234"/>
      <c r="JPS5" s="234"/>
      <c r="JPT5" s="234"/>
      <c r="JPU5" s="234"/>
      <c r="JPV5" s="234"/>
      <c r="JPW5" s="234"/>
      <c r="JPX5" s="234"/>
      <c r="JPY5" s="234"/>
      <c r="JPZ5" s="234"/>
      <c r="JQA5" s="234"/>
      <c r="JQB5" s="234"/>
      <c r="JQC5" s="234"/>
      <c r="JQD5" s="234"/>
      <c r="JQE5" s="234"/>
      <c r="JQF5" s="234"/>
      <c r="JQG5" s="234"/>
      <c r="JQH5" s="234"/>
      <c r="JQI5" s="234"/>
      <c r="JQJ5" s="234"/>
      <c r="JQK5" s="234"/>
      <c r="JQL5" s="234"/>
      <c r="JQM5" s="234"/>
      <c r="JQN5" s="234"/>
      <c r="JQO5" s="234"/>
      <c r="JQP5" s="234"/>
      <c r="JQQ5" s="234"/>
      <c r="JQR5" s="234"/>
      <c r="JQS5" s="234"/>
      <c r="JQT5" s="234"/>
      <c r="JQU5" s="234"/>
      <c r="JQV5" s="234"/>
      <c r="JQW5" s="234"/>
      <c r="JQX5" s="234"/>
      <c r="JQY5" s="234"/>
      <c r="JQZ5" s="234"/>
      <c r="JRA5" s="234"/>
      <c r="JRB5" s="234"/>
      <c r="JRC5" s="234"/>
      <c r="JRD5" s="234"/>
      <c r="JRE5" s="234"/>
      <c r="JRF5" s="234"/>
      <c r="JRG5" s="234"/>
      <c r="JRH5" s="234"/>
      <c r="JRI5" s="234"/>
      <c r="JRJ5" s="234"/>
      <c r="JRK5" s="234"/>
      <c r="JRL5" s="234"/>
      <c r="JRM5" s="234"/>
      <c r="JRN5" s="234"/>
      <c r="JRO5" s="234"/>
      <c r="JRP5" s="234"/>
      <c r="JRQ5" s="234"/>
      <c r="JRR5" s="234"/>
      <c r="JRS5" s="234"/>
      <c r="JRT5" s="234"/>
      <c r="JRU5" s="234"/>
      <c r="JRV5" s="234"/>
      <c r="JRW5" s="234"/>
      <c r="JRX5" s="234"/>
      <c r="JRY5" s="234"/>
      <c r="JRZ5" s="234"/>
      <c r="JSA5" s="234"/>
      <c r="JSB5" s="234"/>
      <c r="JSC5" s="234"/>
      <c r="JSD5" s="234"/>
      <c r="JSE5" s="234"/>
      <c r="JSF5" s="234"/>
      <c r="JSG5" s="234"/>
      <c r="JSH5" s="234"/>
      <c r="JSI5" s="234"/>
      <c r="JSJ5" s="234"/>
      <c r="JSK5" s="234"/>
      <c r="JSL5" s="234"/>
      <c r="JSM5" s="234"/>
      <c r="JSN5" s="234"/>
      <c r="JSO5" s="234"/>
      <c r="JSP5" s="234"/>
      <c r="JSQ5" s="234"/>
      <c r="JSR5" s="234"/>
      <c r="JSS5" s="234"/>
      <c r="JST5" s="234"/>
      <c r="JSU5" s="234"/>
      <c r="JSV5" s="234"/>
      <c r="JSW5" s="234"/>
      <c r="JSX5" s="234"/>
      <c r="JSY5" s="234"/>
      <c r="JSZ5" s="234"/>
      <c r="JTA5" s="234"/>
      <c r="JTB5" s="234"/>
      <c r="JTC5" s="234"/>
      <c r="JTD5" s="234"/>
      <c r="JTE5" s="234"/>
      <c r="JTF5" s="234"/>
      <c r="JTG5" s="234"/>
      <c r="JTH5" s="234"/>
      <c r="JTI5" s="234"/>
      <c r="JTJ5" s="234"/>
      <c r="JTK5" s="234"/>
      <c r="JTL5" s="234"/>
      <c r="JTM5" s="234"/>
      <c r="JTN5" s="234"/>
      <c r="JTO5" s="234"/>
      <c r="JTP5" s="234"/>
      <c r="JTQ5" s="234"/>
      <c r="JTR5" s="234"/>
      <c r="JTS5" s="234"/>
      <c r="JTT5" s="234"/>
      <c r="JTU5" s="234"/>
      <c r="JTV5" s="234"/>
      <c r="JTW5" s="234"/>
      <c r="JTX5" s="234"/>
      <c r="JTY5" s="234"/>
      <c r="JTZ5" s="234"/>
      <c r="JUA5" s="234"/>
      <c r="JUB5" s="234"/>
      <c r="JUC5" s="234"/>
      <c r="JUD5" s="234"/>
      <c r="JUE5" s="234"/>
      <c r="JUF5" s="234"/>
      <c r="JUG5" s="234"/>
      <c r="JUH5" s="234"/>
      <c r="JUI5" s="234"/>
      <c r="JUJ5" s="234"/>
      <c r="JUK5" s="234"/>
      <c r="JUL5" s="234"/>
      <c r="JUM5" s="234"/>
      <c r="JUN5" s="234"/>
      <c r="JUO5" s="234"/>
      <c r="JUP5" s="234"/>
      <c r="JUQ5" s="234"/>
      <c r="JUR5" s="234"/>
      <c r="JUS5" s="234"/>
      <c r="JUT5" s="234"/>
      <c r="JUU5" s="234"/>
      <c r="JUV5" s="234"/>
      <c r="JUW5" s="234"/>
      <c r="JUX5" s="234"/>
      <c r="JUY5" s="234"/>
      <c r="JUZ5" s="234"/>
      <c r="JVA5" s="234"/>
      <c r="JVB5" s="234"/>
      <c r="JVC5" s="234"/>
      <c r="JVD5" s="234"/>
      <c r="JVE5" s="234"/>
      <c r="JVF5" s="234"/>
      <c r="JVG5" s="234"/>
      <c r="JVH5" s="234"/>
      <c r="JVI5" s="234"/>
      <c r="JVJ5" s="234"/>
      <c r="JVK5" s="234"/>
      <c r="JVL5" s="234"/>
      <c r="JVM5" s="234"/>
      <c r="JVN5" s="234"/>
      <c r="JVO5" s="234"/>
      <c r="JVP5" s="234"/>
      <c r="JVQ5" s="234"/>
      <c r="JVR5" s="234"/>
      <c r="JVS5" s="234"/>
      <c r="JVT5" s="234"/>
      <c r="JVU5" s="234"/>
      <c r="JVV5" s="234"/>
      <c r="JVW5" s="234"/>
      <c r="JVX5" s="234"/>
      <c r="JVY5" s="234"/>
      <c r="JVZ5" s="234"/>
      <c r="JWA5" s="234"/>
      <c r="JWB5" s="234"/>
      <c r="JWC5" s="234"/>
      <c r="JWD5" s="234"/>
      <c r="JWE5" s="234"/>
      <c r="JWF5" s="234"/>
      <c r="JWG5" s="234"/>
      <c r="JWH5" s="234"/>
      <c r="JWI5" s="234"/>
      <c r="JWJ5" s="234"/>
      <c r="JWK5" s="234"/>
      <c r="JWL5" s="234"/>
      <c r="JWM5" s="234"/>
      <c r="JWN5" s="234"/>
      <c r="JWO5" s="234"/>
      <c r="JWP5" s="234"/>
      <c r="JWQ5" s="234"/>
      <c r="JWR5" s="234"/>
      <c r="JWS5" s="234"/>
      <c r="JWT5" s="234"/>
      <c r="JWU5" s="234"/>
      <c r="JWV5" s="234"/>
      <c r="JWW5" s="234"/>
      <c r="JWX5" s="234"/>
      <c r="JWY5" s="234"/>
      <c r="JWZ5" s="234"/>
      <c r="JXA5" s="234"/>
      <c r="JXB5" s="234"/>
      <c r="JXC5" s="234"/>
      <c r="JXD5" s="234"/>
      <c r="JXE5" s="234"/>
      <c r="JXF5" s="234"/>
      <c r="JXG5" s="234"/>
      <c r="JXH5" s="234"/>
      <c r="JXI5" s="234"/>
      <c r="JXJ5" s="234"/>
      <c r="JXK5" s="234"/>
      <c r="JXL5" s="234"/>
      <c r="JXM5" s="234"/>
      <c r="JXN5" s="234"/>
      <c r="JXO5" s="234"/>
      <c r="JXP5" s="234"/>
      <c r="JXQ5" s="234"/>
      <c r="JXR5" s="234"/>
      <c r="JXS5" s="234"/>
      <c r="JXT5" s="234"/>
      <c r="JXU5" s="234"/>
      <c r="JXV5" s="234"/>
      <c r="JXW5" s="234"/>
      <c r="JXX5" s="234"/>
      <c r="JXY5" s="234"/>
      <c r="JXZ5" s="234"/>
      <c r="JYA5" s="234"/>
      <c r="JYB5" s="234"/>
      <c r="JYC5" s="234"/>
      <c r="JYD5" s="234"/>
      <c r="JYE5" s="234"/>
      <c r="JYF5" s="234"/>
      <c r="JYG5" s="234"/>
      <c r="JYH5" s="234"/>
      <c r="JYI5" s="234"/>
      <c r="JYJ5" s="234"/>
      <c r="JYK5" s="234"/>
      <c r="JYL5" s="234"/>
      <c r="JYM5" s="234"/>
      <c r="JYN5" s="234"/>
      <c r="JYO5" s="234"/>
      <c r="JYP5" s="234"/>
      <c r="JYQ5" s="234"/>
      <c r="JYR5" s="234"/>
      <c r="JYS5" s="234"/>
      <c r="JYT5" s="234"/>
      <c r="JYU5" s="234"/>
      <c r="JYV5" s="234"/>
      <c r="JYW5" s="234"/>
      <c r="JYX5" s="234"/>
      <c r="JYY5" s="234"/>
      <c r="JYZ5" s="234"/>
      <c r="JZA5" s="234"/>
      <c r="JZB5" s="234"/>
      <c r="JZC5" s="234"/>
      <c r="JZD5" s="234"/>
      <c r="JZE5" s="234"/>
      <c r="JZF5" s="234"/>
      <c r="JZG5" s="234"/>
      <c r="JZH5" s="234"/>
      <c r="JZI5" s="234"/>
      <c r="JZJ5" s="234"/>
      <c r="JZK5" s="234"/>
      <c r="JZL5" s="234"/>
      <c r="JZM5" s="234"/>
      <c r="JZN5" s="234"/>
      <c r="JZO5" s="234"/>
      <c r="JZP5" s="234"/>
      <c r="JZQ5" s="234"/>
      <c r="JZR5" s="234"/>
      <c r="JZS5" s="234"/>
      <c r="JZT5" s="234"/>
      <c r="JZU5" s="234"/>
      <c r="JZV5" s="234"/>
      <c r="JZW5" s="234"/>
      <c r="JZX5" s="234"/>
      <c r="JZY5" s="234"/>
      <c r="JZZ5" s="234"/>
      <c r="KAA5" s="234"/>
      <c r="KAB5" s="234"/>
      <c r="KAC5" s="234"/>
      <c r="KAD5" s="234"/>
      <c r="KAE5" s="234"/>
      <c r="KAF5" s="234"/>
      <c r="KAG5" s="234"/>
      <c r="KAH5" s="234"/>
      <c r="KAI5" s="234"/>
      <c r="KAJ5" s="234"/>
      <c r="KAK5" s="234"/>
      <c r="KAL5" s="234"/>
      <c r="KAM5" s="234"/>
      <c r="KAN5" s="234"/>
      <c r="KAO5" s="234"/>
      <c r="KAP5" s="234"/>
      <c r="KAQ5" s="234"/>
      <c r="KAR5" s="234"/>
      <c r="KAS5" s="234"/>
      <c r="KAT5" s="234"/>
      <c r="KAU5" s="234"/>
      <c r="KAV5" s="234"/>
      <c r="KAW5" s="234"/>
      <c r="KAX5" s="234"/>
      <c r="KAY5" s="234"/>
      <c r="KAZ5" s="234"/>
      <c r="KBA5" s="234"/>
      <c r="KBB5" s="234"/>
      <c r="KBC5" s="234"/>
      <c r="KBD5" s="234"/>
      <c r="KBE5" s="234"/>
      <c r="KBF5" s="234"/>
      <c r="KBG5" s="234"/>
      <c r="KBH5" s="234"/>
      <c r="KBI5" s="234"/>
      <c r="KBJ5" s="234"/>
      <c r="KBK5" s="234"/>
      <c r="KBL5" s="234"/>
      <c r="KBM5" s="234"/>
      <c r="KBN5" s="234"/>
      <c r="KBO5" s="234"/>
      <c r="KBP5" s="234"/>
      <c r="KBQ5" s="234"/>
      <c r="KBR5" s="234"/>
      <c r="KBS5" s="234"/>
      <c r="KBT5" s="234"/>
      <c r="KBU5" s="234"/>
      <c r="KBV5" s="234"/>
      <c r="KBW5" s="234"/>
      <c r="KBX5" s="234"/>
      <c r="KBY5" s="234"/>
      <c r="KBZ5" s="234"/>
      <c r="KCA5" s="234"/>
      <c r="KCB5" s="234"/>
      <c r="KCC5" s="234"/>
      <c r="KCD5" s="234"/>
      <c r="KCE5" s="234"/>
      <c r="KCF5" s="234"/>
      <c r="KCG5" s="234"/>
      <c r="KCH5" s="234"/>
      <c r="KCI5" s="234"/>
      <c r="KCJ5" s="234"/>
      <c r="KCK5" s="234"/>
      <c r="KCL5" s="234"/>
      <c r="KCM5" s="234"/>
      <c r="KCN5" s="234"/>
      <c r="KCO5" s="234"/>
      <c r="KCP5" s="234"/>
      <c r="KCQ5" s="234"/>
      <c r="KCR5" s="234"/>
      <c r="KCS5" s="234"/>
      <c r="KCT5" s="234"/>
      <c r="KCU5" s="234"/>
      <c r="KCV5" s="234"/>
      <c r="KCW5" s="234"/>
      <c r="KCX5" s="234"/>
      <c r="KCY5" s="234"/>
      <c r="KCZ5" s="234"/>
      <c r="KDA5" s="234"/>
      <c r="KDB5" s="234"/>
      <c r="KDC5" s="234"/>
      <c r="KDD5" s="234"/>
      <c r="KDE5" s="234"/>
      <c r="KDF5" s="234"/>
      <c r="KDG5" s="234"/>
      <c r="KDH5" s="234"/>
      <c r="KDI5" s="234"/>
      <c r="KDJ5" s="234"/>
      <c r="KDK5" s="234"/>
      <c r="KDL5" s="234"/>
      <c r="KDM5" s="234"/>
      <c r="KDN5" s="234"/>
      <c r="KDO5" s="234"/>
      <c r="KDP5" s="234"/>
      <c r="KDQ5" s="234"/>
      <c r="KDR5" s="234"/>
      <c r="KDS5" s="234"/>
      <c r="KDT5" s="234"/>
      <c r="KDU5" s="234"/>
      <c r="KDV5" s="234"/>
      <c r="KDW5" s="234"/>
      <c r="KDX5" s="234"/>
      <c r="KDY5" s="234"/>
      <c r="KDZ5" s="234"/>
      <c r="KEA5" s="234"/>
      <c r="KEB5" s="234"/>
      <c r="KEC5" s="234"/>
      <c r="KED5" s="234"/>
      <c r="KEE5" s="234"/>
      <c r="KEF5" s="234"/>
      <c r="KEG5" s="234"/>
      <c r="KEH5" s="234"/>
      <c r="KEI5" s="234"/>
      <c r="KEJ5" s="234"/>
      <c r="KEK5" s="234"/>
      <c r="KEL5" s="234"/>
      <c r="KEM5" s="234"/>
      <c r="KEN5" s="234"/>
      <c r="KEO5" s="234"/>
      <c r="KEP5" s="234"/>
      <c r="KEQ5" s="234"/>
      <c r="KER5" s="234"/>
      <c r="KES5" s="234"/>
      <c r="KET5" s="234"/>
      <c r="KEU5" s="234"/>
      <c r="KEV5" s="234"/>
      <c r="KEW5" s="234"/>
      <c r="KEX5" s="234"/>
      <c r="KEY5" s="234"/>
      <c r="KEZ5" s="234"/>
      <c r="KFA5" s="234"/>
      <c r="KFB5" s="234"/>
      <c r="KFC5" s="234"/>
      <c r="KFD5" s="234"/>
      <c r="KFE5" s="234"/>
      <c r="KFF5" s="234"/>
      <c r="KFG5" s="234"/>
      <c r="KFH5" s="234"/>
      <c r="KFI5" s="234"/>
      <c r="KFJ5" s="234"/>
      <c r="KFK5" s="234"/>
      <c r="KFL5" s="234"/>
      <c r="KFM5" s="234"/>
      <c r="KFN5" s="234"/>
      <c r="KFO5" s="234"/>
      <c r="KFP5" s="234"/>
      <c r="KFQ5" s="234"/>
      <c r="KFR5" s="234"/>
      <c r="KFS5" s="234"/>
      <c r="KFT5" s="234"/>
      <c r="KFU5" s="234"/>
      <c r="KFV5" s="234"/>
      <c r="KFW5" s="234"/>
      <c r="KFX5" s="234"/>
      <c r="KFY5" s="234"/>
      <c r="KFZ5" s="234"/>
      <c r="KGA5" s="234"/>
      <c r="KGB5" s="234"/>
      <c r="KGC5" s="234"/>
      <c r="KGD5" s="234"/>
      <c r="KGE5" s="234"/>
      <c r="KGF5" s="234"/>
      <c r="KGG5" s="234"/>
      <c r="KGH5" s="234"/>
      <c r="KGI5" s="234"/>
      <c r="KGJ5" s="234"/>
      <c r="KGK5" s="234"/>
      <c r="KGL5" s="234"/>
      <c r="KGM5" s="234"/>
      <c r="KGN5" s="234"/>
      <c r="KGO5" s="234"/>
      <c r="KGP5" s="234"/>
      <c r="KGQ5" s="234"/>
      <c r="KGR5" s="234"/>
      <c r="KGS5" s="234"/>
      <c r="KGT5" s="234"/>
      <c r="KGU5" s="234"/>
      <c r="KGV5" s="234"/>
      <c r="KGW5" s="234"/>
      <c r="KGX5" s="234"/>
      <c r="KGY5" s="234"/>
      <c r="KGZ5" s="234"/>
      <c r="KHA5" s="234"/>
      <c r="KHB5" s="234"/>
      <c r="KHC5" s="234"/>
      <c r="KHD5" s="234"/>
      <c r="KHE5" s="234"/>
      <c r="KHF5" s="234"/>
      <c r="KHG5" s="234"/>
      <c r="KHH5" s="234"/>
      <c r="KHI5" s="234"/>
      <c r="KHJ5" s="234"/>
      <c r="KHK5" s="234"/>
      <c r="KHL5" s="234"/>
      <c r="KHM5" s="234"/>
      <c r="KHN5" s="234"/>
      <c r="KHO5" s="234"/>
      <c r="KHP5" s="234"/>
      <c r="KHQ5" s="234"/>
      <c r="KHR5" s="234"/>
      <c r="KHS5" s="234"/>
      <c r="KHT5" s="234"/>
      <c r="KHU5" s="234"/>
      <c r="KHV5" s="234"/>
      <c r="KHW5" s="234"/>
      <c r="KHX5" s="234"/>
      <c r="KHY5" s="234"/>
      <c r="KHZ5" s="234"/>
      <c r="KIA5" s="234"/>
      <c r="KIB5" s="234"/>
      <c r="KIC5" s="234"/>
      <c r="KID5" s="234"/>
      <c r="KIE5" s="234"/>
      <c r="KIF5" s="234"/>
      <c r="KIG5" s="234"/>
      <c r="KIH5" s="234"/>
      <c r="KII5" s="234"/>
      <c r="KIJ5" s="234"/>
      <c r="KIK5" s="234"/>
      <c r="KIL5" s="234"/>
      <c r="KIM5" s="234"/>
      <c r="KIN5" s="234"/>
      <c r="KIO5" s="234"/>
      <c r="KIP5" s="234"/>
      <c r="KIQ5" s="234"/>
      <c r="KIR5" s="234"/>
      <c r="KIS5" s="234"/>
      <c r="KIT5" s="234"/>
      <c r="KIU5" s="234"/>
      <c r="KIV5" s="234"/>
      <c r="KIW5" s="234"/>
      <c r="KIX5" s="234"/>
      <c r="KIY5" s="234"/>
      <c r="KIZ5" s="234"/>
      <c r="KJA5" s="234"/>
      <c r="KJB5" s="234"/>
      <c r="KJC5" s="234"/>
      <c r="KJD5" s="234"/>
      <c r="KJE5" s="234"/>
      <c r="KJF5" s="234"/>
      <c r="KJG5" s="234"/>
      <c r="KJH5" s="234"/>
      <c r="KJI5" s="234"/>
      <c r="KJJ5" s="234"/>
      <c r="KJK5" s="234"/>
      <c r="KJL5" s="234"/>
      <c r="KJM5" s="234"/>
      <c r="KJN5" s="234"/>
      <c r="KJO5" s="234"/>
      <c r="KJP5" s="234"/>
      <c r="KJQ5" s="234"/>
      <c r="KJR5" s="234"/>
      <c r="KJS5" s="234"/>
      <c r="KJT5" s="234"/>
      <c r="KJU5" s="234"/>
      <c r="KJV5" s="234"/>
      <c r="KJW5" s="234"/>
      <c r="KJX5" s="234"/>
      <c r="KJY5" s="234"/>
      <c r="KJZ5" s="234"/>
      <c r="KKA5" s="234"/>
      <c r="KKB5" s="234"/>
      <c r="KKC5" s="234"/>
      <c r="KKD5" s="234"/>
      <c r="KKE5" s="234"/>
      <c r="KKF5" s="234"/>
      <c r="KKG5" s="234"/>
      <c r="KKH5" s="234"/>
      <c r="KKI5" s="234"/>
      <c r="KKJ5" s="234"/>
      <c r="KKK5" s="234"/>
      <c r="KKL5" s="234"/>
      <c r="KKM5" s="234"/>
      <c r="KKN5" s="234"/>
      <c r="KKO5" s="234"/>
      <c r="KKP5" s="234"/>
      <c r="KKQ5" s="234"/>
      <c r="KKR5" s="234"/>
      <c r="KKS5" s="234"/>
      <c r="KKT5" s="234"/>
      <c r="KKU5" s="234"/>
      <c r="KKV5" s="234"/>
      <c r="KKW5" s="234"/>
      <c r="KKX5" s="234"/>
      <c r="KKY5" s="234"/>
      <c r="KKZ5" s="234"/>
      <c r="KLA5" s="234"/>
      <c r="KLB5" s="234"/>
      <c r="KLC5" s="234"/>
      <c r="KLD5" s="234"/>
      <c r="KLE5" s="234"/>
      <c r="KLF5" s="234"/>
      <c r="KLG5" s="234"/>
      <c r="KLH5" s="234"/>
      <c r="KLI5" s="234"/>
      <c r="KLJ5" s="234"/>
      <c r="KLK5" s="234"/>
      <c r="KLL5" s="234"/>
      <c r="KLM5" s="234"/>
      <c r="KLN5" s="234"/>
      <c r="KLO5" s="234"/>
      <c r="KLP5" s="234"/>
      <c r="KLQ5" s="234"/>
      <c r="KLR5" s="234"/>
      <c r="KLS5" s="234"/>
      <c r="KLT5" s="234"/>
      <c r="KLU5" s="234"/>
      <c r="KLV5" s="234"/>
      <c r="KLW5" s="234"/>
      <c r="KLX5" s="234"/>
      <c r="KLY5" s="234"/>
      <c r="KLZ5" s="234"/>
      <c r="KMA5" s="234"/>
      <c r="KMB5" s="234"/>
      <c r="KMC5" s="234"/>
      <c r="KMD5" s="234"/>
      <c r="KME5" s="234"/>
      <c r="KMF5" s="234"/>
      <c r="KMG5" s="234"/>
      <c r="KMH5" s="234"/>
      <c r="KMI5" s="234"/>
      <c r="KMJ5" s="234"/>
      <c r="KMK5" s="234"/>
      <c r="KML5" s="234"/>
      <c r="KMM5" s="234"/>
      <c r="KMN5" s="234"/>
      <c r="KMO5" s="234"/>
      <c r="KMP5" s="234"/>
      <c r="KMQ5" s="234"/>
      <c r="KMR5" s="234"/>
      <c r="KMS5" s="234"/>
      <c r="KMT5" s="234"/>
      <c r="KMU5" s="234"/>
      <c r="KMV5" s="234"/>
      <c r="KMW5" s="234"/>
      <c r="KMX5" s="234"/>
      <c r="KMY5" s="234"/>
      <c r="KMZ5" s="234"/>
      <c r="KNA5" s="234"/>
      <c r="KNB5" s="234"/>
      <c r="KNC5" s="234"/>
      <c r="KND5" s="234"/>
      <c r="KNE5" s="234"/>
      <c r="KNF5" s="234"/>
      <c r="KNG5" s="234"/>
      <c r="KNH5" s="234"/>
      <c r="KNI5" s="234"/>
      <c r="KNJ5" s="234"/>
      <c r="KNK5" s="234"/>
      <c r="KNL5" s="234"/>
      <c r="KNM5" s="234"/>
      <c r="KNN5" s="234"/>
      <c r="KNO5" s="234"/>
      <c r="KNP5" s="234"/>
      <c r="KNQ5" s="234"/>
      <c r="KNR5" s="234"/>
      <c r="KNS5" s="234"/>
      <c r="KNT5" s="234"/>
      <c r="KNU5" s="234"/>
      <c r="KNV5" s="234"/>
      <c r="KNW5" s="234"/>
      <c r="KNX5" s="234"/>
      <c r="KNY5" s="234"/>
      <c r="KNZ5" s="234"/>
      <c r="KOA5" s="234"/>
      <c r="KOB5" s="234"/>
      <c r="KOC5" s="234"/>
      <c r="KOD5" s="234"/>
      <c r="KOE5" s="234"/>
      <c r="KOF5" s="234"/>
      <c r="KOG5" s="234"/>
      <c r="KOH5" s="234"/>
      <c r="KOI5" s="234"/>
      <c r="KOJ5" s="234"/>
      <c r="KOK5" s="234"/>
      <c r="KOL5" s="234"/>
      <c r="KOM5" s="234"/>
      <c r="KON5" s="234"/>
      <c r="KOO5" s="234"/>
      <c r="KOP5" s="234"/>
      <c r="KOQ5" s="234"/>
      <c r="KOR5" s="234"/>
      <c r="KOS5" s="234"/>
      <c r="KOT5" s="234"/>
      <c r="KOU5" s="234"/>
      <c r="KOV5" s="234"/>
      <c r="KOW5" s="234"/>
      <c r="KOX5" s="234"/>
      <c r="KOY5" s="234"/>
      <c r="KOZ5" s="234"/>
      <c r="KPA5" s="234"/>
      <c r="KPB5" s="234"/>
      <c r="KPC5" s="234"/>
      <c r="KPD5" s="234"/>
      <c r="KPE5" s="234"/>
      <c r="KPF5" s="234"/>
      <c r="KPG5" s="234"/>
      <c r="KPH5" s="234"/>
      <c r="KPI5" s="234"/>
      <c r="KPJ5" s="234"/>
      <c r="KPK5" s="234"/>
      <c r="KPL5" s="234"/>
      <c r="KPM5" s="234"/>
      <c r="KPN5" s="234"/>
      <c r="KPO5" s="234"/>
      <c r="KPP5" s="234"/>
      <c r="KPQ5" s="234"/>
      <c r="KPR5" s="234"/>
      <c r="KPS5" s="234"/>
      <c r="KPT5" s="234"/>
      <c r="KPU5" s="234"/>
      <c r="KPV5" s="234"/>
      <c r="KPW5" s="234"/>
      <c r="KPX5" s="234"/>
      <c r="KPY5" s="234"/>
      <c r="KPZ5" s="234"/>
      <c r="KQA5" s="234"/>
      <c r="KQB5" s="234"/>
      <c r="KQC5" s="234"/>
      <c r="KQD5" s="234"/>
      <c r="KQE5" s="234"/>
      <c r="KQF5" s="234"/>
      <c r="KQG5" s="234"/>
      <c r="KQH5" s="234"/>
      <c r="KQI5" s="234"/>
      <c r="KQJ5" s="234"/>
      <c r="KQK5" s="234"/>
      <c r="KQL5" s="234"/>
      <c r="KQM5" s="234"/>
      <c r="KQN5" s="234"/>
      <c r="KQO5" s="234"/>
      <c r="KQP5" s="234"/>
      <c r="KQQ5" s="234"/>
      <c r="KQR5" s="234"/>
      <c r="KQS5" s="234"/>
      <c r="KQT5" s="234"/>
      <c r="KQU5" s="234"/>
      <c r="KQV5" s="234"/>
      <c r="KQW5" s="234"/>
      <c r="KQX5" s="234"/>
      <c r="KQY5" s="234"/>
      <c r="KQZ5" s="234"/>
      <c r="KRA5" s="234"/>
      <c r="KRB5" s="234"/>
      <c r="KRC5" s="234"/>
      <c r="KRD5" s="234"/>
      <c r="KRE5" s="234"/>
      <c r="KRF5" s="234"/>
      <c r="KRG5" s="234"/>
      <c r="KRH5" s="234"/>
      <c r="KRI5" s="234"/>
      <c r="KRJ5" s="234"/>
      <c r="KRK5" s="234"/>
      <c r="KRL5" s="234"/>
      <c r="KRM5" s="234"/>
      <c r="KRN5" s="234"/>
      <c r="KRO5" s="234"/>
      <c r="KRP5" s="234"/>
      <c r="KRQ5" s="234"/>
      <c r="KRR5" s="234"/>
      <c r="KRS5" s="234"/>
      <c r="KRT5" s="234"/>
      <c r="KRU5" s="234"/>
      <c r="KRV5" s="234"/>
      <c r="KRW5" s="234"/>
      <c r="KRX5" s="234"/>
      <c r="KRY5" s="234"/>
      <c r="KRZ5" s="234"/>
      <c r="KSA5" s="234"/>
      <c r="KSB5" s="234"/>
      <c r="KSC5" s="234"/>
      <c r="KSD5" s="234"/>
      <c r="KSE5" s="234"/>
      <c r="KSF5" s="234"/>
      <c r="KSG5" s="234"/>
      <c r="KSH5" s="234"/>
      <c r="KSI5" s="234"/>
      <c r="KSJ5" s="234"/>
      <c r="KSK5" s="234"/>
      <c r="KSL5" s="234"/>
      <c r="KSM5" s="234"/>
      <c r="KSN5" s="234"/>
      <c r="KSO5" s="234"/>
      <c r="KSP5" s="234"/>
      <c r="KSQ5" s="234"/>
      <c r="KSR5" s="234"/>
      <c r="KSS5" s="234"/>
      <c r="KST5" s="234"/>
      <c r="KSU5" s="234"/>
      <c r="KSV5" s="234"/>
      <c r="KSW5" s="234"/>
      <c r="KSX5" s="234"/>
      <c r="KSY5" s="234"/>
      <c r="KSZ5" s="234"/>
      <c r="KTA5" s="234"/>
      <c r="KTB5" s="234"/>
      <c r="KTC5" s="234"/>
      <c r="KTD5" s="234"/>
      <c r="KTE5" s="234"/>
      <c r="KTF5" s="234"/>
      <c r="KTG5" s="234"/>
      <c r="KTH5" s="234"/>
      <c r="KTI5" s="234"/>
      <c r="KTJ5" s="234"/>
      <c r="KTK5" s="234"/>
      <c r="KTL5" s="234"/>
      <c r="KTM5" s="234"/>
      <c r="KTN5" s="234"/>
      <c r="KTO5" s="234"/>
      <c r="KTP5" s="234"/>
      <c r="KTQ5" s="234"/>
      <c r="KTR5" s="234"/>
      <c r="KTS5" s="234"/>
      <c r="KTT5" s="234"/>
      <c r="KTU5" s="234"/>
      <c r="KTV5" s="234"/>
      <c r="KTW5" s="234"/>
      <c r="KTX5" s="234"/>
      <c r="KTY5" s="234"/>
      <c r="KTZ5" s="234"/>
      <c r="KUA5" s="234"/>
      <c r="KUB5" s="234"/>
      <c r="KUC5" s="234"/>
      <c r="KUD5" s="234"/>
      <c r="KUE5" s="234"/>
      <c r="KUF5" s="234"/>
      <c r="KUG5" s="234"/>
      <c r="KUH5" s="234"/>
      <c r="KUI5" s="234"/>
      <c r="KUJ5" s="234"/>
      <c r="KUK5" s="234"/>
      <c r="KUL5" s="234"/>
      <c r="KUM5" s="234"/>
      <c r="KUN5" s="234"/>
      <c r="KUO5" s="234"/>
      <c r="KUP5" s="234"/>
      <c r="KUQ5" s="234"/>
      <c r="KUR5" s="234"/>
      <c r="KUS5" s="234"/>
      <c r="KUT5" s="234"/>
      <c r="KUU5" s="234"/>
      <c r="KUV5" s="234"/>
      <c r="KUW5" s="234"/>
      <c r="KUX5" s="234"/>
      <c r="KUY5" s="234"/>
      <c r="KUZ5" s="234"/>
      <c r="KVA5" s="234"/>
      <c r="KVB5" s="234"/>
      <c r="KVC5" s="234"/>
      <c r="KVD5" s="234"/>
      <c r="KVE5" s="234"/>
      <c r="KVF5" s="234"/>
      <c r="KVG5" s="234"/>
      <c r="KVH5" s="234"/>
      <c r="KVI5" s="234"/>
      <c r="KVJ5" s="234"/>
      <c r="KVK5" s="234"/>
      <c r="KVL5" s="234"/>
      <c r="KVM5" s="234"/>
      <c r="KVN5" s="234"/>
      <c r="KVO5" s="234"/>
      <c r="KVP5" s="234"/>
      <c r="KVQ5" s="234"/>
      <c r="KVR5" s="234"/>
      <c r="KVS5" s="234"/>
      <c r="KVT5" s="234"/>
      <c r="KVU5" s="234"/>
      <c r="KVV5" s="234"/>
      <c r="KVW5" s="234"/>
      <c r="KVX5" s="234"/>
      <c r="KVY5" s="234"/>
      <c r="KVZ5" s="234"/>
      <c r="KWA5" s="234"/>
      <c r="KWB5" s="234"/>
      <c r="KWC5" s="234"/>
      <c r="KWD5" s="234"/>
      <c r="KWE5" s="234"/>
      <c r="KWF5" s="234"/>
      <c r="KWG5" s="234"/>
      <c r="KWH5" s="234"/>
      <c r="KWI5" s="234"/>
      <c r="KWJ5" s="234"/>
      <c r="KWK5" s="234"/>
      <c r="KWL5" s="234"/>
      <c r="KWM5" s="234"/>
      <c r="KWN5" s="234"/>
      <c r="KWO5" s="234"/>
      <c r="KWP5" s="234"/>
      <c r="KWQ5" s="234"/>
      <c r="KWR5" s="234"/>
      <c r="KWS5" s="234"/>
      <c r="KWT5" s="234"/>
      <c r="KWU5" s="234"/>
      <c r="KWV5" s="234"/>
      <c r="KWW5" s="234"/>
      <c r="KWX5" s="234"/>
      <c r="KWY5" s="234"/>
      <c r="KWZ5" s="234"/>
      <c r="KXA5" s="234"/>
      <c r="KXB5" s="234"/>
      <c r="KXC5" s="234"/>
      <c r="KXD5" s="234"/>
      <c r="KXE5" s="234"/>
      <c r="KXF5" s="234"/>
      <c r="KXG5" s="234"/>
      <c r="KXH5" s="234"/>
      <c r="KXI5" s="234"/>
      <c r="KXJ5" s="234"/>
      <c r="KXK5" s="234"/>
      <c r="KXL5" s="234"/>
      <c r="KXM5" s="234"/>
      <c r="KXN5" s="234"/>
      <c r="KXO5" s="234"/>
      <c r="KXP5" s="234"/>
      <c r="KXQ5" s="234"/>
      <c r="KXR5" s="234"/>
      <c r="KXS5" s="234"/>
      <c r="KXT5" s="234"/>
      <c r="KXU5" s="234"/>
      <c r="KXV5" s="234"/>
      <c r="KXW5" s="234"/>
      <c r="KXX5" s="234"/>
      <c r="KXY5" s="234"/>
      <c r="KXZ5" s="234"/>
      <c r="KYA5" s="234"/>
      <c r="KYB5" s="234"/>
      <c r="KYC5" s="234"/>
      <c r="KYD5" s="234"/>
      <c r="KYE5" s="234"/>
      <c r="KYF5" s="234"/>
      <c r="KYG5" s="234"/>
      <c r="KYH5" s="234"/>
      <c r="KYI5" s="234"/>
      <c r="KYJ5" s="234"/>
      <c r="KYK5" s="234"/>
      <c r="KYL5" s="234"/>
      <c r="KYM5" s="234"/>
      <c r="KYN5" s="234"/>
      <c r="KYO5" s="234"/>
      <c r="KYP5" s="234"/>
      <c r="KYQ5" s="234"/>
      <c r="KYR5" s="234"/>
      <c r="KYS5" s="234"/>
      <c r="KYT5" s="234"/>
      <c r="KYU5" s="234"/>
      <c r="KYV5" s="234"/>
      <c r="KYW5" s="234"/>
      <c r="KYX5" s="234"/>
      <c r="KYY5" s="234"/>
      <c r="KYZ5" s="234"/>
      <c r="KZA5" s="234"/>
      <c r="KZB5" s="234"/>
      <c r="KZC5" s="234"/>
      <c r="KZD5" s="234"/>
      <c r="KZE5" s="234"/>
      <c r="KZF5" s="234"/>
      <c r="KZG5" s="234"/>
      <c r="KZH5" s="234"/>
      <c r="KZI5" s="234"/>
      <c r="KZJ5" s="234"/>
      <c r="KZK5" s="234"/>
      <c r="KZL5" s="234"/>
      <c r="KZM5" s="234"/>
      <c r="KZN5" s="234"/>
      <c r="KZO5" s="234"/>
      <c r="KZP5" s="234"/>
      <c r="KZQ5" s="234"/>
      <c r="KZR5" s="234"/>
      <c r="KZS5" s="234"/>
      <c r="KZT5" s="234"/>
      <c r="KZU5" s="234"/>
      <c r="KZV5" s="234"/>
      <c r="KZW5" s="234"/>
      <c r="KZX5" s="234"/>
      <c r="KZY5" s="234"/>
      <c r="KZZ5" s="234"/>
      <c r="LAA5" s="234"/>
      <c r="LAB5" s="234"/>
      <c r="LAC5" s="234"/>
      <c r="LAD5" s="234"/>
      <c r="LAE5" s="234"/>
      <c r="LAF5" s="234"/>
      <c r="LAG5" s="234"/>
      <c r="LAH5" s="234"/>
      <c r="LAI5" s="234"/>
      <c r="LAJ5" s="234"/>
      <c r="LAK5" s="234"/>
      <c r="LAL5" s="234"/>
      <c r="LAM5" s="234"/>
      <c r="LAN5" s="234"/>
      <c r="LAO5" s="234"/>
      <c r="LAP5" s="234"/>
      <c r="LAQ5" s="234"/>
      <c r="LAR5" s="234"/>
      <c r="LAS5" s="234"/>
      <c r="LAT5" s="234"/>
      <c r="LAU5" s="234"/>
      <c r="LAV5" s="234"/>
      <c r="LAW5" s="234"/>
      <c r="LAX5" s="234"/>
      <c r="LAY5" s="234"/>
      <c r="LAZ5" s="234"/>
      <c r="LBA5" s="234"/>
      <c r="LBB5" s="234"/>
      <c r="LBC5" s="234"/>
      <c r="LBD5" s="234"/>
      <c r="LBE5" s="234"/>
      <c r="LBF5" s="234"/>
      <c r="LBG5" s="234"/>
      <c r="LBH5" s="234"/>
      <c r="LBI5" s="234"/>
      <c r="LBJ5" s="234"/>
      <c r="LBK5" s="234"/>
      <c r="LBL5" s="234"/>
      <c r="LBM5" s="234"/>
      <c r="LBN5" s="234"/>
      <c r="LBO5" s="234"/>
      <c r="LBP5" s="234"/>
      <c r="LBQ5" s="234"/>
      <c r="LBR5" s="234"/>
      <c r="LBS5" s="234"/>
      <c r="LBT5" s="234"/>
      <c r="LBU5" s="234"/>
      <c r="LBV5" s="234"/>
      <c r="LBW5" s="234"/>
      <c r="LBX5" s="234"/>
      <c r="LBY5" s="234"/>
      <c r="LBZ5" s="234"/>
      <c r="LCA5" s="234"/>
      <c r="LCB5" s="234"/>
      <c r="LCC5" s="234"/>
      <c r="LCD5" s="234"/>
      <c r="LCE5" s="234"/>
      <c r="LCF5" s="234"/>
      <c r="LCG5" s="234"/>
      <c r="LCH5" s="234"/>
      <c r="LCI5" s="234"/>
      <c r="LCJ5" s="234"/>
      <c r="LCK5" s="234"/>
      <c r="LCL5" s="234"/>
      <c r="LCM5" s="234"/>
      <c r="LCN5" s="234"/>
      <c r="LCO5" s="234"/>
      <c r="LCP5" s="234"/>
      <c r="LCQ5" s="234"/>
      <c r="LCR5" s="234"/>
      <c r="LCS5" s="234"/>
      <c r="LCT5" s="234"/>
      <c r="LCU5" s="234"/>
      <c r="LCV5" s="234"/>
      <c r="LCW5" s="234"/>
      <c r="LCX5" s="234"/>
      <c r="LCY5" s="234"/>
      <c r="LCZ5" s="234"/>
      <c r="LDA5" s="234"/>
      <c r="LDB5" s="234"/>
      <c r="LDC5" s="234"/>
      <c r="LDD5" s="234"/>
      <c r="LDE5" s="234"/>
      <c r="LDF5" s="234"/>
      <c r="LDG5" s="234"/>
      <c r="LDH5" s="234"/>
      <c r="LDI5" s="234"/>
      <c r="LDJ5" s="234"/>
      <c r="LDK5" s="234"/>
      <c r="LDL5" s="234"/>
      <c r="LDM5" s="234"/>
      <c r="LDN5" s="234"/>
      <c r="LDO5" s="234"/>
      <c r="LDP5" s="234"/>
      <c r="LDQ5" s="234"/>
      <c r="LDR5" s="234"/>
      <c r="LDS5" s="234"/>
      <c r="LDT5" s="234"/>
      <c r="LDU5" s="234"/>
      <c r="LDV5" s="234"/>
      <c r="LDW5" s="234"/>
      <c r="LDX5" s="234"/>
      <c r="LDY5" s="234"/>
      <c r="LDZ5" s="234"/>
      <c r="LEA5" s="234"/>
      <c r="LEB5" s="234"/>
      <c r="LEC5" s="234"/>
      <c r="LED5" s="234"/>
      <c r="LEE5" s="234"/>
      <c r="LEF5" s="234"/>
      <c r="LEG5" s="234"/>
      <c r="LEH5" s="234"/>
      <c r="LEI5" s="234"/>
      <c r="LEJ5" s="234"/>
      <c r="LEK5" s="234"/>
      <c r="LEL5" s="234"/>
      <c r="LEM5" s="234"/>
      <c r="LEN5" s="234"/>
      <c r="LEO5" s="234"/>
      <c r="LEP5" s="234"/>
      <c r="LEQ5" s="234"/>
      <c r="LER5" s="234"/>
      <c r="LES5" s="234"/>
      <c r="LET5" s="234"/>
      <c r="LEU5" s="234"/>
      <c r="LEV5" s="234"/>
      <c r="LEW5" s="234"/>
      <c r="LEX5" s="234"/>
      <c r="LEY5" s="234"/>
      <c r="LEZ5" s="234"/>
      <c r="LFA5" s="234"/>
      <c r="LFB5" s="234"/>
      <c r="LFC5" s="234"/>
      <c r="LFD5" s="234"/>
      <c r="LFE5" s="234"/>
      <c r="LFF5" s="234"/>
      <c r="LFG5" s="234"/>
      <c r="LFH5" s="234"/>
      <c r="LFI5" s="234"/>
      <c r="LFJ5" s="234"/>
      <c r="LFK5" s="234"/>
      <c r="LFL5" s="234"/>
      <c r="LFM5" s="234"/>
      <c r="LFN5" s="234"/>
      <c r="LFO5" s="234"/>
      <c r="LFP5" s="234"/>
      <c r="LFQ5" s="234"/>
      <c r="LFR5" s="234"/>
      <c r="LFS5" s="234"/>
      <c r="LFT5" s="234"/>
      <c r="LFU5" s="234"/>
      <c r="LFV5" s="234"/>
      <c r="LFW5" s="234"/>
      <c r="LFX5" s="234"/>
      <c r="LFY5" s="234"/>
      <c r="LFZ5" s="234"/>
      <c r="LGA5" s="234"/>
      <c r="LGB5" s="234"/>
      <c r="LGC5" s="234"/>
      <c r="LGD5" s="234"/>
      <c r="LGE5" s="234"/>
      <c r="LGF5" s="234"/>
      <c r="LGG5" s="234"/>
      <c r="LGH5" s="234"/>
      <c r="LGI5" s="234"/>
      <c r="LGJ5" s="234"/>
      <c r="LGK5" s="234"/>
      <c r="LGL5" s="234"/>
      <c r="LGM5" s="234"/>
      <c r="LGN5" s="234"/>
      <c r="LGO5" s="234"/>
      <c r="LGP5" s="234"/>
      <c r="LGQ5" s="234"/>
      <c r="LGR5" s="234"/>
      <c r="LGS5" s="234"/>
      <c r="LGT5" s="234"/>
      <c r="LGU5" s="234"/>
      <c r="LGV5" s="234"/>
      <c r="LGW5" s="234"/>
      <c r="LGX5" s="234"/>
      <c r="LGY5" s="234"/>
      <c r="LGZ5" s="234"/>
      <c r="LHA5" s="234"/>
      <c r="LHB5" s="234"/>
      <c r="LHC5" s="234"/>
      <c r="LHD5" s="234"/>
      <c r="LHE5" s="234"/>
      <c r="LHF5" s="234"/>
      <c r="LHG5" s="234"/>
      <c r="LHH5" s="234"/>
      <c r="LHI5" s="234"/>
      <c r="LHJ5" s="234"/>
      <c r="LHK5" s="234"/>
      <c r="LHL5" s="234"/>
      <c r="LHM5" s="234"/>
      <c r="LHN5" s="234"/>
      <c r="LHO5" s="234"/>
      <c r="LHP5" s="234"/>
      <c r="LHQ5" s="234"/>
      <c r="LHR5" s="234"/>
      <c r="LHS5" s="234"/>
      <c r="LHT5" s="234"/>
      <c r="LHU5" s="234"/>
      <c r="LHV5" s="234"/>
      <c r="LHW5" s="234"/>
      <c r="LHX5" s="234"/>
      <c r="LHY5" s="234"/>
      <c r="LHZ5" s="234"/>
      <c r="LIA5" s="234"/>
      <c r="LIB5" s="234"/>
      <c r="LIC5" s="234"/>
      <c r="LID5" s="234"/>
      <c r="LIE5" s="234"/>
      <c r="LIF5" s="234"/>
      <c r="LIG5" s="234"/>
      <c r="LIH5" s="234"/>
      <c r="LII5" s="234"/>
      <c r="LIJ5" s="234"/>
      <c r="LIK5" s="234"/>
      <c r="LIL5" s="234"/>
      <c r="LIM5" s="234"/>
      <c r="LIN5" s="234"/>
      <c r="LIO5" s="234"/>
      <c r="LIP5" s="234"/>
      <c r="LIQ5" s="234"/>
      <c r="LIR5" s="234"/>
      <c r="LIS5" s="234"/>
      <c r="LIT5" s="234"/>
      <c r="LIU5" s="234"/>
      <c r="LIV5" s="234"/>
      <c r="LIW5" s="234"/>
      <c r="LIX5" s="234"/>
      <c r="LIY5" s="234"/>
      <c r="LIZ5" s="234"/>
      <c r="LJA5" s="234"/>
      <c r="LJB5" s="234"/>
      <c r="LJC5" s="234"/>
      <c r="LJD5" s="234"/>
      <c r="LJE5" s="234"/>
      <c r="LJF5" s="234"/>
      <c r="LJG5" s="234"/>
      <c r="LJH5" s="234"/>
      <c r="LJI5" s="234"/>
      <c r="LJJ5" s="234"/>
      <c r="LJK5" s="234"/>
      <c r="LJL5" s="234"/>
      <c r="LJM5" s="234"/>
      <c r="LJN5" s="234"/>
      <c r="LJO5" s="234"/>
      <c r="LJP5" s="234"/>
      <c r="LJQ5" s="234"/>
      <c r="LJR5" s="234"/>
      <c r="LJS5" s="234"/>
      <c r="LJT5" s="234"/>
      <c r="LJU5" s="234"/>
      <c r="LJV5" s="234"/>
      <c r="LJW5" s="234"/>
      <c r="LJX5" s="234"/>
      <c r="LJY5" s="234"/>
      <c r="LJZ5" s="234"/>
      <c r="LKA5" s="234"/>
      <c r="LKB5" s="234"/>
      <c r="LKC5" s="234"/>
      <c r="LKD5" s="234"/>
      <c r="LKE5" s="234"/>
      <c r="LKF5" s="234"/>
      <c r="LKG5" s="234"/>
      <c r="LKH5" s="234"/>
      <c r="LKI5" s="234"/>
      <c r="LKJ5" s="234"/>
      <c r="LKK5" s="234"/>
      <c r="LKL5" s="234"/>
      <c r="LKM5" s="234"/>
      <c r="LKN5" s="234"/>
      <c r="LKO5" s="234"/>
      <c r="LKP5" s="234"/>
      <c r="LKQ5" s="234"/>
      <c r="LKR5" s="234"/>
      <c r="LKS5" s="234"/>
      <c r="LKT5" s="234"/>
      <c r="LKU5" s="234"/>
      <c r="LKV5" s="234"/>
      <c r="LKW5" s="234"/>
      <c r="LKX5" s="234"/>
      <c r="LKY5" s="234"/>
      <c r="LKZ5" s="234"/>
      <c r="LLA5" s="234"/>
      <c r="LLB5" s="234"/>
      <c r="LLC5" s="234"/>
      <c r="LLD5" s="234"/>
      <c r="LLE5" s="234"/>
      <c r="LLF5" s="234"/>
      <c r="LLG5" s="234"/>
      <c r="LLH5" s="234"/>
      <c r="LLI5" s="234"/>
      <c r="LLJ5" s="234"/>
      <c r="LLK5" s="234"/>
      <c r="LLL5" s="234"/>
      <c r="LLM5" s="234"/>
      <c r="LLN5" s="234"/>
      <c r="LLO5" s="234"/>
      <c r="LLP5" s="234"/>
      <c r="LLQ5" s="234"/>
      <c r="LLR5" s="234"/>
      <c r="LLS5" s="234"/>
      <c r="LLT5" s="234"/>
      <c r="LLU5" s="234"/>
      <c r="LLV5" s="234"/>
      <c r="LLW5" s="234"/>
      <c r="LLX5" s="234"/>
      <c r="LLY5" s="234"/>
      <c r="LLZ5" s="234"/>
      <c r="LMA5" s="234"/>
      <c r="LMB5" s="234"/>
      <c r="LMC5" s="234"/>
      <c r="LMD5" s="234"/>
      <c r="LME5" s="234"/>
      <c r="LMF5" s="234"/>
      <c r="LMG5" s="234"/>
      <c r="LMH5" s="234"/>
      <c r="LMI5" s="234"/>
      <c r="LMJ5" s="234"/>
      <c r="LMK5" s="234"/>
      <c r="LML5" s="234"/>
      <c r="LMM5" s="234"/>
      <c r="LMN5" s="234"/>
      <c r="LMO5" s="234"/>
      <c r="LMP5" s="234"/>
      <c r="LMQ5" s="234"/>
      <c r="LMR5" s="234"/>
      <c r="LMS5" s="234"/>
      <c r="LMT5" s="234"/>
      <c r="LMU5" s="234"/>
      <c r="LMV5" s="234"/>
      <c r="LMW5" s="234"/>
      <c r="LMX5" s="234"/>
      <c r="LMY5" s="234"/>
      <c r="LMZ5" s="234"/>
      <c r="LNA5" s="234"/>
      <c r="LNB5" s="234"/>
      <c r="LNC5" s="234"/>
      <c r="LND5" s="234"/>
      <c r="LNE5" s="234"/>
      <c r="LNF5" s="234"/>
      <c r="LNG5" s="234"/>
      <c r="LNH5" s="234"/>
      <c r="LNI5" s="234"/>
      <c r="LNJ5" s="234"/>
      <c r="LNK5" s="234"/>
      <c r="LNL5" s="234"/>
      <c r="LNM5" s="234"/>
      <c r="LNN5" s="234"/>
      <c r="LNO5" s="234"/>
      <c r="LNP5" s="234"/>
      <c r="LNQ5" s="234"/>
      <c r="LNR5" s="234"/>
      <c r="LNS5" s="234"/>
      <c r="LNT5" s="234"/>
      <c r="LNU5" s="234"/>
      <c r="LNV5" s="234"/>
      <c r="LNW5" s="234"/>
      <c r="LNX5" s="234"/>
      <c r="LNY5" s="234"/>
      <c r="LNZ5" s="234"/>
      <c r="LOA5" s="234"/>
      <c r="LOB5" s="234"/>
      <c r="LOC5" s="234"/>
      <c r="LOD5" s="234"/>
      <c r="LOE5" s="234"/>
      <c r="LOF5" s="234"/>
      <c r="LOG5" s="234"/>
      <c r="LOH5" s="234"/>
      <c r="LOI5" s="234"/>
      <c r="LOJ5" s="234"/>
      <c r="LOK5" s="234"/>
      <c r="LOL5" s="234"/>
      <c r="LOM5" s="234"/>
      <c r="LON5" s="234"/>
      <c r="LOO5" s="234"/>
      <c r="LOP5" s="234"/>
      <c r="LOQ5" s="234"/>
      <c r="LOR5" s="234"/>
      <c r="LOS5" s="234"/>
      <c r="LOT5" s="234"/>
      <c r="LOU5" s="234"/>
      <c r="LOV5" s="234"/>
      <c r="LOW5" s="234"/>
      <c r="LOX5" s="234"/>
      <c r="LOY5" s="234"/>
      <c r="LOZ5" s="234"/>
      <c r="LPA5" s="234"/>
      <c r="LPB5" s="234"/>
      <c r="LPC5" s="234"/>
      <c r="LPD5" s="234"/>
      <c r="LPE5" s="234"/>
      <c r="LPF5" s="234"/>
      <c r="LPG5" s="234"/>
      <c r="LPH5" s="234"/>
      <c r="LPI5" s="234"/>
      <c r="LPJ5" s="234"/>
      <c r="LPK5" s="234"/>
      <c r="LPL5" s="234"/>
      <c r="LPM5" s="234"/>
      <c r="LPN5" s="234"/>
      <c r="LPO5" s="234"/>
      <c r="LPP5" s="234"/>
      <c r="LPQ5" s="234"/>
      <c r="LPR5" s="234"/>
      <c r="LPS5" s="234"/>
      <c r="LPT5" s="234"/>
      <c r="LPU5" s="234"/>
      <c r="LPV5" s="234"/>
      <c r="LPW5" s="234"/>
      <c r="LPX5" s="234"/>
      <c r="LPY5" s="234"/>
      <c r="LPZ5" s="234"/>
      <c r="LQA5" s="234"/>
      <c r="LQB5" s="234"/>
      <c r="LQC5" s="234"/>
      <c r="LQD5" s="234"/>
      <c r="LQE5" s="234"/>
      <c r="LQF5" s="234"/>
      <c r="LQG5" s="234"/>
      <c r="LQH5" s="234"/>
      <c r="LQI5" s="234"/>
      <c r="LQJ5" s="234"/>
      <c r="LQK5" s="234"/>
      <c r="LQL5" s="234"/>
      <c r="LQM5" s="234"/>
      <c r="LQN5" s="234"/>
      <c r="LQO5" s="234"/>
      <c r="LQP5" s="234"/>
      <c r="LQQ5" s="234"/>
      <c r="LQR5" s="234"/>
      <c r="LQS5" s="234"/>
      <c r="LQT5" s="234"/>
      <c r="LQU5" s="234"/>
      <c r="LQV5" s="234"/>
      <c r="LQW5" s="234"/>
      <c r="LQX5" s="234"/>
      <c r="LQY5" s="234"/>
      <c r="LQZ5" s="234"/>
      <c r="LRA5" s="234"/>
      <c r="LRB5" s="234"/>
      <c r="LRC5" s="234"/>
      <c r="LRD5" s="234"/>
      <c r="LRE5" s="234"/>
      <c r="LRF5" s="234"/>
      <c r="LRG5" s="234"/>
      <c r="LRH5" s="234"/>
      <c r="LRI5" s="234"/>
      <c r="LRJ5" s="234"/>
      <c r="LRK5" s="234"/>
      <c r="LRL5" s="234"/>
      <c r="LRM5" s="234"/>
      <c r="LRN5" s="234"/>
      <c r="LRO5" s="234"/>
      <c r="LRP5" s="234"/>
      <c r="LRQ5" s="234"/>
      <c r="LRR5" s="234"/>
      <c r="LRS5" s="234"/>
      <c r="LRT5" s="234"/>
      <c r="LRU5" s="234"/>
      <c r="LRV5" s="234"/>
      <c r="LRW5" s="234"/>
      <c r="LRX5" s="234"/>
      <c r="LRY5" s="234"/>
      <c r="LRZ5" s="234"/>
      <c r="LSA5" s="234"/>
      <c r="LSB5" s="234"/>
      <c r="LSC5" s="234"/>
      <c r="LSD5" s="234"/>
      <c r="LSE5" s="234"/>
      <c r="LSF5" s="234"/>
      <c r="LSG5" s="234"/>
      <c r="LSH5" s="234"/>
      <c r="LSI5" s="234"/>
      <c r="LSJ5" s="234"/>
      <c r="LSK5" s="234"/>
      <c r="LSL5" s="234"/>
      <c r="LSM5" s="234"/>
      <c r="LSN5" s="234"/>
      <c r="LSO5" s="234"/>
      <c r="LSP5" s="234"/>
      <c r="LSQ5" s="234"/>
      <c r="LSR5" s="234"/>
      <c r="LSS5" s="234"/>
      <c r="LST5" s="234"/>
      <c r="LSU5" s="234"/>
      <c r="LSV5" s="234"/>
      <c r="LSW5" s="234"/>
      <c r="LSX5" s="234"/>
      <c r="LSY5" s="234"/>
      <c r="LSZ5" s="234"/>
      <c r="LTA5" s="234"/>
      <c r="LTB5" s="234"/>
      <c r="LTC5" s="234"/>
      <c r="LTD5" s="234"/>
      <c r="LTE5" s="234"/>
      <c r="LTF5" s="234"/>
      <c r="LTG5" s="234"/>
      <c r="LTH5" s="234"/>
      <c r="LTI5" s="234"/>
      <c r="LTJ5" s="234"/>
      <c r="LTK5" s="234"/>
      <c r="LTL5" s="234"/>
      <c r="LTM5" s="234"/>
      <c r="LTN5" s="234"/>
      <c r="LTO5" s="234"/>
      <c r="LTP5" s="234"/>
      <c r="LTQ5" s="234"/>
      <c r="LTR5" s="234"/>
      <c r="LTS5" s="234"/>
      <c r="LTT5" s="234"/>
      <c r="LTU5" s="234"/>
      <c r="LTV5" s="234"/>
      <c r="LTW5" s="234"/>
      <c r="LTX5" s="234"/>
      <c r="LTY5" s="234"/>
      <c r="LTZ5" s="234"/>
      <c r="LUA5" s="234"/>
      <c r="LUB5" s="234"/>
      <c r="LUC5" s="234"/>
      <c r="LUD5" s="234"/>
      <c r="LUE5" s="234"/>
      <c r="LUF5" s="234"/>
      <c r="LUG5" s="234"/>
      <c r="LUH5" s="234"/>
      <c r="LUI5" s="234"/>
      <c r="LUJ5" s="234"/>
      <c r="LUK5" s="234"/>
      <c r="LUL5" s="234"/>
      <c r="LUM5" s="234"/>
      <c r="LUN5" s="234"/>
      <c r="LUO5" s="234"/>
      <c r="LUP5" s="234"/>
      <c r="LUQ5" s="234"/>
      <c r="LUR5" s="234"/>
      <c r="LUS5" s="234"/>
      <c r="LUT5" s="234"/>
      <c r="LUU5" s="234"/>
      <c r="LUV5" s="234"/>
      <c r="LUW5" s="234"/>
      <c r="LUX5" s="234"/>
      <c r="LUY5" s="234"/>
      <c r="LUZ5" s="234"/>
      <c r="LVA5" s="234"/>
      <c r="LVB5" s="234"/>
      <c r="LVC5" s="234"/>
      <c r="LVD5" s="234"/>
      <c r="LVE5" s="234"/>
      <c r="LVF5" s="234"/>
      <c r="LVG5" s="234"/>
      <c r="LVH5" s="234"/>
      <c r="LVI5" s="234"/>
      <c r="LVJ5" s="234"/>
      <c r="LVK5" s="234"/>
      <c r="LVL5" s="234"/>
      <c r="LVM5" s="234"/>
      <c r="LVN5" s="234"/>
      <c r="LVO5" s="234"/>
      <c r="LVP5" s="234"/>
      <c r="LVQ5" s="234"/>
      <c r="LVR5" s="234"/>
      <c r="LVS5" s="234"/>
      <c r="LVT5" s="234"/>
      <c r="LVU5" s="234"/>
      <c r="LVV5" s="234"/>
      <c r="LVW5" s="234"/>
      <c r="LVX5" s="234"/>
      <c r="LVY5" s="234"/>
      <c r="LVZ5" s="234"/>
      <c r="LWA5" s="234"/>
      <c r="LWB5" s="234"/>
      <c r="LWC5" s="234"/>
      <c r="LWD5" s="234"/>
      <c r="LWE5" s="234"/>
      <c r="LWF5" s="234"/>
      <c r="LWG5" s="234"/>
      <c r="LWH5" s="234"/>
      <c r="LWI5" s="234"/>
      <c r="LWJ5" s="234"/>
      <c r="LWK5" s="234"/>
      <c r="LWL5" s="234"/>
      <c r="LWM5" s="234"/>
      <c r="LWN5" s="234"/>
      <c r="LWO5" s="234"/>
      <c r="LWP5" s="234"/>
      <c r="LWQ5" s="234"/>
      <c r="LWR5" s="234"/>
      <c r="LWS5" s="234"/>
      <c r="LWT5" s="234"/>
      <c r="LWU5" s="234"/>
      <c r="LWV5" s="234"/>
      <c r="LWW5" s="234"/>
      <c r="LWX5" s="234"/>
      <c r="LWY5" s="234"/>
      <c r="LWZ5" s="234"/>
      <c r="LXA5" s="234"/>
      <c r="LXB5" s="234"/>
      <c r="LXC5" s="234"/>
      <c r="LXD5" s="234"/>
      <c r="LXE5" s="234"/>
      <c r="LXF5" s="234"/>
      <c r="LXG5" s="234"/>
      <c r="LXH5" s="234"/>
      <c r="LXI5" s="234"/>
      <c r="LXJ5" s="234"/>
      <c r="LXK5" s="234"/>
      <c r="LXL5" s="234"/>
      <c r="LXM5" s="234"/>
      <c r="LXN5" s="234"/>
      <c r="LXO5" s="234"/>
      <c r="LXP5" s="234"/>
      <c r="LXQ5" s="234"/>
      <c r="LXR5" s="234"/>
      <c r="LXS5" s="234"/>
      <c r="LXT5" s="234"/>
      <c r="LXU5" s="234"/>
      <c r="LXV5" s="234"/>
      <c r="LXW5" s="234"/>
      <c r="LXX5" s="234"/>
      <c r="LXY5" s="234"/>
      <c r="LXZ5" s="234"/>
      <c r="LYA5" s="234"/>
      <c r="LYB5" s="234"/>
      <c r="LYC5" s="234"/>
      <c r="LYD5" s="234"/>
      <c r="LYE5" s="234"/>
      <c r="LYF5" s="234"/>
      <c r="LYG5" s="234"/>
      <c r="LYH5" s="234"/>
      <c r="LYI5" s="234"/>
      <c r="LYJ5" s="234"/>
      <c r="LYK5" s="234"/>
      <c r="LYL5" s="234"/>
      <c r="LYM5" s="234"/>
      <c r="LYN5" s="234"/>
      <c r="LYO5" s="234"/>
      <c r="LYP5" s="234"/>
      <c r="LYQ5" s="234"/>
      <c r="LYR5" s="234"/>
      <c r="LYS5" s="234"/>
      <c r="LYT5" s="234"/>
      <c r="LYU5" s="234"/>
      <c r="LYV5" s="234"/>
      <c r="LYW5" s="234"/>
      <c r="LYX5" s="234"/>
      <c r="LYY5" s="234"/>
      <c r="LYZ5" s="234"/>
      <c r="LZA5" s="234"/>
      <c r="LZB5" s="234"/>
      <c r="LZC5" s="234"/>
      <c r="LZD5" s="234"/>
      <c r="LZE5" s="234"/>
      <c r="LZF5" s="234"/>
      <c r="LZG5" s="234"/>
      <c r="LZH5" s="234"/>
      <c r="LZI5" s="234"/>
      <c r="LZJ5" s="234"/>
      <c r="LZK5" s="234"/>
      <c r="LZL5" s="234"/>
      <c r="LZM5" s="234"/>
      <c r="LZN5" s="234"/>
      <c r="LZO5" s="234"/>
      <c r="LZP5" s="234"/>
      <c r="LZQ5" s="234"/>
      <c r="LZR5" s="234"/>
      <c r="LZS5" s="234"/>
      <c r="LZT5" s="234"/>
      <c r="LZU5" s="234"/>
      <c r="LZV5" s="234"/>
      <c r="LZW5" s="234"/>
      <c r="LZX5" s="234"/>
      <c r="LZY5" s="234"/>
      <c r="LZZ5" s="234"/>
      <c r="MAA5" s="234"/>
      <c r="MAB5" s="234"/>
      <c r="MAC5" s="234"/>
      <c r="MAD5" s="234"/>
      <c r="MAE5" s="234"/>
      <c r="MAF5" s="234"/>
      <c r="MAG5" s="234"/>
      <c r="MAH5" s="234"/>
      <c r="MAI5" s="234"/>
      <c r="MAJ5" s="234"/>
      <c r="MAK5" s="234"/>
      <c r="MAL5" s="234"/>
      <c r="MAM5" s="234"/>
      <c r="MAN5" s="234"/>
      <c r="MAO5" s="234"/>
      <c r="MAP5" s="234"/>
      <c r="MAQ5" s="234"/>
      <c r="MAR5" s="234"/>
      <c r="MAS5" s="234"/>
      <c r="MAT5" s="234"/>
      <c r="MAU5" s="234"/>
      <c r="MAV5" s="234"/>
      <c r="MAW5" s="234"/>
      <c r="MAX5" s="234"/>
      <c r="MAY5" s="234"/>
      <c r="MAZ5" s="234"/>
      <c r="MBA5" s="234"/>
      <c r="MBB5" s="234"/>
      <c r="MBC5" s="234"/>
      <c r="MBD5" s="234"/>
      <c r="MBE5" s="234"/>
      <c r="MBF5" s="234"/>
      <c r="MBG5" s="234"/>
      <c r="MBH5" s="234"/>
      <c r="MBI5" s="234"/>
      <c r="MBJ5" s="234"/>
      <c r="MBK5" s="234"/>
      <c r="MBL5" s="234"/>
      <c r="MBM5" s="234"/>
      <c r="MBN5" s="234"/>
      <c r="MBO5" s="234"/>
      <c r="MBP5" s="234"/>
      <c r="MBQ5" s="234"/>
      <c r="MBR5" s="234"/>
      <c r="MBS5" s="234"/>
      <c r="MBT5" s="234"/>
      <c r="MBU5" s="234"/>
      <c r="MBV5" s="234"/>
      <c r="MBW5" s="234"/>
      <c r="MBX5" s="234"/>
      <c r="MBY5" s="234"/>
      <c r="MBZ5" s="234"/>
      <c r="MCA5" s="234"/>
      <c r="MCB5" s="234"/>
      <c r="MCC5" s="234"/>
      <c r="MCD5" s="234"/>
      <c r="MCE5" s="234"/>
      <c r="MCF5" s="234"/>
      <c r="MCG5" s="234"/>
      <c r="MCH5" s="234"/>
      <c r="MCI5" s="234"/>
      <c r="MCJ5" s="234"/>
      <c r="MCK5" s="234"/>
      <c r="MCL5" s="234"/>
      <c r="MCM5" s="234"/>
      <c r="MCN5" s="234"/>
      <c r="MCO5" s="234"/>
      <c r="MCP5" s="234"/>
      <c r="MCQ5" s="234"/>
      <c r="MCR5" s="234"/>
      <c r="MCS5" s="234"/>
      <c r="MCT5" s="234"/>
      <c r="MCU5" s="234"/>
      <c r="MCV5" s="234"/>
      <c r="MCW5" s="234"/>
      <c r="MCX5" s="234"/>
      <c r="MCY5" s="234"/>
      <c r="MCZ5" s="234"/>
      <c r="MDA5" s="234"/>
      <c r="MDB5" s="234"/>
      <c r="MDC5" s="234"/>
      <c r="MDD5" s="234"/>
      <c r="MDE5" s="234"/>
      <c r="MDF5" s="234"/>
      <c r="MDG5" s="234"/>
      <c r="MDH5" s="234"/>
      <c r="MDI5" s="234"/>
      <c r="MDJ5" s="234"/>
      <c r="MDK5" s="234"/>
      <c r="MDL5" s="234"/>
      <c r="MDM5" s="234"/>
      <c r="MDN5" s="234"/>
      <c r="MDO5" s="234"/>
      <c r="MDP5" s="234"/>
      <c r="MDQ5" s="234"/>
      <c r="MDR5" s="234"/>
      <c r="MDS5" s="234"/>
      <c r="MDT5" s="234"/>
      <c r="MDU5" s="234"/>
      <c r="MDV5" s="234"/>
      <c r="MDW5" s="234"/>
      <c r="MDX5" s="234"/>
      <c r="MDY5" s="234"/>
      <c r="MDZ5" s="234"/>
      <c r="MEA5" s="234"/>
      <c r="MEB5" s="234"/>
      <c r="MEC5" s="234"/>
      <c r="MED5" s="234"/>
      <c r="MEE5" s="234"/>
      <c r="MEF5" s="234"/>
      <c r="MEG5" s="234"/>
      <c r="MEH5" s="234"/>
      <c r="MEI5" s="234"/>
      <c r="MEJ5" s="234"/>
      <c r="MEK5" s="234"/>
      <c r="MEL5" s="234"/>
      <c r="MEM5" s="234"/>
      <c r="MEN5" s="234"/>
      <c r="MEO5" s="234"/>
      <c r="MEP5" s="234"/>
      <c r="MEQ5" s="234"/>
      <c r="MER5" s="234"/>
      <c r="MES5" s="234"/>
      <c r="MET5" s="234"/>
      <c r="MEU5" s="234"/>
      <c r="MEV5" s="234"/>
      <c r="MEW5" s="234"/>
      <c r="MEX5" s="234"/>
      <c r="MEY5" s="234"/>
      <c r="MEZ5" s="234"/>
      <c r="MFA5" s="234"/>
      <c r="MFB5" s="234"/>
      <c r="MFC5" s="234"/>
      <c r="MFD5" s="234"/>
      <c r="MFE5" s="234"/>
      <c r="MFF5" s="234"/>
      <c r="MFG5" s="234"/>
      <c r="MFH5" s="234"/>
      <c r="MFI5" s="234"/>
      <c r="MFJ5" s="234"/>
      <c r="MFK5" s="234"/>
      <c r="MFL5" s="234"/>
      <c r="MFM5" s="234"/>
      <c r="MFN5" s="234"/>
      <c r="MFO5" s="234"/>
      <c r="MFP5" s="234"/>
      <c r="MFQ5" s="234"/>
      <c r="MFR5" s="234"/>
      <c r="MFS5" s="234"/>
      <c r="MFT5" s="234"/>
      <c r="MFU5" s="234"/>
      <c r="MFV5" s="234"/>
      <c r="MFW5" s="234"/>
      <c r="MFX5" s="234"/>
      <c r="MFY5" s="234"/>
      <c r="MFZ5" s="234"/>
      <c r="MGA5" s="234"/>
      <c r="MGB5" s="234"/>
      <c r="MGC5" s="234"/>
      <c r="MGD5" s="234"/>
      <c r="MGE5" s="234"/>
      <c r="MGF5" s="234"/>
      <c r="MGG5" s="234"/>
      <c r="MGH5" s="234"/>
      <c r="MGI5" s="234"/>
      <c r="MGJ5" s="234"/>
      <c r="MGK5" s="234"/>
      <c r="MGL5" s="234"/>
      <c r="MGM5" s="234"/>
      <c r="MGN5" s="234"/>
      <c r="MGO5" s="234"/>
      <c r="MGP5" s="234"/>
      <c r="MGQ5" s="234"/>
      <c r="MGR5" s="234"/>
      <c r="MGS5" s="234"/>
      <c r="MGT5" s="234"/>
      <c r="MGU5" s="234"/>
      <c r="MGV5" s="234"/>
      <c r="MGW5" s="234"/>
      <c r="MGX5" s="234"/>
      <c r="MGY5" s="234"/>
      <c r="MGZ5" s="234"/>
      <c r="MHA5" s="234"/>
      <c r="MHB5" s="234"/>
      <c r="MHC5" s="234"/>
      <c r="MHD5" s="234"/>
      <c r="MHE5" s="234"/>
      <c r="MHF5" s="234"/>
      <c r="MHG5" s="234"/>
      <c r="MHH5" s="234"/>
      <c r="MHI5" s="234"/>
      <c r="MHJ5" s="234"/>
      <c r="MHK5" s="234"/>
      <c r="MHL5" s="234"/>
      <c r="MHM5" s="234"/>
      <c r="MHN5" s="234"/>
      <c r="MHO5" s="234"/>
      <c r="MHP5" s="234"/>
      <c r="MHQ5" s="234"/>
      <c r="MHR5" s="234"/>
      <c r="MHS5" s="234"/>
      <c r="MHT5" s="234"/>
      <c r="MHU5" s="234"/>
      <c r="MHV5" s="234"/>
      <c r="MHW5" s="234"/>
      <c r="MHX5" s="234"/>
      <c r="MHY5" s="234"/>
      <c r="MHZ5" s="234"/>
      <c r="MIA5" s="234"/>
      <c r="MIB5" s="234"/>
      <c r="MIC5" s="234"/>
      <c r="MID5" s="234"/>
      <c r="MIE5" s="234"/>
      <c r="MIF5" s="234"/>
      <c r="MIG5" s="234"/>
      <c r="MIH5" s="234"/>
      <c r="MII5" s="234"/>
      <c r="MIJ5" s="234"/>
      <c r="MIK5" s="234"/>
      <c r="MIL5" s="234"/>
      <c r="MIM5" s="234"/>
      <c r="MIN5" s="234"/>
      <c r="MIO5" s="234"/>
      <c r="MIP5" s="234"/>
      <c r="MIQ5" s="234"/>
      <c r="MIR5" s="234"/>
      <c r="MIS5" s="234"/>
      <c r="MIT5" s="234"/>
      <c r="MIU5" s="234"/>
      <c r="MIV5" s="234"/>
      <c r="MIW5" s="234"/>
      <c r="MIX5" s="234"/>
      <c r="MIY5" s="234"/>
      <c r="MIZ5" s="234"/>
      <c r="MJA5" s="234"/>
      <c r="MJB5" s="234"/>
      <c r="MJC5" s="234"/>
      <c r="MJD5" s="234"/>
      <c r="MJE5" s="234"/>
      <c r="MJF5" s="234"/>
      <c r="MJG5" s="234"/>
      <c r="MJH5" s="234"/>
      <c r="MJI5" s="234"/>
      <c r="MJJ5" s="234"/>
      <c r="MJK5" s="234"/>
      <c r="MJL5" s="234"/>
      <c r="MJM5" s="234"/>
      <c r="MJN5" s="234"/>
      <c r="MJO5" s="234"/>
      <c r="MJP5" s="234"/>
      <c r="MJQ5" s="234"/>
      <c r="MJR5" s="234"/>
      <c r="MJS5" s="234"/>
      <c r="MJT5" s="234"/>
      <c r="MJU5" s="234"/>
      <c r="MJV5" s="234"/>
      <c r="MJW5" s="234"/>
      <c r="MJX5" s="234"/>
      <c r="MJY5" s="234"/>
      <c r="MJZ5" s="234"/>
      <c r="MKA5" s="234"/>
      <c r="MKB5" s="234"/>
      <c r="MKC5" s="234"/>
      <c r="MKD5" s="234"/>
      <c r="MKE5" s="234"/>
      <c r="MKF5" s="234"/>
      <c r="MKG5" s="234"/>
      <c r="MKH5" s="234"/>
      <c r="MKI5" s="234"/>
      <c r="MKJ5" s="234"/>
      <c r="MKK5" s="234"/>
      <c r="MKL5" s="234"/>
      <c r="MKM5" s="234"/>
      <c r="MKN5" s="234"/>
      <c r="MKO5" s="234"/>
      <c r="MKP5" s="234"/>
      <c r="MKQ5" s="234"/>
      <c r="MKR5" s="234"/>
      <c r="MKS5" s="234"/>
      <c r="MKT5" s="234"/>
      <c r="MKU5" s="234"/>
      <c r="MKV5" s="234"/>
      <c r="MKW5" s="234"/>
      <c r="MKX5" s="234"/>
      <c r="MKY5" s="234"/>
      <c r="MKZ5" s="234"/>
      <c r="MLA5" s="234"/>
      <c r="MLB5" s="234"/>
      <c r="MLC5" s="234"/>
      <c r="MLD5" s="234"/>
      <c r="MLE5" s="234"/>
      <c r="MLF5" s="234"/>
      <c r="MLG5" s="234"/>
      <c r="MLH5" s="234"/>
      <c r="MLI5" s="234"/>
      <c r="MLJ5" s="234"/>
      <c r="MLK5" s="234"/>
      <c r="MLL5" s="234"/>
      <c r="MLM5" s="234"/>
      <c r="MLN5" s="234"/>
      <c r="MLO5" s="234"/>
      <c r="MLP5" s="234"/>
      <c r="MLQ5" s="234"/>
      <c r="MLR5" s="234"/>
      <c r="MLS5" s="234"/>
      <c r="MLT5" s="234"/>
      <c r="MLU5" s="234"/>
      <c r="MLV5" s="234"/>
      <c r="MLW5" s="234"/>
      <c r="MLX5" s="234"/>
      <c r="MLY5" s="234"/>
      <c r="MLZ5" s="234"/>
      <c r="MMA5" s="234"/>
      <c r="MMB5" s="234"/>
      <c r="MMC5" s="234"/>
      <c r="MMD5" s="234"/>
      <c r="MME5" s="234"/>
      <c r="MMF5" s="234"/>
      <c r="MMG5" s="234"/>
      <c r="MMH5" s="234"/>
      <c r="MMI5" s="234"/>
      <c r="MMJ5" s="234"/>
      <c r="MMK5" s="234"/>
      <c r="MML5" s="234"/>
      <c r="MMM5" s="234"/>
      <c r="MMN5" s="234"/>
      <c r="MMO5" s="234"/>
      <c r="MMP5" s="234"/>
      <c r="MMQ5" s="234"/>
      <c r="MMR5" s="234"/>
      <c r="MMS5" s="234"/>
      <c r="MMT5" s="234"/>
      <c r="MMU5" s="234"/>
      <c r="MMV5" s="234"/>
      <c r="MMW5" s="234"/>
      <c r="MMX5" s="234"/>
      <c r="MMY5" s="234"/>
      <c r="MMZ5" s="234"/>
      <c r="MNA5" s="234"/>
      <c r="MNB5" s="234"/>
      <c r="MNC5" s="234"/>
      <c r="MND5" s="234"/>
      <c r="MNE5" s="234"/>
      <c r="MNF5" s="234"/>
      <c r="MNG5" s="234"/>
      <c r="MNH5" s="234"/>
      <c r="MNI5" s="234"/>
      <c r="MNJ5" s="234"/>
      <c r="MNK5" s="234"/>
      <c r="MNL5" s="234"/>
      <c r="MNM5" s="234"/>
      <c r="MNN5" s="234"/>
      <c r="MNO5" s="234"/>
      <c r="MNP5" s="234"/>
      <c r="MNQ5" s="234"/>
      <c r="MNR5" s="234"/>
      <c r="MNS5" s="234"/>
      <c r="MNT5" s="234"/>
      <c r="MNU5" s="234"/>
      <c r="MNV5" s="234"/>
      <c r="MNW5" s="234"/>
      <c r="MNX5" s="234"/>
      <c r="MNY5" s="234"/>
      <c r="MNZ5" s="234"/>
      <c r="MOA5" s="234"/>
      <c r="MOB5" s="234"/>
      <c r="MOC5" s="234"/>
      <c r="MOD5" s="234"/>
      <c r="MOE5" s="234"/>
      <c r="MOF5" s="234"/>
      <c r="MOG5" s="234"/>
      <c r="MOH5" s="234"/>
      <c r="MOI5" s="234"/>
      <c r="MOJ5" s="234"/>
      <c r="MOK5" s="234"/>
      <c r="MOL5" s="234"/>
      <c r="MOM5" s="234"/>
      <c r="MON5" s="234"/>
      <c r="MOO5" s="234"/>
      <c r="MOP5" s="234"/>
      <c r="MOQ5" s="234"/>
      <c r="MOR5" s="234"/>
      <c r="MOS5" s="234"/>
      <c r="MOT5" s="234"/>
      <c r="MOU5" s="234"/>
      <c r="MOV5" s="234"/>
      <c r="MOW5" s="234"/>
      <c r="MOX5" s="234"/>
      <c r="MOY5" s="234"/>
      <c r="MOZ5" s="234"/>
      <c r="MPA5" s="234"/>
      <c r="MPB5" s="234"/>
      <c r="MPC5" s="234"/>
      <c r="MPD5" s="234"/>
      <c r="MPE5" s="234"/>
      <c r="MPF5" s="234"/>
      <c r="MPG5" s="234"/>
      <c r="MPH5" s="234"/>
      <c r="MPI5" s="234"/>
      <c r="MPJ5" s="234"/>
      <c r="MPK5" s="234"/>
      <c r="MPL5" s="234"/>
      <c r="MPM5" s="234"/>
      <c r="MPN5" s="234"/>
      <c r="MPO5" s="234"/>
      <c r="MPP5" s="234"/>
      <c r="MPQ5" s="234"/>
      <c r="MPR5" s="234"/>
      <c r="MPS5" s="234"/>
      <c r="MPT5" s="234"/>
      <c r="MPU5" s="234"/>
      <c r="MPV5" s="234"/>
      <c r="MPW5" s="234"/>
      <c r="MPX5" s="234"/>
      <c r="MPY5" s="234"/>
      <c r="MPZ5" s="234"/>
      <c r="MQA5" s="234"/>
      <c r="MQB5" s="234"/>
      <c r="MQC5" s="234"/>
      <c r="MQD5" s="234"/>
      <c r="MQE5" s="234"/>
      <c r="MQF5" s="234"/>
      <c r="MQG5" s="234"/>
      <c r="MQH5" s="234"/>
      <c r="MQI5" s="234"/>
      <c r="MQJ5" s="234"/>
      <c r="MQK5" s="234"/>
      <c r="MQL5" s="234"/>
      <c r="MQM5" s="234"/>
      <c r="MQN5" s="234"/>
      <c r="MQO5" s="234"/>
      <c r="MQP5" s="234"/>
      <c r="MQQ5" s="234"/>
      <c r="MQR5" s="234"/>
      <c r="MQS5" s="234"/>
      <c r="MQT5" s="234"/>
      <c r="MQU5" s="234"/>
      <c r="MQV5" s="234"/>
      <c r="MQW5" s="234"/>
      <c r="MQX5" s="234"/>
      <c r="MQY5" s="234"/>
      <c r="MQZ5" s="234"/>
      <c r="MRA5" s="234"/>
      <c r="MRB5" s="234"/>
      <c r="MRC5" s="234"/>
      <c r="MRD5" s="234"/>
      <c r="MRE5" s="234"/>
      <c r="MRF5" s="234"/>
      <c r="MRG5" s="234"/>
      <c r="MRH5" s="234"/>
      <c r="MRI5" s="234"/>
      <c r="MRJ5" s="234"/>
      <c r="MRK5" s="234"/>
      <c r="MRL5" s="234"/>
      <c r="MRM5" s="234"/>
      <c r="MRN5" s="234"/>
      <c r="MRO5" s="234"/>
      <c r="MRP5" s="234"/>
      <c r="MRQ5" s="234"/>
      <c r="MRR5" s="234"/>
      <c r="MRS5" s="234"/>
      <c r="MRT5" s="234"/>
      <c r="MRU5" s="234"/>
      <c r="MRV5" s="234"/>
      <c r="MRW5" s="234"/>
      <c r="MRX5" s="234"/>
      <c r="MRY5" s="234"/>
      <c r="MRZ5" s="234"/>
      <c r="MSA5" s="234"/>
      <c r="MSB5" s="234"/>
      <c r="MSC5" s="234"/>
      <c r="MSD5" s="234"/>
      <c r="MSE5" s="234"/>
      <c r="MSF5" s="234"/>
      <c r="MSG5" s="234"/>
      <c r="MSH5" s="234"/>
      <c r="MSI5" s="234"/>
      <c r="MSJ5" s="234"/>
      <c r="MSK5" s="234"/>
      <c r="MSL5" s="234"/>
      <c r="MSM5" s="234"/>
      <c r="MSN5" s="234"/>
      <c r="MSO5" s="234"/>
      <c r="MSP5" s="234"/>
      <c r="MSQ5" s="234"/>
      <c r="MSR5" s="234"/>
      <c r="MSS5" s="234"/>
      <c r="MST5" s="234"/>
      <c r="MSU5" s="234"/>
      <c r="MSV5" s="234"/>
      <c r="MSW5" s="234"/>
      <c r="MSX5" s="234"/>
      <c r="MSY5" s="234"/>
      <c r="MSZ5" s="234"/>
      <c r="MTA5" s="234"/>
      <c r="MTB5" s="234"/>
      <c r="MTC5" s="234"/>
      <c r="MTD5" s="234"/>
      <c r="MTE5" s="234"/>
      <c r="MTF5" s="234"/>
      <c r="MTG5" s="234"/>
      <c r="MTH5" s="234"/>
      <c r="MTI5" s="234"/>
      <c r="MTJ5" s="234"/>
      <c r="MTK5" s="234"/>
      <c r="MTL5" s="234"/>
      <c r="MTM5" s="234"/>
      <c r="MTN5" s="234"/>
      <c r="MTO5" s="234"/>
      <c r="MTP5" s="234"/>
      <c r="MTQ5" s="234"/>
      <c r="MTR5" s="234"/>
      <c r="MTS5" s="234"/>
      <c r="MTT5" s="234"/>
      <c r="MTU5" s="234"/>
      <c r="MTV5" s="234"/>
      <c r="MTW5" s="234"/>
      <c r="MTX5" s="234"/>
      <c r="MTY5" s="234"/>
      <c r="MTZ5" s="234"/>
      <c r="MUA5" s="234"/>
      <c r="MUB5" s="234"/>
      <c r="MUC5" s="234"/>
      <c r="MUD5" s="234"/>
      <c r="MUE5" s="234"/>
      <c r="MUF5" s="234"/>
      <c r="MUG5" s="234"/>
      <c r="MUH5" s="234"/>
      <c r="MUI5" s="234"/>
      <c r="MUJ5" s="234"/>
      <c r="MUK5" s="234"/>
      <c r="MUL5" s="234"/>
      <c r="MUM5" s="234"/>
      <c r="MUN5" s="234"/>
      <c r="MUO5" s="234"/>
      <c r="MUP5" s="234"/>
      <c r="MUQ5" s="234"/>
      <c r="MUR5" s="234"/>
      <c r="MUS5" s="234"/>
      <c r="MUT5" s="234"/>
      <c r="MUU5" s="234"/>
      <c r="MUV5" s="234"/>
      <c r="MUW5" s="234"/>
      <c r="MUX5" s="234"/>
      <c r="MUY5" s="234"/>
      <c r="MUZ5" s="234"/>
      <c r="MVA5" s="234"/>
      <c r="MVB5" s="234"/>
      <c r="MVC5" s="234"/>
      <c r="MVD5" s="234"/>
      <c r="MVE5" s="234"/>
      <c r="MVF5" s="234"/>
      <c r="MVG5" s="234"/>
      <c r="MVH5" s="234"/>
      <c r="MVI5" s="234"/>
      <c r="MVJ5" s="234"/>
      <c r="MVK5" s="234"/>
      <c r="MVL5" s="234"/>
      <c r="MVM5" s="234"/>
      <c r="MVN5" s="234"/>
      <c r="MVO5" s="234"/>
      <c r="MVP5" s="234"/>
      <c r="MVQ5" s="234"/>
      <c r="MVR5" s="234"/>
      <c r="MVS5" s="234"/>
      <c r="MVT5" s="234"/>
      <c r="MVU5" s="234"/>
      <c r="MVV5" s="234"/>
      <c r="MVW5" s="234"/>
      <c r="MVX5" s="234"/>
      <c r="MVY5" s="234"/>
      <c r="MVZ5" s="234"/>
      <c r="MWA5" s="234"/>
      <c r="MWB5" s="234"/>
      <c r="MWC5" s="234"/>
      <c r="MWD5" s="234"/>
      <c r="MWE5" s="234"/>
      <c r="MWF5" s="234"/>
      <c r="MWG5" s="234"/>
      <c r="MWH5" s="234"/>
      <c r="MWI5" s="234"/>
      <c r="MWJ5" s="234"/>
      <c r="MWK5" s="234"/>
      <c r="MWL5" s="234"/>
      <c r="MWM5" s="234"/>
      <c r="MWN5" s="234"/>
      <c r="MWO5" s="234"/>
      <c r="MWP5" s="234"/>
      <c r="MWQ5" s="234"/>
      <c r="MWR5" s="234"/>
      <c r="MWS5" s="234"/>
      <c r="MWT5" s="234"/>
      <c r="MWU5" s="234"/>
      <c r="MWV5" s="234"/>
      <c r="MWW5" s="234"/>
      <c r="MWX5" s="234"/>
      <c r="MWY5" s="234"/>
      <c r="MWZ5" s="234"/>
      <c r="MXA5" s="234"/>
      <c r="MXB5" s="234"/>
      <c r="MXC5" s="234"/>
      <c r="MXD5" s="234"/>
      <c r="MXE5" s="234"/>
      <c r="MXF5" s="234"/>
      <c r="MXG5" s="234"/>
      <c r="MXH5" s="234"/>
      <c r="MXI5" s="234"/>
      <c r="MXJ5" s="234"/>
      <c r="MXK5" s="234"/>
      <c r="MXL5" s="234"/>
      <c r="MXM5" s="234"/>
      <c r="MXN5" s="234"/>
      <c r="MXO5" s="234"/>
      <c r="MXP5" s="234"/>
      <c r="MXQ5" s="234"/>
      <c r="MXR5" s="234"/>
      <c r="MXS5" s="234"/>
      <c r="MXT5" s="234"/>
      <c r="MXU5" s="234"/>
      <c r="MXV5" s="234"/>
      <c r="MXW5" s="234"/>
      <c r="MXX5" s="234"/>
      <c r="MXY5" s="234"/>
      <c r="MXZ5" s="234"/>
      <c r="MYA5" s="234"/>
      <c r="MYB5" s="234"/>
      <c r="MYC5" s="234"/>
      <c r="MYD5" s="234"/>
      <c r="MYE5" s="234"/>
      <c r="MYF5" s="234"/>
      <c r="MYG5" s="234"/>
      <c r="MYH5" s="234"/>
      <c r="MYI5" s="234"/>
      <c r="MYJ5" s="234"/>
      <c r="MYK5" s="234"/>
      <c r="MYL5" s="234"/>
      <c r="MYM5" s="234"/>
      <c r="MYN5" s="234"/>
      <c r="MYO5" s="234"/>
      <c r="MYP5" s="234"/>
      <c r="MYQ5" s="234"/>
      <c r="MYR5" s="234"/>
      <c r="MYS5" s="234"/>
      <c r="MYT5" s="234"/>
      <c r="MYU5" s="234"/>
      <c r="MYV5" s="234"/>
      <c r="MYW5" s="234"/>
      <c r="MYX5" s="234"/>
      <c r="MYY5" s="234"/>
      <c r="MYZ5" s="234"/>
      <c r="MZA5" s="234"/>
      <c r="MZB5" s="234"/>
      <c r="MZC5" s="234"/>
      <c r="MZD5" s="234"/>
      <c r="MZE5" s="234"/>
      <c r="MZF5" s="234"/>
      <c r="MZG5" s="234"/>
      <c r="MZH5" s="234"/>
      <c r="MZI5" s="234"/>
      <c r="MZJ5" s="234"/>
      <c r="MZK5" s="234"/>
      <c r="MZL5" s="234"/>
      <c r="MZM5" s="234"/>
      <c r="MZN5" s="234"/>
      <c r="MZO5" s="234"/>
      <c r="MZP5" s="234"/>
      <c r="MZQ5" s="234"/>
      <c r="MZR5" s="234"/>
      <c r="MZS5" s="234"/>
      <c r="MZT5" s="234"/>
      <c r="MZU5" s="234"/>
      <c r="MZV5" s="234"/>
      <c r="MZW5" s="234"/>
      <c r="MZX5" s="234"/>
      <c r="MZY5" s="234"/>
      <c r="MZZ5" s="234"/>
      <c r="NAA5" s="234"/>
      <c r="NAB5" s="234"/>
      <c r="NAC5" s="234"/>
      <c r="NAD5" s="234"/>
      <c r="NAE5" s="234"/>
      <c r="NAF5" s="234"/>
      <c r="NAG5" s="234"/>
      <c r="NAH5" s="234"/>
      <c r="NAI5" s="234"/>
      <c r="NAJ5" s="234"/>
      <c r="NAK5" s="234"/>
      <c r="NAL5" s="234"/>
      <c r="NAM5" s="234"/>
      <c r="NAN5" s="234"/>
      <c r="NAO5" s="234"/>
      <c r="NAP5" s="234"/>
      <c r="NAQ5" s="234"/>
      <c r="NAR5" s="234"/>
      <c r="NAS5" s="234"/>
      <c r="NAT5" s="234"/>
      <c r="NAU5" s="234"/>
      <c r="NAV5" s="234"/>
      <c r="NAW5" s="234"/>
      <c r="NAX5" s="234"/>
      <c r="NAY5" s="234"/>
      <c r="NAZ5" s="234"/>
      <c r="NBA5" s="234"/>
      <c r="NBB5" s="234"/>
      <c r="NBC5" s="234"/>
      <c r="NBD5" s="234"/>
      <c r="NBE5" s="234"/>
      <c r="NBF5" s="234"/>
      <c r="NBG5" s="234"/>
      <c r="NBH5" s="234"/>
      <c r="NBI5" s="234"/>
      <c r="NBJ5" s="234"/>
      <c r="NBK5" s="234"/>
      <c r="NBL5" s="234"/>
      <c r="NBM5" s="234"/>
      <c r="NBN5" s="234"/>
      <c r="NBO5" s="234"/>
      <c r="NBP5" s="234"/>
      <c r="NBQ5" s="234"/>
      <c r="NBR5" s="234"/>
      <c r="NBS5" s="234"/>
      <c r="NBT5" s="234"/>
      <c r="NBU5" s="234"/>
      <c r="NBV5" s="234"/>
      <c r="NBW5" s="234"/>
      <c r="NBX5" s="234"/>
      <c r="NBY5" s="234"/>
      <c r="NBZ5" s="234"/>
      <c r="NCA5" s="234"/>
      <c r="NCB5" s="234"/>
      <c r="NCC5" s="234"/>
      <c r="NCD5" s="234"/>
      <c r="NCE5" s="234"/>
      <c r="NCF5" s="234"/>
      <c r="NCG5" s="234"/>
      <c r="NCH5" s="234"/>
      <c r="NCI5" s="234"/>
      <c r="NCJ5" s="234"/>
      <c r="NCK5" s="234"/>
      <c r="NCL5" s="234"/>
      <c r="NCM5" s="234"/>
      <c r="NCN5" s="234"/>
      <c r="NCO5" s="234"/>
      <c r="NCP5" s="234"/>
      <c r="NCQ5" s="234"/>
      <c r="NCR5" s="234"/>
      <c r="NCS5" s="234"/>
      <c r="NCT5" s="234"/>
      <c r="NCU5" s="234"/>
      <c r="NCV5" s="234"/>
      <c r="NCW5" s="234"/>
      <c r="NCX5" s="234"/>
      <c r="NCY5" s="234"/>
      <c r="NCZ5" s="234"/>
      <c r="NDA5" s="234"/>
      <c r="NDB5" s="234"/>
      <c r="NDC5" s="234"/>
      <c r="NDD5" s="234"/>
      <c r="NDE5" s="234"/>
      <c r="NDF5" s="234"/>
      <c r="NDG5" s="234"/>
      <c r="NDH5" s="234"/>
      <c r="NDI5" s="234"/>
      <c r="NDJ5" s="234"/>
      <c r="NDK5" s="234"/>
      <c r="NDL5" s="234"/>
      <c r="NDM5" s="234"/>
      <c r="NDN5" s="234"/>
      <c r="NDO5" s="234"/>
      <c r="NDP5" s="234"/>
      <c r="NDQ5" s="234"/>
      <c r="NDR5" s="234"/>
      <c r="NDS5" s="234"/>
      <c r="NDT5" s="234"/>
      <c r="NDU5" s="234"/>
      <c r="NDV5" s="234"/>
      <c r="NDW5" s="234"/>
      <c r="NDX5" s="234"/>
      <c r="NDY5" s="234"/>
      <c r="NDZ5" s="234"/>
      <c r="NEA5" s="234"/>
      <c r="NEB5" s="234"/>
      <c r="NEC5" s="234"/>
      <c r="NED5" s="234"/>
      <c r="NEE5" s="234"/>
      <c r="NEF5" s="234"/>
      <c r="NEG5" s="234"/>
      <c r="NEH5" s="234"/>
      <c r="NEI5" s="234"/>
      <c r="NEJ5" s="234"/>
      <c r="NEK5" s="234"/>
      <c r="NEL5" s="234"/>
      <c r="NEM5" s="234"/>
      <c r="NEN5" s="234"/>
      <c r="NEO5" s="234"/>
      <c r="NEP5" s="234"/>
      <c r="NEQ5" s="234"/>
      <c r="NER5" s="234"/>
      <c r="NES5" s="234"/>
      <c r="NET5" s="234"/>
      <c r="NEU5" s="234"/>
      <c r="NEV5" s="234"/>
      <c r="NEW5" s="234"/>
      <c r="NEX5" s="234"/>
      <c r="NEY5" s="234"/>
      <c r="NEZ5" s="234"/>
      <c r="NFA5" s="234"/>
      <c r="NFB5" s="234"/>
      <c r="NFC5" s="234"/>
      <c r="NFD5" s="234"/>
      <c r="NFE5" s="234"/>
      <c r="NFF5" s="234"/>
      <c r="NFG5" s="234"/>
      <c r="NFH5" s="234"/>
      <c r="NFI5" s="234"/>
      <c r="NFJ5" s="234"/>
      <c r="NFK5" s="234"/>
      <c r="NFL5" s="234"/>
      <c r="NFM5" s="234"/>
      <c r="NFN5" s="234"/>
      <c r="NFO5" s="234"/>
      <c r="NFP5" s="234"/>
      <c r="NFQ5" s="234"/>
      <c r="NFR5" s="234"/>
      <c r="NFS5" s="234"/>
      <c r="NFT5" s="234"/>
      <c r="NFU5" s="234"/>
      <c r="NFV5" s="234"/>
      <c r="NFW5" s="234"/>
      <c r="NFX5" s="234"/>
      <c r="NFY5" s="234"/>
      <c r="NFZ5" s="234"/>
      <c r="NGA5" s="234"/>
      <c r="NGB5" s="234"/>
      <c r="NGC5" s="234"/>
      <c r="NGD5" s="234"/>
      <c r="NGE5" s="234"/>
      <c r="NGF5" s="234"/>
      <c r="NGG5" s="234"/>
      <c r="NGH5" s="234"/>
      <c r="NGI5" s="234"/>
      <c r="NGJ5" s="234"/>
      <c r="NGK5" s="234"/>
      <c r="NGL5" s="234"/>
      <c r="NGM5" s="234"/>
      <c r="NGN5" s="234"/>
      <c r="NGO5" s="234"/>
      <c r="NGP5" s="234"/>
      <c r="NGQ5" s="234"/>
      <c r="NGR5" s="234"/>
      <c r="NGS5" s="234"/>
      <c r="NGT5" s="234"/>
      <c r="NGU5" s="234"/>
      <c r="NGV5" s="234"/>
      <c r="NGW5" s="234"/>
      <c r="NGX5" s="234"/>
      <c r="NGY5" s="234"/>
      <c r="NGZ5" s="234"/>
      <c r="NHA5" s="234"/>
      <c r="NHB5" s="234"/>
      <c r="NHC5" s="234"/>
      <c r="NHD5" s="234"/>
      <c r="NHE5" s="234"/>
      <c r="NHF5" s="234"/>
      <c r="NHG5" s="234"/>
      <c r="NHH5" s="234"/>
      <c r="NHI5" s="234"/>
      <c r="NHJ5" s="234"/>
      <c r="NHK5" s="234"/>
      <c r="NHL5" s="234"/>
      <c r="NHM5" s="234"/>
      <c r="NHN5" s="234"/>
      <c r="NHO5" s="234"/>
      <c r="NHP5" s="234"/>
      <c r="NHQ5" s="234"/>
      <c r="NHR5" s="234"/>
      <c r="NHS5" s="234"/>
      <c r="NHT5" s="234"/>
      <c r="NHU5" s="234"/>
      <c r="NHV5" s="234"/>
      <c r="NHW5" s="234"/>
      <c r="NHX5" s="234"/>
      <c r="NHY5" s="234"/>
      <c r="NHZ5" s="234"/>
      <c r="NIA5" s="234"/>
      <c r="NIB5" s="234"/>
      <c r="NIC5" s="234"/>
      <c r="NID5" s="234"/>
      <c r="NIE5" s="234"/>
      <c r="NIF5" s="234"/>
      <c r="NIG5" s="234"/>
      <c r="NIH5" s="234"/>
      <c r="NII5" s="234"/>
      <c r="NIJ5" s="234"/>
      <c r="NIK5" s="234"/>
      <c r="NIL5" s="234"/>
      <c r="NIM5" s="234"/>
      <c r="NIN5" s="234"/>
      <c r="NIO5" s="234"/>
      <c r="NIP5" s="234"/>
      <c r="NIQ5" s="234"/>
      <c r="NIR5" s="234"/>
      <c r="NIS5" s="234"/>
      <c r="NIT5" s="234"/>
      <c r="NIU5" s="234"/>
      <c r="NIV5" s="234"/>
      <c r="NIW5" s="234"/>
      <c r="NIX5" s="234"/>
      <c r="NIY5" s="234"/>
      <c r="NIZ5" s="234"/>
      <c r="NJA5" s="234"/>
      <c r="NJB5" s="234"/>
      <c r="NJC5" s="234"/>
      <c r="NJD5" s="234"/>
      <c r="NJE5" s="234"/>
      <c r="NJF5" s="234"/>
      <c r="NJG5" s="234"/>
      <c r="NJH5" s="234"/>
      <c r="NJI5" s="234"/>
      <c r="NJJ5" s="234"/>
      <c r="NJK5" s="234"/>
      <c r="NJL5" s="234"/>
      <c r="NJM5" s="234"/>
      <c r="NJN5" s="234"/>
      <c r="NJO5" s="234"/>
      <c r="NJP5" s="234"/>
      <c r="NJQ5" s="234"/>
      <c r="NJR5" s="234"/>
      <c r="NJS5" s="234"/>
      <c r="NJT5" s="234"/>
      <c r="NJU5" s="234"/>
      <c r="NJV5" s="234"/>
      <c r="NJW5" s="234"/>
      <c r="NJX5" s="234"/>
      <c r="NJY5" s="234"/>
      <c r="NJZ5" s="234"/>
      <c r="NKA5" s="234"/>
      <c r="NKB5" s="234"/>
      <c r="NKC5" s="234"/>
      <c r="NKD5" s="234"/>
      <c r="NKE5" s="234"/>
      <c r="NKF5" s="234"/>
      <c r="NKG5" s="234"/>
      <c r="NKH5" s="234"/>
      <c r="NKI5" s="234"/>
      <c r="NKJ5" s="234"/>
      <c r="NKK5" s="234"/>
      <c r="NKL5" s="234"/>
      <c r="NKM5" s="234"/>
      <c r="NKN5" s="234"/>
      <c r="NKO5" s="234"/>
      <c r="NKP5" s="234"/>
      <c r="NKQ5" s="234"/>
      <c r="NKR5" s="234"/>
      <c r="NKS5" s="234"/>
      <c r="NKT5" s="234"/>
      <c r="NKU5" s="234"/>
      <c r="NKV5" s="234"/>
      <c r="NKW5" s="234"/>
      <c r="NKX5" s="234"/>
      <c r="NKY5" s="234"/>
      <c r="NKZ5" s="234"/>
      <c r="NLA5" s="234"/>
      <c r="NLB5" s="234"/>
      <c r="NLC5" s="234"/>
      <c r="NLD5" s="234"/>
      <c r="NLE5" s="234"/>
      <c r="NLF5" s="234"/>
      <c r="NLG5" s="234"/>
      <c r="NLH5" s="234"/>
      <c r="NLI5" s="234"/>
      <c r="NLJ5" s="234"/>
      <c r="NLK5" s="234"/>
      <c r="NLL5" s="234"/>
      <c r="NLM5" s="234"/>
      <c r="NLN5" s="234"/>
      <c r="NLO5" s="234"/>
      <c r="NLP5" s="234"/>
      <c r="NLQ5" s="234"/>
      <c r="NLR5" s="234"/>
      <c r="NLS5" s="234"/>
      <c r="NLT5" s="234"/>
      <c r="NLU5" s="234"/>
      <c r="NLV5" s="234"/>
      <c r="NLW5" s="234"/>
      <c r="NLX5" s="234"/>
      <c r="NLY5" s="234"/>
      <c r="NLZ5" s="234"/>
      <c r="NMA5" s="234"/>
      <c r="NMB5" s="234"/>
      <c r="NMC5" s="234"/>
      <c r="NMD5" s="234"/>
      <c r="NME5" s="234"/>
      <c r="NMF5" s="234"/>
      <c r="NMG5" s="234"/>
      <c r="NMH5" s="234"/>
      <c r="NMI5" s="234"/>
      <c r="NMJ5" s="234"/>
      <c r="NMK5" s="234"/>
      <c r="NML5" s="234"/>
      <c r="NMM5" s="234"/>
      <c r="NMN5" s="234"/>
      <c r="NMO5" s="234"/>
      <c r="NMP5" s="234"/>
      <c r="NMQ5" s="234"/>
      <c r="NMR5" s="234"/>
      <c r="NMS5" s="234"/>
      <c r="NMT5" s="234"/>
      <c r="NMU5" s="234"/>
      <c r="NMV5" s="234"/>
      <c r="NMW5" s="234"/>
      <c r="NMX5" s="234"/>
      <c r="NMY5" s="234"/>
      <c r="NMZ5" s="234"/>
      <c r="NNA5" s="234"/>
      <c r="NNB5" s="234"/>
      <c r="NNC5" s="234"/>
      <c r="NND5" s="234"/>
      <c r="NNE5" s="234"/>
      <c r="NNF5" s="234"/>
      <c r="NNG5" s="234"/>
      <c r="NNH5" s="234"/>
      <c r="NNI5" s="234"/>
      <c r="NNJ5" s="234"/>
      <c r="NNK5" s="234"/>
      <c r="NNL5" s="234"/>
      <c r="NNM5" s="234"/>
      <c r="NNN5" s="234"/>
      <c r="NNO5" s="234"/>
      <c r="NNP5" s="234"/>
      <c r="NNQ5" s="234"/>
      <c r="NNR5" s="234"/>
      <c r="NNS5" s="234"/>
      <c r="NNT5" s="234"/>
      <c r="NNU5" s="234"/>
      <c r="NNV5" s="234"/>
      <c r="NNW5" s="234"/>
      <c r="NNX5" s="234"/>
      <c r="NNY5" s="234"/>
      <c r="NNZ5" s="234"/>
      <c r="NOA5" s="234"/>
      <c r="NOB5" s="234"/>
      <c r="NOC5" s="234"/>
      <c r="NOD5" s="234"/>
      <c r="NOE5" s="234"/>
      <c r="NOF5" s="234"/>
      <c r="NOG5" s="234"/>
      <c r="NOH5" s="234"/>
      <c r="NOI5" s="234"/>
      <c r="NOJ5" s="234"/>
      <c r="NOK5" s="234"/>
      <c r="NOL5" s="234"/>
      <c r="NOM5" s="234"/>
      <c r="NON5" s="234"/>
      <c r="NOO5" s="234"/>
      <c r="NOP5" s="234"/>
      <c r="NOQ5" s="234"/>
      <c r="NOR5" s="234"/>
      <c r="NOS5" s="234"/>
      <c r="NOT5" s="234"/>
      <c r="NOU5" s="234"/>
      <c r="NOV5" s="234"/>
      <c r="NOW5" s="234"/>
      <c r="NOX5" s="234"/>
      <c r="NOY5" s="234"/>
      <c r="NOZ5" s="234"/>
      <c r="NPA5" s="234"/>
      <c r="NPB5" s="234"/>
      <c r="NPC5" s="234"/>
      <c r="NPD5" s="234"/>
      <c r="NPE5" s="234"/>
      <c r="NPF5" s="234"/>
      <c r="NPG5" s="234"/>
      <c r="NPH5" s="234"/>
      <c r="NPI5" s="234"/>
      <c r="NPJ5" s="234"/>
      <c r="NPK5" s="234"/>
      <c r="NPL5" s="234"/>
      <c r="NPM5" s="234"/>
      <c r="NPN5" s="234"/>
      <c r="NPO5" s="234"/>
      <c r="NPP5" s="234"/>
      <c r="NPQ5" s="234"/>
      <c r="NPR5" s="234"/>
      <c r="NPS5" s="234"/>
      <c r="NPT5" s="234"/>
      <c r="NPU5" s="234"/>
      <c r="NPV5" s="234"/>
      <c r="NPW5" s="234"/>
      <c r="NPX5" s="234"/>
      <c r="NPY5" s="234"/>
      <c r="NPZ5" s="234"/>
      <c r="NQA5" s="234"/>
      <c r="NQB5" s="234"/>
      <c r="NQC5" s="234"/>
      <c r="NQD5" s="234"/>
      <c r="NQE5" s="234"/>
      <c r="NQF5" s="234"/>
      <c r="NQG5" s="234"/>
      <c r="NQH5" s="234"/>
      <c r="NQI5" s="234"/>
      <c r="NQJ5" s="234"/>
      <c r="NQK5" s="234"/>
      <c r="NQL5" s="234"/>
      <c r="NQM5" s="234"/>
      <c r="NQN5" s="234"/>
      <c r="NQO5" s="234"/>
      <c r="NQP5" s="234"/>
      <c r="NQQ5" s="234"/>
      <c r="NQR5" s="234"/>
      <c r="NQS5" s="234"/>
      <c r="NQT5" s="234"/>
      <c r="NQU5" s="234"/>
      <c r="NQV5" s="234"/>
      <c r="NQW5" s="234"/>
      <c r="NQX5" s="234"/>
      <c r="NQY5" s="234"/>
      <c r="NQZ5" s="234"/>
      <c r="NRA5" s="234"/>
      <c r="NRB5" s="234"/>
      <c r="NRC5" s="234"/>
      <c r="NRD5" s="234"/>
      <c r="NRE5" s="234"/>
      <c r="NRF5" s="234"/>
      <c r="NRG5" s="234"/>
      <c r="NRH5" s="234"/>
      <c r="NRI5" s="234"/>
      <c r="NRJ5" s="234"/>
      <c r="NRK5" s="234"/>
      <c r="NRL5" s="234"/>
      <c r="NRM5" s="234"/>
      <c r="NRN5" s="234"/>
      <c r="NRO5" s="234"/>
      <c r="NRP5" s="234"/>
      <c r="NRQ5" s="234"/>
      <c r="NRR5" s="234"/>
      <c r="NRS5" s="234"/>
      <c r="NRT5" s="234"/>
      <c r="NRU5" s="234"/>
      <c r="NRV5" s="234"/>
      <c r="NRW5" s="234"/>
      <c r="NRX5" s="234"/>
      <c r="NRY5" s="234"/>
      <c r="NRZ5" s="234"/>
      <c r="NSA5" s="234"/>
      <c r="NSB5" s="234"/>
      <c r="NSC5" s="234"/>
      <c r="NSD5" s="234"/>
      <c r="NSE5" s="234"/>
      <c r="NSF5" s="234"/>
      <c r="NSG5" s="234"/>
      <c r="NSH5" s="234"/>
      <c r="NSI5" s="234"/>
      <c r="NSJ5" s="234"/>
      <c r="NSK5" s="234"/>
      <c r="NSL5" s="234"/>
      <c r="NSM5" s="234"/>
      <c r="NSN5" s="234"/>
      <c r="NSO5" s="234"/>
      <c r="NSP5" s="234"/>
      <c r="NSQ5" s="234"/>
      <c r="NSR5" s="234"/>
      <c r="NSS5" s="234"/>
      <c r="NST5" s="234"/>
      <c r="NSU5" s="234"/>
      <c r="NSV5" s="234"/>
      <c r="NSW5" s="234"/>
      <c r="NSX5" s="234"/>
      <c r="NSY5" s="234"/>
      <c r="NSZ5" s="234"/>
      <c r="NTA5" s="234"/>
      <c r="NTB5" s="234"/>
      <c r="NTC5" s="234"/>
      <c r="NTD5" s="234"/>
      <c r="NTE5" s="234"/>
      <c r="NTF5" s="234"/>
      <c r="NTG5" s="234"/>
      <c r="NTH5" s="234"/>
      <c r="NTI5" s="234"/>
      <c r="NTJ5" s="234"/>
      <c r="NTK5" s="234"/>
      <c r="NTL5" s="234"/>
      <c r="NTM5" s="234"/>
      <c r="NTN5" s="234"/>
      <c r="NTO5" s="234"/>
      <c r="NTP5" s="234"/>
      <c r="NTQ5" s="234"/>
      <c r="NTR5" s="234"/>
      <c r="NTS5" s="234"/>
      <c r="NTT5" s="234"/>
      <c r="NTU5" s="234"/>
      <c r="NTV5" s="234"/>
      <c r="NTW5" s="234"/>
      <c r="NTX5" s="234"/>
      <c r="NTY5" s="234"/>
      <c r="NTZ5" s="234"/>
      <c r="NUA5" s="234"/>
      <c r="NUB5" s="234"/>
      <c r="NUC5" s="234"/>
      <c r="NUD5" s="234"/>
      <c r="NUE5" s="234"/>
      <c r="NUF5" s="234"/>
      <c r="NUG5" s="234"/>
      <c r="NUH5" s="234"/>
      <c r="NUI5" s="234"/>
      <c r="NUJ5" s="234"/>
      <c r="NUK5" s="234"/>
      <c r="NUL5" s="234"/>
      <c r="NUM5" s="234"/>
      <c r="NUN5" s="234"/>
      <c r="NUO5" s="234"/>
      <c r="NUP5" s="234"/>
      <c r="NUQ5" s="234"/>
      <c r="NUR5" s="234"/>
      <c r="NUS5" s="234"/>
      <c r="NUT5" s="234"/>
      <c r="NUU5" s="234"/>
      <c r="NUV5" s="234"/>
      <c r="NUW5" s="234"/>
      <c r="NUX5" s="234"/>
      <c r="NUY5" s="234"/>
      <c r="NUZ5" s="234"/>
      <c r="NVA5" s="234"/>
      <c r="NVB5" s="234"/>
      <c r="NVC5" s="234"/>
      <c r="NVD5" s="234"/>
      <c r="NVE5" s="234"/>
      <c r="NVF5" s="234"/>
      <c r="NVG5" s="234"/>
      <c r="NVH5" s="234"/>
      <c r="NVI5" s="234"/>
      <c r="NVJ5" s="234"/>
      <c r="NVK5" s="234"/>
      <c r="NVL5" s="234"/>
      <c r="NVM5" s="234"/>
      <c r="NVN5" s="234"/>
      <c r="NVO5" s="234"/>
      <c r="NVP5" s="234"/>
      <c r="NVQ5" s="234"/>
      <c r="NVR5" s="234"/>
      <c r="NVS5" s="234"/>
      <c r="NVT5" s="234"/>
      <c r="NVU5" s="234"/>
      <c r="NVV5" s="234"/>
      <c r="NVW5" s="234"/>
      <c r="NVX5" s="234"/>
      <c r="NVY5" s="234"/>
      <c r="NVZ5" s="234"/>
      <c r="NWA5" s="234"/>
      <c r="NWB5" s="234"/>
      <c r="NWC5" s="234"/>
      <c r="NWD5" s="234"/>
      <c r="NWE5" s="234"/>
      <c r="NWF5" s="234"/>
      <c r="NWG5" s="234"/>
      <c r="NWH5" s="234"/>
      <c r="NWI5" s="234"/>
      <c r="NWJ5" s="234"/>
      <c r="NWK5" s="234"/>
      <c r="NWL5" s="234"/>
      <c r="NWM5" s="234"/>
      <c r="NWN5" s="234"/>
      <c r="NWO5" s="234"/>
      <c r="NWP5" s="234"/>
      <c r="NWQ5" s="234"/>
      <c r="NWR5" s="234"/>
      <c r="NWS5" s="234"/>
      <c r="NWT5" s="234"/>
      <c r="NWU5" s="234"/>
      <c r="NWV5" s="234"/>
      <c r="NWW5" s="234"/>
      <c r="NWX5" s="234"/>
      <c r="NWY5" s="234"/>
      <c r="NWZ5" s="234"/>
      <c r="NXA5" s="234"/>
      <c r="NXB5" s="234"/>
      <c r="NXC5" s="234"/>
      <c r="NXD5" s="234"/>
      <c r="NXE5" s="234"/>
      <c r="NXF5" s="234"/>
      <c r="NXG5" s="234"/>
      <c r="NXH5" s="234"/>
      <c r="NXI5" s="234"/>
      <c r="NXJ5" s="234"/>
      <c r="NXK5" s="234"/>
      <c r="NXL5" s="234"/>
      <c r="NXM5" s="234"/>
      <c r="NXN5" s="234"/>
      <c r="NXO5" s="234"/>
      <c r="NXP5" s="234"/>
      <c r="NXQ5" s="234"/>
      <c r="NXR5" s="234"/>
      <c r="NXS5" s="234"/>
      <c r="NXT5" s="234"/>
      <c r="NXU5" s="234"/>
      <c r="NXV5" s="234"/>
      <c r="NXW5" s="234"/>
      <c r="NXX5" s="234"/>
      <c r="NXY5" s="234"/>
      <c r="NXZ5" s="234"/>
      <c r="NYA5" s="234"/>
      <c r="NYB5" s="234"/>
      <c r="NYC5" s="234"/>
      <c r="NYD5" s="234"/>
      <c r="NYE5" s="234"/>
      <c r="NYF5" s="234"/>
      <c r="NYG5" s="234"/>
      <c r="NYH5" s="234"/>
      <c r="NYI5" s="234"/>
      <c r="NYJ5" s="234"/>
      <c r="NYK5" s="234"/>
      <c r="NYL5" s="234"/>
      <c r="NYM5" s="234"/>
      <c r="NYN5" s="234"/>
      <c r="NYO5" s="234"/>
      <c r="NYP5" s="234"/>
      <c r="NYQ5" s="234"/>
      <c r="NYR5" s="234"/>
      <c r="NYS5" s="234"/>
      <c r="NYT5" s="234"/>
      <c r="NYU5" s="234"/>
      <c r="NYV5" s="234"/>
      <c r="NYW5" s="234"/>
      <c r="NYX5" s="234"/>
      <c r="NYY5" s="234"/>
      <c r="NYZ5" s="234"/>
      <c r="NZA5" s="234"/>
      <c r="NZB5" s="234"/>
      <c r="NZC5" s="234"/>
      <c r="NZD5" s="234"/>
      <c r="NZE5" s="234"/>
      <c r="NZF5" s="234"/>
      <c r="NZG5" s="234"/>
      <c r="NZH5" s="234"/>
      <c r="NZI5" s="234"/>
      <c r="NZJ5" s="234"/>
      <c r="NZK5" s="234"/>
      <c r="NZL5" s="234"/>
      <c r="NZM5" s="234"/>
      <c r="NZN5" s="234"/>
      <c r="NZO5" s="234"/>
      <c r="NZP5" s="234"/>
      <c r="NZQ5" s="234"/>
      <c r="NZR5" s="234"/>
      <c r="NZS5" s="234"/>
      <c r="NZT5" s="234"/>
      <c r="NZU5" s="234"/>
      <c r="NZV5" s="234"/>
      <c r="NZW5" s="234"/>
      <c r="NZX5" s="234"/>
      <c r="NZY5" s="234"/>
      <c r="NZZ5" s="234"/>
      <c r="OAA5" s="234"/>
      <c r="OAB5" s="234"/>
      <c r="OAC5" s="234"/>
      <c r="OAD5" s="234"/>
      <c r="OAE5" s="234"/>
      <c r="OAF5" s="234"/>
      <c r="OAG5" s="234"/>
      <c r="OAH5" s="234"/>
      <c r="OAI5" s="234"/>
      <c r="OAJ5" s="234"/>
      <c r="OAK5" s="234"/>
      <c r="OAL5" s="234"/>
      <c r="OAM5" s="234"/>
      <c r="OAN5" s="234"/>
      <c r="OAO5" s="234"/>
      <c r="OAP5" s="234"/>
      <c r="OAQ5" s="234"/>
      <c r="OAR5" s="234"/>
      <c r="OAS5" s="234"/>
      <c r="OAT5" s="234"/>
      <c r="OAU5" s="234"/>
      <c r="OAV5" s="234"/>
      <c r="OAW5" s="234"/>
      <c r="OAX5" s="234"/>
      <c r="OAY5" s="234"/>
      <c r="OAZ5" s="234"/>
      <c r="OBA5" s="234"/>
      <c r="OBB5" s="234"/>
      <c r="OBC5" s="234"/>
      <c r="OBD5" s="234"/>
      <c r="OBE5" s="234"/>
      <c r="OBF5" s="234"/>
      <c r="OBG5" s="234"/>
      <c r="OBH5" s="234"/>
      <c r="OBI5" s="234"/>
      <c r="OBJ5" s="234"/>
      <c r="OBK5" s="234"/>
      <c r="OBL5" s="234"/>
      <c r="OBM5" s="234"/>
      <c r="OBN5" s="234"/>
      <c r="OBO5" s="234"/>
      <c r="OBP5" s="234"/>
      <c r="OBQ5" s="234"/>
      <c r="OBR5" s="234"/>
      <c r="OBS5" s="234"/>
      <c r="OBT5" s="234"/>
      <c r="OBU5" s="234"/>
      <c r="OBV5" s="234"/>
      <c r="OBW5" s="234"/>
      <c r="OBX5" s="234"/>
      <c r="OBY5" s="234"/>
      <c r="OBZ5" s="234"/>
      <c r="OCA5" s="234"/>
      <c r="OCB5" s="234"/>
      <c r="OCC5" s="234"/>
      <c r="OCD5" s="234"/>
      <c r="OCE5" s="234"/>
      <c r="OCF5" s="234"/>
      <c r="OCG5" s="234"/>
      <c r="OCH5" s="234"/>
      <c r="OCI5" s="234"/>
      <c r="OCJ5" s="234"/>
      <c r="OCK5" s="234"/>
      <c r="OCL5" s="234"/>
      <c r="OCM5" s="234"/>
      <c r="OCN5" s="234"/>
      <c r="OCO5" s="234"/>
      <c r="OCP5" s="234"/>
      <c r="OCQ5" s="234"/>
      <c r="OCR5" s="234"/>
      <c r="OCS5" s="234"/>
      <c r="OCT5" s="234"/>
      <c r="OCU5" s="234"/>
      <c r="OCV5" s="234"/>
      <c r="OCW5" s="234"/>
      <c r="OCX5" s="234"/>
      <c r="OCY5" s="234"/>
      <c r="OCZ5" s="234"/>
      <c r="ODA5" s="234"/>
      <c r="ODB5" s="234"/>
      <c r="ODC5" s="234"/>
      <c r="ODD5" s="234"/>
      <c r="ODE5" s="234"/>
      <c r="ODF5" s="234"/>
      <c r="ODG5" s="234"/>
      <c r="ODH5" s="234"/>
      <c r="ODI5" s="234"/>
      <c r="ODJ5" s="234"/>
      <c r="ODK5" s="234"/>
      <c r="ODL5" s="234"/>
      <c r="ODM5" s="234"/>
      <c r="ODN5" s="234"/>
      <c r="ODO5" s="234"/>
      <c r="ODP5" s="234"/>
      <c r="ODQ5" s="234"/>
      <c r="ODR5" s="234"/>
      <c r="ODS5" s="234"/>
      <c r="ODT5" s="234"/>
      <c r="ODU5" s="234"/>
      <c r="ODV5" s="234"/>
      <c r="ODW5" s="234"/>
      <c r="ODX5" s="234"/>
      <c r="ODY5" s="234"/>
      <c r="ODZ5" s="234"/>
      <c r="OEA5" s="234"/>
      <c r="OEB5" s="234"/>
      <c r="OEC5" s="234"/>
      <c r="OED5" s="234"/>
      <c r="OEE5" s="234"/>
      <c r="OEF5" s="234"/>
      <c r="OEG5" s="234"/>
      <c r="OEH5" s="234"/>
      <c r="OEI5" s="234"/>
      <c r="OEJ5" s="234"/>
      <c r="OEK5" s="234"/>
      <c r="OEL5" s="234"/>
      <c r="OEM5" s="234"/>
      <c r="OEN5" s="234"/>
      <c r="OEO5" s="234"/>
      <c r="OEP5" s="234"/>
      <c r="OEQ5" s="234"/>
      <c r="OER5" s="234"/>
      <c r="OES5" s="234"/>
      <c r="OET5" s="234"/>
      <c r="OEU5" s="234"/>
      <c r="OEV5" s="234"/>
      <c r="OEW5" s="234"/>
      <c r="OEX5" s="234"/>
      <c r="OEY5" s="234"/>
      <c r="OEZ5" s="234"/>
      <c r="OFA5" s="234"/>
      <c r="OFB5" s="234"/>
      <c r="OFC5" s="234"/>
      <c r="OFD5" s="234"/>
      <c r="OFE5" s="234"/>
      <c r="OFF5" s="234"/>
      <c r="OFG5" s="234"/>
      <c r="OFH5" s="234"/>
      <c r="OFI5" s="234"/>
      <c r="OFJ5" s="234"/>
      <c r="OFK5" s="234"/>
      <c r="OFL5" s="234"/>
      <c r="OFM5" s="234"/>
      <c r="OFN5" s="234"/>
      <c r="OFO5" s="234"/>
      <c r="OFP5" s="234"/>
      <c r="OFQ5" s="234"/>
      <c r="OFR5" s="234"/>
      <c r="OFS5" s="234"/>
      <c r="OFT5" s="234"/>
      <c r="OFU5" s="234"/>
      <c r="OFV5" s="234"/>
      <c r="OFW5" s="234"/>
      <c r="OFX5" s="234"/>
      <c r="OFY5" s="234"/>
      <c r="OFZ5" s="234"/>
      <c r="OGA5" s="234"/>
      <c r="OGB5" s="234"/>
      <c r="OGC5" s="234"/>
      <c r="OGD5" s="234"/>
      <c r="OGE5" s="234"/>
      <c r="OGF5" s="234"/>
      <c r="OGG5" s="234"/>
      <c r="OGH5" s="234"/>
      <c r="OGI5" s="234"/>
      <c r="OGJ5" s="234"/>
      <c r="OGK5" s="234"/>
      <c r="OGL5" s="234"/>
      <c r="OGM5" s="234"/>
      <c r="OGN5" s="234"/>
      <c r="OGO5" s="234"/>
      <c r="OGP5" s="234"/>
      <c r="OGQ5" s="234"/>
      <c r="OGR5" s="234"/>
      <c r="OGS5" s="234"/>
      <c r="OGT5" s="234"/>
      <c r="OGU5" s="234"/>
      <c r="OGV5" s="234"/>
      <c r="OGW5" s="234"/>
      <c r="OGX5" s="234"/>
      <c r="OGY5" s="234"/>
      <c r="OGZ5" s="234"/>
      <c r="OHA5" s="234"/>
      <c r="OHB5" s="234"/>
      <c r="OHC5" s="234"/>
      <c r="OHD5" s="234"/>
      <c r="OHE5" s="234"/>
      <c r="OHF5" s="234"/>
      <c r="OHG5" s="234"/>
      <c r="OHH5" s="234"/>
      <c r="OHI5" s="234"/>
      <c r="OHJ5" s="234"/>
      <c r="OHK5" s="234"/>
      <c r="OHL5" s="234"/>
      <c r="OHM5" s="234"/>
      <c r="OHN5" s="234"/>
      <c r="OHO5" s="234"/>
      <c r="OHP5" s="234"/>
      <c r="OHQ5" s="234"/>
      <c r="OHR5" s="234"/>
      <c r="OHS5" s="234"/>
      <c r="OHT5" s="234"/>
      <c r="OHU5" s="234"/>
      <c r="OHV5" s="234"/>
      <c r="OHW5" s="234"/>
      <c r="OHX5" s="234"/>
      <c r="OHY5" s="234"/>
      <c r="OHZ5" s="234"/>
      <c r="OIA5" s="234"/>
      <c r="OIB5" s="234"/>
      <c r="OIC5" s="234"/>
      <c r="OID5" s="234"/>
      <c r="OIE5" s="234"/>
      <c r="OIF5" s="234"/>
      <c r="OIG5" s="234"/>
      <c r="OIH5" s="234"/>
      <c r="OII5" s="234"/>
      <c r="OIJ5" s="234"/>
      <c r="OIK5" s="234"/>
      <c r="OIL5" s="234"/>
      <c r="OIM5" s="234"/>
      <c r="OIN5" s="234"/>
      <c r="OIO5" s="234"/>
      <c r="OIP5" s="234"/>
      <c r="OIQ5" s="234"/>
      <c r="OIR5" s="234"/>
      <c r="OIS5" s="234"/>
      <c r="OIT5" s="234"/>
      <c r="OIU5" s="234"/>
      <c r="OIV5" s="234"/>
      <c r="OIW5" s="234"/>
      <c r="OIX5" s="234"/>
      <c r="OIY5" s="234"/>
      <c r="OIZ5" s="234"/>
      <c r="OJA5" s="234"/>
      <c r="OJB5" s="234"/>
      <c r="OJC5" s="234"/>
      <c r="OJD5" s="234"/>
      <c r="OJE5" s="234"/>
      <c r="OJF5" s="234"/>
      <c r="OJG5" s="234"/>
      <c r="OJH5" s="234"/>
      <c r="OJI5" s="234"/>
      <c r="OJJ5" s="234"/>
      <c r="OJK5" s="234"/>
      <c r="OJL5" s="234"/>
      <c r="OJM5" s="234"/>
      <c r="OJN5" s="234"/>
      <c r="OJO5" s="234"/>
      <c r="OJP5" s="234"/>
      <c r="OJQ5" s="234"/>
      <c r="OJR5" s="234"/>
      <c r="OJS5" s="234"/>
      <c r="OJT5" s="234"/>
      <c r="OJU5" s="234"/>
      <c r="OJV5" s="234"/>
      <c r="OJW5" s="234"/>
      <c r="OJX5" s="234"/>
      <c r="OJY5" s="234"/>
      <c r="OJZ5" s="234"/>
      <c r="OKA5" s="234"/>
      <c r="OKB5" s="234"/>
      <c r="OKC5" s="234"/>
      <c r="OKD5" s="234"/>
      <c r="OKE5" s="234"/>
      <c r="OKF5" s="234"/>
      <c r="OKG5" s="234"/>
      <c r="OKH5" s="234"/>
      <c r="OKI5" s="234"/>
      <c r="OKJ5" s="234"/>
      <c r="OKK5" s="234"/>
      <c r="OKL5" s="234"/>
      <c r="OKM5" s="234"/>
      <c r="OKN5" s="234"/>
      <c r="OKO5" s="234"/>
      <c r="OKP5" s="234"/>
      <c r="OKQ5" s="234"/>
      <c r="OKR5" s="234"/>
      <c r="OKS5" s="234"/>
      <c r="OKT5" s="234"/>
      <c r="OKU5" s="234"/>
      <c r="OKV5" s="234"/>
      <c r="OKW5" s="234"/>
      <c r="OKX5" s="234"/>
      <c r="OKY5" s="234"/>
      <c r="OKZ5" s="234"/>
      <c r="OLA5" s="234"/>
      <c r="OLB5" s="234"/>
      <c r="OLC5" s="234"/>
      <c r="OLD5" s="234"/>
      <c r="OLE5" s="234"/>
      <c r="OLF5" s="234"/>
      <c r="OLG5" s="234"/>
      <c r="OLH5" s="234"/>
      <c r="OLI5" s="234"/>
      <c r="OLJ5" s="234"/>
      <c r="OLK5" s="234"/>
      <c r="OLL5" s="234"/>
      <c r="OLM5" s="234"/>
      <c r="OLN5" s="234"/>
      <c r="OLO5" s="234"/>
      <c r="OLP5" s="234"/>
      <c r="OLQ5" s="234"/>
      <c r="OLR5" s="234"/>
      <c r="OLS5" s="234"/>
      <c r="OLT5" s="234"/>
      <c r="OLU5" s="234"/>
      <c r="OLV5" s="234"/>
      <c r="OLW5" s="234"/>
      <c r="OLX5" s="234"/>
      <c r="OLY5" s="234"/>
      <c r="OLZ5" s="234"/>
      <c r="OMA5" s="234"/>
      <c r="OMB5" s="234"/>
      <c r="OMC5" s="234"/>
      <c r="OMD5" s="234"/>
      <c r="OME5" s="234"/>
      <c r="OMF5" s="234"/>
      <c r="OMG5" s="234"/>
      <c r="OMH5" s="234"/>
      <c r="OMI5" s="234"/>
      <c r="OMJ5" s="234"/>
      <c r="OMK5" s="234"/>
      <c r="OML5" s="234"/>
      <c r="OMM5" s="234"/>
      <c r="OMN5" s="234"/>
      <c r="OMO5" s="234"/>
      <c r="OMP5" s="234"/>
      <c r="OMQ5" s="234"/>
      <c r="OMR5" s="234"/>
      <c r="OMS5" s="234"/>
      <c r="OMT5" s="234"/>
      <c r="OMU5" s="234"/>
      <c r="OMV5" s="234"/>
      <c r="OMW5" s="234"/>
      <c r="OMX5" s="234"/>
      <c r="OMY5" s="234"/>
      <c r="OMZ5" s="234"/>
      <c r="ONA5" s="234"/>
      <c r="ONB5" s="234"/>
      <c r="ONC5" s="234"/>
      <c r="OND5" s="234"/>
      <c r="ONE5" s="234"/>
      <c r="ONF5" s="234"/>
      <c r="ONG5" s="234"/>
      <c r="ONH5" s="234"/>
      <c r="ONI5" s="234"/>
      <c r="ONJ5" s="234"/>
      <c r="ONK5" s="234"/>
      <c r="ONL5" s="234"/>
      <c r="ONM5" s="234"/>
      <c r="ONN5" s="234"/>
      <c r="ONO5" s="234"/>
      <c r="ONP5" s="234"/>
      <c r="ONQ5" s="234"/>
      <c r="ONR5" s="234"/>
      <c r="ONS5" s="234"/>
      <c r="ONT5" s="234"/>
      <c r="ONU5" s="234"/>
      <c r="ONV5" s="234"/>
      <c r="ONW5" s="234"/>
      <c r="ONX5" s="234"/>
      <c r="ONY5" s="234"/>
      <c r="ONZ5" s="234"/>
      <c r="OOA5" s="234"/>
      <c r="OOB5" s="234"/>
      <c r="OOC5" s="234"/>
      <c r="OOD5" s="234"/>
      <c r="OOE5" s="234"/>
      <c r="OOF5" s="234"/>
      <c r="OOG5" s="234"/>
      <c r="OOH5" s="234"/>
      <c r="OOI5" s="234"/>
      <c r="OOJ5" s="234"/>
      <c r="OOK5" s="234"/>
      <c r="OOL5" s="234"/>
      <c r="OOM5" s="234"/>
      <c r="OON5" s="234"/>
      <c r="OOO5" s="234"/>
      <c r="OOP5" s="234"/>
      <c r="OOQ5" s="234"/>
      <c r="OOR5" s="234"/>
      <c r="OOS5" s="234"/>
      <c r="OOT5" s="234"/>
      <c r="OOU5" s="234"/>
      <c r="OOV5" s="234"/>
      <c r="OOW5" s="234"/>
      <c r="OOX5" s="234"/>
      <c r="OOY5" s="234"/>
      <c r="OOZ5" s="234"/>
      <c r="OPA5" s="234"/>
      <c r="OPB5" s="234"/>
      <c r="OPC5" s="234"/>
      <c r="OPD5" s="234"/>
      <c r="OPE5" s="234"/>
      <c r="OPF5" s="234"/>
      <c r="OPG5" s="234"/>
      <c r="OPH5" s="234"/>
      <c r="OPI5" s="234"/>
      <c r="OPJ5" s="234"/>
      <c r="OPK5" s="234"/>
      <c r="OPL5" s="234"/>
      <c r="OPM5" s="234"/>
      <c r="OPN5" s="234"/>
      <c r="OPO5" s="234"/>
      <c r="OPP5" s="234"/>
      <c r="OPQ5" s="234"/>
      <c r="OPR5" s="234"/>
      <c r="OPS5" s="234"/>
      <c r="OPT5" s="234"/>
      <c r="OPU5" s="234"/>
      <c r="OPV5" s="234"/>
      <c r="OPW5" s="234"/>
      <c r="OPX5" s="234"/>
      <c r="OPY5" s="234"/>
      <c r="OPZ5" s="234"/>
      <c r="OQA5" s="234"/>
      <c r="OQB5" s="234"/>
      <c r="OQC5" s="234"/>
      <c r="OQD5" s="234"/>
      <c r="OQE5" s="234"/>
      <c r="OQF5" s="234"/>
      <c r="OQG5" s="234"/>
      <c r="OQH5" s="234"/>
      <c r="OQI5" s="234"/>
      <c r="OQJ5" s="234"/>
      <c r="OQK5" s="234"/>
      <c r="OQL5" s="234"/>
      <c r="OQM5" s="234"/>
      <c r="OQN5" s="234"/>
      <c r="OQO5" s="234"/>
      <c r="OQP5" s="234"/>
      <c r="OQQ5" s="234"/>
      <c r="OQR5" s="234"/>
      <c r="OQS5" s="234"/>
      <c r="OQT5" s="234"/>
      <c r="OQU5" s="234"/>
      <c r="OQV5" s="234"/>
      <c r="OQW5" s="234"/>
      <c r="OQX5" s="234"/>
      <c r="OQY5" s="234"/>
      <c r="OQZ5" s="234"/>
      <c r="ORA5" s="234"/>
      <c r="ORB5" s="234"/>
      <c r="ORC5" s="234"/>
      <c r="ORD5" s="234"/>
      <c r="ORE5" s="234"/>
      <c r="ORF5" s="234"/>
      <c r="ORG5" s="234"/>
      <c r="ORH5" s="234"/>
      <c r="ORI5" s="234"/>
      <c r="ORJ5" s="234"/>
      <c r="ORK5" s="234"/>
      <c r="ORL5" s="234"/>
      <c r="ORM5" s="234"/>
      <c r="ORN5" s="234"/>
      <c r="ORO5" s="234"/>
      <c r="ORP5" s="234"/>
      <c r="ORQ5" s="234"/>
      <c r="ORR5" s="234"/>
      <c r="ORS5" s="234"/>
      <c r="ORT5" s="234"/>
      <c r="ORU5" s="234"/>
      <c r="ORV5" s="234"/>
      <c r="ORW5" s="234"/>
      <c r="ORX5" s="234"/>
      <c r="ORY5" s="234"/>
      <c r="ORZ5" s="234"/>
      <c r="OSA5" s="234"/>
      <c r="OSB5" s="234"/>
      <c r="OSC5" s="234"/>
      <c r="OSD5" s="234"/>
      <c r="OSE5" s="234"/>
      <c r="OSF5" s="234"/>
      <c r="OSG5" s="234"/>
      <c r="OSH5" s="234"/>
      <c r="OSI5" s="234"/>
      <c r="OSJ5" s="234"/>
      <c r="OSK5" s="234"/>
      <c r="OSL5" s="234"/>
      <c r="OSM5" s="234"/>
      <c r="OSN5" s="234"/>
      <c r="OSO5" s="234"/>
      <c r="OSP5" s="234"/>
      <c r="OSQ5" s="234"/>
      <c r="OSR5" s="234"/>
      <c r="OSS5" s="234"/>
      <c r="OST5" s="234"/>
      <c r="OSU5" s="234"/>
      <c r="OSV5" s="234"/>
      <c r="OSW5" s="234"/>
      <c r="OSX5" s="234"/>
      <c r="OSY5" s="234"/>
      <c r="OSZ5" s="234"/>
      <c r="OTA5" s="234"/>
      <c r="OTB5" s="234"/>
      <c r="OTC5" s="234"/>
      <c r="OTD5" s="234"/>
      <c r="OTE5" s="234"/>
      <c r="OTF5" s="234"/>
      <c r="OTG5" s="234"/>
      <c r="OTH5" s="234"/>
      <c r="OTI5" s="234"/>
      <c r="OTJ5" s="234"/>
      <c r="OTK5" s="234"/>
      <c r="OTL5" s="234"/>
      <c r="OTM5" s="234"/>
      <c r="OTN5" s="234"/>
      <c r="OTO5" s="234"/>
      <c r="OTP5" s="234"/>
      <c r="OTQ5" s="234"/>
      <c r="OTR5" s="234"/>
      <c r="OTS5" s="234"/>
      <c r="OTT5" s="234"/>
      <c r="OTU5" s="234"/>
      <c r="OTV5" s="234"/>
      <c r="OTW5" s="234"/>
      <c r="OTX5" s="234"/>
      <c r="OTY5" s="234"/>
      <c r="OTZ5" s="234"/>
      <c r="OUA5" s="234"/>
      <c r="OUB5" s="234"/>
      <c r="OUC5" s="234"/>
      <c r="OUD5" s="234"/>
      <c r="OUE5" s="234"/>
      <c r="OUF5" s="234"/>
      <c r="OUG5" s="234"/>
      <c r="OUH5" s="234"/>
      <c r="OUI5" s="234"/>
      <c r="OUJ5" s="234"/>
      <c r="OUK5" s="234"/>
      <c r="OUL5" s="234"/>
      <c r="OUM5" s="234"/>
      <c r="OUN5" s="234"/>
      <c r="OUO5" s="234"/>
      <c r="OUP5" s="234"/>
      <c r="OUQ5" s="234"/>
      <c r="OUR5" s="234"/>
      <c r="OUS5" s="234"/>
      <c r="OUT5" s="234"/>
      <c r="OUU5" s="234"/>
      <c r="OUV5" s="234"/>
      <c r="OUW5" s="234"/>
      <c r="OUX5" s="234"/>
      <c r="OUY5" s="234"/>
      <c r="OUZ5" s="234"/>
      <c r="OVA5" s="234"/>
      <c r="OVB5" s="234"/>
      <c r="OVC5" s="234"/>
      <c r="OVD5" s="234"/>
      <c r="OVE5" s="234"/>
      <c r="OVF5" s="234"/>
      <c r="OVG5" s="234"/>
      <c r="OVH5" s="234"/>
      <c r="OVI5" s="234"/>
      <c r="OVJ5" s="234"/>
      <c r="OVK5" s="234"/>
      <c r="OVL5" s="234"/>
      <c r="OVM5" s="234"/>
      <c r="OVN5" s="234"/>
      <c r="OVO5" s="234"/>
      <c r="OVP5" s="234"/>
      <c r="OVQ5" s="234"/>
      <c r="OVR5" s="234"/>
      <c r="OVS5" s="234"/>
      <c r="OVT5" s="234"/>
      <c r="OVU5" s="234"/>
      <c r="OVV5" s="234"/>
      <c r="OVW5" s="234"/>
      <c r="OVX5" s="234"/>
      <c r="OVY5" s="234"/>
      <c r="OVZ5" s="234"/>
      <c r="OWA5" s="234"/>
      <c r="OWB5" s="234"/>
      <c r="OWC5" s="234"/>
      <c r="OWD5" s="234"/>
      <c r="OWE5" s="234"/>
      <c r="OWF5" s="234"/>
      <c r="OWG5" s="234"/>
      <c r="OWH5" s="234"/>
      <c r="OWI5" s="234"/>
      <c r="OWJ5" s="234"/>
      <c r="OWK5" s="234"/>
      <c r="OWL5" s="234"/>
      <c r="OWM5" s="234"/>
      <c r="OWN5" s="234"/>
      <c r="OWO5" s="234"/>
      <c r="OWP5" s="234"/>
      <c r="OWQ5" s="234"/>
      <c r="OWR5" s="234"/>
      <c r="OWS5" s="234"/>
      <c r="OWT5" s="234"/>
      <c r="OWU5" s="234"/>
      <c r="OWV5" s="234"/>
      <c r="OWW5" s="234"/>
      <c r="OWX5" s="234"/>
      <c r="OWY5" s="234"/>
      <c r="OWZ5" s="234"/>
      <c r="OXA5" s="234"/>
      <c r="OXB5" s="234"/>
      <c r="OXC5" s="234"/>
      <c r="OXD5" s="234"/>
      <c r="OXE5" s="234"/>
      <c r="OXF5" s="234"/>
      <c r="OXG5" s="234"/>
      <c r="OXH5" s="234"/>
      <c r="OXI5" s="234"/>
      <c r="OXJ5" s="234"/>
      <c r="OXK5" s="234"/>
      <c r="OXL5" s="234"/>
      <c r="OXM5" s="234"/>
      <c r="OXN5" s="234"/>
      <c r="OXO5" s="234"/>
      <c r="OXP5" s="234"/>
      <c r="OXQ5" s="234"/>
      <c r="OXR5" s="234"/>
      <c r="OXS5" s="234"/>
      <c r="OXT5" s="234"/>
      <c r="OXU5" s="234"/>
      <c r="OXV5" s="234"/>
      <c r="OXW5" s="234"/>
      <c r="OXX5" s="234"/>
      <c r="OXY5" s="234"/>
      <c r="OXZ5" s="234"/>
      <c r="OYA5" s="234"/>
      <c r="OYB5" s="234"/>
      <c r="OYC5" s="234"/>
      <c r="OYD5" s="234"/>
      <c r="OYE5" s="234"/>
      <c r="OYF5" s="234"/>
      <c r="OYG5" s="234"/>
      <c r="OYH5" s="234"/>
      <c r="OYI5" s="234"/>
      <c r="OYJ5" s="234"/>
      <c r="OYK5" s="234"/>
      <c r="OYL5" s="234"/>
      <c r="OYM5" s="234"/>
      <c r="OYN5" s="234"/>
      <c r="OYO5" s="234"/>
      <c r="OYP5" s="234"/>
      <c r="OYQ5" s="234"/>
      <c r="OYR5" s="234"/>
      <c r="OYS5" s="234"/>
      <c r="OYT5" s="234"/>
      <c r="OYU5" s="234"/>
      <c r="OYV5" s="234"/>
      <c r="OYW5" s="234"/>
      <c r="OYX5" s="234"/>
      <c r="OYY5" s="234"/>
      <c r="OYZ5" s="234"/>
      <c r="OZA5" s="234"/>
      <c r="OZB5" s="234"/>
      <c r="OZC5" s="234"/>
      <c r="OZD5" s="234"/>
      <c r="OZE5" s="234"/>
      <c r="OZF5" s="234"/>
      <c r="OZG5" s="234"/>
      <c r="OZH5" s="234"/>
      <c r="OZI5" s="234"/>
      <c r="OZJ5" s="234"/>
      <c r="OZK5" s="234"/>
      <c r="OZL5" s="234"/>
      <c r="OZM5" s="234"/>
      <c r="OZN5" s="234"/>
      <c r="OZO5" s="234"/>
      <c r="OZP5" s="234"/>
      <c r="OZQ5" s="234"/>
      <c r="OZR5" s="234"/>
      <c r="OZS5" s="234"/>
      <c r="OZT5" s="234"/>
      <c r="OZU5" s="234"/>
      <c r="OZV5" s="234"/>
      <c r="OZW5" s="234"/>
      <c r="OZX5" s="234"/>
      <c r="OZY5" s="234"/>
      <c r="OZZ5" s="234"/>
      <c r="PAA5" s="234"/>
      <c r="PAB5" s="234"/>
      <c r="PAC5" s="234"/>
      <c r="PAD5" s="234"/>
      <c r="PAE5" s="234"/>
      <c r="PAF5" s="234"/>
      <c r="PAG5" s="234"/>
      <c r="PAH5" s="234"/>
      <c r="PAI5" s="234"/>
      <c r="PAJ5" s="234"/>
      <c r="PAK5" s="234"/>
      <c r="PAL5" s="234"/>
      <c r="PAM5" s="234"/>
      <c r="PAN5" s="234"/>
      <c r="PAO5" s="234"/>
      <c r="PAP5" s="234"/>
      <c r="PAQ5" s="234"/>
      <c r="PAR5" s="234"/>
      <c r="PAS5" s="234"/>
      <c r="PAT5" s="234"/>
      <c r="PAU5" s="234"/>
      <c r="PAV5" s="234"/>
      <c r="PAW5" s="234"/>
      <c r="PAX5" s="234"/>
      <c r="PAY5" s="234"/>
      <c r="PAZ5" s="234"/>
      <c r="PBA5" s="234"/>
      <c r="PBB5" s="234"/>
      <c r="PBC5" s="234"/>
      <c r="PBD5" s="234"/>
      <c r="PBE5" s="234"/>
      <c r="PBF5" s="234"/>
      <c r="PBG5" s="234"/>
      <c r="PBH5" s="234"/>
      <c r="PBI5" s="234"/>
      <c r="PBJ5" s="234"/>
      <c r="PBK5" s="234"/>
      <c r="PBL5" s="234"/>
      <c r="PBM5" s="234"/>
      <c r="PBN5" s="234"/>
      <c r="PBO5" s="234"/>
      <c r="PBP5" s="234"/>
      <c r="PBQ5" s="234"/>
      <c r="PBR5" s="234"/>
      <c r="PBS5" s="234"/>
      <c r="PBT5" s="234"/>
      <c r="PBU5" s="234"/>
      <c r="PBV5" s="234"/>
      <c r="PBW5" s="234"/>
      <c r="PBX5" s="234"/>
      <c r="PBY5" s="234"/>
      <c r="PBZ5" s="234"/>
      <c r="PCA5" s="234"/>
      <c r="PCB5" s="234"/>
      <c r="PCC5" s="234"/>
      <c r="PCD5" s="234"/>
      <c r="PCE5" s="234"/>
      <c r="PCF5" s="234"/>
      <c r="PCG5" s="234"/>
      <c r="PCH5" s="234"/>
      <c r="PCI5" s="234"/>
      <c r="PCJ5" s="234"/>
      <c r="PCK5" s="234"/>
      <c r="PCL5" s="234"/>
      <c r="PCM5" s="234"/>
      <c r="PCN5" s="234"/>
      <c r="PCO5" s="234"/>
      <c r="PCP5" s="234"/>
      <c r="PCQ5" s="234"/>
      <c r="PCR5" s="234"/>
      <c r="PCS5" s="234"/>
      <c r="PCT5" s="234"/>
      <c r="PCU5" s="234"/>
      <c r="PCV5" s="234"/>
      <c r="PCW5" s="234"/>
      <c r="PCX5" s="234"/>
      <c r="PCY5" s="234"/>
      <c r="PCZ5" s="234"/>
      <c r="PDA5" s="234"/>
      <c r="PDB5" s="234"/>
      <c r="PDC5" s="234"/>
      <c r="PDD5" s="234"/>
      <c r="PDE5" s="234"/>
      <c r="PDF5" s="234"/>
      <c r="PDG5" s="234"/>
      <c r="PDH5" s="234"/>
      <c r="PDI5" s="234"/>
      <c r="PDJ5" s="234"/>
      <c r="PDK5" s="234"/>
      <c r="PDL5" s="234"/>
      <c r="PDM5" s="234"/>
      <c r="PDN5" s="234"/>
      <c r="PDO5" s="234"/>
      <c r="PDP5" s="234"/>
      <c r="PDQ5" s="234"/>
      <c r="PDR5" s="234"/>
      <c r="PDS5" s="234"/>
      <c r="PDT5" s="234"/>
      <c r="PDU5" s="234"/>
      <c r="PDV5" s="234"/>
      <c r="PDW5" s="234"/>
      <c r="PDX5" s="234"/>
      <c r="PDY5" s="234"/>
      <c r="PDZ5" s="234"/>
      <c r="PEA5" s="234"/>
      <c r="PEB5" s="234"/>
      <c r="PEC5" s="234"/>
      <c r="PED5" s="234"/>
      <c r="PEE5" s="234"/>
      <c r="PEF5" s="234"/>
      <c r="PEG5" s="234"/>
      <c r="PEH5" s="234"/>
      <c r="PEI5" s="234"/>
      <c r="PEJ5" s="234"/>
      <c r="PEK5" s="234"/>
      <c r="PEL5" s="234"/>
      <c r="PEM5" s="234"/>
      <c r="PEN5" s="234"/>
      <c r="PEO5" s="234"/>
      <c r="PEP5" s="234"/>
      <c r="PEQ5" s="234"/>
      <c r="PER5" s="234"/>
      <c r="PES5" s="234"/>
      <c r="PET5" s="234"/>
      <c r="PEU5" s="234"/>
      <c r="PEV5" s="234"/>
      <c r="PEW5" s="234"/>
      <c r="PEX5" s="234"/>
      <c r="PEY5" s="234"/>
      <c r="PEZ5" s="234"/>
      <c r="PFA5" s="234"/>
      <c r="PFB5" s="234"/>
      <c r="PFC5" s="234"/>
      <c r="PFD5" s="234"/>
      <c r="PFE5" s="234"/>
      <c r="PFF5" s="234"/>
      <c r="PFG5" s="234"/>
      <c r="PFH5" s="234"/>
      <c r="PFI5" s="234"/>
      <c r="PFJ5" s="234"/>
      <c r="PFK5" s="234"/>
      <c r="PFL5" s="234"/>
      <c r="PFM5" s="234"/>
      <c r="PFN5" s="234"/>
      <c r="PFO5" s="234"/>
      <c r="PFP5" s="234"/>
      <c r="PFQ5" s="234"/>
      <c r="PFR5" s="234"/>
      <c r="PFS5" s="234"/>
      <c r="PFT5" s="234"/>
      <c r="PFU5" s="234"/>
      <c r="PFV5" s="234"/>
      <c r="PFW5" s="234"/>
      <c r="PFX5" s="234"/>
      <c r="PFY5" s="234"/>
      <c r="PFZ5" s="234"/>
      <c r="PGA5" s="234"/>
      <c r="PGB5" s="234"/>
      <c r="PGC5" s="234"/>
      <c r="PGD5" s="234"/>
      <c r="PGE5" s="234"/>
      <c r="PGF5" s="234"/>
      <c r="PGG5" s="234"/>
      <c r="PGH5" s="234"/>
      <c r="PGI5" s="234"/>
      <c r="PGJ5" s="234"/>
      <c r="PGK5" s="234"/>
      <c r="PGL5" s="234"/>
      <c r="PGM5" s="234"/>
      <c r="PGN5" s="234"/>
      <c r="PGO5" s="234"/>
      <c r="PGP5" s="234"/>
      <c r="PGQ5" s="234"/>
      <c r="PGR5" s="234"/>
      <c r="PGS5" s="234"/>
      <c r="PGT5" s="234"/>
      <c r="PGU5" s="234"/>
      <c r="PGV5" s="234"/>
      <c r="PGW5" s="234"/>
      <c r="PGX5" s="234"/>
      <c r="PGY5" s="234"/>
      <c r="PGZ5" s="234"/>
      <c r="PHA5" s="234"/>
      <c r="PHB5" s="234"/>
      <c r="PHC5" s="234"/>
      <c r="PHD5" s="234"/>
      <c r="PHE5" s="234"/>
      <c r="PHF5" s="234"/>
      <c r="PHG5" s="234"/>
      <c r="PHH5" s="234"/>
      <c r="PHI5" s="234"/>
      <c r="PHJ5" s="234"/>
      <c r="PHK5" s="234"/>
      <c r="PHL5" s="234"/>
      <c r="PHM5" s="234"/>
      <c r="PHN5" s="234"/>
      <c r="PHO5" s="234"/>
      <c r="PHP5" s="234"/>
      <c r="PHQ5" s="234"/>
      <c r="PHR5" s="234"/>
      <c r="PHS5" s="234"/>
      <c r="PHT5" s="234"/>
      <c r="PHU5" s="234"/>
      <c r="PHV5" s="234"/>
      <c r="PHW5" s="234"/>
      <c r="PHX5" s="234"/>
      <c r="PHY5" s="234"/>
      <c r="PHZ5" s="234"/>
      <c r="PIA5" s="234"/>
      <c r="PIB5" s="234"/>
      <c r="PIC5" s="234"/>
      <c r="PID5" s="234"/>
      <c r="PIE5" s="234"/>
      <c r="PIF5" s="234"/>
      <c r="PIG5" s="234"/>
      <c r="PIH5" s="234"/>
      <c r="PII5" s="234"/>
      <c r="PIJ5" s="234"/>
      <c r="PIK5" s="234"/>
      <c r="PIL5" s="234"/>
      <c r="PIM5" s="234"/>
      <c r="PIN5" s="234"/>
      <c r="PIO5" s="234"/>
      <c r="PIP5" s="234"/>
      <c r="PIQ5" s="234"/>
      <c r="PIR5" s="234"/>
      <c r="PIS5" s="234"/>
      <c r="PIT5" s="234"/>
      <c r="PIU5" s="234"/>
      <c r="PIV5" s="234"/>
      <c r="PIW5" s="234"/>
      <c r="PIX5" s="234"/>
      <c r="PIY5" s="234"/>
      <c r="PIZ5" s="234"/>
      <c r="PJA5" s="234"/>
      <c r="PJB5" s="234"/>
      <c r="PJC5" s="234"/>
      <c r="PJD5" s="234"/>
      <c r="PJE5" s="234"/>
      <c r="PJF5" s="234"/>
      <c r="PJG5" s="234"/>
      <c r="PJH5" s="234"/>
      <c r="PJI5" s="234"/>
      <c r="PJJ5" s="234"/>
      <c r="PJK5" s="234"/>
      <c r="PJL5" s="234"/>
      <c r="PJM5" s="234"/>
      <c r="PJN5" s="234"/>
      <c r="PJO5" s="234"/>
      <c r="PJP5" s="234"/>
      <c r="PJQ5" s="234"/>
      <c r="PJR5" s="234"/>
      <c r="PJS5" s="234"/>
      <c r="PJT5" s="234"/>
      <c r="PJU5" s="234"/>
      <c r="PJV5" s="234"/>
      <c r="PJW5" s="234"/>
      <c r="PJX5" s="234"/>
      <c r="PJY5" s="234"/>
      <c r="PJZ5" s="234"/>
      <c r="PKA5" s="234"/>
      <c r="PKB5" s="234"/>
      <c r="PKC5" s="234"/>
      <c r="PKD5" s="234"/>
      <c r="PKE5" s="234"/>
      <c r="PKF5" s="234"/>
      <c r="PKG5" s="234"/>
      <c r="PKH5" s="234"/>
      <c r="PKI5" s="234"/>
      <c r="PKJ5" s="234"/>
      <c r="PKK5" s="234"/>
      <c r="PKL5" s="234"/>
      <c r="PKM5" s="234"/>
      <c r="PKN5" s="234"/>
      <c r="PKO5" s="234"/>
      <c r="PKP5" s="234"/>
      <c r="PKQ5" s="234"/>
      <c r="PKR5" s="234"/>
      <c r="PKS5" s="234"/>
      <c r="PKT5" s="234"/>
      <c r="PKU5" s="234"/>
      <c r="PKV5" s="234"/>
      <c r="PKW5" s="234"/>
      <c r="PKX5" s="234"/>
      <c r="PKY5" s="234"/>
      <c r="PKZ5" s="234"/>
      <c r="PLA5" s="234"/>
      <c r="PLB5" s="234"/>
      <c r="PLC5" s="234"/>
      <c r="PLD5" s="234"/>
      <c r="PLE5" s="234"/>
      <c r="PLF5" s="234"/>
      <c r="PLG5" s="234"/>
      <c r="PLH5" s="234"/>
      <c r="PLI5" s="234"/>
      <c r="PLJ5" s="234"/>
      <c r="PLK5" s="234"/>
      <c r="PLL5" s="234"/>
      <c r="PLM5" s="234"/>
      <c r="PLN5" s="234"/>
      <c r="PLO5" s="234"/>
      <c r="PLP5" s="234"/>
      <c r="PLQ5" s="234"/>
      <c r="PLR5" s="234"/>
      <c r="PLS5" s="234"/>
      <c r="PLT5" s="234"/>
      <c r="PLU5" s="234"/>
      <c r="PLV5" s="234"/>
      <c r="PLW5" s="234"/>
      <c r="PLX5" s="234"/>
      <c r="PLY5" s="234"/>
      <c r="PLZ5" s="234"/>
      <c r="PMA5" s="234"/>
      <c r="PMB5" s="234"/>
      <c r="PMC5" s="234"/>
      <c r="PMD5" s="234"/>
      <c r="PME5" s="234"/>
      <c r="PMF5" s="234"/>
      <c r="PMG5" s="234"/>
      <c r="PMH5" s="234"/>
      <c r="PMI5" s="234"/>
      <c r="PMJ5" s="234"/>
      <c r="PMK5" s="234"/>
      <c r="PML5" s="234"/>
      <c r="PMM5" s="234"/>
      <c r="PMN5" s="234"/>
      <c r="PMO5" s="234"/>
      <c r="PMP5" s="234"/>
      <c r="PMQ5" s="234"/>
      <c r="PMR5" s="234"/>
      <c r="PMS5" s="234"/>
      <c r="PMT5" s="234"/>
      <c r="PMU5" s="234"/>
      <c r="PMV5" s="234"/>
      <c r="PMW5" s="234"/>
      <c r="PMX5" s="234"/>
      <c r="PMY5" s="234"/>
      <c r="PMZ5" s="234"/>
      <c r="PNA5" s="234"/>
      <c r="PNB5" s="234"/>
      <c r="PNC5" s="234"/>
      <c r="PND5" s="234"/>
      <c r="PNE5" s="234"/>
      <c r="PNF5" s="234"/>
      <c r="PNG5" s="234"/>
      <c r="PNH5" s="234"/>
      <c r="PNI5" s="234"/>
      <c r="PNJ5" s="234"/>
      <c r="PNK5" s="234"/>
      <c r="PNL5" s="234"/>
      <c r="PNM5" s="234"/>
      <c r="PNN5" s="234"/>
      <c r="PNO5" s="234"/>
      <c r="PNP5" s="234"/>
      <c r="PNQ5" s="234"/>
      <c r="PNR5" s="234"/>
      <c r="PNS5" s="234"/>
      <c r="PNT5" s="234"/>
      <c r="PNU5" s="234"/>
      <c r="PNV5" s="234"/>
      <c r="PNW5" s="234"/>
      <c r="PNX5" s="234"/>
      <c r="PNY5" s="234"/>
      <c r="PNZ5" s="234"/>
      <c r="POA5" s="234"/>
      <c r="POB5" s="234"/>
      <c r="POC5" s="234"/>
      <c r="POD5" s="234"/>
      <c r="POE5" s="234"/>
      <c r="POF5" s="234"/>
      <c r="POG5" s="234"/>
      <c r="POH5" s="234"/>
      <c r="POI5" s="234"/>
      <c r="POJ5" s="234"/>
      <c r="POK5" s="234"/>
      <c r="POL5" s="234"/>
      <c r="POM5" s="234"/>
      <c r="PON5" s="234"/>
      <c r="POO5" s="234"/>
      <c r="POP5" s="234"/>
      <c r="POQ5" s="234"/>
      <c r="POR5" s="234"/>
      <c r="POS5" s="234"/>
      <c r="POT5" s="234"/>
      <c r="POU5" s="234"/>
      <c r="POV5" s="234"/>
      <c r="POW5" s="234"/>
      <c r="POX5" s="234"/>
      <c r="POY5" s="234"/>
      <c r="POZ5" s="234"/>
      <c r="PPA5" s="234"/>
      <c r="PPB5" s="234"/>
      <c r="PPC5" s="234"/>
      <c r="PPD5" s="234"/>
      <c r="PPE5" s="234"/>
      <c r="PPF5" s="234"/>
      <c r="PPG5" s="234"/>
      <c r="PPH5" s="234"/>
      <c r="PPI5" s="234"/>
      <c r="PPJ5" s="234"/>
      <c r="PPK5" s="234"/>
      <c r="PPL5" s="234"/>
      <c r="PPM5" s="234"/>
      <c r="PPN5" s="234"/>
      <c r="PPO5" s="234"/>
      <c r="PPP5" s="234"/>
      <c r="PPQ5" s="234"/>
      <c r="PPR5" s="234"/>
      <c r="PPS5" s="234"/>
      <c r="PPT5" s="234"/>
      <c r="PPU5" s="234"/>
      <c r="PPV5" s="234"/>
      <c r="PPW5" s="234"/>
      <c r="PPX5" s="234"/>
      <c r="PPY5" s="234"/>
      <c r="PPZ5" s="234"/>
      <c r="PQA5" s="234"/>
      <c r="PQB5" s="234"/>
      <c r="PQC5" s="234"/>
      <c r="PQD5" s="234"/>
      <c r="PQE5" s="234"/>
      <c r="PQF5" s="234"/>
      <c r="PQG5" s="234"/>
      <c r="PQH5" s="234"/>
      <c r="PQI5" s="234"/>
      <c r="PQJ5" s="234"/>
      <c r="PQK5" s="234"/>
      <c r="PQL5" s="234"/>
      <c r="PQM5" s="234"/>
      <c r="PQN5" s="234"/>
      <c r="PQO5" s="234"/>
      <c r="PQP5" s="234"/>
      <c r="PQQ5" s="234"/>
      <c r="PQR5" s="234"/>
      <c r="PQS5" s="234"/>
      <c r="PQT5" s="234"/>
      <c r="PQU5" s="234"/>
      <c r="PQV5" s="234"/>
      <c r="PQW5" s="234"/>
      <c r="PQX5" s="234"/>
      <c r="PQY5" s="234"/>
      <c r="PQZ5" s="234"/>
      <c r="PRA5" s="234"/>
      <c r="PRB5" s="234"/>
      <c r="PRC5" s="234"/>
      <c r="PRD5" s="234"/>
      <c r="PRE5" s="234"/>
      <c r="PRF5" s="234"/>
      <c r="PRG5" s="234"/>
      <c r="PRH5" s="234"/>
      <c r="PRI5" s="234"/>
      <c r="PRJ5" s="234"/>
      <c r="PRK5" s="234"/>
      <c r="PRL5" s="234"/>
      <c r="PRM5" s="234"/>
      <c r="PRN5" s="234"/>
      <c r="PRO5" s="234"/>
      <c r="PRP5" s="234"/>
      <c r="PRQ5" s="234"/>
      <c r="PRR5" s="234"/>
      <c r="PRS5" s="234"/>
      <c r="PRT5" s="234"/>
      <c r="PRU5" s="234"/>
      <c r="PRV5" s="234"/>
      <c r="PRW5" s="234"/>
      <c r="PRX5" s="234"/>
      <c r="PRY5" s="234"/>
      <c r="PRZ5" s="234"/>
      <c r="PSA5" s="234"/>
      <c r="PSB5" s="234"/>
      <c r="PSC5" s="234"/>
      <c r="PSD5" s="234"/>
      <c r="PSE5" s="234"/>
      <c r="PSF5" s="234"/>
      <c r="PSG5" s="234"/>
      <c r="PSH5" s="234"/>
      <c r="PSI5" s="234"/>
      <c r="PSJ5" s="234"/>
      <c r="PSK5" s="234"/>
      <c r="PSL5" s="234"/>
      <c r="PSM5" s="234"/>
      <c r="PSN5" s="234"/>
      <c r="PSO5" s="234"/>
      <c r="PSP5" s="234"/>
      <c r="PSQ5" s="234"/>
      <c r="PSR5" s="234"/>
      <c r="PSS5" s="234"/>
      <c r="PST5" s="234"/>
      <c r="PSU5" s="234"/>
      <c r="PSV5" s="234"/>
      <c r="PSW5" s="234"/>
      <c r="PSX5" s="234"/>
      <c r="PSY5" s="234"/>
      <c r="PSZ5" s="234"/>
      <c r="PTA5" s="234"/>
      <c r="PTB5" s="234"/>
      <c r="PTC5" s="234"/>
      <c r="PTD5" s="234"/>
      <c r="PTE5" s="234"/>
      <c r="PTF5" s="234"/>
      <c r="PTG5" s="234"/>
      <c r="PTH5" s="234"/>
      <c r="PTI5" s="234"/>
      <c r="PTJ5" s="234"/>
      <c r="PTK5" s="234"/>
      <c r="PTL5" s="234"/>
      <c r="PTM5" s="234"/>
      <c r="PTN5" s="234"/>
      <c r="PTO5" s="234"/>
      <c r="PTP5" s="234"/>
      <c r="PTQ5" s="234"/>
      <c r="PTR5" s="234"/>
      <c r="PTS5" s="234"/>
      <c r="PTT5" s="234"/>
      <c r="PTU5" s="234"/>
      <c r="PTV5" s="234"/>
      <c r="PTW5" s="234"/>
      <c r="PTX5" s="234"/>
      <c r="PTY5" s="234"/>
      <c r="PTZ5" s="234"/>
      <c r="PUA5" s="234"/>
      <c r="PUB5" s="234"/>
      <c r="PUC5" s="234"/>
      <c r="PUD5" s="234"/>
      <c r="PUE5" s="234"/>
      <c r="PUF5" s="234"/>
      <c r="PUG5" s="234"/>
      <c r="PUH5" s="234"/>
      <c r="PUI5" s="234"/>
      <c r="PUJ5" s="234"/>
      <c r="PUK5" s="234"/>
      <c r="PUL5" s="234"/>
      <c r="PUM5" s="234"/>
      <c r="PUN5" s="234"/>
      <c r="PUO5" s="234"/>
      <c r="PUP5" s="234"/>
      <c r="PUQ5" s="234"/>
      <c r="PUR5" s="234"/>
      <c r="PUS5" s="234"/>
      <c r="PUT5" s="234"/>
      <c r="PUU5" s="234"/>
      <c r="PUV5" s="234"/>
      <c r="PUW5" s="234"/>
      <c r="PUX5" s="234"/>
      <c r="PUY5" s="234"/>
      <c r="PUZ5" s="234"/>
      <c r="PVA5" s="234"/>
      <c r="PVB5" s="234"/>
      <c r="PVC5" s="234"/>
      <c r="PVD5" s="234"/>
      <c r="PVE5" s="234"/>
      <c r="PVF5" s="234"/>
      <c r="PVG5" s="234"/>
      <c r="PVH5" s="234"/>
      <c r="PVI5" s="234"/>
      <c r="PVJ5" s="234"/>
      <c r="PVK5" s="234"/>
      <c r="PVL5" s="234"/>
      <c r="PVM5" s="234"/>
      <c r="PVN5" s="234"/>
      <c r="PVO5" s="234"/>
      <c r="PVP5" s="234"/>
      <c r="PVQ5" s="234"/>
      <c r="PVR5" s="234"/>
      <c r="PVS5" s="234"/>
      <c r="PVT5" s="234"/>
      <c r="PVU5" s="234"/>
      <c r="PVV5" s="234"/>
      <c r="PVW5" s="234"/>
      <c r="PVX5" s="234"/>
      <c r="PVY5" s="234"/>
      <c r="PVZ5" s="234"/>
      <c r="PWA5" s="234"/>
      <c r="PWB5" s="234"/>
      <c r="PWC5" s="234"/>
      <c r="PWD5" s="234"/>
      <c r="PWE5" s="234"/>
      <c r="PWF5" s="234"/>
      <c r="PWG5" s="234"/>
      <c r="PWH5" s="234"/>
      <c r="PWI5" s="234"/>
      <c r="PWJ5" s="234"/>
      <c r="PWK5" s="234"/>
      <c r="PWL5" s="234"/>
      <c r="PWM5" s="234"/>
      <c r="PWN5" s="234"/>
      <c r="PWO5" s="234"/>
      <c r="PWP5" s="234"/>
      <c r="PWQ5" s="234"/>
      <c r="PWR5" s="234"/>
      <c r="PWS5" s="234"/>
      <c r="PWT5" s="234"/>
      <c r="PWU5" s="234"/>
      <c r="PWV5" s="234"/>
      <c r="PWW5" s="234"/>
      <c r="PWX5" s="234"/>
      <c r="PWY5" s="234"/>
      <c r="PWZ5" s="234"/>
      <c r="PXA5" s="234"/>
      <c r="PXB5" s="234"/>
      <c r="PXC5" s="234"/>
      <c r="PXD5" s="234"/>
      <c r="PXE5" s="234"/>
      <c r="PXF5" s="234"/>
      <c r="PXG5" s="234"/>
      <c r="PXH5" s="234"/>
      <c r="PXI5" s="234"/>
      <c r="PXJ5" s="234"/>
      <c r="PXK5" s="234"/>
      <c r="PXL5" s="234"/>
      <c r="PXM5" s="234"/>
      <c r="PXN5" s="234"/>
      <c r="PXO5" s="234"/>
      <c r="PXP5" s="234"/>
      <c r="PXQ5" s="234"/>
      <c r="PXR5" s="234"/>
      <c r="PXS5" s="234"/>
      <c r="PXT5" s="234"/>
      <c r="PXU5" s="234"/>
      <c r="PXV5" s="234"/>
      <c r="PXW5" s="234"/>
      <c r="PXX5" s="234"/>
      <c r="PXY5" s="234"/>
      <c r="PXZ5" s="234"/>
      <c r="PYA5" s="234"/>
      <c r="PYB5" s="234"/>
      <c r="PYC5" s="234"/>
      <c r="PYD5" s="234"/>
      <c r="PYE5" s="234"/>
      <c r="PYF5" s="234"/>
      <c r="PYG5" s="234"/>
      <c r="PYH5" s="234"/>
      <c r="PYI5" s="234"/>
      <c r="PYJ5" s="234"/>
      <c r="PYK5" s="234"/>
      <c r="PYL5" s="234"/>
      <c r="PYM5" s="234"/>
      <c r="PYN5" s="234"/>
      <c r="PYO5" s="234"/>
      <c r="PYP5" s="234"/>
      <c r="PYQ5" s="234"/>
      <c r="PYR5" s="234"/>
      <c r="PYS5" s="234"/>
      <c r="PYT5" s="234"/>
      <c r="PYU5" s="234"/>
      <c r="PYV5" s="234"/>
      <c r="PYW5" s="234"/>
      <c r="PYX5" s="234"/>
      <c r="PYY5" s="234"/>
      <c r="PYZ5" s="234"/>
      <c r="PZA5" s="234"/>
      <c r="PZB5" s="234"/>
      <c r="PZC5" s="234"/>
      <c r="PZD5" s="234"/>
      <c r="PZE5" s="234"/>
      <c r="PZF5" s="234"/>
      <c r="PZG5" s="234"/>
      <c r="PZH5" s="234"/>
      <c r="PZI5" s="234"/>
      <c r="PZJ5" s="234"/>
      <c r="PZK5" s="234"/>
      <c r="PZL5" s="234"/>
      <c r="PZM5" s="234"/>
      <c r="PZN5" s="234"/>
      <c r="PZO5" s="234"/>
      <c r="PZP5" s="234"/>
      <c r="PZQ5" s="234"/>
      <c r="PZR5" s="234"/>
      <c r="PZS5" s="234"/>
      <c r="PZT5" s="234"/>
      <c r="PZU5" s="234"/>
      <c r="PZV5" s="234"/>
      <c r="PZW5" s="234"/>
      <c r="PZX5" s="234"/>
      <c r="PZY5" s="234"/>
      <c r="PZZ5" s="234"/>
      <c r="QAA5" s="234"/>
      <c r="QAB5" s="234"/>
      <c r="QAC5" s="234"/>
      <c r="QAD5" s="234"/>
      <c r="QAE5" s="234"/>
      <c r="QAF5" s="234"/>
      <c r="QAG5" s="234"/>
      <c r="QAH5" s="234"/>
      <c r="QAI5" s="234"/>
      <c r="QAJ5" s="234"/>
      <c r="QAK5" s="234"/>
      <c r="QAL5" s="234"/>
      <c r="QAM5" s="234"/>
      <c r="QAN5" s="234"/>
      <c r="QAO5" s="234"/>
      <c r="QAP5" s="234"/>
      <c r="QAQ5" s="234"/>
      <c r="QAR5" s="234"/>
      <c r="QAS5" s="234"/>
      <c r="QAT5" s="234"/>
      <c r="QAU5" s="234"/>
      <c r="QAV5" s="234"/>
      <c r="QAW5" s="234"/>
      <c r="QAX5" s="234"/>
      <c r="QAY5" s="234"/>
      <c r="QAZ5" s="234"/>
      <c r="QBA5" s="234"/>
      <c r="QBB5" s="234"/>
      <c r="QBC5" s="234"/>
      <c r="QBD5" s="234"/>
      <c r="QBE5" s="234"/>
      <c r="QBF5" s="234"/>
      <c r="QBG5" s="234"/>
      <c r="QBH5" s="234"/>
      <c r="QBI5" s="234"/>
      <c r="QBJ5" s="234"/>
      <c r="QBK5" s="234"/>
      <c r="QBL5" s="234"/>
      <c r="QBM5" s="234"/>
      <c r="QBN5" s="234"/>
      <c r="QBO5" s="234"/>
      <c r="QBP5" s="234"/>
      <c r="QBQ5" s="234"/>
      <c r="QBR5" s="234"/>
      <c r="QBS5" s="234"/>
      <c r="QBT5" s="234"/>
      <c r="QBU5" s="234"/>
      <c r="QBV5" s="234"/>
      <c r="QBW5" s="234"/>
      <c r="QBX5" s="234"/>
      <c r="QBY5" s="234"/>
      <c r="QBZ5" s="234"/>
      <c r="QCA5" s="234"/>
      <c r="QCB5" s="234"/>
      <c r="QCC5" s="234"/>
      <c r="QCD5" s="234"/>
      <c r="QCE5" s="234"/>
      <c r="QCF5" s="234"/>
      <c r="QCG5" s="234"/>
      <c r="QCH5" s="234"/>
      <c r="QCI5" s="234"/>
      <c r="QCJ5" s="234"/>
      <c r="QCK5" s="234"/>
      <c r="QCL5" s="234"/>
      <c r="QCM5" s="234"/>
      <c r="QCN5" s="234"/>
      <c r="QCO5" s="234"/>
      <c r="QCP5" s="234"/>
      <c r="QCQ5" s="234"/>
      <c r="QCR5" s="234"/>
      <c r="QCS5" s="234"/>
      <c r="QCT5" s="234"/>
      <c r="QCU5" s="234"/>
      <c r="QCV5" s="234"/>
      <c r="QCW5" s="234"/>
      <c r="QCX5" s="234"/>
      <c r="QCY5" s="234"/>
      <c r="QCZ5" s="234"/>
      <c r="QDA5" s="234"/>
      <c r="QDB5" s="234"/>
      <c r="QDC5" s="234"/>
      <c r="QDD5" s="234"/>
      <c r="QDE5" s="234"/>
      <c r="QDF5" s="234"/>
      <c r="QDG5" s="234"/>
      <c r="QDH5" s="234"/>
      <c r="QDI5" s="234"/>
      <c r="QDJ5" s="234"/>
      <c r="QDK5" s="234"/>
      <c r="QDL5" s="234"/>
      <c r="QDM5" s="234"/>
      <c r="QDN5" s="234"/>
      <c r="QDO5" s="234"/>
      <c r="QDP5" s="234"/>
      <c r="QDQ5" s="234"/>
      <c r="QDR5" s="234"/>
      <c r="QDS5" s="234"/>
      <c r="QDT5" s="234"/>
      <c r="QDU5" s="234"/>
      <c r="QDV5" s="234"/>
      <c r="QDW5" s="234"/>
      <c r="QDX5" s="234"/>
      <c r="QDY5" s="234"/>
      <c r="QDZ5" s="234"/>
      <c r="QEA5" s="234"/>
      <c r="QEB5" s="234"/>
      <c r="QEC5" s="234"/>
      <c r="QED5" s="234"/>
      <c r="QEE5" s="234"/>
      <c r="QEF5" s="234"/>
      <c r="QEG5" s="234"/>
      <c r="QEH5" s="234"/>
      <c r="QEI5" s="234"/>
      <c r="QEJ5" s="234"/>
      <c r="QEK5" s="234"/>
      <c r="QEL5" s="234"/>
      <c r="QEM5" s="234"/>
      <c r="QEN5" s="234"/>
      <c r="QEO5" s="234"/>
      <c r="QEP5" s="234"/>
      <c r="QEQ5" s="234"/>
      <c r="QER5" s="234"/>
      <c r="QES5" s="234"/>
      <c r="QET5" s="234"/>
      <c r="QEU5" s="234"/>
      <c r="QEV5" s="234"/>
      <c r="QEW5" s="234"/>
      <c r="QEX5" s="234"/>
      <c r="QEY5" s="234"/>
      <c r="QEZ5" s="234"/>
      <c r="QFA5" s="234"/>
      <c r="QFB5" s="234"/>
      <c r="QFC5" s="234"/>
      <c r="QFD5" s="234"/>
      <c r="QFE5" s="234"/>
      <c r="QFF5" s="234"/>
      <c r="QFG5" s="234"/>
      <c r="QFH5" s="234"/>
      <c r="QFI5" s="234"/>
      <c r="QFJ5" s="234"/>
      <c r="QFK5" s="234"/>
      <c r="QFL5" s="234"/>
      <c r="QFM5" s="234"/>
      <c r="QFN5" s="234"/>
      <c r="QFO5" s="234"/>
      <c r="QFP5" s="234"/>
      <c r="QFQ5" s="234"/>
      <c r="QFR5" s="234"/>
      <c r="QFS5" s="234"/>
      <c r="QFT5" s="234"/>
      <c r="QFU5" s="234"/>
      <c r="QFV5" s="234"/>
      <c r="QFW5" s="234"/>
      <c r="QFX5" s="234"/>
      <c r="QFY5" s="234"/>
      <c r="QFZ5" s="234"/>
      <c r="QGA5" s="234"/>
      <c r="QGB5" s="234"/>
      <c r="QGC5" s="234"/>
      <c r="QGD5" s="234"/>
      <c r="QGE5" s="234"/>
      <c r="QGF5" s="234"/>
      <c r="QGG5" s="234"/>
      <c r="QGH5" s="234"/>
      <c r="QGI5" s="234"/>
      <c r="QGJ5" s="234"/>
      <c r="QGK5" s="234"/>
      <c r="QGL5" s="234"/>
      <c r="QGM5" s="234"/>
      <c r="QGN5" s="234"/>
      <c r="QGO5" s="234"/>
      <c r="QGP5" s="234"/>
      <c r="QGQ5" s="234"/>
      <c r="QGR5" s="234"/>
      <c r="QGS5" s="234"/>
      <c r="QGT5" s="234"/>
      <c r="QGU5" s="234"/>
      <c r="QGV5" s="234"/>
      <c r="QGW5" s="234"/>
      <c r="QGX5" s="234"/>
      <c r="QGY5" s="234"/>
      <c r="QGZ5" s="234"/>
      <c r="QHA5" s="234"/>
      <c r="QHB5" s="234"/>
      <c r="QHC5" s="234"/>
      <c r="QHD5" s="234"/>
      <c r="QHE5" s="234"/>
      <c r="QHF5" s="234"/>
      <c r="QHG5" s="234"/>
      <c r="QHH5" s="234"/>
      <c r="QHI5" s="234"/>
      <c r="QHJ5" s="234"/>
      <c r="QHK5" s="234"/>
      <c r="QHL5" s="234"/>
      <c r="QHM5" s="234"/>
      <c r="QHN5" s="234"/>
      <c r="QHO5" s="234"/>
      <c r="QHP5" s="234"/>
      <c r="QHQ5" s="234"/>
      <c r="QHR5" s="234"/>
      <c r="QHS5" s="234"/>
      <c r="QHT5" s="234"/>
      <c r="QHU5" s="234"/>
      <c r="QHV5" s="234"/>
      <c r="QHW5" s="234"/>
      <c r="QHX5" s="234"/>
      <c r="QHY5" s="234"/>
      <c r="QHZ5" s="234"/>
      <c r="QIA5" s="234"/>
      <c r="QIB5" s="234"/>
      <c r="QIC5" s="234"/>
      <c r="QID5" s="234"/>
      <c r="QIE5" s="234"/>
      <c r="QIF5" s="234"/>
      <c r="QIG5" s="234"/>
      <c r="QIH5" s="234"/>
      <c r="QII5" s="234"/>
      <c r="QIJ5" s="234"/>
      <c r="QIK5" s="234"/>
      <c r="QIL5" s="234"/>
      <c r="QIM5" s="234"/>
      <c r="QIN5" s="234"/>
      <c r="QIO5" s="234"/>
      <c r="QIP5" s="234"/>
      <c r="QIQ5" s="234"/>
      <c r="QIR5" s="234"/>
      <c r="QIS5" s="234"/>
      <c r="QIT5" s="234"/>
      <c r="QIU5" s="234"/>
      <c r="QIV5" s="234"/>
      <c r="QIW5" s="234"/>
      <c r="QIX5" s="234"/>
      <c r="QIY5" s="234"/>
      <c r="QIZ5" s="234"/>
      <c r="QJA5" s="234"/>
      <c r="QJB5" s="234"/>
      <c r="QJC5" s="234"/>
      <c r="QJD5" s="234"/>
      <c r="QJE5" s="234"/>
      <c r="QJF5" s="234"/>
      <c r="QJG5" s="234"/>
      <c r="QJH5" s="234"/>
      <c r="QJI5" s="234"/>
      <c r="QJJ5" s="234"/>
      <c r="QJK5" s="234"/>
      <c r="QJL5" s="234"/>
      <c r="QJM5" s="234"/>
      <c r="QJN5" s="234"/>
      <c r="QJO5" s="234"/>
      <c r="QJP5" s="234"/>
      <c r="QJQ5" s="234"/>
      <c r="QJR5" s="234"/>
      <c r="QJS5" s="234"/>
      <c r="QJT5" s="234"/>
      <c r="QJU5" s="234"/>
      <c r="QJV5" s="234"/>
      <c r="QJW5" s="234"/>
      <c r="QJX5" s="234"/>
      <c r="QJY5" s="234"/>
      <c r="QJZ5" s="234"/>
      <c r="QKA5" s="234"/>
      <c r="QKB5" s="234"/>
      <c r="QKC5" s="234"/>
      <c r="QKD5" s="234"/>
      <c r="QKE5" s="234"/>
      <c r="QKF5" s="234"/>
      <c r="QKG5" s="234"/>
      <c r="QKH5" s="234"/>
      <c r="QKI5" s="234"/>
      <c r="QKJ5" s="234"/>
      <c r="QKK5" s="234"/>
      <c r="QKL5" s="234"/>
      <c r="QKM5" s="234"/>
      <c r="QKN5" s="234"/>
      <c r="QKO5" s="234"/>
      <c r="QKP5" s="234"/>
      <c r="QKQ5" s="234"/>
      <c r="QKR5" s="234"/>
      <c r="QKS5" s="234"/>
      <c r="QKT5" s="234"/>
      <c r="QKU5" s="234"/>
      <c r="QKV5" s="234"/>
      <c r="QKW5" s="234"/>
      <c r="QKX5" s="234"/>
      <c r="QKY5" s="234"/>
      <c r="QKZ5" s="234"/>
      <c r="QLA5" s="234"/>
      <c r="QLB5" s="234"/>
      <c r="QLC5" s="234"/>
      <c r="QLD5" s="234"/>
      <c r="QLE5" s="234"/>
      <c r="QLF5" s="234"/>
      <c r="QLG5" s="234"/>
      <c r="QLH5" s="234"/>
      <c r="QLI5" s="234"/>
      <c r="QLJ5" s="234"/>
      <c r="QLK5" s="234"/>
      <c r="QLL5" s="234"/>
      <c r="QLM5" s="234"/>
      <c r="QLN5" s="234"/>
      <c r="QLO5" s="234"/>
      <c r="QLP5" s="234"/>
      <c r="QLQ5" s="234"/>
      <c r="QLR5" s="234"/>
      <c r="QLS5" s="234"/>
      <c r="QLT5" s="234"/>
      <c r="QLU5" s="234"/>
      <c r="QLV5" s="234"/>
      <c r="QLW5" s="234"/>
      <c r="QLX5" s="234"/>
      <c r="QLY5" s="234"/>
      <c r="QLZ5" s="234"/>
      <c r="QMA5" s="234"/>
      <c r="QMB5" s="234"/>
      <c r="QMC5" s="234"/>
      <c r="QMD5" s="234"/>
      <c r="QME5" s="234"/>
      <c r="QMF5" s="234"/>
      <c r="QMG5" s="234"/>
      <c r="QMH5" s="234"/>
      <c r="QMI5" s="234"/>
      <c r="QMJ5" s="234"/>
      <c r="QMK5" s="234"/>
      <c r="QML5" s="234"/>
      <c r="QMM5" s="234"/>
      <c r="QMN5" s="234"/>
      <c r="QMO5" s="234"/>
      <c r="QMP5" s="234"/>
      <c r="QMQ5" s="234"/>
      <c r="QMR5" s="234"/>
      <c r="QMS5" s="234"/>
      <c r="QMT5" s="234"/>
      <c r="QMU5" s="234"/>
      <c r="QMV5" s="234"/>
      <c r="QMW5" s="234"/>
      <c r="QMX5" s="234"/>
      <c r="QMY5" s="234"/>
      <c r="QMZ5" s="234"/>
      <c r="QNA5" s="234"/>
      <c r="QNB5" s="234"/>
      <c r="QNC5" s="234"/>
      <c r="QND5" s="234"/>
      <c r="QNE5" s="234"/>
      <c r="QNF5" s="234"/>
      <c r="QNG5" s="234"/>
      <c r="QNH5" s="234"/>
      <c r="QNI5" s="234"/>
      <c r="QNJ5" s="234"/>
      <c r="QNK5" s="234"/>
      <c r="QNL5" s="234"/>
      <c r="QNM5" s="234"/>
      <c r="QNN5" s="234"/>
      <c r="QNO5" s="234"/>
      <c r="QNP5" s="234"/>
      <c r="QNQ5" s="234"/>
      <c r="QNR5" s="234"/>
      <c r="QNS5" s="234"/>
      <c r="QNT5" s="234"/>
      <c r="QNU5" s="234"/>
      <c r="QNV5" s="234"/>
      <c r="QNW5" s="234"/>
      <c r="QNX5" s="234"/>
      <c r="QNY5" s="234"/>
      <c r="QNZ5" s="234"/>
      <c r="QOA5" s="234"/>
      <c r="QOB5" s="234"/>
      <c r="QOC5" s="234"/>
      <c r="QOD5" s="234"/>
      <c r="QOE5" s="234"/>
      <c r="QOF5" s="234"/>
      <c r="QOG5" s="234"/>
      <c r="QOH5" s="234"/>
      <c r="QOI5" s="234"/>
      <c r="QOJ5" s="234"/>
      <c r="QOK5" s="234"/>
      <c r="QOL5" s="234"/>
      <c r="QOM5" s="234"/>
      <c r="QON5" s="234"/>
      <c r="QOO5" s="234"/>
      <c r="QOP5" s="234"/>
      <c r="QOQ5" s="234"/>
      <c r="QOR5" s="234"/>
      <c r="QOS5" s="234"/>
      <c r="QOT5" s="234"/>
      <c r="QOU5" s="234"/>
      <c r="QOV5" s="234"/>
      <c r="QOW5" s="234"/>
      <c r="QOX5" s="234"/>
      <c r="QOY5" s="234"/>
      <c r="QOZ5" s="234"/>
      <c r="QPA5" s="234"/>
      <c r="QPB5" s="234"/>
      <c r="QPC5" s="234"/>
      <c r="QPD5" s="234"/>
      <c r="QPE5" s="234"/>
      <c r="QPF5" s="234"/>
      <c r="QPG5" s="234"/>
      <c r="QPH5" s="234"/>
      <c r="QPI5" s="234"/>
      <c r="QPJ5" s="234"/>
      <c r="QPK5" s="234"/>
      <c r="QPL5" s="234"/>
      <c r="QPM5" s="234"/>
      <c r="QPN5" s="234"/>
      <c r="QPO5" s="234"/>
      <c r="QPP5" s="234"/>
      <c r="QPQ5" s="234"/>
      <c r="QPR5" s="234"/>
      <c r="QPS5" s="234"/>
      <c r="QPT5" s="234"/>
      <c r="QPU5" s="234"/>
      <c r="QPV5" s="234"/>
      <c r="QPW5" s="234"/>
      <c r="QPX5" s="234"/>
      <c r="QPY5" s="234"/>
      <c r="QPZ5" s="234"/>
      <c r="QQA5" s="234"/>
      <c r="QQB5" s="234"/>
      <c r="QQC5" s="234"/>
      <c r="QQD5" s="234"/>
      <c r="QQE5" s="234"/>
      <c r="QQF5" s="234"/>
      <c r="QQG5" s="234"/>
      <c r="QQH5" s="234"/>
      <c r="QQI5" s="234"/>
      <c r="QQJ5" s="234"/>
      <c r="QQK5" s="234"/>
      <c r="QQL5" s="234"/>
      <c r="QQM5" s="234"/>
      <c r="QQN5" s="234"/>
      <c r="QQO5" s="234"/>
      <c r="QQP5" s="234"/>
      <c r="QQQ5" s="234"/>
      <c r="QQR5" s="234"/>
      <c r="QQS5" s="234"/>
      <c r="QQT5" s="234"/>
      <c r="QQU5" s="234"/>
      <c r="QQV5" s="234"/>
      <c r="QQW5" s="234"/>
      <c r="QQX5" s="234"/>
      <c r="QQY5" s="234"/>
      <c r="QQZ5" s="234"/>
      <c r="QRA5" s="234"/>
      <c r="QRB5" s="234"/>
      <c r="QRC5" s="234"/>
      <c r="QRD5" s="234"/>
      <c r="QRE5" s="234"/>
      <c r="QRF5" s="234"/>
      <c r="QRG5" s="234"/>
      <c r="QRH5" s="234"/>
      <c r="QRI5" s="234"/>
      <c r="QRJ5" s="234"/>
      <c r="QRK5" s="234"/>
      <c r="QRL5" s="234"/>
      <c r="QRM5" s="234"/>
      <c r="QRN5" s="234"/>
      <c r="QRO5" s="234"/>
      <c r="QRP5" s="234"/>
      <c r="QRQ5" s="234"/>
      <c r="QRR5" s="234"/>
      <c r="QRS5" s="234"/>
      <c r="QRT5" s="234"/>
      <c r="QRU5" s="234"/>
      <c r="QRV5" s="234"/>
      <c r="QRW5" s="234"/>
      <c r="QRX5" s="234"/>
      <c r="QRY5" s="234"/>
      <c r="QRZ5" s="234"/>
      <c r="QSA5" s="234"/>
      <c r="QSB5" s="234"/>
      <c r="QSC5" s="234"/>
      <c r="QSD5" s="234"/>
      <c r="QSE5" s="234"/>
      <c r="QSF5" s="234"/>
      <c r="QSG5" s="234"/>
      <c r="QSH5" s="234"/>
      <c r="QSI5" s="234"/>
      <c r="QSJ5" s="234"/>
      <c r="QSK5" s="234"/>
      <c r="QSL5" s="234"/>
      <c r="QSM5" s="234"/>
      <c r="QSN5" s="234"/>
      <c r="QSO5" s="234"/>
      <c r="QSP5" s="234"/>
      <c r="QSQ5" s="234"/>
      <c r="QSR5" s="234"/>
      <c r="QSS5" s="234"/>
      <c r="QST5" s="234"/>
      <c r="QSU5" s="234"/>
      <c r="QSV5" s="234"/>
      <c r="QSW5" s="234"/>
      <c r="QSX5" s="234"/>
      <c r="QSY5" s="234"/>
      <c r="QSZ5" s="234"/>
      <c r="QTA5" s="234"/>
      <c r="QTB5" s="234"/>
      <c r="QTC5" s="234"/>
      <c r="QTD5" s="234"/>
      <c r="QTE5" s="234"/>
      <c r="QTF5" s="234"/>
      <c r="QTG5" s="234"/>
      <c r="QTH5" s="234"/>
      <c r="QTI5" s="234"/>
      <c r="QTJ5" s="234"/>
      <c r="QTK5" s="234"/>
      <c r="QTL5" s="234"/>
      <c r="QTM5" s="234"/>
      <c r="QTN5" s="234"/>
      <c r="QTO5" s="234"/>
      <c r="QTP5" s="234"/>
      <c r="QTQ5" s="234"/>
      <c r="QTR5" s="234"/>
      <c r="QTS5" s="234"/>
      <c r="QTT5" s="234"/>
      <c r="QTU5" s="234"/>
      <c r="QTV5" s="234"/>
      <c r="QTW5" s="234"/>
      <c r="QTX5" s="234"/>
      <c r="QTY5" s="234"/>
      <c r="QTZ5" s="234"/>
      <c r="QUA5" s="234"/>
      <c r="QUB5" s="234"/>
      <c r="QUC5" s="234"/>
      <c r="QUD5" s="234"/>
      <c r="QUE5" s="234"/>
      <c r="QUF5" s="234"/>
      <c r="QUG5" s="234"/>
      <c r="QUH5" s="234"/>
      <c r="QUI5" s="234"/>
      <c r="QUJ5" s="234"/>
      <c r="QUK5" s="234"/>
      <c r="QUL5" s="234"/>
      <c r="QUM5" s="234"/>
      <c r="QUN5" s="234"/>
      <c r="QUO5" s="234"/>
      <c r="QUP5" s="234"/>
      <c r="QUQ5" s="234"/>
      <c r="QUR5" s="234"/>
      <c r="QUS5" s="234"/>
      <c r="QUT5" s="234"/>
      <c r="QUU5" s="234"/>
      <c r="QUV5" s="234"/>
      <c r="QUW5" s="234"/>
      <c r="QUX5" s="234"/>
      <c r="QUY5" s="234"/>
      <c r="QUZ5" s="234"/>
      <c r="QVA5" s="234"/>
      <c r="QVB5" s="234"/>
      <c r="QVC5" s="234"/>
      <c r="QVD5" s="234"/>
      <c r="QVE5" s="234"/>
      <c r="QVF5" s="234"/>
      <c r="QVG5" s="234"/>
      <c r="QVH5" s="234"/>
      <c r="QVI5" s="234"/>
      <c r="QVJ5" s="234"/>
      <c r="QVK5" s="234"/>
      <c r="QVL5" s="234"/>
      <c r="QVM5" s="234"/>
      <c r="QVN5" s="234"/>
      <c r="QVO5" s="234"/>
      <c r="QVP5" s="234"/>
      <c r="QVQ5" s="234"/>
      <c r="QVR5" s="234"/>
      <c r="QVS5" s="234"/>
      <c r="QVT5" s="234"/>
      <c r="QVU5" s="234"/>
      <c r="QVV5" s="234"/>
      <c r="QVW5" s="234"/>
      <c r="QVX5" s="234"/>
      <c r="QVY5" s="234"/>
      <c r="QVZ5" s="234"/>
      <c r="QWA5" s="234"/>
      <c r="QWB5" s="234"/>
      <c r="QWC5" s="234"/>
      <c r="QWD5" s="234"/>
      <c r="QWE5" s="234"/>
      <c r="QWF5" s="234"/>
      <c r="QWG5" s="234"/>
      <c r="QWH5" s="234"/>
      <c r="QWI5" s="234"/>
      <c r="QWJ5" s="234"/>
      <c r="QWK5" s="234"/>
      <c r="QWL5" s="234"/>
      <c r="QWM5" s="234"/>
      <c r="QWN5" s="234"/>
      <c r="QWO5" s="234"/>
      <c r="QWP5" s="234"/>
      <c r="QWQ5" s="234"/>
      <c r="QWR5" s="234"/>
      <c r="QWS5" s="234"/>
      <c r="QWT5" s="234"/>
      <c r="QWU5" s="234"/>
      <c r="QWV5" s="234"/>
      <c r="QWW5" s="234"/>
      <c r="QWX5" s="234"/>
      <c r="QWY5" s="234"/>
      <c r="QWZ5" s="234"/>
      <c r="QXA5" s="234"/>
      <c r="QXB5" s="234"/>
      <c r="QXC5" s="234"/>
      <c r="QXD5" s="234"/>
      <c r="QXE5" s="234"/>
      <c r="QXF5" s="234"/>
      <c r="QXG5" s="234"/>
      <c r="QXH5" s="234"/>
      <c r="QXI5" s="234"/>
      <c r="QXJ5" s="234"/>
      <c r="QXK5" s="234"/>
      <c r="QXL5" s="234"/>
      <c r="QXM5" s="234"/>
      <c r="QXN5" s="234"/>
      <c r="QXO5" s="234"/>
      <c r="QXP5" s="234"/>
      <c r="QXQ5" s="234"/>
      <c r="QXR5" s="234"/>
      <c r="QXS5" s="234"/>
      <c r="QXT5" s="234"/>
      <c r="QXU5" s="234"/>
      <c r="QXV5" s="234"/>
      <c r="QXW5" s="234"/>
      <c r="QXX5" s="234"/>
      <c r="QXY5" s="234"/>
      <c r="QXZ5" s="234"/>
      <c r="QYA5" s="234"/>
      <c r="QYB5" s="234"/>
      <c r="QYC5" s="234"/>
      <c r="QYD5" s="234"/>
      <c r="QYE5" s="234"/>
      <c r="QYF5" s="234"/>
      <c r="QYG5" s="234"/>
      <c r="QYH5" s="234"/>
      <c r="QYI5" s="234"/>
      <c r="QYJ5" s="234"/>
      <c r="QYK5" s="234"/>
      <c r="QYL5" s="234"/>
      <c r="QYM5" s="234"/>
      <c r="QYN5" s="234"/>
      <c r="QYO5" s="234"/>
      <c r="QYP5" s="234"/>
      <c r="QYQ5" s="234"/>
      <c r="QYR5" s="234"/>
      <c r="QYS5" s="234"/>
      <c r="QYT5" s="234"/>
      <c r="QYU5" s="234"/>
      <c r="QYV5" s="234"/>
      <c r="QYW5" s="234"/>
      <c r="QYX5" s="234"/>
      <c r="QYY5" s="234"/>
      <c r="QYZ5" s="234"/>
      <c r="QZA5" s="234"/>
      <c r="QZB5" s="234"/>
      <c r="QZC5" s="234"/>
      <c r="QZD5" s="234"/>
      <c r="QZE5" s="234"/>
      <c r="QZF5" s="234"/>
      <c r="QZG5" s="234"/>
      <c r="QZH5" s="234"/>
      <c r="QZI5" s="234"/>
      <c r="QZJ5" s="234"/>
      <c r="QZK5" s="234"/>
      <c r="QZL5" s="234"/>
      <c r="QZM5" s="234"/>
      <c r="QZN5" s="234"/>
      <c r="QZO5" s="234"/>
      <c r="QZP5" s="234"/>
      <c r="QZQ5" s="234"/>
      <c r="QZR5" s="234"/>
      <c r="QZS5" s="234"/>
      <c r="QZT5" s="234"/>
      <c r="QZU5" s="234"/>
      <c r="QZV5" s="234"/>
      <c r="QZW5" s="234"/>
      <c r="QZX5" s="234"/>
      <c r="QZY5" s="234"/>
      <c r="QZZ5" s="234"/>
      <c r="RAA5" s="234"/>
      <c r="RAB5" s="234"/>
      <c r="RAC5" s="234"/>
      <c r="RAD5" s="234"/>
      <c r="RAE5" s="234"/>
      <c r="RAF5" s="234"/>
      <c r="RAG5" s="234"/>
      <c r="RAH5" s="234"/>
      <c r="RAI5" s="234"/>
      <c r="RAJ5" s="234"/>
      <c r="RAK5" s="234"/>
      <c r="RAL5" s="234"/>
      <c r="RAM5" s="234"/>
      <c r="RAN5" s="234"/>
      <c r="RAO5" s="234"/>
      <c r="RAP5" s="234"/>
      <c r="RAQ5" s="234"/>
      <c r="RAR5" s="234"/>
      <c r="RAS5" s="234"/>
      <c r="RAT5" s="234"/>
      <c r="RAU5" s="234"/>
      <c r="RAV5" s="234"/>
      <c r="RAW5" s="234"/>
      <c r="RAX5" s="234"/>
      <c r="RAY5" s="234"/>
      <c r="RAZ5" s="234"/>
      <c r="RBA5" s="234"/>
      <c r="RBB5" s="234"/>
      <c r="RBC5" s="234"/>
      <c r="RBD5" s="234"/>
      <c r="RBE5" s="234"/>
      <c r="RBF5" s="234"/>
      <c r="RBG5" s="234"/>
      <c r="RBH5" s="234"/>
      <c r="RBI5" s="234"/>
      <c r="RBJ5" s="234"/>
      <c r="RBK5" s="234"/>
      <c r="RBL5" s="234"/>
      <c r="RBM5" s="234"/>
      <c r="RBN5" s="234"/>
      <c r="RBO5" s="234"/>
      <c r="RBP5" s="234"/>
      <c r="RBQ5" s="234"/>
      <c r="RBR5" s="234"/>
      <c r="RBS5" s="234"/>
      <c r="RBT5" s="234"/>
      <c r="RBU5" s="234"/>
      <c r="RBV5" s="234"/>
      <c r="RBW5" s="234"/>
      <c r="RBX5" s="234"/>
      <c r="RBY5" s="234"/>
      <c r="RBZ5" s="234"/>
      <c r="RCA5" s="234"/>
      <c r="RCB5" s="234"/>
      <c r="RCC5" s="234"/>
      <c r="RCD5" s="234"/>
      <c r="RCE5" s="234"/>
      <c r="RCF5" s="234"/>
      <c r="RCG5" s="234"/>
      <c r="RCH5" s="234"/>
      <c r="RCI5" s="234"/>
      <c r="RCJ5" s="234"/>
      <c r="RCK5" s="234"/>
      <c r="RCL5" s="234"/>
      <c r="RCM5" s="234"/>
      <c r="RCN5" s="234"/>
      <c r="RCO5" s="234"/>
      <c r="RCP5" s="234"/>
      <c r="RCQ5" s="234"/>
      <c r="RCR5" s="234"/>
      <c r="RCS5" s="234"/>
      <c r="RCT5" s="234"/>
      <c r="RCU5" s="234"/>
      <c r="RCV5" s="234"/>
      <c r="RCW5" s="234"/>
      <c r="RCX5" s="234"/>
      <c r="RCY5" s="234"/>
      <c r="RCZ5" s="234"/>
      <c r="RDA5" s="234"/>
      <c r="RDB5" s="234"/>
      <c r="RDC5" s="234"/>
      <c r="RDD5" s="234"/>
      <c r="RDE5" s="234"/>
      <c r="RDF5" s="234"/>
      <c r="RDG5" s="234"/>
      <c r="RDH5" s="234"/>
      <c r="RDI5" s="234"/>
      <c r="RDJ5" s="234"/>
      <c r="RDK5" s="234"/>
      <c r="RDL5" s="234"/>
      <c r="RDM5" s="234"/>
      <c r="RDN5" s="234"/>
      <c r="RDO5" s="234"/>
      <c r="RDP5" s="234"/>
      <c r="RDQ5" s="234"/>
      <c r="RDR5" s="234"/>
      <c r="RDS5" s="234"/>
      <c r="RDT5" s="234"/>
      <c r="RDU5" s="234"/>
      <c r="RDV5" s="234"/>
      <c r="RDW5" s="234"/>
      <c r="RDX5" s="234"/>
      <c r="RDY5" s="234"/>
      <c r="RDZ5" s="234"/>
      <c r="REA5" s="234"/>
      <c r="REB5" s="234"/>
      <c r="REC5" s="234"/>
      <c r="RED5" s="234"/>
      <c r="REE5" s="234"/>
      <c r="REF5" s="234"/>
      <c r="REG5" s="234"/>
      <c r="REH5" s="234"/>
      <c r="REI5" s="234"/>
      <c r="REJ5" s="234"/>
      <c r="REK5" s="234"/>
      <c r="REL5" s="234"/>
      <c r="REM5" s="234"/>
      <c r="REN5" s="234"/>
      <c r="REO5" s="234"/>
      <c r="REP5" s="234"/>
      <c r="REQ5" s="234"/>
      <c r="RER5" s="234"/>
      <c r="RES5" s="234"/>
      <c r="RET5" s="234"/>
      <c r="REU5" s="234"/>
      <c r="REV5" s="234"/>
      <c r="REW5" s="234"/>
      <c r="REX5" s="234"/>
      <c r="REY5" s="234"/>
      <c r="REZ5" s="234"/>
      <c r="RFA5" s="234"/>
      <c r="RFB5" s="234"/>
      <c r="RFC5" s="234"/>
      <c r="RFD5" s="234"/>
      <c r="RFE5" s="234"/>
      <c r="RFF5" s="234"/>
      <c r="RFG5" s="234"/>
      <c r="RFH5" s="234"/>
      <c r="RFI5" s="234"/>
      <c r="RFJ5" s="234"/>
      <c r="RFK5" s="234"/>
      <c r="RFL5" s="234"/>
      <c r="RFM5" s="234"/>
      <c r="RFN5" s="234"/>
      <c r="RFO5" s="234"/>
      <c r="RFP5" s="234"/>
      <c r="RFQ5" s="234"/>
      <c r="RFR5" s="234"/>
      <c r="RFS5" s="234"/>
      <c r="RFT5" s="234"/>
      <c r="RFU5" s="234"/>
      <c r="RFV5" s="234"/>
      <c r="RFW5" s="234"/>
      <c r="RFX5" s="234"/>
      <c r="RFY5" s="234"/>
      <c r="RFZ5" s="234"/>
      <c r="RGA5" s="234"/>
      <c r="RGB5" s="234"/>
      <c r="RGC5" s="234"/>
      <c r="RGD5" s="234"/>
      <c r="RGE5" s="234"/>
      <c r="RGF5" s="234"/>
      <c r="RGG5" s="234"/>
      <c r="RGH5" s="234"/>
      <c r="RGI5" s="234"/>
      <c r="RGJ5" s="234"/>
      <c r="RGK5" s="234"/>
      <c r="RGL5" s="234"/>
      <c r="RGM5" s="234"/>
      <c r="RGN5" s="234"/>
      <c r="RGO5" s="234"/>
      <c r="RGP5" s="234"/>
      <c r="RGQ5" s="234"/>
      <c r="RGR5" s="234"/>
      <c r="RGS5" s="234"/>
      <c r="RGT5" s="234"/>
      <c r="RGU5" s="234"/>
      <c r="RGV5" s="234"/>
      <c r="RGW5" s="234"/>
      <c r="RGX5" s="234"/>
      <c r="RGY5" s="234"/>
      <c r="RGZ5" s="234"/>
      <c r="RHA5" s="234"/>
      <c r="RHB5" s="234"/>
      <c r="RHC5" s="234"/>
      <c r="RHD5" s="234"/>
      <c r="RHE5" s="234"/>
      <c r="RHF5" s="234"/>
      <c r="RHG5" s="234"/>
      <c r="RHH5" s="234"/>
      <c r="RHI5" s="234"/>
      <c r="RHJ5" s="234"/>
      <c r="RHK5" s="234"/>
      <c r="RHL5" s="234"/>
      <c r="RHM5" s="234"/>
      <c r="RHN5" s="234"/>
      <c r="RHO5" s="234"/>
      <c r="RHP5" s="234"/>
      <c r="RHQ5" s="234"/>
      <c r="RHR5" s="234"/>
      <c r="RHS5" s="234"/>
      <c r="RHT5" s="234"/>
      <c r="RHU5" s="234"/>
      <c r="RHV5" s="234"/>
      <c r="RHW5" s="234"/>
      <c r="RHX5" s="234"/>
      <c r="RHY5" s="234"/>
      <c r="RHZ5" s="234"/>
      <c r="RIA5" s="234"/>
      <c r="RIB5" s="234"/>
      <c r="RIC5" s="234"/>
      <c r="RID5" s="234"/>
      <c r="RIE5" s="234"/>
      <c r="RIF5" s="234"/>
      <c r="RIG5" s="234"/>
      <c r="RIH5" s="234"/>
      <c r="RII5" s="234"/>
      <c r="RIJ5" s="234"/>
      <c r="RIK5" s="234"/>
      <c r="RIL5" s="234"/>
      <c r="RIM5" s="234"/>
      <c r="RIN5" s="234"/>
      <c r="RIO5" s="234"/>
      <c r="RIP5" s="234"/>
      <c r="RIQ5" s="234"/>
      <c r="RIR5" s="234"/>
      <c r="RIS5" s="234"/>
      <c r="RIT5" s="234"/>
      <c r="RIU5" s="234"/>
      <c r="RIV5" s="234"/>
      <c r="RIW5" s="234"/>
      <c r="RIX5" s="234"/>
      <c r="RIY5" s="234"/>
      <c r="RIZ5" s="234"/>
      <c r="RJA5" s="234"/>
      <c r="RJB5" s="234"/>
      <c r="RJC5" s="234"/>
      <c r="RJD5" s="234"/>
      <c r="RJE5" s="234"/>
      <c r="RJF5" s="234"/>
      <c r="RJG5" s="234"/>
      <c r="RJH5" s="234"/>
      <c r="RJI5" s="234"/>
      <c r="RJJ5" s="234"/>
      <c r="RJK5" s="234"/>
      <c r="RJL5" s="234"/>
      <c r="RJM5" s="234"/>
      <c r="RJN5" s="234"/>
      <c r="RJO5" s="234"/>
      <c r="RJP5" s="234"/>
      <c r="RJQ5" s="234"/>
      <c r="RJR5" s="234"/>
      <c r="RJS5" s="234"/>
      <c r="RJT5" s="234"/>
      <c r="RJU5" s="234"/>
      <c r="RJV5" s="234"/>
      <c r="RJW5" s="234"/>
      <c r="RJX5" s="234"/>
      <c r="RJY5" s="234"/>
      <c r="RJZ5" s="234"/>
      <c r="RKA5" s="234"/>
      <c r="RKB5" s="234"/>
      <c r="RKC5" s="234"/>
      <c r="RKD5" s="234"/>
      <c r="RKE5" s="234"/>
      <c r="RKF5" s="234"/>
      <c r="RKG5" s="234"/>
      <c r="RKH5" s="234"/>
      <c r="RKI5" s="234"/>
      <c r="RKJ5" s="234"/>
      <c r="RKK5" s="234"/>
      <c r="RKL5" s="234"/>
      <c r="RKM5" s="234"/>
      <c r="RKN5" s="234"/>
      <c r="RKO5" s="234"/>
      <c r="RKP5" s="234"/>
      <c r="RKQ5" s="234"/>
      <c r="RKR5" s="234"/>
      <c r="RKS5" s="234"/>
      <c r="RKT5" s="234"/>
      <c r="RKU5" s="234"/>
      <c r="RKV5" s="234"/>
      <c r="RKW5" s="234"/>
      <c r="RKX5" s="234"/>
      <c r="RKY5" s="234"/>
      <c r="RKZ5" s="234"/>
      <c r="RLA5" s="234"/>
      <c r="RLB5" s="234"/>
      <c r="RLC5" s="234"/>
      <c r="RLD5" s="234"/>
      <c r="RLE5" s="234"/>
      <c r="RLF5" s="234"/>
      <c r="RLG5" s="234"/>
      <c r="RLH5" s="234"/>
      <c r="RLI5" s="234"/>
      <c r="RLJ5" s="234"/>
      <c r="RLK5" s="234"/>
      <c r="RLL5" s="234"/>
      <c r="RLM5" s="234"/>
      <c r="RLN5" s="234"/>
      <c r="RLO5" s="234"/>
      <c r="RLP5" s="234"/>
      <c r="RLQ5" s="234"/>
      <c r="RLR5" s="234"/>
      <c r="RLS5" s="234"/>
      <c r="RLT5" s="234"/>
      <c r="RLU5" s="234"/>
      <c r="RLV5" s="234"/>
      <c r="RLW5" s="234"/>
      <c r="RLX5" s="234"/>
      <c r="RLY5" s="234"/>
      <c r="RLZ5" s="234"/>
      <c r="RMA5" s="234"/>
      <c r="RMB5" s="234"/>
      <c r="RMC5" s="234"/>
      <c r="RMD5" s="234"/>
      <c r="RME5" s="234"/>
      <c r="RMF5" s="234"/>
      <c r="RMG5" s="234"/>
      <c r="RMH5" s="234"/>
      <c r="RMI5" s="234"/>
      <c r="RMJ5" s="234"/>
      <c r="RMK5" s="234"/>
      <c r="RML5" s="234"/>
      <c r="RMM5" s="234"/>
      <c r="RMN5" s="234"/>
      <c r="RMO5" s="234"/>
      <c r="RMP5" s="234"/>
      <c r="RMQ5" s="234"/>
      <c r="RMR5" s="234"/>
      <c r="RMS5" s="234"/>
      <c r="RMT5" s="234"/>
      <c r="RMU5" s="234"/>
      <c r="RMV5" s="234"/>
      <c r="RMW5" s="234"/>
      <c r="RMX5" s="234"/>
      <c r="RMY5" s="234"/>
      <c r="RMZ5" s="234"/>
      <c r="RNA5" s="234"/>
      <c r="RNB5" s="234"/>
      <c r="RNC5" s="234"/>
      <c r="RND5" s="234"/>
      <c r="RNE5" s="234"/>
      <c r="RNF5" s="234"/>
      <c r="RNG5" s="234"/>
      <c r="RNH5" s="234"/>
      <c r="RNI5" s="234"/>
      <c r="RNJ5" s="234"/>
      <c r="RNK5" s="234"/>
      <c r="RNL5" s="234"/>
      <c r="RNM5" s="234"/>
      <c r="RNN5" s="234"/>
      <c r="RNO5" s="234"/>
      <c r="RNP5" s="234"/>
      <c r="RNQ5" s="234"/>
      <c r="RNR5" s="234"/>
      <c r="RNS5" s="234"/>
      <c r="RNT5" s="234"/>
      <c r="RNU5" s="234"/>
      <c r="RNV5" s="234"/>
      <c r="RNW5" s="234"/>
      <c r="RNX5" s="234"/>
      <c r="RNY5" s="234"/>
      <c r="RNZ5" s="234"/>
      <c r="ROA5" s="234"/>
      <c r="ROB5" s="234"/>
      <c r="ROC5" s="234"/>
      <c r="ROD5" s="234"/>
      <c r="ROE5" s="234"/>
      <c r="ROF5" s="234"/>
      <c r="ROG5" s="234"/>
      <c r="ROH5" s="234"/>
      <c r="ROI5" s="234"/>
      <c r="ROJ5" s="234"/>
      <c r="ROK5" s="234"/>
      <c r="ROL5" s="234"/>
      <c r="ROM5" s="234"/>
      <c r="RON5" s="234"/>
      <c r="ROO5" s="234"/>
      <c r="ROP5" s="234"/>
      <c r="ROQ5" s="234"/>
      <c r="ROR5" s="234"/>
      <c r="ROS5" s="234"/>
      <c r="ROT5" s="234"/>
      <c r="ROU5" s="234"/>
      <c r="ROV5" s="234"/>
      <c r="ROW5" s="234"/>
      <c r="ROX5" s="234"/>
      <c r="ROY5" s="234"/>
      <c r="ROZ5" s="234"/>
      <c r="RPA5" s="234"/>
      <c r="RPB5" s="234"/>
      <c r="RPC5" s="234"/>
      <c r="RPD5" s="234"/>
      <c r="RPE5" s="234"/>
      <c r="RPF5" s="234"/>
      <c r="RPG5" s="234"/>
      <c r="RPH5" s="234"/>
      <c r="RPI5" s="234"/>
      <c r="RPJ5" s="234"/>
      <c r="RPK5" s="234"/>
      <c r="RPL5" s="234"/>
      <c r="RPM5" s="234"/>
      <c r="RPN5" s="234"/>
      <c r="RPO5" s="234"/>
      <c r="RPP5" s="234"/>
      <c r="RPQ5" s="234"/>
      <c r="RPR5" s="234"/>
      <c r="RPS5" s="234"/>
      <c r="RPT5" s="234"/>
      <c r="RPU5" s="234"/>
      <c r="RPV5" s="234"/>
      <c r="RPW5" s="234"/>
      <c r="RPX5" s="234"/>
      <c r="RPY5" s="234"/>
      <c r="RPZ5" s="234"/>
      <c r="RQA5" s="234"/>
      <c r="RQB5" s="234"/>
      <c r="RQC5" s="234"/>
      <c r="RQD5" s="234"/>
      <c r="RQE5" s="234"/>
      <c r="RQF5" s="234"/>
      <c r="RQG5" s="234"/>
      <c r="RQH5" s="234"/>
      <c r="RQI5" s="234"/>
      <c r="RQJ5" s="234"/>
      <c r="RQK5" s="234"/>
      <c r="RQL5" s="234"/>
      <c r="RQM5" s="234"/>
      <c r="RQN5" s="234"/>
      <c r="RQO5" s="234"/>
      <c r="RQP5" s="234"/>
      <c r="RQQ5" s="234"/>
      <c r="RQR5" s="234"/>
      <c r="RQS5" s="234"/>
      <c r="RQT5" s="234"/>
      <c r="RQU5" s="234"/>
      <c r="RQV5" s="234"/>
      <c r="RQW5" s="234"/>
      <c r="RQX5" s="234"/>
      <c r="RQY5" s="234"/>
      <c r="RQZ5" s="234"/>
      <c r="RRA5" s="234"/>
      <c r="RRB5" s="234"/>
      <c r="RRC5" s="234"/>
      <c r="RRD5" s="234"/>
      <c r="RRE5" s="234"/>
      <c r="RRF5" s="234"/>
      <c r="RRG5" s="234"/>
      <c r="RRH5" s="234"/>
      <c r="RRI5" s="234"/>
      <c r="RRJ5" s="234"/>
      <c r="RRK5" s="234"/>
      <c r="RRL5" s="234"/>
      <c r="RRM5" s="234"/>
      <c r="RRN5" s="234"/>
      <c r="RRO5" s="234"/>
      <c r="RRP5" s="234"/>
      <c r="RRQ5" s="234"/>
      <c r="RRR5" s="234"/>
      <c r="RRS5" s="234"/>
      <c r="RRT5" s="234"/>
      <c r="RRU5" s="234"/>
      <c r="RRV5" s="234"/>
      <c r="RRW5" s="234"/>
      <c r="RRX5" s="234"/>
      <c r="RRY5" s="234"/>
      <c r="RRZ5" s="234"/>
      <c r="RSA5" s="234"/>
      <c r="RSB5" s="234"/>
      <c r="RSC5" s="234"/>
      <c r="RSD5" s="234"/>
      <c r="RSE5" s="234"/>
      <c r="RSF5" s="234"/>
      <c r="RSG5" s="234"/>
      <c r="RSH5" s="234"/>
      <c r="RSI5" s="234"/>
      <c r="RSJ5" s="234"/>
      <c r="RSK5" s="234"/>
      <c r="RSL5" s="234"/>
      <c r="RSM5" s="234"/>
      <c r="RSN5" s="234"/>
      <c r="RSO5" s="234"/>
      <c r="RSP5" s="234"/>
      <c r="RSQ5" s="234"/>
      <c r="RSR5" s="234"/>
      <c r="RSS5" s="234"/>
      <c r="RST5" s="234"/>
      <c r="RSU5" s="234"/>
      <c r="RSV5" s="234"/>
      <c r="RSW5" s="234"/>
      <c r="RSX5" s="234"/>
      <c r="RSY5" s="234"/>
      <c r="RSZ5" s="234"/>
      <c r="RTA5" s="234"/>
      <c r="RTB5" s="234"/>
      <c r="RTC5" s="234"/>
      <c r="RTD5" s="234"/>
      <c r="RTE5" s="234"/>
      <c r="RTF5" s="234"/>
      <c r="RTG5" s="234"/>
      <c r="RTH5" s="234"/>
      <c r="RTI5" s="234"/>
      <c r="RTJ5" s="234"/>
      <c r="RTK5" s="234"/>
      <c r="RTL5" s="234"/>
      <c r="RTM5" s="234"/>
      <c r="RTN5" s="234"/>
      <c r="RTO5" s="234"/>
      <c r="RTP5" s="234"/>
      <c r="RTQ5" s="234"/>
      <c r="RTR5" s="234"/>
      <c r="RTS5" s="234"/>
      <c r="RTT5" s="234"/>
      <c r="RTU5" s="234"/>
      <c r="RTV5" s="234"/>
      <c r="RTW5" s="234"/>
      <c r="RTX5" s="234"/>
      <c r="RTY5" s="234"/>
      <c r="RTZ5" s="234"/>
      <c r="RUA5" s="234"/>
      <c r="RUB5" s="234"/>
      <c r="RUC5" s="234"/>
      <c r="RUD5" s="234"/>
      <c r="RUE5" s="234"/>
      <c r="RUF5" s="234"/>
      <c r="RUG5" s="234"/>
      <c r="RUH5" s="234"/>
      <c r="RUI5" s="234"/>
      <c r="RUJ5" s="234"/>
      <c r="RUK5" s="234"/>
      <c r="RUL5" s="234"/>
      <c r="RUM5" s="234"/>
      <c r="RUN5" s="234"/>
      <c r="RUO5" s="234"/>
      <c r="RUP5" s="234"/>
      <c r="RUQ5" s="234"/>
      <c r="RUR5" s="234"/>
      <c r="RUS5" s="234"/>
      <c r="RUT5" s="234"/>
      <c r="RUU5" s="234"/>
      <c r="RUV5" s="234"/>
      <c r="RUW5" s="234"/>
      <c r="RUX5" s="234"/>
      <c r="RUY5" s="234"/>
      <c r="RUZ5" s="234"/>
      <c r="RVA5" s="234"/>
      <c r="RVB5" s="234"/>
      <c r="RVC5" s="234"/>
      <c r="RVD5" s="234"/>
      <c r="RVE5" s="234"/>
      <c r="RVF5" s="234"/>
      <c r="RVG5" s="234"/>
      <c r="RVH5" s="234"/>
      <c r="RVI5" s="234"/>
      <c r="RVJ5" s="234"/>
      <c r="RVK5" s="234"/>
      <c r="RVL5" s="234"/>
      <c r="RVM5" s="234"/>
      <c r="RVN5" s="234"/>
      <c r="RVO5" s="234"/>
      <c r="RVP5" s="234"/>
      <c r="RVQ5" s="234"/>
      <c r="RVR5" s="234"/>
      <c r="RVS5" s="234"/>
      <c r="RVT5" s="234"/>
      <c r="RVU5" s="234"/>
      <c r="RVV5" s="234"/>
      <c r="RVW5" s="234"/>
      <c r="RVX5" s="234"/>
      <c r="RVY5" s="234"/>
      <c r="RVZ5" s="234"/>
      <c r="RWA5" s="234"/>
      <c r="RWB5" s="234"/>
      <c r="RWC5" s="234"/>
      <c r="RWD5" s="234"/>
      <c r="RWE5" s="234"/>
      <c r="RWF5" s="234"/>
      <c r="RWG5" s="234"/>
      <c r="RWH5" s="234"/>
      <c r="RWI5" s="234"/>
      <c r="RWJ5" s="234"/>
      <c r="RWK5" s="234"/>
      <c r="RWL5" s="234"/>
      <c r="RWM5" s="234"/>
      <c r="RWN5" s="234"/>
      <c r="RWO5" s="234"/>
      <c r="RWP5" s="234"/>
      <c r="RWQ5" s="234"/>
      <c r="RWR5" s="234"/>
      <c r="RWS5" s="234"/>
      <c r="RWT5" s="234"/>
      <c r="RWU5" s="234"/>
      <c r="RWV5" s="234"/>
      <c r="RWW5" s="234"/>
      <c r="RWX5" s="234"/>
      <c r="RWY5" s="234"/>
      <c r="RWZ5" s="234"/>
      <c r="RXA5" s="234"/>
      <c r="RXB5" s="234"/>
      <c r="RXC5" s="234"/>
      <c r="RXD5" s="234"/>
      <c r="RXE5" s="234"/>
      <c r="RXF5" s="234"/>
      <c r="RXG5" s="234"/>
      <c r="RXH5" s="234"/>
      <c r="RXI5" s="234"/>
      <c r="RXJ5" s="234"/>
      <c r="RXK5" s="234"/>
      <c r="RXL5" s="234"/>
      <c r="RXM5" s="234"/>
      <c r="RXN5" s="234"/>
      <c r="RXO5" s="234"/>
      <c r="RXP5" s="234"/>
      <c r="RXQ5" s="234"/>
      <c r="RXR5" s="234"/>
      <c r="RXS5" s="234"/>
      <c r="RXT5" s="234"/>
      <c r="RXU5" s="234"/>
      <c r="RXV5" s="234"/>
      <c r="RXW5" s="234"/>
      <c r="RXX5" s="234"/>
      <c r="RXY5" s="234"/>
      <c r="RXZ5" s="234"/>
      <c r="RYA5" s="234"/>
      <c r="RYB5" s="234"/>
      <c r="RYC5" s="234"/>
      <c r="RYD5" s="234"/>
      <c r="RYE5" s="234"/>
      <c r="RYF5" s="234"/>
      <c r="RYG5" s="234"/>
      <c r="RYH5" s="234"/>
      <c r="RYI5" s="234"/>
      <c r="RYJ5" s="234"/>
      <c r="RYK5" s="234"/>
      <c r="RYL5" s="234"/>
      <c r="RYM5" s="234"/>
      <c r="RYN5" s="234"/>
      <c r="RYO5" s="234"/>
      <c r="RYP5" s="234"/>
      <c r="RYQ5" s="234"/>
      <c r="RYR5" s="234"/>
      <c r="RYS5" s="234"/>
      <c r="RYT5" s="234"/>
      <c r="RYU5" s="234"/>
      <c r="RYV5" s="234"/>
      <c r="RYW5" s="234"/>
      <c r="RYX5" s="234"/>
      <c r="RYY5" s="234"/>
      <c r="RYZ5" s="234"/>
      <c r="RZA5" s="234"/>
      <c r="RZB5" s="234"/>
      <c r="RZC5" s="234"/>
      <c r="RZD5" s="234"/>
      <c r="RZE5" s="234"/>
      <c r="RZF5" s="234"/>
      <c r="RZG5" s="234"/>
      <c r="RZH5" s="234"/>
      <c r="RZI5" s="234"/>
      <c r="RZJ5" s="234"/>
      <c r="RZK5" s="234"/>
      <c r="RZL5" s="234"/>
      <c r="RZM5" s="234"/>
      <c r="RZN5" s="234"/>
      <c r="RZO5" s="234"/>
      <c r="RZP5" s="234"/>
      <c r="RZQ5" s="234"/>
      <c r="RZR5" s="234"/>
      <c r="RZS5" s="234"/>
      <c r="RZT5" s="234"/>
      <c r="RZU5" s="234"/>
      <c r="RZV5" s="234"/>
      <c r="RZW5" s="234"/>
      <c r="RZX5" s="234"/>
      <c r="RZY5" s="234"/>
      <c r="RZZ5" s="234"/>
      <c r="SAA5" s="234"/>
      <c r="SAB5" s="234"/>
      <c r="SAC5" s="234"/>
      <c r="SAD5" s="234"/>
      <c r="SAE5" s="234"/>
      <c r="SAF5" s="234"/>
      <c r="SAG5" s="234"/>
      <c r="SAH5" s="234"/>
      <c r="SAI5" s="234"/>
      <c r="SAJ5" s="234"/>
      <c r="SAK5" s="234"/>
      <c r="SAL5" s="234"/>
      <c r="SAM5" s="234"/>
      <c r="SAN5" s="234"/>
      <c r="SAO5" s="234"/>
      <c r="SAP5" s="234"/>
      <c r="SAQ5" s="234"/>
      <c r="SAR5" s="234"/>
      <c r="SAS5" s="234"/>
      <c r="SAT5" s="234"/>
      <c r="SAU5" s="234"/>
      <c r="SAV5" s="234"/>
      <c r="SAW5" s="234"/>
      <c r="SAX5" s="234"/>
      <c r="SAY5" s="234"/>
      <c r="SAZ5" s="234"/>
      <c r="SBA5" s="234"/>
      <c r="SBB5" s="234"/>
      <c r="SBC5" s="234"/>
      <c r="SBD5" s="234"/>
      <c r="SBE5" s="234"/>
      <c r="SBF5" s="234"/>
      <c r="SBG5" s="234"/>
      <c r="SBH5" s="234"/>
      <c r="SBI5" s="234"/>
      <c r="SBJ5" s="234"/>
      <c r="SBK5" s="234"/>
      <c r="SBL5" s="234"/>
      <c r="SBM5" s="234"/>
      <c r="SBN5" s="234"/>
      <c r="SBO5" s="234"/>
      <c r="SBP5" s="234"/>
      <c r="SBQ5" s="234"/>
      <c r="SBR5" s="234"/>
      <c r="SBS5" s="234"/>
      <c r="SBT5" s="234"/>
      <c r="SBU5" s="234"/>
      <c r="SBV5" s="234"/>
      <c r="SBW5" s="234"/>
      <c r="SBX5" s="234"/>
      <c r="SBY5" s="234"/>
      <c r="SBZ5" s="234"/>
      <c r="SCA5" s="234"/>
      <c r="SCB5" s="234"/>
      <c r="SCC5" s="234"/>
      <c r="SCD5" s="234"/>
      <c r="SCE5" s="234"/>
      <c r="SCF5" s="234"/>
      <c r="SCG5" s="234"/>
      <c r="SCH5" s="234"/>
      <c r="SCI5" s="234"/>
      <c r="SCJ5" s="234"/>
      <c r="SCK5" s="234"/>
      <c r="SCL5" s="234"/>
      <c r="SCM5" s="234"/>
      <c r="SCN5" s="234"/>
      <c r="SCO5" s="234"/>
      <c r="SCP5" s="234"/>
      <c r="SCQ5" s="234"/>
      <c r="SCR5" s="234"/>
      <c r="SCS5" s="234"/>
      <c r="SCT5" s="234"/>
      <c r="SCU5" s="234"/>
      <c r="SCV5" s="234"/>
      <c r="SCW5" s="234"/>
      <c r="SCX5" s="234"/>
      <c r="SCY5" s="234"/>
      <c r="SCZ5" s="234"/>
      <c r="SDA5" s="234"/>
      <c r="SDB5" s="234"/>
      <c r="SDC5" s="234"/>
      <c r="SDD5" s="234"/>
      <c r="SDE5" s="234"/>
      <c r="SDF5" s="234"/>
      <c r="SDG5" s="234"/>
      <c r="SDH5" s="234"/>
      <c r="SDI5" s="234"/>
      <c r="SDJ5" s="234"/>
      <c r="SDK5" s="234"/>
      <c r="SDL5" s="234"/>
      <c r="SDM5" s="234"/>
      <c r="SDN5" s="234"/>
      <c r="SDO5" s="234"/>
      <c r="SDP5" s="234"/>
      <c r="SDQ5" s="234"/>
      <c r="SDR5" s="234"/>
      <c r="SDS5" s="234"/>
      <c r="SDT5" s="234"/>
      <c r="SDU5" s="234"/>
      <c r="SDV5" s="234"/>
      <c r="SDW5" s="234"/>
      <c r="SDX5" s="234"/>
      <c r="SDY5" s="234"/>
      <c r="SDZ5" s="234"/>
      <c r="SEA5" s="234"/>
      <c r="SEB5" s="234"/>
      <c r="SEC5" s="234"/>
      <c r="SED5" s="234"/>
      <c r="SEE5" s="234"/>
      <c r="SEF5" s="234"/>
      <c r="SEG5" s="234"/>
      <c r="SEH5" s="234"/>
      <c r="SEI5" s="234"/>
      <c r="SEJ5" s="234"/>
      <c r="SEK5" s="234"/>
      <c r="SEL5" s="234"/>
      <c r="SEM5" s="234"/>
      <c r="SEN5" s="234"/>
      <c r="SEO5" s="234"/>
      <c r="SEP5" s="234"/>
      <c r="SEQ5" s="234"/>
      <c r="SER5" s="234"/>
      <c r="SES5" s="234"/>
      <c r="SET5" s="234"/>
      <c r="SEU5" s="234"/>
      <c r="SEV5" s="234"/>
      <c r="SEW5" s="234"/>
      <c r="SEX5" s="234"/>
      <c r="SEY5" s="234"/>
      <c r="SEZ5" s="234"/>
      <c r="SFA5" s="234"/>
      <c r="SFB5" s="234"/>
      <c r="SFC5" s="234"/>
      <c r="SFD5" s="234"/>
      <c r="SFE5" s="234"/>
      <c r="SFF5" s="234"/>
      <c r="SFG5" s="234"/>
      <c r="SFH5" s="234"/>
      <c r="SFI5" s="234"/>
      <c r="SFJ5" s="234"/>
      <c r="SFK5" s="234"/>
      <c r="SFL5" s="234"/>
      <c r="SFM5" s="234"/>
      <c r="SFN5" s="234"/>
      <c r="SFO5" s="234"/>
      <c r="SFP5" s="234"/>
      <c r="SFQ5" s="234"/>
      <c r="SFR5" s="234"/>
      <c r="SFS5" s="234"/>
      <c r="SFT5" s="234"/>
      <c r="SFU5" s="234"/>
      <c r="SFV5" s="234"/>
      <c r="SFW5" s="234"/>
      <c r="SFX5" s="234"/>
      <c r="SFY5" s="234"/>
      <c r="SFZ5" s="234"/>
      <c r="SGA5" s="234"/>
      <c r="SGB5" s="234"/>
      <c r="SGC5" s="234"/>
      <c r="SGD5" s="234"/>
      <c r="SGE5" s="234"/>
      <c r="SGF5" s="234"/>
      <c r="SGG5" s="234"/>
      <c r="SGH5" s="234"/>
      <c r="SGI5" s="234"/>
      <c r="SGJ5" s="234"/>
      <c r="SGK5" s="234"/>
      <c r="SGL5" s="234"/>
      <c r="SGM5" s="234"/>
      <c r="SGN5" s="234"/>
      <c r="SGO5" s="234"/>
      <c r="SGP5" s="234"/>
      <c r="SGQ5" s="234"/>
      <c r="SGR5" s="234"/>
      <c r="SGS5" s="234"/>
      <c r="SGT5" s="234"/>
      <c r="SGU5" s="234"/>
      <c r="SGV5" s="234"/>
      <c r="SGW5" s="234"/>
      <c r="SGX5" s="234"/>
      <c r="SGY5" s="234"/>
      <c r="SGZ5" s="234"/>
      <c r="SHA5" s="234"/>
      <c r="SHB5" s="234"/>
      <c r="SHC5" s="234"/>
      <c r="SHD5" s="234"/>
      <c r="SHE5" s="234"/>
      <c r="SHF5" s="234"/>
      <c r="SHG5" s="234"/>
      <c r="SHH5" s="234"/>
      <c r="SHI5" s="234"/>
      <c r="SHJ5" s="234"/>
      <c r="SHK5" s="234"/>
      <c r="SHL5" s="234"/>
      <c r="SHM5" s="234"/>
      <c r="SHN5" s="234"/>
      <c r="SHO5" s="234"/>
      <c r="SHP5" s="234"/>
      <c r="SHQ5" s="234"/>
      <c r="SHR5" s="234"/>
      <c r="SHS5" s="234"/>
      <c r="SHT5" s="234"/>
      <c r="SHU5" s="234"/>
      <c r="SHV5" s="234"/>
      <c r="SHW5" s="234"/>
      <c r="SHX5" s="234"/>
      <c r="SHY5" s="234"/>
      <c r="SHZ5" s="234"/>
      <c r="SIA5" s="234"/>
      <c r="SIB5" s="234"/>
      <c r="SIC5" s="234"/>
      <c r="SID5" s="234"/>
      <c r="SIE5" s="234"/>
      <c r="SIF5" s="234"/>
      <c r="SIG5" s="234"/>
      <c r="SIH5" s="234"/>
      <c r="SII5" s="234"/>
      <c r="SIJ5" s="234"/>
      <c r="SIK5" s="234"/>
      <c r="SIL5" s="234"/>
      <c r="SIM5" s="234"/>
      <c r="SIN5" s="234"/>
      <c r="SIO5" s="234"/>
      <c r="SIP5" s="234"/>
      <c r="SIQ5" s="234"/>
      <c r="SIR5" s="234"/>
      <c r="SIS5" s="234"/>
      <c r="SIT5" s="234"/>
      <c r="SIU5" s="234"/>
      <c r="SIV5" s="234"/>
      <c r="SIW5" s="234"/>
      <c r="SIX5" s="234"/>
      <c r="SIY5" s="234"/>
      <c r="SIZ5" s="234"/>
      <c r="SJA5" s="234"/>
      <c r="SJB5" s="234"/>
      <c r="SJC5" s="234"/>
      <c r="SJD5" s="234"/>
      <c r="SJE5" s="234"/>
      <c r="SJF5" s="234"/>
      <c r="SJG5" s="234"/>
      <c r="SJH5" s="234"/>
      <c r="SJI5" s="234"/>
      <c r="SJJ5" s="234"/>
      <c r="SJK5" s="234"/>
      <c r="SJL5" s="234"/>
      <c r="SJM5" s="234"/>
      <c r="SJN5" s="234"/>
      <c r="SJO5" s="234"/>
      <c r="SJP5" s="234"/>
      <c r="SJQ5" s="234"/>
      <c r="SJR5" s="234"/>
      <c r="SJS5" s="234"/>
      <c r="SJT5" s="234"/>
      <c r="SJU5" s="234"/>
      <c r="SJV5" s="234"/>
      <c r="SJW5" s="234"/>
      <c r="SJX5" s="234"/>
      <c r="SJY5" s="234"/>
      <c r="SJZ5" s="234"/>
      <c r="SKA5" s="234"/>
      <c r="SKB5" s="234"/>
      <c r="SKC5" s="234"/>
      <c r="SKD5" s="234"/>
      <c r="SKE5" s="234"/>
      <c r="SKF5" s="234"/>
      <c r="SKG5" s="234"/>
      <c r="SKH5" s="234"/>
      <c r="SKI5" s="234"/>
      <c r="SKJ5" s="234"/>
      <c r="SKK5" s="234"/>
      <c r="SKL5" s="234"/>
      <c r="SKM5" s="234"/>
      <c r="SKN5" s="234"/>
      <c r="SKO5" s="234"/>
      <c r="SKP5" s="234"/>
      <c r="SKQ5" s="234"/>
      <c r="SKR5" s="234"/>
      <c r="SKS5" s="234"/>
      <c r="SKT5" s="234"/>
      <c r="SKU5" s="234"/>
      <c r="SKV5" s="234"/>
      <c r="SKW5" s="234"/>
      <c r="SKX5" s="234"/>
      <c r="SKY5" s="234"/>
      <c r="SKZ5" s="234"/>
      <c r="SLA5" s="234"/>
      <c r="SLB5" s="234"/>
      <c r="SLC5" s="234"/>
      <c r="SLD5" s="234"/>
      <c r="SLE5" s="234"/>
      <c r="SLF5" s="234"/>
      <c r="SLG5" s="234"/>
      <c r="SLH5" s="234"/>
      <c r="SLI5" s="234"/>
      <c r="SLJ5" s="234"/>
      <c r="SLK5" s="234"/>
      <c r="SLL5" s="234"/>
      <c r="SLM5" s="234"/>
      <c r="SLN5" s="234"/>
      <c r="SLO5" s="234"/>
      <c r="SLP5" s="234"/>
      <c r="SLQ5" s="234"/>
      <c r="SLR5" s="234"/>
      <c r="SLS5" s="234"/>
      <c r="SLT5" s="234"/>
      <c r="SLU5" s="234"/>
      <c r="SLV5" s="234"/>
      <c r="SLW5" s="234"/>
      <c r="SLX5" s="234"/>
      <c r="SLY5" s="234"/>
      <c r="SLZ5" s="234"/>
      <c r="SMA5" s="234"/>
      <c r="SMB5" s="234"/>
      <c r="SMC5" s="234"/>
      <c r="SMD5" s="234"/>
      <c r="SME5" s="234"/>
      <c r="SMF5" s="234"/>
      <c r="SMG5" s="234"/>
      <c r="SMH5" s="234"/>
      <c r="SMI5" s="234"/>
      <c r="SMJ5" s="234"/>
      <c r="SMK5" s="234"/>
      <c r="SML5" s="234"/>
      <c r="SMM5" s="234"/>
      <c r="SMN5" s="234"/>
      <c r="SMO5" s="234"/>
      <c r="SMP5" s="234"/>
      <c r="SMQ5" s="234"/>
      <c r="SMR5" s="234"/>
      <c r="SMS5" s="234"/>
      <c r="SMT5" s="234"/>
      <c r="SMU5" s="234"/>
      <c r="SMV5" s="234"/>
      <c r="SMW5" s="234"/>
      <c r="SMX5" s="234"/>
      <c r="SMY5" s="234"/>
      <c r="SMZ5" s="234"/>
      <c r="SNA5" s="234"/>
      <c r="SNB5" s="234"/>
      <c r="SNC5" s="234"/>
      <c r="SND5" s="234"/>
      <c r="SNE5" s="234"/>
      <c r="SNF5" s="234"/>
      <c r="SNG5" s="234"/>
      <c r="SNH5" s="234"/>
      <c r="SNI5" s="234"/>
      <c r="SNJ5" s="234"/>
      <c r="SNK5" s="234"/>
      <c r="SNL5" s="234"/>
      <c r="SNM5" s="234"/>
      <c r="SNN5" s="234"/>
      <c r="SNO5" s="234"/>
      <c r="SNP5" s="234"/>
      <c r="SNQ5" s="234"/>
      <c r="SNR5" s="234"/>
      <c r="SNS5" s="234"/>
      <c r="SNT5" s="234"/>
      <c r="SNU5" s="234"/>
      <c r="SNV5" s="234"/>
      <c r="SNW5" s="234"/>
      <c r="SNX5" s="234"/>
      <c r="SNY5" s="234"/>
      <c r="SNZ5" s="234"/>
      <c r="SOA5" s="234"/>
      <c r="SOB5" s="234"/>
      <c r="SOC5" s="234"/>
      <c r="SOD5" s="234"/>
      <c r="SOE5" s="234"/>
      <c r="SOF5" s="234"/>
      <c r="SOG5" s="234"/>
      <c r="SOH5" s="234"/>
      <c r="SOI5" s="234"/>
      <c r="SOJ5" s="234"/>
      <c r="SOK5" s="234"/>
      <c r="SOL5" s="234"/>
      <c r="SOM5" s="234"/>
      <c r="SON5" s="234"/>
      <c r="SOO5" s="234"/>
      <c r="SOP5" s="234"/>
      <c r="SOQ5" s="234"/>
      <c r="SOR5" s="234"/>
      <c r="SOS5" s="234"/>
      <c r="SOT5" s="234"/>
      <c r="SOU5" s="234"/>
      <c r="SOV5" s="234"/>
      <c r="SOW5" s="234"/>
      <c r="SOX5" s="234"/>
      <c r="SOY5" s="234"/>
      <c r="SOZ5" s="234"/>
      <c r="SPA5" s="234"/>
      <c r="SPB5" s="234"/>
      <c r="SPC5" s="234"/>
      <c r="SPD5" s="234"/>
      <c r="SPE5" s="234"/>
      <c r="SPF5" s="234"/>
      <c r="SPG5" s="234"/>
      <c r="SPH5" s="234"/>
      <c r="SPI5" s="234"/>
      <c r="SPJ5" s="234"/>
      <c r="SPK5" s="234"/>
      <c r="SPL5" s="234"/>
      <c r="SPM5" s="234"/>
      <c r="SPN5" s="234"/>
      <c r="SPO5" s="234"/>
      <c r="SPP5" s="234"/>
      <c r="SPQ5" s="234"/>
      <c r="SPR5" s="234"/>
      <c r="SPS5" s="234"/>
      <c r="SPT5" s="234"/>
      <c r="SPU5" s="234"/>
      <c r="SPV5" s="234"/>
      <c r="SPW5" s="234"/>
      <c r="SPX5" s="234"/>
      <c r="SPY5" s="234"/>
      <c r="SPZ5" s="234"/>
      <c r="SQA5" s="234"/>
      <c r="SQB5" s="234"/>
      <c r="SQC5" s="234"/>
      <c r="SQD5" s="234"/>
      <c r="SQE5" s="234"/>
      <c r="SQF5" s="234"/>
      <c r="SQG5" s="234"/>
      <c r="SQH5" s="234"/>
      <c r="SQI5" s="234"/>
      <c r="SQJ5" s="234"/>
      <c r="SQK5" s="234"/>
      <c r="SQL5" s="234"/>
      <c r="SQM5" s="234"/>
      <c r="SQN5" s="234"/>
      <c r="SQO5" s="234"/>
      <c r="SQP5" s="234"/>
      <c r="SQQ5" s="234"/>
      <c r="SQR5" s="234"/>
      <c r="SQS5" s="234"/>
      <c r="SQT5" s="234"/>
      <c r="SQU5" s="234"/>
      <c r="SQV5" s="234"/>
      <c r="SQW5" s="234"/>
      <c r="SQX5" s="234"/>
      <c r="SQY5" s="234"/>
      <c r="SQZ5" s="234"/>
      <c r="SRA5" s="234"/>
      <c r="SRB5" s="234"/>
      <c r="SRC5" s="234"/>
      <c r="SRD5" s="234"/>
      <c r="SRE5" s="234"/>
      <c r="SRF5" s="234"/>
      <c r="SRG5" s="234"/>
      <c r="SRH5" s="234"/>
      <c r="SRI5" s="234"/>
      <c r="SRJ5" s="234"/>
      <c r="SRK5" s="234"/>
      <c r="SRL5" s="234"/>
      <c r="SRM5" s="234"/>
      <c r="SRN5" s="234"/>
      <c r="SRO5" s="234"/>
      <c r="SRP5" s="234"/>
      <c r="SRQ5" s="234"/>
      <c r="SRR5" s="234"/>
      <c r="SRS5" s="234"/>
      <c r="SRT5" s="234"/>
      <c r="SRU5" s="234"/>
      <c r="SRV5" s="234"/>
      <c r="SRW5" s="234"/>
      <c r="SRX5" s="234"/>
      <c r="SRY5" s="234"/>
      <c r="SRZ5" s="234"/>
      <c r="SSA5" s="234"/>
      <c r="SSB5" s="234"/>
      <c r="SSC5" s="234"/>
      <c r="SSD5" s="234"/>
      <c r="SSE5" s="234"/>
      <c r="SSF5" s="234"/>
      <c r="SSG5" s="234"/>
      <c r="SSH5" s="234"/>
      <c r="SSI5" s="234"/>
      <c r="SSJ5" s="234"/>
      <c r="SSK5" s="234"/>
      <c r="SSL5" s="234"/>
      <c r="SSM5" s="234"/>
      <c r="SSN5" s="234"/>
      <c r="SSO5" s="234"/>
      <c r="SSP5" s="234"/>
      <c r="SSQ5" s="234"/>
      <c r="SSR5" s="234"/>
      <c r="SSS5" s="234"/>
      <c r="SST5" s="234"/>
      <c r="SSU5" s="234"/>
      <c r="SSV5" s="234"/>
      <c r="SSW5" s="234"/>
      <c r="SSX5" s="234"/>
      <c r="SSY5" s="234"/>
      <c r="SSZ5" s="234"/>
      <c r="STA5" s="234"/>
      <c r="STB5" s="234"/>
      <c r="STC5" s="234"/>
      <c r="STD5" s="234"/>
      <c r="STE5" s="234"/>
      <c r="STF5" s="234"/>
      <c r="STG5" s="234"/>
      <c r="STH5" s="234"/>
      <c r="STI5" s="234"/>
      <c r="STJ5" s="234"/>
      <c r="STK5" s="234"/>
      <c r="STL5" s="234"/>
      <c r="STM5" s="234"/>
      <c r="STN5" s="234"/>
      <c r="STO5" s="234"/>
      <c r="STP5" s="234"/>
      <c r="STQ5" s="234"/>
      <c r="STR5" s="234"/>
      <c r="STS5" s="234"/>
      <c r="STT5" s="234"/>
      <c r="STU5" s="234"/>
      <c r="STV5" s="234"/>
      <c r="STW5" s="234"/>
      <c r="STX5" s="234"/>
      <c r="STY5" s="234"/>
      <c r="STZ5" s="234"/>
      <c r="SUA5" s="234"/>
      <c r="SUB5" s="234"/>
      <c r="SUC5" s="234"/>
      <c r="SUD5" s="234"/>
      <c r="SUE5" s="234"/>
      <c r="SUF5" s="234"/>
      <c r="SUG5" s="234"/>
      <c r="SUH5" s="234"/>
      <c r="SUI5" s="234"/>
      <c r="SUJ5" s="234"/>
      <c r="SUK5" s="234"/>
      <c r="SUL5" s="234"/>
      <c r="SUM5" s="234"/>
      <c r="SUN5" s="234"/>
      <c r="SUO5" s="234"/>
      <c r="SUP5" s="234"/>
      <c r="SUQ5" s="234"/>
      <c r="SUR5" s="234"/>
      <c r="SUS5" s="234"/>
      <c r="SUT5" s="234"/>
      <c r="SUU5" s="234"/>
      <c r="SUV5" s="234"/>
      <c r="SUW5" s="234"/>
      <c r="SUX5" s="234"/>
      <c r="SUY5" s="234"/>
      <c r="SUZ5" s="234"/>
      <c r="SVA5" s="234"/>
      <c r="SVB5" s="234"/>
      <c r="SVC5" s="234"/>
      <c r="SVD5" s="234"/>
      <c r="SVE5" s="234"/>
      <c r="SVF5" s="234"/>
      <c r="SVG5" s="234"/>
      <c r="SVH5" s="234"/>
      <c r="SVI5" s="234"/>
      <c r="SVJ5" s="234"/>
      <c r="SVK5" s="234"/>
      <c r="SVL5" s="234"/>
      <c r="SVM5" s="234"/>
      <c r="SVN5" s="234"/>
      <c r="SVO5" s="234"/>
      <c r="SVP5" s="234"/>
      <c r="SVQ5" s="234"/>
      <c r="SVR5" s="234"/>
      <c r="SVS5" s="234"/>
      <c r="SVT5" s="234"/>
      <c r="SVU5" s="234"/>
      <c r="SVV5" s="234"/>
      <c r="SVW5" s="234"/>
      <c r="SVX5" s="234"/>
      <c r="SVY5" s="234"/>
      <c r="SVZ5" s="234"/>
      <c r="SWA5" s="234"/>
      <c r="SWB5" s="234"/>
      <c r="SWC5" s="234"/>
      <c r="SWD5" s="234"/>
      <c r="SWE5" s="234"/>
      <c r="SWF5" s="234"/>
      <c r="SWG5" s="234"/>
      <c r="SWH5" s="234"/>
      <c r="SWI5" s="234"/>
      <c r="SWJ5" s="234"/>
      <c r="SWK5" s="234"/>
      <c r="SWL5" s="234"/>
      <c r="SWM5" s="234"/>
      <c r="SWN5" s="234"/>
      <c r="SWO5" s="234"/>
      <c r="SWP5" s="234"/>
      <c r="SWQ5" s="234"/>
      <c r="SWR5" s="234"/>
      <c r="SWS5" s="234"/>
      <c r="SWT5" s="234"/>
      <c r="SWU5" s="234"/>
      <c r="SWV5" s="234"/>
      <c r="SWW5" s="234"/>
      <c r="SWX5" s="234"/>
      <c r="SWY5" s="234"/>
      <c r="SWZ5" s="234"/>
      <c r="SXA5" s="234"/>
      <c r="SXB5" s="234"/>
      <c r="SXC5" s="234"/>
      <c r="SXD5" s="234"/>
      <c r="SXE5" s="234"/>
      <c r="SXF5" s="234"/>
      <c r="SXG5" s="234"/>
      <c r="SXH5" s="234"/>
      <c r="SXI5" s="234"/>
      <c r="SXJ5" s="234"/>
      <c r="SXK5" s="234"/>
      <c r="SXL5" s="234"/>
      <c r="SXM5" s="234"/>
      <c r="SXN5" s="234"/>
      <c r="SXO5" s="234"/>
      <c r="SXP5" s="234"/>
      <c r="SXQ5" s="234"/>
      <c r="SXR5" s="234"/>
      <c r="SXS5" s="234"/>
      <c r="SXT5" s="234"/>
      <c r="SXU5" s="234"/>
      <c r="SXV5" s="234"/>
      <c r="SXW5" s="234"/>
      <c r="SXX5" s="234"/>
      <c r="SXY5" s="234"/>
      <c r="SXZ5" s="234"/>
      <c r="SYA5" s="234"/>
      <c r="SYB5" s="234"/>
      <c r="SYC5" s="234"/>
      <c r="SYD5" s="234"/>
      <c r="SYE5" s="234"/>
      <c r="SYF5" s="234"/>
      <c r="SYG5" s="234"/>
      <c r="SYH5" s="234"/>
      <c r="SYI5" s="234"/>
      <c r="SYJ5" s="234"/>
      <c r="SYK5" s="234"/>
      <c r="SYL5" s="234"/>
      <c r="SYM5" s="234"/>
      <c r="SYN5" s="234"/>
      <c r="SYO5" s="234"/>
      <c r="SYP5" s="234"/>
      <c r="SYQ5" s="234"/>
      <c r="SYR5" s="234"/>
      <c r="SYS5" s="234"/>
      <c r="SYT5" s="234"/>
      <c r="SYU5" s="234"/>
      <c r="SYV5" s="234"/>
      <c r="SYW5" s="234"/>
      <c r="SYX5" s="234"/>
      <c r="SYY5" s="234"/>
      <c r="SYZ5" s="234"/>
      <c r="SZA5" s="234"/>
      <c r="SZB5" s="234"/>
      <c r="SZC5" s="234"/>
      <c r="SZD5" s="234"/>
      <c r="SZE5" s="234"/>
      <c r="SZF5" s="234"/>
      <c r="SZG5" s="234"/>
      <c r="SZH5" s="234"/>
      <c r="SZI5" s="234"/>
      <c r="SZJ5" s="234"/>
      <c r="SZK5" s="234"/>
      <c r="SZL5" s="234"/>
      <c r="SZM5" s="234"/>
      <c r="SZN5" s="234"/>
      <c r="SZO5" s="234"/>
      <c r="SZP5" s="234"/>
      <c r="SZQ5" s="234"/>
      <c r="SZR5" s="234"/>
      <c r="SZS5" s="234"/>
      <c r="SZT5" s="234"/>
      <c r="SZU5" s="234"/>
      <c r="SZV5" s="234"/>
      <c r="SZW5" s="234"/>
      <c r="SZX5" s="234"/>
      <c r="SZY5" s="234"/>
      <c r="SZZ5" s="234"/>
      <c r="TAA5" s="234"/>
      <c r="TAB5" s="234"/>
      <c r="TAC5" s="234"/>
      <c r="TAD5" s="234"/>
      <c r="TAE5" s="234"/>
      <c r="TAF5" s="234"/>
      <c r="TAG5" s="234"/>
      <c r="TAH5" s="234"/>
      <c r="TAI5" s="234"/>
      <c r="TAJ5" s="234"/>
      <c r="TAK5" s="234"/>
      <c r="TAL5" s="234"/>
      <c r="TAM5" s="234"/>
      <c r="TAN5" s="234"/>
      <c r="TAO5" s="234"/>
      <c r="TAP5" s="234"/>
      <c r="TAQ5" s="234"/>
      <c r="TAR5" s="234"/>
      <c r="TAS5" s="234"/>
      <c r="TAT5" s="234"/>
      <c r="TAU5" s="234"/>
      <c r="TAV5" s="234"/>
      <c r="TAW5" s="234"/>
      <c r="TAX5" s="234"/>
      <c r="TAY5" s="234"/>
      <c r="TAZ5" s="234"/>
      <c r="TBA5" s="234"/>
      <c r="TBB5" s="234"/>
      <c r="TBC5" s="234"/>
      <c r="TBD5" s="234"/>
      <c r="TBE5" s="234"/>
      <c r="TBF5" s="234"/>
      <c r="TBG5" s="234"/>
      <c r="TBH5" s="234"/>
      <c r="TBI5" s="234"/>
      <c r="TBJ5" s="234"/>
      <c r="TBK5" s="234"/>
      <c r="TBL5" s="234"/>
      <c r="TBM5" s="234"/>
      <c r="TBN5" s="234"/>
      <c r="TBO5" s="234"/>
      <c r="TBP5" s="234"/>
      <c r="TBQ5" s="234"/>
      <c r="TBR5" s="234"/>
      <c r="TBS5" s="234"/>
      <c r="TBT5" s="234"/>
      <c r="TBU5" s="234"/>
      <c r="TBV5" s="234"/>
      <c r="TBW5" s="234"/>
      <c r="TBX5" s="234"/>
      <c r="TBY5" s="234"/>
      <c r="TBZ5" s="234"/>
      <c r="TCA5" s="234"/>
      <c r="TCB5" s="234"/>
      <c r="TCC5" s="234"/>
      <c r="TCD5" s="234"/>
      <c r="TCE5" s="234"/>
      <c r="TCF5" s="234"/>
      <c r="TCG5" s="234"/>
      <c r="TCH5" s="234"/>
      <c r="TCI5" s="234"/>
      <c r="TCJ5" s="234"/>
      <c r="TCK5" s="234"/>
      <c r="TCL5" s="234"/>
      <c r="TCM5" s="234"/>
      <c r="TCN5" s="234"/>
      <c r="TCO5" s="234"/>
      <c r="TCP5" s="234"/>
      <c r="TCQ5" s="234"/>
      <c r="TCR5" s="234"/>
      <c r="TCS5" s="234"/>
      <c r="TCT5" s="234"/>
      <c r="TCU5" s="234"/>
      <c r="TCV5" s="234"/>
      <c r="TCW5" s="234"/>
      <c r="TCX5" s="234"/>
      <c r="TCY5" s="234"/>
      <c r="TCZ5" s="234"/>
      <c r="TDA5" s="234"/>
      <c r="TDB5" s="234"/>
      <c r="TDC5" s="234"/>
      <c r="TDD5" s="234"/>
      <c r="TDE5" s="234"/>
      <c r="TDF5" s="234"/>
      <c r="TDG5" s="234"/>
      <c r="TDH5" s="234"/>
      <c r="TDI5" s="234"/>
      <c r="TDJ5" s="234"/>
      <c r="TDK5" s="234"/>
      <c r="TDL5" s="234"/>
      <c r="TDM5" s="234"/>
      <c r="TDN5" s="234"/>
      <c r="TDO5" s="234"/>
      <c r="TDP5" s="234"/>
      <c r="TDQ5" s="234"/>
      <c r="TDR5" s="234"/>
      <c r="TDS5" s="234"/>
      <c r="TDT5" s="234"/>
      <c r="TDU5" s="234"/>
      <c r="TDV5" s="234"/>
      <c r="TDW5" s="234"/>
      <c r="TDX5" s="234"/>
      <c r="TDY5" s="234"/>
      <c r="TDZ5" s="234"/>
      <c r="TEA5" s="234"/>
      <c r="TEB5" s="234"/>
      <c r="TEC5" s="234"/>
      <c r="TED5" s="234"/>
      <c r="TEE5" s="234"/>
      <c r="TEF5" s="234"/>
      <c r="TEG5" s="234"/>
      <c r="TEH5" s="234"/>
      <c r="TEI5" s="234"/>
      <c r="TEJ5" s="234"/>
      <c r="TEK5" s="234"/>
      <c r="TEL5" s="234"/>
      <c r="TEM5" s="234"/>
      <c r="TEN5" s="234"/>
      <c r="TEO5" s="234"/>
      <c r="TEP5" s="234"/>
      <c r="TEQ5" s="234"/>
      <c r="TER5" s="234"/>
      <c r="TES5" s="234"/>
      <c r="TET5" s="234"/>
      <c r="TEU5" s="234"/>
      <c r="TEV5" s="234"/>
      <c r="TEW5" s="234"/>
      <c r="TEX5" s="234"/>
      <c r="TEY5" s="234"/>
      <c r="TEZ5" s="234"/>
      <c r="TFA5" s="234"/>
      <c r="TFB5" s="234"/>
      <c r="TFC5" s="234"/>
      <c r="TFD5" s="234"/>
      <c r="TFE5" s="234"/>
      <c r="TFF5" s="234"/>
      <c r="TFG5" s="234"/>
      <c r="TFH5" s="234"/>
      <c r="TFI5" s="234"/>
      <c r="TFJ5" s="234"/>
      <c r="TFK5" s="234"/>
      <c r="TFL5" s="234"/>
      <c r="TFM5" s="234"/>
      <c r="TFN5" s="234"/>
      <c r="TFO5" s="234"/>
      <c r="TFP5" s="234"/>
      <c r="TFQ5" s="234"/>
      <c r="TFR5" s="234"/>
      <c r="TFS5" s="234"/>
      <c r="TFT5" s="234"/>
      <c r="TFU5" s="234"/>
      <c r="TFV5" s="234"/>
      <c r="TFW5" s="234"/>
      <c r="TFX5" s="234"/>
      <c r="TFY5" s="234"/>
      <c r="TFZ5" s="234"/>
      <c r="TGA5" s="234"/>
      <c r="TGB5" s="234"/>
      <c r="TGC5" s="234"/>
      <c r="TGD5" s="234"/>
      <c r="TGE5" s="234"/>
      <c r="TGF5" s="234"/>
      <c r="TGG5" s="234"/>
      <c r="TGH5" s="234"/>
      <c r="TGI5" s="234"/>
      <c r="TGJ5" s="234"/>
      <c r="TGK5" s="234"/>
      <c r="TGL5" s="234"/>
      <c r="TGM5" s="234"/>
      <c r="TGN5" s="234"/>
      <c r="TGO5" s="234"/>
      <c r="TGP5" s="234"/>
      <c r="TGQ5" s="234"/>
      <c r="TGR5" s="234"/>
      <c r="TGS5" s="234"/>
      <c r="TGT5" s="234"/>
      <c r="TGU5" s="234"/>
      <c r="TGV5" s="234"/>
      <c r="TGW5" s="234"/>
      <c r="TGX5" s="234"/>
      <c r="TGY5" s="234"/>
      <c r="TGZ5" s="234"/>
      <c r="THA5" s="234"/>
      <c r="THB5" s="234"/>
      <c r="THC5" s="234"/>
      <c r="THD5" s="234"/>
      <c r="THE5" s="234"/>
      <c r="THF5" s="234"/>
      <c r="THG5" s="234"/>
      <c r="THH5" s="234"/>
      <c r="THI5" s="234"/>
      <c r="THJ5" s="234"/>
      <c r="THK5" s="234"/>
      <c r="THL5" s="234"/>
      <c r="THM5" s="234"/>
      <c r="THN5" s="234"/>
      <c r="THO5" s="234"/>
      <c r="THP5" s="234"/>
      <c r="THQ5" s="234"/>
      <c r="THR5" s="234"/>
      <c r="THS5" s="234"/>
      <c r="THT5" s="234"/>
      <c r="THU5" s="234"/>
      <c r="THV5" s="234"/>
      <c r="THW5" s="234"/>
      <c r="THX5" s="234"/>
      <c r="THY5" s="234"/>
      <c r="THZ5" s="234"/>
      <c r="TIA5" s="234"/>
      <c r="TIB5" s="234"/>
      <c r="TIC5" s="234"/>
      <c r="TID5" s="234"/>
      <c r="TIE5" s="234"/>
      <c r="TIF5" s="234"/>
      <c r="TIG5" s="234"/>
      <c r="TIH5" s="234"/>
      <c r="TII5" s="234"/>
      <c r="TIJ5" s="234"/>
      <c r="TIK5" s="234"/>
      <c r="TIL5" s="234"/>
      <c r="TIM5" s="234"/>
      <c r="TIN5" s="234"/>
      <c r="TIO5" s="234"/>
      <c r="TIP5" s="234"/>
      <c r="TIQ5" s="234"/>
      <c r="TIR5" s="234"/>
      <c r="TIS5" s="234"/>
      <c r="TIT5" s="234"/>
      <c r="TIU5" s="234"/>
      <c r="TIV5" s="234"/>
      <c r="TIW5" s="234"/>
      <c r="TIX5" s="234"/>
      <c r="TIY5" s="234"/>
      <c r="TIZ5" s="234"/>
      <c r="TJA5" s="234"/>
      <c r="TJB5" s="234"/>
      <c r="TJC5" s="234"/>
      <c r="TJD5" s="234"/>
      <c r="TJE5" s="234"/>
      <c r="TJF5" s="234"/>
      <c r="TJG5" s="234"/>
      <c r="TJH5" s="234"/>
      <c r="TJI5" s="234"/>
      <c r="TJJ5" s="234"/>
      <c r="TJK5" s="234"/>
      <c r="TJL5" s="234"/>
      <c r="TJM5" s="234"/>
      <c r="TJN5" s="234"/>
      <c r="TJO5" s="234"/>
      <c r="TJP5" s="234"/>
      <c r="TJQ5" s="234"/>
      <c r="TJR5" s="234"/>
      <c r="TJS5" s="234"/>
      <c r="TJT5" s="234"/>
      <c r="TJU5" s="234"/>
      <c r="TJV5" s="234"/>
      <c r="TJW5" s="234"/>
      <c r="TJX5" s="234"/>
      <c r="TJY5" s="234"/>
      <c r="TJZ5" s="234"/>
      <c r="TKA5" s="234"/>
      <c r="TKB5" s="234"/>
      <c r="TKC5" s="234"/>
      <c r="TKD5" s="234"/>
      <c r="TKE5" s="234"/>
      <c r="TKF5" s="234"/>
      <c r="TKG5" s="234"/>
      <c r="TKH5" s="234"/>
      <c r="TKI5" s="234"/>
      <c r="TKJ5" s="234"/>
      <c r="TKK5" s="234"/>
      <c r="TKL5" s="234"/>
      <c r="TKM5" s="234"/>
      <c r="TKN5" s="234"/>
      <c r="TKO5" s="234"/>
      <c r="TKP5" s="234"/>
      <c r="TKQ5" s="234"/>
      <c r="TKR5" s="234"/>
      <c r="TKS5" s="234"/>
      <c r="TKT5" s="234"/>
      <c r="TKU5" s="234"/>
      <c r="TKV5" s="234"/>
      <c r="TKW5" s="234"/>
      <c r="TKX5" s="234"/>
      <c r="TKY5" s="234"/>
      <c r="TKZ5" s="234"/>
      <c r="TLA5" s="234"/>
      <c r="TLB5" s="234"/>
      <c r="TLC5" s="234"/>
      <c r="TLD5" s="234"/>
      <c r="TLE5" s="234"/>
      <c r="TLF5" s="234"/>
      <c r="TLG5" s="234"/>
      <c r="TLH5" s="234"/>
      <c r="TLI5" s="234"/>
      <c r="TLJ5" s="234"/>
      <c r="TLK5" s="234"/>
      <c r="TLL5" s="234"/>
      <c r="TLM5" s="234"/>
      <c r="TLN5" s="234"/>
      <c r="TLO5" s="234"/>
      <c r="TLP5" s="234"/>
      <c r="TLQ5" s="234"/>
      <c r="TLR5" s="234"/>
      <c r="TLS5" s="234"/>
      <c r="TLT5" s="234"/>
      <c r="TLU5" s="234"/>
      <c r="TLV5" s="234"/>
      <c r="TLW5" s="234"/>
      <c r="TLX5" s="234"/>
      <c r="TLY5" s="234"/>
      <c r="TLZ5" s="234"/>
      <c r="TMA5" s="234"/>
      <c r="TMB5" s="234"/>
      <c r="TMC5" s="234"/>
      <c r="TMD5" s="234"/>
      <c r="TME5" s="234"/>
      <c r="TMF5" s="234"/>
      <c r="TMG5" s="234"/>
      <c r="TMH5" s="234"/>
      <c r="TMI5" s="234"/>
      <c r="TMJ5" s="234"/>
      <c r="TMK5" s="234"/>
      <c r="TML5" s="234"/>
      <c r="TMM5" s="234"/>
      <c r="TMN5" s="234"/>
      <c r="TMO5" s="234"/>
      <c r="TMP5" s="234"/>
      <c r="TMQ5" s="234"/>
      <c r="TMR5" s="234"/>
      <c r="TMS5" s="234"/>
      <c r="TMT5" s="234"/>
      <c r="TMU5" s="234"/>
      <c r="TMV5" s="234"/>
      <c r="TMW5" s="234"/>
      <c r="TMX5" s="234"/>
      <c r="TMY5" s="234"/>
      <c r="TMZ5" s="234"/>
      <c r="TNA5" s="234"/>
      <c r="TNB5" s="234"/>
      <c r="TNC5" s="234"/>
      <c r="TND5" s="234"/>
      <c r="TNE5" s="234"/>
      <c r="TNF5" s="234"/>
      <c r="TNG5" s="234"/>
      <c r="TNH5" s="234"/>
      <c r="TNI5" s="234"/>
      <c r="TNJ5" s="234"/>
      <c r="TNK5" s="234"/>
      <c r="TNL5" s="234"/>
      <c r="TNM5" s="234"/>
      <c r="TNN5" s="234"/>
      <c r="TNO5" s="234"/>
      <c r="TNP5" s="234"/>
      <c r="TNQ5" s="234"/>
      <c r="TNR5" s="234"/>
      <c r="TNS5" s="234"/>
      <c r="TNT5" s="234"/>
      <c r="TNU5" s="234"/>
      <c r="TNV5" s="234"/>
      <c r="TNW5" s="234"/>
      <c r="TNX5" s="234"/>
      <c r="TNY5" s="234"/>
      <c r="TNZ5" s="234"/>
      <c r="TOA5" s="234"/>
      <c r="TOB5" s="234"/>
      <c r="TOC5" s="234"/>
      <c r="TOD5" s="234"/>
      <c r="TOE5" s="234"/>
      <c r="TOF5" s="234"/>
      <c r="TOG5" s="234"/>
      <c r="TOH5" s="234"/>
      <c r="TOI5" s="234"/>
      <c r="TOJ5" s="234"/>
      <c r="TOK5" s="234"/>
      <c r="TOL5" s="234"/>
      <c r="TOM5" s="234"/>
      <c r="TON5" s="234"/>
      <c r="TOO5" s="234"/>
      <c r="TOP5" s="234"/>
      <c r="TOQ5" s="234"/>
      <c r="TOR5" s="234"/>
      <c r="TOS5" s="234"/>
      <c r="TOT5" s="234"/>
      <c r="TOU5" s="234"/>
      <c r="TOV5" s="234"/>
      <c r="TOW5" s="234"/>
      <c r="TOX5" s="234"/>
      <c r="TOY5" s="234"/>
      <c r="TOZ5" s="234"/>
      <c r="TPA5" s="234"/>
      <c r="TPB5" s="234"/>
      <c r="TPC5" s="234"/>
      <c r="TPD5" s="234"/>
      <c r="TPE5" s="234"/>
      <c r="TPF5" s="234"/>
      <c r="TPG5" s="234"/>
      <c r="TPH5" s="234"/>
      <c r="TPI5" s="234"/>
      <c r="TPJ5" s="234"/>
      <c r="TPK5" s="234"/>
      <c r="TPL5" s="234"/>
      <c r="TPM5" s="234"/>
      <c r="TPN5" s="234"/>
      <c r="TPO5" s="234"/>
      <c r="TPP5" s="234"/>
      <c r="TPQ5" s="234"/>
      <c r="TPR5" s="234"/>
      <c r="TPS5" s="234"/>
      <c r="TPT5" s="234"/>
      <c r="TPU5" s="234"/>
      <c r="TPV5" s="234"/>
      <c r="TPW5" s="234"/>
      <c r="TPX5" s="234"/>
      <c r="TPY5" s="234"/>
      <c r="TPZ5" s="234"/>
      <c r="TQA5" s="234"/>
      <c r="TQB5" s="234"/>
      <c r="TQC5" s="234"/>
      <c r="TQD5" s="234"/>
      <c r="TQE5" s="234"/>
      <c r="TQF5" s="234"/>
      <c r="TQG5" s="234"/>
      <c r="TQH5" s="234"/>
      <c r="TQI5" s="234"/>
      <c r="TQJ5" s="234"/>
      <c r="TQK5" s="234"/>
      <c r="TQL5" s="234"/>
      <c r="TQM5" s="234"/>
      <c r="TQN5" s="234"/>
      <c r="TQO5" s="234"/>
      <c r="TQP5" s="234"/>
      <c r="TQQ5" s="234"/>
      <c r="TQR5" s="234"/>
      <c r="TQS5" s="234"/>
      <c r="TQT5" s="234"/>
      <c r="TQU5" s="234"/>
      <c r="TQV5" s="234"/>
      <c r="TQW5" s="234"/>
      <c r="TQX5" s="234"/>
      <c r="TQY5" s="234"/>
      <c r="TQZ5" s="234"/>
      <c r="TRA5" s="234"/>
      <c r="TRB5" s="234"/>
      <c r="TRC5" s="234"/>
      <c r="TRD5" s="234"/>
      <c r="TRE5" s="234"/>
      <c r="TRF5" s="234"/>
      <c r="TRG5" s="234"/>
      <c r="TRH5" s="234"/>
      <c r="TRI5" s="234"/>
      <c r="TRJ5" s="234"/>
      <c r="TRK5" s="234"/>
      <c r="TRL5" s="234"/>
      <c r="TRM5" s="234"/>
      <c r="TRN5" s="234"/>
      <c r="TRO5" s="234"/>
      <c r="TRP5" s="234"/>
      <c r="TRQ5" s="234"/>
      <c r="TRR5" s="234"/>
      <c r="TRS5" s="234"/>
      <c r="TRT5" s="234"/>
      <c r="TRU5" s="234"/>
      <c r="TRV5" s="234"/>
      <c r="TRW5" s="234"/>
      <c r="TRX5" s="234"/>
      <c r="TRY5" s="234"/>
      <c r="TRZ5" s="234"/>
      <c r="TSA5" s="234"/>
      <c r="TSB5" s="234"/>
      <c r="TSC5" s="234"/>
      <c r="TSD5" s="234"/>
      <c r="TSE5" s="234"/>
      <c r="TSF5" s="234"/>
      <c r="TSG5" s="234"/>
      <c r="TSH5" s="234"/>
      <c r="TSI5" s="234"/>
      <c r="TSJ5" s="234"/>
      <c r="TSK5" s="234"/>
      <c r="TSL5" s="234"/>
      <c r="TSM5" s="234"/>
      <c r="TSN5" s="234"/>
      <c r="TSO5" s="234"/>
      <c r="TSP5" s="234"/>
      <c r="TSQ5" s="234"/>
      <c r="TSR5" s="234"/>
      <c r="TSS5" s="234"/>
      <c r="TST5" s="234"/>
      <c r="TSU5" s="234"/>
      <c r="TSV5" s="234"/>
      <c r="TSW5" s="234"/>
      <c r="TSX5" s="234"/>
      <c r="TSY5" s="234"/>
      <c r="TSZ5" s="234"/>
      <c r="TTA5" s="234"/>
      <c r="TTB5" s="234"/>
      <c r="TTC5" s="234"/>
      <c r="TTD5" s="234"/>
      <c r="TTE5" s="234"/>
      <c r="TTF5" s="234"/>
      <c r="TTG5" s="234"/>
      <c r="TTH5" s="234"/>
      <c r="TTI5" s="234"/>
      <c r="TTJ5" s="234"/>
      <c r="TTK5" s="234"/>
      <c r="TTL5" s="234"/>
      <c r="TTM5" s="234"/>
      <c r="TTN5" s="234"/>
      <c r="TTO5" s="234"/>
      <c r="TTP5" s="234"/>
      <c r="TTQ5" s="234"/>
      <c r="TTR5" s="234"/>
      <c r="TTS5" s="234"/>
      <c r="TTT5" s="234"/>
      <c r="TTU5" s="234"/>
      <c r="TTV5" s="234"/>
      <c r="TTW5" s="234"/>
      <c r="TTX5" s="234"/>
      <c r="TTY5" s="234"/>
      <c r="TTZ5" s="234"/>
      <c r="TUA5" s="234"/>
      <c r="TUB5" s="234"/>
      <c r="TUC5" s="234"/>
      <c r="TUD5" s="234"/>
      <c r="TUE5" s="234"/>
      <c r="TUF5" s="234"/>
      <c r="TUG5" s="234"/>
      <c r="TUH5" s="234"/>
      <c r="TUI5" s="234"/>
      <c r="TUJ5" s="234"/>
      <c r="TUK5" s="234"/>
      <c r="TUL5" s="234"/>
      <c r="TUM5" s="234"/>
      <c r="TUN5" s="234"/>
      <c r="TUO5" s="234"/>
      <c r="TUP5" s="234"/>
      <c r="TUQ5" s="234"/>
      <c r="TUR5" s="234"/>
      <c r="TUS5" s="234"/>
      <c r="TUT5" s="234"/>
      <c r="TUU5" s="234"/>
      <c r="TUV5" s="234"/>
      <c r="TUW5" s="234"/>
      <c r="TUX5" s="234"/>
      <c r="TUY5" s="234"/>
      <c r="TUZ5" s="234"/>
      <c r="TVA5" s="234"/>
      <c r="TVB5" s="234"/>
      <c r="TVC5" s="234"/>
      <c r="TVD5" s="234"/>
      <c r="TVE5" s="234"/>
      <c r="TVF5" s="234"/>
      <c r="TVG5" s="234"/>
      <c r="TVH5" s="234"/>
      <c r="TVI5" s="234"/>
      <c r="TVJ5" s="234"/>
      <c r="TVK5" s="234"/>
      <c r="TVL5" s="234"/>
      <c r="TVM5" s="234"/>
      <c r="TVN5" s="234"/>
      <c r="TVO5" s="234"/>
      <c r="TVP5" s="234"/>
      <c r="TVQ5" s="234"/>
      <c r="TVR5" s="234"/>
      <c r="TVS5" s="234"/>
      <c r="TVT5" s="234"/>
      <c r="TVU5" s="234"/>
      <c r="TVV5" s="234"/>
      <c r="TVW5" s="234"/>
      <c r="TVX5" s="234"/>
      <c r="TVY5" s="234"/>
      <c r="TVZ5" s="234"/>
      <c r="TWA5" s="234"/>
      <c r="TWB5" s="234"/>
      <c r="TWC5" s="234"/>
      <c r="TWD5" s="234"/>
      <c r="TWE5" s="234"/>
      <c r="TWF5" s="234"/>
      <c r="TWG5" s="234"/>
      <c r="TWH5" s="234"/>
      <c r="TWI5" s="234"/>
      <c r="TWJ5" s="234"/>
      <c r="TWK5" s="234"/>
      <c r="TWL5" s="234"/>
      <c r="TWM5" s="234"/>
      <c r="TWN5" s="234"/>
      <c r="TWO5" s="234"/>
      <c r="TWP5" s="234"/>
      <c r="TWQ5" s="234"/>
      <c r="TWR5" s="234"/>
      <c r="TWS5" s="234"/>
      <c r="TWT5" s="234"/>
      <c r="TWU5" s="234"/>
      <c r="TWV5" s="234"/>
      <c r="TWW5" s="234"/>
      <c r="TWX5" s="234"/>
      <c r="TWY5" s="234"/>
      <c r="TWZ5" s="234"/>
      <c r="TXA5" s="234"/>
      <c r="TXB5" s="234"/>
      <c r="TXC5" s="234"/>
      <c r="TXD5" s="234"/>
      <c r="TXE5" s="234"/>
      <c r="TXF5" s="234"/>
      <c r="TXG5" s="234"/>
      <c r="TXH5" s="234"/>
      <c r="TXI5" s="234"/>
      <c r="TXJ5" s="234"/>
      <c r="TXK5" s="234"/>
      <c r="TXL5" s="234"/>
      <c r="TXM5" s="234"/>
      <c r="TXN5" s="234"/>
      <c r="TXO5" s="234"/>
      <c r="TXP5" s="234"/>
      <c r="TXQ5" s="234"/>
      <c r="TXR5" s="234"/>
      <c r="TXS5" s="234"/>
      <c r="TXT5" s="234"/>
      <c r="TXU5" s="234"/>
      <c r="TXV5" s="234"/>
      <c r="TXW5" s="234"/>
      <c r="TXX5" s="234"/>
      <c r="TXY5" s="234"/>
      <c r="TXZ5" s="234"/>
      <c r="TYA5" s="234"/>
      <c r="TYB5" s="234"/>
      <c r="TYC5" s="234"/>
      <c r="TYD5" s="234"/>
      <c r="TYE5" s="234"/>
      <c r="TYF5" s="234"/>
      <c r="TYG5" s="234"/>
      <c r="TYH5" s="234"/>
      <c r="TYI5" s="234"/>
      <c r="TYJ5" s="234"/>
      <c r="TYK5" s="234"/>
      <c r="TYL5" s="234"/>
      <c r="TYM5" s="234"/>
      <c r="TYN5" s="234"/>
      <c r="TYO5" s="234"/>
      <c r="TYP5" s="234"/>
      <c r="TYQ5" s="234"/>
      <c r="TYR5" s="234"/>
      <c r="TYS5" s="234"/>
      <c r="TYT5" s="234"/>
      <c r="TYU5" s="234"/>
      <c r="TYV5" s="234"/>
      <c r="TYW5" s="234"/>
      <c r="TYX5" s="234"/>
      <c r="TYY5" s="234"/>
      <c r="TYZ5" s="234"/>
      <c r="TZA5" s="234"/>
      <c r="TZB5" s="234"/>
      <c r="TZC5" s="234"/>
      <c r="TZD5" s="234"/>
      <c r="TZE5" s="234"/>
      <c r="TZF5" s="234"/>
      <c r="TZG5" s="234"/>
      <c r="TZH5" s="234"/>
      <c r="TZI5" s="234"/>
      <c r="TZJ5" s="234"/>
      <c r="TZK5" s="234"/>
      <c r="TZL5" s="234"/>
      <c r="TZM5" s="234"/>
      <c r="TZN5" s="234"/>
      <c r="TZO5" s="234"/>
      <c r="TZP5" s="234"/>
      <c r="TZQ5" s="234"/>
      <c r="TZR5" s="234"/>
      <c r="TZS5" s="234"/>
      <c r="TZT5" s="234"/>
      <c r="TZU5" s="234"/>
      <c r="TZV5" s="234"/>
      <c r="TZW5" s="234"/>
      <c r="TZX5" s="234"/>
      <c r="TZY5" s="234"/>
      <c r="TZZ5" s="234"/>
      <c r="UAA5" s="234"/>
      <c r="UAB5" s="234"/>
      <c r="UAC5" s="234"/>
      <c r="UAD5" s="234"/>
      <c r="UAE5" s="234"/>
      <c r="UAF5" s="234"/>
      <c r="UAG5" s="234"/>
      <c r="UAH5" s="234"/>
      <c r="UAI5" s="234"/>
      <c r="UAJ5" s="234"/>
      <c r="UAK5" s="234"/>
      <c r="UAL5" s="234"/>
      <c r="UAM5" s="234"/>
      <c r="UAN5" s="234"/>
      <c r="UAO5" s="234"/>
      <c r="UAP5" s="234"/>
      <c r="UAQ5" s="234"/>
      <c r="UAR5" s="234"/>
      <c r="UAS5" s="234"/>
      <c r="UAT5" s="234"/>
      <c r="UAU5" s="234"/>
      <c r="UAV5" s="234"/>
      <c r="UAW5" s="234"/>
      <c r="UAX5" s="234"/>
      <c r="UAY5" s="234"/>
      <c r="UAZ5" s="234"/>
      <c r="UBA5" s="234"/>
      <c r="UBB5" s="234"/>
      <c r="UBC5" s="234"/>
      <c r="UBD5" s="234"/>
      <c r="UBE5" s="234"/>
      <c r="UBF5" s="234"/>
      <c r="UBG5" s="234"/>
      <c r="UBH5" s="234"/>
      <c r="UBI5" s="234"/>
      <c r="UBJ5" s="234"/>
      <c r="UBK5" s="234"/>
      <c r="UBL5" s="234"/>
      <c r="UBM5" s="234"/>
      <c r="UBN5" s="234"/>
      <c r="UBO5" s="234"/>
      <c r="UBP5" s="234"/>
      <c r="UBQ5" s="234"/>
      <c r="UBR5" s="234"/>
      <c r="UBS5" s="234"/>
      <c r="UBT5" s="234"/>
      <c r="UBU5" s="234"/>
      <c r="UBV5" s="234"/>
      <c r="UBW5" s="234"/>
      <c r="UBX5" s="234"/>
      <c r="UBY5" s="234"/>
      <c r="UBZ5" s="234"/>
      <c r="UCA5" s="234"/>
      <c r="UCB5" s="234"/>
      <c r="UCC5" s="234"/>
      <c r="UCD5" s="234"/>
      <c r="UCE5" s="234"/>
      <c r="UCF5" s="234"/>
      <c r="UCG5" s="234"/>
      <c r="UCH5" s="234"/>
      <c r="UCI5" s="234"/>
      <c r="UCJ5" s="234"/>
      <c r="UCK5" s="234"/>
      <c r="UCL5" s="234"/>
      <c r="UCM5" s="234"/>
      <c r="UCN5" s="234"/>
      <c r="UCO5" s="234"/>
      <c r="UCP5" s="234"/>
      <c r="UCQ5" s="234"/>
      <c r="UCR5" s="234"/>
      <c r="UCS5" s="234"/>
      <c r="UCT5" s="234"/>
      <c r="UCU5" s="234"/>
      <c r="UCV5" s="234"/>
      <c r="UCW5" s="234"/>
      <c r="UCX5" s="234"/>
      <c r="UCY5" s="234"/>
      <c r="UCZ5" s="234"/>
      <c r="UDA5" s="234"/>
      <c r="UDB5" s="234"/>
      <c r="UDC5" s="234"/>
      <c r="UDD5" s="234"/>
      <c r="UDE5" s="234"/>
      <c r="UDF5" s="234"/>
      <c r="UDG5" s="234"/>
      <c r="UDH5" s="234"/>
      <c r="UDI5" s="234"/>
      <c r="UDJ5" s="234"/>
      <c r="UDK5" s="234"/>
      <c r="UDL5" s="234"/>
      <c r="UDM5" s="234"/>
      <c r="UDN5" s="234"/>
      <c r="UDO5" s="234"/>
      <c r="UDP5" s="234"/>
      <c r="UDQ5" s="234"/>
      <c r="UDR5" s="234"/>
      <c r="UDS5" s="234"/>
      <c r="UDT5" s="234"/>
      <c r="UDU5" s="234"/>
      <c r="UDV5" s="234"/>
      <c r="UDW5" s="234"/>
      <c r="UDX5" s="234"/>
      <c r="UDY5" s="234"/>
      <c r="UDZ5" s="234"/>
      <c r="UEA5" s="234"/>
      <c r="UEB5" s="234"/>
      <c r="UEC5" s="234"/>
      <c r="UED5" s="234"/>
      <c r="UEE5" s="234"/>
      <c r="UEF5" s="234"/>
      <c r="UEG5" s="234"/>
      <c r="UEH5" s="234"/>
      <c r="UEI5" s="234"/>
      <c r="UEJ5" s="234"/>
      <c r="UEK5" s="234"/>
      <c r="UEL5" s="234"/>
      <c r="UEM5" s="234"/>
      <c r="UEN5" s="234"/>
      <c r="UEO5" s="234"/>
      <c r="UEP5" s="234"/>
      <c r="UEQ5" s="234"/>
      <c r="UER5" s="234"/>
      <c r="UES5" s="234"/>
      <c r="UET5" s="234"/>
      <c r="UEU5" s="234"/>
      <c r="UEV5" s="234"/>
      <c r="UEW5" s="234"/>
      <c r="UEX5" s="234"/>
      <c r="UEY5" s="234"/>
      <c r="UEZ5" s="234"/>
      <c r="UFA5" s="234"/>
      <c r="UFB5" s="234"/>
      <c r="UFC5" s="234"/>
      <c r="UFD5" s="234"/>
      <c r="UFE5" s="234"/>
      <c r="UFF5" s="234"/>
      <c r="UFG5" s="234"/>
      <c r="UFH5" s="234"/>
      <c r="UFI5" s="234"/>
      <c r="UFJ5" s="234"/>
      <c r="UFK5" s="234"/>
      <c r="UFL5" s="234"/>
      <c r="UFM5" s="234"/>
      <c r="UFN5" s="234"/>
      <c r="UFO5" s="234"/>
      <c r="UFP5" s="234"/>
      <c r="UFQ5" s="234"/>
      <c r="UFR5" s="234"/>
      <c r="UFS5" s="234"/>
      <c r="UFT5" s="234"/>
      <c r="UFU5" s="234"/>
      <c r="UFV5" s="234"/>
      <c r="UFW5" s="234"/>
      <c r="UFX5" s="234"/>
      <c r="UFY5" s="234"/>
      <c r="UFZ5" s="234"/>
      <c r="UGA5" s="234"/>
      <c r="UGB5" s="234"/>
      <c r="UGC5" s="234"/>
      <c r="UGD5" s="234"/>
      <c r="UGE5" s="234"/>
      <c r="UGF5" s="234"/>
      <c r="UGG5" s="234"/>
      <c r="UGH5" s="234"/>
      <c r="UGI5" s="234"/>
      <c r="UGJ5" s="234"/>
      <c r="UGK5" s="234"/>
      <c r="UGL5" s="234"/>
      <c r="UGM5" s="234"/>
      <c r="UGN5" s="234"/>
      <c r="UGO5" s="234"/>
      <c r="UGP5" s="234"/>
      <c r="UGQ5" s="234"/>
      <c r="UGR5" s="234"/>
      <c r="UGS5" s="234"/>
      <c r="UGT5" s="234"/>
      <c r="UGU5" s="234"/>
      <c r="UGV5" s="234"/>
      <c r="UGW5" s="234"/>
      <c r="UGX5" s="234"/>
      <c r="UGY5" s="234"/>
      <c r="UGZ5" s="234"/>
      <c r="UHA5" s="234"/>
      <c r="UHB5" s="234"/>
      <c r="UHC5" s="234"/>
      <c r="UHD5" s="234"/>
      <c r="UHE5" s="234"/>
      <c r="UHF5" s="234"/>
      <c r="UHG5" s="234"/>
      <c r="UHH5" s="234"/>
      <c r="UHI5" s="234"/>
      <c r="UHJ5" s="234"/>
      <c r="UHK5" s="234"/>
      <c r="UHL5" s="234"/>
      <c r="UHM5" s="234"/>
      <c r="UHN5" s="234"/>
      <c r="UHO5" s="234"/>
      <c r="UHP5" s="234"/>
      <c r="UHQ5" s="234"/>
      <c r="UHR5" s="234"/>
      <c r="UHS5" s="234"/>
      <c r="UHT5" s="234"/>
      <c r="UHU5" s="234"/>
      <c r="UHV5" s="234"/>
      <c r="UHW5" s="234"/>
      <c r="UHX5" s="234"/>
      <c r="UHY5" s="234"/>
      <c r="UHZ5" s="234"/>
      <c r="UIA5" s="234"/>
      <c r="UIB5" s="234"/>
      <c r="UIC5" s="234"/>
      <c r="UID5" s="234"/>
      <c r="UIE5" s="234"/>
      <c r="UIF5" s="234"/>
      <c r="UIG5" s="234"/>
      <c r="UIH5" s="234"/>
      <c r="UII5" s="234"/>
      <c r="UIJ5" s="234"/>
      <c r="UIK5" s="234"/>
      <c r="UIL5" s="234"/>
      <c r="UIM5" s="234"/>
      <c r="UIN5" s="234"/>
      <c r="UIO5" s="234"/>
      <c r="UIP5" s="234"/>
      <c r="UIQ5" s="234"/>
      <c r="UIR5" s="234"/>
      <c r="UIS5" s="234"/>
      <c r="UIT5" s="234"/>
      <c r="UIU5" s="234"/>
      <c r="UIV5" s="234"/>
      <c r="UIW5" s="234"/>
      <c r="UIX5" s="234"/>
      <c r="UIY5" s="234"/>
      <c r="UIZ5" s="234"/>
      <c r="UJA5" s="234"/>
      <c r="UJB5" s="234"/>
      <c r="UJC5" s="234"/>
      <c r="UJD5" s="234"/>
      <c r="UJE5" s="234"/>
      <c r="UJF5" s="234"/>
      <c r="UJG5" s="234"/>
      <c r="UJH5" s="234"/>
      <c r="UJI5" s="234"/>
      <c r="UJJ5" s="234"/>
      <c r="UJK5" s="234"/>
      <c r="UJL5" s="234"/>
      <c r="UJM5" s="234"/>
      <c r="UJN5" s="234"/>
      <c r="UJO5" s="234"/>
      <c r="UJP5" s="234"/>
      <c r="UJQ5" s="234"/>
      <c r="UJR5" s="234"/>
      <c r="UJS5" s="234"/>
      <c r="UJT5" s="234"/>
      <c r="UJU5" s="234"/>
      <c r="UJV5" s="234"/>
      <c r="UJW5" s="234"/>
      <c r="UJX5" s="234"/>
      <c r="UJY5" s="234"/>
      <c r="UJZ5" s="234"/>
      <c r="UKA5" s="234"/>
      <c r="UKB5" s="234"/>
      <c r="UKC5" s="234"/>
      <c r="UKD5" s="234"/>
      <c r="UKE5" s="234"/>
      <c r="UKF5" s="234"/>
      <c r="UKG5" s="234"/>
      <c r="UKH5" s="234"/>
      <c r="UKI5" s="234"/>
      <c r="UKJ5" s="234"/>
      <c r="UKK5" s="234"/>
      <c r="UKL5" s="234"/>
      <c r="UKM5" s="234"/>
      <c r="UKN5" s="234"/>
      <c r="UKO5" s="234"/>
      <c r="UKP5" s="234"/>
      <c r="UKQ5" s="234"/>
      <c r="UKR5" s="234"/>
      <c r="UKS5" s="234"/>
      <c r="UKT5" s="234"/>
      <c r="UKU5" s="234"/>
      <c r="UKV5" s="234"/>
      <c r="UKW5" s="234"/>
      <c r="UKX5" s="234"/>
      <c r="UKY5" s="234"/>
      <c r="UKZ5" s="234"/>
      <c r="ULA5" s="234"/>
      <c r="ULB5" s="234"/>
      <c r="ULC5" s="234"/>
      <c r="ULD5" s="234"/>
      <c r="ULE5" s="234"/>
      <c r="ULF5" s="234"/>
      <c r="ULG5" s="234"/>
      <c r="ULH5" s="234"/>
      <c r="ULI5" s="234"/>
      <c r="ULJ5" s="234"/>
      <c r="ULK5" s="234"/>
      <c r="ULL5" s="234"/>
      <c r="ULM5" s="234"/>
      <c r="ULN5" s="234"/>
      <c r="ULO5" s="234"/>
      <c r="ULP5" s="234"/>
      <c r="ULQ5" s="234"/>
      <c r="ULR5" s="234"/>
      <c r="ULS5" s="234"/>
      <c r="ULT5" s="234"/>
      <c r="ULU5" s="234"/>
      <c r="ULV5" s="234"/>
      <c r="ULW5" s="234"/>
      <c r="ULX5" s="234"/>
      <c r="ULY5" s="234"/>
      <c r="ULZ5" s="234"/>
      <c r="UMA5" s="234"/>
      <c r="UMB5" s="234"/>
      <c r="UMC5" s="234"/>
      <c r="UMD5" s="234"/>
      <c r="UME5" s="234"/>
      <c r="UMF5" s="234"/>
      <c r="UMG5" s="234"/>
      <c r="UMH5" s="234"/>
      <c r="UMI5" s="234"/>
      <c r="UMJ5" s="234"/>
      <c r="UMK5" s="234"/>
      <c r="UML5" s="234"/>
      <c r="UMM5" s="234"/>
      <c r="UMN5" s="234"/>
      <c r="UMO5" s="234"/>
      <c r="UMP5" s="234"/>
      <c r="UMQ5" s="234"/>
      <c r="UMR5" s="234"/>
      <c r="UMS5" s="234"/>
      <c r="UMT5" s="234"/>
      <c r="UMU5" s="234"/>
      <c r="UMV5" s="234"/>
      <c r="UMW5" s="234"/>
      <c r="UMX5" s="234"/>
      <c r="UMY5" s="234"/>
      <c r="UMZ5" s="234"/>
      <c r="UNA5" s="234"/>
      <c r="UNB5" s="234"/>
      <c r="UNC5" s="234"/>
      <c r="UND5" s="234"/>
      <c r="UNE5" s="234"/>
      <c r="UNF5" s="234"/>
      <c r="UNG5" s="234"/>
      <c r="UNH5" s="234"/>
      <c r="UNI5" s="234"/>
      <c r="UNJ5" s="234"/>
      <c r="UNK5" s="234"/>
      <c r="UNL5" s="234"/>
      <c r="UNM5" s="234"/>
      <c r="UNN5" s="234"/>
      <c r="UNO5" s="234"/>
      <c r="UNP5" s="234"/>
      <c r="UNQ5" s="234"/>
      <c r="UNR5" s="234"/>
      <c r="UNS5" s="234"/>
      <c r="UNT5" s="234"/>
      <c r="UNU5" s="234"/>
      <c r="UNV5" s="234"/>
      <c r="UNW5" s="234"/>
      <c r="UNX5" s="234"/>
      <c r="UNY5" s="234"/>
      <c r="UNZ5" s="234"/>
      <c r="UOA5" s="234"/>
      <c r="UOB5" s="234"/>
      <c r="UOC5" s="234"/>
      <c r="UOD5" s="234"/>
      <c r="UOE5" s="234"/>
      <c r="UOF5" s="234"/>
      <c r="UOG5" s="234"/>
      <c r="UOH5" s="234"/>
      <c r="UOI5" s="234"/>
      <c r="UOJ5" s="234"/>
      <c r="UOK5" s="234"/>
      <c r="UOL5" s="234"/>
      <c r="UOM5" s="234"/>
      <c r="UON5" s="234"/>
      <c r="UOO5" s="234"/>
      <c r="UOP5" s="234"/>
      <c r="UOQ5" s="234"/>
      <c r="UOR5" s="234"/>
      <c r="UOS5" s="234"/>
      <c r="UOT5" s="234"/>
      <c r="UOU5" s="234"/>
      <c r="UOV5" s="234"/>
      <c r="UOW5" s="234"/>
      <c r="UOX5" s="234"/>
      <c r="UOY5" s="234"/>
      <c r="UOZ5" s="234"/>
      <c r="UPA5" s="234"/>
      <c r="UPB5" s="234"/>
      <c r="UPC5" s="234"/>
      <c r="UPD5" s="234"/>
      <c r="UPE5" s="234"/>
      <c r="UPF5" s="234"/>
      <c r="UPG5" s="234"/>
      <c r="UPH5" s="234"/>
      <c r="UPI5" s="234"/>
      <c r="UPJ5" s="234"/>
      <c r="UPK5" s="234"/>
      <c r="UPL5" s="234"/>
      <c r="UPM5" s="234"/>
      <c r="UPN5" s="234"/>
      <c r="UPO5" s="234"/>
      <c r="UPP5" s="234"/>
      <c r="UPQ5" s="234"/>
      <c r="UPR5" s="234"/>
      <c r="UPS5" s="234"/>
      <c r="UPT5" s="234"/>
      <c r="UPU5" s="234"/>
      <c r="UPV5" s="234"/>
      <c r="UPW5" s="234"/>
      <c r="UPX5" s="234"/>
      <c r="UPY5" s="234"/>
      <c r="UPZ5" s="234"/>
      <c r="UQA5" s="234"/>
      <c r="UQB5" s="234"/>
      <c r="UQC5" s="234"/>
      <c r="UQD5" s="234"/>
      <c r="UQE5" s="234"/>
      <c r="UQF5" s="234"/>
      <c r="UQG5" s="234"/>
      <c r="UQH5" s="234"/>
      <c r="UQI5" s="234"/>
      <c r="UQJ5" s="234"/>
      <c r="UQK5" s="234"/>
      <c r="UQL5" s="234"/>
      <c r="UQM5" s="234"/>
      <c r="UQN5" s="234"/>
      <c r="UQO5" s="234"/>
      <c r="UQP5" s="234"/>
      <c r="UQQ5" s="234"/>
      <c r="UQR5" s="234"/>
      <c r="UQS5" s="234"/>
      <c r="UQT5" s="234"/>
      <c r="UQU5" s="234"/>
      <c r="UQV5" s="234"/>
      <c r="UQW5" s="234"/>
      <c r="UQX5" s="234"/>
      <c r="UQY5" s="234"/>
      <c r="UQZ5" s="234"/>
      <c r="URA5" s="234"/>
      <c r="URB5" s="234"/>
      <c r="URC5" s="234"/>
      <c r="URD5" s="234"/>
      <c r="URE5" s="234"/>
      <c r="URF5" s="234"/>
      <c r="URG5" s="234"/>
      <c r="URH5" s="234"/>
      <c r="URI5" s="234"/>
      <c r="URJ5" s="234"/>
      <c r="URK5" s="234"/>
      <c r="URL5" s="234"/>
      <c r="URM5" s="234"/>
      <c r="URN5" s="234"/>
      <c r="URO5" s="234"/>
      <c r="URP5" s="234"/>
      <c r="URQ5" s="234"/>
      <c r="URR5" s="234"/>
      <c r="URS5" s="234"/>
      <c r="URT5" s="234"/>
      <c r="URU5" s="234"/>
      <c r="URV5" s="234"/>
      <c r="URW5" s="234"/>
      <c r="URX5" s="234"/>
      <c r="URY5" s="234"/>
      <c r="URZ5" s="234"/>
      <c r="USA5" s="234"/>
      <c r="USB5" s="234"/>
      <c r="USC5" s="234"/>
      <c r="USD5" s="234"/>
      <c r="USE5" s="234"/>
      <c r="USF5" s="234"/>
      <c r="USG5" s="234"/>
      <c r="USH5" s="234"/>
      <c r="USI5" s="234"/>
      <c r="USJ5" s="234"/>
      <c r="USK5" s="234"/>
      <c r="USL5" s="234"/>
      <c r="USM5" s="234"/>
      <c r="USN5" s="234"/>
      <c r="USO5" s="234"/>
      <c r="USP5" s="234"/>
      <c r="USQ5" s="234"/>
      <c r="USR5" s="234"/>
      <c r="USS5" s="234"/>
      <c r="UST5" s="234"/>
      <c r="USU5" s="234"/>
      <c r="USV5" s="234"/>
      <c r="USW5" s="234"/>
      <c r="USX5" s="234"/>
      <c r="USY5" s="234"/>
      <c r="USZ5" s="234"/>
      <c r="UTA5" s="234"/>
      <c r="UTB5" s="234"/>
      <c r="UTC5" s="234"/>
      <c r="UTD5" s="234"/>
      <c r="UTE5" s="234"/>
      <c r="UTF5" s="234"/>
      <c r="UTG5" s="234"/>
      <c r="UTH5" s="234"/>
      <c r="UTI5" s="234"/>
      <c r="UTJ5" s="234"/>
      <c r="UTK5" s="234"/>
      <c r="UTL5" s="234"/>
      <c r="UTM5" s="234"/>
      <c r="UTN5" s="234"/>
      <c r="UTO5" s="234"/>
      <c r="UTP5" s="234"/>
      <c r="UTQ5" s="234"/>
      <c r="UTR5" s="234"/>
      <c r="UTS5" s="234"/>
      <c r="UTT5" s="234"/>
      <c r="UTU5" s="234"/>
      <c r="UTV5" s="234"/>
      <c r="UTW5" s="234"/>
      <c r="UTX5" s="234"/>
      <c r="UTY5" s="234"/>
      <c r="UTZ5" s="234"/>
      <c r="UUA5" s="234"/>
      <c r="UUB5" s="234"/>
      <c r="UUC5" s="234"/>
      <c r="UUD5" s="234"/>
      <c r="UUE5" s="234"/>
      <c r="UUF5" s="234"/>
      <c r="UUG5" s="234"/>
      <c r="UUH5" s="234"/>
      <c r="UUI5" s="234"/>
      <c r="UUJ5" s="234"/>
      <c r="UUK5" s="234"/>
      <c r="UUL5" s="234"/>
      <c r="UUM5" s="234"/>
      <c r="UUN5" s="234"/>
      <c r="UUO5" s="234"/>
      <c r="UUP5" s="234"/>
      <c r="UUQ5" s="234"/>
      <c r="UUR5" s="234"/>
      <c r="UUS5" s="234"/>
      <c r="UUT5" s="234"/>
      <c r="UUU5" s="234"/>
      <c r="UUV5" s="234"/>
      <c r="UUW5" s="234"/>
      <c r="UUX5" s="234"/>
      <c r="UUY5" s="234"/>
      <c r="UUZ5" s="234"/>
      <c r="UVA5" s="234"/>
      <c r="UVB5" s="234"/>
      <c r="UVC5" s="234"/>
      <c r="UVD5" s="234"/>
      <c r="UVE5" s="234"/>
      <c r="UVF5" s="234"/>
      <c r="UVG5" s="234"/>
      <c r="UVH5" s="234"/>
      <c r="UVI5" s="234"/>
      <c r="UVJ5" s="234"/>
      <c r="UVK5" s="234"/>
      <c r="UVL5" s="234"/>
      <c r="UVM5" s="234"/>
      <c r="UVN5" s="234"/>
      <c r="UVO5" s="234"/>
      <c r="UVP5" s="234"/>
      <c r="UVQ5" s="234"/>
      <c r="UVR5" s="234"/>
      <c r="UVS5" s="234"/>
      <c r="UVT5" s="234"/>
      <c r="UVU5" s="234"/>
      <c r="UVV5" s="234"/>
      <c r="UVW5" s="234"/>
      <c r="UVX5" s="234"/>
      <c r="UVY5" s="234"/>
      <c r="UVZ5" s="234"/>
      <c r="UWA5" s="234"/>
      <c r="UWB5" s="234"/>
      <c r="UWC5" s="234"/>
      <c r="UWD5" s="234"/>
      <c r="UWE5" s="234"/>
      <c r="UWF5" s="234"/>
      <c r="UWG5" s="234"/>
      <c r="UWH5" s="234"/>
      <c r="UWI5" s="234"/>
      <c r="UWJ5" s="234"/>
      <c r="UWK5" s="234"/>
      <c r="UWL5" s="234"/>
      <c r="UWM5" s="234"/>
      <c r="UWN5" s="234"/>
      <c r="UWO5" s="234"/>
      <c r="UWP5" s="234"/>
      <c r="UWQ5" s="234"/>
      <c r="UWR5" s="234"/>
      <c r="UWS5" s="234"/>
      <c r="UWT5" s="234"/>
      <c r="UWU5" s="234"/>
      <c r="UWV5" s="234"/>
      <c r="UWW5" s="234"/>
      <c r="UWX5" s="234"/>
      <c r="UWY5" s="234"/>
      <c r="UWZ5" s="234"/>
      <c r="UXA5" s="234"/>
      <c r="UXB5" s="234"/>
      <c r="UXC5" s="234"/>
      <c r="UXD5" s="234"/>
      <c r="UXE5" s="234"/>
      <c r="UXF5" s="234"/>
      <c r="UXG5" s="234"/>
      <c r="UXH5" s="234"/>
      <c r="UXI5" s="234"/>
      <c r="UXJ5" s="234"/>
      <c r="UXK5" s="234"/>
      <c r="UXL5" s="234"/>
      <c r="UXM5" s="234"/>
      <c r="UXN5" s="234"/>
      <c r="UXO5" s="234"/>
      <c r="UXP5" s="234"/>
      <c r="UXQ5" s="234"/>
      <c r="UXR5" s="234"/>
      <c r="UXS5" s="234"/>
      <c r="UXT5" s="234"/>
      <c r="UXU5" s="234"/>
      <c r="UXV5" s="234"/>
      <c r="UXW5" s="234"/>
      <c r="UXX5" s="234"/>
      <c r="UXY5" s="234"/>
      <c r="UXZ5" s="234"/>
      <c r="UYA5" s="234"/>
      <c r="UYB5" s="234"/>
      <c r="UYC5" s="234"/>
      <c r="UYD5" s="234"/>
      <c r="UYE5" s="234"/>
      <c r="UYF5" s="234"/>
      <c r="UYG5" s="234"/>
      <c r="UYH5" s="234"/>
      <c r="UYI5" s="234"/>
      <c r="UYJ5" s="234"/>
      <c r="UYK5" s="234"/>
      <c r="UYL5" s="234"/>
      <c r="UYM5" s="234"/>
      <c r="UYN5" s="234"/>
      <c r="UYO5" s="234"/>
      <c r="UYP5" s="234"/>
      <c r="UYQ5" s="234"/>
      <c r="UYR5" s="234"/>
      <c r="UYS5" s="234"/>
      <c r="UYT5" s="234"/>
      <c r="UYU5" s="234"/>
      <c r="UYV5" s="234"/>
      <c r="UYW5" s="234"/>
      <c r="UYX5" s="234"/>
      <c r="UYY5" s="234"/>
      <c r="UYZ5" s="234"/>
      <c r="UZA5" s="234"/>
      <c r="UZB5" s="234"/>
      <c r="UZC5" s="234"/>
      <c r="UZD5" s="234"/>
      <c r="UZE5" s="234"/>
      <c r="UZF5" s="234"/>
      <c r="UZG5" s="234"/>
      <c r="UZH5" s="234"/>
      <c r="UZI5" s="234"/>
      <c r="UZJ5" s="234"/>
      <c r="UZK5" s="234"/>
      <c r="UZL5" s="234"/>
      <c r="UZM5" s="234"/>
      <c r="UZN5" s="234"/>
      <c r="UZO5" s="234"/>
      <c r="UZP5" s="234"/>
      <c r="UZQ5" s="234"/>
      <c r="UZR5" s="234"/>
      <c r="UZS5" s="234"/>
      <c r="UZT5" s="234"/>
      <c r="UZU5" s="234"/>
      <c r="UZV5" s="234"/>
      <c r="UZW5" s="234"/>
      <c r="UZX5" s="234"/>
      <c r="UZY5" s="234"/>
      <c r="UZZ5" s="234"/>
      <c r="VAA5" s="234"/>
      <c r="VAB5" s="234"/>
      <c r="VAC5" s="234"/>
      <c r="VAD5" s="234"/>
      <c r="VAE5" s="234"/>
      <c r="VAF5" s="234"/>
      <c r="VAG5" s="234"/>
      <c r="VAH5" s="234"/>
      <c r="VAI5" s="234"/>
      <c r="VAJ5" s="234"/>
      <c r="VAK5" s="234"/>
      <c r="VAL5" s="234"/>
      <c r="VAM5" s="234"/>
      <c r="VAN5" s="234"/>
      <c r="VAO5" s="234"/>
      <c r="VAP5" s="234"/>
      <c r="VAQ5" s="234"/>
      <c r="VAR5" s="234"/>
      <c r="VAS5" s="234"/>
      <c r="VAT5" s="234"/>
      <c r="VAU5" s="234"/>
      <c r="VAV5" s="234"/>
      <c r="VAW5" s="234"/>
      <c r="VAX5" s="234"/>
      <c r="VAY5" s="234"/>
      <c r="VAZ5" s="234"/>
      <c r="VBA5" s="234"/>
      <c r="VBB5" s="234"/>
      <c r="VBC5" s="234"/>
      <c r="VBD5" s="234"/>
      <c r="VBE5" s="234"/>
      <c r="VBF5" s="234"/>
      <c r="VBG5" s="234"/>
      <c r="VBH5" s="234"/>
      <c r="VBI5" s="234"/>
      <c r="VBJ5" s="234"/>
      <c r="VBK5" s="234"/>
      <c r="VBL5" s="234"/>
      <c r="VBM5" s="234"/>
      <c r="VBN5" s="234"/>
      <c r="VBO5" s="234"/>
      <c r="VBP5" s="234"/>
      <c r="VBQ5" s="234"/>
      <c r="VBR5" s="234"/>
      <c r="VBS5" s="234"/>
      <c r="VBT5" s="234"/>
      <c r="VBU5" s="234"/>
      <c r="VBV5" s="234"/>
      <c r="VBW5" s="234"/>
      <c r="VBX5" s="234"/>
      <c r="VBY5" s="234"/>
      <c r="VBZ5" s="234"/>
      <c r="VCA5" s="234"/>
      <c r="VCB5" s="234"/>
      <c r="VCC5" s="234"/>
      <c r="VCD5" s="234"/>
      <c r="VCE5" s="234"/>
      <c r="VCF5" s="234"/>
      <c r="VCG5" s="234"/>
      <c r="VCH5" s="234"/>
      <c r="VCI5" s="234"/>
      <c r="VCJ5" s="234"/>
      <c r="VCK5" s="234"/>
      <c r="VCL5" s="234"/>
      <c r="VCM5" s="234"/>
      <c r="VCN5" s="234"/>
      <c r="VCO5" s="234"/>
      <c r="VCP5" s="234"/>
      <c r="VCQ5" s="234"/>
      <c r="VCR5" s="234"/>
      <c r="VCS5" s="234"/>
      <c r="VCT5" s="234"/>
      <c r="VCU5" s="234"/>
      <c r="VCV5" s="234"/>
      <c r="VCW5" s="234"/>
      <c r="VCX5" s="234"/>
      <c r="VCY5" s="234"/>
      <c r="VCZ5" s="234"/>
      <c r="VDA5" s="234"/>
      <c r="VDB5" s="234"/>
      <c r="VDC5" s="234"/>
      <c r="VDD5" s="234"/>
      <c r="VDE5" s="234"/>
      <c r="VDF5" s="234"/>
      <c r="VDG5" s="234"/>
      <c r="VDH5" s="234"/>
      <c r="VDI5" s="234"/>
      <c r="VDJ5" s="234"/>
      <c r="VDK5" s="234"/>
      <c r="VDL5" s="234"/>
      <c r="VDM5" s="234"/>
      <c r="VDN5" s="234"/>
      <c r="VDO5" s="234"/>
      <c r="VDP5" s="234"/>
      <c r="VDQ5" s="234"/>
      <c r="VDR5" s="234"/>
      <c r="VDS5" s="234"/>
      <c r="VDT5" s="234"/>
      <c r="VDU5" s="234"/>
      <c r="VDV5" s="234"/>
      <c r="VDW5" s="234"/>
      <c r="VDX5" s="234"/>
      <c r="VDY5" s="234"/>
      <c r="VDZ5" s="234"/>
      <c r="VEA5" s="234"/>
      <c r="VEB5" s="234"/>
      <c r="VEC5" s="234"/>
      <c r="VED5" s="234"/>
      <c r="VEE5" s="234"/>
      <c r="VEF5" s="234"/>
      <c r="VEG5" s="234"/>
      <c r="VEH5" s="234"/>
      <c r="VEI5" s="234"/>
      <c r="VEJ5" s="234"/>
      <c r="VEK5" s="234"/>
      <c r="VEL5" s="234"/>
      <c r="VEM5" s="234"/>
      <c r="VEN5" s="234"/>
      <c r="VEO5" s="234"/>
      <c r="VEP5" s="234"/>
      <c r="VEQ5" s="234"/>
      <c r="VER5" s="234"/>
      <c r="VES5" s="234"/>
      <c r="VET5" s="234"/>
      <c r="VEU5" s="234"/>
      <c r="VEV5" s="234"/>
      <c r="VEW5" s="234"/>
      <c r="VEX5" s="234"/>
      <c r="VEY5" s="234"/>
      <c r="VEZ5" s="234"/>
      <c r="VFA5" s="234"/>
      <c r="VFB5" s="234"/>
      <c r="VFC5" s="234"/>
      <c r="VFD5" s="234"/>
      <c r="VFE5" s="234"/>
      <c r="VFF5" s="234"/>
      <c r="VFG5" s="234"/>
      <c r="VFH5" s="234"/>
      <c r="VFI5" s="234"/>
      <c r="VFJ5" s="234"/>
      <c r="VFK5" s="234"/>
      <c r="VFL5" s="234"/>
      <c r="VFM5" s="234"/>
      <c r="VFN5" s="234"/>
      <c r="VFO5" s="234"/>
      <c r="VFP5" s="234"/>
      <c r="VFQ5" s="234"/>
      <c r="VFR5" s="234"/>
      <c r="VFS5" s="234"/>
      <c r="VFT5" s="234"/>
      <c r="VFU5" s="234"/>
      <c r="VFV5" s="234"/>
      <c r="VFW5" s="234"/>
      <c r="VFX5" s="234"/>
      <c r="VFY5" s="234"/>
      <c r="VFZ5" s="234"/>
      <c r="VGA5" s="234"/>
      <c r="VGB5" s="234"/>
      <c r="VGC5" s="234"/>
      <c r="VGD5" s="234"/>
      <c r="VGE5" s="234"/>
      <c r="VGF5" s="234"/>
      <c r="VGG5" s="234"/>
      <c r="VGH5" s="234"/>
      <c r="VGI5" s="234"/>
      <c r="VGJ5" s="234"/>
      <c r="VGK5" s="234"/>
      <c r="VGL5" s="234"/>
      <c r="VGM5" s="234"/>
      <c r="VGN5" s="234"/>
      <c r="VGO5" s="234"/>
      <c r="VGP5" s="234"/>
      <c r="VGQ5" s="234"/>
      <c r="VGR5" s="234"/>
      <c r="VGS5" s="234"/>
      <c r="VGT5" s="234"/>
      <c r="VGU5" s="234"/>
      <c r="VGV5" s="234"/>
      <c r="VGW5" s="234"/>
      <c r="VGX5" s="234"/>
      <c r="VGY5" s="234"/>
      <c r="VGZ5" s="234"/>
      <c r="VHA5" s="234"/>
      <c r="VHB5" s="234"/>
      <c r="VHC5" s="234"/>
      <c r="VHD5" s="234"/>
      <c r="VHE5" s="234"/>
      <c r="VHF5" s="234"/>
      <c r="VHG5" s="234"/>
      <c r="VHH5" s="234"/>
      <c r="VHI5" s="234"/>
      <c r="VHJ5" s="234"/>
      <c r="VHK5" s="234"/>
      <c r="VHL5" s="234"/>
      <c r="VHM5" s="234"/>
      <c r="VHN5" s="234"/>
      <c r="VHO5" s="234"/>
      <c r="VHP5" s="234"/>
      <c r="VHQ5" s="234"/>
      <c r="VHR5" s="234"/>
      <c r="VHS5" s="234"/>
      <c r="VHT5" s="234"/>
      <c r="VHU5" s="234"/>
      <c r="VHV5" s="234"/>
      <c r="VHW5" s="234"/>
      <c r="VHX5" s="234"/>
      <c r="VHY5" s="234"/>
      <c r="VHZ5" s="234"/>
      <c r="VIA5" s="234"/>
      <c r="VIB5" s="234"/>
      <c r="VIC5" s="234"/>
      <c r="VID5" s="234"/>
      <c r="VIE5" s="234"/>
      <c r="VIF5" s="234"/>
      <c r="VIG5" s="234"/>
      <c r="VIH5" s="234"/>
      <c r="VII5" s="234"/>
      <c r="VIJ5" s="234"/>
      <c r="VIK5" s="234"/>
      <c r="VIL5" s="234"/>
      <c r="VIM5" s="234"/>
      <c r="VIN5" s="234"/>
      <c r="VIO5" s="234"/>
      <c r="VIP5" s="234"/>
      <c r="VIQ5" s="234"/>
      <c r="VIR5" s="234"/>
      <c r="VIS5" s="234"/>
      <c r="VIT5" s="234"/>
      <c r="VIU5" s="234"/>
      <c r="VIV5" s="234"/>
      <c r="VIW5" s="234"/>
      <c r="VIX5" s="234"/>
      <c r="VIY5" s="234"/>
      <c r="VIZ5" s="234"/>
      <c r="VJA5" s="234"/>
      <c r="VJB5" s="234"/>
      <c r="VJC5" s="234"/>
      <c r="VJD5" s="234"/>
      <c r="VJE5" s="234"/>
      <c r="VJF5" s="234"/>
      <c r="VJG5" s="234"/>
      <c r="VJH5" s="234"/>
      <c r="VJI5" s="234"/>
      <c r="VJJ5" s="234"/>
      <c r="VJK5" s="234"/>
      <c r="VJL5" s="234"/>
      <c r="VJM5" s="234"/>
      <c r="VJN5" s="234"/>
      <c r="VJO5" s="234"/>
      <c r="VJP5" s="234"/>
      <c r="VJQ5" s="234"/>
      <c r="VJR5" s="234"/>
      <c r="VJS5" s="234"/>
      <c r="VJT5" s="234"/>
      <c r="VJU5" s="234"/>
      <c r="VJV5" s="234"/>
      <c r="VJW5" s="234"/>
      <c r="VJX5" s="234"/>
      <c r="VJY5" s="234"/>
      <c r="VJZ5" s="234"/>
      <c r="VKA5" s="234"/>
      <c r="VKB5" s="234"/>
      <c r="VKC5" s="234"/>
      <c r="VKD5" s="234"/>
      <c r="VKE5" s="234"/>
      <c r="VKF5" s="234"/>
      <c r="VKG5" s="234"/>
      <c r="VKH5" s="234"/>
      <c r="VKI5" s="234"/>
      <c r="VKJ5" s="234"/>
      <c r="VKK5" s="234"/>
      <c r="VKL5" s="234"/>
      <c r="VKM5" s="234"/>
      <c r="VKN5" s="234"/>
      <c r="VKO5" s="234"/>
      <c r="VKP5" s="234"/>
      <c r="VKQ5" s="234"/>
      <c r="VKR5" s="234"/>
      <c r="VKS5" s="234"/>
      <c r="VKT5" s="234"/>
      <c r="VKU5" s="234"/>
      <c r="VKV5" s="234"/>
      <c r="VKW5" s="234"/>
      <c r="VKX5" s="234"/>
      <c r="VKY5" s="234"/>
      <c r="VKZ5" s="234"/>
      <c r="VLA5" s="234"/>
      <c r="VLB5" s="234"/>
      <c r="VLC5" s="234"/>
      <c r="VLD5" s="234"/>
      <c r="VLE5" s="234"/>
      <c r="VLF5" s="234"/>
      <c r="VLG5" s="234"/>
      <c r="VLH5" s="234"/>
      <c r="VLI5" s="234"/>
      <c r="VLJ5" s="234"/>
      <c r="VLK5" s="234"/>
      <c r="VLL5" s="234"/>
      <c r="VLM5" s="234"/>
      <c r="VLN5" s="234"/>
      <c r="VLO5" s="234"/>
      <c r="VLP5" s="234"/>
      <c r="VLQ5" s="234"/>
      <c r="VLR5" s="234"/>
      <c r="VLS5" s="234"/>
      <c r="VLT5" s="234"/>
      <c r="VLU5" s="234"/>
      <c r="VLV5" s="234"/>
      <c r="VLW5" s="234"/>
      <c r="VLX5" s="234"/>
      <c r="VLY5" s="234"/>
      <c r="VLZ5" s="234"/>
      <c r="VMA5" s="234"/>
      <c r="VMB5" s="234"/>
      <c r="VMC5" s="234"/>
      <c r="VMD5" s="234"/>
      <c r="VME5" s="234"/>
      <c r="VMF5" s="234"/>
      <c r="VMG5" s="234"/>
      <c r="VMH5" s="234"/>
      <c r="VMI5" s="234"/>
      <c r="VMJ5" s="234"/>
      <c r="VMK5" s="234"/>
      <c r="VML5" s="234"/>
      <c r="VMM5" s="234"/>
      <c r="VMN5" s="234"/>
      <c r="VMO5" s="234"/>
      <c r="VMP5" s="234"/>
      <c r="VMQ5" s="234"/>
      <c r="VMR5" s="234"/>
      <c r="VMS5" s="234"/>
      <c r="VMT5" s="234"/>
      <c r="VMU5" s="234"/>
      <c r="VMV5" s="234"/>
      <c r="VMW5" s="234"/>
      <c r="VMX5" s="234"/>
      <c r="VMY5" s="234"/>
      <c r="VMZ5" s="234"/>
      <c r="VNA5" s="234"/>
      <c r="VNB5" s="234"/>
      <c r="VNC5" s="234"/>
      <c r="VND5" s="234"/>
      <c r="VNE5" s="234"/>
      <c r="VNF5" s="234"/>
      <c r="VNG5" s="234"/>
      <c r="VNH5" s="234"/>
      <c r="VNI5" s="234"/>
      <c r="VNJ5" s="234"/>
      <c r="VNK5" s="234"/>
      <c r="VNL5" s="234"/>
      <c r="VNM5" s="234"/>
      <c r="VNN5" s="234"/>
      <c r="VNO5" s="234"/>
      <c r="VNP5" s="234"/>
      <c r="VNQ5" s="234"/>
      <c r="VNR5" s="234"/>
      <c r="VNS5" s="234"/>
      <c r="VNT5" s="234"/>
      <c r="VNU5" s="234"/>
      <c r="VNV5" s="234"/>
      <c r="VNW5" s="234"/>
      <c r="VNX5" s="234"/>
      <c r="VNY5" s="234"/>
      <c r="VNZ5" s="234"/>
      <c r="VOA5" s="234"/>
      <c r="VOB5" s="234"/>
      <c r="VOC5" s="234"/>
      <c r="VOD5" s="234"/>
      <c r="VOE5" s="234"/>
      <c r="VOF5" s="234"/>
      <c r="VOG5" s="234"/>
      <c r="VOH5" s="234"/>
      <c r="VOI5" s="234"/>
      <c r="VOJ5" s="234"/>
      <c r="VOK5" s="234"/>
      <c r="VOL5" s="234"/>
      <c r="VOM5" s="234"/>
      <c r="VON5" s="234"/>
      <c r="VOO5" s="234"/>
      <c r="VOP5" s="234"/>
      <c r="VOQ5" s="234"/>
      <c r="VOR5" s="234"/>
      <c r="VOS5" s="234"/>
      <c r="VOT5" s="234"/>
      <c r="VOU5" s="234"/>
      <c r="VOV5" s="234"/>
      <c r="VOW5" s="234"/>
      <c r="VOX5" s="234"/>
      <c r="VOY5" s="234"/>
      <c r="VOZ5" s="234"/>
      <c r="VPA5" s="234"/>
      <c r="VPB5" s="234"/>
      <c r="VPC5" s="234"/>
      <c r="VPD5" s="234"/>
      <c r="VPE5" s="234"/>
      <c r="VPF5" s="234"/>
      <c r="VPG5" s="234"/>
      <c r="VPH5" s="234"/>
      <c r="VPI5" s="234"/>
      <c r="VPJ5" s="234"/>
      <c r="VPK5" s="234"/>
      <c r="VPL5" s="234"/>
      <c r="VPM5" s="234"/>
      <c r="VPN5" s="234"/>
      <c r="VPO5" s="234"/>
      <c r="VPP5" s="234"/>
      <c r="VPQ5" s="234"/>
      <c r="VPR5" s="234"/>
      <c r="VPS5" s="234"/>
      <c r="VPT5" s="234"/>
      <c r="VPU5" s="234"/>
      <c r="VPV5" s="234"/>
      <c r="VPW5" s="234"/>
      <c r="VPX5" s="234"/>
      <c r="VPY5" s="234"/>
      <c r="VPZ5" s="234"/>
      <c r="VQA5" s="234"/>
      <c r="VQB5" s="234"/>
      <c r="VQC5" s="234"/>
      <c r="VQD5" s="234"/>
      <c r="VQE5" s="234"/>
      <c r="VQF5" s="234"/>
      <c r="VQG5" s="234"/>
      <c r="VQH5" s="234"/>
      <c r="VQI5" s="234"/>
      <c r="VQJ5" s="234"/>
      <c r="VQK5" s="234"/>
      <c r="VQL5" s="234"/>
      <c r="VQM5" s="234"/>
      <c r="VQN5" s="234"/>
      <c r="VQO5" s="234"/>
      <c r="VQP5" s="234"/>
      <c r="VQQ5" s="234"/>
      <c r="VQR5" s="234"/>
      <c r="VQS5" s="234"/>
      <c r="VQT5" s="234"/>
      <c r="VQU5" s="234"/>
      <c r="VQV5" s="234"/>
      <c r="VQW5" s="234"/>
      <c r="VQX5" s="234"/>
      <c r="VQY5" s="234"/>
      <c r="VQZ5" s="234"/>
      <c r="VRA5" s="234"/>
      <c r="VRB5" s="234"/>
      <c r="VRC5" s="234"/>
      <c r="VRD5" s="234"/>
      <c r="VRE5" s="234"/>
      <c r="VRF5" s="234"/>
      <c r="VRG5" s="234"/>
      <c r="VRH5" s="234"/>
      <c r="VRI5" s="234"/>
      <c r="VRJ5" s="234"/>
      <c r="VRK5" s="234"/>
      <c r="VRL5" s="234"/>
      <c r="VRM5" s="234"/>
      <c r="VRN5" s="234"/>
      <c r="VRO5" s="234"/>
      <c r="VRP5" s="234"/>
      <c r="VRQ5" s="234"/>
      <c r="VRR5" s="234"/>
      <c r="VRS5" s="234"/>
      <c r="VRT5" s="234"/>
      <c r="VRU5" s="234"/>
      <c r="VRV5" s="234"/>
      <c r="VRW5" s="234"/>
      <c r="VRX5" s="234"/>
      <c r="VRY5" s="234"/>
      <c r="VRZ5" s="234"/>
      <c r="VSA5" s="234"/>
      <c r="VSB5" s="234"/>
      <c r="VSC5" s="234"/>
      <c r="VSD5" s="234"/>
      <c r="VSE5" s="234"/>
      <c r="VSF5" s="234"/>
      <c r="VSG5" s="234"/>
      <c r="VSH5" s="234"/>
      <c r="VSI5" s="234"/>
      <c r="VSJ5" s="234"/>
      <c r="VSK5" s="234"/>
      <c r="VSL5" s="234"/>
      <c r="VSM5" s="234"/>
      <c r="VSN5" s="234"/>
      <c r="VSO5" s="234"/>
      <c r="VSP5" s="234"/>
      <c r="VSQ5" s="234"/>
      <c r="VSR5" s="234"/>
      <c r="VSS5" s="234"/>
      <c r="VST5" s="234"/>
      <c r="VSU5" s="234"/>
      <c r="VSV5" s="234"/>
      <c r="VSW5" s="234"/>
      <c r="VSX5" s="234"/>
      <c r="VSY5" s="234"/>
      <c r="VSZ5" s="234"/>
      <c r="VTA5" s="234"/>
      <c r="VTB5" s="234"/>
      <c r="VTC5" s="234"/>
      <c r="VTD5" s="234"/>
      <c r="VTE5" s="234"/>
      <c r="VTF5" s="234"/>
      <c r="VTG5" s="234"/>
      <c r="VTH5" s="234"/>
      <c r="VTI5" s="234"/>
      <c r="VTJ5" s="234"/>
      <c r="VTK5" s="234"/>
      <c r="VTL5" s="234"/>
      <c r="VTM5" s="234"/>
      <c r="VTN5" s="234"/>
      <c r="VTO5" s="234"/>
      <c r="VTP5" s="234"/>
      <c r="VTQ5" s="234"/>
      <c r="VTR5" s="234"/>
      <c r="VTS5" s="234"/>
      <c r="VTT5" s="234"/>
      <c r="VTU5" s="234"/>
      <c r="VTV5" s="234"/>
      <c r="VTW5" s="234"/>
      <c r="VTX5" s="234"/>
      <c r="VTY5" s="234"/>
      <c r="VTZ5" s="234"/>
      <c r="VUA5" s="234"/>
      <c r="VUB5" s="234"/>
      <c r="VUC5" s="234"/>
      <c r="VUD5" s="234"/>
      <c r="VUE5" s="234"/>
      <c r="VUF5" s="234"/>
      <c r="VUG5" s="234"/>
      <c r="VUH5" s="234"/>
      <c r="VUI5" s="234"/>
      <c r="VUJ5" s="234"/>
      <c r="VUK5" s="234"/>
      <c r="VUL5" s="234"/>
      <c r="VUM5" s="234"/>
      <c r="VUN5" s="234"/>
      <c r="VUO5" s="234"/>
      <c r="VUP5" s="234"/>
      <c r="VUQ5" s="234"/>
      <c r="VUR5" s="234"/>
      <c r="VUS5" s="234"/>
      <c r="VUT5" s="234"/>
      <c r="VUU5" s="234"/>
      <c r="VUV5" s="234"/>
      <c r="VUW5" s="234"/>
      <c r="VUX5" s="234"/>
      <c r="VUY5" s="234"/>
      <c r="VUZ5" s="234"/>
      <c r="VVA5" s="234"/>
      <c r="VVB5" s="234"/>
      <c r="VVC5" s="234"/>
      <c r="VVD5" s="234"/>
      <c r="VVE5" s="234"/>
      <c r="VVF5" s="234"/>
      <c r="VVG5" s="234"/>
      <c r="VVH5" s="234"/>
      <c r="VVI5" s="234"/>
      <c r="VVJ5" s="234"/>
      <c r="VVK5" s="234"/>
      <c r="VVL5" s="234"/>
      <c r="VVM5" s="234"/>
      <c r="VVN5" s="234"/>
      <c r="VVO5" s="234"/>
      <c r="VVP5" s="234"/>
      <c r="VVQ5" s="234"/>
      <c r="VVR5" s="234"/>
      <c r="VVS5" s="234"/>
      <c r="VVT5" s="234"/>
      <c r="VVU5" s="234"/>
      <c r="VVV5" s="234"/>
      <c r="VVW5" s="234"/>
      <c r="VVX5" s="234"/>
      <c r="VVY5" s="234"/>
      <c r="VVZ5" s="234"/>
      <c r="VWA5" s="234"/>
      <c r="VWB5" s="234"/>
      <c r="VWC5" s="234"/>
      <c r="VWD5" s="234"/>
      <c r="VWE5" s="234"/>
      <c r="VWF5" s="234"/>
      <c r="VWG5" s="234"/>
      <c r="VWH5" s="234"/>
      <c r="VWI5" s="234"/>
      <c r="VWJ5" s="234"/>
      <c r="VWK5" s="234"/>
      <c r="VWL5" s="234"/>
      <c r="VWM5" s="234"/>
      <c r="VWN5" s="234"/>
      <c r="VWO5" s="234"/>
      <c r="VWP5" s="234"/>
      <c r="VWQ5" s="234"/>
      <c r="VWR5" s="234"/>
      <c r="VWS5" s="234"/>
      <c r="VWT5" s="234"/>
      <c r="VWU5" s="234"/>
      <c r="VWV5" s="234"/>
      <c r="VWW5" s="234"/>
      <c r="VWX5" s="234"/>
      <c r="VWY5" s="234"/>
      <c r="VWZ5" s="234"/>
      <c r="VXA5" s="234"/>
      <c r="VXB5" s="234"/>
      <c r="VXC5" s="234"/>
      <c r="VXD5" s="234"/>
      <c r="VXE5" s="234"/>
      <c r="VXF5" s="234"/>
      <c r="VXG5" s="234"/>
      <c r="VXH5" s="234"/>
      <c r="VXI5" s="234"/>
      <c r="VXJ5" s="234"/>
      <c r="VXK5" s="234"/>
      <c r="VXL5" s="234"/>
      <c r="VXM5" s="234"/>
      <c r="VXN5" s="234"/>
      <c r="VXO5" s="234"/>
      <c r="VXP5" s="234"/>
      <c r="VXQ5" s="234"/>
      <c r="VXR5" s="234"/>
      <c r="VXS5" s="234"/>
      <c r="VXT5" s="234"/>
      <c r="VXU5" s="234"/>
      <c r="VXV5" s="234"/>
      <c r="VXW5" s="234"/>
      <c r="VXX5" s="234"/>
      <c r="VXY5" s="234"/>
      <c r="VXZ5" s="234"/>
      <c r="VYA5" s="234"/>
      <c r="VYB5" s="234"/>
      <c r="VYC5" s="234"/>
      <c r="VYD5" s="234"/>
      <c r="VYE5" s="234"/>
      <c r="VYF5" s="234"/>
      <c r="VYG5" s="234"/>
      <c r="VYH5" s="234"/>
      <c r="VYI5" s="234"/>
      <c r="VYJ5" s="234"/>
      <c r="VYK5" s="234"/>
      <c r="VYL5" s="234"/>
      <c r="VYM5" s="234"/>
      <c r="VYN5" s="234"/>
      <c r="VYO5" s="234"/>
      <c r="VYP5" s="234"/>
      <c r="VYQ5" s="234"/>
      <c r="VYR5" s="234"/>
      <c r="VYS5" s="234"/>
      <c r="VYT5" s="234"/>
      <c r="VYU5" s="234"/>
      <c r="VYV5" s="234"/>
      <c r="VYW5" s="234"/>
      <c r="VYX5" s="234"/>
      <c r="VYY5" s="234"/>
      <c r="VYZ5" s="234"/>
      <c r="VZA5" s="234"/>
      <c r="VZB5" s="234"/>
      <c r="VZC5" s="234"/>
      <c r="VZD5" s="234"/>
      <c r="VZE5" s="234"/>
      <c r="VZF5" s="234"/>
      <c r="VZG5" s="234"/>
      <c r="VZH5" s="234"/>
      <c r="VZI5" s="234"/>
      <c r="VZJ5" s="234"/>
      <c r="VZK5" s="234"/>
      <c r="VZL5" s="234"/>
      <c r="VZM5" s="234"/>
      <c r="VZN5" s="234"/>
      <c r="VZO5" s="234"/>
      <c r="VZP5" s="234"/>
      <c r="VZQ5" s="234"/>
      <c r="VZR5" s="234"/>
      <c r="VZS5" s="234"/>
      <c r="VZT5" s="234"/>
      <c r="VZU5" s="234"/>
      <c r="VZV5" s="234"/>
      <c r="VZW5" s="234"/>
      <c r="VZX5" s="234"/>
      <c r="VZY5" s="234"/>
      <c r="VZZ5" s="234"/>
      <c r="WAA5" s="234"/>
      <c r="WAB5" s="234"/>
      <c r="WAC5" s="234"/>
      <c r="WAD5" s="234"/>
      <c r="WAE5" s="234"/>
      <c r="WAF5" s="234"/>
      <c r="WAG5" s="234"/>
      <c r="WAH5" s="234"/>
      <c r="WAI5" s="234"/>
      <c r="WAJ5" s="234"/>
      <c r="WAK5" s="234"/>
      <c r="WAL5" s="234"/>
      <c r="WAM5" s="234"/>
      <c r="WAN5" s="234"/>
      <c r="WAO5" s="234"/>
      <c r="WAP5" s="234"/>
      <c r="WAQ5" s="234"/>
      <c r="WAR5" s="234"/>
      <c r="WAS5" s="234"/>
      <c r="WAT5" s="234"/>
      <c r="WAU5" s="234"/>
      <c r="WAV5" s="234"/>
      <c r="WAW5" s="234"/>
      <c r="WAX5" s="234"/>
      <c r="WAY5" s="234"/>
      <c r="WAZ5" s="234"/>
      <c r="WBA5" s="234"/>
      <c r="WBB5" s="234"/>
      <c r="WBC5" s="234"/>
      <c r="WBD5" s="234"/>
      <c r="WBE5" s="234"/>
      <c r="WBF5" s="234"/>
      <c r="WBG5" s="234"/>
      <c r="WBH5" s="234"/>
      <c r="WBI5" s="234"/>
      <c r="WBJ5" s="234"/>
      <c r="WBK5" s="234"/>
      <c r="WBL5" s="234"/>
      <c r="WBM5" s="234"/>
      <c r="WBN5" s="234"/>
      <c r="WBO5" s="234"/>
      <c r="WBP5" s="234"/>
      <c r="WBQ5" s="234"/>
      <c r="WBR5" s="234"/>
      <c r="WBS5" s="234"/>
      <c r="WBT5" s="234"/>
      <c r="WBU5" s="234"/>
      <c r="WBV5" s="234"/>
      <c r="WBW5" s="234"/>
      <c r="WBX5" s="234"/>
      <c r="WBY5" s="234"/>
      <c r="WBZ5" s="234"/>
      <c r="WCA5" s="234"/>
      <c r="WCB5" s="234"/>
      <c r="WCC5" s="234"/>
      <c r="WCD5" s="234"/>
      <c r="WCE5" s="234"/>
      <c r="WCF5" s="234"/>
      <c r="WCG5" s="234"/>
      <c r="WCH5" s="234"/>
      <c r="WCI5" s="234"/>
      <c r="WCJ5" s="234"/>
      <c r="WCK5" s="234"/>
      <c r="WCL5" s="234"/>
      <c r="WCM5" s="234"/>
      <c r="WCN5" s="234"/>
      <c r="WCO5" s="234"/>
      <c r="WCP5" s="234"/>
      <c r="WCQ5" s="234"/>
      <c r="WCR5" s="234"/>
      <c r="WCS5" s="234"/>
      <c r="WCT5" s="234"/>
      <c r="WCU5" s="234"/>
      <c r="WCV5" s="234"/>
      <c r="WCW5" s="234"/>
      <c r="WCX5" s="234"/>
      <c r="WCY5" s="234"/>
      <c r="WCZ5" s="234"/>
      <c r="WDA5" s="234"/>
      <c r="WDB5" s="234"/>
      <c r="WDC5" s="234"/>
      <c r="WDD5" s="234"/>
      <c r="WDE5" s="234"/>
      <c r="WDF5" s="234"/>
      <c r="WDG5" s="234"/>
      <c r="WDH5" s="234"/>
      <c r="WDI5" s="234"/>
      <c r="WDJ5" s="234"/>
      <c r="WDK5" s="234"/>
      <c r="WDL5" s="234"/>
      <c r="WDM5" s="234"/>
      <c r="WDN5" s="234"/>
      <c r="WDO5" s="234"/>
      <c r="WDP5" s="234"/>
      <c r="WDQ5" s="234"/>
      <c r="WDR5" s="234"/>
      <c r="WDS5" s="234"/>
      <c r="WDT5" s="234"/>
      <c r="WDU5" s="234"/>
      <c r="WDV5" s="234"/>
      <c r="WDW5" s="234"/>
      <c r="WDX5" s="234"/>
      <c r="WDY5" s="234"/>
      <c r="WDZ5" s="234"/>
      <c r="WEA5" s="234"/>
      <c r="WEB5" s="234"/>
      <c r="WEC5" s="234"/>
      <c r="WED5" s="234"/>
      <c r="WEE5" s="234"/>
      <c r="WEF5" s="234"/>
      <c r="WEG5" s="234"/>
      <c r="WEH5" s="234"/>
      <c r="WEI5" s="234"/>
      <c r="WEJ5" s="234"/>
      <c r="WEK5" s="234"/>
      <c r="WEL5" s="234"/>
      <c r="WEM5" s="234"/>
      <c r="WEN5" s="234"/>
      <c r="WEO5" s="234"/>
      <c r="WEP5" s="234"/>
      <c r="WEQ5" s="234"/>
      <c r="WER5" s="234"/>
      <c r="WES5" s="234"/>
      <c r="WET5" s="234"/>
      <c r="WEU5" s="234"/>
      <c r="WEV5" s="234"/>
      <c r="WEW5" s="234"/>
      <c r="WEX5" s="234"/>
      <c r="WEY5" s="234"/>
      <c r="WEZ5" s="234"/>
      <c r="WFA5" s="234"/>
      <c r="WFB5" s="234"/>
      <c r="WFC5" s="234"/>
      <c r="WFD5" s="234"/>
      <c r="WFE5" s="234"/>
      <c r="WFF5" s="234"/>
      <c r="WFG5" s="234"/>
      <c r="WFH5" s="234"/>
      <c r="WFI5" s="234"/>
      <c r="WFJ5" s="234"/>
      <c r="WFK5" s="234"/>
      <c r="WFL5" s="234"/>
      <c r="WFM5" s="234"/>
      <c r="WFN5" s="234"/>
      <c r="WFO5" s="234"/>
      <c r="WFP5" s="234"/>
      <c r="WFQ5" s="234"/>
      <c r="WFR5" s="234"/>
      <c r="WFS5" s="234"/>
      <c r="WFT5" s="234"/>
      <c r="WFU5" s="234"/>
      <c r="WFV5" s="234"/>
      <c r="WFW5" s="234"/>
      <c r="WFX5" s="234"/>
      <c r="WFY5" s="234"/>
      <c r="WFZ5" s="234"/>
      <c r="WGA5" s="234"/>
      <c r="WGB5" s="234"/>
      <c r="WGC5" s="234"/>
      <c r="WGD5" s="234"/>
      <c r="WGE5" s="234"/>
      <c r="WGF5" s="234"/>
      <c r="WGG5" s="234"/>
      <c r="WGH5" s="234"/>
      <c r="WGI5" s="234"/>
      <c r="WGJ5" s="234"/>
      <c r="WGK5" s="234"/>
      <c r="WGL5" s="234"/>
      <c r="WGM5" s="234"/>
      <c r="WGN5" s="234"/>
      <c r="WGO5" s="234"/>
      <c r="WGP5" s="234"/>
      <c r="WGQ5" s="234"/>
      <c r="WGR5" s="234"/>
      <c r="WGS5" s="234"/>
      <c r="WGT5" s="234"/>
      <c r="WGU5" s="234"/>
      <c r="WGV5" s="234"/>
      <c r="WGW5" s="234"/>
      <c r="WGX5" s="234"/>
      <c r="WGY5" s="234"/>
      <c r="WGZ5" s="234"/>
      <c r="WHA5" s="234"/>
      <c r="WHB5" s="234"/>
      <c r="WHC5" s="234"/>
      <c r="WHD5" s="234"/>
      <c r="WHE5" s="234"/>
      <c r="WHF5" s="234"/>
      <c r="WHG5" s="234"/>
      <c r="WHH5" s="234"/>
      <c r="WHI5" s="234"/>
      <c r="WHJ5" s="234"/>
      <c r="WHK5" s="234"/>
      <c r="WHL5" s="234"/>
      <c r="WHM5" s="234"/>
      <c r="WHN5" s="234"/>
      <c r="WHO5" s="234"/>
      <c r="WHP5" s="234"/>
      <c r="WHQ5" s="234"/>
      <c r="WHR5" s="234"/>
      <c r="WHS5" s="234"/>
      <c r="WHT5" s="234"/>
      <c r="WHU5" s="234"/>
      <c r="WHV5" s="234"/>
      <c r="WHW5" s="234"/>
      <c r="WHX5" s="234"/>
      <c r="WHY5" s="234"/>
      <c r="WHZ5" s="234"/>
      <c r="WIA5" s="234"/>
      <c r="WIB5" s="234"/>
      <c r="WIC5" s="234"/>
      <c r="WID5" s="234"/>
      <c r="WIE5" s="234"/>
      <c r="WIF5" s="234"/>
      <c r="WIG5" s="234"/>
      <c r="WIH5" s="234"/>
      <c r="WII5" s="234"/>
      <c r="WIJ5" s="234"/>
      <c r="WIK5" s="234"/>
      <c r="WIL5" s="234"/>
      <c r="WIM5" s="234"/>
      <c r="WIN5" s="234"/>
      <c r="WIO5" s="234"/>
      <c r="WIP5" s="234"/>
      <c r="WIQ5" s="234"/>
      <c r="WIR5" s="234"/>
      <c r="WIS5" s="234"/>
      <c r="WIT5" s="234"/>
      <c r="WIU5" s="234"/>
      <c r="WIV5" s="234"/>
      <c r="WIW5" s="234"/>
      <c r="WIX5" s="234"/>
      <c r="WIY5" s="234"/>
      <c r="WIZ5" s="234"/>
      <c r="WJA5" s="234"/>
      <c r="WJB5" s="234"/>
      <c r="WJC5" s="234"/>
      <c r="WJD5" s="234"/>
      <c r="WJE5" s="234"/>
      <c r="WJF5" s="234"/>
      <c r="WJG5" s="234"/>
      <c r="WJH5" s="234"/>
      <c r="WJI5" s="234"/>
      <c r="WJJ5" s="234"/>
      <c r="WJK5" s="234"/>
      <c r="WJL5" s="234"/>
      <c r="WJM5" s="234"/>
      <c r="WJN5" s="234"/>
      <c r="WJO5" s="234"/>
      <c r="WJP5" s="234"/>
      <c r="WJQ5" s="234"/>
      <c r="WJR5" s="234"/>
      <c r="WJS5" s="234"/>
      <c r="WJT5" s="234"/>
      <c r="WJU5" s="234"/>
      <c r="WJV5" s="234"/>
      <c r="WJW5" s="234"/>
      <c r="WJX5" s="234"/>
      <c r="WJY5" s="234"/>
      <c r="WJZ5" s="234"/>
      <c r="WKA5" s="234"/>
      <c r="WKB5" s="234"/>
      <c r="WKC5" s="234"/>
      <c r="WKD5" s="234"/>
      <c r="WKE5" s="234"/>
      <c r="WKF5" s="234"/>
      <c r="WKG5" s="234"/>
      <c r="WKH5" s="234"/>
      <c r="WKI5" s="234"/>
      <c r="WKJ5" s="234"/>
      <c r="WKK5" s="234"/>
      <c r="WKL5" s="234"/>
      <c r="WKM5" s="234"/>
      <c r="WKN5" s="234"/>
      <c r="WKO5" s="234"/>
      <c r="WKP5" s="234"/>
      <c r="WKQ5" s="234"/>
      <c r="WKR5" s="234"/>
      <c r="WKS5" s="234"/>
      <c r="WKT5" s="234"/>
      <c r="WKU5" s="234"/>
      <c r="WKV5" s="234"/>
      <c r="WKW5" s="234"/>
      <c r="WKX5" s="234"/>
      <c r="WKY5" s="234"/>
      <c r="WKZ5" s="234"/>
      <c r="WLA5" s="234"/>
      <c r="WLB5" s="234"/>
      <c r="WLC5" s="234"/>
      <c r="WLD5" s="234"/>
      <c r="WLE5" s="234"/>
      <c r="WLF5" s="234"/>
      <c r="WLG5" s="234"/>
      <c r="WLH5" s="234"/>
      <c r="WLI5" s="234"/>
      <c r="WLJ5" s="234"/>
      <c r="WLK5" s="234"/>
      <c r="WLL5" s="234"/>
      <c r="WLM5" s="234"/>
      <c r="WLN5" s="234"/>
      <c r="WLO5" s="234"/>
      <c r="WLP5" s="234"/>
      <c r="WLQ5" s="234"/>
      <c r="WLR5" s="234"/>
      <c r="WLS5" s="234"/>
      <c r="WLT5" s="234"/>
      <c r="WLU5" s="234"/>
      <c r="WLV5" s="234"/>
      <c r="WLW5" s="234"/>
      <c r="WLX5" s="234"/>
      <c r="WLY5" s="234"/>
      <c r="WLZ5" s="234"/>
      <c r="WMA5" s="234"/>
      <c r="WMB5" s="234"/>
      <c r="WMC5" s="234"/>
      <c r="WMD5" s="234"/>
      <c r="WME5" s="234"/>
      <c r="WMF5" s="234"/>
      <c r="WMG5" s="234"/>
      <c r="WMH5" s="234"/>
      <c r="WMI5" s="234"/>
      <c r="WMJ5" s="234"/>
      <c r="WMK5" s="234"/>
      <c r="WML5" s="234"/>
      <c r="WMM5" s="234"/>
      <c r="WMN5" s="234"/>
      <c r="WMO5" s="234"/>
      <c r="WMP5" s="234"/>
      <c r="WMQ5" s="234"/>
      <c r="WMR5" s="234"/>
      <c r="WMS5" s="234"/>
      <c r="WMT5" s="234"/>
      <c r="WMU5" s="234"/>
      <c r="WMV5" s="234"/>
      <c r="WMW5" s="234"/>
      <c r="WMX5" s="234"/>
      <c r="WMY5" s="234"/>
      <c r="WMZ5" s="234"/>
      <c r="WNA5" s="234"/>
      <c r="WNB5" s="234"/>
      <c r="WNC5" s="234"/>
      <c r="WND5" s="234"/>
      <c r="WNE5" s="234"/>
      <c r="WNF5" s="234"/>
      <c r="WNG5" s="234"/>
      <c r="WNH5" s="234"/>
      <c r="WNI5" s="234"/>
      <c r="WNJ5" s="234"/>
      <c r="WNK5" s="234"/>
      <c r="WNL5" s="234"/>
      <c r="WNM5" s="234"/>
      <c r="WNN5" s="234"/>
      <c r="WNO5" s="234"/>
      <c r="WNP5" s="234"/>
      <c r="WNQ5" s="234"/>
      <c r="WNR5" s="234"/>
      <c r="WNS5" s="234"/>
      <c r="WNT5" s="234"/>
      <c r="WNU5" s="234"/>
      <c r="WNV5" s="234"/>
      <c r="WNW5" s="234"/>
      <c r="WNX5" s="234"/>
      <c r="WNY5" s="234"/>
      <c r="WNZ5" s="234"/>
      <c r="WOA5" s="234"/>
      <c r="WOB5" s="234"/>
      <c r="WOC5" s="234"/>
      <c r="WOD5" s="234"/>
      <c r="WOE5" s="234"/>
      <c r="WOF5" s="234"/>
      <c r="WOG5" s="234"/>
      <c r="WOH5" s="234"/>
      <c r="WOI5" s="234"/>
      <c r="WOJ5" s="234"/>
      <c r="WOK5" s="234"/>
      <c r="WOL5" s="234"/>
      <c r="WOM5" s="234"/>
      <c r="WON5" s="234"/>
      <c r="WOO5" s="234"/>
      <c r="WOP5" s="234"/>
      <c r="WOQ5" s="234"/>
      <c r="WOR5" s="234"/>
      <c r="WOS5" s="234"/>
      <c r="WOT5" s="234"/>
      <c r="WOU5" s="234"/>
      <c r="WOV5" s="234"/>
      <c r="WOW5" s="234"/>
      <c r="WOX5" s="234"/>
      <c r="WOY5" s="234"/>
      <c r="WOZ5" s="234"/>
      <c r="WPA5" s="234"/>
      <c r="WPB5" s="234"/>
      <c r="WPC5" s="234"/>
      <c r="WPD5" s="234"/>
      <c r="WPE5" s="234"/>
      <c r="WPF5" s="234"/>
      <c r="WPG5" s="234"/>
      <c r="WPH5" s="234"/>
      <c r="WPI5" s="234"/>
      <c r="WPJ5" s="234"/>
      <c r="WPK5" s="234"/>
      <c r="WPL5" s="234"/>
      <c r="WPM5" s="234"/>
      <c r="WPN5" s="234"/>
      <c r="WPO5" s="234"/>
      <c r="WPP5" s="234"/>
      <c r="WPQ5" s="234"/>
      <c r="WPR5" s="234"/>
      <c r="WPS5" s="234"/>
      <c r="WPT5" s="234"/>
      <c r="WPU5" s="234"/>
      <c r="WPV5" s="234"/>
      <c r="WPW5" s="234"/>
      <c r="WPX5" s="234"/>
      <c r="WPY5" s="234"/>
      <c r="WPZ5" s="234"/>
      <c r="WQA5" s="234"/>
      <c r="WQB5" s="234"/>
      <c r="WQC5" s="234"/>
      <c r="WQD5" s="234"/>
      <c r="WQE5" s="234"/>
      <c r="WQF5" s="234"/>
      <c r="WQG5" s="234"/>
      <c r="WQH5" s="234"/>
      <c r="WQI5" s="234"/>
      <c r="WQJ5" s="234"/>
      <c r="WQK5" s="234"/>
      <c r="WQL5" s="234"/>
      <c r="WQM5" s="234"/>
      <c r="WQN5" s="234"/>
      <c r="WQO5" s="234"/>
      <c r="WQP5" s="234"/>
      <c r="WQQ5" s="234"/>
      <c r="WQR5" s="234"/>
      <c r="WQS5" s="234"/>
      <c r="WQT5" s="234"/>
      <c r="WQU5" s="234"/>
      <c r="WQV5" s="234"/>
      <c r="WQW5" s="234"/>
      <c r="WQX5" s="234"/>
      <c r="WQY5" s="234"/>
      <c r="WQZ5" s="234"/>
      <c r="WRA5" s="234"/>
      <c r="WRB5" s="234"/>
      <c r="WRC5" s="234"/>
      <c r="WRD5" s="234"/>
      <c r="WRE5" s="234"/>
      <c r="WRF5" s="234"/>
      <c r="WRG5" s="234"/>
      <c r="WRH5" s="234"/>
      <c r="WRI5" s="234"/>
      <c r="WRJ5" s="234"/>
      <c r="WRK5" s="234"/>
      <c r="WRL5" s="234"/>
      <c r="WRM5" s="234"/>
      <c r="WRN5" s="234"/>
      <c r="WRO5" s="234"/>
      <c r="WRP5" s="234"/>
      <c r="WRQ5" s="234"/>
      <c r="WRR5" s="234"/>
      <c r="WRS5" s="234"/>
      <c r="WRT5" s="234"/>
      <c r="WRU5" s="234"/>
      <c r="WRV5" s="234"/>
      <c r="WRW5" s="234"/>
      <c r="WRX5" s="234"/>
      <c r="WRY5" s="234"/>
      <c r="WRZ5" s="234"/>
      <c r="WSA5" s="234"/>
      <c r="WSB5" s="234"/>
      <c r="WSC5" s="234"/>
      <c r="WSD5" s="234"/>
      <c r="WSE5" s="234"/>
      <c r="WSF5" s="234"/>
      <c r="WSG5" s="234"/>
      <c r="WSH5" s="234"/>
      <c r="WSI5" s="234"/>
      <c r="WSJ5" s="234"/>
      <c r="WSK5" s="234"/>
      <c r="WSL5" s="234"/>
      <c r="WSM5" s="234"/>
      <c r="WSN5" s="234"/>
      <c r="WSO5" s="234"/>
      <c r="WSP5" s="234"/>
      <c r="WSQ5" s="234"/>
      <c r="WSR5" s="234"/>
      <c r="WSS5" s="234"/>
      <c r="WST5" s="234"/>
      <c r="WSU5" s="234"/>
      <c r="WSV5" s="234"/>
      <c r="WSW5" s="234"/>
      <c r="WSX5" s="234"/>
      <c r="WSY5" s="234"/>
      <c r="WSZ5" s="234"/>
      <c r="WTA5" s="234"/>
      <c r="WTB5" s="234"/>
      <c r="WTC5" s="234"/>
      <c r="WTD5" s="234"/>
      <c r="WTE5" s="234"/>
      <c r="WTF5" s="234"/>
      <c r="WTG5" s="234"/>
      <c r="WTH5" s="234"/>
      <c r="WTI5" s="234"/>
      <c r="WTJ5" s="234"/>
      <c r="WTK5" s="234"/>
      <c r="WTL5" s="234"/>
      <c r="WTM5" s="234"/>
      <c r="WTN5" s="234"/>
      <c r="WTO5" s="234"/>
      <c r="WTP5" s="234"/>
      <c r="WTQ5" s="234"/>
      <c r="WTR5" s="234"/>
      <c r="WTS5" s="234"/>
      <c r="WTT5" s="234"/>
      <c r="WTU5" s="234"/>
      <c r="WTV5" s="234"/>
      <c r="WTW5" s="234"/>
      <c r="WTX5" s="234"/>
      <c r="WTY5" s="234"/>
      <c r="WTZ5" s="234"/>
      <c r="WUA5" s="234"/>
      <c r="WUB5" s="234"/>
      <c r="WUC5" s="234"/>
      <c r="WUD5" s="234"/>
      <c r="WUE5" s="234"/>
      <c r="WUF5" s="234"/>
      <c r="WUG5" s="234"/>
      <c r="WUH5" s="234"/>
      <c r="WUI5" s="234"/>
      <c r="WUJ5" s="234"/>
      <c r="WUK5" s="234"/>
      <c r="WUL5" s="234"/>
      <c r="WUM5" s="234"/>
      <c r="WUN5" s="234"/>
      <c r="WUO5" s="234"/>
      <c r="WUP5" s="234"/>
      <c r="WUQ5" s="234"/>
      <c r="WUR5" s="234"/>
      <c r="WUS5" s="234"/>
      <c r="WUT5" s="234"/>
      <c r="WUU5" s="234"/>
      <c r="WUV5" s="234"/>
      <c r="WUW5" s="234"/>
      <c r="WUX5" s="234"/>
      <c r="WUY5" s="234"/>
      <c r="WUZ5" s="234"/>
      <c r="WVA5" s="234"/>
      <c r="WVB5" s="234"/>
      <c r="WVC5" s="234"/>
      <c r="WVD5" s="234"/>
      <c r="WVE5" s="234"/>
      <c r="WVF5" s="234"/>
      <c r="WVG5" s="234"/>
      <c r="WVH5" s="234"/>
      <c r="WVI5" s="234"/>
      <c r="WVJ5" s="234"/>
      <c r="WVK5" s="234"/>
      <c r="WVL5" s="234"/>
      <c r="WVM5" s="234"/>
      <c r="WVN5" s="234"/>
      <c r="WVO5" s="234"/>
      <c r="WVP5" s="234"/>
      <c r="WVQ5" s="234"/>
      <c r="WVR5" s="234"/>
      <c r="WVS5" s="234"/>
      <c r="WVT5" s="234"/>
      <c r="WVU5" s="234"/>
      <c r="WVV5" s="234"/>
      <c r="WVW5" s="234"/>
      <c r="WVX5" s="234"/>
      <c r="WVY5" s="234"/>
      <c r="WVZ5" s="234"/>
      <c r="WWA5" s="234"/>
      <c r="WWB5" s="234"/>
      <c r="WWC5" s="234"/>
      <c r="WWD5" s="234"/>
      <c r="WWE5" s="234"/>
      <c r="WWF5" s="234"/>
      <c r="WWG5" s="234"/>
      <c r="WWH5" s="234"/>
      <c r="WWI5" s="234"/>
      <c r="WWJ5" s="234"/>
      <c r="WWK5" s="234"/>
      <c r="WWL5" s="234"/>
      <c r="WWM5" s="234"/>
      <c r="WWN5" s="234"/>
      <c r="WWO5" s="234"/>
      <c r="WWP5" s="234"/>
      <c r="WWQ5" s="234"/>
      <c r="WWR5" s="234"/>
      <c r="WWS5" s="234"/>
      <c r="WWT5" s="234"/>
      <c r="WWU5" s="234"/>
      <c r="WWV5" s="234"/>
      <c r="WWW5" s="234"/>
      <c r="WWX5" s="234"/>
      <c r="WWY5" s="234"/>
      <c r="WWZ5" s="234"/>
      <c r="WXA5" s="234"/>
      <c r="WXB5" s="234"/>
      <c r="WXC5" s="234"/>
      <c r="WXD5" s="234"/>
      <c r="WXE5" s="234"/>
      <c r="WXF5" s="234"/>
      <c r="WXG5" s="234"/>
      <c r="WXH5" s="234"/>
      <c r="WXI5" s="234"/>
      <c r="WXJ5" s="234"/>
      <c r="WXK5" s="234"/>
      <c r="WXL5" s="234"/>
      <c r="WXM5" s="234"/>
      <c r="WXN5" s="234"/>
      <c r="WXO5" s="234"/>
      <c r="WXP5" s="234"/>
      <c r="WXQ5" s="234"/>
      <c r="WXR5" s="234"/>
      <c r="WXS5" s="234"/>
      <c r="WXT5" s="234"/>
      <c r="WXU5" s="234"/>
      <c r="WXV5" s="234"/>
      <c r="WXW5" s="234"/>
      <c r="WXX5" s="234"/>
      <c r="WXY5" s="234"/>
      <c r="WXZ5" s="234"/>
      <c r="WYA5" s="234"/>
      <c r="WYB5" s="234"/>
      <c r="WYC5" s="234"/>
      <c r="WYD5" s="234"/>
      <c r="WYE5" s="234"/>
      <c r="WYF5" s="234"/>
      <c r="WYG5" s="234"/>
      <c r="WYH5" s="234"/>
      <c r="WYI5" s="234"/>
      <c r="WYJ5" s="234"/>
      <c r="WYK5" s="234"/>
      <c r="WYL5" s="234"/>
      <c r="WYM5" s="234"/>
      <c r="WYN5" s="234"/>
      <c r="WYO5" s="234"/>
      <c r="WYP5" s="234"/>
      <c r="WYQ5" s="234"/>
      <c r="WYR5" s="234"/>
      <c r="WYS5" s="234"/>
      <c r="WYT5" s="234"/>
      <c r="WYU5" s="234"/>
      <c r="WYV5" s="234"/>
      <c r="WYW5" s="234"/>
      <c r="WYX5" s="234"/>
      <c r="WYY5" s="234"/>
      <c r="WYZ5" s="234"/>
      <c r="WZA5" s="234"/>
      <c r="WZB5" s="234"/>
      <c r="WZC5" s="234"/>
      <c r="WZD5" s="234"/>
      <c r="WZE5" s="234"/>
      <c r="WZF5" s="234"/>
      <c r="WZG5" s="234"/>
      <c r="WZH5" s="234"/>
      <c r="WZI5" s="234"/>
      <c r="WZJ5" s="234"/>
      <c r="WZK5" s="234"/>
      <c r="WZL5" s="234"/>
      <c r="WZM5" s="234"/>
      <c r="WZN5" s="234"/>
      <c r="WZO5" s="234"/>
      <c r="WZP5" s="234"/>
      <c r="WZQ5" s="234"/>
      <c r="WZR5" s="234"/>
      <c r="WZS5" s="234"/>
      <c r="WZT5" s="234"/>
      <c r="WZU5" s="234"/>
      <c r="WZV5" s="234"/>
      <c r="WZW5" s="234"/>
      <c r="WZX5" s="234"/>
      <c r="WZY5" s="234"/>
      <c r="WZZ5" s="234"/>
      <c r="XAA5" s="234"/>
      <c r="XAB5" s="234"/>
      <c r="XAC5" s="234"/>
      <c r="XAD5" s="234"/>
      <c r="XAE5" s="234"/>
      <c r="XAF5" s="234"/>
      <c r="XAG5" s="234"/>
      <c r="XAH5" s="234"/>
      <c r="XAI5" s="234"/>
      <c r="XAJ5" s="234"/>
      <c r="XAK5" s="234"/>
      <c r="XAL5" s="234"/>
      <c r="XAM5" s="234"/>
      <c r="XAN5" s="234"/>
      <c r="XAO5" s="234"/>
      <c r="XAP5" s="234"/>
      <c r="XAQ5" s="234"/>
      <c r="XAR5" s="234"/>
      <c r="XAS5" s="234"/>
      <c r="XAT5" s="234"/>
      <c r="XAU5" s="234"/>
      <c r="XAV5" s="234"/>
      <c r="XAW5" s="234"/>
      <c r="XAX5" s="234"/>
      <c r="XAY5" s="234"/>
      <c r="XAZ5" s="234"/>
      <c r="XBA5" s="234"/>
      <c r="XBB5" s="234"/>
      <c r="XBC5" s="234"/>
      <c r="XBD5" s="234"/>
      <c r="XBE5" s="234"/>
      <c r="XBF5" s="234"/>
      <c r="XBG5" s="234"/>
      <c r="XBH5" s="234"/>
      <c r="XBI5" s="234"/>
      <c r="XBJ5" s="234"/>
      <c r="XBK5" s="234"/>
      <c r="XBL5" s="234"/>
      <c r="XBM5" s="234"/>
      <c r="XBN5" s="234"/>
      <c r="XBO5" s="234"/>
      <c r="XBP5" s="234"/>
      <c r="XBQ5" s="234"/>
      <c r="XBR5" s="234"/>
      <c r="XBS5" s="234"/>
      <c r="XBT5" s="234"/>
      <c r="XBU5" s="234"/>
      <c r="XBV5" s="234"/>
      <c r="XBW5" s="234"/>
      <c r="XBX5" s="234"/>
      <c r="XBY5" s="234"/>
      <c r="XBZ5" s="234"/>
      <c r="XCA5" s="234"/>
      <c r="XCB5" s="234"/>
      <c r="XCC5" s="234"/>
      <c r="XCD5" s="234"/>
      <c r="XCE5" s="234"/>
      <c r="XCF5" s="234"/>
      <c r="XCG5" s="234"/>
      <c r="XCH5" s="234"/>
      <c r="XCI5" s="234"/>
      <c r="XCJ5" s="234"/>
      <c r="XCK5" s="234"/>
      <c r="XCL5" s="234"/>
      <c r="XCM5" s="234"/>
      <c r="XCN5" s="234"/>
      <c r="XCO5" s="234"/>
      <c r="XCP5" s="234"/>
      <c r="XCQ5" s="234"/>
      <c r="XCR5" s="234"/>
      <c r="XCS5" s="234"/>
      <c r="XCT5" s="234"/>
      <c r="XCU5" s="234"/>
      <c r="XCV5" s="234"/>
      <c r="XCW5" s="234"/>
      <c r="XCX5" s="234"/>
      <c r="XCY5" s="234"/>
      <c r="XCZ5" s="234"/>
      <c r="XDA5" s="234"/>
      <c r="XDB5" s="234"/>
      <c r="XDC5" s="234"/>
      <c r="XDD5" s="234"/>
      <c r="XDE5" s="234"/>
      <c r="XDF5" s="234"/>
      <c r="XDG5" s="234"/>
      <c r="XDH5" s="234"/>
      <c r="XDI5" s="234"/>
      <c r="XDJ5" s="234"/>
      <c r="XDK5" s="234"/>
      <c r="XDL5" s="234"/>
      <c r="XDM5" s="234"/>
      <c r="XDN5" s="234"/>
      <c r="XDO5" s="234"/>
      <c r="XDP5" s="234"/>
      <c r="XDQ5" s="234"/>
      <c r="XDR5" s="234"/>
      <c r="XDS5" s="234"/>
      <c r="XDT5" s="234"/>
      <c r="XDU5" s="234"/>
      <c r="XDV5" s="234"/>
      <c r="XDW5" s="234"/>
      <c r="XDX5" s="234"/>
      <c r="XDY5" s="234"/>
      <c r="XDZ5" s="234"/>
      <c r="XEA5" s="234"/>
      <c r="XEB5" s="234"/>
      <c r="XEC5" s="234"/>
      <c r="XED5" s="234"/>
      <c r="XEE5" s="234"/>
      <c r="XEF5" s="234"/>
      <c r="XEG5" s="234"/>
      <c r="XEH5" s="234"/>
      <c r="XEI5" s="234"/>
      <c r="XEJ5" s="234"/>
      <c r="XEK5" s="234"/>
      <c r="XEL5" s="234"/>
      <c r="XEM5" s="234"/>
      <c r="XEN5" s="234"/>
      <c r="XEO5" s="234"/>
      <c r="XEP5" s="234"/>
      <c r="XEQ5" s="234"/>
      <c r="XER5" s="234"/>
      <c r="XES5" s="234"/>
      <c r="XET5" s="234"/>
      <c r="XEU5" s="234"/>
      <c r="XEV5" s="234"/>
      <c r="XEW5" s="234"/>
      <c r="XEX5" s="234"/>
      <c r="XEY5" s="234"/>
      <c r="XEZ5" s="234"/>
      <c r="XFA5" s="234"/>
      <c r="XFB5" s="234"/>
    </row>
    <row r="6" spans="1:16382" x14ac:dyDescent="0.5">
      <c r="A6" s="498" t="s">
        <v>772</v>
      </c>
      <c r="B6" s="499"/>
      <c r="C6" s="499"/>
      <c r="D6" s="500"/>
      <c r="F6" s="498" t="s">
        <v>800</v>
      </c>
      <c r="G6" s="499"/>
      <c r="H6" s="500"/>
    </row>
    <row r="7" spans="1:16382" x14ac:dyDescent="0.5">
      <c r="A7" s="70"/>
      <c r="B7" s="202" t="s">
        <v>767</v>
      </c>
      <c r="C7" s="202"/>
      <c r="D7" s="203" t="s">
        <v>14</v>
      </c>
      <c r="F7" s="101" t="s">
        <v>782</v>
      </c>
      <c r="G7" s="102" t="s">
        <v>123</v>
      </c>
      <c r="H7" s="103">
        <f>COUNTIFS(aanname_implementatie[Inschatting huidige implementatiegraad],G7,aanname_implementatie[Direct toepasbaar/extrapolatie],"Huidige toepassing")</f>
        <v>5</v>
      </c>
    </row>
    <row r="8" spans="1:16382" x14ac:dyDescent="0.5">
      <c r="A8" s="70" t="s">
        <v>768</v>
      </c>
      <c r="B8" s="71">
        <f>MROUND('A1 Algemene resultaten'!$M$13,10)</f>
        <v>800</v>
      </c>
      <c r="C8" s="71"/>
      <c r="D8" s="76"/>
      <c r="F8" s="101" t="s">
        <v>786</v>
      </c>
      <c r="G8" s="102" t="s">
        <v>125</v>
      </c>
      <c r="H8" s="103">
        <f>COUNTIFS(aanname_implementatie[Inschatting huidige implementatiegraad],G8,aanname_implementatie[Direct toepasbaar/extrapolatie],"Huidige toepassing")</f>
        <v>18</v>
      </c>
    </row>
    <row r="9" spans="1:16382" x14ac:dyDescent="0.5">
      <c r="A9" s="70" t="s">
        <v>769</v>
      </c>
      <c r="B9" s="71"/>
      <c r="C9" s="71">
        <f>B8</f>
        <v>800</v>
      </c>
      <c r="D9" s="76">
        <f>MROUND('A1 Algemene resultaten'!$Q$13-C9,10)</f>
        <v>1510</v>
      </c>
      <c r="F9" s="101" t="s">
        <v>785</v>
      </c>
      <c r="G9" s="102" t="s">
        <v>127</v>
      </c>
      <c r="H9" s="103">
        <f>COUNTIFS(aanname_implementatie[Inschatting huidige implementatiegraad],G9,aanname_implementatie[Direct toepasbaar/extrapolatie],"Huidige toepassing")</f>
        <v>20</v>
      </c>
    </row>
    <row r="10" spans="1:16382" x14ac:dyDescent="0.5">
      <c r="A10" s="70" t="s">
        <v>773</v>
      </c>
      <c r="B10" s="71">
        <f>C9+D9</f>
        <v>2310</v>
      </c>
      <c r="C10" s="71"/>
      <c r="D10" s="76"/>
      <c r="F10" s="101" t="s">
        <v>784</v>
      </c>
      <c r="G10" s="102" t="s">
        <v>129</v>
      </c>
      <c r="H10" s="103">
        <f>COUNTIFS(aanname_implementatie[Inschatting huidige implementatiegraad],G10,aanname_implementatie[Direct toepasbaar/extrapolatie],"Huidige toepassing")</f>
        <v>3</v>
      </c>
    </row>
    <row r="11" spans="1:16382" ht="17.5" thickBot="1" x14ac:dyDescent="0.55000000000000004">
      <c r="A11" s="70" t="s">
        <v>770</v>
      </c>
      <c r="B11" s="71"/>
      <c r="C11" s="71">
        <f>C9+D9</f>
        <v>2310</v>
      </c>
      <c r="D11" s="76">
        <f>'A1 Algemene resultaten'!$U$13</f>
        <v>629.58448144172576</v>
      </c>
      <c r="F11" s="104" t="s">
        <v>783</v>
      </c>
      <c r="G11" s="105" t="s">
        <v>131</v>
      </c>
      <c r="H11" s="106">
        <f>COUNTIFS(aanname_implementatie[Inschatting huidige implementatiegraad],G11,aanname_implementatie[Direct toepasbaar/extrapolatie],"Huidige toepassing")</f>
        <v>2</v>
      </c>
    </row>
    <row r="12" spans="1:16382" ht="17.5" thickBot="1" x14ac:dyDescent="0.55000000000000004">
      <c r="A12" s="108" t="s">
        <v>771</v>
      </c>
      <c r="B12" s="250">
        <f>C11+D11</f>
        <v>2939.584481441726</v>
      </c>
      <c r="C12" s="250"/>
      <c r="D12" s="251"/>
    </row>
    <row r="13" spans="1:16382" ht="17.5" thickBot="1" x14ac:dyDescent="0.55000000000000004"/>
    <row r="14" spans="1:16382" ht="17.5" thickBot="1" x14ac:dyDescent="0.55000000000000004">
      <c r="A14" s="237" t="s">
        <v>751</v>
      </c>
      <c r="B14" s="200" t="s">
        <v>794</v>
      </c>
      <c r="C14" s="201" t="s">
        <v>448</v>
      </c>
    </row>
    <row r="15" spans="1:16382" x14ac:dyDescent="0.5">
      <c r="A15" s="85" t="s">
        <v>32</v>
      </c>
      <c r="B15" s="72">
        <f>SUMIFS(uitkomst_tech[QALY (€)],uitkomst_tech[Digitale zorgtoepassing],$A15,uitkomst_tech[Jaar],'A1 Algemene resultaten'!$B$49,uitkomst_tech[Uitgangssituatie/effect beleid],"Effect beleid")/1000000</f>
        <v>82.455642573617865</v>
      </c>
      <c r="C15" s="86" cm="1">
        <f t="array" ref="C15">MROUND(B15*1000000/QALY[Waarde gezond levensjaar],10)</f>
        <v>1650</v>
      </c>
    </row>
    <row r="16" spans="1:16382" x14ac:dyDescent="0.5">
      <c r="A16" s="85" t="s">
        <v>88</v>
      </c>
      <c r="B16" s="72">
        <f>SUMIFS(uitkomst_tech[QALY (€)],uitkomst_tech[Digitale zorgtoepassing],$A16,uitkomst_tech[Jaar],'A1 Algemene resultaten'!$B$49,uitkomst_tech[Uitgangssituatie/effect beleid],"Effect beleid")/1000000</f>
        <v>163.09511259648824</v>
      </c>
      <c r="C16" s="86" cm="1">
        <f t="array" ref="C16">MROUND(B16*1000000/QALY[Waarde gezond levensjaar],10)</f>
        <v>3260</v>
      </c>
    </row>
    <row r="17" spans="1:16382" x14ac:dyDescent="0.5">
      <c r="A17" s="85" t="s">
        <v>609</v>
      </c>
      <c r="B17" s="72">
        <f>SUMIFS(uitkomst_tech[QALY (€)],uitkomst_tech[Digitale zorgtoepassing],$A17,uitkomst_tech[Jaar],'A1 Algemene resultaten'!$B$49,uitkomst_tech[Uitgangssituatie/effect beleid],"Effect beleid")/1000000</f>
        <v>178.78559519614012</v>
      </c>
      <c r="C17" s="86" cm="1">
        <f t="array" ref="C17">MROUND(B17*1000000/QALY[Waarde gezond levensjaar],10)</f>
        <v>3580</v>
      </c>
    </row>
    <row r="18" spans="1:16382" x14ac:dyDescent="0.5">
      <c r="A18" s="85" t="s">
        <v>53</v>
      </c>
      <c r="B18" s="72">
        <f>SUMIFS(uitkomst_tech[QALY (€)],uitkomst_tech[Digitale zorgtoepassing],$A18,uitkomst_tech[Jaar],'A1 Algemene resultaten'!$B$49,uitkomst_tech[Uitgangssituatie/effect beleid],"Effect beleid")/1000000</f>
        <v>142.07819611419097</v>
      </c>
      <c r="C18" s="86" cm="1">
        <f t="array" ref="C18">MROUND(B18*1000000/QALY[Waarde gezond levensjaar],10)</f>
        <v>2840</v>
      </c>
    </row>
    <row r="19" spans="1:16382" x14ac:dyDescent="0.5">
      <c r="A19" s="85" t="s">
        <v>716</v>
      </c>
      <c r="B19" s="72">
        <f>SUMIFS(uitkomst_tech[QALY (€)],uitkomst_tech[Digitale zorgtoepassing],$A19,uitkomst_tech[Jaar],'A1 Algemene resultaten'!$B$49,uitkomst_tech[Uitgangssituatie/effect beleid],"Effect beleid")/1000000</f>
        <v>0.49371216887070724</v>
      </c>
      <c r="C19" s="86" cm="1">
        <f t="array" ref="C19">MROUND(B19*1000000/QALY[Waarde gezond levensjaar],10)</f>
        <v>10</v>
      </c>
    </row>
    <row r="20" spans="1:16382" x14ac:dyDescent="0.5">
      <c r="A20" s="85" t="s">
        <v>473</v>
      </c>
      <c r="B20" s="72">
        <f>SUMIFS(uitkomst_tech[QALY (€)],uitkomst_tech[Digitale zorgtoepassing],$A20,uitkomst_tech[Jaar],'A1 Algemene resultaten'!$B$49,uitkomst_tech[Uitgangssituatie/effect beleid],"Effect beleid")/1000000</f>
        <v>27.454083558404022</v>
      </c>
      <c r="C20" s="86" cm="1">
        <f t="array" ref="C20">MROUND(B20*1000000/QALY[Waarde gezond levensjaar],10)</f>
        <v>550</v>
      </c>
    </row>
    <row r="21" spans="1:16382" ht="17.5" thickBot="1" x14ac:dyDescent="0.55000000000000004">
      <c r="A21" s="87" t="s">
        <v>472</v>
      </c>
      <c r="B21" s="72">
        <f>SUMIFS(uitkomst_tech[QALY (€)],uitkomst_tech[Digitale zorgtoepassing],$A21,uitkomst_tech[Jaar],'A1 Algemene resultaten'!$B$49,uitkomst_tech[Uitgangssituatie/effect beleid],"Effect beleid")/1000000</f>
        <v>9.4820153192261234</v>
      </c>
      <c r="C21" s="88" cm="1">
        <f t="array" ref="C21">MROUND(B21*1000000/QALY[Waarde gezond levensjaar],10)</f>
        <v>190</v>
      </c>
    </row>
    <row r="22" spans="1:16382" ht="17.5" thickBot="1" x14ac:dyDescent="0.55000000000000004">
      <c r="A22" s="89" t="s">
        <v>634</v>
      </c>
      <c r="B22" s="90">
        <f>SUM(B15:B21)</f>
        <v>603.84435752693798</v>
      </c>
      <c r="C22" s="91">
        <f>SUM(C15:C21)</f>
        <v>12080</v>
      </c>
    </row>
    <row r="24" spans="1:16382" s="233" customFormat="1" ht="17.5" thickBot="1" x14ac:dyDescent="0.55000000000000004">
      <c r="A24" s="497" t="str">
        <f>CONCATENATE("Resultaten voor het jaar ",'A1 Algemene resultaten'!B49, IF('A1 Algemene resultaten'!B51= "Huidig beleid gehaald + 3 nieuwe beleidsmaatregelen"," bij slagen huidig beleid en invoeren 3 nieuwe beleidsmaatregelen", IF('A1 Algemene resultaten'!B51="Uitgangssituatie (huidig beleid gehaald, geen nieuw beleid)"," bij slagen huidig beleid en geen nieuw beleid"," bij niet slagen huidig beleid")))</f>
        <v>Resultaten voor het jaar 2028 bij slagen huidig beleid en geen nieuw beleid</v>
      </c>
      <c r="B24" s="497"/>
      <c r="C24" s="497"/>
      <c r="D24" s="497"/>
      <c r="E24" s="497"/>
      <c r="F24" s="497"/>
      <c r="G24" s="497"/>
      <c r="H24" s="497"/>
      <c r="I24" s="497"/>
      <c r="J24" s="497"/>
      <c r="K24" s="497"/>
      <c r="L24" s="497"/>
      <c r="M24" s="497"/>
      <c r="N24" s="497"/>
      <c r="O24" s="497"/>
      <c r="P24" s="497"/>
      <c r="Q24" s="497"/>
      <c r="R24" s="497"/>
      <c r="S24" s="497"/>
      <c r="T24" s="497"/>
      <c r="U24" s="497"/>
      <c r="V24" s="497"/>
      <c r="W24" s="497"/>
      <c r="X24" s="497"/>
      <c r="Y24" s="497"/>
      <c r="Z24" s="497"/>
      <c r="AA24" s="497"/>
      <c r="AB24" s="497"/>
      <c r="AC24" s="497"/>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497"/>
      <c r="AZ24" s="497"/>
      <c r="BA24" s="497"/>
      <c r="BB24" s="497"/>
      <c r="BC24" s="497"/>
      <c r="BD24" s="497"/>
      <c r="BE24" s="497"/>
      <c r="BF24" s="497"/>
      <c r="BG24" s="497"/>
      <c r="BH24" s="497"/>
      <c r="BI24" s="497"/>
      <c r="BJ24" s="497"/>
      <c r="BK24" s="497"/>
      <c r="BL24" s="497"/>
      <c r="BM24" s="497"/>
      <c r="BN24" s="497"/>
      <c r="BO24" s="497"/>
      <c r="BP24" s="497"/>
      <c r="BQ24" s="497"/>
      <c r="BR24" s="497"/>
      <c r="BS24" s="497"/>
      <c r="BT24" s="497"/>
      <c r="BU24" s="497"/>
      <c r="BV24" s="497"/>
      <c r="BW24" s="497"/>
      <c r="BX24" s="497"/>
      <c r="BY24" s="497"/>
      <c r="BZ24" s="497"/>
      <c r="CA24" s="497"/>
      <c r="CB24" s="497"/>
      <c r="CC24" s="497"/>
      <c r="CD24" s="497"/>
      <c r="CE24" s="497"/>
      <c r="CF24" s="497"/>
      <c r="CG24" s="497"/>
      <c r="CH24" s="497"/>
      <c r="CI24" s="497"/>
      <c r="CJ24" s="497"/>
      <c r="CK24" s="497"/>
      <c r="CL24" s="497"/>
      <c r="CM24" s="497"/>
      <c r="CN24" s="497"/>
      <c r="CO24" s="497"/>
      <c r="CP24" s="497"/>
      <c r="CQ24" s="497"/>
      <c r="CR24" s="497"/>
      <c r="CS24" s="497"/>
      <c r="CT24" s="497"/>
      <c r="CU24" s="497"/>
      <c r="CV24" s="497"/>
      <c r="CW24" s="497"/>
      <c r="CX24" s="497"/>
      <c r="CY24" s="497"/>
      <c r="CZ24" s="497"/>
      <c r="DA24" s="497"/>
      <c r="DB24" s="497"/>
      <c r="DC24" s="497"/>
      <c r="DD24" s="497"/>
      <c r="DE24" s="497"/>
      <c r="DF24" s="497"/>
      <c r="DG24" s="497"/>
      <c r="DH24" s="497"/>
      <c r="DI24" s="497"/>
      <c r="DJ24" s="497"/>
      <c r="DK24" s="497"/>
      <c r="DL24" s="497"/>
      <c r="DM24" s="497"/>
      <c r="DN24" s="497"/>
      <c r="DO24" s="497"/>
      <c r="DP24" s="497"/>
      <c r="DQ24" s="497"/>
      <c r="DR24" s="497"/>
      <c r="DS24" s="497"/>
      <c r="DT24" s="497"/>
      <c r="DU24" s="497"/>
      <c r="DV24" s="497"/>
      <c r="DW24" s="497"/>
      <c r="DX24" s="497"/>
      <c r="DY24" s="497"/>
      <c r="DZ24" s="497"/>
      <c r="EA24" s="497"/>
      <c r="EB24" s="497"/>
      <c r="EC24" s="497"/>
      <c r="ED24" s="497"/>
      <c r="EE24" s="497"/>
      <c r="EF24" s="497"/>
      <c r="EG24" s="497"/>
      <c r="EH24" s="497"/>
      <c r="EI24" s="497"/>
      <c r="EJ24" s="497"/>
      <c r="EK24" s="497"/>
      <c r="EL24" s="497"/>
      <c r="EM24" s="497"/>
      <c r="EN24" s="497"/>
      <c r="EO24" s="497"/>
      <c r="EP24" s="497"/>
      <c r="EQ24" s="497"/>
      <c r="ER24" s="497"/>
      <c r="ES24" s="497"/>
      <c r="ET24" s="497"/>
      <c r="EU24" s="497"/>
      <c r="EV24" s="497"/>
      <c r="EW24" s="497"/>
      <c r="EX24" s="497"/>
      <c r="EY24" s="497"/>
      <c r="EZ24" s="497"/>
      <c r="FA24" s="497"/>
      <c r="FB24" s="497"/>
      <c r="FC24" s="497"/>
      <c r="FD24" s="497"/>
      <c r="FE24" s="497"/>
      <c r="FF24" s="497"/>
      <c r="FG24" s="497"/>
      <c r="FH24" s="497"/>
      <c r="FI24" s="497"/>
      <c r="FJ24" s="497"/>
      <c r="FK24" s="497"/>
      <c r="FL24" s="497"/>
      <c r="FM24" s="497"/>
      <c r="FN24" s="497"/>
      <c r="FO24" s="497"/>
      <c r="FP24" s="497"/>
      <c r="FQ24" s="497"/>
      <c r="FR24" s="497"/>
      <c r="FS24" s="497"/>
      <c r="FT24" s="497"/>
      <c r="FU24" s="497"/>
      <c r="FV24" s="497"/>
      <c r="FW24" s="497"/>
      <c r="FX24" s="497"/>
      <c r="FY24" s="497"/>
      <c r="FZ24" s="497"/>
      <c r="GA24" s="497"/>
      <c r="GB24" s="497"/>
      <c r="GC24" s="497"/>
      <c r="GD24" s="497"/>
      <c r="GE24" s="497"/>
      <c r="GF24" s="497"/>
      <c r="GG24" s="497"/>
      <c r="GH24" s="497"/>
      <c r="GI24" s="497"/>
      <c r="GJ24" s="497"/>
      <c r="GK24" s="497"/>
      <c r="GL24" s="497"/>
      <c r="GM24" s="497"/>
      <c r="GN24" s="497"/>
      <c r="GO24" s="497"/>
      <c r="GP24" s="497"/>
      <c r="GQ24" s="497"/>
      <c r="GR24" s="497"/>
      <c r="GS24" s="497"/>
      <c r="GT24" s="497"/>
      <c r="GU24" s="497"/>
      <c r="GV24" s="497"/>
      <c r="GW24" s="497"/>
      <c r="GX24" s="497"/>
      <c r="GY24" s="497"/>
      <c r="GZ24" s="497"/>
      <c r="HA24" s="497"/>
      <c r="HB24" s="497"/>
      <c r="HC24" s="497"/>
      <c r="HD24" s="497"/>
      <c r="HE24" s="497"/>
      <c r="HF24" s="497"/>
      <c r="HG24" s="497"/>
      <c r="HH24" s="497"/>
      <c r="HI24" s="497"/>
      <c r="HJ24" s="497"/>
      <c r="HK24" s="497"/>
      <c r="HL24" s="497"/>
      <c r="HM24" s="497"/>
      <c r="HN24" s="497"/>
      <c r="HO24" s="497"/>
      <c r="HP24" s="497"/>
      <c r="HQ24" s="497"/>
      <c r="HR24" s="497"/>
      <c r="HS24" s="497"/>
      <c r="HT24" s="497"/>
      <c r="HU24" s="497"/>
      <c r="HV24" s="497"/>
      <c r="HW24" s="497"/>
      <c r="HX24" s="497"/>
      <c r="HY24" s="497"/>
      <c r="HZ24" s="497"/>
      <c r="IA24" s="497"/>
      <c r="IB24" s="497"/>
      <c r="IC24" s="497"/>
      <c r="ID24" s="497"/>
      <c r="IE24" s="497"/>
      <c r="IF24" s="497"/>
      <c r="IG24" s="497"/>
      <c r="IH24" s="497"/>
      <c r="II24" s="497"/>
      <c r="IJ24" s="497"/>
      <c r="IK24" s="497"/>
      <c r="IL24" s="497"/>
      <c r="IM24" s="497"/>
      <c r="IN24" s="497"/>
      <c r="IO24" s="497"/>
      <c r="IP24" s="497"/>
      <c r="IQ24" s="497"/>
      <c r="IR24" s="497"/>
      <c r="IS24" s="497"/>
      <c r="IT24" s="497"/>
      <c r="IU24" s="497"/>
      <c r="IV24" s="497"/>
      <c r="IW24" s="497"/>
      <c r="IX24" s="497"/>
      <c r="IY24" s="497"/>
      <c r="IZ24" s="497"/>
      <c r="JA24" s="497"/>
      <c r="JB24" s="497"/>
      <c r="JC24" s="497"/>
      <c r="JD24" s="497"/>
      <c r="JE24" s="497"/>
      <c r="JF24" s="497"/>
      <c r="JG24" s="497"/>
      <c r="JH24" s="497"/>
      <c r="JI24" s="497"/>
      <c r="JJ24" s="497"/>
      <c r="JK24" s="497"/>
      <c r="JL24" s="497"/>
      <c r="JM24" s="497"/>
      <c r="JN24" s="497"/>
      <c r="JO24" s="497"/>
      <c r="JP24" s="497"/>
      <c r="JQ24" s="497"/>
      <c r="JR24" s="497"/>
      <c r="JS24" s="497"/>
      <c r="JT24" s="497"/>
      <c r="JU24" s="497"/>
      <c r="JV24" s="497"/>
      <c r="JW24" s="497"/>
      <c r="JX24" s="497"/>
      <c r="JY24" s="497"/>
      <c r="JZ24" s="497"/>
      <c r="KA24" s="497"/>
      <c r="KB24" s="497"/>
      <c r="KC24" s="497"/>
      <c r="KD24" s="497"/>
      <c r="KE24" s="497"/>
      <c r="KF24" s="497"/>
      <c r="KG24" s="497"/>
      <c r="KH24" s="497"/>
      <c r="KI24" s="497"/>
      <c r="KJ24" s="497"/>
      <c r="KK24" s="497"/>
      <c r="KL24" s="497"/>
      <c r="KM24" s="497"/>
      <c r="KN24" s="497"/>
      <c r="KO24" s="497"/>
      <c r="KP24" s="497"/>
      <c r="KQ24" s="497"/>
      <c r="KR24" s="497"/>
      <c r="KS24" s="497"/>
      <c r="KT24" s="497"/>
      <c r="KU24" s="497"/>
      <c r="KV24" s="497"/>
      <c r="KW24" s="497"/>
      <c r="KX24" s="497"/>
      <c r="KY24" s="497"/>
      <c r="KZ24" s="497"/>
      <c r="LA24" s="497"/>
      <c r="LB24" s="497"/>
      <c r="LC24" s="497"/>
      <c r="LD24" s="497"/>
      <c r="LE24" s="497"/>
      <c r="LF24" s="497"/>
      <c r="LG24" s="497"/>
      <c r="LH24" s="497"/>
      <c r="LI24" s="497"/>
      <c r="LJ24" s="497"/>
      <c r="LK24" s="497"/>
      <c r="LL24" s="497"/>
      <c r="LM24" s="497"/>
      <c r="LN24" s="497"/>
      <c r="LO24" s="497"/>
      <c r="LP24" s="497"/>
      <c r="LQ24" s="497"/>
      <c r="LR24" s="497"/>
      <c r="LS24" s="497"/>
      <c r="LT24" s="497"/>
      <c r="LU24" s="497"/>
      <c r="LV24" s="497"/>
      <c r="LW24" s="497"/>
      <c r="LX24" s="497"/>
      <c r="LY24" s="497"/>
      <c r="LZ24" s="497"/>
      <c r="MA24" s="497"/>
      <c r="MB24" s="497"/>
      <c r="MC24" s="497"/>
      <c r="MD24" s="497"/>
      <c r="ME24" s="497"/>
      <c r="MF24" s="497"/>
      <c r="MG24" s="497"/>
      <c r="MH24" s="497"/>
      <c r="MI24" s="497"/>
      <c r="MJ24" s="497"/>
      <c r="MK24" s="497"/>
      <c r="ML24" s="497"/>
      <c r="MM24" s="497"/>
      <c r="MN24" s="497"/>
      <c r="MO24" s="497"/>
      <c r="MP24" s="497"/>
      <c r="MQ24" s="497"/>
      <c r="MR24" s="497"/>
      <c r="MS24" s="497"/>
      <c r="MT24" s="497"/>
      <c r="MU24" s="497"/>
      <c r="MV24" s="497"/>
      <c r="MW24" s="497"/>
      <c r="MX24" s="497"/>
      <c r="MY24" s="497"/>
      <c r="MZ24" s="497"/>
      <c r="NA24" s="497"/>
      <c r="NB24" s="497"/>
      <c r="NC24" s="497"/>
      <c r="ND24" s="497"/>
      <c r="NE24" s="497"/>
      <c r="NF24" s="497"/>
      <c r="NG24" s="497"/>
      <c r="NH24" s="497"/>
      <c r="NI24" s="497"/>
      <c r="NJ24" s="497"/>
      <c r="NK24" s="497"/>
      <c r="NL24" s="497"/>
      <c r="NM24" s="497"/>
      <c r="NN24" s="497"/>
      <c r="NO24" s="497"/>
      <c r="NP24" s="497"/>
      <c r="NQ24" s="497"/>
      <c r="NR24" s="497"/>
      <c r="NS24" s="497"/>
      <c r="NT24" s="497"/>
      <c r="NU24" s="497"/>
      <c r="NV24" s="497"/>
      <c r="NW24" s="497"/>
      <c r="NX24" s="497"/>
      <c r="NY24" s="497"/>
      <c r="NZ24" s="497"/>
      <c r="OA24" s="497"/>
      <c r="OB24" s="497"/>
      <c r="OC24" s="497"/>
      <c r="OD24" s="497"/>
      <c r="OE24" s="497"/>
      <c r="OF24" s="497"/>
      <c r="OG24" s="497"/>
      <c r="OH24" s="497"/>
      <c r="OI24" s="497"/>
      <c r="OJ24" s="497"/>
      <c r="OK24" s="497"/>
      <c r="OL24" s="497"/>
      <c r="OM24" s="497"/>
      <c r="ON24" s="497"/>
      <c r="OO24" s="497"/>
      <c r="OP24" s="497"/>
      <c r="OQ24" s="497"/>
      <c r="OR24" s="497"/>
      <c r="OS24" s="497"/>
      <c r="OT24" s="497"/>
      <c r="OU24" s="497"/>
      <c r="OV24" s="497"/>
      <c r="OW24" s="497"/>
      <c r="OX24" s="497"/>
      <c r="OY24" s="497"/>
      <c r="OZ24" s="497"/>
      <c r="PA24" s="497"/>
      <c r="PB24" s="497"/>
      <c r="PC24" s="497"/>
      <c r="PD24" s="497"/>
      <c r="PE24" s="497"/>
      <c r="PF24" s="497"/>
      <c r="PG24" s="497"/>
      <c r="PH24" s="497"/>
      <c r="PI24" s="497"/>
      <c r="PJ24" s="497"/>
      <c r="PK24" s="497"/>
      <c r="PL24" s="497"/>
      <c r="PM24" s="497"/>
      <c r="PN24" s="497"/>
      <c r="PO24" s="497"/>
      <c r="PP24" s="497"/>
      <c r="PQ24" s="497"/>
      <c r="PR24" s="497"/>
      <c r="PS24" s="497"/>
      <c r="PT24" s="497"/>
      <c r="PU24" s="497"/>
      <c r="PV24" s="497"/>
      <c r="PW24" s="497"/>
      <c r="PX24" s="497"/>
      <c r="PY24" s="497"/>
      <c r="PZ24" s="497"/>
      <c r="QA24" s="497"/>
      <c r="QB24" s="497"/>
      <c r="QC24" s="497"/>
      <c r="QD24" s="497"/>
      <c r="QE24" s="497"/>
      <c r="QF24" s="497"/>
      <c r="QG24" s="497"/>
      <c r="QH24" s="497"/>
      <c r="QI24" s="497"/>
      <c r="QJ24" s="497"/>
      <c r="QK24" s="497"/>
      <c r="QL24" s="497"/>
      <c r="QM24" s="497"/>
      <c r="QN24" s="497"/>
      <c r="QO24" s="497"/>
      <c r="QP24" s="497"/>
      <c r="QQ24" s="497"/>
      <c r="QR24" s="497"/>
      <c r="QS24" s="497"/>
      <c r="QT24" s="497"/>
      <c r="QU24" s="497"/>
      <c r="QV24" s="497"/>
      <c r="QW24" s="497"/>
      <c r="QX24" s="497"/>
      <c r="QY24" s="497"/>
      <c r="QZ24" s="497"/>
      <c r="RA24" s="497"/>
      <c r="RB24" s="497"/>
      <c r="RC24" s="497"/>
      <c r="RD24" s="497"/>
      <c r="RE24" s="497"/>
      <c r="RF24" s="497"/>
      <c r="RG24" s="497"/>
      <c r="RH24" s="497"/>
      <c r="RI24" s="497"/>
      <c r="RJ24" s="497"/>
      <c r="RK24" s="497"/>
      <c r="RL24" s="497"/>
      <c r="RM24" s="497"/>
      <c r="RN24" s="497"/>
      <c r="RO24" s="497"/>
      <c r="RP24" s="497"/>
      <c r="RQ24" s="497"/>
      <c r="RR24" s="497"/>
      <c r="RS24" s="497"/>
      <c r="RT24" s="497"/>
      <c r="RU24" s="497"/>
      <c r="RV24" s="497"/>
      <c r="RW24" s="497"/>
      <c r="RX24" s="497"/>
      <c r="RY24" s="497"/>
      <c r="RZ24" s="497"/>
      <c r="SA24" s="497"/>
      <c r="SB24" s="497"/>
      <c r="SC24" s="497"/>
      <c r="SD24" s="497"/>
      <c r="SE24" s="497"/>
      <c r="SF24" s="497"/>
      <c r="SG24" s="497"/>
      <c r="SH24" s="497"/>
      <c r="SI24" s="497"/>
      <c r="SJ24" s="497"/>
      <c r="SK24" s="497"/>
      <c r="SL24" s="497"/>
      <c r="SM24" s="497"/>
      <c r="SN24" s="497"/>
      <c r="SO24" s="497"/>
      <c r="SP24" s="497"/>
      <c r="SQ24" s="497"/>
      <c r="SR24" s="497"/>
      <c r="SS24" s="497"/>
      <c r="ST24" s="497"/>
      <c r="SU24" s="497"/>
      <c r="SV24" s="497"/>
      <c r="SW24" s="497"/>
      <c r="SX24" s="497"/>
      <c r="SY24" s="497"/>
      <c r="SZ24" s="497"/>
      <c r="TA24" s="497"/>
      <c r="TB24" s="497"/>
      <c r="TC24" s="497"/>
      <c r="TD24" s="497"/>
      <c r="TE24" s="497"/>
      <c r="TF24" s="497"/>
      <c r="TG24" s="497"/>
      <c r="TH24" s="497"/>
      <c r="TI24" s="497"/>
      <c r="TJ24" s="497"/>
      <c r="TK24" s="497"/>
      <c r="TL24" s="497"/>
      <c r="TM24" s="497"/>
      <c r="TN24" s="497"/>
      <c r="TO24" s="497"/>
      <c r="TP24" s="497"/>
      <c r="TQ24" s="497"/>
      <c r="TR24" s="497"/>
      <c r="TS24" s="497"/>
      <c r="TT24" s="497"/>
      <c r="TU24" s="497"/>
      <c r="TV24" s="497"/>
      <c r="TW24" s="497"/>
      <c r="TX24" s="497"/>
      <c r="TY24" s="497"/>
      <c r="TZ24" s="497"/>
      <c r="UA24" s="497"/>
      <c r="UB24" s="497"/>
      <c r="UC24" s="497"/>
      <c r="UD24" s="497"/>
      <c r="UE24" s="497"/>
      <c r="UF24" s="497"/>
      <c r="UG24" s="497"/>
      <c r="UH24" s="497"/>
      <c r="UI24" s="497"/>
      <c r="UJ24" s="497"/>
      <c r="UK24" s="497"/>
      <c r="UL24" s="497"/>
      <c r="UM24" s="497"/>
      <c r="UN24" s="497"/>
      <c r="UO24" s="497"/>
      <c r="UP24" s="497"/>
      <c r="UQ24" s="497"/>
      <c r="UR24" s="497"/>
      <c r="US24" s="497"/>
      <c r="UT24" s="497"/>
      <c r="UU24" s="497"/>
      <c r="UV24" s="497"/>
      <c r="UW24" s="497"/>
      <c r="UX24" s="497"/>
      <c r="UY24" s="497"/>
      <c r="UZ24" s="497"/>
      <c r="VA24" s="497"/>
      <c r="VB24" s="497"/>
      <c r="VC24" s="497"/>
      <c r="VD24" s="497"/>
      <c r="VE24" s="497"/>
      <c r="VF24" s="497"/>
      <c r="VG24" s="497"/>
      <c r="VH24" s="497"/>
      <c r="VI24" s="497"/>
      <c r="VJ24" s="497"/>
      <c r="VK24" s="497"/>
      <c r="VL24" s="497"/>
      <c r="VM24" s="497"/>
      <c r="VN24" s="497"/>
      <c r="VO24" s="497"/>
      <c r="VP24" s="497"/>
      <c r="VQ24" s="497"/>
      <c r="VR24" s="497"/>
      <c r="VS24" s="497"/>
      <c r="VT24" s="497"/>
      <c r="VU24" s="497"/>
      <c r="VV24" s="497"/>
      <c r="VW24" s="497"/>
      <c r="VX24" s="497"/>
      <c r="VY24" s="497"/>
      <c r="VZ24" s="497"/>
      <c r="WA24" s="497"/>
      <c r="WB24" s="497"/>
      <c r="WC24" s="497"/>
      <c r="WD24" s="497"/>
      <c r="WE24" s="497"/>
      <c r="WF24" s="497"/>
      <c r="WG24" s="497"/>
      <c r="WH24" s="497"/>
      <c r="WI24" s="497"/>
      <c r="WJ24" s="497"/>
      <c r="WK24" s="497"/>
      <c r="WL24" s="497"/>
      <c r="WM24" s="497"/>
      <c r="WN24" s="497"/>
      <c r="WO24" s="497"/>
      <c r="WP24" s="497"/>
      <c r="WQ24" s="497"/>
      <c r="WR24" s="497"/>
      <c r="WS24" s="497"/>
      <c r="WT24" s="497"/>
      <c r="WU24" s="497"/>
      <c r="WV24" s="497"/>
      <c r="WW24" s="497"/>
      <c r="WX24" s="497"/>
      <c r="WY24" s="497"/>
      <c r="WZ24" s="497"/>
      <c r="XA24" s="497"/>
      <c r="XB24" s="497"/>
      <c r="XC24" s="497"/>
      <c r="XD24" s="497"/>
      <c r="XE24" s="497"/>
      <c r="XF24" s="497"/>
      <c r="XG24" s="497"/>
      <c r="XH24" s="497"/>
      <c r="XI24" s="497"/>
      <c r="XJ24" s="497"/>
      <c r="XK24" s="497"/>
      <c r="XL24" s="497"/>
      <c r="XM24" s="497"/>
      <c r="XN24" s="497"/>
      <c r="XO24" s="497"/>
      <c r="XP24" s="497"/>
      <c r="XQ24" s="497"/>
      <c r="XR24" s="497"/>
      <c r="XS24" s="497"/>
      <c r="XT24" s="497"/>
      <c r="XU24" s="497"/>
      <c r="XV24" s="497"/>
      <c r="XW24" s="497"/>
      <c r="XX24" s="497"/>
      <c r="XY24" s="497"/>
      <c r="XZ24" s="497"/>
      <c r="YA24" s="497"/>
      <c r="YB24" s="497"/>
      <c r="YC24" s="497"/>
      <c r="YD24" s="497"/>
      <c r="YE24" s="497"/>
      <c r="YF24" s="497"/>
      <c r="YG24" s="497"/>
      <c r="YH24" s="497"/>
      <c r="YI24" s="497"/>
      <c r="YJ24" s="497"/>
      <c r="YK24" s="497"/>
      <c r="YL24" s="497"/>
      <c r="YM24" s="497"/>
      <c r="YN24" s="497"/>
      <c r="YO24" s="497"/>
      <c r="YP24" s="497"/>
      <c r="YQ24" s="497"/>
      <c r="YR24" s="497"/>
      <c r="YS24" s="497"/>
      <c r="YT24" s="497"/>
      <c r="YU24" s="497"/>
      <c r="YV24" s="497"/>
      <c r="YW24" s="497"/>
      <c r="YX24" s="497"/>
      <c r="YY24" s="497"/>
      <c r="YZ24" s="497"/>
      <c r="ZA24" s="497"/>
      <c r="ZB24" s="497"/>
      <c r="ZC24" s="497"/>
      <c r="ZD24" s="497"/>
      <c r="ZE24" s="497"/>
      <c r="ZF24" s="497"/>
      <c r="ZG24" s="497"/>
      <c r="ZH24" s="497"/>
      <c r="ZI24" s="497"/>
      <c r="ZJ24" s="497"/>
      <c r="ZK24" s="497"/>
      <c r="ZL24" s="497"/>
      <c r="ZM24" s="497"/>
      <c r="ZN24" s="497"/>
      <c r="ZO24" s="497"/>
      <c r="ZP24" s="497"/>
      <c r="ZQ24" s="497"/>
      <c r="ZR24" s="497"/>
      <c r="ZS24" s="497"/>
      <c r="ZT24" s="497"/>
      <c r="ZU24" s="497"/>
      <c r="ZV24" s="497"/>
      <c r="ZW24" s="497"/>
      <c r="ZX24" s="497"/>
      <c r="ZY24" s="497"/>
      <c r="ZZ24" s="497"/>
      <c r="AAA24" s="497"/>
      <c r="AAB24" s="497"/>
      <c r="AAC24" s="497"/>
      <c r="AAD24" s="497"/>
      <c r="AAE24" s="497"/>
      <c r="AAF24" s="497"/>
      <c r="AAG24" s="497"/>
      <c r="AAH24" s="497"/>
      <c r="AAI24" s="497"/>
      <c r="AAJ24" s="497"/>
      <c r="AAK24" s="497"/>
      <c r="AAL24" s="497"/>
      <c r="AAM24" s="497"/>
      <c r="AAN24" s="497"/>
      <c r="AAO24" s="497"/>
      <c r="AAP24" s="497"/>
      <c r="AAQ24" s="497"/>
      <c r="AAR24" s="497"/>
      <c r="AAS24" s="497"/>
      <c r="AAT24" s="497"/>
      <c r="AAU24" s="497"/>
      <c r="AAV24" s="497"/>
      <c r="AAW24" s="497"/>
      <c r="AAX24" s="497"/>
      <c r="AAY24" s="497"/>
      <c r="AAZ24" s="497"/>
      <c r="ABA24" s="497"/>
      <c r="ABB24" s="497"/>
      <c r="ABC24" s="497"/>
      <c r="ABD24" s="497"/>
      <c r="ABE24" s="497"/>
      <c r="ABF24" s="497"/>
      <c r="ABG24" s="497"/>
      <c r="ABH24" s="497"/>
      <c r="ABI24" s="497"/>
      <c r="ABJ24" s="497"/>
      <c r="ABK24" s="497"/>
      <c r="ABL24" s="497"/>
      <c r="ABM24" s="497"/>
      <c r="ABN24" s="497"/>
      <c r="ABO24" s="497"/>
      <c r="ABP24" s="497"/>
      <c r="ABQ24" s="497"/>
      <c r="ABR24" s="497"/>
      <c r="ABS24" s="497"/>
      <c r="ABT24" s="497"/>
      <c r="ABU24" s="497"/>
      <c r="ABV24" s="497"/>
      <c r="ABW24" s="497"/>
      <c r="ABX24" s="497"/>
      <c r="ABY24" s="497"/>
      <c r="ABZ24" s="497"/>
      <c r="ACA24" s="497"/>
      <c r="ACB24" s="497"/>
      <c r="ACC24" s="497"/>
      <c r="ACD24" s="497"/>
      <c r="ACE24" s="497"/>
      <c r="ACF24" s="497"/>
      <c r="ACG24" s="497"/>
      <c r="ACH24" s="497"/>
      <c r="ACI24" s="497"/>
      <c r="ACJ24" s="497"/>
      <c r="ACK24" s="497"/>
      <c r="ACL24" s="497"/>
      <c r="ACM24" s="497"/>
      <c r="ACN24" s="497"/>
      <c r="ACO24" s="497"/>
      <c r="ACP24" s="497"/>
      <c r="ACQ24" s="497"/>
      <c r="ACR24" s="497"/>
      <c r="ACS24" s="497"/>
      <c r="ACT24" s="497"/>
      <c r="ACU24" s="497"/>
      <c r="ACV24" s="497"/>
      <c r="ACW24" s="497"/>
      <c r="ACX24" s="497"/>
      <c r="ACY24" s="497"/>
      <c r="ACZ24" s="497"/>
      <c r="ADA24" s="497"/>
      <c r="ADB24" s="497"/>
      <c r="ADC24" s="497"/>
      <c r="ADD24" s="497"/>
      <c r="ADE24" s="497"/>
      <c r="ADF24" s="497"/>
      <c r="ADG24" s="497"/>
      <c r="ADH24" s="497"/>
      <c r="ADI24" s="497"/>
      <c r="ADJ24" s="497"/>
      <c r="ADK24" s="497"/>
      <c r="ADL24" s="497"/>
      <c r="ADM24" s="497"/>
      <c r="ADN24" s="497"/>
      <c r="ADO24" s="497"/>
      <c r="ADP24" s="497"/>
      <c r="ADQ24" s="497"/>
      <c r="ADR24" s="497"/>
      <c r="ADS24" s="497"/>
      <c r="ADT24" s="497"/>
      <c r="ADU24" s="497"/>
      <c r="ADV24" s="497"/>
      <c r="ADW24" s="497"/>
      <c r="ADX24" s="497"/>
      <c r="ADY24" s="497"/>
      <c r="ADZ24" s="497"/>
      <c r="AEA24" s="497"/>
      <c r="AEB24" s="497"/>
      <c r="AEC24" s="497"/>
      <c r="AED24" s="497"/>
      <c r="AEE24" s="497"/>
      <c r="AEF24" s="497"/>
      <c r="AEG24" s="497"/>
      <c r="AEH24" s="497"/>
      <c r="AEI24" s="497"/>
      <c r="AEJ24" s="497"/>
      <c r="AEK24" s="497"/>
      <c r="AEL24" s="497"/>
      <c r="AEM24" s="497"/>
      <c r="AEN24" s="497"/>
      <c r="AEO24" s="497"/>
      <c r="AEP24" s="497"/>
      <c r="AEQ24" s="497"/>
      <c r="AER24" s="497"/>
      <c r="AES24" s="497"/>
      <c r="AET24" s="497"/>
      <c r="AEU24" s="497"/>
      <c r="AEV24" s="497"/>
      <c r="AEW24" s="497"/>
      <c r="AEX24" s="497"/>
      <c r="AEY24" s="497"/>
      <c r="AEZ24" s="497"/>
      <c r="AFA24" s="497"/>
      <c r="AFB24" s="497"/>
      <c r="AFC24" s="497"/>
      <c r="AFD24" s="497"/>
      <c r="AFE24" s="497"/>
      <c r="AFF24" s="497"/>
      <c r="AFG24" s="497"/>
      <c r="AFH24" s="497"/>
      <c r="AFI24" s="497"/>
      <c r="AFJ24" s="497"/>
      <c r="AFK24" s="497"/>
      <c r="AFL24" s="497"/>
      <c r="AFM24" s="497"/>
      <c r="AFN24" s="497"/>
      <c r="AFO24" s="497"/>
      <c r="AFP24" s="497"/>
      <c r="AFQ24" s="497"/>
      <c r="AFR24" s="497"/>
      <c r="AFS24" s="497"/>
      <c r="AFT24" s="497"/>
      <c r="AFU24" s="497"/>
      <c r="AFV24" s="497"/>
      <c r="AFW24" s="497"/>
      <c r="AFX24" s="497"/>
      <c r="AFY24" s="497"/>
      <c r="AFZ24" s="497"/>
      <c r="AGA24" s="497"/>
      <c r="AGB24" s="497"/>
      <c r="AGC24" s="497"/>
      <c r="AGD24" s="497"/>
      <c r="AGE24" s="497"/>
      <c r="AGF24" s="497"/>
      <c r="AGG24" s="497"/>
      <c r="AGH24" s="497"/>
      <c r="AGI24" s="497"/>
      <c r="AGJ24" s="497"/>
      <c r="AGK24" s="497"/>
      <c r="AGL24" s="497"/>
      <c r="AGM24" s="497"/>
      <c r="AGN24" s="497"/>
      <c r="AGO24" s="497"/>
      <c r="AGP24" s="497"/>
      <c r="AGQ24" s="497"/>
      <c r="AGR24" s="497"/>
      <c r="AGS24" s="497"/>
      <c r="AGT24" s="497"/>
      <c r="AGU24" s="497"/>
      <c r="AGV24" s="497"/>
      <c r="AGW24" s="497"/>
      <c r="AGX24" s="497"/>
      <c r="AGY24" s="497"/>
      <c r="AGZ24" s="497"/>
      <c r="AHA24" s="497"/>
      <c r="AHB24" s="497"/>
      <c r="AHC24" s="497"/>
      <c r="AHD24" s="497"/>
      <c r="AHE24" s="497"/>
      <c r="AHF24" s="497"/>
      <c r="AHG24" s="497"/>
      <c r="AHH24" s="497"/>
      <c r="AHI24" s="497"/>
      <c r="AHJ24" s="497"/>
      <c r="AHK24" s="497"/>
      <c r="AHL24" s="497"/>
      <c r="AHM24" s="497"/>
      <c r="AHN24" s="497"/>
      <c r="AHO24" s="497"/>
      <c r="AHP24" s="497"/>
      <c r="AHQ24" s="497"/>
      <c r="AHR24" s="497"/>
      <c r="AHS24" s="497"/>
      <c r="AHT24" s="497"/>
      <c r="AHU24" s="497"/>
      <c r="AHV24" s="497"/>
      <c r="AHW24" s="497"/>
      <c r="AHX24" s="497"/>
      <c r="AHY24" s="497"/>
      <c r="AHZ24" s="497"/>
      <c r="AIA24" s="497"/>
      <c r="AIB24" s="497"/>
      <c r="AIC24" s="497"/>
      <c r="AID24" s="497"/>
      <c r="AIE24" s="497"/>
      <c r="AIF24" s="497"/>
      <c r="AIG24" s="497"/>
      <c r="AIH24" s="497"/>
      <c r="AII24" s="497"/>
      <c r="AIJ24" s="497"/>
      <c r="AIK24" s="497"/>
      <c r="AIL24" s="497"/>
      <c r="AIM24" s="497"/>
      <c r="AIN24" s="497"/>
      <c r="AIO24" s="497"/>
      <c r="AIP24" s="497"/>
      <c r="AIQ24" s="497"/>
      <c r="AIR24" s="497"/>
      <c r="AIS24" s="497"/>
      <c r="AIT24" s="497"/>
      <c r="AIU24" s="497"/>
      <c r="AIV24" s="497"/>
      <c r="AIW24" s="497"/>
      <c r="AIX24" s="497"/>
      <c r="AIY24" s="497"/>
      <c r="AIZ24" s="497"/>
      <c r="AJA24" s="497"/>
      <c r="AJB24" s="497"/>
      <c r="AJC24" s="497"/>
      <c r="AJD24" s="497"/>
      <c r="AJE24" s="497"/>
      <c r="AJF24" s="497"/>
      <c r="AJG24" s="497"/>
      <c r="AJH24" s="497"/>
      <c r="AJI24" s="497"/>
      <c r="AJJ24" s="497"/>
      <c r="AJK24" s="497"/>
      <c r="AJL24" s="497"/>
      <c r="AJM24" s="497"/>
      <c r="AJN24" s="497"/>
      <c r="AJO24" s="497"/>
      <c r="AJP24" s="497"/>
      <c r="AJQ24" s="497"/>
      <c r="AJR24" s="497"/>
      <c r="AJS24" s="497"/>
      <c r="AJT24" s="497"/>
      <c r="AJU24" s="497"/>
      <c r="AJV24" s="497"/>
      <c r="AJW24" s="497"/>
      <c r="AJX24" s="497"/>
      <c r="AJY24" s="497"/>
      <c r="AJZ24" s="497"/>
      <c r="AKA24" s="497"/>
      <c r="AKB24" s="497"/>
      <c r="AKC24" s="497"/>
      <c r="AKD24" s="497"/>
      <c r="AKE24" s="497"/>
      <c r="AKF24" s="497"/>
      <c r="AKG24" s="497"/>
      <c r="AKH24" s="497"/>
      <c r="AKI24" s="497"/>
      <c r="AKJ24" s="497"/>
      <c r="AKK24" s="497"/>
      <c r="AKL24" s="497"/>
      <c r="AKM24" s="497"/>
      <c r="AKN24" s="497"/>
      <c r="AKO24" s="497"/>
      <c r="AKP24" s="497"/>
      <c r="AKQ24" s="497"/>
      <c r="AKR24" s="497"/>
      <c r="AKS24" s="497"/>
      <c r="AKT24" s="497"/>
      <c r="AKU24" s="497"/>
      <c r="AKV24" s="497"/>
      <c r="AKW24" s="497"/>
      <c r="AKX24" s="497"/>
      <c r="AKY24" s="497"/>
      <c r="AKZ24" s="497"/>
      <c r="ALA24" s="497"/>
      <c r="ALB24" s="497"/>
      <c r="ALC24" s="497"/>
      <c r="ALD24" s="497"/>
      <c r="ALE24" s="497"/>
      <c r="ALF24" s="497"/>
      <c r="ALG24" s="497"/>
      <c r="ALH24" s="497"/>
      <c r="ALI24" s="497"/>
      <c r="ALJ24" s="497"/>
      <c r="ALK24" s="497"/>
      <c r="ALL24" s="497"/>
      <c r="ALM24" s="497"/>
      <c r="ALN24" s="497"/>
      <c r="ALO24" s="497"/>
      <c r="ALP24" s="497"/>
      <c r="ALQ24" s="497"/>
      <c r="ALR24" s="497"/>
      <c r="ALS24" s="497"/>
      <c r="ALT24" s="497"/>
      <c r="ALU24" s="497"/>
      <c r="ALV24" s="497"/>
      <c r="ALW24" s="497"/>
      <c r="ALX24" s="497"/>
      <c r="ALY24" s="497"/>
      <c r="ALZ24" s="497"/>
      <c r="AMA24" s="497"/>
      <c r="AMB24" s="497"/>
      <c r="AMC24" s="497"/>
      <c r="AMD24" s="497"/>
      <c r="AME24" s="497"/>
      <c r="AMF24" s="497"/>
      <c r="AMG24" s="497"/>
      <c r="AMH24" s="497"/>
      <c r="AMI24" s="497"/>
      <c r="AMJ24" s="497"/>
      <c r="AMK24" s="497"/>
      <c r="AML24" s="497"/>
      <c r="AMM24" s="497"/>
      <c r="AMN24" s="497"/>
      <c r="AMO24" s="497"/>
      <c r="AMP24" s="497"/>
      <c r="AMQ24" s="497"/>
      <c r="AMR24" s="497"/>
      <c r="AMS24" s="497"/>
      <c r="AMT24" s="497"/>
      <c r="AMU24" s="497"/>
      <c r="AMV24" s="497"/>
      <c r="AMW24" s="497"/>
      <c r="AMX24" s="497"/>
      <c r="AMY24" s="497"/>
      <c r="AMZ24" s="497"/>
      <c r="ANA24" s="497"/>
      <c r="ANB24" s="497"/>
      <c r="ANC24" s="497"/>
      <c r="AND24" s="497"/>
      <c r="ANE24" s="497"/>
      <c r="ANF24" s="497"/>
      <c r="ANG24" s="497"/>
      <c r="ANH24" s="497"/>
      <c r="ANI24" s="497"/>
      <c r="ANJ24" s="497"/>
      <c r="ANK24" s="497"/>
      <c r="ANL24" s="497"/>
      <c r="ANM24" s="497"/>
      <c r="ANN24" s="497"/>
      <c r="ANO24" s="497"/>
      <c r="ANP24" s="497"/>
      <c r="ANQ24" s="497"/>
      <c r="ANR24" s="497"/>
      <c r="ANS24" s="497"/>
      <c r="ANT24" s="497"/>
      <c r="ANU24" s="497"/>
      <c r="ANV24" s="497"/>
      <c r="ANW24" s="497"/>
      <c r="ANX24" s="497"/>
      <c r="ANY24" s="497"/>
      <c r="ANZ24" s="497"/>
      <c r="AOA24" s="497"/>
      <c r="AOB24" s="497"/>
      <c r="AOC24" s="497"/>
      <c r="AOD24" s="497"/>
      <c r="AOE24" s="497"/>
      <c r="AOF24" s="497"/>
      <c r="AOG24" s="497"/>
      <c r="AOH24" s="497"/>
      <c r="AOI24" s="497"/>
      <c r="AOJ24" s="497"/>
      <c r="AOK24" s="497"/>
      <c r="AOL24" s="497"/>
      <c r="AOM24" s="497"/>
      <c r="AON24" s="497"/>
      <c r="AOO24" s="497"/>
      <c r="AOP24" s="497"/>
      <c r="AOQ24" s="497"/>
      <c r="AOR24" s="497"/>
      <c r="AOS24" s="497"/>
      <c r="AOT24" s="497"/>
      <c r="AOU24" s="497"/>
      <c r="AOV24" s="497"/>
      <c r="AOW24" s="497"/>
      <c r="AOX24" s="497"/>
      <c r="AOY24" s="497"/>
      <c r="AOZ24" s="497"/>
      <c r="APA24" s="497"/>
      <c r="APB24" s="497"/>
      <c r="APC24" s="497"/>
      <c r="APD24" s="497"/>
      <c r="APE24" s="497"/>
      <c r="APF24" s="497"/>
      <c r="APG24" s="497"/>
      <c r="APH24" s="497"/>
      <c r="API24" s="497"/>
      <c r="APJ24" s="497"/>
      <c r="APK24" s="497"/>
      <c r="APL24" s="497"/>
      <c r="APM24" s="497"/>
      <c r="APN24" s="497"/>
      <c r="APO24" s="497"/>
      <c r="APP24" s="497"/>
      <c r="APQ24" s="497"/>
      <c r="APR24" s="497"/>
      <c r="APS24" s="497"/>
      <c r="APT24" s="497"/>
      <c r="APU24" s="497"/>
      <c r="APV24" s="497"/>
      <c r="APW24" s="497"/>
      <c r="APX24" s="497"/>
      <c r="APY24" s="497"/>
      <c r="APZ24" s="497"/>
      <c r="AQA24" s="497"/>
      <c r="AQB24" s="497"/>
      <c r="AQC24" s="497"/>
      <c r="AQD24" s="497"/>
      <c r="AQE24" s="497"/>
      <c r="AQF24" s="497"/>
      <c r="AQG24" s="497"/>
      <c r="AQH24" s="497"/>
      <c r="AQI24" s="497"/>
      <c r="AQJ24" s="497"/>
      <c r="AQK24" s="497"/>
      <c r="AQL24" s="497"/>
      <c r="AQM24" s="497"/>
      <c r="AQN24" s="497"/>
      <c r="AQO24" s="497"/>
      <c r="AQP24" s="497"/>
      <c r="AQQ24" s="497"/>
      <c r="AQR24" s="497"/>
      <c r="AQS24" s="497"/>
      <c r="AQT24" s="497"/>
      <c r="AQU24" s="497"/>
      <c r="AQV24" s="497"/>
      <c r="AQW24" s="497"/>
      <c r="AQX24" s="497"/>
      <c r="AQY24" s="497"/>
      <c r="AQZ24" s="497"/>
      <c r="ARA24" s="497"/>
      <c r="ARB24" s="497"/>
      <c r="ARC24" s="497"/>
      <c r="ARD24" s="497"/>
      <c r="ARE24" s="497"/>
      <c r="ARF24" s="497"/>
      <c r="ARG24" s="497"/>
      <c r="ARH24" s="497"/>
      <c r="ARI24" s="497"/>
      <c r="ARJ24" s="497"/>
      <c r="ARK24" s="497"/>
      <c r="ARL24" s="497"/>
      <c r="ARM24" s="497"/>
      <c r="ARN24" s="497"/>
      <c r="ARO24" s="497"/>
      <c r="ARP24" s="497"/>
      <c r="ARQ24" s="497"/>
      <c r="ARR24" s="497"/>
      <c r="ARS24" s="497"/>
      <c r="ART24" s="497"/>
      <c r="ARU24" s="497"/>
      <c r="ARV24" s="497"/>
      <c r="ARW24" s="497"/>
      <c r="ARX24" s="497"/>
      <c r="ARY24" s="497"/>
      <c r="ARZ24" s="497"/>
      <c r="ASA24" s="497"/>
      <c r="ASB24" s="497"/>
      <c r="ASC24" s="497"/>
      <c r="ASD24" s="497"/>
      <c r="ASE24" s="497"/>
      <c r="ASF24" s="497"/>
      <c r="ASG24" s="497"/>
      <c r="ASH24" s="497"/>
      <c r="ASI24" s="497"/>
      <c r="ASJ24" s="497"/>
      <c r="ASK24" s="497"/>
      <c r="ASL24" s="497"/>
      <c r="ASM24" s="497"/>
      <c r="ASN24" s="497"/>
      <c r="ASO24" s="497"/>
      <c r="ASP24" s="497"/>
      <c r="ASQ24" s="497"/>
      <c r="ASR24" s="497"/>
      <c r="ASS24" s="497"/>
      <c r="AST24" s="497"/>
      <c r="ASU24" s="497"/>
      <c r="ASV24" s="497"/>
      <c r="ASW24" s="497"/>
      <c r="ASX24" s="497"/>
      <c r="ASY24" s="497"/>
      <c r="ASZ24" s="497"/>
      <c r="ATA24" s="497"/>
      <c r="ATB24" s="497"/>
      <c r="ATC24" s="497"/>
      <c r="ATD24" s="497"/>
      <c r="ATE24" s="497"/>
      <c r="ATF24" s="497"/>
      <c r="ATG24" s="497"/>
      <c r="ATH24" s="497"/>
      <c r="ATI24" s="497"/>
      <c r="ATJ24" s="497"/>
      <c r="ATK24" s="497"/>
      <c r="ATL24" s="497"/>
      <c r="ATM24" s="497"/>
      <c r="ATN24" s="497"/>
      <c r="ATO24" s="497"/>
      <c r="ATP24" s="497"/>
      <c r="ATQ24" s="497"/>
      <c r="ATR24" s="497"/>
      <c r="ATS24" s="497"/>
      <c r="ATT24" s="497"/>
      <c r="ATU24" s="497"/>
      <c r="ATV24" s="497"/>
      <c r="ATW24" s="497"/>
      <c r="ATX24" s="497"/>
      <c r="ATY24" s="497"/>
      <c r="ATZ24" s="497"/>
      <c r="AUA24" s="497"/>
      <c r="AUB24" s="497"/>
      <c r="AUC24" s="497"/>
      <c r="AUD24" s="497"/>
      <c r="AUE24" s="497"/>
      <c r="AUF24" s="497"/>
      <c r="AUG24" s="497"/>
      <c r="AUH24" s="497"/>
      <c r="AUI24" s="497"/>
      <c r="AUJ24" s="497"/>
      <c r="AUK24" s="497"/>
      <c r="AUL24" s="497"/>
      <c r="AUM24" s="497"/>
      <c r="AUN24" s="497"/>
      <c r="AUO24" s="497"/>
      <c r="AUP24" s="497"/>
      <c r="AUQ24" s="497"/>
      <c r="AUR24" s="497"/>
      <c r="AUS24" s="497"/>
      <c r="AUT24" s="497"/>
      <c r="AUU24" s="497"/>
      <c r="AUV24" s="497"/>
      <c r="AUW24" s="497"/>
      <c r="AUX24" s="497"/>
      <c r="AUY24" s="497"/>
      <c r="AUZ24" s="497"/>
      <c r="AVA24" s="497"/>
      <c r="AVB24" s="497"/>
      <c r="AVC24" s="497"/>
      <c r="AVD24" s="497"/>
      <c r="AVE24" s="497"/>
      <c r="AVF24" s="497"/>
      <c r="AVG24" s="497"/>
      <c r="AVH24" s="497"/>
      <c r="AVI24" s="497"/>
      <c r="AVJ24" s="497"/>
      <c r="AVK24" s="497"/>
      <c r="AVL24" s="497"/>
      <c r="AVM24" s="497"/>
      <c r="AVN24" s="497"/>
      <c r="AVO24" s="497"/>
      <c r="AVP24" s="497"/>
      <c r="AVQ24" s="497"/>
      <c r="AVR24" s="497"/>
      <c r="AVS24" s="497"/>
      <c r="AVT24" s="497"/>
      <c r="AVU24" s="497"/>
      <c r="AVV24" s="497"/>
      <c r="AVW24" s="497"/>
      <c r="AVX24" s="497"/>
      <c r="AVY24" s="497"/>
      <c r="AVZ24" s="497"/>
      <c r="AWA24" s="497"/>
      <c r="AWB24" s="497"/>
      <c r="AWC24" s="497"/>
      <c r="AWD24" s="497"/>
      <c r="AWE24" s="497"/>
      <c r="AWF24" s="497"/>
      <c r="AWG24" s="497"/>
      <c r="AWH24" s="497"/>
      <c r="AWI24" s="497"/>
      <c r="AWJ24" s="497"/>
      <c r="AWK24" s="497"/>
      <c r="AWL24" s="497"/>
      <c r="AWM24" s="497"/>
      <c r="AWN24" s="497"/>
      <c r="AWO24" s="497"/>
      <c r="AWP24" s="497"/>
      <c r="AWQ24" s="497"/>
      <c r="AWR24" s="497"/>
      <c r="AWS24" s="497"/>
      <c r="AWT24" s="497"/>
      <c r="AWU24" s="497"/>
      <c r="AWV24" s="497"/>
      <c r="AWW24" s="497"/>
      <c r="AWX24" s="497"/>
      <c r="AWY24" s="497"/>
      <c r="AWZ24" s="497"/>
      <c r="AXA24" s="497"/>
      <c r="AXB24" s="497"/>
      <c r="AXC24" s="497"/>
      <c r="AXD24" s="497"/>
      <c r="AXE24" s="497"/>
      <c r="AXF24" s="497"/>
      <c r="AXG24" s="497"/>
      <c r="AXH24" s="497"/>
      <c r="AXI24" s="497"/>
      <c r="AXJ24" s="497"/>
      <c r="AXK24" s="497"/>
      <c r="AXL24" s="497"/>
      <c r="AXM24" s="497"/>
      <c r="AXN24" s="497"/>
      <c r="AXO24" s="497"/>
      <c r="AXP24" s="497"/>
      <c r="AXQ24" s="497"/>
      <c r="AXR24" s="497"/>
      <c r="AXS24" s="497"/>
      <c r="AXT24" s="497"/>
      <c r="AXU24" s="497"/>
      <c r="AXV24" s="497"/>
      <c r="AXW24" s="497"/>
      <c r="AXX24" s="497"/>
      <c r="AXY24" s="497"/>
      <c r="AXZ24" s="497"/>
      <c r="AYA24" s="497"/>
      <c r="AYB24" s="497"/>
      <c r="AYC24" s="497"/>
      <c r="AYD24" s="497"/>
      <c r="AYE24" s="497"/>
      <c r="AYF24" s="497"/>
      <c r="AYG24" s="497"/>
      <c r="AYH24" s="497"/>
      <c r="AYI24" s="497"/>
      <c r="AYJ24" s="497"/>
      <c r="AYK24" s="497"/>
      <c r="AYL24" s="497"/>
      <c r="AYM24" s="497"/>
      <c r="AYN24" s="497"/>
      <c r="AYO24" s="497"/>
      <c r="AYP24" s="497"/>
      <c r="AYQ24" s="497"/>
      <c r="AYR24" s="497"/>
      <c r="AYS24" s="497"/>
      <c r="AYT24" s="497"/>
      <c r="AYU24" s="497"/>
      <c r="AYV24" s="497"/>
      <c r="AYW24" s="497"/>
      <c r="AYX24" s="497"/>
      <c r="AYY24" s="497"/>
      <c r="AYZ24" s="497"/>
      <c r="AZA24" s="497"/>
      <c r="AZB24" s="497"/>
      <c r="AZC24" s="497"/>
      <c r="AZD24" s="497"/>
      <c r="AZE24" s="497"/>
      <c r="AZF24" s="497"/>
      <c r="AZG24" s="497"/>
      <c r="AZH24" s="497"/>
      <c r="AZI24" s="497"/>
      <c r="AZJ24" s="497"/>
      <c r="AZK24" s="497"/>
      <c r="AZL24" s="497"/>
      <c r="AZM24" s="497"/>
      <c r="AZN24" s="497"/>
      <c r="AZO24" s="497"/>
      <c r="AZP24" s="497"/>
      <c r="AZQ24" s="497"/>
      <c r="AZR24" s="497"/>
      <c r="AZS24" s="497"/>
      <c r="AZT24" s="497"/>
      <c r="AZU24" s="497"/>
      <c r="AZV24" s="497"/>
      <c r="AZW24" s="497"/>
      <c r="AZX24" s="497"/>
      <c r="AZY24" s="497"/>
      <c r="AZZ24" s="497"/>
      <c r="BAA24" s="497"/>
      <c r="BAB24" s="497"/>
      <c r="BAC24" s="497"/>
      <c r="BAD24" s="497"/>
      <c r="BAE24" s="497"/>
      <c r="BAF24" s="497"/>
      <c r="BAG24" s="497"/>
      <c r="BAH24" s="497"/>
      <c r="BAI24" s="497"/>
      <c r="BAJ24" s="497"/>
      <c r="BAK24" s="497"/>
      <c r="BAL24" s="497"/>
      <c r="BAM24" s="497"/>
      <c r="BAN24" s="497"/>
      <c r="BAO24" s="497"/>
      <c r="BAP24" s="497"/>
      <c r="BAQ24" s="497"/>
      <c r="BAR24" s="497"/>
      <c r="BAS24" s="497"/>
      <c r="BAT24" s="497"/>
      <c r="BAU24" s="497"/>
      <c r="BAV24" s="497"/>
      <c r="BAW24" s="497"/>
      <c r="BAX24" s="497"/>
      <c r="BAY24" s="497"/>
      <c r="BAZ24" s="497"/>
      <c r="BBA24" s="497"/>
      <c r="BBB24" s="497"/>
      <c r="BBC24" s="497"/>
      <c r="BBD24" s="497"/>
      <c r="BBE24" s="497"/>
      <c r="BBF24" s="497"/>
      <c r="BBG24" s="497"/>
      <c r="BBH24" s="497"/>
      <c r="BBI24" s="497"/>
      <c r="BBJ24" s="497"/>
      <c r="BBK24" s="497"/>
      <c r="BBL24" s="497"/>
      <c r="BBM24" s="497"/>
      <c r="BBN24" s="497"/>
      <c r="BBO24" s="497"/>
      <c r="BBP24" s="497"/>
      <c r="BBQ24" s="497"/>
      <c r="BBR24" s="497"/>
      <c r="BBS24" s="497"/>
      <c r="BBT24" s="497"/>
      <c r="BBU24" s="497"/>
      <c r="BBV24" s="497"/>
      <c r="BBW24" s="497"/>
      <c r="BBX24" s="497"/>
      <c r="BBY24" s="497"/>
      <c r="BBZ24" s="497"/>
      <c r="BCA24" s="497"/>
      <c r="BCB24" s="497"/>
      <c r="BCC24" s="497"/>
      <c r="BCD24" s="497"/>
      <c r="BCE24" s="497"/>
      <c r="BCF24" s="497"/>
      <c r="BCG24" s="497"/>
      <c r="BCH24" s="497"/>
      <c r="BCI24" s="497"/>
      <c r="BCJ24" s="497"/>
      <c r="BCK24" s="497"/>
      <c r="BCL24" s="497"/>
      <c r="BCM24" s="497"/>
      <c r="BCN24" s="497"/>
      <c r="BCO24" s="497"/>
      <c r="BCP24" s="497"/>
      <c r="BCQ24" s="497"/>
      <c r="BCR24" s="497"/>
      <c r="BCS24" s="497"/>
      <c r="BCT24" s="497"/>
      <c r="BCU24" s="497"/>
      <c r="BCV24" s="497"/>
      <c r="BCW24" s="497"/>
      <c r="BCX24" s="497"/>
      <c r="BCY24" s="497"/>
      <c r="BCZ24" s="497"/>
      <c r="BDA24" s="497"/>
      <c r="BDB24" s="497"/>
      <c r="BDC24" s="497"/>
      <c r="BDD24" s="497"/>
      <c r="BDE24" s="497"/>
      <c r="BDF24" s="497"/>
      <c r="BDG24" s="497"/>
      <c r="BDH24" s="497"/>
      <c r="BDI24" s="497"/>
      <c r="BDJ24" s="497"/>
      <c r="BDK24" s="497"/>
      <c r="BDL24" s="497"/>
      <c r="BDM24" s="497"/>
      <c r="BDN24" s="497"/>
      <c r="BDO24" s="497"/>
      <c r="BDP24" s="497"/>
      <c r="BDQ24" s="497"/>
      <c r="BDR24" s="497"/>
      <c r="BDS24" s="497"/>
      <c r="BDT24" s="497"/>
      <c r="BDU24" s="497"/>
      <c r="BDV24" s="497"/>
      <c r="BDW24" s="497"/>
      <c r="BDX24" s="497"/>
      <c r="BDY24" s="497"/>
      <c r="BDZ24" s="497"/>
      <c r="BEA24" s="497"/>
      <c r="BEB24" s="497"/>
      <c r="BEC24" s="497"/>
      <c r="BED24" s="497"/>
      <c r="BEE24" s="497"/>
      <c r="BEF24" s="497"/>
      <c r="BEG24" s="497"/>
      <c r="BEH24" s="497"/>
      <c r="BEI24" s="497"/>
      <c r="BEJ24" s="497"/>
      <c r="BEK24" s="497"/>
      <c r="BEL24" s="497"/>
      <c r="BEM24" s="497"/>
      <c r="BEN24" s="497"/>
      <c r="BEO24" s="497"/>
      <c r="BEP24" s="497"/>
      <c r="BEQ24" s="497"/>
      <c r="BER24" s="497"/>
      <c r="BES24" s="497"/>
      <c r="BET24" s="497"/>
      <c r="BEU24" s="497"/>
      <c r="BEV24" s="497"/>
      <c r="BEW24" s="497"/>
      <c r="BEX24" s="497"/>
      <c r="BEY24" s="497"/>
      <c r="BEZ24" s="497"/>
      <c r="BFA24" s="497"/>
      <c r="BFB24" s="497"/>
      <c r="BFC24" s="497"/>
      <c r="BFD24" s="497"/>
      <c r="BFE24" s="497"/>
      <c r="BFF24" s="497"/>
      <c r="BFG24" s="497"/>
      <c r="BFH24" s="497"/>
      <c r="BFI24" s="497"/>
      <c r="BFJ24" s="497"/>
      <c r="BFK24" s="497"/>
      <c r="BFL24" s="497"/>
      <c r="BFM24" s="497"/>
      <c r="BFN24" s="497"/>
      <c r="BFO24" s="497"/>
      <c r="BFP24" s="497"/>
      <c r="BFQ24" s="497"/>
      <c r="BFR24" s="497"/>
      <c r="BFS24" s="497"/>
      <c r="BFT24" s="497"/>
      <c r="BFU24" s="497"/>
      <c r="BFV24" s="497"/>
      <c r="BFW24" s="497"/>
      <c r="BFX24" s="497"/>
      <c r="BFY24" s="497"/>
      <c r="BFZ24" s="497"/>
      <c r="BGA24" s="497"/>
      <c r="BGB24" s="497"/>
      <c r="BGC24" s="497"/>
      <c r="BGD24" s="497"/>
      <c r="BGE24" s="497"/>
      <c r="BGF24" s="497"/>
      <c r="BGG24" s="497"/>
      <c r="BGH24" s="497"/>
      <c r="BGI24" s="497"/>
      <c r="BGJ24" s="497"/>
      <c r="BGK24" s="497"/>
      <c r="BGL24" s="497"/>
      <c r="BGM24" s="497"/>
      <c r="BGN24" s="497"/>
      <c r="BGO24" s="497"/>
      <c r="BGP24" s="497"/>
      <c r="BGQ24" s="497"/>
      <c r="BGR24" s="497"/>
      <c r="BGS24" s="497"/>
      <c r="BGT24" s="497"/>
      <c r="BGU24" s="497"/>
      <c r="BGV24" s="497"/>
      <c r="BGW24" s="497"/>
      <c r="BGX24" s="497"/>
      <c r="BGY24" s="497"/>
      <c r="BGZ24" s="497"/>
      <c r="BHA24" s="497"/>
      <c r="BHB24" s="497"/>
      <c r="BHC24" s="497"/>
      <c r="BHD24" s="497"/>
      <c r="BHE24" s="497"/>
      <c r="BHF24" s="497"/>
      <c r="BHG24" s="497"/>
      <c r="BHH24" s="497"/>
      <c r="BHI24" s="497"/>
      <c r="BHJ24" s="497"/>
      <c r="BHK24" s="497"/>
      <c r="BHL24" s="497"/>
      <c r="BHM24" s="497"/>
      <c r="BHN24" s="497"/>
      <c r="BHO24" s="497"/>
      <c r="BHP24" s="497"/>
      <c r="BHQ24" s="497"/>
      <c r="BHR24" s="497"/>
      <c r="BHS24" s="497"/>
      <c r="BHT24" s="497"/>
      <c r="BHU24" s="497"/>
      <c r="BHV24" s="497"/>
      <c r="BHW24" s="497"/>
      <c r="BHX24" s="497"/>
      <c r="BHY24" s="497"/>
      <c r="BHZ24" s="497"/>
      <c r="BIA24" s="497"/>
      <c r="BIB24" s="497"/>
      <c r="BIC24" s="497"/>
      <c r="BID24" s="497"/>
      <c r="BIE24" s="497"/>
      <c r="BIF24" s="497"/>
      <c r="BIG24" s="497"/>
      <c r="BIH24" s="497"/>
      <c r="BII24" s="497"/>
      <c r="BIJ24" s="497"/>
      <c r="BIK24" s="497"/>
      <c r="BIL24" s="497"/>
      <c r="BIM24" s="497"/>
      <c r="BIN24" s="497"/>
      <c r="BIO24" s="497"/>
      <c r="BIP24" s="497"/>
      <c r="BIQ24" s="497"/>
      <c r="BIR24" s="497"/>
      <c r="BIS24" s="497"/>
      <c r="BIT24" s="497"/>
      <c r="BIU24" s="497"/>
      <c r="BIV24" s="497"/>
      <c r="BIW24" s="497"/>
      <c r="BIX24" s="497"/>
      <c r="BIY24" s="497"/>
      <c r="BIZ24" s="497"/>
      <c r="BJA24" s="497"/>
      <c r="BJB24" s="497"/>
      <c r="BJC24" s="497"/>
      <c r="BJD24" s="497"/>
      <c r="BJE24" s="497"/>
      <c r="BJF24" s="497"/>
      <c r="BJG24" s="497"/>
      <c r="BJH24" s="497"/>
      <c r="BJI24" s="497"/>
      <c r="BJJ24" s="497"/>
      <c r="BJK24" s="497"/>
      <c r="BJL24" s="497"/>
      <c r="BJM24" s="497"/>
      <c r="BJN24" s="497"/>
      <c r="BJO24" s="497"/>
      <c r="BJP24" s="497"/>
      <c r="BJQ24" s="497"/>
      <c r="BJR24" s="497"/>
      <c r="BJS24" s="497"/>
      <c r="BJT24" s="497"/>
      <c r="BJU24" s="497"/>
      <c r="BJV24" s="497"/>
      <c r="BJW24" s="497"/>
      <c r="BJX24" s="497"/>
      <c r="BJY24" s="497"/>
      <c r="BJZ24" s="497"/>
      <c r="BKA24" s="497"/>
      <c r="BKB24" s="497"/>
      <c r="BKC24" s="497"/>
      <c r="BKD24" s="497"/>
      <c r="BKE24" s="497"/>
      <c r="BKF24" s="497"/>
      <c r="BKG24" s="497"/>
      <c r="BKH24" s="497"/>
      <c r="BKI24" s="497"/>
      <c r="BKJ24" s="497"/>
      <c r="BKK24" s="497"/>
      <c r="BKL24" s="497"/>
      <c r="BKM24" s="497"/>
      <c r="BKN24" s="497"/>
      <c r="BKO24" s="497"/>
      <c r="BKP24" s="497"/>
      <c r="BKQ24" s="497"/>
      <c r="BKR24" s="497"/>
      <c r="BKS24" s="497"/>
      <c r="BKT24" s="497"/>
      <c r="BKU24" s="497"/>
      <c r="BKV24" s="497"/>
      <c r="BKW24" s="497"/>
      <c r="BKX24" s="497"/>
      <c r="BKY24" s="497"/>
      <c r="BKZ24" s="497"/>
      <c r="BLA24" s="497"/>
      <c r="BLB24" s="497"/>
      <c r="BLC24" s="497"/>
      <c r="BLD24" s="497"/>
      <c r="BLE24" s="497"/>
      <c r="BLF24" s="497"/>
      <c r="BLG24" s="497"/>
      <c r="BLH24" s="497"/>
      <c r="BLI24" s="497"/>
      <c r="BLJ24" s="497"/>
      <c r="BLK24" s="497"/>
      <c r="BLL24" s="497"/>
      <c r="BLM24" s="497"/>
      <c r="BLN24" s="497"/>
      <c r="BLO24" s="497"/>
      <c r="BLP24" s="497"/>
      <c r="BLQ24" s="497"/>
      <c r="BLR24" s="497"/>
      <c r="BLS24" s="497"/>
      <c r="BLT24" s="497"/>
      <c r="BLU24" s="497"/>
      <c r="BLV24" s="497"/>
      <c r="BLW24" s="497"/>
      <c r="BLX24" s="497"/>
      <c r="BLY24" s="497"/>
      <c r="BLZ24" s="497"/>
      <c r="BMA24" s="497"/>
      <c r="BMB24" s="497"/>
      <c r="BMC24" s="497"/>
      <c r="BMD24" s="497"/>
      <c r="BME24" s="497"/>
      <c r="BMF24" s="497"/>
      <c r="BMG24" s="497"/>
      <c r="BMH24" s="497"/>
      <c r="BMI24" s="497"/>
      <c r="BMJ24" s="497"/>
      <c r="BMK24" s="497"/>
      <c r="BML24" s="497"/>
      <c r="BMM24" s="497"/>
      <c r="BMN24" s="497"/>
      <c r="BMO24" s="497"/>
      <c r="BMP24" s="497"/>
      <c r="BMQ24" s="497"/>
      <c r="BMR24" s="497"/>
      <c r="BMS24" s="497"/>
      <c r="BMT24" s="497"/>
      <c r="BMU24" s="497"/>
      <c r="BMV24" s="497"/>
      <c r="BMW24" s="497"/>
      <c r="BMX24" s="497"/>
      <c r="BMY24" s="497"/>
      <c r="BMZ24" s="497"/>
      <c r="BNA24" s="497"/>
      <c r="BNB24" s="497"/>
      <c r="BNC24" s="497"/>
      <c r="BND24" s="497"/>
      <c r="BNE24" s="497"/>
      <c r="BNF24" s="497"/>
      <c r="BNG24" s="497"/>
      <c r="BNH24" s="497"/>
      <c r="BNI24" s="497"/>
      <c r="BNJ24" s="497"/>
      <c r="BNK24" s="497"/>
      <c r="BNL24" s="497"/>
      <c r="BNM24" s="497"/>
      <c r="BNN24" s="497"/>
      <c r="BNO24" s="497"/>
      <c r="BNP24" s="497"/>
      <c r="BNQ24" s="497"/>
      <c r="BNR24" s="497"/>
      <c r="BNS24" s="497"/>
      <c r="BNT24" s="497"/>
      <c r="BNU24" s="497"/>
      <c r="BNV24" s="497"/>
      <c r="BNW24" s="497"/>
      <c r="BNX24" s="497"/>
      <c r="BNY24" s="497"/>
      <c r="BNZ24" s="497"/>
      <c r="BOA24" s="497"/>
      <c r="BOB24" s="497"/>
      <c r="BOC24" s="497"/>
      <c r="BOD24" s="497"/>
      <c r="BOE24" s="497"/>
      <c r="BOF24" s="497"/>
      <c r="BOG24" s="497"/>
      <c r="BOH24" s="497"/>
      <c r="BOI24" s="497"/>
      <c r="BOJ24" s="497"/>
      <c r="BOK24" s="497"/>
      <c r="BOL24" s="497"/>
      <c r="BOM24" s="497"/>
      <c r="BON24" s="497"/>
      <c r="BOO24" s="497"/>
      <c r="BOP24" s="497"/>
      <c r="BOQ24" s="497"/>
      <c r="BOR24" s="497"/>
      <c r="BOS24" s="497"/>
      <c r="BOT24" s="497"/>
      <c r="BOU24" s="497"/>
      <c r="BOV24" s="497"/>
      <c r="BOW24" s="497"/>
      <c r="BOX24" s="497"/>
      <c r="BOY24" s="497"/>
      <c r="BOZ24" s="497"/>
      <c r="BPA24" s="497"/>
      <c r="BPB24" s="497"/>
      <c r="BPC24" s="497"/>
      <c r="BPD24" s="497"/>
      <c r="BPE24" s="497"/>
      <c r="BPF24" s="497"/>
      <c r="BPG24" s="497"/>
      <c r="BPH24" s="497"/>
      <c r="BPI24" s="497"/>
      <c r="BPJ24" s="497"/>
      <c r="BPK24" s="497"/>
      <c r="BPL24" s="497"/>
      <c r="BPM24" s="497"/>
      <c r="BPN24" s="497"/>
      <c r="BPO24" s="497"/>
      <c r="BPP24" s="497"/>
      <c r="BPQ24" s="497"/>
      <c r="BPR24" s="497"/>
      <c r="BPS24" s="497"/>
      <c r="BPT24" s="497"/>
      <c r="BPU24" s="497"/>
      <c r="BPV24" s="497"/>
      <c r="BPW24" s="497"/>
      <c r="BPX24" s="497"/>
      <c r="BPY24" s="497"/>
      <c r="BPZ24" s="497"/>
      <c r="BQA24" s="497"/>
      <c r="BQB24" s="497"/>
      <c r="BQC24" s="497"/>
      <c r="BQD24" s="497"/>
      <c r="BQE24" s="497"/>
      <c r="BQF24" s="497"/>
      <c r="BQG24" s="497"/>
      <c r="BQH24" s="497"/>
      <c r="BQI24" s="497"/>
      <c r="BQJ24" s="497"/>
      <c r="BQK24" s="497"/>
      <c r="BQL24" s="497"/>
      <c r="BQM24" s="497"/>
      <c r="BQN24" s="497"/>
      <c r="BQO24" s="497"/>
      <c r="BQP24" s="497"/>
      <c r="BQQ24" s="497"/>
      <c r="BQR24" s="497"/>
      <c r="BQS24" s="497"/>
      <c r="BQT24" s="497"/>
      <c r="BQU24" s="497"/>
      <c r="BQV24" s="497"/>
      <c r="BQW24" s="497"/>
      <c r="BQX24" s="497"/>
      <c r="BQY24" s="497"/>
      <c r="BQZ24" s="497"/>
      <c r="BRA24" s="497"/>
      <c r="BRB24" s="497"/>
      <c r="BRC24" s="497"/>
      <c r="BRD24" s="497"/>
      <c r="BRE24" s="497"/>
      <c r="BRF24" s="497"/>
      <c r="BRG24" s="497"/>
      <c r="BRH24" s="497"/>
      <c r="BRI24" s="497"/>
      <c r="BRJ24" s="497"/>
      <c r="BRK24" s="497"/>
      <c r="BRL24" s="497"/>
      <c r="BRM24" s="497"/>
      <c r="BRN24" s="497"/>
      <c r="BRO24" s="497"/>
      <c r="BRP24" s="497"/>
      <c r="BRQ24" s="497"/>
      <c r="BRR24" s="497"/>
      <c r="BRS24" s="497"/>
      <c r="BRT24" s="497"/>
      <c r="BRU24" s="497"/>
      <c r="BRV24" s="497"/>
      <c r="BRW24" s="497"/>
      <c r="BRX24" s="497"/>
      <c r="BRY24" s="497"/>
      <c r="BRZ24" s="497"/>
      <c r="BSA24" s="497"/>
      <c r="BSB24" s="497"/>
      <c r="BSC24" s="497"/>
      <c r="BSD24" s="497"/>
      <c r="BSE24" s="497"/>
      <c r="BSF24" s="497"/>
      <c r="BSG24" s="497"/>
      <c r="BSH24" s="497"/>
      <c r="BSI24" s="497"/>
      <c r="BSJ24" s="497"/>
      <c r="BSK24" s="497"/>
      <c r="BSL24" s="497"/>
      <c r="BSM24" s="497"/>
      <c r="BSN24" s="497"/>
      <c r="BSO24" s="497"/>
      <c r="BSP24" s="497"/>
      <c r="BSQ24" s="497"/>
      <c r="BSR24" s="497"/>
      <c r="BSS24" s="497"/>
      <c r="BST24" s="497"/>
      <c r="BSU24" s="497"/>
      <c r="BSV24" s="497"/>
      <c r="BSW24" s="497"/>
      <c r="BSX24" s="497"/>
      <c r="BSY24" s="497"/>
      <c r="BSZ24" s="497"/>
      <c r="BTA24" s="497"/>
      <c r="BTB24" s="497"/>
      <c r="BTC24" s="497"/>
      <c r="BTD24" s="497"/>
      <c r="BTE24" s="497"/>
      <c r="BTF24" s="497"/>
      <c r="BTG24" s="497"/>
      <c r="BTH24" s="497"/>
      <c r="BTI24" s="497"/>
      <c r="BTJ24" s="497"/>
      <c r="BTK24" s="497"/>
      <c r="BTL24" s="497"/>
      <c r="BTM24" s="497"/>
      <c r="BTN24" s="497"/>
      <c r="BTO24" s="497"/>
      <c r="BTP24" s="497"/>
      <c r="BTQ24" s="497"/>
      <c r="BTR24" s="497"/>
      <c r="BTS24" s="497"/>
      <c r="BTT24" s="497"/>
      <c r="BTU24" s="497"/>
      <c r="BTV24" s="497"/>
      <c r="BTW24" s="497"/>
      <c r="BTX24" s="497"/>
      <c r="BTY24" s="497"/>
      <c r="BTZ24" s="497"/>
      <c r="BUA24" s="497"/>
      <c r="BUB24" s="497"/>
      <c r="BUC24" s="497"/>
      <c r="BUD24" s="497"/>
      <c r="BUE24" s="497"/>
      <c r="BUF24" s="497"/>
      <c r="BUG24" s="497"/>
      <c r="BUH24" s="497"/>
      <c r="BUI24" s="497"/>
      <c r="BUJ24" s="497"/>
      <c r="BUK24" s="497"/>
      <c r="BUL24" s="497"/>
      <c r="BUM24" s="497"/>
      <c r="BUN24" s="497"/>
      <c r="BUO24" s="497"/>
      <c r="BUP24" s="497"/>
      <c r="BUQ24" s="497"/>
      <c r="BUR24" s="497"/>
      <c r="BUS24" s="497"/>
      <c r="BUT24" s="497"/>
      <c r="BUU24" s="497"/>
      <c r="BUV24" s="497"/>
      <c r="BUW24" s="497"/>
      <c r="BUX24" s="497"/>
      <c r="BUY24" s="497"/>
      <c r="BUZ24" s="497"/>
      <c r="BVA24" s="497"/>
      <c r="BVB24" s="497"/>
      <c r="BVC24" s="497"/>
      <c r="BVD24" s="497"/>
      <c r="BVE24" s="497"/>
      <c r="BVF24" s="497"/>
      <c r="BVG24" s="497"/>
      <c r="BVH24" s="497"/>
      <c r="BVI24" s="497"/>
      <c r="BVJ24" s="497"/>
      <c r="BVK24" s="497"/>
      <c r="BVL24" s="497"/>
      <c r="BVM24" s="497"/>
      <c r="BVN24" s="497"/>
      <c r="BVO24" s="497"/>
      <c r="BVP24" s="497"/>
      <c r="BVQ24" s="497"/>
      <c r="BVR24" s="497"/>
      <c r="BVS24" s="497"/>
      <c r="BVT24" s="497"/>
      <c r="BVU24" s="497"/>
      <c r="BVV24" s="497"/>
      <c r="BVW24" s="497"/>
      <c r="BVX24" s="497"/>
      <c r="BVY24" s="497"/>
      <c r="BVZ24" s="497"/>
      <c r="BWA24" s="497"/>
      <c r="BWB24" s="497"/>
      <c r="BWC24" s="497"/>
      <c r="BWD24" s="497"/>
      <c r="BWE24" s="497"/>
      <c r="BWF24" s="497"/>
      <c r="BWG24" s="497"/>
      <c r="BWH24" s="497"/>
      <c r="BWI24" s="497"/>
      <c r="BWJ24" s="497"/>
      <c r="BWK24" s="497"/>
      <c r="BWL24" s="497"/>
      <c r="BWM24" s="497"/>
      <c r="BWN24" s="497"/>
      <c r="BWO24" s="497"/>
      <c r="BWP24" s="497"/>
      <c r="BWQ24" s="497"/>
      <c r="BWR24" s="497"/>
      <c r="BWS24" s="497"/>
      <c r="BWT24" s="497"/>
      <c r="BWU24" s="497"/>
      <c r="BWV24" s="497"/>
      <c r="BWW24" s="497"/>
      <c r="BWX24" s="497"/>
      <c r="BWY24" s="497"/>
      <c r="BWZ24" s="497"/>
      <c r="BXA24" s="497"/>
      <c r="BXB24" s="497"/>
      <c r="BXC24" s="497"/>
      <c r="BXD24" s="497"/>
      <c r="BXE24" s="497"/>
      <c r="BXF24" s="497"/>
      <c r="BXG24" s="497"/>
      <c r="BXH24" s="497"/>
      <c r="BXI24" s="497"/>
      <c r="BXJ24" s="497"/>
      <c r="BXK24" s="497"/>
      <c r="BXL24" s="497"/>
      <c r="BXM24" s="497"/>
      <c r="BXN24" s="497"/>
      <c r="BXO24" s="497"/>
      <c r="BXP24" s="497"/>
      <c r="BXQ24" s="497"/>
      <c r="BXR24" s="497"/>
      <c r="BXS24" s="497"/>
      <c r="BXT24" s="497"/>
      <c r="BXU24" s="497"/>
      <c r="BXV24" s="497"/>
      <c r="BXW24" s="497"/>
      <c r="BXX24" s="497"/>
      <c r="BXY24" s="497"/>
      <c r="BXZ24" s="497"/>
      <c r="BYA24" s="497"/>
      <c r="BYB24" s="497"/>
      <c r="BYC24" s="497"/>
      <c r="BYD24" s="497"/>
      <c r="BYE24" s="497"/>
      <c r="BYF24" s="497"/>
      <c r="BYG24" s="497"/>
      <c r="BYH24" s="497"/>
      <c r="BYI24" s="497"/>
      <c r="BYJ24" s="497"/>
      <c r="BYK24" s="497"/>
      <c r="BYL24" s="497"/>
      <c r="BYM24" s="497"/>
      <c r="BYN24" s="497"/>
      <c r="BYO24" s="497"/>
      <c r="BYP24" s="497"/>
      <c r="BYQ24" s="497"/>
      <c r="BYR24" s="497"/>
      <c r="BYS24" s="497"/>
      <c r="BYT24" s="497"/>
      <c r="BYU24" s="497"/>
      <c r="BYV24" s="497"/>
      <c r="BYW24" s="497"/>
      <c r="BYX24" s="497"/>
      <c r="BYY24" s="497"/>
      <c r="BYZ24" s="497"/>
      <c r="BZA24" s="497"/>
      <c r="BZB24" s="497"/>
      <c r="BZC24" s="497"/>
      <c r="BZD24" s="497"/>
      <c r="BZE24" s="497"/>
      <c r="BZF24" s="497"/>
      <c r="BZG24" s="497"/>
      <c r="BZH24" s="497"/>
      <c r="BZI24" s="497"/>
      <c r="BZJ24" s="497"/>
      <c r="BZK24" s="497"/>
      <c r="BZL24" s="497"/>
      <c r="BZM24" s="497"/>
      <c r="BZN24" s="497"/>
      <c r="BZO24" s="497"/>
      <c r="BZP24" s="497"/>
      <c r="BZQ24" s="497"/>
      <c r="BZR24" s="497"/>
      <c r="BZS24" s="497"/>
      <c r="BZT24" s="497"/>
      <c r="BZU24" s="497"/>
      <c r="BZV24" s="497"/>
      <c r="BZW24" s="497"/>
      <c r="BZX24" s="497"/>
      <c r="BZY24" s="497"/>
      <c r="BZZ24" s="497"/>
      <c r="CAA24" s="497"/>
      <c r="CAB24" s="497"/>
      <c r="CAC24" s="497"/>
      <c r="CAD24" s="497"/>
      <c r="CAE24" s="497"/>
      <c r="CAF24" s="497"/>
      <c r="CAG24" s="497"/>
      <c r="CAH24" s="497"/>
      <c r="CAI24" s="497"/>
      <c r="CAJ24" s="497"/>
      <c r="CAK24" s="497"/>
      <c r="CAL24" s="497"/>
      <c r="CAM24" s="497"/>
      <c r="CAN24" s="497"/>
      <c r="CAO24" s="497"/>
      <c r="CAP24" s="497"/>
      <c r="CAQ24" s="497"/>
      <c r="CAR24" s="497"/>
      <c r="CAS24" s="497"/>
      <c r="CAT24" s="497"/>
      <c r="CAU24" s="497"/>
      <c r="CAV24" s="497"/>
      <c r="CAW24" s="497"/>
      <c r="CAX24" s="497"/>
      <c r="CAY24" s="497"/>
      <c r="CAZ24" s="497"/>
      <c r="CBA24" s="497"/>
      <c r="CBB24" s="497"/>
      <c r="CBC24" s="497"/>
      <c r="CBD24" s="497"/>
      <c r="CBE24" s="497"/>
      <c r="CBF24" s="497"/>
      <c r="CBG24" s="497"/>
      <c r="CBH24" s="497"/>
      <c r="CBI24" s="497"/>
      <c r="CBJ24" s="497"/>
      <c r="CBK24" s="497"/>
      <c r="CBL24" s="497"/>
      <c r="CBM24" s="497"/>
      <c r="CBN24" s="497"/>
      <c r="CBO24" s="497"/>
      <c r="CBP24" s="497"/>
      <c r="CBQ24" s="497"/>
      <c r="CBR24" s="497"/>
      <c r="CBS24" s="497"/>
      <c r="CBT24" s="497"/>
      <c r="CBU24" s="497"/>
      <c r="CBV24" s="497"/>
      <c r="CBW24" s="497"/>
      <c r="CBX24" s="497"/>
      <c r="CBY24" s="497"/>
      <c r="CBZ24" s="497"/>
      <c r="CCA24" s="497"/>
      <c r="CCB24" s="497"/>
      <c r="CCC24" s="497"/>
      <c r="CCD24" s="497"/>
      <c r="CCE24" s="497"/>
      <c r="CCF24" s="497"/>
      <c r="CCG24" s="497"/>
      <c r="CCH24" s="497"/>
      <c r="CCI24" s="497"/>
      <c r="CCJ24" s="497"/>
      <c r="CCK24" s="497"/>
      <c r="CCL24" s="497"/>
      <c r="CCM24" s="497"/>
      <c r="CCN24" s="497"/>
      <c r="CCO24" s="497"/>
      <c r="CCP24" s="497"/>
      <c r="CCQ24" s="497"/>
      <c r="CCR24" s="497"/>
      <c r="CCS24" s="497"/>
      <c r="CCT24" s="497"/>
      <c r="CCU24" s="497"/>
      <c r="CCV24" s="497"/>
      <c r="CCW24" s="497"/>
      <c r="CCX24" s="497"/>
      <c r="CCY24" s="497"/>
      <c r="CCZ24" s="497"/>
      <c r="CDA24" s="497"/>
      <c r="CDB24" s="497"/>
      <c r="CDC24" s="497"/>
      <c r="CDD24" s="497"/>
      <c r="CDE24" s="497"/>
      <c r="CDF24" s="497"/>
      <c r="CDG24" s="497"/>
      <c r="CDH24" s="497"/>
      <c r="CDI24" s="497"/>
      <c r="CDJ24" s="497"/>
      <c r="CDK24" s="497"/>
      <c r="CDL24" s="497"/>
      <c r="CDM24" s="497"/>
      <c r="CDN24" s="497"/>
      <c r="CDO24" s="497"/>
      <c r="CDP24" s="497"/>
      <c r="CDQ24" s="497"/>
      <c r="CDR24" s="497"/>
      <c r="CDS24" s="497"/>
      <c r="CDT24" s="497"/>
      <c r="CDU24" s="497"/>
      <c r="CDV24" s="497"/>
      <c r="CDW24" s="497"/>
      <c r="CDX24" s="497"/>
      <c r="CDY24" s="497"/>
      <c r="CDZ24" s="497"/>
      <c r="CEA24" s="497"/>
      <c r="CEB24" s="497"/>
      <c r="CEC24" s="497"/>
      <c r="CED24" s="497"/>
      <c r="CEE24" s="497"/>
      <c r="CEF24" s="497"/>
      <c r="CEG24" s="497"/>
      <c r="CEH24" s="497"/>
      <c r="CEI24" s="497"/>
      <c r="CEJ24" s="497"/>
      <c r="CEK24" s="497"/>
      <c r="CEL24" s="497"/>
      <c r="CEM24" s="497"/>
      <c r="CEN24" s="497"/>
      <c r="CEO24" s="497"/>
      <c r="CEP24" s="497"/>
      <c r="CEQ24" s="497"/>
      <c r="CER24" s="497"/>
      <c r="CES24" s="497"/>
      <c r="CET24" s="497"/>
      <c r="CEU24" s="497"/>
      <c r="CEV24" s="497"/>
      <c r="CEW24" s="497"/>
      <c r="CEX24" s="497"/>
      <c r="CEY24" s="497"/>
      <c r="CEZ24" s="497"/>
      <c r="CFA24" s="497"/>
      <c r="CFB24" s="497"/>
      <c r="CFC24" s="497"/>
      <c r="CFD24" s="497"/>
      <c r="CFE24" s="497"/>
      <c r="CFF24" s="497"/>
      <c r="CFG24" s="497"/>
      <c r="CFH24" s="497"/>
      <c r="CFI24" s="497"/>
      <c r="CFJ24" s="497"/>
      <c r="CFK24" s="497"/>
      <c r="CFL24" s="497"/>
      <c r="CFM24" s="497"/>
      <c r="CFN24" s="497"/>
      <c r="CFO24" s="497"/>
      <c r="CFP24" s="497"/>
      <c r="CFQ24" s="497"/>
      <c r="CFR24" s="497"/>
      <c r="CFS24" s="497"/>
      <c r="CFT24" s="497"/>
      <c r="CFU24" s="497"/>
      <c r="CFV24" s="497"/>
      <c r="CFW24" s="497"/>
      <c r="CFX24" s="497"/>
      <c r="CFY24" s="497"/>
      <c r="CFZ24" s="497"/>
      <c r="CGA24" s="497"/>
      <c r="CGB24" s="497"/>
      <c r="CGC24" s="497"/>
      <c r="CGD24" s="497"/>
      <c r="CGE24" s="497"/>
      <c r="CGF24" s="497"/>
      <c r="CGG24" s="497"/>
      <c r="CGH24" s="497"/>
      <c r="CGI24" s="497"/>
      <c r="CGJ24" s="497"/>
      <c r="CGK24" s="497"/>
      <c r="CGL24" s="497"/>
      <c r="CGM24" s="497"/>
      <c r="CGN24" s="497"/>
      <c r="CGO24" s="497"/>
      <c r="CGP24" s="497"/>
      <c r="CGQ24" s="497"/>
      <c r="CGR24" s="497"/>
      <c r="CGS24" s="497"/>
      <c r="CGT24" s="497"/>
      <c r="CGU24" s="497"/>
      <c r="CGV24" s="497"/>
      <c r="CGW24" s="497"/>
      <c r="CGX24" s="497"/>
      <c r="CGY24" s="497"/>
      <c r="CGZ24" s="497"/>
      <c r="CHA24" s="497"/>
      <c r="CHB24" s="497"/>
      <c r="CHC24" s="497"/>
      <c r="CHD24" s="497"/>
      <c r="CHE24" s="497"/>
      <c r="CHF24" s="497"/>
      <c r="CHG24" s="497"/>
      <c r="CHH24" s="497"/>
      <c r="CHI24" s="497"/>
      <c r="CHJ24" s="497"/>
      <c r="CHK24" s="497"/>
      <c r="CHL24" s="497"/>
      <c r="CHM24" s="497"/>
      <c r="CHN24" s="497"/>
      <c r="CHO24" s="497"/>
      <c r="CHP24" s="497"/>
      <c r="CHQ24" s="497"/>
      <c r="CHR24" s="497"/>
      <c r="CHS24" s="497"/>
      <c r="CHT24" s="497"/>
      <c r="CHU24" s="497"/>
      <c r="CHV24" s="497"/>
      <c r="CHW24" s="497"/>
      <c r="CHX24" s="497"/>
      <c r="CHY24" s="497"/>
      <c r="CHZ24" s="497"/>
      <c r="CIA24" s="497"/>
      <c r="CIB24" s="497"/>
      <c r="CIC24" s="497"/>
      <c r="CID24" s="497"/>
      <c r="CIE24" s="497"/>
      <c r="CIF24" s="497"/>
      <c r="CIG24" s="497"/>
      <c r="CIH24" s="497"/>
      <c r="CII24" s="497"/>
      <c r="CIJ24" s="497"/>
      <c r="CIK24" s="497"/>
      <c r="CIL24" s="497"/>
      <c r="CIM24" s="497"/>
      <c r="CIN24" s="497"/>
      <c r="CIO24" s="497"/>
      <c r="CIP24" s="497"/>
      <c r="CIQ24" s="497"/>
      <c r="CIR24" s="497"/>
      <c r="CIS24" s="497"/>
      <c r="CIT24" s="497"/>
      <c r="CIU24" s="497"/>
      <c r="CIV24" s="497"/>
      <c r="CIW24" s="497"/>
      <c r="CIX24" s="497"/>
      <c r="CIY24" s="497"/>
      <c r="CIZ24" s="497"/>
      <c r="CJA24" s="497"/>
      <c r="CJB24" s="497"/>
      <c r="CJC24" s="497"/>
      <c r="CJD24" s="497"/>
      <c r="CJE24" s="497"/>
      <c r="CJF24" s="497"/>
      <c r="CJG24" s="497"/>
      <c r="CJH24" s="497"/>
      <c r="CJI24" s="497"/>
      <c r="CJJ24" s="497"/>
      <c r="CJK24" s="497"/>
      <c r="CJL24" s="497"/>
      <c r="CJM24" s="497"/>
      <c r="CJN24" s="497"/>
      <c r="CJO24" s="497"/>
      <c r="CJP24" s="497"/>
      <c r="CJQ24" s="497"/>
      <c r="CJR24" s="497"/>
      <c r="CJS24" s="497"/>
      <c r="CJT24" s="497"/>
      <c r="CJU24" s="497"/>
      <c r="CJV24" s="497"/>
      <c r="CJW24" s="497"/>
      <c r="CJX24" s="497"/>
      <c r="CJY24" s="497"/>
      <c r="CJZ24" s="497"/>
      <c r="CKA24" s="497"/>
      <c r="CKB24" s="497"/>
      <c r="CKC24" s="497"/>
      <c r="CKD24" s="497"/>
      <c r="CKE24" s="497"/>
      <c r="CKF24" s="497"/>
      <c r="CKG24" s="497"/>
      <c r="CKH24" s="497"/>
      <c r="CKI24" s="497"/>
      <c r="CKJ24" s="497"/>
      <c r="CKK24" s="497"/>
      <c r="CKL24" s="497"/>
      <c r="CKM24" s="497"/>
      <c r="CKN24" s="497"/>
      <c r="CKO24" s="497"/>
      <c r="CKP24" s="497"/>
      <c r="CKQ24" s="497"/>
      <c r="CKR24" s="497"/>
      <c r="CKS24" s="497"/>
      <c r="CKT24" s="497"/>
      <c r="CKU24" s="497"/>
      <c r="CKV24" s="497"/>
      <c r="CKW24" s="497"/>
      <c r="CKX24" s="497"/>
      <c r="CKY24" s="497"/>
      <c r="CKZ24" s="497"/>
      <c r="CLA24" s="497"/>
      <c r="CLB24" s="497"/>
      <c r="CLC24" s="497"/>
      <c r="CLD24" s="497"/>
      <c r="CLE24" s="497"/>
      <c r="CLF24" s="497"/>
      <c r="CLG24" s="497"/>
      <c r="CLH24" s="497"/>
      <c r="CLI24" s="497"/>
      <c r="CLJ24" s="497"/>
      <c r="CLK24" s="497"/>
      <c r="CLL24" s="497"/>
      <c r="CLM24" s="497"/>
      <c r="CLN24" s="497"/>
      <c r="CLO24" s="497"/>
      <c r="CLP24" s="497"/>
      <c r="CLQ24" s="497"/>
      <c r="CLR24" s="497"/>
      <c r="CLS24" s="497"/>
      <c r="CLT24" s="497"/>
      <c r="CLU24" s="497"/>
      <c r="CLV24" s="497"/>
      <c r="CLW24" s="497"/>
      <c r="CLX24" s="497"/>
      <c r="CLY24" s="497"/>
      <c r="CLZ24" s="497"/>
      <c r="CMA24" s="497"/>
      <c r="CMB24" s="497"/>
      <c r="CMC24" s="497"/>
      <c r="CMD24" s="497"/>
      <c r="CME24" s="497"/>
      <c r="CMF24" s="497"/>
      <c r="CMG24" s="497"/>
      <c r="CMH24" s="497"/>
      <c r="CMI24" s="497"/>
      <c r="CMJ24" s="497"/>
      <c r="CMK24" s="497"/>
      <c r="CML24" s="497"/>
      <c r="CMM24" s="497"/>
      <c r="CMN24" s="497"/>
      <c r="CMO24" s="497"/>
      <c r="CMP24" s="497"/>
      <c r="CMQ24" s="497"/>
      <c r="CMR24" s="497"/>
      <c r="CMS24" s="497"/>
      <c r="CMT24" s="497"/>
      <c r="CMU24" s="497"/>
      <c r="CMV24" s="497"/>
      <c r="CMW24" s="497"/>
      <c r="CMX24" s="497"/>
      <c r="CMY24" s="497"/>
      <c r="CMZ24" s="497"/>
      <c r="CNA24" s="497"/>
      <c r="CNB24" s="497"/>
      <c r="CNC24" s="497"/>
      <c r="CND24" s="497"/>
      <c r="CNE24" s="497"/>
      <c r="CNF24" s="497"/>
      <c r="CNG24" s="497"/>
      <c r="CNH24" s="497"/>
      <c r="CNI24" s="497"/>
      <c r="CNJ24" s="497"/>
      <c r="CNK24" s="497"/>
      <c r="CNL24" s="497"/>
      <c r="CNM24" s="497"/>
      <c r="CNN24" s="497"/>
      <c r="CNO24" s="497"/>
      <c r="CNP24" s="497"/>
      <c r="CNQ24" s="497"/>
      <c r="CNR24" s="497"/>
      <c r="CNS24" s="497"/>
      <c r="CNT24" s="497"/>
      <c r="CNU24" s="497"/>
      <c r="CNV24" s="497"/>
      <c r="CNW24" s="497"/>
      <c r="CNX24" s="497"/>
      <c r="CNY24" s="497"/>
      <c r="CNZ24" s="497"/>
      <c r="COA24" s="497"/>
      <c r="COB24" s="497"/>
      <c r="COC24" s="497"/>
      <c r="COD24" s="497"/>
      <c r="COE24" s="497"/>
      <c r="COF24" s="497"/>
      <c r="COG24" s="497"/>
      <c r="COH24" s="497"/>
      <c r="COI24" s="497"/>
      <c r="COJ24" s="497"/>
      <c r="COK24" s="497"/>
      <c r="COL24" s="497"/>
      <c r="COM24" s="497"/>
      <c r="CON24" s="497"/>
      <c r="COO24" s="497"/>
      <c r="COP24" s="497"/>
      <c r="COQ24" s="497"/>
      <c r="COR24" s="497"/>
      <c r="COS24" s="497"/>
      <c r="COT24" s="497"/>
      <c r="COU24" s="497"/>
      <c r="COV24" s="497"/>
      <c r="COW24" s="497"/>
      <c r="COX24" s="497"/>
      <c r="COY24" s="497"/>
      <c r="COZ24" s="497"/>
      <c r="CPA24" s="497"/>
      <c r="CPB24" s="497"/>
      <c r="CPC24" s="497"/>
      <c r="CPD24" s="497"/>
      <c r="CPE24" s="497"/>
      <c r="CPF24" s="497"/>
      <c r="CPG24" s="497"/>
      <c r="CPH24" s="497"/>
      <c r="CPI24" s="497"/>
      <c r="CPJ24" s="497"/>
      <c r="CPK24" s="497"/>
      <c r="CPL24" s="497"/>
      <c r="CPM24" s="497"/>
      <c r="CPN24" s="497"/>
      <c r="CPO24" s="497"/>
      <c r="CPP24" s="497"/>
      <c r="CPQ24" s="497"/>
      <c r="CPR24" s="497"/>
      <c r="CPS24" s="497"/>
      <c r="CPT24" s="497"/>
      <c r="CPU24" s="497"/>
      <c r="CPV24" s="497"/>
      <c r="CPW24" s="497"/>
      <c r="CPX24" s="497"/>
      <c r="CPY24" s="497"/>
      <c r="CPZ24" s="497"/>
      <c r="CQA24" s="497"/>
      <c r="CQB24" s="497"/>
      <c r="CQC24" s="497"/>
      <c r="CQD24" s="497"/>
      <c r="CQE24" s="497"/>
      <c r="CQF24" s="497"/>
      <c r="CQG24" s="497"/>
      <c r="CQH24" s="497"/>
      <c r="CQI24" s="497"/>
      <c r="CQJ24" s="497"/>
      <c r="CQK24" s="497"/>
      <c r="CQL24" s="497"/>
      <c r="CQM24" s="497"/>
      <c r="CQN24" s="497"/>
      <c r="CQO24" s="497"/>
      <c r="CQP24" s="497"/>
      <c r="CQQ24" s="497"/>
      <c r="CQR24" s="497"/>
      <c r="CQS24" s="497"/>
      <c r="CQT24" s="497"/>
      <c r="CQU24" s="497"/>
      <c r="CQV24" s="497"/>
      <c r="CQW24" s="497"/>
      <c r="CQX24" s="497"/>
      <c r="CQY24" s="497"/>
      <c r="CQZ24" s="497"/>
      <c r="CRA24" s="497"/>
      <c r="CRB24" s="497"/>
      <c r="CRC24" s="497"/>
      <c r="CRD24" s="497"/>
      <c r="CRE24" s="497"/>
      <c r="CRF24" s="497"/>
      <c r="CRG24" s="497"/>
      <c r="CRH24" s="497"/>
      <c r="CRI24" s="497"/>
      <c r="CRJ24" s="497"/>
      <c r="CRK24" s="497"/>
      <c r="CRL24" s="497"/>
      <c r="CRM24" s="497"/>
      <c r="CRN24" s="497"/>
      <c r="CRO24" s="497"/>
      <c r="CRP24" s="497"/>
      <c r="CRQ24" s="497"/>
      <c r="CRR24" s="497"/>
      <c r="CRS24" s="497"/>
      <c r="CRT24" s="497"/>
      <c r="CRU24" s="497"/>
      <c r="CRV24" s="497"/>
      <c r="CRW24" s="497"/>
      <c r="CRX24" s="497"/>
      <c r="CRY24" s="497"/>
      <c r="CRZ24" s="497"/>
      <c r="CSA24" s="497"/>
      <c r="CSB24" s="497"/>
      <c r="CSC24" s="497"/>
      <c r="CSD24" s="497"/>
      <c r="CSE24" s="497"/>
      <c r="CSF24" s="497"/>
      <c r="CSG24" s="497"/>
      <c r="CSH24" s="497"/>
      <c r="CSI24" s="497"/>
      <c r="CSJ24" s="497"/>
      <c r="CSK24" s="497"/>
      <c r="CSL24" s="497"/>
      <c r="CSM24" s="497"/>
      <c r="CSN24" s="497"/>
      <c r="CSO24" s="497"/>
      <c r="CSP24" s="497"/>
      <c r="CSQ24" s="497"/>
      <c r="CSR24" s="497"/>
      <c r="CSS24" s="497"/>
      <c r="CST24" s="497"/>
      <c r="CSU24" s="497"/>
      <c r="CSV24" s="497"/>
      <c r="CSW24" s="497"/>
      <c r="CSX24" s="497"/>
      <c r="CSY24" s="497"/>
      <c r="CSZ24" s="497"/>
      <c r="CTA24" s="497"/>
      <c r="CTB24" s="497"/>
      <c r="CTC24" s="497"/>
      <c r="CTD24" s="497"/>
      <c r="CTE24" s="497"/>
      <c r="CTF24" s="497"/>
      <c r="CTG24" s="497"/>
      <c r="CTH24" s="497"/>
      <c r="CTI24" s="497"/>
      <c r="CTJ24" s="497"/>
      <c r="CTK24" s="497"/>
      <c r="CTL24" s="497"/>
      <c r="CTM24" s="497"/>
      <c r="CTN24" s="497"/>
      <c r="CTO24" s="497"/>
      <c r="CTP24" s="497"/>
      <c r="CTQ24" s="497"/>
      <c r="CTR24" s="497"/>
      <c r="CTS24" s="497"/>
      <c r="CTT24" s="497"/>
      <c r="CTU24" s="497"/>
      <c r="CTV24" s="497"/>
      <c r="CTW24" s="497"/>
      <c r="CTX24" s="497"/>
      <c r="CTY24" s="497"/>
      <c r="CTZ24" s="497"/>
      <c r="CUA24" s="497"/>
      <c r="CUB24" s="497"/>
      <c r="CUC24" s="497"/>
      <c r="CUD24" s="497"/>
      <c r="CUE24" s="497"/>
      <c r="CUF24" s="497"/>
      <c r="CUG24" s="497"/>
      <c r="CUH24" s="497"/>
      <c r="CUI24" s="497"/>
      <c r="CUJ24" s="497"/>
      <c r="CUK24" s="497"/>
      <c r="CUL24" s="497"/>
      <c r="CUM24" s="497"/>
      <c r="CUN24" s="497"/>
      <c r="CUO24" s="497"/>
      <c r="CUP24" s="497"/>
      <c r="CUQ24" s="497"/>
      <c r="CUR24" s="497"/>
      <c r="CUS24" s="497"/>
      <c r="CUT24" s="497"/>
      <c r="CUU24" s="497"/>
      <c r="CUV24" s="497"/>
      <c r="CUW24" s="497"/>
      <c r="CUX24" s="497"/>
      <c r="CUY24" s="497"/>
      <c r="CUZ24" s="497"/>
      <c r="CVA24" s="497"/>
      <c r="CVB24" s="497"/>
      <c r="CVC24" s="497"/>
      <c r="CVD24" s="497"/>
      <c r="CVE24" s="497"/>
      <c r="CVF24" s="497"/>
      <c r="CVG24" s="497"/>
      <c r="CVH24" s="497"/>
      <c r="CVI24" s="497"/>
      <c r="CVJ24" s="497"/>
      <c r="CVK24" s="497"/>
      <c r="CVL24" s="497"/>
      <c r="CVM24" s="497"/>
      <c r="CVN24" s="497"/>
      <c r="CVO24" s="497"/>
      <c r="CVP24" s="497"/>
      <c r="CVQ24" s="497"/>
      <c r="CVR24" s="497"/>
      <c r="CVS24" s="497"/>
      <c r="CVT24" s="497"/>
      <c r="CVU24" s="497"/>
      <c r="CVV24" s="497"/>
      <c r="CVW24" s="497"/>
      <c r="CVX24" s="497"/>
      <c r="CVY24" s="497"/>
      <c r="CVZ24" s="497"/>
      <c r="CWA24" s="497"/>
      <c r="CWB24" s="497"/>
      <c r="CWC24" s="497"/>
      <c r="CWD24" s="497"/>
      <c r="CWE24" s="497"/>
      <c r="CWF24" s="497"/>
      <c r="CWG24" s="497"/>
      <c r="CWH24" s="497"/>
      <c r="CWI24" s="497"/>
      <c r="CWJ24" s="497"/>
      <c r="CWK24" s="497"/>
      <c r="CWL24" s="497"/>
      <c r="CWM24" s="497"/>
      <c r="CWN24" s="497"/>
      <c r="CWO24" s="497"/>
      <c r="CWP24" s="497"/>
      <c r="CWQ24" s="497"/>
      <c r="CWR24" s="497"/>
      <c r="CWS24" s="497"/>
      <c r="CWT24" s="497"/>
      <c r="CWU24" s="497"/>
      <c r="CWV24" s="497"/>
      <c r="CWW24" s="497"/>
      <c r="CWX24" s="497"/>
      <c r="CWY24" s="497"/>
      <c r="CWZ24" s="497"/>
      <c r="CXA24" s="497"/>
      <c r="CXB24" s="497"/>
      <c r="CXC24" s="497"/>
      <c r="CXD24" s="497"/>
      <c r="CXE24" s="497"/>
      <c r="CXF24" s="497"/>
      <c r="CXG24" s="497"/>
      <c r="CXH24" s="497"/>
      <c r="CXI24" s="497"/>
      <c r="CXJ24" s="497"/>
      <c r="CXK24" s="497"/>
      <c r="CXL24" s="497"/>
      <c r="CXM24" s="497"/>
      <c r="CXN24" s="497"/>
      <c r="CXO24" s="497"/>
      <c r="CXP24" s="497"/>
      <c r="CXQ24" s="497"/>
      <c r="CXR24" s="497"/>
      <c r="CXS24" s="497"/>
      <c r="CXT24" s="497"/>
      <c r="CXU24" s="497"/>
      <c r="CXV24" s="497"/>
      <c r="CXW24" s="497"/>
      <c r="CXX24" s="497"/>
      <c r="CXY24" s="497"/>
      <c r="CXZ24" s="497"/>
      <c r="CYA24" s="497"/>
      <c r="CYB24" s="497"/>
      <c r="CYC24" s="497"/>
      <c r="CYD24" s="497"/>
      <c r="CYE24" s="497"/>
      <c r="CYF24" s="497"/>
      <c r="CYG24" s="497"/>
      <c r="CYH24" s="497"/>
      <c r="CYI24" s="497"/>
      <c r="CYJ24" s="497"/>
      <c r="CYK24" s="497"/>
      <c r="CYL24" s="497"/>
      <c r="CYM24" s="497"/>
      <c r="CYN24" s="497"/>
      <c r="CYO24" s="497"/>
      <c r="CYP24" s="497"/>
      <c r="CYQ24" s="497"/>
      <c r="CYR24" s="497"/>
      <c r="CYS24" s="497"/>
      <c r="CYT24" s="497"/>
      <c r="CYU24" s="497"/>
      <c r="CYV24" s="497"/>
      <c r="CYW24" s="497"/>
      <c r="CYX24" s="497"/>
      <c r="CYY24" s="497"/>
      <c r="CYZ24" s="497"/>
      <c r="CZA24" s="497"/>
      <c r="CZB24" s="497"/>
      <c r="CZC24" s="497"/>
      <c r="CZD24" s="497"/>
      <c r="CZE24" s="497"/>
      <c r="CZF24" s="497"/>
      <c r="CZG24" s="497"/>
      <c r="CZH24" s="497"/>
      <c r="CZI24" s="497"/>
      <c r="CZJ24" s="497"/>
      <c r="CZK24" s="497"/>
      <c r="CZL24" s="497"/>
      <c r="CZM24" s="497"/>
      <c r="CZN24" s="497"/>
      <c r="CZO24" s="497"/>
      <c r="CZP24" s="497"/>
      <c r="CZQ24" s="497"/>
      <c r="CZR24" s="497"/>
      <c r="CZS24" s="497"/>
      <c r="CZT24" s="497"/>
      <c r="CZU24" s="497"/>
      <c r="CZV24" s="497"/>
      <c r="CZW24" s="497"/>
      <c r="CZX24" s="497"/>
      <c r="CZY24" s="497"/>
      <c r="CZZ24" s="497"/>
      <c r="DAA24" s="497"/>
      <c r="DAB24" s="497"/>
      <c r="DAC24" s="497"/>
      <c r="DAD24" s="497"/>
      <c r="DAE24" s="497"/>
      <c r="DAF24" s="497"/>
      <c r="DAG24" s="497"/>
      <c r="DAH24" s="497"/>
      <c r="DAI24" s="497"/>
      <c r="DAJ24" s="497"/>
      <c r="DAK24" s="497"/>
      <c r="DAL24" s="497"/>
      <c r="DAM24" s="497"/>
      <c r="DAN24" s="497"/>
      <c r="DAO24" s="497"/>
      <c r="DAP24" s="497"/>
      <c r="DAQ24" s="497"/>
      <c r="DAR24" s="497"/>
      <c r="DAS24" s="497"/>
      <c r="DAT24" s="497"/>
      <c r="DAU24" s="497"/>
      <c r="DAV24" s="497"/>
      <c r="DAW24" s="497"/>
      <c r="DAX24" s="497"/>
      <c r="DAY24" s="497"/>
      <c r="DAZ24" s="497"/>
      <c r="DBA24" s="497"/>
      <c r="DBB24" s="497"/>
      <c r="DBC24" s="497"/>
      <c r="DBD24" s="497"/>
      <c r="DBE24" s="497"/>
      <c r="DBF24" s="497"/>
      <c r="DBG24" s="497"/>
      <c r="DBH24" s="497"/>
      <c r="DBI24" s="497"/>
      <c r="DBJ24" s="497"/>
      <c r="DBK24" s="497"/>
      <c r="DBL24" s="497"/>
      <c r="DBM24" s="497"/>
      <c r="DBN24" s="497"/>
      <c r="DBO24" s="497"/>
      <c r="DBP24" s="497"/>
      <c r="DBQ24" s="497"/>
      <c r="DBR24" s="497"/>
      <c r="DBS24" s="497"/>
      <c r="DBT24" s="497"/>
      <c r="DBU24" s="497"/>
      <c r="DBV24" s="497"/>
      <c r="DBW24" s="497"/>
      <c r="DBX24" s="497"/>
      <c r="DBY24" s="497"/>
      <c r="DBZ24" s="497"/>
      <c r="DCA24" s="497"/>
      <c r="DCB24" s="497"/>
      <c r="DCC24" s="497"/>
      <c r="DCD24" s="497"/>
      <c r="DCE24" s="497"/>
      <c r="DCF24" s="497"/>
      <c r="DCG24" s="497"/>
      <c r="DCH24" s="497"/>
      <c r="DCI24" s="497"/>
      <c r="DCJ24" s="497"/>
      <c r="DCK24" s="497"/>
      <c r="DCL24" s="497"/>
      <c r="DCM24" s="497"/>
      <c r="DCN24" s="497"/>
      <c r="DCO24" s="497"/>
      <c r="DCP24" s="497"/>
      <c r="DCQ24" s="497"/>
      <c r="DCR24" s="497"/>
      <c r="DCS24" s="497"/>
      <c r="DCT24" s="497"/>
      <c r="DCU24" s="497"/>
      <c r="DCV24" s="497"/>
      <c r="DCW24" s="497"/>
      <c r="DCX24" s="497"/>
      <c r="DCY24" s="497"/>
      <c r="DCZ24" s="497"/>
      <c r="DDA24" s="497"/>
      <c r="DDB24" s="497"/>
      <c r="DDC24" s="497"/>
      <c r="DDD24" s="497"/>
      <c r="DDE24" s="497"/>
      <c r="DDF24" s="497"/>
      <c r="DDG24" s="497"/>
      <c r="DDH24" s="497"/>
      <c r="DDI24" s="497"/>
      <c r="DDJ24" s="497"/>
      <c r="DDK24" s="497"/>
      <c r="DDL24" s="497"/>
      <c r="DDM24" s="497"/>
      <c r="DDN24" s="497"/>
      <c r="DDO24" s="497"/>
      <c r="DDP24" s="497"/>
      <c r="DDQ24" s="497"/>
      <c r="DDR24" s="497"/>
      <c r="DDS24" s="497"/>
      <c r="DDT24" s="497"/>
      <c r="DDU24" s="497"/>
      <c r="DDV24" s="497"/>
      <c r="DDW24" s="497"/>
      <c r="DDX24" s="497"/>
      <c r="DDY24" s="497"/>
      <c r="DDZ24" s="497"/>
      <c r="DEA24" s="497"/>
      <c r="DEB24" s="497"/>
      <c r="DEC24" s="497"/>
      <c r="DED24" s="497"/>
      <c r="DEE24" s="497"/>
      <c r="DEF24" s="497"/>
      <c r="DEG24" s="497"/>
      <c r="DEH24" s="497"/>
      <c r="DEI24" s="497"/>
      <c r="DEJ24" s="497"/>
      <c r="DEK24" s="497"/>
      <c r="DEL24" s="497"/>
      <c r="DEM24" s="497"/>
      <c r="DEN24" s="497"/>
      <c r="DEO24" s="497"/>
      <c r="DEP24" s="497"/>
      <c r="DEQ24" s="497"/>
      <c r="DER24" s="497"/>
      <c r="DES24" s="497"/>
      <c r="DET24" s="497"/>
      <c r="DEU24" s="497"/>
      <c r="DEV24" s="497"/>
      <c r="DEW24" s="497"/>
      <c r="DEX24" s="497"/>
      <c r="DEY24" s="497"/>
      <c r="DEZ24" s="497"/>
      <c r="DFA24" s="497"/>
      <c r="DFB24" s="497"/>
      <c r="DFC24" s="497"/>
      <c r="DFD24" s="497"/>
      <c r="DFE24" s="497"/>
      <c r="DFF24" s="497"/>
      <c r="DFG24" s="497"/>
      <c r="DFH24" s="497"/>
      <c r="DFI24" s="497"/>
      <c r="DFJ24" s="497"/>
      <c r="DFK24" s="497"/>
      <c r="DFL24" s="497"/>
      <c r="DFM24" s="497"/>
      <c r="DFN24" s="497"/>
      <c r="DFO24" s="497"/>
      <c r="DFP24" s="497"/>
      <c r="DFQ24" s="497"/>
      <c r="DFR24" s="497"/>
      <c r="DFS24" s="497"/>
      <c r="DFT24" s="497"/>
      <c r="DFU24" s="497"/>
      <c r="DFV24" s="497"/>
      <c r="DFW24" s="497"/>
      <c r="DFX24" s="497"/>
      <c r="DFY24" s="497"/>
      <c r="DFZ24" s="497"/>
      <c r="DGA24" s="497"/>
      <c r="DGB24" s="497"/>
      <c r="DGC24" s="497"/>
      <c r="DGD24" s="497"/>
      <c r="DGE24" s="497"/>
      <c r="DGF24" s="497"/>
      <c r="DGG24" s="497"/>
      <c r="DGH24" s="497"/>
      <c r="DGI24" s="497"/>
      <c r="DGJ24" s="497"/>
      <c r="DGK24" s="497"/>
      <c r="DGL24" s="497"/>
      <c r="DGM24" s="497"/>
      <c r="DGN24" s="497"/>
      <c r="DGO24" s="497"/>
      <c r="DGP24" s="497"/>
      <c r="DGQ24" s="497"/>
      <c r="DGR24" s="497"/>
      <c r="DGS24" s="497"/>
      <c r="DGT24" s="497"/>
      <c r="DGU24" s="497"/>
      <c r="DGV24" s="497"/>
      <c r="DGW24" s="497"/>
      <c r="DGX24" s="497"/>
      <c r="DGY24" s="497"/>
      <c r="DGZ24" s="497"/>
      <c r="DHA24" s="497"/>
      <c r="DHB24" s="497"/>
      <c r="DHC24" s="497"/>
      <c r="DHD24" s="497"/>
      <c r="DHE24" s="497"/>
      <c r="DHF24" s="497"/>
      <c r="DHG24" s="497"/>
      <c r="DHH24" s="497"/>
      <c r="DHI24" s="497"/>
      <c r="DHJ24" s="497"/>
      <c r="DHK24" s="497"/>
      <c r="DHL24" s="497"/>
      <c r="DHM24" s="497"/>
      <c r="DHN24" s="497"/>
      <c r="DHO24" s="497"/>
      <c r="DHP24" s="497"/>
      <c r="DHQ24" s="497"/>
      <c r="DHR24" s="497"/>
      <c r="DHS24" s="497"/>
      <c r="DHT24" s="497"/>
      <c r="DHU24" s="497"/>
      <c r="DHV24" s="497"/>
      <c r="DHW24" s="497"/>
      <c r="DHX24" s="497"/>
      <c r="DHY24" s="497"/>
      <c r="DHZ24" s="497"/>
      <c r="DIA24" s="497"/>
      <c r="DIB24" s="497"/>
      <c r="DIC24" s="497"/>
      <c r="DID24" s="497"/>
      <c r="DIE24" s="497"/>
      <c r="DIF24" s="497"/>
      <c r="DIG24" s="497"/>
      <c r="DIH24" s="497"/>
      <c r="DII24" s="497"/>
      <c r="DIJ24" s="497"/>
      <c r="DIK24" s="497"/>
      <c r="DIL24" s="497"/>
      <c r="DIM24" s="497"/>
      <c r="DIN24" s="497"/>
      <c r="DIO24" s="497"/>
      <c r="DIP24" s="497"/>
      <c r="DIQ24" s="497"/>
      <c r="DIR24" s="497"/>
      <c r="DIS24" s="497"/>
      <c r="DIT24" s="497"/>
      <c r="DIU24" s="497"/>
      <c r="DIV24" s="497"/>
      <c r="DIW24" s="497"/>
      <c r="DIX24" s="497"/>
      <c r="DIY24" s="497"/>
      <c r="DIZ24" s="497"/>
      <c r="DJA24" s="497"/>
      <c r="DJB24" s="497"/>
      <c r="DJC24" s="497"/>
      <c r="DJD24" s="497"/>
      <c r="DJE24" s="497"/>
      <c r="DJF24" s="497"/>
      <c r="DJG24" s="497"/>
      <c r="DJH24" s="497"/>
      <c r="DJI24" s="497"/>
      <c r="DJJ24" s="497"/>
      <c r="DJK24" s="497"/>
      <c r="DJL24" s="497"/>
      <c r="DJM24" s="497"/>
      <c r="DJN24" s="497"/>
      <c r="DJO24" s="497"/>
      <c r="DJP24" s="497"/>
      <c r="DJQ24" s="497"/>
      <c r="DJR24" s="497"/>
      <c r="DJS24" s="497"/>
      <c r="DJT24" s="497"/>
      <c r="DJU24" s="497"/>
      <c r="DJV24" s="497"/>
      <c r="DJW24" s="497"/>
      <c r="DJX24" s="497"/>
      <c r="DJY24" s="497"/>
      <c r="DJZ24" s="497"/>
      <c r="DKA24" s="497"/>
      <c r="DKB24" s="497"/>
      <c r="DKC24" s="497"/>
      <c r="DKD24" s="497"/>
      <c r="DKE24" s="497"/>
      <c r="DKF24" s="497"/>
      <c r="DKG24" s="497"/>
      <c r="DKH24" s="497"/>
      <c r="DKI24" s="497"/>
      <c r="DKJ24" s="497"/>
      <c r="DKK24" s="497"/>
      <c r="DKL24" s="497"/>
      <c r="DKM24" s="497"/>
      <c r="DKN24" s="497"/>
      <c r="DKO24" s="497"/>
      <c r="DKP24" s="497"/>
      <c r="DKQ24" s="497"/>
      <c r="DKR24" s="497"/>
      <c r="DKS24" s="497"/>
      <c r="DKT24" s="497"/>
      <c r="DKU24" s="497"/>
      <c r="DKV24" s="497"/>
      <c r="DKW24" s="497"/>
      <c r="DKX24" s="497"/>
      <c r="DKY24" s="497"/>
      <c r="DKZ24" s="497"/>
      <c r="DLA24" s="497"/>
      <c r="DLB24" s="497"/>
      <c r="DLC24" s="497"/>
      <c r="DLD24" s="497"/>
      <c r="DLE24" s="497"/>
      <c r="DLF24" s="497"/>
      <c r="DLG24" s="497"/>
      <c r="DLH24" s="497"/>
      <c r="DLI24" s="497"/>
      <c r="DLJ24" s="497"/>
      <c r="DLK24" s="497"/>
      <c r="DLL24" s="497"/>
      <c r="DLM24" s="497"/>
      <c r="DLN24" s="497"/>
      <c r="DLO24" s="497"/>
      <c r="DLP24" s="497"/>
      <c r="DLQ24" s="497"/>
      <c r="DLR24" s="497"/>
      <c r="DLS24" s="497"/>
      <c r="DLT24" s="497"/>
      <c r="DLU24" s="497"/>
      <c r="DLV24" s="497"/>
      <c r="DLW24" s="497"/>
      <c r="DLX24" s="497"/>
      <c r="DLY24" s="497"/>
      <c r="DLZ24" s="497"/>
      <c r="DMA24" s="497"/>
      <c r="DMB24" s="497"/>
      <c r="DMC24" s="497"/>
      <c r="DMD24" s="497"/>
      <c r="DME24" s="497"/>
      <c r="DMF24" s="497"/>
      <c r="DMG24" s="497"/>
      <c r="DMH24" s="497"/>
      <c r="DMI24" s="497"/>
      <c r="DMJ24" s="497"/>
      <c r="DMK24" s="497"/>
      <c r="DML24" s="497"/>
      <c r="DMM24" s="497"/>
      <c r="DMN24" s="497"/>
      <c r="DMO24" s="497"/>
      <c r="DMP24" s="497"/>
      <c r="DMQ24" s="497"/>
      <c r="DMR24" s="497"/>
      <c r="DMS24" s="497"/>
      <c r="DMT24" s="497"/>
      <c r="DMU24" s="497"/>
      <c r="DMV24" s="497"/>
      <c r="DMW24" s="497"/>
      <c r="DMX24" s="497"/>
      <c r="DMY24" s="497"/>
      <c r="DMZ24" s="497"/>
      <c r="DNA24" s="497"/>
      <c r="DNB24" s="497"/>
      <c r="DNC24" s="497"/>
      <c r="DND24" s="497"/>
      <c r="DNE24" s="497"/>
      <c r="DNF24" s="497"/>
      <c r="DNG24" s="497"/>
      <c r="DNH24" s="497"/>
      <c r="DNI24" s="497"/>
      <c r="DNJ24" s="497"/>
      <c r="DNK24" s="497"/>
      <c r="DNL24" s="497"/>
      <c r="DNM24" s="497"/>
      <c r="DNN24" s="497"/>
      <c r="DNO24" s="497"/>
      <c r="DNP24" s="497"/>
      <c r="DNQ24" s="497"/>
      <c r="DNR24" s="497"/>
      <c r="DNS24" s="497"/>
      <c r="DNT24" s="497"/>
      <c r="DNU24" s="497"/>
      <c r="DNV24" s="497"/>
      <c r="DNW24" s="497"/>
      <c r="DNX24" s="497"/>
      <c r="DNY24" s="497"/>
      <c r="DNZ24" s="497"/>
      <c r="DOA24" s="497"/>
      <c r="DOB24" s="497"/>
      <c r="DOC24" s="497"/>
      <c r="DOD24" s="497"/>
      <c r="DOE24" s="497"/>
      <c r="DOF24" s="497"/>
      <c r="DOG24" s="497"/>
      <c r="DOH24" s="497"/>
      <c r="DOI24" s="497"/>
      <c r="DOJ24" s="497"/>
      <c r="DOK24" s="497"/>
      <c r="DOL24" s="497"/>
      <c r="DOM24" s="497"/>
      <c r="DON24" s="497"/>
      <c r="DOO24" s="497"/>
      <c r="DOP24" s="497"/>
      <c r="DOQ24" s="497"/>
      <c r="DOR24" s="497"/>
      <c r="DOS24" s="497"/>
      <c r="DOT24" s="497"/>
      <c r="DOU24" s="497"/>
      <c r="DOV24" s="497"/>
      <c r="DOW24" s="497"/>
      <c r="DOX24" s="497"/>
      <c r="DOY24" s="497"/>
      <c r="DOZ24" s="497"/>
      <c r="DPA24" s="497"/>
      <c r="DPB24" s="497"/>
      <c r="DPC24" s="497"/>
      <c r="DPD24" s="497"/>
      <c r="DPE24" s="497"/>
      <c r="DPF24" s="497"/>
      <c r="DPG24" s="497"/>
      <c r="DPH24" s="497"/>
      <c r="DPI24" s="497"/>
      <c r="DPJ24" s="497"/>
      <c r="DPK24" s="497"/>
      <c r="DPL24" s="497"/>
      <c r="DPM24" s="497"/>
      <c r="DPN24" s="497"/>
      <c r="DPO24" s="497"/>
      <c r="DPP24" s="497"/>
      <c r="DPQ24" s="497"/>
      <c r="DPR24" s="497"/>
      <c r="DPS24" s="497"/>
      <c r="DPT24" s="497"/>
      <c r="DPU24" s="497"/>
      <c r="DPV24" s="497"/>
      <c r="DPW24" s="497"/>
      <c r="DPX24" s="497"/>
      <c r="DPY24" s="497"/>
      <c r="DPZ24" s="497"/>
      <c r="DQA24" s="497"/>
      <c r="DQB24" s="497"/>
      <c r="DQC24" s="497"/>
      <c r="DQD24" s="497"/>
      <c r="DQE24" s="497"/>
      <c r="DQF24" s="497"/>
      <c r="DQG24" s="497"/>
      <c r="DQH24" s="497"/>
      <c r="DQI24" s="497"/>
      <c r="DQJ24" s="497"/>
      <c r="DQK24" s="497"/>
      <c r="DQL24" s="497"/>
      <c r="DQM24" s="497"/>
      <c r="DQN24" s="497"/>
      <c r="DQO24" s="497"/>
      <c r="DQP24" s="497"/>
      <c r="DQQ24" s="497"/>
      <c r="DQR24" s="497"/>
      <c r="DQS24" s="497"/>
      <c r="DQT24" s="497"/>
      <c r="DQU24" s="497"/>
      <c r="DQV24" s="497"/>
      <c r="DQW24" s="497"/>
      <c r="DQX24" s="497"/>
      <c r="DQY24" s="497"/>
      <c r="DQZ24" s="497"/>
      <c r="DRA24" s="497"/>
      <c r="DRB24" s="497"/>
      <c r="DRC24" s="497"/>
      <c r="DRD24" s="497"/>
      <c r="DRE24" s="497"/>
      <c r="DRF24" s="497"/>
      <c r="DRG24" s="497"/>
      <c r="DRH24" s="497"/>
      <c r="DRI24" s="497"/>
      <c r="DRJ24" s="497"/>
      <c r="DRK24" s="497"/>
      <c r="DRL24" s="497"/>
      <c r="DRM24" s="497"/>
      <c r="DRN24" s="497"/>
      <c r="DRO24" s="497"/>
      <c r="DRP24" s="497"/>
      <c r="DRQ24" s="497"/>
      <c r="DRR24" s="497"/>
      <c r="DRS24" s="497"/>
      <c r="DRT24" s="497"/>
      <c r="DRU24" s="497"/>
      <c r="DRV24" s="497"/>
      <c r="DRW24" s="497"/>
      <c r="DRX24" s="497"/>
      <c r="DRY24" s="497"/>
      <c r="DRZ24" s="497"/>
      <c r="DSA24" s="497"/>
      <c r="DSB24" s="497"/>
      <c r="DSC24" s="497"/>
      <c r="DSD24" s="497"/>
      <c r="DSE24" s="497"/>
      <c r="DSF24" s="497"/>
      <c r="DSG24" s="497"/>
      <c r="DSH24" s="497"/>
      <c r="DSI24" s="497"/>
      <c r="DSJ24" s="497"/>
      <c r="DSK24" s="497"/>
      <c r="DSL24" s="497"/>
      <c r="DSM24" s="497"/>
      <c r="DSN24" s="497"/>
      <c r="DSO24" s="497"/>
      <c r="DSP24" s="497"/>
      <c r="DSQ24" s="497"/>
      <c r="DSR24" s="497"/>
      <c r="DSS24" s="497"/>
      <c r="DST24" s="497"/>
      <c r="DSU24" s="497"/>
      <c r="DSV24" s="497"/>
      <c r="DSW24" s="497"/>
      <c r="DSX24" s="497"/>
      <c r="DSY24" s="497"/>
      <c r="DSZ24" s="497"/>
      <c r="DTA24" s="497"/>
      <c r="DTB24" s="497"/>
      <c r="DTC24" s="497"/>
      <c r="DTD24" s="497"/>
      <c r="DTE24" s="497"/>
      <c r="DTF24" s="497"/>
      <c r="DTG24" s="497"/>
      <c r="DTH24" s="497"/>
      <c r="DTI24" s="497"/>
      <c r="DTJ24" s="497"/>
      <c r="DTK24" s="497"/>
      <c r="DTL24" s="497"/>
      <c r="DTM24" s="497"/>
      <c r="DTN24" s="497"/>
      <c r="DTO24" s="497"/>
      <c r="DTP24" s="497"/>
      <c r="DTQ24" s="497"/>
      <c r="DTR24" s="497"/>
      <c r="DTS24" s="497"/>
      <c r="DTT24" s="497"/>
      <c r="DTU24" s="497"/>
      <c r="DTV24" s="497"/>
      <c r="DTW24" s="497"/>
      <c r="DTX24" s="497"/>
      <c r="DTY24" s="497"/>
      <c r="DTZ24" s="497"/>
      <c r="DUA24" s="497"/>
      <c r="DUB24" s="497"/>
      <c r="DUC24" s="497"/>
      <c r="DUD24" s="497"/>
      <c r="DUE24" s="497"/>
      <c r="DUF24" s="497"/>
      <c r="DUG24" s="497"/>
      <c r="DUH24" s="497"/>
      <c r="DUI24" s="497"/>
      <c r="DUJ24" s="497"/>
      <c r="DUK24" s="497"/>
      <c r="DUL24" s="497"/>
      <c r="DUM24" s="497"/>
      <c r="DUN24" s="497"/>
      <c r="DUO24" s="497"/>
      <c r="DUP24" s="497"/>
      <c r="DUQ24" s="497"/>
      <c r="DUR24" s="497"/>
      <c r="DUS24" s="497"/>
      <c r="DUT24" s="497"/>
      <c r="DUU24" s="497"/>
      <c r="DUV24" s="497"/>
      <c r="DUW24" s="497"/>
      <c r="DUX24" s="497"/>
      <c r="DUY24" s="497"/>
      <c r="DUZ24" s="497"/>
      <c r="DVA24" s="497"/>
      <c r="DVB24" s="497"/>
      <c r="DVC24" s="497"/>
      <c r="DVD24" s="497"/>
      <c r="DVE24" s="497"/>
      <c r="DVF24" s="497"/>
      <c r="DVG24" s="497"/>
      <c r="DVH24" s="497"/>
      <c r="DVI24" s="497"/>
      <c r="DVJ24" s="497"/>
      <c r="DVK24" s="497"/>
      <c r="DVL24" s="497"/>
      <c r="DVM24" s="497"/>
      <c r="DVN24" s="497"/>
      <c r="DVO24" s="497"/>
      <c r="DVP24" s="497"/>
      <c r="DVQ24" s="497"/>
      <c r="DVR24" s="497"/>
      <c r="DVS24" s="497"/>
      <c r="DVT24" s="497"/>
      <c r="DVU24" s="497"/>
      <c r="DVV24" s="497"/>
      <c r="DVW24" s="497"/>
      <c r="DVX24" s="497"/>
      <c r="DVY24" s="497"/>
      <c r="DVZ24" s="497"/>
      <c r="DWA24" s="497"/>
      <c r="DWB24" s="497"/>
      <c r="DWC24" s="497"/>
      <c r="DWD24" s="497"/>
      <c r="DWE24" s="497"/>
      <c r="DWF24" s="497"/>
      <c r="DWG24" s="497"/>
      <c r="DWH24" s="497"/>
      <c r="DWI24" s="497"/>
      <c r="DWJ24" s="497"/>
      <c r="DWK24" s="497"/>
      <c r="DWL24" s="497"/>
      <c r="DWM24" s="497"/>
      <c r="DWN24" s="497"/>
      <c r="DWO24" s="497"/>
      <c r="DWP24" s="497"/>
      <c r="DWQ24" s="497"/>
      <c r="DWR24" s="497"/>
      <c r="DWS24" s="497"/>
      <c r="DWT24" s="497"/>
      <c r="DWU24" s="497"/>
      <c r="DWV24" s="497"/>
      <c r="DWW24" s="497"/>
      <c r="DWX24" s="497"/>
      <c r="DWY24" s="497"/>
      <c r="DWZ24" s="497"/>
      <c r="DXA24" s="497"/>
      <c r="DXB24" s="497"/>
      <c r="DXC24" s="497"/>
      <c r="DXD24" s="497"/>
      <c r="DXE24" s="497"/>
      <c r="DXF24" s="497"/>
      <c r="DXG24" s="497"/>
      <c r="DXH24" s="497"/>
      <c r="DXI24" s="497"/>
      <c r="DXJ24" s="497"/>
      <c r="DXK24" s="497"/>
      <c r="DXL24" s="497"/>
      <c r="DXM24" s="497"/>
      <c r="DXN24" s="497"/>
      <c r="DXO24" s="497"/>
      <c r="DXP24" s="497"/>
      <c r="DXQ24" s="497"/>
      <c r="DXR24" s="497"/>
      <c r="DXS24" s="497"/>
      <c r="DXT24" s="497"/>
      <c r="DXU24" s="497"/>
      <c r="DXV24" s="497"/>
      <c r="DXW24" s="497"/>
      <c r="DXX24" s="497"/>
      <c r="DXY24" s="497"/>
      <c r="DXZ24" s="497"/>
      <c r="DYA24" s="497"/>
      <c r="DYB24" s="497"/>
      <c r="DYC24" s="497"/>
      <c r="DYD24" s="497"/>
      <c r="DYE24" s="497"/>
      <c r="DYF24" s="497"/>
      <c r="DYG24" s="497"/>
      <c r="DYH24" s="497"/>
      <c r="DYI24" s="497"/>
      <c r="DYJ24" s="497"/>
      <c r="DYK24" s="497"/>
      <c r="DYL24" s="497"/>
      <c r="DYM24" s="497"/>
      <c r="DYN24" s="497"/>
      <c r="DYO24" s="497"/>
      <c r="DYP24" s="497"/>
      <c r="DYQ24" s="497"/>
      <c r="DYR24" s="497"/>
      <c r="DYS24" s="497"/>
      <c r="DYT24" s="497"/>
      <c r="DYU24" s="497"/>
      <c r="DYV24" s="497"/>
      <c r="DYW24" s="497"/>
      <c r="DYX24" s="497"/>
      <c r="DYY24" s="497"/>
      <c r="DYZ24" s="497"/>
      <c r="DZA24" s="497"/>
      <c r="DZB24" s="497"/>
      <c r="DZC24" s="497"/>
      <c r="DZD24" s="497"/>
      <c r="DZE24" s="497"/>
      <c r="DZF24" s="497"/>
      <c r="DZG24" s="497"/>
      <c r="DZH24" s="497"/>
      <c r="DZI24" s="497"/>
      <c r="DZJ24" s="497"/>
      <c r="DZK24" s="497"/>
      <c r="DZL24" s="497"/>
      <c r="DZM24" s="497"/>
      <c r="DZN24" s="497"/>
      <c r="DZO24" s="497"/>
      <c r="DZP24" s="497"/>
      <c r="DZQ24" s="497"/>
      <c r="DZR24" s="497"/>
      <c r="DZS24" s="497"/>
      <c r="DZT24" s="497"/>
      <c r="DZU24" s="497"/>
      <c r="DZV24" s="497"/>
      <c r="DZW24" s="497"/>
      <c r="DZX24" s="497"/>
      <c r="DZY24" s="497"/>
      <c r="DZZ24" s="497"/>
      <c r="EAA24" s="497"/>
      <c r="EAB24" s="497"/>
      <c r="EAC24" s="497"/>
      <c r="EAD24" s="497"/>
      <c r="EAE24" s="497"/>
      <c r="EAF24" s="497"/>
      <c r="EAG24" s="497"/>
      <c r="EAH24" s="497"/>
      <c r="EAI24" s="497"/>
      <c r="EAJ24" s="497"/>
      <c r="EAK24" s="497"/>
      <c r="EAL24" s="497"/>
      <c r="EAM24" s="497"/>
      <c r="EAN24" s="497"/>
      <c r="EAO24" s="497"/>
      <c r="EAP24" s="497"/>
      <c r="EAQ24" s="497"/>
      <c r="EAR24" s="497"/>
      <c r="EAS24" s="497"/>
      <c r="EAT24" s="497"/>
      <c r="EAU24" s="497"/>
      <c r="EAV24" s="497"/>
      <c r="EAW24" s="497"/>
      <c r="EAX24" s="497"/>
      <c r="EAY24" s="497"/>
      <c r="EAZ24" s="497"/>
      <c r="EBA24" s="497"/>
      <c r="EBB24" s="497"/>
      <c r="EBC24" s="497"/>
      <c r="EBD24" s="497"/>
      <c r="EBE24" s="497"/>
      <c r="EBF24" s="497"/>
      <c r="EBG24" s="497"/>
      <c r="EBH24" s="497"/>
      <c r="EBI24" s="497"/>
      <c r="EBJ24" s="497"/>
      <c r="EBK24" s="497"/>
      <c r="EBL24" s="497"/>
      <c r="EBM24" s="497"/>
      <c r="EBN24" s="497"/>
      <c r="EBO24" s="497"/>
      <c r="EBP24" s="497"/>
      <c r="EBQ24" s="497"/>
      <c r="EBR24" s="497"/>
      <c r="EBS24" s="497"/>
      <c r="EBT24" s="497"/>
      <c r="EBU24" s="497"/>
      <c r="EBV24" s="497"/>
      <c r="EBW24" s="497"/>
      <c r="EBX24" s="497"/>
      <c r="EBY24" s="497"/>
      <c r="EBZ24" s="497"/>
      <c r="ECA24" s="497"/>
      <c r="ECB24" s="497"/>
      <c r="ECC24" s="497"/>
      <c r="ECD24" s="497"/>
      <c r="ECE24" s="497"/>
      <c r="ECF24" s="497"/>
      <c r="ECG24" s="497"/>
      <c r="ECH24" s="497"/>
      <c r="ECI24" s="497"/>
      <c r="ECJ24" s="497"/>
      <c r="ECK24" s="497"/>
      <c r="ECL24" s="497"/>
      <c r="ECM24" s="497"/>
      <c r="ECN24" s="497"/>
      <c r="ECO24" s="497"/>
      <c r="ECP24" s="497"/>
      <c r="ECQ24" s="497"/>
      <c r="ECR24" s="497"/>
      <c r="ECS24" s="497"/>
      <c r="ECT24" s="497"/>
      <c r="ECU24" s="497"/>
      <c r="ECV24" s="497"/>
      <c r="ECW24" s="497"/>
      <c r="ECX24" s="497"/>
      <c r="ECY24" s="497"/>
      <c r="ECZ24" s="497"/>
      <c r="EDA24" s="497"/>
      <c r="EDB24" s="497"/>
      <c r="EDC24" s="497"/>
      <c r="EDD24" s="497"/>
      <c r="EDE24" s="497"/>
      <c r="EDF24" s="497"/>
      <c r="EDG24" s="497"/>
      <c r="EDH24" s="497"/>
      <c r="EDI24" s="497"/>
      <c r="EDJ24" s="497"/>
      <c r="EDK24" s="497"/>
      <c r="EDL24" s="497"/>
      <c r="EDM24" s="497"/>
      <c r="EDN24" s="497"/>
      <c r="EDO24" s="497"/>
      <c r="EDP24" s="497"/>
      <c r="EDQ24" s="497"/>
      <c r="EDR24" s="497"/>
      <c r="EDS24" s="497"/>
      <c r="EDT24" s="497"/>
      <c r="EDU24" s="497"/>
      <c r="EDV24" s="497"/>
      <c r="EDW24" s="497"/>
      <c r="EDX24" s="497"/>
      <c r="EDY24" s="497"/>
      <c r="EDZ24" s="497"/>
      <c r="EEA24" s="497"/>
      <c r="EEB24" s="497"/>
      <c r="EEC24" s="497"/>
      <c r="EED24" s="497"/>
      <c r="EEE24" s="497"/>
      <c r="EEF24" s="497"/>
      <c r="EEG24" s="497"/>
      <c r="EEH24" s="497"/>
      <c r="EEI24" s="497"/>
      <c r="EEJ24" s="497"/>
      <c r="EEK24" s="497"/>
      <c r="EEL24" s="497"/>
      <c r="EEM24" s="497"/>
      <c r="EEN24" s="497"/>
      <c r="EEO24" s="497"/>
      <c r="EEP24" s="497"/>
      <c r="EEQ24" s="497"/>
      <c r="EER24" s="497"/>
      <c r="EES24" s="497"/>
      <c r="EET24" s="497"/>
      <c r="EEU24" s="497"/>
      <c r="EEV24" s="497"/>
      <c r="EEW24" s="497"/>
      <c r="EEX24" s="497"/>
      <c r="EEY24" s="497"/>
      <c r="EEZ24" s="497"/>
      <c r="EFA24" s="497"/>
      <c r="EFB24" s="497"/>
      <c r="EFC24" s="497"/>
      <c r="EFD24" s="497"/>
      <c r="EFE24" s="497"/>
      <c r="EFF24" s="497"/>
      <c r="EFG24" s="497"/>
      <c r="EFH24" s="497"/>
      <c r="EFI24" s="497"/>
      <c r="EFJ24" s="497"/>
      <c r="EFK24" s="497"/>
      <c r="EFL24" s="497"/>
      <c r="EFM24" s="497"/>
      <c r="EFN24" s="497"/>
      <c r="EFO24" s="497"/>
      <c r="EFP24" s="497"/>
      <c r="EFQ24" s="497"/>
      <c r="EFR24" s="497"/>
      <c r="EFS24" s="497"/>
      <c r="EFT24" s="497"/>
      <c r="EFU24" s="497"/>
      <c r="EFV24" s="497"/>
      <c r="EFW24" s="497"/>
      <c r="EFX24" s="497"/>
      <c r="EFY24" s="497"/>
      <c r="EFZ24" s="497"/>
      <c r="EGA24" s="497"/>
      <c r="EGB24" s="497"/>
      <c r="EGC24" s="497"/>
      <c r="EGD24" s="497"/>
      <c r="EGE24" s="497"/>
      <c r="EGF24" s="497"/>
      <c r="EGG24" s="497"/>
      <c r="EGH24" s="497"/>
      <c r="EGI24" s="497"/>
      <c r="EGJ24" s="497"/>
      <c r="EGK24" s="497"/>
      <c r="EGL24" s="497"/>
      <c r="EGM24" s="497"/>
      <c r="EGN24" s="497"/>
      <c r="EGO24" s="497"/>
      <c r="EGP24" s="497"/>
      <c r="EGQ24" s="497"/>
      <c r="EGR24" s="497"/>
      <c r="EGS24" s="497"/>
      <c r="EGT24" s="497"/>
      <c r="EGU24" s="497"/>
      <c r="EGV24" s="497"/>
      <c r="EGW24" s="497"/>
      <c r="EGX24" s="497"/>
      <c r="EGY24" s="497"/>
      <c r="EGZ24" s="497"/>
      <c r="EHA24" s="497"/>
      <c r="EHB24" s="497"/>
      <c r="EHC24" s="497"/>
      <c r="EHD24" s="497"/>
      <c r="EHE24" s="497"/>
      <c r="EHF24" s="497"/>
      <c r="EHG24" s="497"/>
      <c r="EHH24" s="497"/>
      <c r="EHI24" s="497"/>
      <c r="EHJ24" s="497"/>
      <c r="EHK24" s="497"/>
      <c r="EHL24" s="497"/>
      <c r="EHM24" s="497"/>
      <c r="EHN24" s="497"/>
      <c r="EHO24" s="497"/>
      <c r="EHP24" s="497"/>
      <c r="EHQ24" s="497"/>
      <c r="EHR24" s="497"/>
      <c r="EHS24" s="497"/>
      <c r="EHT24" s="497"/>
      <c r="EHU24" s="497"/>
      <c r="EHV24" s="497"/>
      <c r="EHW24" s="497"/>
      <c r="EHX24" s="497"/>
      <c r="EHY24" s="497"/>
      <c r="EHZ24" s="497"/>
      <c r="EIA24" s="497"/>
      <c r="EIB24" s="497"/>
      <c r="EIC24" s="497"/>
      <c r="EID24" s="497"/>
      <c r="EIE24" s="497"/>
      <c r="EIF24" s="497"/>
      <c r="EIG24" s="497"/>
      <c r="EIH24" s="497"/>
      <c r="EII24" s="497"/>
      <c r="EIJ24" s="497"/>
      <c r="EIK24" s="497"/>
      <c r="EIL24" s="497"/>
      <c r="EIM24" s="497"/>
      <c r="EIN24" s="497"/>
      <c r="EIO24" s="497"/>
      <c r="EIP24" s="497"/>
      <c r="EIQ24" s="497"/>
      <c r="EIR24" s="497"/>
      <c r="EIS24" s="497"/>
      <c r="EIT24" s="497"/>
      <c r="EIU24" s="497"/>
      <c r="EIV24" s="497"/>
      <c r="EIW24" s="497"/>
      <c r="EIX24" s="497"/>
      <c r="EIY24" s="497"/>
      <c r="EIZ24" s="497"/>
      <c r="EJA24" s="497"/>
      <c r="EJB24" s="497"/>
      <c r="EJC24" s="497"/>
      <c r="EJD24" s="497"/>
      <c r="EJE24" s="497"/>
      <c r="EJF24" s="497"/>
      <c r="EJG24" s="497"/>
      <c r="EJH24" s="497"/>
      <c r="EJI24" s="497"/>
      <c r="EJJ24" s="497"/>
      <c r="EJK24" s="497"/>
      <c r="EJL24" s="497"/>
      <c r="EJM24" s="497"/>
      <c r="EJN24" s="497"/>
      <c r="EJO24" s="497"/>
      <c r="EJP24" s="497"/>
      <c r="EJQ24" s="497"/>
      <c r="EJR24" s="497"/>
      <c r="EJS24" s="497"/>
      <c r="EJT24" s="497"/>
      <c r="EJU24" s="497"/>
      <c r="EJV24" s="497"/>
      <c r="EJW24" s="497"/>
      <c r="EJX24" s="497"/>
      <c r="EJY24" s="497"/>
      <c r="EJZ24" s="497"/>
      <c r="EKA24" s="497"/>
      <c r="EKB24" s="497"/>
      <c r="EKC24" s="497"/>
      <c r="EKD24" s="497"/>
      <c r="EKE24" s="497"/>
      <c r="EKF24" s="497"/>
      <c r="EKG24" s="497"/>
      <c r="EKH24" s="497"/>
      <c r="EKI24" s="497"/>
      <c r="EKJ24" s="497"/>
      <c r="EKK24" s="497"/>
      <c r="EKL24" s="497"/>
      <c r="EKM24" s="497"/>
      <c r="EKN24" s="497"/>
      <c r="EKO24" s="497"/>
      <c r="EKP24" s="497"/>
      <c r="EKQ24" s="497"/>
      <c r="EKR24" s="497"/>
      <c r="EKS24" s="497"/>
      <c r="EKT24" s="497"/>
      <c r="EKU24" s="497"/>
      <c r="EKV24" s="497"/>
      <c r="EKW24" s="497"/>
      <c r="EKX24" s="497"/>
      <c r="EKY24" s="497"/>
      <c r="EKZ24" s="497"/>
      <c r="ELA24" s="497"/>
      <c r="ELB24" s="497"/>
      <c r="ELC24" s="497"/>
      <c r="ELD24" s="497"/>
      <c r="ELE24" s="497"/>
      <c r="ELF24" s="497"/>
      <c r="ELG24" s="497"/>
      <c r="ELH24" s="497"/>
      <c r="ELI24" s="497"/>
      <c r="ELJ24" s="497"/>
      <c r="ELK24" s="497"/>
      <c r="ELL24" s="497"/>
      <c r="ELM24" s="497"/>
      <c r="ELN24" s="497"/>
      <c r="ELO24" s="497"/>
      <c r="ELP24" s="497"/>
      <c r="ELQ24" s="497"/>
      <c r="ELR24" s="497"/>
      <c r="ELS24" s="497"/>
      <c r="ELT24" s="497"/>
      <c r="ELU24" s="497"/>
      <c r="ELV24" s="497"/>
      <c r="ELW24" s="497"/>
      <c r="ELX24" s="497"/>
      <c r="ELY24" s="497"/>
      <c r="ELZ24" s="497"/>
      <c r="EMA24" s="497"/>
      <c r="EMB24" s="497"/>
      <c r="EMC24" s="497"/>
      <c r="EMD24" s="497"/>
      <c r="EME24" s="497"/>
      <c r="EMF24" s="497"/>
      <c r="EMG24" s="497"/>
      <c r="EMH24" s="497"/>
      <c r="EMI24" s="497"/>
      <c r="EMJ24" s="497"/>
      <c r="EMK24" s="497"/>
      <c r="EML24" s="497"/>
      <c r="EMM24" s="497"/>
      <c r="EMN24" s="497"/>
      <c r="EMO24" s="497"/>
      <c r="EMP24" s="497"/>
      <c r="EMQ24" s="497"/>
      <c r="EMR24" s="497"/>
      <c r="EMS24" s="497"/>
      <c r="EMT24" s="497"/>
      <c r="EMU24" s="497"/>
      <c r="EMV24" s="497"/>
      <c r="EMW24" s="497"/>
      <c r="EMX24" s="497"/>
      <c r="EMY24" s="497"/>
      <c r="EMZ24" s="497"/>
      <c r="ENA24" s="497"/>
      <c r="ENB24" s="497"/>
      <c r="ENC24" s="497"/>
      <c r="END24" s="497"/>
      <c r="ENE24" s="497"/>
      <c r="ENF24" s="497"/>
      <c r="ENG24" s="497"/>
      <c r="ENH24" s="497"/>
      <c r="ENI24" s="497"/>
      <c r="ENJ24" s="497"/>
      <c r="ENK24" s="497"/>
      <c r="ENL24" s="497"/>
      <c r="ENM24" s="497"/>
      <c r="ENN24" s="497"/>
      <c r="ENO24" s="497"/>
      <c r="ENP24" s="497"/>
      <c r="ENQ24" s="497"/>
      <c r="ENR24" s="497"/>
      <c r="ENS24" s="497"/>
      <c r="ENT24" s="497"/>
      <c r="ENU24" s="497"/>
      <c r="ENV24" s="497"/>
      <c r="ENW24" s="497"/>
      <c r="ENX24" s="497"/>
      <c r="ENY24" s="497"/>
      <c r="ENZ24" s="497"/>
      <c r="EOA24" s="497"/>
      <c r="EOB24" s="497"/>
      <c r="EOC24" s="497"/>
      <c r="EOD24" s="497"/>
      <c r="EOE24" s="497"/>
      <c r="EOF24" s="497"/>
      <c r="EOG24" s="497"/>
      <c r="EOH24" s="497"/>
      <c r="EOI24" s="497"/>
      <c r="EOJ24" s="497"/>
      <c r="EOK24" s="497"/>
      <c r="EOL24" s="497"/>
      <c r="EOM24" s="497"/>
      <c r="EON24" s="497"/>
      <c r="EOO24" s="497"/>
      <c r="EOP24" s="497"/>
      <c r="EOQ24" s="497"/>
      <c r="EOR24" s="497"/>
      <c r="EOS24" s="497"/>
      <c r="EOT24" s="497"/>
      <c r="EOU24" s="497"/>
      <c r="EOV24" s="497"/>
      <c r="EOW24" s="497"/>
      <c r="EOX24" s="497"/>
      <c r="EOY24" s="497"/>
      <c r="EOZ24" s="497"/>
      <c r="EPA24" s="497"/>
      <c r="EPB24" s="497"/>
      <c r="EPC24" s="497"/>
      <c r="EPD24" s="497"/>
      <c r="EPE24" s="497"/>
      <c r="EPF24" s="497"/>
      <c r="EPG24" s="497"/>
      <c r="EPH24" s="497"/>
      <c r="EPI24" s="497"/>
      <c r="EPJ24" s="497"/>
      <c r="EPK24" s="497"/>
      <c r="EPL24" s="497"/>
      <c r="EPM24" s="497"/>
      <c r="EPN24" s="497"/>
      <c r="EPO24" s="497"/>
      <c r="EPP24" s="497"/>
      <c r="EPQ24" s="497"/>
      <c r="EPR24" s="497"/>
      <c r="EPS24" s="497"/>
      <c r="EPT24" s="497"/>
      <c r="EPU24" s="497"/>
      <c r="EPV24" s="497"/>
      <c r="EPW24" s="497"/>
      <c r="EPX24" s="497"/>
      <c r="EPY24" s="497"/>
      <c r="EPZ24" s="497"/>
      <c r="EQA24" s="497"/>
      <c r="EQB24" s="497"/>
      <c r="EQC24" s="497"/>
      <c r="EQD24" s="497"/>
      <c r="EQE24" s="497"/>
      <c r="EQF24" s="497"/>
      <c r="EQG24" s="497"/>
      <c r="EQH24" s="497"/>
      <c r="EQI24" s="497"/>
      <c r="EQJ24" s="497"/>
      <c r="EQK24" s="497"/>
      <c r="EQL24" s="497"/>
      <c r="EQM24" s="497"/>
      <c r="EQN24" s="497"/>
      <c r="EQO24" s="497"/>
      <c r="EQP24" s="497"/>
      <c r="EQQ24" s="497"/>
      <c r="EQR24" s="497"/>
      <c r="EQS24" s="497"/>
      <c r="EQT24" s="497"/>
      <c r="EQU24" s="497"/>
      <c r="EQV24" s="497"/>
      <c r="EQW24" s="497"/>
      <c r="EQX24" s="497"/>
      <c r="EQY24" s="497"/>
      <c r="EQZ24" s="497"/>
      <c r="ERA24" s="497"/>
      <c r="ERB24" s="497"/>
      <c r="ERC24" s="497"/>
      <c r="ERD24" s="497"/>
      <c r="ERE24" s="497"/>
      <c r="ERF24" s="497"/>
      <c r="ERG24" s="497"/>
      <c r="ERH24" s="497"/>
      <c r="ERI24" s="497"/>
      <c r="ERJ24" s="497"/>
      <c r="ERK24" s="497"/>
      <c r="ERL24" s="497"/>
      <c r="ERM24" s="497"/>
      <c r="ERN24" s="497"/>
      <c r="ERO24" s="497"/>
      <c r="ERP24" s="497"/>
      <c r="ERQ24" s="497"/>
      <c r="ERR24" s="497"/>
      <c r="ERS24" s="497"/>
      <c r="ERT24" s="497"/>
      <c r="ERU24" s="497"/>
      <c r="ERV24" s="497"/>
      <c r="ERW24" s="497"/>
      <c r="ERX24" s="497"/>
      <c r="ERY24" s="497"/>
      <c r="ERZ24" s="497"/>
      <c r="ESA24" s="497"/>
      <c r="ESB24" s="497"/>
      <c r="ESC24" s="497"/>
      <c r="ESD24" s="497"/>
      <c r="ESE24" s="497"/>
      <c r="ESF24" s="497"/>
      <c r="ESG24" s="497"/>
      <c r="ESH24" s="497"/>
      <c r="ESI24" s="497"/>
      <c r="ESJ24" s="497"/>
      <c r="ESK24" s="497"/>
      <c r="ESL24" s="497"/>
      <c r="ESM24" s="497"/>
      <c r="ESN24" s="497"/>
      <c r="ESO24" s="497"/>
      <c r="ESP24" s="497"/>
      <c r="ESQ24" s="497"/>
      <c r="ESR24" s="497"/>
      <c r="ESS24" s="497"/>
      <c r="EST24" s="497"/>
      <c r="ESU24" s="497"/>
      <c r="ESV24" s="497"/>
      <c r="ESW24" s="497"/>
      <c r="ESX24" s="497"/>
      <c r="ESY24" s="497"/>
      <c r="ESZ24" s="497"/>
      <c r="ETA24" s="497"/>
      <c r="ETB24" s="497"/>
      <c r="ETC24" s="497"/>
      <c r="ETD24" s="497"/>
      <c r="ETE24" s="497"/>
      <c r="ETF24" s="497"/>
      <c r="ETG24" s="497"/>
      <c r="ETH24" s="497"/>
      <c r="ETI24" s="497"/>
      <c r="ETJ24" s="497"/>
      <c r="ETK24" s="497"/>
      <c r="ETL24" s="497"/>
      <c r="ETM24" s="497"/>
      <c r="ETN24" s="497"/>
      <c r="ETO24" s="497"/>
      <c r="ETP24" s="497"/>
      <c r="ETQ24" s="497"/>
      <c r="ETR24" s="497"/>
      <c r="ETS24" s="497"/>
      <c r="ETT24" s="497"/>
      <c r="ETU24" s="497"/>
      <c r="ETV24" s="497"/>
      <c r="ETW24" s="497"/>
      <c r="ETX24" s="497"/>
      <c r="ETY24" s="497"/>
      <c r="ETZ24" s="497"/>
      <c r="EUA24" s="497"/>
      <c r="EUB24" s="497"/>
      <c r="EUC24" s="497"/>
      <c r="EUD24" s="497"/>
      <c r="EUE24" s="497"/>
      <c r="EUF24" s="497"/>
      <c r="EUG24" s="497"/>
      <c r="EUH24" s="497"/>
      <c r="EUI24" s="497"/>
      <c r="EUJ24" s="497"/>
      <c r="EUK24" s="497"/>
      <c r="EUL24" s="497"/>
      <c r="EUM24" s="497"/>
      <c r="EUN24" s="497"/>
      <c r="EUO24" s="497"/>
      <c r="EUP24" s="497"/>
      <c r="EUQ24" s="497"/>
      <c r="EUR24" s="497"/>
      <c r="EUS24" s="497"/>
      <c r="EUT24" s="497"/>
      <c r="EUU24" s="497"/>
      <c r="EUV24" s="497"/>
      <c r="EUW24" s="497"/>
      <c r="EUX24" s="497"/>
      <c r="EUY24" s="497"/>
      <c r="EUZ24" s="497"/>
      <c r="EVA24" s="497"/>
      <c r="EVB24" s="497"/>
      <c r="EVC24" s="497"/>
      <c r="EVD24" s="497"/>
      <c r="EVE24" s="497"/>
      <c r="EVF24" s="497"/>
      <c r="EVG24" s="497"/>
      <c r="EVH24" s="497"/>
      <c r="EVI24" s="497"/>
      <c r="EVJ24" s="497"/>
      <c r="EVK24" s="497"/>
      <c r="EVL24" s="497"/>
      <c r="EVM24" s="497"/>
      <c r="EVN24" s="497"/>
      <c r="EVO24" s="497"/>
      <c r="EVP24" s="497"/>
      <c r="EVQ24" s="497"/>
      <c r="EVR24" s="497"/>
      <c r="EVS24" s="497"/>
      <c r="EVT24" s="497"/>
      <c r="EVU24" s="497"/>
      <c r="EVV24" s="497"/>
      <c r="EVW24" s="497"/>
      <c r="EVX24" s="497"/>
      <c r="EVY24" s="497"/>
      <c r="EVZ24" s="497"/>
      <c r="EWA24" s="497"/>
      <c r="EWB24" s="497"/>
      <c r="EWC24" s="497"/>
      <c r="EWD24" s="497"/>
      <c r="EWE24" s="497"/>
      <c r="EWF24" s="497"/>
      <c r="EWG24" s="497"/>
      <c r="EWH24" s="497"/>
      <c r="EWI24" s="497"/>
      <c r="EWJ24" s="497"/>
      <c r="EWK24" s="497"/>
      <c r="EWL24" s="497"/>
      <c r="EWM24" s="497"/>
      <c r="EWN24" s="497"/>
      <c r="EWO24" s="497"/>
      <c r="EWP24" s="497"/>
      <c r="EWQ24" s="497"/>
      <c r="EWR24" s="497"/>
      <c r="EWS24" s="497"/>
      <c r="EWT24" s="497"/>
      <c r="EWU24" s="497"/>
      <c r="EWV24" s="497"/>
      <c r="EWW24" s="497"/>
      <c r="EWX24" s="497"/>
      <c r="EWY24" s="497"/>
      <c r="EWZ24" s="497"/>
      <c r="EXA24" s="497"/>
      <c r="EXB24" s="497"/>
      <c r="EXC24" s="497"/>
      <c r="EXD24" s="497"/>
      <c r="EXE24" s="497"/>
      <c r="EXF24" s="497"/>
      <c r="EXG24" s="497"/>
      <c r="EXH24" s="497"/>
      <c r="EXI24" s="497"/>
      <c r="EXJ24" s="497"/>
      <c r="EXK24" s="497"/>
      <c r="EXL24" s="497"/>
      <c r="EXM24" s="497"/>
      <c r="EXN24" s="497"/>
      <c r="EXO24" s="497"/>
      <c r="EXP24" s="497"/>
      <c r="EXQ24" s="497"/>
      <c r="EXR24" s="497"/>
      <c r="EXS24" s="497"/>
      <c r="EXT24" s="497"/>
      <c r="EXU24" s="497"/>
      <c r="EXV24" s="497"/>
      <c r="EXW24" s="497"/>
      <c r="EXX24" s="497"/>
      <c r="EXY24" s="497"/>
      <c r="EXZ24" s="497"/>
      <c r="EYA24" s="497"/>
      <c r="EYB24" s="497"/>
      <c r="EYC24" s="497"/>
      <c r="EYD24" s="497"/>
      <c r="EYE24" s="497"/>
      <c r="EYF24" s="497"/>
      <c r="EYG24" s="497"/>
      <c r="EYH24" s="497"/>
      <c r="EYI24" s="497"/>
      <c r="EYJ24" s="497"/>
      <c r="EYK24" s="497"/>
      <c r="EYL24" s="497"/>
      <c r="EYM24" s="497"/>
      <c r="EYN24" s="497"/>
      <c r="EYO24" s="497"/>
      <c r="EYP24" s="497"/>
      <c r="EYQ24" s="497"/>
      <c r="EYR24" s="497"/>
      <c r="EYS24" s="497"/>
      <c r="EYT24" s="497"/>
      <c r="EYU24" s="497"/>
      <c r="EYV24" s="497"/>
      <c r="EYW24" s="497"/>
      <c r="EYX24" s="497"/>
      <c r="EYY24" s="497"/>
      <c r="EYZ24" s="497"/>
      <c r="EZA24" s="497"/>
      <c r="EZB24" s="497"/>
      <c r="EZC24" s="497"/>
      <c r="EZD24" s="497"/>
      <c r="EZE24" s="497"/>
      <c r="EZF24" s="497"/>
      <c r="EZG24" s="497"/>
      <c r="EZH24" s="497"/>
      <c r="EZI24" s="497"/>
      <c r="EZJ24" s="497"/>
      <c r="EZK24" s="497"/>
      <c r="EZL24" s="497"/>
      <c r="EZM24" s="497"/>
      <c r="EZN24" s="497"/>
      <c r="EZO24" s="497"/>
      <c r="EZP24" s="497"/>
      <c r="EZQ24" s="497"/>
      <c r="EZR24" s="497"/>
      <c r="EZS24" s="497"/>
      <c r="EZT24" s="497"/>
      <c r="EZU24" s="497"/>
      <c r="EZV24" s="497"/>
      <c r="EZW24" s="497"/>
      <c r="EZX24" s="497"/>
      <c r="EZY24" s="497"/>
      <c r="EZZ24" s="497"/>
      <c r="FAA24" s="497"/>
      <c r="FAB24" s="497"/>
      <c r="FAC24" s="497"/>
      <c r="FAD24" s="497"/>
      <c r="FAE24" s="497"/>
      <c r="FAF24" s="497"/>
      <c r="FAG24" s="497"/>
      <c r="FAH24" s="497"/>
      <c r="FAI24" s="497"/>
      <c r="FAJ24" s="497"/>
      <c r="FAK24" s="497"/>
      <c r="FAL24" s="497"/>
      <c r="FAM24" s="497"/>
      <c r="FAN24" s="497"/>
      <c r="FAO24" s="497"/>
      <c r="FAP24" s="497"/>
      <c r="FAQ24" s="497"/>
      <c r="FAR24" s="497"/>
      <c r="FAS24" s="497"/>
      <c r="FAT24" s="497"/>
      <c r="FAU24" s="497"/>
      <c r="FAV24" s="497"/>
      <c r="FAW24" s="497"/>
      <c r="FAX24" s="497"/>
      <c r="FAY24" s="497"/>
      <c r="FAZ24" s="497"/>
      <c r="FBA24" s="497"/>
      <c r="FBB24" s="497"/>
      <c r="FBC24" s="497"/>
      <c r="FBD24" s="497"/>
      <c r="FBE24" s="497"/>
      <c r="FBF24" s="497"/>
      <c r="FBG24" s="497"/>
      <c r="FBH24" s="497"/>
      <c r="FBI24" s="497"/>
      <c r="FBJ24" s="497"/>
      <c r="FBK24" s="497"/>
      <c r="FBL24" s="497"/>
      <c r="FBM24" s="497"/>
      <c r="FBN24" s="497"/>
      <c r="FBO24" s="497"/>
      <c r="FBP24" s="497"/>
      <c r="FBQ24" s="497"/>
      <c r="FBR24" s="497"/>
      <c r="FBS24" s="497"/>
      <c r="FBT24" s="497"/>
      <c r="FBU24" s="497"/>
      <c r="FBV24" s="497"/>
      <c r="FBW24" s="497"/>
      <c r="FBX24" s="497"/>
      <c r="FBY24" s="497"/>
      <c r="FBZ24" s="497"/>
      <c r="FCA24" s="497"/>
      <c r="FCB24" s="497"/>
      <c r="FCC24" s="497"/>
      <c r="FCD24" s="497"/>
      <c r="FCE24" s="497"/>
      <c r="FCF24" s="497"/>
      <c r="FCG24" s="497"/>
      <c r="FCH24" s="497"/>
      <c r="FCI24" s="497"/>
      <c r="FCJ24" s="497"/>
      <c r="FCK24" s="497"/>
      <c r="FCL24" s="497"/>
      <c r="FCM24" s="497"/>
      <c r="FCN24" s="497"/>
      <c r="FCO24" s="497"/>
      <c r="FCP24" s="497"/>
      <c r="FCQ24" s="497"/>
      <c r="FCR24" s="497"/>
      <c r="FCS24" s="497"/>
      <c r="FCT24" s="497"/>
      <c r="FCU24" s="497"/>
      <c r="FCV24" s="497"/>
      <c r="FCW24" s="497"/>
      <c r="FCX24" s="497"/>
      <c r="FCY24" s="497"/>
      <c r="FCZ24" s="497"/>
      <c r="FDA24" s="497"/>
      <c r="FDB24" s="497"/>
      <c r="FDC24" s="497"/>
      <c r="FDD24" s="497"/>
      <c r="FDE24" s="497"/>
      <c r="FDF24" s="497"/>
      <c r="FDG24" s="497"/>
      <c r="FDH24" s="497"/>
      <c r="FDI24" s="497"/>
      <c r="FDJ24" s="497"/>
      <c r="FDK24" s="497"/>
      <c r="FDL24" s="497"/>
      <c r="FDM24" s="497"/>
      <c r="FDN24" s="497"/>
      <c r="FDO24" s="497"/>
      <c r="FDP24" s="497"/>
      <c r="FDQ24" s="497"/>
      <c r="FDR24" s="497"/>
      <c r="FDS24" s="497"/>
      <c r="FDT24" s="497"/>
      <c r="FDU24" s="497"/>
      <c r="FDV24" s="497"/>
      <c r="FDW24" s="497"/>
      <c r="FDX24" s="497"/>
      <c r="FDY24" s="497"/>
      <c r="FDZ24" s="497"/>
      <c r="FEA24" s="497"/>
      <c r="FEB24" s="497"/>
      <c r="FEC24" s="497"/>
      <c r="FED24" s="497"/>
      <c r="FEE24" s="497"/>
      <c r="FEF24" s="497"/>
      <c r="FEG24" s="497"/>
      <c r="FEH24" s="497"/>
      <c r="FEI24" s="497"/>
      <c r="FEJ24" s="497"/>
      <c r="FEK24" s="497"/>
      <c r="FEL24" s="497"/>
      <c r="FEM24" s="497"/>
      <c r="FEN24" s="497"/>
      <c r="FEO24" s="497"/>
      <c r="FEP24" s="497"/>
      <c r="FEQ24" s="497"/>
      <c r="FER24" s="497"/>
      <c r="FES24" s="497"/>
      <c r="FET24" s="497"/>
      <c r="FEU24" s="497"/>
      <c r="FEV24" s="497"/>
      <c r="FEW24" s="497"/>
      <c r="FEX24" s="497"/>
      <c r="FEY24" s="497"/>
      <c r="FEZ24" s="497"/>
      <c r="FFA24" s="497"/>
      <c r="FFB24" s="497"/>
      <c r="FFC24" s="497"/>
      <c r="FFD24" s="497"/>
      <c r="FFE24" s="497"/>
      <c r="FFF24" s="497"/>
      <c r="FFG24" s="497"/>
      <c r="FFH24" s="497"/>
      <c r="FFI24" s="497"/>
      <c r="FFJ24" s="497"/>
      <c r="FFK24" s="497"/>
      <c r="FFL24" s="497"/>
      <c r="FFM24" s="497"/>
      <c r="FFN24" s="497"/>
      <c r="FFO24" s="497"/>
      <c r="FFP24" s="497"/>
      <c r="FFQ24" s="497"/>
      <c r="FFR24" s="497"/>
      <c r="FFS24" s="497"/>
      <c r="FFT24" s="497"/>
      <c r="FFU24" s="497"/>
      <c r="FFV24" s="497"/>
      <c r="FFW24" s="497"/>
      <c r="FFX24" s="497"/>
      <c r="FFY24" s="497"/>
      <c r="FFZ24" s="497"/>
      <c r="FGA24" s="497"/>
      <c r="FGB24" s="497"/>
      <c r="FGC24" s="497"/>
      <c r="FGD24" s="497"/>
      <c r="FGE24" s="497"/>
      <c r="FGF24" s="497"/>
      <c r="FGG24" s="497"/>
      <c r="FGH24" s="497"/>
      <c r="FGI24" s="497"/>
      <c r="FGJ24" s="497"/>
      <c r="FGK24" s="497"/>
      <c r="FGL24" s="497"/>
      <c r="FGM24" s="497"/>
      <c r="FGN24" s="497"/>
      <c r="FGO24" s="497"/>
      <c r="FGP24" s="497"/>
      <c r="FGQ24" s="497"/>
      <c r="FGR24" s="497"/>
      <c r="FGS24" s="497"/>
      <c r="FGT24" s="497"/>
      <c r="FGU24" s="497"/>
      <c r="FGV24" s="497"/>
      <c r="FGW24" s="497"/>
      <c r="FGX24" s="497"/>
      <c r="FGY24" s="497"/>
      <c r="FGZ24" s="497"/>
      <c r="FHA24" s="497"/>
      <c r="FHB24" s="497"/>
      <c r="FHC24" s="497"/>
      <c r="FHD24" s="497"/>
      <c r="FHE24" s="497"/>
      <c r="FHF24" s="497"/>
      <c r="FHG24" s="497"/>
      <c r="FHH24" s="497"/>
      <c r="FHI24" s="497"/>
      <c r="FHJ24" s="497"/>
      <c r="FHK24" s="497"/>
      <c r="FHL24" s="497"/>
      <c r="FHM24" s="497"/>
      <c r="FHN24" s="497"/>
      <c r="FHO24" s="497"/>
      <c r="FHP24" s="497"/>
      <c r="FHQ24" s="497"/>
      <c r="FHR24" s="497"/>
      <c r="FHS24" s="497"/>
      <c r="FHT24" s="497"/>
      <c r="FHU24" s="497"/>
      <c r="FHV24" s="497"/>
      <c r="FHW24" s="497"/>
      <c r="FHX24" s="497"/>
      <c r="FHY24" s="497"/>
      <c r="FHZ24" s="497"/>
      <c r="FIA24" s="497"/>
      <c r="FIB24" s="497"/>
      <c r="FIC24" s="497"/>
      <c r="FID24" s="497"/>
      <c r="FIE24" s="497"/>
      <c r="FIF24" s="497"/>
      <c r="FIG24" s="497"/>
      <c r="FIH24" s="497"/>
      <c r="FII24" s="497"/>
      <c r="FIJ24" s="497"/>
      <c r="FIK24" s="497"/>
      <c r="FIL24" s="497"/>
      <c r="FIM24" s="497"/>
      <c r="FIN24" s="497"/>
      <c r="FIO24" s="497"/>
      <c r="FIP24" s="497"/>
      <c r="FIQ24" s="497"/>
      <c r="FIR24" s="497"/>
      <c r="FIS24" s="497"/>
      <c r="FIT24" s="497"/>
      <c r="FIU24" s="497"/>
      <c r="FIV24" s="497"/>
      <c r="FIW24" s="497"/>
      <c r="FIX24" s="497"/>
      <c r="FIY24" s="497"/>
      <c r="FIZ24" s="497"/>
      <c r="FJA24" s="497"/>
      <c r="FJB24" s="497"/>
      <c r="FJC24" s="497"/>
      <c r="FJD24" s="497"/>
      <c r="FJE24" s="497"/>
      <c r="FJF24" s="497"/>
      <c r="FJG24" s="497"/>
      <c r="FJH24" s="497"/>
      <c r="FJI24" s="497"/>
      <c r="FJJ24" s="497"/>
      <c r="FJK24" s="497"/>
      <c r="FJL24" s="497"/>
      <c r="FJM24" s="497"/>
      <c r="FJN24" s="497"/>
      <c r="FJO24" s="497"/>
      <c r="FJP24" s="497"/>
      <c r="FJQ24" s="497"/>
      <c r="FJR24" s="497"/>
      <c r="FJS24" s="497"/>
      <c r="FJT24" s="497"/>
      <c r="FJU24" s="497"/>
      <c r="FJV24" s="497"/>
      <c r="FJW24" s="497"/>
      <c r="FJX24" s="497"/>
      <c r="FJY24" s="497"/>
      <c r="FJZ24" s="497"/>
      <c r="FKA24" s="497"/>
      <c r="FKB24" s="497"/>
      <c r="FKC24" s="497"/>
      <c r="FKD24" s="497"/>
      <c r="FKE24" s="497"/>
      <c r="FKF24" s="497"/>
      <c r="FKG24" s="497"/>
      <c r="FKH24" s="497"/>
      <c r="FKI24" s="497"/>
      <c r="FKJ24" s="497"/>
      <c r="FKK24" s="497"/>
      <c r="FKL24" s="497"/>
      <c r="FKM24" s="497"/>
      <c r="FKN24" s="497"/>
      <c r="FKO24" s="497"/>
      <c r="FKP24" s="497"/>
      <c r="FKQ24" s="497"/>
      <c r="FKR24" s="497"/>
      <c r="FKS24" s="497"/>
      <c r="FKT24" s="497"/>
      <c r="FKU24" s="497"/>
      <c r="FKV24" s="497"/>
      <c r="FKW24" s="497"/>
      <c r="FKX24" s="497"/>
      <c r="FKY24" s="497"/>
      <c r="FKZ24" s="497"/>
      <c r="FLA24" s="497"/>
      <c r="FLB24" s="497"/>
      <c r="FLC24" s="497"/>
      <c r="FLD24" s="497"/>
      <c r="FLE24" s="497"/>
      <c r="FLF24" s="497"/>
      <c r="FLG24" s="497"/>
      <c r="FLH24" s="497"/>
      <c r="FLI24" s="497"/>
      <c r="FLJ24" s="497"/>
      <c r="FLK24" s="497"/>
      <c r="FLL24" s="497"/>
      <c r="FLM24" s="497"/>
      <c r="FLN24" s="497"/>
      <c r="FLO24" s="497"/>
      <c r="FLP24" s="497"/>
      <c r="FLQ24" s="497"/>
      <c r="FLR24" s="497"/>
      <c r="FLS24" s="497"/>
      <c r="FLT24" s="497"/>
      <c r="FLU24" s="497"/>
      <c r="FLV24" s="497"/>
      <c r="FLW24" s="497"/>
      <c r="FLX24" s="497"/>
      <c r="FLY24" s="497"/>
      <c r="FLZ24" s="497"/>
      <c r="FMA24" s="497"/>
      <c r="FMB24" s="497"/>
      <c r="FMC24" s="497"/>
      <c r="FMD24" s="497"/>
      <c r="FME24" s="497"/>
      <c r="FMF24" s="497"/>
      <c r="FMG24" s="497"/>
      <c r="FMH24" s="497"/>
      <c r="FMI24" s="497"/>
      <c r="FMJ24" s="497"/>
      <c r="FMK24" s="497"/>
      <c r="FML24" s="497"/>
      <c r="FMM24" s="497"/>
      <c r="FMN24" s="497"/>
      <c r="FMO24" s="497"/>
      <c r="FMP24" s="497"/>
      <c r="FMQ24" s="497"/>
      <c r="FMR24" s="497"/>
      <c r="FMS24" s="497"/>
      <c r="FMT24" s="497"/>
      <c r="FMU24" s="497"/>
      <c r="FMV24" s="497"/>
      <c r="FMW24" s="497"/>
      <c r="FMX24" s="497"/>
      <c r="FMY24" s="497"/>
      <c r="FMZ24" s="497"/>
      <c r="FNA24" s="497"/>
      <c r="FNB24" s="497"/>
      <c r="FNC24" s="497"/>
      <c r="FND24" s="497"/>
      <c r="FNE24" s="497"/>
      <c r="FNF24" s="497"/>
      <c r="FNG24" s="497"/>
      <c r="FNH24" s="497"/>
      <c r="FNI24" s="497"/>
      <c r="FNJ24" s="497"/>
      <c r="FNK24" s="497"/>
      <c r="FNL24" s="497"/>
      <c r="FNM24" s="497"/>
      <c r="FNN24" s="497"/>
      <c r="FNO24" s="497"/>
      <c r="FNP24" s="497"/>
      <c r="FNQ24" s="497"/>
      <c r="FNR24" s="497"/>
      <c r="FNS24" s="497"/>
      <c r="FNT24" s="497"/>
      <c r="FNU24" s="497"/>
      <c r="FNV24" s="497"/>
      <c r="FNW24" s="497"/>
      <c r="FNX24" s="497"/>
      <c r="FNY24" s="497"/>
      <c r="FNZ24" s="497"/>
      <c r="FOA24" s="497"/>
      <c r="FOB24" s="497"/>
      <c r="FOC24" s="497"/>
      <c r="FOD24" s="497"/>
      <c r="FOE24" s="497"/>
      <c r="FOF24" s="497"/>
      <c r="FOG24" s="497"/>
      <c r="FOH24" s="497"/>
      <c r="FOI24" s="497"/>
      <c r="FOJ24" s="497"/>
      <c r="FOK24" s="497"/>
      <c r="FOL24" s="497"/>
      <c r="FOM24" s="497"/>
      <c r="FON24" s="497"/>
      <c r="FOO24" s="497"/>
      <c r="FOP24" s="497"/>
      <c r="FOQ24" s="497"/>
      <c r="FOR24" s="497"/>
      <c r="FOS24" s="497"/>
      <c r="FOT24" s="497"/>
      <c r="FOU24" s="497"/>
      <c r="FOV24" s="497"/>
      <c r="FOW24" s="497"/>
      <c r="FOX24" s="497"/>
      <c r="FOY24" s="497"/>
      <c r="FOZ24" s="497"/>
      <c r="FPA24" s="497"/>
      <c r="FPB24" s="497"/>
      <c r="FPC24" s="497"/>
      <c r="FPD24" s="497"/>
      <c r="FPE24" s="497"/>
      <c r="FPF24" s="497"/>
      <c r="FPG24" s="497"/>
      <c r="FPH24" s="497"/>
      <c r="FPI24" s="497"/>
      <c r="FPJ24" s="497"/>
      <c r="FPK24" s="497"/>
      <c r="FPL24" s="497"/>
      <c r="FPM24" s="497"/>
      <c r="FPN24" s="497"/>
      <c r="FPO24" s="497"/>
      <c r="FPP24" s="497"/>
      <c r="FPQ24" s="497"/>
      <c r="FPR24" s="497"/>
      <c r="FPS24" s="497"/>
      <c r="FPT24" s="497"/>
      <c r="FPU24" s="497"/>
      <c r="FPV24" s="497"/>
      <c r="FPW24" s="497"/>
      <c r="FPX24" s="497"/>
      <c r="FPY24" s="497"/>
      <c r="FPZ24" s="497"/>
      <c r="FQA24" s="497"/>
      <c r="FQB24" s="497"/>
      <c r="FQC24" s="497"/>
      <c r="FQD24" s="497"/>
      <c r="FQE24" s="497"/>
      <c r="FQF24" s="497"/>
      <c r="FQG24" s="497"/>
      <c r="FQH24" s="497"/>
      <c r="FQI24" s="497"/>
      <c r="FQJ24" s="497"/>
      <c r="FQK24" s="497"/>
      <c r="FQL24" s="497"/>
      <c r="FQM24" s="497"/>
      <c r="FQN24" s="497"/>
      <c r="FQO24" s="497"/>
      <c r="FQP24" s="497"/>
      <c r="FQQ24" s="497"/>
      <c r="FQR24" s="497"/>
      <c r="FQS24" s="497"/>
      <c r="FQT24" s="497"/>
      <c r="FQU24" s="497"/>
      <c r="FQV24" s="497"/>
      <c r="FQW24" s="497"/>
      <c r="FQX24" s="497"/>
      <c r="FQY24" s="497"/>
      <c r="FQZ24" s="497"/>
      <c r="FRA24" s="497"/>
      <c r="FRB24" s="497"/>
      <c r="FRC24" s="497"/>
      <c r="FRD24" s="497"/>
      <c r="FRE24" s="497"/>
      <c r="FRF24" s="497"/>
      <c r="FRG24" s="497"/>
      <c r="FRH24" s="497"/>
      <c r="FRI24" s="497"/>
      <c r="FRJ24" s="497"/>
      <c r="FRK24" s="497"/>
      <c r="FRL24" s="497"/>
      <c r="FRM24" s="497"/>
      <c r="FRN24" s="497"/>
      <c r="FRO24" s="497"/>
      <c r="FRP24" s="497"/>
      <c r="FRQ24" s="497"/>
      <c r="FRR24" s="497"/>
      <c r="FRS24" s="497"/>
      <c r="FRT24" s="497"/>
      <c r="FRU24" s="497"/>
      <c r="FRV24" s="497"/>
      <c r="FRW24" s="497"/>
      <c r="FRX24" s="497"/>
      <c r="FRY24" s="497"/>
      <c r="FRZ24" s="497"/>
      <c r="FSA24" s="497"/>
      <c r="FSB24" s="497"/>
      <c r="FSC24" s="497"/>
      <c r="FSD24" s="497"/>
      <c r="FSE24" s="497"/>
      <c r="FSF24" s="497"/>
      <c r="FSG24" s="497"/>
      <c r="FSH24" s="497"/>
      <c r="FSI24" s="497"/>
      <c r="FSJ24" s="497"/>
      <c r="FSK24" s="497"/>
      <c r="FSL24" s="497"/>
      <c r="FSM24" s="497"/>
      <c r="FSN24" s="497"/>
      <c r="FSO24" s="497"/>
      <c r="FSP24" s="497"/>
      <c r="FSQ24" s="497"/>
      <c r="FSR24" s="497"/>
      <c r="FSS24" s="497"/>
      <c r="FST24" s="497"/>
      <c r="FSU24" s="497"/>
      <c r="FSV24" s="497"/>
      <c r="FSW24" s="497"/>
      <c r="FSX24" s="497"/>
      <c r="FSY24" s="497"/>
      <c r="FSZ24" s="497"/>
      <c r="FTA24" s="497"/>
      <c r="FTB24" s="497"/>
      <c r="FTC24" s="497"/>
      <c r="FTD24" s="497"/>
      <c r="FTE24" s="497"/>
      <c r="FTF24" s="497"/>
      <c r="FTG24" s="497"/>
      <c r="FTH24" s="497"/>
      <c r="FTI24" s="497"/>
      <c r="FTJ24" s="497"/>
      <c r="FTK24" s="497"/>
      <c r="FTL24" s="497"/>
      <c r="FTM24" s="497"/>
      <c r="FTN24" s="497"/>
      <c r="FTO24" s="497"/>
      <c r="FTP24" s="497"/>
      <c r="FTQ24" s="497"/>
      <c r="FTR24" s="497"/>
      <c r="FTS24" s="497"/>
      <c r="FTT24" s="497"/>
      <c r="FTU24" s="497"/>
      <c r="FTV24" s="497"/>
      <c r="FTW24" s="497"/>
      <c r="FTX24" s="497"/>
      <c r="FTY24" s="497"/>
      <c r="FTZ24" s="497"/>
      <c r="FUA24" s="497"/>
      <c r="FUB24" s="497"/>
      <c r="FUC24" s="497"/>
      <c r="FUD24" s="497"/>
      <c r="FUE24" s="497"/>
      <c r="FUF24" s="497"/>
      <c r="FUG24" s="497"/>
      <c r="FUH24" s="497"/>
      <c r="FUI24" s="497"/>
      <c r="FUJ24" s="497"/>
      <c r="FUK24" s="497"/>
      <c r="FUL24" s="497"/>
      <c r="FUM24" s="497"/>
      <c r="FUN24" s="497"/>
      <c r="FUO24" s="497"/>
      <c r="FUP24" s="497"/>
      <c r="FUQ24" s="497"/>
      <c r="FUR24" s="497"/>
      <c r="FUS24" s="497"/>
      <c r="FUT24" s="497"/>
      <c r="FUU24" s="497"/>
      <c r="FUV24" s="497"/>
      <c r="FUW24" s="497"/>
      <c r="FUX24" s="497"/>
      <c r="FUY24" s="497"/>
      <c r="FUZ24" s="497"/>
      <c r="FVA24" s="497"/>
      <c r="FVB24" s="497"/>
      <c r="FVC24" s="497"/>
      <c r="FVD24" s="497"/>
      <c r="FVE24" s="497"/>
      <c r="FVF24" s="497"/>
      <c r="FVG24" s="497"/>
      <c r="FVH24" s="497"/>
      <c r="FVI24" s="497"/>
      <c r="FVJ24" s="497"/>
      <c r="FVK24" s="497"/>
      <c r="FVL24" s="497"/>
      <c r="FVM24" s="497"/>
      <c r="FVN24" s="497"/>
      <c r="FVO24" s="497"/>
      <c r="FVP24" s="497"/>
      <c r="FVQ24" s="497"/>
      <c r="FVR24" s="497"/>
      <c r="FVS24" s="497"/>
      <c r="FVT24" s="497"/>
      <c r="FVU24" s="497"/>
      <c r="FVV24" s="497"/>
      <c r="FVW24" s="497"/>
      <c r="FVX24" s="497"/>
      <c r="FVY24" s="497"/>
      <c r="FVZ24" s="497"/>
      <c r="FWA24" s="497"/>
      <c r="FWB24" s="497"/>
      <c r="FWC24" s="497"/>
      <c r="FWD24" s="497"/>
      <c r="FWE24" s="497"/>
      <c r="FWF24" s="497"/>
      <c r="FWG24" s="497"/>
      <c r="FWH24" s="497"/>
      <c r="FWI24" s="497"/>
      <c r="FWJ24" s="497"/>
      <c r="FWK24" s="497"/>
      <c r="FWL24" s="497"/>
      <c r="FWM24" s="497"/>
      <c r="FWN24" s="497"/>
      <c r="FWO24" s="497"/>
      <c r="FWP24" s="497"/>
      <c r="FWQ24" s="497"/>
      <c r="FWR24" s="497"/>
      <c r="FWS24" s="497"/>
      <c r="FWT24" s="497"/>
      <c r="FWU24" s="497"/>
      <c r="FWV24" s="497"/>
      <c r="FWW24" s="497"/>
      <c r="FWX24" s="497"/>
      <c r="FWY24" s="497"/>
      <c r="FWZ24" s="497"/>
      <c r="FXA24" s="497"/>
      <c r="FXB24" s="497"/>
      <c r="FXC24" s="497"/>
      <c r="FXD24" s="497"/>
      <c r="FXE24" s="497"/>
      <c r="FXF24" s="497"/>
      <c r="FXG24" s="497"/>
      <c r="FXH24" s="497"/>
      <c r="FXI24" s="497"/>
      <c r="FXJ24" s="497"/>
      <c r="FXK24" s="497"/>
      <c r="FXL24" s="497"/>
      <c r="FXM24" s="497"/>
      <c r="FXN24" s="497"/>
      <c r="FXO24" s="497"/>
      <c r="FXP24" s="497"/>
      <c r="FXQ24" s="497"/>
      <c r="FXR24" s="497"/>
      <c r="FXS24" s="497"/>
      <c r="FXT24" s="497"/>
      <c r="FXU24" s="497"/>
      <c r="FXV24" s="497"/>
      <c r="FXW24" s="497"/>
      <c r="FXX24" s="497"/>
      <c r="FXY24" s="497"/>
      <c r="FXZ24" s="497"/>
      <c r="FYA24" s="497"/>
      <c r="FYB24" s="497"/>
      <c r="FYC24" s="497"/>
      <c r="FYD24" s="497"/>
      <c r="FYE24" s="497"/>
      <c r="FYF24" s="497"/>
      <c r="FYG24" s="497"/>
      <c r="FYH24" s="497"/>
      <c r="FYI24" s="497"/>
      <c r="FYJ24" s="497"/>
      <c r="FYK24" s="497"/>
      <c r="FYL24" s="497"/>
      <c r="FYM24" s="497"/>
      <c r="FYN24" s="497"/>
      <c r="FYO24" s="497"/>
      <c r="FYP24" s="497"/>
      <c r="FYQ24" s="497"/>
      <c r="FYR24" s="497"/>
      <c r="FYS24" s="497"/>
      <c r="FYT24" s="497"/>
      <c r="FYU24" s="497"/>
      <c r="FYV24" s="497"/>
      <c r="FYW24" s="497"/>
      <c r="FYX24" s="497"/>
      <c r="FYY24" s="497"/>
      <c r="FYZ24" s="497"/>
      <c r="FZA24" s="497"/>
      <c r="FZB24" s="497"/>
      <c r="FZC24" s="497"/>
      <c r="FZD24" s="497"/>
      <c r="FZE24" s="497"/>
      <c r="FZF24" s="497"/>
      <c r="FZG24" s="497"/>
      <c r="FZH24" s="497"/>
      <c r="FZI24" s="497"/>
      <c r="FZJ24" s="497"/>
      <c r="FZK24" s="497"/>
      <c r="FZL24" s="497"/>
      <c r="FZM24" s="497"/>
      <c r="FZN24" s="497"/>
      <c r="FZO24" s="497"/>
      <c r="FZP24" s="497"/>
      <c r="FZQ24" s="497"/>
      <c r="FZR24" s="497"/>
      <c r="FZS24" s="497"/>
      <c r="FZT24" s="497"/>
      <c r="FZU24" s="497"/>
      <c r="FZV24" s="497"/>
      <c r="FZW24" s="497"/>
      <c r="FZX24" s="497"/>
      <c r="FZY24" s="497"/>
      <c r="FZZ24" s="497"/>
      <c r="GAA24" s="497"/>
      <c r="GAB24" s="497"/>
      <c r="GAC24" s="497"/>
      <c r="GAD24" s="497"/>
      <c r="GAE24" s="497"/>
      <c r="GAF24" s="497"/>
      <c r="GAG24" s="497"/>
      <c r="GAH24" s="497"/>
      <c r="GAI24" s="497"/>
      <c r="GAJ24" s="497"/>
      <c r="GAK24" s="497"/>
      <c r="GAL24" s="497"/>
      <c r="GAM24" s="497"/>
      <c r="GAN24" s="497"/>
      <c r="GAO24" s="497"/>
      <c r="GAP24" s="497"/>
      <c r="GAQ24" s="497"/>
      <c r="GAR24" s="497"/>
      <c r="GAS24" s="497"/>
      <c r="GAT24" s="497"/>
      <c r="GAU24" s="497"/>
      <c r="GAV24" s="497"/>
      <c r="GAW24" s="497"/>
      <c r="GAX24" s="497"/>
      <c r="GAY24" s="497"/>
      <c r="GAZ24" s="497"/>
      <c r="GBA24" s="497"/>
      <c r="GBB24" s="497"/>
      <c r="GBC24" s="497"/>
      <c r="GBD24" s="497"/>
      <c r="GBE24" s="497"/>
      <c r="GBF24" s="497"/>
      <c r="GBG24" s="497"/>
      <c r="GBH24" s="497"/>
      <c r="GBI24" s="497"/>
      <c r="GBJ24" s="497"/>
      <c r="GBK24" s="497"/>
      <c r="GBL24" s="497"/>
      <c r="GBM24" s="497"/>
      <c r="GBN24" s="497"/>
      <c r="GBO24" s="497"/>
      <c r="GBP24" s="497"/>
      <c r="GBQ24" s="497"/>
      <c r="GBR24" s="497"/>
      <c r="GBS24" s="497"/>
      <c r="GBT24" s="497"/>
      <c r="GBU24" s="497"/>
      <c r="GBV24" s="497"/>
      <c r="GBW24" s="497"/>
      <c r="GBX24" s="497"/>
      <c r="GBY24" s="497"/>
      <c r="GBZ24" s="497"/>
      <c r="GCA24" s="497"/>
      <c r="GCB24" s="497"/>
      <c r="GCC24" s="497"/>
      <c r="GCD24" s="497"/>
      <c r="GCE24" s="497"/>
      <c r="GCF24" s="497"/>
      <c r="GCG24" s="497"/>
      <c r="GCH24" s="497"/>
      <c r="GCI24" s="497"/>
      <c r="GCJ24" s="497"/>
      <c r="GCK24" s="497"/>
      <c r="GCL24" s="497"/>
      <c r="GCM24" s="497"/>
      <c r="GCN24" s="497"/>
      <c r="GCO24" s="497"/>
      <c r="GCP24" s="497"/>
      <c r="GCQ24" s="497"/>
      <c r="GCR24" s="497"/>
      <c r="GCS24" s="497"/>
      <c r="GCT24" s="497"/>
      <c r="GCU24" s="497"/>
      <c r="GCV24" s="497"/>
      <c r="GCW24" s="497"/>
      <c r="GCX24" s="497"/>
      <c r="GCY24" s="497"/>
      <c r="GCZ24" s="497"/>
      <c r="GDA24" s="497"/>
      <c r="GDB24" s="497"/>
      <c r="GDC24" s="497"/>
      <c r="GDD24" s="497"/>
      <c r="GDE24" s="497"/>
      <c r="GDF24" s="497"/>
      <c r="GDG24" s="497"/>
      <c r="GDH24" s="497"/>
      <c r="GDI24" s="497"/>
      <c r="GDJ24" s="497"/>
      <c r="GDK24" s="497"/>
      <c r="GDL24" s="497"/>
      <c r="GDM24" s="497"/>
      <c r="GDN24" s="497"/>
      <c r="GDO24" s="497"/>
      <c r="GDP24" s="497"/>
      <c r="GDQ24" s="497"/>
      <c r="GDR24" s="497"/>
      <c r="GDS24" s="497"/>
      <c r="GDT24" s="497"/>
      <c r="GDU24" s="497"/>
      <c r="GDV24" s="497"/>
      <c r="GDW24" s="497"/>
      <c r="GDX24" s="497"/>
      <c r="GDY24" s="497"/>
      <c r="GDZ24" s="497"/>
      <c r="GEA24" s="497"/>
      <c r="GEB24" s="497"/>
      <c r="GEC24" s="497"/>
      <c r="GED24" s="497"/>
      <c r="GEE24" s="497"/>
      <c r="GEF24" s="497"/>
      <c r="GEG24" s="497"/>
      <c r="GEH24" s="497"/>
      <c r="GEI24" s="497"/>
      <c r="GEJ24" s="497"/>
      <c r="GEK24" s="497"/>
      <c r="GEL24" s="497"/>
      <c r="GEM24" s="497"/>
      <c r="GEN24" s="497"/>
      <c r="GEO24" s="497"/>
      <c r="GEP24" s="497"/>
      <c r="GEQ24" s="497"/>
      <c r="GER24" s="497"/>
      <c r="GES24" s="497"/>
      <c r="GET24" s="497"/>
      <c r="GEU24" s="497"/>
      <c r="GEV24" s="497"/>
      <c r="GEW24" s="497"/>
      <c r="GEX24" s="497"/>
      <c r="GEY24" s="497"/>
      <c r="GEZ24" s="497"/>
      <c r="GFA24" s="497"/>
      <c r="GFB24" s="497"/>
      <c r="GFC24" s="497"/>
      <c r="GFD24" s="497"/>
      <c r="GFE24" s="497"/>
      <c r="GFF24" s="497"/>
      <c r="GFG24" s="497"/>
      <c r="GFH24" s="497"/>
      <c r="GFI24" s="497"/>
      <c r="GFJ24" s="497"/>
      <c r="GFK24" s="497"/>
      <c r="GFL24" s="497"/>
      <c r="GFM24" s="497"/>
      <c r="GFN24" s="497"/>
      <c r="GFO24" s="497"/>
      <c r="GFP24" s="497"/>
      <c r="GFQ24" s="497"/>
      <c r="GFR24" s="497"/>
      <c r="GFS24" s="497"/>
      <c r="GFT24" s="497"/>
      <c r="GFU24" s="497"/>
      <c r="GFV24" s="497"/>
      <c r="GFW24" s="497"/>
      <c r="GFX24" s="497"/>
      <c r="GFY24" s="497"/>
      <c r="GFZ24" s="497"/>
      <c r="GGA24" s="497"/>
      <c r="GGB24" s="497"/>
      <c r="GGC24" s="497"/>
      <c r="GGD24" s="497"/>
      <c r="GGE24" s="497"/>
      <c r="GGF24" s="497"/>
      <c r="GGG24" s="497"/>
      <c r="GGH24" s="497"/>
      <c r="GGI24" s="497"/>
      <c r="GGJ24" s="497"/>
      <c r="GGK24" s="497"/>
      <c r="GGL24" s="497"/>
      <c r="GGM24" s="497"/>
      <c r="GGN24" s="497"/>
      <c r="GGO24" s="497"/>
      <c r="GGP24" s="497"/>
      <c r="GGQ24" s="497"/>
      <c r="GGR24" s="497"/>
      <c r="GGS24" s="497"/>
      <c r="GGT24" s="497"/>
      <c r="GGU24" s="497"/>
      <c r="GGV24" s="497"/>
      <c r="GGW24" s="497"/>
      <c r="GGX24" s="497"/>
      <c r="GGY24" s="497"/>
      <c r="GGZ24" s="497"/>
      <c r="GHA24" s="497"/>
      <c r="GHB24" s="497"/>
      <c r="GHC24" s="497"/>
      <c r="GHD24" s="497"/>
      <c r="GHE24" s="497"/>
      <c r="GHF24" s="497"/>
      <c r="GHG24" s="497"/>
      <c r="GHH24" s="497"/>
      <c r="GHI24" s="497"/>
      <c r="GHJ24" s="497"/>
      <c r="GHK24" s="497"/>
      <c r="GHL24" s="497"/>
      <c r="GHM24" s="497"/>
      <c r="GHN24" s="497"/>
      <c r="GHO24" s="497"/>
      <c r="GHP24" s="497"/>
      <c r="GHQ24" s="497"/>
      <c r="GHR24" s="497"/>
      <c r="GHS24" s="497"/>
      <c r="GHT24" s="497"/>
      <c r="GHU24" s="497"/>
      <c r="GHV24" s="497"/>
      <c r="GHW24" s="497"/>
      <c r="GHX24" s="497"/>
      <c r="GHY24" s="497"/>
      <c r="GHZ24" s="497"/>
      <c r="GIA24" s="497"/>
      <c r="GIB24" s="497"/>
      <c r="GIC24" s="497"/>
      <c r="GID24" s="497"/>
      <c r="GIE24" s="497"/>
      <c r="GIF24" s="497"/>
      <c r="GIG24" s="497"/>
      <c r="GIH24" s="497"/>
      <c r="GII24" s="497"/>
      <c r="GIJ24" s="497"/>
      <c r="GIK24" s="497"/>
      <c r="GIL24" s="497"/>
      <c r="GIM24" s="497"/>
      <c r="GIN24" s="497"/>
      <c r="GIO24" s="497"/>
      <c r="GIP24" s="497"/>
      <c r="GIQ24" s="497"/>
      <c r="GIR24" s="497"/>
      <c r="GIS24" s="497"/>
      <c r="GIT24" s="497"/>
      <c r="GIU24" s="497"/>
      <c r="GIV24" s="497"/>
      <c r="GIW24" s="497"/>
      <c r="GIX24" s="497"/>
      <c r="GIY24" s="497"/>
      <c r="GIZ24" s="497"/>
      <c r="GJA24" s="497"/>
      <c r="GJB24" s="497"/>
      <c r="GJC24" s="497"/>
      <c r="GJD24" s="497"/>
      <c r="GJE24" s="497"/>
      <c r="GJF24" s="497"/>
      <c r="GJG24" s="497"/>
      <c r="GJH24" s="497"/>
      <c r="GJI24" s="497"/>
      <c r="GJJ24" s="497"/>
      <c r="GJK24" s="497"/>
      <c r="GJL24" s="497"/>
      <c r="GJM24" s="497"/>
      <c r="GJN24" s="497"/>
      <c r="GJO24" s="497"/>
      <c r="GJP24" s="497"/>
      <c r="GJQ24" s="497"/>
      <c r="GJR24" s="497"/>
      <c r="GJS24" s="497"/>
      <c r="GJT24" s="497"/>
      <c r="GJU24" s="497"/>
      <c r="GJV24" s="497"/>
      <c r="GJW24" s="497"/>
      <c r="GJX24" s="497"/>
      <c r="GJY24" s="497"/>
      <c r="GJZ24" s="497"/>
      <c r="GKA24" s="497"/>
      <c r="GKB24" s="497"/>
      <c r="GKC24" s="497"/>
      <c r="GKD24" s="497"/>
      <c r="GKE24" s="497"/>
      <c r="GKF24" s="497"/>
      <c r="GKG24" s="497"/>
      <c r="GKH24" s="497"/>
      <c r="GKI24" s="497"/>
      <c r="GKJ24" s="497"/>
      <c r="GKK24" s="497"/>
      <c r="GKL24" s="497"/>
      <c r="GKM24" s="497"/>
      <c r="GKN24" s="497"/>
      <c r="GKO24" s="497"/>
      <c r="GKP24" s="497"/>
      <c r="GKQ24" s="497"/>
      <c r="GKR24" s="497"/>
      <c r="GKS24" s="497"/>
      <c r="GKT24" s="497"/>
      <c r="GKU24" s="497"/>
      <c r="GKV24" s="497"/>
      <c r="GKW24" s="497"/>
      <c r="GKX24" s="497"/>
      <c r="GKY24" s="497"/>
      <c r="GKZ24" s="497"/>
      <c r="GLA24" s="497"/>
      <c r="GLB24" s="497"/>
      <c r="GLC24" s="497"/>
      <c r="GLD24" s="497"/>
      <c r="GLE24" s="497"/>
      <c r="GLF24" s="497"/>
      <c r="GLG24" s="497"/>
      <c r="GLH24" s="497"/>
      <c r="GLI24" s="497"/>
      <c r="GLJ24" s="497"/>
      <c r="GLK24" s="497"/>
      <c r="GLL24" s="497"/>
      <c r="GLM24" s="497"/>
      <c r="GLN24" s="497"/>
      <c r="GLO24" s="497"/>
      <c r="GLP24" s="497"/>
      <c r="GLQ24" s="497"/>
      <c r="GLR24" s="497"/>
      <c r="GLS24" s="497"/>
      <c r="GLT24" s="497"/>
      <c r="GLU24" s="497"/>
      <c r="GLV24" s="497"/>
      <c r="GLW24" s="497"/>
      <c r="GLX24" s="497"/>
      <c r="GLY24" s="497"/>
      <c r="GLZ24" s="497"/>
      <c r="GMA24" s="497"/>
      <c r="GMB24" s="497"/>
      <c r="GMC24" s="497"/>
      <c r="GMD24" s="497"/>
      <c r="GME24" s="497"/>
      <c r="GMF24" s="497"/>
      <c r="GMG24" s="497"/>
      <c r="GMH24" s="497"/>
      <c r="GMI24" s="497"/>
      <c r="GMJ24" s="497"/>
      <c r="GMK24" s="497"/>
      <c r="GML24" s="497"/>
      <c r="GMM24" s="497"/>
      <c r="GMN24" s="497"/>
      <c r="GMO24" s="497"/>
      <c r="GMP24" s="497"/>
      <c r="GMQ24" s="497"/>
      <c r="GMR24" s="497"/>
      <c r="GMS24" s="497"/>
      <c r="GMT24" s="497"/>
      <c r="GMU24" s="497"/>
      <c r="GMV24" s="497"/>
      <c r="GMW24" s="497"/>
      <c r="GMX24" s="497"/>
      <c r="GMY24" s="497"/>
      <c r="GMZ24" s="497"/>
      <c r="GNA24" s="497"/>
      <c r="GNB24" s="497"/>
      <c r="GNC24" s="497"/>
      <c r="GND24" s="497"/>
      <c r="GNE24" s="497"/>
      <c r="GNF24" s="497"/>
      <c r="GNG24" s="497"/>
      <c r="GNH24" s="497"/>
      <c r="GNI24" s="497"/>
      <c r="GNJ24" s="497"/>
      <c r="GNK24" s="497"/>
      <c r="GNL24" s="497"/>
      <c r="GNM24" s="497"/>
      <c r="GNN24" s="497"/>
      <c r="GNO24" s="497"/>
      <c r="GNP24" s="497"/>
      <c r="GNQ24" s="497"/>
      <c r="GNR24" s="497"/>
      <c r="GNS24" s="497"/>
      <c r="GNT24" s="497"/>
      <c r="GNU24" s="497"/>
      <c r="GNV24" s="497"/>
      <c r="GNW24" s="497"/>
      <c r="GNX24" s="497"/>
      <c r="GNY24" s="497"/>
      <c r="GNZ24" s="497"/>
      <c r="GOA24" s="497"/>
      <c r="GOB24" s="497"/>
      <c r="GOC24" s="497"/>
      <c r="GOD24" s="497"/>
      <c r="GOE24" s="497"/>
      <c r="GOF24" s="497"/>
      <c r="GOG24" s="497"/>
      <c r="GOH24" s="497"/>
      <c r="GOI24" s="497"/>
      <c r="GOJ24" s="497"/>
      <c r="GOK24" s="497"/>
      <c r="GOL24" s="497"/>
      <c r="GOM24" s="497"/>
      <c r="GON24" s="497"/>
      <c r="GOO24" s="497"/>
      <c r="GOP24" s="497"/>
      <c r="GOQ24" s="497"/>
      <c r="GOR24" s="497"/>
      <c r="GOS24" s="497"/>
      <c r="GOT24" s="497"/>
      <c r="GOU24" s="497"/>
      <c r="GOV24" s="497"/>
      <c r="GOW24" s="497"/>
      <c r="GOX24" s="497"/>
      <c r="GOY24" s="497"/>
      <c r="GOZ24" s="497"/>
      <c r="GPA24" s="497"/>
      <c r="GPB24" s="497"/>
      <c r="GPC24" s="497"/>
      <c r="GPD24" s="497"/>
      <c r="GPE24" s="497"/>
      <c r="GPF24" s="497"/>
      <c r="GPG24" s="497"/>
      <c r="GPH24" s="497"/>
      <c r="GPI24" s="497"/>
      <c r="GPJ24" s="497"/>
      <c r="GPK24" s="497"/>
      <c r="GPL24" s="497"/>
      <c r="GPM24" s="497"/>
      <c r="GPN24" s="497"/>
      <c r="GPO24" s="497"/>
      <c r="GPP24" s="497"/>
      <c r="GPQ24" s="497"/>
      <c r="GPR24" s="497"/>
      <c r="GPS24" s="497"/>
      <c r="GPT24" s="497"/>
      <c r="GPU24" s="497"/>
      <c r="GPV24" s="497"/>
      <c r="GPW24" s="497"/>
      <c r="GPX24" s="497"/>
      <c r="GPY24" s="497"/>
      <c r="GPZ24" s="497"/>
      <c r="GQA24" s="497"/>
      <c r="GQB24" s="497"/>
      <c r="GQC24" s="497"/>
      <c r="GQD24" s="497"/>
      <c r="GQE24" s="497"/>
      <c r="GQF24" s="497"/>
      <c r="GQG24" s="497"/>
      <c r="GQH24" s="497"/>
      <c r="GQI24" s="497"/>
      <c r="GQJ24" s="497"/>
      <c r="GQK24" s="497"/>
      <c r="GQL24" s="497"/>
      <c r="GQM24" s="497"/>
      <c r="GQN24" s="497"/>
      <c r="GQO24" s="497"/>
      <c r="GQP24" s="497"/>
      <c r="GQQ24" s="497"/>
      <c r="GQR24" s="497"/>
      <c r="GQS24" s="497"/>
      <c r="GQT24" s="497"/>
      <c r="GQU24" s="497"/>
      <c r="GQV24" s="497"/>
      <c r="GQW24" s="497"/>
      <c r="GQX24" s="497"/>
      <c r="GQY24" s="497"/>
      <c r="GQZ24" s="497"/>
      <c r="GRA24" s="497"/>
      <c r="GRB24" s="497"/>
      <c r="GRC24" s="497"/>
      <c r="GRD24" s="497"/>
      <c r="GRE24" s="497"/>
      <c r="GRF24" s="497"/>
      <c r="GRG24" s="497"/>
      <c r="GRH24" s="497"/>
      <c r="GRI24" s="497"/>
      <c r="GRJ24" s="497"/>
      <c r="GRK24" s="497"/>
      <c r="GRL24" s="497"/>
      <c r="GRM24" s="497"/>
      <c r="GRN24" s="497"/>
      <c r="GRO24" s="497"/>
      <c r="GRP24" s="497"/>
      <c r="GRQ24" s="497"/>
      <c r="GRR24" s="497"/>
      <c r="GRS24" s="497"/>
      <c r="GRT24" s="497"/>
      <c r="GRU24" s="497"/>
      <c r="GRV24" s="497"/>
      <c r="GRW24" s="497"/>
      <c r="GRX24" s="497"/>
      <c r="GRY24" s="497"/>
      <c r="GRZ24" s="497"/>
      <c r="GSA24" s="497"/>
      <c r="GSB24" s="497"/>
      <c r="GSC24" s="497"/>
      <c r="GSD24" s="497"/>
      <c r="GSE24" s="497"/>
      <c r="GSF24" s="497"/>
      <c r="GSG24" s="497"/>
      <c r="GSH24" s="497"/>
      <c r="GSI24" s="497"/>
      <c r="GSJ24" s="497"/>
      <c r="GSK24" s="497"/>
      <c r="GSL24" s="497"/>
      <c r="GSM24" s="497"/>
      <c r="GSN24" s="497"/>
      <c r="GSO24" s="497"/>
      <c r="GSP24" s="497"/>
      <c r="GSQ24" s="497"/>
      <c r="GSR24" s="497"/>
      <c r="GSS24" s="497"/>
      <c r="GST24" s="497"/>
      <c r="GSU24" s="497"/>
      <c r="GSV24" s="497"/>
      <c r="GSW24" s="497"/>
      <c r="GSX24" s="497"/>
      <c r="GSY24" s="497"/>
      <c r="GSZ24" s="497"/>
      <c r="GTA24" s="497"/>
      <c r="GTB24" s="497"/>
      <c r="GTC24" s="497"/>
      <c r="GTD24" s="497"/>
      <c r="GTE24" s="497"/>
      <c r="GTF24" s="497"/>
      <c r="GTG24" s="497"/>
      <c r="GTH24" s="497"/>
      <c r="GTI24" s="497"/>
      <c r="GTJ24" s="497"/>
      <c r="GTK24" s="497"/>
      <c r="GTL24" s="497"/>
      <c r="GTM24" s="497"/>
      <c r="GTN24" s="497"/>
      <c r="GTO24" s="497"/>
      <c r="GTP24" s="497"/>
      <c r="GTQ24" s="497"/>
      <c r="GTR24" s="497"/>
      <c r="GTS24" s="497"/>
      <c r="GTT24" s="497"/>
      <c r="GTU24" s="497"/>
      <c r="GTV24" s="497"/>
      <c r="GTW24" s="497"/>
      <c r="GTX24" s="497"/>
      <c r="GTY24" s="497"/>
      <c r="GTZ24" s="497"/>
      <c r="GUA24" s="497"/>
      <c r="GUB24" s="497"/>
      <c r="GUC24" s="497"/>
      <c r="GUD24" s="497"/>
      <c r="GUE24" s="497"/>
      <c r="GUF24" s="497"/>
      <c r="GUG24" s="497"/>
      <c r="GUH24" s="497"/>
      <c r="GUI24" s="497"/>
      <c r="GUJ24" s="497"/>
      <c r="GUK24" s="497"/>
      <c r="GUL24" s="497"/>
      <c r="GUM24" s="497"/>
      <c r="GUN24" s="497"/>
      <c r="GUO24" s="497"/>
      <c r="GUP24" s="497"/>
      <c r="GUQ24" s="497"/>
      <c r="GUR24" s="497"/>
      <c r="GUS24" s="497"/>
      <c r="GUT24" s="497"/>
      <c r="GUU24" s="497"/>
      <c r="GUV24" s="497"/>
      <c r="GUW24" s="497"/>
      <c r="GUX24" s="497"/>
      <c r="GUY24" s="497"/>
      <c r="GUZ24" s="497"/>
      <c r="GVA24" s="497"/>
      <c r="GVB24" s="497"/>
      <c r="GVC24" s="497"/>
      <c r="GVD24" s="497"/>
      <c r="GVE24" s="497"/>
      <c r="GVF24" s="497"/>
      <c r="GVG24" s="497"/>
      <c r="GVH24" s="497"/>
      <c r="GVI24" s="497"/>
      <c r="GVJ24" s="497"/>
      <c r="GVK24" s="497"/>
      <c r="GVL24" s="497"/>
      <c r="GVM24" s="497"/>
      <c r="GVN24" s="497"/>
      <c r="GVO24" s="497"/>
      <c r="GVP24" s="497"/>
      <c r="GVQ24" s="497"/>
      <c r="GVR24" s="497"/>
      <c r="GVS24" s="497"/>
      <c r="GVT24" s="497"/>
      <c r="GVU24" s="497"/>
      <c r="GVV24" s="497"/>
      <c r="GVW24" s="497"/>
      <c r="GVX24" s="497"/>
      <c r="GVY24" s="497"/>
      <c r="GVZ24" s="497"/>
      <c r="GWA24" s="497"/>
      <c r="GWB24" s="497"/>
      <c r="GWC24" s="497"/>
      <c r="GWD24" s="497"/>
      <c r="GWE24" s="497"/>
      <c r="GWF24" s="497"/>
      <c r="GWG24" s="497"/>
      <c r="GWH24" s="497"/>
      <c r="GWI24" s="497"/>
      <c r="GWJ24" s="497"/>
      <c r="GWK24" s="497"/>
      <c r="GWL24" s="497"/>
      <c r="GWM24" s="497"/>
      <c r="GWN24" s="497"/>
      <c r="GWO24" s="497"/>
      <c r="GWP24" s="497"/>
      <c r="GWQ24" s="497"/>
      <c r="GWR24" s="497"/>
      <c r="GWS24" s="497"/>
      <c r="GWT24" s="497"/>
      <c r="GWU24" s="497"/>
      <c r="GWV24" s="497"/>
      <c r="GWW24" s="497"/>
      <c r="GWX24" s="497"/>
      <c r="GWY24" s="497"/>
      <c r="GWZ24" s="497"/>
      <c r="GXA24" s="497"/>
      <c r="GXB24" s="497"/>
      <c r="GXC24" s="497"/>
      <c r="GXD24" s="497"/>
      <c r="GXE24" s="497"/>
      <c r="GXF24" s="497"/>
      <c r="GXG24" s="497"/>
      <c r="GXH24" s="497"/>
      <c r="GXI24" s="497"/>
      <c r="GXJ24" s="497"/>
      <c r="GXK24" s="497"/>
      <c r="GXL24" s="497"/>
      <c r="GXM24" s="497"/>
      <c r="GXN24" s="497"/>
      <c r="GXO24" s="497"/>
      <c r="GXP24" s="497"/>
      <c r="GXQ24" s="497"/>
      <c r="GXR24" s="497"/>
      <c r="GXS24" s="497"/>
      <c r="GXT24" s="497"/>
      <c r="GXU24" s="497"/>
      <c r="GXV24" s="497"/>
      <c r="GXW24" s="497"/>
      <c r="GXX24" s="497"/>
      <c r="GXY24" s="497"/>
      <c r="GXZ24" s="497"/>
      <c r="GYA24" s="497"/>
      <c r="GYB24" s="497"/>
      <c r="GYC24" s="497"/>
      <c r="GYD24" s="497"/>
      <c r="GYE24" s="497"/>
      <c r="GYF24" s="497"/>
      <c r="GYG24" s="497"/>
      <c r="GYH24" s="497"/>
      <c r="GYI24" s="497"/>
      <c r="GYJ24" s="497"/>
      <c r="GYK24" s="497"/>
      <c r="GYL24" s="497"/>
      <c r="GYM24" s="497"/>
      <c r="GYN24" s="497"/>
      <c r="GYO24" s="497"/>
      <c r="GYP24" s="497"/>
      <c r="GYQ24" s="497"/>
      <c r="GYR24" s="497"/>
      <c r="GYS24" s="497"/>
      <c r="GYT24" s="497"/>
      <c r="GYU24" s="497"/>
      <c r="GYV24" s="497"/>
      <c r="GYW24" s="497"/>
      <c r="GYX24" s="497"/>
      <c r="GYY24" s="497"/>
      <c r="GYZ24" s="497"/>
      <c r="GZA24" s="497"/>
      <c r="GZB24" s="497"/>
      <c r="GZC24" s="497"/>
      <c r="GZD24" s="497"/>
      <c r="GZE24" s="497"/>
      <c r="GZF24" s="497"/>
      <c r="GZG24" s="497"/>
      <c r="GZH24" s="497"/>
      <c r="GZI24" s="497"/>
      <c r="GZJ24" s="497"/>
      <c r="GZK24" s="497"/>
      <c r="GZL24" s="497"/>
      <c r="GZM24" s="497"/>
      <c r="GZN24" s="497"/>
      <c r="GZO24" s="497"/>
      <c r="GZP24" s="497"/>
      <c r="GZQ24" s="497"/>
      <c r="GZR24" s="497"/>
      <c r="GZS24" s="497"/>
      <c r="GZT24" s="497"/>
      <c r="GZU24" s="497"/>
      <c r="GZV24" s="497"/>
      <c r="GZW24" s="497"/>
      <c r="GZX24" s="497"/>
      <c r="GZY24" s="497"/>
      <c r="GZZ24" s="497"/>
      <c r="HAA24" s="497"/>
      <c r="HAB24" s="497"/>
      <c r="HAC24" s="497"/>
      <c r="HAD24" s="497"/>
      <c r="HAE24" s="497"/>
      <c r="HAF24" s="497"/>
      <c r="HAG24" s="497"/>
      <c r="HAH24" s="497"/>
      <c r="HAI24" s="497"/>
      <c r="HAJ24" s="497"/>
      <c r="HAK24" s="497"/>
      <c r="HAL24" s="497"/>
      <c r="HAM24" s="497"/>
      <c r="HAN24" s="497"/>
      <c r="HAO24" s="497"/>
      <c r="HAP24" s="497"/>
      <c r="HAQ24" s="497"/>
      <c r="HAR24" s="497"/>
      <c r="HAS24" s="497"/>
      <c r="HAT24" s="497"/>
      <c r="HAU24" s="497"/>
      <c r="HAV24" s="497"/>
      <c r="HAW24" s="497"/>
      <c r="HAX24" s="497"/>
      <c r="HAY24" s="497"/>
      <c r="HAZ24" s="497"/>
      <c r="HBA24" s="497"/>
      <c r="HBB24" s="497"/>
      <c r="HBC24" s="497"/>
      <c r="HBD24" s="497"/>
      <c r="HBE24" s="497"/>
      <c r="HBF24" s="497"/>
      <c r="HBG24" s="497"/>
      <c r="HBH24" s="497"/>
      <c r="HBI24" s="497"/>
      <c r="HBJ24" s="497"/>
      <c r="HBK24" s="497"/>
      <c r="HBL24" s="497"/>
      <c r="HBM24" s="497"/>
      <c r="HBN24" s="497"/>
      <c r="HBO24" s="497"/>
      <c r="HBP24" s="497"/>
      <c r="HBQ24" s="497"/>
      <c r="HBR24" s="497"/>
      <c r="HBS24" s="497"/>
      <c r="HBT24" s="497"/>
      <c r="HBU24" s="497"/>
      <c r="HBV24" s="497"/>
      <c r="HBW24" s="497"/>
      <c r="HBX24" s="497"/>
      <c r="HBY24" s="497"/>
      <c r="HBZ24" s="497"/>
      <c r="HCA24" s="497"/>
      <c r="HCB24" s="497"/>
      <c r="HCC24" s="497"/>
      <c r="HCD24" s="497"/>
      <c r="HCE24" s="497"/>
      <c r="HCF24" s="497"/>
      <c r="HCG24" s="497"/>
      <c r="HCH24" s="497"/>
      <c r="HCI24" s="497"/>
      <c r="HCJ24" s="497"/>
      <c r="HCK24" s="497"/>
      <c r="HCL24" s="497"/>
      <c r="HCM24" s="497"/>
      <c r="HCN24" s="497"/>
      <c r="HCO24" s="497"/>
      <c r="HCP24" s="497"/>
      <c r="HCQ24" s="497"/>
      <c r="HCR24" s="497"/>
      <c r="HCS24" s="497"/>
      <c r="HCT24" s="497"/>
      <c r="HCU24" s="497"/>
      <c r="HCV24" s="497"/>
      <c r="HCW24" s="497"/>
      <c r="HCX24" s="497"/>
      <c r="HCY24" s="497"/>
      <c r="HCZ24" s="497"/>
      <c r="HDA24" s="497"/>
      <c r="HDB24" s="497"/>
      <c r="HDC24" s="497"/>
      <c r="HDD24" s="497"/>
      <c r="HDE24" s="497"/>
      <c r="HDF24" s="497"/>
      <c r="HDG24" s="497"/>
      <c r="HDH24" s="497"/>
      <c r="HDI24" s="497"/>
      <c r="HDJ24" s="497"/>
      <c r="HDK24" s="497"/>
      <c r="HDL24" s="497"/>
      <c r="HDM24" s="497"/>
      <c r="HDN24" s="497"/>
      <c r="HDO24" s="497"/>
      <c r="HDP24" s="497"/>
      <c r="HDQ24" s="497"/>
      <c r="HDR24" s="497"/>
      <c r="HDS24" s="497"/>
      <c r="HDT24" s="497"/>
      <c r="HDU24" s="497"/>
      <c r="HDV24" s="497"/>
      <c r="HDW24" s="497"/>
      <c r="HDX24" s="497"/>
      <c r="HDY24" s="497"/>
      <c r="HDZ24" s="497"/>
      <c r="HEA24" s="497"/>
      <c r="HEB24" s="497"/>
      <c r="HEC24" s="497"/>
      <c r="HED24" s="497"/>
      <c r="HEE24" s="497"/>
      <c r="HEF24" s="497"/>
      <c r="HEG24" s="497"/>
      <c r="HEH24" s="497"/>
      <c r="HEI24" s="497"/>
      <c r="HEJ24" s="497"/>
      <c r="HEK24" s="497"/>
      <c r="HEL24" s="497"/>
      <c r="HEM24" s="497"/>
      <c r="HEN24" s="497"/>
      <c r="HEO24" s="497"/>
      <c r="HEP24" s="497"/>
      <c r="HEQ24" s="497"/>
      <c r="HER24" s="497"/>
      <c r="HES24" s="497"/>
      <c r="HET24" s="497"/>
      <c r="HEU24" s="497"/>
      <c r="HEV24" s="497"/>
      <c r="HEW24" s="497"/>
      <c r="HEX24" s="497"/>
      <c r="HEY24" s="497"/>
      <c r="HEZ24" s="497"/>
      <c r="HFA24" s="497"/>
      <c r="HFB24" s="497"/>
      <c r="HFC24" s="497"/>
      <c r="HFD24" s="497"/>
      <c r="HFE24" s="497"/>
      <c r="HFF24" s="497"/>
      <c r="HFG24" s="497"/>
      <c r="HFH24" s="497"/>
      <c r="HFI24" s="497"/>
      <c r="HFJ24" s="497"/>
      <c r="HFK24" s="497"/>
      <c r="HFL24" s="497"/>
      <c r="HFM24" s="497"/>
      <c r="HFN24" s="497"/>
      <c r="HFO24" s="497"/>
      <c r="HFP24" s="497"/>
      <c r="HFQ24" s="497"/>
      <c r="HFR24" s="497"/>
      <c r="HFS24" s="497"/>
      <c r="HFT24" s="497"/>
      <c r="HFU24" s="497"/>
      <c r="HFV24" s="497"/>
      <c r="HFW24" s="497"/>
      <c r="HFX24" s="497"/>
      <c r="HFY24" s="497"/>
      <c r="HFZ24" s="497"/>
      <c r="HGA24" s="497"/>
      <c r="HGB24" s="497"/>
      <c r="HGC24" s="497"/>
      <c r="HGD24" s="497"/>
      <c r="HGE24" s="497"/>
      <c r="HGF24" s="497"/>
      <c r="HGG24" s="497"/>
      <c r="HGH24" s="497"/>
      <c r="HGI24" s="497"/>
      <c r="HGJ24" s="497"/>
      <c r="HGK24" s="497"/>
      <c r="HGL24" s="497"/>
      <c r="HGM24" s="497"/>
      <c r="HGN24" s="497"/>
      <c r="HGO24" s="497"/>
      <c r="HGP24" s="497"/>
      <c r="HGQ24" s="497"/>
      <c r="HGR24" s="497"/>
      <c r="HGS24" s="497"/>
      <c r="HGT24" s="497"/>
      <c r="HGU24" s="497"/>
      <c r="HGV24" s="497"/>
      <c r="HGW24" s="497"/>
      <c r="HGX24" s="497"/>
      <c r="HGY24" s="497"/>
      <c r="HGZ24" s="497"/>
      <c r="HHA24" s="497"/>
      <c r="HHB24" s="497"/>
      <c r="HHC24" s="497"/>
      <c r="HHD24" s="497"/>
      <c r="HHE24" s="497"/>
      <c r="HHF24" s="497"/>
      <c r="HHG24" s="497"/>
      <c r="HHH24" s="497"/>
      <c r="HHI24" s="497"/>
      <c r="HHJ24" s="497"/>
      <c r="HHK24" s="497"/>
      <c r="HHL24" s="497"/>
      <c r="HHM24" s="497"/>
      <c r="HHN24" s="497"/>
      <c r="HHO24" s="497"/>
      <c r="HHP24" s="497"/>
      <c r="HHQ24" s="497"/>
      <c r="HHR24" s="497"/>
      <c r="HHS24" s="497"/>
      <c r="HHT24" s="497"/>
      <c r="HHU24" s="497"/>
      <c r="HHV24" s="497"/>
      <c r="HHW24" s="497"/>
      <c r="HHX24" s="497"/>
      <c r="HHY24" s="497"/>
      <c r="HHZ24" s="497"/>
      <c r="HIA24" s="497"/>
      <c r="HIB24" s="497"/>
      <c r="HIC24" s="497"/>
      <c r="HID24" s="497"/>
      <c r="HIE24" s="497"/>
      <c r="HIF24" s="497"/>
      <c r="HIG24" s="497"/>
      <c r="HIH24" s="497"/>
      <c r="HII24" s="497"/>
      <c r="HIJ24" s="497"/>
      <c r="HIK24" s="497"/>
      <c r="HIL24" s="497"/>
      <c r="HIM24" s="497"/>
      <c r="HIN24" s="497"/>
      <c r="HIO24" s="497"/>
      <c r="HIP24" s="497"/>
      <c r="HIQ24" s="497"/>
      <c r="HIR24" s="497"/>
      <c r="HIS24" s="497"/>
      <c r="HIT24" s="497"/>
      <c r="HIU24" s="497"/>
      <c r="HIV24" s="497"/>
      <c r="HIW24" s="497"/>
      <c r="HIX24" s="497"/>
      <c r="HIY24" s="497"/>
      <c r="HIZ24" s="497"/>
      <c r="HJA24" s="497"/>
      <c r="HJB24" s="497"/>
      <c r="HJC24" s="497"/>
      <c r="HJD24" s="497"/>
      <c r="HJE24" s="497"/>
      <c r="HJF24" s="497"/>
      <c r="HJG24" s="497"/>
      <c r="HJH24" s="497"/>
      <c r="HJI24" s="497"/>
      <c r="HJJ24" s="497"/>
      <c r="HJK24" s="497"/>
      <c r="HJL24" s="497"/>
      <c r="HJM24" s="497"/>
      <c r="HJN24" s="497"/>
      <c r="HJO24" s="497"/>
      <c r="HJP24" s="497"/>
      <c r="HJQ24" s="497"/>
      <c r="HJR24" s="497"/>
      <c r="HJS24" s="497"/>
      <c r="HJT24" s="497"/>
      <c r="HJU24" s="497"/>
      <c r="HJV24" s="497"/>
      <c r="HJW24" s="497"/>
      <c r="HJX24" s="497"/>
      <c r="HJY24" s="497"/>
      <c r="HJZ24" s="497"/>
      <c r="HKA24" s="497"/>
      <c r="HKB24" s="497"/>
      <c r="HKC24" s="497"/>
      <c r="HKD24" s="497"/>
      <c r="HKE24" s="497"/>
      <c r="HKF24" s="497"/>
      <c r="HKG24" s="497"/>
      <c r="HKH24" s="497"/>
      <c r="HKI24" s="497"/>
      <c r="HKJ24" s="497"/>
      <c r="HKK24" s="497"/>
      <c r="HKL24" s="497"/>
      <c r="HKM24" s="497"/>
      <c r="HKN24" s="497"/>
      <c r="HKO24" s="497"/>
      <c r="HKP24" s="497"/>
      <c r="HKQ24" s="497"/>
      <c r="HKR24" s="497"/>
      <c r="HKS24" s="497"/>
      <c r="HKT24" s="497"/>
      <c r="HKU24" s="497"/>
      <c r="HKV24" s="497"/>
      <c r="HKW24" s="497"/>
      <c r="HKX24" s="497"/>
      <c r="HKY24" s="497"/>
      <c r="HKZ24" s="497"/>
      <c r="HLA24" s="497"/>
      <c r="HLB24" s="497"/>
      <c r="HLC24" s="497"/>
      <c r="HLD24" s="497"/>
      <c r="HLE24" s="497"/>
      <c r="HLF24" s="497"/>
      <c r="HLG24" s="497"/>
      <c r="HLH24" s="497"/>
      <c r="HLI24" s="497"/>
      <c r="HLJ24" s="497"/>
      <c r="HLK24" s="497"/>
      <c r="HLL24" s="497"/>
      <c r="HLM24" s="497"/>
      <c r="HLN24" s="497"/>
      <c r="HLO24" s="497"/>
      <c r="HLP24" s="497"/>
      <c r="HLQ24" s="497"/>
      <c r="HLR24" s="497"/>
      <c r="HLS24" s="497"/>
      <c r="HLT24" s="497"/>
      <c r="HLU24" s="497"/>
      <c r="HLV24" s="497"/>
      <c r="HLW24" s="497"/>
      <c r="HLX24" s="497"/>
      <c r="HLY24" s="497"/>
      <c r="HLZ24" s="497"/>
      <c r="HMA24" s="497"/>
      <c r="HMB24" s="497"/>
      <c r="HMC24" s="497"/>
      <c r="HMD24" s="497"/>
      <c r="HME24" s="497"/>
      <c r="HMF24" s="497"/>
      <c r="HMG24" s="497"/>
      <c r="HMH24" s="497"/>
      <c r="HMI24" s="497"/>
      <c r="HMJ24" s="497"/>
      <c r="HMK24" s="497"/>
      <c r="HML24" s="497"/>
      <c r="HMM24" s="497"/>
      <c r="HMN24" s="497"/>
      <c r="HMO24" s="497"/>
      <c r="HMP24" s="497"/>
      <c r="HMQ24" s="497"/>
      <c r="HMR24" s="497"/>
      <c r="HMS24" s="497"/>
      <c r="HMT24" s="497"/>
      <c r="HMU24" s="497"/>
      <c r="HMV24" s="497"/>
      <c r="HMW24" s="497"/>
      <c r="HMX24" s="497"/>
      <c r="HMY24" s="497"/>
      <c r="HMZ24" s="497"/>
      <c r="HNA24" s="497"/>
      <c r="HNB24" s="497"/>
      <c r="HNC24" s="497"/>
      <c r="HND24" s="497"/>
      <c r="HNE24" s="497"/>
      <c r="HNF24" s="497"/>
      <c r="HNG24" s="497"/>
      <c r="HNH24" s="497"/>
      <c r="HNI24" s="497"/>
      <c r="HNJ24" s="497"/>
      <c r="HNK24" s="497"/>
      <c r="HNL24" s="497"/>
      <c r="HNM24" s="497"/>
      <c r="HNN24" s="497"/>
      <c r="HNO24" s="497"/>
      <c r="HNP24" s="497"/>
      <c r="HNQ24" s="497"/>
      <c r="HNR24" s="497"/>
      <c r="HNS24" s="497"/>
      <c r="HNT24" s="497"/>
      <c r="HNU24" s="497"/>
      <c r="HNV24" s="497"/>
      <c r="HNW24" s="497"/>
      <c r="HNX24" s="497"/>
      <c r="HNY24" s="497"/>
      <c r="HNZ24" s="497"/>
      <c r="HOA24" s="497"/>
      <c r="HOB24" s="497"/>
      <c r="HOC24" s="497"/>
      <c r="HOD24" s="497"/>
      <c r="HOE24" s="497"/>
      <c r="HOF24" s="497"/>
      <c r="HOG24" s="497"/>
      <c r="HOH24" s="497"/>
      <c r="HOI24" s="497"/>
      <c r="HOJ24" s="497"/>
      <c r="HOK24" s="497"/>
      <c r="HOL24" s="497"/>
      <c r="HOM24" s="497"/>
      <c r="HON24" s="497"/>
      <c r="HOO24" s="497"/>
      <c r="HOP24" s="497"/>
      <c r="HOQ24" s="497"/>
      <c r="HOR24" s="497"/>
      <c r="HOS24" s="497"/>
      <c r="HOT24" s="497"/>
      <c r="HOU24" s="497"/>
      <c r="HOV24" s="497"/>
      <c r="HOW24" s="497"/>
      <c r="HOX24" s="497"/>
      <c r="HOY24" s="497"/>
      <c r="HOZ24" s="497"/>
      <c r="HPA24" s="497"/>
      <c r="HPB24" s="497"/>
      <c r="HPC24" s="497"/>
      <c r="HPD24" s="497"/>
      <c r="HPE24" s="497"/>
      <c r="HPF24" s="497"/>
      <c r="HPG24" s="497"/>
      <c r="HPH24" s="497"/>
      <c r="HPI24" s="497"/>
      <c r="HPJ24" s="497"/>
      <c r="HPK24" s="497"/>
      <c r="HPL24" s="497"/>
      <c r="HPM24" s="497"/>
      <c r="HPN24" s="497"/>
      <c r="HPO24" s="497"/>
      <c r="HPP24" s="497"/>
      <c r="HPQ24" s="497"/>
      <c r="HPR24" s="497"/>
      <c r="HPS24" s="497"/>
      <c r="HPT24" s="497"/>
      <c r="HPU24" s="497"/>
      <c r="HPV24" s="497"/>
      <c r="HPW24" s="497"/>
      <c r="HPX24" s="497"/>
      <c r="HPY24" s="497"/>
      <c r="HPZ24" s="497"/>
      <c r="HQA24" s="497"/>
      <c r="HQB24" s="497"/>
      <c r="HQC24" s="497"/>
      <c r="HQD24" s="497"/>
      <c r="HQE24" s="497"/>
      <c r="HQF24" s="497"/>
      <c r="HQG24" s="497"/>
      <c r="HQH24" s="497"/>
      <c r="HQI24" s="497"/>
      <c r="HQJ24" s="497"/>
      <c r="HQK24" s="497"/>
      <c r="HQL24" s="497"/>
      <c r="HQM24" s="497"/>
      <c r="HQN24" s="497"/>
      <c r="HQO24" s="497"/>
      <c r="HQP24" s="497"/>
      <c r="HQQ24" s="497"/>
      <c r="HQR24" s="497"/>
      <c r="HQS24" s="497"/>
      <c r="HQT24" s="497"/>
      <c r="HQU24" s="497"/>
      <c r="HQV24" s="497"/>
      <c r="HQW24" s="497"/>
      <c r="HQX24" s="497"/>
      <c r="HQY24" s="497"/>
      <c r="HQZ24" s="497"/>
      <c r="HRA24" s="497"/>
      <c r="HRB24" s="497"/>
      <c r="HRC24" s="497"/>
      <c r="HRD24" s="497"/>
      <c r="HRE24" s="497"/>
      <c r="HRF24" s="497"/>
      <c r="HRG24" s="497"/>
      <c r="HRH24" s="497"/>
      <c r="HRI24" s="497"/>
      <c r="HRJ24" s="497"/>
      <c r="HRK24" s="497"/>
      <c r="HRL24" s="497"/>
      <c r="HRM24" s="497"/>
      <c r="HRN24" s="497"/>
      <c r="HRO24" s="497"/>
      <c r="HRP24" s="497"/>
      <c r="HRQ24" s="497"/>
      <c r="HRR24" s="497"/>
      <c r="HRS24" s="497"/>
      <c r="HRT24" s="497"/>
      <c r="HRU24" s="497"/>
      <c r="HRV24" s="497"/>
      <c r="HRW24" s="497"/>
      <c r="HRX24" s="497"/>
      <c r="HRY24" s="497"/>
      <c r="HRZ24" s="497"/>
      <c r="HSA24" s="497"/>
      <c r="HSB24" s="497"/>
      <c r="HSC24" s="497"/>
      <c r="HSD24" s="497"/>
      <c r="HSE24" s="497"/>
      <c r="HSF24" s="497"/>
      <c r="HSG24" s="497"/>
      <c r="HSH24" s="497"/>
      <c r="HSI24" s="497"/>
      <c r="HSJ24" s="497"/>
      <c r="HSK24" s="497"/>
      <c r="HSL24" s="497"/>
      <c r="HSM24" s="497"/>
      <c r="HSN24" s="497"/>
      <c r="HSO24" s="497"/>
      <c r="HSP24" s="497"/>
      <c r="HSQ24" s="497"/>
      <c r="HSR24" s="497"/>
      <c r="HSS24" s="497"/>
      <c r="HST24" s="497"/>
      <c r="HSU24" s="497"/>
      <c r="HSV24" s="497"/>
      <c r="HSW24" s="497"/>
      <c r="HSX24" s="497"/>
      <c r="HSY24" s="497"/>
      <c r="HSZ24" s="497"/>
      <c r="HTA24" s="497"/>
      <c r="HTB24" s="497"/>
      <c r="HTC24" s="497"/>
      <c r="HTD24" s="497"/>
      <c r="HTE24" s="497"/>
      <c r="HTF24" s="497"/>
      <c r="HTG24" s="497"/>
      <c r="HTH24" s="497"/>
      <c r="HTI24" s="497"/>
      <c r="HTJ24" s="497"/>
      <c r="HTK24" s="497"/>
      <c r="HTL24" s="497"/>
      <c r="HTM24" s="497"/>
      <c r="HTN24" s="497"/>
      <c r="HTO24" s="497"/>
      <c r="HTP24" s="497"/>
      <c r="HTQ24" s="497"/>
      <c r="HTR24" s="497"/>
      <c r="HTS24" s="497"/>
      <c r="HTT24" s="497"/>
      <c r="HTU24" s="497"/>
      <c r="HTV24" s="497"/>
      <c r="HTW24" s="497"/>
      <c r="HTX24" s="497"/>
      <c r="HTY24" s="497"/>
      <c r="HTZ24" s="497"/>
      <c r="HUA24" s="497"/>
      <c r="HUB24" s="497"/>
      <c r="HUC24" s="497"/>
      <c r="HUD24" s="497"/>
      <c r="HUE24" s="497"/>
      <c r="HUF24" s="497"/>
      <c r="HUG24" s="497"/>
      <c r="HUH24" s="497"/>
      <c r="HUI24" s="497"/>
      <c r="HUJ24" s="497"/>
      <c r="HUK24" s="497"/>
      <c r="HUL24" s="497"/>
      <c r="HUM24" s="497"/>
      <c r="HUN24" s="497"/>
      <c r="HUO24" s="497"/>
      <c r="HUP24" s="497"/>
      <c r="HUQ24" s="497"/>
      <c r="HUR24" s="497"/>
      <c r="HUS24" s="497"/>
      <c r="HUT24" s="497"/>
      <c r="HUU24" s="497"/>
      <c r="HUV24" s="497"/>
      <c r="HUW24" s="497"/>
      <c r="HUX24" s="497"/>
      <c r="HUY24" s="497"/>
      <c r="HUZ24" s="497"/>
      <c r="HVA24" s="497"/>
      <c r="HVB24" s="497"/>
      <c r="HVC24" s="497"/>
      <c r="HVD24" s="497"/>
      <c r="HVE24" s="497"/>
      <c r="HVF24" s="497"/>
      <c r="HVG24" s="497"/>
      <c r="HVH24" s="497"/>
      <c r="HVI24" s="497"/>
      <c r="HVJ24" s="497"/>
      <c r="HVK24" s="497"/>
      <c r="HVL24" s="497"/>
      <c r="HVM24" s="497"/>
      <c r="HVN24" s="497"/>
      <c r="HVO24" s="497"/>
      <c r="HVP24" s="497"/>
      <c r="HVQ24" s="497"/>
      <c r="HVR24" s="497"/>
      <c r="HVS24" s="497"/>
      <c r="HVT24" s="497"/>
      <c r="HVU24" s="497"/>
      <c r="HVV24" s="497"/>
      <c r="HVW24" s="497"/>
      <c r="HVX24" s="497"/>
      <c r="HVY24" s="497"/>
      <c r="HVZ24" s="497"/>
      <c r="HWA24" s="497"/>
      <c r="HWB24" s="497"/>
      <c r="HWC24" s="497"/>
      <c r="HWD24" s="497"/>
      <c r="HWE24" s="497"/>
      <c r="HWF24" s="497"/>
      <c r="HWG24" s="497"/>
      <c r="HWH24" s="497"/>
      <c r="HWI24" s="497"/>
      <c r="HWJ24" s="497"/>
      <c r="HWK24" s="497"/>
      <c r="HWL24" s="497"/>
      <c r="HWM24" s="497"/>
      <c r="HWN24" s="497"/>
      <c r="HWO24" s="497"/>
      <c r="HWP24" s="497"/>
      <c r="HWQ24" s="497"/>
      <c r="HWR24" s="497"/>
      <c r="HWS24" s="497"/>
      <c r="HWT24" s="497"/>
      <c r="HWU24" s="497"/>
      <c r="HWV24" s="497"/>
      <c r="HWW24" s="497"/>
      <c r="HWX24" s="497"/>
      <c r="HWY24" s="497"/>
      <c r="HWZ24" s="497"/>
      <c r="HXA24" s="497"/>
      <c r="HXB24" s="497"/>
      <c r="HXC24" s="497"/>
      <c r="HXD24" s="497"/>
      <c r="HXE24" s="497"/>
      <c r="HXF24" s="497"/>
      <c r="HXG24" s="497"/>
      <c r="HXH24" s="497"/>
      <c r="HXI24" s="497"/>
      <c r="HXJ24" s="497"/>
      <c r="HXK24" s="497"/>
      <c r="HXL24" s="497"/>
      <c r="HXM24" s="497"/>
      <c r="HXN24" s="497"/>
      <c r="HXO24" s="497"/>
      <c r="HXP24" s="497"/>
      <c r="HXQ24" s="497"/>
      <c r="HXR24" s="497"/>
      <c r="HXS24" s="497"/>
      <c r="HXT24" s="497"/>
      <c r="HXU24" s="497"/>
      <c r="HXV24" s="497"/>
      <c r="HXW24" s="497"/>
      <c r="HXX24" s="497"/>
      <c r="HXY24" s="497"/>
      <c r="HXZ24" s="497"/>
      <c r="HYA24" s="497"/>
      <c r="HYB24" s="497"/>
      <c r="HYC24" s="497"/>
      <c r="HYD24" s="497"/>
      <c r="HYE24" s="497"/>
      <c r="HYF24" s="497"/>
      <c r="HYG24" s="497"/>
      <c r="HYH24" s="497"/>
      <c r="HYI24" s="497"/>
      <c r="HYJ24" s="497"/>
      <c r="HYK24" s="497"/>
      <c r="HYL24" s="497"/>
      <c r="HYM24" s="497"/>
      <c r="HYN24" s="497"/>
      <c r="HYO24" s="497"/>
      <c r="HYP24" s="497"/>
      <c r="HYQ24" s="497"/>
      <c r="HYR24" s="497"/>
      <c r="HYS24" s="497"/>
      <c r="HYT24" s="497"/>
      <c r="HYU24" s="497"/>
      <c r="HYV24" s="497"/>
      <c r="HYW24" s="497"/>
      <c r="HYX24" s="497"/>
      <c r="HYY24" s="497"/>
      <c r="HYZ24" s="497"/>
      <c r="HZA24" s="497"/>
      <c r="HZB24" s="497"/>
      <c r="HZC24" s="497"/>
      <c r="HZD24" s="497"/>
      <c r="HZE24" s="497"/>
      <c r="HZF24" s="497"/>
      <c r="HZG24" s="497"/>
      <c r="HZH24" s="497"/>
      <c r="HZI24" s="497"/>
      <c r="HZJ24" s="497"/>
      <c r="HZK24" s="497"/>
      <c r="HZL24" s="497"/>
      <c r="HZM24" s="497"/>
      <c r="HZN24" s="497"/>
      <c r="HZO24" s="497"/>
      <c r="HZP24" s="497"/>
      <c r="HZQ24" s="497"/>
      <c r="HZR24" s="497"/>
      <c r="HZS24" s="497"/>
      <c r="HZT24" s="497"/>
      <c r="HZU24" s="497"/>
      <c r="HZV24" s="497"/>
      <c r="HZW24" s="497"/>
      <c r="HZX24" s="497"/>
      <c r="HZY24" s="497"/>
      <c r="HZZ24" s="497"/>
      <c r="IAA24" s="497"/>
      <c r="IAB24" s="497"/>
      <c r="IAC24" s="497"/>
      <c r="IAD24" s="497"/>
      <c r="IAE24" s="497"/>
      <c r="IAF24" s="497"/>
      <c r="IAG24" s="497"/>
      <c r="IAH24" s="497"/>
      <c r="IAI24" s="497"/>
      <c r="IAJ24" s="497"/>
      <c r="IAK24" s="497"/>
      <c r="IAL24" s="497"/>
      <c r="IAM24" s="497"/>
      <c r="IAN24" s="497"/>
      <c r="IAO24" s="497"/>
      <c r="IAP24" s="497"/>
      <c r="IAQ24" s="497"/>
      <c r="IAR24" s="497"/>
      <c r="IAS24" s="497"/>
      <c r="IAT24" s="497"/>
      <c r="IAU24" s="497"/>
      <c r="IAV24" s="497"/>
      <c r="IAW24" s="497"/>
      <c r="IAX24" s="497"/>
      <c r="IAY24" s="497"/>
      <c r="IAZ24" s="497"/>
      <c r="IBA24" s="497"/>
      <c r="IBB24" s="497"/>
      <c r="IBC24" s="497"/>
      <c r="IBD24" s="497"/>
      <c r="IBE24" s="497"/>
      <c r="IBF24" s="497"/>
      <c r="IBG24" s="497"/>
      <c r="IBH24" s="497"/>
      <c r="IBI24" s="497"/>
      <c r="IBJ24" s="497"/>
      <c r="IBK24" s="497"/>
      <c r="IBL24" s="497"/>
      <c r="IBM24" s="497"/>
      <c r="IBN24" s="497"/>
      <c r="IBO24" s="497"/>
      <c r="IBP24" s="497"/>
      <c r="IBQ24" s="497"/>
      <c r="IBR24" s="497"/>
      <c r="IBS24" s="497"/>
      <c r="IBT24" s="497"/>
      <c r="IBU24" s="497"/>
      <c r="IBV24" s="497"/>
      <c r="IBW24" s="497"/>
      <c r="IBX24" s="497"/>
      <c r="IBY24" s="497"/>
      <c r="IBZ24" s="497"/>
      <c r="ICA24" s="497"/>
      <c r="ICB24" s="497"/>
      <c r="ICC24" s="497"/>
      <c r="ICD24" s="497"/>
      <c r="ICE24" s="497"/>
      <c r="ICF24" s="497"/>
      <c r="ICG24" s="497"/>
      <c r="ICH24" s="497"/>
      <c r="ICI24" s="497"/>
      <c r="ICJ24" s="497"/>
      <c r="ICK24" s="497"/>
      <c r="ICL24" s="497"/>
      <c r="ICM24" s="497"/>
      <c r="ICN24" s="497"/>
      <c r="ICO24" s="497"/>
      <c r="ICP24" s="497"/>
      <c r="ICQ24" s="497"/>
      <c r="ICR24" s="497"/>
      <c r="ICS24" s="497"/>
      <c r="ICT24" s="497"/>
      <c r="ICU24" s="497"/>
      <c r="ICV24" s="497"/>
      <c r="ICW24" s="497"/>
      <c r="ICX24" s="497"/>
      <c r="ICY24" s="497"/>
      <c r="ICZ24" s="497"/>
      <c r="IDA24" s="497"/>
      <c r="IDB24" s="497"/>
      <c r="IDC24" s="497"/>
      <c r="IDD24" s="497"/>
      <c r="IDE24" s="497"/>
      <c r="IDF24" s="497"/>
      <c r="IDG24" s="497"/>
      <c r="IDH24" s="497"/>
      <c r="IDI24" s="497"/>
      <c r="IDJ24" s="497"/>
      <c r="IDK24" s="497"/>
      <c r="IDL24" s="497"/>
      <c r="IDM24" s="497"/>
      <c r="IDN24" s="497"/>
      <c r="IDO24" s="497"/>
      <c r="IDP24" s="497"/>
      <c r="IDQ24" s="497"/>
      <c r="IDR24" s="497"/>
      <c r="IDS24" s="497"/>
      <c r="IDT24" s="497"/>
      <c r="IDU24" s="497"/>
      <c r="IDV24" s="497"/>
      <c r="IDW24" s="497"/>
      <c r="IDX24" s="497"/>
      <c r="IDY24" s="497"/>
      <c r="IDZ24" s="497"/>
      <c r="IEA24" s="497"/>
      <c r="IEB24" s="497"/>
      <c r="IEC24" s="497"/>
      <c r="IED24" s="497"/>
      <c r="IEE24" s="497"/>
      <c r="IEF24" s="497"/>
      <c r="IEG24" s="497"/>
      <c r="IEH24" s="497"/>
      <c r="IEI24" s="497"/>
      <c r="IEJ24" s="497"/>
      <c r="IEK24" s="497"/>
      <c r="IEL24" s="497"/>
      <c r="IEM24" s="497"/>
      <c r="IEN24" s="497"/>
      <c r="IEO24" s="497"/>
      <c r="IEP24" s="497"/>
      <c r="IEQ24" s="497"/>
      <c r="IER24" s="497"/>
      <c r="IES24" s="497"/>
      <c r="IET24" s="497"/>
      <c r="IEU24" s="497"/>
      <c r="IEV24" s="497"/>
      <c r="IEW24" s="497"/>
      <c r="IEX24" s="497"/>
      <c r="IEY24" s="497"/>
      <c r="IEZ24" s="497"/>
      <c r="IFA24" s="497"/>
      <c r="IFB24" s="497"/>
      <c r="IFC24" s="497"/>
      <c r="IFD24" s="497"/>
      <c r="IFE24" s="497"/>
      <c r="IFF24" s="497"/>
      <c r="IFG24" s="497"/>
      <c r="IFH24" s="497"/>
      <c r="IFI24" s="497"/>
      <c r="IFJ24" s="497"/>
      <c r="IFK24" s="497"/>
      <c r="IFL24" s="497"/>
      <c r="IFM24" s="497"/>
      <c r="IFN24" s="497"/>
      <c r="IFO24" s="497"/>
      <c r="IFP24" s="497"/>
      <c r="IFQ24" s="497"/>
      <c r="IFR24" s="497"/>
      <c r="IFS24" s="497"/>
      <c r="IFT24" s="497"/>
      <c r="IFU24" s="497"/>
      <c r="IFV24" s="497"/>
      <c r="IFW24" s="497"/>
      <c r="IFX24" s="497"/>
      <c r="IFY24" s="497"/>
      <c r="IFZ24" s="497"/>
      <c r="IGA24" s="497"/>
      <c r="IGB24" s="497"/>
      <c r="IGC24" s="497"/>
      <c r="IGD24" s="497"/>
      <c r="IGE24" s="497"/>
      <c r="IGF24" s="497"/>
      <c r="IGG24" s="497"/>
      <c r="IGH24" s="497"/>
      <c r="IGI24" s="497"/>
      <c r="IGJ24" s="497"/>
      <c r="IGK24" s="497"/>
      <c r="IGL24" s="497"/>
      <c r="IGM24" s="497"/>
      <c r="IGN24" s="497"/>
      <c r="IGO24" s="497"/>
      <c r="IGP24" s="497"/>
      <c r="IGQ24" s="497"/>
      <c r="IGR24" s="497"/>
      <c r="IGS24" s="497"/>
      <c r="IGT24" s="497"/>
      <c r="IGU24" s="497"/>
      <c r="IGV24" s="497"/>
      <c r="IGW24" s="497"/>
      <c r="IGX24" s="497"/>
      <c r="IGY24" s="497"/>
      <c r="IGZ24" s="497"/>
      <c r="IHA24" s="497"/>
      <c r="IHB24" s="497"/>
      <c r="IHC24" s="497"/>
      <c r="IHD24" s="497"/>
      <c r="IHE24" s="497"/>
      <c r="IHF24" s="497"/>
      <c r="IHG24" s="497"/>
      <c r="IHH24" s="497"/>
      <c r="IHI24" s="497"/>
      <c r="IHJ24" s="497"/>
      <c r="IHK24" s="497"/>
      <c r="IHL24" s="497"/>
      <c r="IHM24" s="497"/>
      <c r="IHN24" s="497"/>
      <c r="IHO24" s="497"/>
      <c r="IHP24" s="497"/>
      <c r="IHQ24" s="497"/>
      <c r="IHR24" s="497"/>
      <c r="IHS24" s="497"/>
      <c r="IHT24" s="497"/>
      <c r="IHU24" s="497"/>
      <c r="IHV24" s="497"/>
      <c r="IHW24" s="497"/>
      <c r="IHX24" s="497"/>
      <c r="IHY24" s="497"/>
      <c r="IHZ24" s="497"/>
      <c r="IIA24" s="497"/>
      <c r="IIB24" s="497"/>
      <c r="IIC24" s="497"/>
      <c r="IID24" s="497"/>
      <c r="IIE24" s="497"/>
      <c r="IIF24" s="497"/>
      <c r="IIG24" s="497"/>
      <c r="IIH24" s="497"/>
      <c r="III24" s="497"/>
      <c r="IIJ24" s="497"/>
      <c r="IIK24" s="497"/>
      <c r="IIL24" s="497"/>
      <c r="IIM24" s="497"/>
      <c r="IIN24" s="497"/>
      <c r="IIO24" s="497"/>
      <c r="IIP24" s="497"/>
      <c r="IIQ24" s="497"/>
      <c r="IIR24" s="497"/>
      <c r="IIS24" s="497"/>
      <c r="IIT24" s="497"/>
      <c r="IIU24" s="497"/>
      <c r="IIV24" s="497"/>
      <c r="IIW24" s="497"/>
      <c r="IIX24" s="497"/>
      <c r="IIY24" s="497"/>
      <c r="IIZ24" s="497"/>
      <c r="IJA24" s="497"/>
      <c r="IJB24" s="497"/>
      <c r="IJC24" s="497"/>
      <c r="IJD24" s="497"/>
      <c r="IJE24" s="497"/>
      <c r="IJF24" s="497"/>
      <c r="IJG24" s="497"/>
      <c r="IJH24" s="497"/>
      <c r="IJI24" s="497"/>
      <c r="IJJ24" s="497"/>
      <c r="IJK24" s="497"/>
      <c r="IJL24" s="497"/>
      <c r="IJM24" s="497"/>
      <c r="IJN24" s="497"/>
      <c r="IJO24" s="497"/>
      <c r="IJP24" s="497"/>
      <c r="IJQ24" s="497"/>
      <c r="IJR24" s="497"/>
      <c r="IJS24" s="497"/>
      <c r="IJT24" s="497"/>
      <c r="IJU24" s="497"/>
      <c r="IJV24" s="497"/>
      <c r="IJW24" s="497"/>
      <c r="IJX24" s="497"/>
      <c r="IJY24" s="497"/>
      <c r="IJZ24" s="497"/>
      <c r="IKA24" s="497"/>
      <c r="IKB24" s="497"/>
      <c r="IKC24" s="497"/>
      <c r="IKD24" s="497"/>
      <c r="IKE24" s="497"/>
      <c r="IKF24" s="497"/>
      <c r="IKG24" s="497"/>
      <c r="IKH24" s="497"/>
      <c r="IKI24" s="497"/>
      <c r="IKJ24" s="497"/>
      <c r="IKK24" s="497"/>
      <c r="IKL24" s="497"/>
      <c r="IKM24" s="497"/>
      <c r="IKN24" s="497"/>
      <c r="IKO24" s="497"/>
      <c r="IKP24" s="497"/>
      <c r="IKQ24" s="497"/>
      <c r="IKR24" s="497"/>
      <c r="IKS24" s="497"/>
      <c r="IKT24" s="497"/>
      <c r="IKU24" s="497"/>
      <c r="IKV24" s="497"/>
      <c r="IKW24" s="497"/>
      <c r="IKX24" s="497"/>
      <c r="IKY24" s="497"/>
      <c r="IKZ24" s="497"/>
      <c r="ILA24" s="497"/>
      <c r="ILB24" s="497"/>
      <c r="ILC24" s="497"/>
      <c r="ILD24" s="497"/>
      <c r="ILE24" s="497"/>
      <c r="ILF24" s="497"/>
      <c r="ILG24" s="497"/>
      <c r="ILH24" s="497"/>
      <c r="ILI24" s="497"/>
      <c r="ILJ24" s="497"/>
      <c r="ILK24" s="497"/>
      <c r="ILL24" s="497"/>
      <c r="ILM24" s="497"/>
      <c r="ILN24" s="497"/>
      <c r="ILO24" s="497"/>
      <c r="ILP24" s="497"/>
      <c r="ILQ24" s="497"/>
      <c r="ILR24" s="497"/>
      <c r="ILS24" s="497"/>
      <c r="ILT24" s="497"/>
      <c r="ILU24" s="497"/>
      <c r="ILV24" s="497"/>
      <c r="ILW24" s="497"/>
      <c r="ILX24" s="497"/>
      <c r="ILY24" s="497"/>
      <c r="ILZ24" s="497"/>
      <c r="IMA24" s="497"/>
      <c r="IMB24" s="497"/>
      <c r="IMC24" s="497"/>
      <c r="IMD24" s="497"/>
      <c r="IME24" s="497"/>
      <c r="IMF24" s="497"/>
      <c r="IMG24" s="497"/>
      <c r="IMH24" s="497"/>
      <c r="IMI24" s="497"/>
      <c r="IMJ24" s="497"/>
      <c r="IMK24" s="497"/>
      <c r="IML24" s="497"/>
      <c r="IMM24" s="497"/>
      <c r="IMN24" s="497"/>
      <c r="IMO24" s="497"/>
      <c r="IMP24" s="497"/>
      <c r="IMQ24" s="497"/>
      <c r="IMR24" s="497"/>
      <c r="IMS24" s="497"/>
      <c r="IMT24" s="497"/>
      <c r="IMU24" s="497"/>
      <c r="IMV24" s="497"/>
      <c r="IMW24" s="497"/>
      <c r="IMX24" s="497"/>
      <c r="IMY24" s="497"/>
      <c r="IMZ24" s="497"/>
      <c r="INA24" s="497"/>
      <c r="INB24" s="497"/>
      <c r="INC24" s="497"/>
      <c r="IND24" s="497"/>
      <c r="INE24" s="497"/>
      <c r="INF24" s="497"/>
      <c r="ING24" s="497"/>
      <c r="INH24" s="497"/>
      <c r="INI24" s="497"/>
      <c r="INJ24" s="497"/>
      <c r="INK24" s="497"/>
      <c r="INL24" s="497"/>
      <c r="INM24" s="497"/>
      <c r="INN24" s="497"/>
      <c r="INO24" s="497"/>
      <c r="INP24" s="497"/>
      <c r="INQ24" s="497"/>
      <c r="INR24" s="497"/>
      <c r="INS24" s="497"/>
      <c r="INT24" s="497"/>
      <c r="INU24" s="497"/>
      <c r="INV24" s="497"/>
      <c r="INW24" s="497"/>
      <c r="INX24" s="497"/>
      <c r="INY24" s="497"/>
      <c r="INZ24" s="497"/>
      <c r="IOA24" s="497"/>
      <c r="IOB24" s="497"/>
      <c r="IOC24" s="497"/>
      <c r="IOD24" s="497"/>
      <c r="IOE24" s="497"/>
      <c r="IOF24" s="497"/>
      <c r="IOG24" s="497"/>
      <c r="IOH24" s="497"/>
      <c r="IOI24" s="497"/>
      <c r="IOJ24" s="497"/>
      <c r="IOK24" s="497"/>
      <c r="IOL24" s="497"/>
      <c r="IOM24" s="497"/>
      <c r="ION24" s="497"/>
      <c r="IOO24" s="497"/>
      <c r="IOP24" s="497"/>
      <c r="IOQ24" s="497"/>
      <c r="IOR24" s="497"/>
      <c r="IOS24" s="497"/>
      <c r="IOT24" s="497"/>
      <c r="IOU24" s="497"/>
      <c r="IOV24" s="497"/>
      <c r="IOW24" s="497"/>
      <c r="IOX24" s="497"/>
      <c r="IOY24" s="497"/>
      <c r="IOZ24" s="497"/>
      <c r="IPA24" s="497"/>
      <c r="IPB24" s="497"/>
      <c r="IPC24" s="497"/>
      <c r="IPD24" s="497"/>
      <c r="IPE24" s="497"/>
      <c r="IPF24" s="497"/>
      <c r="IPG24" s="497"/>
      <c r="IPH24" s="497"/>
      <c r="IPI24" s="497"/>
      <c r="IPJ24" s="497"/>
      <c r="IPK24" s="497"/>
      <c r="IPL24" s="497"/>
      <c r="IPM24" s="497"/>
      <c r="IPN24" s="497"/>
      <c r="IPO24" s="497"/>
      <c r="IPP24" s="497"/>
      <c r="IPQ24" s="497"/>
      <c r="IPR24" s="497"/>
      <c r="IPS24" s="497"/>
      <c r="IPT24" s="497"/>
      <c r="IPU24" s="497"/>
      <c r="IPV24" s="497"/>
      <c r="IPW24" s="497"/>
      <c r="IPX24" s="497"/>
      <c r="IPY24" s="497"/>
      <c r="IPZ24" s="497"/>
      <c r="IQA24" s="497"/>
      <c r="IQB24" s="497"/>
      <c r="IQC24" s="497"/>
      <c r="IQD24" s="497"/>
      <c r="IQE24" s="497"/>
      <c r="IQF24" s="497"/>
      <c r="IQG24" s="497"/>
      <c r="IQH24" s="497"/>
      <c r="IQI24" s="497"/>
      <c r="IQJ24" s="497"/>
      <c r="IQK24" s="497"/>
      <c r="IQL24" s="497"/>
      <c r="IQM24" s="497"/>
      <c r="IQN24" s="497"/>
      <c r="IQO24" s="497"/>
      <c r="IQP24" s="497"/>
      <c r="IQQ24" s="497"/>
      <c r="IQR24" s="497"/>
      <c r="IQS24" s="497"/>
      <c r="IQT24" s="497"/>
      <c r="IQU24" s="497"/>
      <c r="IQV24" s="497"/>
      <c r="IQW24" s="497"/>
      <c r="IQX24" s="497"/>
      <c r="IQY24" s="497"/>
      <c r="IQZ24" s="497"/>
      <c r="IRA24" s="497"/>
      <c r="IRB24" s="497"/>
      <c r="IRC24" s="497"/>
      <c r="IRD24" s="497"/>
      <c r="IRE24" s="497"/>
      <c r="IRF24" s="497"/>
      <c r="IRG24" s="497"/>
      <c r="IRH24" s="497"/>
      <c r="IRI24" s="497"/>
      <c r="IRJ24" s="497"/>
      <c r="IRK24" s="497"/>
      <c r="IRL24" s="497"/>
      <c r="IRM24" s="497"/>
      <c r="IRN24" s="497"/>
      <c r="IRO24" s="497"/>
      <c r="IRP24" s="497"/>
      <c r="IRQ24" s="497"/>
      <c r="IRR24" s="497"/>
      <c r="IRS24" s="497"/>
      <c r="IRT24" s="497"/>
      <c r="IRU24" s="497"/>
      <c r="IRV24" s="497"/>
      <c r="IRW24" s="497"/>
      <c r="IRX24" s="497"/>
      <c r="IRY24" s="497"/>
      <c r="IRZ24" s="497"/>
      <c r="ISA24" s="497"/>
      <c r="ISB24" s="497"/>
      <c r="ISC24" s="497"/>
      <c r="ISD24" s="497"/>
      <c r="ISE24" s="497"/>
      <c r="ISF24" s="497"/>
      <c r="ISG24" s="497"/>
      <c r="ISH24" s="497"/>
      <c r="ISI24" s="497"/>
      <c r="ISJ24" s="497"/>
      <c r="ISK24" s="497"/>
      <c r="ISL24" s="497"/>
      <c r="ISM24" s="497"/>
      <c r="ISN24" s="497"/>
      <c r="ISO24" s="497"/>
      <c r="ISP24" s="497"/>
      <c r="ISQ24" s="497"/>
      <c r="ISR24" s="497"/>
      <c r="ISS24" s="497"/>
      <c r="IST24" s="497"/>
      <c r="ISU24" s="497"/>
      <c r="ISV24" s="497"/>
      <c r="ISW24" s="497"/>
      <c r="ISX24" s="497"/>
      <c r="ISY24" s="497"/>
      <c r="ISZ24" s="497"/>
      <c r="ITA24" s="497"/>
      <c r="ITB24" s="497"/>
      <c r="ITC24" s="497"/>
      <c r="ITD24" s="497"/>
      <c r="ITE24" s="497"/>
      <c r="ITF24" s="497"/>
      <c r="ITG24" s="497"/>
      <c r="ITH24" s="497"/>
      <c r="ITI24" s="497"/>
      <c r="ITJ24" s="497"/>
      <c r="ITK24" s="497"/>
      <c r="ITL24" s="497"/>
      <c r="ITM24" s="497"/>
      <c r="ITN24" s="497"/>
      <c r="ITO24" s="497"/>
      <c r="ITP24" s="497"/>
      <c r="ITQ24" s="497"/>
      <c r="ITR24" s="497"/>
      <c r="ITS24" s="497"/>
      <c r="ITT24" s="497"/>
      <c r="ITU24" s="497"/>
      <c r="ITV24" s="497"/>
      <c r="ITW24" s="497"/>
      <c r="ITX24" s="497"/>
      <c r="ITY24" s="497"/>
      <c r="ITZ24" s="497"/>
      <c r="IUA24" s="497"/>
      <c r="IUB24" s="497"/>
      <c r="IUC24" s="497"/>
      <c r="IUD24" s="497"/>
      <c r="IUE24" s="497"/>
      <c r="IUF24" s="497"/>
      <c r="IUG24" s="497"/>
      <c r="IUH24" s="497"/>
      <c r="IUI24" s="497"/>
      <c r="IUJ24" s="497"/>
      <c r="IUK24" s="497"/>
      <c r="IUL24" s="497"/>
      <c r="IUM24" s="497"/>
      <c r="IUN24" s="497"/>
      <c r="IUO24" s="497"/>
      <c r="IUP24" s="497"/>
      <c r="IUQ24" s="497"/>
      <c r="IUR24" s="497"/>
      <c r="IUS24" s="497"/>
      <c r="IUT24" s="497"/>
      <c r="IUU24" s="497"/>
      <c r="IUV24" s="497"/>
      <c r="IUW24" s="497"/>
      <c r="IUX24" s="497"/>
      <c r="IUY24" s="497"/>
      <c r="IUZ24" s="497"/>
      <c r="IVA24" s="497"/>
      <c r="IVB24" s="497"/>
      <c r="IVC24" s="497"/>
      <c r="IVD24" s="497"/>
      <c r="IVE24" s="497"/>
      <c r="IVF24" s="497"/>
      <c r="IVG24" s="497"/>
      <c r="IVH24" s="497"/>
      <c r="IVI24" s="497"/>
      <c r="IVJ24" s="497"/>
      <c r="IVK24" s="497"/>
      <c r="IVL24" s="497"/>
      <c r="IVM24" s="497"/>
      <c r="IVN24" s="497"/>
      <c r="IVO24" s="497"/>
      <c r="IVP24" s="497"/>
      <c r="IVQ24" s="497"/>
      <c r="IVR24" s="497"/>
      <c r="IVS24" s="497"/>
      <c r="IVT24" s="497"/>
      <c r="IVU24" s="497"/>
      <c r="IVV24" s="497"/>
      <c r="IVW24" s="497"/>
      <c r="IVX24" s="497"/>
      <c r="IVY24" s="497"/>
      <c r="IVZ24" s="497"/>
      <c r="IWA24" s="497"/>
      <c r="IWB24" s="497"/>
      <c r="IWC24" s="497"/>
      <c r="IWD24" s="497"/>
      <c r="IWE24" s="497"/>
      <c r="IWF24" s="497"/>
      <c r="IWG24" s="497"/>
      <c r="IWH24" s="497"/>
      <c r="IWI24" s="497"/>
      <c r="IWJ24" s="497"/>
      <c r="IWK24" s="497"/>
      <c r="IWL24" s="497"/>
      <c r="IWM24" s="497"/>
      <c r="IWN24" s="497"/>
      <c r="IWO24" s="497"/>
      <c r="IWP24" s="497"/>
      <c r="IWQ24" s="497"/>
      <c r="IWR24" s="497"/>
      <c r="IWS24" s="497"/>
      <c r="IWT24" s="497"/>
      <c r="IWU24" s="497"/>
      <c r="IWV24" s="497"/>
      <c r="IWW24" s="497"/>
      <c r="IWX24" s="497"/>
      <c r="IWY24" s="497"/>
      <c r="IWZ24" s="497"/>
      <c r="IXA24" s="497"/>
      <c r="IXB24" s="497"/>
      <c r="IXC24" s="497"/>
      <c r="IXD24" s="497"/>
      <c r="IXE24" s="497"/>
      <c r="IXF24" s="497"/>
      <c r="IXG24" s="497"/>
      <c r="IXH24" s="497"/>
      <c r="IXI24" s="497"/>
      <c r="IXJ24" s="497"/>
      <c r="IXK24" s="497"/>
      <c r="IXL24" s="497"/>
      <c r="IXM24" s="497"/>
      <c r="IXN24" s="497"/>
      <c r="IXO24" s="497"/>
      <c r="IXP24" s="497"/>
      <c r="IXQ24" s="497"/>
      <c r="IXR24" s="497"/>
      <c r="IXS24" s="497"/>
      <c r="IXT24" s="497"/>
      <c r="IXU24" s="497"/>
      <c r="IXV24" s="497"/>
      <c r="IXW24" s="497"/>
      <c r="IXX24" s="497"/>
      <c r="IXY24" s="497"/>
      <c r="IXZ24" s="497"/>
      <c r="IYA24" s="497"/>
      <c r="IYB24" s="497"/>
      <c r="IYC24" s="497"/>
      <c r="IYD24" s="497"/>
      <c r="IYE24" s="497"/>
      <c r="IYF24" s="497"/>
      <c r="IYG24" s="497"/>
      <c r="IYH24" s="497"/>
      <c r="IYI24" s="497"/>
      <c r="IYJ24" s="497"/>
      <c r="IYK24" s="497"/>
      <c r="IYL24" s="497"/>
      <c r="IYM24" s="497"/>
      <c r="IYN24" s="497"/>
      <c r="IYO24" s="497"/>
      <c r="IYP24" s="497"/>
      <c r="IYQ24" s="497"/>
      <c r="IYR24" s="497"/>
      <c r="IYS24" s="497"/>
      <c r="IYT24" s="497"/>
      <c r="IYU24" s="497"/>
      <c r="IYV24" s="497"/>
      <c r="IYW24" s="497"/>
      <c r="IYX24" s="497"/>
      <c r="IYY24" s="497"/>
      <c r="IYZ24" s="497"/>
      <c r="IZA24" s="497"/>
      <c r="IZB24" s="497"/>
      <c r="IZC24" s="497"/>
      <c r="IZD24" s="497"/>
      <c r="IZE24" s="497"/>
      <c r="IZF24" s="497"/>
      <c r="IZG24" s="497"/>
      <c r="IZH24" s="497"/>
      <c r="IZI24" s="497"/>
      <c r="IZJ24" s="497"/>
      <c r="IZK24" s="497"/>
      <c r="IZL24" s="497"/>
      <c r="IZM24" s="497"/>
      <c r="IZN24" s="497"/>
      <c r="IZO24" s="497"/>
      <c r="IZP24" s="497"/>
      <c r="IZQ24" s="497"/>
      <c r="IZR24" s="497"/>
      <c r="IZS24" s="497"/>
      <c r="IZT24" s="497"/>
      <c r="IZU24" s="497"/>
      <c r="IZV24" s="497"/>
      <c r="IZW24" s="497"/>
      <c r="IZX24" s="497"/>
      <c r="IZY24" s="497"/>
      <c r="IZZ24" s="497"/>
      <c r="JAA24" s="497"/>
      <c r="JAB24" s="497"/>
      <c r="JAC24" s="497"/>
      <c r="JAD24" s="497"/>
      <c r="JAE24" s="497"/>
      <c r="JAF24" s="497"/>
      <c r="JAG24" s="497"/>
      <c r="JAH24" s="497"/>
      <c r="JAI24" s="497"/>
      <c r="JAJ24" s="497"/>
      <c r="JAK24" s="497"/>
      <c r="JAL24" s="497"/>
      <c r="JAM24" s="497"/>
      <c r="JAN24" s="497"/>
      <c r="JAO24" s="497"/>
      <c r="JAP24" s="497"/>
      <c r="JAQ24" s="497"/>
      <c r="JAR24" s="497"/>
      <c r="JAS24" s="497"/>
      <c r="JAT24" s="497"/>
      <c r="JAU24" s="497"/>
      <c r="JAV24" s="497"/>
      <c r="JAW24" s="497"/>
      <c r="JAX24" s="497"/>
      <c r="JAY24" s="497"/>
      <c r="JAZ24" s="497"/>
      <c r="JBA24" s="497"/>
      <c r="JBB24" s="497"/>
      <c r="JBC24" s="497"/>
      <c r="JBD24" s="497"/>
      <c r="JBE24" s="497"/>
      <c r="JBF24" s="497"/>
      <c r="JBG24" s="497"/>
      <c r="JBH24" s="497"/>
      <c r="JBI24" s="497"/>
      <c r="JBJ24" s="497"/>
      <c r="JBK24" s="497"/>
      <c r="JBL24" s="497"/>
      <c r="JBM24" s="497"/>
      <c r="JBN24" s="497"/>
      <c r="JBO24" s="497"/>
      <c r="JBP24" s="497"/>
      <c r="JBQ24" s="497"/>
      <c r="JBR24" s="497"/>
      <c r="JBS24" s="497"/>
      <c r="JBT24" s="497"/>
      <c r="JBU24" s="497"/>
      <c r="JBV24" s="497"/>
      <c r="JBW24" s="497"/>
      <c r="JBX24" s="497"/>
      <c r="JBY24" s="497"/>
      <c r="JBZ24" s="497"/>
      <c r="JCA24" s="497"/>
      <c r="JCB24" s="497"/>
      <c r="JCC24" s="497"/>
      <c r="JCD24" s="497"/>
      <c r="JCE24" s="497"/>
      <c r="JCF24" s="497"/>
      <c r="JCG24" s="497"/>
      <c r="JCH24" s="497"/>
      <c r="JCI24" s="497"/>
      <c r="JCJ24" s="497"/>
      <c r="JCK24" s="497"/>
      <c r="JCL24" s="497"/>
      <c r="JCM24" s="497"/>
      <c r="JCN24" s="497"/>
      <c r="JCO24" s="497"/>
      <c r="JCP24" s="497"/>
      <c r="JCQ24" s="497"/>
      <c r="JCR24" s="497"/>
      <c r="JCS24" s="497"/>
      <c r="JCT24" s="497"/>
      <c r="JCU24" s="497"/>
      <c r="JCV24" s="497"/>
      <c r="JCW24" s="497"/>
      <c r="JCX24" s="497"/>
      <c r="JCY24" s="497"/>
      <c r="JCZ24" s="497"/>
      <c r="JDA24" s="497"/>
      <c r="JDB24" s="497"/>
      <c r="JDC24" s="497"/>
      <c r="JDD24" s="497"/>
      <c r="JDE24" s="497"/>
      <c r="JDF24" s="497"/>
      <c r="JDG24" s="497"/>
      <c r="JDH24" s="497"/>
      <c r="JDI24" s="497"/>
      <c r="JDJ24" s="497"/>
      <c r="JDK24" s="497"/>
      <c r="JDL24" s="497"/>
      <c r="JDM24" s="497"/>
      <c r="JDN24" s="497"/>
      <c r="JDO24" s="497"/>
      <c r="JDP24" s="497"/>
      <c r="JDQ24" s="497"/>
      <c r="JDR24" s="497"/>
      <c r="JDS24" s="497"/>
      <c r="JDT24" s="497"/>
      <c r="JDU24" s="497"/>
      <c r="JDV24" s="497"/>
      <c r="JDW24" s="497"/>
      <c r="JDX24" s="497"/>
      <c r="JDY24" s="497"/>
      <c r="JDZ24" s="497"/>
      <c r="JEA24" s="497"/>
      <c r="JEB24" s="497"/>
      <c r="JEC24" s="497"/>
      <c r="JED24" s="497"/>
      <c r="JEE24" s="497"/>
      <c r="JEF24" s="497"/>
      <c r="JEG24" s="497"/>
      <c r="JEH24" s="497"/>
      <c r="JEI24" s="497"/>
      <c r="JEJ24" s="497"/>
      <c r="JEK24" s="497"/>
      <c r="JEL24" s="497"/>
      <c r="JEM24" s="497"/>
      <c r="JEN24" s="497"/>
      <c r="JEO24" s="497"/>
      <c r="JEP24" s="497"/>
      <c r="JEQ24" s="497"/>
      <c r="JER24" s="497"/>
      <c r="JES24" s="497"/>
      <c r="JET24" s="497"/>
      <c r="JEU24" s="497"/>
      <c r="JEV24" s="497"/>
      <c r="JEW24" s="497"/>
      <c r="JEX24" s="497"/>
      <c r="JEY24" s="497"/>
      <c r="JEZ24" s="497"/>
      <c r="JFA24" s="497"/>
      <c r="JFB24" s="497"/>
      <c r="JFC24" s="497"/>
      <c r="JFD24" s="497"/>
      <c r="JFE24" s="497"/>
      <c r="JFF24" s="497"/>
      <c r="JFG24" s="497"/>
      <c r="JFH24" s="497"/>
      <c r="JFI24" s="497"/>
      <c r="JFJ24" s="497"/>
      <c r="JFK24" s="497"/>
      <c r="JFL24" s="497"/>
      <c r="JFM24" s="497"/>
      <c r="JFN24" s="497"/>
      <c r="JFO24" s="497"/>
      <c r="JFP24" s="497"/>
      <c r="JFQ24" s="497"/>
      <c r="JFR24" s="497"/>
      <c r="JFS24" s="497"/>
      <c r="JFT24" s="497"/>
      <c r="JFU24" s="497"/>
      <c r="JFV24" s="497"/>
      <c r="JFW24" s="497"/>
      <c r="JFX24" s="497"/>
      <c r="JFY24" s="497"/>
      <c r="JFZ24" s="497"/>
      <c r="JGA24" s="497"/>
      <c r="JGB24" s="497"/>
      <c r="JGC24" s="497"/>
      <c r="JGD24" s="497"/>
      <c r="JGE24" s="497"/>
      <c r="JGF24" s="497"/>
      <c r="JGG24" s="497"/>
      <c r="JGH24" s="497"/>
      <c r="JGI24" s="497"/>
      <c r="JGJ24" s="497"/>
      <c r="JGK24" s="497"/>
      <c r="JGL24" s="497"/>
      <c r="JGM24" s="497"/>
      <c r="JGN24" s="497"/>
      <c r="JGO24" s="497"/>
      <c r="JGP24" s="497"/>
      <c r="JGQ24" s="497"/>
      <c r="JGR24" s="497"/>
      <c r="JGS24" s="497"/>
      <c r="JGT24" s="497"/>
      <c r="JGU24" s="497"/>
      <c r="JGV24" s="497"/>
      <c r="JGW24" s="497"/>
      <c r="JGX24" s="497"/>
      <c r="JGY24" s="497"/>
      <c r="JGZ24" s="497"/>
      <c r="JHA24" s="497"/>
      <c r="JHB24" s="497"/>
      <c r="JHC24" s="497"/>
      <c r="JHD24" s="497"/>
      <c r="JHE24" s="497"/>
      <c r="JHF24" s="497"/>
      <c r="JHG24" s="497"/>
      <c r="JHH24" s="497"/>
      <c r="JHI24" s="497"/>
      <c r="JHJ24" s="497"/>
      <c r="JHK24" s="497"/>
      <c r="JHL24" s="497"/>
      <c r="JHM24" s="497"/>
      <c r="JHN24" s="497"/>
      <c r="JHO24" s="497"/>
      <c r="JHP24" s="497"/>
      <c r="JHQ24" s="497"/>
      <c r="JHR24" s="497"/>
      <c r="JHS24" s="497"/>
      <c r="JHT24" s="497"/>
      <c r="JHU24" s="497"/>
      <c r="JHV24" s="497"/>
      <c r="JHW24" s="497"/>
      <c r="JHX24" s="497"/>
      <c r="JHY24" s="497"/>
      <c r="JHZ24" s="497"/>
      <c r="JIA24" s="497"/>
      <c r="JIB24" s="497"/>
      <c r="JIC24" s="497"/>
      <c r="JID24" s="497"/>
      <c r="JIE24" s="497"/>
      <c r="JIF24" s="497"/>
      <c r="JIG24" s="497"/>
      <c r="JIH24" s="497"/>
      <c r="JII24" s="497"/>
      <c r="JIJ24" s="497"/>
      <c r="JIK24" s="497"/>
      <c r="JIL24" s="497"/>
      <c r="JIM24" s="497"/>
      <c r="JIN24" s="497"/>
      <c r="JIO24" s="497"/>
      <c r="JIP24" s="497"/>
      <c r="JIQ24" s="497"/>
      <c r="JIR24" s="497"/>
      <c r="JIS24" s="497"/>
      <c r="JIT24" s="497"/>
      <c r="JIU24" s="497"/>
      <c r="JIV24" s="497"/>
      <c r="JIW24" s="497"/>
      <c r="JIX24" s="497"/>
      <c r="JIY24" s="497"/>
      <c r="JIZ24" s="497"/>
      <c r="JJA24" s="497"/>
      <c r="JJB24" s="497"/>
      <c r="JJC24" s="497"/>
      <c r="JJD24" s="497"/>
      <c r="JJE24" s="497"/>
      <c r="JJF24" s="497"/>
      <c r="JJG24" s="497"/>
      <c r="JJH24" s="497"/>
      <c r="JJI24" s="497"/>
      <c r="JJJ24" s="497"/>
      <c r="JJK24" s="497"/>
      <c r="JJL24" s="497"/>
      <c r="JJM24" s="497"/>
      <c r="JJN24" s="497"/>
      <c r="JJO24" s="497"/>
      <c r="JJP24" s="497"/>
      <c r="JJQ24" s="497"/>
      <c r="JJR24" s="497"/>
      <c r="JJS24" s="497"/>
      <c r="JJT24" s="497"/>
      <c r="JJU24" s="497"/>
      <c r="JJV24" s="497"/>
      <c r="JJW24" s="497"/>
      <c r="JJX24" s="497"/>
      <c r="JJY24" s="497"/>
      <c r="JJZ24" s="497"/>
      <c r="JKA24" s="497"/>
      <c r="JKB24" s="497"/>
      <c r="JKC24" s="497"/>
      <c r="JKD24" s="497"/>
      <c r="JKE24" s="497"/>
      <c r="JKF24" s="497"/>
      <c r="JKG24" s="497"/>
      <c r="JKH24" s="497"/>
      <c r="JKI24" s="497"/>
      <c r="JKJ24" s="497"/>
      <c r="JKK24" s="497"/>
      <c r="JKL24" s="497"/>
      <c r="JKM24" s="497"/>
      <c r="JKN24" s="497"/>
      <c r="JKO24" s="497"/>
      <c r="JKP24" s="497"/>
      <c r="JKQ24" s="497"/>
      <c r="JKR24" s="497"/>
      <c r="JKS24" s="497"/>
      <c r="JKT24" s="497"/>
      <c r="JKU24" s="497"/>
      <c r="JKV24" s="497"/>
      <c r="JKW24" s="497"/>
      <c r="JKX24" s="497"/>
      <c r="JKY24" s="497"/>
      <c r="JKZ24" s="497"/>
      <c r="JLA24" s="497"/>
      <c r="JLB24" s="497"/>
      <c r="JLC24" s="497"/>
      <c r="JLD24" s="497"/>
      <c r="JLE24" s="497"/>
      <c r="JLF24" s="497"/>
      <c r="JLG24" s="497"/>
      <c r="JLH24" s="497"/>
      <c r="JLI24" s="497"/>
      <c r="JLJ24" s="497"/>
      <c r="JLK24" s="497"/>
      <c r="JLL24" s="497"/>
      <c r="JLM24" s="497"/>
      <c r="JLN24" s="497"/>
      <c r="JLO24" s="497"/>
      <c r="JLP24" s="497"/>
      <c r="JLQ24" s="497"/>
      <c r="JLR24" s="497"/>
      <c r="JLS24" s="497"/>
      <c r="JLT24" s="497"/>
      <c r="JLU24" s="497"/>
      <c r="JLV24" s="497"/>
      <c r="JLW24" s="497"/>
      <c r="JLX24" s="497"/>
      <c r="JLY24" s="497"/>
      <c r="JLZ24" s="497"/>
      <c r="JMA24" s="497"/>
      <c r="JMB24" s="497"/>
      <c r="JMC24" s="497"/>
      <c r="JMD24" s="497"/>
      <c r="JME24" s="497"/>
      <c r="JMF24" s="497"/>
      <c r="JMG24" s="497"/>
      <c r="JMH24" s="497"/>
      <c r="JMI24" s="497"/>
      <c r="JMJ24" s="497"/>
      <c r="JMK24" s="497"/>
      <c r="JML24" s="497"/>
      <c r="JMM24" s="497"/>
      <c r="JMN24" s="497"/>
      <c r="JMO24" s="497"/>
      <c r="JMP24" s="497"/>
      <c r="JMQ24" s="497"/>
      <c r="JMR24" s="497"/>
      <c r="JMS24" s="497"/>
      <c r="JMT24" s="497"/>
      <c r="JMU24" s="497"/>
      <c r="JMV24" s="497"/>
      <c r="JMW24" s="497"/>
      <c r="JMX24" s="497"/>
      <c r="JMY24" s="497"/>
      <c r="JMZ24" s="497"/>
      <c r="JNA24" s="497"/>
      <c r="JNB24" s="497"/>
      <c r="JNC24" s="497"/>
      <c r="JND24" s="497"/>
      <c r="JNE24" s="497"/>
      <c r="JNF24" s="497"/>
      <c r="JNG24" s="497"/>
      <c r="JNH24" s="497"/>
      <c r="JNI24" s="497"/>
      <c r="JNJ24" s="497"/>
      <c r="JNK24" s="497"/>
      <c r="JNL24" s="497"/>
      <c r="JNM24" s="497"/>
      <c r="JNN24" s="497"/>
      <c r="JNO24" s="497"/>
      <c r="JNP24" s="497"/>
      <c r="JNQ24" s="497"/>
      <c r="JNR24" s="497"/>
      <c r="JNS24" s="497"/>
      <c r="JNT24" s="497"/>
      <c r="JNU24" s="497"/>
      <c r="JNV24" s="497"/>
      <c r="JNW24" s="497"/>
      <c r="JNX24" s="497"/>
      <c r="JNY24" s="497"/>
      <c r="JNZ24" s="497"/>
      <c r="JOA24" s="497"/>
      <c r="JOB24" s="497"/>
      <c r="JOC24" s="497"/>
      <c r="JOD24" s="497"/>
      <c r="JOE24" s="497"/>
      <c r="JOF24" s="497"/>
      <c r="JOG24" s="497"/>
      <c r="JOH24" s="497"/>
      <c r="JOI24" s="497"/>
      <c r="JOJ24" s="497"/>
      <c r="JOK24" s="497"/>
      <c r="JOL24" s="497"/>
      <c r="JOM24" s="497"/>
      <c r="JON24" s="497"/>
      <c r="JOO24" s="497"/>
      <c r="JOP24" s="497"/>
      <c r="JOQ24" s="497"/>
      <c r="JOR24" s="497"/>
      <c r="JOS24" s="497"/>
      <c r="JOT24" s="497"/>
      <c r="JOU24" s="497"/>
      <c r="JOV24" s="497"/>
      <c r="JOW24" s="497"/>
      <c r="JOX24" s="497"/>
      <c r="JOY24" s="497"/>
      <c r="JOZ24" s="497"/>
      <c r="JPA24" s="497"/>
      <c r="JPB24" s="497"/>
      <c r="JPC24" s="497"/>
      <c r="JPD24" s="497"/>
      <c r="JPE24" s="497"/>
      <c r="JPF24" s="497"/>
      <c r="JPG24" s="497"/>
      <c r="JPH24" s="497"/>
      <c r="JPI24" s="497"/>
      <c r="JPJ24" s="497"/>
      <c r="JPK24" s="497"/>
      <c r="JPL24" s="497"/>
      <c r="JPM24" s="497"/>
      <c r="JPN24" s="497"/>
      <c r="JPO24" s="497"/>
      <c r="JPP24" s="497"/>
      <c r="JPQ24" s="497"/>
      <c r="JPR24" s="497"/>
      <c r="JPS24" s="497"/>
      <c r="JPT24" s="497"/>
      <c r="JPU24" s="497"/>
      <c r="JPV24" s="497"/>
      <c r="JPW24" s="497"/>
      <c r="JPX24" s="497"/>
      <c r="JPY24" s="497"/>
      <c r="JPZ24" s="497"/>
      <c r="JQA24" s="497"/>
      <c r="JQB24" s="497"/>
      <c r="JQC24" s="497"/>
      <c r="JQD24" s="497"/>
      <c r="JQE24" s="497"/>
      <c r="JQF24" s="497"/>
      <c r="JQG24" s="497"/>
      <c r="JQH24" s="497"/>
      <c r="JQI24" s="497"/>
      <c r="JQJ24" s="497"/>
      <c r="JQK24" s="497"/>
      <c r="JQL24" s="497"/>
      <c r="JQM24" s="497"/>
      <c r="JQN24" s="497"/>
      <c r="JQO24" s="497"/>
      <c r="JQP24" s="497"/>
      <c r="JQQ24" s="497"/>
      <c r="JQR24" s="497"/>
      <c r="JQS24" s="497"/>
      <c r="JQT24" s="497"/>
      <c r="JQU24" s="497"/>
      <c r="JQV24" s="497"/>
      <c r="JQW24" s="497"/>
      <c r="JQX24" s="497"/>
      <c r="JQY24" s="497"/>
      <c r="JQZ24" s="497"/>
      <c r="JRA24" s="497"/>
      <c r="JRB24" s="497"/>
      <c r="JRC24" s="497"/>
      <c r="JRD24" s="497"/>
      <c r="JRE24" s="497"/>
      <c r="JRF24" s="497"/>
      <c r="JRG24" s="497"/>
      <c r="JRH24" s="497"/>
      <c r="JRI24" s="497"/>
      <c r="JRJ24" s="497"/>
      <c r="JRK24" s="497"/>
      <c r="JRL24" s="497"/>
      <c r="JRM24" s="497"/>
      <c r="JRN24" s="497"/>
      <c r="JRO24" s="497"/>
      <c r="JRP24" s="497"/>
      <c r="JRQ24" s="497"/>
      <c r="JRR24" s="497"/>
      <c r="JRS24" s="497"/>
      <c r="JRT24" s="497"/>
      <c r="JRU24" s="497"/>
      <c r="JRV24" s="497"/>
      <c r="JRW24" s="497"/>
      <c r="JRX24" s="497"/>
      <c r="JRY24" s="497"/>
      <c r="JRZ24" s="497"/>
      <c r="JSA24" s="497"/>
      <c r="JSB24" s="497"/>
      <c r="JSC24" s="497"/>
      <c r="JSD24" s="497"/>
      <c r="JSE24" s="497"/>
      <c r="JSF24" s="497"/>
      <c r="JSG24" s="497"/>
      <c r="JSH24" s="497"/>
      <c r="JSI24" s="497"/>
      <c r="JSJ24" s="497"/>
      <c r="JSK24" s="497"/>
      <c r="JSL24" s="497"/>
      <c r="JSM24" s="497"/>
      <c r="JSN24" s="497"/>
      <c r="JSO24" s="497"/>
      <c r="JSP24" s="497"/>
      <c r="JSQ24" s="497"/>
      <c r="JSR24" s="497"/>
      <c r="JSS24" s="497"/>
      <c r="JST24" s="497"/>
      <c r="JSU24" s="497"/>
      <c r="JSV24" s="497"/>
      <c r="JSW24" s="497"/>
      <c r="JSX24" s="497"/>
      <c r="JSY24" s="497"/>
      <c r="JSZ24" s="497"/>
      <c r="JTA24" s="497"/>
      <c r="JTB24" s="497"/>
      <c r="JTC24" s="497"/>
      <c r="JTD24" s="497"/>
      <c r="JTE24" s="497"/>
      <c r="JTF24" s="497"/>
      <c r="JTG24" s="497"/>
      <c r="JTH24" s="497"/>
      <c r="JTI24" s="497"/>
      <c r="JTJ24" s="497"/>
      <c r="JTK24" s="497"/>
      <c r="JTL24" s="497"/>
      <c r="JTM24" s="497"/>
      <c r="JTN24" s="497"/>
      <c r="JTO24" s="497"/>
      <c r="JTP24" s="497"/>
      <c r="JTQ24" s="497"/>
      <c r="JTR24" s="497"/>
      <c r="JTS24" s="497"/>
      <c r="JTT24" s="497"/>
      <c r="JTU24" s="497"/>
      <c r="JTV24" s="497"/>
      <c r="JTW24" s="497"/>
      <c r="JTX24" s="497"/>
      <c r="JTY24" s="497"/>
      <c r="JTZ24" s="497"/>
      <c r="JUA24" s="497"/>
      <c r="JUB24" s="497"/>
      <c r="JUC24" s="497"/>
      <c r="JUD24" s="497"/>
      <c r="JUE24" s="497"/>
      <c r="JUF24" s="497"/>
      <c r="JUG24" s="497"/>
      <c r="JUH24" s="497"/>
      <c r="JUI24" s="497"/>
      <c r="JUJ24" s="497"/>
      <c r="JUK24" s="497"/>
      <c r="JUL24" s="497"/>
      <c r="JUM24" s="497"/>
      <c r="JUN24" s="497"/>
      <c r="JUO24" s="497"/>
      <c r="JUP24" s="497"/>
      <c r="JUQ24" s="497"/>
      <c r="JUR24" s="497"/>
      <c r="JUS24" s="497"/>
      <c r="JUT24" s="497"/>
      <c r="JUU24" s="497"/>
      <c r="JUV24" s="497"/>
      <c r="JUW24" s="497"/>
      <c r="JUX24" s="497"/>
      <c r="JUY24" s="497"/>
      <c r="JUZ24" s="497"/>
      <c r="JVA24" s="497"/>
      <c r="JVB24" s="497"/>
      <c r="JVC24" s="497"/>
      <c r="JVD24" s="497"/>
      <c r="JVE24" s="497"/>
      <c r="JVF24" s="497"/>
      <c r="JVG24" s="497"/>
      <c r="JVH24" s="497"/>
      <c r="JVI24" s="497"/>
      <c r="JVJ24" s="497"/>
      <c r="JVK24" s="497"/>
      <c r="JVL24" s="497"/>
      <c r="JVM24" s="497"/>
      <c r="JVN24" s="497"/>
      <c r="JVO24" s="497"/>
      <c r="JVP24" s="497"/>
      <c r="JVQ24" s="497"/>
      <c r="JVR24" s="497"/>
      <c r="JVS24" s="497"/>
      <c r="JVT24" s="497"/>
      <c r="JVU24" s="497"/>
      <c r="JVV24" s="497"/>
      <c r="JVW24" s="497"/>
      <c r="JVX24" s="497"/>
      <c r="JVY24" s="497"/>
      <c r="JVZ24" s="497"/>
      <c r="JWA24" s="497"/>
      <c r="JWB24" s="497"/>
      <c r="JWC24" s="497"/>
      <c r="JWD24" s="497"/>
      <c r="JWE24" s="497"/>
      <c r="JWF24" s="497"/>
      <c r="JWG24" s="497"/>
      <c r="JWH24" s="497"/>
      <c r="JWI24" s="497"/>
      <c r="JWJ24" s="497"/>
      <c r="JWK24" s="497"/>
      <c r="JWL24" s="497"/>
      <c r="JWM24" s="497"/>
      <c r="JWN24" s="497"/>
      <c r="JWO24" s="497"/>
      <c r="JWP24" s="497"/>
      <c r="JWQ24" s="497"/>
      <c r="JWR24" s="497"/>
      <c r="JWS24" s="497"/>
      <c r="JWT24" s="497"/>
      <c r="JWU24" s="497"/>
      <c r="JWV24" s="497"/>
      <c r="JWW24" s="497"/>
      <c r="JWX24" s="497"/>
      <c r="JWY24" s="497"/>
      <c r="JWZ24" s="497"/>
      <c r="JXA24" s="497"/>
      <c r="JXB24" s="497"/>
      <c r="JXC24" s="497"/>
      <c r="JXD24" s="497"/>
      <c r="JXE24" s="497"/>
      <c r="JXF24" s="497"/>
      <c r="JXG24" s="497"/>
      <c r="JXH24" s="497"/>
      <c r="JXI24" s="497"/>
      <c r="JXJ24" s="497"/>
      <c r="JXK24" s="497"/>
      <c r="JXL24" s="497"/>
      <c r="JXM24" s="497"/>
      <c r="JXN24" s="497"/>
      <c r="JXO24" s="497"/>
      <c r="JXP24" s="497"/>
      <c r="JXQ24" s="497"/>
      <c r="JXR24" s="497"/>
      <c r="JXS24" s="497"/>
      <c r="JXT24" s="497"/>
      <c r="JXU24" s="497"/>
      <c r="JXV24" s="497"/>
      <c r="JXW24" s="497"/>
      <c r="JXX24" s="497"/>
      <c r="JXY24" s="497"/>
      <c r="JXZ24" s="497"/>
      <c r="JYA24" s="497"/>
      <c r="JYB24" s="497"/>
      <c r="JYC24" s="497"/>
      <c r="JYD24" s="497"/>
      <c r="JYE24" s="497"/>
      <c r="JYF24" s="497"/>
      <c r="JYG24" s="497"/>
      <c r="JYH24" s="497"/>
      <c r="JYI24" s="497"/>
      <c r="JYJ24" s="497"/>
      <c r="JYK24" s="497"/>
      <c r="JYL24" s="497"/>
      <c r="JYM24" s="497"/>
      <c r="JYN24" s="497"/>
      <c r="JYO24" s="497"/>
      <c r="JYP24" s="497"/>
      <c r="JYQ24" s="497"/>
      <c r="JYR24" s="497"/>
      <c r="JYS24" s="497"/>
      <c r="JYT24" s="497"/>
      <c r="JYU24" s="497"/>
      <c r="JYV24" s="497"/>
      <c r="JYW24" s="497"/>
      <c r="JYX24" s="497"/>
      <c r="JYY24" s="497"/>
      <c r="JYZ24" s="497"/>
      <c r="JZA24" s="497"/>
      <c r="JZB24" s="497"/>
      <c r="JZC24" s="497"/>
      <c r="JZD24" s="497"/>
      <c r="JZE24" s="497"/>
      <c r="JZF24" s="497"/>
      <c r="JZG24" s="497"/>
      <c r="JZH24" s="497"/>
      <c r="JZI24" s="497"/>
      <c r="JZJ24" s="497"/>
      <c r="JZK24" s="497"/>
      <c r="JZL24" s="497"/>
      <c r="JZM24" s="497"/>
      <c r="JZN24" s="497"/>
      <c r="JZO24" s="497"/>
      <c r="JZP24" s="497"/>
      <c r="JZQ24" s="497"/>
      <c r="JZR24" s="497"/>
      <c r="JZS24" s="497"/>
      <c r="JZT24" s="497"/>
      <c r="JZU24" s="497"/>
      <c r="JZV24" s="497"/>
      <c r="JZW24" s="497"/>
      <c r="JZX24" s="497"/>
      <c r="JZY24" s="497"/>
      <c r="JZZ24" s="497"/>
      <c r="KAA24" s="497"/>
      <c r="KAB24" s="497"/>
      <c r="KAC24" s="497"/>
      <c r="KAD24" s="497"/>
      <c r="KAE24" s="497"/>
      <c r="KAF24" s="497"/>
      <c r="KAG24" s="497"/>
      <c r="KAH24" s="497"/>
      <c r="KAI24" s="497"/>
      <c r="KAJ24" s="497"/>
      <c r="KAK24" s="497"/>
      <c r="KAL24" s="497"/>
      <c r="KAM24" s="497"/>
      <c r="KAN24" s="497"/>
      <c r="KAO24" s="497"/>
      <c r="KAP24" s="497"/>
      <c r="KAQ24" s="497"/>
      <c r="KAR24" s="497"/>
      <c r="KAS24" s="497"/>
      <c r="KAT24" s="497"/>
      <c r="KAU24" s="497"/>
      <c r="KAV24" s="497"/>
      <c r="KAW24" s="497"/>
      <c r="KAX24" s="497"/>
      <c r="KAY24" s="497"/>
      <c r="KAZ24" s="497"/>
      <c r="KBA24" s="497"/>
      <c r="KBB24" s="497"/>
      <c r="KBC24" s="497"/>
      <c r="KBD24" s="497"/>
      <c r="KBE24" s="497"/>
      <c r="KBF24" s="497"/>
      <c r="KBG24" s="497"/>
      <c r="KBH24" s="497"/>
      <c r="KBI24" s="497"/>
      <c r="KBJ24" s="497"/>
      <c r="KBK24" s="497"/>
      <c r="KBL24" s="497"/>
      <c r="KBM24" s="497"/>
      <c r="KBN24" s="497"/>
      <c r="KBO24" s="497"/>
      <c r="KBP24" s="497"/>
      <c r="KBQ24" s="497"/>
      <c r="KBR24" s="497"/>
      <c r="KBS24" s="497"/>
      <c r="KBT24" s="497"/>
      <c r="KBU24" s="497"/>
      <c r="KBV24" s="497"/>
      <c r="KBW24" s="497"/>
      <c r="KBX24" s="497"/>
      <c r="KBY24" s="497"/>
      <c r="KBZ24" s="497"/>
      <c r="KCA24" s="497"/>
      <c r="KCB24" s="497"/>
      <c r="KCC24" s="497"/>
      <c r="KCD24" s="497"/>
      <c r="KCE24" s="497"/>
      <c r="KCF24" s="497"/>
      <c r="KCG24" s="497"/>
      <c r="KCH24" s="497"/>
      <c r="KCI24" s="497"/>
      <c r="KCJ24" s="497"/>
      <c r="KCK24" s="497"/>
      <c r="KCL24" s="497"/>
      <c r="KCM24" s="497"/>
      <c r="KCN24" s="497"/>
      <c r="KCO24" s="497"/>
      <c r="KCP24" s="497"/>
      <c r="KCQ24" s="497"/>
      <c r="KCR24" s="497"/>
      <c r="KCS24" s="497"/>
      <c r="KCT24" s="497"/>
      <c r="KCU24" s="497"/>
      <c r="KCV24" s="497"/>
      <c r="KCW24" s="497"/>
      <c r="KCX24" s="497"/>
      <c r="KCY24" s="497"/>
      <c r="KCZ24" s="497"/>
      <c r="KDA24" s="497"/>
      <c r="KDB24" s="497"/>
      <c r="KDC24" s="497"/>
      <c r="KDD24" s="497"/>
      <c r="KDE24" s="497"/>
      <c r="KDF24" s="497"/>
      <c r="KDG24" s="497"/>
      <c r="KDH24" s="497"/>
      <c r="KDI24" s="497"/>
      <c r="KDJ24" s="497"/>
      <c r="KDK24" s="497"/>
      <c r="KDL24" s="497"/>
      <c r="KDM24" s="497"/>
      <c r="KDN24" s="497"/>
      <c r="KDO24" s="497"/>
      <c r="KDP24" s="497"/>
      <c r="KDQ24" s="497"/>
      <c r="KDR24" s="497"/>
      <c r="KDS24" s="497"/>
      <c r="KDT24" s="497"/>
      <c r="KDU24" s="497"/>
      <c r="KDV24" s="497"/>
      <c r="KDW24" s="497"/>
      <c r="KDX24" s="497"/>
      <c r="KDY24" s="497"/>
      <c r="KDZ24" s="497"/>
      <c r="KEA24" s="497"/>
      <c r="KEB24" s="497"/>
      <c r="KEC24" s="497"/>
      <c r="KED24" s="497"/>
      <c r="KEE24" s="497"/>
      <c r="KEF24" s="497"/>
      <c r="KEG24" s="497"/>
      <c r="KEH24" s="497"/>
      <c r="KEI24" s="497"/>
      <c r="KEJ24" s="497"/>
      <c r="KEK24" s="497"/>
      <c r="KEL24" s="497"/>
      <c r="KEM24" s="497"/>
      <c r="KEN24" s="497"/>
      <c r="KEO24" s="497"/>
      <c r="KEP24" s="497"/>
      <c r="KEQ24" s="497"/>
      <c r="KER24" s="497"/>
      <c r="KES24" s="497"/>
      <c r="KET24" s="497"/>
      <c r="KEU24" s="497"/>
      <c r="KEV24" s="497"/>
      <c r="KEW24" s="497"/>
      <c r="KEX24" s="497"/>
      <c r="KEY24" s="497"/>
      <c r="KEZ24" s="497"/>
      <c r="KFA24" s="497"/>
      <c r="KFB24" s="497"/>
      <c r="KFC24" s="497"/>
      <c r="KFD24" s="497"/>
      <c r="KFE24" s="497"/>
      <c r="KFF24" s="497"/>
      <c r="KFG24" s="497"/>
      <c r="KFH24" s="497"/>
      <c r="KFI24" s="497"/>
      <c r="KFJ24" s="497"/>
      <c r="KFK24" s="497"/>
      <c r="KFL24" s="497"/>
      <c r="KFM24" s="497"/>
      <c r="KFN24" s="497"/>
      <c r="KFO24" s="497"/>
      <c r="KFP24" s="497"/>
      <c r="KFQ24" s="497"/>
      <c r="KFR24" s="497"/>
      <c r="KFS24" s="497"/>
      <c r="KFT24" s="497"/>
      <c r="KFU24" s="497"/>
      <c r="KFV24" s="497"/>
      <c r="KFW24" s="497"/>
      <c r="KFX24" s="497"/>
      <c r="KFY24" s="497"/>
      <c r="KFZ24" s="497"/>
      <c r="KGA24" s="497"/>
      <c r="KGB24" s="497"/>
      <c r="KGC24" s="497"/>
      <c r="KGD24" s="497"/>
      <c r="KGE24" s="497"/>
      <c r="KGF24" s="497"/>
      <c r="KGG24" s="497"/>
      <c r="KGH24" s="497"/>
      <c r="KGI24" s="497"/>
      <c r="KGJ24" s="497"/>
      <c r="KGK24" s="497"/>
      <c r="KGL24" s="497"/>
      <c r="KGM24" s="497"/>
      <c r="KGN24" s="497"/>
      <c r="KGO24" s="497"/>
      <c r="KGP24" s="497"/>
      <c r="KGQ24" s="497"/>
      <c r="KGR24" s="497"/>
      <c r="KGS24" s="497"/>
      <c r="KGT24" s="497"/>
      <c r="KGU24" s="497"/>
      <c r="KGV24" s="497"/>
      <c r="KGW24" s="497"/>
      <c r="KGX24" s="497"/>
      <c r="KGY24" s="497"/>
      <c r="KGZ24" s="497"/>
      <c r="KHA24" s="497"/>
      <c r="KHB24" s="497"/>
      <c r="KHC24" s="497"/>
      <c r="KHD24" s="497"/>
      <c r="KHE24" s="497"/>
      <c r="KHF24" s="497"/>
      <c r="KHG24" s="497"/>
      <c r="KHH24" s="497"/>
      <c r="KHI24" s="497"/>
      <c r="KHJ24" s="497"/>
      <c r="KHK24" s="497"/>
      <c r="KHL24" s="497"/>
      <c r="KHM24" s="497"/>
      <c r="KHN24" s="497"/>
      <c r="KHO24" s="497"/>
      <c r="KHP24" s="497"/>
      <c r="KHQ24" s="497"/>
      <c r="KHR24" s="497"/>
      <c r="KHS24" s="497"/>
      <c r="KHT24" s="497"/>
      <c r="KHU24" s="497"/>
      <c r="KHV24" s="497"/>
      <c r="KHW24" s="497"/>
      <c r="KHX24" s="497"/>
      <c r="KHY24" s="497"/>
      <c r="KHZ24" s="497"/>
      <c r="KIA24" s="497"/>
      <c r="KIB24" s="497"/>
      <c r="KIC24" s="497"/>
      <c r="KID24" s="497"/>
      <c r="KIE24" s="497"/>
      <c r="KIF24" s="497"/>
      <c r="KIG24" s="497"/>
      <c r="KIH24" s="497"/>
      <c r="KII24" s="497"/>
      <c r="KIJ24" s="497"/>
      <c r="KIK24" s="497"/>
      <c r="KIL24" s="497"/>
      <c r="KIM24" s="497"/>
      <c r="KIN24" s="497"/>
      <c r="KIO24" s="497"/>
      <c r="KIP24" s="497"/>
      <c r="KIQ24" s="497"/>
      <c r="KIR24" s="497"/>
      <c r="KIS24" s="497"/>
      <c r="KIT24" s="497"/>
      <c r="KIU24" s="497"/>
      <c r="KIV24" s="497"/>
      <c r="KIW24" s="497"/>
      <c r="KIX24" s="497"/>
      <c r="KIY24" s="497"/>
      <c r="KIZ24" s="497"/>
      <c r="KJA24" s="497"/>
      <c r="KJB24" s="497"/>
      <c r="KJC24" s="497"/>
      <c r="KJD24" s="497"/>
      <c r="KJE24" s="497"/>
      <c r="KJF24" s="497"/>
      <c r="KJG24" s="497"/>
      <c r="KJH24" s="497"/>
      <c r="KJI24" s="497"/>
      <c r="KJJ24" s="497"/>
      <c r="KJK24" s="497"/>
      <c r="KJL24" s="497"/>
      <c r="KJM24" s="497"/>
      <c r="KJN24" s="497"/>
      <c r="KJO24" s="497"/>
      <c r="KJP24" s="497"/>
      <c r="KJQ24" s="497"/>
      <c r="KJR24" s="497"/>
      <c r="KJS24" s="497"/>
      <c r="KJT24" s="497"/>
      <c r="KJU24" s="497"/>
      <c r="KJV24" s="497"/>
      <c r="KJW24" s="497"/>
      <c r="KJX24" s="497"/>
      <c r="KJY24" s="497"/>
      <c r="KJZ24" s="497"/>
      <c r="KKA24" s="497"/>
      <c r="KKB24" s="497"/>
      <c r="KKC24" s="497"/>
      <c r="KKD24" s="497"/>
      <c r="KKE24" s="497"/>
      <c r="KKF24" s="497"/>
      <c r="KKG24" s="497"/>
      <c r="KKH24" s="497"/>
      <c r="KKI24" s="497"/>
      <c r="KKJ24" s="497"/>
      <c r="KKK24" s="497"/>
      <c r="KKL24" s="497"/>
      <c r="KKM24" s="497"/>
      <c r="KKN24" s="497"/>
      <c r="KKO24" s="497"/>
      <c r="KKP24" s="497"/>
      <c r="KKQ24" s="497"/>
      <c r="KKR24" s="497"/>
      <c r="KKS24" s="497"/>
      <c r="KKT24" s="497"/>
      <c r="KKU24" s="497"/>
      <c r="KKV24" s="497"/>
      <c r="KKW24" s="497"/>
      <c r="KKX24" s="497"/>
      <c r="KKY24" s="497"/>
      <c r="KKZ24" s="497"/>
      <c r="KLA24" s="497"/>
      <c r="KLB24" s="497"/>
      <c r="KLC24" s="497"/>
      <c r="KLD24" s="497"/>
      <c r="KLE24" s="497"/>
      <c r="KLF24" s="497"/>
      <c r="KLG24" s="497"/>
      <c r="KLH24" s="497"/>
      <c r="KLI24" s="497"/>
      <c r="KLJ24" s="497"/>
      <c r="KLK24" s="497"/>
      <c r="KLL24" s="497"/>
      <c r="KLM24" s="497"/>
      <c r="KLN24" s="497"/>
      <c r="KLO24" s="497"/>
      <c r="KLP24" s="497"/>
      <c r="KLQ24" s="497"/>
      <c r="KLR24" s="497"/>
      <c r="KLS24" s="497"/>
      <c r="KLT24" s="497"/>
      <c r="KLU24" s="497"/>
      <c r="KLV24" s="497"/>
      <c r="KLW24" s="497"/>
      <c r="KLX24" s="497"/>
      <c r="KLY24" s="497"/>
      <c r="KLZ24" s="497"/>
      <c r="KMA24" s="497"/>
      <c r="KMB24" s="497"/>
      <c r="KMC24" s="497"/>
      <c r="KMD24" s="497"/>
      <c r="KME24" s="497"/>
      <c r="KMF24" s="497"/>
      <c r="KMG24" s="497"/>
      <c r="KMH24" s="497"/>
      <c r="KMI24" s="497"/>
      <c r="KMJ24" s="497"/>
      <c r="KMK24" s="497"/>
      <c r="KML24" s="497"/>
      <c r="KMM24" s="497"/>
      <c r="KMN24" s="497"/>
      <c r="KMO24" s="497"/>
      <c r="KMP24" s="497"/>
      <c r="KMQ24" s="497"/>
      <c r="KMR24" s="497"/>
      <c r="KMS24" s="497"/>
      <c r="KMT24" s="497"/>
      <c r="KMU24" s="497"/>
      <c r="KMV24" s="497"/>
      <c r="KMW24" s="497"/>
      <c r="KMX24" s="497"/>
      <c r="KMY24" s="497"/>
      <c r="KMZ24" s="497"/>
      <c r="KNA24" s="497"/>
      <c r="KNB24" s="497"/>
      <c r="KNC24" s="497"/>
      <c r="KND24" s="497"/>
      <c r="KNE24" s="497"/>
      <c r="KNF24" s="497"/>
      <c r="KNG24" s="497"/>
      <c r="KNH24" s="497"/>
      <c r="KNI24" s="497"/>
      <c r="KNJ24" s="497"/>
      <c r="KNK24" s="497"/>
      <c r="KNL24" s="497"/>
      <c r="KNM24" s="497"/>
      <c r="KNN24" s="497"/>
      <c r="KNO24" s="497"/>
      <c r="KNP24" s="497"/>
      <c r="KNQ24" s="497"/>
      <c r="KNR24" s="497"/>
      <c r="KNS24" s="497"/>
      <c r="KNT24" s="497"/>
      <c r="KNU24" s="497"/>
      <c r="KNV24" s="497"/>
      <c r="KNW24" s="497"/>
      <c r="KNX24" s="497"/>
      <c r="KNY24" s="497"/>
      <c r="KNZ24" s="497"/>
      <c r="KOA24" s="497"/>
      <c r="KOB24" s="497"/>
      <c r="KOC24" s="497"/>
      <c r="KOD24" s="497"/>
      <c r="KOE24" s="497"/>
      <c r="KOF24" s="497"/>
      <c r="KOG24" s="497"/>
      <c r="KOH24" s="497"/>
      <c r="KOI24" s="497"/>
      <c r="KOJ24" s="497"/>
      <c r="KOK24" s="497"/>
      <c r="KOL24" s="497"/>
      <c r="KOM24" s="497"/>
      <c r="KON24" s="497"/>
      <c r="KOO24" s="497"/>
      <c r="KOP24" s="497"/>
      <c r="KOQ24" s="497"/>
      <c r="KOR24" s="497"/>
      <c r="KOS24" s="497"/>
      <c r="KOT24" s="497"/>
      <c r="KOU24" s="497"/>
      <c r="KOV24" s="497"/>
      <c r="KOW24" s="497"/>
      <c r="KOX24" s="497"/>
      <c r="KOY24" s="497"/>
      <c r="KOZ24" s="497"/>
      <c r="KPA24" s="497"/>
      <c r="KPB24" s="497"/>
      <c r="KPC24" s="497"/>
      <c r="KPD24" s="497"/>
      <c r="KPE24" s="497"/>
      <c r="KPF24" s="497"/>
      <c r="KPG24" s="497"/>
      <c r="KPH24" s="497"/>
      <c r="KPI24" s="497"/>
      <c r="KPJ24" s="497"/>
      <c r="KPK24" s="497"/>
      <c r="KPL24" s="497"/>
      <c r="KPM24" s="497"/>
      <c r="KPN24" s="497"/>
      <c r="KPO24" s="497"/>
      <c r="KPP24" s="497"/>
      <c r="KPQ24" s="497"/>
      <c r="KPR24" s="497"/>
      <c r="KPS24" s="497"/>
      <c r="KPT24" s="497"/>
      <c r="KPU24" s="497"/>
      <c r="KPV24" s="497"/>
      <c r="KPW24" s="497"/>
      <c r="KPX24" s="497"/>
      <c r="KPY24" s="497"/>
      <c r="KPZ24" s="497"/>
      <c r="KQA24" s="497"/>
      <c r="KQB24" s="497"/>
      <c r="KQC24" s="497"/>
      <c r="KQD24" s="497"/>
      <c r="KQE24" s="497"/>
      <c r="KQF24" s="497"/>
      <c r="KQG24" s="497"/>
      <c r="KQH24" s="497"/>
      <c r="KQI24" s="497"/>
      <c r="KQJ24" s="497"/>
      <c r="KQK24" s="497"/>
      <c r="KQL24" s="497"/>
      <c r="KQM24" s="497"/>
      <c r="KQN24" s="497"/>
      <c r="KQO24" s="497"/>
      <c r="KQP24" s="497"/>
      <c r="KQQ24" s="497"/>
      <c r="KQR24" s="497"/>
      <c r="KQS24" s="497"/>
      <c r="KQT24" s="497"/>
      <c r="KQU24" s="497"/>
      <c r="KQV24" s="497"/>
      <c r="KQW24" s="497"/>
      <c r="KQX24" s="497"/>
      <c r="KQY24" s="497"/>
      <c r="KQZ24" s="497"/>
      <c r="KRA24" s="497"/>
      <c r="KRB24" s="497"/>
      <c r="KRC24" s="497"/>
      <c r="KRD24" s="497"/>
      <c r="KRE24" s="497"/>
      <c r="KRF24" s="497"/>
      <c r="KRG24" s="497"/>
      <c r="KRH24" s="497"/>
      <c r="KRI24" s="497"/>
      <c r="KRJ24" s="497"/>
      <c r="KRK24" s="497"/>
      <c r="KRL24" s="497"/>
      <c r="KRM24" s="497"/>
      <c r="KRN24" s="497"/>
      <c r="KRO24" s="497"/>
      <c r="KRP24" s="497"/>
      <c r="KRQ24" s="497"/>
      <c r="KRR24" s="497"/>
      <c r="KRS24" s="497"/>
      <c r="KRT24" s="497"/>
      <c r="KRU24" s="497"/>
      <c r="KRV24" s="497"/>
      <c r="KRW24" s="497"/>
      <c r="KRX24" s="497"/>
      <c r="KRY24" s="497"/>
      <c r="KRZ24" s="497"/>
      <c r="KSA24" s="497"/>
      <c r="KSB24" s="497"/>
      <c r="KSC24" s="497"/>
      <c r="KSD24" s="497"/>
      <c r="KSE24" s="497"/>
      <c r="KSF24" s="497"/>
      <c r="KSG24" s="497"/>
      <c r="KSH24" s="497"/>
      <c r="KSI24" s="497"/>
      <c r="KSJ24" s="497"/>
      <c r="KSK24" s="497"/>
      <c r="KSL24" s="497"/>
      <c r="KSM24" s="497"/>
      <c r="KSN24" s="497"/>
      <c r="KSO24" s="497"/>
      <c r="KSP24" s="497"/>
      <c r="KSQ24" s="497"/>
      <c r="KSR24" s="497"/>
      <c r="KSS24" s="497"/>
      <c r="KST24" s="497"/>
      <c r="KSU24" s="497"/>
      <c r="KSV24" s="497"/>
      <c r="KSW24" s="497"/>
      <c r="KSX24" s="497"/>
      <c r="KSY24" s="497"/>
      <c r="KSZ24" s="497"/>
      <c r="KTA24" s="497"/>
      <c r="KTB24" s="497"/>
      <c r="KTC24" s="497"/>
      <c r="KTD24" s="497"/>
      <c r="KTE24" s="497"/>
      <c r="KTF24" s="497"/>
      <c r="KTG24" s="497"/>
      <c r="KTH24" s="497"/>
      <c r="KTI24" s="497"/>
      <c r="KTJ24" s="497"/>
      <c r="KTK24" s="497"/>
      <c r="KTL24" s="497"/>
      <c r="KTM24" s="497"/>
      <c r="KTN24" s="497"/>
      <c r="KTO24" s="497"/>
      <c r="KTP24" s="497"/>
      <c r="KTQ24" s="497"/>
      <c r="KTR24" s="497"/>
      <c r="KTS24" s="497"/>
      <c r="KTT24" s="497"/>
      <c r="KTU24" s="497"/>
      <c r="KTV24" s="497"/>
      <c r="KTW24" s="497"/>
      <c r="KTX24" s="497"/>
      <c r="KTY24" s="497"/>
      <c r="KTZ24" s="497"/>
      <c r="KUA24" s="497"/>
      <c r="KUB24" s="497"/>
      <c r="KUC24" s="497"/>
      <c r="KUD24" s="497"/>
      <c r="KUE24" s="497"/>
      <c r="KUF24" s="497"/>
      <c r="KUG24" s="497"/>
      <c r="KUH24" s="497"/>
      <c r="KUI24" s="497"/>
      <c r="KUJ24" s="497"/>
      <c r="KUK24" s="497"/>
      <c r="KUL24" s="497"/>
      <c r="KUM24" s="497"/>
      <c r="KUN24" s="497"/>
      <c r="KUO24" s="497"/>
      <c r="KUP24" s="497"/>
      <c r="KUQ24" s="497"/>
      <c r="KUR24" s="497"/>
      <c r="KUS24" s="497"/>
      <c r="KUT24" s="497"/>
      <c r="KUU24" s="497"/>
      <c r="KUV24" s="497"/>
      <c r="KUW24" s="497"/>
      <c r="KUX24" s="497"/>
      <c r="KUY24" s="497"/>
      <c r="KUZ24" s="497"/>
      <c r="KVA24" s="497"/>
      <c r="KVB24" s="497"/>
      <c r="KVC24" s="497"/>
      <c r="KVD24" s="497"/>
      <c r="KVE24" s="497"/>
      <c r="KVF24" s="497"/>
      <c r="KVG24" s="497"/>
      <c r="KVH24" s="497"/>
      <c r="KVI24" s="497"/>
      <c r="KVJ24" s="497"/>
      <c r="KVK24" s="497"/>
      <c r="KVL24" s="497"/>
      <c r="KVM24" s="497"/>
      <c r="KVN24" s="497"/>
      <c r="KVO24" s="497"/>
      <c r="KVP24" s="497"/>
      <c r="KVQ24" s="497"/>
      <c r="KVR24" s="497"/>
      <c r="KVS24" s="497"/>
      <c r="KVT24" s="497"/>
      <c r="KVU24" s="497"/>
      <c r="KVV24" s="497"/>
      <c r="KVW24" s="497"/>
      <c r="KVX24" s="497"/>
      <c r="KVY24" s="497"/>
      <c r="KVZ24" s="497"/>
      <c r="KWA24" s="497"/>
      <c r="KWB24" s="497"/>
      <c r="KWC24" s="497"/>
      <c r="KWD24" s="497"/>
      <c r="KWE24" s="497"/>
      <c r="KWF24" s="497"/>
      <c r="KWG24" s="497"/>
      <c r="KWH24" s="497"/>
      <c r="KWI24" s="497"/>
      <c r="KWJ24" s="497"/>
      <c r="KWK24" s="497"/>
      <c r="KWL24" s="497"/>
      <c r="KWM24" s="497"/>
      <c r="KWN24" s="497"/>
      <c r="KWO24" s="497"/>
      <c r="KWP24" s="497"/>
      <c r="KWQ24" s="497"/>
      <c r="KWR24" s="497"/>
      <c r="KWS24" s="497"/>
      <c r="KWT24" s="497"/>
      <c r="KWU24" s="497"/>
      <c r="KWV24" s="497"/>
      <c r="KWW24" s="497"/>
      <c r="KWX24" s="497"/>
      <c r="KWY24" s="497"/>
      <c r="KWZ24" s="497"/>
      <c r="KXA24" s="497"/>
      <c r="KXB24" s="497"/>
      <c r="KXC24" s="497"/>
      <c r="KXD24" s="497"/>
      <c r="KXE24" s="497"/>
      <c r="KXF24" s="497"/>
      <c r="KXG24" s="497"/>
      <c r="KXH24" s="497"/>
      <c r="KXI24" s="497"/>
      <c r="KXJ24" s="497"/>
      <c r="KXK24" s="497"/>
      <c r="KXL24" s="497"/>
      <c r="KXM24" s="497"/>
      <c r="KXN24" s="497"/>
      <c r="KXO24" s="497"/>
      <c r="KXP24" s="497"/>
      <c r="KXQ24" s="497"/>
      <c r="KXR24" s="497"/>
      <c r="KXS24" s="497"/>
      <c r="KXT24" s="497"/>
      <c r="KXU24" s="497"/>
      <c r="KXV24" s="497"/>
      <c r="KXW24" s="497"/>
      <c r="KXX24" s="497"/>
      <c r="KXY24" s="497"/>
      <c r="KXZ24" s="497"/>
      <c r="KYA24" s="497"/>
      <c r="KYB24" s="497"/>
      <c r="KYC24" s="497"/>
      <c r="KYD24" s="497"/>
      <c r="KYE24" s="497"/>
      <c r="KYF24" s="497"/>
      <c r="KYG24" s="497"/>
      <c r="KYH24" s="497"/>
      <c r="KYI24" s="497"/>
      <c r="KYJ24" s="497"/>
      <c r="KYK24" s="497"/>
      <c r="KYL24" s="497"/>
      <c r="KYM24" s="497"/>
      <c r="KYN24" s="497"/>
      <c r="KYO24" s="497"/>
      <c r="KYP24" s="497"/>
      <c r="KYQ24" s="497"/>
      <c r="KYR24" s="497"/>
      <c r="KYS24" s="497"/>
      <c r="KYT24" s="497"/>
      <c r="KYU24" s="497"/>
      <c r="KYV24" s="497"/>
      <c r="KYW24" s="497"/>
      <c r="KYX24" s="497"/>
      <c r="KYY24" s="497"/>
      <c r="KYZ24" s="497"/>
      <c r="KZA24" s="497"/>
      <c r="KZB24" s="497"/>
      <c r="KZC24" s="497"/>
      <c r="KZD24" s="497"/>
      <c r="KZE24" s="497"/>
      <c r="KZF24" s="497"/>
      <c r="KZG24" s="497"/>
      <c r="KZH24" s="497"/>
      <c r="KZI24" s="497"/>
      <c r="KZJ24" s="497"/>
      <c r="KZK24" s="497"/>
      <c r="KZL24" s="497"/>
      <c r="KZM24" s="497"/>
      <c r="KZN24" s="497"/>
      <c r="KZO24" s="497"/>
      <c r="KZP24" s="497"/>
      <c r="KZQ24" s="497"/>
      <c r="KZR24" s="497"/>
      <c r="KZS24" s="497"/>
      <c r="KZT24" s="497"/>
      <c r="KZU24" s="497"/>
      <c r="KZV24" s="497"/>
      <c r="KZW24" s="497"/>
      <c r="KZX24" s="497"/>
      <c r="KZY24" s="497"/>
      <c r="KZZ24" s="497"/>
      <c r="LAA24" s="497"/>
      <c r="LAB24" s="497"/>
      <c r="LAC24" s="497"/>
      <c r="LAD24" s="497"/>
      <c r="LAE24" s="497"/>
      <c r="LAF24" s="497"/>
      <c r="LAG24" s="497"/>
      <c r="LAH24" s="497"/>
      <c r="LAI24" s="497"/>
      <c r="LAJ24" s="497"/>
      <c r="LAK24" s="497"/>
      <c r="LAL24" s="497"/>
      <c r="LAM24" s="497"/>
      <c r="LAN24" s="497"/>
      <c r="LAO24" s="497"/>
      <c r="LAP24" s="497"/>
      <c r="LAQ24" s="497"/>
      <c r="LAR24" s="497"/>
      <c r="LAS24" s="497"/>
      <c r="LAT24" s="497"/>
      <c r="LAU24" s="497"/>
      <c r="LAV24" s="497"/>
      <c r="LAW24" s="497"/>
      <c r="LAX24" s="497"/>
      <c r="LAY24" s="497"/>
      <c r="LAZ24" s="497"/>
      <c r="LBA24" s="497"/>
      <c r="LBB24" s="497"/>
      <c r="LBC24" s="497"/>
      <c r="LBD24" s="497"/>
      <c r="LBE24" s="497"/>
      <c r="LBF24" s="497"/>
      <c r="LBG24" s="497"/>
      <c r="LBH24" s="497"/>
      <c r="LBI24" s="497"/>
      <c r="LBJ24" s="497"/>
      <c r="LBK24" s="497"/>
      <c r="LBL24" s="497"/>
      <c r="LBM24" s="497"/>
      <c r="LBN24" s="497"/>
      <c r="LBO24" s="497"/>
      <c r="LBP24" s="497"/>
      <c r="LBQ24" s="497"/>
      <c r="LBR24" s="497"/>
      <c r="LBS24" s="497"/>
      <c r="LBT24" s="497"/>
      <c r="LBU24" s="497"/>
      <c r="LBV24" s="497"/>
      <c r="LBW24" s="497"/>
      <c r="LBX24" s="497"/>
      <c r="LBY24" s="497"/>
      <c r="LBZ24" s="497"/>
      <c r="LCA24" s="497"/>
      <c r="LCB24" s="497"/>
      <c r="LCC24" s="497"/>
      <c r="LCD24" s="497"/>
      <c r="LCE24" s="497"/>
      <c r="LCF24" s="497"/>
      <c r="LCG24" s="497"/>
      <c r="LCH24" s="497"/>
      <c r="LCI24" s="497"/>
      <c r="LCJ24" s="497"/>
      <c r="LCK24" s="497"/>
      <c r="LCL24" s="497"/>
      <c r="LCM24" s="497"/>
      <c r="LCN24" s="497"/>
      <c r="LCO24" s="497"/>
      <c r="LCP24" s="497"/>
      <c r="LCQ24" s="497"/>
      <c r="LCR24" s="497"/>
      <c r="LCS24" s="497"/>
      <c r="LCT24" s="497"/>
      <c r="LCU24" s="497"/>
      <c r="LCV24" s="497"/>
      <c r="LCW24" s="497"/>
      <c r="LCX24" s="497"/>
      <c r="LCY24" s="497"/>
      <c r="LCZ24" s="497"/>
      <c r="LDA24" s="497"/>
      <c r="LDB24" s="497"/>
      <c r="LDC24" s="497"/>
      <c r="LDD24" s="497"/>
      <c r="LDE24" s="497"/>
      <c r="LDF24" s="497"/>
      <c r="LDG24" s="497"/>
      <c r="LDH24" s="497"/>
      <c r="LDI24" s="497"/>
      <c r="LDJ24" s="497"/>
      <c r="LDK24" s="497"/>
      <c r="LDL24" s="497"/>
      <c r="LDM24" s="497"/>
      <c r="LDN24" s="497"/>
      <c r="LDO24" s="497"/>
      <c r="LDP24" s="497"/>
      <c r="LDQ24" s="497"/>
      <c r="LDR24" s="497"/>
      <c r="LDS24" s="497"/>
      <c r="LDT24" s="497"/>
      <c r="LDU24" s="497"/>
      <c r="LDV24" s="497"/>
      <c r="LDW24" s="497"/>
      <c r="LDX24" s="497"/>
      <c r="LDY24" s="497"/>
      <c r="LDZ24" s="497"/>
      <c r="LEA24" s="497"/>
      <c r="LEB24" s="497"/>
      <c r="LEC24" s="497"/>
      <c r="LED24" s="497"/>
      <c r="LEE24" s="497"/>
      <c r="LEF24" s="497"/>
      <c r="LEG24" s="497"/>
      <c r="LEH24" s="497"/>
      <c r="LEI24" s="497"/>
      <c r="LEJ24" s="497"/>
      <c r="LEK24" s="497"/>
      <c r="LEL24" s="497"/>
      <c r="LEM24" s="497"/>
      <c r="LEN24" s="497"/>
      <c r="LEO24" s="497"/>
      <c r="LEP24" s="497"/>
      <c r="LEQ24" s="497"/>
      <c r="LER24" s="497"/>
      <c r="LES24" s="497"/>
      <c r="LET24" s="497"/>
      <c r="LEU24" s="497"/>
      <c r="LEV24" s="497"/>
      <c r="LEW24" s="497"/>
      <c r="LEX24" s="497"/>
      <c r="LEY24" s="497"/>
      <c r="LEZ24" s="497"/>
      <c r="LFA24" s="497"/>
      <c r="LFB24" s="497"/>
      <c r="LFC24" s="497"/>
      <c r="LFD24" s="497"/>
      <c r="LFE24" s="497"/>
      <c r="LFF24" s="497"/>
      <c r="LFG24" s="497"/>
      <c r="LFH24" s="497"/>
      <c r="LFI24" s="497"/>
      <c r="LFJ24" s="497"/>
      <c r="LFK24" s="497"/>
      <c r="LFL24" s="497"/>
      <c r="LFM24" s="497"/>
      <c r="LFN24" s="497"/>
      <c r="LFO24" s="497"/>
      <c r="LFP24" s="497"/>
      <c r="LFQ24" s="497"/>
      <c r="LFR24" s="497"/>
      <c r="LFS24" s="497"/>
      <c r="LFT24" s="497"/>
      <c r="LFU24" s="497"/>
      <c r="LFV24" s="497"/>
      <c r="LFW24" s="497"/>
      <c r="LFX24" s="497"/>
      <c r="LFY24" s="497"/>
      <c r="LFZ24" s="497"/>
      <c r="LGA24" s="497"/>
      <c r="LGB24" s="497"/>
      <c r="LGC24" s="497"/>
      <c r="LGD24" s="497"/>
      <c r="LGE24" s="497"/>
      <c r="LGF24" s="497"/>
      <c r="LGG24" s="497"/>
      <c r="LGH24" s="497"/>
      <c r="LGI24" s="497"/>
      <c r="LGJ24" s="497"/>
      <c r="LGK24" s="497"/>
      <c r="LGL24" s="497"/>
      <c r="LGM24" s="497"/>
      <c r="LGN24" s="497"/>
      <c r="LGO24" s="497"/>
      <c r="LGP24" s="497"/>
      <c r="LGQ24" s="497"/>
      <c r="LGR24" s="497"/>
      <c r="LGS24" s="497"/>
      <c r="LGT24" s="497"/>
      <c r="LGU24" s="497"/>
      <c r="LGV24" s="497"/>
      <c r="LGW24" s="497"/>
      <c r="LGX24" s="497"/>
      <c r="LGY24" s="497"/>
      <c r="LGZ24" s="497"/>
      <c r="LHA24" s="497"/>
      <c r="LHB24" s="497"/>
      <c r="LHC24" s="497"/>
      <c r="LHD24" s="497"/>
      <c r="LHE24" s="497"/>
      <c r="LHF24" s="497"/>
      <c r="LHG24" s="497"/>
      <c r="LHH24" s="497"/>
      <c r="LHI24" s="497"/>
      <c r="LHJ24" s="497"/>
      <c r="LHK24" s="497"/>
      <c r="LHL24" s="497"/>
      <c r="LHM24" s="497"/>
      <c r="LHN24" s="497"/>
      <c r="LHO24" s="497"/>
      <c r="LHP24" s="497"/>
      <c r="LHQ24" s="497"/>
      <c r="LHR24" s="497"/>
      <c r="LHS24" s="497"/>
      <c r="LHT24" s="497"/>
      <c r="LHU24" s="497"/>
      <c r="LHV24" s="497"/>
      <c r="LHW24" s="497"/>
      <c r="LHX24" s="497"/>
      <c r="LHY24" s="497"/>
      <c r="LHZ24" s="497"/>
      <c r="LIA24" s="497"/>
      <c r="LIB24" s="497"/>
      <c r="LIC24" s="497"/>
      <c r="LID24" s="497"/>
      <c r="LIE24" s="497"/>
      <c r="LIF24" s="497"/>
      <c r="LIG24" s="497"/>
      <c r="LIH24" s="497"/>
      <c r="LII24" s="497"/>
      <c r="LIJ24" s="497"/>
      <c r="LIK24" s="497"/>
      <c r="LIL24" s="497"/>
      <c r="LIM24" s="497"/>
      <c r="LIN24" s="497"/>
      <c r="LIO24" s="497"/>
      <c r="LIP24" s="497"/>
      <c r="LIQ24" s="497"/>
      <c r="LIR24" s="497"/>
      <c r="LIS24" s="497"/>
      <c r="LIT24" s="497"/>
      <c r="LIU24" s="497"/>
      <c r="LIV24" s="497"/>
      <c r="LIW24" s="497"/>
      <c r="LIX24" s="497"/>
      <c r="LIY24" s="497"/>
      <c r="LIZ24" s="497"/>
      <c r="LJA24" s="497"/>
      <c r="LJB24" s="497"/>
      <c r="LJC24" s="497"/>
      <c r="LJD24" s="497"/>
      <c r="LJE24" s="497"/>
      <c r="LJF24" s="497"/>
      <c r="LJG24" s="497"/>
      <c r="LJH24" s="497"/>
      <c r="LJI24" s="497"/>
      <c r="LJJ24" s="497"/>
      <c r="LJK24" s="497"/>
      <c r="LJL24" s="497"/>
      <c r="LJM24" s="497"/>
      <c r="LJN24" s="497"/>
      <c r="LJO24" s="497"/>
      <c r="LJP24" s="497"/>
      <c r="LJQ24" s="497"/>
      <c r="LJR24" s="497"/>
      <c r="LJS24" s="497"/>
      <c r="LJT24" s="497"/>
      <c r="LJU24" s="497"/>
      <c r="LJV24" s="497"/>
      <c r="LJW24" s="497"/>
      <c r="LJX24" s="497"/>
      <c r="LJY24" s="497"/>
      <c r="LJZ24" s="497"/>
      <c r="LKA24" s="497"/>
      <c r="LKB24" s="497"/>
      <c r="LKC24" s="497"/>
      <c r="LKD24" s="497"/>
      <c r="LKE24" s="497"/>
      <c r="LKF24" s="497"/>
      <c r="LKG24" s="497"/>
      <c r="LKH24" s="497"/>
      <c r="LKI24" s="497"/>
      <c r="LKJ24" s="497"/>
      <c r="LKK24" s="497"/>
      <c r="LKL24" s="497"/>
      <c r="LKM24" s="497"/>
      <c r="LKN24" s="497"/>
      <c r="LKO24" s="497"/>
      <c r="LKP24" s="497"/>
      <c r="LKQ24" s="497"/>
      <c r="LKR24" s="497"/>
      <c r="LKS24" s="497"/>
      <c r="LKT24" s="497"/>
      <c r="LKU24" s="497"/>
      <c r="LKV24" s="497"/>
      <c r="LKW24" s="497"/>
      <c r="LKX24" s="497"/>
      <c r="LKY24" s="497"/>
      <c r="LKZ24" s="497"/>
      <c r="LLA24" s="497"/>
      <c r="LLB24" s="497"/>
      <c r="LLC24" s="497"/>
      <c r="LLD24" s="497"/>
      <c r="LLE24" s="497"/>
      <c r="LLF24" s="497"/>
      <c r="LLG24" s="497"/>
      <c r="LLH24" s="497"/>
      <c r="LLI24" s="497"/>
      <c r="LLJ24" s="497"/>
      <c r="LLK24" s="497"/>
      <c r="LLL24" s="497"/>
      <c r="LLM24" s="497"/>
      <c r="LLN24" s="497"/>
      <c r="LLO24" s="497"/>
      <c r="LLP24" s="497"/>
      <c r="LLQ24" s="497"/>
      <c r="LLR24" s="497"/>
      <c r="LLS24" s="497"/>
      <c r="LLT24" s="497"/>
      <c r="LLU24" s="497"/>
      <c r="LLV24" s="497"/>
      <c r="LLW24" s="497"/>
      <c r="LLX24" s="497"/>
      <c r="LLY24" s="497"/>
      <c r="LLZ24" s="497"/>
      <c r="LMA24" s="497"/>
      <c r="LMB24" s="497"/>
      <c r="LMC24" s="497"/>
      <c r="LMD24" s="497"/>
      <c r="LME24" s="497"/>
      <c r="LMF24" s="497"/>
      <c r="LMG24" s="497"/>
      <c r="LMH24" s="497"/>
      <c r="LMI24" s="497"/>
      <c r="LMJ24" s="497"/>
      <c r="LMK24" s="497"/>
      <c r="LML24" s="497"/>
      <c r="LMM24" s="497"/>
      <c r="LMN24" s="497"/>
      <c r="LMO24" s="497"/>
      <c r="LMP24" s="497"/>
      <c r="LMQ24" s="497"/>
      <c r="LMR24" s="497"/>
      <c r="LMS24" s="497"/>
      <c r="LMT24" s="497"/>
      <c r="LMU24" s="497"/>
      <c r="LMV24" s="497"/>
      <c r="LMW24" s="497"/>
      <c r="LMX24" s="497"/>
      <c r="LMY24" s="497"/>
      <c r="LMZ24" s="497"/>
      <c r="LNA24" s="497"/>
      <c r="LNB24" s="497"/>
      <c r="LNC24" s="497"/>
      <c r="LND24" s="497"/>
      <c r="LNE24" s="497"/>
      <c r="LNF24" s="497"/>
      <c r="LNG24" s="497"/>
      <c r="LNH24" s="497"/>
      <c r="LNI24" s="497"/>
      <c r="LNJ24" s="497"/>
      <c r="LNK24" s="497"/>
      <c r="LNL24" s="497"/>
      <c r="LNM24" s="497"/>
      <c r="LNN24" s="497"/>
      <c r="LNO24" s="497"/>
      <c r="LNP24" s="497"/>
      <c r="LNQ24" s="497"/>
      <c r="LNR24" s="497"/>
      <c r="LNS24" s="497"/>
      <c r="LNT24" s="497"/>
      <c r="LNU24" s="497"/>
      <c r="LNV24" s="497"/>
      <c r="LNW24" s="497"/>
      <c r="LNX24" s="497"/>
      <c r="LNY24" s="497"/>
      <c r="LNZ24" s="497"/>
      <c r="LOA24" s="497"/>
      <c r="LOB24" s="497"/>
      <c r="LOC24" s="497"/>
      <c r="LOD24" s="497"/>
      <c r="LOE24" s="497"/>
      <c r="LOF24" s="497"/>
      <c r="LOG24" s="497"/>
      <c r="LOH24" s="497"/>
      <c r="LOI24" s="497"/>
      <c r="LOJ24" s="497"/>
      <c r="LOK24" s="497"/>
      <c r="LOL24" s="497"/>
      <c r="LOM24" s="497"/>
      <c r="LON24" s="497"/>
      <c r="LOO24" s="497"/>
      <c r="LOP24" s="497"/>
      <c r="LOQ24" s="497"/>
      <c r="LOR24" s="497"/>
      <c r="LOS24" s="497"/>
      <c r="LOT24" s="497"/>
      <c r="LOU24" s="497"/>
      <c r="LOV24" s="497"/>
      <c r="LOW24" s="497"/>
      <c r="LOX24" s="497"/>
      <c r="LOY24" s="497"/>
      <c r="LOZ24" s="497"/>
      <c r="LPA24" s="497"/>
      <c r="LPB24" s="497"/>
      <c r="LPC24" s="497"/>
      <c r="LPD24" s="497"/>
      <c r="LPE24" s="497"/>
      <c r="LPF24" s="497"/>
      <c r="LPG24" s="497"/>
      <c r="LPH24" s="497"/>
      <c r="LPI24" s="497"/>
      <c r="LPJ24" s="497"/>
      <c r="LPK24" s="497"/>
      <c r="LPL24" s="497"/>
      <c r="LPM24" s="497"/>
      <c r="LPN24" s="497"/>
      <c r="LPO24" s="497"/>
      <c r="LPP24" s="497"/>
      <c r="LPQ24" s="497"/>
      <c r="LPR24" s="497"/>
      <c r="LPS24" s="497"/>
      <c r="LPT24" s="497"/>
      <c r="LPU24" s="497"/>
      <c r="LPV24" s="497"/>
      <c r="LPW24" s="497"/>
      <c r="LPX24" s="497"/>
      <c r="LPY24" s="497"/>
      <c r="LPZ24" s="497"/>
      <c r="LQA24" s="497"/>
      <c r="LQB24" s="497"/>
      <c r="LQC24" s="497"/>
      <c r="LQD24" s="497"/>
      <c r="LQE24" s="497"/>
      <c r="LQF24" s="497"/>
      <c r="LQG24" s="497"/>
      <c r="LQH24" s="497"/>
      <c r="LQI24" s="497"/>
      <c r="LQJ24" s="497"/>
      <c r="LQK24" s="497"/>
      <c r="LQL24" s="497"/>
      <c r="LQM24" s="497"/>
      <c r="LQN24" s="497"/>
      <c r="LQO24" s="497"/>
      <c r="LQP24" s="497"/>
      <c r="LQQ24" s="497"/>
      <c r="LQR24" s="497"/>
      <c r="LQS24" s="497"/>
      <c r="LQT24" s="497"/>
      <c r="LQU24" s="497"/>
      <c r="LQV24" s="497"/>
      <c r="LQW24" s="497"/>
      <c r="LQX24" s="497"/>
      <c r="LQY24" s="497"/>
      <c r="LQZ24" s="497"/>
      <c r="LRA24" s="497"/>
      <c r="LRB24" s="497"/>
      <c r="LRC24" s="497"/>
      <c r="LRD24" s="497"/>
      <c r="LRE24" s="497"/>
      <c r="LRF24" s="497"/>
      <c r="LRG24" s="497"/>
      <c r="LRH24" s="497"/>
      <c r="LRI24" s="497"/>
      <c r="LRJ24" s="497"/>
      <c r="LRK24" s="497"/>
      <c r="LRL24" s="497"/>
      <c r="LRM24" s="497"/>
      <c r="LRN24" s="497"/>
      <c r="LRO24" s="497"/>
      <c r="LRP24" s="497"/>
      <c r="LRQ24" s="497"/>
      <c r="LRR24" s="497"/>
      <c r="LRS24" s="497"/>
      <c r="LRT24" s="497"/>
      <c r="LRU24" s="497"/>
      <c r="LRV24" s="497"/>
      <c r="LRW24" s="497"/>
      <c r="LRX24" s="497"/>
      <c r="LRY24" s="497"/>
      <c r="LRZ24" s="497"/>
      <c r="LSA24" s="497"/>
      <c r="LSB24" s="497"/>
      <c r="LSC24" s="497"/>
      <c r="LSD24" s="497"/>
      <c r="LSE24" s="497"/>
      <c r="LSF24" s="497"/>
      <c r="LSG24" s="497"/>
      <c r="LSH24" s="497"/>
      <c r="LSI24" s="497"/>
      <c r="LSJ24" s="497"/>
      <c r="LSK24" s="497"/>
      <c r="LSL24" s="497"/>
      <c r="LSM24" s="497"/>
      <c r="LSN24" s="497"/>
      <c r="LSO24" s="497"/>
      <c r="LSP24" s="497"/>
      <c r="LSQ24" s="497"/>
      <c r="LSR24" s="497"/>
      <c r="LSS24" s="497"/>
      <c r="LST24" s="497"/>
      <c r="LSU24" s="497"/>
      <c r="LSV24" s="497"/>
      <c r="LSW24" s="497"/>
      <c r="LSX24" s="497"/>
      <c r="LSY24" s="497"/>
      <c r="LSZ24" s="497"/>
      <c r="LTA24" s="497"/>
      <c r="LTB24" s="497"/>
      <c r="LTC24" s="497"/>
      <c r="LTD24" s="497"/>
      <c r="LTE24" s="497"/>
      <c r="LTF24" s="497"/>
      <c r="LTG24" s="497"/>
      <c r="LTH24" s="497"/>
      <c r="LTI24" s="497"/>
      <c r="LTJ24" s="497"/>
      <c r="LTK24" s="497"/>
      <c r="LTL24" s="497"/>
      <c r="LTM24" s="497"/>
      <c r="LTN24" s="497"/>
      <c r="LTO24" s="497"/>
      <c r="LTP24" s="497"/>
      <c r="LTQ24" s="497"/>
      <c r="LTR24" s="497"/>
      <c r="LTS24" s="497"/>
      <c r="LTT24" s="497"/>
      <c r="LTU24" s="497"/>
      <c r="LTV24" s="497"/>
      <c r="LTW24" s="497"/>
      <c r="LTX24" s="497"/>
      <c r="LTY24" s="497"/>
      <c r="LTZ24" s="497"/>
      <c r="LUA24" s="497"/>
      <c r="LUB24" s="497"/>
      <c r="LUC24" s="497"/>
      <c r="LUD24" s="497"/>
      <c r="LUE24" s="497"/>
      <c r="LUF24" s="497"/>
      <c r="LUG24" s="497"/>
      <c r="LUH24" s="497"/>
      <c r="LUI24" s="497"/>
      <c r="LUJ24" s="497"/>
      <c r="LUK24" s="497"/>
      <c r="LUL24" s="497"/>
      <c r="LUM24" s="497"/>
      <c r="LUN24" s="497"/>
      <c r="LUO24" s="497"/>
      <c r="LUP24" s="497"/>
      <c r="LUQ24" s="497"/>
      <c r="LUR24" s="497"/>
      <c r="LUS24" s="497"/>
      <c r="LUT24" s="497"/>
      <c r="LUU24" s="497"/>
      <c r="LUV24" s="497"/>
      <c r="LUW24" s="497"/>
      <c r="LUX24" s="497"/>
      <c r="LUY24" s="497"/>
      <c r="LUZ24" s="497"/>
      <c r="LVA24" s="497"/>
      <c r="LVB24" s="497"/>
      <c r="LVC24" s="497"/>
      <c r="LVD24" s="497"/>
      <c r="LVE24" s="497"/>
      <c r="LVF24" s="497"/>
      <c r="LVG24" s="497"/>
      <c r="LVH24" s="497"/>
      <c r="LVI24" s="497"/>
      <c r="LVJ24" s="497"/>
      <c r="LVK24" s="497"/>
      <c r="LVL24" s="497"/>
      <c r="LVM24" s="497"/>
      <c r="LVN24" s="497"/>
      <c r="LVO24" s="497"/>
      <c r="LVP24" s="497"/>
      <c r="LVQ24" s="497"/>
      <c r="LVR24" s="497"/>
      <c r="LVS24" s="497"/>
      <c r="LVT24" s="497"/>
      <c r="LVU24" s="497"/>
      <c r="LVV24" s="497"/>
      <c r="LVW24" s="497"/>
      <c r="LVX24" s="497"/>
      <c r="LVY24" s="497"/>
      <c r="LVZ24" s="497"/>
      <c r="LWA24" s="497"/>
      <c r="LWB24" s="497"/>
      <c r="LWC24" s="497"/>
      <c r="LWD24" s="497"/>
      <c r="LWE24" s="497"/>
      <c r="LWF24" s="497"/>
      <c r="LWG24" s="497"/>
      <c r="LWH24" s="497"/>
      <c r="LWI24" s="497"/>
      <c r="LWJ24" s="497"/>
      <c r="LWK24" s="497"/>
      <c r="LWL24" s="497"/>
      <c r="LWM24" s="497"/>
      <c r="LWN24" s="497"/>
      <c r="LWO24" s="497"/>
      <c r="LWP24" s="497"/>
      <c r="LWQ24" s="497"/>
      <c r="LWR24" s="497"/>
      <c r="LWS24" s="497"/>
      <c r="LWT24" s="497"/>
      <c r="LWU24" s="497"/>
      <c r="LWV24" s="497"/>
      <c r="LWW24" s="497"/>
      <c r="LWX24" s="497"/>
      <c r="LWY24" s="497"/>
      <c r="LWZ24" s="497"/>
      <c r="LXA24" s="497"/>
      <c r="LXB24" s="497"/>
      <c r="LXC24" s="497"/>
      <c r="LXD24" s="497"/>
      <c r="LXE24" s="497"/>
      <c r="LXF24" s="497"/>
      <c r="LXG24" s="497"/>
      <c r="LXH24" s="497"/>
      <c r="LXI24" s="497"/>
      <c r="LXJ24" s="497"/>
      <c r="LXK24" s="497"/>
      <c r="LXL24" s="497"/>
      <c r="LXM24" s="497"/>
      <c r="LXN24" s="497"/>
      <c r="LXO24" s="497"/>
      <c r="LXP24" s="497"/>
      <c r="LXQ24" s="497"/>
      <c r="LXR24" s="497"/>
      <c r="LXS24" s="497"/>
      <c r="LXT24" s="497"/>
      <c r="LXU24" s="497"/>
      <c r="LXV24" s="497"/>
      <c r="LXW24" s="497"/>
      <c r="LXX24" s="497"/>
      <c r="LXY24" s="497"/>
      <c r="LXZ24" s="497"/>
      <c r="LYA24" s="497"/>
      <c r="LYB24" s="497"/>
      <c r="LYC24" s="497"/>
      <c r="LYD24" s="497"/>
      <c r="LYE24" s="497"/>
      <c r="LYF24" s="497"/>
      <c r="LYG24" s="497"/>
      <c r="LYH24" s="497"/>
      <c r="LYI24" s="497"/>
      <c r="LYJ24" s="497"/>
      <c r="LYK24" s="497"/>
      <c r="LYL24" s="497"/>
      <c r="LYM24" s="497"/>
      <c r="LYN24" s="497"/>
      <c r="LYO24" s="497"/>
      <c r="LYP24" s="497"/>
      <c r="LYQ24" s="497"/>
      <c r="LYR24" s="497"/>
      <c r="LYS24" s="497"/>
      <c r="LYT24" s="497"/>
      <c r="LYU24" s="497"/>
      <c r="LYV24" s="497"/>
      <c r="LYW24" s="497"/>
      <c r="LYX24" s="497"/>
      <c r="LYY24" s="497"/>
      <c r="LYZ24" s="497"/>
      <c r="LZA24" s="497"/>
      <c r="LZB24" s="497"/>
      <c r="LZC24" s="497"/>
      <c r="LZD24" s="497"/>
      <c r="LZE24" s="497"/>
      <c r="LZF24" s="497"/>
      <c r="LZG24" s="497"/>
      <c r="LZH24" s="497"/>
      <c r="LZI24" s="497"/>
      <c r="LZJ24" s="497"/>
      <c r="LZK24" s="497"/>
      <c r="LZL24" s="497"/>
      <c r="LZM24" s="497"/>
      <c r="LZN24" s="497"/>
      <c r="LZO24" s="497"/>
      <c r="LZP24" s="497"/>
      <c r="LZQ24" s="497"/>
      <c r="LZR24" s="497"/>
      <c r="LZS24" s="497"/>
      <c r="LZT24" s="497"/>
      <c r="LZU24" s="497"/>
      <c r="LZV24" s="497"/>
      <c r="LZW24" s="497"/>
      <c r="LZX24" s="497"/>
      <c r="LZY24" s="497"/>
      <c r="LZZ24" s="497"/>
      <c r="MAA24" s="497"/>
      <c r="MAB24" s="497"/>
      <c r="MAC24" s="497"/>
      <c r="MAD24" s="497"/>
      <c r="MAE24" s="497"/>
      <c r="MAF24" s="497"/>
      <c r="MAG24" s="497"/>
      <c r="MAH24" s="497"/>
      <c r="MAI24" s="497"/>
      <c r="MAJ24" s="497"/>
      <c r="MAK24" s="497"/>
      <c r="MAL24" s="497"/>
      <c r="MAM24" s="497"/>
      <c r="MAN24" s="497"/>
      <c r="MAO24" s="497"/>
      <c r="MAP24" s="497"/>
      <c r="MAQ24" s="497"/>
      <c r="MAR24" s="497"/>
      <c r="MAS24" s="497"/>
      <c r="MAT24" s="497"/>
      <c r="MAU24" s="497"/>
      <c r="MAV24" s="497"/>
      <c r="MAW24" s="497"/>
      <c r="MAX24" s="497"/>
      <c r="MAY24" s="497"/>
      <c r="MAZ24" s="497"/>
      <c r="MBA24" s="497"/>
      <c r="MBB24" s="497"/>
      <c r="MBC24" s="497"/>
      <c r="MBD24" s="497"/>
      <c r="MBE24" s="497"/>
      <c r="MBF24" s="497"/>
      <c r="MBG24" s="497"/>
      <c r="MBH24" s="497"/>
      <c r="MBI24" s="497"/>
      <c r="MBJ24" s="497"/>
      <c r="MBK24" s="497"/>
      <c r="MBL24" s="497"/>
      <c r="MBM24" s="497"/>
      <c r="MBN24" s="497"/>
      <c r="MBO24" s="497"/>
      <c r="MBP24" s="497"/>
      <c r="MBQ24" s="497"/>
      <c r="MBR24" s="497"/>
      <c r="MBS24" s="497"/>
      <c r="MBT24" s="497"/>
      <c r="MBU24" s="497"/>
      <c r="MBV24" s="497"/>
      <c r="MBW24" s="497"/>
      <c r="MBX24" s="497"/>
      <c r="MBY24" s="497"/>
      <c r="MBZ24" s="497"/>
      <c r="MCA24" s="497"/>
      <c r="MCB24" s="497"/>
      <c r="MCC24" s="497"/>
      <c r="MCD24" s="497"/>
      <c r="MCE24" s="497"/>
      <c r="MCF24" s="497"/>
      <c r="MCG24" s="497"/>
      <c r="MCH24" s="497"/>
      <c r="MCI24" s="497"/>
      <c r="MCJ24" s="497"/>
      <c r="MCK24" s="497"/>
      <c r="MCL24" s="497"/>
      <c r="MCM24" s="497"/>
      <c r="MCN24" s="497"/>
      <c r="MCO24" s="497"/>
      <c r="MCP24" s="497"/>
      <c r="MCQ24" s="497"/>
      <c r="MCR24" s="497"/>
      <c r="MCS24" s="497"/>
      <c r="MCT24" s="497"/>
      <c r="MCU24" s="497"/>
      <c r="MCV24" s="497"/>
      <c r="MCW24" s="497"/>
      <c r="MCX24" s="497"/>
      <c r="MCY24" s="497"/>
      <c r="MCZ24" s="497"/>
      <c r="MDA24" s="497"/>
      <c r="MDB24" s="497"/>
      <c r="MDC24" s="497"/>
      <c r="MDD24" s="497"/>
      <c r="MDE24" s="497"/>
      <c r="MDF24" s="497"/>
      <c r="MDG24" s="497"/>
      <c r="MDH24" s="497"/>
      <c r="MDI24" s="497"/>
      <c r="MDJ24" s="497"/>
      <c r="MDK24" s="497"/>
      <c r="MDL24" s="497"/>
      <c r="MDM24" s="497"/>
      <c r="MDN24" s="497"/>
      <c r="MDO24" s="497"/>
      <c r="MDP24" s="497"/>
      <c r="MDQ24" s="497"/>
      <c r="MDR24" s="497"/>
      <c r="MDS24" s="497"/>
      <c r="MDT24" s="497"/>
      <c r="MDU24" s="497"/>
      <c r="MDV24" s="497"/>
      <c r="MDW24" s="497"/>
      <c r="MDX24" s="497"/>
      <c r="MDY24" s="497"/>
      <c r="MDZ24" s="497"/>
      <c r="MEA24" s="497"/>
      <c r="MEB24" s="497"/>
      <c r="MEC24" s="497"/>
      <c r="MED24" s="497"/>
      <c r="MEE24" s="497"/>
      <c r="MEF24" s="497"/>
      <c r="MEG24" s="497"/>
      <c r="MEH24" s="497"/>
      <c r="MEI24" s="497"/>
      <c r="MEJ24" s="497"/>
      <c r="MEK24" s="497"/>
      <c r="MEL24" s="497"/>
      <c r="MEM24" s="497"/>
      <c r="MEN24" s="497"/>
      <c r="MEO24" s="497"/>
      <c r="MEP24" s="497"/>
      <c r="MEQ24" s="497"/>
      <c r="MER24" s="497"/>
      <c r="MES24" s="497"/>
      <c r="MET24" s="497"/>
      <c r="MEU24" s="497"/>
      <c r="MEV24" s="497"/>
      <c r="MEW24" s="497"/>
      <c r="MEX24" s="497"/>
      <c r="MEY24" s="497"/>
      <c r="MEZ24" s="497"/>
      <c r="MFA24" s="497"/>
      <c r="MFB24" s="497"/>
      <c r="MFC24" s="497"/>
      <c r="MFD24" s="497"/>
      <c r="MFE24" s="497"/>
      <c r="MFF24" s="497"/>
      <c r="MFG24" s="497"/>
      <c r="MFH24" s="497"/>
      <c r="MFI24" s="497"/>
      <c r="MFJ24" s="497"/>
      <c r="MFK24" s="497"/>
      <c r="MFL24" s="497"/>
      <c r="MFM24" s="497"/>
      <c r="MFN24" s="497"/>
      <c r="MFO24" s="497"/>
      <c r="MFP24" s="497"/>
      <c r="MFQ24" s="497"/>
      <c r="MFR24" s="497"/>
      <c r="MFS24" s="497"/>
      <c r="MFT24" s="497"/>
      <c r="MFU24" s="497"/>
      <c r="MFV24" s="497"/>
      <c r="MFW24" s="497"/>
      <c r="MFX24" s="497"/>
      <c r="MFY24" s="497"/>
      <c r="MFZ24" s="497"/>
      <c r="MGA24" s="497"/>
      <c r="MGB24" s="497"/>
      <c r="MGC24" s="497"/>
      <c r="MGD24" s="497"/>
      <c r="MGE24" s="497"/>
      <c r="MGF24" s="497"/>
      <c r="MGG24" s="497"/>
      <c r="MGH24" s="497"/>
      <c r="MGI24" s="497"/>
      <c r="MGJ24" s="497"/>
      <c r="MGK24" s="497"/>
      <c r="MGL24" s="497"/>
      <c r="MGM24" s="497"/>
      <c r="MGN24" s="497"/>
      <c r="MGO24" s="497"/>
      <c r="MGP24" s="497"/>
      <c r="MGQ24" s="497"/>
      <c r="MGR24" s="497"/>
      <c r="MGS24" s="497"/>
      <c r="MGT24" s="497"/>
      <c r="MGU24" s="497"/>
      <c r="MGV24" s="497"/>
      <c r="MGW24" s="497"/>
      <c r="MGX24" s="497"/>
      <c r="MGY24" s="497"/>
      <c r="MGZ24" s="497"/>
      <c r="MHA24" s="497"/>
      <c r="MHB24" s="497"/>
      <c r="MHC24" s="497"/>
      <c r="MHD24" s="497"/>
      <c r="MHE24" s="497"/>
      <c r="MHF24" s="497"/>
      <c r="MHG24" s="497"/>
      <c r="MHH24" s="497"/>
      <c r="MHI24" s="497"/>
      <c r="MHJ24" s="497"/>
      <c r="MHK24" s="497"/>
      <c r="MHL24" s="497"/>
      <c r="MHM24" s="497"/>
      <c r="MHN24" s="497"/>
      <c r="MHO24" s="497"/>
      <c r="MHP24" s="497"/>
      <c r="MHQ24" s="497"/>
      <c r="MHR24" s="497"/>
      <c r="MHS24" s="497"/>
      <c r="MHT24" s="497"/>
      <c r="MHU24" s="497"/>
      <c r="MHV24" s="497"/>
      <c r="MHW24" s="497"/>
      <c r="MHX24" s="497"/>
      <c r="MHY24" s="497"/>
      <c r="MHZ24" s="497"/>
      <c r="MIA24" s="497"/>
      <c r="MIB24" s="497"/>
      <c r="MIC24" s="497"/>
      <c r="MID24" s="497"/>
      <c r="MIE24" s="497"/>
      <c r="MIF24" s="497"/>
      <c r="MIG24" s="497"/>
      <c r="MIH24" s="497"/>
      <c r="MII24" s="497"/>
      <c r="MIJ24" s="497"/>
      <c r="MIK24" s="497"/>
      <c r="MIL24" s="497"/>
      <c r="MIM24" s="497"/>
      <c r="MIN24" s="497"/>
      <c r="MIO24" s="497"/>
      <c r="MIP24" s="497"/>
      <c r="MIQ24" s="497"/>
      <c r="MIR24" s="497"/>
      <c r="MIS24" s="497"/>
      <c r="MIT24" s="497"/>
      <c r="MIU24" s="497"/>
      <c r="MIV24" s="497"/>
      <c r="MIW24" s="497"/>
      <c r="MIX24" s="497"/>
      <c r="MIY24" s="497"/>
      <c r="MIZ24" s="497"/>
      <c r="MJA24" s="497"/>
      <c r="MJB24" s="497"/>
      <c r="MJC24" s="497"/>
      <c r="MJD24" s="497"/>
      <c r="MJE24" s="497"/>
      <c r="MJF24" s="497"/>
      <c r="MJG24" s="497"/>
      <c r="MJH24" s="497"/>
      <c r="MJI24" s="497"/>
      <c r="MJJ24" s="497"/>
      <c r="MJK24" s="497"/>
      <c r="MJL24" s="497"/>
      <c r="MJM24" s="497"/>
      <c r="MJN24" s="497"/>
      <c r="MJO24" s="497"/>
      <c r="MJP24" s="497"/>
      <c r="MJQ24" s="497"/>
      <c r="MJR24" s="497"/>
      <c r="MJS24" s="497"/>
      <c r="MJT24" s="497"/>
      <c r="MJU24" s="497"/>
      <c r="MJV24" s="497"/>
      <c r="MJW24" s="497"/>
      <c r="MJX24" s="497"/>
      <c r="MJY24" s="497"/>
      <c r="MJZ24" s="497"/>
      <c r="MKA24" s="497"/>
      <c r="MKB24" s="497"/>
      <c r="MKC24" s="497"/>
      <c r="MKD24" s="497"/>
      <c r="MKE24" s="497"/>
      <c r="MKF24" s="497"/>
      <c r="MKG24" s="497"/>
      <c r="MKH24" s="497"/>
      <c r="MKI24" s="497"/>
      <c r="MKJ24" s="497"/>
      <c r="MKK24" s="497"/>
      <c r="MKL24" s="497"/>
      <c r="MKM24" s="497"/>
      <c r="MKN24" s="497"/>
      <c r="MKO24" s="497"/>
      <c r="MKP24" s="497"/>
      <c r="MKQ24" s="497"/>
      <c r="MKR24" s="497"/>
      <c r="MKS24" s="497"/>
      <c r="MKT24" s="497"/>
      <c r="MKU24" s="497"/>
      <c r="MKV24" s="497"/>
      <c r="MKW24" s="497"/>
      <c r="MKX24" s="497"/>
      <c r="MKY24" s="497"/>
      <c r="MKZ24" s="497"/>
      <c r="MLA24" s="497"/>
      <c r="MLB24" s="497"/>
      <c r="MLC24" s="497"/>
      <c r="MLD24" s="497"/>
      <c r="MLE24" s="497"/>
      <c r="MLF24" s="497"/>
      <c r="MLG24" s="497"/>
      <c r="MLH24" s="497"/>
      <c r="MLI24" s="497"/>
      <c r="MLJ24" s="497"/>
      <c r="MLK24" s="497"/>
      <c r="MLL24" s="497"/>
      <c r="MLM24" s="497"/>
      <c r="MLN24" s="497"/>
      <c r="MLO24" s="497"/>
      <c r="MLP24" s="497"/>
      <c r="MLQ24" s="497"/>
      <c r="MLR24" s="497"/>
      <c r="MLS24" s="497"/>
      <c r="MLT24" s="497"/>
      <c r="MLU24" s="497"/>
      <c r="MLV24" s="497"/>
      <c r="MLW24" s="497"/>
      <c r="MLX24" s="497"/>
      <c r="MLY24" s="497"/>
      <c r="MLZ24" s="497"/>
      <c r="MMA24" s="497"/>
      <c r="MMB24" s="497"/>
      <c r="MMC24" s="497"/>
      <c r="MMD24" s="497"/>
      <c r="MME24" s="497"/>
      <c r="MMF24" s="497"/>
      <c r="MMG24" s="497"/>
      <c r="MMH24" s="497"/>
      <c r="MMI24" s="497"/>
      <c r="MMJ24" s="497"/>
      <c r="MMK24" s="497"/>
      <c r="MML24" s="497"/>
      <c r="MMM24" s="497"/>
      <c r="MMN24" s="497"/>
      <c r="MMO24" s="497"/>
      <c r="MMP24" s="497"/>
      <c r="MMQ24" s="497"/>
      <c r="MMR24" s="497"/>
      <c r="MMS24" s="497"/>
      <c r="MMT24" s="497"/>
      <c r="MMU24" s="497"/>
      <c r="MMV24" s="497"/>
      <c r="MMW24" s="497"/>
      <c r="MMX24" s="497"/>
      <c r="MMY24" s="497"/>
      <c r="MMZ24" s="497"/>
      <c r="MNA24" s="497"/>
      <c r="MNB24" s="497"/>
      <c r="MNC24" s="497"/>
      <c r="MND24" s="497"/>
      <c r="MNE24" s="497"/>
      <c r="MNF24" s="497"/>
      <c r="MNG24" s="497"/>
      <c r="MNH24" s="497"/>
      <c r="MNI24" s="497"/>
      <c r="MNJ24" s="497"/>
      <c r="MNK24" s="497"/>
      <c r="MNL24" s="497"/>
      <c r="MNM24" s="497"/>
      <c r="MNN24" s="497"/>
      <c r="MNO24" s="497"/>
      <c r="MNP24" s="497"/>
      <c r="MNQ24" s="497"/>
      <c r="MNR24" s="497"/>
      <c r="MNS24" s="497"/>
      <c r="MNT24" s="497"/>
      <c r="MNU24" s="497"/>
      <c r="MNV24" s="497"/>
      <c r="MNW24" s="497"/>
      <c r="MNX24" s="497"/>
      <c r="MNY24" s="497"/>
      <c r="MNZ24" s="497"/>
      <c r="MOA24" s="497"/>
      <c r="MOB24" s="497"/>
      <c r="MOC24" s="497"/>
      <c r="MOD24" s="497"/>
      <c r="MOE24" s="497"/>
      <c r="MOF24" s="497"/>
      <c r="MOG24" s="497"/>
      <c r="MOH24" s="497"/>
      <c r="MOI24" s="497"/>
      <c r="MOJ24" s="497"/>
      <c r="MOK24" s="497"/>
      <c r="MOL24" s="497"/>
      <c r="MOM24" s="497"/>
      <c r="MON24" s="497"/>
      <c r="MOO24" s="497"/>
      <c r="MOP24" s="497"/>
      <c r="MOQ24" s="497"/>
      <c r="MOR24" s="497"/>
      <c r="MOS24" s="497"/>
      <c r="MOT24" s="497"/>
      <c r="MOU24" s="497"/>
      <c r="MOV24" s="497"/>
      <c r="MOW24" s="497"/>
      <c r="MOX24" s="497"/>
      <c r="MOY24" s="497"/>
      <c r="MOZ24" s="497"/>
      <c r="MPA24" s="497"/>
      <c r="MPB24" s="497"/>
      <c r="MPC24" s="497"/>
      <c r="MPD24" s="497"/>
      <c r="MPE24" s="497"/>
      <c r="MPF24" s="497"/>
      <c r="MPG24" s="497"/>
      <c r="MPH24" s="497"/>
      <c r="MPI24" s="497"/>
      <c r="MPJ24" s="497"/>
      <c r="MPK24" s="497"/>
      <c r="MPL24" s="497"/>
      <c r="MPM24" s="497"/>
      <c r="MPN24" s="497"/>
      <c r="MPO24" s="497"/>
      <c r="MPP24" s="497"/>
      <c r="MPQ24" s="497"/>
      <c r="MPR24" s="497"/>
      <c r="MPS24" s="497"/>
      <c r="MPT24" s="497"/>
      <c r="MPU24" s="497"/>
      <c r="MPV24" s="497"/>
      <c r="MPW24" s="497"/>
      <c r="MPX24" s="497"/>
      <c r="MPY24" s="497"/>
      <c r="MPZ24" s="497"/>
      <c r="MQA24" s="497"/>
      <c r="MQB24" s="497"/>
      <c r="MQC24" s="497"/>
      <c r="MQD24" s="497"/>
      <c r="MQE24" s="497"/>
      <c r="MQF24" s="497"/>
      <c r="MQG24" s="497"/>
      <c r="MQH24" s="497"/>
      <c r="MQI24" s="497"/>
      <c r="MQJ24" s="497"/>
      <c r="MQK24" s="497"/>
      <c r="MQL24" s="497"/>
      <c r="MQM24" s="497"/>
      <c r="MQN24" s="497"/>
      <c r="MQO24" s="497"/>
      <c r="MQP24" s="497"/>
      <c r="MQQ24" s="497"/>
      <c r="MQR24" s="497"/>
      <c r="MQS24" s="497"/>
      <c r="MQT24" s="497"/>
      <c r="MQU24" s="497"/>
      <c r="MQV24" s="497"/>
      <c r="MQW24" s="497"/>
      <c r="MQX24" s="497"/>
      <c r="MQY24" s="497"/>
      <c r="MQZ24" s="497"/>
      <c r="MRA24" s="497"/>
      <c r="MRB24" s="497"/>
      <c r="MRC24" s="497"/>
      <c r="MRD24" s="497"/>
      <c r="MRE24" s="497"/>
      <c r="MRF24" s="497"/>
      <c r="MRG24" s="497"/>
      <c r="MRH24" s="497"/>
      <c r="MRI24" s="497"/>
      <c r="MRJ24" s="497"/>
      <c r="MRK24" s="497"/>
      <c r="MRL24" s="497"/>
      <c r="MRM24" s="497"/>
      <c r="MRN24" s="497"/>
      <c r="MRO24" s="497"/>
      <c r="MRP24" s="497"/>
      <c r="MRQ24" s="497"/>
      <c r="MRR24" s="497"/>
      <c r="MRS24" s="497"/>
      <c r="MRT24" s="497"/>
      <c r="MRU24" s="497"/>
      <c r="MRV24" s="497"/>
      <c r="MRW24" s="497"/>
      <c r="MRX24" s="497"/>
      <c r="MRY24" s="497"/>
      <c r="MRZ24" s="497"/>
      <c r="MSA24" s="497"/>
      <c r="MSB24" s="497"/>
      <c r="MSC24" s="497"/>
      <c r="MSD24" s="497"/>
      <c r="MSE24" s="497"/>
      <c r="MSF24" s="497"/>
      <c r="MSG24" s="497"/>
      <c r="MSH24" s="497"/>
      <c r="MSI24" s="497"/>
      <c r="MSJ24" s="497"/>
      <c r="MSK24" s="497"/>
      <c r="MSL24" s="497"/>
      <c r="MSM24" s="497"/>
      <c r="MSN24" s="497"/>
      <c r="MSO24" s="497"/>
      <c r="MSP24" s="497"/>
      <c r="MSQ24" s="497"/>
      <c r="MSR24" s="497"/>
      <c r="MSS24" s="497"/>
      <c r="MST24" s="497"/>
      <c r="MSU24" s="497"/>
      <c r="MSV24" s="497"/>
      <c r="MSW24" s="497"/>
      <c r="MSX24" s="497"/>
      <c r="MSY24" s="497"/>
      <c r="MSZ24" s="497"/>
      <c r="MTA24" s="497"/>
      <c r="MTB24" s="497"/>
      <c r="MTC24" s="497"/>
      <c r="MTD24" s="497"/>
      <c r="MTE24" s="497"/>
      <c r="MTF24" s="497"/>
      <c r="MTG24" s="497"/>
      <c r="MTH24" s="497"/>
      <c r="MTI24" s="497"/>
      <c r="MTJ24" s="497"/>
      <c r="MTK24" s="497"/>
      <c r="MTL24" s="497"/>
      <c r="MTM24" s="497"/>
      <c r="MTN24" s="497"/>
      <c r="MTO24" s="497"/>
      <c r="MTP24" s="497"/>
      <c r="MTQ24" s="497"/>
      <c r="MTR24" s="497"/>
      <c r="MTS24" s="497"/>
      <c r="MTT24" s="497"/>
      <c r="MTU24" s="497"/>
      <c r="MTV24" s="497"/>
      <c r="MTW24" s="497"/>
      <c r="MTX24" s="497"/>
      <c r="MTY24" s="497"/>
      <c r="MTZ24" s="497"/>
      <c r="MUA24" s="497"/>
      <c r="MUB24" s="497"/>
      <c r="MUC24" s="497"/>
      <c r="MUD24" s="497"/>
      <c r="MUE24" s="497"/>
      <c r="MUF24" s="497"/>
      <c r="MUG24" s="497"/>
      <c r="MUH24" s="497"/>
      <c r="MUI24" s="497"/>
      <c r="MUJ24" s="497"/>
      <c r="MUK24" s="497"/>
      <c r="MUL24" s="497"/>
      <c r="MUM24" s="497"/>
      <c r="MUN24" s="497"/>
      <c r="MUO24" s="497"/>
      <c r="MUP24" s="497"/>
      <c r="MUQ24" s="497"/>
      <c r="MUR24" s="497"/>
      <c r="MUS24" s="497"/>
      <c r="MUT24" s="497"/>
      <c r="MUU24" s="497"/>
      <c r="MUV24" s="497"/>
      <c r="MUW24" s="497"/>
      <c r="MUX24" s="497"/>
      <c r="MUY24" s="497"/>
      <c r="MUZ24" s="497"/>
      <c r="MVA24" s="497"/>
      <c r="MVB24" s="497"/>
      <c r="MVC24" s="497"/>
      <c r="MVD24" s="497"/>
      <c r="MVE24" s="497"/>
      <c r="MVF24" s="497"/>
      <c r="MVG24" s="497"/>
      <c r="MVH24" s="497"/>
      <c r="MVI24" s="497"/>
      <c r="MVJ24" s="497"/>
      <c r="MVK24" s="497"/>
      <c r="MVL24" s="497"/>
      <c r="MVM24" s="497"/>
      <c r="MVN24" s="497"/>
      <c r="MVO24" s="497"/>
      <c r="MVP24" s="497"/>
      <c r="MVQ24" s="497"/>
      <c r="MVR24" s="497"/>
      <c r="MVS24" s="497"/>
      <c r="MVT24" s="497"/>
      <c r="MVU24" s="497"/>
      <c r="MVV24" s="497"/>
      <c r="MVW24" s="497"/>
      <c r="MVX24" s="497"/>
      <c r="MVY24" s="497"/>
      <c r="MVZ24" s="497"/>
      <c r="MWA24" s="497"/>
      <c r="MWB24" s="497"/>
      <c r="MWC24" s="497"/>
      <c r="MWD24" s="497"/>
      <c r="MWE24" s="497"/>
      <c r="MWF24" s="497"/>
      <c r="MWG24" s="497"/>
      <c r="MWH24" s="497"/>
      <c r="MWI24" s="497"/>
      <c r="MWJ24" s="497"/>
      <c r="MWK24" s="497"/>
      <c r="MWL24" s="497"/>
      <c r="MWM24" s="497"/>
      <c r="MWN24" s="497"/>
      <c r="MWO24" s="497"/>
      <c r="MWP24" s="497"/>
      <c r="MWQ24" s="497"/>
      <c r="MWR24" s="497"/>
      <c r="MWS24" s="497"/>
      <c r="MWT24" s="497"/>
      <c r="MWU24" s="497"/>
      <c r="MWV24" s="497"/>
      <c r="MWW24" s="497"/>
      <c r="MWX24" s="497"/>
      <c r="MWY24" s="497"/>
      <c r="MWZ24" s="497"/>
      <c r="MXA24" s="497"/>
      <c r="MXB24" s="497"/>
      <c r="MXC24" s="497"/>
      <c r="MXD24" s="497"/>
      <c r="MXE24" s="497"/>
      <c r="MXF24" s="497"/>
      <c r="MXG24" s="497"/>
      <c r="MXH24" s="497"/>
      <c r="MXI24" s="497"/>
      <c r="MXJ24" s="497"/>
      <c r="MXK24" s="497"/>
      <c r="MXL24" s="497"/>
      <c r="MXM24" s="497"/>
      <c r="MXN24" s="497"/>
      <c r="MXO24" s="497"/>
      <c r="MXP24" s="497"/>
      <c r="MXQ24" s="497"/>
      <c r="MXR24" s="497"/>
      <c r="MXS24" s="497"/>
      <c r="MXT24" s="497"/>
      <c r="MXU24" s="497"/>
      <c r="MXV24" s="497"/>
      <c r="MXW24" s="497"/>
      <c r="MXX24" s="497"/>
      <c r="MXY24" s="497"/>
      <c r="MXZ24" s="497"/>
      <c r="MYA24" s="497"/>
      <c r="MYB24" s="497"/>
      <c r="MYC24" s="497"/>
      <c r="MYD24" s="497"/>
      <c r="MYE24" s="497"/>
      <c r="MYF24" s="497"/>
      <c r="MYG24" s="497"/>
      <c r="MYH24" s="497"/>
      <c r="MYI24" s="497"/>
      <c r="MYJ24" s="497"/>
      <c r="MYK24" s="497"/>
      <c r="MYL24" s="497"/>
      <c r="MYM24" s="497"/>
      <c r="MYN24" s="497"/>
      <c r="MYO24" s="497"/>
      <c r="MYP24" s="497"/>
      <c r="MYQ24" s="497"/>
      <c r="MYR24" s="497"/>
      <c r="MYS24" s="497"/>
      <c r="MYT24" s="497"/>
      <c r="MYU24" s="497"/>
      <c r="MYV24" s="497"/>
      <c r="MYW24" s="497"/>
      <c r="MYX24" s="497"/>
      <c r="MYY24" s="497"/>
      <c r="MYZ24" s="497"/>
      <c r="MZA24" s="497"/>
      <c r="MZB24" s="497"/>
      <c r="MZC24" s="497"/>
      <c r="MZD24" s="497"/>
      <c r="MZE24" s="497"/>
      <c r="MZF24" s="497"/>
      <c r="MZG24" s="497"/>
      <c r="MZH24" s="497"/>
      <c r="MZI24" s="497"/>
      <c r="MZJ24" s="497"/>
      <c r="MZK24" s="497"/>
      <c r="MZL24" s="497"/>
      <c r="MZM24" s="497"/>
      <c r="MZN24" s="497"/>
      <c r="MZO24" s="497"/>
      <c r="MZP24" s="497"/>
      <c r="MZQ24" s="497"/>
      <c r="MZR24" s="497"/>
      <c r="MZS24" s="497"/>
      <c r="MZT24" s="497"/>
      <c r="MZU24" s="497"/>
      <c r="MZV24" s="497"/>
      <c r="MZW24" s="497"/>
      <c r="MZX24" s="497"/>
      <c r="MZY24" s="497"/>
      <c r="MZZ24" s="497"/>
      <c r="NAA24" s="497"/>
      <c r="NAB24" s="497"/>
      <c r="NAC24" s="497"/>
      <c r="NAD24" s="497"/>
      <c r="NAE24" s="497"/>
      <c r="NAF24" s="497"/>
      <c r="NAG24" s="497"/>
      <c r="NAH24" s="497"/>
      <c r="NAI24" s="497"/>
      <c r="NAJ24" s="497"/>
      <c r="NAK24" s="497"/>
      <c r="NAL24" s="497"/>
      <c r="NAM24" s="497"/>
      <c r="NAN24" s="497"/>
      <c r="NAO24" s="497"/>
      <c r="NAP24" s="497"/>
      <c r="NAQ24" s="497"/>
      <c r="NAR24" s="497"/>
      <c r="NAS24" s="497"/>
      <c r="NAT24" s="497"/>
      <c r="NAU24" s="497"/>
      <c r="NAV24" s="497"/>
      <c r="NAW24" s="497"/>
      <c r="NAX24" s="497"/>
      <c r="NAY24" s="497"/>
      <c r="NAZ24" s="497"/>
      <c r="NBA24" s="497"/>
      <c r="NBB24" s="497"/>
      <c r="NBC24" s="497"/>
      <c r="NBD24" s="497"/>
      <c r="NBE24" s="497"/>
      <c r="NBF24" s="497"/>
      <c r="NBG24" s="497"/>
      <c r="NBH24" s="497"/>
      <c r="NBI24" s="497"/>
      <c r="NBJ24" s="497"/>
      <c r="NBK24" s="497"/>
      <c r="NBL24" s="497"/>
      <c r="NBM24" s="497"/>
      <c r="NBN24" s="497"/>
      <c r="NBO24" s="497"/>
      <c r="NBP24" s="497"/>
      <c r="NBQ24" s="497"/>
      <c r="NBR24" s="497"/>
      <c r="NBS24" s="497"/>
      <c r="NBT24" s="497"/>
      <c r="NBU24" s="497"/>
      <c r="NBV24" s="497"/>
      <c r="NBW24" s="497"/>
      <c r="NBX24" s="497"/>
      <c r="NBY24" s="497"/>
      <c r="NBZ24" s="497"/>
      <c r="NCA24" s="497"/>
      <c r="NCB24" s="497"/>
      <c r="NCC24" s="497"/>
      <c r="NCD24" s="497"/>
      <c r="NCE24" s="497"/>
      <c r="NCF24" s="497"/>
      <c r="NCG24" s="497"/>
      <c r="NCH24" s="497"/>
      <c r="NCI24" s="497"/>
      <c r="NCJ24" s="497"/>
      <c r="NCK24" s="497"/>
      <c r="NCL24" s="497"/>
      <c r="NCM24" s="497"/>
      <c r="NCN24" s="497"/>
      <c r="NCO24" s="497"/>
      <c r="NCP24" s="497"/>
      <c r="NCQ24" s="497"/>
      <c r="NCR24" s="497"/>
      <c r="NCS24" s="497"/>
      <c r="NCT24" s="497"/>
      <c r="NCU24" s="497"/>
      <c r="NCV24" s="497"/>
      <c r="NCW24" s="497"/>
      <c r="NCX24" s="497"/>
      <c r="NCY24" s="497"/>
      <c r="NCZ24" s="497"/>
      <c r="NDA24" s="497"/>
      <c r="NDB24" s="497"/>
      <c r="NDC24" s="497"/>
      <c r="NDD24" s="497"/>
      <c r="NDE24" s="497"/>
      <c r="NDF24" s="497"/>
      <c r="NDG24" s="497"/>
      <c r="NDH24" s="497"/>
      <c r="NDI24" s="497"/>
      <c r="NDJ24" s="497"/>
      <c r="NDK24" s="497"/>
      <c r="NDL24" s="497"/>
      <c r="NDM24" s="497"/>
      <c r="NDN24" s="497"/>
      <c r="NDO24" s="497"/>
      <c r="NDP24" s="497"/>
      <c r="NDQ24" s="497"/>
      <c r="NDR24" s="497"/>
      <c r="NDS24" s="497"/>
      <c r="NDT24" s="497"/>
      <c r="NDU24" s="497"/>
      <c r="NDV24" s="497"/>
      <c r="NDW24" s="497"/>
      <c r="NDX24" s="497"/>
      <c r="NDY24" s="497"/>
      <c r="NDZ24" s="497"/>
      <c r="NEA24" s="497"/>
      <c r="NEB24" s="497"/>
      <c r="NEC24" s="497"/>
      <c r="NED24" s="497"/>
      <c r="NEE24" s="497"/>
      <c r="NEF24" s="497"/>
      <c r="NEG24" s="497"/>
      <c r="NEH24" s="497"/>
      <c r="NEI24" s="497"/>
      <c r="NEJ24" s="497"/>
      <c r="NEK24" s="497"/>
      <c r="NEL24" s="497"/>
      <c r="NEM24" s="497"/>
      <c r="NEN24" s="497"/>
      <c r="NEO24" s="497"/>
      <c r="NEP24" s="497"/>
      <c r="NEQ24" s="497"/>
      <c r="NER24" s="497"/>
      <c r="NES24" s="497"/>
      <c r="NET24" s="497"/>
      <c r="NEU24" s="497"/>
      <c r="NEV24" s="497"/>
      <c r="NEW24" s="497"/>
      <c r="NEX24" s="497"/>
      <c r="NEY24" s="497"/>
      <c r="NEZ24" s="497"/>
      <c r="NFA24" s="497"/>
      <c r="NFB24" s="497"/>
      <c r="NFC24" s="497"/>
      <c r="NFD24" s="497"/>
      <c r="NFE24" s="497"/>
      <c r="NFF24" s="497"/>
      <c r="NFG24" s="497"/>
      <c r="NFH24" s="497"/>
      <c r="NFI24" s="497"/>
      <c r="NFJ24" s="497"/>
      <c r="NFK24" s="497"/>
      <c r="NFL24" s="497"/>
      <c r="NFM24" s="497"/>
      <c r="NFN24" s="497"/>
      <c r="NFO24" s="497"/>
      <c r="NFP24" s="497"/>
      <c r="NFQ24" s="497"/>
      <c r="NFR24" s="497"/>
      <c r="NFS24" s="497"/>
      <c r="NFT24" s="497"/>
      <c r="NFU24" s="497"/>
      <c r="NFV24" s="497"/>
      <c r="NFW24" s="497"/>
      <c r="NFX24" s="497"/>
      <c r="NFY24" s="497"/>
      <c r="NFZ24" s="497"/>
      <c r="NGA24" s="497"/>
      <c r="NGB24" s="497"/>
      <c r="NGC24" s="497"/>
      <c r="NGD24" s="497"/>
      <c r="NGE24" s="497"/>
      <c r="NGF24" s="497"/>
      <c r="NGG24" s="497"/>
      <c r="NGH24" s="497"/>
      <c r="NGI24" s="497"/>
      <c r="NGJ24" s="497"/>
      <c r="NGK24" s="497"/>
      <c r="NGL24" s="497"/>
      <c r="NGM24" s="497"/>
      <c r="NGN24" s="497"/>
      <c r="NGO24" s="497"/>
      <c r="NGP24" s="497"/>
      <c r="NGQ24" s="497"/>
      <c r="NGR24" s="497"/>
      <c r="NGS24" s="497"/>
      <c r="NGT24" s="497"/>
      <c r="NGU24" s="497"/>
      <c r="NGV24" s="497"/>
      <c r="NGW24" s="497"/>
      <c r="NGX24" s="497"/>
      <c r="NGY24" s="497"/>
      <c r="NGZ24" s="497"/>
      <c r="NHA24" s="497"/>
      <c r="NHB24" s="497"/>
      <c r="NHC24" s="497"/>
      <c r="NHD24" s="497"/>
      <c r="NHE24" s="497"/>
      <c r="NHF24" s="497"/>
      <c r="NHG24" s="497"/>
      <c r="NHH24" s="497"/>
      <c r="NHI24" s="497"/>
      <c r="NHJ24" s="497"/>
      <c r="NHK24" s="497"/>
      <c r="NHL24" s="497"/>
      <c r="NHM24" s="497"/>
      <c r="NHN24" s="497"/>
      <c r="NHO24" s="497"/>
      <c r="NHP24" s="497"/>
      <c r="NHQ24" s="497"/>
      <c r="NHR24" s="497"/>
      <c r="NHS24" s="497"/>
      <c r="NHT24" s="497"/>
      <c r="NHU24" s="497"/>
      <c r="NHV24" s="497"/>
      <c r="NHW24" s="497"/>
      <c r="NHX24" s="497"/>
      <c r="NHY24" s="497"/>
      <c r="NHZ24" s="497"/>
      <c r="NIA24" s="497"/>
      <c r="NIB24" s="497"/>
      <c r="NIC24" s="497"/>
      <c r="NID24" s="497"/>
      <c r="NIE24" s="497"/>
      <c r="NIF24" s="497"/>
      <c r="NIG24" s="497"/>
      <c r="NIH24" s="497"/>
      <c r="NII24" s="497"/>
      <c r="NIJ24" s="497"/>
      <c r="NIK24" s="497"/>
      <c r="NIL24" s="497"/>
      <c r="NIM24" s="497"/>
      <c r="NIN24" s="497"/>
      <c r="NIO24" s="497"/>
      <c r="NIP24" s="497"/>
      <c r="NIQ24" s="497"/>
      <c r="NIR24" s="497"/>
      <c r="NIS24" s="497"/>
      <c r="NIT24" s="497"/>
      <c r="NIU24" s="497"/>
      <c r="NIV24" s="497"/>
      <c r="NIW24" s="497"/>
      <c r="NIX24" s="497"/>
      <c r="NIY24" s="497"/>
      <c r="NIZ24" s="497"/>
      <c r="NJA24" s="497"/>
      <c r="NJB24" s="497"/>
      <c r="NJC24" s="497"/>
      <c r="NJD24" s="497"/>
      <c r="NJE24" s="497"/>
      <c r="NJF24" s="497"/>
      <c r="NJG24" s="497"/>
      <c r="NJH24" s="497"/>
      <c r="NJI24" s="497"/>
      <c r="NJJ24" s="497"/>
      <c r="NJK24" s="497"/>
      <c r="NJL24" s="497"/>
      <c r="NJM24" s="497"/>
      <c r="NJN24" s="497"/>
      <c r="NJO24" s="497"/>
      <c r="NJP24" s="497"/>
      <c r="NJQ24" s="497"/>
      <c r="NJR24" s="497"/>
      <c r="NJS24" s="497"/>
      <c r="NJT24" s="497"/>
      <c r="NJU24" s="497"/>
      <c r="NJV24" s="497"/>
      <c r="NJW24" s="497"/>
      <c r="NJX24" s="497"/>
      <c r="NJY24" s="497"/>
      <c r="NJZ24" s="497"/>
      <c r="NKA24" s="497"/>
      <c r="NKB24" s="497"/>
      <c r="NKC24" s="497"/>
      <c r="NKD24" s="497"/>
      <c r="NKE24" s="497"/>
      <c r="NKF24" s="497"/>
      <c r="NKG24" s="497"/>
      <c r="NKH24" s="497"/>
      <c r="NKI24" s="497"/>
      <c r="NKJ24" s="497"/>
      <c r="NKK24" s="497"/>
      <c r="NKL24" s="497"/>
      <c r="NKM24" s="497"/>
      <c r="NKN24" s="497"/>
      <c r="NKO24" s="497"/>
      <c r="NKP24" s="497"/>
      <c r="NKQ24" s="497"/>
      <c r="NKR24" s="497"/>
      <c r="NKS24" s="497"/>
      <c r="NKT24" s="497"/>
      <c r="NKU24" s="497"/>
      <c r="NKV24" s="497"/>
      <c r="NKW24" s="497"/>
      <c r="NKX24" s="497"/>
      <c r="NKY24" s="497"/>
      <c r="NKZ24" s="497"/>
      <c r="NLA24" s="497"/>
      <c r="NLB24" s="497"/>
      <c r="NLC24" s="497"/>
      <c r="NLD24" s="497"/>
      <c r="NLE24" s="497"/>
      <c r="NLF24" s="497"/>
      <c r="NLG24" s="497"/>
      <c r="NLH24" s="497"/>
      <c r="NLI24" s="497"/>
      <c r="NLJ24" s="497"/>
      <c r="NLK24" s="497"/>
      <c r="NLL24" s="497"/>
      <c r="NLM24" s="497"/>
      <c r="NLN24" s="497"/>
      <c r="NLO24" s="497"/>
      <c r="NLP24" s="497"/>
      <c r="NLQ24" s="497"/>
      <c r="NLR24" s="497"/>
      <c r="NLS24" s="497"/>
      <c r="NLT24" s="497"/>
      <c r="NLU24" s="497"/>
      <c r="NLV24" s="497"/>
      <c r="NLW24" s="497"/>
      <c r="NLX24" s="497"/>
      <c r="NLY24" s="497"/>
      <c r="NLZ24" s="497"/>
      <c r="NMA24" s="497"/>
      <c r="NMB24" s="497"/>
      <c r="NMC24" s="497"/>
      <c r="NMD24" s="497"/>
      <c r="NME24" s="497"/>
      <c r="NMF24" s="497"/>
      <c r="NMG24" s="497"/>
      <c r="NMH24" s="497"/>
      <c r="NMI24" s="497"/>
      <c r="NMJ24" s="497"/>
      <c r="NMK24" s="497"/>
      <c r="NML24" s="497"/>
      <c r="NMM24" s="497"/>
      <c r="NMN24" s="497"/>
      <c r="NMO24" s="497"/>
      <c r="NMP24" s="497"/>
      <c r="NMQ24" s="497"/>
      <c r="NMR24" s="497"/>
      <c r="NMS24" s="497"/>
      <c r="NMT24" s="497"/>
      <c r="NMU24" s="497"/>
      <c r="NMV24" s="497"/>
      <c r="NMW24" s="497"/>
      <c r="NMX24" s="497"/>
      <c r="NMY24" s="497"/>
      <c r="NMZ24" s="497"/>
      <c r="NNA24" s="497"/>
      <c r="NNB24" s="497"/>
      <c r="NNC24" s="497"/>
      <c r="NND24" s="497"/>
      <c r="NNE24" s="497"/>
      <c r="NNF24" s="497"/>
      <c r="NNG24" s="497"/>
      <c r="NNH24" s="497"/>
      <c r="NNI24" s="497"/>
      <c r="NNJ24" s="497"/>
      <c r="NNK24" s="497"/>
      <c r="NNL24" s="497"/>
      <c r="NNM24" s="497"/>
      <c r="NNN24" s="497"/>
      <c r="NNO24" s="497"/>
      <c r="NNP24" s="497"/>
      <c r="NNQ24" s="497"/>
      <c r="NNR24" s="497"/>
      <c r="NNS24" s="497"/>
      <c r="NNT24" s="497"/>
      <c r="NNU24" s="497"/>
      <c r="NNV24" s="497"/>
      <c r="NNW24" s="497"/>
      <c r="NNX24" s="497"/>
      <c r="NNY24" s="497"/>
      <c r="NNZ24" s="497"/>
      <c r="NOA24" s="497"/>
      <c r="NOB24" s="497"/>
      <c r="NOC24" s="497"/>
      <c r="NOD24" s="497"/>
      <c r="NOE24" s="497"/>
      <c r="NOF24" s="497"/>
      <c r="NOG24" s="497"/>
      <c r="NOH24" s="497"/>
      <c r="NOI24" s="497"/>
      <c r="NOJ24" s="497"/>
      <c r="NOK24" s="497"/>
      <c r="NOL24" s="497"/>
      <c r="NOM24" s="497"/>
      <c r="NON24" s="497"/>
      <c r="NOO24" s="497"/>
      <c r="NOP24" s="497"/>
      <c r="NOQ24" s="497"/>
      <c r="NOR24" s="497"/>
      <c r="NOS24" s="497"/>
      <c r="NOT24" s="497"/>
      <c r="NOU24" s="497"/>
      <c r="NOV24" s="497"/>
      <c r="NOW24" s="497"/>
      <c r="NOX24" s="497"/>
      <c r="NOY24" s="497"/>
      <c r="NOZ24" s="497"/>
      <c r="NPA24" s="497"/>
      <c r="NPB24" s="497"/>
      <c r="NPC24" s="497"/>
      <c r="NPD24" s="497"/>
      <c r="NPE24" s="497"/>
      <c r="NPF24" s="497"/>
      <c r="NPG24" s="497"/>
      <c r="NPH24" s="497"/>
      <c r="NPI24" s="497"/>
      <c r="NPJ24" s="497"/>
      <c r="NPK24" s="497"/>
      <c r="NPL24" s="497"/>
      <c r="NPM24" s="497"/>
      <c r="NPN24" s="497"/>
      <c r="NPO24" s="497"/>
      <c r="NPP24" s="497"/>
      <c r="NPQ24" s="497"/>
      <c r="NPR24" s="497"/>
      <c r="NPS24" s="497"/>
      <c r="NPT24" s="497"/>
      <c r="NPU24" s="497"/>
      <c r="NPV24" s="497"/>
      <c r="NPW24" s="497"/>
      <c r="NPX24" s="497"/>
      <c r="NPY24" s="497"/>
      <c r="NPZ24" s="497"/>
      <c r="NQA24" s="497"/>
      <c r="NQB24" s="497"/>
      <c r="NQC24" s="497"/>
      <c r="NQD24" s="497"/>
      <c r="NQE24" s="497"/>
      <c r="NQF24" s="497"/>
      <c r="NQG24" s="497"/>
      <c r="NQH24" s="497"/>
      <c r="NQI24" s="497"/>
      <c r="NQJ24" s="497"/>
      <c r="NQK24" s="497"/>
      <c r="NQL24" s="497"/>
      <c r="NQM24" s="497"/>
      <c r="NQN24" s="497"/>
      <c r="NQO24" s="497"/>
      <c r="NQP24" s="497"/>
      <c r="NQQ24" s="497"/>
      <c r="NQR24" s="497"/>
      <c r="NQS24" s="497"/>
      <c r="NQT24" s="497"/>
      <c r="NQU24" s="497"/>
      <c r="NQV24" s="497"/>
      <c r="NQW24" s="497"/>
      <c r="NQX24" s="497"/>
      <c r="NQY24" s="497"/>
      <c r="NQZ24" s="497"/>
      <c r="NRA24" s="497"/>
      <c r="NRB24" s="497"/>
      <c r="NRC24" s="497"/>
      <c r="NRD24" s="497"/>
      <c r="NRE24" s="497"/>
      <c r="NRF24" s="497"/>
      <c r="NRG24" s="497"/>
      <c r="NRH24" s="497"/>
      <c r="NRI24" s="497"/>
      <c r="NRJ24" s="497"/>
      <c r="NRK24" s="497"/>
      <c r="NRL24" s="497"/>
      <c r="NRM24" s="497"/>
      <c r="NRN24" s="497"/>
      <c r="NRO24" s="497"/>
      <c r="NRP24" s="497"/>
      <c r="NRQ24" s="497"/>
      <c r="NRR24" s="497"/>
      <c r="NRS24" s="497"/>
      <c r="NRT24" s="497"/>
      <c r="NRU24" s="497"/>
      <c r="NRV24" s="497"/>
      <c r="NRW24" s="497"/>
      <c r="NRX24" s="497"/>
      <c r="NRY24" s="497"/>
      <c r="NRZ24" s="497"/>
      <c r="NSA24" s="497"/>
      <c r="NSB24" s="497"/>
      <c r="NSC24" s="497"/>
      <c r="NSD24" s="497"/>
      <c r="NSE24" s="497"/>
      <c r="NSF24" s="497"/>
      <c r="NSG24" s="497"/>
      <c r="NSH24" s="497"/>
      <c r="NSI24" s="497"/>
      <c r="NSJ24" s="497"/>
      <c r="NSK24" s="497"/>
      <c r="NSL24" s="497"/>
      <c r="NSM24" s="497"/>
      <c r="NSN24" s="497"/>
      <c r="NSO24" s="497"/>
      <c r="NSP24" s="497"/>
      <c r="NSQ24" s="497"/>
      <c r="NSR24" s="497"/>
      <c r="NSS24" s="497"/>
      <c r="NST24" s="497"/>
      <c r="NSU24" s="497"/>
      <c r="NSV24" s="497"/>
      <c r="NSW24" s="497"/>
      <c r="NSX24" s="497"/>
      <c r="NSY24" s="497"/>
      <c r="NSZ24" s="497"/>
      <c r="NTA24" s="497"/>
      <c r="NTB24" s="497"/>
      <c r="NTC24" s="497"/>
      <c r="NTD24" s="497"/>
      <c r="NTE24" s="497"/>
      <c r="NTF24" s="497"/>
      <c r="NTG24" s="497"/>
      <c r="NTH24" s="497"/>
      <c r="NTI24" s="497"/>
      <c r="NTJ24" s="497"/>
      <c r="NTK24" s="497"/>
      <c r="NTL24" s="497"/>
      <c r="NTM24" s="497"/>
      <c r="NTN24" s="497"/>
      <c r="NTO24" s="497"/>
      <c r="NTP24" s="497"/>
      <c r="NTQ24" s="497"/>
      <c r="NTR24" s="497"/>
      <c r="NTS24" s="497"/>
      <c r="NTT24" s="497"/>
      <c r="NTU24" s="497"/>
      <c r="NTV24" s="497"/>
      <c r="NTW24" s="497"/>
      <c r="NTX24" s="497"/>
      <c r="NTY24" s="497"/>
      <c r="NTZ24" s="497"/>
      <c r="NUA24" s="497"/>
      <c r="NUB24" s="497"/>
      <c r="NUC24" s="497"/>
      <c r="NUD24" s="497"/>
      <c r="NUE24" s="497"/>
      <c r="NUF24" s="497"/>
      <c r="NUG24" s="497"/>
      <c r="NUH24" s="497"/>
      <c r="NUI24" s="497"/>
      <c r="NUJ24" s="497"/>
      <c r="NUK24" s="497"/>
      <c r="NUL24" s="497"/>
      <c r="NUM24" s="497"/>
      <c r="NUN24" s="497"/>
      <c r="NUO24" s="497"/>
      <c r="NUP24" s="497"/>
      <c r="NUQ24" s="497"/>
      <c r="NUR24" s="497"/>
      <c r="NUS24" s="497"/>
      <c r="NUT24" s="497"/>
      <c r="NUU24" s="497"/>
      <c r="NUV24" s="497"/>
      <c r="NUW24" s="497"/>
      <c r="NUX24" s="497"/>
      <c r="NUY24" s="497"/>
      <c r="NUZ24" s="497"/>
      <c r="NVA24" s="497"/>
      <c r="NVB24" s="497"/>
      <c r="NVC24" s="497"/>
      <c r="NVD24" s="497"/>
      <c r="NVE24" s="497"/>
      <c r="NVF24" s="497"/>
      <c r="NVG24" s="497"/>
      <c r="NVH24" s="497"/>
      <c r="NVI24" s="497"/>
      <c r="NVJ24" s="497"/>
      <c r="NVK24" s="497"/>
      <c r="NVL24" s="497"/>
      <c r="NVM24" s="497"/>
      <c r="NVN24" s="497"/>
      <c r="NVO24" s="497"/>
      <c r="NVP24" s="497"/>
      <c r="NVQ24" s="497"/>
      <c r="NVR24" s="497"/>
      <c r="NVS24" s="497"/>
      <c r="NVT24" s="497"/>
      <c r="NVU24" s="497"/>
      <c r="NVV24" s="497"/>
      <c r="NVW24" s="497"/>
      <c r="NVX24" s="497"/>
      <c r="NVY24" s="497"/>
      <c r="NVZ24" s="497"/>
      <c r="NWA24" s="497"/>
      <c r="NWB24" s="497"/>
      <c r="NWC24" s="497"/>
      <c r="NWD24" s="497"/>
      <c r="NWE24" s="497"/>
      <c r="NWF24" s="497"/>
      <c r="NWG24" s="497"/>
      <c r="NWH24" s="497"/>
      <c r="NWI24" s="497"/>
      <c r="NWJ24" s="497"/>
      <c r="NWK24" s="497"/>
      <c r="NWL24" s="497"/>
      <c r="NWM24" s="497"/>
      <c r="NWN24" s="497"/>
      <c r="NWO24" s="497"/>
      <c r="NWP24" s="497"/>
      <c r="NWQ24" s="497"/>
      <c r="NWR24" s="497"/>
      <c r="NWS24" s="497"/>
      <c r="NWT24" s="497"/>
      <c r="NWU24" s="497"/>
      <c r="NWV24" s="497"/>
      <c r="NWW24" s="497"/>
      <c r="NWX24" s="497"/>
      <c r="NWY24" s="497"/>
      <c r="NWZ24" s="497"/>
      <c r="NXA24" s="497"/>
      <c r="NXB24" s="497"/>
      <c r="NXC24" s="497"/>
      <c r="NXD24" s="497"/>
      <c r="NXE24" s="497"/>
      <c r="NXF24" s="497"/>
      <c r="NXG24" s="497"/>
      <c r="NXH24" s="497"/>
      <c r="NXI24" s="497"/>
      <c r="NXJ24" s="497"/>
      <c r="NXK24" s="497"/>
      <c r="NXL24" s="497"/>
      <c r="NXM24" s="497"/>
      <c r="NXN24" s="497"/>
      <c r="NXO24" s="497"/>
      <c r="NXP24" s="497"/>
      <c r="NXQ24" s="497"/>
      <c r="NXR24" s="497"/>
      <c r="NXS24" s="497"/>
      <c r="NXT24" s="497"/>
      <c r="NXU24" s="497"/>
      <c r="NXV24" s="497"/>
      <c r="NXW24" s="497"/>
      <c r="NXX24" s="497"/>
      <c r="NXY24" s="497"/>
      <c r="NXZ24" s="497"/>
      <c r="NYA24" s="497"/>
      <c r="NYB24" s="497"/>
      <c r="NYC24" s="497"/>
      <c r="NYD24" s="497"/>
      <c r="NYE24" s="497"/>
      <c r="NYF24" s="497"/>
      <c r="NYG24" s="497"/>
      <c r="NYH24" s="497"/>
      <c r="NYI24" s="497"/>
      <c r="NYJ24" s="497"/>
      <c r="NYK24" s="497"/>
      <c r="NYL24" s="497"/>
      <c r="NYM24" s="497"/>
      <c r="NYN24" s="497"/>
      <c r="NYO24" s="497"/>
      <c r="NYP24" s="497"/>
      <c r="NYQ24" s="497"/>
      <c r="NYR24" s="497"/>
      <c r="NYS24" s="497"/>
      <c r="NYT24" s="497"/>
      <c r="NYU24" s="497"/>
      <c r="NYV24" s="497"/>
      <c r="NYW24" s="497"/>
      <c r="NYX24" s="497"/>
      <c r="NYY24" s="497"/>
      <c r="NYZ24" s="497"/>
      <c r="NZA24" s="497"/>
      <c r="NZB24" s="497"/>
      <c r="NZC24" s="497"/>
      <c r="NZD24" s="497"/>
      <c r="NZE24" s="497"/>
      <c r="NZF24" s="497"/>
      <c r="NZG24" s="497"/>
      <c r="NZH24" s="497"/>
      <c r="NZI24" s="497"/>
      <c r="NZJ24" s="497"/>
      <c r="NZK24" s="497"/>
      <c r="NZL24" s="497"/>
      <c r="NZM24" s="497"/>
      <c r="NZN24" s="497"/>
      <c r="NZO24" s="497"/>
      <c r="NZP24" s="497"/>
      <c r="NZQ24" s="497"/>
      <c r="NZR24" s="497"/>
      <c r="NZS24" s="497"/>
      <c r="NZT24" s="497"/>
      <c r="NZU24" s="497"/>
      <c r="NZV24" s="497"/>
      <c r="NZW24" s="497"/>
      <c r="NZX24" s="497"/>
      <c r="NZY24" s="497"/>
      <c r="NZZ24" s="497"/>
      <c r="OAA24" s="497"/>
      <c r="OAB24" s="497"/>
      <c r="OAC24" s="497"/>
      <c r="OAD24" s="497"/>
      <c r="OAE24" s="497"/>
      <c r="OAF24" s="497"/>
      <c r="OAG24" s="497"/>
      <c r="OAH24" s="497"/>
      <c r="OAI24" s="497"/>
      <c r="OAJ24" s="497"/>
      <c r="OAK24" s="497"/>
      <c r="OAL24" s="497"/>
      <c r="OAM24" s="497"/>
      <c r="OAN24" s="497"/>
      <c r="OAO24" s="497"/>
      <c r="OAP24" s="497"/>
      <c r="OAQ24" s="497"/>
      <c r="OAR24" s="497"/>
      <c r="OAS24" s="497"/>
      <c r="OAT24" s="497"/>
      <c r="OAU24" s="497"/>
      <c r="OAV24" s="497"/>
      <c r="OAW24" s="497"/>
      <c r="OAX24" s="497"/>
      <c r="OAY24" s="497"/>
      <c r="OAZ24" s="497"/>
      <c r="OBA24" s="497"/>
      <c r="OBB24" s="497"/>
      <c r="OBC24" s="497"/>
      <c r="OBD24" s="497"/>
      <c r="OBE24" s="497"/>
      <c r="OBF24" s="497"/>
      <c r="OBG24" s="497"/>
      <c r="OBH24" s="497"/>
      <c r="OBI24" s="497"/>
      <c r="OBJ24" s="497"/>
      <c r="OBK24" s="497"/>
      <c r="OBL24" s="497"/>
      <c r="OBM24" s="497"/>
      <c r="OBN24" s="497"/>
      <c r="OBO24" s="497"/>
      <c r="OBP24" s="497"/>
      <c r="OBQ24" s="497"/>
      <c r="OBR24" s="497"/>
      <c r="OBS24" s="497"/>
      <c r="OBT24" s="497"/>
      <c r="OBU24" s="497"/>
      <c r="OBV24" s="497"/>
      <c r="OBW24" s="497"/>
      <c r="OBX24" s="497"/>
      <c r="OBY24" s="497"/>
      <c r="OBZ24" s="497"/>
      <c r="OCA24" s="497"/>
      <c r="OCB24" s="497"/>
      <c r="OCC24" s="497"/>
      <c r="OCD24" s="497"/>
      <c r="OCE24" s="497"/>
      <c r="OCF24" s="497"/>
      <c r="OCG24" s="497"/>
      <c r="OCH24" s="497"/>
      <c r="OCI24" s="497"/>
      <c r="OCJ24" s="497"/>
      <c r="OCK24" s="497"/>
      <c r="OCL24" s="497"/>
      <c r="OCM24" s="497"/>
      <c r="OCN24" s="497"/>
      <c r="OCO24" s="497"/>
      <c r="OCP24" s="497"/>
      <c r="OCQ24" s="497"/>
      <c r="OCR24" s="497"/>
      <c r="OCS24" s="497"/>
      <c r="OCT24" s="497"/>
      <c r="OCU24" s="497"/>
      <c r="OCV24" s="497"/>
      <c r="OCW24" s="497"/>
      <c r="OCX24" s="497"/>
      <c r="OCY24" s="497"/>
      <c r="OCZ24" s="497"/>
      <c r="ODA24" s="497"/>
      <c r="ODB24" s="497"/>
      <c r="ODC24" s="497"/>
      <c r="ODD24" s="497"/>
      <c r="ODE24" s="497"/>
      <c r="ODF24" s="497"/>
      <c r="ODG24" s="497"/>
      <c r="ODH24" s="497"/>
      <c r="ODI24" s="497"/>
      <c r="ODJ24" s="497"/>
      <c r="ODK24" s="497"/>
      <c r="ODL24" s="497"/>
      <c r="ODM24" s="497"/>
      <c r="ODN24" s="497"/>
      <c r="ODO24" s="497"/>
      <c r="ODP24" s="497"/>
      <c r="ODQ24" s="497"/>
      <c r="ODR24" s="497"/>
      <c r="ODS24" s="497"/>
      <c r="ODT24" s="497"/>
      <c r="ODU24" s="497"/>
      <c r="ODV24" s="497"/>
      <c r="ODW24" s="497"/>
      <c r="ODX24" s="497"/>
      <c r="ODY24" s="497"/>
      <c r="ODZ24" s="497"/>
      <c r="OEA24" s="497"/>
      <c r="OEB24" s="497"/>
      <c r="OEC24" s="497"/>
      <c r="OED24" s="497"/>
      <c r="OEE24" s="497"/>
      <c r="OEF24" s="497"/>
      <c r="OEG24" s="497"/>
      <c r="OEH24" s="497"/>
      <c r="OEI24" s="497"/>
      <c r="OEJ24" s="497"/>
      <c r="OEK24" s="497"/>
      <c r="OEL24" s="497"/>
      <c r="OEM24" s="497"/>
      <c r="OEN24" s="497"/>
      <c r="OEO24" s="497"/>
      <c r="OEP24" s="497"/>
      <c r="OEQ24" s="497"/>
      <c r="OER24" s="497"/>
      <c r="OES24" s="497"/>
      <c r="OET24" s="497"/>
      <c r="OEU24" s="497"/>
      <c r="OEV24" s="497"/>
      <c r="OEW24" s="497"/>
      <c r="OEX24" s="497"/>
      <c r="OEY24" s="497"/>
      <c r="OEZ24" s="497"/>
      <c r="OFA24" s="497"/>
      <c r="OFB24" s="497"/>
      <c r="OFC24" s="497"/>
      <c r="OFD24" s="497"/>
      <c r="OFE24" s="497"/>
      <c r="OFF24" s="497"/>
      <c r="OFG24" s="497"/>
      <c r="OFH24" s="497"/>
      <c r="OFI24" s="497"/>
      <c r="OFJ24" s="497"/>
      <c r="OFK24" s="497"/>
      <c r="OFL24" s="497"/>
      <c r="OFM24" s="497"/>
      <c r="OFN24" s="497"/>
      <c r="OFO24" s="497"/>
      <c r="OFP24" s="497"/>
      <c r="OFQ24" s="497"/>
      <c r="OFR24" s="497"/>
      <c r="OFS24" s="497"/>
      <c r="OFT24" s="497"/>
      <c r="OFU24" s="497"/>
      <c r="OFV24" s="497"/>
      <c r="OFW24" s="497"/>
      <c r="OFX24" s="497"/>
      <c r="OFY24" s="497"/>
      <c r="OFZ24" s="497"/>
      <c r="OGA24" s="497"/>
      <c r="OGB24" s="497"/>
      <c r="OGC24" s="497"/>
      <c r="OGD24" s="497"/>
      <c r="OGE24" s="497"/>
      <c r="OGF24" s="497"/>
      <c r="OGG24" s="497"/>
      <c r="OGH24" s="497"/>
      <c r="OGI24" s="497"/>
      <c r="OGJ24" s="497"/>
      <c r="OGK24" s="497"/>
      <c r="OGL24" s="497"/>
      <c r="OGM24" s="497"/>
      <c r="OGN24" s="497"/>
      <c r="OGO24" s="497"/>
      <c r="OGP24" s="497"/>
      <c r="OGQ24" s="497"/>
      <c r="OGR24" s="497"/>
      <c r="OGS24" s="497"/>
      <c r="OGT24" s="497"/>
      <c r="OGU24" s="497"/>
      <c r="OGV24" s="497"/>
      <c r="OGW24" s="497"/>
      <c r="OGX24" s="497"/>
      <c r="OGY24" s="497"/>
      <c r="OGZ24" s="497"/>
      <c r="OHA24" s="497"/>
      <c r="OHB24" s="497"/>
      <c r="OHC24" s="497"/>
      <c r="OHD24" s="497"/>
      <c r="OHE24" s="497"/>
      <c r="OHF24" s="497"/>
      <c r="OHG24" s="497"/>
      <c r="OHH24" s="497"/>
      <c r="OHI24" s="497"/>
      <c r="OHJ24" s="497"/>
      <c r="OHK24" s="497"/>
      <c r="OHL24" s="497"/>
      <c r="OHM24" s="497"/>
      <c r="OHN24" s="497"/>
      <c r="OHO24" s="497"/>
      <c r="OHP24" s="497"/>
      <c r="OHQ24" s="497"/>
      <c r="OHR24" s="497"/>
      <c r="OHS24" s="497"/>
      <c r="OHT24" s="497"/>
      <c r="OHU24" s="497"/>
      <c r="OHV24" s="497"/>
      <c r="OHW24" s="497"/>
      <c r="OHX24" s="497"/>
      <c r="OHY24" s="497"/>
      <c r="OHZ24" s="497"/>
      <c r="OIA24" s="497"/>
      <c r="OIB24" s="497"/>
      <c r="OIC24" s="497"/>
      <c r="OID24" s="497"/>
      <c r="OIE24" s="497"/>
      <c r="OIF24" s="497"/>
      <c r="OIG24" s="497"/>
      <c r="OIH24" s="497"/>
      <c r="OII24" s="497"/>
      <c r="OIJ24" s="497"/>
      <c r="OIK24" s="497"/>
      <c r="OIL24" s="497"/>
      <c r="OIM24" s="497"/>
      <c r="OIN24" s="497"/>
      <c r="OIO24" s="497"/>
      <c r="OIP24" s="497"/>
      <c r="OIQ24" s="497"/>
      <c r="OIR24" s="497"/>
      <c r="OIS24" s="497"/>
      <c r="OIT24" s="497"/>
      <c r="OIU24" s="497"/>
      <c r="OIV24" s="497"/>
      <c r="OIW24" s="497"/>
      <c r="OIX24" s="497"/>
      <c r="OIY24" s="497"/>
      <c r="OIZ24" s="497"/>
      <c r="OJA24" s="497"/>
      <c r="OJB24" s="497"/>
      <c r="OJC24" s="497"/>
      <c r="OJD24" s="497"/>
      <c r="OJE24" s="497"/>
      <c r="OJF24" s="497"/>
      <c r="OJG24" s="497"/>
      <c r="OJH24" s="497"/>
      <c r="OJI24" s="497"/>
      <c r="OJJ24" s="497"/>
      <c r="OJK24" s="497"/>
      <c r="OJL24" s="497"/>
      <c r="OJM24" s="497"/>
      <c r="OJN24" s="497"/>
      <c r="OJO24" s="497"/>
      <c r="OJP24" s="497"/>
      <c r="OJQ24" s="497"/>
      <c r="OJR24" s="497"/>
      <c r="OJS24" s="497"/>
      <c r="OJT24" s="497"/>
      <c r="OJU24" s="497"/>
      <c r="OJV24" s="497"/>
      <c r="OJW24" s="497"/>
      <c r="OJX24" s="497"/>
      <c r="OJY24" s="497"/>
      <c r="OJZ24" s="497"/>
      <c r="OKA24" s="497"/>
      <c r="OKB24" s="497"/>
      <c r="OKC24" s="497"/>
      <c r="OKD24" s="497"/>
      <c r="OKE24" s="497"/>
      <c r="OKF24" s="497"/>
      <c r="OKG24" s="497"/>
      <c r="OKH24" s="497"/>
      <c r="OKI24" s="497"/>
      <c r="OKJ24" s="497"/>
      <c r="OKK24" s="497"/>
      <c r="OKL24" s="497"/>
      <c r="OKM24" s="497"/>
      <c r="OKN24" s="497"/>
      <c r="OKO24" s="497"/>
      <c r="OKP24" s="497"/>
      <c r="OKQ24" s="497"/>
      <c r="OKR24" s="497"/>
      <c r="OKS24" s="497"/>
      <c r="OKT24" s="497"/>
      <c r="OKU24" s="497"/>
      <c r="OKV24" s="497"/>
      <c r="OKW24" s="497"/>
      <c r="OKX24" s="497"/>
      <c r="OKY24" s="497"/>
      <c r="OKZ24" s="497"/>
      <c r="OLA24" s="497"/>
      <c r="OLB24" s="497"/>
      <c r="OLC24" s="497"/>
      <c r="OLD24" s="497"/>
      <c r="OLE24" s="497"/>
      <c r="OLF24" s="497"/>
      <c r="OLG24" s="497"/>
      <c r="OLH24" s="497"/>
      <c r="OLI24" s="497"/>
      <c r="OLJ24" s="497"/>
      <c r="OLK24" s="497"/>
      <c r="OLL24" s="497"/>
      <c r="OLM24" s="497"/>
      <c r="OLN24" s="497"/>
      <c r="OLO24" s="497"/>
      <c r="OLP24" s="497"/>
      <c r="OLQ24" s="497"/>
      <c r="OLR24" s="497"/>
      <c r="OLS24" s="497"/>
      <c r="OLT24" s="497"/>
      <c r="OLU24" s="497"/>
      <c r="OLV24" s="497"/>
      <c r="OLW24" s="497"/>
      <c r="OLX24" s="497"/>
      <c r="OLY24" s="497"/>
      <c r="OLZ24" s="497"/>
      <c r="OMA24" s="497"/>
      <c r="OMB24" s="497"/>
      <c r="OMC24" s="497"/>
      <c r="OMD24" s="497"/>
      <c r="OME24" s="497"/>
      <c r="OMF24" s="497"/>
      <c r="OMG24" s="497"/>
      <c r="OMH24" s="497"/>
      <c r="OMI24" s="497"/>
      <c r="OMJ24" s="497"/>
      <c r="OMK24" s="497"/>
      <c r="OML24" s="497"/>
      <c r="OMM24" s="497"/>
      <c r="OMN24" s="497"/>
      <c r="OMO24" s="497"/>
      <c r="OMP24" s="497"/>
      <c r="OMQ24" s="497"/>
      <c r="OMR24" s="497"/>
      <c r="OMS24" s="497"/>
      <c r="OMT24" s="497"/>
      <c r="OMU24" s="497"/>
      <c r="OMV24" s="497"/>
      <c r="OMW24" s="497"/>
      <c r="OMX24" s="497"/>
      <c r="OMY24" s="497"/>
      <c r="OMZ24" s="497"/>
      <c r="ONA24" s="497"/>
      <c r="ONB24" s="497"/>
      <c r="ONC24" s="497"/>
      <c r="OND24" s="497"/>
      <c r="ONE24" s="497"/>
      <c r="ONF24" s="497"/>
      <c r="ONG24" s="497"/>
      <c r="ONH24" s="497"/>
      <c r="ONI24" s="497"/>
      <c r="ONJ24" s="497"/>
      <c r="ONK24" s="497"/>
      <c r="ONL24" s="497"/>
      <c r="ONM24" s="497"/>
      <c r="ONN24" s="497"/>
      <c r="ONO24" s="497"/>
      <c r="ONP24" s="497"/>
      <c r="ONQ24" s="497"/>
      <c r="ONR24" s="497"/>
      <c r="ONS24" s="497"/>
      <c r="ONT24" s="497"/>
      <c r="ONU24" s="497"/>
      <c r="ONV24" s="497"/>
      <c r="ONW24" s="497"/>
      <c r="ONX24" s="497"/>
      <c r="ONY24" s="497"/>
      <c r="ONZ24" s="497"/>
      <c r="OOA24" s="497"/>
      <c r="OOB24" s="497"/>
      <c r="OOC24" s="497"/>
      <c r="OOD24" s="497"/>
      <c r="OOE24" s="497"/>
      <c r="OOF24" s="497"/>
      <c r="OOG24" s="497"/>
      <c r="OOH24" s="497"/>
      <c r="OOI24" s="497"/>
      <c r="OOJ24" s="497"/>
      <c r="OOK24" s="497"/>
      <c r="OOL24" s="497"/>
      <c r="OOM24" s="497"/>
      <c r="OON24" s="497"/>
      <c r="OOO24" s="497"/>
      <c r="OOP24" s="497"/>
      <c r="OOQ24" s="497"/>
      <c r="OOR24" s="497"/>
      <c r="OOS24" s="497"/>
      <c r="OOT24" s="497"/>
      <c r="OOU24" s="497"/>
      <c r="OOV24" s="497"/>
      <c r="OOW24" s="497"/>
      <c r="OOX24" s="497"/>
      <c r="OOY24" s="497"/>
      <c r="OOZ24" s="497"/>
      <c r="OPA24" s="497"/>
      <c r="OPB24" s="497"/>
      <c r="OPC24" s="497"/>
      <c r="OPD24" s="497"/>
      <c r="OPE24" s="497"/>
      <c r="OPF24" s="497"/>
      <c r="OPG24" s="497"/>
      <c r="OPH24" s="497"/>
      <c r="OPI24" s="497"/>
      <c r="OPJ24" s="497"/>
      <c r="OPK24" s="497"/>
      <c r="OPL24" s="497"/>
      <c r="OPM24" s="497"/>
      <c r="OPN24" s="497"/>
      <c r="OPO24" s="497"/>
      <c r="OPP24" s="497"/>
      <c r="OPQ24" s="497"/>
      <c r="OPR24" s="497"/>
      <c r="OPS24" s="497"/>
      <c r="OPT24" s="497"/>
      <c r="OPU24" s="497"/>
      <c r="OPV24" s="497"/>
      <c r="OPW24" s="497"/>
      <c r="OPX24" s="497"/>
      <c r="OPY24" s="497"/>
      <c r="OPZ24" s="497"/>
      <c r="OQA24" s="497"/>
      <c r="OQB24" s="497"/>
      <c r="OQC24" s="497"/>
      <c r="OQD24" s="497"/>
      <c r="OQE24" s="497"/>
      <c r="OQF24" s="497"/>
      <c r="OQG24" s="497"/>
      <c r="OQH24" s="497"/>
      <c r="OQI24" s="497"/>
      <c r="OQJ24" s="497"/>
      <c r="OQK24" s="497"/>
      <c r="OQL24" s="497"/>
      <c r="OQM24" s="497"/>
      <c r="OQN24" s="497"/>
      <c r="OQO24" s="497"/>
      <c r="OQP24" s="497"/>
      <c r="OQQ24" s="497"/>
      <c r="OQR24" s="497"/>
      <c r="OQS24" s="497"/>
      <c r="OQT24" s="497"/>
      <c r="OQU24" s="497"/>
      <c r="OQV24" s="497"/>
      <c r="OQW24" s="497"/>
      <c r="OQX24" s="497"/>
      <c r="OQY24" s="497"/>
      <c r="OQZ24" s="497"/>
      <c r="ORA24" s="497"/>
      <c r="ORB24" s="497"/>
      <c r="ORC24" s="497"/>
      <c r="ORD24" s="497"/>
      <c r="ORE24" s="497"/>
      <c r="ORF24" s="497"/>
      <c r="ORG24" s="497"/>
      <c r="ORH24" s="497"/>
      <c r="ORI24" s="497"/>
      <c r="ORJ24" s="497"/>
      <c r="ORK24" s="497"/>
      <c r="ORL24" s="497"/>
      <c r="ORM24" s="497"/>
      <c r="ORN24" s="497"/>
      <c r="ORO24" s="497"/>
      <c r="ORP24" s="497"/>
      <c r="ORQ24" s="497"/>
      <c r="ORR24" s="497"/>
      <c r="ORS24" s="497"/>
      <c r="ORT24" s="497"/>
      <c r="ORU24" s="497"/>
      <c r="ORV24" s="497"/>
      <c r="ORW24" s="497"/>
      <c r="ORX24" s="497"/>
      <c r="ORY24" s="497"/>
      <c r="ORZ24" s="497"/>
      <c r="OSA24" s="497"/>
      <c r="OSB24" s="497"/>
      <c r="OSC24" s="497"/>
      <c r="OSD24" s="497"/>
      <c r="OSE24" s="497"/>
      <c r="OSF24" s="497"/>
      <c r="OSG24" s="497"/>
      <c r="OSH24" s="497"/>
      <c r="OSI24" s="497"/>
      <c r="OSJ24" s="497"/>
      <c r="OSK24" s="497"/>
      <c r="OSL24" s="497"/>
      <c r="OSM24" s="497"/>
      <c r="OSN24" s="497"/>
      <c r="OSO24" s="497"/>
      <c r="OSP24" s="497"/>
      <c r="OSQ24" s="497"/>
      <c r="OSR24" s="497"/>
      <c r="OSS24" s="497"/>
      <c r="OST24" s="497"/>
      <c r="OSU24" s="497"/>
      <c r="OSV24" s="497"/>
      <c r="OSW24" s="497"/>
      <c r="OSX24" s="497"/>
      <c r="OSY24" s="497"/>
      <c r="OSZ24" s="497"/>
      <c r="OTA24" s="497"/>
      <c r="OTB24" s="497"/>
      <c r="OTC24" s="497"/>
      <c r="OTD24" s="497"/>
      <c r="OTE24" s="497"/>
      <c r="OTF24" s="497"/>
      <c r="OTG24" s="497"/>
      <c r="OTH24" s="497"/>
      <c r="OTI24" s="497"/>
      <c r="OTJ24" s="497"/>
      <c r="OTK24" s="497"/>
      <c r="OTL24" s="497"/>
      <c r="OTM24" s="497"/>
      <c r="OTN24" s="497"/>
      <c r="OTO24" s="497"/>
      <c r="OTP24" s="497"/>
      <c r="OTQ24" s="497"/>
      <c r="OTR24" s="497"/>
      <c r="OTS24" s="497"/>
      <c r="OTT24" s="497"/>
      <c r="OTU24" s="497"/>
      <c r="OTV24" s="497"/>
      <c r="OTW24" s="497"/>
      <c r="OTX24" s="497"/>
      <c r="OTY24" s="497"/>
      <c r="OTZ24" s="497"/>
      <c r="OUA24" s="497"/>
      <c r="OUB24" s="497"/>
      <c r="OUC24" s="497"/>
      <c r="OUD24" s="497"/>
      <c r="OUE24" s="497"/>
      <c r="OUF24" s="497"/>
      <c r="OUG24" s="497"/>
      <c r="OUH24" s="497"/>
      <c r="OUI24" s="497"/>
      <c r="OUJ24" s="497"/>
      <c r="OUK24" s="497"/>
      <c r="OUL24" s="497"/>
      <c r="OUM24" s="497"/>
      <c r="OUN24" s="497"/>
      <c r="OUO24" s="497"/>
      <c r="OUP24" s="497"/>
      <c r="OUQ24" s="497"/>
      <c r="OUR24" s="497"/>
      <c r="OUS24" s="497"/>
      <c r="OUT24" s="497"/>
      <c r="OUU24" s="497"/>
      <c r="OUV24" s="497"/>
      <c r="OUW24" s="497"/>
      <c r="OUX24" s="497"/>
      <c r="OUY24" s="497"/>
      <c r="OUZ24" s="497"/>
      <c r="OVA24" s="497"/>
      <c r="OVB24" s="497"/>
      <c r="OVC24" s="497"/>
      <c r="OVD24" s="497"/>
      <c r="OVE24" s="497"/>
      <c r="OVF24" s="497"/>
      <c r="OVG24" s="497"/>
      <c r="OVH24" s="497"/>
      <c r="OVI24" s="497"/>
      <c r="OVJ24" s="497"/>
      <c r="OVK24" s="497"/>
      <c r="OVL24" s="497"/>
      <c r="OVM24" s="497"/>
      <c r="OVN24" s="497"/>
      <c r="OVO24" s="497"/>
      <c r="OVP24" s="497"/>
      <c r="OVQ24" s="497"/>
      <c r="OVR24" s="497"/>
      <c r="OVS24" s="497"/>
      <c r="OVT24" s="497"/>
      <c r="OVU24" s="497"/>
      <c r="OVV24" s="497"/>
      <c r="OVW24" s="497"/>
      <c r="OVX24" s="497"/>
      <c r="OVY24" s="497"/>
      <c r="OVZ24" s="497"/>
      <c r="OWA24" s="497"/>
      <c r="OWB24" s="497"/>
      <c r="OWC24" s="497"/>
      <c r="OWD24" s="497"/>
      <c r="OWE24" s="497"/>
      <c r="OWF24" s="497"/>
      <c r="OWG24" s="497"/>
      <c r="OWH24" s="497"/>
      <c r="OWI24" s="497"/>
      <c r="OWJ24" s="497"/>
      <c r="OWK24" s="497"/>
      <c r="OWL24" s="497"/>
      <c r="OWM24" s="497"/>
      <c r="OWN24" s="497"/>
      <c r="OWO24" s="497"/>
      <c r="OWP24" s="497"/>
      <c r="OWQ24" s="497"/>
      <c r="OWR24" s="497"/>
      <c r="OWS24" s="497"/>
      <c r="OWT24" s="497"/>
      <c r="OWU24" s="497"/>
      <c r="OWV24" s="497"/>
      <c r="OWW24" s="497"/>
      <c r="OWX24" s="497"/>
      <c r="OWY24" s="497"/>
      <c r="OWZ24" s="497"/>
      <c r="OXA24" s="497"/>
      <c r="OXB24" s="497"/>
      <c r="OXC24" s="497"/>
      <c r="OXD24" s="497"/>
      <c r="OXE24" s="497"/>
      <c r="OXF24" s="497"/>
      <c r="OXG24" s="497"/>
      <c r="OXH24" s="497"/>
      <c r="OXI24" s="497"/>
      <c r="OXJ24" s="497"/>
      <c r="OXK24" s="497"/>
      <c r="OXL24" s="497"/>
      <c r="OXM24" s="497"/>
      <c r="OXN24" s="497"/>
      <c r="OXO24" s="497"/>
      <c r="OXP24" s="497"/>
      <c r="OXQ24" s="497"/>
      <c r="OXR24" s="497"/>
      <c r="OXS24" s="497"/>
      <c r="OXT24" s="497"/>
      <c r="OXU24" s="497"/>
      <c r="OXV24" s="497"/>
      <c r="OXW24" s="497"/>
      <c r="OXX24" s="497"/>
      <c r="OXY24" s="497"/>
      <c r="OXZ24" s="497"/>
      <c r="OYA24" s="497"/>
      <c r="OYB24" s="497"/>
      <c r="OYC24" s="497"/>
      <c r="OYD24" s="497"/>
      <c r="OYE24" s="497"/>
      <c r="OYF24" s="497"/>
      <c r="OYG24" s="497"/>
      <c r="OYH24" s="497"/>
      <c r="OYI24" s="497"/>
      <c r="OYJ24" s="497"/>
      <c r="OYK24" s="497"/>
      <c r="OYL24" s="497"/>
      <c r="OYM24" s="497"/>
      <c r="OYN24" s="497"/>
      <c r="OYO24" s="497"/>
      <c r="OYP24" s="497"/>
      <c r="OYQ24" s="497"/>
      <c r="OYR24" s="497"/>
      <c r="OYS24" s="497"/>
      <c r="OYT24" s="497"/>
      <c r="OYU24" s="497"/>
      <c r="OYV24" s="497"/>
      <c r="OYW24" s="497"/>
      <c r="OYX24" s="497"/>
      <c r="OYY24" s="497"/>
      <c r="OYZ24" s="497"/>
      <c r="OZA24" s="497"/>
      <c r="OZB24" s="497"/>
      <c r="OZC24" s="497"/>
      <c r="OZD24" s="497"/>
      <c r="OZE24" s="497"/>
      <c r="OZF24" s="497"/>
      <c r="OZG24" s="497"/>
      <c r="OZH24" s="497"/>
      <c r="OZI24" s="497"/>
      <c r="OZJ24" s="497"/>
      <c r="OZK24" s="497"/>
      <c r="OZL24" s="497"/>
      <c r="OZM24" s="497"/>
      <c r="OZN24" s="497"/>
      <c r="OZO24" s="497"/>
      <c r="OZP24" s="497"/>
      <c r="OZQ24" s="497"/>
      <c r="OZR24" s="497"/>
      <c r="OZS24" s="497"/>
      <c r="OZT24" s="497"/>
      <c r="OZU24" s="497"/>
      <c r="OZV24" s="497"/>
      <c r="OZW24" s="497"/>
      <c r="OZX24" s="497"/>
      <c r="OZY24" s="497"/>
      <c r="OZZ24" s="497"/>
      <c r="PAA24" s="497"/>
      <c r="PAB24" s="497"/>
      <c r="PAC24" s="497"/>
      <c r="PAD24" s="497"/>
      <c r="PAE24" s="497"/>
      <c r="PAF24" s="497"/>
      <c r="PAG24" s="497"/>
      <c r="PAH24" s="497"/>
      <c r="PAI24" s="497"/>
      <c r="PAJ24" s="497"/>
      <c r="PAK24" s="497"/>
      <c r="PAL24" s="497"/>
      <c r="PAM24" s="497"/>
      <c r="PAN24" s="497"/>
      <c r="PAO24" s="497"/>
      <c r="PAP24" s="497"/>
      <c r="PAQ24" s="497"/>
      <c r="PAR24" s="497"/>
      <c r="PAS24" s="497"/>
      <c r="PAT24" s="497"/>
      <c r="PAU24" s="497"/>
      <c r="PAV24" s="497"/>
      <c r="PAW24" s="497"/>
      <c r="PAX24" s="497"/>
      <c r="PAY24" s="497"/>
      <c r="PAZ24" s="497"/>
      <c r="PBA24" s="497"/>
      <c r="PBB24" s="497"/>
      <c r="PBC24" s="497"/>
      <c r="PBD24" s="497"/>
      <c r="PBE24" s="497"/>
      <c r="PBF24" s="497"/>
      <c r="PBG24" s="497"/>
      <c r="PBH24" s="497"/>
      <c r="PBI24" s="497"/>
      <c r="PBJ24" s="497"/>
      <c r="PBK24" s="497"/>
      <c r="PBL24" s="497"/>
      <c r="PBM24" s="497"/>
      <c r="PBN24" s="497"/>
      <c r="PBO24" s="497"/>
      <c r="PBP24" s="497"/>
      <c r="PBQ24" s="497"/>
      <c r="PBR24" s="497"/>
      <c r="PBS24" s="497"/>
      <c r="PBT24" s="497"/>
      <c r="PBU24" s="497"/>
      <c r="PBV24" s="497"/>
      <c r="PBW24" s="497"/>
      <c r="PBX24" s="497"/>
      <c r="PBY24" s="497"/>
      <c r="PBZ24" s="497"/>
      <c r="PCA24" s="497"/>
      <c r="PCB24" s="497"/>
      <c r="PCC24" s="497"/>
      <c r="PCD24" s="497"/>
      <c r="PCE24" s="497"/>
      <c r="PCF24" s="497"/>
      <c r="PCG24" s="497"/>
      <c r="PCH24" s="497"/>
      <c r="PCI24" s="497"/>
      <c r="PCJ24" s="497"/>
      <c r="PCK24" s="497"/>
      <c r="PCL24" s="497"/>
      <c r="PCM24" s="497"/>
      <c r="PCN24" s="497"/>
      <c r="PCO24" s="497"/>
      <c r="PCP24" s="497"/>
      <c r="PCQ24" s="497"/>
      <c r="PCR24" s="497"/>
      <c r="PCS24" s="497"/>
      <c r="PCT24" s="497"/>
      <c r="PCU24" s="497"/>
      <c r="PCV24" s="497"/>
      <c r="PCW24" s="497"/>
      <c r="PCX24" s="497"/>
      <c r="PCY24" s="497"/>
      <c r="PCZ24" s="497"/>
      <c r="PDA24" s="497"/>
      <c r="PDB24" s="497"/>
      <c r="PDC24" s="497"/>
      <c r="PDD24" s="497"/>
      <c r="PDE24" s="497"/>
      <c r="PDF24" s="497"/>
      <c r="PDG24" s="497"/>
      <c r="PDH24" s="497"/>
      <c r="PDI24" s="497"/>
      <c r="PDJ24" s="497"/>
      <c r="PDK24" s="497"/>
      <c r="PDL24" s="497"/>
      <c r="PDM24" s="497"/>
      <c r="PDN24" s="497"/>
      <c r="PDO24" s="497"/>
      <c r="PDP24" s="497"/>
      <c r="PDQ24" s="497"/>
      <c r="PDR24" s="497"/>
      <c r="PDS24" s="497"/>
      <c r="PDT24" s="497"/>
      <c r="PDU24" s="497"/>
      <c r="PDV24" s="497"/>
      <c r="PDW24" s="497"/>
      <c r="PDX24" s="497"/>
      <c r="PDY24" s="497"/>
      <c r="PDZ24" s="497"/>
      <c r="PEA24" s="497"/>
      <c r="PEB24" s="497"/>
      <c r="PEC24" s="497"/>
      <c r="PED24" s="497"/>
      <c r="PEE24" s="497"/>
      <c r="PEF24" s="497"/>
      <c r="PEG24" s="497"/>
      <c r="PEH24" s="497"/>
      <c r="PEI24" s="497"/>
      <c r="PEJ24" s="497"/>
      <c r="PEK24" s="497"/>
      <c r="PEL24" s="497"/>
      <c r="PEM24" s="497"/>
      <c r="PEN24" s="497"/>
      <c r="PEO24" s="497"/>
      <c r="PEP24" s="497"/>
      <c r="PEQ24" s="497"/>
      <c r="PER24" s="497"/>
      <c r="PES24" s="497"/>
      <c r="PET24" s="497"/>
      <c r="PEU24" s="497"/>
      <c r="PEV24" s="497"/>
      <c r="PEW24" s="497"/>
      <c r="PEX24" s="497"/>
      <c r="PEY24" s="497"/>
      <c r="PEZ24" s="497"/>
      <c r="PFA24" s="497"/>
      <c r="PFB24" s="497"/>
      <c r="PFC24" s="497"/>
      <c r="PFD24" s="497"/>
      <c r="PFE24" s="497"/>
      <c r="PFF24" s="497"/>
      <c r="PFG24" s="497"/>
      <c r="PFH24" s="497"/>
      <c r="PFI24" s="497"/>
      <c r="PFJ24" s="497"/>
      <c r="PFK24" s="497"/>
      <c r="PFL24" s="497"/>
      <c r="PFM24" s="497"/>
      <c r="PFN24" s="497"/>
      <c r="PFO24" s="497"/>
      <c r="PFP24" s="497"/>
      <c r="PFQ24" s="497"/>
      <c r="PFR24" s="497"/>
      <c r="PFS24" s="497"/>
      <c r="PFT24" s="497"/>
      <c r="PFU24" s="497"/>
      <c r="PFV24" s="497"/>
      <c r="PFW24" s="497"/>
      <c r="PFX24" s="497"/>
      <c r="PFY24" s="497"/>
      <c r="PFZ24" s="497"/>
      <c r="PGA24" s="497"/>
      <c r="PGB24" s="497"/>
      <c r="PGC24" s="497"/>
      <c r="PGD24" s="497"/>
      <c r="PGE24" s="497"/>
      <c r="PGF24" s="497"/>
      <c r="PGG24" s="497"/>
      <c r="PGH24" s="497"/>
      <c r="PGI24" s="497"/>
      <c r="PGJ24" s="497"/>
      <c r="PGK24" s="497"/>
      <c r="PGL24" s="497"/>
      <c r="PGM24" s="497"/>
      <c r="PGN24" s="497"/>
      <c r="PGO24" s="497"/>
      <c r="PGP24" s="497"/>
      <c r="PGQ24" s="497"/>
      <c r="PGR24" s="497"/>
      <c r="PGS24" s="497"/>
      <c r="PGT24" s="497"/>
      <c r="PGU24" s="497"/>
      <c r="PGV24" s="497"/>
      <c r="PGW24" s="497"/>
      <c r="PGX24" s="497"/>
      <c r="PGY24" s="497"/>
      <c r="PGZ24" s="497"/>
      <c r="PHA24" s="497"/>
      <c r="PHB24" s="497"/>
      <c r="PHC24" s="497"/>
      <c r="PHD24" s="497"/>
      <c r="PHE24" s="497"/>
      <c r="PHF24" s="497"/>
      <c r="PHG24" s="497"/>
      <c r="PHH24" s="497"/>
      <c r="PHI24" s="497"/>
      <c r="PHJ24" s="497"/>
      <c r="PHK24" s="497"/>
      <c r="PHL24" s="497"/>
      <c r="PHM24" s="497"/>
      <c r="PHN24" s="497"/>
      <c r="PHO24" s="497"/>
      <c r="PHP24" s="497"/>
      <c r="PHQ24" s="497"/>
      <c r="PHR24" s="497"/>
      <c r="PHS24" s="497"/>
      <c r="PHT24" s="497"/>
      <c r="PHU24" s="497"/>
      <c r="PHV24" s="497"/>
      <c r="PHW24" s="497"/>
      <c r="PHX24" s="497"/>
      <c r="PHY24" s="497"/>
      <c r="PHZ24" s="497"/>
      <c r="PIA24" s="497"/>
      <c r="PIB24" s="497"/>
      <c r="PIC24" s="497"/>
      <c r="PID24" s="497"/>
      <c r="PIE24" s="497"/>
      <c r="PIF24" s="497"/>
      <c r="PIG24" s="497"/>
      <c r="PIH24" s="497"/>
      <c r="PII24" s="497"/>
      <c r="PIJ24" s="497"/>
      <c r="PIK24" s="497"/>
      <c r="PIL24" s="497"/>
      <c r="PIM24" s="497"/>
      <c r="PIN24" s="497"/>
      <c r="PIO24" s="497"/>
      <c r="PIP24" s="497"/>
      <c r="PIQ24" s="497"/>
      <c r="PIR24" s="497"/>
      <c r="PIS24" s="497"/>
      <c r="PIT24" s="497"/>
      <c r="PIU24" s="497"/>
      <c r="PIV24" s="497"/>
      <c r="PIW24" s="497"/>
      <c r="PIX24" s="497"/>
      <c r="PIY24" s="497"/>
      <c r="PIZ24" s="497"/>
      <c r="PJA24" s="497"/>
      <c r="PJB24" s="497"/>
      <c r="PJC24" s="497"/>
      <c r="PJD24" s="497"/>
      <c r="PJE24" s="497"/>
      <c r="PJF24" s="497"/>
      <c r="PJG24" s="497"/>
      <c r="PJH24" s="497"/>
      <c r="PJI24" s="497"/>
      <c r="PJJ24" s="497"/>
      <c r="PJK24" s="497"/>
      <c r="PJL24" s="497"/>
      <c r="PJM24" s="497"/>
      <c r="PJN24" s="497"/>
      <c r="PJO24" s="497"/>
      <c r="PJP24" s="497"/>
      <c r="PJQ24" s="497"/>
      <c r="PJR24" s="497"/>
      <c r="PJS24" s="497"/>
      <c r="PJT24" s="497"/>
      <c r="PJU24" s="497"/>
      <c r="PJV24" s="497"/>
      <c r="PJW24" s="497"/>
      <c r="PJX24" s="497"/>
      <c r="PJY24" s="497"/>
      <c r="PJZ24" s="497"/>
      <c r="PKA24" s="497"/>
      <c r="PKB24" s="497"/>
      <c r="PKC24" s="497"/>
      <c r="PKD24" s="497"/>
      <c r="PKE24" s="497"/>
      <c r="PKF24" s="497"/>
      <c r="PKG24" s="497"/>
      <c r="PKH24" s="497"/>
      <c r="PKI24" s="497"/>
      <c r="PKJ24" s="497"/>
      <c r="PKK24" s="497"/>
      <c r="PKL24" s="497"/>
      <c r="PKM24" s="497"/>
      <c r="PKN24" s="497"/>
      <c r="PKO24" s="497"/>
      <c r="PKP24" s="497"/>
      <c r="PKQ24" s="497"/>
      <c r="PKR24" s="497"/>
      <c r="PKS24" s="497"/>
      <c r="PKT24" s="497"/>
      <c r="PKU24" s="497"/>
      <c r="PKV24" s="497"/>
      <c r="PKW24" s="497"/>
      <c r="PKX24" s="497"/>
      <c r="PKY24" s="497"/>
      <c r="PKZ24" s="497"/>
      <c r="PLA24" s="497"/>
      <c r="PLB24" s="497"/>
      <c r="PLC24" s="497"/>
      <c r="PLD24" s="497"/>
      <c r="PLE24" s="497"/>
      <c r="PLF24" s="497"/>
      <c r="PLG24" s="497"/>
      <c r="PLH24" s="497"/>
      <c r="PLI24" s="497"/>
      <c r="PLJ24" s="497"/>
      <c r="PLK24" s="497"/>
      <c r="PLL24" s="497"/>
      <c r="PLM24" s="497"/>
      <c r="PLN24" s="497"/>
      <c r="PLO24" s="497"/>
      <c r="PLP24" s="497"/>
      <c r="PLQ24" s="497"/>
      <c r="PLR24" s="497"/>
      <c r="PLS24" s="497"/>
      <c r="PLT24" s="497"/>
      <c r="PLU24" s="497"/>
      <c r="PLV24" s="497"/>
      <c r="PLW24" s="497"/>
      <c r="PLX24" s="497"/>
      <c r="PLY24" s="497"/>
      <c r="PLZ24" s="497"/>
      <c r="PMA24" s="497"/>
      <c r="PMB24" s="497"/>
      <c r="PMC24" s="497"/>
      <c r="PMD24" s="497"/>
      <c r="PME24" s="497"/>
      <c r="PMF24" s="497"/>
      <c r="PMG24" s="497"/>
      <c r="PMH24" s="497"/>
      <c r="PMI24" s="497"/>
      <c r="PMJ24" s="497"/>
      <c r="PMK24" s="497"/>
      <c r="PML24" s="497"/>
      <c r="PMM24" s="497"/>
      <c r="PMN24" s="497"/>
      <c r="PMO24" s="497"/>
      <c r="PMP24" s="497"/>
      <c r="PMQ24" s="497"/>
      <c r="PMR24" s="497"/>
      <c r="PMS24" s="497"/>
      <c r="PMT24" s="497"/>
      <c r="PMU24" s="497"/>
      <c r="PMV24" s="497"/>
      <c r="PMW24" s="497"/>
      <c r="PMX24" s="497"/>
      <c r="PMY24" s="497"/>
      <c r="PMZ24" s="497"/>
      <c r="PNA24" s="497"/>
      <c r="PNB24" s="497"/>
      <c r="PNC24" s="497"/>
      <c r="PND24" s="497"/>
      <c r="PNE24" s="497"/>
      <c r="PNF24" s="497"/>
      <c r="PNG24" s="497"/>
      <c r="PNH24" s="497"/>
      <c r="PNI24" s="497"/>
      <c r="PNJ24" s="497"/>
      <c r="PNK24" s="497"/>
      <c r="PNL24" s="497"/>
      <c r="PNM24" s="497"/>
      <c r="PNN24" s="497"/>
      <c r="PNO24" s="497"/>
      <c r="PNP24" s="497"/>
      <c r="PNQ24" s="497"/>
      <c r="PNR24" s="497"/>
      <c r="PNS24" s="497"/>
      <c r="PNT24" s="497"/>
      <c r="PNU24" s="497"/>
      <c r="PNV24" s="497"/>
      <c r="PNW24" s="497"/>
      <c r="PNX24" s="497"/>
      <c r="PNY24" s="497"/>
      <c r="PNZ24" s="497"/>
      <c r="POA24" s="497"/>
      <c r="POB24" s="497"/>
      <c r="POC24" s="497"/>
      <c r="POD24" s="497"/>
      <c r="POE24" s="497"/>
      <c r="POF24" s="497"/>
      <c r="POG24" s="497"/>
      <c r="POH24" s="497"/>
      <c r="POI24" s="497"/>
      <c r="POJ24" s="497"/>
      <c r="POK24" s="497"/>
      <c r="POL24" s="497"/>
      <c r="POM24" s="497"/>
      <c r="PON24" s="497"/>
      <c r="POO24" s="497"/>
      <c r="POP24" s="497"/>
      <c r="POQ24" s="497"/>
      <c r="POR24" s="497"/>
      <c r="POS24" s="497"/>
      <c r="POT24" s="497"/>
      <c r="POU24" s="497"/>
      <c r="POV24" s="497"/>
      <c r="POW24" s="497"/>
      <c r="POX24" s="497"/>
      <c r="POY24" s="497"/>
      <c r="POZ24" s="497"/>
      <c r="PPA24" s="497"/>
      <c r="PPB24" s="497"/>
      <c r="PPC24" s="497"/>
      <c r="PPD24" s="497"/>
      <c r="PPE24" s="497"/>
      <c r="PPF24" s="497"/>
      <c r="PPG24" s="497"/>
      <c r="PPH24" s="497"/>
      <c r="PPI24" s="497"/>
      <c r="PPJ24" s="497"/>
      <c r="PPK24" s="497"/>
      <c r="PPL24" s="497"/>
      <c r="PPM24" s="497"/>
      <c r="PPN24" s="497"/>
      <c r="PPO24" s="497"/>
      <c r="PPP24" s="497"/>
      <c r="PPQ24" s="497"/>
      <c r="PPR24" s="497"/>
      <c r="PPS24" s="497"/>
      <c r="PPT24" s="497"/>
      <c r="PPU24" s="497"/>
      <c r="PPV24" s="497"/>
      <c r="PPW24" s="497"/>
      <c r="PPX24" s="497"/>
      <c r="PPY24" s="497"/>
      <c r="PPZ24" s="497"/>
      <c r="PQA24" s="497"/>
      <c r="PQB24" s="497"/>
      <c r="PQC24" s="497"/>
      <c r="PQD24" s="497"/>
      <c r="PQE24" s="497"/>
      <c r="PQF24" s="497"/>
      <c r="PQG24" s="497"/>
      <c r="PQH24" s="497"/>
      <c r="PQI24" s="497"/>
      <c r="PQJ24" s="497"/>
      <c r="PQK24" s="497"/>
      <c r="PQL24" s="497"/>
      <c r="PQM24" s="497"/>
      <c r="PQN24" s="497"/>
      <c r="PQO24" s="497"/>
      <c r="PQP24" s="497"/>
      <c r="PQQ24" s="497"/>
      <c r="PQR24" s="497"/>
      <c r="PQS24" s="497"/>
      <c r="PQT24" s="497"/>
      <c r="PQU24" s="497"/>
      <c r="PQV24" s="497"/>
      <c r="PQW24" s="497"/>
      <c r="PQX24" s="497"/>
      <c r="PQY24" s="497"/>
      <c r="PQZ24" s="497"/>
      <c r="PRA24" s="497"/>
      <c r="PRB24" s="497"/>
      <c r="PRC24" s="497"/>
      <c r="PRD24" s="497"/>
      <c r="PRE24" s="497"/>
      <c r="PRF24" s="497"/>
      <c r="PRG24" s="497"/>
      <c r="PRH24" s="497"/>
      <c r="PRI24" s="497"/>
      <c r="PRJ24" s="497"/>
      <c r="PRK24" s="497"/>
      <c r="PRL24" s="497"/>
      <c r="PRM24" s="497"/>
      <c r="PRN24" s="497"/>
      <c r="PRO24" s="497"/>
      <c r="PRP24" s="497"/>
      <c r="PRQ24" s="497"/>
      <c r="PRR24" s="497"/>
      <c r="PRS24" s="497"/>
      <c r="PRT24" s="497"/>
      <c r="PRU24" s="497"/>
      <c r="PRV24" s="497"/>
      <c r="PRW24" s="497"/>
      <c r="PRX24" s="497"/>
      <c r="PRY24" s="497"/>
      <c r="PRZ24" s="497"/>
      <c r="PSA24" s="497"/>
      <c r="PSB24" s="497"/>
      <c r="PSC24" s="497"/>
      <c r="PSD24" s="497"/>
      <c r="PSE24" s="497"/>
      <c r="PSF24" s="497"/>
      <c r="PSG24" s="497"/>
      <c r="PSH24" s="497"/>
      <c r="PSI24" s="497"/>
      <c r="PSJ24" s="497"/>
      <c r="PSK24" s="497"/>
      <c r="PSL24" s="497"/>
      <c r="PSM24" s="497"/>
      <c r="PSN24" s="497"/>
      <c r="PSO24" s="497"/>
      <c r="PSP24" s="497"/>
      <c r="PSQ24" s="497"/>
      <c r="PSR24" s="497"/>
      <c r="PSS24" s="497"/>
      <c r="PST24" s="497"/>
      <c r="PSU24" s="497"/>
      <c r="PSV24" s="497"/>
      <c r="PSW24" s="497"/>
      <c r="PSX24" s="497"/>
      <c r="PSY24" s="497"/>
      <c r="PSZ24" s="497"/>
      <c r="PTA24" s="497"/>
      <c r="PTB24" s="497"/>
      <c r="PTC24" s="497"/>
      <c r="PTD24" s="497"/>
      <c r="PTE24" s="497"/>
      <c r="PTF24" s="497"/>
      <c r="PTG24" s="497"/>
      <c r="PTH24" s="497"/>
      <c r="PTI24" s="497"/>
      <c r="PTJ24" s="497"/>
      <c r="PTK24" s="497"/>
      <c r="PTL24" s="497"/>
      <c r="PTM24" s="497"/>
      <c r="PTN24" s="497"/>
      <c r="PTO24" s="497"/>
      <c r="PTP24" s="497"/>
      <c r="PTQ24" s="497"/>
      <c r="PTR24" s="497"/>
      <c r="PTS24" s="497"/>
      <c r="PTT24" s="497"/>
      <c r="PTU24" s="497"/>
      <c r="PTV24" s="497"/>
      <c r="PTW24" s="497"/>
      <c r="PTX24" s="497"/>
      <c r="PTY24" s="497"/>
      <c r="PTZ24" s="497"/>
      <c r="PUA24" s="497"/>
      <c r="PUB24" s="497"/>
      <c r="PUC24" s="497"/>
      <c r="PUD24" s="497"/>
      <c r="PUE24" s="497"/>
      <c r="PUF24" s="497"/>
      <c r="PUG24" s="497"/>
      <c r="PUH24" s="497"/>
      <c r="PUI24" s="497"/>
      <c r="PUJ24" s="497"/>
      <c r="PUK24" s="497"/>
      <c r="PUL24" s="497"/>
      <c r="PUM24" s="497"/>
      <c r="PUN24" s="497"/>
      <c r="PUO24" s="497"/>
      <c r="PUP24" s="497"/>
      <c r="PUQ24" s="497"/>
      <c r="PUR24" s="497"/>
      <c r="PUS24" s="497"/>
      <c r="PUT24" s="497"/>
      <c r="PUU24" s="497"/>
      <c r="PUV24" s="497"/>
      <c r="PUW24" s="497"/>
      <c r="PUX24" s="497"/>
      <c r="PUY24" s="497"/>
      <c r="PUZ24" s="497"/>
      <c r="PVA24" s="497"/>
      <c r="PVB24" s="497"/>
      <c r="PVC24" s="497"/>
      <c r="PVD24" s="497"/>
      <c r="PVE24" s="497"/>
      <c r="PVF24" s="497"/>
      <c r="PVG24" s="497"/>
      <c r="PVH24" s="497"/>
      <c r="PVI24" s="497"/>
      <c r="PVJ24" s="497"/>
      <c r="PVK24" s="497"/>
      <c r="PVL24" s="497"/>
      <c r="PVM24" s="497"/>
      <c r="PVN24" s="497"/>
      <c r="PVO24" s="497"/>
      <c r="PVP24" s="497"/>
      <c r="PVQ24" s="497"/>
      <c r="PVR24" s="497"/>
      <c r="PVS24" s="497"/>
      <c r="PVT24" s="497"/>
      <c r="PVU24" s="497"/>
      <c r="PVV24" s="497"/>
      <c r="PVW24" s="497"/>
      <c r="PVX24" s="497"/>
      <c r="PVY24" s="497"/>
      <c r="PVZ24" s="497"/>
      <c r="PWA24" s="497"/>
      <c r="PWB24" s="497"/>
      <c r="PWC24" s="497"/>
      <c r="PWD24" s="497"/>
      <c r="PWE24" s="497"/>
      <c r="PWF24" s="497"/>
      <c r="PWG24" s="497"/>
      <c r="PWH24" s="497"/>
      <c r="PWI24" s="497"/>
      <c r="PWJ24" s="497"/>
      <c r="PWK24" s="497"/>
      <c r="PWL24" s="497"/>
      <c r="PWM24" s="497"/>
      <c r="PWN24" s="497"/>
      <c r="PWO24" s="497"/>
      <c r="PWP24" s="497"/>
      <c r="PWQ24" s="497"/>
      <c r="PWR24" s="497"/>
      <c r="PWS24" s="497"/>
      <c r="PWT24" s="497"/>
      <c r="PWU24" s="497"/>
      <c r="PWV24" s="497"/>
      <c r="PWW24" s="497"/>
      <c r="PWX24" s="497"/>
      <c r="PWY24" s="497"/>
      <c r="PWZ24" s="497"/>
      <c r="PXA24" s="497"/>
      <c r="PXB24" s="497"/>
      <c r="PXC24" s="497"/>
      <c r="PXD24" s="497"/>
      <c r="PXE24" s="497"/>
      <c r="PXF24" s="497"/>
      <c r="PXG24" s="497"/>
      <c r="PXH24" s="497"/>
      <c r="PXI24" s="497"/>
      <c r="PXJ24" s="497"/>
      <c r="PXK24" s="497"/>
      <c r="PXL24" s="497"/>
      <c r="PXM24" s="497"/>
      <c r="PXN24" s="497"/>
      <c r="PXO24" s="497"/>
      <c r="PXP24" s="497"/>
      <c r="PXQ24" s="497"/>
      <c r="PXR24" s="497"/>
      <c r="PXS24" s="497"/>
      <c r="PXT24" s="497"/>
      <c r="PXU24" s="497"/>
      <c r="PXV24" s="497"/>
      <c r="PXW24" s="497"/>
      <c r="PXX24" s="497"/>
      <c r="PXY24" s="497"/>
      <c r="PXZ24" s="497"/>
      <c r="PYA24" s="497"/>
      <c r="PYB24" s="497"/>
      <c r="PYC24" s="497"/>
      <c r="PYD24" s="497"/>
      <c r="PYE24" s="497"/>
      <c r="PYF24" s="497"/>
      <c r="PYG24" s="497"/>
      <c r="PYH24" s="497"/>
      <c r="PYI24" s="497"/>
      <c r="PYJ24" s="497"/>
      <c r="PYK24" s="497"/>
      <c r="PYL24" s="497"/>
      <c r="PYM24" s="497"/>
      <c r="PYN24" s="497"/>
      <c r="PYO24" s="497"/>
      <c r="PYP24" s="497"/>
      <c r="PYQ24" s="497"/>
      <c r="PYR24" s="497"/>
      <c r="PYS24" s="497"/>
      <c r="PYT24" s="497"/>
      <c r="PYU24" s="497"/>
      <c r="PYV24" s="497"/>
      <c r="PYW24" s="497"/>
      <c r="PYX24" s="497"/>
      <c r="PYY24" s="497"/>
      <c r="PYZ24" s="497"/>
      <c r="PZA24" s="497"/>
      <c r="PZB24" s="497"/>
      <c r="PZC24" s="497"/>
      <c r="PZD24" s="497"/>
      <c r="PZE24" s="497"/>
      <c r="PZF24" s="497"/>
      <c r="PZG24" s="497"/>
      <c r="PZH24" s="497"/>
      <c r="PZI24" s="497"/>
      <c r="PZJ24" s="497"/>
      <c r="PZK24" s="497"/>
      <c r="PZL24" s="497"/>
      <c r="PZM24" s="497"/>
      <c r="PZN24" s="497"/>
      <c r="PZO24" s="497"/>
      <c r="PZP24" s="497"/>
      <c r="PZQ24" s="497"/>
      <c r="PZR24" s="497"/>
      <c r="PZS24" s="497"/>
      <c r="PZT24" s="497"/>
      <c r="PZU24" s="497"/>
      <c r="PZV24" s="497"/>
      <c r="PZW24" s="497"/>
      <c r="PZX24" s="497"/>
      <c r="PZY24" s="497"/>
      <c r="PZZ24" s="497"/>
      <c r="QAA24" s="497"/>
      <c r="QAB24" s="497"/>
      <c r="QAC24" s="497"/>
      <c r="QAD24" s="497"/>
      <c r="QAE24" s="497"/>
      <c r="QAF24" s="497"/>
      <c r="QAG24" s="497"/>
      <c r="QAH24" s="497"/>
      <c r="QAI24" s="497"/>
      <c r="QAJ24" s="497"/>
      <c r="QAK24" s="497"/>
      <c r="QAL24" s="497"/>
      <c r="QAM24" s="497"/>
      <c r="QAN24" s="497"/>
      <c r="QAO24" s="497"/>
      <c r="QAP24" s="497"/>
      <c r="QAQ24" s="497"/>
      <c r="QAR24" s="497"/>
      <c r="QAS24" s="497"/>
      <c r="QAT24" s="497"/>
      <c r="QAU24" s="497"/>
      <c r="QAV24" s="497"/>
      <c r="QAW24" s="497"/>
      <c r="QAX24" s="497"/>
      <c r="QAY24" s="497"/>
      <c r="QAZ24" s="497"/>
      <c r="QBA24" s="497"/>
      <c r="QBB24" s="497"/>
      <c r="QBC24" s="497"/>
      <c r="QBD24" s="497"/>
      <c r="QBE24" s="497"/>
      <c r="QBF24" s="497"/>
      <c r="QBG24" s="497"/>
      <c r="QBH24" s="497"/>
      <c r="QBI24" s="497"/>
      <c r="QBJ24" s="497"/>
      <c r="QBK24" s="497"/>
      <c r="QBL24" s="497"/>
      <c r="QBM24" s="497"/>
      <c r="QBN24" s="497"/>
      <c r="QBO24" s="497"/>
      <c r="QBP24" s="497"/>
      <c r="QBQ24" s="497"/>
      <c r="QBR24" s="497"/>
      <c r="QBS24" s="497"/>
      <c r="QBT24" s="497"/>
      <c r="QBU24" s="497"/>
      <c r="QBV24" s="497"/>
      <c r="QBW24" s="497"/>
      <c r="QBX24" s="497"/>
      <c r="QBY24" s="497"/>
      <c r="QBZ24" s="497"/>
      <c r="QCA24" s="497"/>
      <c r="QCB24" s="497"/>
      <c r="QCC24" s="497"/>
      <c r="QCD24" s="497"/>
      <c r="QCE24" s="497"/>
      <c r="QCF24" s="497"/>
      <c r="QCG24" s="497"/>
      <c r="QCH24" s="497"/>
      <c r="QCI24" s="497"/>
      <c r="QCJ24" s="497"/>
      <c r="QCK24" s="497"/>
      <c r="QCL24" s="497"/>
      <c r="QCM24" s="497"/>
      <c r="QCN24" s="497"/>
      <c r="QCO24" s="497"/>
      <c r="QCP24" s="497"/>
      <c r="QCQ24" s="497"/>
      <c r="QCR24" s="497"/>
      <c r="QCS24" s="497"/>
      <c r="QCT24" s="497"/>
      <c r="QCU24" s="497"/>
      <c r="QCV24" s="497"/>
      <c r="QCW24" s="497"/>
      <c r="QCX24" s="497"/>
      <c r="QCY24" s="497"/>
      <c r="QCZ24" s="497"/>
      <c r="QDA24" s="497"/>
      <c r="QDB24" s="497"/>
      <c r="QDC24" s="497"/>
      <c r="QDD24" s="497"/>
      <c r="QDE24" s="497"/>
      <c r="QDF24" s="497"/>
      <c r="QDG24" s="497"/>
      <c r="QDH24" s="497"/>
      <c r="QDI24" s="497"/>
      <c r="QDJ24" s="497"/>
      <c r="QDK24" s="497"/>
      <c r="QDL24" s="497"/>
      <c r="QDM24" s="497"/>
      <c r="QDN24" s="497"/>
      <c r="QDO24" s="497"/>
      <c r="QDP24" s="497"/>
      <c r="QDQ24" s="497"/>
      <c r="QDR24" s="497"/>
      <c r="QDS24" s="497"/>
      <c r="QDT24" s="497"/>
      <c r="QDU24" s="497"/>
      <c r="QDV24" s="497"/>
      <c r="QDW24" s="497"/>
      <c r="QDX24" s="497"/>
      <c r="QDY24" s="497"/>
      <c r="QDZ24" s="497"/>
      <c r="QEA24" s="497"/>
      <c r="QEB24" s="497"/>
      <c r="QEC24" s="497"/>
      <c r="QED24" s="497"/>
      <c r="QEE24" s="497"/>
      <c r="QEF24" s="497"/>
      <c r="QEG24" s="497"/>
      <c r="QEH24" s="497"/>
      <c r="QEI24" s="497"/>
      <c r="QEJ24" s="497"/>
      <c r="QEK24" s="497"/>
      <c r="QEL24" s="497"/>
      <c r="QEM24" s="497"/>
      <c r="QEN24" s="497"/>
      <c r="QEO24" s="497"/>
      <c r="QEP24" s="497"/>
      <c r="QEQ24" s="497"/>
      <c r="QER24" s="497"/>
      <c r="QES24" s="497"/>
      <c r="QET24" s="497"/>
      <c r="QEU24" s="497"/>
      <c r="QEV24" s="497"/>
      <c r="QEW24" s="497"/>
      <c r="QEX24" s="497"/>
      <c r="QEY24" s="497"/>
      <c r="QEZ24" s="497"/>
      <c r="QFA24" s="497"/>
      <c r="QFB24" s="497"/>
      <c r="QFC24" s="497"/>
      <c r="QFD24" s="497"/>
      <c r="QFE24" s="497"/>
      <c r="QFF24" s="497"/>
      <c r="QFG24" s="497"/>
      <c r="QFH24" s="497"/>
      <c r="QFI24" s="497"/>
      <c r="QFJ24" s="497"/>
      <c r="QFK24" s="497"/>
      <c r="QFL24" s="497"/>
      <c r="QFM24" s="497"/>
      <c r="QFN24" s="497"/>
      <c r="QFO24" s="497"/>
      <c r="QFP24" s="497"/>
      <c r="QFQ24" s="497"/>
      <c r="QFR24" s="497"/>
      <c r="QFS24" s="497"/>
      <c r="QFT24" s="497"/>
      <c r="QFU24" s="497"/>
      <c r="QFV24" s="497"/>
      <c r="QFW24" s="497"/>
      <c r="QFX24" s="497"/>
      <c r="QFY24" s="497"/>
      <c r="QFZ24" s="497"/>
      <c r="QGA24" s="497"/>
      <c r="QGB24" s="497"/>
      <c r="QGC24" s="497"/>
      <c r="QGD24" s="497"/>
      <c r="QGE24" s="497"/>
      <c r="QGF24" s="497"/>
      <c r="QGG24" s="497"/>
      <c r="QGH24" s="497"/>
      <c r="QGI24" s="497"/>
      <c r="QGJ24" s="497"/>
      <c r="QGK24" s="497"/>
      <c r="QGL24" s="497"/>
      <c r="QGM24" s="497"/>
      <c r="QGN24" s="497"/>
      <c r="QGO24" s="497"/>
      <c r="QGP24" s="497"/>
      <c r="QGQ24" s="497"/>
      <c r="QGR24" s="497"/>
      <c r="QGS24" s="497"/>
      <c r="QGT24" s="497"/>
      <c r="QGU24" s="497"/>
      <c r="QGV24" s="497"/>
      <c r="QGW24" s="497"/>
      <c r="QGX24" s="497"/>
      <c r="QGY24" s="497"/>
      <c r="QGZ24" s="497"/>
      <c r="QHA24" s="497"/>
      <c r="QHB24" s="497"/>
      <c r="QHC24" s="497"/>
      <c r="QHD24" s="497"/>
      <c r="QHE24" s="497"/>
      <c r="QHF24" s="497"/>
      <c r="QHG24" s="497"/>
      <c r="QHH24" s="497"/>
      <c r="QHI24" s="497"/>
      <c r="QHJ24" s="497"/>
      <c r="QHK24" s="497"/>
      <c r="QHL24" s="497"/>
      <c r="QHM24" s="497"/>
      <c r="QHN24" s="497"/>
      <c r="QHO24" s="497"/>
      <c r="QHP24" s="497"/>
      <c r="QHQ24" s="497"/>
      <c r="QHR24" s="497"/>
      <c r="QHS24" s="497"/>
      <c r="QHT24" s="497"/>
      <c r="QHU24" s="497"/>
      <c r="QHV24" s="497"/>
      <c r="QHW24" s="497"/>
      <c r="QHX24" s="497"/>
      <c r="QHY24" s="497"/>
      <c r="QHZ24" s="497"/>
      <c r="QIA24" s="497"/>
      <c r="QIB24" s="497"/>
      <c r="QIC24" s="497"/>
      <c r="QID24" s="497"/>
      <c r="QIE24" s="497"/>
      <c r="QIF24" s="497"/>
      <c r="QIG24" s="497"/>
      <c r="QIH24" s="497"/>
      <c r="QII24" s="497"/>
      <c r="QIJ24" s="497"/>
      <c r="QIK24" s="497"/>
      <c r="QIL24" s="497"/>
      <c r="QIM24" s="497"/>
      <c r="QIN24" s="497"/>
      <c r="QIO24" s="497"/>
      <c r="QIP24" s="497"/>
      <c r="QIQ24" s="497"/>
      <c r="QIR24" s="497"/>
      <c r="QIS24" s="497"/>
      <c r="QIT24" s="497"/>
      <c r="QIU24" s="497"/>
      <c r="QIV24" s="497"/>
      <c r="QIW24" s="497"/>
      <c r="QIX24" s="497"/>
      <c r="QIY24" s="497"/>
      <c r="QIZ24" s="497"/>
      <c r="QJA24" s="497"/>
      <c r="QJB24" s="497"/>
      <c r="QJC24" s="497"/>
      <c r="QJD24" s="497"/>
      <c r="QJE24" s="497"/>
      <c r="QJF24" s="497"/>
      <c r="QJG24" s="497"/>
      <c r="QJH24" s="497"/>
      <c r="QJI24" s="497"/>
      <c r="QJJ24" s="497"/>
      <c r="QJK24" s="497"/>
      <c r="QJL24" s="497"/>
      <c r="QJM24" s="497"/>
      <c r="QJN24" s="497"/>
      <c r="QJO24" s="497"/>
      <c r="QJP24" s="497"/>
      <c r="QJQ24" s="497"/>
      <c r="QJR24" s="497"/>
      <c r="QJS24" s="497"/>
      <c r="QJT24" s="497"/>
      <c r="QJU24" s="497"/>
      <c r="QJV24" s="497"/>
      <c r="QJW24" s="497"/>
      <c r="QJX24" s="497"/>
      <c r="QJY24" s="497"/>
      <c r="QJZ24" s="497"/>
      <c r="QKA24" s="497"/>
      <c r="QKB24" s="497"/>
      <c r="QKC24" s="497"/>
      <c r="QKD24" s="497"/>
      <c r="QKE24" s="497"/>
      <c r="QKF24" s="497"/>
      <c r="QKG24" s="497"/>
      <c r="QKH24" s="497"/>
      <c r="QKI24" s="497"/>
      <c r="QKJ24" s="497"/>
      <c r="QKK24" s="497"/>
      <c r="QKL24" s="497"/>
      <c r="QKM24" s="497"/>
      <c r="QKN24" s="497"/>
      <c r="QKO24" s="497"/>
      <c r="QKP24" s="497"/>
      <c r="QKQ24" s="497"/>
      <c r="QKR24" s="497"/>
      <c r="QKS24" s="497"/>
      <c r="QKT24" s="497"/>
      <c r="QKU24" s="497"/>
      <c r="QKV24" s="497"/>
      <c r="QKW24" s="497"/>
      <c r="QKX24" s="497"/>
      <c r="QKY24" s="497"/>
      <c r="QKZ24" s="497"/>
      <c r="QLA24" s="497"/>
      <c r="QLB24" s="497"/>
      <c r="QLC24" s="497"/>
      <c r="QLD24" s="497"/>
      <c r="QLE24" s="497"/>
      <c r="QLF24" s="497"/>
      <c r="QLG24" s="497"/>
      <c r="QLH24" s="497"/>
      <c r="QLI24" s="497"/>
      <c r="QLJ24" s="497"/>
      <c r="QLK24" s="497"/>
      <c r="QLL24" s="497"/>
      <c r="QLM24" s="497"/>
      <c r="QLN24" s="497"/>
      <c r="QLO24" s="497"/>
      <c r="QLP24" s="497"/>
      <c r="QLQ24" s="497"/>
      <c r="QLR24" s="497"/>
      <c r="QLS24" s="497"/>
      <c r="QLT24" s="497"/>
      <c r="QLU24" s="497"/>
      <c r="QLV24" s="497"/>
      <c r="QLW24" s="497"/>
      <c r="QLX24" s="497"/>
      <c r="QLY24" s="497"/>
      <c r="QLZ24" s="497"/>
      <c r="QMA24" s="497"/>
      <c r="QMB24" s="497"/>
      <c r="QMC24" s="497"/>
      <c r="QMD24" s="497"/>
      <c r="QME24" s="497"/>
      <c r="QMF24" s="497"/>
      <c r="QMG24" s="497"/>
      <c r="QMH24" s="497"/>
      <c r="QMI24" s="497"/>
      <c r="QMJ24" s="497"/>
      <c r="QMK24" s="497"/>
      <c r="QML24" s="497"/>
      <c r="QMM24" s="497"/>
      <c r="QMN24" s="497"/>
      <c r="QMO24" s="497"/>
      <c r="QMP24" s="497"/>
      <c r="QMQ24" s="497"/>
      <c r="QMR24" s="497"/>
      <c r="QMS24" s="497"/>
      <c r="QMT24" s="497"/>
      <c r="QMU24" s="497"/>
      <c r="QMV24" s="497"/>
      <c r="QMW24" s="497"/>
      <c r="QMX24" s="497"/>
      <c r="QMY24" s="497"/>
      <c r="QMZ24" s="497"/>
      <c r="QNA24" s="497"/>
      <c r="QNB24" s="497"/>
      <c r="QNC24" s="497"/>
      <c r="QND24" s="497"/>
      <c r="QNE24" s="497"/>
      <c r="QNF24" s="497"/>
      <c r="QNG24" s="497"/>
      <c r="QNH24" s="497"/>
      <c r="QNI24" s="497"/>
      <c r="QNJ24" s="497"/>
      <c r="QNK24" s="497"/>
      <c r="QNL24" s="497"/>
      <c r="QNM24" s="497"/>
      <c r="QNN24" s="497"/>
      <c r="QNO24" s="497"/>
      <c r="QNP24" s="497"/>
      <c r="QNQ24" s="497"/>
      <c r="QNR24" s="497"/>
      <c r="QNS24" s="497"/>
      <c r="QNT24" s="497"/>
      <c r="QNU24" s="497"/>
      <c r="QNV24" s="497"/>
      <c r="QNW24" s="497"/>
      <c r="QNX24" s="497"/>
      <c r="QNY24" s="497"/>
      <c r="QNZ24" s="497"/>
      <c r="QOA24" s="497"/>
      <c r="QOB24" s="497"/>
      <c r="QOC24" s="497"/>
      <c r="QOD24" s="497"/>
      <c r="QOE24" s="497"/>
      <c r="QOF24" s="497"/>
      <c r="QOG24" s="497"/>
      <c r="QOH24" s="497"/>
      <c r="QOI24" s="497"/>
      <c r="QOJ24" s="497"/>
      <c r="QOK24" s="497"/>
      <c r="QOL24" s="497"/>
      <c r="QOM24" s="497"/>
      <c r="QON24" s="497"/>
      <c r="QOO24" s="497"/>
      <c r="QOP24" s="497"/>
      <c r="QOQ24" s="497"/>
      <c r="QOR24" s="497"/>
      <c r="QOS24" s="497"/>
      <c r="QOT24" s="497"/>
      <c r="QOU24" s="497"/>
      <c r="QOV24" s="497"/>
      <c r="QOW24" s="497"/>
      <c r="QOX24" s="497"/>
      <c r="QOY24" s="497"/>
      <c r="QOZ24" s="497"/>
      <c r="QPA24" s="497"/>
      <c r="QPB24" s="497"/>
      <c r="QPC24" s="497"/>
      <c r="QPD24" s="497"/>
      <c r="QPE24" s="497"/>
      <c r="QPF24" s="497"/>
      <c r="QPG24" s="497"/>
      <c r="QPH24" s="497"/>
      <c r="QPI24" s="497"/>
      <c r="QPJ24" s="497"/>
      <c r="QPK24" s="497"/>
      <c r="QPL24" s="497"/>
      <c r="QPM24" s="497"/>
      <c r="QPN24" s="497"/>
      <c r="QPO24" s="497"/>
      <c r="QPP24" s="497"/>
      <c r="QPQ24" s="497"/>
      <c r="QPR24" s="497"/>
      <c r="QPS24" s="497"/>
      <c r="QPT24" s="497"/>
      <c r="QPU24" s="497"/>
      <c r="QPV24" s="497"/>
      <c r="QPW24" s="497"/>
      <c r="QPX24" s="497"/>
      <c r="QPY24" s="497"/>
      <c r="QPZ24" s="497"/>
      <c r="QQA24" s="497"/>
      <c r="QQB24" s="497"/>
      <c r="QQC24" s="497"/>
      <c r="QQD24" s="497"/>
      <c r="QQE24" s="497"/>
      <c r="QQF24" s="497"/>
      <c r="QQG24" s="497"/>
      <c r="QQH24" s="497"/>
      <c r="QQI24" s="497"/>
      <c r="QQJ24" s="497"/>
      <c r="QQK24" s="497"/>
      <c r="QQL24" s="497"/>
      <c r="QQM24" s="497"/>
      <c r="QQN24" s="497"/>
      <c r="QQO24" s="497"/>
      <c r="QQP24" s="497"/>
      <c r="QQQ24" s="497"/>
      <c r="QQR24" s="497"/>
      <c r="QQS24" s="497"/>
      <c r="QQT24" s="497"/>
      <c r="QQU24" s="497"/>
      <c r="QQV24" s="497"/>
      <c r="QQW24" s="497"/>
      <c r="QQX24" s="497"/>
      <c r="QQY24" s="497"/>
      <c r="QQZ24" s="497"/>
      <c r="QRA24" s="497"/>
      <c r="QRB24" s="497"/>
      <c r="QRC24" s="497"/>
      <c r="QRD24" s="497"/>
      <c r="QRE24" s="497"/>
      <c r="QRF24" s="497"/>
      <c r="QRG24" s="497"/>
      <c r="QRH24" s="497"/>
      <c r="QRI24" s="497"/>
      <c r="QRJ24" s="497"/>
      <c r="QRK24" s="497"/>
      <c r="QRL24" s="497"/>
      <c r="QRM24" s="497"/>
      <c r="QRN24" s="497"/>
      <c r="QRO24" s="497"/>
      <c r="QRP24" s="497"/>
      <c r="QRQ24" s="497"/>
      <c r="QRR24" s="497"/>
      <c r="QRS24" s="497"/>
      <c r="QRT24" s="497"/>
      <c r="QRU24" s="497"/>
      <c r="QRV24" s="497"/>
      <c r="QRW24" s="497"/>
      <c r="QRX24" s="497"/>
      <c r="QRY24" s="497"/>
      <c r="QRZ24" s="497"/>
      <c r="QSA24" s="497"/>
      <c r="QSB24" s="497"/>
      <c r="QSC24" s="497"/>
      <c r="QSD24" s="497"/>
      <c r="QSE24" s="497"/>
      <c r="QSF24" s="497"/>
      <c r="QSG24" s="497"/>
      <c r="QSH24" s="497"/>
      <c r="QSI24" s="497"/>
      <c r="QSJ24" s="497"/>
      <c r="QSK24" s="497"/>
      <c r="QSL24" s="497"/>
      <c r="QSM24" s="497"/>
      <c r="QSN24" s="497"/>
      <c r="QSO24" s="497"/>
      <c r="QSP24" s="497"/>
      <c r="QSQ24" s="497"/>
      <c r="QSR24" s="497"/>
      <c r="QSS24" s="497"/>
      <c r="QST24" s="497"/>
      <c r="QSU24" s="497"/>
      <c r="QSV24" s="497"/>
      <c r="QSW24" s="497"/>
      <c r="QSX24" s="497"/>
      <c r="QSY24" s="497"/>
      <c r="QSZ24" s="497"/>
      <c r="QTA24" s="497"/>
      <c r="QTB24" s="497"/>
      <c r="QTC24" s="497"/>
      <c r="QTD24" s="497"/>
      <c r="QTE24" s="497"/>
      <c r="QTF24" s="497"/>
      <c r="QTG24" s="497"/>
      <c r="QTH24" s="497"/>
      <c r="QTI24" s="497"/>
      <c r="QTJ24" s="497"/>
      <c r="QTK24" s="497"/>
      <c r="QTL24" s="497"/>
      <c r="QTM24" s="497"/>
      <c r="QTN24" s="497"/>
      <c r="QTO24" s="497"/>
      <c r="QTP24" s="497"/>
      <c r="QTQ24" s="497"/>
      <c r="QTR24" s="497"/>
      <c r="QTS24" s="497"/>
      <c r="QTT24" s="497"/>
      <c r="QTU24" s="497"/>
      <c r="QTV24" s="497"/>
      <c r="QTW24" s="497"/>
      <c r="QTX24" s="497"/>
      <c r="QTY24" s="497"/>
      <c r="QTZ24" s="497"/>
      <c r="QUA24" s="497"/>
      <c r="QUB24" s="497"/>
      <c r="QUC24" s="497"/>
      <c r="QUD24" s="497"/>
      <c r="QUE24" s="497"/>
      <c r="QUF24" s="497"/>
      <c r="QUG24" s="497"/>
      <c r="QUH24" s="497"/>
      <c r="QUI24" s="497"/>
      <c r="QUJ24" s="497"/>
      <c r="QUK24" s="497"/>
      <c r="QUL24" s="497"/>
      <c r="QUM24" s="497"/>
      <c r="QUN24" s="497"/>
      <c r="QUO24" s="497"/>
      <c r="QUP24" s="497"/>
      <c r="QUQ24" s="497"/>
      <c r="QUR24" s="497"/>
      <c r="QUS24" s="497"/>
      <c r="QUT24" s="497"/>
      <c r="QUU24" s="497"/>
      <c r="QUV24" s="497"/>
      <c r="QUW24" s="497"/>
      <c r="QUX24" s="497"/>
      <c r="QUY24" s="497"/>
      <c r="QUZ24" s="497"/>
      <c r="QVA24" s="497"/>
      <c r="QVB24" s="497"/>
      <c r="QVC24" s="497"/>
      <c r="QVD24" s="497"/>
      <c r="QVE24" s="497"/>
      <c r="QVF24" s="497"/>
      <c r="QVG24" s="497"/>
      <c r="QVH24" s="497"/>
      <c r="QVI24" s="497"/>
      <c r="QVJ24" s="497"/>
      <c r="QVK24" s="497"/>
      <c r="QVL24" s="497"/>
      <c r="QVM24" s="497"/>
      <c r="QVN24" s="497"/>
      <c r="QVO24" s="497"/>
      <c r="QVP24" s="497"/>
      <c r="QVQ24" s="497"/>
      <c r="QVR24" s="497"/>
      <c r="QVS24" s="497"/>
      <c r="QVT24" s="497"/>
      <c r="QVU24" s="497"/>
      <c r="QVV24" s="497"/>
      <c r="QVW24" s="497"/>
      <c r="QVX24" s="497"/>
      <c r="QVY24" s="497"/>
      <c r="QVZ24" s="497"/>
      <c r="QWA24" s="497"/>
      <c r="QWB24" s="497"/>
      <c r="QWC24" s="497"/>
      <c r="QWD24" s="497"/>
      <c r="QWE24" s="497"/>
      <c r="QWF24" s="497"/>
      <c r="QWG24" s="497"/>
      <c r="QWH24" s="497"/>
      <c r="QWI24" s="497"/>
      <c r="QWJ24" s="497"/>
      <c r="QWK24" s="497"/>
      <c r="QWL24" s="497"/>
      <c r="QWM24" s="497"/>
      <c r="QWN24" s="497"/>
      <c r="QWO24" s="497"/>
      <c r="QWP24" s="497"/>
      <c r="QWQ24" s="497"/>
      <c r="QWR24" s="497"/>
      <c r="QWS24" s="497"/>
      <c r="QWT24" s="497"/>
      <c r="QWU24" s="497"/>
      <c r="QWV24" s="497"/>
      <c r="QWW24" s="497"/>
      <c r="QWX24" s="497"/>
      <c r="QWY24" s="497"/>
      <c r="QWZ24" s="497"/>
      <c r="QXA24" s="497"/>
      <c r="QXB24" s="497"/>
      <c r="QXC24" s="497"/>
      <c r="QXD24" s="497"/>
      <c r="QXE24" s="497"/>
      <c r="QXF24" s="497"/>
      <c r="QXG24" s="497"/>
      <c r="QXH24" s="497"/>
      <c r="QXI24" s="497"/>
      <c r="QXJ24" s="497"/>
      <c r="QXK24" s="497"/>
      <c r="QXL24" s="497"/>
      <c r="QXM24" s="497"/>
      <c r="QXN24" s="497"/>
      <c r="QXO24" s="497"/>
      <c r="QXP24" s="497"/>
      <c r="QXQ24" s="497"/>
      <c r="QXR24" s="497"/>
      <c r="QXS24" s="497"/>
      <c r="QXT24" s="497"/>
      <c r="QXU24" s="497"/>
      <c r="QXV24" s="497"/>
      <c r="QXW24" s="497"/>
      <c r="QXX24" s="497"/>
      <c r="QXY24" s="497"/>
      <c r="QXZ24" s="497"/>
      <c r="QYA24" s="497"/>
      <c r="QYB24" s="497"/>
      <c r="QYC24" s="497"/>
      <c r="QYD24" s="497"/>
      <c r="QYE24" s="497"/>
      <c r="QYF24" s="497"/>
      <c r="QYG24" s="497"/>
      <c r="QYH24" s="497"/>
      <c r="QYI24" s="497"/>
      <c r="QYJ24" s="497"/>
      <c r="QYK24" s="497"/>
      <c r="QYL24" s="497"/>
      <c r="QYM24" s="497"/>
      <c r="QYN24" s="497"/>
      <c r="QYO24" s="497"/>
      <c r="QYP24" s="497"/>
      <c r="QYQ24" s="497"/>
      <c r="QYR24" s="497"/>
      <c r="QYS24" s="497"/>
      <c r="QYT24" s="497"/>
      <c r="QYU24" s="497"/>
      <c r="QYV24" s="497"/>
      <c r="QYW24" s="497"/>
      <c r="QYX24" s="497"/>
      <c r="QYY24" s="497"/>
      <c r="QYZ24" s="497"/>
      <c r="QZA24" s="497"/>
      <c r="QZB24" s="497"/>
      <c r="QZC24" s="497"/>
      <c r="QZD24" s="497"/>
      <c r="QZE24" s="497"/>
      <c r="QZF24" s="497"/>
      <c r="QZG24" s="497"/>
      <c r="QZH24" s="497"/>
      <c r="QZI24" s="497"/>
      <c r="QZJ24" s="497"/>
      <c r="QZK24" s="497"/>
      <c r="QZL24" s="497"/>
      <c r="QZM24" s="497"/>
      <c r="QZN24" s="497"/>
      <c r="QZO24" s="497"/>
      <c r="QZP24" s="497"/>
      <c r="QZQ24" s="497"/>
      <c r="QZR24" s="497"/>
      <c r="QZS24" s="497"/>
      <c r="QZT24" s="497"/>
      <c r="QZU24" s="497"/>
      <c r="QZV24" s="497"/>
      <c r="QZW24" s="497"/>
      <c r="QZX24" s="497"/>
      <c r="QZY24" s="497"/>
      <c r="QZZ24" s="497"/>
      <c r="RAA24" s="497"/>
      <c r="RAB24" s="497"/>
      <c r="RAC24" s="497"/>
      <c r="RAD24" s="497"/>
      <c r="RAE24" s="497"/>
      <c r="RAF24" s="497"/>
      <c r="RAG24" s="497"/>
      <c r="RAH24" s="497"/>
      <c r="RAI24" s="497"/>
      <c r="RAJ24" s="497"/>
      <c r="RAK24" s="497"/>
      <c r="RAL24" s="497"/>
      <c r="RAM24" s="497"/>
      <c r="RAN24" s="497"/>
      <c r="RAO24" s="497"/>
      <c r="RAP24" s="497"/>
      <c r="RAQ24" s="497"/>
      <c r="RAR24" s="497"/>
      <c r="RAS24" s="497"/>
      <c r="RAT24" s="497"/>
      <c r="RAU24" s="497"/>
      <c r="RAV24" s="497"/>
      <c r="RAW24" s="497"/>
      <c r="RAX24" s="497"/>
      <c r="RAY24" s="497"/>
      <c r="RAZ24" s="497"/>
      <c r="RBA24" s="497"/>
      <c r="RBB24" s="497"/>
      <c r="RBC24" s="497"/>
      <c r="RBD24" s="497"/>
      <c r="RBE24" s="497"/>
      <c r="RBF24" s="497"/>
      <c r="RBG24" s="497"/>
      <c r="RBH24" s="497"/>
      <c r="RBI24" s="497"/>
      <c r="RBJ24" s="497"/>
      <c r="RBK24" s="497"/>
      <c r="RBL24" s="497"/>
      <c r="RBM24" s="497"/>
      <c r="RBN24" s="497"/>
      <c r="RBO24" s="497"/>
      <c r="RBP24" s="497"/>
      <c r="RBQ24" s="497"/>
      <c r="RBR24" s="497"/>
      <c r="RBS24" s="497"/>
      <c r="RBT24" s="497"/>
      <c r="RBU24" s="497"/>
      <c r="RBV24" s="497"/>
      <c r="RBW24" s="497"/>
      <c r="RBX24" s="497"/>
      <c r="RBY24" s="497"/>
      <c r="RBZ24" s="497"/>
      <c r="RCA24" s="497"/>
      <c r="RCB24" s="497"/>
      <c r="RCC24" s="497"/>
      <c r="RCD24" s="497"/>
      <c r="RCE24" s="497"/>
      <c r="RCF24" s="497"/>
      <c r="RCG24" s="497"/>
      <c r="RCH24" s="497"/>
      <c r="RCI24" s="497"/>
      <c r="RCJ24" s="497"/>
      <c r="RCK24" s="497"/>
      <c r="RCL24" s="497"/>
      <c r="RCM24" s="497"/>
      <c r="RCN24" s="497"/>
      <c r="RCO24" s="497"/>
      <c r="RCP24" s="497"/>
      <c r="RCQ24" s="497"/>
      <c r="RCR24" s="497"/>
      <c r="RCS24" s="497"/>
      <c r="RCT24" s="497"/>
      <c r="RCU24" s="497"/>
      <c r="RCV24" s="497"/>
      <c r="RCW24" s="497"/>
      <c r="RCX24" s="497"/>
      <c r="RCY24" s="497"/>
      <c r="RCZ24" s="497"/>
      <c r="RDA24" s="497"/>
      <c r="RDB24" s="497"/>
      <c r="RDC24" s="497"/>
      <c r="RDD24" s="497"/>
      <c r="RDE24" s="497"/>
      <c r="RDF24" s="497"/>
      <c r="RDG24" s="497"/>
      <c r="RDH24" s="497"/>
      <c r="RDI24" s="497"/>
      <c r="RDJ24" s="497"/>
      <c r="RDK24" s="497"/>
      <c r="RDL24" s="497"/>
      <c r="RDM24" s="497"/>
      <c r="RDN24" s="497"/>
      <c r="RDO24" s="497"/>
      <c r="RDP24" s="497"/>
      <c r="RDQ24" s="497"/>
      <c r="RDR24" s="497"/>
      <c r="RDS24" s="497"/>
      <c r="RDT24" s="497"/>
      <c r="RDU24" s="497"/>
      <c r="RDV24" s="497"/>
      <c r="RDW24" s="497"/>
      <c r="RDX24" s="497"/>
      <c r="RDY24" s="497"/>
      <c r="RDZ24" s="497"/>
      <c r="REA24" s="497"/>
      <c r="REB24" s="497"/>
      <c r="REC24" s="497"/>
      <c r="RED24" s="497"/>
      <c r="REE24" s="497"/>
      <c r="REF24" s="497"/>
      <c r="REG24" s="497"/>
      <c r="REH24" s="497"/>
      <c r="REI24" s="497"/>
      <c r="REJ24" s="497"/>
      <c r="REK24" s="497"/>
      <c r="REL24" s="497"/>
      <c r="REM24" s="497"/>
      <c r="REN24" s="497"/>
      <c r="REO24" s="497"/>
      <c r="REP24" s="497"/>
      <c r="REQ24" s="497"/>
      <c r="RER24" s="497"/>
      <c r="RES24" s="497"/>
      <c r="RET24" s="497"/>
      <c r="REU24" s="497"/>
      <c r="REV24" s="497"/>
      <c r="REW24" s="497"/>
      <c r="REX24" s="497"/>
      <c r="REY24" s="497"/>
      <c r="REZ24" s="497"/>
      <c r="RFA24" s="497"/>
      <c r="RFB24" s="497"/>
      <c r="RFC24" s="497"/>
      <c r="RFD24" s="497"/>
      <c r="RFE24" s="497"/>
      <c r="RFF24" s="497"/>
      <c r="RFG24" s="497"/>
      <c r="RFH24" s="497"/>
      <c r="RFI24" s="497"/>
      <c r="RFJ24" s="497"/>
      <c r="RFK24" s="497"/>
      <c r="RFL24" s="497"/>
      <c r="RFM24" s="497"/>
      <c r="RFN24" s="497"/>
      <c r="RFO24" s="497"/>
      <c r="RFP24" s="497"/>
      <c r="RFQ24" s="497"/>
      <c r="RFR24" s="497"/>
      <c r="RFS24" s="497"/>
      <c r="RFT24" s="497"/>
      <c r="RFU24" s="497"/>
      <c r="RFV24" s="497"/>
      <c r="RFW24" s="497"/>
      <c r="RFX24" s="497"/>
      <c r="RFY24" s="497"/>
      <c r="RFZ24" s="497"/>
      <c r="RGA24" s="497"/>
      <c r="RGB24" s="497"/>
      <c r="RGC24" s="497"/>
      <c r="RGD24" s="497"/>
      <c r="RGE24" s="497"/>
      <c r="RGF24" s="497"/>
      <c r="RGG24" s="497"/>
      <c r="RGH24" s="497"/>
      <c r="RGI24" s="497"/>
      <c r="RGJ24" s="497"/>
      <c r="RGK24" s="497"/>
      <c r="RGL24" s="497"/>
      <c r="RGM24" s="497"/>
      <c r="RGN24" s="497"/>
      <c r="RGO24" s="497"/>
      <c r="RGP24" s="497"/>
      <c r="RGQ24" s="497"/>
      <c r="RGR24" s="497"/>
      <c r="RGS24" s="497"/>
      <c r="RGT24" s="497"/>
      <c r="RGU24" s="497"/>
      <c r="RGV24" s="497"/>
      <c r="RGW24" s="497"/>
      <c r="RGX24" s="497"/>
      <c r="RGY24" s="497"/>
      <c r="RGZ24" s="497"/>
      <c r="RHA24" s="497"/>
      <c r="RHB24" s="497"/>
      <c r="RHC24" s="497"/>
      <c r="RHD24" s="497"/>
      <c r="RHE24" s="497"/>
      <c r="RHF24" s="497"/>
      <c r="RHG24" s="497"/>
      <c r="RHH24" s="497"/>
      <c r="RHI24" s="497"/>
      <c r="RHJ24" s="497"/>
      <c r="RHK24" s="497"/>
      <c r="RHL24" s="497"/>
      <c r="RHM24" s="497"/>
      <c r="RHN24" s="497"/>
      <c r="RHO24" s="497"/>
      <c r="RHP24" s="497"/>
      <c r="RHQ24" s="497"/>
      <c r="RHR24" s="497"/>
      <c r="RHS24" s="497"/>
      <c r="RHT24" s="497"/>
      <c r="RHU24" s="497"/>
      <c r="RHV24" s="497"/>
      <c r="RHW24" s="497"/>
      <c r="RHX24" s="497"/>
      <c r="RHY24" s="497"/>
      <c r="RHZ24" s="497"/>
      <c r="RIA24" s="497"/>
      <c r="RIB24" s="497"/>
      <c r="RIC24" s="497"/>
      <c r="RID24" s="497"/>
      <c r="RIE24" s="497"/>
      <c r="RIF24" s="497"/>
      <c r="RIG24" s="497"/>
      <c r="RIH24" s="497"/>
      <c r="RII24" s="497"/>
      <c r="RIJ24" s="497"/>
      <c r="RIK24" s="497"/>
      <c r="RIL24" s="497"/>
      <c r="RIM24" s="497"/>
      <c r="RIN24" s="497"/>
      <c r="RIO24" s="497"/>
      <c r="RIP24" s="497"/>
      <c r="RIQ24" s="497"/>
      <c r="RIR24" s="497"/>
      <c r="RIS24" s="497"/>
      <c r="RIT24" s="497"/>
      <c r="RIU24" s="497"/>
      <c r="RIV24" s="497"/>
      <c r="RIW24" s="497"/>
      <c r="RIX24" s="497"/>
      <c r="RIY24" s="497"/>
      <c r="RIZ24" s="497"/>
      <c r="RJA24" s="497"/>
      <c r="RJB24" s="497"/>
      <c r="RJC24" s="497"/>
      <c r="RJD24" s="497"/>
      <c r="RJE24" s="497"/>
      <c r="RJF24" s="497"/>
      <c r="RJG24" s="497"/>
      <c r="RJH24" s="497"/>
      <c r="RJI24" s="497"/>
      <c r="RJJ24" s="497"/>
      <c r="RJK24" s="497"/>
      <c r="RJL24" s="497"/>
      <c r="RJM24" s="497"/>
      <c r="RJN24" s="497"/>
      <c r="RJO24" s="497"/>
      <c r="RJP24" s="497"/>
      <c r="RJQ24" s="497"/>
      <c r="RJR24" s="497"/>
      <c r="RJS24" s="497"/>
      <c r="RJT24" s="497"/>
      <c r="RJU24" s="497"/>
      <c r="RJV24" s="497"/>
      <c r="RJW24" s="497"/>
      <c r="RJX24" s="497"/>
      <c r="RJY24" s="497"/>
      <c r="RJZ24" s="497"/>
      <c r="RKA24" s="497"/>
      <c r="RKB24" s="497"/>
      <c r="RKC24" s="497"/>
      <c r="RKD24" s="497"/>
      <c r="RKE24" s="497"/>
      <c r="RKF24" s="497"/>
      <c r="RKG24" s="497"/>
      <c r="RKH24" s="497"/>
      <c r="RKI24" s="497"/>
      <c r="RKJ24" s="497"/>
      <c r="RKK24" s="497"/>
      <c r="RKL24" s="497"/>
      <c r="RKM24" s="497"/>
      <c r="RKN24" s="497"/>
      <c r="RKO24" s="497"/>
      <c r="RKP24" s="497"/>
      <c r="RKQ24" s="497"/>
      <c r="RKR24" s="497"/>
      <c r="RKS24" s="497"/>
      <c r="RKT24" s="497"/>
      <c r="RKU24" s="497"/>
      <c r="RKV24" s="497"/>
      <c r="RKW24" s="497"/>
      <c r="RKX24" s="497"/>
      <c r="RKY24" s="497"/>
      <c r="RKZ24" s="497"/>
      <c r="RLA24" s="497"/>
      <c r="RLB24" s="497"/>
      <c r="RLC24" s="497"/>
      <c r="RLD24" s="497"/>
      <c r="RLE24" s="497"/>
      <c r="RLF24" s="497"/>
      <c r="RLG24" s="497"/>
      <c r="RLH24" s="497"/>
      <c r="RLI24" s="497"/>
      <c r="RLJ24" s="497"/>
      <c r="RLK24" s="497"/>
      <c r="RLL24" s="497"/>
      <c r="RLM24" s="497"/>
      <c r="RLN24" s="497"/>
      <c r="RLO24" s="497"/>
      <c r="RLP24" s="497"/>
      <c r="RLQ24" s="497"/>
      <c r="RLR24" s="497"/>
      <c r="RLS24" s="497"/>
      <c r="RLT24" s="497"/>
      <c r="RLU24" s="497"/>
      <c r="RLV24" s="497"/>
      <c r="RLW24" s="497"/>
      <c r="RLX24" s="497"/>
      <c r="RLY24" s="497"/>
      <c r="RLZ24" s="497"/>
      <c r="RMA24" s="497"/>
      <c r="RMB24" s="497"/>
      <c r="RMC24" s="497"/>
      <c r="RMD24" s="497"/>
      <c r="RME24" s="497"/>
      <c r="RMF24" s="497"/>
      <c r="RMG24" s="497"/>
      <c r="RMH24" s="497"/>
      <c r="RMI24" s="497"/>
      <c r="RMJ24" s="497"/>
      <c r="RMK24" s="497"/>
      <c r="RML24" s="497"/>
      <c r="RMM24" s="497"/>
      <c r="RMN24" s="497"/>
      <c r="RMO24" s="497"/>
      <c r="RMP24" s="497"/>
      <c r="RMQ24" s="497"/>
      <c r="RMR24" s="497"/>
      <c r="RMS24" s="497"/>
      <c r="RMT24" s="497"/>
      <c r="RMU24" s="497"/>
      <c r="RMV24" s="497"/>
      <c r="RMW24" s="497"/>
      <c r="RMX24" s="497"/>
      <c r="RMY24" s="497"/>
      <c r="RMZ24" s="497"/>
      <c r="RNA24" s="497"/>
      <c r="RNB24" s="497"/>
      <c r="RNC24" s="497"/>
      <c r="RND24" s="497"/>
      <c r="RNE24" s="497"/>
      <c r="RNF24" s="497"/>
      <c r="RNG24" s="497"/>
      <c r="RNH24" s="497"/>
      <c r="RNI24" s="497"/>
      <c r="RNJ24" s="497"/>
      <c r="RNK24" s="497"/>
      <c r="RNL24" s="497"/>
      <c r="RNM24" s="497"/>
      <c r="RNN24" s="497"/>
      <c r="RNO24" s="497"/>
      <c r="RNP24" s="497"/>
      <c r="RNQ24" s="497"/>
      <c r="RNR24" s="497"/>
      <c r="RNS24" s="497"/>
      <c r="RNT24" s="497"/>
      <c r="RNU24" s="497"/>
      <c r="RNV24" s="497"/>
      <c r="RNW24" s="497"/>
      <c r="RNX24" s="497"/>
      <c r="RNY24" s="497"/>
      <c r="RNZ24" s="497"/>
      <c r="ROA24" s="497"/>
      <c r="ROB24" s="497"/>
      <c r="ROC24" s="497"/>
      <c r="ROD24" s="497"/>
      <c r="ROE24" s="497"/>
      <c r="ROF24" s="497"/>
      <c r="ROG24" s="497"/>
      <c r="ROH24" s="497"/>
      <c r="ROI24" s="497"/>
      <c r="ROJ24" s="497"/>
      <c r="ROK24" s="497"/>
      <c r="ROL24" s="497"/>
      <c r="ROM24" s="497"/>
      <c r="RON24" s="497"/>
      <c r="ROO24" s="497"/>
      <c r="ROP24" s="497"/>
      <c r="ROQ24" s="497"/>
      <c r="ROR24" s="497"/>
      <c r="ROS24" s="497"/>
      <c r="ROT24" s="497"/>
      <c r="ROU24" s="497"/>
      <c r="ROV24" s="497"/>
      <c r="ROW24" s="497"/>
      <c r="ROX24" s="497"/>
      <c r="ROY24" s="497"/>
      <c r="ROZ24" s="497"/>
      <c r="RPA24" s="497"/>
      <c r="RPB24" s="497"/>
      <c r="RPC24" s="497"/>
      <c r="RPD24" s="497"/>
      <c r="RPE24" s="497"/>
      <c r="RPF24" s="497"/>
      <c r="RPG24" s="497"/>
      <c r="RPH24" s="497"/>
      <c r="RPI24" s="497"/>
      <c r="RPJ24" s="497"/>
      <c r="RPK24" s="497"/>
      <c r="RPL24" s="497"/>
      <c r="RPM24" s="497"/>
      <c r="RPN24" s="497"/>
      <c r="RPO24" s="497"/>
      <c r="RPP24" s="497"/>
      <c r="RPQ24" s="497"/>
      <c r="RPR24" s="497"/>
      <c r="RPS24" s="497"/>
      <c r="RPT24" s="497"/>
      <c r="RPU24" s="497"/>
      <c r="RPV24" s="497"/>
      <c r="RPW24" s="497"/>
      <c r="RPX24" s="497"/>
      <c r="RPY24" s="497"/>
      <c r="RPZ24" s="497"/>
      <c r="RQA24" s="497"/>
      <c r="RQB24" s="497"/>
      <c r="RQC24" s="497"/>
      <c r="RQD24" s="497"/>
      <c r="RQE24" s="497"/>
      <c r="RQF24" s="497"/>
      <c r="RQG24" s="497"/>
      <c r="RQH24" s="497"/>
      <c r="RQI24" s="497"/>
      <c r="RQJ24" s="497"/>
      <c r="RQK24" s="497"/>
      <c r="RQL24" s="497"/>
      <c r="RQM24" s="497"/>
      <c r="RQN24" s="497"/>
      <c r="RQO24" s="497"/>
      <c r="RQP24" s="497"/>
      <c r="RQQ24" s="497"/>
      <c r="RQR24" s="497"/>
      <c r="RQS24" s="497"/>
      <c r="RQT24" s="497"/>
      <c r="RQU24" s="497"/>
      <c r="RQV24" s="497"/>
      <c r="RQW24" s="497"/>
      <c r="RQX24" s="497"/>
      <c r="RQY24" s="497"/>
      <c r="RQZ24" s="497"/>
      <c r="RRA24" s="497"/>
      <c r="RRB24" s="497"/>
      <c r="RRC24" s="497"/>
      <c r="RRD24" s="497"/>
      <c r="RRE24" s="497"/>
      <c r="RRF24" s="497"/>
      <c r="RRG24" s="497"/>
      <c r="RRH24" s="497"/>
      <c r="RRI24" s="497"/>
      <c r="RRJ24" s="497"/>
      <c r="RRK24" s="497"/>
      <c r="RRL24" s="497"/>
      <c r="RRM24" s="497"/>
      <c r="RRN24" s="497"/>
      <c r="RRO24" s="497"/>
      <c r="RRP24" s="497"/>
      <c r="RRQ24" s="497"/>
      <c r="RRR24" s="497"/>
      <c r="RRS24" s="497"/>
      <c r="RRT24" s="497"/>
      <c r="RRU24" s="497"/>
      <c r="RRV24" s="497"/>
      <c r="RRW24" s="497"/>
      <c r="RRX24" s="497"/>
      <c r="RRY24" s="497"/>
      <c r="RRZ24" s="497"/>
      <c r="RSA24" s="497"/>
      <c r="RSB24" s="497"/>
      <c r="RSC24" s="497"/>
      <c r="RSD24" s="497"/>
      <c r="RSE24" s="497"/>
      <c r="RSF24" s="497"/>
      <c r="RSG24" s="497"/>
      <c r="RSH24" s="497"/>
      <c r="RSI24" s="497"/>
      <c r="RSJ24" s="497"/>
      <c r="RSK24" s="497"/>
      <c r="RSL24" s="497"/>
      <c r="RSM24" s="497"/>
      <c r="RSN24" s="497"/>
      <c r="RSO24" s="497"/>
      <c r="RSP24" s="497"/>
      <c r="RSQ24" s="497"/>
      <c r="RSR24" s="497"/>
      <c r="RSS24" s="497"/>
      <c r="RST24" s="497"/>
      <c r="RSU24" s="497"/>
      <c r="RSV24" s="497"/>
      <c r="RSW24" s="497"/>
      <c r="RSX24" s="497"/>
      <c r="RSY24" s="497"/>
      <c r="RSZ24" s="497"/>
      <c r="RTA24" s="497"/>
      <c r="RTB24" s="497"/>
      <c r="RTC24" s="497"/>
      <c r="RTD24" s="497"/>
      <c r="RTE24" s="497"/>
      <c r="RTF24" s="497"/>
      <c r="RTG24" s="497"/>
      <c r="RTH24" s="497"/>
      <c r="RTI24" s="497"/>
      <c r="RTJ24" s="497"/>
      <c r="RTK24" s="497"/>
      <c r="RTL24" s="497"/>
      <c r="RTM24" s="497"/>
      <c r="RTN24" s="497"/>
      <c r="RTO24" s="497"/>
      <c r="RTP24" s="497"/>
      <c r="RTQ24" s="497"/>
      <c r="RTR24" s="497"/>
      <c r="RTS24" s="497"/>
      <c r="RTT24" s="497"/>
      <c r="RTU24" s="497"/>
      <c r="RTV24" s="497"/>
      <c r="RTW24" s="497"/>
      <c r="RTX24" s="497"/>
      <c r="RTY24" s="497"/>
      <c r="RTZ24" s="497"/>
      <c r="RUA24" s="497"/>
      <c r="RUB24" s="497"/>
      <c r="RUC24" s="497"/>
      <c r="RUD24" s="497"/>
      <c r="RUE24" s="497"/>
      <c r="RUF24" s="497"/>
      <c r="RUG24" s="497"/>
      <c r="RUH24" s="497"/>
      <c r="RUI24" s="497"/>
      <c r="RUJ24" s="497"/>
      <c r="RUK24" s="497"/>
      <c r="RUL24" s="497"/>
      <c r="RUM24" s="497"/>
      <c r="RUN24" s="497"/>
      <c r="RUO24" s="497"/>
      <c r="RUP24" s="497"/>
      <c r="RUQ24" s="497"/>
      <c r="RUR24" s="497"/>
      <c r="RUS24" s="497"/>
      <c r="RUT24" s="497"/>
      <c r="RUU24" s="497"/>
      <c r="RUV24" s="497"/>
      <c r="RUW24" s="497"/>
      <c r="RUX24" s="497"/>
      <c r="RUY24" s="497"/>
      <c r="RUZ24" s="497"/>
      <c r="RVA24" s="497"/>
      <c r="RVB24" s="497"/>
      <c r="RVC24" s="497"/>
      <c r="RVD24" s="497"/>
      <c r="RVE24" s="497"/>
      <c r="RVF24" s="497"/>
      <c r="RVG24" s="497"/>
      <c r="RVH24" s="497"/>
      <c r="RVI24" s="497"/>
      <c r="RVJ24" s="497"/>
      <c r="RVK24" s="497"/>
      <c r="RVL24" s="497"/>
      <c r="RVM24" s="497"/>
      <c r="RVN24" s="497"/>
      <c r="RVO24" s="497"/>
      <c r="RVP24" s="497"/>
      <c r="RVQ24" s="497"/>
      <c r="RVR24" s="497"/>
      <c r="RVS24" s="497"/>
      <c r="RVT24" s="497"/>
      <c r="RVU24" s="497"/>
      <c r="RVV24" s="497"/>
      <c r="RVW24" s="497"/>
      <c r="RVX24" s="497"/>
      <c r="RVY24" s="497"/>
      <c r="RVZ24" s="497"/>
      <c r="RWA24" s="497"/>
      <c r="RWB24" s="497"/>
      <c r="RWC24" s="497"/>
      <c r="RWD24" s="497"/>
      <c r="RWE24" s="497"/>
      <c r="RWF24" s="497"/>
      <c r="RWG24" s="497"/>
      <c r="RWH24" s="497"/>
      <c r="RWI24" s="497"/>
      <c r="RWJ24" s="497"/>
      <c r="RWK24" s="497"/>
      <c r="RWL24" s="497"/>
      <c r="RWM24" s="497"/>
      <c r="RWN24" s="497"/>
      <c r="RWO24" s="497"/>
      <c r="RWP24" s="497"/>
      <c r="RWQ24" s="497"/>
      <c r="RWR24" s="497"/>
      <c r="RWS24" s="497"/>
      <c r="RWT24" s="497"/>
      <c r="RWU24" s="497"/>
      <c r="RWV24" s="497"/>
      <c r="RWW24" s="497"/>
      <c r="RWX24" s="497"/>
      <c r="RWY24" s="497"/>
      <c r="RWZ24" s="497"/>
      <c r="RXA24" s="497"/>
      <c r="RXB24" s="497"/>
      <c r="RXC24" s="497"/>
      <c r="RXD24" s="497"/>
      <c r="RXE24" s="497"/>
      <c r="RXF24" s="497"/>
      <c r="RXG24" s="497"/>
      <c r="RXH24" s="497"/>
      <c r="RXI24" s="497"/>
      <c r="RXJ24" s="497"/>
      <c r="RXK24" s="497"/>
      <c r="RXL24" s="497"/>
      <c r="RXM24" s="497"/>
      <c r="RXN24" s="497"/>
      <c r="RXO24" s="497"/>
      <c r="RXP24" s="497"/>
      <c r="RXQ24" s="497"/>
      <c r="RXR24" s="497"/>
      <c r="RXS24" s="497"/>
      <c r="RXT24" s="497"/>
      <c r="RXU24" s="497"/>
      <c r="RXV24" s="497"/>
      <c r="RXW24" s="497"/>
      <c r="RXX24" s="497"/>
      <c r="RXY24" s="497"/>
      <c r="RXZ24" s="497"/>
      <c r="RYA24" s="497"/>
      <c r="RYB24" s="497"/>
      <c r="RYC24" s="497"/>
      <c r="RYD24" s="497"/>
      <c r="RYE24" s="497"/>
      <c r="RYF24" s="497"/>
      <c r="RYG24" s="497"/>
      <c r="RYH24" s="497"/>
      <c r="RYI24" s="497"/>
      <c r="RYJ24" s="497"/>
      <c r="RYK24" s="497"/>
      <c r="RYL24" s="497"/>
      <c r="RYM24" s="497"/>
      <c r="RYN24" s="497"/>
      <c r="RYO24" s="497"/>
      <c r="RYP24" s="497"/>
      <c r="RYQ24" s="497"/>
      <c r="RYR24" s="497"/>
      <c r="RYS24" s="497"/>
      <c r="RYT24" s="497"/>
      <c r="RYU24" s="497"/>
      <c r="RYV24" s="497"/>
      <c r="RYW24" s="497"/>
      <c r="RYX24" s="497"/>
      <c r="RYY24" s="497"/>
      <c r="RYZ24" s="497"/>
      <c r="RZA24" s="497"/>
      <c r="RZB24" s="497"/>
      <c r="RZC24" s="497"/>
      <c r="RZD24" s="497"/>
      <c r="RZE24" s="497"/>
      <c r="RZF24" s="497"/>
      <c r="RZG24" s="497"/>
      <c r="RZH24" s="497"/>
      <c r="RZI24" s="497"/>
      <c r="RZJ24" s="497"/>
      <c r="RZK24" s="497"/>
      <c r="RZL24" s="497"/>
      <c r="RZM24" s="497"/>
      <c r="RZN24" s="497"/>
      <c r="RZO24" s="497"/>
      <c r="RZP24" s="497"/>
      <c r="RZQ24" s="497"/>
      <c r="RZR24" s="497"/>
      <c r="RZS24" s="497"/>
      <c r="RZT24" s="497"/>
      <c r="RZU24" s="497"/>
      <c r="RZV24" s="497"/>
      <c r="RZW24" s="497"/>
      <c r="RZX24" s="497"/>
      <c r="RZY24" s="497"/>
      <c r="RZZ24" s="497"/>
      <c r="SAA24" s="497"/>
      <c r="SAB24" s="497"/>
      <c r="SAC24" s="497"/>
      <c r="SAD24" s="497"/>
      <c r="SAE24" s="497"/>
      <c r="SAF24" s="497"/>
      <c r="SAG24" s="497"/>
      <c r="SAH24" s="497"/>
      <c r="SAI24" s="497"/>
      <c r="SAJ24" s="497"/>
      <c r="SAK24" s="497"/>
      <c r="SAL24" s="497"/>
      <c r="SAM24" s="497"/>
      <c r="SAN24" s="497"/>
      <c r="SAO24" s="497"/>
      <c r="SAP24" s="497"/>
      <c r="SAQ24" s="497"/>
      <c r="SAR24" s="497"/>
      <c r="SAS24" s="497"/>
      <c r="SAT24" s="497"/>
      <c r="SAU24" s="497"/>
      <c r="SAV24" s="497"/>
      <c r="SAW24" s="497"/>
      <c r="SAX24" s="497"/>
      <c r="SAY24" s="497"/>
      <c r="SAZ24" s="497"/>
      <c r="SBA24" s="497"/>
      <c r="SBB24" s="497"/>
      <c r="SBC24" s="497"/>
      <c r="SBD24" s="497"/>
      <c r="SBE24" s="497"/>
      <c r="SBF24" s="497"/>
      <c r="SBG24" s="497"/>
      <c r="SBH24" s="497"/>
      <c r="SBI24" s="497"/>
      <c r="SBJ24" s="497"/>
      <c r="SBK24" s="497"/>
      <c r="SBL24" s="497"/>
      <c r="SBM24" s="497"/>
      <c r="SBN24" s="497"/>
      <c r="SBO24" s="497"/>
      <c r="SBP24" s="497"/>
      <c r="SBQ24" s="497"/>
      <c r="SBR24" s="497"/>
      <c r="SBS24" s="497"/>
      <c r="SBT24" s="497"/>
      <c r="SBU24" s="497"/>
      <c r="SBV24" s="497"/>
      <c r="SBW24" s="497"/>
      <c r="SBX24" s="497"/>
      <c r="SBY24" s="497"/>
      <c r="SBZ24" s="497"/>
      <c r="SCA24" s="497"/>
      <c r="SCB24" s="497"/>
      <c r="SCC24" s="497"/>
      <c r="SCD24" s="497"/>
      <c r="SCE24" s="497"/>
      <c r="SCF24" s="497"/>
      <c r="SCG24" s="497"/>
      <c r="SCH24" s="497"/>
      <c r="SCI24" s="497"/>
      <c r="SCJ24" s="497"/>
      <c r="SCK24" s="497"/>
      <c r="SCL24" s="497"/>
      <c r="SCM24" s="497"/>
      <c r="SCN24" s="497"/>
      <c r="SCO24" s="497"/>
      <c r="SCP24" s="497"/>
      <c r="SCQ24" s="497"/>
      <c r="SCR24" s="497"/>
      <c r="SCS24" s="497"/>
      <c r="SCT24" s="497"/>
      <c r="SCU24" s="497"/>
      <c r="SCV24" s="497"/>
      <c r="SCW24" s="497"/>
      <c r="SCX24" s="497"/>
      <c r="SCY24" s="497"/>
      <c r="SCZ24" s="497"/>
      <c r="SDA24" s="497"/>
      <c r="SDB24" s="497"/>
      <c r="SDC24" s="497"/>
      <c r="SDD24" s="497"/>
      <c r="SDE24" s="497"/>
      <c r="SDF24" s="497"/>
      <c r="SDG24" s="497"/>
      <c r="SDH24" s="497"/>
      <c r="SDI24" s="497"/>
      <c r="SDJ24" s="497"/>
      <c r="SDK24" s="497"/>
      <c r="SDL24" s="497"/>
      <c r="SDM24" s="497"/>
      <c r="SDN24" s="497"/>
      <c r="SDO24" s="497"/>
      <c r="SDP24" s="497"/>
      <c r="SDQ24" s="497"/>
      <c r="SDR24" s="497"/>
      <c r="SDS24" s="497"/>
      <c r="SDT24" s="497"/>
      <c r="SDU24" s="497"/>
      <c r="SDV24" s="497"/>
      <c r="SDW24" s="497"/>
      <c r="SDX24" s="497"/>
      <c r="SDY24" s="497"/>
      <c r="SDZ24" s="497"/>
      <c r="SEA24" s="497"/>
      <c r="SEB24" s="497"/>
      <c r="SEC24" s="497"/>
      <c r="SED24" s="497"/>
      <c r="SEE24" s="497"/>
      <c r="SEF24" s="497"/>
      <c r="SEG24" s="497"/>
      <c r="SEH24" s="497"/>
      <c r="SEI24" s="497"/>
      <c r="SEJ24" s="497"/>
      <c r="SEK24" s="497"/>
      <c r="SEL24" s="497"/>
      <c r="SEM24" s="497"/>
      <c r="SEN24" s="497"/>
      <c r="SEO24" s="497"/>
      <c r="SEP24" s="497"/>
      <c r="SEQ24" s="497"/>
      <c r="SER24" s="497"/>
      <c r="SES24" s="497"/>
      <c r="SET24" s="497"/>
      <c r="SEU24" s="497"/>
      <c r="SEV24" s="497"/>
      <c r="SEW24" s="497"/>
      <c r="SEX24" s="497"/>
      <c r="SEY24" s="497"/>
      <c r="SEZ24" s="497"/>
      <c r="SFA24" s="497"/>
      <c r="SFB24" s="497"/>
      <c r="SFC24" s="497"/>
      <c r="SFD24" s="497"/>
      <c r="SFE24" s="497"/>
      <c r="SFF24" s="497"/>
      <c r="SFG24" s="497"/>
      <c r="SFH24" s="497"/>
      <c r="SFI24" s="497"/>
      <c r="SFJ24" s="497"/>
      <c r="SFK24" s="497"/>
      <c r="SFL24" s="497"/>
      <c r="SFM24" s="497"/>
      <c r="SFN24" s="497"/>
      <c r="SFO24" s="497"/>
      <c r="SFP24" s="497"/>
      <c r="SFQ24" s="497"/>
      <c r="SFR24" s="497"/>
      <c r="SFS24" s="497"/>
      <c r="SFT24" s="497"/>
      <c r="SFU24" s="497"/>
      <c r="SFV24" s="497"/>
      <c r="SFW24" s="497"/>
      <c r="SFX24" s="497"/>
      <c r="SFY24" s="497"/>
      <c r="SFZ24" s="497"/>
      <c r="SGA24" s="497"/>
      <c r="SGB24" s="497"/>
      <c r="SGC24" s="497"/>
      <c r="SGD24" s="497"/>
      <c r="SGE24" s="497"/>
      <c r="SGF24" s="497"/>
      <c r="SGG24" s="497"/>
      <c r="SGH24" s="497"/>
      <c r="SGI24" s="497"/>
      <c r="SGJ24" s="497"/>
      <c r="SGK24" s="497"/>
      <c r="SGL24" s="497"/>
      <c r="SGM24" s="497"/>
      <c r="SGN24" s="497"/>
      <c r="SGO24" s="497"/>
      <c r="SGP24" s="497"/>
      <c r="SGQ24" s="497"/>
      <c r="SGR24" s="497"/>
      <c r="SGS24" s="497"/>
      <c r="SGT24" s="497"/>
      <c r="SGU24" s="497"/>
      <c r="SGV24" s="497"/>
      <c r="SGW24" s="497"/>
      <c r="SGX24" s="497"/>
      <c r="SGY24" s="497"/>
      <c r="SGZ24" s="497"/>
      <c r="SHA24" s="497"/>
      <c r="SHB24" s="497"/>
      <c r="SHC24" s="497"/>
      <c r="SHD24" s="497"/>
      <c r="SHE24" s="497"/>
      <c r="SHF24" s="497"/>
      <c r="SHG24" s="497"/>
      <c r="SHH24" s="497"/>
      <c r="SHI24" s="497"/>
      <c r="SHJ24" s="497"/>
      <c r="SHK24" s="497"/>
      <c r="SHL24" s="497"/>
      <c r="SHM24" s="497"/>
      <c r="SHN24" s="497"/>
      <c r="SHO24" s="497"/>
      <c r="SHP24" s="497"/>
      <c r="SHQ24" s="497"/>
      <c r="SHR24" s="497"/>
      <c r="SHS24" s="497"/>
      <c r="SHT24" s="497"/>
      <c r="SHU24" s="497"/>
      <c r="SHV24" s="497"/>
      <c r="SHW24" s="497"/>
      <c r="SHX24" s="497"/>
      <c r="SHY24" s="497"/>
      <c r="SHZ24" s="497"/>
      <c r="SIA24" s="497"/>
      <c r="SIB24" s="497"/>
      <c r="SIC24" s="497"/>
      <c r="SID24" s="497"/>
      <c r="SIE24" s="497"/>
      <c r="SIF24" s="497"/>
      <c r="SIG24" s="497"/>
      <c r="SIH24" s="497"/>
      <c r="SII24" s="497"/>
      <c r="SIJ24" s="497"/>
      <c r="SIK24" s="497"/>
      <c r="SIL24" s="497"/>
      <c r="SIM24" s="497"/>
      <c r="SIN24" s="497"/>
      <c r="SIO24" s="497"/>
      <c r="SIP24" s="497"/>
      <c r="SIQ24" s="497"/>
      <c r="SIR24" s="497"/>
      <c r="SIS24" s="497"/>
      <c r="SIT24" s="497"/>
      <c r="SIU24" s="497"/>
      <c r="SIV24" s="497"/>
      <c r="SIW24" s="497"/>
      <c r="SIX24" s="497"/>
      <c r="SIY24" s="497"/>
      <c r="SIZ24" s="497"/>
      <c r="SJA24" s="497"/>
      <c r="SJB24" s="497"/>
      <c r="SJC24" s="497"/>
      <c r="SJD24" s="497"/>
      <c r="SJE24" s="497"/>
      <c r="SJF24" s="497"/>
      <c r="SJG24" s="497"/>
      <c r="SJH24" s="497"/>
      <c r="SJI24" s="497"/>
      <c r="SJJ24" s="497"/>
      <c r="SJK24" s="497"/>
      <c r="SJL24" s="497"/>
      <c r="SJM24" s="497"/>
      <c r="SJN24" s="497"/>
      <c r="SJO24" s="497"/>
      <c r="SJP24" s="497"/>
      <c r="SJQ24" s="497"/>
      <c r="SJR24" s="497"/>
      <c r="SJS24" s="497"/>
      <c r="SJT24" s="497"/>
      <c r="SJU24" s="497"/>
      <c r="SJV24" s="497"/>
      <c r="SJW24" s="497"/>
      <c r="SJX24" s="497"/>
      <c r="SJY24" s="497"/>
      <c r="SJZ24" s="497"/>
      <c r="SKA24" s="497"/>
      <c r="SKB24" s="497"/>
      <c r="SKC24" s="497"/>
      <c r="SKD24" s="497"/>
      <c r="SKE24" s="497"/>
      <c r="SKF24" s="497"/>
      <c r="SKG24" s="497"/>
      <c r="SKH24" s="497"/>
      <c r="SKI24" s="497"/>
      <c r="SKJ24" s="497"/>
      <c r="SKK24" s="497"/>
      <c r="SKL24" s="497"/>
      <c r="SKM24" s="497"/>
      <c r="SKN24" s="497"/>
      <c r="SKO24" s="497"/>
      <c r="SKP24" s="497"/>
      <c r="SKQ24" s="497"/>
      <c r="SKR24" s="497"/>
      <c r="SKS24" s="497"/>
      <c r="SKT24" s="497"/>
      <c r="SKU24" s="497"/>
      <c r="SKV24" s="497"/>
      <c r="SKW24" s="497"/>
      <c r="SKX24" s="497"/>
      <c r="SKY24" s="497"/>
      <c r="SKZ24" s="497"/>
      <c r="SLA24" s="497"/>
      <c r="SLB24" s="497"/>
      <c r="SLC24" s="497"/>
      <c r="SLD24" s="497"/>
      <c r="SLE24" s="497"/>
      <c r="SLF24" s="497"/>
      <c r="SLG24" s="497"/>
      <c r="SLH24" s="497"/>
      <c r="SLI24" s="497"/>
      <c r="SLJ24" s="497"/>
      <c r="SLK24" s="497"/>
      <c r="SLL24" s="497"/>
      <c r="SLM24" s="497"/>
      <c r="SLN24" s="497"/>
      <c r="SLO24" s="497"/>
      <c r="SLP24" s="497"/>
      <c r="SLQ24" s="497"/>
      <c r="SLR24" s="497"/>
      <c r="SLS24" s="497"/>
      <c r="SLT24" s="497"/>
      <c r="SLU24" s="497"/>
      <c r="SLV24" s="497"/>
      <c r="SLW24" s="497"/>
      <c r="SLX24" s="497"/>
      <c r="SLY24" s="497"/>
      <c r="SLZ24" s="497"/>
      <c r="SMA24" s="497"/>
      <c r="SMB24" s="497"/>
      <c r="SMC24" s="497"/>
      <c r="SMD24" s="497"/>
      <c r="SME24" s="497"/>
      <c r="SMF24" s="497"/>
      <c r="SMG24" s="497"/>
      <c r="SMH24" s="497"/>
      <c r="SMI24" s="497"/>
      <c r="SMJ24" s="497"/>
      <c r="SMK24" s="497"/>
      <c r="SML24" s="497"/>
      <c r="SMM24" s="497"/>
      <c r="SMN24" s="497"/>
      <c r="SMO24" s="497"/>
      <c r="SMP24" s="497"/>
      <c r="SMQ24" s="497"/>
      <c r="SMR24" s="497"/>
      <c r="SMS24" s="497"/>
      <c r="SMT24" s="497"/>
      <c r="SMU24" s="497"/>
      <c r="SMV24" s="497"/>
      <c r="SMW24" s="497"/>
      <c r="SMX24" s="497"/>
      <c r="SMY24" s="497"/>
      <c r="SMZ24" s="497"/>
      <c r="SNA24" s="497"/>
      <c r="SNB24" s="497"/>
      <c r="SNC24" s="497"/>
      <c r="SND24" s="497"/>
      <c r="SNE24" s="497"/>
      <c r="SNF24" s="497"/>
      <c r="SNG24" s="497"/>
      <c r="SNH24" s="497"/>
      <c r="SNI24" s="497"/>
      <c r="SNJ24" s="497"/>
      <c r="SNK24" s="497"/>
      <c r="SNL24" s="497"/>
      <c r="SNM24" s="497"/>
      <c r="SNN24" s="497"/>
      <c r="SNO24" s="497"/>
      <c r="SNP24" s="497"/>
      <c r="SNQ24" s="497"/>
      <c r="SNR24" s="497"/>
      <c r="SNS24" s="497"/>
      <c r="SNT24" s="497"/>
      <c r="SNU24" s="497"/>
      <c r="SNV24" s="497"/>
      <c r="SNW24" s="497"/>
      <c r="SNX24" s="497"/>
      <c r="SNY24" s="497"/>
      <c r="SNZ24" s="497"/>
      <c r="SOA24" s="497"/>
      <c r="SOB24" s="497"/>
      <c r="SOC24" s="497"/>
      <c r="SOD24" s="497"/>
      <c r="SOE24" s="497"/>
      <c r="SOF24" s="497"/>
      <c r="SOG24" s="497"/>
      <c r="SOH24" s="497"/>
      <c r="SOI24" s="497"/>
      <c r="SOJ24" s="497"/>
      <c r="SOK24" s="497"/>
      <c r="SOL24" s="497"/>
      <c r="SOM24" s="497"/>
      <c r="SON24" s="497"/>
      <c r="SOO24" s="497"/>
      <c r="SOP24" s="497"/>
      <c r="SOQ24" s="497"/>
      <c r="SOR24" s="497"/>
      <c r="SOS24" s="497"/>
      <c r="SOT24" s="497"/>
      <c r="SOU24" s="497"/>
      <c r="SOV24" s="497"/>
      <c r="SOW24" s="497"/>
      <c r="SOX24" s="497"/>
      <c r="SOY24" s="497"/>
      <c r="SOZ24" s="497"/>
      <c r="SPA24" s="497"/>
      <c r="SPB24" s="497"/>
      <c r="SPC24" s="497"/>
      <c r="SPD24" s="497"/>
      <c r="SPE24" s="497"/>
      <c r="SPF24" s="497"/>
      <c r="SPG24" s="497"/>
      <c r="SPH24" s="497"/>
      <c r="SPI24" s="497"/>
      <c r="SPJ24" s="497"/>
      <c r="SPK24" s="497"/>
      <c r="SPL24" s="497"/>
      <c r="SPM24" s="497"/>
      <c r="SPN24" s="497"/>
      <c r="SPO24" s="497"/>
      <c r="SPP24" s="497"/>
      <c r="SPQ24" s="497"/>
      <c r="SPR24" s="497"/>
      <c r="SPS24" s="497"/>
      <c r="SPT24" s="497"/>
      <c r="SPU24" s="497"/>
      <c r="SPV24" s="497"/>
      <c r="SPW24" s="497"/>
      <c r="SPX24" s="497"/>
      <c r="SPY24" s="497"/>
      <c r="SPZ24" s="497"/>
      <c r="SQA24" s="497"/>
      <c r="SQB24" s="497"/>
      <c r="SQC24" s="497"/>
      <c r="SQD24" s="497"/>
      <c r="SQE24" s="497"/>
      <c r="SQF24" s="497"/>
      <c r="SQG24" s="497"/>
      <c r="SQH24" s="497"/>
      <c r="SQI24" s="497"/>
      <c r="SQJ24" s="497"/>
      <c r="SQK24" s="497"/>
      <c r="SQL24" s="497"/>
      <c r="SQM24" s="497"/>
      <c r="SQN24" s="497"/>
      <c r="SQO24" s="497"/>
      <c r="SQP24" s="497"/>
      <c r="SQQ24" s="497"/>
      <c r="SQR24" s="497"/>
      <c r="SQS24" s="497"/>
      <c r="SQT24" s="497"/>
      <c r="SQU24" s="497"/>
      <c r="SQV24" s="497"/>
      <c r="SQW24" s="497"/>
      <c r="SQX24" s="497"/>
      <c r="SQY24" s="497"/>
      <c r="SQZ24" s="497"/>
      <c r="SRA24" s="497"/>
      <c r="SRB24" s="497"/>
      <c r="SRC24" s="497"/>
      <c r="SRD24" s="497"/>
      <c r="SRE24" s="497"/>
      <c r="SRF24" s="497"/>
      <c r="SRG24" s="497"/>
      <c r="SRH24" s="497"/>
      <c r="SRI24" s="497"/>
      <c r="SRJ24" s="497"/>
      <c r="SRK24" s="497"/>
      <c r="SRL24" s="497"/>
      <c r="SRM24" s="497"/>
      <c r="SRN24" s="497"/>
      <c r="SRO24" s="497"/>
      <c r="SRP24" s="497"/>
      <c r="SRQ24" s="497"/>
      <c r="SRR24" s="497"/>
      <c r="SRS24" s="497"/>
      <c r="SRT24" s="497"/>
      <c r="SRU24" s="497"/>
      <c r="SRV24" s="497"/>
      <c r="SRW24" s="497"/>
      <c r="SRX24" s="497"/>
      <c r="SRY24" s="497"/>
      <c r="SRZ24" s="497"/>
      <c r="SSA24" s="497"/>
      <c r="SSB24" s="497"/>
      <c r="SSC24" s="497"/>
      <c r="SSD24" s="497"/>
      <c r="SSE24" s="497"/>
      <c r="SSF24" s="497"/>
      <c r="SSG24" s="497"/>
      <c r="SSH24" s="497"/>
      <c r="SSI24" s="497"/>
      <c r="SSJ24" s="497"/>
      <c r="SSK24" s="497"/>
      <c r="SSL24" s="497"/>
      <c r="SSM24" s="497"/>
      <c r="SSN24" s="497"/>
      <c r="SSO24" s="497"/>
      <c r="SSP24" s="497"/>
      <c r="SSQ24" s="497"/>
      <c r="SSR24" s="497"/>
      <c r="SSS24" s="497"/>
      <c r="SST24" s="497"/>
      <c r="SSU24" s="497"/>
      <c r="SSV24" s="497"/>
      <c r="SSW24" s="497"/>
      <c r="SSX24" s="497"/>
      <c r="SSY24" s="497"/>
      <c r="SSZ24" s="497"/>
      <c r="STA24" s="497"/>
      <c r="STB24" s="497"/>
      <c r="STC24" s="497"/>
      <c r="STD24" s="497"/>
      <c r="STE24" s="497"/>
      <c r="STF24" s="497"/>
      <c r="STG24" s="497"/>
      <c r="STH24" s="497"/>
      <c r="STI24" s="497"/>
      <c r="STJ24" s="497"/>
      <c r="STK24" s="497"/>
      <c r="STL24" s="497"/>
      <c r="STM24" s="497"/>
      <c r="STN24" s="497"/>
      <c r="STO24" s="497"/>
      <c r="STP24" s="497"/>
      <c r="STQ24" s="497"/>
      <c r="STR24" s="497"/>
      <c r="STS24" s="497"/>
      <c r="STT24" s="497"/>
      <c r="STU24" s="497"/>
      <c r="STV24" s="497"/>
      <c r="STW24" s="497"/>
      <c r="STX24" s="497"/>
      <c r="STY24" s="497"/>
      <c r="STZ24" s="497"/>
      <c r="SUA24" s="497"/>
      <c r="SUB24" s="497"/>
      <c r="SUC24" s="497"/>
      <c r="SUD24" s="497"/>
      <c r="SUE24" s="497"/>
      <c r="SUF24" s="497"/>
      <c r="SUG24" s="497"/>
      <c r="SUH24" s="497"/>
      <c r="SUI24" s="497"/>
      <c r="SUJ24" s="497"/>
      <c r="SUK24" s="497"/>
      <c r="SUL24" s="497"/>
      <c r="SUM24" s="497"/>
      <c r="SUN24" s="497"/>
      <c r="SUO24" s="497"/>
      <c r="SUP24" s="497"/>
      <c r="SUQ24" s="497"/>
      <c r="SUR24" s="497"/>
      <c r="SUS24" s="497"/>
      <c r="SUT24" s="497"/>
      <c r="SUU24" s="497"/>
      <c r="SUV24" s="497"/>
      <c r="SUW24" s="497"/>
      <c r="SUX24" s="497"/>
      <c r="SUY24" s="497"/>
      <c r="SUZ24" s="497"/>
      <c r="SVA24" s="497"/>
      <c r="SVB24" s="497"/>
      <c r="SVC24" s="497"/>
      <c r="SVD24" s="497"/>
      <c r="SVE24" s="497"/>
      <c r="SVF24" s="497"/>
      <c r="SVG24" s="497"/>
      <c r="SVH24" s="497"/>
      <c r="SVI24" s="497"/>
      <c r="SVJ24" s="497"/>
      <c r="SVK24" s="497"/>
      <c r="SVL24" s="497"/>
      <c r="SVM24" s="497"/>
      <c r="SVN24" s="497"/>
      <c r="SVO24" s="497"/>
      <c r="SVP24" s="497"/>
      <c r="SVQ24" s="497"/>
      <c r="SVR24" s="497"/>
      <c r="SVS24" s="497"/>
      <c r="SVT24" s="497"/>
      <c r="SVU24" s="497"/>
      <c r="SVV24" s="497"/>
      <c r="SVW24" s="497"/>
      <c r="SVX24" s="497"/>
      <c r="SVY24" s="497"/>
      <c r="SVZ24" s="497"/>
      <c r="SWA24" s="497"/>
      <c r="SWB24" s="497"/>
      <c r="SWC24" s="497"/>
      <c r="SWD24" s="497"/>
      <c r="SWE24" s="497"/>
      <c r="SWF24" s="497"/>
      <c r="SWG24" s="497"/>
      <c r="SWH24" s="497"/>
      <c r="SWI24" s="497"/>
      <c r="SWJ24" s="497"/>
      <c r="SWK24" s="497"/>
      <c r="SWL24" s="497"/>
      <c r="SWM24" s="497"/>
      <c r="SWN24" s="497"/>
      <c r="SWO24" s="497"/>
      <c r="SWP24" s="497"/>
      <c r="SWQ24" s="497"/>
      <c r="SWR24" s="497"/>
      <c r="SWS24" s="497"/>
      <c r="SWT24" s="497"/>
      <c r="SWU24" s="497"/>
      <c r="SWV24" s="497"/>
      <c r="SWW24" s="497"/>
      <c r="SWX24" s="497"/>
      <c r="SWY24" s="497"/>
      <c r="SWZ24" s="497"/>
      <c r="SXA24" s="497"/>
      <c r="SXB24" s="497"/>
      <c r="SXC24" s="497"/>
      <c r="SXD24" s="497"/>
      <c r="SXE24" s="497"/>
      <c r="SXF24" s="497"/>
      <c r="SXG24" s="497"/>
      <c r="SXH24" s="497"/>
      <c r="SXI24" s="497"/>
      <c r="SXJ24" s="497"/>
      <c r="SXK24" s="497"/>
      <c r="SXL24" s="497"/>
      <c r="SXM24" s="497"/>
      <c r="SXN24" s="497"/>
      <c r="SXO24" s="497"/>
      <c r="SXP24" s="497"/>
      <c r="SXQ24" s="497"/>
      <c r="SXR24" s="497"/>
      <c r="SXS24" s="497"/>
      <c r="SXT24" s="497"/>
      <c r="SXU24" s="497"/>
      <c r="SXV24" s="497"/>
      <c r="SXW24" s="497"/>
      <c r="SXX24" s="497"/>
      <c r="SXY24" s="497"/>
      <c r="SXZ24" s="497"/>
      <c r="SYA24" s="497"/>
      <c r="SYB24" s="497"/>
      <c r="SYC24" s="497"/>
      <c r="SYD24" s="497"/>
      <c r="SYE24" s="497"/>
      <c r="SYF24" s="497"/>
      <c r="SYG24" s="497"/>
      <c r="SYH24" s="497"/>
      <c r="SYI24" s="497"/>
      <c r="SYJ24" s="497"/>
      <c r="SYK24" s="497"/>
      <c r="SYL24" s="497"/>
      <c r="SYM24" s="497"/>
      <c r="SYN24" s="497"/>
      <c r="SYO24" s="497"/>
      <c r="SYP24" s="497"/>
      <c r="SYQ24" s="497"/>
      <c r="SYR24" s="497"/>
      <c r="SYS24" s="497"/>
      <c r="SYT24" s="497"/>
      <c r="SYU24" s="497"/>
      <c r="SYV24" s="497"/>
      <c r="SYW24" s="497"/>
      <c r="SYX24" s="497"/>
      <c r="SYY24" s="497"/>
      <c r="SYZ24" s="497"/>
      <c r="SZA24" s="497"/>
      <c r="SZB24" s="497"/>
      <c r="SZC24" s="497"/>
      <c r="SZD24" s="497"/>
      <c r="SZE24" s="497"/>
      <c r="SZF24" s="497"/>
      <c r="SZG24" s="497"/>
      <c r="SZH24" s="497"/>
      <c r="SZI24" s="497"/>
      <c r="SZJ24" s="497"/>
      <c r="SZK24" s="497"/>
      <c r="SZL24" s="497"/>
      <c r="SZM24" s="497"/>
      <c r="SZN24" s="497"/>
      <c r="SZO24" s="497"/>
      <c r="SZP24" s="497"/>
      <c r="SZQ24" s="497"/>
      <c r="SZR24" s="497"/>
      <c r="SZS24" s="497"/>
      <c r="SZT24" s="497"/>
      <c r="SZU24" s="497"/>
      <c r="SZV24" s="497"/>
      <c r="SZW24" s="497"/>
      <c r="SZX24" s="497"/>
      <c r="SZY24" s="497"/>
      <c r="SZZ24" s="497"/>
      <c r="TAA24" s="497"/>
      <c r="TAB24" s="497"/>
      <c r="TAC24" s="497"/>
      <c r="TAD24" s="497"/>
      <c r="TAE24" s="497"/>
      <c r="TAF24" s="497"/>
      <c r="TAG24" s="497"/>
      <c r="TAH24" s="497"/>
      <c r="TAI24" s="497"/>
      <c r="TAJ24" s="497"/>
      <c r="TAK24" s="497"/>
      <c r="TAL24" s="497"/>
      <c r="TAM24" s="497"/>
      <c r="TAN24" s="497"/>
      <c r="TAO24" s="497"/>
      <c r="TAP24" s="497"/>
      <c r="TAQ24" s="497"/>
      <c r="TAR24" s="497"/>
      <c r="TAS24" s="497"/>
      <c r="TAT24" s="497"/>
      <c r="TAU24" s="497"/>
      <c r="TAV24" s="497"/>
      <c r="TAW24" s="497"/>
      <c r="TAX24" s="497"/>
      <c r="TAY24" s="497"/>
      <c r="TAZ24" s="497"/>
      <c r="TBA24" s="497"/>
      <c r="TBB24" s="497"/>
      <c r="TBC24" s="497"/>
      <c r="TBD24" s="497"/>
      <c r="TBE24" s="497"/>
      <c r="TBF24" s="497"/>
      <c r="TBG24" s="497"/>
      <c r="TBH24" s="497"/>
      <c r="TBI24" s="497"/>
      <c r="TBJ24" s="497"/>
      <c r="TBK24" s="497"/>
      <c r="TBL24" s="497"/>
      <c r="TBM24" s="497"/>
      <c r="TBN24" s="497"/>
      <c r="TBO24" s="497"/>
      <c r="TBP24" s="497"/>
      <c r="TBQ24" s="497"/>
      <c r="TBR24" s="497"/>
      <c r="TBS24" s="497"/>
      <c r="TBT24" s="497"/>
      <c r="TBU24" s="497"/>
      <c r="TBV24" s="497"/>
      <c r="TBW24" s="497"/>
      <c r="TBX24" s="497"/>
      <c r="TBY24" s="497"/>
      <c r="TBZ24" s="497"/>
      <c r="TCA24" s="497"/>
      <c r="TCB24" s="497"/>
      <c r="TCC24" s="497"/>
      <c r="TCD24" s="497"/>
      <c r="TCE24" s="497"/>
      <c r="TCF24" s="497"/>
      <c r="TCG24" s="497"/>
      <c r="TCH24" s="497"/>
      <c r="TCI24" s="497"/>
      <c r="TCJ24" s="497"/>
      <c r="TCK24" s="497"/>
      <c r="TCL24" s="497"/>
      <c r="TCM24" s="497"/>
      <c r="TCN24" s="497"/>
      <c r="TCO24" s="497"/>
      <c r="TCP24" s="497"/>
      <c r="TCQ24" s="497"/>
      <c r="TCR24" s="497"/>
      <c r="TCS24" s="497"/>
      <c r="TCT24" s="497"/>
      <c r="TCU24" s="497"/>
      <c r="TCV24" s="497"/>
      <c r="TCW24" s="497"/>
      <c r="TCX24" s="497"/>
      <c r="TCY24" s="497"/>
      <c r="TCZ24" s="497"/>
      <c r="TDA24" s="497"/>
      <c r="TDB24" s="497"/>
      <c r="TDC24" s="497"/>
      <c r="TDD24" s="497"/>
      <c r="TDE24" s="497"/>
      <c r="TDF24" s="497"/>
      <c r="TDG24" s="497"/>
      <c r="TDH24" s="497"/>
      <c r="TDI24" s="497"/>
      <c r="TDJ24" s="497"/>
      <c r="TDK24" s="497"/>
      <c r="TDL24" s="497"/>
      <c r="TDM24" s="497"/>
      <c r="TDN24" s="497"/>
      <c r="TDO24" s="497"/>
      <c r="TDP24" s="497"/>
      <c r="TDQ24" s="497"/>
      <c r="TDR24" s="497"/>
      <c r="TDS24" s="497"/>
      <c r="TDT24" s="497"/>
      <c r="TDU24" s="497"/>
      <c r="TDV24" s="497"/>
      <c r="TDW24" s="497"/>
      <c r="TDX24" s="497"/>
      <c r="TDY24" s="497"/>
      <c r="TDZ24" s="497"/>
      <c r="TEA24" s="497"/>
      <c r="TEB24" s="497"/>
      <c r="TEC24" s="497"/>
      <c r="TED24" s="497"/>
      <c r="TEE24" s="497"/>
      <c r="TEF24" s="497"/>
      <c r="TEG24" s="497"/>
      <c r="TEH24" s="497"/>
      <c r="TEI24" s="497"/>
      <c r="TEJ24" s="497"/>
      <c r="TEK24" s="497"/>
      <c r="TEL24" s="497"/>
      <c r="TEM24" s="497"/>
      <c r="TEN24" s="497"/>
      <c r="TEO24" s="497"/>
      <c r="TEP24" s="497"/>
      <c r="TEQ24" s="497"/>
      <c r="TER24" s="497"/>
      <c r="TES24" s="497"/>
      <c r="TET24" s="497"/>
      <c r="TEU24" s="497"/>
      <c r="TEV24" s="497"/>
      <c r="TEW24" s="497"/>
      <c r="TEX24" s="497"/>
      <c r="TEY24" s="497"/>
      <c r="TEZ24" s="497"/>
      <c r="TFA24" s="497"/>
      <c r="TFB24" s="497"/>
      <c r="TFC24" s="497"/>
      <c r="TFD24" s="497"/>
      <c r="TFE24" s="497"/>
      <c r="TFF24" s="497"/>
      <c r="TFG24" s="497"/>
      <c r="TFH24" s="497"/>
      <c r="TFI24" s="497"/>
      <c r="TFJ24" s="497"/>
      <c r="TFK24" s="497"/>
      <c r="TFL24" s="497"/>
      <c r="TFM24" s="497"/>
      <c r="TFN24" s="497"/>
      <c r="TFO24" s="497"/>
      <c r="TFP24" s="497"/>
      <c r="TFQ24" s="497"/>
      <c r="TFR24" s="497"/>
      <c r="TFS24" s="497"/>
      <c r="TFT24" s="497"/>
      <c r="TFU24" s="497"/>
      <c r="TFV24" s="497"/>
      <c r="TFW24" s="497"/>
      <c r="TFX24" s="497"/>
      <c r="TFY24" s="497"/>
      <c r="TFZ24" s="497"/>
      <c r="TGA24" s="497"/>
      <c r="TGB24" s="497"/>
      <c r="TGC24" s="497"/>
      <c r="TGD24" s="497"/>
      <c r="TGE24" s="497"/>
      <c r="TGF24" s="497"/>
      <c r="TGG24" s="497"/>
      <c r="TGH24" s="497"/>
      <c r="TGI24" s="497"/>
      <c r="TGJ24" s="497"/>
      <c r="TGK24" s="497"/>
      <c r="TGL24" s="497"/>
      <c r="TGM24" s="497"/>
      <c r="TGN24" s="497"/>
      <c r="TGO24" s="497"/>
      <c r="TGP24" s="497"/>
      <c r="TGQ24" s="497"/>
      <c r="TGR24" s="497"/>
      <c r="TGS24" s="497"/>
      <c r="TGT24" s="497"/>
      <c r="TGU24" s="497"/>
      <c r="TGV24" s="497"/>
      <c r="TGW24" s="497"/>
      <c r="TGX24" s="497"/>
      <c r="TGY24" s="497"/>
      <c r="TGZ24" s="497"/>
      <c r="THA24" s="497"/>
      <c r="THB24" s="497"/>
      <c r="THC24" s="497"/>
      <c r="THD24" s="497"/>
      <c r="THE24" s="497"/>
      <c r="THF24" s="497"/>
      <c r="THG24" s="497"/>
      <c r="THH24" s="497"/>
      <c r="THI24" s="497"/>
      <c r="THJ24" s="497"/>
      <c r="THK24" s="497"/>
      <c r="THL24" s="497"/>
      <c r="THM24" s="497"/>
      <c r="THN24" s="497"/>
      <c r="THO24" s="497"/>
      <c r="THP24" s="497"/>
      <c r="THQ24" s="497"/>
      <c r="THR24" s="497"/>
      <c r="THS24" s="497"/>
      <c r="THT24" s="497"/>
      <c r="THU24" s="497"/>
      <c r="THV24" s="497"/>
      <c r="THW24" s="497"/>
      <c r="THX24" s="497"/>
      <c r="THY24" s="497"/>
      <c r="THZ24" s="497"/>
      <c r="TIA24" s="497"/>
      <c r="TIB24" s="497"/>
      <c r="TIC24" s="497"/>
      <c r="TID24" s="497"/>
      <c r="TIE24" s="497"/>
      <c r="TIF24" s="497"/>
      <c r="TIG24" s="497"/>
      <c r="TIH24" s="497"/>
      <c r="TII24" s="497"/>
      <c r="TIJ24" s="497"/>
      <c r="TIK24" s="497"/>
      <c r="TIL24" s="497"/>
      <c r="TIM24" s="497"/>
      <c r="TIN24" s="497"/>
      <c r="TIO24" s="497"/>
      <c r="TIP24" s="497"/>
      <c r="TIQ24" s="497"/>
      <c r="TIR24" s="497"/>
      <c r="TIS24" s="497"/>
      <c r="TIT24" s="497"/>
      <c r="TIU24" s="497"/>
      <c r="TIV24" s="497"/>
      <c r="TIW24" s="497"/>
      <c r="TIX24" s="497"/>
      <c r="TIY24" s="497"/>
      <c r="TIZ24" s="497"/>
      <c r="TJA24" s="497"/>
      <c r="TJB24" s="497"/>
      <c r="TJC24" s="497"/>
      <c r="TJD24" s="497"/>
      <c r="TJE24" s="497"/>
      <c r="TJF24" s="497"/>
      <c r="TJG24" s="497"/>
      <c r="TJH24" s="497"/>
      <c r="TJI24" s="497"/>
      <c r="TJJ24" s="497"/>
      <c r="TJK24" s="497"/>
      <c r="TJL24" s="497"/>
      <c r="TJM24" s="497"/>
      <c r="TJN24" s="497"/>
      <c r="TJO24" s="497"/>
      <c r="TJP24" s="497"/>
      <c r="TJQ24" s="497"/>
      <c r="TJR24" s="497"/>
      <c r="TJS24" s="497"/>
      <c r="TJT24" s="497"/>
      <c r="TJU24" s="497"/>
      <c r="TJV24" s="497"/>
      <c r="TJW24" s="497"/>
      <c r="TJX24" s="497"/>
      <c r="TJY24" s="497"/>
      <c r="TJZ24" s="497"/>
      <c r="TKA24" s="497"/>
      <c r="TKB24" s="497"/>
      <c r="TKC24" s="497"/>
      <c r="TKD24" s="497"/>
      <c r="TKE24" s="497"/>
      <c r="TKF24" s="497"/>
      <c r="TKG24" s="497"/>
      <c r="TKH24" s="497"/>
      <c r="TKI24" s="497"/>
      <c r="TKJ24" s="497"/>
      <c r="TKK24" s="497"/>
      <c r="TKL24" s="497"/>
      <c r="TKM24" s="497"/>
      <c r="TKN24" s="497"/>
      <c r="TKO24" s="497"/>
      <c r="TKP24" s="497"/>
      <c r="TKQ24" s="497"/>
      <c r="TKR24" s="497"/>
      <c r="TKS24" s="497"/>
      <c r="TKT24" s="497"/>
      <c r="TKU24" s="497"/>
      <c r="TKV24" s="497"/>
      <c r="TKW24" s="497"/>
      <c r="TKX24" s="497"/>
      <c r="TKY24" s="497"/>
      <c r="TKZ24" s="497"/>
      <c r="TLA24" s="497"/>
      <c r="TLB24" s="497"/>
      <c r="TLC24" s="497"/>
      <c r="TLD24" s="497"/>
      <c r="TLE24" s="497"/>
      <c r="TLF24" s="497"/>
      <c r="TLG24" s="497"/>
      <c r="TLH24" s="497"/>
      <c r="TLI24" s="497"/>
      <c r="TLJ24" s="497"/>
      <c r="TLK24" s="497"/>
      <c r="TLL24" s="497"/>
      <c r="TLM24" s="497"/>
      <c r="TLN24" s="497"/>
      <c r="TLO24" s="497"/>
      <c r="TLP24" s="497"/>
      <c r="TLQ24" s="497"/>
      <c r="TLR24" s="497"/>
      <c r="TLS24" s="497"/>
      <c r="TLT24" s="497"/>
      <c r="TLU24" s="497"/>
      <c r="TLV24" s="497"/>
      <c r="TLW24" s="497"/>
      <c r="TLX24" s="497"/>
      <c r="TLY24" s="497"/>
      <c r="TLZ24" s="497"/>
      <c r="TMA24" s="497"/>
      <c r="TMB24" s="497"/>
      <c r="TMC24" s="497"/>
      <c r="TMD24" s="497"/>
      <c r="TME24" s="497"/>
      <c r="TMF24" s="497"/>
      <c r="TMG24" s="497"/>
      <c r="TMH24" s="497"/>
      <c r="TMI24" s="497"/>
      <c r="TMJ24" s="497"/>
      <c r="TMK24" s="497"/>
      <c r="TML24" s="497"/>
      <c r="TMM24" s="497"/>
      <c r="TMN24" s="497"/>
      <c r="TMO24" s="497"/>
      <c r="TMP24" s="497"/>
      <c r="TMQ24" s="497"/>
      <c r="TMR24" s="497"/>
      <c r="TMS24" s="497"/>
      <c r="TMT24" s="497"/>
      <c r="TMU24" s="497"/>
      <c r="TMV24" s="497"/>
      <c r="TMW24" s="497"/>
      <c r="TMX24" s="497"/>
      <c r="TMY24" s="497"/>
      <c r="TMZ24" s="497"/>
      <c r="TNA24" s="497"/>
      <c r="TNB24" s="497"/>
      <c r="TNC24" s="497"/>
      <c r="TND24" s="497"/>
      <c r="TNE24" s="497"/>
      <c r="TNF24" s="497"/>
      <c r="TNG24" s="497"/>
      <c r="TNH24" s="497"/>
      <c r="TNI24" s="497"/>
      <c r="TNJ24" s="497"/>
      <c r="TNK24" s="497"/>
      <c r="TNL24" s="497"/>
      <c r="TNM24" s="497"/>
      <c r="TNN24" s="497"/>
      <c r="TNO24" s="497"/>
      <c r="TNP24" s="497"/>
      <c r="TNQ24" s="497"/>
      <c r="TNR24" s="497"/>
      <c r="TNS24" s="497"/>
      <c r="TNT24" s="497"/>
      <c r="TNU24" s="497"/>
      <c r="TNV24" s="497"/>
      <c r="TNW24" s="497"/>
      <c r="TNX24" s="497"/>
      <c r="TNY24" s="497"/>
      <c r="TNZ24" s="497"/>
      <c r="TOA24" s="497"/>
      <c r="TOB24" s="497"/>
      <c r="TOC24" s="497"/>
      <c r="TOD24" s="497"/>
      <c r="TOE24" s="497"/>
      <c r="TOF24" s="497"/>
      <c r="TOG24" s="497"/>
      <c r="TOH24" s="497"/>
      <c r="TOI24" s="497"/>
      <c r="TOJ24" s="497"/>
      <c r="TOK24" s="497"/>
      <c r="TOL24" s="497"/>
      <c r="TOM24" s="497"/>
      <c r="TON24" s="497"/>
      <c r="TOO24" s="497"/>
      <c r="TOP24" s="497"/>
      <c r="TOQ24" s="497"/>
      <c r="TOR24" s="497"/>
      <c r="TOS24" s="497"/>
      <c r="TOT24" s="497"/>
      <c r="TOU24" s="497"/>
      <c r="TOV24" s="497"/>
      <c r="TOW24" s="497"/>
      <c r="TOX24" s="497"/>
      <c r="TOY24" s="497"/>
      <c r="TOZ24" s="497"/>
      <c r="TPA24" s="497"/>
      <c r="TPB24" s="497"/>
      <c r="TPC24" s="497"/>
      <c r="TPD24" s="497"/>
      <c r="TPE24" s="497"/>
      <c r="TPF24" s="497"/>
      <c r="TPG24" s="497"/>
      <c r="TPH24" s="497"/>
      <c r="TPI24" s="497"/>
      <c r="TPJ24" s="497"/>
      <c r="TPK24" s="497"/>
      <c r="TPL24" s="497"/>
      <c r="TPM24" s="497"/>
      <c r="TPN24" s="497"/>
      <c r="TPO24" s="497"/>
      <c r="TPP24" s="497"/>
      <c r="TPQ24" s="497"/>
      <c r="TPR24" s="497"/>
      <c r="TPS24" s="497"/>
      <c r="TPT24" s="497"/>
      <c r="TPU24" s="497"/>
      <c r="TPV24" s="497"/>
      <c r="TPW24" s="497"/>
      <c r="TPX24" s="497"/>
      <c r="TPY24" s="497"/>
      <c r="TPZ24" s="497"/>
      <c r="TQA24" s="497"/>
      <c r="TQB24" s="497"/>
      <c r="TQC24" s="497"/>
      <c r="TQD24" s="497"/>
      <c r="TQE24" s="497"/>
      <c r="TQF24" s="497"/>
      <c r="TQG24" s="497"/>
      <c r="TQH24" s="497"/>
      <c r="TQI24" s="497"/>
      <c r="TQJ24" s="497"/>
      <c r="TQK24" s="497"/>
      <c r="TQL24" s="497"/>
      <c r="TQM24" s="497"/>
      <c r="TQN24" s="497"/>
      <c r="TQO24" s="497"/>
      <c r="TQP24" s="497"/>
      <c r="TQQ24" s="497"/>
      <c r="TQR24" s="497"/>
      <c r="TQS24" s="497"/>
      <c r="TQT24" s="497"/>
      <c r="TQU24" s="497"/>
      <c r="TQV24" s="497"/>
      <c r="TQW24" s="497"/>
      <c r="TQX24" s="497"/>
      <c r="TQY24" s="497"/>
      <c r="TQZ24" s="497"/>
      <c r="TRA24" s="497"/>
      <c r="TRB24" s="497"/>
      <c r="TRC24" s="497"/>
      <c r="TRD24" s="497"/>
      <c r="TRE24" s="497"/>
      <c r="TRF24" s="497"/>
      <c r="TRG24" s="497"/>
      <c r="TRH24" s="497"/>
      <c r="TRI24" s="497"/>
      <c r="TRJ24" s="497"/>
      <c r="TRK24" s="497"/>
      <c r="TRL24" s="497"/>
      <c r="TRM24" s="497"/>
      <c r="TRN24" s="497"/>
      <c r="TRO24" s="497"/>
      <c r="TRP24" s="497"/>
      <c r="TRQ24" s="497"/>
      <c r="TRR24" s="497"/>
      <c r="TRS24" s="497"/>
      <c r="TRT24" s="497"/>
      <c r="TRU24" s="497"/>
      <c r="TRV24" s="497"/>
      <c r="TRW24" s="497"/>
      <c r="TRX24" s="497"/>
      <c r="TRY24" s="497"/>
      <c r="TRZ24" s="497"/>
      <c r="TSA24" s="497"/>
      <c r="TSB24" s="497"/>
      <c r="TSC24" s="497"/>
      <c r="TSD24" s="497"/>
      <c r="TSE24" s="497"/>
      <c r="TSF24" s="497"/>
      <c r="TSG24" s="497"/>
      <c r="TSH24" s="497"/>
      <c r="TSI24" s="497"/>
      <c r="TSJ24" s="497"/>
      <c r="TSK24" s="497"/>
      <c r="TSL24" s="497"/>
      <c r="TSM24" s="497"/>
      <c r="TSN24" s="497"/>
      <c r="TSO24" s="497"/>
      <c r="TSP24" s="497"/>
      <c r="TSQ24" s="497"/>
      <c r="TSR24" s="497"/>
      <c r="TSS24" s="497"/>
      <c r="TST24" s="497"/>
      <c r="TSU24" s="497"/>
      <c r="TSV24" s="497"/>
      <c r="TSW24" s="497"/>
      <c r="TSX24" s="497"/>
      <c r="TSY24" s="497"/>
      <c r="TSZ24" s="497"/>
      <c r="TTA24" s="497"/>
      <c r="TTB24" s="497"/>
      <c r="TTC24" s="497"/>
      <c r="TTD24" s="497"/>
      <c r="TTE24" s="497"/>
      <c r="TTF24" s="497"/>
      <c r="TTG24" s="497"/>
      <c r="TTH24" s="497"/>
      <c r="TTI24" s="497"/>
      <c r="TTJ24" s="497"/>
      <c r="TTK24" s="497"/>
      <c r="TTL24" s="497"/>
      <c r="TTM24" s="497"/>
      <c r="TTN24" s="497"/>
      <c r="TTO24" s="497"/>
      <c r="TTP24" s="497"/>
      <c r="TTQ24" s="497"/>
      <c r="TTR24" s="497"/>
      <c r="TTS24" s="497"/>
      <c r="TTT24" s="497"/>
      <c r="TTU24" s="497"/>
      <c r="TTV24" s="497"/>
      <c r="TTW24" s="497"/>
      <c r="TTX24" s="497"/>
      <c r="TTY24" s="497"/>
      <c r="TTZ24" s="497"/>
      <c r="TUA24" s="497"/>
      <c r="TUB24" s="497"/>
      <c r="TUC24" s="497"/>
      <c r="TUD24" s="497"/>
      <c r="TUE24" s="497"/>
      <c r="TUF24" s="497"/>
      <c r="TUG24" s="497"/>
      <c r="TUH24" s="497"/>
      <c r="TUI24" s="497"/>
      <c r="TUJ24" s="497"/>
      <c r="TUK24" s="497"/>
      <c r="TUL24" s="497"/>
      <c r="TUM24" s="497"/>
      <c r="TUN24" s="497"/>
      <c r="TUO24" s="497"/>
      <c r="TUP24" s="497"/>
      <c r="TUQ24" s="497"/>
      <c r="TUR24" s="497"/>
      <c r="TUS24" s="497"/>
      <c r="TUT24" s="497"/>
      <c r="TUU24" s="497"/>
      <c r="TUV24" s="497"/>
      <c r="TUW24" s="497"/>
      <c r="TUX24" s="497"/>
      <c r="TUY24" s="497"/>
      <c r="TUZ24" s="497"/>
      <c r="TVA24" s="497"/>
      <c r="TVB24" s="497"/>
      <c r="TVC24" s="497"/>
      <c r="TVD24" s="497"/>
      <c r="TVE24" s="497"/>
      <c r="TVF24" s="497"/>
      <c r="TVG24" s="497"/>
      <c r="TVH24" s="497"/>
      <c r="TVI24" s="497"/>
      <c r="TVJ24" s="497"/>
      <c r="TVK24" s="497"/>
      <c r="TVL24" s="497"/>
      <c r="TVM24" s="497"/>
      <c r="TVN24" s="497"/>
      <c r="TVO24" s="497"/>
      <c r="TVP24" s="497"/>
      <c r="TVQ24" s="497"/>
      <c r="TVR24" s="497"/>
      <c r="TVS24" s="497"/>
      <c r="TVT24" s="497"/>
      <c r="TVU24" s="497"/>
      <c r="TVV24" s="497"/>
      <c r="TVW24" s="497"/>
      <c r="TVX24" s="497"/>
      <c r="TVY24" s="497"/>
      <c r="TVZ24" s="497"/>
      <c r="TWA24" s="497"/>
      <c r="TWB24" s="497"/>
      <c r="TWC24" s="497"/>
      <c r="TWD24" s="497"/>
      <c r="TWE24" s="497"/>
      <c r="TWF24" s="497"/>
      <c r="TWG24" s="497"/>
      <c r="TWH24" s="497"/>
      <c r="TWI24" s="497"/>
      <c r="TWJ24" s="497"/>
      <c r="TWK24" s="497"/>
      <c r="TWL24" s="497"/>
      <c r="TWM24" s="497"/>
      <c r="TWN24" s="497"/>
      <c r="TWO24" s="497"/>
      <c r="TWP24" s="497"/>
      <c r="TWQ24" s="497"/>
      <c r="TWR24" s="497"/>
      <c r="TWS24" s="497"/>
      <c r="TWT24" s="497"/>
      <c r="TWU24" s="497"/>
      <c r="TWV24" s="497"/>
      <c r="TWW24" s="497"/>
      <c r="TWX24" s="497"/>
      <c r="TWY24" s="497"/>
      <c r="TWZ24" s="497"/>
      <c r="TXA24" s="497"/>
      <c r="TXB24" s="497"/>
      <c r="TXC24" s="497"/>
      <c r="TXD24" s="497"/>
      <c r="TXE24" s="497"/>
      <c r="TXF24" s="497"/>
      <c r="TXG24" s="497"/>
      <c r="TXH24" s="497"/>
      <c r="TXI24" s="497"/>
      <c r="TXJ24" s="497"/>
      <c r="TXK24" s="497"/>
      <c r="TXL24" s="497"/>
      <c r="TXM24" s="497"/>
      <c r="TXN24" s="497"/>
      <c r="TXO24" s="497"/>
      <c r="TXP24" s="497"/>
      <c r="TXQ24" s="497"/>
      <c r="TXR24" s="497"/>
      <c r="TXS24" s="497"/>
      <c r="TXT24" s="497"/>
      <c r="TXU24" s="497"/>
      <c r="TXV24" s="497"/>
      <c r="TXW24" s="497"/>
      <c r="TXX24" s="497"/>
      <c r="TXY24" s="497"/>
      <c r="TXZ24" s="497"/>
      <c r="TYA24" s="497"/>
      <c r="TYB24" s="497"/>
      <c r="TYC24" s="497"/>
      <c r="TYD24" s="497"/>
      <c r="TYE24" s="497"/>
      <c r="TYF24" s="497"/>
      <c r="TYG24" s="497"/>
      <c r="TYH24" s="497"/>
      <c r="TYI24" s="497"/>
      <c r="TYJ24" s="497"/>
      <c r="TYK24" s="497"/>
      <c r="TYL24" s="497"/>
      <c r="TYM24" s="497"/>
      <c r="TYN24" s="497"/>
      <c r="TYO24" s="497"/>
      <c r="TYP24" s="497"/>
      <c r="TYQ24" s="497"/>
      <c r="TYR24" s="497"/>
      <c r="TYS24" s="497"/>
      <c r="TYT24" s="497"/>
      <c r="TYU24" s="497"/>
      <c r="TYV24" s="497"/>
      <c r="TYW24" s="497"/>
      <c r="TYX24" s="497"/>
      <c r="TYY24" s="497"/>
      <c r="TYZ24" s="497"/>
      <c r="TZA24" s="497"/>
      <c r="TZB24" s="497"/>
      <c r="TZC24" s="497"/>
      <c r="TZD24" s="497"/>
      <c r="TZE24" s="497"/>
      <c r="TZF24" s="497"/>
      <c r="TZG24" s="497"/>
      <c r="TZH24" s="497"/>
      <c r="TZI24" s="497"/>
      <c r="TZJ24" s="497"/>
      <c r="TZK24" s="497"/>
      <c r="TZL24" s="497"/>
      <c r="TZM24" s="497"/>
      <c r="TZN24" s="497"/>
      <c r="TZO24" s="497"/>
      <c r="TZP24" s="497"/>
      <c r="TZQ24" s="497"/>
      <c r="TZR24" s="497"/>
      <c r="TZS24" s="497"/>
      <c r="TZT24" s="497"/>
      <c r="TZU24" s="497"/>
      <c r="TZV24" s="497"/>
      <c r="TZW24" s="497"/>
      <c r="TZX24" s="497"/>
      <c r="TZY24" s="497"/>
      <c r="TZZ24" s="497"/>
      <c r="UAA24" s="497"/>
      <c r="UAB24" s="497"/>
      <c r="UAC24" s="497"/>
      <c r="UAD24" s="497"/>
      <c r="UAE24" s="497"/>
      <c r="UAF24" s="497"/>
      <c r="UAG24" s="497"/>
      <c r="UAH24" s="497"/>
      <c r="UAI24" s="497"/>
      <c r="UAJ24" s="497"/>
      <c r="UAK24" s="497"/>
      <c r="UAL24" s="497"/>
      <c r="UAM24" s="497"/>
      <c r="UAN24" s="497"/>
      <c r="UAO24" s="497"/>
      <c r="UAP24" s="497"/>
      <c r="UAQ24" s="497"/>
      <c r="UAR24" s="497"/>
      <c r="UAS24" s="497"/>
      <c r="UAT24" s="497"/>
      <c r="UAU24" s="497"/>
      <c r="UAV24" s="497"/>
      <c r="UAW24" s="497"/>
      <c r="UAX24" s="497"/>
      <c r="UAY24" s="497"/>
      <c r="UAZ24" s="497"/>
      <c r="UBA24" s="497"/>
      <c r="UBB24" s="497"/>
      <c r="UBC24" s="497"/>
      <c r="UBD24" s="497"/>
      <c r="UBE24" s="497"/>
      <c r="UBF24" s="497"/>
      <c r="UBG24" s="497"/>
      <c r="UBH24" s="497"/>
      <c r="UBI24" s="497"/>
      <c r="UBJ24" s="497"/>
      <c r="UBK24" s="497"/>
      <c r="UBL24" s="497"/>
      <c r="UBM24" s="497"/>
      <c r="UBN24" s="497"/>
      <c r="UBO24" s="497"/>
      <c r="UBP24" s="497"/>
      <c r="UBQ24" s="497"/>
      <c r="UBR24" s="497"/>
      <c r="UBS24" s="497"/>
      <c r="UBT24" s="497"/>
      <c r="UBU24" s="497"/>
      <c r="UBV24" s="497"/>
      <c r="UBW24" s="497"/>
      <c r="UBX24" s="497"/>
      <c r="UBY24" s="497"/>
      <c r="UBZ24" s="497"/>
      <c r="UCA24" s="497"/>
      <c r="UCB24" s="497"/>
      <c r="UCC24" s="497"/>
      <c r="UCD24" s="497"/>
      <c r="UCE24" s="497"/>
      <c r="UCF24" s="497"/>
      <c r="UCG24" s="497"/>
      <c r="UCH24" s="497"/>
      <c r="UCI24" s="497"/>
      <c r="UCJ24" s="497"/>
      <c r="UCK24" s="497"/>
      <c r="UCL24" s="497"/>
      <c r="UCM24" s="497"/>
      <c r="UCN24" s="497"/>
      <c r="UCO24" s="497"/>
      <c r="UCP24" s="497"/>
      <c r="UCQ24" s="497"/>
      <c r="UCR24" s="497"/>
      <c r="UCS24" s="497"/>
      <c r="UCT24" s="497"/>
      <c r="UCU24" s="497"/>
      <c r="UCV24" s="497"/>
      <c r="UCW24" s="497"/>
      <c r="UCX24" s="497"/>
      <c r="UCY24" s="497"/>
      <c r="UCZ24" s="497"/>
      <c r="UDA24" s="497"/>
      <c r="UDB24" s="497"/>
      <c r="UDC24" s="497"/>
      <c r="UDD24" s="497"/>
      <c r="UDE24" s="497"/>
      <c r="UDF24" s="497"/>
      <c r="UDG24" s="497"/>
      <c r="UDH24" s="497"/>
      <c r="UDI24" s="497"/>
      <c r="UDJ24" s="497"/>
      <c r="UDK24" s="497"/>
      <c r="UDL24" s="497"/>
      <c r="UDM24" s="497"/>
      <c r="UDN24" s="497"/>
      <c r="UDO24" s="497"/>
      <c r="UDP24" s="497"/>
      <c r="UDQ24" s="497"/>
      <c r="UDR24" s="497"/>
      <c r="UDS24" s="497"/>
      <c r="UDT24" s="497"/>
      <c r="UDU24" s="497"/>
      <c r="UDV24" s="497"/>
      <c r="UDW24" s="497"/>
      <c r="UDX24" s="497"/>
      <c r="UDY24" s="497"/>
      <c r="UDZ24" s="497"/>
      <c r="UEA24" s="497"/>
      <c r="UEB24" s="497"/>
      <c r="UEC24" s="497"/>
      <c r="UED24" s="497"/>
      <c r="UEE24" s="497"/>
      <c r="UEF24" s="497"/>
      <c r="UEG24" s="497"/>
      <c r="UEH24" s="497"/>
      <c r="UEI24" s="497"/>
      <c r="UEJ24" s="497"/>
      <c r="UEK24" s="497"/>
      <c r="UEL24" s="497"/>
      <c r="UEM24" s="497"/>
      <c r="UEN24" s="497"/>
      <c r="UEO24" s="497"/>
      <c r="UEP24" s="497"/>
      <c r="UEQ24" s="497"/>
      <c r="UER24" s="497"/>
      <c r="UES24" s="497"/>
      <c r="UET24" s="497"/>
      <c r="UEU24" s="497"/>
      <c r="UEV24" s="497"/>
      <c r="UEW24" s="497"/>
      <c r="UEX24" s="497"/>
      <c r="UEY24" s="497"/>
      <c r="UEZ24" s="497"/>
      <c r="UFA24" s="497"/>
      <c r="UFB24" s="497"/>
      <c r="UFC24" s="497"/>
      <c r="UFD24" s="497"/>
      <c r="UFE24" s="497"/>
      <c r="UFF24" s="497"/>
      <c r="UFG24" s="497"/>
      <c r="UFH24" s="497"/>
      <c r="UFI24" s="497"/>
      <c r="UFJ24" s="497"/>
      <c r="UFK24" s="497"/>
      <c r="UFL24" s="497"/>
      <c r="UFM24" s="497"/>
      <c r="UFN24" s="497"/>
      <c r="UFO24" s="497"/>
      <c r="UFP24" s="497"/>
      <c r="UFQ24" s="497"/>
      <c r="UFR24" s="497"/>
      <c r="UFS24" s="497"/>
      <c r="UFT24" s="497"/>
      <c r="UFU24" s="497"/>
      <c r="UFV24" s="497"/>
      <c r="UFW24" s="497"/>
      <c r="UFX24" s="497"/>
      <c r="UFY24" s="497"/>
      <c r="UFZ24" s="497"/>
      <c r="UGA24" s="497"/>
      <c r="UGB24" s="497"/>
      <c r="UGC24" s="497"/>
      <c r="UGD24" s="497"/>
      <c r="UGE24" s="497"/>
      <c r="UGF24" s="497"/>
      <c r="UGG24" s="497"/>
      <c r="UGH24" s="497"/>
      <c r="UGI24" s="497"/>
      <c r="UGJ24" s="497"/>
      <c r="UGK24" s="497"/>
      <c r="UGL24" s="497"/>
      <c r="UGM24" s="497"/>
      <c r="UGN24" s="497"/>
      <c r="UGO24" s="497"/>
      <c r="UGP24" s="497"/>
      <c r="UGQ24" s="497"/>
      <c r="UGR24" s="497"/>
      <c r="UGS24" s="497"/>
      <c r="UGT24" s="497"/>
      <c r="UGU24" s="497"/>
      <c r="UGV24" s="497"/>
      <c r="UGW24" s="497"/>
      <c r="UGX24" s="497"/>
      <c r="UGY24" s="497"/>
      <c r="UGZ24" s="497"/>
      <c r="UHA24" s="497"/>
      <c r="UHB24" s="497"/>
      <c r="UHC24" s="497"/>
      <c r="UHD24" s="497"/>
      <c r="UHE24" s="497"/>
      <c r="UHF24" s="497"/>
      <c r="UHG24" s="497"/>
      <c r="UHH24" s="497"/>
      <c r="UHI24" s="497"/>
      <c r="UHJ24" s="497"/>
      <c r="UHK24" s="497"/>
      <c r="UHL24" s="497"/>
      <c r="UHM24" s="497"/>
      <c r="UHN24" s="497"/>
      <c r="UHO24" s="497"/>
      <c r="UHP24" s="497"/>
      <c r="UHQ24" s="497"/>
      <c r="UHR24" s="497"/>
      <c r="UHS24" s="497"/>
      <c r="UHT24" s="497"/>
      <c r="UHU24" s="497"/>
      <c r="UHV24" s="497"/>
      <c r="UHW24" s="497"/>
      <c r="UHX24" s="497"/>
      <c r="UHY24" s="497"/>
      <c r="UHZ24" s="497"/>
      <c r="UIA24" s="497"/>
      <c r="UIB24" s="497"/>
      <c r="UIC24" s="497"/>
      <c r="UID24" s="497"/>
      <c r="UIE24" s="497"/>
      <c r="UIF24" s="497"/>
      <c r="UIG24" s="497"/>
      <c r="UIH24" s="497"/>
      <c r="UII24" s="497"/>
      <c r="UIJ24" s="497"/>
      <c r="UIK24" s="497"/>
      <c r="UIL24" s="497"/>
      <c r="UIM24" s="497"/>
      <c r="UIN24" s="497"/>
      <c r="UIO24" s="497"/>
      <c r="UIP24" s="497"/>
      <c r="UIQ24" s="497"/>
      <c r="UIR24" s="497"/>
      <c r="UIS24" s="497"/>
      <c r="UIT24" s="497"/>
      <c r="UIU24" s="497"/>
      <c r="UIV24" s="497"/>
      <c r="UIW24" s="497"/>
      <c r="UIX24" s="497"/>
      <c r="UIY24" s="497"/>
      <c r="UIZ24" s="497"/>
      <c r="UJA24" s="497"/>
      <c r="UJB24" s="497"/>
      <c r="UJC24" s="497"/>
      <c r="UJD24" s="497"/>
      <c r="UJE24" s="497"/>
      <c r="UJF24" s="497"/>
      <c r="UJG24" s="497"/>
      <c r="UJH24" s="497"/>
      <c r="UJI24" s="497"/>
      <c r="UJJ24" s="497"/>
      <c r="UJK24" s="497"/>
      <c r="UJL24" s="497"/>
      <c r="UJM24" s="497"/>
      <c r="UJN24" s="497"/>
      <c r="UJO24" s="497"/>
      <c r="UJP24" s="497"/>
      <c r="UJQ24" s="497"/>
      <c r="UJR24" s="497"/>
      <c r="UJS24" s="497"/>
      <c r="UJT24" s="497"/>
      <c r="UJU24" s="497"/>
      <c r="UJV24" s="497"/>
      <c r="UJW24" s="497"/>
      <c r="UJX24" s="497"/>
      <c r="UJY24" s="497"/>
      <c r="UJZ24" s="497"/>
      <c r="UKA24" s="497"/>
      <c r="UKB24" s="497"/>
      <c r="UKC24" s="497"/>
      <c r="UKD24" s="497"/>
      <c r="UKE24" s="497"/>
      <c r="UKF24" s="497"/>
      <c r="UKG24" s="497"/>
      <c r="UKH24" s="497"/>
      <c r="UKI24" s="497"/>
      <c r="UKJ24" s="497"/>
      <c r="UKK24" s="497"/>
      <c r="UKL24" s="497"/>
      <c r="UKM24" s="497"/>
      <c r="UKN24" s="497"/>
      <c r="UKO24" s="497"/>
      <c r="UKP24" s="497"/>
      <c r="UKQ24" s="497"/>
      <c r="UKR24" s="497"/>
      <c r="UKS24" s="497"/>
      <c r="UKT24" s="497"/>
      <c r="UKU24" s="497"/>
      <c r="UKV24" s="497"/>
      <c r="UKW24" s="497"/>
      <c r="UKX24" s="497"/>
      <c r="UKY24" s="497"/>
      <c r="UKZ24" s="497"/>
      <c r="ULA24" s="497"/>
      <c r="ULB24" s="497"/>
      <c r="ULC24" s="497"/>
      <c r="ULD24" s="497"/>
      <c r="ULE24" s="497"/>
      <c r="ULF24" s="497"/>
      <c r="ULG24" s="497"/>
      <c r="ULH24" s="497"/>
      <c r="ULI24" s="497"/>
      <c r="ULJ24" s="497"/>
      <c r="ULK24" s="497"/>
      <c r="ULL24" s="497"/>
      <c r="ULM24" s="497"/>
      <c r="ULN24" s="497"/>
      <c r="ULO24" s="497"/>
      <c r="ULP24" s="497"/>
      <c r="ULQ24" s="497"/>
      <c r="ULR24" s="497"/>
      <c r="ULS24" s="497"/>
      <c r="ULT24" s="497"/>
      <c r="ULU24" s="497"/>
      <c r="ULV24" s="497"/>
      <c r="ULW24" s="497"/>
      <c r="ULX24" s="497"/>
      <c r="ULY24" s="497"/>
      <c r="ULZ24" s="497"/>
      <c r="UMA24" s="497"/>
      <c r="UMB24" s="497"/>
      <c r="UMC24" s="497"/>
      <c r="UMD24" s="497"/>
      <c r="UME24" s="497"/>
      <c r="UMF24" s="497"/>
      <c r="UMG24" s="497"/>
      <c r="UMH24" s="497"/>
      <c r="UMI24" s="497"/>
      <c r="UMJ24" s="497"/>
      <c r="UMK24" s="497"/>
      <c r="UML24" s="497"/>
      <c r="UMM24" s="497"/>
      <c r="UMN24" s="497"/>
      <c r="UMO24" s="497"/>
      <c r="UMP24" s="497"/>
      <c r="UMQ24" s="497"/>
      <c r="UMR24" s="497"/>
      <c r="UMS24" s="497"/>
      <c r="UMT24" s="497"/>
      <c r="UMU24" s="497"/>
      <c r="UMV24" s="497"/>
      <c r="UMW24" s="497"/>
      <c r="UMX24" s="497"/>
      <c r="UMY24" s="497"/>
      <c r="UMZ24" s="497"/>
      <c r="UNA24" s="497"/>
      <c r="UNB24" s="497"/>
      <c r="UNC24" s="497"/>
      <c r="UND24" s="497"/>
      <c r="UNE24" s="497"/>
      <c r="UNF24" s="497"/>
      <c r="UNG24" s="497"/>
      <c r="UNH24" s="497"/>
      <c r="UNI24" s="497"/>
      <c r="UNJ24" s="497"/>
      <c r="UNK24" s="497"/>
      <c r="UNL24" s="497"/>
      <c r="UNM24" s="497"/>
      <c r="UNN24" s="497"/>
      <c r="UNO24" s="497"/>
      <c r="UNP24" s="497"/>
      <c r="UNQ24" s="497"/>
      <c r="UNR24" s="497"/>
      <c r="UNS24" s="497"/>
      <c r="UNT24" s="497"/>
      <c r="UNU24" s="497"/>
      <c r="UNV24" s="497"/>
      <c r="UNW24" s="497"/>
      <c r="UNX24" s="497"/>
      <c r="UNY24" s="497"/>
      <c r="UNZ24" s="497"/>
      <c r="UOA24" s="497"/>
      <c r="UOB24" s="497"/>
      <c r="UOC24" s="497"/>
      <c r="UOD24" s="497"/>
      <c r="UOE24" s="497"/>
      <c r="UOF24" s="497"/>
      <c r="UOG24" s="497"/>
      <c r="UOH24" s="497"/>
      <c r="UOI24" s="497"/>
      <c r="UOJ24" s="497"/>
      <c r="UOK24" s="497"/>
      <c r="UOL24" s="497"/>
      <c r="UOM24" s="497"/>
      <c r="UON24" s="497"/>
      <c r="UOO24" s="497"/>
      <c r="UOP24" s="497"/>
      <c r="UOQ24" s="497"/>
      <c r="UOR24" s="497"/>
      <c r="UOS24" s="497"/>
      <c r="UOT24" s="497"/>
      <c r="UOU24" s="497"/>
      <c r="UOV24" s="497"/>
      <c r="UOW24" s="497"/>
      <c r="UOX24" s="497"/>
      <c r="UOY24" s="497"/>
      <c r="UOZ24" s="497"/>
      <c r="UPA24" s="497"/>
      <c r="UPB24" s="497"/>
      <c r="UPC24" s="497"/>
      <c r="UPD24" s="497"/>
      <c r="UPE24" s="497"/>
      <c r="UPF24" s="497"/>
      <c r="UPG24" s="497"/>
      <c r="UPH24" s="497"/>
      <c r="UPI24" s="497"/>
      <c r="UPJ24" s="497"/>
      <c r="UPK24" s="497"/>
      <c r="UPL24" s="497"/>
      <c r="UPM24" s="497"/>
      <c r="UPN24" s="497"/>
      <c r="UPO24" s="497"/>
      <c r="UPP24" s="497"/>
      <c r="UPQ24" s="497"/>
      <c r="UPR24" s="497"/>
      <c r="UPS24" s="497"/>
      <c r="UPT24" s="497"/>
      <c r="UPU24" s="497"/>
      <c r="UPV24" s="497"/>
      <c r="UPW24" s="497"/>
      <c r="UPX24" s="497"/>
      <c r="UPY24" s="497"/>
      <c r="UPZ24" s="497"/>
      <c r="UQA24" s="497"/>
      <c r="UQB24" s="497"/>
      <c r="UQC24" s="497"/>
      <c r="UQD24" s="497"/>
      <c r="UQE24" s="497"/>
      <c r="UQF24" s="497"/>
      <c r="UQG24" s="497"/>
      <c r="UQH24" s="497"/>
      <c r="UQI24" s="497"/>
      <c r="UQJ24" s="497"/>
      <c r="UQK24" s="497"/>
      <c r="UQL24" s="497"/>
      <c r="UQM24" s="497"/>
      <c r="UQN24" s="497"/>
      <c r="UQO24" s="497"/>
      <c r="UQP24" s="497"/>
      <c r="UQQ24" s="497"/>
      <c r="UQR24" s="497"/>
      <c r="UQS24" s="497"/>
      <c r="UQT24" s="497"/>
      <c r="UQU24" s="497"/>
      <c r="UQV24" s="497"/>
      <c r="UQW24" s="497"/>
      <c r="UQX24" s="497"/>
      <c r="UQY24" s="497"/>
      <c r="UQZ24" s="497"/>
      <c r="URA24" s="497"/>
      <c r="URB24" s="497"/>
      <c r="URC24" s="497"/>
      <c r="URD24" s="497"/>
      <c r="URE24" s="497"/>
      <c r="URF24" s="497"/>
      <c r="URG24" s="497"/>
      <c r="URH24" s="497"/>
      <c r="URI24" s="497"/>
      <c r="URJ24" s="497"/>
      <c r="URK24" s="497"/>
      <c r="URL24" s="497"/>
      <c r="URM24" s="497"/>
      <c r="URN24" s="497"/>
      <c r="URO24" s="497"/>
      <c r="URP24" s="497"/>
      <c r="URQ24" s="497"/>
      <c r="URR24" s="497"/>
      <c r="URS24" s="497"/>
      <c r="URT24" s="497"/>
      <c r="URU24" s="497"/>
      <c r="URV24" s="497"/>
      <c r="URW24" s="497"/>
      <c r="URX24" s="497"/>
      <c r="URY24" s="497"/>
      <c r="URZ24" s="497"/>
      <c r="USA24" s="497"/>
      <c r="USB24" s="497"/>
      <c r="USC24" s="497"/>
      <c r="USD24" s="497"/>
      <c r="USE24" s="497"/>
      <c r="USF24" s="497"/>
      <c r="USG24" s="497"/>
      <c r="USH24" s="497"/>
      <c r="USI24" s="497"/>
      <c r="USJ24" s="497"/>
      <c r="USK24" s="497"/>
      <c r="USL24" s="497"/>
      <c r="USM24" s="497"/>
      <c r="USN24" s="497"/>
      <c r="USO24" s="497"/>
      <c r="USP24" s="497"/>
      <c r="USQ24" s="497"/>
      <c r="USR24" s="497"/>
      <c r="USS24" s="497"/>
      <c r="UST24" s="497"/>
      <c r="USU24" s="497"/>
      <c r="USV24" s="497"/>
      <c r="USW24" s="497"/>
      <c r="USX24" s="497"/>
      <c r="USY24" s="497"/>
      <c r="USZ24" s="497"/>
      <c r="UTA24" s="497"/>
      <c r="UTB24" s="497"/>
      <c r="UTC24" s="497"/>
      <c r="UTD24" s="497"/>
      <c r="UTE24" s="497"/>
      <c r="UTF24" s="497"/>
      <c r="UTG24" s="497"/>
      <c r="UTH24" s="497"/>
      <c r="UTI24" s="497"/>
      <c r="UTJ24" s="497"/>
      <c r="UTK24" s="497"/>
      <c r="UTL24" s="497"/>
      <c r="UTM24" s="497"/>
      <c r="UTN24" s="497"/>
      <c r="UTO24" s="497"/>
      <c r="UTP24" s="497"/>
      <c r="UTQ24" s="497"/>
      <c r="UTR24" s="497"/>
      <c r="UTS24" s="497"/>
      <c r="UTT24" s="497"/>
      <c r="UTU24" s="497"/>
      <c r="UTV24" s="497"/>
      <c r="UTW24" s="497"/>
      <c r="UTX24" s="497"/>
      <c r="UTY24" s="497"/>
      <c r="UTZ24" s="497"/>
      <c r="UUA24" s="497"/>
      <c r="UUB24" s="497"/>
      <c r="UUC24" s="497"/>
      <c r="UUD24" s="497"/>
      <c r="UUE24" s="497"/>
      <c r="UUF24" s="497"/>
      <c r="UUG24" s="497"/>
      <c r="UUH24" s="497"/>
      <c r="UUI24" s="497"/>
      <c r="UUJ24" s="497"/>
      <c r="UUK24" s="497"/>
      <c r="UUL24" s="497"/>
      <c r="UUM24" s="497"/>
      <c r="UUN24" s="497"/>
      <c r="UUO24" s="497"/>
      <c r="UUP24" s="497"/>
      <c r="UUQ24" s="497"/>
      <c r="UUR24" s="497"/>
      <c r="UUS24" s="497"/>
      <c r="UUT24" s="497"/>
      <c r="UUU24" s="497"/>
      <c r="UUV24" s="497"/>
      <c r="UUW24" s="497"/>
      <c r="UUX24" s="497"/>
      <c r="UUY24" s="497"/>
      <c r="UUZ24" s="497"/>
      <c r="UVA24" s="497"/>
      <c r="UVB24" s="497"/>
      <c r="UVC24" s="497"/>
      <c r="UVD24" s="497"/>
      <c r="UVE24" s="497"/>
      <c r="UVF24" s="497"/>
      <c r="UVG24" s="497"/>
      <c r="UVH24" s="497"/>
      <c r="UVI24" s="497"/>
      <c r="UVJ24" s="497"/>
      <c r="UVK24" s="497"/>
      <c r="UVL24" s="497"/>
      <c r="UVM24" s="497"/>
      <c r="UVN24" s="497"/>
      <c r="UVO24" s="497"/>
      <c r="UVP24" s="497"/>
      <c r="UVQ24" s="497"/>
      <c r="UVR24" s="497"/>
      <c r="UVS24" s="497"/>
      <c r="UVT24" s="497"/>
      <c r="UVU24" s="497"/>
      <c r="UVV24" s="497"/>
      <c r="UVW24" s="497"/>
      <c r="UVX24" s="497"/>
      <c r="UVY24" s="497"/>
      <c r="UVZ24" s="497"/>
      <c r="UWA24" s="497"/>
      <c r="UWB24" s="497"/>
      <c r="UWC24" s="497"/>
      <c r="UWD24" s="497"/>
      <c r="UWE24" s="497"/>
      <c r="UWF24" s="497"/>
      <c r="UWG24" s="497"/>
      <c r="UWH24" s="497"/>
      <c r="UWI24" s="497"/>
      <c r="UWJ24" s="497"/>
      <c r="UWK24" s="497"/>
      <c r="UWL24" s="497"/>
      <c r="UWM24" s="497"/>
      <c r="UWN24" s="497"/>
      <c r="UWO24" s="497"/>
      <c r="UWP24" s="497"/>
      <c r="UWQ24" s="497"/>
      <c r="UWR24" s="497"/>
      <c r="UWS24" s="497"/>
      <c r="UWT24" s="497"/>
      <c r="UWU24" s="497"/>
      <c r="UWV24" s="497"/>
      <c r="UWW24" s="497"/>
      <c r="UWX24" s="497"/>
      <c r="UWY24" s="497"/>
      <c r="UWZ24" s="497"/>
      <c r="UXA24" s="497"/>
      <c r="UXB24" s="497"/>
      <c r="UXC24" s="497"/>
      <c r="UXD24" s="497"/>
      <c r="UXE24" s="497"/>
      <c r="UXF24" s="497"/>
      <c r="UXG24" s="497"/>
      <c r="UXH24" s="497"/>
      <c r="UXI24" s="497"/>
      <c r="UXJ24" s="497"/>
      <c r="UXK24" s="497"/>
      <c r="UXL24" s="497"/>
      <c r="UXM24" s="497"/>
      <c r="UXN24" s="497"/>
      <c r="UXO24" s="497"/>
      <c r="UXP24" s="497"/>
      <c r="UXQ24" s="497"/>
      <c r="UXR24" s="497"/>
      <c r="UXS24" s="497"/>
      <c r="UXT24" s="497"/>
      <c r="UXU24" s="497"/>
      <c r="UXV24" s="497"/>
      <c r="UXW24" s="497"/>
      <c r="UXX24" s="497"/>
      <c r="UXY24" s="497"/>
      <c r="UXZ24" s="497"/>
      <c r="UYA24" s="497"/>
      <c r="UYB24" s="497"/>
      <c r="UYC24" s="497"/>
      <c r="UYD24" s="497"/>
      <c r="UYE24" s="497"/>
      <c r="UYF24" s="497"/>
      <c r="UYG24" s="497"/>
      <c r="UYH24" s="497"/>
      <c r="UYI24" s="497"/>
      <c r="UYJ24" s="497"/>
      <c r="UYK24" s="497"/>
      <c r="UYL24" s="497"/>
      <c r="UYM24" s="497"/>
      <c r="UYN24" s="497"/>
      <c r="UYO24" s="497"/>
      <c r="UYP24" s="497"/>
      <c r="UYQ24" s="497"/>
      <c r="UYR24" s="497"/>
      <c r="UYS24" s="497"/>
      <c r="UYT24" s="497"/>
      <c r="UYU24" s="497"/>
      <c r="UYV24" s="497"/>
      <c r="UYW24" s="497"/>
      <c r="UYX24" s="497"/>
      <c r="UYY24" s="497"/>
      <c r="UYZ24" s="497"/>
      <c r="UZA24" s="497"/>
      <c r="UZB24" s="497"/>
      <c r="UZC24" s="497"/>
      <c r="UZD24" s="497"/>
      <c r="UZE24" s="497"/>
      <c r="UZF24" s="497"/>
      <c r="UZG24" s="497"/>
      <c r="UZH24" s="497"/>
      <c r="UZI24" s="497"/>
      <c r="UZJ24" s="497"/>
      <c r="UZK24" s="497"/>
      <c r="UZL24" s="497"/>
      <c r="UZM24" s="497"/>
      <c r="UZN24" s="497"/>
      <c r="UZO24" s="497"/>
      <c r="UZP24" s="497"/>
      <c r="UZQ24" s="497"/>
      <c r="UZR24" s="497"/>
      <c r="UZS24" s="497"/>
      <c r="UZT24" s="497"/>
      <c r="UZU24" s="497"/>
      <c r="UZV24" s="497"/>
      <c r="UZW24" s="497"/>
      <c r="UZX24" s="497"/>
      <c r="UZY24" s="497"/>
      <c r="UZZ24" s="497"/>
      <c r="VAA24" s="497"/>
      <c r="VAB24" s="497"/>
      <c r="VAC24" s="497"/>
      <c r="VAD24" s="497"/>
      <c r="VAE24" s="497"/>
      <c r="VAF24" s="497"/>
      <c r="VAG24" s="497"/>
      <c r="VAH24" s="497"/>
      <c r="VAI24" s="497"/>
      <c r="VAJ24" s="497"/>
      <c r="VAK24" s="497"/>
      <c r="VAL24" s="497"/>
      <c r="VAM24" s="497"/>
      <c r="VAN24" s="497"/>
      <c r="VAO24" s="497"/>
      <c r="VAP24" s="497"/>
      <c r="VAQ24" s="497"/>
      <c r="VAR24" s="497"/>
      <c r="VAS24" s="497"/>
      <c r="VAT24" s="497"/>
      <c r="VAU24" s="497"/>
      <c r="VAV24" s="497"/>
      <c r="VAW24" s="497"/>
      <c r="VAX24" s="497"/>
      <c r="VAY24" s="497"/>
      <c r="VAZ24" s="497"/>
      <c r="VBA24" s="497"/>
      <c r="VBB24" s="497"/>
      <c r="VBC24" s="497"/>
      <c r="VBD24" s="497"/>
      <c r="VBE24" s="497"/>
      <c r="VBF24" s="497"/>
      <c r="VBG24" s="497"/>
      <c r="VBH24" s="497"/>
      <c r="VBI24" s="497"/>
      <c r="VBJ24" s="497"/>
      <c r="VBK24" s="497"/>
      <c r="VBL24" s="497"/>
      <c r="VBM24" s="497"/>
      <c r="VBN24" s="497"/>
      <c r="VBO24" s="497"/>
      <c r="VBP24" s="497"/>
      <c r="VBQ24" s="497"/>
      <c r="VBR24" s="497"/>
      <c r="VBS24" s="497"/>
      <c r="VBT24" s="497"/>
      <c r="VBU24" s="497"/>
      <c r="VBV24" s="497"/>
      <c r="VBW24" s="497"/>
      <c r="VBX24" s="497"/>
      <c r="VBY24" s="497"/>
      <c r="VBZ24" s="497"/>
      <c r="VCA24" s="497"/>
      <c r="VCB24" s="497"/>
      <c r="VCC24" s="497"/>
      <c r="VCD24" s="497"/>
      <c r="VCE24" s="497"/>
      <c r="VCF24" s="497"/>
      <c r="VCG24" s="497"/>
      <c r="VCH24" s="497"/>
      <c r="VCI24" s="497"/>
      <c r="VCJ24" s="497"/>
      <c r="VCK24" s="497"/>
      <c r="VCL24" s="497"/>
      <c r="VCM24" s="497"/>
      <c r="VCN24" s="497"/>
      <c r="VCO24" s="497"/>
      <c r="VCP24" s="497"/>
      <c r="VCQ24" s="497"/>
      <c r="VCR24" s="497"/>
      <c r="VCS24" s="497"/>
      <c r="VCT24" s="497"/>
      <c r="VCU24" s="497"/>
      <c r="VCV24" s="497"/>
      <c r="VCW24" s="497"/>
      <c r="VCX24" s="497"/>
      <c r="VCY24" s="497"/>
      <c r="VCZ24" s="497"/>
      <c r="VDA24" s="497"/>
      <c r="VDB24" s="497"/>
      <c r="VDC24" s="497"/>
      <c r="VDD24" s="497"/>
      <c r="VDE24" s="497"/>
      <c r="VDF24" s="497"/>
      <c r="VDG24" s="497"/>
      <c r="VDH24" s="497"/>
      <c r="VDI24" s="497"/>
      <c r="VDJ24" s="497"/>
      <c r="VDK24" s="497"/>
      <c r="VDL24" s="497"/>
      <c r="VDM24" s="497"/>
      <c r="VDN24" s="497"/>
      <c r="VDO24" s="497"/>
      <c r="VDP24" s="497"/>
      <c r="VDQ24" s="497"/>
      <c r="VDR24" s="497"/>
      <c r="VDS24" s="497"/>
      <c r="VDT24" s="497"/>
      <c r="VDU24" s="497"/>
      <c r="VDV24" s="497"/>
      <c r="VDW24" s="497"/>
      <c r="VDX24" s="497"/>
      <c r="VDY24" s="497"/>
      <c r="VDZ24" s="497"/>
      <c r="VEA24" s="497"/>
      <c r="VEB24" s="497"/>
      <c r="VEC24" s="497"/>
      <c r="VED24" s="497"/>
      <c r="VEE24" s="497"/>
      <c r="VEF24" s="497"/>
      <c r="VEG24" s="497"/>
      <c r="VEH24" s="497"/>
      <c r="VEI24" s="497"/>
      <c r="VEJ24" s="497"/>
      <c r="VEK24" s="497"/>
      <c r="VEL24" s="497"/>
      <c r="VEM24" s="497"/>
      <c r="VEN24" s="497"/>
      <c r="VEO24" s="497"/>
      <c r="VEP24" s="497"/>
      <c r="VEQ24" s="497"/>
      <c r="VER24" s="497"/>
      <c r="VES24" s="497"/>
      <c r="VET24" s="497"/>
      <c r="VEU24" s="497"/>
      <c r="VEV24" s="497"/>
      <c r="VEW24" s="497"/>
      <c r="VEX24" s="497"/>
      <c r="VEY24" s="497"/>
      <c r="VEZ24" s="497"/>
      <c r="VFA24" s="497"/>
      <c r="VFB24" s="497"/>
      <c r="VFC24" s="497"/>
      <c r="VFD24" s="497"/>
      <c r="VFE24" s="497"/>
      <c r="VFF24" s="497"/>
      <c r="VFG24" s="497"/>
      <c r="VFH24" s="497"/>
      <c r="VFI24" s="497"/>
      <c r="VFJ24" s="497"/>
      <c r="VFK24" s="497"/>
      <c r="VFL24" s="497"/>
      <c r="VFM24" s="497"/>
      <c r="VFN24" s="497"/>
      <c r="VFO24" s="497"/>
      <c r="VFP24" s="497"/>
      <c r="VFQ24" s="497"/>
      <c r="VFR24" s="497"/>
      <c r="VFS24" s="497"/>
      <c r="VFT24" s="497"/>
      <c r="VFU24" s="497"/>
      <c r="VFV24" s="497"/>
      <c r="VFW24" s="497"/>
      <c r="VFX24" s="497"/>
      <c r="VFY24" s="497"/>
      <c r="VFZ24" s="497"/>
      <c r="VGA24" s="497"/>
      <c r="VGB24" s="497"/>
      <c r="VGC24" s="497"/>
      <c r="VGD24" s="497"/>
      <c r="VGE24" s="497"/>
      <c r="VGF24" s="497"/>
      <c r="VGG24" s="497"/>
      <c r="VGH24" s="497"/>
      <c r="VGI24" s="497"/>
      <c r="VGJ24" s="497"/>
      <c r="VGK24" s="497"/>
      <c r="VGL24" s="497"/>
      <c r="VGM24" s="497"/>
      <c r="VGN24" s="497"/>
      <c r="VGO24" s="497"/>
      <c r="VGP24" s="497"/>
      <c r="VGQ24" s="497"/>
      <c r="VGR24" s="497"/>
      <c r="VGS24" s="497"/>
      <c r="VGT24" s="497"/>
      <c r="VGU24" s="497"/>
      <c r="VGV24" s="497"/>
      <c r="VGW24" s="497"/>
      <c r="VGX24" s="497"/>
      <c r="VGY24" s="497"/>
      <c r="VGZ24" s="497"/>
      <c r="VHA24" s="497"/>
      <c r="VHB24" s="497"/>
      <c r="VHC24" s="497"/>
      <c r="VHD24" s="497"/>
      <c r="VHE24" s="497"/>
      <c r="VHF24" s="497"/>
      <c r="VHG24" s="497"/>
      <c r="VHH24" s="497"/>
      <c r="VHI24" s="497"/>
      <c r="VHJ24" s="497"/>
      <c r="VHK24" s="497"/>
      <c r="VHL24" s="497"/>
      <c r="VHM24" s="497"/>
      <c r="VHN24" s="497"/>
      <c r="VHO24" s="497"/>
      <c r="VHP24" s="497"/>
      <c r="VHQ24" s="497"/>
      <c r="VHR24" s="497"/>
      <c r="VHS24" s="497"/>
      <c r="VHT24" s="497"/>
      <c r="VHU24" s="497"/>
      <c r="VHV24" s="497"/>
      <c r="VHW24" s="497"/>
      <c r="VHX24" s="497"/>
      <c r="VHY24" s="497"/>
      <c r="VHZ24" s="497"/>
      <c r="VIA24" s="497"/>
      <c r="VIB24" s="497"/>
      <c r="VIC24" s="497"/>
      <c r="VID24" s="497"/>
      <c r="VIE24" s="497"/>
      <c r="VIF24" s="497"/>
      <c r="VIG24" s="497"/>
      <c r="VIH24" s="497"/>
      <c r="VII24" s="497"/>
      <c r="VIJ24" s="497"/>
      <c r="VIK24" s="497"/>
      <c r="VIL24" s="497"/>
      <c r="VIM24" s="497"/>
      <c r="VIN24" s="497"/>
      <c r="VIO24" s="497"/>
      <c r="VIP24" s="497"/>
      <c r="VIQ24" s="497"/>
      <c r="VIR24" s="497"/>
      <c r="VIS24" s="497"/>
      <c r="VIT24" s="497"/>
      <c r="VIU24" s="497"/>
      <c r="VIV24" s="497"/>
      <c r="VIW24" s="497"/>
      <c r="VIX24" s="497"/>
      <c r="VIY24" s="497"/>
      <c r="VIZ24" s="497"/>
      <c r="VJA24" s="497"/>
      <c r="VJB24" s="497"/>
      <c r="VJC24" s="497"/>
      <c r="VJD24" s="497"/>
      <c r="VJE24" s="497"/>
      <c r="VJF24" s="497"/>
      <c r="VJG24" s="497"/>
      <c r="VJH24" s="497"/>
      <c r="VJI24" s="497"/>
      <c r="VJJ24" s="497"/>
      <c r="VJK24" s="497"/>
      <c r="VJL24" s="497"/>
      <c r="VJM24" s="497"/>
      <c r="VJN24" s="497"/>
      <c r="VJO24" s="497"/>
      <c r="VJP24" s="497"/>
      <c r="VJQ24" s="497"/>
      <c r="VJR24" s="497"/>
      <c r="VJS24" s="497"/>
      <c r="VJT24" s="497"/>
      <c r="VJU24" s="497"/>
      <c r="VJV24" s="497"/>
      <c r="VJW24" s="497"/>
      <c r="VJX24" s="497"/>
      <c r="VJY24" s="497"/>
      <c r="VJZ24" s="497"/>
      <c r="VKA24" s="497"/>
      <c r="VKB24" s="497"/>
      <c r="VKC24" s="497"/>
      <c r="VKD24" s="497"/>
      <c r="VKE24" s="497"/>
      <c r="VKF24" s="497"/>
      <c r="VKG24" s="497"/>
      <c r="VKH24" s="497"/>
      <c r="VKI24" s="497"/>
      <c r="VKJ24" s="497"/>
      <c r="VKK24" s="497"/>
      <c r="VKL24" s="497"/>
      <c r="VKM24" s="497"/>
      <c r="VKN24" s="497"/>
      <c r="VKO24" s="497"/>
      <c r="VKP24" s="497"/>
      <c r="VKQ24" s="497"/>
      <c r="VKR24" s="497"/>
      <c r="VKS24" s="497"/>
      <c r="VKT24" s="497"/>
      <c r="VKU24" s="497"/>
      <c r="VKV24" s="497"/>
      <c r="VKW24" s="497"/>
      <c r="VKX24" s="497"/>
      <c r="VKY24" s="497"/>
      <c r="VKZ24" s="497"/>
      <c r="VLA24" s="497"/>
      <c r="VLB24" s="497"/>
      <c r="VLC24" s="497"/>
      <c r="VLD24" s="497"/>
      <c r="VLE24" s="497"/>
      <c r="VLF24" s="497"/>
      <c r="VLG24" s="497"/>
      <c r="VLH24" s="497"/>
      <c r="VLI24" s="497"/>
      <c r="VLJ24" s="497"/>
      <c r="VLK24" s="497"/>
      <c r="VLL24" s="497"/>
      <c r="VLM24" s="497"/>
      <c r="VLN24" s="497"/>
      <c r="VLO24" s="497"/>
      <c r="VLP24" s="497"/>
      <c r="VLQ24" s="497"/>
      <c r="VLR24" s="497"/>
      <c r="VLS24" s="497"/>
      <c r="VLT24" s="497"/>
      <c r="VLU24" s="497"/>
      <c r="VLV24" s="497"/>
      <c r="VLW24" s="497"/>
      <c r="VLX24" s="497"/>
      <c r="VLY24" s="497"/>
      <c r="VLZ24" s="497"/>
      <c r="VMA24" s="497"/>
      <c r="VMB24" s="497"/>
      <c r="VMC24" s="497"/>
      <c r="VMD24" s="497"/>
      <c r="VME24" s="497"/>
      <c r="VMF24" s="497"/>
      <c r="VMG24" s="497"/>
      <c r="VMH24" s="497"/>
      <c r="VMI24" s="497"/>
      <c r="VMJ24" s="497"/>
      <c r="VMK24" s="497"/>
      <c r="VML24" s="497"/>
      <c r="VMM24" s="497"/>
      <c r="VMN24" s="497"/>
      <c r="VMO24" s="497"/>
      <c r="VMP24" s="497"/>
      <c r="VMQ24" s="497"/>
      <c r="VMR24" s="497"/>
      <c r="VMS24" s="497"/>
      <c r="VMT24" s="497"/>
      <c r="VMU24" s="497"/>
      <c r="VMV24" s="497"/>
      <c r="VMW24" s="497"/>
      <c r="VMX24" s="497"/>
      <c r="VMY24" s="497"/>
      <c r="VMZ24" s="497"/>
      <c r="VNA24" s="497"/>
      <c r="VNB24" s="497"/>
      <c r="VNC24" s="497"/>
      <c r="VND24" s="497"/>
      <c r="VNE24" s="497"/>
      <c r="VNF24" s="497"/>
      <c r="VNG24" s="497"/>
      <c r="VNH24" s="497"/>
      <c r="VNI24" s="497"/>
      <c r="VNJ24" s="497"/>
      <c r="VNK24" s="497"/>
      <c r="VNL24" s="497"/>
      <c r="VNM24" s="497"/>
      <c r="VNN24" s="497"/>
      <c r="VNO24" s="497"/>
      <c r="VNP24" s="497"/>
      <c r="VNQ24" s="497"/>
      <c r="VNR24" s="497"/>
      <c r="VNS24" s="497"/>
      <c r="VNT24" s="497"/>
      <c r="VNU24" s="497"/>
      <c r="VNV24" s="497"/>
      <c r="VNW24" s="497"/>
      <c r="VNX24" s="497"/>
      <c r="VNY24" s="497"/>
      <c r="VNZ24" s="497"/>
      <c r="VOA24" s="497"/>
      <c r="VOB24" s="497"/>
      <c r="VOC24" s="497"/>
      <c r="VOD24" s="497"/>
      <c r="VOE24" s="497"/>
      <c r="VOF24" s="497"/>
      <c r="VOG24" s="497"/>
      <c r="VOH24" s="497"/>
      <c r="VOI24" s="497"/>
      <c r="VOJ24" s="497"/>
      <c r="VOK24" s="497"/>
      <c r="VOL24" s="497"/>
      <c r="VOM24" s="497"/>
      <c r="VON24" s="497"/>
      <c r="VOO24" s="497"/>
      <c r="VOP24" s="497"/>
      <c r="VOQ24" s="497"/>
      <c r="VOR24" s="497"/>
      <c r="VOS24" s="497"/>
      <c r="VOT24" s="497"/>
      <c r="VOU24" s="497"/>
      <c r="VOV24" s="497"/>
      <c r="VOW24" s="497"/>
      <c r="VOX24" s="497"/>
      <c r="VOY24" s="497"/>
      <c r="VOZ24" s="497"/>
      <c r="VPA24" s="497"/>
      <c r="VPB24" s="497"/>
      <c r="VPC24" s="497"/>
      <c r="VPD24" s="497"/>
      <c r="VPE24" s="497"/>
      <c r="VPF24" s="497"/>
      <c r="VPG24" s="497"/>
      <c r="VPH24" s="497"/>
      <c r="VPI24" s="497"/>
      <c r="VPJ24" s="497"/>
      <c r="VPK24" s="497"/>
      <c r="VPL24" s="497"/>
      <c r="VPM24" s="497"/>
      <c r="VPN24" s="497"/>
      <c r="VPO24" s="497"/>
      <c r="VPP24" s="497"/>
      <c r="VPQ24" s="497"/>
      <c r="VPR24" s="497"/>
      <c r="VPS24" s="497"/>
      <c r="VPT24" s="497"/>
      <c r="VPU24" s="497"/>
      <c r="VPV24" s="497"/>
      <c r="VPW24" s="497"/>
      <c r="VPX24" s="497"/>
      <c r="VPY24" s="497"/>
      <c r="VPZ24" s="497"/>
      <c r="VQA24" s="497"/>
      <c r="VQB24" s="497"/>
      <c r="VQC24" s="497"/>
      <c r="VQD24" s="497"/>
      <c r="VQE24" s="497"/>
      <c r="VQF24" s="497"/>
      <c r="VQG24" s="497"/>
      <c r="VQH24" s="497"/>
      <c r="VQI24" s="497"/>
      <c r="VQJ24" s="497"/>
      <c r="VQK24" s="497"/>
      <c r="VQL24" s="497"/>
      <c r="VQM24" s="497"/>
      <c r="VQN24" s="497"/>
      <c r="VQO24" s="497"/>
      <c r="VQP24" s="497"/>
      <c r="VQQ24" s="497"/>
      <c r="VQR24" s="497"/>
      <c r="VQS24" s="497"/>
      <c r="VQT24" s="497"/>
      <c r="VQU24" s="497"/>
      <c r="VQV24" s="497"/>
      <c r="VQW24" s="497"/>
      <c r="VQX24" s="497"/>
      <c r="VQY24" s="497"/>
      <c r="VQZ24" s="497"/>
      <c r="VRA24" s="497"/>
      <c r="VRB24" s="497"/>
      <c r="VRC24" s="497"/>
      <c r="VRD24" s="497"/>
      <c r="VRE24" s="497"/>
      <c r="VRF24" s="497"/>
      <c r="VRG24" s="497"/>
      <c r="VRH24" s="497"/>
      <c r="VRI24" s="497"/>
      <c r="VRJ24" s="497"/>
      <c r="VRK24" s="497"/>
      <c r="VRL24" s="497"/>
      <c r="VRM24" s="497"/>
      <c r="VRN24" s="497"/>
      <c r="VRO24" s="497"/>
      <c r="VRP24" s="497"/>
      <c r="VRQ24" s="497"/>
      <c r="VRR24" s="497"/>
      <c r="VRS24" s="497"/>
      <c r="VRT24" s="497"/>
      <c r="VRU24" s="497"/>
      <c r="VRV24" s="497"/>
      <c r="VRW24" s="497"/>
      <c r="VRX24" s="497"/>
      <c r="VRY24" s="497"/>
      <c r="VRZ24" s="497"/>
      <c r="VSA24" s="497"/>
      <c r="VSB24" s="497"/>
      <c r="VSC24" s="497"/>
      <c r="VSD24" s="497"/>
      <c r="VSE24" s="497"/>
      <c r="VSF24" s="497"/>
      <c r="VSG24" s="497"/>
      <c r="VSH24" s="497"/>
      <c r="VSI24" s="497"/>
      <c r="VSJ24" s="497"/>
      <c r="VSK24" s="497"/>
      <c r="VSL24" s="497"/>
      <c r="VSM24" s="497"/>
      <c r="VSN24" s="497"/>
      <c r="VSO24" s="497"/>
      <c r="VSP24" s="497"/>
      <c r="VSQ24" s="497"/>
      <c r="VSR24" s="497"/>
      <c r="VSS24" s="497"/>
      <c r="VST24" s="497"/>
      <c r="VSU24" s="497"/>
      <c r="VSV24" s="497"/>
      <c r="VSW24" s="497"/>
      <c r="VSX24" s="497"/>
      <c r="VSY24" s="497"/>
      <c r="VSZ24" s="497"/>
      <c r="VTA24" s="497"/>
      <c r="VTB24" s="497"/>
      <c r="VTC24" s="497"/>
      <c r="VTD24" s="497"/>
      <c r="VTE24" s="497"/>
      <c r="VTF24" s="497"/>
      <c r="VTG24" s="497"/>
      <c r="VTH24" s="497"/>
      <c r="VTI24" s="497"/>
      <c r="VTJ24" s="497"/>
      <c r="VTK24" s="497"/>
      <c r="VTL24" s="497"/>
      <c r="VTM24" s="497"/>
      <c r="VTN24" s="497"/>
      <c r="VTO24" s="497"/>
      <c r="VTP24" s="497"/>
      <c r="VTQ24" s="497"/>
      <c r="VTR24" s="497"/>
      <c r="VTS24" s="497"/>
      <c r="VTT24" s="497"/>
      <c r="VTU24" s="497"/>
      <c r="VTV24" s="497"/>
      <c r="VTW24" s="497"/>
      <c r="VTX24" s="497"/>
      <c r="VTY24" s="497"/>
      <c r="VTZ24" s="497"/>
      <c r="VUA24" s="497"/>
      <c r="VUB24" s="497"/>
      <c r="VUC24" s="497"/>
      <c r="VUD24" s="497"/>
      <c r="VUE24" s="497"/>
      <c r="VUF24" s="497"/>
      <c r="VUG24" s="497"/>
      <c r="VUH24" s="497"/>
      <c r="VUI24" s="497"/>
      <c r="VUJ24" s="497"/>
      <c r="VUK24" s="497"/>
      <c r="VUL24" s="497"/>
      <c r="VUM24" s="497"/>
      <c r="VUN24" s="497"/>
      <c r="VUO24" s="497"/>
      <c r="VUP24" s="497"/>
      <c r="VUQ24" s="497"/>
      <c r="VUR24" s="497"/>
      <c r="VUS24" s="497"/>
      <c r="VUT24" s="497"/>
      <c r="VUU24" s="497"/>
      <c r="VUV24" s="497"/>
      <c r="VUW24" s="497"/>
      <c r="VUX24" s="497"/>
      <c r="VUY24" s="497"/>
      <c r="VUZ24" s="497"/>
      <c r="VVA24" s="497"/>
      <c r="VVB24" s="497"/>
      <c r="VVC24" s="497"/>
      <c r="VVD24" s="497"/>
      <c r="VVE24" s="497"/>
      <c r="VVF24" s="497"/>
      <c r="VVG24" s="497"/>
      <c r="VVH24" s="497"/>
      <c r="VVI24" s="497"/>
      <c r="VVJ24" s="497"/>
      <c r="VVK24" s="497"/>
      <c r="VVL24" s="497"/>
      <c r="VVM24" s="497"/>
      <c r="VVN24" s="497"/>
      <c r="VVO24" s="497"/>
      <c r="VVP24" s="497"/>
      <c r="VVQ24" s="497"/>
      <c r="VVR24" s="497"/>
      <c r="VVS24" s="497"/>
      <c r="VVT24" s="497"/>
      <c r="VVU24" s="497"/>
      <c r="VVV24" s="497"/>
      <c r="VVW24" s="497"/>
      <c r="VVX24" s="497"/>
      <c r="VVY24" s="497"/>
      <c r="VVZ24" s="497"/>
      <c r="VWA24" s="497"/>
      <c r="VWB24" s="497"/>
      <c r="VWC24" s="497"/>
      <c r="VWD24" s="497"/>
      <c r="VWE24" s="497"/>
      <c r="VWF24" s="497"/>
      <c r="VWG24" s="497"/>
      <c r="VWH24" s="497"/>
      <c r="VWI24" s="497"/>
      <c r="VWJ24" s="497"/>
      <c r="VWK24" s="497"/>
      <c r="VWL24" s="497"/>
      <c r="VWM24" s="497"/>
      <c r="VWN24" s="497"/>
      <c r="VWO24" s="497"/>
      <c r="VWP24" s="497"/>
      <c r="VWQ24" s="497"/>
      <c r="VWR24" s="497"/>
      <c r="VWS24" s="497"/>
      <c r="VWT24" s="497"/>
      <c r="VWU24" s="497"/>
      <c r="VWV24" s="497"/>
      <c r="VWW24" s="497"/>
      <c r="VWX24" s="497"/>
      <c r="VWY24" s="497"/>
      <c r="VWZ24" s="497"/>
      <c r="VXA24" s="497"/>
      <c r="VXB24" s="497"/>
      <c r="VXC24" s="497"/>
      <c r="VXD24" s="497"/>
      <c r="VXE24" s="497"/>
      <c r="VXF24" s="497"/>
      <c r="VXG24" s="497"/>
      <c r="VXH24" s="497"/>
      <c r="VXI24" s="497"/>
      <c r="VXJ24" s="497"/>
      <c r="VXK24" s="497"/>
      <c r="VXL24" s="497"/>
      <c r="VXM24" s="497"/>
      <c r="VXN24" s="497"/>
      <c r="VXO24" s="497"/>
      <c r="VXP24" s="497"/>
      <c r="VXQ24" s="497"/>
      <c r="VXR24" s="497"/>
      <c r="VXS24" s="497"/>
      <c r="VXT24" s="497"/>
      <c r="VXU24" s="497"/>
      <c r="VXV24" s="497"/>
      <c r="VXW24" s="497"/>
      <c r="VXX24" s="497"/>
      <c r="VXY24" s="497"/>
      <c r="VXZ24" s="497"/>
      <c r="VYA24" s="497"/>
      <c r="VYB24" s="497"/>
      <c r="VYC24" s="497"/>
      <c r="VYD24" s="497"/>
      <c r="VYE24" s="497"/>
      <c r="VYF24" s="497"/>
      <c r="VYG24" s="497"/>
      <c r="VYH24" s="497"/>
      <c r="VYI24" s="497"/>
      <c r="VYJ24" s="497"/>
      <c r="VYK24" s="497"/>
      <c r="VYL24" s="497"/>
      <c r="VYM24" s="497"/>
      <c r="VYN24" s="497"/>
      <c r="VYO24" s="497"/>
      <c r="VYP24" s="497"/>
      <c r="VYQ24" s="497"/>
      <c r="VYR24" s="497"/>
      <c r="VYS24" s="497"/>
      <c r="VYT24" s="497"/>
      <c r="VYU24" s="497"/>
      <c r="VYV24" s="497"/>
      <c r="VYW24" s="497"/>
      <c r="VYX24" s="497"/>
      <c r="VYY24" s="497"/>
      <c r="VYZ24" s="497"/>
      <c r="VZA24" s="497"/>
      <c r="VZB24" s="497"/>
      <c r="VZC24" s="497"/>
      <c r="VZD24" s="497"/>
      <c r="VZE24" s="497"/>
      <c r="VZF24" s="497"/>
      <c r="VZG24" s="497"/>
      <c r="VZH24" s="497"/>
      <c r="VZI24" s="497"/>
      <c r="VZJ24" s="497"/>
      <c r="VZK24" s="497"/>
      <c r="VZL24" s="497"/>
      <c r="VZM24" s="497"/>
      <c r="VZN24" s="497"/>
      <c r="VZO24" s="497"/>
      <c r="VZP24" s="497"/>
      <c r="VZQ24" s="497"/>
      <c r="VZR24" s="497"/>
      <c r="VZS24" s="497"/>
      <c r="VZT24" s="497"/>
      <c r="VZU24" s="497"/>
      <c r="VZV24" s="497"/>
      <c r="VZW24" s="497"/>
      <c r="VZX24" s="497"/>
      <c r="VZY24" s="497"/>
      <c r="VZZ24" s="497"/>
      <c r="WAA24" s="497"/>
      <c r="WAB24" s="497"/>
      <c r="WAC24" s="497"/>
      <c r="WAD24" s="497"/>
      <c r="WAE24" s="497"/>
      <c r="WAF24" s="497"/>
      <c r="WAG24" s="497"/>
      <c r="WAH24" s="497"/>
      <c r="WAI24" s="497"/>
      <c r="WAJ24" s="497"/>
      <c r="WAK24" s="497"/>
      <c r="WAL24" s="497"/>
      <c r="WAM24" s="497"/>
      <c r="WAN24" s="497"/>
      <c r="WAO24" s="497"/>
      <c r="WAP24" s="497"/>
      <c r="WAQ24" s="497"/>
      <c r="WAR24" s="497"/>
      <c r="WAS24" s="497"/>
      <c r="WAT24" s="497"/>
      <c r="WAU24" s="497"/>
      <c r="WAV24" s="497"/>
      <c r="WAW24" s="497"/>
      <c r="WAX24" s="497"/>
      <c r="WAY24" s="497"/>
      <c r="WAZ24" s="497"/>
      <c r="WBA24" s="497"/>
      <c r="WBB24" s="497"/>
      <c r="WBC24" s="497"/>
      <c r="WBD24" s="497"/>
      <c r="WBE24" s="497"/>
      <c r="WBF24" s="497"/>
      <c r="WBG24" s="497"/>
      <c r="WBH24" s="497"/>
      <c r="WBI24" s="497"/>
      <c r="WBJ24" s="497"/>
      <c r="WBK24" s="497"/>
      <c r="WBL24" s="497"/>
      <c r="WBM24" s="497"/>
      <c r="WBN24" s="497"/>
      <c r="WBO24" s="497"/>
      <c r="WBP24" s="497"/>
      <c r="WBQ24" s="497"/>
      <c r="WBR24" s="497"/>
      <c r="WBS24" s="497"/>
      <c r="WBT24" s="497"/>
      <c r="WBU24" s="497"/>
      <c r="WBV24" s="497"/>
      <c r="WBW24" s="497"/>
      <c r="WBX24" s="497"/>
      <c r="WBY24" s="497"/>
      <c r="WBZ24" s="497"/>
      <c r="WCA24" s="497"/>
      <c r="WCB24" s="497"/>
      <c r="WCC24" s="497"/>
      <c r="WCD24" s="497"/>
      <c r="WCE24" s="497"/>
      <c r="WCF24" s="497"/>
      <c r="WCG24" s="497"/>
      <c r="WCH24" s="497"/>
      <c r="WCI24" s="497"/>
      <c r="WCJ24" s="497"/>
      <c r="WCK24" s="497"/>
      <c r="WCL24" s="497"/>
      <c r="WCM24" s="497"/>
      <c r="WCN24" s="497"/>
      <c r="WCO24" s="497"/>
      <c r="WCP24" s="497"/>
      <c r="WCQ24" s="497"/>
      <c r="WCR24" s="497"/>
      <c r="WCS24" s="497"/>
      <c r="WCT24" s="497"/>
      <c r="WCU24" s="497"/>
      <c r="WCV24" s="497"/>
      <c r="WCW24" s="497"/>
      <c r="WCX24" s="497"/>
      <c r="WCY24" s="497"/>
      <c r="WCZ24" s="497"/>
      <c r="WDA24" s="497"/>
      <c r="WDB24" s="497"/>
      <c r="WDC24" s="497"/>
      <c r="WDD24" s="497"/>
      <c r="WDE24" s="497"/>
      <c r="WDF24" s="497"/>
      <c r="WDG24" s="497"/>
      <c r="WDH24" s="497"/>
      <c r="WDI24" s="497"/>
      <c r="WDJ24" s="497"/>
      <c r="WDK24" s="497"/>
      <c r="WDL24" s="497"/>
      <c r="WDM24" s="497"/>
      <c r="WDN24" s="497"/>
      <c r="WDO24" s="497"/>
      <c r="WDP24" s="497"/>
      <c r="WDQ24" s="497"/>
      <c r="WDR24" s="497"/>
      <c r="WDS24" s="497"/>
      <c r="WDT24" s="497"/>
      <c r="WDU24" s="497"/>
      <c r="WDV24" s="497"/>
      <c r="WDW24" s="497"/>
      <c r="WDX24" s="497"/>
      <c r="WDY24" s="497"/>
      <c r="WDZ24" s="497"/>
      <c r="WEA24" s="497"/>
      <c r="WEB24" s="497"/>
      <c r="WEC24" s="497"/>
      <c r="WED24" s="497"/>
      <c r="WEE24" s="497"/>
      <c r="WEF24" s="497"/>
      <c r="WEG24" s="497"/>
      <c r="WEH24" s="497"/>
      <c r="WEI24" s="497"/>
      <c r="WEJ24" s="497"/>
      <c r="WEK24" s="497"/>
      <c r="WEL24" s="497"/>
      <c r="WEM24" s="497"/>
      <c r="WEN24" s="497"/>
      <c r="WEO24" s="497"/>
      <c r="WEP24" s="497"/>
      <c r="WEQ24" s="497"/>
      <c r="WER24" s="497"/>
      <c r="WES24" s="497"/>
      <c r="WET24" s="497"/>
      <c r="WEU24" s="497"/>
      <c r="WEV24" s="497"/>
      <c r="WEW24" s="497"/>
      <c r="WEX24" s="497"/>
      <c r="WEY24" s="497"/>
      <c r="WEZ24" s="497"/>
      <c r="WFA24" s="497"/>
      <c r="WFB24" s="497"/>
      <c r="WFC24" s="497"/>
      <c r="WFD24" s="497"/>
      <c r="WFE24" s="497"/>
      <c r="WFF24" s="497"/>
      <c r="WFG24" s="497"/>
      <c r="WFH24" s="497"/>
      <c r="WFI24" s="497"/>
      <c r="WFJ24" s="497"/>
      <c r="WFK24" s="497"/>
      <c r="WFL24" s="497"/>
      <c r="WFM24" s="497"/>
      <c r="WFN24" s="497"/>
      <c r="WFO24" s="497"/>
      <c r="WFP24" s="497"/>
      <c r="WFQ24" s="497"/>
      <c r="WFR24" s="497"/>
      <c r="WFS24" s="497"/>
      <c r="WFT24" s="497"/>
      <c r="WFU24" s="497"/>
      <c r="WFV24" s="497"/>
      <c r="WFW24" s="497"/>
      <c r="WFX24" s="497"/>
      <c r="WFY24" s="497"/>
      <c r="WFZ24" s="497"/>
      <c r="WGA24" s="497"/>
      <c r="WGB24" s="497"/>
      <c r="WGC24" s="497"/>
      <c r="WGD24" s="497"/>
      <c r="WGE24" s="497"/>
      <c r="WGF24" s="497"/>
      <c r="WGG24" s="497"/>
      <c r="WGH24" s="497"/>
      <c r="WGI24" s="497"/>
      <c r="WGJ24" s="497"/>
      <c r="WGK24" s="497"/>
      <c r="WGL24" s="497"/>
      <c r="WGM24" s="497"/>
      <c r="WGN24" s="497"/>
      <c r="WGO24" s="497"/>
      <c r="WGP24" s="497"/>
      <c r="WGQ24" s="497"/>
      <c r="WGR24" s="497"/>
      <c r="WGS24" s="497"/>
      <c r="WGT24" s="497"/>
      <c r="WGU24" s="497"/>
      <c r="WGV24" s="497"/>
      <c r="WGW24" s="497"/>
      <c r="WGX24" s="497"/>
      <c r="WGY24" s="497"/>
      <c r="WGZ24" s="497"/>
      <c r="WHA24" s="497"/>
      <c r="WHB24" s="497"/>
      <c r="WHC24" s="497"/>
      <c r="WHD24" s="497"/>
      <c r="WHE24" s="497"/>
      <c r="WHF24" s="497"/>
      <c r="WHG24" s="497"/>
      <c r="WHH24" s="497"/>
      <c r="WHI24" s="497"/>
      <c r="WHJ24" s="497"/>
      <c r="WHK24" s="497"/>
      <c r="WHL24" s="497"/>
      <c r="WHM24" s="497"/>
      <c r="WHN24" s="497"/>
      <c r="WHO24" s="497"/>
      <c r="WHP24" s="497"/>
      <c r="WHQ24" s="497"/>
      <c r="WHR24" s="497"/>
      <c r="WHS24" s="497"/>
      <c r="WHT24" s="497"/>
      <c r="WHU24" s="497"/>
      <c r="WHV24" s="497"/>
      <c r="WHW24" s="497"/>
      <c r="WHX24" s="497"/>
      <c r="WHY24" s="497"/>
      <c r="WHZ24" s="497"/>
      <c r="WIA24" s="497"/>
      <c r="WIB24" s="497"/>
      <c r="WIC24" s="497"/>
      <c r="WID24" s="497"/>
      <c r="WIE24" s="497"/>
      <c r="WIF24" s="497"/>
      <c r="WIG24" s="497"/>
      <c r="WIH24" s="497"/>
      <c r="WII24" s="497"/>
      <c r="WIJ24" s="497"/>
      <c r="WIK24" s="497"/>
      <c r="WIL24" s="497"/>
      <c r="WIM24" s="497"/>
      <c r="WIN24" s="497"/>
      <c r="WIO24" s="497"/>
      <c r="WIP24" s="497"/>
      <c r="WIQ24" s="497"/>
      <c r="WIR24" s="497"/>
      <c r="WIS24" s="497"/>
      <c r="WIT24" s="497"/>
      <c r="WIU24" s="497"/>
      <c r="WIV24" s="497"/>
      <c r="WIW24" s="497"/>
      <c r="WIX24" s="497"/>
      <c r="WIY24" s="497"/>
      <c r="WIZ24" s="497"/>
      <c r="WJA24" s="497"/>
      <c r="WJB24" s="497"/>
      <c r="WJC24" s="497"/>
      <c r="WJD24" s="497"/>
      <c r="WJE24" s="497"/>
      <c r="WJF24" s="497"/>
      <c r="WJG24" s="497"/>
      <c r="WJH24" s="497"/>
      <c r="WJI24" s="497"/>
      <c r="WJJ24" s="497"/>
      <c r="WJK24" s="497"/>
      <c r="WJL24" s="497"/>
      <c r="WJM24" s="497"/>
      <c r="WJN24" s="497"/>
      <c r="WJO24" s="497"/>
      <c r="WJP24" s="497"/>
      <c r="WJQ24" s="497"/>
      <c r="WJR24" s="497"/>
      <c r="WJS24" s="497"/>
      <c r="WJT24" s="497"/>
      <c r="WJU24" s="497"/>
      <c r="WJV24" s="497"/>
      <c r="WJW24" s="497"/>
      <c r="WJX24" s="497"/>
      <c r="WJY24" s="497"/>
      <c r="WJZ24" s="497"/>
      <c r="WKA24" s="497"/>
      <c r="WKB24" s="497"/>
      <c r="WKC24" s="497"/>
      <c r="WKD24" s="497"/>
      <c r="WKE24" s="497"/>
      <c r="WKF24" s="497"/>
      <c r="WKG24" s="497"/>
      <c r="WKH24" s="497"/>
      <c r="WKI24" s="497"/>
      <c r="WKJ24" s="497"/>
      <c r="WKK24" s="497"/>
      <c r="WKL24" s="497"/>
      <c r="WKM24" s="497"/>
      <c r="WKN24" s="497"/>
      <c r="WKO24" s="497"/>
      <c r="WKP24" s="497"/>
      <c r="WKQ24" s="497"/>
      <c r="WKR24" s="497"/>
      <c r="WKS24" s="497"/>
      <c r="WKT24" s="497"/>
      <c r="WKU24" s="497"/>
      <c r="WKV24" s="497"/>
      <c r="WKW24" s="497"/>
      <c r="WKX24" s="497"/>
      <c r="WKY24" s="497"/>
      <c r="WKZ24" s="497"/>
      <c r="WLA24" s="497"/>
      <c r="WLB24" s="497"/>
      <c r="WLC24" s="497"/>
      <c r="WLD24" s="497"/>
      <c r="WLE24" s="497"/>
      <c r="WLF24" s="497"/>
      <c r="WLG24" s="497"/>
      <c r="WLH24" s="497"/>
      <c r="WLI24" s="497"/>
      <c r="WLJ24" s="497"/>
      <c r="WLK24" s="497"/>
      <c r="WLL24" s="497"/>
      <c r="WLM24" s="497"/>
      <c r="WLN24" s="497"/>
      <c r="WLO24" s="497"/>
      <c r="WLP24" s="497"/>
      <c r="WLQ24" s="497"/>
      <c r="WLR24" s="497"/>
      <c r="WLS24" s="497"/>
      <c r="WLT24" s="497"/>
      <c r="WLU24" s="497"/>
      <c r="WLV24" s="497"/>
      <c r="WLW24" s="497"/>
      <c r="WLX24" s="497"/>
      <c r="WLY24" s="497"/>
      <c r="WLZ24" s="497"/>
      <c r="WMA24" s="497"/>
      <c r="WMB24" s="497"/>
      <c r="WMC24" s="497"/>
      <c r="WMD24" s="497"/>
      <c r="WME24" s="497"/>
      <c r="WMF24" s="497"/>
      <c r="WMG24" s="497"/>
      <c r="WMH24" s="497"/>
      <c r="WMI24" s="497"/>
      <c r="WMJ24" s="497"/>
      <c r="WMK24" s="497"/>
      <c r="WML24" s="497"/>
      <c r="WMM24" s="497"/>
      <c r="WMN24" s="497"/>
      <c r="WMO24" s="497"/>
      <c r="WMP24" s="497"/>
      <c r="WMQ24" s="497"/>
      <c r="WMR24" s="497"/>
      <c r="WMS24" s="497"/>
      <c r="WMT24" s="497"/>
      <c r="WMU24" s="497"/>
      <c r="WMV24" s="497"/>
      <c r="WMW24" s="497"/>
      <c r="WMX24" s="497"/>
      <c r="WMY24" s="497"/>
      <c r="WMZ24" s="497"/>
      <c r="WNA24" s="497"/>
      <c r="WNB24" s="497"/>
      <c r="WNC24" s="497"/>
      <c r="WND24" s="497"/>
      <c r="WNE24" s="497"/>
      <c r="WNF24" s="497"/>
      <c r="WNG24" s="497"/>
      <c r="WNH24" s="497"/>
      <c r="WNI24" s="497"/>
      <c r="WNJ24" s="497"/>
      <c r="WNK24" s="497"/>
      <c r="WNL24" s="497"/>
      <c r="WNM24" s="497"/>
      <c r="WNN24" s="497"/>
      <c r="WNO24" s="497"/>
      <c r="WNP24" s="497"/>
      <c r="WNQ24" s="497"/>
      <c r="WNR24" s="497"/>
      <c r="WNS24" s="497"/>
      <c r="WNT24" s="497"/>
      <c r="WNU24" s="497"/>
      <c r="WNV24" s="497"/>
      <c r="WNW24" s="497"/>
      <c r="WNX24" s="497"/>
      <c r="WNY24" s="497"/>
      <c r="WNZ24" s="497"/>
      <c r="WOA24" s="497"/>
      <c r="WOB24" s="497"/>
      <c r="WOC24" s="497"/>
      <c r="WOD24" s="497"/>
      <c r="WOE24" s="497"/>
      <c r="WOF24" s="497"/>
      <c r="WOG24" s="497"/>
      <c r="WOH24" s="497"/>
      <c r="WOI24" s="497"/>
      <c r="WOJ24" s="497"/>
      <c r="WOK24" s="497"/>
      <c r="WOL24" s="497"/>
      <c r="WOM24" s="497"/>
      <c r="WON24" s="497"/>
      <c r="WOO24" s="497"/>
      <c r="WOP24" s="497"/>
      <c r="WOQ24" s="497"/>
      <c r="WOR24" s="497"/>
      <c r="WOS24" s="497"/>
      <c r="WOT24" s="497"/>
      <c r="WOU24" s="497"/>
      <c r="WOV24" s="497"/>
      <c r="WOW24" s="497"/>
      <c r="WOX24" s="497"/>
      <c r="WOY24" s="497"/>
      <c r="WOZ24" s="497"/>
      <c r="WPA24" s="497"/>
      <c r="WPB24" s="497"/>
      <c r="WPC24" s="497"/>
      <c r="WPD24" s="497"/>
      <c r="WPE24" s="497"/>
      <c r="WPF24" s="497"/>
      <c r="WPG24" s="497"/>
      <c r="WPH24" s="497"/>
      <c r="WPI24" s="497"/>
      <c r="WPJ24" s="497"/>
      <c r="WPK24" s="497"/>
      <c r="WPL24" s="497"/>
      <c r="WPM24" s="497"/>
      <c r="WPN24" s="497"/>
      <c r="WPO24" s="497"/>
      <c r="WPP24" s="497"/>
      <c r="WPQ24" s="497"/>
      <c r="WPR24" s="497"/>
      <c r="WPS24" s="497"/>
      <c r="WPT24" s="497"/>
      <c r="WPU24" s="497"/>
      <c r="WPV24" s="497"/>
      <c r="WPW24" s="497"/>
      <c r="WPX24" s="497"/>
      <c r="WPY24" s="497"/>
      <c r="WPZ24" s="497"/>
      <c r="WQA24" s="497"/>
      <c r="WQB24" s="497"/>
      <c r="WQC24" s="497"/>
      <c r="WQD24" s="497"/>
      <c r="WQE24" s="497"/>
      <c r="WQF24" s="497"/>
      <c r="WQG24" s="497"/>
      <c r="WQH24" s="497"/>
      <c r="WQI24" s="497"/>
      <c r="WQJ24" s="497"/>
      <c r="WQK24" s="497"/>
      <c r="WQL24" s="497"/>
      <c r="WQM24" s="497"/>
      <c r="WQN24" s="497"/>
      <c r="WQO24" s="497"/>
      <c r="WQP24" s="497"/>
      <c r="WQQ24" s="497"/>
      <c r="WQR24" s="497"/>
      <c r="WQS24" s="497"/>
      <c r="WQT24" s="497"/>
      <c r="WQU24" s="497"/>
      <c r="WQV24" s="497"/>
      <c r="WQW24" s="497"/>
      <c r="WQX24" s="497"/>
      <c r="WQY24" s="497"/>
      <c r="WQZ24" s="497"/>
      <c r="WRA24" s="497"/>
      <c r="WRB24" s="497"/>
      <c r="WRC24" s="497"/>
      <c r="WRD24" s="497"/>
      <c r="WRE24" s="497"/>
      <c r="WRF24" s="497"/>
      <c r="WRG24" s="497"/>
      <c r="WRH24" s="497"/>
      <c r="WRI24" s="497"/>
      <c r="WRJ24" s="497"/>
      <c r="WRK24" s="497"/>
      <c r="WRL24" s="497"/>
      <c r="WRM24" s="497"/>
      <c r="WRN24" s="497"/>
      <c r="WRO24" s="497"/>
      <c r="WRP24" s="497"/>
      <c r="WRQ24" s="497"/>
      <c r="WRR24" s="497"/>
      <c r="WRS24" s="497"/>
      <c r="WRT24" s="497"/>
      <c r="WRU24" s="497"/>
      <c r="WRV24" s="497"/>
      <c r="WRW24" s="497"/>
      <c r="WRX24" s="497"/>
      <c r="WRY24" s="497"/>
      <c r="WRZ24" s="497"/>
      <c r="WSA24" s="497"/>
      <c r="WSB24" s="497"/>
      <c r="WSC24" s="497"/>
      <c r="WSD24" s="497"/>
      <c r="WSE24" s="497"/>
      <c r="WSF24" s="497"/>
      <c r="WSG24" s="497"/>
      <c r="WSH24" s="497"/>
      <c r="WSI24" s="497"/>
      <c r="WSJ24" s="497"/>
      <c r="WSK24" s="497"/>
      <c r="WSL24" s="497"/>
      <c r="WSM24" s="497"/>
      <c r="WSN24" s="497"/>
      <c r="WSO24" s="497"/>
      <c r="WSP24" s="497"/>
      <c r="WSQ24" s="497"/>
      <c r="WSR24" s="497"/>
      <c r="WSS24" s="497"/>
      <c r="WST24" s="497"/>
      <c r="WSU24" s="497"/>
      <c r="WSV24" s="497"/>
      <c r="WSW24" s="497"/>
      <c r="WSX24" s="497"/>
      <c r="WSY24" s="497"/>
      <c r="WSZ24" s="497"/>
      <c r="WTA24" s="497"/>
      <c r="WTB24" s="497"/>
      <c r="WTC24" s="497"/>
      <c r="WTD24" s="497"/>
      <c r="WTE24" s="497"/>
      <c r="WTF24" s="497"/>
      <c r="WTG24" s="497"/>
      <c r="WTH24" s="497"/>
      <c r="WTI24" s="497"/>
      <c r="WTJ24" s="497"/>
      <c r="WTK24" s="497"/>
      <c r="WTL24" s="497"/>
      <c r="WTM24" s="497"/>
      <c r="WTN24" s="497"/>
      <c r="WTO24" s="497"/>
      <c r="WTP24" s="497"/>
      <c r="WTQ24" s="497"/>
      <c r="WTR24" s="497"/>
      <c r="WTS24" s="497"/>
      <c r="WTT24" s="497"/>
      <c r="WTU24" s="497"/>
      <c r="WTV24" s="497"/>
      <c r="WTW24" s="497"/>
      <c r="WTX24" s="497"/>
      <c r="WTY24" s="497"/>
      <c r="WTZ24" s="497"/>
      <c r="WUA24" s="497"/>
      <c r="WUB24" s="497"/>
      <c r="WUC24" s="497"/>
      <c r="WUD24" s="497"/>
      <c r="WUE24" s="497"/>
      <c r="WUF24" s="497"/>
      <c r="WUG24" s="497"/>
      <c r="WUH24" s="497"/>
      <c r="WUI24" s="497"/>
      <c r="WUJ24" s="497"/>
      <c r="WUK24" s="497"/>
      <c r="WUL24" s="497"/>
      <c r="WUM24" s="497"/>
      <c r="WUN24" s="497"/>
      <c r="WUO24" s="497"/>
      <c r="WUP24" s="497"/>
      <c r="WUQ24" s="497"/>
      <c r="WUR24" s="497"/>
      <c r="WUS24" s="497"/>
      <c r="WUT24" s="497"/>
      <c r="WUU24" s="497"/>
      <c r="WUV24" s="497"/>
      <c r="WUW24" s="497"/>
      <c r="WUX24" s="497"/>
      <c r="WUY24" s="497"/>
      <c r="WUZ24" s="497"/>
      <c r="WVA24" s="497"/>
      <c r="WVB24" s="497"/>
      <c r="WVC24" s="497"/>
      <c r="WVD24" s="497"/>
      <c r="WVE24" s="497"/>
      <c r="WVF24" s="497"/>
      <c r="WVG24" s="497"/>
      <c r="WVH24" s="497"/>
      <c r="WVI24" s="497"/>
      <c r="WVJ24" s="497"/>
      <c r="WVK24" s="497"/>
      <c r="WVL24" s="497"/>
      <c r="WVM24" s="497"/>
      <c r="WVN24" s="497"/>
      <c r="WVO24" s="497"/>
      <c r="WVP24" s="497"/>
      <c r="WVQ24" s="497"/>
      <c r="WVR24" s="497"/>
      <c r="WVS24" s="497"/>
      <c r="WVT24" s="497"/>
      <c r="WVU24" s="497"/>
      <c r="WVV24" s="497"/>
      <c r="WVW24" s="497"/>
      <c r="WVX24" s="497"/>
      <c r="WVY24" s="497"/>
      <c r="WVZ24" s="497"/>
      <c r="WWA24" s="497"/>
      <c r="WWB24" s="497"/>
      <c r="WWC24" s="497"/>
      <c r="WWD24" s="497"/>
      <c r="WWE24" s="497"/>
      <c r="WWF24" s="497"/>
      <c r="WWG24" s="497"/>
      <c r="WWH24" s="497"/>
      <c r="WWI24" s="497"/>
      <c r="WWJ24" s="497"/>
      <c r="WWK24" s="497"/>
      <c r="WWL24" s="497"/>
      <c r="WWM24" s="497"/>
      <c r="WWN24" s="497"/>
      <c r="WWO24" s="497"/>
      <c r="WWP24" s="497"/>
      <c r="WWQ24" s="497"/>
      <c r="WWR24" s="497"/>
      <c r="WWS24" s="497"/>
      <c r="WWT24" s="497"/>
      <c r="WWU24" s="497"/>
      <c r="WWV24" s="497"/>
      <c r="WWW24" s="497"/>
      <c r="WWX24" s="497"/>
      <c r="WWY24" s="497"/>
      <c r="WWZ24" s="497"/>
      <c r="WXA24" s="497"/>
      <c r="WXB24" s="497"/>
      <c r="WXC24" s="497"/>
      <c r="WXD24" s="497"/>
      <c r="WXE24" s="497"/>
      <c r="WXF24" s="497"/>
      <c r="WXG24" s="497"/>
      <c r="WXH24" s="497"/>
      <c r="WXI24" s="497"/>
      <c r="WXJ24" s="497"/>
      <c r="WXK24" s="497"/>
      <c r="WXL24" s="497"/>
      <c r="WXM24" s="497"/>
      <c r="WXN24" s="497"/>
      <c r="WXO24" s="497"/>
      <c r="WXP24" s="497"/>
      <c r="WXQ24" s="497"/>
      <c r="WXR24" s="497"/>
      <c r="WXS24" s="497"/>
      <c r="WXT24" s="497"/>
      <c r="WXU24" s="497"/>
      <c r="WXV24" s="497"/>
      <c r="WXW24" s="497"/>
      <c r="WXX24" s="497"/>
      <c r="WXY24" s="497"/>
      <c r="WXZ24" s="497"/>
      <c r="WYA24" s="497"/>
      <c r="WYB24" s="497"/>
      <c r="WYC24" s="497"/>
      <c r="WYD24" s="497"/>
      <c r="WYE24" s="497"/>
      <c r="WYF24" s="497"/>
      <c r="WYG24" s="497"/>
      <c r="WYH24" s="497"/>
      <c r="WYI24" s="497"/>
      <c r="WYJ24" s="497"/>
      <c r="WYK24" s="497"/>
      <c r="WYL24" s="497"/>
      <c r="WYM24" s="497"/>
      <c r="WYN24" s="497"/>
      <c r="WYO24" s="497"/>
      <c r="WYP24" s="497"/>
      <c r="WYQ24" s="497"/>
      <c r="WYR24" s="497"/>
      <c r="WYS24" s="497"/>
      <c r="WYT24" s="497"/>
      <c r="WYU24" s="497"/>
      <c r="WYV24" s="497"/>
      <c r="WYW24" s="497"/>
      <c r="WYX24" s="497"/>
      <c r="WYY24" s="497"/>
      <c r="WYZ24" s="497"/>
      <c r="WZA24" s="497"/>
      <c r="WZB24" s="497"/>
      <c r="WZC24" s="497"/>
      <c r="WZD24" s="497"/>
      <c r="WZE24" s="497"/>
      <c r="WZF24" s="497"/>
      <c r="WZG24" s="497"/>
      <c r="WZH24" s="497"/>
      <c r="WZI24" s="497"/>
      <c r="WZJ24" s="497"/>
      <c r="WZK24" s="497"/>
      <c r="WZL24" s="497"/>
      <c r="WZM24" s="497"/>
      <c r="WZN24" s="497"/>
      <c r="WZO24" s="497"/>
      <c r="WZP24" s="497"/>
      <c r="WZQ24" s="497"/>
      <c r="WZR24" s="497"/>
      <c r="WZS24" s="497"/>
      <c r="WZT24" s="497"/>
      <c r="WZU24" s="497"/>
      <c r="WZV24" s="497"/>
      <c r="WZW24" s="497"/>
      <c r="WZX24" s="497"/>
      <c r="WZY24" s="497"/>
      <c r="WZZ24" s="497"/>
      <c r="XAA24" s="497"/>
      <c r="XAB24" s="497"/>
      <c r="XAC24" s="497"/>
      <c r="XAD24" s="497"/>
      <c r="XAE24" s="497"/>
      <c r="XAF24" s="497"/>
      <c r="XAG24" s="497"/>
      <c r="XAH24" s="497"/>
      <c r="XAI24" s="497"/>
      <c r="XAJ24" s="497"/>
      <c r="XAK24" s="497"/>
      <c r="XAL24" s="497"/>
      <c r="XAM24" s="497"/>
      <c r="XAN24" s="497"/>
      <c r="XAO24" s="497"/>
      <c r="XAP24" s="497"/>
      <c r="XAQ24" s="497"/>
      <c r="XAR24" s="497"/>
      <c r="XAS24" s="497"/>
      <c r="XAT24" s="497"/>
      <c r="XAU24" s="497"/>
      <c r="XAV24" s="497"/>
      <c r="XAW24" s="497"/>
      <c r="XAX24" s="497"/>
      <c r="XAY24" s="497"/>
      <c r="XAZ24" s="497"/>
      <c r="XBA24" s="497"/>
      <c r="XBB24" s="497"/>
      <c r="XBC24" s="497"/>
      <c r="XBD24" s="497"/>
      <c r="XBE24" s="497"/>
      <c r="XBF24" s="497"/>
      <c r="XBG24" s="497"/>
      <c r="XBH24" s="497"/>
      <c r="XBI24" s="497"/>
      <c r="XBJ24" s="497"/>
      <c r="XBK24" s="497"/>
      <c r="XBL24" s="497"/>
      <c r="XBM24" s="497"/>
      <c r="XBN24" s="497"/>
      <c r="XBO24" s="497"/>
      <c r="XBP24" s="497"/>
      <c r="XBQ24" s="497"/>
      <c r="XBR24" s="497"/>
      <c r="XBS24" s="497"/>
      <c r="XBT24" s="497"/>
      <c r="XBU24" s="497"/>
      <c r="XBV24" s="497"/>
      <c r="XBW24" s="497"/>
      <c r="XBX24" s="497"/>
      <c r="XBY24" s="497"/>
      <c r="XBZ24" s="497"/>
      <c r="XCA24" s="497"/>
      <c r="XCB24" s="497"/>
      <c r="XCC24" s="497"/>
      <c r="XCD24" s="497"/>
      <c r="XCE24" s="497"/>
      <c r="XCF24" s="497"/>
      <c r="XCG24" s="497"/>
      <c r="XCH24" s="497"/>
      <c r="XCI24" s="497"/>
      <c r="XCJ24" s="497"/>
      <c r="XCK24" s="497"/>
      <c r="XCL24" s="497"/>
      <c r="XCM24" s="497"/>
      <c r="XCN24" s="497"/>
      <c r="XCO24" s="497"/>
      <c r="XCP24" s="497"/>
      <c r="XCQ24" s="497"/>
      <c r="XCR24" s="497"/>
      <c r="XCS24" s="497"/>
      <c r="XCT24" s="497"/>
      <c r="XCU24" s="497"/>
      <c r="XCV24" s="497"/>
      <c r="XCW24" s="497"/>
      <c r="XCX24" s="497"/>
      <c r="XCY24" s="497"/>
      <c r="XCZ24" s="497"/>
      <c r="XDA24" s="497"/>
      <c r="XDB24" s="497"/>
      <c r="XDC24" s="497"/>
      <c r="XDD24" s="497"/>
      <c r="XDE24" s="497"/>
      <c r="XDF24" s="497"/>
      <c r="XDG24" s="497"/>
      <c r="XDH24" s="497"/>
      <c r="XDI24" s="497"/>
      <c r="XDJ24" s="497"/>
      <c r="XDK24" s="497"/>
      <c r="XDL24" s="497"/>
      <c r="XDM24" s="497"/>
      <c r="XDN24" s="497"/>
      <c r="XDO24" s="497"/>
      <c r="XDP24" s="497"/>
      <c r="XDQ24" s="497"/>
      <c r="XDR24" s="497"/>
      <c r="XDS24" s="497"/>
      <c r="XDT24" s="497"/>
      <c r="XDU24" s="497"/>
      <c r="XDV24" s="497"/>
      <c r="XDW24" s="497"/>
      <c r="XDX24" s="497"/>
      <c r="XDY24" s="497"/>
      <c r="XDZ24" s="497"/>
      <c r="XEA24" s="497"/>
      <c r="XEB24" s="497"/>
      <c r="XEC24" s="497"/>
      <c r="XED24" s="497"/>
      <c r="XEE24" s="497"/>
      <c r="XEF24" s="497"/>
      <c r="XEG24" s="497"/>
      <c r="XEH24" s="497"/>
      <c r="XEI24" s="497"/>
      <c r="XEJ24" s="497"/>
      <c r="XEK24" s="497"/>
      <c r="XEL24" s="497"/>
      <c r="XEM24" s="497"/>
      <c r="XEN24" s="497"/>
      <c r="XEO24" s="497"/>
      <c r="XEP24" s="497"/>
      <c r="XEQ24" s="497"/>
      <c r="XER24" s="497"/>
      <c r="XES24" s="497"/>
      <c r="XET24" s="497"/>
      <c r="XEU24" s="497"/>
      <c r="XEV24" s="497"/>
      <c r="XEW24" s="497"/>
      <c r="XEX24" s="497"/>
      <c r="XEY24" s="497"/>
      <c r="XEZ24" s="497"/>
      <c r="XFA24" s="497"/>
      <c r="XFB24" s="497"/>
    </row>
    <row r="25" spans="1:16382" s="234" customFormat="1" ht="34.5" thickBot="1" x14ac:dyDescent="0.55000000000000004">
      <c r="A25" s="292" t="s">
        <v>983</v>
      </c>
    </row>
    <row r="26" spans="1:16382" s="234" customFormat="1" ht="16.5" customHeight="1" x14ac:dyDescent="0.5">
      <c r="A26" s="486" t="str">
        <f xml:space="preserve"> CONCATENATE("Geselecteerde situatie is: ",'A1 Algemene resultaten'!B51)</f>
        <v>Geselecteerde situatie is: Uitgangssituatie (huidig beleid gehaald, geen nieuw beleid)</v>
      </c>
    </row>
    <row r="27" spans="1:16382" s="234" customFormat="1" x14ac:dyDescent="0.5">
      <c r="A27" s="487"/>
    </row>
    <row r="28" spans="1:16382" s="234" customFormat="1" x14ac:dyDescent="0.5">
      <c r="A28" s="487"/>
    </row>
    <row r="29" spans="1:16382" s="234" customFormat="1" ht="17.5" thickBot="1" x14ac:dyDescent="0.55000000000000004">
      <c r="A29" s="488"/>
    </row>
    <row r="30" spans="1:16382" ht="17.5" thickBot="1" x14ac:dyDescent="0.55000000000000004"/>
    <row r="31" spans="1:16382" x14ac:dyDescent="0.5">
      <c r="A31" s="238" t="s">
        <v>5</v>
      </c>
      <c r="B31" s="239"/>
      <c r="C31" s="239"/>
      <c r="D31" s="239"/>
      <c r="E31" s="236" t="s">
        <v>796</v>
      </c>
    </row>
    <row r="32" spans="1:16382" x14ac:dyDescent="0.5">
      <c r="A32" s="22" t="s">
        <v>8</v>
      </c>
      <c r="B32"/>
      <c r="C32"/>
      <c r="D32" s="21"/>
      <c r="E32" s="63">
        <f>MROUND('A1 Algemene resultaten'!H59,10)</f>
        <v>1070</v>
      </c>
    </row>
    <row r="33" spans="1:5" x14ac:dyDescent="0.5">
      <c r="A33" s="22" t="s">
        <v>12</v>
      </c>
      <c r="B33"/>
      <c r="C33"/>
      <c r="D33" s="21">
        <f>MROUND(D32+E32,10)</f>
        <v>1070</v>
      </c>
      <c r="E33" s="63">
        <f>MROUND('A1 Algemene resultaten'!H58,10)</f>
        <v>370</v>
      </c>
    </row>
    <row r="34" spans="1:5" x14ac:dyDescent="0.5">
      <c r="A34" s="22" t="s">
        <v>10</v>
      </c>
      <c r="B34"/>
      <c r="C34"/>
      <c r="D34" s="21">
        <f>MROUND(D33+E33,10)</f>
        <v>1440</v>
      </c>
      <c r="E34" s="63">
        <f>MROUND('A1 Algemene resultaten'!H60,10)</f>
        <v>310</v>
      </c>
    </row>
    <row r="35" spans="1:5" x14ac:dyDescent="0.5">
      <c r="A35" s="22" t="s">
        <v>9</v>
      </c>
      <c r="B35"/>
      <c r="C35"/>
      <c r="D35" s="21">
        <f>MROUND(D34+E34,10)</f>
        <v>1750</v>
      </c>
      <c r="E35" s="63">
        <f>MROUND('A1 Algemene resultaten'!H57,10)</f>
        <v>70</v>
      </c>
    </row>
    <row r="36" spans="1:5" x14ac:dyDescent="0.5">
      <c r="A36" s="22" t="s">
        <v>7</v>
      </c>
      <c r="B36"/>
      <c r="C36"/>
      <c r="D36" s="21">
        <f>MROUND(D35+E35,10)</f>
        <v>1820</v>
      </c>
      <c r="E36" s="63">
        <f>MROUND('A1 Algemene resultaten'!H55,10)</f>
        <v>40</v>
      </c>
    </row>
    <row r="37" spans="1:5" ht="17.5" thickBot="1" x14ac:dyDescent="0.55000000000000004">
      <c r="A37" s="22" t="s">
        <v>11</v>
      </c>
      <c r="B37"/>
      <c r="C37"/>
      <c r="D37" s="21">
        <f>MROUND(D36+E36,10)</f>
        <v>1860</v>
      </c>
      <c r="E37" s="63">
        <f>MROUND('A1 Algemene resultaten'!H56,10)</f>
        <v>30</v>
      </c>
    </row>
    <row r="38" spans="1:5" ht="17.5" thickBot="1" x14ac:dyDescent="0.55000000000000004">
      <c r="A38" s="249" t="str">
        <f>CONCATENATE("Potentiële opbrengsten digitale zorg ", 'A1 Algemene resultaten'!B49)</f>
        <v>Potentiële opbrengsten digitale zorg 2028</v>
      </c>
      <c r="B38" s="99"/>
      <c r="C38" s="99">
        <f>SUM(E32:E37)</f>
        <v>1890</v>
      </c>
      <c r="D38" s="247"/>
      <c r="E38" s="248"/>
    </row>
    <row r="40" spans="1:5" s="489" customFormat="1" ht="17.5" thickBot="1" x14ac:dyDescent="0.55000000000000004">
      <c r="A40" s="489" t="str">
        <f>CONCATENATE("Wijzigingen opbrengsten digitale zorg ",'A1 Algemene resultaten'!B49, IF('A1 Algemene resultaten'!B51= "Huidig beleid gehaald + 3 nieuwe beleidsmaatregelen"," bij slagen huidig beleid en invoeren nieuw beleid", " bij niet slagen huidig beleid"))</f>
        <v>Wijzigingen opbrengsten digitale zorg 2028 bij niet slagen huidig beleid</v>
      </c>
    </row>
    <row r="41" spans="1:5" s="196" customFormat="1" ht="34.5" thickBot="1" x14ac:dyDescent="0.55000000000000004">
      <c r="A41" s="292" t="s">
        <v>983</v>
      </c>
    </row>
    <row r="42" spans="1:5" s="196" customFormat="1" ht="17.149999999999999" customHeight="1" x14ac:dyDescent="0.5">
      <c r="A42" s="486" t="str">
        <f xml:space="preserve"> CONCATENATE("Geselecteerde situatie is: ",'A1 Algemene resultaten'!B51)</f>
        <v>Geselecteerde situatie is: Uitgangssituatie (huidig beleid gehaald, geen nieuw beleid)</v>
      </c>
    </row>
    <row r="43" spans="1:5" s="196" customFormat="1" x14ac:dyDescent="0.5">
      <c r="A43" s="487"/>
    </row>
    <row r="44" spans="1:5" s="196" customFormat="1" x14ac:dyDescent="0.5">
      <c r="A44" s="487"/>
    </row>
    <row r="45" spans="1:5" s="196" customFormat="1" ht="17.5" thickBot="1" x14ac:dyDescent="0.55000000000000004">
      <c r="A45" s="488"/>
    </row>
    <row r="46" spans="1:5" s="196" customFormat="1" ht="17.5" thickBot="1" x14ac:dyDescent="0.55000000000000004"/>
    <row r="47" spans="1:5" x14ac:dyDescent="0.5">
      <c r="A47" s="238" t="str">
        <f>CONCATENATE("Verschil opbrengsten digitale zorg ", 'A1 Algemene resultaten'!B49, IF('A1 Algemene resultaten'!B51="Huidig beleid gehaald + 3 nieuwe beleidsmaatregelen"," bij het halen extra beleidsmaatregelen", " door niet halen huidige beleidsmaatregelen"))</f>
        <v>Verschil opbrengsten digitale zorg 2028 door niet halen huidige beleidsmaatregelen</v>
      </c>
      <c r="B47" s="239"/>
      <c r="C47" s="239"/>
      <c r="D47" s="239"/>
      <c r="E47" s="241"/>
    </row>
    <row r="48" spans="1:5" x14ac:dyDescent="0.5">
      <c r="A48" s="70"/>
      <c r="B48" s="202" t="s">
        <v>767</v>
      </c>
      <c r="C48" s="202" t="s">
        <v>774</v>
      </c>
      <c r="D48" s="202"/>
      <c r="E48" s="242" t="str">
        <f>IF('A1 Algemene resultaten'!B51="Huidig beleid gehaald + 3 nieuwe beleidsmaatregelen","Toename","Afname")</f>
        <v>Afname</v>
      </c>
    </row>
    <row r="49" spans="1:16382" x14ac:dyDescent="0.5">
      <c r="A49" s="81" t="str">
        <f>CONCATENATE("Mogelijke opbrengsten digitale zorg ", 'A1 Algemene resultaten'!B49)</f>
        <v>Mogelijke opbrengsten digitale zorg 2028</v>
      </c>
      <c r="B49" s="240">
        <f>MROUND('A1 Algemene resultaten'!$M$13,10)</f>
        <v>800</v>
      </c>
      <c r="C49" s="71">
        <f>MROUND((SUMIFS(uitkomst_veld[Arbeidsbesparing (€/jaar)],uitkomst_veld[Jaar],'A1 Algemene resultaten'!B49,uitkomst_veld[Uitgangssituatie/effect beleid],"Uitgangssituatie")+SUMIFS(uitkomst_veld[Overige besparingen],uitkomst_veld[Jaar],'A1 Algemene resultaten'!B49,uitkomst_veld[Uitgangssituatie/effect beleid],"Uitgangssituatie"))/1000000-B49,10)</f>
        <v>1100</v>
      </c>
      <c r="D49" s="83"/>
      <c r="E49" s="243"/>
    </row>
    <row r="50" spans="1:16382" x14ac:dyDescent="0.5">
      <c r="A50" s="84" t="str">
        <f>'A1 Algemene resultaten'!B51</f>
        <v>Uitgangssituatie (huidig beleid gehaald, geen nieuw beleid)</v>
      </c>
      <c r="B50" s="240"/>
      <c r="C50" s="71"/>
      <c r="D50" s="71">
        <f>IF('A1 Algemene resultaten'!B51="Huidig beleid gehaald + 3 nieuwe beleidsmaatregelen",B49+C49,MROUND('A1 Algemene resultaten'!H61,10))</f>
        <v>1900</v>
      </c>
      <c r="E50" s="76">
        <f>IF('A1 Algemene resultaten'!B51="Huidig beleid gehaald + 3 nieuwe beleidsmaatregelen",'A1 Algemene resultaten'!H61-D50,B49+C49-D50)</f>
        <v>0</v>
      </c>
    </row>
    <row r="51" spans="1:16382" ht="17.5" thickBot="1" x14ac:dyDescent="0.55000000000000004">
      <c r="A51" s="82" t="str">
        <f>CONCATENATE("Opbrengsten digitale zorg ", 'A1 Algemene resultaten'!B49)</f>
        <v>Opbrengsten digitale zorg 2028</v>
      </c>
      <c r="B51" s="92">
        <f>B49</f>
        <v>800</v>
      </c>
      <c r="C51" s="77">
        <f>MROUND('A1 Algemene resultaten'!H61-B51,10)</f>
        <v>1100</v>
      </c>
      <c r="D51" s="77"/>
      <c r="E51" s="78"/>
    </row>
    <row r="53" spans="1:16382" customFormat="1" ht="17.5" thickBot="1" x14ac:dyDescent="0.55000000000000004">
      <c r="A53" s="489" t="str">
        <f>CONCATENATE("Wijzigingen opbrengsten ",'A1 Algemene resultaten'!B49," bij realiseren doelstellingen gegevensuitwisseling in geselecteerde situatie")</f>
        <v>Wijzigingen opbrengsten 2028 bij realiseren doelstellingen gegevensuitwisseling in geselecteerde situatie</v>
      </c>
      <c r="B53" s="489"/>
      <c r="C53" s="489"/>
      <c r="D53" s="489"/>
      <c r="E53" s="489"/>
      <c r="F53" s="489"/>
      <c r="G53" s="489"/>
      <c r="H53" s="489"/>
      <c r="I53" s="489"/>
      <c r="J53" s="489"/>
      <c r="K53" s="489"/>
      <c r="L53" s="489"/>
      <c r="M53" s="489"/>
      <c r="N53" s="489"/>
      <c r="O53" s="489"/>
      <c r="P53" s="489"/>
      <c r="Q53" s="489"/>
      <c r="R53" s="489"/>
      <c r="S53" s="489"/>
      <c r="T53" s="489"/>
      <c r="U53" s="489"/>
      <c r="V53" s="489"/>
      <c r="W53" s="489"/>
      <c r="X53" s="489"/>
      <c r="Y53" s="489"/>
      <c r="Z53" s="489"/>
      <c r="AA53" s="489"/>
      <c r="AB53" s="489"/>
      <c r="AC53" s="489"/>
      <c r="AD53" s="489"/>
      <c r="AE53" s="489"/>
      <c r="AF53" s="489"/>
      <c r="AG53" s="489"/>
      <c r="AH53" s="489"/>
      <c r="AI53" s="489"/>
      <c r="AJ53" s="489"/>
      <c r="AK53" s="489"/>
      <c r="AL53" s="489"/>
      <c r="AM53" s="489"/>
      <c r="AN53" s="489"/>
      <c r="AO53" s="489"/>
      <c r="AP53" s="489"/>
      <c r="AQ53" s="489"/>
      <c r="AR53" s="489"/>
      <c r="AS53" s="489"/>
      <c r="AT53" s="489"/>
      <c r="AU53" s="489"/>
      <c r="AV53" s="489"/>
      <c r="AW53" s="489"/>
      <c r="AX53" s="489"/>
      <c r="AY53" s="489"/>
      <c r="AZ53" s="489"/>
      <c r="BA53" s="489"/>
      <c r="BB53" s="489"/>
      <c r="BC53" s="489"/>
      <c r="BD53" s="489"/>
      <c r="BE53" s="489"/>
      <c r="BF53" s="489"/>
      <c r="BG53" s="489"/>
      <c r="BH53" s="489"/>
      <c r="BI53" s="489"/>
      <c r="BJ53" s="489"/>
      <c r="BK53" s="489"/>
      <c r="BL53" s="489"/>
      <c r="BM53" s="489"/>
      <c r="BN53" s="489"/>
      <c r="BO53" s="489"/>
      <c r="BP53" s="489"/>
      <c r="BQ53" s="489"/>
      <c r="BR53" s="489"/>
      <c r="BS53" s="489"/>
      <c r="BT53" s="489"/>
      <c r="BU53" s="489"/>
      <c r="BV53" s="489"/>
      <c r="BW53" s="489"/>
      <c r="BX53" s="489"/>
      <c r="BY53" s="489"/>
      <c r="BZ53" s="489"/>
      <c r="CA53" s="489"/>
      <c r="CB53" s="489"/>
      <c r="CC53" s="489"/>
      <c r="CD53" s="489"/>
      <c r="CE53" s="489"/>
      <c r="CF53" s="489"/>
      <c r="CG53" s="489"/>
      <c r="CH53" s="489"/>
      <c r="CI53" s="489"/>
      <c r="CJ53" s="489"/>
      <c r="CK53" s="489"/>
      <c r="CL53" s="489"/>
      <c r="CM53" s="489"/>
      <c r="CN53" s="489"/>
      <c r="CO53" s="489"/>
      <c r="CP53" s="489"/>
      <c r="CQ53" s="489"/>
      <c r="CR53" s="489"/>
      <c r="CS53" s="489"/>
      <c r="CT53" s="489"/>
      <c r="CU53" s="489"/>
      <c r="CV53" s="489"/>
      <c r="CW53" s="489"/>
      <c r="CX53" s="489"/>
      <c r="CY53" s="489"/>
      <c r="CZ53" s="489"/>
      <c r="DA53" s="489"/>
      <c r="DB53" s="489"/>
      <c r="DC53" s="489"/>
      <c r="DD53" s="489"/>
      <c r="DE53" s="489"/>
      <c r="DF53" s="489"/>
      <c r="DG53" s="489"/>
      <c r="DH53" s="489"/>
      <c r="DI53" s="489"/>
      <c r="DJ53" s="489"/>
      <c r="DK53" s="489"/>
      <c r="DL53" s="489"/>
      <c r="DM53" s="489"/>
      <c r="DN53" s="489"/>
      <c r="DO53" s="489"/>
      <c r="DP53" s="489"/>
      <c r="DQ53" s="489"/>
      <c r="DR53" s="489"/>
      <c r="DS53" s="489"/>
      <c r="DT53" s="489"/>
      <c r="DU53" s="489"/>
      <c r="DV53" s="489"/>
      <c r="DW53" s="489"/>
      <c r="DX53" s="489"/>
      <c r="DY53" s="489"/>
      <c r="DZ53" s="489"/>
      <c r="EA53" s="489"/>
      <c r="EB53" s="489"/>
      <c r="EC53" s="489"/>
      <c r="ED53" s="489"/>
      <c r="EE53" s="489"/>
      <c r="EF53" s="489"/>
      <c r="EG53" s="489"/>
      <c r="EH53" s="489"/>
      <c r="EI53" s="489"/>
      <c r="EJ53" s="489"/>
      <c r="EK53" s="489"/>
      <c r="EL53" s="489"/>
      <c r="EM53" s="489"/>
      <c r="EN53" s="489"/>
      <c r="EO53" s="489"/>
      <c r="EP53" s="489"/>
      <c r="EQ53" s="489"/>
      <c r="ER53" s="489"/>
      <c r="ES53" s="489"/>
      <c r="ET53" s="489"/>
      <c r="EU53" s="489"/>
      <c r="EV53" s="489"/>
      <c r="EW53" s="489"/>
      <c r="EX53" s="489"/>
      <c r="EY53" s="489"/>
      <c r="EZ53" s="489"/>
      <c r="FA53" s="489"/>
      <c r="FB53" s="489"/>
      <c r="FC53" s="489"/>
      <c r="FD53" s="489"/>
      <c r="FE53" s="489"/>
      <c r="FF53" s="489"/>
      <c r="FG53" s="489"/>
      <c r="FH53" s="489"/>
      <c r="FI53" s="489"/>
      <c r="FJ53" s="489"/>
      <c r="FK53" s="489"/>
      <c r="FL53" s="489"/>
      <c r="FM53" s="489"/>
      <c r="FN53" s="489"/>
      <c r="FO53" s="489"/>
      <c r="FP53" s="489"/>
      <c r="FQ53" s="489"/>
      <c r="FR53" s="489"/>
      <c r="FS53" s="489"/>
      <c r="FT53" s="489"/>
      <c r="FU53" s="489"/>
      <c r="FV53" s="489"/>
      <c r="FW53" s="489"/>
      <c r="FX53" s="489"/>
      <c r="FY53" s="489"/>
      <c r="FZ53" s="489"/>
      <c r="GA53" s="489"/>
      <c r="GB53" s="489"/>
      <c r="GC53" s="489"/>
      <c r="GD53" s="489"/>
      <c r="GE53" s="489"/>
      <c r="GF53" s="489"/>
      <c r="GG53" s="489"/>
      <c r="GH53" s="489"/>
      <c r="GI53" s="489"/>
      <c r="GJ53" s="489"/>
      <c r="GK53" s="489"/>
      <c r="GL53" s="489"/>
      <c r="GM53" s="489"/>
      <c r="GN53" s="489"/>
      <c r="GO53" s="489"/>
      <c r="GP53" s="489"/>
      <c r="GQ53" s="489"/>
      <c r="GR53" s="489"/>
      <c r="GS53" s="489"/>
      <c r="GT53" s="489"/>
      <c r="GU53" s="489"/>
      <c r="GV53" s="489"/>
      <c r="GW53" s="489"/>
      <c r="GX53" s="489"/>
      <c r="GY53" s="489"/>
      <c r="GZ53" s="489"/>
      <c r="HA53" s="489"/>
      <c r="HB53" s="489"/>
      <c r="HC53" s="489"/>
      <c r="HD53" s="489"/>
      <c r="HE53" s="489"/>
      <c r="HF53" s="489"/>
      <c r="HG53" s="489"/>
      <c r="HH53" s="489"/>
      <c r="HI53" s="489"/>
      <c r="HJ53" s="489"/>
      <c r="HK53" s="489"/>
      <c r="HL53" s="489"/>
      <c r="HM53" s="489"/>
      <c r="HN53" s="489"/>
      <c r="HO53" s="489"/>
      <c r="HP53" s="489"/>
      <c r="HQ53" s="489"/>
      <c r="HR53" s="489"/>
      <c r="HS53" s="489"/>
      <c r="HT53" s="489"/>
      <c r="HU53" s="489"/>
      <c r="HV53" s="489"/>
      <c r="HW53" s="489"/>
      <c r="HX53" s="489"/>
      <c r="HY53" s="489"/>
      <c r="HZ53" s="489"/>
      <c r="IA53" s="489"/>
      <c r="IB53" s="489"/>
      <c r="IC53" s="489"/>
      <c r="ID53" s="489"/>
      <c r="IE53" s="489"/>
      <c r="IF53" s="489"/>
      <c r="IG53" s="489"/>
      <c r="IH53" s="489"/>
      <c r="II53" s="489"/>
      <c r="IJ53" s="489"/>
      <c r="IK53" s="489"/>
      <c r="IL53" s="489"/>
      <c r="IM53" s="489"/>
      <c r="IN53" s="489"/>
      <c r="IO53" s="489"/>
      <c r="IP53" s="489"/>
      <c r="IQ53" s="489"/>
      <c r="IR53" s="489"/>
      <c r="IS53" s="489"/>
      <c r="IT53" s="489"/>
      <c r="IU53" s="489"/>
      <c r="IV53" s="489"/>
      <c r="IW53" s="489"/>
      <c r="IX53" s="489"/>
      <c r="IY53" s="489"/>
      <c r="IZ53" s="489"/>
      <c r="JA53" s="489"/>
      <c r="JB53" s="489"/>
      <c r="JC53" s="489"/>
      <c r="JD53" s="489"/>
      <c r="JE53" s="489"/>
      <c r="JF53" s="489"/>
      <c r="JG53" s="489"/>
      <c r="JH53" s="489"/>
      <c r="JI53" s="489"/>
      <c r="JJ53" s="489"/>
      <c r="JK53" s="489"/>
      <c r="JL53" s="489"/>
      <c r="JM53" s="489"/>
      <c r="JN53" s="489"/>
      <c r="JO53" s="489"/>
      <c r="JP53" s="489"/>
      <c r="JQ53" s="489"/>
      <c r="JR53" s="489"/>
      <c r="JS53" s="489"/>
      <c r="JT53" s="489"/>
      <c r="JU53" s="489"/>
      <c r="JV53" s="489"/>
      <c r="JW53" s="489"/>
      <c r="JX53" s="489"/>
      <c r="JY53" s="489"/>
      <c r="JZ53" s="489"/>
      <c r="KA53" s="489"/>
      <c r="KB53" s="489"/>
      <c r="KC53" s="489"/>
      <c r="KD53" s="489"/>
      <c r="KE53" s="489"/>
      <c r="KF53" s="489"/>
      <c r="KG53" s="489"/>
      <c r="KH53" s="489"/>
      <c r="KI53" s="489"/>
      <c r="KJ53" s="489"/>
      <c r="KK53" s="489"/>
      <c r="KL53" s="489"/>
      <c r="KM53" s="489"/>
      <c r="KN53" s="489"/>
      <c r="KO53" s="489"/>
      <c r="KP53" s="489"/>
      <c r="KQ53" s="489"/>
      <c r="KR53" s="489"/>
      <c r="KS53" s="489"/>
      <c r="KT53" s="489"/>
      <c r="KU53" s="489"/>
      <c r="KV53" s="489"/>
      <c r="KW53" s="489"/>
      <c r="KX53" s="489"/>
      <c r="KY53" s="489"/>
      <c r="KZ53" s="489"/>
      <c r="LA53" s="489"/>
      <c r="LB53" s="489"/>
      <c r="LC53" s="489"/>
      <c r="LD53" s="489"/>
      <c r="LE53" s="489"/>
      <c r="LF53" s="489"/>
      <c r="LG53" s="489"/>
      <c r="LH53" s="489"/>
      <c r="LI53" s="489"/>
      <c r="LJ53" s="489"/>
      <c r="LK53" s="489"/>
      <c r="LL53" s="489"/>
      <c r="LM53" s="489"/>
      <c r="LN53" s="489"/>
      <c r="LO53" s="489"/>
      <c r="LP53" s="489"/>
      <c r="LQ53" s="489"/>
      <c r="LR53" s="489"/>
      <c r="LS53" s="489"/>
      <c r="LT53" s="489"/>
      <c r="LU53" s="489"/>
      <c r="LV53" s="489"/>
      <c r="LW53" s="489"/>
      <c r="LX53" s="489"/>
      <c r="LY53" s="489"/>
      <c r="LZ53" s="489"/>
      <c r="MA53" s="489"/>
      <c r="MB53" s="489"/>
      <c r="MC53" s="489"/>
      <c r="MD53" s="489"/>
      <c r="ME53" s="489"/>
      <c r="MF53" s="489"/>
      <c r="MG53" s="489"/>
      <c r="MH53" s="489"/>
      <c r="MI53" s="489"/>
      <c r="MJ53" s="489"/>
      <c r="MK53" s="489"/>
      <c r="ML53" s="489"/>
      <c r="MM53" s="489"/>
      <c r="MN53" s="489"/>
      <c r="MO53" s="489"/>
      <c r="MP53" s="489"/>
      <c r="MQ53" s="489"/>
      <c r="MR53" s="489"/>
      <c r="MS53" s="489"/>
      <c r="MT53" s="489"/>
      <c r="MU53" s="489"/>
      <c r="MV53" s="489"/>
      <c r="MW53" s="489"/>
      <c r="MX53" s="489"/>
      <c r="MY53" s="489"/>
      <c r="MZ53" s="489"/>
      <c r="NA53" s="489"/>
      <c r="NB53" s="489"/>
      <c r="NC53" s="489"/>
      <c r="ND53" s="489"/>
      <c r="NE53" s="489"/>
      <c r="NF53" s="489"/>
      <c r="NG53" s="489"/>
      <c r="NH53" s="489"/>
      <c r="NI53" s="489"/>
      <c r="NJ53" s="489"/>
      <c r="NK53" s="489"/>
      <c r="NL53" s="489"/>
      <c r="NM53" s="489"/>
      <c r="NN53" s="489"/>
      <c r="NO53" s="489"/>
      <c r="NP53" s="489"/>
      <c r="NQ53" s="489"/>
      <c r="NR53" s="489"/>
      <c r="NS53" s="489"/>
      <c r="NT53" s="489"/>
      <c r="NU53" s="489"/>
      <c r="NV53" s="489"/>
      <c r="NW53" s="489"/>
      <c r="NX53" s="489"/>
      <c r="NY53" s="489"/>
      <c r="NZ53" s="489"/>
      <c r="OA53" s="489"/>
      <c r="OB53" s="489"/>
      <c r="OC53" s="489"/>
      <c r="OD53" s="489"/>
      <c r="OE53" s="489"/>
      <c r="OF53" s="489"/>
      <c r="OG53" s="489"/>
      <c r="OH53" s="489"/>
      <c r="OI53" s="489"/>
      <c r="OJ53" s="489"/>
      <c r="OK53" s="489"/>
      <c r="OL53" s="489"/>
      <c r="OM53" s="489"/>
      <c r="ON53" s="489"/>
      <c r="OO53" s="489"/>
      <c r="OP53" s="489"/>
      <c r="OQ53" s="489"/>
      <c r="OR53" s="489"/>
      <c r="OS53" s="489"/>
      <c r="OT53" s="489"/>
      <c r="OU53" s="489"/>
      <c r="OV53" s="489"/>
      <c r="OW53" s="489"/>
      <c r="OX53" s="489"/>
      <c r="OY53" s="489"/>
      <c r="OZ53" s="489"/>
      <c r="PA53" s="489"/>
      <c r="PB53" s="489"/>
      <c r="PC53" s="489"/>
      <c r="PD53" s="489"/>
      <c r="PE53" s="489"/>
      <c r="PF53" s="489"/>
      <c r="PG53" s="489"/>
      <c r="PH53" s="489"/>
      <c r="PI53" s="489"/>
      <c r="PJ53" s="489"/>
      <c r="PK53" s="489"/>
      <c r="PL53" s="489"/>
      <c r="PM53" s="489"/>
      <c r="PN53" s="489"/>
      <c r="PO53" s="489"/>
      <c r="PP53" s="489"/>
      <c r="PQ53" s="489"/>
      <c r="PR53" s="489"/>
      <c r="PS53" s="489"/>
      <c r="PT53" s="489"/>
      <c r="PU53" s="489"/>
      <c r="PV53" s="489"/>
      <c r="PW53" s="489"/>
      <c r="PX53" s="489"/>
      <c r="PY53" s="489"/>
      <c r="PZ53" s="489"/>
      <c r="QA53" s="489"/>
      <c r="QB53" s="489"/>
      <c r="QC53" s="489"/>
      <c r="QD53" s="489"/>
      <c r="QE53" s="489"/>
      <c r="QF53" s="489"/>
      <c r="QG53" s="489"/>
      <c r="QH53" s="489"/>
      <c r="QI53" s="489"/>
      <c r="QJ53" s="489"/>
      <c r="QK53" s="489"/>
      <c r="QL53" s="489"/>
      <c r="QM53" s="489"/>
      <c r="QN53" s="489"/>
      <c r="QO53" s="489"/>
      <c r="QP53" s="489"/>
      <c r="QQ53" s="489"/>
      <c r="QR53" s="489"/>
      <c r="QS53" s="489"/>
      <c r="QT53" s="489"/>
      <c r="QU53" s="489"/>
      <c r="QV53" s="489"/>
      <c r="QW53" s="489"/>
      <c r="QX53" s="489"/>
      <c r="QY53" s="489"/>
      <c r="QZ53" s="489"/>
      <c r="RA53" s="489"/>
      <c r="RB53" s="489"/>
      <c r="RC53" s="489"/>
      <c r="RD53" s="489"/>
      <c r="RE53" s="489"/>
      <c r="RF53" s="489"/>
      <c r="RG53" s="489"/>
      <c r="RH53" s="489"/>
      <c r="RI53" s="489"/>
      <c r="RJ53" s="489"/>
      <c r="RK53" s="489"/>
      <c r="RL53" s="489"/>
      <c r="RM53" s="489"/>
      <c r="RN53" s="489"/>
      <c r="RO53" s="489"/>
      <c r="RP53" s="489"/>
      <c r="RQ53" s="489"/>
      <c r="RR53" s="489"/>
      <c r="RS53" s="489"/>
      <c r="RT53" s="489"/>
      <c r="RU53" s="489"/>
      <c r="RV53" s="489"/>
      <c r="RW53" s="489"/>
      <c r="RX53" s="489"/>
      <c r="RY53" s="489"/>
      <c r="RZ53" s="489"/>
      <c r="SA53" s="489"/>
      <c r="SB53" s="489"/>
      <c r="SC53" s="489"/>
      <c r="SD53" s="489"/>
      <c r="SE53" s="489"/>
      <c r="SF53" s="489"/>
      <c r="SG53" s="489"/>
      <c r="SH53" s="489"/>
      <c r="SI53" s="489"/>
      <c r="SJ53" s="489"/>
      <c r="SK53" s="489"/>
      <c r="SL53" s="489"/>
      <c r="SM53" s="489"/>
      <c r="SN53" s="489"/>
      <c r="SO53" s="489"/>
      <c r="SP53" s="489"/>
      <c r="SQ53" s="489"/>
      <c r="SR53" s="489"/>
      <c r="SS53" s="489"/>
      <c r="ST53" s="489"/>
      <c r="SU53" s="489"/>
      <c r="SV53" s="489"/>
      <c r="SW53" s="489"/>
      <c r="SX53" s="489"/>
      <c r="SY53" s="489"/>
      <c r="SZ53" s="489"/>
      <c r="TA53" s="489"/>
      <c r="TB53" s="489"/>
      <c r="TC53" s="489"/>
      <c r="TD53" s="489"/>
      <c r="TE53" s="489"/>
      <c r="TF53" s="489"/>
      <c r="TG53" s="489"/>
      <c r="TH53" s="489"/>
      <c r="TI53" s="489"/>
      <c r="TJ53" s="489"/>
      <c r="TK53" s="489"/>
      <c r="TL53" s="489"/>
      <c r="TM53" s="489"/>
      <c r="TN53" s="489"/>
      <c r="TO53" s="489"/>
      <c r="TP53" s="489"/>
      <c r="TQ53" s="489"/>
      <c r="TR53" s="489"/>
      <c r="TS53" s="489"/>
      <c r="TT53" s="489"/>
      <c r="TU53" s="489"/>
      <c r="TV53" s="489"/>
      <c r="TW53" s="489"/>
      <c r="TX53" s="489"/>
      <c r="TY53" s="489"/>
      <c r="TZ53" s="489"/>
      <c r="UA53" s="489"/>
      <c r="UB53" s="489"/>
      <c r="UC53" s="489"/>
      <c r="UD53" s="489"/>
      <c r="UE53" s="489"/>
      <c r="UF53" s="489"/>
      <c r="UG53" s="489"/>
      <c r="UH53" s="489"/>
      <c r="UI53" s="489"/>
      <c r="UJ53" s="489"/>
      <c r="UK53" s="489"/>
      <c r="UL53" s="489"/>
      <c r="UM53" s="489"/>
      <c r="UN53" s="489"/>
      <c r="UO53" s="489"/>
      <c r="UP53" s="489"/>
      <c r="UQ53" s="489"/>
      <c r="UR53" s="489"/>
      <c r="US53" s="489"/>
      <c r="UT53" s="489"/>
      <c r="UU53" s="489"/>
      <c r="UV53" s="489"/>
      <c r="UW53" s="489"/>
      <c r="UX53" s="489"/>
      <c r="UY53" s="489"/>
      <c r="UZ53" s="489"/>
      <c r="VA53" s="489"/>
      <c r="VB53" s="489"/>
      <c r="VC53" s="489"/>
      <c r="VD53" s="489"/>
      <c r="VE53" s="489"/>
      <c r="VF53" s="489"/>
      <c r="VG53" s="489"/>
      <c r="VH53" s="489"/>
      <c r="VI53" s="489"/>
      <c r="VJ53" s="489"/>
      <c r="VK53" s="489"/>
      <c r="VL53" s="489"/>
      <c r="VM53" s="489"/>
      <c r="VN53" s="489"/>
      <c r="VO53" s="489"/>
      <c r="VP53" s="489"/>
      <c r="VQ53" s="489"/>
      <c r="VR53" s="489"/>
      <c r="VS53" s="489"/>
      <c r="VT53" s="489"/>
      <c r="VU53" s="489"/>
      <c r="VV53" s="489"/>
      <c r="VW53" s="489"/>
      <c r="VX53" s="489"/>
      <c r="VY53" s="489"/>
      <c r="VZ53" s="489"/>
      <c r="WA53" s="489"/>
      <c r="WB53" s="489"/>
      <c r="WC53" s="489"/>
      <c r="WD53" s="489"/>
      <c r="WE53" s="489"/>
      <c r="WF53" s="489"/>
      <c r="WG53" s="489"/>
      <c r="WH53" s="489"/>
      <c r="WI53" s="489"/>
      <c r="WJ53" s="489"/>
      <c r="WK53" s="489"/>
      <c r="WL53" s="489"/>
      <c r="WM53" s="489"/>
      <c r="WN53" s="489"/>
      <c r="WO53" s="489"/>
      <c r="WP53" s="489"/>
      <c r="WQ53" s="489"/>
      <c r="WR53" s="489"/>
      <c r="WS53" s="489"/>
      <c r="WT53" s="489"/>
      <c r="WU53" s="489"/>
      <c r="WV53" s="489"/>
      <c r="WW53" s="489"/>
      <c r="WX53" s="489"/>
      <c r="WY53" s="489"/>
      <c r="WZ53" s="489"/>
      <c r="XA53" s="489"/>
      <c r="XB53" s="489"/>
      <c r="XC53" s="489"/>
      <c r="XD53" s="489"/>
      <c r="XE53" s="489"/>
      <c r="XF53" s="489"/>
      <c r="XG53" s="489"/>
      <c r="XH53" s="489"/>
      <c r="XI53" s="489"/>
      <c r="XJ53" s="489"/>
      <c r="XK53" s="489"/>
      <c r="XL53" s="489"/>
      <c r="XM53" s="489"/>
      <c r="XN53" s="489"/>
      <c r="XO53" s="489"/>
      <c r="XP53" s="489"/>
      <c r="XQ53" s="489"/>
      <c r="XR53" s="489"/>
      <c r="XS53" s="489"/>
      <c r="XT53" s="489"/>
      <c r="XU53" s="489"/>
      <c r="XV53" s="489"/>
      <c r="XW53" s="489"/>
      <c r="XX53" s="489"/>
      <c r="XY53" s="489"/>
      <c r="XZ53" s="489"/>
      <c r="YA53" s="489"/>
      <c r="YB53" s="489"/>
      <c r="YC53" s="489"/>
      <c r="YD53" s="489"/>
      <c r="YE53" s="489"/>
      <c r="YF53" s="489"/>
      <c r="YG53" s="489"/>
      <c r="YH53" s="489"/>
      <c r="YI53" s="489"/>
      <c r="YJ53" s="489"/>
      <c r="YK53" s="489"/>
      <c r="YL53" s="489"/>
      <c r="YM53" s="489"/>
      <c r="YN53" s="489"/>
      <c r="YO53" s="489"/>
      <c r="YP53" s="489"/>
      <c r="YQ53" s="489"/>
      <c r="YR53" s="489"/>
      <c r="YS53" s="489"/>
      <c r="YT53" s="489"/>
      <c r="YU53" s="489"/>
      <c r="YV53" s="489"/>
      <c r="YW53" s="489"/>
      <c r="YX53" s="489"/>
      <c r="YY53" s="489"/>
      <c r="YZ53" s="489"/>
      <c r="ZA53" s="489"/>
      <c r="ZB53" s="489"/>
      <c r="ZC53" s="489"/>
      <c r="ZD53" s="489"/>
      <c r="ZE53" s="489"/>
      <c r="ZF53" s="489"/>
      <c r="ZG53" s="489"/>
      <c r="ZH53" s="489"/>
      <c r="ZI53" s="489"/>
      <c r="ZJ53" s="489"/>
      <c r="ZK53" s="489"/>
      <c r="ZL53" s="489"/>
      <c r="ZM53" s="489"/>
      <c r="ZN53" s="489"/>
      <c r="ZO53" s="489"/>
      <c r="ZP53" s="489"/>
      <c r="ZQ53" s="489"/>
      <c r="ZR53" s="489"/>
      <c r="ZS53" s="489"/>
      <c r="ZT53" s="489"/>
      <c r="ZU53" s="489"/>
      <c r="ZV53" s="489"/>
      <c r="ZW53" s="489"/>
      <c r="ZX53" s="489"/>
      <c r="ZY53" s="489"/>
      <c r="ZZ53" s="489"/>
      <c r="AAA53" s="489"/>
      <c r="AAB53" s="489"/>
      <c r="AAC53" s="489"/>
      <c r="AAD53" s="489"/>
      <c r="AAE53" s="489"/>
      <c r="AAF53" s="489"/>
      <c r="AAG53" s="489"/>
      <c r="AAH53" s="489"/>
      <c r="AAI53" s="489"/>
      <c r="AAJ53" s="489"/>
      <c r="AAK53" s="489"/>
      <c r="AAL53" s="489"/>
      <c r="AAM53" s="489"/>
      <c r="AAN53" s="489"/>
      <c r="AAO53" s="489"/>
      <c r="AAP53" s="489"/>
      <c r="AAQ53" s="489"/>
      <c r="AAR53" s="489"/>
      <c r="AAS53" s="489"/>
      <c r="AAT53" s="489"/>
      <c r="AAU53" s="489"/>
      <c r="AAV53" s="489"/>
      <c r="AAW53" s="489"/>
      <c r="AAX53" s="489"/>
      <c r="AAY53" s="489"/>
      <c r="AAZ53" s="489"/>
      <c r="ABA53" s="489"/>
      <c r="ABB53" s="489"/>
      <c r="ABC53" s="489"/>
      <c r="ABD53" s="489"/>
      <c r="ABE53" s="489"/>
      <c r="ABF53" s="489"/>
      <c r="ABG53" s="489"/>
      <c r="ABH53" s="489"/>
      <c r="ABI53" s="489"/>
      <c r="ABJ53" s="489"/>
      <c r="ABK53" s="489"/>
      <c r="ABL53" s="489"/>
      <c r="ABM53" s="489"/>
      <c r="ABN53" s="489"/>
      <c r="ABO53" s="489"/>
      <c r="ABP53" s="489"/>
      <c r="ABQ53" s="489"/>
      <c r="ABR53" s="489"/>
      <c r="ABS53" s="489"/>
      <c r="ABT53" s="489"/>
      <c r="ABU53" s="489"/>
      <c r="ABV53" s="489"/>
      <c r="ABW53" s="489"/>
      <c r="ABX53" s="489"/>
      <c r="ABY53" s="489"/>
      <c r="ABZ53" s="489"/>
      <c r="ACA53" s="489"/>
      <c r="ACB53" s="489"/>
      <c r="ACC53" s="489"/>
      <c r="ACD53" s="489"/>
      <c r="ACE53" s="489"/>
      <c r="ACF53" s="489"/>
      <c r="ACG53" s="489"/>
      <c r="ACH53" s="489"/>
      <c r="ACI53" s="489"/>
      <c r="ACJ53" s="489"/>
      <c r="ACK53" s="489"/>
      <c r="ACL53" s="489"/>
      <c r="ACM53" s="489"/>
      <c r="ACN53" s="489"/>
      <c r="ACO53" s="489"/>
      <c r="ACP53" s="489"/>
      <c r="ACQ53" s="489"/>
      <c r="ACR53" s="489"/>
      <c r="ACS53" s="489"/>
      <c r="ACT53" s="489"/>
      <c r="ACU53" s="489"/>
      <c r="ACV53" s="489"/>
      <c r="ACW53" s="489"/>
      <c r="ACX53" s="489"/>
      <c r="ACY53" s="489"/>
      <c r="ACZ53" s="489"/>
      <c r="ADA53" s="489"/>
      <c r="ADB53" s="489"/>
      <c r="ADC53" s="489"/>
      <c r="ADD53" s="489"/>
      <c r="ADE53" s="489"/>
      <c r="ADF53" s="489"/>
      <c r="ADG53" s="489"/>
      <c r="ADH53" s="489"/>
      <c r="ADI53" s="489"/>
      <c r="ADJ53" s="489"/>
      <c r="ADK53" s="489"/>
      <c r="ADL53" s="489"/>
      <c r="ADM53" s="489"/>
      <c r="ADN53" s="489"/>
      <c r="ADO53" s="489"/>
      <c r="ADP53" s="489"/>
      <c r="ADQ53" s="489"/>
      <c r="ADR53" s="489"/>
      <c r="ADS53" s="489"/>
      <c r="ADT53" s="489"/>
      <c r="ADU53" s="489"/>
      <c r="ADV53" s="489"/>
      <c r="ADW53" s="489"/>
      <c r="ADX53" s="489"/>
      <c r="ADY53" s="489"/>
      <c r="ADZ53" s="489"/>
      <c r="AEA53" s="489"/>
      <c r="AEB53" s="489"/>
      <c r="AEC53" s="489"/>
      <c r="AED53" s="489"/>
      <c r="AEE53" s="489"/>
      <c r="AEF53" s="489"/>
      <c r="AEG53" s="489"/>
      <c r="AEH53" s="489"/>
      <c r="AEI53" s="489"/>
      <c r="AEJ53" s="489"/>
      <c r="AEK53" s="489"/>
      <c r="AEL53" s="489"/>
      <c r="AEM53" s="489"/>
      <c r="AEN53" s="489"/>
      <c r="AEO53" s="489"/>
      <c r="AEP53" s="489"/>
      <c r="AEQ53" s="489"/>
      <c r="AER53" s="489"/>
      <c r="AES53" s="489"/>
      <c r="AET53" s="489"/>
      <c r="AEU53" s="489"/>
      <c r="AEV53" s="489"/>
      <c r="AEW53" s="489"/>
      <c r="AEX53" s="489"/>
      <c r="AEY53" s="489"/>
      <c r="AEZ53" s="489"/>
      <c r="AFA53" s="489"/>
      <c r="AFB53" s="489"/>
      <c r="AFC53" s="489"/>
      <c r="AFD53" s="489"/>
      <c r="AFE53" s="489"/>
      <c r="AFF53" s="489"/>
      <c r="AFG53" s="489"/>
      <c r="AFH53" s="489"/>
      <c r="AFI53" s="489"/>
      <c r="AFJ53" s="489"/>
      <c r="AFK53" s="489"/>
      <c r="AFL53" s="489"/>
      <c r="AFM53" s="489"/>
      <c r="AFN53" s="489"/>
      <c r="AFO53" s="489"/>
      <c r="AFP53" s="489"/>
      <c r="AFQ53" s="489"/>
      <c r="AFR53" s="489"/>
      <c r="AFS53" s="489"/>
      <c r="AFT53" s="489"/>
      <c r="AFU53" s="489"/>
      <c r="AFV53" s="489"/>
      <c r="AFW53" s="489"/>
      <c r="AFX53" s="489"/>
      <c r="AFY53" s="489"/>
      <c r="AFZ53" s="489"/>
      <c r="AGA53" s="489"/>
      <c r="AGB53" s="489"/>
      <c r="AGC53" s="489"/>
      <c r="AGD53" s="489"/>
      <c r="AGE53" s="489"/>
      <c r="AGF53" s="489"/>
      <c r="AGG53" s="489"/>
      <c r="AGH53" s="489"/>
      <c r="AGI53" s="489"/>
      <c r="AGJ53" s="489"/>
      <c r="AGK53" s="489"/>
      <c r="AGL53" s="489"/>
      <c r="AGM53" s="489"/>
      <c r="AGN53" s="489"/>
      <c r="AGO53" s="489"/>
      <c r="AGP53" s="489"/>
      <c r="AGQ53" s="489"/>
      <c r="AGR53" s="489"/>
      <c r="AGS53" s="489"/>
      <c r="AGT53" s="489"/>
      <c r="AGU53" s="489"/>
      <c r="AGV53" s="489"/>
      <c r="AGW53" s="489"/>
      <c r="AGX53" s="489"/>
      <c r="AGY53" s="489"/>
      <c r="AGZ53" s="489"/>
      <c r="AHA53" s="489"/>
      <c r="AHB53" s="489"/>
      <c r="AHC53" s="489"/>
      <c r="AHD53" s="489"/>
      <c r="AHE53" s="489"/>
      <c r="AHF53" s="489"/>
      <c r="AHG53" s="489"/>
      <c r="AHH53" s="489"/>
      <c r="AHI53" s="489"/>
      <c r="AHJ53" s="489"/>
      <c r="AHK53" s="489"/>
      <c r="AHL53" s="489"/>
      <c r="AHM53" s="489"/>
      <c r="AHN53" s="489"/>
      <c r="AHO53" s="489"/>
      <c r="AHP53" s="489"/>
      <c r="AHQ53" s="489"/>
      <c r="AHR53" s="489"/>
      <c r="AHS53" s="489"/>
      <c r="AHT53" s="489"/>
      <c r="AHU53" s="489"/>
      <c r="AHV53" s="489"/>
      <c r="AHW53" s="489"/>
      <c r="AHX53" s="489"/>
      <c r="AHY53" s="489"/>
      <c r="AHZ53" s="489"/>
      <c r="AIA53" s="489"/>
      <c r="AIB53" s="489"/>
      <c r="AIC53" s="489"/>
      <c r="AID53" s="489"/>
      <c r="AIE53" s="489"/>
      <c r="AIF53" s="489"/>
      <c r="AIG53" s="489"/>
      <c r="AIH53" s="489"/>
      <c r="AII53" s="489"/>
      <c r="AIJ53" s="489"/>
      <c r="AIK53" s="489"/>
      <c r="AIL53" s="489"/>
      <c r="AIM53" s="489"/>
      <c r="AIN53" s="489"/>
      <c r="AIO53" s="489"/>
      <c r="AIP53" s="489"/>
      <c r="AIQ53" s="489"/>
      <c r="AIR53" s="489"/>
      <c r="AIS53" s="489"/>
      <c r="AIT53" s="489"/>
      <c r="AIU53" s="489"/>
      <c r="AIV53" s="489"/>
      <c r="AIW53" s="489"/>
      <c r="AIX53" s="489"/>
      <c r="AIY53" s="489"/>
      <c r="AIZ53" s="489"/>
      <c r="AJA53" s="489"/>
      <c r="AJB53" s="489"/>
      <c r="AJC53" s="489"/>
      <c r="AJD53" s="489"/>
      <c r="AJE53" s="489"/>
      <c r="AJF53" s="489"/>
      <c r="AJG53" s="489"/>
      <c r="AJH53" s="489"/>
      <c r="AJI53" s="489"/>
      <c r="AJJ53" s="489"/>
      <c r="AJK53" s="489"/>
      <c r="AJL53" s="489"/>
      <c r="AJM53" s="489"/>
      <c r="AJN53" s="489"/>
      <c r="AJO53" s="489"/>
      <c r="AJP53" s="489"/>
      <c r="AJQ53" s="489"/>
      <c r="AJR53" s="489"/>
      <c r="AJS53" s="489"/>
      <c r="AJT53" s="489"/>
      <c r="AJU53" s="489"/>
      <c r="AJV53" s="489"/>
      <c r="AJW53" s="489"/>
      <c r="AJX53" s="489"/>
      <c r="AJY53" s="489"/>
      <c r="AJZ53" s="489"/>
      <c r="AKA53" s="489"/>
      <c r="AKB53" s="489"/>
      <c r="AKC53" s="489"/>
      <c r="AKD53" s="489"/>
      <c r="AKE53" s="489"/>
      <c r="AKF53" s="489"/>
      <c r="AKG53" s="489"/>
      <c r="AKH53" s="489"/>
      <c r="AKI53" s="489"/>
      <c r="AKJ53" s="489"/>
      <c r="AKK53" s="489"/>
      <c r="AKL53" s="489"/>
      <c r="AKM53" s="489"/>
      <c r="AKN53" s="489"/>
      <c r="AKO53" s="489"/>
      <c r="AKP53" s="489"/>
      <c r="AKQ53" s="489"/>
      <c r="AKR53" s="489"/>
      <c r="AKS53" s="489"/>
      <c r="AKT53" s="489"/>
      <c r="AKU53" s="489"/>
      <c r="AKV53" s="489"/>
      <c r="AKW53" s="489"/>
      <c r="AKX53" s="489"/>
      <c r="AKY53" s="489"/>
      <c r="AKZ53" s="489"/>
      <c r="ALA53" s="489"/>
      <c r="ALB53" s="489"/>
      <c r="ALC53" s="489"/>
      <c r="ALD53" s="489"/>
      <c r="ALE53" s="489"/>
      <c r="ALF53" s="489"/>
      <c r="ALG53" s="489"/>
      <c r="ALH53" s="489"/>
      <c r="ALI53" s="489"/>
      <c r="ALJ53" s="489"/>
      <c r="ALK53" s="489"/>
      <c r="ALL53" s="489"/>
      <c r="ALM53" s="489"/>
      <c r="ALN53" s="489"/>
      <c r="ALO53" s="489"/>
      <c r="ALP53" s="489"/>
      <c r="ALQ53" s="489"/>
      <c r="ALR53" s="489"/>
      <c r="ALS53" s="489"/>
      <c r="ALT53" s="489"/>
      <c r="ALU53" s="489"/>
      <c r="ALV53" s="489"/>
      <c r="ALW53" s="489"/>
      <c r="ALX53" s="489"/>
      <c r="ALY53" s="489"/>
      <c r="ALZ53" s="489"/>
      <c r="AMA53" s="489"/>
      <c r="AMB53" s="489"/>
      <c r="AMC53" s="489"/>
      <c r="AMD53" s="489"/>
      <c r="AME53" s="489"/>
      <c r="AMF53" s="489"/>
      <c r="AMG53" s="489"/>
      <c r="AMH53" s="489"/>
      <c r="AMI53" s="489"/>
      <c r="AMJ53" s="489"/>
      <c r="AMK53" s="489"/>
      <c r="AML53" s="489"/>
      <c r="AMM53" s="489"/>
      <c r="AMN53" s="489"/>
      <c r="AMO53" s="489"/>
      <c r="AMP53" s="489"/>
      <c r="AMQ53" s="489"/>
      <c r="AMR53" s="489"/>
      <c r="AMS53" s="489"/>
      <c r="AMT53" s="489"/>
      <c r="AMU53" s="489"/>
      <c r="AMV53" s="489"/>
      <c r="AMW53" s="489"/>
      <c r="AMX53" s="489"/>
      <c r="AMY53" s="489"/>
      <c r="AMZ53" s="489"/>
      <c r="ANA53" s="489"/>
      <c r="ANB53" s="489"/>
      <c r="ANC53" s="489"/>
      <c r="AND53" s="489"/>
      <c r="ANE53" s="489"/>
      <c r="ANF53" s="489"/>
      <c r="ANG53" s="489"/>
      <c r="ANH53" s="489"/>
      <c r="ANI53" s="489"/>
      <c r="ANJ53" s="489"/>
      <c r="ANK53" s="489"/>
      <c r="ANL53" s="489"/>
      <c r="ANM53" s="489"/>
      <c r="ANN53" s="489"/>
      <c r="ANO53" s="489"/>
      <c r="ANP53" s="489"/>
      <c r="ANQ53" s="489"/>
      <c r="ANR53" s="489"/>
      <c r="ANS53" s="489"/>
      <c r="ANT53" s="489"/>
      <c r="ANU53" s="489"/>
      <c r="ANV53" s="489"/>
      <c r="ANW53" s="489"/>
      <c r="ANX53" s="489"/>
      <c r="ANY53" s="489"/>
      <c r="ANZ53" s="489"/>
      <c r="AOA53" s="489"/>
      <c r="AOB53" s="489"/>
      <c r="AOC53" s="489"/>
      <c r="AOD53" s="489"/>
      <c r="AOE53" s="489"/>
      <c r="AOF53" s="489"/>
      <c r="AOG53" s="489"/>
      <c r="AOH53" s="489"/>
      <c r="AOI53" s="489"/>
      <c r="AOJ53" s="489"/>
      <c r="AOK53" s="489"/>
      <c r="AOL53" s="489"/>
      <c r="AOM53" s="489"/>
      <c r="AON53" s="489"/>
      <c r="AOO53" s="489"/>
      <c r="AOP53" s="489"/>
      <c r="AOQ53" s="489"/>
      <c r="AOR53" s="489"/>
      <c r="AOS53" s="489"/>
      <c r="AOT53" s="489"/>
      <c r="AOU53" s="489"/>
      <c r="AOV53" s="489"/>
      <c r="AOW53" s="489"/>
      <c r="AOX53" s="489"/>
      <c r="AOY53" s="489"/>
      <c r="AOZ53" s="489"/>
      <c r="APA53" s="489"/>
      <c r="APB53" s="489"/>
      <c r="APC53" s="489"/>
      <c r="APD53" s="489"/>
      <c r="APE53" s="489"/>
      <c r="APF53" s="489"/>
      <c r="APG53" s="489"/>
      <c r="APH53" s="489"/>
      <c r="API53" s="489"/>
      <c r="APJ53" s="489"/>
      <c r="APK53" s="489"/>
      <c r="APL53" s="489"/>
      <c r="APM53" s="489"/>
      <c r="APN53" s="489"/>
      <c r="APO53" s="489"/>
      <c r="APP53" s="489"/>
      <c r="APQ53" s="489"/>
      <c r="APR53" s="489"/>
      <c r="APS53" s="489"/>
      <c r="APT53" s="489"/>
      <c r="APU53" s="489"/>
      <c r="APV53" s="489"/>
      <c r="APW53" s="489"/>
      <c r="APX53" s="489"/>
      <c r="APY53" s="489"/>
      <c r="APZ53" s="489"/>
      <c r="AQA53" s="489"/>
      <c r="AQB53" s="489"/>
      <c r="AQC53" s="489"/>
      <c r="AQD53" s="489"/>
      <c r="AQE53" s="489"/>
      <c r="AQF53" s="489"/>
      <c r="AQG53" s="489"/>
      <c r="AQH53" s="489"/>
      <c r="AQI53" s="489"/>
      <c r="AQJ53" s="489"/>
      <c r="AQK53" s="489"/>
      <c r="AQL53" s="489"/>
      <c r="AQM53" s="489"/>
      <c r="AQN53" s="489"/>
      <c r="AQO53" s="489"/>
      <c r="AQP53" s="489"/>
      <c r="AQQ53" s="489"/>
      <c r="AQR53" s="489"/>
      <c r="AQS53" s="489"/>
      <c r="AQT53" s="489"/>
      <c r="AQU53" s="489"/>
      <c r="AQV53" s="489"/>
      <c r="AQW53" s="489"/>
      <c r="AQX53" s="489"/>
      <c r="AQY53" s="489"/>
      <c r="AQZ53" s="489"/>
      <c r="ARA53" s="489"/>
      <c r="ARB53" s="489"/>
      <c r="ARC53" s="489"/>
      <c r="ARD53" s="489"/>
      <c r="ARE53" s="489"/>
      <c r="ARF53" s="489"/>
      <c r="ARG53" s="489"/>
      <c r="ARH53" s="489"/>
      <c r="ARI53" s="489"/>
      <c r="ARJ53" s="489"/>
      <c r="ARK53" s="489"/>
      <c r="ARL53" s="489"/>
      <c r="ARM53" s="489"/>
      <c r="ARN53" s="489"/>
      <c r="ARO53" s="489"/>
      <c r="ARP53" s="489"/>
      <c r="ARQ53" s="489"/>
      <c r="ARR53" s="489"/>
      <c r="ARS53" s="489"/>
      <c r="ART53" s="489"/>
      <c r="ARU53" s="489"/>
      <c r="ARV53" s="489"/>
      <c r="ARW53" s="489"/>
      <c r="ARX53" s="489"/>
      <c r="ARY53" s="489"/>
      <c r="ARZ53" s="489"/>
      <c r="ASA53" s="489"/>
      <c r="ASB53" s="489"/>
      <c r="ASC53" s="489"/>
      <c r="ASD53" s="489"/>
      <c r="ASE53" s="489"/>
      <c r="ASF53" s="489"/>
      <c r="ASG53" s="489"/>
      <c r="ASH53" s="489"/>
      <c r="ASI53" s="489"/>
      <c r="ASJ53" s="489"/>
      <c r="ASK53" s="489"/>
      <c r="ASL53" s="489"/>
      <c r="ASM53" s="489"/>
      <c r="ASN53" s="489"/>
      <c r="ASO53" s="489"/>
      <c r="ASP53" s="489"/>
      <c r="ASQ53" s="489"/>
      <c r="ASR53" s="489"/>
      <c r="ASS53" s="489"/>
      <c r="AST53" s="489"/>
      <c r="ASU53" s="489"/>
      <c r="ASV53" s="489"/>
      <c r="ASW53" s="489"/>
      <c r="ASX53" s="489"/>
      <c r="ASY53" s="489"/>
      <c r="ASZ53" s="489"/>
      <c r="ATA53" s="489"/>
      <c r="ATB53" s="489"/>
      <c r="ATC53" s="489"/>
      <c r="ATD53" s="489"/>
      <c r="ATE53" s="489"/>
      <c r="ATF53" s="489"/>
      <c r="ATG53" s="489"/>
      <c r="ATH53" s="489"/>
      <c r="ATI53" s="489"/>
      <c r="ATJ53" s="489"/>
      <c r="ATK53" s="489"/>
      <c r="ATL53" s="489"/>
      <c r="ATM53" s="489"/>
      <c r="ATN53" s="489"/>
      <c r="ATO53" s="489"/>
      <c r="ATP53" s="489"/>
      <c r="ATQ53" s="489"/>
      <c r="ATR53" s="489"/>
      <c r="ATS53" s="489"/>
      <c r="ATT53" s="489"/>
      <c r="ATU53" s="489"/>
      <c r="ATV53" s="489"/>
      <c r="ATW53" s="489"/>
      <c r="ATX53" s="489"/>
      <c r="ATY53" s="489"/>
      <c r="ATZ53" s="489"/>
      <c r="AUA53" s="489"/>
      <c r="AUB53" s="489"/>
      <c r="AUC53" s="489"/>
      <c r="AUD53" s="489"/>
      <c r="AUE53" s="489"/>
      <c r="AUF53" s="489"/>
      <c r="AUG53" s="489"/>
      <c r="AUH53" s="489"/>
      <c r="AUI53" s="489"/>
      <c r="AUJ53" s="489"/>
      <c r="AUK53" s="489"/>
      <c r="AUL53" s="489"/>
      <c r="AUM53" s="489"/>
      <c r="AUN53" s="489"/>
      <c r="AUO53" s="489"/>
      <c r="AUP53" s="489"/>
      <c r="AUQ53" s="489"/>
      <c r="AUR53" s="489"/>
      <c r="AUS53" s="489"/>
      <c r="AUT53" s="489"/>
      <c r="AUU53" s="489"/>
      <c r="AUV53" s="489"/>
      <c r="AUW53" s="489"/>
      <c r="AUX53" s="489"/>
      <c r="AUY53" s="489"/>
      <c r="AUZ53" s="489"/>
      <c r="AVA53" s="489"/>
      <c r="AVB53" s="489"/>
      <c r="AVC53" s="489"/>
      <c r="AVD53" s="489"/>
      <c r="AVE53" s="489"/>
      <c r="AVF53" s="489"/>
      <c r="AVG53" s="489"/>
      <c r="AVH53" s="489"/>
      <c r="AVI53" s="489"/>
      <c r="AVJ53" s="489"/>
      <c r="AVK53" s="489"/>
      <c r="AVL53" s="489"/>
      <c r="AVM53" s="489"/>
      <c r="AVN53" s="489"/>
      <c r="AVO53" s="489"/>
      <c r="AVP53" s="489"/>
      <c r="AVQ53" s="489"/>
      <c r="AVR53" s="489"/>
      <c r="AVS53" s="489"/>
      <c r="AVT53" s="489"/>
      <c r="AVU53" s="489"/>
      <c r="AVV53" s="489"/>
      <c r="AVW53" s="489"/>
      <c r="AVX53" s="489"/>
      <c r="AVY53" s="489"/>
      <c r="AVZ53" s="489"/>
      <c r="AWA53" s="489"/>
      <c r="AWB53" s="489"/>
      <c r="AWC53" s="489"/>
      <c r="AWD53" s="489"/>
      <c r="AWE53" s="489"/>
      <c r="AWF53" s="489"/>
      <c r="AWG53" s="489"/>
      <c r="AWH53" s="489"/>
      <c r="AWI53" s="489"/>
      <c r="AWJ53" s="489"/>
      <c r="AWK53" s="489"/>
      <c r="AWL53" s="489"/>
      <c r="AWM53" s="489"/>
      <c r="AWN53" s="489"/>
      <c r="AWO53" s="489"/>
      <c r="AWP53" s="489"/>
      <c r="AWQ53" s="489"/>
      <c r="AWR53" s="489"/>
      <c r="AWS53" s="489"/>
      <c r="AWT53" s="489"/>
      <c r="AWU53" s="489"/>
      <c r="AWV53" s="489"/>
      <c r="AWW53" s="489"/>
      <c r="AWX53" s="489"/>
      <c r="AWY53" s="489"/>
      <c r="AWZ53" s="489"/>
      <c r="AXA53" s="489"/>
      <c r="AXB53" s="489"/>
      <c r="AXC53" s="489"/>
      <c r="AXD53" s="489"/>
      <c r="AXE53" s="489"/>
      <c r="AXF53" s="489"/>
      <c r="AXG53" s="489"/>
      <c r="AXH53" s="489"/>
      <c r="AXI53" s="489"/>
      <c r="AXJ53" s="489"/>
      <c r="AXK53" s="489"/>
      <c r="AXL53" s="489"/>
      <c r="AXM53" s="489"/>
      <c r="AXN53" s="489"/>
      <c r="AXO53" s="489"/>
      <c r="AXP53" s="489"/>
      <c r="AXQ53" s="489"/>
      <c r="AXR53" s="489"/>
      <c r="AXS53" s="489"/>
      <c r="AXT53" s="489"/>
      <c r="AXU53" s="489"/>
      <c r="AXV53" s="489"/>
      <c r="AXW53" s="489"/>
      <c r="AXX53" s="489"/>
      <c r="AXY53" s="489"/>
      <c r="AXZ53" s="489"/>
      <c r="AYA53" s="489"/>
      <c r="AYB53" s="489"/>
      <c r="AYC53" s="489"/>
      <c r="AYD53" s="489"/>
      <c r="AYE53" s="489"/>
      <c r="AYF53" s="489"/>
      <c r="AYG53" s="489"/>
      <c r="AYH53" s="489"/>
      <c r="AYI53" s="489"/>
      <c r="AYJ53" s="489"/>
      <c r="AYK53" s="489"/>
      <c r="AYL53" s="489"/>
      <c r="AYM53" s="489"/>
      <c r="AYN53" s="489"/>
      <c r="AYO53" s="489"/>
      <c r="AYP53" s="489"/>
      <c r="AYQ53" s="489"/>
      <c r="AYR53" s="489"/>
      <c r="AYS53" s="489"/>
      <c r="AYT53" s="489"/>
      <c r="AYU53" s="489"/>
      <c r="AYV53" s="489"/>
      <c r="AYW53" s="489"/>
      <c r="AYX53" s="489"/>
      <c r="AYY53" s="489"/>
      <c r="AYZ53" s="489"/>
      <c r="AZA53" s="489"/>
      <c r="AZB53" s="489"/>
      <c r="AZC53" s="489"/>
      <c r="AZD53" s="489"/>
      <c r="AZE53" s="489"/>
      <c r="AZF53" s="489"/>
      <c r="AZG53" s="489"/>
      <c r="AZH53" s="489"/>
      <c r="AZI53" s="489"/>
      <c r="AZJ53" s="489"/>
      <c r="AZK53" s="489"/>
      <c r="AZL53" s="489"/>
      <c r="AZM53" s="489"/>
      <c r="AZN53" s="489"/>
      <c r="AZO53" s="489"/>
      <c r="AZP53" s="489"/>
      <c r="AZQ53" s="489"/>
      <c r="AZR53" s="489"/>
      <c r="AZS53" s="489"/>
      <c r="AZT53" s="489"/>
      <c r="AZU53" s="489"/>
      <c r="AZV53" s="489"/>
      <c r="AZW53" s="489"/>
      <c r="AZX53" s="489"/>
      <c r="AZY53" s="489"/>
      <c r="AZZ53" s="489"/>
      <c r="BAA53" s="489"/>
      <c r="BAB53" s="489"/>
      <c r="BAC53" s="489"/>
      <c r="BAD53" s="489"/>
      <c r="BAE53" s="489"/>
      <c r="BAF53" s="489"/>
      <c r="BAG53" s="489"/>
      <c r="BAH53" s="489"/>
      <c r="BAI53" s="489"/>
      <c r="BAJ53" s="489"/>
      <c r="BAK53" s="489"/>
      <c r="BAL53" s="489"/>
      <c r="BAM53" s="489"/>
      <c r="BAN53" s="489"/>
      <c r="BAO53" s="489"/>
      <c r="BAP53" s="489"/>
      <c r="BAQ53" s="489"/>
      <c r="BAR53" s="489"/>
      <c r="BAS53" s="489"/>
      <c r="BAT53" s="489"/>
      <c r="BAU53" s="489"/>
      <c r="BAV53" s="489"/>
      <c r="BAW53" s="489"/>
      <c r="BAX53" s="489"/>
      <c r="BAY53" s="489"/>
      <c r="BAZ53" s="489"/>
      <c r="BBA53" s="489"/>
      <c r="BBB53" s="489"/>
      <c r="BBC53" s="489"/>
      <c r="BBD53" s="489"/>
      <c r="BBE53" s="489"/>
      <c r="BBF53" s="489"/>
      <c r="BBG53" s="489"/>
      <c r="BBH53" s="489"/>
      <c r="BBI53" s="489"/>
      <c r="BBJ53" s="489"/>
      <c r="BBK53" s="489"/>
      <c r="BBL53" s="489"/>
      <c r="BBM53" s="489"/>
      <c r="BBN53" s="489"/>
      <c r="BBO53" s="489"/>
      <c r="BBP53" s="489"/>
      <c r="BBQ53" s="489"/>
      <c r="BBR53" s="489"/>
      <c r="BBS53" s="489"/>
      <c r="BBT53" s="489"/>
      <c r="BBU53" s="489"/>
      <c r="BBV53" s="489"/>
      <c r="BBW53" s="489"/>
      <c r="BBX53" s="489"/>
      <c r="BBY53" s="489"/>
      <c r="BBZ53" s="489"/>
      <c r="BCA53" s="489"/>
      <c r="BCB53" s="489"/>
      <c r="BCC53" s="489"/>
      <c r="BCD53" s="489"/>
      <c r="BCE53" s="489"/>
      <c r="BCF53" s="489"/>
      <c r="BCG53" s="489"/>
      <c r="BCH53" s="489"/>
      <c r="BCI53" s="489"/>
      <c r="BCJ53" s="489"/>
      <c r="BCK53" s="489"/>
      <c r="BCL53" s="489"/>
      <c r="BCM53" s="489"/>
      <c r="BCN53" s="489"/>
      <c r="BCO53" s="489"/>
      <c r="BCP53" s="489"/>
      <c r="BCQ53" s="489"/>
      <c r="BCR53" s="489"/>
      <c r="BCS53" s="489"/>
      <c r="BCT53" s="489"/>
      <c r="BCU53" s="489"/>
      <c r="BCV53" s="489"/>
      <c r="BCW53" s="489"/>
      <c r="BCX53" s="489"/>
      <c r="BCY53" s="489"/>
      <c r="BCZ53" s="489"/>
      <c r="BDA53" s="489"/>
      <c r="BDB53" s="489"/>
      <c r="BDC53" s="489"/>
      <c r="BDD53" s="489"/>
      <c r="BDE53" s="489"/>
      <c r="BDF53" s="489"/>
      <c r="BDG53" s="489"/>
      <c r="BDH53" s="489"/>
      <c r="BDI53" s="489"/>
      <c r="BDJ53" s="489"/>
      <c r="BDK53" s="489"/>
      <c r="BDL53" s="489"/>
      <c r="BDM53" s="489"/>
      <c r="BDN53" s="489"/>
      <c r="BDO53" s="489"/>
      <c r="BDP53" s="489"/>
      <c r="BDQ53" s="489"/>
      <c r="BDR53" s="489"/>
      <c r="BDS53" s="489"/>
      <c r="BDT53" s="489"/>
      <c r="BDU53" s="489"/>
      <c r="BDV53" s="489"/>
      <c r="BDW53" s="489"/>
      <c r="BDX53" s="489"/>
      <c r="BDY53" s="489"/>
      <c r="BDZ53" s="489"/>
      <c r="BEA53" s="489"/>
      <c r="BEB53" s="489"/>
      <c r="BEC53" s="489"/>
      <c r="BED53" s="489"/>
      <c r="BEE53" s="489"/>
      <c r="BEF53" s="489"/>
      <c r="BEG53" s="489"/>
      <c r="BEH53" s="489"/>
      <c r="BEI53" s="489"/>
      <c r="BEJ53" s="489"/>
      <c r="BEK53" s="489"/>
      <c r="BEL53" s="489"/>
      <c r="BEM53" s="489"/>
      <c r="BEN53" s="489"/>
      <c r="BEO53" s="489"/>
      <c r="BEP53" s="489"/>
      <c r="BEQ53" s="489"/>
      <c r="BER53" s="489"/>
      <c r="BES53" s="489"/>
      <c r="BET53" s="489"/>
      <c r="BEU53" s="489"/>
      <c r="BEV53" s="489"/>
      <c r="BEW53" s="489"/>
      <c r="BEX53" s="489"/>
      <c r="BEY53" s="489"/>
      <c r="BEZ53" s="489"/>
      <c r="BFA53" s="489"/>
      <c r="BFB53" s="489"/>
      <c r="BFC53" s="489"/>
      <c r="BFD53" s="489"/>
      <c r="BFE53" s="489"/>
      <c r="BFF53" s="489"/>
      <c r="BFG53" s="489"/>
      <c r="BFH53" s="489"/>
      <c r="BFI53" s="489"/>
      <c r="BFJ53" s="489"/>
      <c r="BFK53" s="489"/>
      <c r="BFL53" s="489"/>
      <c r="BFM53" s="489"/>
      <c r="BFN53" s="489"/>
      <c r="BFO53" s="489"/>
      <c r="BFP53" s="489"/>
      <c r="BFQ53" s="489"/>
      <c r="BFR53" s="489"/>
      <c r="BFS53" s="489"/>
      <c r="BFT53" s="489"/>
      <c r="BFU53" s="489"/>
      <c r="BFV53" s="489"/>
      <c r="BFW53" s="489"/>
      <c r="BFX53" s="489"/>
      <c r="BFY53" s="489"/>
      <c r="BFZ53" s="489"/>
      <c r="BGA53" s="489"/>
      <c r="BGB53" s="489"/>
      <c r="BGC53" s="489"/>
      <c r="BGD53" s="489"/>
      <c r="BGE53" s="489"/>
      <c r="BGF53" s="489"/>
      <c r="BGG53" s="489"/>
      <c r="BGH53" s="489"/>
      <c r="BGI53" s="489"/>
      <c r="BGJ53" s="489"/>
      <c r="BGK53" s="489"/>
      <c r="BGL53" s="489"/>
      <c r="BGM53" s="489"/>
      <c r="BGN53" s="489"/>
      <c r="BGO53" s="489"/>
      <c r="BGP53" s="489"/>
      <c r="BGQ53" s="489"/>
      <c r="BGR53" s="489"/>
      <c r="BGS53" s="489"/>
      <c r="BGT53" s="489"/>
      <c r="BGU53" s="489"/>
      <c r="BGV53" s="489"/>
      <c r="BGW53" s="489"/>
      <c r="BGX53" s="489"/>
      <c r="BGY53" s="489"/>
      <c r="BGZ53" s="489"/>
      <c r="BHA53" s="489"/>
      <c r="BHB53" s="489"/>
      <c r="BHC53" s="489"/>
      <c r="BHD53" s="489"/>
      <c r="BHE53" s="489"/>
      <c r="BHF53" s="489"/>
      <c r="BHG53" s="489"/>
      <c r="BHH53" s="489"/>
      <c r="BHI53" s="489"/>
      <c r="BHJ53" s="489"/>
      <c r="BHK53" s="489"/>
      <c r="BHL53" s="489"/>
      <c r="BHM53" s="489"/>
      <c r="BHN53" s="489"/>
      <c r="BHO53" s="489"/>
      <c r="BHP53" s="489"/>
      <c r="BHQ53" s="489"/>
      <c r="BHR53" s="489"/>
      <c r="BHS53" s="489"/>
      <c r="BHT53" s="489"/>
      <c r="BHU53" s="489"/>
      <c r="BHV53" s="489"/>
      <c r="BHW53" s="489"/>
      <c r="BHX53" s="489"/>
      <c r="BHY53" s="489"/>
      <c r="BHZ53" s="489"/>
      <c r="BIA53" s="489"/>
      <c r="BIB53" s="489"/>
      <c r="BIC53" s="489"/>
      <c r="BID53" s="489"/>
      <c r="BIE53" s="489"/>
      <c r="BIF53" s="489"/>
      <c r="BIG53" s="489"/>
      <c r="BIH53" s="489"/>
      <c r="BII53" s="489"/>
      <c r="BIJ53" s="489"/>
      <c r="BIK53" s="489"/>
      <c r="BIL53" s="489"/>
      <c r="BIM53" s="489"/>
      <c r="BIN53" s="489"/>
      <c r="BIO53" s="489"/>
      <c r="BIP53" s="489"/>
      <c r="BIQ53" s="489"/>
      <c r="BIR53" s="489"/>
      <c r="BIS53" s="489"/>
      <c r="BIT53" s="489"/>
      <c r="BIU53" s="489"/>
      <c r="BIV53" s="489"/>
      <c r="BIW53" s="489"/>
      <c r="BIX53" s="489"/>
      <c r="BIY53" s="489"/>
      <c r="BIZ53" s="489"/>
      <c r="BJA53" s="489"/>
      <c r="BJB53" s="489"/>
      <c r="BJC53" s="489"/>
      <c r="BJD53" s="489"/>
      <c r="BJE53" s="489"/>
      <c r="BJF53" s="489"/>
      <c r="BJG53" s="489"/>
      <c r="BJH53" s="489"/>
      <c r="BJI53" s="489"/>
      <c r="BJJ53" s="489"/>
      <c r="BJK53" s="489"/>
      <c r="BJL53" s="489"/>
      <c r="BJM53" s="489"/>
      <c r="BJN53" s="489"/>
      <c r="BJO53" s="489"/>
      <c r="BJP53" s="489"/>
      <c r="BJQ53" s="489"/>
      <c r="BJR53" s="489"/>
      <c r="BJS53" s="489"/>
      <c r="BJT53" s="489"/>
      <c r="BJU53" s="489"/>
      <c r="BJV53" s="489"/>
      <c r="BJW53" s="489"/>
      <c r="BJX53" s="489"/>
      <c r="BJY53" s="489"/>
      <c r="BJZ53" s="489"/>
      <c r="BKA53" s="489"/>
      <c r="BKB53" s="489"/>
      <c r="BKC53" s="489"/>
      <c r="BKD53" s="489"/>
      <c r="BKE53" s="489"/>
      <c r="BKF53" s="489"/>
      <c r="BKG53" s="489"/>
      <c r="BKH53" s="489"/>
      <c r="BKI53" s="489"/>
      <c r="BKJ53" s="489"/>
      <c r="BKK53" s="489"/>
      <c r="BKL53" s="489"/>
      <c r="BKM53" s="489"/>
      <c r="BKN53" s="489"/>
      <c r="BKO53" s="489"/>
      <c r="BKP53" s="489"/>
      <c r="BKQ53" s="489"/>
      <c r="BKR53" s="489"/>
      <c r="BKS53" s="489"/>
      <c r="BKT53" s="489"/>
      <c r="BKU53" s="489"/>
      <c r="BKV53" s="489"/>
      <c r="BKW53" s="489"/>
      <c r="BKX53" s="489"/>
      <c r="BKY53" s="489"/>
      <c r="BKZ53" s="489"/>
      <c r="BLA53" s="489"/>
      <c r="BLB53" s="489"/>
      <c r="BLC53" s="489"/>
      <c r="BLD53" s="489"/>
      <c r="BLE53" s="489"/>
      <c r="BLF53" s="489"/>
      <c r="BLG53" s="489"/>
      <c r="BLH53" s="489"/>
      <c r="BLI53" s="489"/>
      <c r="BLJ53" s="489"/>
      <c r="BLK53" s="489"/>
      <c r="BLL53" s="489"/>
      <c r="BLM53" s="489"/>
      <c r="BLN53" s="489"/>
      <c r="BLO53" s="489"/>
      <c r="BLP53" s="489"/>
      <c r="BLQ53" s="489"/>
      <c r="BLR53" s="489"/>
      <c r="BLS53" s="489"/>
      <c r="BLT53" s="489"/>
      <c r="BLU53" s="489"/>
      <c r="BLV53" s="489"/>
      <c r="BLW53" s="489"/>
      <c r="BLX53" s="489"/>
      <c r="BLY53" s="489"/>
      <c r="BLZ53" s="489"/>
      <c r="BMA53" s="489"/>
      <c r="BMB53" s="489"/>
      <c r="BMC53" s="489"/>
      <c r="BMD53" s="489"/>
      <c r="BME53" s="489"/>
      <c r="BMF53" s="489"/>
      <c r="BMG53" s="489"/>
      <c r="BMH53" s="489"/>
      <c r="BMI53" s="489"/>
      <c r="BMJ53" s="489"/>
      <c r="BMK53" s="489"/>
      <c r="BML53" s="489"/>
      <c r="BMM53" s="489"/>
      <c r="BMN53" s="489"/>
      <c r="BMO53" s="489"/>
      <c r="BMP53" s="489"/>
      <c r="BMQ53" s="489"/>
      <c r="BMR53" s="489"/>
      <c r="BMS53" s="489"/>
      <c r="BMT53" s="489"/>
      <c r="BMU53" s="489"/>
      <c r="BMV53" s="489"/>
      <c r="BMW53" s="489"/>
      <c r="BMX53" s="489"/>
      <c r="BMY53" s="489"/>
      <c r="BMZ53" s="489"/>
      <c r="BNA53" s="489"/>
      <c r="BNB53" s="489"/>
      <c r="BNC53" s="489"/>
      <c r="BND53" s="489"/>
      <c r="BNE53" s="489"/>
      <c r="BNF53" s="489"/>
      <c r="BNG53" s="489"/>
      <c r="BNH53" s="489"/>
      <c r="BNI53" s="489"/>
      <c r="BNJ53" s="489"/>
      <c r="BNK53" s="489"/>
      <c r="BNL53" s="489"/>
      <c r="BNM53" s="489"/>
      <c r="BNN53" s="489"/>
      <c r="BNO53" s="489"/>
      <c r="BNP53" s="489"/>
      <c r="BNQ53" s="489"/>
      <c r="BNR53" s="489"/>
      <c r="BNS53" s="489"/>
      <c r="BNT53" s="489"/>
      <c r="BNU53" s="489"/>
      <c r="BNV53" s="489"/>
      <c r="BNW53" s="489"/>
      <c r="BNX53" s="489"/>
      <c r="BNY53" s="489"/>
      <c r="BNZ53" s="489"/>
      <c r="BOA53" s="489"/>
      <c r="BOB53" s="489"/>
      <c r="BOC53" s="489"/>
      <c r="BOD53" s="489"/>
      <c r="BOE53" s="489"/>
      <c r="BOF53" s="489"/>
      <c r="BOG53" s="489"/>
      <c r="BOH53" s="489"/>
      <c r="BOI53" s="489"/>
      <c r="BOJ53" s="489"/>
      <c r="BOK53" s="489"/>
      <c r="BOL53" s="489"/>
      <c r="BOM53" s="489"/>
      <c r="BON53" s="489"/>
      <c r="BOO53" s="489"/>
      <c r="BOP53" s="489"/>
      <c r="BOQ53" s="489"/>
      <c r="BOR53" s="489"/>
      <c r="BOS53" s="489"/>
      <c r="BOT53" s="489"/>
      <c r="BOU53" s="489"/>
      <c r="BOV53" s="489"/>
      <c r="BOW53" s="489"/>
      <c r="BOX53" s="489"/>
      <c r="BOY53" s="489"/>
      <c r="BOZ53" s="489"/>
      <c r="BPA53" s="489"/>
      <c r="BPB53" s="489"/>
      <c r="BPC53" s="489"/>
      <c r="BPD53" s="489"/>
      <c r="BPE53" s="489"/>
      <c r="BPF53" s="489"/>
      <c r="BPG53" s="489"/>
      <c r="BPH53" s="489"/>
      <c r="BPI53" s="489"/>
      <c r="BPJ53" s="489"/>
      <c r="BPK53" s="489"/>
      <c r="BPL53" s="489"/>
      <c r="BPM53" s="489"/>
      <c r="BPN53" s="489"/>
      <c r="BPO53" s="489"/>
      <c r="BPP53" s="489"/>
      <c r="BPQ53" s="489"/>
      <c r="BPR53" s="489"/>
      <c r="BPS53" s="489"/>
      <c r="BPT53" s="489"/>
      <c r="BPU53" s="489"/>
      <c r="BPV53" s="489"/>
      <c r="BPW53" s="489"/>
      <c r="BPX53" s="489"/>
      <c r="BPY53" s="489"/>
      <c r="BPZ53" s="489"/>
      <c r="BQA53" s="489"/>
      <c r="BQB53" s="489"/>
      <c r="BQC53" s="489"/>
      <c r="BQD53" s="489"/>
      <c r="BQE53" s="489"/>
      <c r="BQF53" s="489"/>
      <c r="BQG53" s="489"/>
      <c r="BQH53" s="489"/>
      <c r="BQI53" s="489"/>
      <c r="BQJ53" s="489"/>
      <c r="BQK53" s="489"/>
      <c r="BQL53" s="489"/>
      <c r="BQM53" s="489"/>
      <c r="BQN53" s="489"/>
      <c r="BQO53" s="489"/>
      <c r="BQP53" s="489"/>
      <c r="BQQ53" s="489"/>
      <c r="BQR53" s="489"/>
      <c r="BQS53" s="489"/>
      <c r="BQT53" s="489"/>
      <c r="BQU53" s="489"/>
      <c r="BQV53" s="489"/>
      <c r="BQW53" s="489"/>
      <c r="BQX53" s="489"/>
      <c r="BQY53" s="489"/>
      <c r="BQZ53" s="489"/>
      <c r="BRA53" s="489"/>
      <c r="BRB53" s="489"/>
      <c r="BRC53" s="489"/>
      <c r="BRD53" s="489"/>
      <c r="BRE53" s="489"/>
      <c r="BRF53" s="489"/>
      <c r="BRG53" s="489"/>
      <c r="BRH53" s="489"/>
      <c r="BRI53" s="489"/>
      <c r="BRJ53" s="489"/>
      <c r="BRK53" s="489"/>
      <c r="BRL53" s="489"/>
      <c r="BRM53" s="489"/>
      <c r="BRN53" s="489"/>
      <c r="BRO53" s="489"/>
      <c r="BRP53" s="489"/>
      <c r="BRQ53" s="489"/>
      <c r="BRR53" s="489"/>
      <c r="BRS53" s="489"/>
      <c r="BRT53" s="489"/>
      <c r="BRU53" s="489"/>
      <c r="BRV53" s="489"/>
      <c r="BRW53" s="489"/>
      <c r="BRX53" s="489"/>
      <c r="BRY53" s="489"/>
      <c r="BRZ53" s="489"/>
      <c r="BSA53" s="489"/>
      <c r="BSB53" s="489"/>
      <c r="BSC53" s="489"/>
      <c r="BSD53" s="489"/>
      <c r="BSE53" s="489"/>
      <c r="BSF53" s="489"/>
      <c r="BSG53" s="489"/>
      <c r="BSH53" s="489"/>
      <c r="BSI53" s="489"/>
      <c r="BSJ53" s="489"/>
      <c r="BSK53" s="489"/>
      <c r="BSL53" s="489"/>
      <c r="BSM53" s="489"/>
      <c r="BSN53" s="489"/>
      <c r="BSO53" s="489"/>
      <c r="BSP53" s="489"/>
      <c r="BSQ53" s="489"/>
      <c r="BSR53" s="489"/>
      <c r="BSS53" s="489"/>
      <c r="BST53" s="489"/>
      <c r="BSU53" s="489"/>
      <c r="BSV53" s="489"/>
      <c r="BSW53" s="489"/>
      <c r="BSX53" s="489"/>
      <c r="BSY53" s="489"/>
      <c r="BSZ53" s="489"/>
      <c r="BTA53" s="489"/>
      <c r="BTB53" s="489"/>
      <c r="BTC53" s="489"/>
      <c r="BTD53" s="489"/>
      <c r="BTE53" s="489"/>
      <c r="BTF53" s="489"/>
      <c r="BTG53" s="489"/>
      <c r="BTH53" s="489"/>
      <c r="BTI53" s="489"/>
      <c r="BTJ53" s="489"/>
      <c r="BTK53" s="489"/>
      <c r="BTL53" s="489"/>
      <c r="BTM53" s="489"/>
      <c r="BTN53" s="489"/>
      <c r="BTO53" s="489"/>
      <c r="BTP53" s="489"/>
      <c r="BTQ53" s="489"/>
      <c r="BTR53" s="489"/>
      <c r="BTS53" s="489"/>
      <c r="BTT53" s="489"/>
      <c r="BTU53" s="489"/>
      <c r="BTV53" s="489"/>
      <c r="BTW53" s="489"/>
      <c r="BTX53" s="489"/>
      <c r="BTY53" s="489"/>
      <c r="BTZ53" s="489"/>
      <c r="BUA53" s="489"/>
      <c r="BUB53" s="489"/>
      <c r="BUC53" s="489"/>
      <c r="BUD53" s="489"/>
      <c r="BUE53" s="489"/>
      <c r="BUF53" s="489"/>
      <c r="BUG53" s="489"/>
      <c r="BUH53" s="489"/>
      <c r="BUI53" s="489"/>
      <c r="BUJ53" s="489"/>
      <c r="BUK53" s="489"/>
      <c r="BUL53" s="489"/>
      <c r="BUM53" s="489"/>
      <c r="BUN53" s="489"/>
      <c r="BUO53" s="489"/>
      <c r="BUP53" s="489"/>
      <c r="BUQ53" s="489"/>
      <c r="BUR53" s="489"/>
      <c r="BUS53" s="489"/>
      <c r="BUT53" s="489"/>
      <c r="BUU53" s="489"/>
      <c r="BUV53" s="489"/>
      <c r="BUW53" s="489"/>
      <c r="BUX53" s="489"/>
      <c r="BUY53" s="489"/>
      <c r="BUZ53" s="489"/>
      <c r="BVA53" s="489"/>
      <c r="BVB53" s="489"/>
      <c r="BVC53" s="489"/>
      <c r="BVD53" s="489"/>
      <c r="BVE53" s="489"/>
      <c r="BVF53" s="489"/>
      <c r="BVG53" s="489"/>
      <c r="BVH53" s="489"/>
      <c r="BVI53" s="489"/>
      <c r="BVJ53" s="489"/>
      <c r="BVK53" s="489"/>
      <c r="BVL53" s="489"/>
      <c r="BVM53" s="489"/>
      <c r="BVN53" s="489"/>
      <c r="BVO53" s="489"/>
      <c r="BVP53" s="489"/>
      <c r="BVQ53" s="489"/>
      <c r="BVR53" s="489"/>
      <c r="BVS53" s="489"/>
      <c r="BVT53" s="489"/>
      <c r="BVU53" s="489"/>
      <c r="BVV53" s="489"/>
      <c r="BVW53" s="489"/>
      <c r="BVX53" s="489"/>
      <c r="BVY53" s="489"/>
      <c r="BVZ53" s="489"/>
      <c r="BWA53" s="489"/>
      <c r="BWB53" s="489"/>
      <c r="BWC53" s="489"/>
      <c r="BWD53" s="489"/>
      <c r="BWE53" s="489"/>
      <c r="BWF53" s="489"/>
      <c r="BWG53" s="489"/>
      <c r="BWH53" s="489"/>
      <c r="BWI53" s="489"/>
      <c r="BWJ53" s="489"/>
      <c r="BWK53" s="489"/>
      <c r="BWL53" s="489"/>
      <c r="BWM53" s="489"/>
      <c r="BWN53" s="489"/>
      <c r="BWO53" s="489"/>
      <c r="BWP53" s="489"/>
      <c r="BWQ53" s="489"/>
      <c r="BWR53" s="489"/>
      <c r="BWS53" s="489"/>
      <c r="BWT53" s="489"/>
      <c r="BWU53" s="489"/>
      <c r="BWV53" s="489"/>
      <c r="BWW53" s="489"/>
      <c r="BWX53" s="489"/>
      <c r="BWY53" s="489"/>
      <c r="BWZ53" s="489"/>
      <c r="BXA53" s="489"/>
      <c r="BXB53" s="489"/>
      <c r="BXC53" s="489"/>
      <c r="BXD53" s="489"/>
      <c r="BXE53" s="489"/>
      <c r="BXF53" s="489"/>
      <c r="BXG53" s="489"/>
      <c r="BXH53" s="489"/>
      <c r="BXI53" s="489"/>
      <c r="BXJ53" s="489"/>
      <c r="BXK53" s="489"/>
      <c r="BXL53" s="489"/>
      <c r="BXM53" s="489"/>
      <c r="BXN53" s="489"/>
      <c r="BXO53" s="489"/>
      <c r="BXP53" s="489"/>
      <c r="BXQ53" s="489"/>
      <c r="BXR53" s="489"/>
      <c r="BXS53" s="489"/>
      <c r="BXT53" s="489"/>
      <c r="BXU53" s="489"/>
      <c r="BXV53" s="489"/>
      <c r="BXW53" s="489"/>
      <c r="BXX53" s="489"/>
      <c r="BXY53" s="489"/>
      <c r="BXZ53" s="489"/>
      <c r="BYA53" s="489"/>
      <c r="BYB53" s="489"/>
      <c r="BYC53" s="489"/>
      <c r="BYD53" s="489"/>
      <c r="BYE53" s="489"/>
      <c r="BYF53" s="489"/>
      <c r="BYG53" s="489"/>
      <c r="BYH53" s="489"/>
      <c r="BYI53" s="489"/>
      <c r="BYJ53" s="489"/>
      <c r="BYK53" s="489"/>
      <c r="BYL53" s="489"/>
      <c r="BYM53" s="489"/>
      <c r="BYN53" s="489"/>
      <c r="BYO53" s="489"/>
      <c r="BYP53" s="489"/>
      <c r="BYQ53" s="489"/>
      <c r="BYR53" s="489"/>
      <c r="BYS53" s="489"/>
      <c r="BYT53" s="489"/>
      <c r="BYU53" s="489"/>
      <c r="BYV53" s="489"/>
      <c r="BYW53" s="489"/>
      <c r="BYX53" s="489"/>
      <c r="BYY53" s="489"/>
      <c r="BYZ53" s="489"/>
      <c r="BZA53" s="489"/>
      <c r="BZB53" s="489"/>
      <c r="BZC53" s="489"/>
      <c r="BZD53" s="489"/>
      <c r="BZE53" s="489"/>
      <c r="BZF53" s="489"/>
      <c r="BZG53" s="489"/>
      <c r="BZH53" s="489"/>
      <c r="BZI53" s="489"/>
      <c r="BZJ53" s="489"/>
      <c r="BZK53" s="489"/>
      <c r="BZL53" s="489"/>
      <c r="BZM53" s="489"/>
      <c r="BZN53" s="489"/>
      <c r="BZO53" s="489"/>
      <c r="BZP53" s="489"/>
      <c r="BZQ53" s="489"/>
      <c r="BZR53" s="489"/>
      <c r="BZS53" s="489"/>
      <c r="BZT53" s="489"/>
      <c r="BZU53" s="489"/>
      <c r="BZV53" s="489"/>
      <c r="BZW53" s="489"/>
      <c r="BZX53" s="489"/>
      <c r="BZY53" s="489"/>
      <c r="BZZ53" s="489"/>
      <c r="CAA53" s="489"/>
      <c r="CAB53" s="489"/>
      <c r="CAC53" s="489"/>
      <c r="CAD53" s="489"/>
      <c r="CAE53" s="489"/>
      <c r="CAF53" s="489"/>
      <c r="CAG53" s="489"/>
      <c r="CAH53" s="489"/>
      <c r="CAI53" s="489"/>
      <c r="CAJ53" s="489"/>
      <c r="CAK53" s="489"/>
      <c r="CAL53" s="489"/>
      <c r="CAM53" s="489"/>
      <c r="CAN53" s="489"/>
      <c r="CAO53" s="489"/>
      <c r="CAP53" s="489"/>
      <c r="CAQ53" s="489"/>
      <c r="CAR53" s="489"/>
      <c r="CAS53" s="489"/>
      <c r="CAT53" s="489"/>
      <c r="CAU53" s="489"/>
      <c r="CAV53" s="489"/>
      <c r="CAW53" s="489"/>
      <c r="CAX53" s="489"/>
      <c r="CAY53" s="489"/>
      <c r="CAZ53" s="489"/>
      <c r="CBA53" s="489"/>
      <c r="CBB53" s="489"/>
      <c r="CBC53" s="489"/>
      <c r="CBD53" s="489"/>
      <c r="CBE53" s="489"/>
      <c r="CBF53" s="489"/>
      <c r="CBG53" s="489"/>
      <c r="CBH53" s="489"/>
      <c r="CBI53" s="489"/>
      <c r="CBJ53" s="489"/>
      <c r="CBK53" s="489"/>
      <c r="CBL53" s="489"/>
      <c r="CBM53" s="489"/>
      <c r="CBN53" s="489"/>
      <c r="CBO53" s="489"/>
      <c r="CBP53" s="489"/>
      <c r="CBQ53" s="489"/>
      <c r="CBR53" s="489"/>
      <c r="CBS53" s="489"/>
      <c r="CBT53" s="489"/>
      <c r="CBU53" s="489"/>
      <c r="CBV53" s="489"/>
      <c r="CBW53" s="489"/>
      <c r="CBX53" s="489"/>
      <c r="CBY53" s="489"/>
      <c r="CBZ53" s="489"/>
      <c r="CCA53" s="489"/>
      <c r="CCB53" s="489"/>
      <c r="CCC53" s="489"/>
      <c r="CCD53" s="489"/>
      <c r="CCE53" s="489"/>
      <c r="CCF53" s="489"/>
      <c r="CCG53" s="489"/>
      <c r="CCH53" s="489"/>
      <c r="CCI53" s="489"/>
      <c r="CCJ53" s="489"/>
      <c r="CCK53" s="489"/>
      <c r="CCL53" s="489"/>
      <c r="CCM53" s="489"/>
      <c r="CCN53" s="489"/>
      <c r="CCO53" s="489"/>
      <c r="CCP53" s="489"/>
      <c r="CCQ53" s="489"/>
      <c r="CCR53" s="489"/>
      <c r="CCS53" s="489"/>
      <c r="CCT53" s="489"/>
      <c r="CCU53" s="489"/>
      <c r="CCV53" s="489"/>
      <c r="CCW53" s="489"/>
      <c r="CCX53" s="489"/>
      <c r="CCY53" s="489"/>
      <c r="CCZ53" s="489"/>
      <c r="CDA53" s="489"/>
      <c r="CDB53" s="489"/>
      <c r="CDC53" s="489"/>
      <c r="CDD53" s="489"/>
      <c r="CDE53" s="489"/>
      <c r="CDF53" s="489"/>
      <c r="CDG53" s="489"/>
      <c r="CDH53" s="489"/>
      <c r="CDI53" s="489"/>
      <c r="CDJ53" s="489"/>
      <c r="CDK53" s="489"/>
      <c r="CDL53" s="489"/>
      <c r="CDM53" s="489"/>
      <c r="CDN53" s="489"/>
      <c r="CDO53" s="489"/>
      <c r="CDP53" s="489"/>
      <c r="CDQ53" s="489"/>
      <c r="CDR53" s="489"/>
      <c r="CDS53" s="489"/>
      <c r="CDT53" s="489"/>
      <c r="CDU53" s="489"/>
      <c r="CDV53" s="489"/>
      <c r="CDW53" s="489"/>
      <c r="CDX53" s="489"/>
      <c r="CDY53" s="489"/>
      <c r="CDZ53" s="489"/>
      <c r="CEA53" s="489"/>
      <c r="CEB53" s="489"/>
      <c r="CEC53" s="489"/>
      <c r="CED53" s="489"/>
      <c r="CEE53" s="489"/>
      <c r="CEF53" s="489"/>
      <c r="CEG53" s="489"/>
      <c r="CEH53" s="489"/>
      <c r="CEI53" s="489"/>
      <c r="CEJ53" s="489"/>
      <c r="CEK53" s="489"/>
      <c r="CEL53" s="489"/>
      <c r="CEM53" s="489"/>
      <c r="CEN53" s="489"/>
      <c r="CEO53" s="489"/>
      <c r="CEP53" s="489"/>
      <c r="CEQ53" s="489"/>
      <c r="CER53" s="489"/>
      <c r="CES53" s="489"/>
      <c r="CET53" s="489"/>
      <c r="CEU53" s="489"/>
      <c r="CEV53" s="489"/>
      <c r="CEW53" s="489"/>
      <c r="CEX53" s="489"/>
      <c r="CEY53" s="489"/>
      <c r="CEZ53" s="489"/>
      <c r="CFA53" s="489"/>
      <c r="CFB53" s="489"/>
      <c r="CFC53" s="489"/>
      <c r="CFD53" s="489"/>
      <c r="CFE53" s="489"/>
      <c r="CFF53" s="489"/>
      <c r="CFG53" s="489"/>
      <c r="CFH53" s="489"/>
      <c r="CFI53" s="489"/>
      <c r="CFJ53" s="489"/>
      <c r="CFK53" s="489"/>
      <c r="CFL53" s="489"/>
      <c r="CFM53" s="489"/>
      <c r="CFN53" s="489"/>
      <c r="CFO53" s="489"/>
      <c r="CFP53" s="489"/>
      <c r="CFQ53" s="489"/>
      <c r="CFR53" s="489"/>
      <c r="CFS53" s="489"/>
      <c r="CFT53" s="489"/>
      <c r="CFU53" s="489"/>
      <c r="CFV53" s="489"/>
      <c r="CFW53" s="489"/>
      <c r="CFX53" s="489"/>
      <c r="CFY53" s="489"/>
      <c r="CFZ53" s="489"/>
      <c r="CGA53" s="489"/>
      <c r="CGB53" s="489"/>
      <c r="CGC53" s="489"/>
      <c r="CGD53" s="489"/>
      <c r="CGE53" s="489"/>
      <c r="CGF53" s="489"/>
      <c r="CGG53" s="489"/>
      <c r="CGH53" s="489"/>
      <c r="CGI53" s="489"/>
      <c r="CGJ53" s="489"/>
      <c r="CGK53" s="489"/>
      <c r="CGL53" s="489"/>
      <c r="CGM53" s="489"/>
      <c r="CGN53" s="489"/>
      <c r="CGO53" s="489"/>
      <c r="CGP53" s="489"/>
      <c r="CGQ53" s="489"/>
      <c r="CGR53" s="489"/>
      <c r="CGS53" s="489"/>
      <c r="CGT53" s="489"/>
      <c r="CGU53" s="489"/>
      <c r="CGV53" s="489"/>
      <c r="CGW53" s="489"/>
      <c r="CGX53" s="489"/>
      <c r="CGY53" s="489"/>
      <c r="CGZ53" s="489"/>
      <c r="CHA53" s="489"/>
      <c r="CHB53" s="489"/>
      <c r="CHC53" s="489"/>
      <c r="CHD53" s="489"/>
      <c r="CHE53" s="489"/>
      <c r="CHF53" s="489"/>
      <c r="CHG53" s="489"/>
      <c r="CHH53" s="489"/>
      <c r="CHI53" s="489"/>
      <c r="CHJ53" s="489"/>
      <c r="CHK53" s="489"/>
      <c r="CHL53" s="489"/>
      <c r="CHM53" s="489"/>
      <c r="CHN53" s="489"/>
      <c r="CHO53" s="489"/>
      <c r="CHP53" s="489"/>
      <c r="CHQ53" s="489"/>
      <c r="CHR53" s="489"/>
      <c r="CHS53" s="489"/>
      <c r="CHT53" s="489"/>
      <c r="CHU53" s="489"/>
      <c r="CHV53" s="489"/>
      <c r="CHW53" s="489"/>
      <c r="CHX53" s="489"/>
      <c r="CHY53" s="489"/>
      <c r="CHZ53" s="489"/>
      <c r="CIA53" s="489"/>
      <c r="CIB53" s="489"/>
      <c r="CIC53" s="489"/>
      <c r="CID53" s="489"/>
      <c r="CIE53" s="489"/>
      <c r="CIF53" s="489"/>
      <c r="CIG53" s="489"/>
      <c r="CIH53" s="489"/>
      <c r="CII53" s="489"/>
      <c r="CIJ53" s="489"/>
      <c r="CIK53" s="489"/>
      <c r="CIL53" s="489"/>
      <c r="CIM53" s="489"/>
      <c r="CIN53" s="489"/>
      <c r="CIO53" s="489"/>
      <c r="CIP53" s="489"/>
      <c r="CIQ53" s="489"/>
      <c r="CIR53" s="489"/>
      <c r="CIS53" s="489"/>
      <c r="CIT53" s="489"/>
      <c r="CIU53" s="489"/>
      <c r="CIV53" s="489"/>
      <c r="CIW53" s="489"/>
      <c r="CIX53" s="489"/>
      <c r="CIY53" s="489"/>
      <c r="CIZ53" s="489"/>
      <c r="CJA53" s="489"/>
      <c r="CJB53" s="489"/>
      <c r="CJC53" s="489"/>
      <c r="CJD53" s="489"/>
      <c r="CJE53" s="489"/>
      <c r="CJF53" s="489"/>
      <c r="CJG53" s="489"/>
      <c r="CJH53" s="489"/>
      <c r="CJI53" s="489"/>
      <c r="CJJ53" s="489"/>
      <c r="CJK53" s="489"/>
      <c r="CJL53" s="489"/>
      <c r="CJM53" s="489"/>
      <c r="CJN53" s="489"/>
      <c r="CJO53" s="489"/>
      <c r="CJP53" s="489"/>
      <c r="CJQ53" s="489"/>
      <c r="CJR53" s="489"/>
      <c r="CJS53" s="489"/>
      <c r="CJT53" s="489"/>
      <c r="CJU53" s="489"/>
      <c r="CJV53" s="489"/>
      <c r="CJW53" s="489"/>
      <c r="CJX53" s="489"/>
      <c r="CJY53" s="489"/>
      <c r="CJZ53" s="489"/>
      <c r="CKA53" s="489"/>
      <c r="CKB53" s="489"/>
      <c r="CKC53" s="489"/>
      <c r="CKD53" s="489"/>
      <c r="CKE53" s="489"/>
      <c r="CKF53" s="489"/>
      <c r="CKG53" s="489"/>
      <c r="CKH53" s="489"/>
      <c r="CKI53" s="489"/>
      <c r="CKJ53" s="489"/>
      <c r="CKK53" s="489"/>
      <c r="CKL53" s="489"/>
      <c r="CKM53" s="489"/>
      <c r="CKN53" s="489"/>
      <c r="CKO53" s="489"/>
      <c r="CKP53" s="489"/>
      <c r="CKQ53" s="489"/>
      <c r="CKR53" s="489"/>
      <c r="CKS53" s="489"/>
      <c r="CKT53" s="489"/>
      <c r="CKU53" s="489"/>
      <c r="CKV53" s="489"/>
      <c r="CKW53" s="489"/>
      <c r="CKX53" s="489"/>
      <c r="CKY53" s="489"/>
      <c r="CKZ53" s="489"/>
      <c r="CLA53" s="489"/>
      <c r="CLB53" s="489"/>
      <c r="CLC53" s="489"/>
      <c r="CLD53" s="489"/>
      <c r="CLE53" s="489"/>
      <c r="CLF53" s="489"/>
      <c r="CLG53" s="489"/>
      <c r="CLH53" s="489"/>
      <c r="CLI53" s="489"/>
      <c r="CLJ53" s="489"/>
      <c r="CLK53" s="489"/>
      <c r="CLL53" s="489"/>
      <c r="CLM53" s="489"/>
      <c r="CLN53" s="489"/>
      <c r="CLO53" s="489"/>
      <c r="CLP53" s="489"/>
      <c r="CLQ53" s="489"/>
      <c r="CLR53" s="489"/>
      <c r="CLS53" s="489"/>
      <c r="CLT53" s="489"/>
      <c r="CLU53" s="489"/>
      <c r="CLV53" s="489"/>
      <c r="CLW53" s="489"/>
      <c r="CLX53" s="489"/>
      <c r="CLY53" s="489"/>
      <c r="CLZ53" s="489"/>
      <c r="CMA53" s="489"/>
      <c r="CMB53" s="489"/>
      <c r="CMC53" s="489"/>
      <c r="CMD53" s="489"/>
      <c r="CME53" s="489"/>
      <c r="CMF53" s="489"/>
      <c r="CMG53" s="489"/>
      <c r="CMH53" s="489"/>
      <c r="CMI53" s="489"/>
      <c r="CMJ53" s="489"/>
      <c r="CMK53" s="489"/>
      <c r="CML53" s="489"/>
      <c r="CMM53" s="489"/>
      <c r="CMN53" s="489"/>
      <c r="CMO53" s="489"/>
      <c r="CMP53" s="489"/>
      <c r="CMQ53" s="489"/>
      <c r="CMR53" s="489"/>
      <c r="CMS53" s="489"/>
      <c r="CMT53" s="489"/>
      <c r="CMU53" s="489"/>
      <c r="CMV53" s="489"/>
      <c r="CMW53" s="489"/>
      <c r="CMX53" s="489"/>
      <c r="CMY53" s="489"/>
      <c r="CMZ53" s="489"/>
      <c r="CNA53" s="489"/>
      <c r="CNB53" s="489"/>
      <c r="CNC53" s="489"/>
      <c r="CND53" s="489"/>
      <c r="CNE53" s="489"/>
      <c r="CNF53" s="489"/>
      <c r="CNG53" s="489"/>
      <c r="CNH53" s="489"/>
      <c r="CNI53" s="489"/>
      <c r="CNJ53" s="489"/>
      <c r="CNK53" s="489"/>
      <c r="CNL53" s="489"/>
      <c r="CNM53" s="489"/>
      <c r="CNN53" s="489"/>
      <c r="CNO53" s="489"/>
      <c r="CNP53" s="489"/>
      <c r="CNQ53" s="489"/>
      <c r="CNR53" s="489"/>
      <c r="CNS53" s="489"/>
      <c r="CNT53" s="489"/>
      <c r="CNU53" s="489"/>
      <c r="CNV53" s="489"/>
      <c r="CNW53" s="489"/>
      <c r="CNX53" s="489"/>
      <c r="CNY53" s="489"/>
      <c r="CNZ53" s="489"/>
      <c r="COA53" s="489"/>
      <c r="COB53" s="489"/>
      <c r="COC53" s="489"/>
      <c r="COD53" s="489"/>
      <c r="COE53" s="489"/>
      <c r="COF53" s="489"/>
      <c r="COG53" s="489"/>
      <c r="COH53" s="489"/>
      <c r="COI53" s="489"/>
      <c r="COJ53" s="489"/>
      <c r="COK53" s="489"/>
      <c r="COL53" s="489"/>
      <c r="COM53" s="489"/>
      <c r="CON53" s="489"/>
      <c r="COO53" s="489"/>
      <c r="COP53" s="489"/>
      <c r="COQ53" s="489"/>
      <c r="COR53" s="489"/>
      <c r="COS53" s="489"/>
      <c r="COT53" s="489"/>
      <c r="COU53" s="489"/>
      <c r="COV53" s="489"/>
      <c r="COW53" s="489"/>
      <c r="COX53" s="489"/>
      <c r="COY53" s="489"/>
      <c r="COZ53" s="489"/>
      <c r="CPA53" s="489"/>
      <c r="CPB53" s="489"/>
      <c r="CPC53" s="489"/>
      <c r="CPD53" s="489"/>
      <c r="CPE53" s="489"/>
      <c r="CPF53" s="489"/>
      <c r="CPG53" s="489"/>
      <c r="CPH53" s="489"/>
      <c r="CPI53" s="489"/>
      <c r="CPJ53" s="489"/>
      <c r="CPK53" s="489"/>
      <c r="CPL53" s="489"/>
      <c r="CPM53" s="489"/>
      <c r="CPN53" s="489"/>
      <c r="CPO53" s="489"/>
      <c r="CPP53" s="489"/>
      <c r="CPQ53" s="489"/>
      <c r="CPR53" s="489"/>
      <c r="CPS53" s="489"/>
      <c r="CPT53" s="489"/>
      <c r="CPU53" s="489"/>
      <c r="CPV53" s="489"/>
      <c r="CPW53" s="489"/>
      <c r="CPX53" s="489"/>
      <c r="CPY53" s="489"/>
      <c r="CPZ53" s="489"/>
      <c r="CQA53" s="489"/>
      <c r="CQB53" s="489"/>
      <c r="CQC53" s="489"/>
      <c r="CQD53" s="489"/>
      <c r="CQE53" s="489"/>
      <c r="CQF53" s="489"/>
      <c r="CQG53" s="489"/>
      <c r="CQH53" s="489"/>
      <c r="CQI53" s="489"/>
      <c r="CQJ53" s="489"/>
      <c r="CQK53" s="489"/>
      <c r="CQL53" s="489"/>
      <c r="CQM53" s="489"/>
      <c r="CQN53" s="489"/>
      <c r="CQO53" s="489"/>
      <c r="CQP53" s="489"/>
      <c r="CQQ53" s="489"/>
      <c r="CQR53" s="489"/>
      <c r="CQS53" s="489"/>
      <c r="CQT53" s="489"/>
      <c r="CQU53" s="489"/>
      <c r="CQV53" s="489"/>
      <c r="CQW53" s="489"/>
      <c r="CQX53" s="489"/>
      <c r="CQY53" s="489"/>
      <c r="CQZ53" s="489"/>
      <c r="CRA53" s="489"/>
      <c r="CRB53" s="489"/>
      <c r="CRC53" s="489"/>
      <c r="CRD53" s="489"/>
      <c r="CRE53" s="489"/>
      <c r="CRF53" s="489"/>
      <c r="CRG53" s="489"/>
      <c r="CRH53" s="489"/>
      <c r="CRI53" s="489"/>
      <c r="CRJ53" s="489"/>
      <c r="CRK53" s="489"/>
      <c r="CRL53" s="489"/>
      <c r="CRM53" s="489"/>
      <c r="CRN53" s="489"/>
      <c r="CRO53" s="489"/>
      <c r="CRP53" s="489"/>
      <c r="CRQ53" s="489"/>
      <c r="CRR53" s="489"/>
      <c r="CRS53" s="489"/>
      <c r="CRT53" s="489"/>
      <c r="CRU53" s="489"/>
      <c r="CRV53" s="489"/>
      <c r="CRW53" s="489"/>
      <c r="CRX53" s="489"/>
      <c r="CRY53" s="489"/>
      <c r="CRZ53" s="489"/>
      <c r="CSA53" s="489"/>
      <c r="CSB53" s="489"/>
      <c r="CSC53" s="489"/>
      <c r="CSD53" s="489"/>
      <c r="CSE53" s="489"/>
      <c r="CSF53" s="489"/>
      <c r="CSG53" s="489"/>
      <c r="CSH53" s="489"/>
      <c r="CSI53" s="489"/>
      <c r="CSJ53" s="489"/>
      <c r="CSK53" s="489"/>
      <c r="CSL53" s="489"/>
      <c r="CSM53" s="489"/>
      <c r="CSN53" s="489"/>
      <c r="CSO53" s="489"/>
      <c r="CSP53" s="489"/>
      <c r="CSQ53" s="489"/>
      <c r="CSR53" s="489"/>
      <c r="CSS53" s="489"/>
      <c r="CST53" s="489"/>
      <c r="CSU53" s="489"/>
      <c r="CSV53" s="489"/>
      <c r="CSW53" s="489"/>
      <c r="CSX53" s="489"/>
      <c r="CSY53" s="489"/>
      <c r="CSZ53" s="489"/>
      <c r="CTA53" s="489"/>
      <c r="CTB53" s="489"/>
      <c r="CTC53" s="489"/>
      <c r="CTD53" s="489"/>
      <c r="CTE53" s="489"/>
      <c r="CTF53" s="489"/>
      <c r="CTG53" s="489"/>
      <c r="CTH53" s="489"/>
      <c r="CTI53" s="489"/>
      <c r="CTJ53" s="489"/>
      <c r="CTK53" s="489"/>
      <c r="CTL53" s="489"/>
      <c r="CTM53" s="489"/>
      <c r="CTN53" s="489"/>
      <c r="CTO53" s="489"/>
      <c r="CTP53" s="489"/>
      <c r="CTQ53" s="489"/>
      <c r="CTR53" s="489"/>
      <c r="CTS53" s="489"/>
      <c r="CTT53" s="489"/>
      <c r="CTU53" s="489"/>
      <c r="CTV53" s="489"/>
      <c r="CTW53" s="489"/>
      <c r="CTX53" s="489"/>
      <c r="CTY53" s="489"/>
      <c r="CTZ53" s="489"/>
      <c r="CUA53" s="489"/>
      <c r="CUB53" s="489"/>
      <c r="CUC53" s="489"/>
      <c r="CUD53" s="489"/>
      <c r="CUE53" s="489"/>
      <c r="CUF53" s="489"/>
      <c r="CUG53" s="489"/>
      <c r="CUH53" s="489"/>
      <c r="CUI53" s="489"/>
      <c r="CUJ53" s="489"/>
      <c r="CUK53" s="489"/>
      <c r="CUL53" s="489"/>
      <c r="CUM53" s="489"/>
      <c r="CUN53" s="489"/>
      <c r="CUO53" s="489"/>
      <c r="CUP53" s="489"/>
      <c r="CUQ53" s="489"/>
      <c r="CUR53" s="489"/>
      <c r="CUS53" s="489"/>
      <c r="CUT53" s="489"/>
      <c r="CUU53" s="489"/>
      <c r="CUV53" s="489"/>
      <c r="CUW53" s="489"/>
      <c r="CUX53" s="489"/>
      <c r="CUY53" s="489"/>
      <c r="CUZ53" s="489"/>
      <c r="CVA53" s="489"/>
      <c r="CVB53" s="489"/>
      <c r="CVC53" s="489"/>
      <c r="CVD53" s="489"/>
      <c r="CVE53" s="489"/>
      <c r="CVF53" s="489"/>
      <c r="CVG53" s="489"/>
      <c r="CVH53" s="489"/>
      <c r="CVI53" s="489"/>
      <c r="CVJ53" s="489"/>
      <c r="CVK53" s="489"/>
      <c r="CVL53" s="489"/>
      <c r="CVM53" s="489"/>
      <c r="CVN53" s="489"/>
      <c r="CVO53" s="489"/>
      <c r="CVP53" s="489"/>
      <c r="CVQ53" s="489"/>
      <c r="CVR53" s="489"/>
      <c r="CVS53" s="489"/>
      <c r="CVT53" s="489"/>
      <c r="CVU53" s="489"/>
      <c r="CVV53" s="489"/>
      <c r="CVW53" s="489"/>
      <c r="CVX53" s="489"/>
      <c r="CVY53" s="489"/>
      <c r="CVZ53" s="489"/>
      <c r="CWA53" s="489"/>
      <c r="CWB53" s="489"/>
      <c r="CWC53" s="489"/>
      <c r="CWD53" s="489"/>
      <c r="CWE53" s="489"/>
      <c r="CWF53" s="489"/>
      <c r="CWG53" s="489"/>
      <c r="CWH53" s="489"/>
      <c r="CWI53" s="489"/>
      <c r="CWJ53" s="489"/>
      <c r="CWK53" s="489"/>
      <c r="CWL53" s="489"/>
      <c r="CWM53" s="489"/>
      <c r="CWN53" s="489"/>
      <c r="CWO53" s="489"/>
      <c r="CWP53" s="489"/>
      <c r="CWQ53" s="489"/>
      <c r="CWR53" s="489"/>
      <c r="CWS53" s="489"/>
      <c r="CWT53" s="489"/>
      <c r="CWU53" s="489"/>
      <c r="CWV53" s="489"/>
      <c r="CWW53" s="489"/>
      <c r="CWX53" s="489"/>
      <c r="CWY53" s="489"/>
      <c r="CWZ53" s="489"/>
      <c r="CXA53" s="489"/>
      <c r="CXB53" s="489"/>
      <c r="CXC53" s="489"/>
      <c r="CXD53" s="489"/>
      <c r="CXE53" s="489"/>
      <c r="CXF53" s="489"/>
      <c r="CXG53" s="489"/>
      <c r="CXH53" s="489"/>
      <c r="CXI53" s="489"/>
      <c r="CXJ53" s="489"/>
      <c r="CXK53" s="489"/>
      <c r="CXL53" s="489"/>
      <c r="CXM53" s="489"/>
      <c r="CXN53" s="489"/>
      <c r="CXO53" s="489"/>
      <c r="CXP53" s="489"/>
      <c r="CXQ53" s="489"/>
      <c r="CXR53" s="489"/>
      <c r="CXS53" s="489"/>
      <c r="CXT53" s="489"/>
      <c r="CXU53" s="489"/>
      <c r="CXV53" s="489"/>
      <c r="CXW53" s="489"/>
      <c r="CXX53" s="489"/>
      <c r="CXY53" s="489"/>
      <c r="CXZ53" s="489"/>
      <c r="CYA53" s="489"/>
      <c r="CYB53" s="489"/>
      <c r="CYC53" s="489"/>
      <c r="CYD53" s="489"/>
      <c r="CYE53" s="489"/>
      <c r="CYF53" s="489"/>
      <c r="CYG53" s="489"/>
      <c r="CYH53" s="489"/>
      <c r="CYI53" s="489"/>
      <c r="CYJ53" s="489"/>
      <c r="CYK53" s="489"/>
      <c r="CYL53" s="489"/>
      <c r="CYM53" s="489"/>
      <c r="CYN53" s="489"/>
      <c r="CYO53" s="489"/>
      <c r="CYP53" s="489"/>
      <c r="CYQ53" s="489"/>
      <c r="CYR53" s="489"/>
      <c r="CYS53" s="489"/>
      <c r="CYT53" s="489"/>
      <c r="CYU53" s="489"/>
      <c r="CYV53" s="489"/>
      <c r="CYW53" s="489"/>
      <c r="CYX53" s="489"/>
      <c r="CYY53" s="489"/>
      <c r="CYZ53" s="489"/>
      <c r="CZA53" s="489"/>
      <c r="CZB53" s="489"/>
      <c r="CZC53" s="489"/>
      <c r="CZD53" s="489"/>
      <c r="CZE53" s="489"/>
      <c r="CZF53" s="489"/>
      <c r="CZG53" s="489"/>
      <c r="CZH53" s="489"/>
      <c r="CZI53" s="489"/>
      <c r="CZJ53" s="489"/>
      <c r="CZK53" s="489"/>
      <c r="CZL53" s="489"/>
      <c r="CZM53" s="489"/>
      <c r="CZN53" s="489"/>
      <c r="CZO53" s="489"/>
      <c r="CZP53" s="489"/>
      <c r="CZQ53" s="489"/>
      <c r="CZR53" s="489"/>
      <c r="CZS53" s="489"/>
      <c r="CZT53" s="489"/>
      <c r="CZU53" s="489"/>
      <c r="CZV53" s="489"/>
      <c r="CZW53" s="489"/>
      <c r="CZX53" s="489"/>
      <c r="CZY53" s="489"/>
      <c r="CZZ53" s="489"/>
      <c r="DAA53" s="489"/>
      <c r="DAB53" s="489"/>
      <c r="DAC53" s="489"/>
      <c r="DAD53" s="489"/>
      <c r="DAE53" s="489"/>
      <c r="DAF53" s="489"/>
      <c r="DAG53" s="489"/>
      <c r="DAH53" s="489"/>
      <c r="DAI53" s="489"/>
      <c r="DAJ53" s="489"/>
      <c r="DAK53" s="489"/>
      <c r="DAL53" s="489"/>
      <c r="DAM53" s="489"/>
      <c r="DAN53" s="489"/>
      <c r="DAO53" s="489"/>
      <c r="DAP53" s="489"/>
      <c r="DAQ53" s="489"/>
      <c r="DAR53" s="489"/>
      <c r="DAS53" s="489"/>
      <c r="DAT53" s="489"/>
      <c r="DAU53" s="489"/>
      <c r="DAV53" s="489"/>
      <c r="DAW53" s="489"/>
      <c r="DAX53" s="489"/>
      <c r="DAY53" s="489"/>
      <c r="DAZ53" s="489"/>
      <c r="DBA53" s="489"/>
      <c r="DBB53" s="489"/>
      <c r="DBC53" s="489"/>
      <c r="DBD53" s="489"/>
      <c r="DBE53" s="489"/>
      <c r="DBF53" s="489"/>
      <c r="DBG53" s="489"/>
      <c r="DBH53" s="489"/>
      <c r="DBI53" s="489"/>
      <c r="DBJ53" s="489"/>
      <c r="DBK53" s="489"/>
      <c r="DBL53" s="489"/>
      <c r="DBM53" s="489"/>
      <c r="DBN53" s="489"/>
      <c r="DBO53" s="489"/>
      <c r="DBP53" s="489"/>
      <c r="DBQ53" s="489"/>
      <c r="DBR53" s="489"/>
      <c r="DBS53" s="489"/>
      <c r="DBT53" s="489"/>
      <c r="DBU53" s="489"/>
      <c r="DBV53" s="489"/>
      <c r="DBW53" s="489"/>
      <c r="DBX53" s="489"/>
      <c r="DBY53" s="489"/>
      <c r="DBZ53" s="489"/>
      <c r="DCA53" s="489"/>
      <c r="DCB53" s="489"/>
      <c r="DCC53" s="489"/>
      <c r="DCD53" s="489"/>
      <c r="DCE53" s="489"/>
      <c r="DCF53" s="489"/>
      <c r="DCG53" s="489"/>
      <c r="DCH53" s="489"/>
      <c r="DCI53" s="489"/>
      <c r="DCJ53" s="489"/>
      <c r="DCK53" s="489"/>
      <c r="DCL53" s="489"/>
      <c r="DCM53" s="489"/>
      <c r="DCN53" s="489"/>
      <c r="DCO53" s="489"/>
      <c r="DCP53" s="489"/>
      <c r="DCQ53" s="489"/>
      <c r="DCR53" s="489"/>
      <c r="DCS53" s="489"/>
      <c r="DCT53" s="489"/>
      <c r="DCU53" s="489"/>
      <c r="DCV53" s="489"/>
      <c r="DCW53" s="489"/>
      <c r="DCX53" s="489"/>
      <c r="DCY53" s="489"/>
      <c r="DCZ53" s="489"/>
      <c r="DDA53" s="489"/>
      <c r="DDB53" s="489"/>
      <c r="DDC53" s="489"/>
      <c r="DDD53" s="489"/>
      <c r="DDE53" s="489"/>
      <c r="DDF53" s="489"/>
      <c r="DDG53" s="489"/>
      <c r="DDH53" s="489"/>
      <c r="DDI53" s="489"/>
      <c r="DDJ53" s="489"/>
      <c r="DDK53" s="489"/>
      <c r="DDL53" s="489"/>
      <c r="DDM53" s="489"/>
      <c r="DDN53" s="489"/>
      <c r="DDO53" s="489"/>
      <c r="DDP53" s="489"/>
      <c r="DDQ53" s="489"/>
      <c r="DDR53" s="489"/>
      <c r="DDS53" s="489"/>
      <c r="DDT53" s="489"/>
      <c r="DDU53" s="489"/>
      <c r="DDV53" s="489"/>
      <c r="DDW53" s="489"/>
      <c r="DDX53" s="489"/>
      <c r="DDY53" s="489"/>
      <c r="DDZ53" s="489"/>
      <c r="DEA53" s="489"/>
      <c r="DEB53" s="489"/>
      <c r="DEC53" s="489"/>
      <c r="DED53" s="489"/>
      <c r="DEE53" s="489"/>
      <c r="DEF53" s="489"/>
      <c r="DEG53" s="489"/>
      <c r="DEH53" s="489"/>
      <c r="DEI53" s="489"/>
      <c r="DEJ53" s="489"/>
      <c r="DEK53" s="489"/>
      <c r="DEL53" s="489"/>
      <c r="DEM53" s="489"/>
      <c r="DEN53" s="489"/>
      <c r="DEO53" s="489"/>
      <c r="DEP53" s="489"/>
      <c r="DEQ53" s="489"/>
      <c r="DER53" s="489"/>
      <c r="DES53" s="489"/>
      <c r="DET53" s="489"/>
      <c r="DEU53" s="489"/>
      <c r="DEV53" s="489"/>
      <c r="DEW53" s="489"/>
      <c r="DEX53" s="489"/>
      <c r="DEY53" s="489"/>
      <c r="DEZ53" s="489"/>
      <c r="DFA53" s="489"/>
      <c r="DFB53" s="489"/>
      <c r="DFC53" s="489"/>
      <c r="DFD53" s="489"/>
      <c r="DFE53" s="489"/>
      <c r="DFF53" s="489"/>
      <c r="DFG53" s="489"/>
      <c r="DFH53" s="489"/>
      <c r="DFI53" s="489"/>
      <c r="DFJ53" s="489"/>
      <c r="DFK53" s="489"/>
      <c r="DFL53" s="489"/>
      <c r="DFM53" s="489"/>
      <c r="DFN53" s="489"/>
      <c r="DFO53" s="489"/>
      <c r="DFP53" s="489"/>
      <c r="DFQ53" s="489"/>
      <c r="DFR53" s="489"/>
      <c r="DFS53" s="489"/>
      <c r="DFT53" s="489"/>
      <c r="DFU53" s="489"/>
      <c r="DFV53" s="489"/>
      <c r="DFW53" s="489"/>
      <c r="DFX53" s="489"/>
      <c r="DFY53" s="489"/>
      <c r="DFZ53" s="489"/>
      <c r="DGA53" s="489"/>
      <c r="DGB53" s="489"/>
      <c r="DGC53" s="489"/>
      <c r="DGD53" s="489"/>
      <c r="DGE53" s="489"/>
      <c r="DGF53" s="489"/>
      <c r="DGG53" s="489"/>
      <c r="DGH53" s="489"/>
      <c r="DGI53" s="489"/>
      <c r="DGJ53" s="489"/>
      <c r="DGK53" s="489"/>
      <c r="DGL53" s="489"/>
      <c r="DGM53" s="489"/>
      <c r="DGN53" s="489"/>
      <c r="DGO53" s="489"/>
      <c r="DGP53" s="489"/>
      <c r="DGQ53" s="489"/>
      <c r="DGR53" s="489"/>
      <c r="DGS53" s="489"/>
      <c r="DGT53" s="489"/>
      <c r="DGU53" s="489"/>
      <c r="DGV53" s="489"/>
      <c r="DGW53" s="489"/>
      <c r="DGX53" s="489"/>
      <c r="DGY53" s="489"/>
      <c r="DGZ53" s="489"/>
      <c r="DHA53" s="489"/>
      <c r="DHB53" s="489"/>
      <c r="DHC53" s="489"/>
      <c r="DHD53" s="489"/>
      <c r="DHE53" s="489"/>
      <c r="DHF53" s="489"/>
      <c r="DHG53" s="489"/>
      <c r="DHH53" s="489"/>
      <c r="DHI53" s="489"/>
      <c r="DHJ53" s="489"/>
      <c r="DHK53" s="489"/>
      <c r="DHL53" s="489"/>
      <c r="DHM53" s="489"/>
      <c r="DHN53" s="489"/>
      <c r="DHO53" s="489"/>
      <c r="DHP53" s="489"/>
      <c r="DHQ53" s="489"/>
      <c r="DHR53" s="489"/>
      <c r="DHS53" s="489"/>
      <c r="DHT53" s="489"/>
      <c r="DHU53" s="489"/>
      <c r="DHV53" s="489"/>
      <c r="DHW53" s="489"/>
      <c r="DHX53" s="489"/>
      <c r="DHY53" s="489"/>
      <c r="DHZ53" s="489"/>
      <c r="DIA53" s="489"/>
      <c r="DIB53" s="489"/>
      <c r="DIC53" s="489"/>
      <c r="DID53" s="489"/>
      <c r="DIE53" s="489"/>
      <c r="DIF53" s="489"/>
      <c r="DIG53" s="489"/>
      <c r="DIH53" s="489"/>
      <c r="DII53" s="489"/>
      <c r="DIJ53" s="489"/>
      <c r="DIK53" s="489"/>
      <c r="DIL53" s="489"/>
      <c r="DIM53" s="489"/>
      <c r="DIN53" s="489"/>
      <c r="DIO53" s="489"/>
      <c r="DIP53" s="489"/>
      <c r="DIQ53" s="489"/>
      <c r="DIR53" s="489"/>
      <c r="DIS53" s="489"/>
      <c r="DIT53" s="489"/>
      <c r="DIU53" s="489"/>
      <c r="DIV53" s="489"/>
      <c r="DIW53" s="489"/>
      <c r="DIX53" s="489"/>
      <c r="DIY53" s="489"/>
      <c r="DIZ53" s="489"/>
      <c r="DJA53" s="489"/>
      <c r="DJB53" s="489"/>
      <c r="DJC53" s="489"/>
      <c r="DJD53" s="489"/>
      <c r="DJE53" s="489"/>
      <c r="DJF53" s="489"/>
      <c r="DJG53" s="489"/>
      <c r="DJH53" s="489"/>
      <c r="DJI53" s="489"/>
      <c r="DJJ53" s="489"/>
      <c r="DJK53" s="489"/>
      <c r="DJL53" s="489"/>
      <c r="DJM53" s="489"/>
      <c r="DJN53" s="489"/>
      <c r="DJO53" s="489"/>
      <c r="DJP53" s="489"/>
      <c r="DJQ53" s="489"/>
      <c r="DJR53" s="489"/>
      <c r="DJS53" s="489"/>
      <c r="DJT53" s="489"/>
      <c r="DJU53" s="489"/>
      <c r="DJV53" s="489"/>
      <c r="DJW53" s="489"/>
      <c r="DJX53" s="489"/>
      <c r="DJY53" s="489"/>
      <c r="DJZ53" s="489"/>
      <c r="DKA53" s="489"/>
      <c r="DKB53" s="489"/>
      <c r="DKC53" s="489"/>
      <c r="DKD53" s="489"/>
      <c r="DKE53" s="489"/>
      <c r="DKF53" s="489"/>
      <c r="DKG53" s="489"/>
      <c r="DKH53" s="489"/>
      <c r="DKI53" s="489"/>
      <c r="DKJ53" s="489"/>
      <c r="DKK53" s="489"/>
      <c r="DKL53" s="489"/>
      <c r="DKM53" s="489"/>
      <c r="DKN53" s="489"/>
      <c r="DKO53" s="489"/>
      <c r="DKP53" s="489"/>
      <c r="DKQ53" s="489"/>
      <c r="DKR53" s="489"/>
      <c r="DKS53" s="489"/>
      <c r="DKT53" s="489"/>
      <c r="DKU53" s="489"/>
      <c r="DKV53" s="489"/>
      <c r="DKW53" s="489"/>
      <c r="DKX53" s="489"/>
      <c r="DKY53" s="489"/>
      <c r="DKZ53" s="489"/>
      <c r="DLA53" s="489"/>
      <c r="DLB53" s="489"/>
      <c r="DLC53" s="489"/>
      <c r="DLD53" s="489"/>
      <c r="DLE53" s="489"/>
      <c r="DLF53" s="489"/>
      <c r="DLG53" s="489"/>
      <c r="DLH53" s="489"/>
      <c r="DLI53" s="489"/>
      <c r="DLJ53" s="489"/>
      <c r="DLK53" s="489"/>
      <c r="DLL53" s="489"/>
      <c r="DLM53" s="489"/>
      <c r="DLN53" s="489"/>
      <c r="DLO53" s="489"/>
      <c r="DLP53" s="489"/>
      <c r="DLQ53" s="489"/>
      <c r="DLR53" s="489"/>
      <c r="DLS53" s="489"/>
      <c r="DLT53" s="489"/>
      <c r="DLU53" s="489"/>
      <c r="DLV53" s="489"/>
      <c r="DLW53" s="489"/>
      <c r="DLX53" s="489"/>
      <c r="DLY53" s="489"/>
      <c r="DLZ53" s="489"/>
      <c r="DMA53" s="489"/>
      <c r="DMB53" s="489"/>
      <c r="DMC53" s="489"/>
      <c r="DMD53" s="489"/>
      <c r="DME53" s="489"/>
      <c r="DMF53" s="489"/>
      <c r="DMG53" s="489"/>
      <c r="DMH53" s="489"/>
      <c r="DMI53" s="489"/>
      <c r="DMJ53" s="489"/>
      <c r="DMK53" s="489"/>
      <c r="DML53" s="489"/>
      <c r="DMM53" s="489"/>
      <c r="DMN53" s="489"/>
      <c r="DMO53" s="489"/>
      <c r="DMP53" s="489"/>
      <c r="DMQ53" s="489"/>
      <c r="DMR53" s="489"/>
      <c r="DMS53" s="489"/>
      <c r="DMT53" s="489"/>
      <c r="DMU53" s="489"/>
      <c r="DMV53" s="489"/>
      <c r="DMW53" s="489"/>
      <c r="DMX53" s="489"/>
      <c r="DMY53" s="489"/>
      <c r="DMZ53" s="489"/>
      <c r="DNA53" s="489"/>
      <c r="DNB53" s="489"/>
      <c r="DNC53" s="489"/>
      <c r="DND53" s="489"/>
      <c r="DNE53" s="489"/>
      <c r="DNF53" s="489"/>
      <c r="DNG53" s="489"/>
      <c r="DNH53" s="489"/>
      <c r="DNI53" s="489"/>
      <c r="DNJ53" s="489"/>
      <c r="DNK53" s="489"/>
      <c r="DNL53" s="489"/>
      <c r="DNM53" s="489"/>
      <c r="DNN53" s="489"/>
      <c r="DNO53" s="489"/>
      <c r="DNP53" s="489"/>
      <c r="DNQ53" s="489"/>
      <c r="DNR53" s="489"/>
      <c r="DNS53" s="489"/>
      <c r="DNT53" s="489"/>
      <c r="DNU53" s="489"/>
      <c r="DNV53" s="489"/>
      <c r="DNW53" s="489"/>
      <c r="DNX53" s="489"/>
      <c r="DNY53" s="489"/>
      <c r="DNZ53" s="489"/>
      <c r="DOA53" s="489"/>
      <c r="DOB53" s="489"/>
      <c r="DOC53" s="489"/>
      <c r="DOD53" s="489"/>
      <c r="DOE53" s="489"/>
      <c r="DOF53" s="489"/>
      <c r="DOG53" s="489"/>
      <c r="DOH53" s="489"/>
      <c r="DOI53" s="489"/>
      <c r="DOJ53" s="489"/>
      <c r="DOK53" s="489"/>
      <c r="DOL53" s="489"/>
      <c r="DOM53" s="489"/>
      <c r="DON53" s="489"/>
      <c r="DOO53" s="489"/>
      <c r="DOP53" s="489"/>
      <c r="DOQ53" s="489"/>
      <c r="DOR53" s="489"/>
      <c r="DOS53" s="489"/>
      <c r="DOT53" s="489"/>
      <c r="DOU53" s="489"/>
      <c r="DOV53" s="489"/>
      <c r="DOW53" s="489"/>
      <c r="DOX53" s="489"/>
      <c r="DOY53" s="489"/>
      <c r="DOZ53" s="489"/>
      <c r="DPA53" s="489"/>
      <c r="DPB53" s="489"/>
      <c r="DPC53" s="489"/>
      <c r="DPD53" s="489"/>
      <c r="DPE53" s="489"/>
      <c r="DPF53" s="489"/>
      <c r="DPG53" s="489"/>
      <c r="DPH53" s="489"/>
      <c r="DPI53" s="489"/>
      <c r="DPJ53" s="489"/>
      <c r="DPK53" s="489"/>
      <c r="DPL53" s="489"/>
      <c r="DPM53" s="489"/>
      <c r="DPN53" s="489"/>
      <c r="DPO53" s="489"/>
      <c r="DPP53" s="489"/>
      <c r="DPQ53" s="489"/>
      <c r="DPR53" s="489"/>
      <c r="DPS53" s="489"/>
      <c r="DPT53" s="489"/>
      <c r="DPU53" s="489"/>
      <c r="DPV53" s="489"/>
      <c r="DPW53" s="489"/>
      <c r="DPX53" s="489"/>
      <c r="DPY53" s="489"/>
      <c r="DPZ53" s="489"/>
      <c r="DQA53" s="489"/>
      <c r="DQB53" s="489"/>
      <c r="DQC53" s="489"/>
      <c r="DQD53" s="489"/>
      <c r="DQE53" s="489"/>
      <c r="DQF53" s="489"/>
      <c r="DQG53" s="489"/>
      <c r="DQH53" s="489"/>
      <c r="DQI53" s="489"/>
      <c r="DQJ53" s="489"/>
      <c r="DQK53" s="489"/>
      <c r="DQL53" s="489"/>
      <c r="DQM53" s="489"/>
      <c r="DQN53" s="489"/>
      <c r="DQO53" s="489"/>
      <c r="DQP53" s="489"/>
      <c r="DQQ53" s="489"/>
      <c r="DQR53" s="489"/>
      <c r="DQS53" s="489"/>
      <c r="DQT53" s="489"/>
      <c r="DQU53" s="489"/>
      <c r="DQV53" s="489"/>
      <c r="DQW53" s="489"/>
      <c r="DQX53" s="489"/>
      <c r="DQY53" s="489"/>
      <c r="DQZ53" s="489"/>
      <c r="DRA53" s="489"/>
      <c r="DRB53" s="489"/>
      <c r="DRC53" s="489"/>
      <c r="DRD53" s="489"/>
      <c r="DRE53" s="489"/>
      <c r="DRF53" s="489"/>
      <c r="DRG53" s="489"/>
      <c r="DRH53" s="489"/>
      <c r="DRI53" s="489"/>
      <c r="DRJ53" s="489"/>
      <c r="DRK53" s="489"/>
      <c r="DRL53" s="489"/>
      <c r="DRM53" s="489"/>
      <c r="DRN53" s="489"/>
      <c r="DRO53" s="489"/>
      <c r="DRP53" s="489"/>
      <c r="DRQ53" s="489"/>
      <c r="DRR53" s="489"/>
      <c r="DRS53" s="489"/>
      <c r="DRT53" s="489"/>
      <c r="DRU53" s="489"/>
      <c r="DRV53" s="489"/>
      <c r="DRW53" s="489"/>
      <c r="DRX53" s="489"/>
      <c r="DRY53" s="489"/>
      <c r="DRZ53" s="489"/>
      <c r="DSA53" s="489"/>
      <c r="DSB53" s="489"/>
      <c r="DSC53" s="489"/>
      <c r="DSD53" s="489"/>
      <c r="DSE53" s="489"/>
      <c r="DSF53" s="489"/>
      <c r="DSG53" s="489"/>
      <c r="DSH53" s="489"/>
      <c r="DSI53" s="489"/>
      <c r="DSJ53" s="489"/>
      <c r="DSK53" s="489"/>
      <c r="DSL53" s="489"/>
      <c r="DSM53" s="489"/>
      <c r="DSN53" s="489"/>
      <c r="DSO53" s="489"/>
      <c r="DSP53" s="489"/>
      <c r="DSQ53" s="489"/>
      <c r="DSR53" s="489"/>
      <c r="DSS53" s="489"/>
      <c r="DST53" s="489"/>
      <c r="DSU53" s="489"/>
      <c r="DSV53" s="489"/>
      <c r="DSW53" s="489"/>
      <c r="DSX53" s="489"/>
      <c r="DSY53" s="489"/>
      <c r="DSZ53" s="489"/>
      <c r="DTA53" s="489"/>
      <c r="DTB53" s="489"/>
      <c r="DTC53" s="489"/>
      <c r="DTD53" s="489"/>
      <c r="DTE53" s="489"/>
      <c r="DTF53" s="489"/>
      <c r="DTG53" s="489"/>
      <c r="DTH53" s="489"/>
      <c r="DTI53" s="489"/>
      <c r="DTJ53" s="489"/>
      <c r="DTK53" s="489"/>
      <c r="DTL53" s="489"/>
      <c r="DTM53" s="489"/>
      <c r="DTN53" s="489"/>
      <c r="DTO53" s="489"/>
      <c r="DTP53" s="489"/>
      <c r="DTQ53" s="489"/>
      <c r="DTR53" s="489"/>
      <c r="DTS53" s="489"/>
      <c r="DTT53" s="489"/>
      <c r="DTU53" s="489"/>
      <c r="DTV53" s="489"/>
      <c r="DTW53" s="489"/>
      <c r="DTX53" s="489"/>
      <c r="DTY53" s="489"/>
      <c r="DTZ53" s="489"/>
      <c r="DUA53" s="489"/>
      <c r="DUB53" s="489"/>
      <c r="DUC53" s="489"/>
      <c r="DUD53" s="489"/>
      <c r="DUE53" s="489"/>
      <c r="DUF53" s="489"/>
      <c r="DUG53" s="489"/>
      <c r="DUH53" s="489"/>
      <c r="DUI53" s="489"/>
      <c r="DUJ53" s="489"/>
      <c r="DUK53" s="489"/>
      <c r="DUL53" s="489"/>
      <c r="DUM53" s="489"/>
      <c r="DUN53" s="489"/>
      <c r="DUO53" s="489"/>
      <c r="DUP53" s="489"/>
      <c r="DUQ53" s="489"/>
      <c r="DUR53" s="489"/>
      <c r="DUS53" s="489"/>
      <c r="DUT53" s="489"/>
      <c r="DUU53" s="489"/>
      <c r="DUV53" s="489"/>
      <c r="DUW53" s="489"/>
      <c r="DUX53" s="489"/>
      <c r="DUY53" s="489"/>
      <c r="DUZ53" s="489"/>
      <c r="DVA53" s="489"/>
      <c r="DVB53" s="489"/>
      <c r="DVC53" s="489"/>
      <c r="DVD53" s="489"/>
      <c r="DVE53" s="489"/>
      <c r="DVF53" s="489"/>
      <c r="DVG53" s="489"/>
      <c r="DVH53" s="489"/>
      <c r="DVI53" s="489"/>
      <c r="DVJ53" s="489"/>
      <c r="DVK53" s="489"/>
      <c r="DVL53" s="489"/>
      <c r="DVM53" s="489"/>
      <c r="DVN53" s="489"/>
      <c r="DVO53" s="489"/>
      <c r="DVP53" s="489"/>
      <c r="DVQ53" s="489"/>
      <c r="DVR53" s="489"/>
      <c r="DVS53" s="489"/>
      <c r="DVT53" s="489"/>
      <c r="DVU53" s="489"/>
      <c r="DVV53" s="489"/>
      <c r="DVW53" s="489"/>
      <c r="DVX53" s="489"/>
      <c r="DVY53" s="489"/>
      <c r="DVZ53" s="489"/>
      <c r="DWA53" s="489"/>
      <c r="DWB53" s="489"/>
      <c r="DWC53" s="489"/>
      <c r="DWD53" s="489"/>
      <c r="DWE53" s="489"/>
      <c r="DWF53" s="489"/>
      <c r="DWG53" s="489"/>
      <c r="DWH53" s="489"/>
      <c r="DWI53" s="489"/>
      <c r="DWJ53" s="489"/>
      <c r="DWK53" s="489"/>
      <c r="DWL53" s="489"/>
      <c r="DWM53" s="489"/>
      <c r="DWN53" s="489"/>
      <c r="DWO53" s="489"/>
      <c r="DWP53" s="489"/>
      <c r="DWQ53" s="489"/>
      <c r="DWR53" s="489"/>
      <c r="DWS53" s="489"/>
      <c r="DWT53" s="489"/>
      <c r="DWU53" s="489"/>
      <c r="DWV53" s="489"/>
      <c r="DWW53" s="489"/>
      <c r="DWX53" s="489"/>
      <c r="DWY53" s="489"/>
      <c r="DWZ53" s="489"/>
      <c r="DXA53" s="489"/>
      <c r="DXB53" s="489"/>
      <c r="DXC53" s="489"/>
      <c r="DXD53" s="489"/>
      <c r="DXE53" s="489"/>
      <c r="DXF53" s="489"/>
      <c r="DXG53" s="489"/>
      <c r="DXH53" s="489"/>
      <c r="DXI53" s="489"/>
      <c r="DXJ53" s="489"/>
      <c r="DXK53" s="489"/>
      <c r="DXL53" s="489"/>
      <c r="DXM53" s="489"/>
      <c r="DXN53" s="489"/>
      <c r="DXO53" s="489"/>
      <c r="DXP53" s="489"/>
      <c r="DXQ53" s="489"/>
      <c r="DXR53" s="489"/>
      <c r="DXS53" s="489"/>
      <c r="DXT53" s="489"/>
      <c r="DXU53" s="489"/>
      <c r="DXV53" s="489"/>
      <c r="DXW53" s="489"/>
      <c r="DXX53" s="489"/>
      <c r="DXY53" s="489"/>
      <c r="DXZ53" s="489"/>
      <c r="DYA53" s="489"/>
      <c r="DYB53" s="489"/>
      <c r="DYC53" s="489"/>
      <c r="DYD53" s="489"/>
      <c r="DYE53" s="489"/>
      <c r="DYF53" s="489"/>
      <c r="DYG53" s="489"/>
      <c r="DYH53" s="489"/>
      <c r="DYI53" s="489"/>
      <c r="DYJ53" s="489"/>
      <c r="DYK53" s="489"/>
      <c r="DYL53" s="489"/>
      <c r="DYM53" s="489"/>
      <c r="DYN53" s="489"/>
      <c r="DYO53" s="489"/>
      <c r="DYP53" s="489"/>
      <c r="DYQ53" s="489"/>
      <c r="DYR53" s="489"/>
      <c r="DYS53" s="489"/>
      <c r="DYT53" s="489"/>
      <c r="DYU53" s="489"/>
      <c r="DYV53" s="489"/>
      <c r="DYW53" s="489"/>
      <c r="DYX53" s="489"/>
      <c r="DYY53" s="489"/>
      <c r="DYZ53" s="489"/>
      <c r="DZA53" s="489"/>
      <c r="DZB53" s="489"/>
      <c r="DZC53" s="489"/>
      <c r="DZD53" s="489"/>
      <c r="DZE53" s="489"/>
      <c r="DZF53" s="489"/>
      <c r="DZG53" s="489"/>
      <c r="DZH53" s="489"/>
      <c r="DZI53" s="489"/>
      <c r="DZJ53" s="489"/>
      <c r="DZK53" s="489"/>
      <c r="DZL53" s="489"/>
      <c r="DZM53" s="489"/>
      <c r="DZN53" s="489"/>
      <c r="DZO53" s="489"/>
      <c r="DZP53" s="489"/>
      <c r="DZQ53" s="489"/>
      <c r="DZR53" s="489"/>
      <c r="DZS53" s="489"/>
      <c r="DZT53" s="489"/>
      <c r="DZU53" s="489"/>
      <c r="DZV53" s="489"/>
      <c r="DZW53" s="489"/>
      <c r="DZX53" s="489"/>
      <c r="DZY53" s="489"/>
      <c r="DZZ53" s="489"/>
      <c r="EAA53" s="489"/>
      <c r="EAB53" s="489"/>
      <c r="EAC53" s="489"/>
      <c r="EAD53" s="489"/>
      <c r="EAE53" s="489"/>
      <c r="EAF53" s="489"/>
      <c r="EAG53" s="489"/>
      <c r="EAH53" s="489"/>
      <c r="EAI53" s="489"/>
      <c r="EAJ53" s="489"/>
      <c r="EAK53" s="489"/>
      <c r="EAL53" s="489"/>
      <c r="EAM53" s="489"/>
      <c r="EAN53" s="489"/>
      <c r="EAO53" s="489"/>
      <c r="EAP53" s="489"/>
      <c r="EAQ53" s="489"/>
      <c r="EAR53" s="489"/>
      <c r="EAS53" s="489"/>
      <c r="EAT53" s="489"/>
      <c r="EAU53" s="489"/>
      <c r="EAV53" s="489"/>
      <c r="EAW53" s="489"/>
      <c r="EAX53" s="489"/>
      <c r="EAY53" s="489"/>
      <c r="EAZ53" s="489"/>
      <c r="EBA53" s="489"/>
      <c r="EBB53" s="489"/>
      <c r="EBC53" s="489"/>
      <c r="EBD53" s="489"/>
      <c r="EBE53" s="489"/>
      <c r="EBF53" s="489"/>
      <c r="EBG53" s="489"/>
      <c r="EBH53" s="489"/>
      <c r="EBI53" s="489"/>
      <c r="EBJ53" s="489"/>
      <c r="EBK53" s="489"/>
      <c r="EBL53" s="489"/>
      <c r="EBM53" s="489"/>
      <c r="EBN53" s="489"/>
      <c r="EBO53" s="489"/>
      <c r="EBP53" s="489"/>
      <c r="EBQ53" s="489"/>
      <c r="EBR53" s="489"/>
      <c r="EBS53" s="489"/>
      <c r="EBT53" s="489"/>
      <c r="EBU53" s="489"/>
      <c r="EBV53" s="489"/>
      <c r="EBW53" s="489"/>
      <c r="EBX53" s="489"/>
      <c r="EBY53" s="489"/>
      <c r="EBZ53" s="489"/>
      <c r="ECA53" s="489"/>
      <c r="ECB53" s="489"/>
      <c r="ECC53" s="489"/>
      <c r="ECD53" s="489"/>
      <c r="ECE53" s="489"/>
      <c r="ECF53" s="489"/>
      <c r="ECG53" s="489"/>
      <c r="ECH53" s="489"/>
      <c r="ECI53" s="489"/>
      <c r="ECJ53" s="489"/>
      <c r="ECK53" s="489"/>
      <c r="ECL53" s="489"/>
      <c r="ECM53" s="489"/>
      <c r="ECN53" s="489"/>
      <c r="ECO53" s="489"/>
      <c r="ECP53" s="489"/>
      <c r="ECQ53" s="489"/>
      <c r="ECR53" s="489"/>
      <c r="ECS53" s="489"/>
      <c r="ECT53" s="489"/>
      <c r="ECU53" s="489"/>
      <c r="ECV53" s="489"/>
      <c r="ECW53" s="489"/>
      <c r="ECX53" s="489"/>
      <c r="ECY53" s="489"/>
      <c r="ECZ53" s="489"/>
      <c r="EDA53" s="489"/>
      <c r="EDB53" s="489"/>
      <c r="EDC53" s="489"/>
      <c r="EDD53" s="489"/>
      <c r="EDE53" s="489"/>
      <c r="EDF53" s="489"/>
      <c r="EDG53" s="489"/>
      <c r="EDH53" s="489"/>
      <c r="EDI53" s="489"/>
      <c r="EDJ53" s="489"/>
      <c r="EDK53" s="489"/>
      <c r="EDL53" s="489"/>
      <c r="EDM53" s="489"/>
      <c r="EDN53" s="489"/>
      <c r="EDO53" s="489"/>
      <c r="EDP53" s="489"/>
      <c r="EDQ53" s="489"/>
      <c r="EDR53" s="489"/>
      <c r="EDS53" s="489"/>
      <c r="EDT53" s="489"/>
      <c r="EDU53" s="489"/>
      <c r="EDV53" s="489"/>
      <c r="EDW53" s="489"/>
      <c r="EDX53" s="489"/>
      <c r="EDY53" s="489"/>
      <c r="EDZ53" s="489"/>
      <c r="EEA53" s="489"/>
      <c r="EEB53" s="489"/>
      <c r="EEC53" s="489"/>
      <c r="EED53" s="489"/>
      <c r="EEE53" s="489"/>
      <c r="EEF53" s="489"/>
      <c r="EEG53" s="489"/>
      <c r="EEH53" s="489"/>
      <c r="EEI53" s="489"/>
      <c r="EEJ53" s="489"/>
      <c r="EEK53" s="489"/>
      <c r="EEL53" s="489"/>
      <c r="EEM53" s="489"/>
      <c r="EEN53" s="489"/>
      <c r="EEO53" s="489"/>
      <c r="EEP53" s="489"/>
      <c r="EEQ53" s="489"/>
      <c r="EER53" s="489"/>
      <c r="EES53" s="489"/>
      <c r="EET53" s="489"/>
      <c r="EEU53" s="489"/>
      <c r="EEV53" s="489"/>
      <c r="EEW53" s="489"/>
      <c r="EEX53" s="489"/>
      <c r="EEY53" s="489"/>
      <c r="EEZ53" s="489"/>
      <c r="EFA53" s="489"/>
      <c r="EFB53" s="489"/>
      <c r="EFC53" s="489"/>
      <c r="EFD53" s="489"/>
      <c r="EFE53" s="489"/>
      <c r="EFF53" s="489"/>
      <c r="EFG53" s="489"/>
      <c r="EFH53" s="489"/>
      <c r="EFI53" s="489"/>
      <c r="EFJ53" s="489"/>
      <c r="EFK53" s="489"/>
      <c r="EFL53" s="489"/>
      <c r="EFM53" s="489"/>
      <c r="EFN53" s="489"/>
      <c r="EFO53" s="489"/>
      <c r="EFP53" s="489"/>
      <c r="EFQ53" s="489"/>
      <c r="EFR53" s="489"/>
      <c r="EFS53" s="489"/>
      <c r="EFT53" s="489"/>
      <c r="EFU53" s="489"/>
      <c r="EFV53" s="489"/>
      <c r="EFW53" s="489"/>
      <c r="EFX53" s="489"/>
      <c r="EFY53" s="489"/>
      <c r="EFZ53" s="489"/>
      <c r="EGA53" s="489"/>
      <c r="EGB53" s="489"/>
      <c r="EGC53" s="489"/>
      <c r="EGD53" s="489"/>
      <c r="EGE53" s="489"/>
      <c r="EGF53" s="489"/>
      <c r="EGG53" s="489"/>
      <c r="EGH53" s="489"/>
      <c r="EGI53" s="489"/>
      <c r="EGJ53" s="489"/>
      <c r="EGK53" s="489"/>
      <c r="EGL53" s="489"/>
      <c r="EGM53" s="489"/>
      <c r="EGN53" s="489"/>
      <c r="EGO53" s="489"/>
      <c r="EGP53" s="489"/>
      <c r="EGQ53" s="489"/>
      <c r="EGR53" s="489"/>
      <c r="EGS53" s="489"/>
      <c r="EGT53" s="489"/>
      <c r="EGU53" s="489"/>
      <c r="EGV53" s="489"/>
      <c r="EGW53" s="489"/>
      <c r="EGX53" s="489"/>
      <c r="EGY53" s="489"/>
      <c r="EGZ53" s="489"/>
      <c r="EHA53" s="489"/>
      <c r="EHB53" s="489"/>
      <c r="EHC53" s="489"/>
      <c r="EHD53" s="489"/>
      <c r="EHE53" s="489"/>
      <c r="EHF53" s="489"/>
      <c r="EHG53" s="489"/>
      <c r="EHH53" s="489"/>
      <c r="EHI53" s="489"/>
      <c r="EHJ53" s="489"/>
      <c r="EHK53" s="489"/>
      <c r="EHL53" s="489"/>
      <c r="EHM53" s="489"/>
      <c r="EHN53" s="489"/>
      <c r="EHO53" s="489"/>
      <c r="EHP53" s="489"/>
      <c r="EHQ53" s="489"/>
      <c r="EHR53" s="489"/>
      <c r="EHS53" s="489"/>
      <c r="EHT53" s="489"/>
      <c r="EHU53" s="489"/>
      <c r="EHV53" s="489"/>
      <c r="EHW53" s="489"/>
      <c r="EHX53" s="489"/>
      <c r="EHY53" s="489"/>
      <c r="EHZ53" s="489"/>
      <c r="EIA53" s="489"/>
      <c r="EIB53" s="489"/>
      <c r="EIC53" s="489"/>
      <c r="EID53" s="489"/>
      <c r="EIE53" s="489"/>
      <c r="EIF53" s="489"/>
      <c r="EIG53" s="489"/>
      <c r="EIH53" s="489"/>
      <c r="EII53" s="489"/>
      <c r="EIJ53" s="489"/>
      <c r="EIK53" s="489"/>
      <c r="EIL53" s="489"/>
      <c r="EIM53" s="489"/>
      <c r="EIN53" s="489"/>
      <c r="EIO53" s="489"/>
      <c r="EIP53" s="489"/>
      <c r="EIQ53" s="489"/>
      <c r="EIR53" s="489"/>
      <c r="EIS53" s="489"/>
      <c r="EIT53" s="489"/>
      <c r="EIU53" s="489"/>
      <c r="EIV53" s="489"/>
      <c r="EIW53" s="489"/>
      <c r="EIX53" s="489"/>
      <c r="EIY53" s="489"/>
      <c r="EIZ53" s="489"/>
      <c r="EJA53" s="489"/>
      <c r="EJB53" s="489"/>
      <c r="EJC53" s="489"/>
      <c r="EJD53" s="489"/>
      <c r="EJE53" s="489"/>
      <c r="EJF53" s="489"/>
      <c r="EJG53" s="489"/>
      <c r="EJH53" s="489"/>
      <c r="EJI53" s="489"/>
      <c r="EJJ53" s="489"/>
      <c r="EJK53" s="489"/>
      <c r="EJL53" s="489"/>
      <c r="EJM53" s="489"/>
      <c r="EJN53" s="489"/>
      <c r="EJO53" s="489"/>
      <c r="EJP53" s="489"/>
      <c r="EJQ53" s="489"/>
      <c r="EJR53" s="489"/>
      <c r="EJS53" s="489"/>
      <c r="EJT53" s="489"/>
      <c r="EJU53" s="489"/>
      <c r="EJV53" s="489"/>
      <c r="EJW53" s="489"/>
      <c r="EJX53" s="489"/>
      <c r="EJY53" s="489"/>
      <c r="EJZ53" s="489"/>
      <c r="EKA53" s="489"/>
      <c r="EKB53" s="489"/>
      <c r="EKC53" s="489"/>
      <c r="EKD53" s="489"/>
      <c r="EKE53" s="489"/>
      <c r="EKF53" s="489"/>
      <c r="EKG53" s="489"/>
      <c r="EKH53" s="489"/>
      <c r="EKI53" s="489"/>
      <c r="EKJ53" s="489"/>
      <c r="EKK53" s="489"/>
      <c r="EKL53" s="489"/>
      <c r="EKM53" s="489"/>
      <c r="EKN53" s="489"/>
      <c r="EKO53" s="489"/>
      <c r="EKP53" s="489"/>
      <c r="EKQ53" s="489"/>
      <c r="EKR53" s="489"/>
      <c r="EKS53" s="489"/>
      <c r="EKT53" s="489"/>
      <c r="EKU53" s="489"/>
      <c r="EKV53" s="489"/>
      <c r="EKW53" s="489"/>
      <c r="EKX53" s="489"/>
      <c r="EKY53" s="489"/>
      <c r="EKZ53" s="489"/>
      <c r="ELA53" s="489"/>
      <c r="ELB53" s="489"/>
      <c r="ELC53" s="489"/>
      <c r="ELD53" s="489"/>
      <c r="ELE53" s="489"/>
      <c r="ELF53" s="489"/>
      <c r="ELG53" s="489"/>
      <c r="ELH53" s="489"/>
      <c r="ELI53" s="489"/>
      <c r="ELJ53" s="489"/>
      <c r="ELK53" s="489"/>
      <c r="ELL53" s="489"/>
      <c r="ELM53" s="489"/>
      <c r="ELN53" s="489"/>
      <c r="ELO53" s="489"/>
      <c r="ELP53" s="489"/>
      <c r="ELQ53" s="489"/>
      <c r="ELR53" s="489"/>
      <c r="ELS53" s="489"/>
      <c r="ELT53" s="489"/>
      <c r="ELU53" s="489"/>
      <c r="ELV53" s="489"/>
      <c r="ELW53" s="489"/>
      <c r="ELX53" s="489"/>
      <c r="ELY53" s="489"/>
      <c r="ELZ53" s="489"/>
      <c r="EMA53" s="489"/>
      <c r="EMB53" s="489"/>
      <c r="EMC53" s="489"/>
      <c r="EMD53" s="489"/>
      <c r="EME53" s="489"/>
      <c r="EMF53" s="489"/>
      <c r="EMG53" s="489"/>
      <c r="EMH53" s="489"/>
      <c r="EMI53" s="489"/>
      <c r="EMJ53" s="489"/>
      <c r="EMK53" s="489"/>
      <c r="EML53" s="489"/>
      <c r="EMM53" s="489"/>
      <c r="EMN53" s="489"/>
      <c r="EMO53" s="489"/>
      <c r="EMP53" s="489"/>
      <c r="EMQ53" s="489"/>
      <c r="EMR53" s="489"/>
      <c r="EMS53" s="489"/>
      <c r="EMT53" s="489"/>
      <c r="EMU53" s="489"/>
      <c r="EMV53" s="489"/>
      <c r="EMW53" s="489"/>
      <c r="EMX53" s="489"/>
      <c r="EMY53" s="489"/>
      <c r="EMZ53" s="489"/>
      <c r="ENA53" s="489"/>
      <c r="ENB53" s="489"/>
      <c r="ENC53" s="489"/>
      <c r="END53" s="489"/>
      <c r="ENE53" s="489"/>
      <c r="ENF53" s="489"/>
      <c r="ENG53" s="489"/>
      <c r="ENH53" s="489"/>
      <c r="ENI53" s="489"/>
      <c r="ENJ53" s="489"/>
      <c r="ENK53" s="489"/>
      <c r="ENL53" s="489"/>
      <c r="ENM53" s="489"/>
      <c r="ENN53" s="489"/>
      <c r="ENO53" s="489"/>
      <c r="ENP53" s="489"/>
      <c r="ENQ53" s="489"/>
      <c r="ENR53" s="489"/>
      <c r="ENS53" s="489"/>
      <c r="ENT53" s="489"/>
      <c r="ENU53" s="489"/>
      <c r="ENV53" s="489"/>
      <c r="ENW53" s="489"/>
      <c r="ENX53" s="489"/>
      <c r="ENY53" s="489"/>
      <c r="ENZ53" s="489"/>
      <c r="EOA53" s="489"/>
      <c r="EOB53" s="489"/>
      <c r="EOC53" s="489"/>
      <c r="EOD53" s="489"/>
      <c r="EOE53" s="489"/>
      <c r="EOF53" s="489"/>
      <c r="EOG53" s="489"/>
      <c r="EOH53" s="489"/>
      <c r="EOI53" s="489"/>
      <c r="EOJ53" s="489"/>
      <c r="EOK53" s="489"/>
      <c r="EOL53" s="489"/>
      <c r="EOM53" s="489"/>
      <c r="EON53" s="489"/>
      <c r="EOO53" s="489"/>
      <c r="EOP53" s="489"/>
      <c r="EOQ53" s="489"/>
      <c r="EOR53" s="489"/>
      <c r="EOS53" s="489"/>
      <c r="EOT53" s="489"/>
      <c r="EOU53" s="489"/>
      <c r="EOV53" s="489"/>
      <c r="EOW53" s="489"/>
      <c r="EOX53" s="489"/>
      <c r="EOY53" s="489"/>
      <c r="EOZ53" s="489"/>
      <c r="EPA53" s="489"/>
      <c r="EPB53" s="489"/>
      <c r="EPC53" s="489"/>
      <c r="EPD53" s="489"/>
      <c r="EPE53" s="489"/>
      <c r="EPF53" s="489"/>
      <c r="EPG53" s="489"/>
      <c r="EPH53" s="489"/>
      <c r="EPI53" s="489"/>
      <c r="EPJ53" s="489"/>
      <c r="EPK53" s="489"/>
      <c r="EPL53" s="489"/>
      <c r="EPM53" s="489"/>
      <c r="EPN53" s="489"/>
      <c r="EPO53" s="489"/>
      <c r="EPP53" s="489"/>
      <c r="EPQ53" s="489"/>
      <c r="EPR53" s="489"/>
      <c r="EPS53" s="489"/>
      <c r="EPT53" s="489"/>
      <c r="EPU53" s="489"/>
      <c r="EPV53" s="489"/>
      <c r="EPW53" s="489"/>
      <c r="EPX53" s="489"/>
      <c r="EPY53" s="489"/>
      <c r="EPZ53" s="489"/>
      <c r="EQA53" s="489"/>
      <c r="EQB53" s="489"/>
      <c r="EQC53" s="489"/>
      <c r="EQD53" s="489"/>
      <c r="EQE53" s="489"/>
      <c r="EQF53" s="489"/>
      <c r="EQG53" s="489"/>
      <c r="EQH53" s="489"/>
      <c r="EQI53" s="489"/>
      <c r="EQJ53" s="489"/>
      <c r="EQK53" s="489"/>
      <c r="EQL53" s="489"/>
      <c r="EQM53" s="489"/>
      <c r="EQN53" s="489"/>
      <c r="EQO53" s="489"/>
      <c r="EQP53" s="489"/>
      <c r="EQQ53" s="489"/>
      <c r="EQR53" s="489"/>
      <c r="EQS53" s="489"/>
      <c r="EQT53" s="489"/>
      <c r="EQU53" s="489"/>
      <c r="EQV53" s="489"/>
      <c r="EQW53" s="489"/>
      <c r="EQX53" s="489"/>
      <c r="EQY53" s="489"/>
      <c r="EQZ53" s="489"/>
      <c r="ERA53" s="489"/>
      <c r="ERB53" s="489"/>
      <c r="ERC53" s="489"/>
      <c r="ERD53" s="489"/>
      <c r="ERE53" s="489"/>
      <c r="ERF53" s="489"/>
      <c r="ERG53" s="489"/>
      <c r="ERH53" s="489"/>
      <c r="ERI53" s="489"/>
      <c r="ERJ53" s="489"/>
      <c r="ERK53" s="489"/>
      <c r="ERL53" s="489"/>
      <c r="ERM53" s="489"/>
      <c r="ERN53" s="489"/>
      <c r="ERO53" s="489"/>
      <c r="ERP53" s="489"/>
      <c r="ERQ53" s="489"/>
      <c r="ERR53" s="489"/>
      <c r="ERS53" s="489"/>
      <c r="ERT53" s="489"/>
      <c r="ERU53" s="489"/>
      <c r="ERV53" s="489"/>
      <c r="ERW53" s="489"/>
      <c r="ERX53" s="489"/>
      <c r="ERY53" s="489"/>
      <c r="ERZ53" s="489"/>
      <c r="ESA53" s="489"/>
      <c r="ESB53" s="489"/>
      <c r="ESC53" s="489"/>
      <c r="ESD53" s="489"/>
      <c r="ESE53" s="489"/>
      <c r="ESF53" s="489"/>
      <c r="ESG53" s="489"/>
      <c r="ESH53" s="489"/>
      <c r="ESI53" s="489"/>
      <c r="ESJ53" s="489"/>
      <c r="ESK53" s="489"/>
      <c r="ESL53" s="489"/>
      <c r="ESM53" s="489"/>
      <c r="ESN53" s="489"/>
      <c r="ESO53" s="489"/>
      <c r="ESP53" s="489"/>
      <c r="ESQ53" s="489"/>
      <c r="ESR53" s="489"/>
      <c r="ESS53" s="489"/>
      <c r="EST53" s="489"/>
      <c r="ESU53" s="489"/>
      <c r="ESV53" s="489"/>
      <c r="ESW53" s="489"/>
      <c r="ESX53" s="489"/>
      <c r="ESY53" s="489"/>
      <c r="ESZ53" s="489"/>
      <c r="ETA53" s="489"/>
      <c r="ETB53" s="489"/>
      <c r="ETC53" s="489"/>
      <c r="ETD53" s="489"/>
      <c r="ETE53" s="489"/>
      <c r="ETF53" s="489"/>
      <c r="ETG53" s="489"/>
      <c r="ETH53" s="489"/>
      <c r="ETI53" s="489"/>
      <c r="ETJ53" s="489"/>
      <c r="ETK53" s="489"/>
      <c r="ETL53" s="489"/>
      <c r="ETM53" s="489"/>
      <c r="ETN53" s="489"/>
      <c r="ETO53" s="489"/>
      <c r="ETP53" s="489"/>
      <c r="ETQ53" s="489"/>
      <c r="ETR53" s="489"/>
      <c r="ETS53" s="489"/>
      <c r="ETT53" s="489"/>
      <c r="ETU53" s="489"/>
      <c r="ETV53" s="489"/>
      <c r="ETW53" s="489"/>
      <c r="ETX53" s="489"/>
      <c r="ETY53" s="489"/>
      <c r="ETZ53" s="489"/>
      <c r="EUA53" s="489"/>
      <c r="EUB53" s="489"/>
      <c r="EUC53" s="489"/>
      <c r="EUD53" s="489"/>
      <c r="EUE53" s="489"/>
      <c r="EUF53" s="489"/>
      <c r="EUG53" s="489"/>
      <c r="EUH53" s="489"/>
      <c r="EUI53" s="489"/>
      <c r="EUJ53" s="489"/>
      <c r="EUK53" s="489"/>
      <c r="EUL53" s="489"/>
      <c r="EUM53" s="489"/>
      <c r="EUN53" s="489"/>
      <c r="EUO53" s="489"/>
      <c r="EUP53" s="489"/>
      <c r="EUQ53" s="489"/>
      <c r="EUR53" s="489"/>
      <c r="EUS53" s="489"/>
      <c r="EUT53" s="489"/>
      <c r="EUU53" s="489"/>
      <c r="EUV53" s="489"/>
      <c r="EUW53" s="489"/>
      <c r="EUX53" s="489"/>
      <c r="EUY53" s="489"/>
      <c r="EUZ53" s="489"/>
      <c r="EVA53" s="489"/>
      <c r="EVB53" s="489"/>
      <c r="EVC53" s="489"/>
      <c r="EVD53" s="489"/>
      <c r="EVE53" s="489"/>
      <c r="EVF53" s="489"/>
      <c r="EVG53" s="489"/>
      <c r="EVH53" s="489"/>
      <c r="EVI53" s="489"/>
      <c r="EVJ53" s="489"/>
      <c r="EVK53" s="489"/>
      <c r="EVL53" s="489"/>
      <c r="EVM53" s="489"/>
      <c r="EVN53" s="489"/>
      <c r="EVO53" s="489"/>
      <c r="EVP53" s="489"/>
      <c r="EVQ53" s="489"/>
      <c r="EVR53" s="489"/>
      <c r="EVS53" s="489"/>
      <c r="EVT53" s="489"/>
      <c r="EVU53" s="489"/>
      <c r="EVV53" s="489"/>
      <c r="EVW53" s="489"/>
      <c r="EVX53" s="489"/>
      <c r="EVY53" s="489"/>
      <c r="EVZ53" s="489"/>
      <c r="EWA53" s="489"/>
      <c r="EWB53" s="489"/>
      <c r="EWC53" s="489"/>
      <c r="EWD53" s="489"/>
      <c r="EWE53" s="489"/>
      <c r="EWF53" s="489"/>
      <c r="EWG53" s="489"/>
      <c r="EWH53" s="489"/>
      <c r="EWI53" s="489"/>
      <c r="EWJ53" s="489"/>
      <c r="EWK53" s="489"/>
      <c r="EWL53" s="489"/>
      <c r="EWM53" s="489"/>
      <c r="EWN53" s="489"/>
      <c r="EWO53" s="489"/>
      <c r="EWP53" s="489"/>
      <c r="EWQ53" s="489"/>
      <c r="EWR53" s="489"/>
      <c r="EWS53" s="489"/>
      <c r="EWT53" s="489"/>
      <c r="EWU53" s="489"/>
      <c r="EWV53" s="489"/>
      <c r="EWW53" s="489"/>
      <c r="EWX53" s="489"/>
      <c r="EWY53" s="489"/>
      <c r="EWZ53" s="489"/>
      <c r="EXA53" s="489"/>
      <c r="EXB53" s="489"/>
      <c r="EXC53" s="489"/>
      <c r="EXD53" s="489"/>
      <c r="EXE53" s="489"/>
      <c r="EXF53" s="489"/>
      <c r="EXG53" s="489"/>
      <c r="EXH53" s="489"/>
      <c r="EXI53" s="489"/>
      <c r="EXJ53" s="489"/>
      <c r="EXK53" s="489"/>
      <c r="EXL53" s="489"/>
      <c r="EXM53" s="489"/>
      <c r="EXN53" s="489"/>
      <c r="EXO53" s="489"/>
      <c r="EXP53" s="489"/>
      <c r="EXQ53" s="489"/>
      <c r="EXR53" s="489"/>
      <c r="EXS53" s="489"/>
      <c r="EXT53" s="489"/>
      <c r="EXU53" s="489"/>
      <c r="EXV53" s="489"/>
      <c r="EXW53" s="489"/>
      <c r="EXX53" s="489"/>
      <c r="EXY53" s="489"/>
      <c r="EXZ53" s="489"/>
      <c r="EYA53" s="489"/>
      <c r="EYB53" s="489"/>
      <c r="EYC53" s="489"/>
      <c r="EYD53" s="489"/>
      <c r="EYE53" s="489"/>
      <c r="EYF53" s="489"/>
      <c r="EYG53" s="489"/>
      <c r="EYH53" s="489"/>
      <c r="EYI53" s="489"/>
      <c r="EYJ53" s="489"/>
      <c r="EYK53" s="489"/>
      <c r="EYL53" s="489"/>
      <c r="EYM53" s="489"/>
      <c r="EYN53" s="489"/>
      <c r="EYO53" s="489"/>
      <c r="EYP53" s="489"/>
      <c r="EYQ53" s="489"/>
      <c r="EYR53" s="489"/>
      <c r="EYS53" s="489"/>
      <c r="EYT53" s="489"/>
      <c r="EYU53" s="489"/>
      <c r="EYV53" s="489"/>
      <c r="EYW53" s="489"/>
      <c r="EYX53" s="489"/>
      <c r="EYY53" s="489"/>
      <c r="EYZ53" s="489"/>
      <c r="EZA53" s="489"/>
      <c r="EZB53" s="489"/>
      <c r="EZC53" s="489"/>
      <c r="EZD53" s="489"/>
      <c r="EZE53" s="489"/>
      <c r="EZF53" s="489"/>
      <c r="EZG53" s="489"/>
      <c r="EZH53" s="489"/>
      <c r="EZI53" s="489"/>
      <c r="EZJ53" s="489"/>
      <c r="EZK53" s="489"/>
      <c r="EZL53" s="489"/>
      <c r="EZM53" s="489"/>
      <c r="EZN53" s="489"/>
      <c r="EZO53" s="489"/>
      <c r="EZP53" s="489"/>
      <c r="EZQ53" s="489"/>
      <c r="EZR53" s="489"/>
      <c r="EZS53" s="489"/>
      <c r="EZT53" s="489"/>
      <c r="EZU53" s="489"/>
      <c r="EZV53" s="489"/>
      <c r="EZW53" s="489"/>
      <c r="EZX53" s="489"/>
      <c r="EZY53" s="489"/>
      <c r="EZZ53" s="489"/>
      <c r="FAA53" s="489"/>
      <c r="FAB53" s="489"/>
      <c r="FAC53" s="489"/>
      <c r="FAD53" s="489"/>
      <c r="FAE53" s="489"/>
      <c r="FAF53" s="489"/>
      <c r="FAG53" s="489"/>
      <c r="FAH53" s="489"/>
      <c r="FAI53" s="489"/>
      <c r="FAJ53" s="489"/>
      <c r="FAK53" s="489"/>
      <c r="FAL53" s="489"/>
      <c r="FAM53" s="489"/>
      <c r="FAN53" s="489"/>
      <c r="FAO53" s="489"/>
      <c r="FAP53" s="489"/>
      <c r="FAQ53" s="489"/>
      <c r="FAR53" s="489"/>
      <c r="FAS53" s="489"/>
      <c r="FAT53" s="489"/>
      <c r="FAU53" s="489"/>
      <c r="FAV53" s="489"/>
      <c r="FAW53" s="489"/>
      <c r="FAX53" s="489"/>
      <c r="FAY53" s="489"/>
      <c r="FAZ53" s="489"/>
      <c r="FBA53" s="489"/>
      <c r="FBB53" s="489"/>
      <c r="FBC53" s="489"/>
      <c r="FBD53" s="489"/>
      <c r="FBE53" s="489"/>
      <c r="FBF53" s="489"/>
      <c r="FBG53" s="489"/>
      <c r="FBH53" s="489"/>
      <c r="FBI53" s="489"/>
      <c r="FBJ53" s="489"/>
      <c r="FBK53" s="489"/>
      <c r="FBL53" s="489"/>
      <c r="FBM53" s="489"/>
      <c r="FBN53" s="489"/>
      <c r="FBO53" s="489"/>
      <c r="FBP53" s="489"/>
      <c r="FBQ53" s="489"/>
      <c r="FBR53" s="489"/>
      <c r="FBS53" s="489"/>
      <c r="FBT53" s="489"/>
      <c r="FBU53" s="489"/>
      <c r="FBV53" s="489"/>
      <c r="FBW53" s="489"/>
      <c r="FBX53" s="489"/>
      <c r="FBY53" s="489"/>
      <c r="FBZ53" s="489"/>
      <c r="FCA53" s="489"/>
      <c r="FCB53" s="489"/>
      <c r="FCC53" s="489"/>
      <c r="FCD53" s="489"/>
      <c r="FCE53" s="489"/>
      <c r="FCF53" s="489"/>
      <c r="FCG53" s="489"/>
      <c r="FCH53" s="489"/>
      <c r="FCI53" s="489"/>
      <c r="FCJ53" s="489"/>
      <c r="FCK53" s="489"/>
      <c r="FCL53" s="489"/>
      <c r="FCM53" s="489"/>
      <c r="FCN53" s="489"/>
      <c r="FCO53" s="489"/>
      <c r="FCP53" s="489"/>
      <c r="FCQ53" s="489"/>
      <c r="FCR53" s="489"/>
      <c r="FCS53" s="489"/>
      <c r="FCT53" s="489"/>
      <c r="FCU53" s="489"/>
      <c r="FCV53" s="489"/>
      <c r="FCW53" s="489"/>
      <c r="FCX53" s="489"/>
      <c r="FCY53" s="489"/>
      <c r="FCZ53" s="489"/>
      <c r="FDA53" s="489"/>
      <c r="FDB53" s="489"/>
      <c r="FDC53" s="489"/>
      <c r="FDD53" s="489"/>
      <c r="FDE53" s="489"/>
      <c r="FDF53" s="489"/>
      <c r="FDG53" s="489"/>
      <c r="FDH53" s="489"/>
      <c r="FDI53" s="489"/>
      <c r="FDJ53" s="489"/>
      <c r="FDK53" s="489"/>
      <c r="FDL53" s="489"/>
      <c r="FDM53" s="489"/>
      <c r="FDN53" s="489"/>
      <c r="FDO53" s="489"/>
      <c r="FDP53" s="489"/>
      <c r="FDQ53" s="489"/>
      <c r="FDR53" s="489"/>
      <c r="FDS53" s="489"/>
      <c r="FDT53" s="489"/>
      <c r="FDU53" s="489"/>
      <c r="FDV53" s="489"/>
      <c r="FDW53" s="489"/>
      <c r="FDX53" s="489"/>
      <c r="FDY53" s="489"/>
      <c r="FDZ53" s="489"/>
      <c r="FEA53" s="489"/>
      <c r="FEB53" s="489"/>
      <c r="FEC53" s="489"/>
      <c r="FED53" s="489"/>
      <c r="FEE53" s="489"/>
      <c r="FEF53" s="489"/>
      <c r="FEG53" s="489"/>
      <c r="FEH53" s="489"/>
      <c r="FEI53" s="489"/>
      <c r="FEJ53" s="489"/>
      <c r="FEK53" s="489"/>
      <c r="FEL53" s="489"/>
      <c r="FEM53" s="489"/>
      <c r="FEN53" s="489"/>
      <c r="FEO53" s="489"/>
      <c r="FEP53" s="489"/>
      <c r="FEQ53" s="489"/>
      <c r="FER53" s="489"/>
      <c r="FES53" s="489"/>
      <c r="FET53" s="489"/>
      <c r="FEU53" s="489"/>
      <c r="FEV53" s="489"/>
      <c r="FEW53" s="489"/>
      <c r="FEX53" s="489"/>
      <c r="FEY53" s="489"/>
      <c r="FEZ53" s="489"/>
      <c r="FFA53" s="489"/>
      <c r="FFB53" s="489"/>
      <c r="FFC53" s="489"/>
      <c r="FFD53" s="489"/>
      <c r="FFE53" s="489"/>
      <c r="FFF53" s="489"/>
      <c r="FFG53" s="489"/>
      <c r="FFH53" s="489"/>
      <c r="FFI53" s="489"/>
      <c r="FFJ53" s="489"/>
      <c r="FFK53" s="489"/>
      <c r="FFL53" s="489"/>
      <c r="FFM53" s="489"/>
      <c r="FFN53" s="489"/>
      <c r="FFO53" s="489"/>
      <c r="FFP53" s="489"/>
      <c r="FFQ53" s="489"/>
      <c r="FFR53" s="489"/>
      <c r="FFS53" s="489"/>
      <c r="FFT53" s="489"/>
      <c r="FFU53" s="489"/>
      <c r="FFV53" s="489"/>
      <c r="FFW53" s="489"/>
      <c r="FFX53" s="489"/>
      <c r="FFY53" s="489"/>
      <c r="FFZ53" s="489"/>
      <c r="FGA53" s="489"/>
      <c r="FGB53" s="489"/>
      <c r="FGC53" s="489"/>
      <c r="FGD53" s="489"/>
      <c r="FGE53" s="489"/>
      <c r="FGF53" s="489"/>
      <c r="FGG53" s="489"/>
      <c r="FGH53" s="489"/>
      <c r="FGI53" s="489"/>
      <c r="FGJ53" s="489"/>
      <c r="FGK53" s="489"/>
      <c r="FGL53" s="489"/>
      <c r="FGM53" s="489"/>
      <c r="FGN53" s="489"/>
      <c r="FGO53" s="489"/>
      <c r="FGP53" s="489"/>
      <c r="FGQ53" s="489"/>
      <c r="FGR53" s="489"/>
      <c r="FGS53" s="489"/>
      <c r="FGT53" s="489"/>
      <c r="FGU53" s="489"/>
      <c r="FGV53" s="489"/>
      <c r="FGW53" s="489"/>
      <c r="FGX53" s="489"/>
      <c r="FGY53" s="489"/>
      <c r="FGZ53" s="489"/>
      <c r="FHA53" s="489"/>
      <c r="FHB53" s="489"/>
      <c r="FHC53" s="489"/>
      <c r="FHD53" s="489"/>
      <c r="FHE53" s="489"/>
      <c r="FHF53" s="489"/>
      <c r="FHG53" s="489"/>
      <c r="FHH53" s="489"/>
      <c r="FHI53" s="489"/>
      <c r="FHJ53" s="489"/>
      <c r="FHK53" s="489"/>
      <c r="FHL53" s="489"/>
      <c r="FHM53" s="489"/>
      <c r="FHN53" s="489"/>
      <c r="FHO53" s="489"/>
      <c r="FHP53" s="489"/>
      <c r="FHQ53" s="489"/>
      <c r="FHR53" s="489"/>
      <c r="FHS53" s="489"/>
      <c r="FHT53" s="489"/>
      <c r="FHU53" s="489"/>
      <c r="FHV53" s="489"/>
      <c r="FHW53" s="489"/>
      <c r="FHX53" s="489"/>
      <c r="FHY53" s="489"/>
      <c r="FHZ53" s="489"/>
      <c r="FIA53" s="489"/>
      <c r="FIB53" s="489"/>
      <c r="FIC53" s="489"/>
      <c r="FID53" s="489"/>
      <c r="FIE53" s="489"/>
      <c r="FIF53" s="489"/>
      <c r="FIG53" s="489"/>
      <c r="FIH53" s="489"/>
      <c r="FII53" s="489"/>
      <c r="FIJ53" s="489"/>
      <c r="FIK53" s="489"/>
      <c r="FIL53" s="489"/>
      <c r="FIM53" s="489"/>
      <c r="FIN53" s="489"/>
      <c r="FIO53" s="489"/>
      <c r="FIP53" s="489"/>
      <c r="FIQ53" s="489"/>
      <c r="FIR53" s="489"/>
      <c r="FIS53" s="489"/>
      <c r="FIT53" s="489"/>
      <c r="FIU53" s="489"/>
      <c r="FIV53" s="489"/>
      <c r="FIW53" s="489"/>
      <c r="FIX53" s="489"/>
      <c r="FIY53" s="489"/>
      <c r="FIZ53" s="489"/>
      <c r="FJA53" s="489"/>
      <c r="FJB53" s="489"/>
      <c r="FJC53" s="489"/>
      <c r="FJD53" s="489"/>
      <c r="FJE53" s="489"/>
      <c r="FJF53" s="489"/>
      <c r="FJG53" s="489"/>
      <c r="FJH53" s="489"/>
      <c r="FJI53" s="489"/>
      <c r="FJJ53" s="489"/>
      <c r="FJK53" s="489"/>
      <c r="FJL53" s="489"/>
      <c r="FJM53" s="489"/>
      <c r="FJN53" s="489"/>
      <c r="FJO53" s="489"/>
      <c r="FJP53" s="489"/>
      <c r="FJQ53" s="489"/>
      <c r="FJR53" s="489"/>
      <c r="FJS53" s="489"/>
      <c r="FJT53" s="489"/>
      <c r="FJU53" s="489"/>
      <c r="FJV53" s="489"/>
      <c r="FJW53" s="489"/>
      <c r="FJX53" s="489"/>
      <c r="FJY53" s="489"/>
      <c r="FJZ53" s="489"/>
      <c r="FKA53" s="489"/>
      <c r="FKB53" s="489"/>
      <c r="FKC53" s="489"/>
      <c r="FKD53" s="489"/>
      <c r="FKE53" s="489"/>
      <c r="FKF53" s="489"/>
      <c r="FKG53" s="489"/>
      <c r="FKH53" s="489"/>
      <c r="FKI53" s="489"/>
      <c r="FKJ53" s="489"/>
      <c r="FKK53" s="489"/>
      <c r="FKL53" s="489"/>
      <c r="FKM53" s="489"/>
      <c r="FKN53" s="489"/>
      <c r="FKO53" s="489"/>
      <c r="FKP53" s="489"/>
      <c r="FKQ53" s="489"/>
      <c r="FKR53" s="489"/>
      <c r="FKS53" s="489"/>
      <c r="FKT53" s="489"/>
      <c r="FKU53" s="489"/>
      <c r="FKV53" s="489"/>
      <c r="FKW53" s="489"/>
      <c r="FKX53" s="489"/>
      <c r="FKY53" s="489"/>
      <c r="FKZ53" s="489"/>
      <c r="FLA53" s="489"/>
      <c r="FLB53" s="489"/>
      <c r="FLC53" s="489"/>
      <c r="FLD53" s="489"/>
      <c r="FLE53" s="489"/>
      <c r="FLF53" s="489"/>
      <c r="FLG53" s="489"/>
      <c r="FLH53" s="489"/>
      <c r="FLI53" s="489"/>
      <c r="FLJ53" s="489"/>
      <c r="FLK53" s="489"/>
      <c r="FLL53" s="489"/>
      <c r="FLM53" s="489"/>
      <c r="FLN53" s="489"/>
      <c r="FLO53" s="489"/>
      <c r="FLP53" s="489"/>
      <c r="FLQ53" s="489"/>
      <c r="FLR53" s="489"/>
      <c r="FLS53" s="489"/>
      <c r="FLT53" s="489"/>
      <c r="FLU53" s="489"/>
      <c r="FLV53" s="489"/>
      <c r="FLW53" s="489"/>
      <c r="FLX53" s="489"/>
      <c r="FLY53" s="489"/>
      <c r="FLZ53" s="489"/>
      <c r="FMA53" s="489"/>
      <c r="FMB53" s="489"/>
      <c r="FMC53" s="489"/>
      <c r="FMD53" s="489"/>
      <c r="FME53" s="489"/>
      <c r="FMF53" s="489"/>
      <c r="FMG53" s="489"/>
      <c r="FMH53" s="489"/>
      <c r="FMI53" s="489"/>
      <c r="FMJ53" s="489"/>
      <c r="FMK53" s="489"/>
      <c r="FML53" s="489"/>
      <c r="FMM53" s="489"/>
      <c r="FMN53" s="489"/>
      <c r="FMO53" s="489"/>
      <c r="FMP53" s="489"/>
      <c r="FMQ53" s="489"/>
      <c r="FMR53" s="489"/>
      <c r="FMS53" s="489"/>
      <c r="FMT53" s="489"/>
      <c r="FMU53" s="489"/>
      <c r="FMV53" s="489"/>
      <c r="FMW53" s="489"/>
      <c r="FMX53" s="489"/>
      <c r="FMY53" s="489"/>
      <c r="FMZ53" s="489"/>
      <c r="FNA53" s="489"/>
      <c r="FNB53" s="489"/>
      <c r="FNC53" s="489"/>
      <c r="FND53" s="489"/>
      <c r="FNE53" s="489"/>
      <c r="FNF53" s="489"/>
      <c r="FNG53" s="489"/>
      <c r="FNH53" s="489"/>
      <c r="FNI53" s="489"/>
      <c r="FNJ53" s="489"/>
      <c r="FNK53" s="489"/>
      <c r="FNL53" s="489"/>
      <c r="FNM53" s="489"/>
      <c r="FNN53" s="489"/>
      <c r="FNO53" s="489"/>
      <c r="FNP53" s="489"/>
      <c r="FNQ53" s="489"/>
      <c r="FNR53" s="489"/>
      <c r="FNS53" s="489"/>
      <c r="FNT53" s="489"/>
      <c r="FNU53" s="489"/>
      <c r="FNV53" s="489"/>
      <c r="FNW53" s="489"/>
      <c r="FNX53" s="489"/>
      <c r="FNY53" s="489"/>
      <c r="FNZ53" s="489"/>
      <c r="FOA53" s="489"/>
      <c r="FOB53" s="489"/>
      <c r="FOC53" s="489"/>
      <c r="FOD53" s="489"/>
      <c r="FOE53" s="489"/>
      <c r="FOF53" s="489"/>
      <c r="FOG53" s="489"/>
      <c r="FOH53" s="489"/>
      <c r="FOI53" s="489"/>
      <c r="FOJ53" s="489"/>
      <c r="FOK53" s="489"/>
      <c r="FOL53" s="489"/>
      <c r="FOM53" s="489"/>
      <c r="FON53" s="489"/>
      <c r="FOO53" s="489"/>
      <c r="FOP53" s="489"/>
      <c r="FOQ53" s="489"/>
      <c r="FOR53" s="489"/>
      <c r="FOS53" s="489"/>
      <c r="FOT53" s="489"/>
      <c r="FOU53" s="489"/>
      <c r="FOV53" s="489"/>
      <c r="FOW53" s="489"/>
      <c r="FOX53" s="489"/>
      <c r="FOY53" s="489"/>
      <c r="FOZ53" s="489"/>
      <c r="FPA53" s="489"/>
      <c r="FPB53" s="489"/>
      <c r="FPC53" s="489"/>
      <c r="FPD53" s="489"/>
      <c r="FPE53" s="489"/>
      <c r="FPF53" s="489"/>
      <c r="FPG53" s="489"/>
      <c r="FPH53" s="489"/>
      <c r="FPI53" s="489"/>
      <c r="FPJ53" s="489"/>
      <c r="FPK53" s="489"/>
      <c r="FPL53" s="489"/>
      <c r="FPM53" s="489"/>
      <c r="FPN53" s="489"/>
      <c r="FPO53" s="489"/>
      <c r="FPP53" s="489"/>
      <c r="FPQ53" s="489"/>
      <c r="FPR53" s="489"/>
      <c r="FPS53" s="489"/>
      <c r="FPT53" s="489"/>
      <c r="FPU53" s="489"/>
      <c r="FPV53" s="489"/>
      <c r="FPW53" s="489"/>
      <c r="FPX53" s="489"/>
      <c r="FPY53" s="489"/>
      <c r="FPZ53" s="489"/>
      <c r="FQA53" s="489"/>
      <c r="FQB53" s="489"/>
      <c r="FQC53" s="489"/>
      <c r="FQD53" s="489"/>
      <c r="FQE53" s="489"/>
      <c r="FQF53" s="489"/>
      <c r="FQG53" s="489"/>
      <c r="FQH53" s="489"/>
      <c r="FQI53" s="489"/>
      <c r="FQJ53" s="489"/>
      <c r="FQK53" s="489"/>
      <c r="FQL53" s="489"/>
      <c r="FQM53" s="489"/>
      <c r="FQN53" s="489"/>
      <c r="FQO53" s="489"/>
      <c r="FQP53" s="489"/>
      <c r="FQQ53" s="489"/>
      <c r="FQR53" s="489"/>
      <c r="FQS53" s="489"/>
      <c r="FQT53" s="489"/>
      <c r="FQU53" s="489"/>
      <c r="FQV53" s="489"/>
      <c r="FQW53" s="489"/>
      <c r="FQX53" s="489"/>
      <c r="FQY53" s="489"/>
      <c r="FQZ53" s="489"/>
      <c r="FRA53" s="489"/>
      <c r="FRB53" s="489"/>
      <c r="FRC53" s="489"/>
      <c r="FRD53" s="489"/>
      <c r="FRE53" s="489"/>
      <c r="FRF53" s="489"/>
      <c r="FRG53" s="489"/>
      <c r="FRH53" s="489"/>
      <c r="FRI53" s="489"/>
      <c r="FRJ53" s="489"/>
      <c r="FRK53" s="489"/>
      <c r="FRL53" s="489"/>
      <c r="FRM53" s="489"/>
      <c r="FRN53" s="489"/>
      <c r="FRO53" s="489"/>
      <c r="FRP53" s="489"/>
      <c r="FRQ53" s="489"/>
      <c r="FRR53" s="489"/>
      <c r="FRS53" s="489"/>
      <c r="FRT53" s="489"/>
      <c r="FRU53" s="489"/>
      <c r="FRV53" s="489"/>
      <c r="FRW53" s="489"/>
      <c r="FRX53" s="489"/>
      <c r="FRY53" s="489"/>
      <c r="FRZ53" s="489"/>
      <c r="FSA53" s="489"/>
      <c r="FSB53" s="489"/>
      <c r="FSC53" s="489"/>
      <c r="FSD53" s="489"/>
      <c r="FSE53" s="489"/>
      <c r="FSF53" s="489"/>
      <c r="FSG53" s="489"/>
      <c r="FSH53" s="489"/>
      <c r="FSI53" s="489"/>
      <c r="FSJ53" s="489"/>
      <c r="FSK53" s="489"/>
      <c r="FSL53" s="489"/>
      <c r="FSM53" s="489"/>
      <c r="FSN53" s="489"/>
      <c r="FSO53" s="489"/>
      <c r="FSP53" s="489"/>
      <c r="FSQ53" s="489"/>
      <c r="FSR53" s="489"/>
      <c r="FSS53" s="489"/>
      <c r="FST53" s="489"/>
      <c r="FSU53" s="489"/>
      <c r="FSV53" s="489"/>
      <c r="FSW53" s="489"/>
      <c r="FSX53" s="489"/>
      <c r="FSY53" s="489"/>
      <c r="FSZ53" s="489"/>
      <c r="FTA53" s="489"/>
      <c r="FTB53" s="489"/>
      <c r="FTC53" s="489"/>
      <c r="FTD53" s="489"/>
      <c r="FTE53" s="489"/>
      <c r="FTF53" s="489"/>
      <c r="FTG53" s="489"/>
      <c r="FTH53" s="489"/>
      <c r="FTI53" s="489"/>
      <c r="FTJ53" s="489"/>
      <c r="FTK53" s="489"/>
      <c r="FTL53" s="489"/>
      <c r="FTM53" s="489"/>
      <c r="FTN53" s="489"/>
      <c r="FTO53" s="489"/>
      <c r="FTP53" s="489"/>
      <c r="FTQ53" s="489"/>
      <c r="FTR53" s="489"/>
      <c r="FTS53" s="489"/>
      <c r="FTT53" s="489"/>
      <c r="FTU53" s="489"/>
      <c r="FTV53" s="489"/>
      <c r="FTW53" s="489"/>
      <c r="FTX53" s="489"/>
      <c r="FTY53" s="489"/>
      <c r="FTZ53" s="489"/>
      <c r="FUA53" s="489"/>
      <c r="FUB53" s="489"/>
      <c r="FUC53" s="489"/>
      <c r="FUD53" s="489"/>
      <c r="FUE53" s="489"/>
      <c r="FUF53" s="489"/>
      <c r="FUG53" s="489"/>
      <c r="FUH53" s="489"/>
      <c r="FUI53" s="489"/>
      <c r="FUJ53" s="489"/>
      <c r="FUK53" s="489"/>
      <c r="FUL53" s="489"/>
      <c r="FUM53" s="489"/>
      <c r="FUN53" s="489"/>
      <c r="FUO53" s="489"/>
      <c r="FUP53" s="489"/>
      <c r="FUQ53" s="489"/>
      <c r="FUR53" s="489"/>
      <c r="FUS53" s="489"/>
      <c r="FUT53" s="489"/>
      <c r="FUU53" s="489"/>
      <c r="FUV53" s="489"/>
      <c r="FUW53" s="489"/>
      <c r="FUX53" s="489"/>
      <c r="FUY53" s="489"/>
      <c r="FUZ53" s="489"/>
      <c r="FVA53" s="489"/>
      <c r="FVB53" s="489"/>
      <c r="FVC53" s="489"/>
      <c r="FVD53" s="489"/>
      <c r="FVE53" s="489"/>
      <c r="FVF53" s="489"/>
      <c r="FVG53" s="489"/>
      <c r="FVH53" s="489"/>
      <c r="FVI53" s="489"/>
      <c r="FVJ53" s="489"/>
      <c r="FVK53" s="489"/>
      <c r="FVL53" s="489"/>
      <c r="FVM53" s="489"/>
      <c r="FVN53" s="489"/>
      <c r="FVO53" s="489"/>
      <c r="FVP53" s="489"/>
      <c r="FVQ53" s="489"/>
      <c r="FVR53" s="489"/>
      <c r="FVS53" s="489"/>
      <c r="FVT53" s="489"/>
      <c r="FVU53" s="489"/>
      <c r="FVV53" s="489"/>
      <c r="FVW53" s="489"/>
      <c r="FVX53" s="489"/>
      <c r="FVY53" s="489"/>
      <c r="FVZ53" s="489"/>
      <c r="FWA53" s="489"/>
      <c r="FWB53" s="489"/>
      <c r="FWC53" s="489"/>
      <c r="FWD53" s="489"/>
      <c r="FWE53" s="489"/>
      <c r="FWF53" s="489"/>
      <c r="FWG53" s="489"/>
      <c r="FWH53" s="489"/>
      <c r="FWI53" s="489"/>
      <c r="FWJ53" s="489"/>
      <c r="FWK53" s="489"/>
      <c r="FWL53" s="489"/>
      <c r="FWM53" s="489"/>
      <c r="FWN53" s="489"/>
      <c r="FWO53" s="489"/>
      <c r="FWP53" s="489"/>
      <c r="FWQ53" s="489"/>
      <c r="FWR53" s="489"/>
      <c r="FWS53" s="489"/>
      <c r="FWT53" s="489"/>
      <c r="FWU53" s="489"/>
      <c r="FWV53" s="489"/>
      <c r="FWW53" s="489"/>
      <c r="FWX53" s="489"/>
      <c r="FWY53" s="489"/>
      <c r="FWZ53" s="489"/>
      <c r="FXA53" s="489"/>
      <c r="FXB53" s="489"/>
      <c r="FXC53" s="489"/>
      <c r="FXD53" s="489"/>
      <c r="FXE53" s="489"/>
      <c r="FXF53" s="489"/>
      <c r="FXG53" s="489"/>
      <c r="FXH53" s="489"/>
      <c r="FXI53" s="489"/>
      <c r="FXJ53" s="489"/>
      <c r="FXK53" s="489"/>
      <c r="FXL53" s="489"/>
      <c r="FXM53" s="489"/>
      <c r="FXN53" s="489"/>
      <c r="FXO53" s="489"/>
      <c r="FXP53" s="489"/>
      <c r="FXQ53" s="489"/>
      <c r="FXR53" s="489"/>
      <c r="FXS53" s="489"/>
      <c r="FXT53" s="489"/>
      <c r="FXU53" s="489"/>
      <c r="FXV53" s="489"/>
      <c r="FXW53" s="489"/>
      <c r="FXX53" s="489"/>
      <c r="FXY53" s="489"/>
      <c r="FXZ53" s="489"/>
      <c r="FYA53" s="489"/>
      <c r="FYB53" s="489"/>
      <c r="FYC53" s="489"/>
      <c r="FYD53" s="489"/>
      <c r="FYE53" s="489"/>
      <c r="FYF53" s="489"/>
      <c r="FYG53" s="489"/>
      <c r="FYH53" s="489"/>
      <c r="FYI53" s="489"/>
      <c r="FYJ53" s="489"/>
      <c r="FYK53" s="489"/>
      <c r="FYL53" s="489"/>
      <c r="FYM53" s="489"/>
      <c r="FYN53" s="489"/>
      <c r="FYO53" s="489"/>
      <c r="FYP53" s="489"/>
      <c r="FYQ53" s="489"/>
      <c r="FYR53" s="489"/>
      <c r="FYS53" s="489"/>
      <c r="FYT53" s="489"/>
      <c r="FYU53" s="489"/>
      <c r="FYV53" s="489"/>
      <c r="FYW53" s="489"/>
      <c r="FYX53" s="489"/>
      <c r="FYY53" s="489"/>
      <c r="FYZ53" s="489"/>
      <c r="FZA53" s="489"/>
      <c r="FZB53" s="489"/>
      <c r="FZC53" s="489"/>
      <c r="FZD53" s="489"/>
      <c r="FZE53" s="489"/>
      <c r="FZF53" s="489"/>
      <c r="FZG53" s="489"/>
      <c r="FZH53" s="489"/>
      <c r="FZI53" s="489"/>
      <c r="FZJ53" s="489"/>
      <c r="FZK53" s="489"/>
      <c r="FZL53" s="489"/>
      <c r="FZM53" s="489"/>
      <c r="FZN53" s="489"/>
      <c r="FZO53" s="489"/>
      <c r="FZP53" s="489"/>
      <c r="FZQ53" s="489"/>
      <c r="FZR53" s="489"/>
      <c r="FZS53" s="489"/>
      <c r="FZT53" s="489"/>
      <c r="FZU53" s="489"/>
      <c r="FZV53" s="489"/>
      <c r="FZW53" s="489"/>
      <c r="FZX53" s="489"/>
      <c r="FZY53" s="489"/>
      <c r="FZZ53" s="489"/>
      <c r="GAA53" s="489"/>
      <c r="GAB53" s="489"/>
      <c r="GAC53" s="489"/>
      <c r="GAD53" s="489"/>
      <c r="GAE53" s="489"/>
      <c r="GAF53" s="489"/>
      <c r="GAG53" s="489"/>
      <c r="GAH53" s="489"/>
      <c r="GAI53" s="489"/>
      <c r="GAJ53" s="489"/>
      <c r="GAK53" s="489"/>
      <c r="GAL53" s="489"/>
      <c r="GAM53" s="489"/>
      <c r="GAN53" s="489"/>
      <c r="GAO53" s="489"/>
      <c r="GAP53" s="489"/>
      <c r="GAQ53" s="489"/>
      <c r="GAR53" s="489"/>
      <c r="GAS53" s="489"/>
      <c r="GAT53" s="489"/>
      <c r="GAU53" s="489"/>
      <c r="GAV53" s="489"/>
      <c r="GAW53" s="489"/>
      <c r="GAX53" s="489"/>
      <c r="GAY53" s="489"/>
      <c r="GAZ53" s="489"/>
      <c r="GBA53" s="489"/>
      <c r="GBB53" s="489"/>
      <c r="GBC53" s="489"/>
      <c r="GBD53" s="489"/>
      <c r="GBE53" s="489"/>
      <c r="GBF53" s="489"/>
      <c r="GBG53" s="489"/>
      <c r="GBH53" s="489"/>
      <c r="GBI53" s="489"/>
      <c r="GBJ53" s="489"/>
      <c r="GBK53" s="489"/>
      <c r="GBL53" s="489"/>
      <c r="GBM53" s="489"/>
      <c r="GBN53" s="489"/>
      <c r="GBO53" s="489"/>
      <c r="GBP53" s="489"/>
      <c r="GBQ53" s="489"/>
      <c r="GBR53" s="489"/>
      <c r="GBS53" s="489"/>
      <c r="GBT53" s="489"/>
      <c r="GBU53" s="489"/>
      <c r="GBV53" s="489"/>
      <c r="GBW53" s="489"/>
      <c r="GBX53" s="489"/>
      <c r="GBY53" s="489"/>
      <c r="GBZ53" s="489"/>
      <c r="GCA53" s="489"/>
      <c r="GCB53" s="489"/>
      <c r="GCC53" s="489"/>
      <c r="GCD53" s="489"/>
      <c r="GCE53" s="489"/>
      <c r="GCF53" s="489"/>
      <c r="GCG53" s="489"/>
      <c r="GCH53" s="489"/>
      <c r="GCI53" s="489"/>
      <c r="GCJ53" s="489"/>
      <c r="GCK53" s="489"/>
      <c r="GCL53" s="489"/>
      <c r="GCM53" s="489"/>
      <c r="GCN53" s="489"/>
      <c r="GCO53" s="489"/>
      <c r="GCP53" s="489"/>
      <c r="GCQ53" s="489"/>
      <c r="GCR53" s="489"/>
      <c r="GCS53" s="489"/>
      <c r="GCT53" s="489"/>
      <c r="GCU53" s="489"/>
      <c r="GCV53" s="489"/>
      <c r="GCW53" s="489"/>
      <c r="GCX53" s="489"/>
      <c r="GCY53" s="489"/>
      <c r="GCZ53" s="489"/>
      <c r="GDA53" s="489"/>
      <c r="GDB53" s="489"/>
      <c r="GDC53" s="489"/>
      <c r="GDD53" s="489"/>
      <c r="GDE53" s="489"/>
      <c r="GDF53" s="489"/>
      <c r="GDG53" s="489"/>
      <c r="GDH53" s="489"/>
      <c r="GDI53" s="489"/>
      <c r="GDJ53" s="489"/>
      <c r="GDK53" s="489"/>
      <c r="GDL53" s="489"/>
      <c r="GDM53" s="489"/>
      <c r="GDN53" s="489"/>
      <c r="GDO53" s="489"/>
      <c r="GDP53" s="489"/>
      <c r="GDQ53" s="489"/>
      <c r="GDR53" s="489"/>
      <c r="GDS53" s="489"/>
      <c r="GDT53" s="489"/>
      <c r="GDU53" s="489"/>
      <c r="GDV53" s="489"/>
      <c r="GDW53" s="489"/>
      <c r="GDX53" s="489"/>
      <c r="GDY53" s="489"/>
      <c r="GDZ53" s="489"/>
      <c r="GEA53" s="489"/>
      <c r="GEB53" s="489"/>
      <c r="GEC53" s="489"/>
      <c r="GED53" s="489"/>
      <c r="GEE53" s="489"/>
      <c r="GEF53" s="489"/>
      <c r="GEG53" s="489"/>
      <c r="GEH53" s="489"/>
      <c r="GEI53" s="489"/>
      <c r="GEJ53" s="489"/>
      <c r="GEK53" s="489"/>
      <c r="GEL53" s="489"/>
      <c r="GEM53" s="489"/>
      <c r="GEN53" s="489"/>
      <c r="GEO53" s="489"/>
      <c r="GEP53" s="489"/>
      <c r="GEQ53" s="489"/>
      <c r="GER53" s="489"/>
      <c r="GES53" s="489"/>
      <c r="GET53" s="489"/>
      <c r="GEU53" s="489"/>
      <c r="GEV53" s="489"/>
      <c r="GEW53" s="489"/>
      <c r="GEX53" s="489"/>
      <c r="GEY53" s="489"/>
      <c r="GEZ53" s="489"/>
      <c r="GFA53" s="489"/>
      <c r="GFB53" s="489"/>
      <c r="GFC53" s="489"/>
      <c r="GFD53" s="489"/>
      <c r="GFE53" s="489"/>
      <c r="GFF53" s="489"/>
      <c r="GFG53" s="489"/>
      <c r="GFH53" s="489"/>
      <c r="GFI53" s="489"/>
      <c r="GFJ53" s="489"/>
      <c r="GFK53" s="489"/>
      <c r="GFL53" s="489"/>
      <c r="GFM53" s="489"/>
      <c r="GFN53" s="489"/>
      <c r="GFO53" s="489"/>
      <c r="GFP53" s="489"/>
      <c r="GFQ53" s="489"/>
      <c r="GFR53" s="489"/>
      <c r="GFS53" s="489"/>
      <c r="GFT53" s="489"/>
      <c r="GFU53" s="489"/>
      <c r="GFV53" s="489"/>
      <c r="GFW53" s="489"/>
      <c r="GFX53" s="489"/>
      <c r="GFY53" s="489"/>
      <c r="GFZ53" s="489"/>
      <c r="GGA53" s="489"/>
      <c r="GGB53" s="489"/>
      <c r="GGC53" s="489"/>
      <c r="GGD53" s="489"/>
      <c r="GGE53" s="489"/>
      <c r="GGF53" s="489"/>
      <c r="GGG53" s="489"/>
      <c r="GGH53" s="489"/>
      <c r="GGI53" s="489"/>
      <c r="GGJ53" s="489"/>
      <c r="GGK53" s="489"/>
      <c r="GGL53" s="489"/>
      <c r="GGM53" s="489"/>
      <c r="GGN53" s="489"/>
      <c r="GGO53" s="489"/>
      <c r="GGP53" s="489"/>
      <c r="GGQ53" s="489"/>
      <c r="GGR53" s="489"/>
      <c r="GGS53" s="489"/>
      <c r="GGT53" s="489"/>
      <c r="GGU53" s="489"/>
      <c r="GGV53" s="489"/>
      <c r="GGW53" s="489"/>
      <c r="GGX53" s="489"/>
      <c r="GGY53" s="489"/>
      <c r="GGZ53" s="489"/>
      <c r="GHA53" s="489"/>
      <c r="GHB53" s="489"/>
      <c r="GHC53" s="489"/>
      <c r="GHD53" s="489"/>
      <c r="GHE53" s="489"/>
      <c r="GHF53" s="489"/>
      <c r="GHG53" s="489"/>
      <c r="GHH53" s="489"/>
      <c r="GHI53" s="489"/>
      <c r="GHJ53" s="489"/>
      <c r="GHK53" s="489"/>
      <c r="GHL53" s="489"/>
      <c r="GHM53" s="489"/>
      <c r="GHN53" s="489"/>
      <c r="GHO53" s="489"/>
      <c r="GHP53" s="489"/>
      <c r="GHQ53" s="489"/>
      <c r="GHR53" s="489"/>
      <c r="GHS53" s="489"/>
      <c r="GHT53" s="489"/>
      <c r="GHU53" s="489"/>
      <c r="GHV53" s="489"/>
      <c r="GHW53" s="489"/>
      <c r="GHX53" s="489"/>
      <c r="GHY53" s="489"/>
      <c r="GHZ53" s="489"/>
      <c r="GIA53" s="489"/>
      <c r="GIB53" s="489"/>
      <c r="GIC53" s="489"/>
      <c r="GID53" s="489"/>
      <c r="GIE53" s="489"/>
      <c r="GIF53" s="489"/>
      <c r="GIG53" s="489"/>
      <c r="GIH53" s="489"/>
      <c r="GII53" s="489"/>
      <c r="GIJ53" s="489"/>
      <c r="GIK53" s="489"/>
      <c r="GIL53" s="489"/>
      <c r="GIM53" s="489"/>
      <c r="GIN53" s="489"/>
      <c r="GIO53" s="489"/>
      <c r="GIP53" s="489"/>
      <c r="GIQ53" s="489"/>
      <c r="GIR53" s="489"/>
      <c r="GIS53" s="489"/>
      <c r="GIT53" s="489"/>
      <c r="GIU53" s="489"/>
      <c r="GIV53" s="489"/>
      <c r="GIW53" s="489"/>
      <c r="GIX53" s="489"/>
      <c r="GIY53" s="489"/>
      <c r="GIZ53" s="489"/>
      <c r="GJA53" s="489"/>
      <c r="GJB53" s="489"/>
      <c r="GJC53" s="489"/>
      <c r="GJD53" s="489"/>
      <c r="GJE53" s="489"/>
      <c r="GJF53" s="489"/>
      <c r="GJG53" s="489"/>
      <c r="GJH53" s="489"/>
      <c r="GJI53" s="489"/>
      <c r="GJJ53" s="489"/>
      <c r="GJK53" s="489"/>
      <c r="GJL53" s="489"/>
      <c r="GJM53" s="489"/>
      <c r="GJN53" s="489"/>
      <c r="GJO53" s="489"/>
      <c r="GJP53" s="489"/>
      <c r="GJQ53" s="489"/>
      <c r="GJR53" s="489"/>
      <c r="GJS53" s="489"/>
      <c r="GJT53" s="489"/>
      <c r="GJU53" s="489"/>
      <c r="GJV53" s="489"/>
      <c r="GJW53" s="489"/>
      <c r="GJX53" s="489"/>
      <c r="GJY53" s="489"/>
      <c r="GJZ53" s="489"/>
      <c r="GKA53" s="489"/>
      <c r="GKB53" s="489"/>
      <c r="GKC53" s="489"/>
      <c r="GKD53" s="489"/>
      <c r="GKE53" s="489"/>
      <c r="GKF53" s="489"/>
      <c r="GKG53" s="489"/>
      <c r="GKH53" s="489"/>
      <c r="GKI53" s="489"/>
      <c r="GKJ53" s="489"/>
      <c r="GKK53" s="489"/>
      <c r="GKL53" s="489"/>
      <c r="GKM53" s="489"/>
      <c r="GKN53" s="489"/>
      <c r="GKO53" s="489"/>
      <c r="GKP53" s="489"/>
      <c r="GKQ53" s="489"/>
      <c r="GKR53" s="489"/>
      <c r="GKS53" s="489"/>
      <c r="GKT53" s="489"/>
      <c r="GKU53" s="489"/>
      <c r="GKV53" s="489"/>
      <c r="GKW53" s="489"/>
      <c r="GKX53" s="489"/>
      <c r="GKY53" s="489"/>
      <c r="GKZ53" s="489"/>
      <c r="GLA53" s="489"/>
      <c r="GLB53" s="489"/>
      <c r="GLC53" s="489"/>
      <c r="GLD53" s="489"/>
      <c r="GLE53" s="489"/>
      <c r="GLF53" s="489"/>
      <c r="GLG53" s="489"/>
      <c r="GLH53" s="489"/>
      <c r="GLI53" s="489"/>
      <c r="GLJ53" s="489"/>
      <c r="GLK53" s="489"/>
      <c r="GLL53" s="489"/>
      <c r="GLM53" s="489"/>
      <c r="GLN53" s="489"/>
      <c r="GLO53" s="489"/>
      <c r="GLP53" s="489"/>
      <c r="GLQ53" s="489"/>
      <c r="GLR53" s="489"/>
      <c r="GLS53" s="489"/>
      <c r="GLT53" s="489"/>
      <c r="GLU53" s="489"/>
      <c r="GLV53" s="489"/>
      <c r="GLW53" s="489"/>
      <c r="GLX53" s="489"/>
      <c r="GLY53" s="489"/>
      <c r="GLZ53" s="489"/>
      <c r="GMA53" s="489"/>
      <c r="GMB53" s="489"/>
      <c r="GMC53" s="489"/>
      <c r="GMD53" s="489"/>
      <c r="GME53" s="489"/>
      <c r="GMF53" s="489"/>
      <c r="GMG53" s="489"/>
      <c r="GMH53" s="489"/>
      <c r="GMI53" s="489"/>
      <c r="GMJ53" s="489"/>
      <c r="GMK53" s="489"/>
      <c r="GML53" s="489"/>
      <c r="GMM53" s="489"/>
      <c r="GMN53" s="489"/>
      <c r="GMO53" s="489"/>
      <c r="GMP53" s="489"/>
      <c r="GMQ53" s="489"/>
      <c r="GMR53" s="489"/>
      <c r="GMS53" s="489"/>
      <c r="GMT53" s="489"/>
      <c r="GMU53" s="489"/>
      <c r="GMV53" s="489"/>
      <c r="GMW53" s="489"/>
      <c r="GMX53" s="489"/>
      <c r="GMY53" s="489"/>
      <c r="GMZ53" s="489"/>
      <c r="GNA53" s="489"/>
      <c r="GNB53" s="489"/>
      <c r="GNC53" s="489"/>
      <c r="GND53" s="489"/>
      <c r="GNE53" s="489"/>
      <c r="GNF53" s="489"/>
      <c r="GNG53" s="489"/>
      <c r="GNH53" s="489"/>
      <c r="GNI53" s="489"/>
      <c r="GNJ53" s="489"/>
      <c r="GNK53" s="489"/>
      <c r="GNL53" s="489"/>
      <c r="GNM53" s="489"/>
      <c r="GNN53" s="489"/>
      <c r="GNO53" s="489"/>
      <c r="GNP53" s="489"/>
      <c r="GNQ53" s="489"/>
      <c r="GNR53" s="489"/>
      <c r="GNS53" s="489"/>
      <c r="GNT53" s="489"/>
      <c r="GNU53" s="489"/>
      <c r="GNV53" s="489"/>
      <c r="GNW53" s="489"/>
      <c r="GNX53" s="489"/>
      <c r="GNY53" s="489"/>
      <c r="GNZ53" s="489"/>
      <c r="GOA53" s="489"/>
      <c r="GOB53" s="489"/>
      <c r="GOC53" s="489"/>
      <c r="GOD53" s="489"/>
      <c r="GOE53" s="489"/>
      <c r="GOF53" s="489"/>
      <c r="GOG53" s="489"/>
      <c r="GOH53" s="489"/>
      <c r="GOI53" s="489"/>
      <c r="GOJ53" s="489"/>
      <c r="GOK53" s="489"/>
      <c r="GOL53" s="489"/>
      <c r="GOM53" s="489"/>
      <c r="GON53" s="489"/>
      <c r="GOO53" s="489"/>
      <c r="GOP53" s="489"/>
      <c r="GOQ53" s="489"/>
      <c r="GOR53" s="489"/>
      <c r="GOS53" s="489"/>
      <c r="GOT53" s="489"/>
      <c r="GOU53" s="489"/>
      <c r="GOV53" s="489"/>
      <c r="GOW53" s="489"/>
      <c r="GOX53" s="489"/>
      <c r="GOY53" s="489"/>
      <c r="GOZ53" s="489"/>
      <c r="GPA53" s="489"/>
      <c r="GPB53" s="489"/>
      <c r="GPC53" s="489"/>
      <c r="GPD53" s="489"/>
      <c r="GPE53" s="489"/>
      <c r="GPF53" s="489"/>
      <c r="GPG53" s="489"/>
      <c r="GPH53" s="489"/>
      <c r="GPI53" s="489"/>
      <c r="GPJ53" s="489"/>
      <c r="GPK53" s="489"/>
      <c r="GPL53" s="489"/>
      <c r="GPM53" s="489"/>
      <c r="GPN53" s="489"/>
      <c r="GPO53" s="489"/>
      <c r="GPP53" s="489"/>
      <c r="GPQ53" s="489"/>
      <c r="GPR53" s="489"/>
      <c r="GPS53" s="489"/>
      <c r="GPT53" s="489"/>
      <c r="GPU53" s="489"/>
      <c r="GPV53" s="489"/>
      <c r="GPW53" s="489"/>
      <c r="GPX53" s="489"/>
      <c r="GPY53" s="489"/>
      <c r="GPZ53" s="489"/>
      <c r="GQA53" s="489"/>
      <c r="GQB53" s="489"/>
      <c r="GQC53" s="489"/>
      <c r="GQD53" s="489"/>
      <c r="GQE53" s="489"/>
      <c r="GQF53" s="489"/>
      <c r="GQG53" s="489"/>
      <c r="GQH53" s="489"/>
      <c r="GQI53" s="489"/>
      <c r="GQJ53" s="489"/>
      <c r="GQK53" s="489"/>
      <c r="GQL53" s="489"/>
      <c r="GQM53" s="489"/>
      <c r="GQN53" s="489"/>
      <c r="GQO53" s="489"/>
      <c r="GQP53" s="489"/>
      <c r="GQQ53" s="489"/>
      <c r="GQR53" s="489"/>
      <c r="GQS53" s="489"/>
      <c r="GQT53" s="489"/>
      <c r="GQU53" s="489"/>
      <c r="GQV53" s="489"/>
      <c r="GQW53" s="489"/>
      <c r="GQX53" s="489"/>
      <c r="GQY53" s="489"/>
      <c r="GQZ53" s="489"/>
      <c r="GRA53" s="489"/>
      <c r="GRB53" s="489"/>
      <c r="GRC53" s="489"/>
      <c r="GRD53" s="489"/>
      <c r="GRE53" s="489"/>
      <c r="GRF53" s="489"/>
      <c r="GRG53" s="489"/>
      <c r="GRH53" s="489"/>
      <c r="GRI53" s="489"/>
      <c r="GRJ53" s="489"/>
      <c r="GRK53" s="489"/>
      <c r="GRL53" s="489"/>
      <c r="GRM53" s="489"/>
      <c r="GRN53" s="489"/>
      <c r="GRO53" s="489"/>
      <c r="GRP53" s="489"/>
      <c r="GRQ53" s="489"/>
      <c r="GRR53" s="489"/>
      <c r="GRS53" s="489"/>
      <c r="GRT53" s="489"/>
      <c r="GRU53" s="489"/>
      <c r="GRV53" s="489"/>
      <c r="GRW53" s="489"/>
      <c r="GRX53" s="489"/>
      <c r="GRY53" s="489"/>
      <c r="GRZ53" s="489"/>
      <c r="GSA53" s="489"/>
      <c r="GSB53" s="489"/>
      <c r="GSC53" s="489"/>
      <c r="GSD53" s="489"/>
      <c r="GSE53" s="489"/>
      <c r="GSF53" s="489"/>
      <c r="GSG53" s="489"/>
      <c r="GSH53" s="489"/>
      <c r="GSI53" s="489"/>
      <c r="GSJ53" s="489"/>
      <c r="GSK53" s="489"/>
      <c r="GSL53" s="489"/>
      <c r="GSM53" s="489"/>
      <c r="GSN53" s="489"/>
      <c r="GSO53" s="489"/>
      <c r="GSP53" s="489"/>
      <c r="GSQ53" s="489"/>
      <c r="GSR53" s="489"/>
      <c r="GSS53" s="489"/>
      <c r="GST53" s="489"/>
      <c r="GSU53" s="489"/>
      <c r="GSV53" s="489"/>
      <c r="GSW53" s="489"/>
      <c r="GSX53" s="489"/>
      <c r="GSY53" s="489"/>
      <c r="GSZ53" s="489"/>
      <c r="GTA53" s="489"/>
      <c r="GTB53" s="489"/>
      <c r="GTC53" s="489"/>
      <c r="GTD53" s="489"/>
      <c r="GTE53" s="489"/>
      <c r="GTF53" s="489"/>
      <c r="GTG53" s="489"/>
      <c r="GTH53" s="489"/>
      <c r="GTI53" s="489"/>
      <c r="GTJ53" s="489"/>
      <c r="GTK53" s="489"/>
      <c r="GTL53" s="489"/>
      <c r="GTM53" s="489"/>
      <c r="GTN53" s="489"/>
      <c r="GTO53" s="489"/>
      <c r="GTP53" s="489"/>
      <c r="GTQ53" s="489"/>
      <c r="GTR53" s="489"/>
      <c r="GTS53" s="489"/>
      <c r="GTT53" s="489"/>
      <c r="GTU53" s="489"/>
      <c r="GTV53" s="489"/>
      <c r="GTW53" s="489"/>
      <c r="GTX53" s="489"/>
      <c r="GTY53" s="489"/>
      <c r="GTZ53" s="489"/>
      <c r="GUA53" s="489"/>
      <c r="GUB53" s="489"/>
      <c r="GUC53" s="489"/>
      <c r="GUD53" s="489"/>
      <c r="GUE53" s="489"/>
      <c r="GUF53" s="489"/>
      <c r="GUG53" s="489"/>
      <c r="GUH53" s="489"/>
      <c r="GUI53" s="489"/>
      <c r="GUJ53" s="489"/>
      <c r="GUK53" s="489"/>
      <c r="GUL53" s="489"/>
      <c r="GUM53" s="489"/>
      <c r="GUN53" s="489"/>
      <c r="GUO53" s="489"/>
      <c r="GUP53" s="489"/>
      <c r="GUQ53" s="489"/>
      <c r="GUR53" s="489"/>
      <c r="GUS53" s="489"/>
      <c r="GUT53" s="489"/>
      <c r="GUU53" s="489"/>
      <c r="GUV53" s="489"/>
      <c r="GUW53" s="489"/>
      <c r="GUX53" s="489"/>
      <c r="GUY53" s="489"/>
      <c r="GUZ53" s="489"/>
      <c r="GVA53" s="489"/>
      <c r="GVB53" s="489"/>
      <c r="GVC53" s="489"/>
      <c r="GVD53" s="489"/>
      <c r="GVE53" s="489"/>
      <c r="GVF53" s="489"/>
      <c r="GVG53" s="489"/>
      <c r="GVH53" s="489"/>
      <c r="GVI53" s="489"/>
      <c r="GVJ53" s="489"/>
      <c r="GVK53" s="489"/>
      <c r="GVL53" s="489"/>
      <c r="GVM53" s="489"/>
      <c r="GVN53" s="489"/>
      <c r="GVO53" s="489"/>
      <c r="GVP53" s="489"/>
      <c r="GVQ53" s="489"/>
      <c r="GVR53" s="489"/>
      <c r="GVS53" s="489"/>
      <c r="GVT53" s="489"/>
      <c r="GVU53" s="489"/>
      <c r="GVV53" s="489"/>
      <c r="GVW53" s="489"/>
      <c r="GVX53" s="489"/>
      <c r="GVY53" s="489"/>
      <c r="GVZ53" s="489"/>
      <c r="GWA53" s="489"/>
      <c r="GWB53" s="489"/>
      <c r="GWC53" s="489"/>
      <c r="GWD53" s="489"/>
      <c r="GWE53" s="489"/>
      <c r="GWF53" s="489"/>
      <c r="GWG53" s="489"/>
      <c r="GWH53" s="489"/>
      <c r="GWI53" s="489"/>
      <c r="GWJ53" s="489"/>
      <c r="GWK53" s="489"/>
      <c r="GWL53" s="489"/>
      <c r="GWM53" s="489"/>
      <c r="GWN53" s="489"/>
      <c r="GWO53" s="489"/>
      <c r="GWP53" s="489"/>
      <c r="GWQ53" s="489"/>
      <c r="GWR53" s="489"/>
      <c r="GWS53" s="489"/>
      <c r="GWT53" s="489"/>
      <c r="GWU53" s="489"/>
      <c r="GWV53" s="489"/>
      <c r="GWW53" s="489"/>
      <c r="GWX53" s="489"/>
      <c r="GWY53" s="489"/>
      <c r="GWZ53" s="489"/>
      <c r="GXA53" s="489"/>
      <c r="GXB53" s="489"/>
      <c r="GXC53" s="489"/>
      <c r="GXD53" s="489"/>
      <c r="GXE53" s="489"/>
      <c r="GXF53" s="489"/>
      <c r="GXG53" s="489"/>
      <c r="GXH53" s="489"/>
      <c r="GXI53" s="489"/>
      <c r="GXJ53" s="489"/>
      <c r="GXK53" s="489"/>
      <c r="GXL53" s="489"/>
      <c r="GXM53" s="489"/>
      <c r="GXN53" s="489"/>
      <c r="GXO53" s="489"/>
      <c r="GXP53" s="489"/>
      <c r="GXQ53" s="489"/>
      <c r="GXR53" s="489"/>
      <c r="GXS53" s="489"/>
      <c r="GXT53" s="489"/>
      <c r="GXU53" s="489"/>
      <c r="GXV53" s="489"/>
      <c r="GXW53" s="489"/>
      <c r="GXX53" s="489"/>
      <c r="GXY53" s="489"/>
      <c r="GXZ53" s="489"/>
      <c r="GYA53" s="489"/>
      <c r="GYB53" s="489"/>
      <c r="GYC53" s="489"/>
      <c r="GYD53" s="489"/>
      <c r="GYE53" s="489"/>
      <c r="GYF53" s="489"/>
      <c r="GYG53" s="489"/>
      <c r="GYH53" s="489"/>
      <c r="GYI53" s="489"/>
      <c r="GYJ53" s="489"/>
      <c r="GYK53" s="489"/>
      <c r="GYL53" s="489"/>
      <c r="GYM53" s="489"/>
      <c r="GYN53" s="489"/>
      <c r="GYO53" s="489"/>
      <c r="GYP53" s="489"/>
      <c r="GYQ53" s="489"/>
      <c r="GYR53" s="489"/>
      <c r="GYS53" s="489"/>
      <c r="GYT53" s="489"/>
      <c r="GYU53" s="489"/>
      <c r="GYV53" s="489"/>
      <c r="GYW53" s="489"/>
      <c r="GYX53" s="489"/>
      <c r="GYY53" s="489"/>
      <c r="GYZ53" s="489"/>
      <c r="GZA53" s="489"/>
      <c r="GZB53" s="489"/>
      <c r="GZC53" s="489"/>
      <c r="GZD53" s="489"/>
      <c r="GZE53" s="489"/>
      <c r="GZF53" s="489"/>
      <c r="GZG53" s="489"/>
      <c r="GZH53" s="489"/>
      <c r="GZI53" s="489"/>
      <c r="GZJ53" s="489"/>
      <c r="GZK53" s="489"/>
      <c r="GZL53" s="489"/>
      <c r="GZM53" s="489"/>
      <c r="GZN53" s="489"/>
      <c r="GZO53" s="489"/>
      <c r="GZP53" s="489"/>
      <c r="GZQ53" s="489"/>
      <c r="GZR53" s="489"/>
      <c r="GZS53" s="489"/>
      <c r="GZT53" s="489"/>
      <c r="GZU53" s="489"/>
      <c r="GZV53" s="489"/>
      <c r="GZW53" s="489"/>
      <c r="GZX53" s="489"/>
      <c r="GZY53" s="489"/>
      <c r="GZZ53" s="489"/>
      <c r="HAA53" s="489"/>
      <c r="HAB53" s="489"/>
      <c r="HAC53" s="489"/>
      <c r="HAD53" s="489"/>
      <c r="HAE53" s="489"/>
      <c r="HAF53" s="489"/>
      <c r="HAG53" s="489"/>
      <c r="HAH53" s="489"/>
      <c r="HAI53" s="489"/>
      <c r="HAJ53" s="489"/>
      <c r="HAK53" s="489"/>
      <c r="HAL53" s="489"/>
      <c r="HAM53" s="489"/>
      <c r="HAN53" s="489"/>
      <c r="HAO53" s="489"/>
      <c r="HAP53" s="489"/>
      <c r="HAQ53" s="489"/>
      <c r="HAR53" s="489"/>
      <c r="HAS53" s="489"/>
      <c r="HAT53" s="489"/>
      <c r="HAU53" s="489"/>
      <c r="HAV53" s="489"/>
      <c r="HAW53" s="489"/>
      <c r="HAX53" s="489"/>
      <c r="HAY53" s="489"/>
      <c r="HAZ53" s="489"/>
      <c r="HBA53" s="489"/>
      <c r="HBB53" s="489"/>
      <c r="HBC53" s="489"/>
      <c r="HBD53" s="489"/>
      <c r="HBE53" s="489"/>
      <c r="HBF53" s="489"/>
      <c r="HBG53" s="489"/>
      <c r="HBH53" s="489"/>
      <c r="HBI53" s="489"/>
      <c r="HBJ53" s="489"/>
      <c r="HBK53" s="489"/>
      <c r="HBL53" s="489"/>
      <c r="HBM53" s="489"/>
      <c r="HBN53" s="489"/>
      <c r="HBO53" s="489"/>
      <c r="HBP53" s="489"/>
      <c r="HBQ53" s="489"/>
      <c r="HBR53" s="489"/>
      <c r="HBS53" s="489"/>
      <c r="HBT53" s="489"/>
      <c r="HBU53" s="489"/>
      <c r="HBV53" s="489"/>
      <c r="HBW53" s="489"/>
      <c r="HBX53" s="489"/>
      <c r="HBY53" s="489"/>
      <c r="HBZ53" s="489"/>
      <c r="HCA53" s="489"/>
      <c r="HCB53" s="489"/>
      <c r="HCC53" s="489"/>
      <c r="HCD53" s="489"/>
      <c r="HCE53" s="489"/>
      <c r="HCF53" s="489"/>
      <c r="HCG53" s="489"/>
      <c r="HCH53" s="489"/>
      <c r="HCI53" s="489"/>
      <c r="HCJ53" s="489"/>
      <c r="HCK53" s="489"/>
      <c r="HCL53" s="489"/>
      <c r="HCM53" s="489"/>
      <c r="HCN53" s="489"/>
      <c r="HCO53" s="489"/>
      <c r="HCP53" s="489"/>
      <c r="HCQ53" s="489"/>
      <c r="HCR53" s="489"/>
      <c r="HCS53" s="489"/>
      <c r="HCT53" s="489"/>
      <c r="HCU53" s="489"/>
      <c r="HCV53" s="489"/>
      <c r="HCW53" s="489"/>
      <c r="HCX53" s="489"/>
      <c r="HCY53" s="489"/>
      <c r="HCZ53" s="489"/>
      <c r="HDA53" s="489"/>
      <c r="HDB53" s="489"/>
      <c r="HDC53" s="489"/>
      <c r="HDD53" s="489"/>
      <c r="HDE53" s="489"/>
      <c r="HDF53" s="489"/>
      <c r="HDG53" s="489"/>
      <c r="HDH53" s="489"/>
      <c r="HDI53" s="489"/>
      <c r="HDJ53" s="489"/>
      <c r="HDK53" s="489"/>
      <c r="HDL53" s="489"/>
      <c r="HDM53" s="489"/>
      <c r="HDN53" s="489"/>
      <c r="HDO53" s="489"/>
      <c r="HDP53" s="489"/>
      <c r="HDQ53" s="489"/>
      <c r="HDR53" s="489"/>
      <c r="HDS53" s="489"/>
      <c r="HDT53" s="489"/>
      <c r="HDU53" s="489"/>
      <c r="HDV53" s="489"/>
      <c r="HDW53" s="489"/>
      <c r="HDX53" s="489"/>
      <c r="HDY53" s="489"/>
      <c r="HDZ53" s="489"/>
      <c r="HEA53" s="489"/>
      <c r="HEB53" s="489"/>
      <c r="HEC53" s="489"/>
      <c r="HED53" s="489"/>
      <c r="HEE53" s="489"/>
      <c r="HEF53" s="489"/>
      <c r="HEG53" s="489"/>
      <c r="HEH53" s="489"/>
      <c r="HEI53" s="489"/>
      <c r="HEJ53" s="489"/>
      <c r="HEK53" s="489"/>
      <c r="HEL53" s="489"/>
      <c r="HEM53" s="489"/>
      <c r="HEN53" s="489"/>
      <c r="HEO53" s="489"/>
      <c r="HEP53" s="489"/>
      <c r="HEQ53" s="489"/>
      <c r="HER53" s="489"/>
      <c r="HES53" s="489"/>
      <c r="HET53" s="489"/>
      <c r="HEU53" s="489"/>
      <c r="HEV53" s="489"/>
      <c r="HEW53" s="489"/>
      <c r="HEX53" s="489"/>
      <c r="HEY53" s="489"/>
      <c r="HEZ53" s="489"/>
      <c r="HFA53" s="489"/>
      <c r="HFB53" s="489"/>
      <c r="HFC53" s="489"/>
      <c r="HFD53" s="489"/>
      <c r="HFE53" s="489"/>
      <c r="HFF53" s="489"/>
      <c r="HFG53" s="489"/>
      <c r="HFH53" s="489"/>
      <c r="HFI53" s="489"/>
      <c r="HFJ53" s="489"/>
      <c r="HFK53" s="489"/>
      <c r="HFL53" s="489"/>
      <c r="HFM53" s="489"/>
      <c r="HFN53" s="489"/>
      <c r="HFO53" s="489"/>
      <c r="HFP53" s="489"/>
      <c r="HFQ53" s="489"/>
      <c r="HFR53" s="489"/>
      <c r="HFS53" s="489"/>
      <c r="HFT53" s="489"/>
      <c r="HFU53" s="489"/>
      <c r="HFV53" s="489"/>
      <c r="HFW53" s="489"/>
      <c r="HFX53" s="489"/>
      <c r="HFY53" s="489"/>
      <c r="HFZ53" s="489"/>
      <c r="HGA53" s="489"/>
      <c r="HGB53" s="489"/>
      <c r="HGC53" s="489"/>
      <c r="HGD53" s="489"/>
      <c r="HGE53" s="489"/>
      <c r="HGF53" s="489"/>
      <c r="HGG53" s="489"/>
      <c r="HGH53" s="489"/>
      <c r="HGI53" s="489"/>
      <c r="HGJ53" s="489"/>
      <c r="HGK53" s="489"/>
      <c r="HGL53" s="489"/>
      <c r="HGM53" s="489"/>
      <c r="HGN53" s="489"/>
      <c r="HGO53" s="489"/>
      <c r="HGP53" s="489"/>
      <c r="HGQ53" s="489"/>
      <c r="HGR53" s="489"/>
      <c r="HGS53" s="489"/>
      <c r="HGT53" s="489"/>
      <c r="HGU53" s="489"/>
      <c r="HGV53" s="489"/>
      <c r="HGW53" s="489"/>
      <c r="HGX53" s="489"/>
      <c r="HGY53" s="489"/>
      <c r="HGZ53" s="489"/>
      <c r="HHA53" s="489"/>
      <c r="HHB53" s="489"/>
      <c r="HHC53" s="489"/>
      <c r="HHD53" s="489"/>
      <c r="HHE53" s="489"/>
      <c r="HHF53" s="489"/>
      <c r="HHG53" s="489"/>
      <c r="HHH53" s="489"/>
      <c r="HHI53" s="489"/>
      <c r="HHJ53" s="489"/>
      <c r="HHK53" s="489"/>
      <c r="HHL53" s="489"/>
      <c r="HHM53" s="489"/>
      <c r="HHN53" s="489"/>
      <c r="HHO53" s="489"/>
      <c r="HHP53" s="489"/>
      <c r="HHQ53" s="489"/>
      <c r="HHR53" s="489"/>
      <c r="HHS53" s="489"/>
      <c r="HHT53" s="489"/>
      <c r="HHU53" s="489"/>
      <c r="HHV53" s="489"/>
      <c r="HHW53" s="489"/>
      <c r="HHX53" s="489"/>
      <c r="HHY53" s="489"/>
      <c r="HHZ53" s="489"/>
      <c r="HIA53" s="489"/>
      <c r="HIB53" s="489"/>
      <c r="HIC53" s="489"/>
      <c r="HID53" s="489"/>
      <c r="HIE53" s="489"/>
      <c r="HIF53" s="489"/>
      <c r="HIG53" s="489"/>
      <c r="HIH53" s="489"/>
      <c r="HII53" s="489"/>
      <c r="HIJ53" s="489"/>
      <c r="HIK53" s="489"/>
      <c r="HIL53" s="489"/>
      <c r="HIM53" s="489"/>
      <c r="HIN53" s="489"/>
      <c r="HIO53" s="489"/>
      <c r="HIP53" s="489"/>
      <c r="HIQ53" s="489"/>
      <c r="HIR53" s="489"/>
      <c r="HIS53" s="489"/>
      <c r="HIT53" s="489"/>
      <c r="HIU53" s="489"/>
      <c r="HIV53" s="489"/>
      <c r="HIW53" s="489"/>
      <c r="HIX53" s="489"/>
      <c r="HIY53" s="489"/>
      <c r="HIZ53" s="489"/>
      <c r="HJA53" s="489"/>
      <c r="HJB53" s="489"/>
      <c r="HJC53" s="489"/>
      <c r="HJD53" s="489"/>
      <c r="HJE53" s="489"/>
      <c r="HJF53" s="489"/>
      <c r="HJG53" s="489"/>
      <c r="HJH53" s="489"/>
      <c r="HJI53" s="489"/>
      <c r="HJJ53" s="489"/>
      <c r="HJK53" s="489"/>
      <c r="HJL53" s="489"/>
      <c r="HJM53" s="489"/>
      <c r="HJN53" s="489"/>
      <c r="HJO53" s="489"/>
      <c r="HJP53" s="489"/>
      <c r="HJQ53" s="489"/>
      <c r="HJR53" s="489"/>
      <c r="HJS53" s="489"/>
      <c r="HJT53" s="489"/>
      <c r="HJU53" s="489"/>
      <c r="HJV53" s="489"/>
      <c r="HJW53" s="489"/>
      <c r="HJX53" s="489"/>
      <c r="HJY53" s="489"/>
      <c r="HJZ53" s="489"/>
      <c r="HKA53" s="489"/>
      <c r="HKB53" s="489"/>
      <c r="HKC53" s="489"/>
      <c r="HKD53" s="489"/>
      <c r="HKE53" s="489"/>
      <c r="HKF53" s="489"/>
      <c r="HKG53" s="489"/>
      <c r="HKH53" s="489"/>
      <c r="HKI53" s="489"/>
      <c r="HKJ53" s="489"/>
      <c r="HKK53" s="489"/>
      <c r="HKL53" s="489"/>
      <c r="HKM53" s="489"/>
      <c r="HKN53" s="489"/>
      <c r="HKO53" s="489"/>
      <c r="HKP53" s="489"/>
      <c r="HKQ53" s="489"/>
      <c r="HKR53" s="489"/>
      <c r="HKS53" s="489"/>
      <c r="HKT53" s="489"/>
      <c r="HKU53" s="489"/>
      <c r="HKV53" s="489"/>
      <c r="HKW53" s="489"/>
      <c r="HKX53" s="489"/>
      <c r="HKY53" s="489"/>
      <c r="HKZ53" s="489"/>
      <c r="HLA53" s="489"/>
      <c r="HLB53" s="489"/>
      <c r="HLC53" s="489"/>
      <c r="HLD53" s="489"/>
      <c r="HLE53" s="489"/>
      <c r="HLF53" s="489"/>
      <c r="HLG53" s="489"/>
      <c r="HLH53" s="489"/>
      <c r="HLI53" s="489"/>
      <c r="HLJ53" s="489"/>
      <c r="HLK53" s="489"/>
      <c r="HLL53" s="489"/>
      <c r="HLM53" s="489"/>
      <c r="HLN53" s="489"/>
      <c r="HLO53" s="489"/>
      <c r="HLP53" s="489"/>
      <c r="HLQ53" s="489"/>
      <c r="HLR53" s="489"/>
      <c r="HLS53" s="489"/>
      <c r="HLT53" s="489"/>
      <c r="HLU53" s="489"/>
      <c r="HLV53" s="489"/>
      <c r="HLW53" s="489"/>
      <c r="HLX53" s="489"/>
      <c r="HLY53" s="489"/>
      <c r="HLZ53" s="489"/>
      <c r="HMA53" s="489"/>
      <c r="HMB53" s="489"/>
      <c r="HMC53" s="489"/>
      <c r="HMD53" s="489"/>
      <c r="HME53" s="489"/>
      <c r="HMF53" s="489"/>
      <c r="HMG53" s="489"/>
      <c r="HMH53" s="489"/>
      <c r="HMI53" s="489"/>
      <c r="HMJ53" s="489"/>
      <c r="HMK53" s="489"/>
      <c r="HML53" s="489"/>
      <c r="HMM53" s="489"/>
      <c r="HMN53" s="489"/>
      <c r="HMO53" s="489"/>
      <c r="HMP53" s="489"/>
      <c r="HMQ53" s="489"/>
      <c r="HMR53" s="489"/>
      <c r="HMS53" s="489"/>
      <c r="HMT53" s="489"/>
      <c r="HMU53" s="489"/>
      <c r="HMV53" s="489"/>
      <c r="HMW53" s="489"/>
      <c r="HMX53" s="489"/>
      <c r="HMY53" s="489"/>
      <c r="HMZ53" s="489"/>
      <c r="HNA53" s="489"/>
      <c r="HNB53" s="489"/>
      <c r="HNC53" s="489"/>
      <c r="HND53" s="489"/>
      <c r="HNE53" s="489"/>
      <c r="HNF53" s="489"/>
      <c r="HNG53" s="489"/>
      <c r="HNH53" s="489"/>
      <c r="HNI53" s="489"/>
      <c r="HNJ53" s="489"/>
      <c r="HNK53" s="489"/>
      <c r="HNL53" s="489"/>
      <c r="HNM53" s="489"/>
      <c r="HNN53" s="489"/>
      <c r="HNO53" s="489"/>
      <c r="HNP53" s="489"/>
      <c r="HNQ53" s="489"/>
      <c r="HNR53" s="489"/>
      <c r="HNS53" s="489"/>
      <c r="HNT53" s="489"/>
      <c r="HNU53" s="489"/>
      <c r="HNV53" s="489"/>
      <c r="HNW53" s="489"/>
      <c r="HNX53" s="489"/>
      <c r="HNY53" s="489"/>
      <c r="HNZ53" s="489"/>
      <c r="HOA53" s="489"/>
      <c r="HOB53" s="489"/>
      <c r="HOC53" s="489"/>
      <c r="HOD53" s="489"/>
      <c r="HOE53" s="489"/>
      <c r="HOF53" s="489"/>
      <c r="HOG53" s="489"/>
      <c r="HOH53" s="489"/>
      <c r="HOI53" s="489"/>
      <c r="HOJ53" s="489"/>
      <c r="HOK53" s="489"/>
      <c r="HOL53" s="489"/>
      <c r="HOM53" s="489"/>
      <c r="HON53" s="489"/>
      <c r="HOO53" s="489"/>
      <c r="HOP53" s="489"/>
      <c r="HOQ53" s="489"/>
      <c r="HOR53" s="489"/>
      <c r="HOS53" s="489"/>
      <c r="HOT53" s="489"/>
      <c r="HOU53" s="489"/>
      <c r="HOV53" s="489"/>
      <c r="HOW53" s="489"/>
      <c r="HOX53" s="489"/>
      <c r="HOY53" s="489"/>
      <c r="HOZ53" s="489"/>
      <c r="HPA53" s="489"/>
      <c r="HPB53" s="489"/>
      <c r="HPC53" s="489"/>
      <c r="HPD53" s="489"/>
      <c r="HPE53" s="489"/>
      <c r="HPF53" s="489"/>
      <c r="HPG53" s="489"/>
      <c r="HPH53" s="489"/>
      <c r="HPI53" s="489"/>
      <c r="HPJ53" s="489"/>
      <c r="HPK53" s="489"/>
      <c r="HPL53" s="489"/>
      <c r="HPM53" s="489"/>
      <c r="HPN53" s="489"/>
      <c r="HPO53" s="489"/>
      <c r="HPP53" s="489"/>
      <c r="HPQ53" s="489"/>
      <c r="HPR53" s="489"/>
      <c r="HPS53" s="489"/>
      <c r="HPT53" s="489"/>
      <c r="HPU53" s="489"/>
      <c r="HPV53" s="489"/>
      <c r="HPW53" s="489"/>
      <c r="HPX53" s="489"/>
      <c r="HPY53" s="489"/>
      <c r="HPZ53" s="489"/>
      <c r="HQA53" s="489"/>
      <c r="HQB53" s="489"/>
      <c r="HQC53" s="489"/>
      <c r="HQD53" s="489"/>
      <c r="HQE53" s="489"/>
      <c r="HQF53" s="489"/>
      <c r="HQG53" s="489"/>
      <c r="HQH53" s="489"/>
      <c r="HQI53" s="489"/>
      <c r="HQJ53" s="489"/>
      <c r="HQK53" s="489"/>
      <c r="HQL53" s="489"/>
      <c r="HQM53" s="489"/>
      <c r="HQN53" s="489"/>
      <c r="HQO53" s="489"/>
      <c r="HQP53" s="489"/>
      <c r="HQQ53" s="489"/>
      <c r="HQR53" s="489"/>
      <c r="HQS53" s="489"/>
      <c r="HQT53" s="489"/>
      <c r="HQU53" s="489"/>
      <c r="HQV53" s="489"/>
      <c r="HQW53" s="489"/>
      <c r="HQX53" s="489"/>
      <c r="HQY53" s="489"/>
      <c r="HQZ53" s="489"/>
      <c r="HRA53" s="489"/>
      <c r="HRB53" s="489"/>
      <c r="HRC53" s="489"/>
      <c r="HRD53" s="489"/>
      <c r="HRE53" s="489"/>
      <c r="HRF53" s="489"/>
      <c r="HRG53" s="489"/>
      <c r="HRH53" s="489"/>
      <c r="HRI53" s="489"/>
      <c r="HRJ53" s="489"/>
      <c r="HRK53" s="489"/>
      <c r="HRL53" s="489"/>
      <c r="HRM53" s="489"/>
      <c r="HRN53" s="489"/>
      <c r="HRO53" s="489"/>
      <c r="HRP53" s="489"/>
      <c r="HRQ53" s="489"/>
      <c r="HRR53" s="489"/>
      <c r="HRS53" s="489"/>
      <c r="HRT53" s="489"/>
      <c r="HRU53" s="489"/>
      <c r="HRV53" s="489"/>
      <c r="HRW53" s="489"/>
      <c r="HRX53" s="489"/>
      <c r="HRY53" s="489"/>
      <c r="HRZ53" s="489"/>
      <c r="HSA53" s="489"/>
      <c r="HSB53" s="489"/>
      <c r="HSC53" s="489"/>
      <c r="HSD53" s="489"/>
      <c r="HSE53" s="489"/>
      <c r="HSF53" s="489"/>
      <c r="HSG53" s="489"/>
      <c r="HSH53" s="489"/>
      <c r="HSI53" s="489"/>
      <c r="HSJ53" s="489"/>
      <c r="HSK53" s="489"/>
      <c r="HSL53" s="489"/>
      <c r="HSM53" s="489"/>
      <c r="HSN53" s="489"/>
      <c r="HSO53" s="489"/>
      <c r="HSP53" s="489"/>
      <c r="HSQ53" s="489"/>
      <c r="HSR53" s="489"/>
      <c r="HSS53" s="489"/>
      <c r="HST53" s="489"/>
      <c r="HSU53" s="489"/>
      <c r="HSV53" s="489"/>
      <c r="HSW53" s="489"/>
      <c r="HSX53" s="489"/>
      <c r="HSY53" s="489"/>
      <c r="HSZ53" s="489"/>
      <c r="HTA53" s="489"/>
      <c r="HTB53" s="489"/>
      <c r="HTC53" s="489"/>
      <c r="HTD53" s="489"/>
      <c r="HTE53" s="489"/>
      <c r="HTF53" s="489"/>
      <c r="HTG53" s="489"/>
      <c r="HTH53" s="489"/>
      <c r="HTI53" s="489"/>
      <c r="HTJ53" s="489"/>
      <c r="HTK53" s="489"/>
      <c r="HTL53" s="489"/>
      <c r="HTM53" s="489"/>
      <c r="HTN53" s="489"/>
      <c r="HTO53" s="489"/>
      <c r="HTP53" s="489"/>
      <c r="HTQ53" s="489"/>
      <c r="HTR53" s="489"/>
      <c r="HTS53" s="489"/>
      <c r="HTT53" s="489"/>
      <c r="HTU53" s="489"/>
      <c r="HTV53" s="489"/>
      <c r="HTW53" s="489"/>
      <c r="HTX53" s="489"/>
      <c r="HTY53" s="489"/>
      <c r="HTZ53" s="489"/>
      <c r="HUA53" s="489"/>
      <c r="HUB53" s="489"/>
      <c r="HUC53" s="489"/>
      <c r="HUD53" s="489"/>
      <c r="HUE53" s="489"/>
      <c r="HUF53" s="489"/>
      <c r="HUG53" s="489"/>
      <c r="HUH53" s="489"/>
      <c r="HUI53" s="489"/>
      <c r="HUJ53" s="489"/>
      <c r="HUK53" s="489"/>
      <c r="HUL53" s="489"/>
      <c r="HUM53" s="489"/>
      <c r="HUN53" s="489"/>
      <c r="HUO53" s="489"/>
      <c r="HUP53" s="489"/>
      <c r="HUQ53" s="489"/>
      <c r="HUR53" s="489"/>
      <c r="HUS53" s="489"/>
      <c r="HUT53" s="489"/>
      <c r="HUU53" s="489"/>
      <c r="HUV53" s="489"/>
      <c r="HUW53" s="489"/>
      <c r="HUX53" s="489"/>
      <c r="HUY53" s="489"/>
      <c r="HUZ53" s="489"/>
      <c r="HVA53" s="489"/>
      <c r="HVB53" s="489"/>
      <c r="HVC53" s="489"/>
      <c r="HVD53" s="489"/>
      <c r="HVE53" s="489"/>
      <c r="HVF53" s="489"/>
      <c r="HVG53" s="489"/>
      <c r="HVH53" s="489"/>
      <c r="HVI53" s="489"/>
      <c r="HVJ53" s="489"/>
      <c r="HVK53" s="489"/>
      <c r="HVL53" s="489"/>
      <c r="HVM53" s="489"/>
      <c r="HVN53" s="489"/>
      <c r="HVO53" s="489"/>
      <c r="HVP53" s="489"/>
      <c r="HVQ53" s="489"/>
      <c r="HVR53" s="489"/>
      <c r="HVS53" s="489"/>
      <c r="HVT53" s="489"/>
      <c r="HVU53" s="489"/>
      <c r="HVV53" s="489"/>
      <c r="HVW53" s="489"/>
      <c r="HVX53" s="489"/>
      <c r="HVY53" s="489"/>
      <c r="HVZ53" s="489"/>
      <c r="HWA53" s="489"/>
      <c r="HWB53" s="489"/>
      <c r="HWC53" s="489"/>
      <c r="HWD53" s="489"/>
      <c r="HWE53" s="489"/>
      <c r="HWF53" s="489"/>
      <c r="HWG53" s="489"/>
      <c r="HWH53" s="489"/>
      <c r="HWI53" s="489"/>
      <c r="HWJ53" s="489"/>
      <c r="HWK53" s="489"/>
      <c r="HWL53" s="489"/>
      <c r="HWM53" s="489"/>
      <c r="HWN53" s="489"/>
      <c r="HWO53" s="489"/>
      <c r="HWP53" s="489"/>
      <c r="HWQ53" s="489"/>
      <c r="HWR53" s="489"/>
      <c r="HWS53" s="489"/>
      <c r="HWT53" s="489"/>
      <c r="HWU53" s="489"/>
      <c r="HWV53" s="489"/>
      <c r="HWW53" s="489"/>
      <c r="HWX53" s="489"/>
      <c r="HWY53" s="489"/>
      <c r="HWZ53" s="489"/>
      <c r="HXA53" s="489"/>
      <c r="HXB53" s="489"/>
      <c r="HXC53" s="489"/>
      <c r="HXD53" s="489"/>
      <c r="HXE53" s="489"/>
      <c r="HXF53" s="489"/>
      <c r="HXG53" s="489"/>
      <c r="HXH53" s="489"/>
      <c r="HXI53" s="489"/>
      <c r="HXJ53" s="489"/>
      <c r="HXK53" s="489"/>
      <c r="HXL53" s="489"/>
      <c r="HXM53" s="489"/>
      <c r="HXN53" s="489"/>
      <c r="HXO53" s="489"/>
      <c r="HXP53" s="489"/>
      <c r="HXQ53" s="489"/>
      <c r="HXR53" s="489"/>
      <c r="HXS53" s="489"/>
      <c r="HXT53" s="489"/>
      <c r="HXU53" s="489"/>
      <c r="HXV53" s="489"/>
      <c r="HXW53" s="489"/>
      <c r="HXX53" s="489"/>
      <c r="HXY53" s="489"/>
      <c r="HXZ53" s="489"/>
      <c r="HYA53" s="489"/>
      <c r="HYB53" s="489"/>
      <c r="HYC53" s="489"/>
      <c r="HYD53" s="489"/>
      <c r="HYE53" s="489"/>
      <c r="HYF53" s="489"/>
      <c r="HYG53" s="489"/>
      <c r="HYH53" s="489"/>
      <c r="HYI53" s="489"/>
      <c r="HYJ53" s="489"/>
      <c r="HYK53" s="489"/>
      <c r="HYL53" s="489"/>
      <c r="HYM53" s="489"/>
      <c r="HYN53" s="489"/>
      <c r="HYO53" s="489"/>
      <c r="HYP53" s="489"/>
      <c r="HYQ53" s="489"/>
      <c r="HYR53" s="489"/>
      <c r="HYS53" s="489"/>
      <c r="HYT53" s="489"/>
      <c r="HYU53" s="489"/>
      <c r="HYV53" s="489"/>
      <c r="HYW53" s="489"/>
      <c r="HYX53" s="489"/>
      <c r="HYY53" s="489"/>
      <c r="HYZ53" s="489"/>
      <c r="HZA53" s="489"/>
      <c r="HZB53" s="489"/>
      <c r="HZC53" s="489"/>
      <c r="HZD53" s="489"/>
      <c r="HZE53" s="489"/>
      <c r="HZF53" s="489"/>
      <c r="HZG53" s="489"/>
      <c r="HZH53" s="489"/>
      <c r="HZI53" s="489"/>
      <c r="HZJ53" s="489"/>
      <c r="HZK53" s="489"/>
      <c r="HZL53" s="489"/>
      <c r="HZM53" s="489"/>
      <c r="HZN53" s="489"/>
      <c r="HZO53" s="489"/>
      <c r="HZP53" s="489"/>
      <c r="HZQ53" s="489"/>
      <c r="HZR53" s="489"/>
      <c r="HZS53" s="489"/>
      <c r="HZT53" s="489"/>
      <c r="HZU53" s="489"/>
      <c r="HZV53" s="489"/>
      <c r="HZW53" s="489"/>
      <c r="HZX53" s="489"/>
      <c r="HZY53" s="489"/>
      <c r="HZZ53" s="489"/>
      <c r="IAA53" s="489"/>
      <c r="IAB53" s="489"/>
      <c r="IAC53" s="489"/>
      <c r="IAD53" s="489"/>
      <c r="IAE53" s="489"/>
      <c r="IAF53" s="489"/>
      <c r="IAG53" s="489"/>
      <c r="IAH53" s="489"/>
      <c r="IAI53" s="489"/>
      <c r="IAJ53" s="489"/>
      <c r="IAK53" s="489"/>
      <c r="IAL53" s="489"/>
      <c r="IAM53" s="489"/>
      <c r="IAN53" s="489"/>
      <c r="IAO53" s="489"/>
      <c r="IAP53" s="489"/>
      <c r="IAQ53" s="489"/>
      <c r="IAR53" s="489"/>
      <c r="IAS53" s="489"/>
      <c r="IAT53" s="489"/>
      <c r="IAU53" s="489"/>
      <c r="IAV53" s="489"/>
      <c r="IAW53" s="489"/>
      <c r="IAX53" s="489"/>
      <c r="IAY53" s="489"/>
      <c r="IAZ53" s="489"/>
      <c r="IBA53" s="489"/>
      <c r="IBB53" s="489"/>
      <c r="IBC53" s="489"/>
      <c r="IBD53" s="489"/>
      <c r="IBE53" s="489"/>
      <c r="IBF53" s="489"/>
      <c r="IBG53" s="489"/>
      <c r="IBH53" s="489"/>
      <c r="IBI53" s="489"/>
      <c r="IBJ53" s="489"/>
      <c r="IBK53" s="489"/>
      <c r="IBL53" s="489"/>
      <c r="IBM53" s="489"/>
      <c r="IBN53" s="489"/>
      <c r="IBO53" s="489"/>
      <c r="IBP53" s="489"/>
      <c r="IBQ53" s="489"/>
      <c r="IBR53" s="489"/>
      <c r="IBS53" s="489"/>
      <c r="IBT53" s="489"/>
      <c r="IBU53" s="489"/>
      <c r="IBV53" s="489"/>
      <c r="IBW53" s="489"/>
      <c r="IBX53" s="489"/>
      <c r="IBY53" s="489"/>
      <c r="IBZ53" s="489"/>
      <c r="ICA53" s="489"/>
      <c r="ICB53" s="489"/>
      <c r="ICC53" s="489"/>
      <c r="ICD53" s="489"/>
      <c r="ICE53" s="489"/>
      <c r="ICF53" s="489"/>
      <c r="ICG53" s="489"/>
      <c r="ICH53" s="489"/>
      <c r="ICI53" s="489"/>
      <c r="ICJ53" s="489"/>
      <c r="ICK53" s="489"/>
      <c r="ICL53" s="489"/>
      <c r="ICM53" s="489"/>
      <c r="ICN53" s="489"/>
      <c r="ICO53" s="489"/>
      <c r="ICP53" s="489"/>
      <c r="ICQ53" s="489"/>
      <c r="ICR53" s="489"/>
      <c r="ICS53" s="489"/>
      <c r="ICT53" s="489"/>
      <c r="ICU53" s="489"/>
      <c r="ICV53" s="489"/>
      <c r="ICW53" s="489"/>
      <c r="ICX53" s="489"/>
      <c r="ICY53" s="489"/>
      <c r="ICZ53" s="489"/>
      <c r="IDA53" s="489"/>
      <c r="IDB53" s="489"/>
      <c r="IDC53" s="489"/>
      <c r="IDD53" s="489"/>
      <c r="IDE53" s="489"/>
      <c r="IDF53" s="489"/>
      <c r="IDG53" s="489"/>
      <c r="IDH53" s="489"/>
      <c r="IDI53" s="489"/>
      <c r="IDJ53" s="489"/>
      <c r="IDK53" s="489"/>
      <c r="IDL53" s="489"/>
      <c r="IDM53" s="489"/>
      <c r="IDN53" s="489"/>
      <c r="IDO53" s="489"/>
      <c r="IDP53" s="489"/>
      <c r="IDQ53" s="489"/>
      <c r="IDR53" s="489"/>
      <c r="IDS53" s="489"/>
      <c r="IDT53" s="489"/>
      <c r="IDU53" s="489"/>
      <c r="IDV53" s="489"/>
      <c r="IDW53" s="489"/>
      <c r="IDX53" s="489"/>
      <c r="IDY53" s="489"/>
      <c r="IDZ53" s="489"/>
      <c r="IEA53" s="489"/>
      <c r="IEB53" s="489"/>
      <c r="IEC53" s="489"/>
      <c r="IED53" s="489"/>
      <c r="IEE53" s="489"/>
      <c r="IEF53" s="489"/>
      <c r="IEG53" s="489"/>
      <c r="IEH53" s="489"/>
      <c r="IEI53" s="489"/>
      <c r="IEJ53" s="489"/>
      <c r="IEK53" s="489"/>
      <c r="IEL53" s="489"/>
      <c r="IEM53" s="489"/>
      <c r="IEN53" s="489"/>
      <c r="IEO53" s="489"/>
      <c r="IEP53" s="489"/>
      <c r="IEQ53" s="489"/>
      <c r="IER53" s="489"/>
      <c r="IES53" s="489"/>
      <c r="IET53" s="489"/>
      <c r="IEU53" s="489"/>
      <c r="IEV53" s="489"/>
      <c r="IEW53" s="489"/>
      <c r="IEX53" s="489"/>
      <c r="IEY53" s="489"/>
      <c r="IEZ53" s="489"/>
      <c r="IFA53" s="489"/>
      <c r="IFB53" s="489"/>
      <c r="IFC53" s="489"/>
      <c r="IFD53" s="489"/>
      <c r="IFE53" s="489"/>
      <c r="IFF53" s="489"/>
      <c r="IFG53" s="489"/>
      <c r="IFH53" s="489"/>
      <c r="IFI53" s="489"/>
      <c r="IFJ53" s="489"/>
      <c r="IFK53" s="489"/>
      <c r="IFL53" s="489"/>
      <c r="IFM53" s="489"/>
      <c r="IFN53" s="489"/>
      <c r="IFO53" s="489"/>
      <c r="IFP53" s="489"/>
      <c r="IFQ53" s="489"/>
      <c r="IFR53" s="489"/>
      <c r="IFS53" s="489"/>
      <c r="IFT53" s="489"/>
      <c r="IFU53" s="489"/>
      <c r="IFV53" s="489"/>
      <c r="IFW53" s="489"/>
      <c r="IFX53" s="489"/>
      <c r="IFY53" s="489"/>
      <c r="IFZ53" s="489"/>
      <c r="IGA53" s="489"/>
      <c r="IGB53" s="489"/>
      <c r="IGC53" s="489"/>
      <c r="IGD53" s="489"/>
      <c r="IGE53" s="489"/>
      <c r="IGF53" s="489"/>
      <c r="IGG53" s="489"/>
      <c r="IGH53" s="489"/>
      <c r="IGI53" s="489"/>
      <c r="IGJ53" s="489"/>
      <c r="IGK53" s="489"/>
      <c r="IGL53" s="489"/>
      <c r="IGM53" s="489"/>
      <c r="IGN53" s="489"/>
      <c r="IGO53" s="489"/>
      <c r="IGP53" s="489"/>
      <c r="IGQ53" s="489"/>
      <c r="IGR53" s="489"/>
      <c r="IGS53" s="489"/>
      <c r="IGT53" s="489"/>
      <c r="IGU53" s="489"/>
      <c r="IGV53" s="489"/>
      <c r="IGW53" s="489"/>
      <c r="IGX53" s="489"/>
      <c r="IGY53" s="489"/>
      <c r="IGZ53" s="489"/>
      <c r="IHA53" s="489"/>
      <c r="IHB53" s="489"/>
      <c r="IHC53" s="489"/>
      <c r="IHD53" s="489"/>
      <c r="IHE53" s="489"/>
      <c r="IHF53" s="489"/>
      <c r="IHG53" s="489"/>
      <c r="IHH53" s="489"/>
      <c r="IHI53" s="489"/>
      <c r="IHJ53" s="489"/>
      <c r="IHK53" s="489"/>
      <c r="IHL53" s="489"/>
      <c r="IHM53" s="489"/>
      <c r="IHN53" s="489"/>
      <c r="IHO53" s="489"/>
      <c r="IHP53" s="489"/>
      <c r="IHQ53" s="489"/>
      <c r="IHR53" s="489"/>
      <c r="IHS53" s="489"/>
      <c r="IHT53" s="489"/>
      <c r="IHU53" s="489"/>
      <c r="IHV53" s="489"/>
      <c r="IHW53" s="489"/>
      <c r="IHX53" s="489"/>
      <c r="IHY53" s="489"/>
      <c r="IHZ53" s="489"/>
      <c r="IIA53" s="489"/>
      <c r="IIB53" s="489"/>
      <c r="IIC53" s="489"/>
      <c r="IID53" s="489"/>
      <c r="IIE53" s="489"/>
      <c r="IIF53" s="489"/>
      <c r="IIG53" s="489"/>
      <c r="IIH53" s="489"/>
      <c r="III53" s="489"/>
      <c r="IIJ53" s="489"/>
      <c r="IIK53" s="489"/>
      <c r="IIL53" s="489"/>
      <c r="IIM53" s="489"/>
      <c r="IIN53" s="489"/>
      <c r="IIO53" s="489"/>
      <c r="IIP53" s="489"/>
      <c r="IIQ53" s="489"/>
      <c r="IIR53" s="489"/>
      <c r="IIS53" s="489"/>
      <c r="IIT53" s="489"/>
      <c r="IIU53" s="489"/>
      <c r="IIV53" s="489"/>
      <c r="IIW53" s="489"/>
      <c r="IIX53" s="489"/>
      <c r="IIY53" s="489"/>
      <c r="IIZ53" s="489"/>
      <c r="IJA53" s="489"/>
      <c r="IJB53" s="489"/>
      <c r="IJC53" s="489"/>
      <c r="IJD53" s="489"/>
      <c r="IJE53" s="489"/>
      <c r="IJF53" s="489"/>
      <c r="IJG53" s="489"/>
      <c r="IJH53" s="489"/>
      <c r="IJI53" s="489"/>
      <c r="IJJ53" s="489"/>
      <c r="IJK53" s="489"/>
      <c r="IJL53" s="489"/>
      <c r="IJM53" s="489"/>
      <c r="IJN53" s="489"/>
      <c r="IJO53" s="489"/>
      <c r="IJP53" s="489"/>
      <c r="IJQ53" s="489"/>
      <c r="IJR53" s="489"/>
      <c r="IJS53" s="489"/>
      <c r="IJT53" s="489"/>
      <c r="IJU53" s="489"/>
      <c r="IJV53" s="489"/>
      <c r="IJW53" s="489"/>
      <c r="IJX53" s="489"/>
      <c r="IJY53" s="489"/>
      <c r="IJZ53" s="489"/>
      <c r="IKA53" s="489"/>
      <c r="IKB53" s="489"/>
      <c r="IKC53" s="489"/>
      <c r="IKD53" s="489"/>
      <c r="IKE53" s="489"/>
      <c r="IKF53" s="489"/>
      <c r="IKG53" s="489"/>
      <c r="IKH53" s="489"/>
      <c r="IKI53" s="489"/>
      <c r="IKJ53" s="489"/>
      <c r="IKK53" s="489"/>
      <c r="IKL53" s="489"/>
      <c r="IKM53" s="489"/>
      <c r="IKN53" s="489"/>
      <c r="IKO53" s="489"/>
      <c r="IKP53" s="489"/>
      <c r="IKQ53" s="489"/>
      <c r="IKR53" s="489"/>
      <c r="IKS53" s="489"/>
      <c r="IKT53" s="489"/>
      <c r="IKU53" s="489"/>
      <c r="IKV53" s="489"/>
      <c r="IKW53" s="489"/>
      <c r="IKX53" s="489"/>
      <c r="IKY53" s="489"/>
      <c r="IKZ53" s="489"/>
      <c r="ILA53" s="489"/>
      <c r="ILB53" s="489"/>
      <c r="ILC53" s="489"/>
      <c r="ILD53" s="489"/>
      <c r="ILE53" s="489"/>
      <c r="ILF53" s="489"/>
      <c r="ILG53" s="489"/>
      <c r="ILH53" s="489"/>
      <c r="ILI53" s="489"/>
      <c r="ILJ53" s="489"/>
      <c r="ILK53" s="489"/>
      <c r="ILL53" s="489"/>
      <c r="ILM53" s="489"/>
      <c r="ILN53" s="489"/>
      <c r="ILO53" s="489"/>
      <c r="ILP53" s="489"/>
      <c r="ILQ53" s="489"/>
      <c r="ILR53" s="489"/>
      <c r="ILS53" s="489"/>
      <c r="ILT53" s="489"/>
      <c r="ILU53" s="489"/>
      <c r="ILV53" s="489"/>
      <c r="ILW53" s="489"/>
      <c r="ILX53" s="489"/>
      <c r="ILY53" s="489"/>
      <c r="ILZ53" s="489"/>
      <c r="IMA53" s="489"/>
      <c r="IMB53" s="489"/>
      <c r="IMC53" s="489"/>
      <c r="IMD53" s="489"/>
      <c r="IME53" s="489"/>
      <c r="IMF53" s="489"/>
      <c r="IMG53" s="489"/>
      <c r="IMH53" s="489"/>
      <c r="IMI53" s="489"/>
      <c r="IMJ53" s="489"/>
      <c r="IMK53" s="489"/>
      <c r="IML53" s="489"/>
      <c r="IMM53" s="489"/>
      <c r="IMN53" s="489"/>
      <c r="IMO53" s="489"/>
      <c r="IMP53" s="489"/>
      <c r="IMQ53" s="489"/>
      <c r="IMR53" s="489"/>
      <c r="IMS53" s="489"/>
      <c r="IMT53" s="489"/>
      <c r="IMU53" s="489"/>
      <c r="IMV53" s="489"/>
      <c r="IMW53" s="489"/>
      <c r="IMX53" s="489"/>
      <c r="IMY53" s="489"/>
      <c r="IMZ53" s="489"/>
      <c r="INA53" s="489"/>
      <c r="INB53" s="489"/>
      <c r="INC53" s="489"/>
      <c r="IND53" s="489"/>
      <c r="INE53" s="489"/>
      <c r="INF53" s="489"/>
      <c r="ING53" s="489"/>
      <c r="INH53" s="489"/>
      <c r="INI53" s="489"/>
      <c r="INJ53" s="489"/>
      <c r="INK53" s="489"/>
      <c r="INL53" s="489"/>
      <c r="INM53" s="489"/>
      <c r="INN53" s="489"/>
      <c r="INO53" s="489"/>
      <c r="INP53" s="489"/>
      <c r="INQ53" s="489"/>
      <c r="INR53" s="489"/>
      <c r="INS53" s="489"/>
      <c r="INT53" s="489"/>
      <c r="INU53" s="489"/>
      <c r="INV53" s="489"/>
      <c r="INW53" s="489"/>
      <c r="INX53" s="489"/>
      <c r="INY53" s="489"/>
      <c r="INZ53" s="489"/>
      <c r="IOA53" s="489"/>
      <c r="IOB53" s="489"/>
      <c r="IOC53" s="489"/>
      <c r="IOD53" s="489"/>
      <c r="IOE53" s="489"/>
      <c r="IOF53" s="489"/>
      <c r="IOG53" s="489"/>
      <c r="IOH53" s="489"/>
      <c r="IOI53" s="489"/>
      <c r="IOJ53" s="489"/>
      <c r="IOK53" s="489"/>
      <c r="IOL53" s="489"/>
      <c r="IOM53" s="489"/>
      <c r="ION53" s="489"/>
      <c r="IOO53" s="489"/>
      <c r="IOP53" s="489"/>
      <c r="IOQ53" s="489"/>
      <c r="IOR53" s="489"/>
      <c r="IOS53" s="489"/>
      <c r="IOT53" s="489"/>
      <c r="IOU53" s="489"/>
      <c r="IOV53" s="489"/>
      <c r="IOW53" s="489"/>
      <c r="IOX53" s="489"/>
      <c r="IOY53" s="489"/>
      <c r="IOZ53" s="489"/>
      <c r="IPA53" s="489"/>
      <c r="IPB53" s="489"/>
      <c r="IPC53" s="489"/>
      <c r="IPD53" s="489"/>
      <c r="IPE53" s="489"/>
      <c r="IPF53" s="489"/>
      <c r="IPG53" s="489"/>
      <c r="IPH53" s="489"/>
      <c r="IPI53" s="489"/>
      <c r="IPJ53" s="489"/>
      <c r="IPK53" s="489"/>
      <c r="IPL53" s="489"/>
      <c r="IPM53" s="489"/>
      <c r="IPN53" s="489"/>
      <c r="IPO53" s="489"/>
      <c r="IPP53" s="489"/>
      <c r="IPQ53" s="489"/>
      <c r="IPR53" s="489"/>
      <c r="IPS53" s="489"/>
      <c r="IPT53" s="489"/>
      <c r="IPU53" s="489"/>
      <c r="IPV53" s="489"/>
      <c r="IPW53" s="489"/>
      <c r="IPX53" s="489"/>
      <c r="IPY53" s="489"/>
      <c r="IPZ53" s="489"/>
      <c r="IQA53" s="489"/>
      <c r="IQB53" s="489"/>
      <c r="IQC53" s="489"/>
      <c r="IQD53" s="489"/>
      <c r="IQE53" s="489"/>
      <c r="IQF53" s="489"/>
      <c r="IQG53" s="489"/>
      <c r="IQH53" s="489"/>
      <c r="IQI53" s="489"/>
      <c r="IQJ53" s="489"/>
      <c r="IQK53" s="489"/>
      <c r="IQL53" s="489"/>
      <c r="IQM53" s="489"/>
      <c r="IQN53" s="489"/>
      <c r="IQO53" s="489"/>
      <c r="IQP53" s="489"/>
      <c r="IQQ53" s="489"/>
      <c r="IQR53" s="489"/>
      <c r="IQS53" s="489"/>
      <c r="IQT53" s="489"/>
      <c r="IQU53" s="489"/>
      <c r="IQV53" s="489"/>
      <c r="IQW53" s="489"/>
      <c r="IQX53" s="489"/>
      <c r="IQY53" s="489"/>
      <c r="IQZ53" s="489"/>
      <c r="IRA53" s="489"/>
      <c r="IRB53" s="489"/>
      <c r="IRC53" s="489"/>
      <c r="IRD53" s="489"/>
      <c r="IRE53" s="489"/>
      <c r="IRF53" s="489"/>
      <c r="IRG53" s="489"/>
      <c r="IRH53" s="489"/>
      <c r="IRI53" s="489"/>
      <c r="IRJ53" s="489"/>
      <c r="IRK53" s="489"/>
      <c r="IRL53" s="489"/>
      <c r="IRM53" s="489"/>
      <c r="IRN53" s="489"/>
      <c r="IRO53" s="489"/>
      <c r="IRP53" s="489"/>
      <c r="IRQ53" s="489"/>
      <c r="IRR53" s="489"/>
      <c r="IRS53" s="489"/>
      <c r="IRT53" s="489"/>
      <c r="IRU53" s="489"/>
      <c r="IRV53" s="489"/>
      <c r="IRW53" s="489"/>
      <c r="IRX53" s="489"/>
      <c r="IRY53" s="489"/>
      <c r="IRZ53" s="489"/>
      <c r="ISA53" s="489"/>
      <c r="ISB53" s="489"/>
      <c r="ISC53" s="489"/>
      <c r="ISD53" s="489"/>
      <c r="ISE53" s="489"/>
      <c r="ISF53" s="489"/>
      <c r="ISG53" s="489"/>
      <c r="ISH53" s="489"/>
      <c r="ISI53" s="489"/>
      <c r="ISJ53" s="489"/>
      <c r="ISK53" s="489"/>
      <c r="ISL53" s="489"/>
      <c r="ISM53" s="489"/>
      <c r="ISN53" s="489"/>
      <c r="ISO53" s="489"/>
      <c r="ISP53" s="489"/>
      <c r="ISQ53" s="489"/>
      <c r="ISR53" s="489"/>
      <c r="ISS53" s="489"/>
      <c r="IST53" s="489"/>
      <c r="ISU53" s="489"/>
      <c r="ISV53" s="489"/>
      <c r="ISW53" s="489"/>
      <c r="ISX53" s="489"/>
      <c r="ISY53" s="489"/>
      <c r="ISZ53" s="489"/>
      <c r="ITA53" s="489"/>
      <c r="ITB53" s="489"/>
      <c r="ITC53" s="489"/>
      <c r="ITD53" s="489"/>
      <c r="ITE53" s="489"/>
      <c r="ITF53" s="489"/>
      <c r="ITG53" s="489"/>
      <c r="ITH53" s="489"/>
      <c r="ITI53" s="489"/>
      <c r="ITJ53" s="489"/>
      <c r="ITK53" s="489"/>
      <c r="ITL53" s="489"/>
      <c r="ITM53" s="489"/>
      <c r="ITN53" s="489"/>
      <c r="ITO53" s="489"/>
      <c r="ITP53" s="489"/>
      <c r="ITQ53" s="489"/>
      <c r="ITR53" s="489"/>
      <c r="ITS53" s="489"/>
      <c r="ITT53" s="489"/>
      <c r="ITU53" s="489"/>
      <c r="ITV53" s="489"/>
      <c r="ITW53" s="489"/>
      <c r="ITX53" s="489"/>
      <c r="ITY53" s="489"/>
      <c r="ITZ53" s="489"/>
      <c r="IUA53" s="489"/>
      <c r="IUB53" s="489"/>
      <c r="IUC53" s="489"/>
      <c r="IUD53" s="489"/>
      <c r="IUE53" s="489"/>
      <c r="IUF53" s="489"/>
      <c r="IUG53" s="489"/>
      <c r="IUH53" s="489"/>
      <c r="IUI53" s="489"/>
      <c r="IUJ53" s="489"/>
      <c r="IUK53" s="489"/>
      <c r="IUL53" s="489"/>
      <c r="IUM53" s="489"/>
      <c r="IUN53" s="489"/>
      <c r="IUO53" s="489"/>
      <c r="IUP53" s="489"/>
      <c r="IUQ53" s="489"/>
      <c r="IUR53" s="489"/>
      <c r="IUS53" s="489"/>
      <c r="IUT53" s="489"/>
      <c r="IUU53" s="489"/>
      <c r="IUV53" s="489"/>
      <c r="IUW53" s="489"/>
      <c r="IUX53" s="489"/>
      <c r="IUY53" s="489"/>
      <c r="IUZ53" s="489"/>
      <c r="IVA53" s="489"/>
      <c r="IVB53" s="489"/>
      <c r="IVC53" s="489"/>
      <c r="IVD53" s="489"/>
      <c r="IVE53" s="489"/>
      <c r="IVF53" s="489"/>
      <c r="IVG53" s="489"/>
      <c r="IVH53" s="489"/>
      <c r="IVI53" s="489"/>
      <c r="IVJ53" s="489"/>
      <c r="IVK53" s="489"/>
      <c r="IVL53" s="489"/>
      <c r="IVM53" s="489"/>
      <c r="IVN53" s="489"/>
      <c r="IVO53" s="489"/>
      <c r="IVP53" s="489"/>
      <c r="IVQ53" s="489"/>
      <c r="IVR53" s="489"/>
      <c r="IVS53" s="489"/>
      <c r="IVT53" s="489"/>
      <c r="IVU53" s="489"/>
      <c r="IVV53" s="489"/>
      <c r="IVW53" s="489"/>
      <c r="IVX53" s="489"/>
      <c r="IVY53" s="489"/>
      <c r="IVZ53" s="489"/>
      <c r="IWA53" s="489"/>
      <c r="IWB53" s="489"/>
      <c r="IWC53" s="489"/>
      <c r="IWD53" s="489"/>
      <c r="IWE53" s="489"/>
      <c r="IWF53" s="489"/>
      <c r="IWG53" s="489"/>
      <c r="IWH53" s="489"/>
      <c r="IWI53" s="489"/>
      <c r="IWJ53" s="489"/>
      <c r="IWK53" s="489"/>
      <c r="IWL53" s="489"/>
      <c r="IWM53" s="489"/>
      <c r="IWN53" s="489"/>
      <c r="IWO53" s="489"/>
      <c r="IWP53" s="489"/>
      <c r="IWQ53" s="489"/>
      <c r="IWR53" s="489"/>
      <c r="IWS53" s="489"/>
      <c r="IWT53" s="489"/>
      <c r="IWU53" s="489"/>
      <c r="IWV53" s="489"/>
      <c r="IWW53" s="489"/>
      <c r="IWX53" s="489"/>
      <c r="IWY53" s="489"/>
      <c r="IWZ53" s="489"/>
      <c r="IXA53" s="489"/>
      <c r="IXB53" s="489"/>
      <c r="IXC53" s="489"/>
      <c r="IXD53" s="489"/>
      <c r="IXE53" s="489"/>
      <c r="IXF53" s="489"/>
      <c r="IXG53" s="489"/>
      <c r="IXH53" s="489"/>
      <c r="IXI53" s="489"/>
      <c r="IXJ53" s="489"/>
      <c r="IXK53" s="489"/>
      <c r="IXL53" s="489"/>
      <c r="IXM53" s="489"/>
      <c r="IXN53" s="489"/>
      <c r="IXO53" s="489"/>
      <c r="IXP53" s="489"/>
      <c r="IXQ53" s="489"/>
      <c r="IXR53" s="489"/>
      <c r="IXS53" s="489"/>
      <c r="IXT53" s="489"/>
      <c r="IXU53" s="489"/>
      <c r="IXV53" s="489"/>
      <c r="IXW53" s="489"/>
      <c r="IXX53" s="489"/>
      <c r="IXY53" s="489"/>
      <c r="IXZ53" s="489"/>
      <c r="IYA53" s="489"/>
      <c r="IYB53" s="489"/>
      <c r="IYC53" s="489"/>
      <c r="IYD53" s="489"/>
      <c r="IYE53" s="489"/>
      <c r="IYF53" s="489"/>
      <c r="IYG53" s="489"/>
      <c r="IYH53" s="489"/>
      <c r="IYI53" s="489"/>
      <c r="IYJ53" s="489"/>
      <c r="IYK53" s="489"/>
      <c r="IYL53" s="489"/>
      <c r="IYM53" s="489"/>
      <c r="IYN53" s="489"/>
      <c r="IYO53" s="489"/>
      <c r="IYP53" s="489"/>
      <c r="IYQ53" s="489"/>
      <c r="IYR53" s="489"/>
      <c r="IYS53" s="489"/>
      <c r="IYT53" s="489"/>
      <c r="IYU53" s="489"/>
      <c r="IYV53" s="489"/>
      <c r="IYW53" s="489"/>
      <c r="IYX53" s="489"/>
      <c r="IYY53" s="489"/>
      <c r="IYZ53" s="489"/>
      <c r="IZA53" s="489"/>
      <c r="IZB53" s="489"/>
      <c r="IZC53" s="489"/>
      <c r="IZD53" s="489"/>
      <c r="IZE53" s="489"/>
      <c r="IZF53" s="489"/>
      <c r="IZG53" s="489"/>
      <c r="IZH53" s="489"/>
      <c r="IZI53" s="489"/>
      <c r="IZJ53" s="489"/>
      <c r="IZK53" s="489"/>
      <c r="IZL53" s="489"/>
      <c r="IZM53" s="489"/>
      <c r="IZN53" s="489"/>
      <c r="IZO53" s="489"/>
      <c r="IZP53" s="489"/>
      <c r="IZQ53" s="489"/>
      <c r="IZR53" s="489"/>
      <c r="IZS53" s="489"/>
      <c r="IZT53" s="489"/>
      <c r="IZU53" s="489"/>
      <c r="IZV53" s="489"/>
      <c r="IZW53" s="489"/>
      <c r="IZX53" s="489"/>
      <c r="IZY53" s="489"/>
      <c r="IZZ53" s="489"/>
      <c r="JAA53" s="489"/>
      <c r="JAB53" s="489"/>
      <c r="JAC53" s="489"/>
      <c r="JAD53" s="489"/>
      <c r="JAE53" s="489"/>
      <c r="JAF53" s="489"/>
      <c r="JAG53" s="489"/>
      <c r="JAH53" s="489"/>
      <c r="JAI53" s="489"/>
      <c r="JAJ53" s="489"/>
      <c r="JAK53" s="489"/>
      <c r="JAL53" s="489"/>
      <c r="JAM53" s="489"/>
      <c r="JAN53" s="489"/>
      <c r="JAO53" s="489"/>
      <c r="JAP53" s="489"/>
      <c r="JAQ53" s="489"/>
      <c r="JAR53" s="489"/>
      <c r="JAS53" s="489"/>
      <c r="JAT53" s="489"/>
      <c r="JAU53" s="489"/>
      <c r="JAV53" s="489"/>
      <c r="JAW53" s="489"/>
      <c r="JAX53" s="489"/>
      <c r="JAY53" s="489"/>
      <c r="JAZ53" s="489"/>
      <c r="JBA53" s="489"/>
      <c r="JBB53" s="489"/>
      <c r="JBC53" s="489"/>
      <c r="JBD53" s="489"/>
      <c r="JBE53" s="489"/>
      <c r="JBF53" s="489"/>
      <c r="JBG53" s="489"/>
      <c r="JBH53" s="489"/>
      <c r="JBI53" s="489"/>
      <c r="JBJ53" s="489"/>
      <c r="JBK53" s="489"/>
      <c r="JBL53" s="489"/>
      <c r="JBM53" s="489"/>
      <c r="JBN53" s="489"/>
      <c r="JBO53" s="489"/>
      <c r="JBP53" s="489"/>
      <c r="JBQ53" s="489"/>
      <c r="JBR53" s="489"/>
      <c r="JBS53" s="489"/>
      <c r="JBT53" s="489"/>
      <c r="JBU53" s="489"/>
      <c r="JBV53" s="489"/>
      <c r="JBW53" s="489"/>
      <c r="JBX53" s="489"/>
      <c r="JBY53" s="489"/>
      <c r="JBZ53" s="489"/>
      <c r="JCA53" s="489"/>
      <c r="JCB53" s="489"/>
      <c r="JCC53" s="489"/>
      <c r="JCD53" s="489"/>
      <c r="JCE53" s="489"/>
      <c r="JCF53" s="489"/>
      <c r="JCG53" s="489"/>
      <c r="JCH53" s="489"/>
      <c r="JCI53" s="489"/>
      <c r="JCJ53" s="489"/>
      <c r="JCK53" s="489"/>
      <c r="JCL53" s="489"/>
      <c r="JCM53" s="489"/>
      <c r="JCN53" s="489"/>
      <c r="JCO53" s="489"/>
      <c r="JCP53" s="489"/>
      <c r="JCQ53" s="489"/>
      <c r="JCR53" s="489"/>
      <c r="JCS53" s="489"/>
      <c r="JCT53" s="489"/>
      <c r="JCU53" s="489"/>
      <c r="JCV53" s="489"/>
      <c r="JCW53" s="489"/>
      <c r="JCX53" s="489"/>
      <c r="JCY53" s="489"/>
      <c r="JCZ53" s="489"/>
      <c r="JDA53" s="489"/>
      <c r="JDB53" s="489"/>
      <c r="JDC53" s="489"/>
      <c r="JDD53" s="489"/>
      <c r="JDE53" s="489"/>
      <c r="JDF53" s="489"/>
      <c r="JDG53" s="489"/>
      <c r="JDH53" s="489"/>
      <c r="JDI53" s="489"/>
      <c r="JDJ53" s="489"/>
      <c r="JDK53" s="489"/>
      <c r="JDL53" s="489"/>
      <c r="JDM53" s="489"/>
      <c r="JDN53" s="489"/>
      <c r="JDO53" s="489"/>
      <c r="JDP53" s="489"/>
      <c r="JDQ53" s="489"/>
      <c r="JDR53" s="489"/>
      <c r="JDS53" s="489"/>
      <c r="JDT53" s="489"/>
      <c r="JDU53" s="489"/>
      <c r="JDV53" s="489"/>
      <c r="JDW53" s="489"/>
      <c r="JDX53" s="489"/>
      <c r="JDY53" s="489"/>
      <c r="JDZ53" s="489"/>
      <c r="JEA53" s="489"/>
      <c r="JEB53" s="489"/>
      <c r="JEC53" s="489"/>
      <c r="JED53" s="489"/>
      <c r="JEE53" s="489"/>
      <c r="JEF53" s="489"/>
      <c r="JEG53" s="489"/>
      <c r="JEH53" s="489"/>
      <c r="JEI53" s="489"/>
      <c r="JEJ53" s="489"/>
      <c r="JEK53" s="489"/>
      <c r="JEL53" s="489"/>
      <c r="JEM53" s="489"/>
      <c r="JEN53" s="489"/>
      <c r="JEO53" s="489"/>
      <c r="JEP53" s="489"/>
      <c r="JEQ53" s="489"/>
      <c r="JER53" s="489"/>
      <c r="JES53" s="489"/>
      <c r="JET53" s="489"/>
      <c r="JEU53" s="489"/>
      <c r="JEV53" s="489"/>
      <c r="JEW53" s="489"/>
      <c r="JEX53" s="489"/>
      <c r="JEY53" s="489"/>
      <c r="JEZ53" s="489"/>
      <c r="JFA53" s="489"/>
      <c r="JFB53" s="489"/>
      <c r="JFC53" s="489"/>
      <c r="JFD53" s="489"/>
      <c r="JFE53" s="489"/>
      <c r="JFF53" s="489"/>
      <c r="JFG53" s="489"/>
      <c r="JFH53" s="489"/>
      <c r="JFI53" s="489"/>
      <c r="JFJ53" s="489"/>
      <c r="JFK53" s="489"/>
      <c r="JFL53" s="489"/>
      <c r="JFM53" s="489"/>
      <c r="JFN53" s="489"/>
      <c r="JFO53" s="489"/>
      <c r="JFP53" s="489"/>
      <c r="JFQ53" s="489"/>
      <c r="JFR53" s="489"/>
      <c r="JFS53" s="489"/>
      <c r="JFT53" s="489"/>
      <c r="JFU53" s="489"/>
      <c r="JFV53" s="489"/>
      <c r="JFW53" s="489"/>
      <c r="JFX53" s="489"/>
      <c r="JFY53" s="489"/>
      <c r="JFZ53" s="489"/>
      <c r="JGA53" s="489"/>
      <c r="JGB53" s="489"/>
      <c r="JGC53" s="489"/>
      <c r="JGD53" s="489"/>
      <c r="JGE53" s="489"/>
      <c r="JGF53" s="489"/>
      <c r="JGG53" s="489"/>
      <c r="JGH53" s="489"/>
      <c r="JGI53" s="489"/>
      <c r="JGJ53" s="489"/>
      <c r="JGK53" s="489"/>
      <c r="JGL53" s="489"/>
      <c r="JGM53" s="489"/>
      <c r="JGN53" s="489"/>
      <c r="JGO53" s="489"/>
      <c r="JGP53" s="489"/>
      <c r="JGQ53" s="489"/>
      <c r="JGR53" s="489"/>
      <c r="JGS53" s="489"/>
      <c r="JGT53" s="489"/>
      <c r="JGU53" s="489"/>
      <c r="JGV53" s="489"/>
      <c r="JGW53" s="489"/>
      <c r="JGX53" s="489"/>
      <c r="JGY53" s="489"/>
      <c r="JGZ53" s="489"/>
      <c r="JHA53" s="489"/>
      <c r="JHB53" s="489"/>
      <c r="JHC53" s="489"/>
      <c r="JHD53" s="489"/>
      <c r="JHE53" s="489"/>
      <c r="JHF53" s="489"/>
      <c r="JHG53" s="489"/>
      <c r="JHH53" s="489"/>
      <c r="JHI53" s="489"/>
      <c r="JHJ53" s="489"/>
      <c r="JHK53" s="489"/>
      <c r="JHL53" s="489"/>
      <c r="JHM53" s="489"/>
      <c r="JHN53" s="489"/>
      <c r="JHO53" s="489"/>
      <c r="JHP53" s="489"/>
      <c r="JHQ53" s="489"/>
      <c r="JHR53" s="489"/>
      <c r="JHS53" s="489"/>
      <c r="JHT53" s="489"/>
      <c r="JHU53" s="489"/>
      <c r="JHV53" s="489"/>
      <c r="JHW53" s="489"/>
      <c r="JHX53" s="489"/>
      <c r="JHY53" s="489"/>
      <c r="JHZ53" s="489"/>
      <c r="JIA53" s="489"/>
      <c r="JIB53" s="489"/>
      <c r="JIC53" s="489"/>
      <c r="JID53" s="489"/>
      <c r="JIE53" s="489"/>
      <c r="JIF53" s="489"/>
      <c r="JIG53" s="489"/>
      <c r="JIH53" s="489"/>
      <c r="JII53" s="489"/>
      <c r="JIJ53" s="489"/>
      <c r="JIK53" s="489"/>
      <c r="JIL53" s="489"/>
      <c r="JIM53" s="489"/>
      <c r="JIN53" s="489"/>
      <c r="JIO53" s="489"/>
      <c r="JIP53" s="489"/>
      <c r="JIQ53" s="489"/>
      <c r="JIR53" s="489"/>
      <c r="JIS53" s="489"/>
      <c r="JIT53" s="489"/>
      <c r="JIU53" s="489"/>
      <c r="JIV53" s="489"/>
      <c r="JIW53" s="489"/>
      <c r="JIX53" s="489"/>
      <c r="JIY53" s="489"/>
      <c r="JIZ53" s="489"/>
      <c r="JJA53" s="489"/>
      <c r="JJB53" s="489"/>
      <c r="JJC53" s="489"/>
      <c r="JJD53" s="489"/>
      <c r="JJE53" s="489"/>
      <c r="JJF53" s="489"/>
      <c r="JJG53" s="489"/>
      <c r="JJH53" s="489"/>
      <c r="JJI53" s="489"/>
      <c r="JJJ53" s="489"/>
      <c r="JJK53" s="489"/>
      <c r="JJL53" s="489"/>
      <c r="JJM53" s="489"/>
      <c r="JJN53" s="489"/>
      <c r="JJO53" s="489"/>
      <c r="JJP53" s="489"/>
      <c r="JJQ53" s="489"/>
      <c r="JJR53" s="489"/>
      <c r="JJS53" s="489"/>
      <c r="JJT53" s="489"/>
      <c r="JJU53" s="489"/>
      <c r="JJV53" s="489"/>
      <c r="JJW53" s="489"/>
      <c r="JJX53" s="489"/>
      <c r="JJY53" s="489"/>
      <c r="JJZ53" s="489"/>
      <c r="JKA53" s="489"/>
      <c r="JKB53" s="489"/>
      <c r="JKC53" s="489"/>
      <c r="JKD53" s="489"/>
      <c r="JKE53" s="489"/>
      <c r="JKF53" s="489"/>
      <c r="JKG53" s="489"/>
      <c r="JKH53" s="489"/>
      <c r="JKI53" s="489"/>
      <c r="JKJ53" s="489"/>
      <c r="JKK53" s="489"/>
      <c r="JKL53" s="489"/>
      <c r="JKM53" s="489"/>
      <c r="JKN53" s="489"/>
      <c r="JKO53" s="489"/>
      <c r="JKP53" s="489"/>
      <c r="JKQ53" s="489"/>
      <c r="JKR53" s="489"/>
      <c r="JKS53" s="489"/>
      <c r="JKT53" s="489"/>
      <c r="JKU53" s="489"/>
      <c r="JKV53" s="489"/>
      <c r="JKW53" s="489"/>
      <c r="JKX53" s="489"/>
      <c r="JKY53" s="489"/>
      <c r="JKZ53" s="489"/>
      <c r="JLA53" s="489"/>
      <c r="JLB53" s="489"/>
      <c r="JLC53" s="489"/>
      <c r="JLD53" s="489"/>
      <c r="JLE53" s="489"/>
      <c r="JLF53" s="489"/>
      <c r="JLG53" s="489"/>
      <c r="JLH53" s="489"/>
      <c r="JLI53" s="489"/>
      <c r="JLJ53" s="489"/>
      <c r="JLK53" s="489"/>
      <c r="JLL53" s="489"/>
      <c r="JLM53" s="489"/>
      <c r="JLN53" s="489"/>
      <c r="JLO53" s="489"/>
      <c r="JLP53" s="489"/>
      <c r="JLQ53" s="489"/>
      <c r="JLR53" s="489"/>
      <c r="JLS53" s="489"/>
      <c r="JLT53" s="489"/>
      <c r="JLU53" s="489"/>
      <c r="JLV53" s="489"/>
      <c r="JLW53" s="489"/>
      <c r="JLX53" s="489"/>
      <c r="JLY53" s="489"/>
      <c r="JLZ53" s="489"/>
      <c r="JMA53" s="489"/>
      <c r="JMB53" s="489"/>
      <c r="JMC53" s="489"/>
      <c r="JMD53" s="489"/>
      <c r="JME53" s="489"/>
      <c r="JMF53" s="489"/>
      <c r="JMG53" s="489"/>
      <c r="JMH53" s="489"/>
      <c r="JMI53" s="489"/>
      <c r="JMJ53" s="489"/>
      <c r="JMK53" s="489"/>
      <c r="JML53" s="489"/>
      <c r="JMM53" s="489"/>
      <c r="JMN53" s="489"/>
      <c r="JMO53" s="489"/>
      <c r="JMP53" s="489"/>
      <c r="JMQ53" s="489"/>
      <c r="JMR53" s="489"/>
      <c r="JMS53" s="489"/>
      <c r="JMT53" s="489"/>
      <c r="JMU53" s="489"/>
      <c r="JMV53" s="489"/>
      <c r="JMW53" s="489"/>
      <c r="JMX53" s="489"/>
      <c r="JMY53" s="489"/>
      <c r="JMZ53" s="489"/>
      <c r="JNA53" s="489"/>
      <c r="JNB53" s="489"/>
      <c r="JNC53" s="489"/>
      <c r="JND53" s="489"/>
      <c r="JNE53" s="489"/>
      <c r="JNF53" s="489"/>
      <c r="JNG53" s="489"/>
      <c r="JNH53" s="489"/>
      <c r="JNI53" s="489"/>
      <c r="JNJ53" s="489"/>
      <c r="JNK53" s="489"/>
      <c r="JNL53" s="489"/>
      <c r="JNM53" s="489"/>
      <c r="JNN53" s="489"/>
      <c r="JNO53" s="489"/>
      <c r="JNP53" s="489"/>
      <c r="JNQ53" s="489"/>
      <c r="JNR53" s="489"/>
      <c r="JNS53" s="489"/>
      <c r="JNT53" s="489"/>
      <c r="JNU53" s="489"/>
      <c r="JNV53" s="489"/>
      <c r="JNW53" s="489"/>
      <c r="JNX53" s="489"/>
      <c r="JNY53" s="489"/>
      <c r="JNZ53" s="489"/>
      <c r="JOA53" s="489"/>
      <c r="JOB53" s="489"/>
      <c r="JOC53" s="489"/>
      <c r="JOD53" s="489"/>
      <c r="JOE53" s="489"/>
      <c r="JOF53" s="489"/>
      <c r="JOG53" s="489"/>
      <c r="JOH53" s="489"/>
      <c r="JOI53" s="489"/>
      <c r="JOJ53" s="489"/>
      <c r="JOK53" s="489"/>
      <c r="JOL53" s="489"/>
      <c r="JOM53" s="489"/>
      <c r="JON53" s="489"/>
      <c r="JOO53" s="489"/>
      <c r="JOP53" s="489"/>
      <c r="JOQ53" s="489"/>
      <c r="JOR53" s="489"/>
      <c r="JOS53" s="489"/>
      <c r="JOT53" s="489"/>
      <c r="JOU53" s="489"/>
      <c r="JOV53" s="489"/>
      <c r="JOW53" s="489"/>
      <c r="JOX53" s="489"/>
      <c r="JOY53" s="489"/>
      <c r="JOZ53" s="489"/>
      <c r="JPA53" s="489"/>
      <c r="JPB53" s="489"/>
      <c r="JPC53" s="489"/>
      <c r="JPD53" s="489"/>
      <c r="JPE53" s="489"/>
      <c r="JPF53" s="489"/>
      <c r="JPG53" s="489"/>
      <c r="JPH53" s="489"/>
      <c r="JPI53" s="489"/>
      <c r="JPJ53" s="489"/>
      <c r="JPK53" s="489"/>
      <c r="JPL53" s="489"/>
      <c r="JPM53" s="489"/>
      <c r="JPN53" s="489"/>
      <c r="JPO53" s="489"/>
      <c r="JPP53" s="489"/>
      <c r="JPQ53" s="489"/>
      <c r="JPR53" s="489"/>
      <c r="JPS53" s="489"/>
      <c r="JPT53" s="489"/>
      <c r="JPU53" s="489"/>
      <c r="JPV53" s="489"/>
      <c r="JPW53" s="489"/>
      <c r="JPX53" s="489"/>
      <c r="JPY53" s="489"/>
      <c r="JPZ53" s="489"/>
      <c r="JQA53" s="489"/>
      <c r="JQB53" s="489"/>
      <c r="JQC53" s="489"/>
      <c r="JQD53" s="489"/>
      <c r="JQE53" s="489"/>
      <c r="JQF53" s="489"/>
      <c r="JQG53" s="489"/>
      <c r="JQH53" s="489"/>
      <c r="JQI53" s="489"/>
      <c r="JQJ53" s="489"/>
      <c r="JQK53" s="489"/>
      <c r="JQL53" s="489"/>
      <c r="JQM53" s="489"/>
      <c r="JQN53" s="489"/>
      <c r="JQO53" s="489"/>
      <c r="JQP53" s="489"/>
      <c r="JQQ53" s="489"/>
      <c r="JQR53" s="489"/>
      <c r="JQS53" s="489"/>
      <c r="JQT53" s="489"/>
      <c r="JQU53" s="489"/>
      <c r="JQV53" s="489"/>
      <c r="JQW53" s="489"/>
      <c r="JQX53" s="489"/>
      <c r="JQY53" s="489"/>
      <c r="JQZ53" s="489"/>
      <c r="JRA53" s="489"/>
      <c r="JRB53" s="489"/>
      <c r="JRC53" s="489"/>
      <c r="JRD53" s="489"/>
      <c r="JRE53" s="489"/>
      <c r="JRF53" s="489"/>
      <c r="JRG53" s="489"/>
      <c r="JRH53" s="489"/>
      <c r="JRI53" s="489"/>
      <c r="JRJ53" s="489"/>
      <c r="JRK53" s="489"/>
      <c r="JRL53" s="489"/>
      <c r="JRM53" s="489"/>
      <c r="JRN53" s="489"/>
      <c r="JRO53" s="489"/>
      <c r="JRP53" s="489"/>
      <c r="JRQ53" s="489"/>
      <c r="JRR53" s="489"/>
      <c r="JRS53" s="489"/>
      <c r="JRT53" s="489"/>
      <c r="JRU53" s="489"/>
      <c r="JRV53" s="489"/>
      <c r="JRW53" s="489"/>
      <c r="JRX53" s="489"/>
      <c r="JRY53" s="489"/>
      <c r="JRZ53" s="489"/>
      <c r="JSA53" s="489"/>
      <c r="JSB53" s="489"/>
      <c r="JSC53" s="489"/>
      <c r="JSD53" s="489"/>
      <c r="JSE53" s="489"/>
      <c r="JSF53" s="489"/>
      <c r="JSG53" s="489"/>
      <c r="JSH53" s="489"/>
      <c r="JSI53" s="489"/>
      <c r="JSJ53" s="489"/>
      <c r="JSK53" s="489"/>
      <c r="JSL53" s="489"/>
      <c r="JSM53" s="489"/>
      <c r="JSN53" s="489"/>
      <c r="JSO53" s="489"/>
      <c r="JSP53" s="489"/>
      <c r="JSQ53" s="489"/>
      <c r="JSR53" s="489"/>
      <c r="JSS53" s="489"/>
      <c r="JST53" s="489"/>
      <c r="JSU53" s="489"/>
      <c r="JSV53" s="489"/>
      <c r="JSW53" s="489"/>
      <c r="JSX53" s="489"/>
      <c r="JSY53" s="489"/>
      <c r="JSZ53" s="489"/>
      <c r="JTA53" s="489"/>
      <c r="JTB53" s="489"/>
      <c r="JTC53" s="489"/>
      <c r="JTD53" s="489"/>
      <c r="JTE53" s="489"/>
      <c r="JTF53" s="489"/>
      <c r="JTG53" s="489"/>
      <c r="JTH53" s="489"/>
      <c r="JTI53" s="489"/>
      <c r="JTJ53" s="489"/>
      <c r="JTK53" s="489"/>
      <c r="JTL53" s="489"/>
      <c r="JTM53" s="489"/>
      <c r="JTN53" s="489"/>
      <c r="JTO53" s="489"/>
      <c r="JTP53" s="489"/>
      <c r="JTQ53" s="489"/>
      <c r="JTR53" s="489"/>
      <c r="JTS53" s="489"/>
      <c r="JTT53" s="489"/>
      <c r="JTU53" s="489"/>
      <c r="JTV53" s="489"/>
      <c r="JTW53" s="489"/>
      <c r="JTX53" s="489"/>
      <c r="JTY53" s="489"/>
      <c r="JTZ53" s="489"/>
      <c r="JUA53" s="489"/>
      <c r="JUB53" s="489"/>
      <c r="JUC53" s="489"/>
      <c r="JUD53" s="489"/>
      <c r="JUE53" s="489"/>
      <c r="JUF53" s="489"/>
      <c r="JUG53" s="489"/>
      <c r="JUH53" s="489"/>
      <c r="JUI53" s="489"/>
      <c r="JUJ53" s="489"/>
      <c r="JUK53" s="489"/>
      <c r="JUL53" s="489"/>
      <c r="JUM53" s="489"/>
      <c r="JUN53" s="489"/>
      <c r="JUO53" s="489"/>
      <c r="JUP53" s="489"/>
      <c r="JUQ53" s="489"/>
      <c r="JUR53" s="489"/>
      <c r="JUS53" s="489"/>
      <c r="JUT53" s="489"/>
      <c r="JUU53" s="489"/>
      <c r="JUV53" s="489"/>
      <c r="JUW53" s="489"/>
      <c r="JUX53" s="489"/>
      <c r="JUY53" s="489"/>
      <c r="JUZ53" s="489"/>
      <c r="JVA53" s="489"/>
      <c r="JVB53" s="489"/>
      <c r="JVC53" s="489"/>
      <c r="JVD53" s="489"/>
      <c r="JVE53" s="489"/>
      <c r="JVF53" s="489"/>
      <c r="JVG53" s="489"/>
      <c r="JVH53" s="489"/>
      <c r="JVI53" s="489"/>
      <c r="JVJ53" s="489"/>
      <c r="JVK53" s="489"/>
      <c r="JVL53" s="489"/>
      <c r="JVM53" s="489"/>
      <c r="JVN53" s="489"/>
      <c r="JVO53" s="489"/>
      <c r="JVP53" s="489"/>
      <c r="JVQ53" s="489"/>
      <c r="JVR53" s="489"/>
      <c r="JVS53" s="489"/>
      <c r="JVT53" s="489"/>
      <c r="JVU53" s="489"/>
      <c r="JVV53" s="489"/>
      <c r="JVW53" s="489"/>
      <c r="JVX53" s="489"/>
      <c r="JVY53" s="489"/>
      <c r="JVZ53" s="489"/>
      <c r="JWA53" s="489"/>
      <c r="JWB53" s="489"/>
      <c r="JWC53" s="489"/>
      <c r="JWD53" s="489"/>
      <c r="JWE53" s="489"/>
      <c r="JWF53" s="489"/>
      <c r="JWG53" s="489"/>
      <c r="JWH53" s="489"/>
      <c r="JWI53" s="489"/>
      <c r="JWJ53" s="489"/>
      <c r="JWK53" s="489"/>
      <c r="JWL53" s="489"/>
      <c r="JWM53" s="489"/>
      <c r="JWN53" s="489"/>
      <c r="JWO53" s="489"/>
      <c r="JWP53" s="489"/>
      <c r="JWQ53" s="489"/>
      <c r="JWR53" s="489"/>
      <c r="JWS53" s="489"/>
      <c r="JWT53" s="489"/>
      <c r="JWU53" s="489"/>
      <c r="JWV53" s="489"/>
      <c r="JWW53" s="489"/>
      <c r="JWX53" s="489"/>
      <c r="JWY53" s="489"/>
      <c r="JWZ53" s="489"/>
      <c r="JXA53" s="489"/>
      <c r="JXB53" s="489"/>
      <c r="JXC53" s="489"/>
      <c r="JXD53" s="489"/>
      <c r="JXE53" s="489"/>
      <c r="JXF53" s="489"/>
      <c r="JXG53" s="489"/>
      <c r="JXH53" s="489"/>
      <c r="JXI53" s="489"/>
      <c r="JXJ53" s="489"/>
      <c r="JXK53" s="489"/>
      <c r="JXL53" s="489"/>
      <c r="JXM53" s="489"/>
      <c r="JXN53" s="489"/>
      <c r="JXO53" s="489"/>
      <c r="JXP53" s="489"/>
      <c r="JXQ53" s="489"/>
      <c r="JXR53" s="489"/>
      <c r="JXS53" s="489"/>
      <c r="JXT53" s="489"/>
      <c r="JXU53" s="489"/>
      <c r="JXV53" s="489"/>
      <c r="JXW53" s="489"/>
      <c r="JXX53" s="489"/>
      <c r="JXY53" s="489"/>
      <c r="JXZ53" s="489"/>
      <c r="JYA53" s="489"/>
      <c r="JYB53" s="489"/>
      <c r="JYC53" s="489"/>
      <c r="JYD53" s="489"/>
      <c r="JYE53" s="489"/>
      <c r="JYF53" s="489"/>
      <c r="JYG53" s="489"/>
      <c r="JYH53" s="489"/>
      <c r="JYI53" s="489"/>
      <c r="JYJ53" s="489"/>
      <c r="JYK53" s="489"/>
      <c r="JYL53" s="489"/>
      <c r="JYM53" s="489"/>
      <c r="JYN53" s="489"/>
      <c r="JYO53" s="489"/>
      <c r="JYP53" s="489"/>
      <c r="JYQ53" s="489"/>
      <c r="JYR53" s="489"/>
      <c r="JYS53" s="489"/>
      <c r="JYT53" s="489"/>
      <c r="JYU53" s="489"/>
      <c r="JYV53" s="489"/>
      <c r="JYW53" s="489"/>
      <c r="JYX53" s="489"/>
      <c r="JYY53" s="489"/>
      <c r="JYZ53" s="489"/>
      <c r="JZA53" s="489"/>
      <c r="JZB53" s="489"/>
      <c r="JZC53" s="489"/>
      <c r="JZD53" s="489"/>
      <c r="JZE53" s="489"/>
      <c r="JZF53" s="489"/>
      <c r="JZG53" s="489"/>
      <c r="JZH53" s="489"/>
      <c r="JZI53" s="489"/>
      <c r="JZJ53" s="489"/>
      <c r="JZK53" s="489"/>
      <c r="JZL53" s="489"/>
      <c r="JZM53" s="489"/>
      <c r="JZN53" s="489"/>
      <c r="JZO53" s="489"/>
      <c r="JZP53" s="489"/>
      <c r="JZQ53" s="489"/>
      <c r="JZR53" s="489"/>
      <c r="JZS53" s="489"/>
      <c r="JZT53" s="489"/>
      <c r="JZU53" s="489"/>
      <c r="JZV53" s="489"/>
      <c r="JZW53" s="489"/>
      <c r="JZX53" s="489"/>
      <c r="JZY53" s="489"/>
      <c r="JZZ53" s="489"/>
      <c r="KAA53" s="489"/>
      <c r="KAB53" s="489"/>
      <c r="KAC53" s="489"/>
      <c r="KAD53" s="489"/>
      <c r="KAE53" s="489"/>
      <c r="KAF53" s="489"/>
      <c r="KAG53" s="489"/>
      <c r="KAH53" s="489"/>
      <c r="KAI53" s="489"/>
      <c r="KAJ53" s="489"/>
      <c r="KAK53" s="489"/>
      <c r="KAL53" s="489"/>
      <c r="KAM53" s="489"/>
      <c r="KAN53" s="489"/>
      <c r="KAO53" s="489"/>
      <c r="KAP53" s="489"/>
      <c r="KAQ53" s="489"/>
      <c r="KAR53" s="489"/>
      <c r="KAS53" s="489"/>
      <c r="KAT53" s="489"/>
      <c r="KAU53" s="489"/>
      <c r="KAV53" s="489"/>
      <c r="KAW53" s="489"/>
      <c r="KAX53" s="489"/>
      <c r="KAY53" s="489"/>
      <c r="KAZ53" s="489"/>
      <c r="KBA53" s="489"/>
      <c r="KBB53" s="489"/>
      <c r="KBC53" s="489"/>
      <c r="KBD53" s="489"/>
      <c r="KBE53" s="489"/>
      <c r="KBF53" s="489"/>
      <c r="KBG53" s="489"/>
      <c r="KBH53" s="489"/>
      <c r="KBI53" s="489"/>
      <c r="KBJ53" s="489"/>
      <c r="KBK53" s="489"/>
      <c r="KBL53" s="489"/>
      <c r="KBM53" s="489"/>
      <c r="KBN53" s="489"/>
      <c r="KBO53" s="489"/>
      <c r="KBP53" s="489"/>
      <c r="KBQ53" s="489"/>
      <c r="KBR53" s="489"/>
      <c r="KBS53" s="489"/>
      <c r="KBT53" s="489"/>
      <c r="KBU53" s="489"/>
      <c r="KBV53" s="489"/>
      <c r="KBW53" s="489"/>
      <c r="KBX53" s="489"/>
      <c r="KBY53" s="489"/>
      <c r="KBZ53" s="489"/>
      <c r="KCA53" s="489"/>
      <c r="KCB53" s="489"/>
      <c r="KCC53" s="489"/>
      <c r="KCD53" s="489"/>
      <c r="KCE53" s="489"/>
      <c r="KCF53" s="489"/>
      <c r="KCG53" s="489"/>
      <c r="KCH53" s="489"/>
      <c r="KCI53" s="489"/>
      <c r="KCJ53" s="489"/>
      <c r="KCK53" s="489"/>
      <c r="KCL53" s="489"/>
      <c r="KCM53" s="489"/>
      <c r="KCN53" s="489"/>
      <c r="KCO53" s="489"/>
      <c r="KCP53" s="489"/>
      <c r="KCQ53" s="489"/>
      <c r="KCR53" s="489"/>
      <c r="KCS53" s="489"/>
      <c r="KCT53" s="489"/>
      <c r="KCU53" s="489"/>
      <c r="KCV53" s="489"/>
      <c r="KCW53" s="489"/>
      <c r="KCX53" s="489"/>
      <c r="KCY53" s="489"/>
      <c r="KCZ53" s="489"/>
      <c r="KDA53" s="489"/>
      <c r="KDB53" s="489"/>
      <c r="KDC53" s="489"/>
      <c r="KDD53" s="489"/>
      <c r="KDE53" s="489"/>
      <c r="KDF53" s="489"/>
      <c r="KDG53" s="489"/>
      <c r="KDH53" s="489"/>
      <c r="KDI53" s="489"/>
      <c r="KDJ53" s="489"/>
      <c r="KDK53" s="489"/>
      <c r="KDL53" s="489"/>
      <c r="KDM53" s="489"/>
      <c r="KDN53" s="489"/>
      <c r="KDO53" s="489"/>
      <c r="KDP53" s="489"/>
      <c r="KDQ53" s="489"/>
      <c r="KDR53" s="489"/>
      <c r="KDS53" s="489"/>
      <c r="KDT53" s="489"/>
      <c r="KDU53" s="489"/>
      <c r="KDV53" s="489"/>
      <c r="KDW53" s="489"/>
      <c r="KDX53" s="489"/>
      <c r="KDY53" s="489"/>
      <c r="KDZ53" s="489"/>
      <c r="KEA53" s="489"/>
      <c r="KEB53" s="489"/>
      <c r="KEC53" s="489"/>
      <c r="KED53" s="489"/>
      <c r="KEE53" s="489"/>
      <c r="KEF53" s="489"/>
      <c r="KEG53" s="489"/>
      <c r="KEH53" s="489"/>
      <c r="KEI53" s="489"/>
      <c r="KEJ53" s="489"/>
      <c r="KEK53" s="489"/>
      <c r="KEL53" s="489"/>
      <c r="KEM53" s="489"/>
      <c r="KEN53" s="489"/>
      <c r="KEO53" s="489"/>
      <c r="KEP53" s="489"/>
      <c r="KEQ53" s="489"/>
      <c r="KER53" s="489"/>
      <c r="KES53" s="489"/>
      <c r="KET53" s="489"/>
      <c r="KEU53" s="489"/>
      <c r="KEV53" s="489"/>
      <c r="KEW53" s="489"/>
      <c r="KEX53" s="489"/>
      <c r="KEY53" s="489"/>
      <c r="KEZ53" s="489"/>
      <c r="KFA53" s="489"/>
      <c r="KFB53" s="489"/>
      <c r="KFC53" s="489"/>
      <c r="KFD53" s="489"/>
      <c r="KFE53" s="489"/>
      <c r="KFF53" s="489"/>
      <c r="KFG53" s="489"/>
      <c r="KFH53" s="489"/>
      <c r="KFI53" s="489"/>
      <c r="KFJ53" s="489"/>
      <c r="KFK53" s="489"/>
      <c r="KFL53" s="489"/>
      <c r="KFM53" s="489"/>
      <c r="KFN53" s="489"/>
      <c r="KFO53" s="489"/>
      <c r="KFP53" s="489"/>
      <c r="KFQ53" s="489"/>
      <c r="KFR53" s="489"/>
      <c r="KFS53" s="489"/>
      <c r="KFT53" s="489"/>
      <c r="KFU53" s="489"/>
      <c r="KFV53" s="489"/>
      <c r="KFW53" s="489"/>
      <c r="KFX53" s="489"/>
      <c r="KFY53" s="489"/>
      <c r="KFZ53" s="489"/>
      <c r="KGA53" s="489"/>
      <c r="KGB53" s="489"/>
      <c r="KGC53" s="489"/>
      <c r="KGD53" s="489"/>
      <c r="KGE53" s="489"/>
      <c r="KGF53" s="489"/>
      <c r="KGG53" s="489"/>
      <c r="KGH53" s="489"/>
      <c r="KGI53" s="489"/>
      <c r="KGJ53" s="489"/>
      <c r="KGK53" s="489"/>
      <c r="KGL53" s="489"/>
      <c r="KGM53" s="489"/>
      <c r="KGN53" s="489"/>
      <c r="KGO53" s="489"/>
      <c r="KGP53" s="489"/>
      <c r="KGQ53" s="489"/>
      <c r="KGR53" s="489"/>
      <c r="KGS53" s="489"/>
      <c r="KGT53" s="489"/>
      <c r="KGU53" s="489"/>
      <c r="KGV53" s="489"/>
      <c r="KGW53" s="489"/>
      <c r="KGX53" s="489"/>
      <c r="KGY53" s="489"/>
      <c r="KGZ53" s="489"/>
      <c r="KHA53" s="489"/>
      <c r="KHB53" s="489"/>
      <c r="KHC53" s="489"/>
      <c r="KHD53" s="489"/>
      <c r="KHE53" s="489"/>
      <c r="KHF53" s="489"/>
      <c r="KHG53" s="489"/>
      <c r="KHH53" s="489"/>
      <c r="KHI53" s="489"/>
      <c r="KHJ53" s="489"/>
      <c r="KHK53" s="489"/>
      <c r="KHL53" s="489"/>
      <c r="KHM53" s="489"/>
      <c r="KHN53" s="489"/>
      <c r="KHO53" s="489"/>
      <c r="KHP53" s="489"/>
      <c r="KHQ53" s="489"/>
      <c r="KHR53" s="489"/>
      <c r="KHS53" s="489"/>
      <c r="KHT53" s="489"/>
      <c r="KHU53" s="489"/>
      <c r="KHV53" s="489"/>
      <c r="KHW53" s="489"/>
      <c r="KHX53" s="489"/>
      <c r="KHY53" s="489"/>
      <c r="KHZ53" s="489"/>
      <c r="KIA53" s="489"/>
      <c r="KIB53" s="489"/>
      <c r="KIC53" s="489"/>
      <c r="KID53" s="489"/>
      <c r="KIE53" s="489"/>
      <c r="KIF53" s="489"/>
      <c r="KIG53" s="489"/>
      <c r="KIH53" s="489"/>
      <c r="KII53" s="489"/>
      <c r="KIJ53" s="489"/>
      <c r="KIK53" s="489"/>
      <c r="KIL53" s="489"/>
      <c r="KIM53" s="489"/>
      <c r="KIN53" s="489"/>
      <c r="KIO53" s="489"/>
      <c r="KIP53" s="489"/>
      <c r="KIQ53" s="489"/>
      <c r="KIR53" s="489"/>
      <c r="KIS53" s="489"/>
      <c r="KIT53" s="489"/>
      <c r="KIU53" s="489"/>
      <c r="KIV53" s="489"/>
      <c r="KIW53" s="489"/>
      <c r="KIX53" s="489"/>
      <c r="KIY53" s="489"/>
      <c r="KIZ53" s="489"/>
      <c r="KJA53" s="489"/>
      <c r="KJB53" s="489"/>
      <c r="KJC53" s="489"/>
      <c r="KJD53" s="489"/>
      <c r="KJE53" s="489"/>
      <c r="KJF53" s="489"/>
      <c r="KJG53" s="489"/>
      <c r="KJH53" s="489"/>
      <c r="KJI53" s="489"/>
      <c r="KJJ53" s="489"/>
      <c r="KJK53" s="489"/>
      <c r="KJL53" s="489"/>
      <c r="KJM53" s="489"/>
      <c r="KJN53" s="489"/>
      <c r="KJO53" s="489"/>
      <c r="KJP53" s="489"/>
      <c r="KJQ53" s="489"/>
      <c r="KJR53" s="489"/>
      <c r="KJS53" s="489"/>
      <c r="KJT53" s="489"/>
      <c r="KJU53" s="489"/>
      <c r="KJV53" s="489"/>
      <c r="KJW53" s="489"/>
      <c r="KJX53" s="489"/>
      <c r="KJY53" s="489"/>
      <c r="KJZ53" s="489"/>
      <c r="KKA53" s="489"/>
      <c r="KKB53" s="489"/>
      <c r="KKC53" s="489"/>
      <c r="KKD53" s="489"/>
      <c r="KKE53" s="489"/>
      <c r="KKF53" s="489"/>
      <c r="KKG53" s="489"/>
      <c r="KKH53" s="489"/>
      <c r="KKI53" s="489"/>
      <c r="KKJ53" s="489"/>
      <c r="KKK53" s="489"/>
      <c r="KKL53" s="489"/>
      <c r="KKM53" s="489"/>
      <c r="KKN53" s="489"/>
      <c r="KKO53" s="489"/>
      <c r="KKP53" s="489"/>
      <c r="KKQ53" s="489"/>
      <c r="KKR53" s="489"/>
      <c r="KKS53" s="489"/>
      <c r="KKT53" s="489"/>
      <c r="KKU53" s="489"/>
      <c r="KKV53" s="489"/>
      <c r="KKW53" s="489"/>
      <c r="KKX53" s="489"/>
      <c r="KKY53" s="489"/>
      <c r="KKZ53" s="489"/>
      <c r="KLA53" s="489"/>
      <c r="KLB53" s="489"/>
      <c r="KLC53" s="489"/>
      <c r="KLD53" s="489"/>
      <c r="KLE53" s="489"/>
      <c r="KLF53" s="489"/>
      <c r="KLG53" s="489"/>
      <c r="KLH53" s="489"/>
      <c r="KLI53" s="489"/>
      <c r="KLJ53" s="489"/>
      <c r="KLK53" s="489"/>
      <c r="KLL53" s="489"/>
      <c r="KLM53" s="489"/>
      <c r="KLN53" s="489"/>
      <c r="KLO53" s="489"/>
      <c r="KLP53" s="489"/>
      <c r="KLQ53" s="489"/>
      <c r="KLR53" s="489"/>
      <c r="KLS53" s="489"/>
      <c r="KLT53" s="489"/>
      <c r="KLU53" s="489"/>
      <c r="KLV53" s="489"/>
      <c r="KLW53" s="489"/>
      <c r="KLX53" s="489"/>
      <c r="KLY53" s="489"/>
      <c r="KLZ53" s="489"/>
      <c r="KMA53" s="489"/>
      <c r="KMB53" s="489"/>
      <c r="KMC53" s="489"/>
      <c r="KMD53" s="489"/>
      <c r="KME53" s="489"/>
      <c r="KMF53" s="489"/>
      <c r="KMG53" s="489"/>
      <c r="KMH53" s="489"/>
      <c r="KMI53" s="489"/>
      <c r="KMJ53" s="489"/>
      <c r="KMK53" s="489"/>
      <c r="KML53" s="489"/>
      <c r="KMM53" s="489"/>
      <c r="KMN53" s="489"/>
      <c r="KMO53" s="489"/>
      <c r="KMP53" s="489"/>
      <c r="KMQ53" s="489"/>
      <c r="KMR53" s="489"/>
      <c r="KMS53" s="489"/>
      <c r="KMT53" s="489"/>
      <c r="KMU53" s="489"/>
      <c r="KMV53" s="489"/>
      <c r="KMW53" s="489"/>
      <c r="KMX53" s="489"/>
      <c r="KMY53" s="489"/>
      <c r="KMZ53" s="489"/>
      <c r="KNA53" s="489"/>
      <c r="KNB53" s="489"/>
      <c r="KNC53" s="489"/>
      <c r="KND53" s="489"/>
      <c r="KNE53" s="489"/>
      <c r="KNF53" s="489"/>
      <c r="KNG53" s="489"/>
      <c r="KNH53" s="489"/>
      <c r="KNI53" s="489"/>
      <c r="KNJ53" s="489"/>
      <c r="KNK53" s="489"/>
      <c r="KNL53" s="489"/>
      <c r="KNM53" s="489"/>
      <c r="KNN53" s="489"/>
      <c r="KNO53" s="489"/>
      <c r="KNP53" s="489"/>
      <c r="KNQ53" s="489"/>
      <c r="KNR53" s="489"/>
      <c r="KNS53" s="489"/>
      <c r="KNT53" s="489"/>
      <c r="KNU53" s="489"/>
      <c r="KNV53" s="489"/>
      <c r="KNW53" s="489"/>
      <c r="KNX53" s="489"/>
      <c r="KNY53" s="489"/>
      <c r="KNZ53" s="489"/>
      <c r="KOA53" s="489"/>
      <c r="KOB53" s="489"/>
      <c r="KOC53" s="489"/>
      <c r="KOD53" s="489"/>
      <c r="KOE53" s="489"/>
      <c r="KOF53" s="489"/>
      <c r="KOG53" s="489"/>
      <c r="KOH53" s="489"/>
      <c r="KOI53" s="489"/>
      <c r="KOJ53" s="489"/>
      <c r="KOK53" s="489"/>
      <c r="KOL53" s="489"/>
      <c r="KOM53" s="489"/>
      <c r="KON53" s="489"/>
      <c r="KOO53" s="489"/>
      <c r="KOP53" s="489"/>
      <c r="KOQ53" s="489"/>
      <c r="KOR53" s="489"/>
      <c r="KOS53" s="489"/>
      <c r="KOT53" s="489"/>
      <c r="KOU53" s="489"/>
      <c r="KOV53" s="489"/>
      <c r="KOW53" s="489"/>
      <c r="KOX53" s="489"/>
      <c r="KOY53" s="489"/>
      <c r="KOZ53" s="489"/>
      <c r="KPA53" s="489"/>
      <c r="KPB53" s="489"/>
      <c r="KPC53" s="489"/>
      <c r="KPD53" s="489"/>
      <c r="KPE53" s="489"/>
      <c r="KPF53" s="489"/>
      <c r="KPG53" s="489"/>
      <c r="KPH53" s="489"/>
      <c r="KPI53" s="489"/>
      <c r="KPJ53" s="489"/>
      <c r="KPK53" s="489"/>
      <c r="KPL53" s="489"/>
      <c r="KPM53" s="489"/>
      <c r="KPN53" s="489"/>
      <c r="KPO53" s="489"/>
      <c r="KPP53" s="489"/>
      <c r="KPQ53" s="489"/>
      <c r="KPR53" s="489"/>
      <c r="KPS53" s="489"/>
      <c r="KPT53" s="489"/>
      <c r="KPU53" s="489"/>
      <c r="KPV53" s="489"/>
      <c r="KPW53" s="489"/>
      <c r="KPX53" s="489"/>
      <c r="KPY53" s="489"/>
      <c r="KPZ53" s="489"/>
      <c r="KQA53" s="489"/>
      <c r="KQB53" s="489"/>
      <c r="KQC53" s="489"/>
      <c r="KQD53" s="489"/>
      <c r="KQE53" s="489"/>
      <c r="KQF53" s="489"/>
      <c r="KQG53" s="489"/>
      <c r="KQH53" s="489"/>
      <c r="KQI53" s="489"/>
      <c r="KQJ53" s="489"/>
      <c r="KQK53" s="489"/>
      <c r="KQL53" s="489"/>
      <c r="KQM53" s="489"/>
      <c r="KQN53" s="489"/>
      <c r="KQO53" s="489"/>
      <c r="KQP53" s="489"/>
      <c r="KQQ53" s="489"/>
      <c r="KQR53" s="489"/>
      <c r="KQS53" s="489"/>
      <c r="KQT53" s="489"/>
      <c r="KQU53" s="489"/>
      <c r="KQV53" s="489"/>
      <c r="KQW53" s="489"/>
      <c r="KQX53" s="489"/>
      <c r="KQY53" s="489"/>
      <c r="KQZ53" s="489"/>
      <c r="KRA53" s="489"/>
      <c r="KRB53" s="489"/>
      <c r="KRC53" s="489"/>
      <c r="KRD53" s="489"/>
      <c r="KRE53" s="489"/>
      <c r="KRF53" s="489"/>
      <c r="KRG53" s="489"/>
      <c r="KRH53" s="489"/>
      <c r="KRI53" s="489"/>
      <c r="KRJ53" s="489"/>
      <c r="KRK53" s="489"/>
      <c r="KRL53" s="489"/>
      <c r="KRM53" s="489"/>
      <c r="KRN53" s="489"/>
      <c r="KRO53" s="489"/>
      <c r="KRP53" s="489"/>
      <c r="KRQ53" s="489"/>
      <c r="KRR53" s="489"/>
      <c r="KRS53" s="489"/>
      <c r="KRT53" s="489"/>
      <c r="KRU53" s="489"/>
      <c r="KRV53" s="489"/>
      <c r="KRW53" s="489"/>
      <c r="KRX53" s="489"/>
      <c r="KRY53" s="489"/>
      <c r="KRZ53" s="489"/>
      <c r="KSA53" s="489"/>
      <c r="KSB53" s="489"/>
      <c r="KSC53" s="489"/>
      <c r="KSD53" s="489"/>
      <c r="KSE53" s="489"/>
      <c r="KSF53" s="489"/>
      <c r="KSG53" s="489"/>
      <c r="KSH53" s="489"/>
      <c r="KSI53" s="489"/>
      <c r="KSJ53" s="489"/>
      <c r="KSK53" s="489"/>
      <c r="KSL53" s="489"/>
      <c r="KSM53" s="489"/>
      <c r="KSN53" s="489"/>
      <c r="KSO53" s="489"/>
      <c r="KSP53" s="489"/>
      <c r="KSQ53" s="489"/>
      <c r="KSR53" s="489"/>
      <c r="KSS53" s="489"/>
      <c r="KST53" s="489"/>
      <c r="KSU53" s="489"/>
      <c r="KSV53" s="489"/>
      <c r="KSW53" s="489"/>
      <c r="KSX53" s="489"/>
      <c r="KSY53" s="489"/>
      <c r="KSZ53" s="489"/>
      <c r="KTA53" s="489"/>
      <c r="KTB53" s="489"/>
      <c r="KTC53" s="489"/>
      <c r="KTD53" s="489"/>
      <c r="KTE53" s="489"/>
      <c r="KTF53" s="489"/>
      <c r="KTG53" s="489"/>
      <c r="KTH53" s="489"/>
      <c r="KTI53" s="489"/>
      <c r="KTJ53" s="489"/>
      <c r="KTK53" s="489"/>
      <c r="KTL53" s="489"/>
      <c r="KTM53" s="489"/>
      <c r="KTN53" s="489"/>
      <c r="KTO53" s="489"/>
      <c r="KTP53" s="489"/>
      <c r="KTQ53" s="489"/>
      <c r="KTR53" s="489"/>
      <c r="KTS53" s="489"/>
      <c r="KTT53" s="489"/>
      <c r="KTU53" s="489"/>
      <c r="KTV53" s="489"/>
      <c r="KTW53" s="489"/>
      <c r="KTX53" s="489"/>
      <c r="KTY53" s="489"/>
      <c r="KTZ53" s="489"/>
      <c r="KUA53" s="489"/>
      <c r="KUB53" s="489"/>
      <c r="KUC53" s="489"/>
      <c r="KUD53" s="489"/>
      <c r="KUE53" s="489"/>
      <c r="KUF53" s="489"/>
      <c r="KUG53" s="489"/>
      <c r="KUH53" s="489"/>
      <c r="KUI53" s="489"/>
      <c r="KUJ53" s="489"/>
      <c r="KUK53" s="489"/>
      <c r="KUL53" s="489"/>
      <c r="KUM53" s="489"/>
      <c r="KUN53" s="489"/>
      <c r="KUO53" s="489"/>
      <c r="KUP53" s="489"/>
      <c r="KUQ53" s="489"/>
      <c r="KUR53" s="489"/>
      <c r="KUS53" s="489"/>
      <c r="KUT53" s="489"/>
      <c r="KUU53" s="489"/>
      <c r="KUV53" s="489"/>
      <c r="KUW53" s="489"/>
      <c r="KUX53" s="489"/>
      <c r="KUY53" s="489"/>
      <c r="KUZ53" s="489"/>
      <c r="KVA53" s="489"/>
      <c r="KVB53" s="489"/>
      <c r="KVC53" s="489"/>
      <c r="KVD53" s="489"/>
      <c r="KVE53" s="489"/>
      <c r="KVF53" s="489"/>
      <c r="KVG53" s="489"/>
      <c r="KVH53" s="489"/>
      <c r="KVI53" s="489"/>
      <c r="KVJ53" s="489"/>
      <c r="KVK53" s="489"/>
      <c r="KVL53" s="489"/>
      <c r="KVM53" s="489"/>
      <c r="KVN53" s="489"/>
      <c r="KVO53" s="489"/>
      <c r="KVP53" s="489"/>
      <c r="KVQ53" s="489"/>
      <c r="KVR53" s="489"/>
      <c r="KVS53" s="489"/>
      <c r="KVT53" s="489"/>
      <c r="KVU53" s="489"/>
      <c r="KVV53" s="489"/>
      <c r="KVW53" s="489"/>
      <c r="KVX53" s="489"/>
      <c r="KVY53" s="489"/>
      <c r="KVZ53" s="489"/>
      <c r="KWA53" s="489"/>
      <c r="KWB53" s="489"/>
      <c r="KWC53" s="489"/>
      <c r="KWD53" s="489"/>
      <c r="KWE53" s="489"/>
      <c r="KWF53" s="489"/>
      <c r="KWG53" s="489"/>
      <c r="KWH53" s="489"/>
      <c r="KWI53" s="489"/>
      <c r="KWJ53" s="489"/>
      <c r="KWK53" s="489"/>
      <c r="KWL53" s="489"/>
      <c r="KWM53" s="489"/>
      <c r="KWN53" s="489"/>
      <c r="KWO53" s="489"/>
      <c r="KWP53" s="489"/>
      <c r="KWQ53" s="489"/>
      <c r="KWR53" s="489"/>
      <c r="KWS53" s="489"/>
      <c r="KWT53" s="489"/>
      <c r="KWU53" s="489"/>
      <c r="KWV53" s="489"/>
      <c r="KWW53" s="489"/>
      <c r="KWX53" s="489"/>
      <c r="KWY53" s="489"/>
      <c r="KWZ53" s="489"/>
      <c r="KXA53" s="489"/>
      <c r="KXB53" s="489"/>
      <c r="KXC53" s="489"/>
      <c r="KXD53" s="489"/>
      <c r="KXE53" s="489"/>
      <c r="KXF53" s="489"/>
      <c r="KXG53" s="489"/>
      <c r="KXH53" s="489"/>
      <c r="KXI53" s="489"/>
      <c r="KXJ53" s="489"/>
      <c r="KXK53" s="489"/>
      <c r="KXL53" s="489"/>
      <c r="KXM53" s="489"/>
      <c r="KXN53" s="489"/>
      <c r="KXO53" s="489"/>
      <c r="KXP53" s="489"/>
      <c r="KXQ53" s="489"/>
      <c r="KXR53" s="489"/>
      <c r="KXS53" s="489"/>
      <c r="KXT53" s="489"/>
      <c r="KXU53" s="489"/>
      <c r="KXV53" s="489"/>
      <c r="KXW53" s="489"/>
      <c r="KXX53" s="489"/>
      <c r="KXY53" s="489"/>
      <c r="KXZ53" s="489"/>
      <c r="KYA53" s="489"/>
      <c r="KYB53" s="489"/>
      <c r="KYC53" s="489"/>
      <c r="KYD53" s="489"/>
      <c r="KYE53" s="489"/>
      <c r="KYF53" s="489"/>
      <c r="KYG53" s="489"/>
      <c r="KYH53" s="489"/>
      <c r="KYI53" s="489"/>
      <c r="KYJ53" s="489"/>
      <c r="KYK53" s="489"/>
      <c r="KYL53" s="489"/>
      <c r="KYM53" s="489"/>
      <c r="KYN53" s="489"/>
      <c r="KYO53" s="489"/>
      <c r="KYP53" s="489"/>
      <c r="KYQ53" s="489"/>
      <c r="KYR53" s="489"/>
      <c r="KYS53" s="489"/>
      <c r="KYT53" s="489"/>
      <c r="KYU53" s="489"/>
      <c r="KYV53" s="489"/>
      <c r="KYW53" s="489"/>
      <c r="KYX53" s="489"/>
      <c r="KYY53" s="489"/>
      <c r="KYZ53" s="489"/>
      <c r="KZA53" s="489"/>
      <c r="KZB53" s="489"/>
      <c r="KZC53" s="489"/>
      <c r="KZD53" s="489"/>
      <c r="KZE53" s="489"/>
      <c r="KZF53" s="489"/>
      <c r="KZG53" s="489"/>
      <c r="KZH53" s="489"/>
      <c r="KZI53" s="489"/>
      <c r="KZJ53" s="489"/>
      <c r="KZK53" s="489"/>
      <c r="KZL53" s="489"/>
      <c r="KZM53" s="489"/>
      <c r="KZN53" s="489"/>
      <c r="KZO53" s="489"/>
      <c r="KZP53" s="489"/>
      <c r="KZQ53" s="489"/>
      <c r="KZR53" s="489"/>
      <c r="KZS53" s="489"/>
      <c r="KZT53" s="489"/>
      <c r="KZU53" s="489"/>
      <c r="KZV53" s="489"/>
      <c r="KZW53" s="489"/>
      <c r="KZX53" s="489"/>
      <c r="KZY53" s="489"/>
      <c r="KZZ53" s="489"/>
      <c r="LAA53" s="489"/>
      <c r="LAB53" s="489"/>
      <c r="LAC53" s="489"/>
      <c r="LAD53" s="489"/>
      <c r="LAE53" s="489"/>
      <c r="LAF53" s="489"/>
      <c r="LAG53" s="489"/>
      <c r="LAH53" s="489"/>
      <c r="LAI53" s="489"/>
      <c r="LAJ53" s="489"/>
      <c r="LAK53" s="489"/>
      <c r="LAL53" s="489"/>
      <c r="LAM53" s="489"/>
      <c r="LAN53" s="489"/>
      <c r="LAO53" s="489"/>
      <c r="LAP53" s="489"/>
      <c r="LAQ53" s="489"/>
      <c r="LAR53" s="489"/>
      <c r="LAS53" s="489"/>
      <c r="LAT53" s="489"/>
      <c r="LAU53" s="489"/>
      <c r="LAV53" s="489"/>
      <c r="LAW53" s="489"/>
      <c r="LAX53" s="489"/>
      <c r="LAY53" s="489"/>
      <c r="LAZ53" s="489"/>
      <c r="LBA53" s="489"/>
      <c r="LBB53" s="489"/>
      <c r="LBC53" s="489"/>
      <c r="LBD53" s="489"/>
      <c r="LBE53" s="489"/>
      <c r="LBF53" s="489"/>
      <c r="LBG53" s="489"/>
      <c r="LBH53" s="489"/>
      <c r="LBI53" s="489"/>
      <c r="LBJ53" s="489"/>
      <c r="LBK53" s="489"/>
      <c r="LBL53" s="489"/>
      <c r="LBM53" s="489"/>
      <c r="LBN53" s="489"/>
      <c r="LBO53" s="489"/>
      <c r="LBP53" s="489"/>
      <c r="LBQ53" s="489"/>
      <c r="LBR53" s="489"/>
      <c r="LBS53" s="489"/>
      <c r="LBT53" s="489"/>
      <c r="LBU53" s="489"/>
      <c r="LBV53" s="489"/>
      <c r="LBW53" s="489"/>
      <c r="LBX53" s="489"/>
      <c r="LBY53" s="489"/>
      <c r="LBZ53" s="489"/>
      <c r="LCA53" s="489"/>
      <c r="LCB53" s="489"/>
      <c r="LCC53" s="489"/>
      <c r="LCD53" s="489"/>
      <c r="LCE53" s="489"/>
      <c r="LCF53" s="489"/>
      <c r="LCG53" s="489"/>
      <c r="LCH53" s="489"/>
      <c r="LCI53" s="489"/>
      <c r="LCJ53" s="489"/>
      <c r="LCK53" s="489"/>
      <c r="LCL53" s="489"/>
      <c r="LCM53" s="489"/>
      <c r="LCN53" s="489"/>
      <c r="LCO53" s="489"/>
      <c r="LCP53" s="489"/>
      <c r="LCQ53" s="489"/>
      <c r="LCR53" s="489"/>
      <c r="LCS53" s="489"/>
      <c r="LCT53" s="489"/>
      <c r="LCU53" s="489"/>
      <c r="LCV53" s="489"/>
      <c r="LCW53" s="489"/>
      <c r="LCX53" s="489"/>
      <c r="LCY53" s="489"/>
      <c r="LCZ53" s="489"/>
      <c r="LDA53" s="489"/>
      <c r="LDB53" s="489"/>
      <c r="LDC53" s="489"/>
      <c r="LDD53" s="489"/>
      <c r="LDE53" s="489"/>
      <c r="LDF53" s="489"/>
      <c r="LDG53" s="489"/>
      <c r="LDH53" s="489"/>
      <c r="LDI53" s="489"/>
      <c r="LDJ53" s="489"/>
      <c r="LDK53" s="489"/>
      <c r="LDL53" s="489"/>
      <c r="LDM53" s="489"/>
      <c r="LDN53" s="489"/>
      <c r="LDO53" s="489"/>
      <c r="LDP53" s="489"/>
      <c r="LDQ53" s="489"/>
      <c r="LDR53" s="489"/>
      <c r="LDS53" s="489"/>
      <c r="LDT53" s="489"/>
      <c r="LDU53" s="489"/>
      <c r="LDV53" s="489"/>
      <c r="LDW53" s="489"/>
      <c r="LDX53" s="489"/>
      <c r="LDY53" s="489"/>
      <c r="LDZ53" s="489"/>
      <c r="LEA53" s="489"/>
      <c r="LEB53" s="489"/>
      <c r="LEC53" s="489"/>
      <c r="LED53" s="489"/>
      <c r="LEE53" s="489"/>
      <c r="LEF53" s="489"/>
      <c r="LEG53" s="489"/>
      <c r="LEH53" s="489"/>
      <c r="LEI53" s="489"/>
      <c r="LEJ53" s="489"/>
      <c r="LEK53" s="489"/>
      <c r="LEL53" s="489"/>
      <c r="LEM53" s="489"/>
      <c r="LEN53" s="489"/>
      <c r="LEO53" s="489"/>
      <c r="LEP53" s="489"/>
      <c r="LEQ53" s="489"/>
      <c r="LER53" s="489"/>
      <c r="LES53" s="489"/>
      <c r="LET53" s="489"/>
      <c r="LEU53" s="489"/>
      <c r="LEV53" s="489"/>
      <c r="LEW53" s="489"/>
      <c r="LEX53" s="489"/>
      <c r="LEY53" s="489"/>
      <c r="LEZ53" s="489"/>
      <c r="LFA53" s="489"/>
      <c r="LFB53" s="489"/>
      <c r="LFC53" s="489"/>
      <c r="LFD53" s="489"/>
      <c r="LFE53" s="489"/>
      <c r="LFF53" s="489"/>
      <c r="LFG53" s="489"/>
      <c r="LFH53" s="489"/>
      <c r="LFI53" s="489"/>
      <c r="LFJ53" s="489"/>
      <c r="LFK53" s="489"/>
      <c r="LFL53" s="489"/>
      <c r="LFM53" s="489"/>
      <c r="LFN53" s="489"/>
      <c r="LFO53" s="489"/>
      <c r="LFP53" s="489"/>
      <c r="LFQ53" s="489"/>
      <c r="LFR53" s="489"/>
      <c r="LFS53" s="489"/>
      <c r="LFT53" s="489"/>
      <c r="LFU53" s="489"/>
      <c r="LFV53" s="489"/>
      <c r="LFW53" s="489"/>
      <c r="LFX53" s="489"/>
      <c r="LFY53" s="489"/>
      <c r="LFZ53" s="489"/>
      <c r="LGA53" s="489"/>
      <c r="LGB53" s="489"/>
      <c r="LGC53" s="489"/>
      <c r="LGD53" s="489"/>
      <c r="LGE53" s="489"/>
      <c r="LGF53" s="489"/>
      <c r="LGG53" s="489"/>
      <c r="LGH53" s="489"/>
      <c r="LGI53" s="489"/>
      <c r="LGJ53" s="489"/>
      <c r="LGK53" s="489"/>
      <c r="LGL53" s="489"/>
      <c r="LGM53" s="489"/>
      <c r="LGN53" s="489"/>
      <c r="LGO53" s="489"/>
      <c r="LGP53" s="489"/>
      <c r="LGQ53" s="489"/>
      <c r="LGR53" s="489"/>
      <c r="LGS53" s="489"/>
      <c r="LGT53" s="489"/>
      <c r="LGU53" s="489"/>
      <c r="LGV53" s="489"/>
      <c r="LGW53" s="489"/>
      <c r="LGX53" s="489"/>
      <c r="LGY53" s="489"/>
      <c r="LGZ53" s="489"/>
      <c r="LHA53" s="489"/>
      <c r="LHB53" s="489"/>
      <c r="LHC53" s="489"/>
      <c r="LHD53" s="489"/>
      <c r="LHE53" s="489"/>
      <c r="LHF53" s="489"/>
      <c r="LHG53" s="489"/>
      <c r="LHH53" s="489"/>
      <c r="LHI53" s="489"/>
      <c r="LHJ53" s="489"/>
      <c r="LHK53" s="489"/>
      <c r="LHL53" s="489"/>
      <c r="LHM53" s="489"/>
      <c r="LHN53" s="489"/>
      <c r="LHO53" s="489"/>
      <c r="LHP53" s="489"/>
      <c r="LHQ53" s="489"/>
      <c r="LHR53" s="489"/>
      <c r="LHS53" s="489"/>
      <c r="LHT53" s="489"/>
      <c r="LHU53" s="489"/>
      <c r="LHV53" s="489"/>
      <c r="LHW53" s="489"/>
      <c r="LHX53" s="489"/>
      <c r="LHY53" s="489"/>
      <c r="LHZ53" s="489"/>
      <c r="LIA53" s="489"/>
      <c r="LIB53" s="489"/>
      <c r="LIC53" s="489"/>
      <c r="LID53" s="489"/>
      <c r="LIE53" s="489"/>
      <c r="LIF53" s="489"/>
      <c r="LIG53" s="489"/>
      <c r="LIH53" s="489"/>
      <c r="LII53" s="489"/>
      <c r="LIJ53" s="489"/>
      <c r="LIK53" s="489"/>
      <c r="LIL53" s="489"/>
      <c r="LIM53" s="489"/>
      <c r="LIN53" s="489"/>
      <c r="LIO53" s="489"/>
      <c r="LIP53" s="489"/>
      <c r="LIQ53" s="489"/>
      <c r="LIR53" s="489"/>
      <c r="LIS53" s="489"/>
      <c r="LIT53" s="489"/>
      <c r="LIU53" s="489"/>
      <c r="LIV53" s="489"/>
      <c r="LIW53" s="489"/>
      <c r="LIX53" s="489"/>
      <c r="LIY53" s="489"/>
      <c r="LIZ53" s="489"/>
      <c r="LJA53" s="489"/>
      <c r="LJB53" s="489"/>
      <c r="LJC53" s="489"/>
      <c r="LJD53" s="489"/>
      <c r="LJE53" s="489"/>
      <c r="LJF53" s="489"/>
      <c r="LJG53" s="489"/>
      <c r="LJH53" s="489"/>
      <c r="LJI53" s="489"/>
      <c r="LJJ53" s="489"/>
      <c r="LJK53" s="489"/>
      <c r="LJL53" s="489"/>
      <c r="LJM53" s="489"/>
      <c r="LJN53" s="489"/>
      <c r="LJO53" s="489"/>
      <c r="LJP53" s="489"/>
      <c r="LJQ53" s="489"/>
      <c r="LJR53" s="489"/>
      <c r="LJS53" s="489"/>
      <c r="LJT53" s="489"/>
      <c r="LJU53" s="489"/>
      <c r="LJV53" s="489"/>
      <c r="LJW53" s="489"/>
      <c r="LJX53" s="489"/>
      <c r="LJY53" s="489"/>
      <c r="LJZ53" s="489"/>
      <c r="LKA53" s="489"/>
      <c r="LKB53" s="489"/>
      <c r="LKC53" s="489"/>
      <c r="LKD53" s="489"/>
      <c r="LKE53" s="489"/>
      <c r="LKF53" s="489"/>
      <c r="LKG53" s="489"/>
      <c r="LKH53" s="489"/>
      <c r="LKI53" s="489"/>
      <c r="LKJ53" s="489"/>
      <c r="LKK53" s="489"/>
      <c r="LKL53" s="489"/>
      <c r="LKM53" s="489"/>
      <c r="LKN53" s="489"/>
      <c r="LKO53" s="489"/>
      <c r="LKP53" s="489"/>
      <c r="LKQ53" s="489"/>
      <c r="LKR53" s="489"/>
      <c r="LKS53" s="489"/>
      <c r="LKT53" s="489"/>
      <c r="LKU53" s="489"/>
      <c r="LKV53" s="489"/>
      <c r="LKW53" s="489"/>
      <c r="LKX53" s="489"/>
      <c r="LKY53" s="489"/>
      <c r="LKZ53" s="489"/>
      <c r="LLA53" s="489"/>
      <c r="LLB53" s="489"/>
      <c r="LLC53" s="489"/>
      <c r="LLD53" s="489"/>
      <c r="LLE53" s="489"/>
      <c r="LLF53" s="489"/>
      <c r="LLG53" s="489"/>
      <c r="LLH53" s="489"/>
      <c r="LLI53" s="489"/>
      <c r="LLJ53" s="489"/>
      <c r="LLK53" s="489"/>
      <c r="LLL53" s="489"/>
      <c r="LLM53" s="489"/>
      <c r="LLN53" s="489"/>
      <c r="LLO53" s="489"/>
      <c r="LLP53" s="489"/>
      <c r="LLQ53" s="489"/>
      <c r="LLR53" s="489"/>
      <c r="LLS53" s="489"/>
      <c r="LLT53" s="489"/>
      <c r="LLU53" s="489"/>
      <c r="LLV53" s="489"/>
      <c r="LLW53" s="489"/>
      <c r="LLX53" s="489"/>
      <c r="LLY53" s="489"/>
      <c r="LLZ53" s="489"/>
      <c r="LMA53" s="489"/>
      <c r="LMB53" s="489"/>
      <c r="LMC53" s="489"/>
      <c r="LMD53" s="489"/>
      <c r="LME53" s="489"/>
      <c r="LMF53" s="489"/>
      <c r="LMG53" s="489"/>
      <c r="LMH53" s="489"/>
      <c r="LMI53" s="489"/>
      <c r="LMJ53" s="489"/>
      <c r="LMK53" s="489"/>
      <c r="LML53" s="489"/>
      <c r="LMM53" s="489"/>
      <c r="LMN53" s="489"/>
      <c r="LMO53" s="489"/>
      <c r="LMP53" s="489"/>
      <c r="LMQ53" s="489"/>
      <c r="LMR53" s="489"/>
      <c r="LMS53" s="489"/>
      <c r="LMT53" s="489"/>
      <c r="LMU53" s="489"/>
      <c r="LMV53" s="489"/>
      <c r="LMW53" s="489"/>
      <c r="LMX53" s="489"/>
      <c r="LMY53" s="489"/>
      <c r="LMZ53" s="489"/>
      <c r="LNA53" s="489"/>
      <c r="LNB53" s="489"/>
      <c r="LNC53" s="489"/>
      <c r="LND53" s="489"/>
      <c r="LNE53" s="489"/>
      <c r="LNF53" s="489"/>
      <c r="LNG53" s="489"/>
      <c r="LNH53" s="489"/>
      <c r="LNI53" s="489"/>
      <c r="LNJ53" s="489"/>
      <c r="LNK53" s="489"/>
      <c r="LNL53" s="489"/>
      <c r="LNM53" s="489"/>
      <c r="LNN53" s="489"/>
      <c r="LNO53" s="489"/>
      <c r="LNP53" s="489"/>
      <c r="LNQ53" s="489"/>
      <c r="LNR53" s="489"/>
      <c r="LNS53" s="489"/>
      <c r="LNT53" s="489"/>
      <c r="LNU53" s="489"/>
      <c r="LNV53" s="489"/>
      <c r="LNW53" s="489"/>
      <c r="LNX53" s="489"/>
      <c r="LNY53" s="489"/>
      <c r="LNZ53" s="489"/>
      <c r="LOA53" s="489"/>
      <c r="LOB53" s="489"/>
      <c r="LOC53" s="489"/>
      <c r="LOD53" s="489"/>
      <c r="LOE53" s="489"/>
      <c r="LOF53" s="489"/>
      <c r="LOG53" s="489"/>
      <c r="LOH53" s="489"/>
      <c r="LOI53" s="489"/>
      <c r="LOJ53" s="489"/>
      <c r="LOK53" s="489"/>
      <c r="LOL53" s="489"/>
      <c r="LOM53" s="489"/>
      <c r="LON53" s="489"/>
      <c r="LOO53" s="489"/>
      <c r="LOP53" s="489"/>
      <c r="LOQ53" s="489"/>
      <c r="LOR53" s="489"/>
      <c r="LOS53" s="489"/>
      <c r="LOT53" s="489"/>
      <c r="LOU53" s="489"/>
      <c r="LOV53" s="489"/>
      <c r="LOW53" s="489"/>
      <c r="LOX53" s="489"/>
      <c r="LOY53" s="489"/>
      <c r="LOZ53" s="489"/>
      <c r="LPA53" s="489"/>
      <c r="LPB53" s="489"/>
      <c r="LPC53" s="489"/>
      <c r="LPD53" s="489"/>
      <c r="LPE53" s="489"/>
      <c r="LPF53" s="489"/>
      <c r="LPG53" s="489"/>
      <c r="LPH53" s="489"/>
      <c r="LPI53" s="489"/>
      <c r="LPJ53" s="489"/>
      <c r="LPK53" s="489"/>
      <c r="LPL53" s="489"/>
      <c r="LPM53" s="489"/>
      <c r="LPN53" s="489"/>
      <c r="LPO53" s="489"/>
      <c r="LPP53" s="489"/>
      <c r="LPQ53" s="489"/>
      <c r="LPR53" s="489"/>
      <c r="LPS53" s="489"/>
      <c r="LPT53" s="489"/>
      <c r="LPU53" s="489"/>
      <c r="LPV53" s="489"/>
      <c r="LPW53" s="489"/>
      <c r="LPX53" s="489"/>
      <c r="LPY53" s="489"/>
      <c r="LPZ53" s="489"/>
      <c r="LQA53" s="489"/>
      <c r="LQB53" s="489"/>
      <c r="LQC53" s="489"/>
      <c r="LQD53" s="489"/>
      <c r="LQE53" s="489"/>
      <c r="LQF53" s="489"/>
      <c r="LQG53" s="489"/>
      <c r="LQH53" s="489"/>
      <c r="LQI53" s="489"/>
      <c r="LQJ53" s="489"/>
      <c r="LQK53" s="489"/>
      <c r="LQL53" s="489"/>
      <c r="LQM53" s="489"/>
      <c r="LQN53" s="489"/>
      <c r="LQO53" s="489"/>
      <c r="LQP53" s="489"/>
      <c r="LQQ53" s="489"/>
      <c r="LQR53" s="489"/>
      <c r="LQS53" s="489"/>
      <c r="LQT53" s="489"/>
      <c r="LQU53" s="489"/>
      <c r="LQV53" s="489"/>
      <c r="LQW53" s="489"/>
      <c r="LQX53" s="489"/>
      <c r="LQY53" s="489"/>
      <c r="LQZ53" s="489"/>
      <c r="LRA53" s="489"/>
      <c r="LRB53" s="489"/>
      <c r="LRC53" s="489"/>
      <c r="LRD53" s="489"/>
      <c r="LRE53" s="489"/>
      <c r="LRF53" s="489"/>
      <c r="LRG53" s="489"/>
      <c r="LRH53" s="489"/>
      <c r="LRI53" s="489"/>
      <c r="LRJ53" s="489"/>
      <c r="LRK53" s="489"/>
      <c r="LRL53" s="489"/>
      <c r="LRM53" s="489"/>
      <c r="LRN53" s="489"/>
      <c r="LRO53" s="489"/>
      <c r="LRP53" s="489"/>
      <c r="LRQ53" s="489"/>
      <c r="LRR53" s="489"/>
      <c r="LRS53" s="489"/>
      <c r="LRT53" s="489"/>
      <c r="LRU53" s="489"/>
      <c r="LRV53" s="489"/>
      <c r="LRW53" s="489"/>
      <c r="LRX53" s="489"/>
      <c r="LRY53" s="489"/>
      <c r="LRZ53" s="489"/>
      <c r="LSA53" s="489"/>
      <c r="LSB53" s="489"/>
      <c r="LSC53" s="489"/>
      <c r="LSD53" s="489"/>
      <c r="LSE53" s="489"/>
      <c r="LSF53" s="489"/>
      <c r="LSG53" s="489"/>
      <c r="LSH53" s="489"/>
      <c r="LSI53" s="489"/>
      <c r="LSJ53" s="489"/>
      <c r="LSK53" s="489"/>
      <c r="LSL53" s="489"/>
      <c r="LSM53" s="489"/>
      <c r="LSN53" s="489"/>
      <c r="LSO53" s="489"/>
      <c r="LSP53" s="489"/>
      <c r="LSQ53" s="489"/>
      <c r="LSR53" s="489"/>
      <c r="LSS53" s="489"/>
      <c r="LST53" s="489"/>
      <c r="LSU53" s="489"/>
      <c r="LSV53" s="489"/>
      <c r="LSW53" s="489"/>
      <c r="LSX53" s="489"/>
      <c r="LSY53" s="489"/>
      <c r="LSZ53" s="489"/>
      <c r="LTA53" s="489"/>
      <c r="LTB53" s="489"/>
      <c r="LTC53" s="489"/>
      <c r="LTD53" s="489"/>
      <c r="LTE53" s="489"/>
      <c r="LTF53" s="489"/>
      <c r="LTG53" s="489"/>
      <c r="LTH53" s="489"/>
      <c r="LTI53" s="489"/>
      <c r="LTJ53" s="489"/>
      <c r="LTK53" s="489"/>
      <c r="LTL53" s="489"/>
      <c r="LTM53" s="489"/>
      <c r="LTN53" s="489"/>
      <c r="LTO53" s="489"/>
      <c r="LTP53" s="489"/>
      <c r="LTQ53" s="489"/>
      <c r="LTR53" s="489"/>
      <c r="LTS53" s="489"/>
      <c r="LTT53" s="489"/>
      <c r="LTU53" s="489"/>
      <c r="LTV53" s="489"/>
      <c r="LTW53" s="489"/>
      <c r="LTX53" s="489"/>
      <c r="LTY53" s="489"/>
      <c r="LTZ53" s="489"/>
      <c r="LUA53" s="489"/>
      <c r="LUB53" s="489"/>
      <c r="LUC53" s="489"/>
      <c r="LUD53" s="489"/>
      <c r="LUE53" s="489"/>
      <c r="LUF53" s="489"/>
      <c r="LUG53" s="489"/>
      <c r="LUH53" s="489"/>
      <c r="LUI53" s="489"/>
      <c r="LUJ53" s="489"/>
      <c r="LUK53" s="489"/>
      <c r="LUL53" s="489"/>
      <c r="LUM53" s="489"/>
      <c r="LUN53" s="489"/>
      <c r="LUO53" s="489"/>
      <c r="LUP53" s="489"/>
      <c r="LUQ53" s="489"/>
      <c r="LUR53" s="489"/>
      <c r="LUS53" s="489"/>
      <c r="LUT53" s="489"/>
      <c r="LUU53" s="489"/>
      <c r="LUV53" s="489"/>
      <c r="LUW53" s="489"/>
      <c r="LUX53" s="489"/>
      <c r="LUY53" s="489"/>
      <c r="LUZ53" s="489"/>
      <c r="LVA53" s="489"/>
      <c r="LVB53" s="489"/>
      <c r="LVC53" s="489"/>
      <c r="LVD53" s="489"/>
      <c r="LVE53" s="489"/>
      <c r="LVF53" s="489"/>
      <c r="LVG53" s="489"/>
      <c r="LVH53" s="489"/>
      <c r="LVI53" s="489"/>
      <c r="LVJ53" s="489"/>
      <c r="LVK53" s="489"/>
      <c r="LVL53" s="489"/>
      <c r="LVM53" s="489"/>
      <c r="LVN53" s="489"/>
      <c r="LVO53" s="489"/>
      <c r="LVP53" s="489"/>
      <c r="LVQ53" s="489"/>
      <c r="LVR53" s="489"/>
      <c r="LVS53" s="489"/>
      <c r="LVT53" s="489"/>
      <c r="LVU53" s="489"/>
      <c r="LVV53" s="489"/>
      <c r="LVW53" s="489"/>
      <c r="LVX53" s="489"/>
      <c r="LVY53" s="489"/>
      <c r="LVZ53" s="489"/>
      <c r="LWA53" s="489"/>
      <c r="LWB53" s="489"/>
      <c r="LWC53" s="489"/>
      <c r="LWD53" s="489"/>
      <c r="LWE53" s="489"/>
      <c r="LWF53" s="489"/>
      <c r="LWG53" s="489"/>
      <c r="LWH53" s="489"/>
      <c r="LWI53" s="489"/>
      <c r="LWJ53" s="489"/>
      <c r="LWK53" s="489"/>
      <c r="LWL53" s="489"/>
      <c r="LWM53" s="489"/>
      <c r="LWN53" s="489"/>
      <c r="LWO53" s="489"/>
      <c r="LWP53" s="489"/>
      <c r="LWQ53" s="489"/>
      <c r="LWR53" s="489"/>
      <c r="LWS53" s="489"/>
      <c r="LWT53" s="489"/>
      <c r="LWU53" s="489"/>
      <c r="LWV53" s="489"/>
      <c r="LWW53" s="489"/>
      <c r="LWX53" s="489"/>
      <c r="LWY53" s="489"/>
      <c r="LWZ53" s="489"/>
      <c r="LXA53" s="489"/>
      <c r="LXB53" s="489"/>
      <c r="LXC53" s="489"/>
      <c r="LXD53" s="489"/>
      <c r="LXE53" s="489"/>
      <c r="LXF53" s="489"/>
      <c r="LXG53" s="489"/>
      <c r="LXH53" s="489"/>
      <c r="LXI53" s="489"/>
      <c r="LXJ53" s="489"/>
      <c r="LXK53" s="489"/>
      <c r="LXL53" s="489"/>
      <c r="LXM53" s="489"/>
      <c r="LXN53" s="489"/>
      <c r="LXO53" s="489"/>
      <c r="LXP53" s="489"/>
      <c r="LXQ53" s="489"/>
      <c r="LXR53" s="489"/>
      <c r="LXS53" s="489"/>
      <c r="LXT53" s="489"/>
      <c r="LXU53" s="489"/>
      <c r="LXV53" s="489"/>
      <c r="LXW53" s="489"/>
      <c r="LXX53" s="489"/>
      <c r="LXY53" s="489"/>
      <c r="LXZ53" s="489"/>
      <c r="LYA53" s="489"/>
      <c r="LYB53" s="489"/>
      <c r="LYC53" s="489"/>
      <c r="LYD53" s="489"/>
      <c r="LYE53" s="489"/>
      <c r="LYF53" s="489"/>
      <c r="LYG53" s="489"/>
      <c r="LYH53" s="489"/>
      <c r="LYI53" s="489"/>
      <c r="LYJ53" s="489"/>
      <c r="LYK53" s="489"/>
      <c r="LYL53" s="489"/>
      <c r="LYM53" s="489"/>
      <c r="LYN53" s="489"/>
      <c r="LYO53" s="489"/>
      <c r="LYP53" s="489"/>
      <c r="LYQ53" s="489"/>
      <c r="LYR53" s="489"/>
      <c r="LYS53" s="489"/>
      <c r="LYT53" s="489"/>
      <c r="LYU53" s="489"/>
      <c r="LYV53" s="489"/>
      <c r="LYW53" s="489"/>
      <c r="LYX53" s="489"/>
      <c r="LYY53" s="489"/>
      <c r="LYZ53" s="489"/>
      <c r="LZA53" s="489"/>
      <c r="LZB53" s="489"/>
      <c r="LZC53" s="489"/>
      <c r="LZD53" s="489"/>
      <c r="LZE53" s="489"/>
      <c r="LZF53" s="489"/>
      <c r="LZG53" s="489"/>
      <c r="LZH53" s="489"/>
      <c r="LZI53" s="489"/>
      <c r="LZJ53" s="489"/>
      <c r="LZK53" s="489"/>
      <c r="LZL53" s="489"/>
      <c r="LZM53" s="489"/>
      <c r="LZN53" s="489"/>
      <c r="LZO53" s="489"/>
      <c r="LZP53" s="489"/>
      <c r="LZQ53" s="489"/>
      <c r="LZR53" s="489"/>
      <c r="LZS53" s="489"/>
      <c r="LZT53" s="489"/>
      <c r="LZU53" s="489"/>
      <c r="LZV53" s="489"/>
      <c r="LZW53" s="489"/>
      <c r="LZX53" s="489"/>
      <c r="LZY53" s="489"/>
      <c r="LZZ53" s="489"/>
      <c r="MAA53" s="489"/>
      <c r="MAB53" s="489"/>
      <c r="MAC53" s="489"/>
      <c r="MAD53" s="489"/>
      <c r="MAE53" s="489"/>
      <c r="MAF53" s="489"/>
      <c r="MAG53" s="489"/>
      <c r="MAH53" s="489"/>
      <c r="MAI53" s="489"/>
      <c r="MAJ53" s="489"/>
      <c r="MAK53" s="489"/>
      <c r="MAL53" s="489"/>
      <c r="MAM53" s="489"/>
      <c r="MAN53" s="489"/>
      <c r="MAO53" s="489"/>
      <c r="MAP53" s="489"/>
      <c r="MAQ53" s="489"/>
      <c r="MAR53" s="489"/>
      <c r="MAS53" s="489"/>
      <c r="MAT53" s="489"/>
      <c r="MAU53" s="489"/>
      <c r="MAV53" s="489"/>
      <c r="MAW53" s="489"/>
      <c r="MAX53" s="489"/>
      <c r="MAY53" s="489"/>
      <c r="MAZ53" s="489"/>
      <c r="MBA53" s="489"/>
      <c r="MBB53" s="489"/>
      <c r="MBC53" s="489"/>
      <c r="MBD53" s="489"/>
      <c r="MBE53" s="489"/>
      <c r="MBF53" s="489"/>
      <c r="MBG53" s="489"/>
      <c r="MBH53" s="489"/>
      <c r="MBI53" s="489"/>
      <c r="MBJ53" s="489"/>
      <c r="MBK53" s="489"/>
      <c r="MBL53" s="489"/>
      <c r="MBM53" s="489"/>
      <c r="MBN53" s="489"/>
      <c r="MBO53" s="489"/>
      <c r="MBP53" s="489"/>
      <c r="MBQ53" s="489"/>
      <c r="MBR53" s="489"/>
      <c r="MBS53" s="489"/>
      <c r="MBT53" s="489"/>
      <c r="MBU53" s="489"/>
      <c r="MBV53" s="489"/>
      <c r="MBW53" s="489"/>
      <c r="MBX53" s="489"/>
      <c r="MBY53" s="489"/>
      <c r="MBZ53" s="489"/>
      <c r="MCA53" s="489"/>
      <c r="MCB53" s="489"/>
      <c r="MCC53" s="489"/>
      <c r="MCD53" s="489"/>
      <c r="MCE53" s="489"/>
      <c r="MCF53" s="489"/>
      <c r="MCG53" s="489"/>
      <c r="MCH53" s="489"/>
      <c r="MCI53" s="489"/>
      <c r="MCJ53" s="489"/>
      <c r="MCK53" s="489"/>
      <c r="MCL53" s="489"/>
      <c r="MCM53" s="489"/>
      <c r="MCN53" s="489"/>
      <c r="MCO53" s="489"/>
      <c r="MCP53" s="489"/>
      <c r="MCQ53" s="489"/>
      <c r="MCR53" s="489"/>
      <c r="MCS53" s="489"/>
      <c r="MCT53" s="489"/>
      <c r="MCU53" s="489"/>
      <c r="MCV53" s="489"/>
      <c r="MCW53" s="489"/>
      <c r="MCX53" s="489"/>
      <c r="MCY53" s="489"/>
      <c r="MCZ53" s="489"/>
      <c r="MDA53" s="489"/>
      <c r="MDB53" s="489"/>
      <c r="MDC53" s="489"/>
      <c r="MDD53" s="489"/>
      <c r="MDE53" s="489"/>
      <c r="MDF53" s="489"/>
      <c r="MDG53" s="489"/>
      <c r="MDH53" s="489"/>
      <c r="MDI53" s="489"/>
      <c r="MDJ53" s="489"/>
      <c r="MDK53" s="489"/>
      <c r="MDL53" s="489"/>
      <c r="MDM53" s="489"/>
      <c r="MDN53" s="489"/>
      <c r="MDO53" s="489"/>
      <c r="MDP53" s="489"/>
      <c r="MDQ53" s="489"/>
      <c r="MDR53" s="489"/>
      <c r="MDS53" s="489"/>
      <c r="MDT53" s="489"/>
      <c r="MDU53" s="489"/>
      <c r="MDV53" s="489"/>
      <c r="MDW53" s="489"/>
      <c r="MDX53" s="489"/>
      <c r="MDY53" s="489"/>
      <c r="MDZ53" s="489"/>
      <c r="MEA53" s="489"/>
      <c r="MEB53" s="489"/>
      <c r="MEC53" s="489"/>
      <c r="MED53" s="489"/>
      <c r="MEE53" s="489"/>
      <c r="MEF53" s="489"/>
      <c r="MEG53" s="489"/>
      <c r="MEH53" s="489"/>
      <c r="MEI53" s="489"/>
      <c r="MEJ53" s="489"/>
      <c r="MEK53" s="489"/>
      <c r="MEL53" s="489"/>
      <c r="MEM53" s="489"/>
      <c r="MEN53" s="489"/>
      <c r="MEO53" s="489"/>
      <c r="MEP53" s="489"/>
      <c r="MEQ53" s="489"/>
      <c r="MER53" s="489"/>
      <c r="MES53" s="489"/>
      <c r="MET53" s="489"/>
      <c r="MEU53" s="489"/>
      <c r="MEV53" s="489"/>
      <c r="MEW53" s="489"/>
      <c r="MEX53" s="489"/>
      <c r="MEY53" s="489"/>
      <c r="MEZ53" s="489"/>
      <c r="MFA53" s="489"/>
      <c r="MFB53" s="489"/>
      <c r="MFC53" s="489"/>
      <c r="MFD53" s="489"/>
      <c r="MFE53" s="489"/>
      <c r="MFF53" s="489"/>
      <c r="MFG53" s="489"/>
      <c r="MFH53" s="489"/>
      <c r="MFI53" s="489"/>
      <c r="MFJ53" s="489"/>
      <c r="MFK53" s="489"/>
      <c r="MFL53" s="489"/>
      <c r="MFM53" s="489"/>
      <c r="MFN53" s="489"/>
      <c r="MFO53" s="489"/>
      <c r="MFP53" s="489"/>
      <c r="MFQ53" s="489"/>
      <c r="MFR53" s="489"/>
      <c r="MFS53" s="489"/>
      <c r="MFT53" s="489"/>
      <c r="MFU53" s="489"/>
      <c r="MFV53" s="489"/>
      <c r="MFW53" s="489"/>
      <c r="MFX53" s="489"/>
      <c r="MFY53" s="489"/>
      <c r="MFZ53" s="489"/>
      <c r="MGA53" s="489"/>
      <c r="MGB53" s="489"/>
      <c r="MGC53" s="489"/>
      <c r="MGD53" s="489"/>
      <c r="MGE53" s="489"/>
      <c r="MGF53" s="489"/>
      <c r="MGG53" s="489"/>
      <c r="MGH53" s="489"/>
      <c r="MGI53" s="489"/>
      <c r="MGJ53" s="489"/>
      <c r="MGK53" s="489"/>
      <c r="MGL53" s="489"/>
      <c r="MGM53" s="489"/>
      <c r="MGN53" s="489"/>
      <c r="MGO53" s="489"/>
      <c r="MGP53" s="489"/>
      <c r="MGQ53" s="489"/>
      <c r="MGR53" s="489"/>
      <c r="MGS53" s="489"/>
      <c r="MGT53" s="489"/>
      <c r="MGU53" s="489"/>
      <c r="MGV53" s="489"/>
      <c r="MGW53" s="489"/>
      <c r="MGX53" s="489"/>
      <c r="MGY53" s="489"/>
      <c r="MGZ53" s="489"/>
      <c r="MHA53" s="489"/>
      <c r="MHB53" s="489"/>
      <c r="MHC53" s="489"/>
      <c r="MHD53" s="489"/>
      <c r="MHE53" s="489"/>
      <c r="MHF53" s="489"/>
      <c r="MHG53" s="489"/>
      <c r="MHH53" s="489"/>
      <c r="MHI53" s="489"/>
      <c r="MHJ53" s="489"/>
      <c r="MHK53" s="489"/>
      <c r="MHL53" s="489"/>
      <c r="MHM53" s="489"/>
      <c r="MHN53" s="489"/>
      <c r="MHO53" s="489"/>
      <c r="MHP53" s="489"/>
      <c r="MHQ53" s="489"/>
      <c r="MHR53" s="489"/>
      <c r="MHS53" s="489"/>
      <c r="MHT53" s="489"/>
      <c r="MHU53" s="489"/>
      <c r="MHV53" s="489"/>
      <c r="MHW53" s="489"/>
      <c r="MHX53" s="489"/>
      <c r="MHY53" s="489"/>
      <c r="MHZ53" s="489"/>
      <c r="MIA53" s="489"/>
      <c r="MIB53" s="489"/>
      <c r="MIC53" s="489"/>
      <c r="MID53" s="489"/>
      <c r="MIE53" s="489"/>
      <c r="MIF53" s="489"/>
      <c r="MIG53" s="489"/>
      <c r="MIH53" s="489"/>
      <c r="MII53" s="489"/>
      <c r="MIJ53" s="489"/>
      <c r="MIK53" s="489"/>
      <c r="MIL53" s="489"/>
      <c r="MIM53" s="489"/>
      <c r="MIN53" s="489"/>
      <c r="MIO53" s="489"/>
      <c r="MIP53" s="489"/>
      <c r="MIQ53" s="489"/>
      <c r="MIR53" s="489"/>
      <c r="MIS53" s="489"/>
      <c r="MIT53" s="489"/>
      <c r="MIU53" s="489"/>
      <c r="MIV53" s="489"/>
      <c r="MIW53" s="489"/>
      <c r="MIX53" s="489"/>
      <c r="MIY53" s="489"/>
      <c r="MIZ53" s="489"/>
      <c r="MJA53" s="489"/>
      <c r="MJB53" s="489"/>
      <c r="MJC53" s="489"/>
      <c r="MJD53" s="489"/>
      <c r="MJE53" s="489"/>
      <c r="MJF53" s="489"/>
      <c r="MJG53" s="489"/>
      <c r="MJH53" s="489"/>
      <c r="MJI53" s="489"/>
      <c r="MJJ53" s="489"/>
      <c r="MJK53" s="489"/>
      <c r="MJL53" s="489"/>
      <c r="MJM53" s="489"/>
      <c r="MJN53" s="489"/>
      <c r="MJO53" s="489"/>
      <c r="MJP53" s="489"/>
      <c r="MJQ53" s="489"/>
      <c r="MJR53" s="489"/>
      <c r="MJS53" s="489"/>
      <c r="MJT53" s="489"/>
      <c r="MJU53" s="489"/>
      <c r="MJV53" s="489"/>
      <c r="MJW53" s="489"/>
      <c r="MJX53" s="489"/>
      <c r="MJY53" s="489"/>
      <c r="MJZ53" s="489"/>
      <c r="MKA53" s="489"/>
      <c r="MKB53" s="489"/>
      <c r="MKC53" s="489"/>
      <c r="MKD53" s="489"/>
      <c r="MKE53" s="489"/>
      <c r="MKF53" s="489"/>
      <c r="MKG53" s="489"/>
      <c r="MKH53" s="489"/>
      <c r="MKI53" s="489"/>
      <c r="MKJ53" s="489"/>
      <c r="MKK53" s="489"/>
      <c r="MKL53" s="489"/>
      <c r="MKM53" s="489"/>
      <c r="MKN53" s="489"/>
      <c r="MKO53" s="489"/>
      <c r="MKP53" s="489"/>
      <c r="MKQ53" s="489"/>
      <c r="MKR53" s="489"/>
      <c r="MKS53" s="489"/>
      <c r="MKT53" s="489"/>
      <c r="MKU53" s="489"/>
      <c r="MKV53" s="489"/>
      <c r="MKW53" s="489"/>
      <c r="MKX53" s="489"/>
      <c r="MKY53" s="489"/>
      <c r="MKZ53" s="489"/>
      <c r="MLA53" s="489"/>
      <c r="MLB53" s="489"/>
      <c r="MLC53" s="489"/>
      <c r="MLD53" s="489"/>
      <c r="MLE53" s="489"/>
      <c r="MLF53" s="489"/>
      <c r="MLG53" s="489"/>
      <c r="MLH53" s="489"/>
      <c r="MLI53" s="489"/>
      <c r="MLJ53" s="489"/>
      <c r="MLK53" s="489"/>
      <c r="MLL53" s="489"/>
      <c r="MLM53" s="489"/>
      <c r="MLN53" s="489"/>
      <c r="MLO53" s="489"/>
      <c r="MLP53" s="489"/>
      <c r="MLQ53" s="489"/>
      <c r="MLR53" s="489"/>
      <c r="MLS53" s="489"/>
      <c r="MLT53" s="489"/>
      <c r="MLU53" s="489"/>
      <c r="MLV53" s="489"/>
      <c r="MLW53" s="489"/>
      <c r="MLX53" s="489"/>
      <c r="MLY53" s="489"/>
      <c r="MLZ53" s="489"/>
      <c r="MMA53" s="489"/>
      <c r="MMB53" s="489"/>
      <c r="MMC53" s="489"/>
      <c r="MMD53" s="489"/>
      <c r="MME53" s="489"/>
      <c r="MMF53" s="489"/>
      <c r="MMG53" s="489"/>
      <c r="MMH53" s="489"/>
      <c r="MMI53" s="489"/>
      <c r="MMJ53" s="489"/>
      <c r="MMK53" s="489"/>
      <c r="MML53" s="489"/>
      <c r="MMM53" s="489"/>
      <c r="MMN53" s="489"/>
      <c r="MMO53" s="489"/>
      <c r="MMP53" s="489"/>
      <c r="MMQ53" s="489"/>
      <c r="MMR53" s="489"/>
      <c r="MMS53" s="489"/>
      <c r="MMT53" s="489"/>
      <c r="MMU53" s="489"/>
      <c r="MMV53" s="489"/>
      <c r="MMW53" s="489"/>
      <c r="MMX53" s="489"/>
      <c r="MMY53" s="489"/>
      <c r="MMZ53" s="489"/>
      <c r="MNA53" s="489"/>
      <c r="MNB53" s="489"/>
      <c r="MNC53" s="489"/>
      <c r="MND53" s="489"/>
      <c r="MNE53" s="489"/>
      <c r="MNF53" s="489"/>
      <c r="MNG53" s="489"/>
      <c r="MNH53" s="489"/>
      <c r="MNI53" s="489"/>
      <c r="MNJ53" s="489"/>
      <c r="MNK53" s="489"/>
      <c r="MNL53" s="489"/>
      <c r="MNM53" s="489"/>
      <c r="MNN53" s="489"/>
      <c r="MNO53" s="489"/>
      <c r="MNP53" s="489"/>
      <c r="MNQ53" s="489"/>
      <c r="MNR53" s="489"/>
      <c r="MNS53" s="489"/>
      <c r="MNT53" s="489"/>
      <c r="MNU53" s="489"/>
      <c r="MNV53" s="489"/>
      <c r="MNW53" s="489"/>
      <c r="MNX53" s="489"/>
      <c r="MNY53" s="489"/>
      <c r="MNZ53" s="489"/>
      <c r="MOA53" s="489"/>
      <c r="MOB53" s="489"/>
      <c r="MOC53" s="489"/>
      <c r="MOD53" s="489"/>
      <c r="MOE53" s="489"/>
      <c r="MOF53" s="489"/>
      <c r="MOG53" s="489"/>
      <c r="MOH53" s="489"/>
      <c r="MOI53" s="489"/>
      <c r="MOJ53" s="489"/>
      <c r="MOK53" s="489"/>
      <c r="MOL53" s="489"/>
      <c r="MOM53" s="489"/>
      <c r="MON53" s="489"/>
      <c r="MOO53" s="489"/>
      <c r="MOP53" s="489"/>
      <c r="MOQ53" s="489"/>
      <c r="MOR53" s="489"/>
      <c r="MOS53" s="489"/>
      <c r="MOT53" s="489"/>
      <c r="MOU53" s="489"/>
      <c r="MOV53" s="489"/>
      <c r="MOW53" s="489"/>
      <c r="MOX53" s="489"/>
      <c r="MOY53" s="489"/>
      <c r="MOZ53" s="489"/>
      <c r="MPA53" s="489"/>
      <c r="MPB53" s="489"/>
      <c r="MPC53" s="489"/>
      <c r="MPD53" s="489"/>
      <c r="MPE53" s="489"/>
      <c r="MPF53" s="489"/>
      <c r="MPG53" s="489"/>
      <c r="MPH53" s="489"/>
      <c r="MPI53" s="489"/>
      <c r="MPJ53" s="489"/>
      <c r="MPK53" s="489"/>
      <c r="MPL53" s="489"/>
      <c r="MPM53" s="489"/>
      <c r="MPN53" s="489"/>
      <c r="MPO53" s="489"/>
      <c r="MPP53" s="489"/>
      <c r="MPQ53" s="489"/>
      <c r="MPR53" s="489"/>
      <c r="MPS53" s="489"/>
      <c r="MPT53" s="489"/>
      <c r="MPU53" s="489"/>
      <c r="MPV53" s="489"/>
      <c r="MPW53" s="489"/>
      <c r="MPX53" s="489"/>
      <c r="MPY53" s="489"/>
      <c r="MPZ53" s="489"/>
      <c r="MQA53" s="489"/>
      <c r="MQB53" s="489"/>
      <c r="MQC53" s="489"/>
      <c r="MQD53" s="489"/>
      <c r="MQE53" s="489"/>
      <c r="MQF53" s="489"/>
      <c r="MQG53" s="489"/>
      <c r="MQH53" s="489"/>
      <c r="MQI53" s="489"/>
      <c r="MQJ53" s="489"/>
      <c r="MQK53" s="489"/>
      <c r="MQL53" s="489"/>
      <c r="MQM53" s="489"/>
      <c r="MQN53" s="489"/>
      <c r="MQO53" s="489"/>
      <c r="MQP53" s="489"/>
      <c r="MQQ53" s="489"/>
      <c r="MQR53" s="489"/>
      <c r="MQS53" s="489"/>
      <c r="MQT53" s="489"/>
      <c r="MQU53" s="489"/>
      <c r="MQV53" s="489"/>
      <c r="MQW53" s="489"/>
      <c r="MQX53" s="489"/>
      <c r="MQY53" s="489"/>
      <c r="MQZ53" s="489"/>
      <c r="MRA53" s="489"/>
      <c r="MRB53" s="489"/>
      <c r="MRC53" s="489"/>
      <c r="MRD53" s="489"/>
      <c r="MRE53" s="489"/>
      <c r="MRF53" s="489"/>
      <c r="MRG53" s="489"/>
      <c r="MRH53" s="489"/>
      <c r="MRI53" s="489"/>
      <c r="MRJ53" s="489"/>
      <c r="MRK53" s="489"/>
      <c r="MRL53" s="489"/>
      <c r="MRM53" s="489"/>
      <c r="MRN53" s="489"/>
      <c r="MRO53" s="489"/>
      <c r="MRP53" s="489"/>
      <c r="MRQ53" s="489"/>
      <c r="MRR53" s="489"/>
      <c r="MRS53" s="489"/>
      <c r="MRT53" s="489"/>
      <c r="MRU53" s="489"/>
      <c r="MRV53" s="489"/>
      <c r="MRW53" s="489"/>
      <c r="MRX53" s="489"/>
      <c r="MRY53" s="489"/>
      <c r="MRZ53" s="489"/>
      <c r="MSA53" s="489"/>
      <c r="MSB53" s="489"/>
      <c r="MSC53" s="489"/>
      <c r="MSD53" s="489"/>
      <c r="MSE53" s="489"/>
      <c r="MSF53" s="489"/>
      <c r="MSG53" s="489"/>
      <c r="MSH53" s="489"/>
      <c r="MSI53" s="489"/>
      <c r="MSJ53" s="489"/>
      <c r="MSK53" s="489"/>
      <c r="MSL53" s="489"/>
      <c r="MSM53" s="489"/>
      <c r="MSN53" s="489"/>
      <c r="MSO53" s="489"/>
      <c r="MSP53" s="489"/>
      <c r="MSQ53" s="489"/>
      <c r="MSR53" s="489"/>
      <c r="MSS53" s="489"/>
      <c r="MST53" s="489"/>
      <c r="MSU53" s="489"/>
      <c r="MSV53" s="489"/>
      <c r="MSW53" s="489"/>
      <c r="MSX53" s="489"/>
      <c r="MSY53" s="489"/>
      <c r="MSZ53" s="489"/>
      <c r="MTA53" s="489"/>
      <c r="MTB53" s="489"/>
      <c r="MTC53" s="489"/>
      <c r="MTD53" s="489"/>
      <c r="MTE53" s="489"/>
      <c r="MTF53" s="489"/>
      <c r="MTG53" s="489"/>
      <c r="MTH53" s="489"/>
      <c r="MTI53" s="489"/>
      <c r="MTJ53" s="489"/>
      <c r="MTK53" s="489"/>
      <c r="MTL53" s="489"/>
      <c r="MTM53" s="489"/>
      <c r="MTN53" s="489"/>
      <c r="MTO53" s="489"/>
      <c r="MTP53" s="489"/>
      <c r="MTQ53" s="489"/>
      <c r="MTR53" s="489"/>
      <c r="MTS53" s="489"/>
      <c r="MTT53" s="489"/>
      <c r="MTU53" s="489"/>
      <c r="MTV53" s="489"/>
      <c r="MTW53" s="489"/>
      <c r="MTX53" s="489"/>
      <c r="MTY53" s="489"/>
      <c r="MTZ53" s="489"/>
      <c r="MUA53" s="489"/>
      <c r="MUB53" s="489"/>
      <c r="MUC53" s="489"/>
      <c r="MUD53" s="489"/>
      <c r="MUE53" s="489"/>
      <c r="MUF53" s="489"/>
      <c r="MUG53" s="489"/>
      <c r="MUH53" s="489"/>
      <c r="MUI53" s="489"/>
      <c r="MUJ53" s="489"/>
      <c r="MUK53" s="489"/>
      <c r="MUL53" s="489"/>
      <c r="MUM53" s="489"/>
      <c r="MUN53" s="489"/>
      <c r="MUO53" s="489"/>
      <c r="MUP53" s="489"/>
      <c r="MUQ53" s="489"/>
      <c r="MUR53" s="489"/>
      <c r="MUS53" s="489"/>
      <c r="MUT53" s="489"/>
      <c r="MUU53" s="489"/>
      <c r="MUV53" s="489"/>
      <c r="MUW53" s="489"/>
      <c r="MUX53" s="489"/>
      <c r="MUY53" s="489"/>
      <c r="MUZ53" s="489"/>
      <c r="MVA53" s="489"/>
      <c r="MVB53" s="489"/>
      <c r="MVC53" s="489"/>
      <c r="MVD53" s="489"/>
      <c r="MVE53" s="489"/>
      <c r="MVF53" s="489"/>
      <c r="MVG53" s="489"/>
      <c r="MVH53" s="489"/>
      <c r="MVI53" s="489"/>
      <c r="MVJ53" s="489"/>
      <c r="MVK53" s="489"/>
      <c r="MVL53" s="489"/>
      <c r="MVM53" s="489"/>
      <c r="MVN53" s="489"/>
      <c r="MVO53" s="489"/>
      <c r="MVP53" s="489"/>
      <c r="MVQ53" s="489"/>
      <c r="MVR53" s="489"/>
      <c r="MVS53" s="489"/>
      <c r="MVT53" s="489"/>
      <c r="MVU53" s="489"/>
      <c r="MVV53" s="489"/>
      <c r="MVW53" s="489"/>
      <c r="MVX53" s="489"/>
      <c r="MVY53" s="489"/>
      <c r="MVZ53" s="489"/>
      <c r="MWA53" s="489"/>
      <c r="MWB53" s="489"/>
      <c r="MWC53" s="489"/>
      <c r="MWD53" s="489"/>
      <c r="MWE53" s="489"/>
      <c r="MWF53" s="489"/>
      <c r="MWG53" s="489"/>
      <c r="MWH53" s="489"/>
      <c r="MWI53" s="489"/>
      <c r="MWJ53" s="489"/>
      <c r="MWK53" s="489"/>
      <c r="MWL53" s="489"/>
      <c r="MWM53" s="489"/>
      <c r="MWN53" s="489"/>
      <c r="MWO53" s="489"/>
      <c r="MWP53" s="489"/>
      <c r="MWQ53" s="489"/>
      <c r="MWR53" s="489"/>
      <c r="MWS53" s="489"/>
      <c r="MWT53" s="489"/>
      <c r="MWU53" s="489"/>
      <c r="MWV53" s="489"/>
      <c r="MWW53" s="489"/>
      <c r="MWX53" s="489"/>
      <c r="MWY53" s="489"/>
      <c r="MWZ53" s="489"/>
      <c r="MXA53" s="489"/>
      <c r="MXB53" s="489"/>
      <c r="MXC53" s="489"/>
      <c r="MXD53" s="489"/>
      <c r="MXE53" s="489"/>
      <c r="MXF53" s="489"/>
      <c r="MXG53" s="489"/>
      <c r="MXH53" s="489"/>
      <c r="MXI53" s="489"/>
      <c r="MXJ53" s="489"/>
      <c r="MXK53" s="489"/>
      <c r="MXL53" s="489"/>
      <c r="MXM53" s="489"/>
      <c r="MXN53" s="489"/>
      <c r="MXO53" s="489"/>
      <c r="MXP53" s="489"/>
      <c r="MXQ53" s="489"/>
      <c r="MXR53" s="489"/>
      <c r="MXS53" s="489"/>
      <c r="MXT53" s="489"/>
      <c r="MXU53" s="489"/>
      <c r="MXV53" s="489"/>
      <c r="MXW53" s="489"/>
      <c r="MXX53" s="489"/>
      <c r="MXY53" s="489"/>
      <c r="MXZ53" s="489"/>
      <c r="MYA53" s="489"/>
      <c r="MYB53" s="489"/>
      <c r="MYC53" s="489"/>
      <c r="MYD53" s="489"/>
      <c r="MYE53" s="489"/>
      <c r="MYF53" s="489"/>
      <c r="MYG53" s="489"/>
      <c r="MYH53" s="489"/>
      <c r="MYI53" s="489"/>
      <c r="MYJ53" s="489"/>
      <c r="MYK53" s="489"/>
      <c r="MYL53" s="489"/>
      <c r="MYM53" s="489"/>
      <c r="MYN53" s="489"/>
      <c r="MYO53" s="489"/>
      <c r="MYP53" s="489"/>
      <c r="MYQ53" s="489"/>
      <c r="MYR53" s="489"/>
      <c r="MYS53" s="489"/>
      <c r="MYT53" s="489"/>
      <c r="MYU53" s="489"/>
      <c r="MYV53" s="489"/>
      <c r="MYW53" s="489"/>
      <c r="MYX53" s="489"/>
      <c r="MYY53" s="489"/>
      <c r="MYZ53" s="489"/>
      <c r="MZA53" s="489"/>
      <c r="MZB53" s="489"/>
      <c r="MZC53" s="489"/>
      <c r="MZD53" s="489"/>
      <c r="MZE53" s="489"/>
      <c r="MZF53" s="489"/>
      <c r="MZG53" s="489"/>
      <c r="MZH53" s="489"/>
      <c r="MZI53" s="489"/>
      <c r="MZJ53" s="489"/>
      <c r="MZK53" s="489"/>
      <c r="MZL53" s="489"/>
      <c r="MZM53" s="489"/>
      <c r="MZN53" s="489"/>
      <c r="MZO53" s="489"/>
      <c r="MZP53" s="489"/>
      <c r="MZQ53" s="489"/>
      <c r="MZR53" s="489"/>
      <c r="MZS53" s="489"/>
      <c r="MZT53" s="489"/>
      <c r="MZU53" s="489"/>
      <c r="MZV53" s="489"/>
      <c r="MZW53" s="489"/>
      <c r="MZX53" s="489"/>
      <c r="MZY53" s="489"/>
      <c r="MZZ53" s="489"/>
      <c r="NAA53" s="489"/>
      <c r="NAB53" s="489"/>
      <c r="NAC53" s="489"/>
      <c r="NAD53" s="489"/>
      <c r="NAE53" s="489"/>
      <c r="NAF53" s="489"/>
      <c r="NAG53" s="489"/>
      <c r="NAH53" s="489"/>
      <c r="NAI53" s="489"/>
      <c r="NAJ53" s="489"/>
      <c r="NAK53" s="489"/>
      <c r="NAL53" s="489"/>
      <c r="NAM53" s="489"/>
      <c r="NAN53" s="489"/>
      <c r="NAO53" s="489"/>
      <c r="NAP53" s="489"/>
      <c r="NAQ53" s="489"/>
      <c r="NAR53" s="489"/>
      <c r="NAS53" s="489"/>
      <c r="NAT53" s="489"/>
      <c r="NAU53" s="489"/>
      <c r="NAV53" s="489"/>
      <c r="NAW53" s="489"/>
      <c r="NAX53" s="489"/>
      <c r="NAY53" s="489"/>
      <c r="NAZ53" s="489"/>
      <c r="NBA53" s="489"/>
      <c r="NBB53" s="489"/>
      <c r="NBC53" s="489"/>
      <c r="NBD53" s="489"/>
      <c r="NBE53" s="489"/>
      <c r="NBF53" s="489"/>
      <c r="NBG53" s="489"/>
      <c r="NBH53" s="489"/>
      <c r="NBI53" s="489"/>
      <c r="NBJ53" s="489"/>
      <c r="NBK53" s="489"/>
      <c r="NBL53" s="489"/>
      <c r="NBM53" s="489"/>
      <c r="NBN53" s="489"/>
      <c r="NBO53" s="489"/>
      <c r="NBP53" s="489"/>
      <c r="NBQ53" s="489"/>
      <c r="NBR53" s="489"/>
      <c r="NBS53" s="489"/>
      <c r="NBT53" s="489"/>
      <c r="NBU53" s="489"/>
      <c r="NBV53" s="489"/>
      <c r="NBW53" s="489"/>
      <c r="NBX53" s="489"/>
      <c r="NBY53" s="489"/>
      <c r="NBZ53" s="489"/>
      <c r="NCA53" s="489"/>
      <c r="NCB53" s="489"/>
      <c r="NCC53" s="489"/>
      <c r="NCD53" s="489"/>
      <c r="NCE53" s="489"/>
      <c r="NCF53" s="489"/>
      <c r="NCG53" s="489"/>
      <c r="NCH53" s="489"/>
      <c r="NCI53" s="489"/>
      <c r="NCJ53" s="489"/>
      <c r="NCK53" s="489"/>
      <c r="NCL53" s="489"/>
      <c r="NCM53" s="489"/>
      <c r="NCN53" s="489"/>
      <c r="NCO53" s="489"/>
      <c r="NCP53" s="489"/>
      <c r="NCQ53" s="489"/>
      <c r="NCR53" s="489"/>
      <c r="NCS53" s="489"/>
      <c r="NCT53" s="489"/>
      <c r="NCU53" s="489"/>
      <c r="NCV53" s="489"/>
      <c r="NCW53" s="489"/>
      <c r="NCX53" s="489"/>
      <c r="NCY53" s="489"/>
      <c r="NCZ53" s="489"/>
      <c r="NDA53" s="489"/>
      <c r="NDB53" s="489"/>
      <c r="NDC53" s="489"/>
      <c r="NDD53" s="489"/>
      <c r="NDE53" s="489"/>
      <c r="NDF53" s="489"/>
      <c r="NDG53" s="489"/>
      <c r="NDH53" s="489"/>
      <c r="NDI53" s="489"/>
      <c r="NDJ53" s="489"/>
      <c r="NDK53" s="489"/>
      <c r="NDL53" s="489"/>
      <c r="NDM53" s="489"/>
      <c r="NDN53" s="489"/>
      <c r="NDO53" s="489"/>
      <c r="NDP53" s="489"/>
      <c r="NDQ53" s="489"/>
      <c r="NDR53" s="489"/>
      <c r="NDS53" s="489"/>
      <c r="NDT53" s="489"/>
      <c r="NDU53" s="489"/>
      <c r="NDV53" s="489"/>
      <c r="NDW53" s="489"/>
      <c r="NDX53" s="489"/>
      <c r="NDY53" s="489"/>
      <c r="NDZ53" s="489"/>
      <c r="NEA53" s="489"/>
      <c r="NEB53" s="489"/>
      <c r="NEC53" s="489"/>
      <c r="NED53" s="489"/>
      <c r="NEE53" s="489"/>
      <c r="NEF53" s="489"/>
      <c r="NEG53" s="489"/>
      <c r="NEH53" s="489"/>
      <c r="NEI53" s="489"/>
      <c r="NEJ53" s="489"/>
      <c r="NEK53" s="489"/>
      <c r="NEL53" s="489"/>
      <c r="NEM53" s="489"/>
      <c r="NEN53" s="489"/>
      <c r="NEO53" s="489"/>
      <c r="NEP53" s="489"/>
      <c r="NEQ53" s="489"/>
      <c r="NER53" s="489"/>
      <c r="NES53" s="489"/>
      <c r="NET53" s="489"/>
      <c r="NEU53" s="489"/>
      <c r="NEV53" s="489"/>
      <c r="NEW53" s="489"/>
      <c r="NEX53" s="489"/>
      <c r="NEY53" s="489"/>
      <c r="NEZ53" s="489"/>
      <c r="NFA53" s="489"/>
      <c r="NFB53" s="489"/>
      <c r="NFC53" s="489"/>
      <c r="NFD53" s="489"/>
      <c r="NFE53" s="489"/>
      <c r="NFF53" s="489"/>
      <c r="NFG53" s="489"/>
      <c r="NFH53" s="489"/>
      <c r="NFI53" s="489"/>
      <c r="NFJ53" s="489"/>
      <c r="NFK53" s="489"/>
      <c r="NFL53" s="489"/>
      <c r="NFM53" s="489"/>
      <c r="NFN53" s="489"/>
      <c r="NFO53" s="489"/>
      <c r="NFP53" s="489"/>
      <c r="NFQ53" s="489"/>
      <c r="NFR53" s="489"/>
      <c r="NFS53" s="489"/>
      <c r="NFT53" s="489"/>
      <c r="NFU53" s="489"/>
      <c r="NFV53" s="489"/>
      <c r="NFW53" s="489"/>
      <c r="NFX53" s="489"/>
      <c r="NFY53" s="489"/>
      <c r="NFZ53" s="489"/>
      <c r="NGA53" s="489"/>
      <c r="NGB53" s="489"/>
      <c r="NGC53" s="489"/>
      <c r="NGD53" s="489"/>
      <c r="NGE53" s="489"/>
      <c r="NGF53" s="489"/>
      <c r="NGG53" s="489"/>
      <c r="NGH53" s="489"/>
      <c r="NGI53" s="489"/>
      <c r="NGJ53" s="489"/>
      <c r="NGK53" s="489"/>
      <c r="NGL53" s="489"/>
      <c r="NGM53" s="489"/>
      <c r="NGN53" s="489"/>
      <c r="NGO53" s="489"/>
      <c r="NGP53" s="489"/>
      <c r="NGQ53" s="489"/>
      <c r="NGR53" s="489"/>
      <c r="NGS53" s="489"/>
      <c r="NGT53" s="489"/>
      <c r="NGU53" s="489"/>
      <c r="NGV53" s="489"/>
      <c r="NGW53" s="489"/>
      <c r="NGX53" s="489"/>
      <c r="NGY53" s="489"/>
      <c r="NGZ53" s="489"/>
      <c r="NHA53" s="489"/>
      <c r="NHB53" s="489"/>
      <c r="NHC53" s="489"/>
      <c r="NHD53" s="489"/>
      <c r="NHE53" s="489"/>
      <c r="NHF53" s="489"/>
      <c r="NHG53" s="489"/>
      <c r="NHH53" s="489"/>
      <c r="NHI53" s="489"/>
      <c r="NHJ53" s="489"/>
      <c r="NHK53" s="489"/>
      <c r="NHL53" s="489"/>
      <c r="NHM53" s="489"/>
      <c r="NHN53" s="489"/>
      <c r="NHO53" s="489"/>
      <c r="NHP53" s="489"/>
      <c r="NHQ53" s="489"/>
      <c r="NHR53" s="489"/>
      <c r="NHS53" s="489"/>
      <c r="NHT53" s="489"/>
      <c r="NHU53" s="489"/>
      <c r="NHV53" s="489"/>
      <c r="NHW53" s="489"/>
      <c r="NHX53" s="489"/>
      <c r="NHY53" s="489"/>
      <c r="NHZ53" s="489"/>
      <c r="NIA53" s="489"/>
      <c r="NIB53" s="489"/>
      <c r="NIC53" s="489"/>
      <c r="NID53" s="489"/>
      <c r="NIE53" s="489"/>
      <c r="NIF53" s="489"/>
      <c r="NIG53" s="489"/>
      <c r="NIH53" s="489"/>
      <c r="NII53" s="489"/>
      <c r="NIJ53" s="489"/>
      <c r="NIK53" s="489"/>
      <c r="NIL53" s="489"/>
      <c r="NIM53" s="489"/>
      <c r="NIN53" s="489"/>
      <c r="NIO53" s="489"/>
      <c r="NIP53" s="489"/>
      <c r="NIQ53" s="489"/>
      <c r="NIR53" s="489"/>
      <c r="NIS53" s="489"/>
      <c r="NIT53" s="489"/>
      <c r="NIU53" s="489"/>
      <c r="NIV53" s="489"/>
      <c r="NIW53" s="489"/>
      <c r="NIX53" s="489"/>
      <c r="NIY53" s="489"/>
      <c r="NIZ53" s="489"/>
      <c r="NJA53" s="489"/>
      <c r="NJB53" s="489"/>
      <c r="NJC53" s="489"/>
      <c r="NJD53" s="489"/>
      <c r="NJE53" s="489"/>
      <c r="NJF53" s="489"/>
      <c r="NJG53" s="489"/>
      <c r="NJH53" s="489"/>
      <c r="NJI53" s="489"/>
      <c r="NJJ53" s="489"/>
      <c r="NJK53" s="489"/>
      <c r="NJL53" s="489"/>
      <c r="NJM53" s="489"/>
      <c r="NJN53" s="489"/>
      <c r="NJO53" s="489"/>
      <c r="NJP53" s="489"/>
      <c r="NJQ53" s="489"/>
      <c r="NJR53" s="489"/>
      <c r="NJS53" s="489"/>
      <c r="NJT53" s="489"/>
      <c r="NJU53" s="489"/>
      <c r="NJV53" s="489"/>
      <c r="NJW53" s="489"/>
      <c r="NJX53" s="489"/>
      <c r="NJY53" s="489"/>
      <c r="NJZ53" s="489"/>
      <c r="NKA53" s="489"/>
      <c r="NKB53" s="489"/>
      <c r="NKC53" s="489"/>
      <c r="NKD53" s="489"/>
      <c r="NKE53" s="489"/>
      <c r="NKF53" s="489"/>
      <c r="NKG53" s="489"/>
      <c r="NKH53" s="489"/>
      <c r="NKI53" s="489"/>
      <c r="NKJ53" s="489"/>
      <c r="NKK53" s="489"/>
      <c r="NKL53" s="489"/>
      <c r="NKM53" s="489"/>
      <c r="NKN53" s="489"/>
      <c r="NKO53" s="489"/>
      <c r="NKP53" s="489"/>
      <c r="NKQ53" s="489"/>
      <c r="NKR53" s="489"/>
      <c r="NKS53" s="489"/>
      <c r="NKT53" s="489"/>
      <c r="NKU53" s="489"/>
      <c r="NKV53" s="489"/>
      <c r="NKW53" s="489"/>
      <c r="NKX53" s="489"/>
      <c r="NKY53" s="489"/>
      <c r="NKZ53" s="489"/>
      <c r="NLA53" s="489"/>
      <c r="NLB53" s="489"/>
      <c r="NLC53" s="489"/>
      <c r="NLD53" s="489"/>
      <c r="NLE53" s="489"/>
      <c r="NLF53" s="489"/>
      <c r="NLG53" s="489"/>
      <c r="NLH53" s="489"/>
      <c r="NLI53" s="489"/>
      <c r="NLJ53" s="489"/>
      <c r="NLK53" s="489"/>
      <c r="NLL53" s="489"/>
      <c r="NLM53" s="489"/>
      <c r="NLN53" s="489"/>
      <c r="NLO53" s="489"/>
      <c r="NLP53" s="489"/>
      <c r="NLQ53" s="489"/>
      <c r="NLR53" s="489"/>
      <c r="NLS53" s="489"/>
      <c r="NLT53" s="489"/>
      <c r="NLU53" s="489"/>
      <c r="NLV53" s="489"/>
      <c r="NLW53" s="489"/>
      <c r="NLX53" s="489"/>
      <c r="NLY53" s="489"/>
      <c r="NLZ53" s="489"/>
      <c r="NMA53" s="489"/>
      <c r="NMB53" s="489"/>
      <c r="NMC53" s="489"/>
      <c r="NMD53" s="489"/>
      <c r="NME53" s="489"/>
      <c r="NMF53" s="489"/>
      <c r="NMG53" s="489"/>
      <c r="NMH53" s="489"/>
      <c r="NMI53" s="489"/>
      <c r="NMJ53" s="489"/>
      <c r="NMK53" s="489"/>
      <c r="NML53" s="489"/>
      <c r="NMM53" s="489"/>
      <c r="NMN53" s="489"/>
      <c r="NMO53" s="489"/>
      <c r="NMP53" s="489"/>
      <c r="NMQ53" s="489"/>
      <c r="NMR53" s="489"/>
      <c r="NMS53" s="489"/>
      <c r="NMT53" s="489"/>
      <c r="NMU53" s="489"/>
      <c r="NMV53" s="489"/>
      <c r="NMW53" s="489"/>
      <c r="NMX53" s="489"/>
      <c r="NMY53" s="489"/>
      <c r="NMZ53" s="489"/>
      <c r="NNA53" s="489"/>
      <c r="NNB53" s="489"/>
      <c r="NNC53" s="489"/>
      <c r="NND53" s="489"/>
      <c r="NNE53" s="489"/>
      <c r="NNF53" s="489"/>
      <c r="NNG53" s="489"/>
      <c r="NNH53" s="489"/>
      <c r="NNI53" s="489"/>
      <c r="NNJ53" s="489"/>
      <c r="NNK53" s="489"/>
      <c r="NNL53" s="489"/>
      <c r="NNM53" s="489"/>
      <c r="NNN53" s="489"/>
      <c r="NNO53" s="489"/>
      <c r="NNP53" s="489"/>
      <c r="NNQ53" s="489"/>
      <c r="NNR53" s="489"/>
      <c r="NNS53" s="489"/>
      <c r="NNT53" s="489"/>
      <c r="NNU53" s="489"/>
      <c r="NNV53" s="489"/>
      <c r="NNW53" s="489"/>
      <c r="NNX53" s="489"/>
      <c r="NNY53" s="489"/>
      <c r="NNZ53" s="489"/>
      <c r="NOA53" s="489"/>
      <c r="NOB53" s="489"/>
      <c r="NOC53" s="489"/>
      <c r="NOD53" s="489"/>
      <c r="NOE53" s="489"/>
      <c r="NOF53" s="489"/>
      <c r="NOG53" s="489"/>
      <c r="NOH53" s="489"/>
      <c r="NOI53" s="489"/>
      <c r="NOJ53" s="489"/>
      <c r="NOK53" s="489"/>
      <c r="NOL53" s="489"/>
      <c r="NOM53" s="489"/>
      <c r="NON53" s="489"/>
      <c r="NOO53" s="489"/>
      <c r="NOP53" s="489"/>
      <c r="NOQ53" s="489"/>
      <c r="NOR53" s="489"/>
      <c r="NOS53" s="489"/>
      <c r="NOT53" s="489"/>
      <c r="NOU53" s="489"/>
      <c r="NOV53" s="489"/>
      <c r="NOW53" s="489"/>
      <c r="NOX53" s="489"/>
      <c r="NOY53" s="489"/>
      <c r="NOZ53" s="489"/>
      <c r="NPA53" s="489"/>
      <c r="NPB53" s="489"/>
      <c r="NPC53" s="489"/>
      <c r="NPD53" s="489"/>
      <c r="NPE53" s="489"/>
      <c r="NPF53" s="489"/>
      <c r="NPG53" s="489"/>
      <c r="NPH53" s="489"/>
      <c r="NPI53" s="489"/>
      <c r="NPJ53" s="489"/>
      <c r="NPK53" s="489"/>
      <c r="NPL53" s="489"/>
      <c r="NPM53" s="489"/>
      <c r="NPN53" s="489"/>
      <c r="NPO53" s="489"/>
      <c r="NPP53" s="489"/>
      <c r="NPQ53" s="489"/>
      <c r="NPR53" s="489"/>
      <c r="NPS53" s="489"/>
      <c r="NPT53" s="489"/>
      <c r="NPU53" s="489"/>
      <c r="NPV53" s="489"/>
      <c r="NPW53" s="489"/>
      <c r="NPX53" s="489"/>
      <c r="NPY53" s="489"/>
      <c r="NPZ53" s="489"/>
      <c r="NQA53" s="489"/>
      <c r="NQB53" s="489"/>
      <c r="NQC53" s="489"/>
      <c r="NQD53" s="489"/>
      <c r="NQE53" s="489"/>
      <c r="NQF53" s="489"/>
      <c r="NQG53" s="489"/>
      <c r="NQH53" s="489"/>
      <c r="NQI53" s="489"/>
      <c r="NQJ53" s="489"/>
      <c r="NQK53" s="489"/>
      <c r="NQL53" s="489"/>
      <c r="NQM53" s="489"/>
      <c r="NQN53" s="489"/>
      <c r="NQO53" s="489"/>
      <c r="NQP53" s="489"/>
      <c r="NQQ53" s="489"/>
      <c r="NQR53" s="489"/>
      <c r="NQS53" s="489"/>
      <c r="NQT53" s="489"/>
      <c r="NQU53" s="489"/>
      <c r="NQV53" s="489"/>
      <c r="NQW53" s="489"/>
      <c r="NQX53" s="489"/>
      <c r="NQY53" s="489"/>
      <c r="NQZ53" s="489"/>
      <c r="NRA53" s="489"/>
      <c r="NRB53" s="489"/>
      <c r="NRC53" s="489"/>
      <c r="NRD53" s="489"/>
      <c r="NRE53" s="489"/>
      <c r="NRF53" s="489"/>
      <c r="NRG53" s="489"/>
      <c r="NRH53" s="489"/>
      <c r="NRI53" s="489"/>
      <c r="NRJ53" s="489"/>
      <c r="NRK53" s="489"/>
      <c r="NRL53" s="489"/>
      <c r="NRM53" s="489"/>
      <c r="NRN53" s="489"/>
      <c r="NRO53" s="489"/>
      <c r="NRP53" s="489"/>
      <c r="NRQ53" s="489"/>
      <c r="NRR53" s="489"/>
      <c r="NRS53" s="489"/>
      <c r="NRT53" s="489"/>
      <c r="NRU53" s="489"/>
      <c r="NRV53" s="489"/>
      <c r="NRW53" s="489"/>
      <c r="NRX53" s="489"/>
      <c r="NRY53" s="489"/>
      <c r="NRZ53" s="489"/>
      <c r="NSA53" s="489"/>
      <c r="NSB53" s="489"/>
      <c r="NSC53" s="489"/>
      <c r="NSD53" s="489"/>
      <c r="NSE53" s="489"/>
      <c r="NSF53" s="489"/>
      <c r="NSG53" s="489"/>
      <c r="NSH53" s="489"/>
      <c r="NSI53" s="489"/>
      <c r="NSJ53" s="489"/>
      <c r="NSK53" s="489"/>
      <c r="NSL53" s="489"/>
      <c r="NSM53" s="489"/>
      <c r="NSN53" s="489"/>
      <c r="NSO53" s="489"/>
      <c r="NSP53" s="489"/>
      <c r="NSQ53" s="489"/>
      <c r="NSR53" s="489"/>
      <c r="NSS53" s="489"/>
      <c r="NST53" s="489"/>
      <c r="NSU53" s="489"/>
      <c r="NSV53" s="489"/>
      <c r="NSW53" s="489"/>
      <c r="NSX53" s="489"/>
      <c r="NSY53" s="489"/>
      <c r="NSZ53" s="489"/>
      <c r="NTA53" s="489"/>
      <c r="NTB53" s="489"/>
      <c r="NTC53" s="489"/>
      <c r="NTD53" s="489"/>
      <c r="NTE53" s="489"/>
      <c r="NTF53" s="489"/>
      <c r="NTG53" s="489"/>
      <c r="NTH53" s="489"/>
      <c r="NTI53" s="489"/>
      <c r="NTJ53" s="489"/>
      <c r="NTK53" s="489"/>
      <c r="NTL53" s="489"/>
      <c r="NTM53" s="489"/>
      <c r="NTN53" s="489"/>
      <c r="NTO53" s="489"/>
      <c r="NTP53" s="489"/>
      <c r="NTQ53" s="489"/>
      <c r="NTR53" s="489"/>
      <c r="NTS53" s="489"/>
      <c r="NTT53" s="489"/>
      <c r="NTU53" s="489"/>
      <c r="NTV53" s="489"/>
      <c r="NTW53" s="489"/>
      <c r="NTX53" s="489"/>
      <c r="NTY53" s="489"/>
      <c r="NTZ53" s="489"/>
      <c r="NUA53" s="489"/>
      <c r="NUB53" s="489"/>
      <c r="NUC53" s="489"/>
      <c r="NUD53" s="489"/>
      <c r="NUE53" s="489"/>
      <c r="NUF53" s="489"/>
      <c r="NUG53" s="489"/>
      <c r="NUH53" s="489"/>
      <c r="NUI53" s="489"/>
      <c r="NUJ53" s="489"/>
      <c r="NUK53" s="489"/>
      <c r="NUL53" s="489"/>
      <c r="NUM53" s="489"/>
      <c r="NUN53" s="489"/>
      <c r="NUO53" s="489"/>
      <c r="NUP53" s="489"/>
      <c r="NUQ53" s="489"/>
      <c r="NUR53" s="489"/>
      <c r="NUS53" s="489"/>
      <c r="NUT53" s="489"/>
      <c r="NUU53" s="489"/>
      <c r="NUV53" s="489"/>
      <c r="NUW53" s="489"/>
      <c r="NUX53" s="489"/>
      <c r="NUY53" s="489"/>
      <c r="NUZ53" s="489"/>
      <c r="NVA53" s="489"/>
      <c r="NVB53" s="489"/>
      <c r="NVC53" s="489"/>
      <c r="NVD53" s="489"/>
      <c r="NVE53" s="489"/>
      <c r="NVF53" s="489"/>
      <c r="NVG53" s="489"/>
      <c r="NVH53" s="489"/>
      <c r="NVI53" s="489"/>
      <c r="NVJ53" s="489"/>
      <c r="NVK53" s="489"/>
      <c r="NVL53" s="489"/>
      <c r="NVM53" s="489"/>
      <c r="NVN53" s="489"/>
      <c r="NVO53" s="489"/>
      <c r="NVP53" s="489"/>
      <c r="NVQ53" s="489"/>
      <c r="NVR53" s="489"/>
      <c r="NVS53" s="489"/>
      <c r="NVT53" s="489"/>
      <c r="NVU53" s="489"/>
      <c r="NVV53" s="489"/>
      <c r="NVW53" s="489"/>
      <c r="NVX53" s="489"/>
      <c r="NVY53" s="489"/>
      <c r="NVZ53" s="489"/>
      <c r="NWA53" s="489"/>
      <c r="NWB53" s="489"/>
      <c r="NWC53" s="489"/>
      <c r="NWD53" s="489"/>
      <c r="NWE53" s="489"/>
      <c r="NWF53" s="489"/>
      <c r="NWG53" s="489"/>
      <c r="NWH53" s="489"/>
      <c r="NWI53" s="489"/>
      <c r="NWJ53" s="489"/>
      <c r="NWK53" s="489"/>
      <c r="NWL53" s="489"/>
      <c r="NWM53" s="489"/>
      <c r="NWN53" s="489"/>
      <c r="NWO53" s="489"/>
      <c r="NWP53" s="489"/>
      <c r="NWQ53" s="489"/>
      <c r="NWR53" s="489"/>
      <c r="NWS53" s="489"/>
      <c r="NWT53" s="489"/>
      <c r="NWU53" s="489"/>
      <c r="NWV53" s="489"/>
      <c r="NWW53" s="489"/>
      <c r="NWX53" s="489"/>
      <c r="NWY53" s="489"/>
      <c r="NWZ53" s="489"/>
      <c r="NXA53" s="489"/>
      <c r="NXB53" s="489"/>
      <c r="NXC53" s="489"/>
      <c r="NXD53" s="489"/>
      <c r="NXE53" s="489"/>
      <c r="NXF53" s="489"/>
      <c r="NXG53" s="489"/>
      <c r="NXH53" s="489"/>
      <c r="NXI53" s="489"/>
      <c r="NXJ53" s="489"/>
      <c r="NXK53" s="489"/>
      <c r="NXL53" s="489"/>
      <c r="NXM53" s="489"/>
      <c r="NXN53" s="489"/>
      <c r="NXO53" s="489"/>
      <c r="NXP53" s="489"/>
      <c r="NXQ53" s="489"/>
      <c r="NXR53" s="489"/>
      <c r="NXS53" s="489"/>
      <c r="NXT53" s="489"/>
      <c r="NXU53" s="489"/>
      <c r="NXV53" s="489"/>
      <c r="NXW53" s="489"/>
      <c r="NXX53" s="489"/>
      <c r="NXY53" s="489"/>
      <c r="NXZ53" s="489"/>
      <c r="NYA53" s="489"/>
      <c r="NYB53" s="489"/>
      <c r="NYC53" s="489"/>
      <c r="NYD53" s="489"/>
      <c r="NYE53" s="489"/>
      <c r="NYF53" s="489"/>
      <c r="NYG53" s="489"/>
      <c r="NYH53" s="489"/>
      <c r="NYI53" s="489"/>
      <c r="NYJ53" s="489"/>
      <c r="NYK53" s="489"/>
      <c r="NYL53" s="489"/>
      <c r="NYM53" s="489"/>
      <c r="NYN53" s="489"/>
      <c r="NYO53" s="489"/>
      <c r="NYP53" s="489"/>
      <c r="NYQ53" s="489"/>
      <c r="NYR53" s="489"/>
      <c r="NYS53" s="489"/>
      <c r="NYT53" s="489"/>
      <c r="NYU53" s="489"/>
      <c r="NYV53" s="489"/>
      <c r="NYW53" s="489"/>
      <c r="NYX53" s="489"/>
      <c r="NYY53" s="489"/>
      <c r="NYZ53" s="489"/>
      <c r="NZA53" s="489"/>
      <c r="NZB53" s="489"/>
      <c r="NZC53" s="489"/>
      <c r="NZD53" s="489"/>
      <c r="NZE53" s="489"/>
      <c r="NZF53" s="489"/>
      <c r="NZG53" s="489"/>
      <c r="NZH53" s="489"/>
      <c r="NZI53" s="489"/>
      <c r="NZJ53" s="489"/>
      <c r="NZK53" s="489"/>
      <c r="NZL53" s="489"/>
      <c r="NZM53" s="489"/>
      <c r="NZN53" s="489"/>
      <c r="NZO53" s="489"/>
      <c r="NZP53" s="489"/>
      <c r="NZQ53" s="489"/>
      <c r="NZR53" s="489"/>
      <c r="NZS53" s="489"/>
      <c r="NZT53" s="489"/>
      <c r="NZU53" s="489"/>
      <c r="NZV53" s="489"/>
      <c r="NZW53" s="489"/>
      <c r="NZX53" s="489"/>
      <c r="NZY53" s="489"/>
      <c r="NZZ53" s="489"/>
      <c r="OAA53" s="489"/>
      <c r="OAB53" s="489"/>
      <c r="OAC53" s="489"/>
      <c r="OAD53" s="489"/>
      <c r="OAE53" s="489"/>
      <c r="OAF53" s="489"/>
      <c r="OAG53" s="489"/>
      <c r="OAH53" s="489"/>
      <c r="OAI53" s="489"/>
      <c r="OAJ53" s="489"/>
      <c r="OAK53" s="489"/>
      <c r="OAL53" s="489"/>
      <c r="OAM53" s="489"/>
      <c r="OAN53" s="489"/>
      <c r="OAO53" s="489"/>
      <c r="OAP53" s="489"/>
      <c r="OAQ53" s="489"/>
      <c r="OAR53" s="489"/>
      <c r="OAS53" s="489"/>
      <c r="OAT53" s="489"/>
      <c r="OAU53" s="489"/>
      <c r="OAV53" s="489"/>
      <c r="OAW53" s="489"/>
      <c r="OAX53" s="489"/>
      <c r="OAY53" s="489"/>
      <c r="OAZ53" s="489"/>
      <c r="OBA53" s="489"/>
      <c r="OBB53" s="489"/>
      <c r="OBC53" s="489"/>
      <c r="OBD53" s="489"/>
      <c r="OBE53" s="489"/>
      <c r="OBF53" s="489"/>
      <c r="OBG53" s="489"/>
      <c r="OBH53" s="489"/>
      <c r="OBI53" s="489"/>
      <c r="OBJ53" s="489"/>
      <c r="OBK53" s="489"/>
      <c r="OBL53" s="489"/>
      <c r="OBM53" s="489"/>
      <c r="OBN53" s="489"/>
      <c r="OBO53" s="489"/>
      <c r="OBP53" s="489"/>
      <c r="OBQ53" s="489"/>
      <c r="OBR53" s="489"/>
      <c r="OBS53" s="489"/>
      <c r="OBT53" s="489"/>
      <c r="OBU53" s="489"/>
      <c r="OBV53" s="489"/>
      <c r="OBW53" s="489"/>
      <c r="OBX53" s="489"/>
      <c r="OBY53" s="489"/>
      <c r="OBZ53" s="489"/>
      <c r="OCA53" s="489"/>
      <c r="OCB53" s="489"/>
      <c r="OCC53" s="489"/>
      <c r="OCD53" s="489"/>
      <c r="OCE53" s="489"/>
      <c r="OCF53" s="489"/>
      <c r="OCG53" s="489"/>
      <c r="OCH53" s="489"/>
      <c r="OCI53" s="489"/>
      <c r="OCJ53" s="489"/>
      <c r="OCK53" s="489"/>
      <c r="OCL53" s="489"/>
      <c r="OCM53" s="489"/>
      <c r="OCN53" s="489"/>
      <c r="OCO53" s="489"/>
      <c r="OCP53" s="489"/>
      <c r="OCQ53" s="489"/>
      <c r="OCR53" s="489"/>
      <c r="OCS53" s="489"/>
      <c r="OCT53" s="489"/>
      <c r="OCU53" s="489"/>
      <c r="OCV53" s="489"/>
      <c r="OCW53" s="489"/>
      <c r="OCX53" s="489"/>
      <c r="OCY53" s="489"/>
      <c r="OCZ53" s="489"/>
      <c r="ODA53" s="489"/>
      <c r="ODB53" s="489"/>
      <c r="ODC53" s="489"/>
      <c r="ODD53" s="489"/>
      <c r="ODE53" s="489"/>
      <c r="ODF53" s="489"/>
      <c r="ODG53" s="489"/>
      <c r="ODH53" s="489"/>
      <c r="ODI53" s="489"/>
      <c r="ODJ53" s="489"/>
      <c r="ODK53" s="489"/>
      <c r="ODL53" s="489"/>
      <c r="ODM53" s="489"/>
      <c r="ODN53" s="489"/>
      <c r="ODO53" s="489"/>
      <c r="ODP53" s="489"/>
      <c r="ODQ53" s="489"/>
      <c r="ODR53" s="489"/>
      <c r="ODS53" s="489"/>
      <c r="ODT53" s="489"/>
      <c r="ODU53" s="489"/>
      <c r="ODV53" s="489"/>
      <c r="ODW53" s="489"/>
      <c r="ODX53" s="489"/>
      <c r="ODY53" s="489"/>
      <c r="ODZ53" s="489"/>
      <c r="OEA53" s="489"/>
      <c r="OEB53" s="489"/>
      <c r="OEC53" s="489"/>
      <c r="OED53" s="489"/>
      <c r="OEE53" s="489"/>
      <c r="OEF53" s="489"/>
      <c r="OEG53" s="489"/>
      <c r="OEH53" s="489"/>
      <c r="OEI53" s="489"/>
      <c r="OEJ53" s="489"/>
      <c r="OEK53" s="489"/>
      <c r="OEL53" s="489"/>
      <c r="OEM53" s="489"/>
      <c r="OEN53" s="489"/>
      <c r="OEO53" s="489"/>
      <c r="OEP53" s="489"/>
      <c r="OEQ53" s="489"/>
      <c r="OER53" s="489"/>
      <c r="OES53" s="489"/>
      <c r="OET53" s="489"/>
      <c r="OEU53" s="489"/>
      <c r="OEV53" s="489"/>
      <c r="OEW53" s="489"/>
      <c r="OEX53" s="489"/>
      <c r="OEY53" s="489"/>
      <c r="OEZ53" s="489"/>
      <c r="OFA53" s="489"/>
      <c r="OFB53" s="489"/>
      <c r="OFC53" s="489"/>
      <c r="OFD53" s="489"/>
      <c r="OFE53" s="489"/>
      <c r="OFF53" s="489"/>
      <c r="OFG53" s="489"/>
      <c r="OFH53" s="489"/>
      <c r="OFI53" s="489"/>
      <c r="OFJ53" s="489"/>
      <c r="OFK53" s="489"/>
      <c r="OFL53" s="489"/>
      <c r="OFM53" s="489"/>
      <c r="OFN53" s="489"/>
      <c r="OFO53" s="489"/>
      <c r="OFP53" s="489"/>
      <c r="OFQ53" s="489"/>
      <c r="OFR53" s="489"/>
      <c r="OFS53" s="489"/>
      <c r="OFT53" s="489"/>
      <c r="OFU53" s="489"/>
      <c r="OFV53" s="489"/>
      <c r="OFW53" s="489"/>
      <c r="OFX53" s="489"/>
      <c r="OFY53" s="489"/>
      <c r="OFZ53" s="489"/>
      <c r="OGA53" s="489"/>
      <c r="OGB53" s="489"/>
      <c r="OGC53" s="489"/>
      <c r="OGD53" s="489"/>
      <c r="OGE53" s="489"/>
      <c r="OGF53" s="489"/>
      <c r="OGG53" s="489"/>
      <c r="OGH53" s="489"/>
      <c r="OGI53" s="489"/>
      <c r="OGJ53" s="489"/>
      <c r="OGK53" s="489"/>
      <c r="OGL53" s="489"/>
      <c r="OGM53" s="489"/>
      <c r="OGN53" s="489"/>
      <c r="OGO53" s="489"/>
      <c r="OGP53" s="489"/>
      <c r="OGQ53" s="489"/>
      <c r="OGR53" s="489"/>
      <c r="OGS53" s="489"/>
      <c r="OGT53" s="489"/>
      <c r="OGU53" s="489"/>
      <c r="OGV53" s="489"/>
      <c r="OGW53" s="489"/>
      <c r="OGX53" s="489"/>
      <c r="OGY53" s="489"/>
      <c r="OGZ53" s="489"/>
      <c r="OHA53" s="489"/>
      <c r="OHB53" s="489"/>
      <c r="OHC53" s="489"/>
      <c r="OHD53" s="489"/>
      <c r="OHE53" s="489"/>
      <c r="OHF53" s="489"/>
      <c r="OHG53" s="489"/>
      <c r="OHH53" s="489"/>
      <c r="OHI53" s="489"/>
      <c r="OHJ53" s="489"/>
      <c r="OHK53" s="489"/>
      <c r="OHL53" s="489"/>
      <c r="OHM53" s="489"/>
      <c r="OHN53" s="489"/>
      <c r="OHO53" s="489"/>
      <c r="OHP53" s="489"/>
      <c r="OHQ53" s="489"/>
      <c r="OHR53" s="489"/>
      <c r="OHS53" s="489"/>
      <c r="OHT53" s="489"/>
      <c r="OHU53" s="489"/>
      <c r="OHV53" s="489"/>
      <c r="OHW53" s="489"/>
      <c r="OHX53" s="489"/>
      <c r="OHY53" s="489"/>
      <c r="OHZ53" s="489"/>
      <c r="OIA53" s="489"/>
      <c r="OIB53" s="489"/>
      <c r="OIC53" s="489"/>
      <c r="OID53" s="489"/>
      <c r="OIE53" s="489"/>
      <c r="OIF53" s="489"/>
      <c r="OIG53" s="489"/>
      <c r="OIH53" s="489"/>
      <c r="OII53" s="489"/>
      <c r="OIJ53" s="489"/>
      <c r="OIK53" s="489"/>
      <c r="OIL53" s="489"/>
      <c r="OIM53" s="489"/>
      <c r="OIN53" s="489"/>
      <c r="OIO53" s="489"/>
      <c r="OIP53" s="489"/>
      <c r="OIQ53" s="489"/>
      <c r="OIR53" s="489"/>
      <c r="OIS53" s="489"/>
      <c r="OIT53" s="489"/>
      <c r="OIU53" s="489"/>
      <c r="OIV53" s="489"/>
      <c r="OIW53" s="489"/>
      <c r="OIX53" s="489"/>
      <c r="OIY53" s="489"/>
      <c r="OIZ53" s="489"/>
      <c r="OJA53" s="489"/>
      <c r="OJB53" s="489"/>
      <c r="OJC53" s="489"/>
      <c r="OJD53" s="489"/>
      <c r="OJE53" s="489"/>
      <c r="OJF53" s="489"/>
      <c r="OJG53" s="489"/>
      <c r="OJH53" s="489"/>
      <c r="OJI53" s="489"/>
      <c r="OJJ53" s="489"/>
      <c r="OJK53" s="489"/>
      <c r="OJL53" s="489"/>
      <c r="OJM53" s="489"/>
      <c r="OJN53" s="489"/>
      <c r="OJO53" s="489"/>
      <c r="OJP53" s="489"/>
      <c r="OJQ53" s="489"/>
      <c r="OJR53" s="489"/>
      <c r="OJS53" s="489"/>
      <c r="OJT53" s="489"/>
      <c r="OJU53" s="489"/>
      <c r="OJV53" s="489"/>
      <c r="OJW53" s="489"/>
      <c r="OJX53" s="489"/>
      <c r="OJY53" s="489"/>
      <c r="OJZ53" s="489"/>
      <c r="OKA53" s="489"/>
      <c r="OKB53" s="489"/>
      <c r="OKC53" s="489"/>
      <c r="OKD53" s="489"/>
      <c r="OKE53" s="489"/>
      <c r="OKF53" s="489"/>
      <c r="OKG53" s="489"/>
      <c r="OKH53" s="489"/>
      <c r="OKI53" s="489"/>
      <c r="OKJ53" s="489"/>
      <c r="OKK53" s="489"/>
      <c r="OKL53" s="489"/>
      <c r="OKM53" s="489"/>
      <c r="OKN53" s="489"/>
      <c r="OKO53" s="489"/>
      <c r="OKP53" s="489"/>
      <c r="OKQ53" s="489"/>
      <c r="OKR53" s="489"/>
      <c r="OKS53" s="489"/>
      <c r="OKT53" s="489"/>
      <c r="OKU53" s="489"/>
      <c r="OKV53" s="489"/>
      <c r="OKW53" s="489"/>
      <c r="OKX53" s="489"/>
      <c r="OKY53" s="489"/>
      <c r="OKZ53" s="489"/>
      <c r="OLA53" s="489"/>
      <c r="OLB53" s="489"/>
      <c r="OLC53" s="489"/>
      <c r="OLD53" s="489"/>
      <c r="OLE53" s="489"/>
      <c r="OLF53" s="489"/>
      <c r="OLG53" s="489"/>
      <c r="OLH53" s="489"/>
      <c r="OLI53" s="489"/>
      <c r="OLJ53" s="489"/>
      <c r="OLK53" s="489"/>
      <c r="OLL53" s="489"/>
      <c r="OLM53" s="489"/>
      <c r="OLN53" s="489"/>
      <c r="OLO53" s="489"/>
      <c r="OLP53" s="489"/>
      <c r="OLQ53" s="489"/>
      <c r="OLR53" s="489"/>
      <c r="OLS53" s="489"/>
      <c r="OLT53" s="489"/>
      <c r="OLU53" s="489"/>
      <c r="OLV53" s="489"/>
      <c r="OLW53" s="489"/>
      <c r="OLX53" s="489"/>
      <c r="OLY53" s="489"/>
      <c r="OLZ53" s="489"/>
      <c r="OMA53" s="489"/>
      <c r="OMB53" s="489"/>
      <c r="OMC53" s="489"/>
      <c r="OMD53" s="489"/>
      <c r="OME53" s="489"/>
      <c r="OMF53" s="489"/>
      <c r="OMG53" s="489"/>
      <c r="OMH53" s="489"/>
      <c r="OMI53" s="489"/>
      <c r="OMJ53" s="489"/>
      <c r="OMK53" s="489"/>
      <c r="OML53" s="489"/>
      <c r="OMM53" s="489"/>
      <c r="OMN53" s="489"/>
      <c r="OMO53" s="489"/>
      <c r="OMP53" s="489"/>
      <c r="OMQ53" s="489"/>
      <c r="OMR53" s="489"/>
      <c r="OMS53" s="489"/>
      <c r="OMT53" s="489"/>
      <c r="OMU53" s="489"/>
      <c r="OMV53" s="489"/>
      <c r="OMW53" s="489"/>
      <c r="OMX53" s="489"/>
      <c r="OMY53" s="489"/>
      <c r="OMZ53" s="489"/>
      <c r="ONA53" s="489"/>
      <c r="ONB53" s="489"/>
      <c r="ONC53" s="489"/>
      <c r="OND53" s="489"/>
      <c r="ONE53" s="489"/>
      <c r="ONF53" s="489"/>
      <c r="ONG53" s="489"/>
      <c r="ONH53" s="489"/>
      <c r="ONI53" s="489"/>
      <c r="ONJ53" s="489"/>
      <c r="ONK53" s="489"/>
      <c r="ONL53" s="489"/>
      <c r="ONM53" s="489"/>
      <c r="ONN53" s="489"/>
      <c r="ONO53" s="489"/>
      <c r="ONP53" s="489"/>
      <c r="ONQ53" s="489"/>
      <c r="ONR53" s="489"/>
      <c r="ONS53" s="489"/>
      <c r="ONT53" s="489"/>
      <c r="ONU53" s="489"/>
      <c r="ONV53" s="489"/>
      <c r="ONW53" s="489"/>
      <c r="ONX53" s="489"/>
      <c r="ONY53" s="489"/>
      <c r="ONZ53" s="489"/>
      <c r="OOA53" s="489"/>
      <c r="OOB53" s="489"/>
      <c r="OOC53" s="489"/>
      <c r="OOD53" s="489"/>
      <c r="OOE53" s="489"/>
      <c r="OOF53" s="489"/>
      <c r="OOG53" s="489"/>
      <c r="OOH53" s="489"/>
      <c r="OOI53" s="489"/>
      <c r="OOJ53" s="489"/>
      <c r="OOK53" s="489"/>
      <c r="OOL53" s="489"/>
      <c r="OOM53" s="489"/>
      <c r="OON53" s="489"/>
      <c r="OOO53" s="489"/>
      <c r="OOP53" s="489"/>
      <c r="OOQ53" s="489"/>
      <c r="OOR53" s="489"/>
      <c r="OOS53" s="489"/>
      <c r="OOT53" s="489"/>
      <c r="OOU53" s="489"/>
      <c r="OOV53" s="489"/>
      <c r="OOW53" s="489"/>
      <c r="OOX53" s="489"/>
      <c r="OOY53" s="489"/>
      <c r="OOZ53" s="489"/>
      <c r="OPA53" s="489"/>
      <c r="OPB53" s="489"/>
      <c r="OPC53" s="489"/>
      <c r="OPD53" s="489"/>
      <c r="OPE53" s="489"/>
      <c r="OPF53" s="489"/>
      <c r="OPG53" s="489"/>
      <c r="OPH53" s="489"/>
      <c r="OPI53" s="489"/>
      <c r="OPJ53" s="489"/>
      <c r="OPK53" s="489"/>
      <c r="OPL53" s="489"/>
      <c r="OPM53" s="489"/>
      <c r="OPN53" s="489"/>
      <c r="OPO53" s="489"/>
      <c r="OPP53" s="489"/>
      <c r="OPQ53" s="489"/>
      <c r="OPR53" s="489"/>
      <c r="OPS53" s="489"/>
      <c r="OPT53" s="489"/>
      <c r="OPU53" s="489"/>
      <c r="OPV53" s="489"/>
      <c r="OPW53" s="489"/>
      <c r="OPX53" s="489"/>
      <c r="OPY53" s="489"/>
      <c r="OPZ53" s="489"/>
      <c r="OQA53" s="489"/>
      <c r="OQB53" s="489"/>
      <c r="OQC53" s="489"/>
      <c r="OQD53" s="489"/>
      <c r="OQE53" s="489"/>
      <c r="OQF53" s="489"/>
      <c r="OQG53" s="489"/>
      <c r="OQH53" s="489"/>
      <c r="OQI53" s="489"/>
      <c r="OQJ53" s="489"/>
      <c r="OQK53" s="489"/>
      <c r="OQL53" s="489"/>
      <c r="OQM53" s="489"/>
      <c r="OQN53" s="489"/>
      <c r="OQO53" s="489"/>
      <c r="OQP53" s="489"/>
      <c r="OQQ53" s="489"/>
      <c r="OQR53" s="489"/>
      <c r="OQS53" s="489"/>
      <c r="OQT53" s="489"/>
      <c r="OQU53" s="489"/>
      <c r="OQV53" s="489"/>
      <c r="OQW53" s="489"/>
      <c r="OQX53" s="489"/>
      <c r="OQY53" s="489"/>
      <c r="OQZ53" s="489"/>
      <c r="ORA53" s="489"/>
      <c r="ORB53" s="489"/>
      <c r="ORC53" s="489"/>
      <c r="ORD53" s="489"/>
      <c r="ORE53" s="489"/>
      <c r="ORF53" s="489"/>
      <c r="ORG53" s="489"/>
      <c r="ORH53" s="489"/>
      <c r="ORI53" s="489"/>
      <c r="ORJ53" s="489"/>
      <c r="ORK53" s="489"/>
      <c r="ORL53" s="489"/>
      <c r="ORM53" s="489"/>
      <c r="ORN53" s="489"/>
      <c r="ORO53" s="489"/>
      <c r="ORP53" s="489"/>
      <c r="ORQ53" s="489"/>
      <c r="ORR53" s="489"/>
      <c r="ORS53" s="489"/>
      <c r="ORT53" s="489"/>
      <c r="ORU53" s="489"/>
      <c r="ORV53" s="489"/>
      <c r="ORW53" s="489"/>
      <c r="ORX53" s="489"/>
      <c r="ORY53" s="489"/>
      <c r="ORZ53" s="489"/>
      <c r="OSA53" s="489"/>
      <c r="OSB53" s="489"/>
      <c r="OSC53" s="489"/>
      <c r="OSD53" s="489"/>
      <c r="OSE53" s="489"/>
      <c r="OSF53" s="489"/>
      <c r="OSG53" s="489"/>
      <c r="OSH53" s="489"/>
      <c r="OSI53" s="489"/>
      <c r="OSJ53" s="489"/>
      <c r="OSK53" s="489"/>
      <c r="OSL53" s="489"/>
      <c r="OSM53" s="489"/>
      <c r="OSN53" s="489"/>
      <c r="OSO53" s="489"/>
      <c r="OSP53" s="489"/>
      <c r="OSQ53" s="489"/>
      <c r="OSR53" s="489"/>
      <c r="OSS53" s="489"/>
      <c r="OST53" s="489"/>
      <c r="OSU53" s="489"/>
      <c r="OSV53" s="489"/>
      <c r="OSW53" s="489"/>
      <c r="OSX53" s="489"/>
      <c r="OSY53" s="489"/>
      <c r="OSZ53" s="489"/>
      <c r="OTA53" s="489"/>
      <c r="OTB53" s="489"/>
      <c r="OTC53" s="489"/>
      <c r="OTD53" s="489"/>
      <c r="OTE53" s="489"/>
      <c r="OTF53" s="489"/>
      <c r="OTG53" s="489"/>
      <c r="OTH53" s="489"/>
      <c r="OTI53" s="489"/>
      <c r="OTJ53" s="489"/>
      <c r="OTK53" s="489"/>
      <c r="OTL53" s="489"/>
      <c r="OTM53" s="489"/>
      <c r="OTN53" s="489"/>
      <c r="OTO53" s="489"/>
      <c r="OTP53" s="489"/>
      <c r="OTQ53" s="489"/>
      <c r="OTR53" s="489"/>
      <c r="OTS53" s="489"/>
      <c r="OTT53" s="489"/>
      <c r="OTU53" s="489"/>
      <c r="OTV53" s="489"/>
      <c r="OTW53" s="489"/>
      <c r="OTX53" s="489"/>
      <c r="OTY53" s="489"/>
      <c r="OTZ53" s="489"/>
      <c r="OUA53" s="489"/>
      <c r="OUB53" s="489"/>
      <c r="OUC53" s="489"/>
      <c r="OUD53" s="489"/>
      <c r="OUE53" s="489"/>
      <c r="OUF53" s="489"/>
      <c r="OUG53" s="489"/>
      <c r="OUH53" s="489"/>
      <c r="OUI53" s="489"/>
      <c r="OUJ53" s="489"/>
      <c r="OUK53" s="489"/>
      <c r="OUL53" s="489"/>
      <c r="OUM53" s="489"/>
      <c r="OUN53" s="489"/>
      <c r="OUO53" s="489"/>
      <c r="OUP53" s="489"/>
      <c r="OUQ53" s="489"/>
      <c r="OUR53" s="489"/>
      <c r="OUS53" s="489"/>
      <c r="OUT53" s="489"/>
      <c r="OUU53" s="489"/>
      <c r="OUV53" s="489"/>
      <c r="OUW53" s="489"/>
      <c r="OUX53" s="489"/>
      <c r="OUY53" s="489"/>
      <c r="OUZ53" s="489"/>
      <c r="OVA53" s="489"/>
      <c r="OVB53" s="489"/>
      <c r="OVC53" s="489"/>
      <c r="OVD53" s="489"/>
      <c r="OVE53" s="489"/>
      <c r="OVF53" s="489"/>
      <c r="OVG53" s="489"/>
      <c r="OVH53" s="489"/>
      <c r="OVI53" s="489"/>
      <c r="OVJ53" s="489"/>
      <c r="OVK53" s="489"/>
      <c r="OVL53" s="489"/>
      <c r="OVM53" s="489"/>
      <c r="OVN53" s="489"/>
      <c r="OVO53" s="489"/>
      <c r="OVP53" s="489"/>
      <c r="OVQ53" s="489"/>
      <c r="OVR53" s="489"/>
      <c r="OVS53" s="489"/>
      <c r="OVT53" s="489"/>
      <c r="OVU53" s="489"/>
      <c r="OVV53" s="489"/>
      <c r="OVW53" s="489"/>
      <c r="OVX53" s="489"/>
      <c r="OVY53" s="489"/>
      <c r="OVZ53" s="489"/>
      <c r="OWA53" s="489"/>
      <c r="OWB53" s="489"/>
      <c r="OWC53" s="489"/>
      <c r="OWD53" s="489"/>
      <c r="OWE53" s="489"/>
      <c r="OWF53" s="489"/>
      <c r="OWG53" s="489"/>
      <c r="OWH53" s="489"/>
      <c r="OWI53" s="489"/>
      <c r="OWJ53" s="489"/>
      <c r="OWK53" s="489"/>
      <c r="OWL53" s="489"/>
      <c r="OWM53" s="489"/>
      <c r="OWN53" s="489"/>
      <c r="OWO53" s="489"/>
      <c r="OWP53" s="489"/>
      <c r="OWQ53" s="489"/>
      <c r="OWR53" s="489"/>
      <c r="OWS53" s="489"/>
      <c r="OWT53" s="489"/>
      <c r="OWU53" s="489"/>
      <c r="OWV53" s="489"/>
      <c r="OWW53" s="489"/>
      <c r="OWX53" s="489"/>
      <c r="OWY53" s="489"/>
      <c r="OWZ53" s="489"/>
      <c r="OXA53" s="489"/>
      <c r="OXB53" s="489"/>
      <c r="OXC53" s="489"/>
      <c r="OXD53" s="489"/>
      <c r="OXE53" s="489"/>
      <c r="OXF53" s="489"/>
      <c r="OXG53" s="489"/>
      <c r="OXH53" s="489"/>
      <c r="OXI53" s="489"/>
      <c r="OXJ53" s="489"/>
      <c r="OXK53" s="489"/>
      <c r="OXL53" s="489"/>
      <c r="OXM53" s="489"/>
      <c r="OXN53" s="489"/>
      <c r="OXO53" s="489"/>
      <c r="OXP53" s="489"/>
      <c r="OXQ53" s="489"/>
      <c r="OXR53" s="489"/>
      <c r="OXS53" s="489"/>
      <c r="OXT53" s="489"/>
      <c r="OXU53" s="489"/>
      <c r="OXV53" s="489"/>
      <c r="OXW53" s="489"/>
      <c r="OXX53" s="489"/>
      <c r="OXY53" s="489"/>
      <c r="OXZ53" s="489"/>
      <c r="OYA53" s="489"/>
      <c r="OYB53" s="489"/>
      <c r="OYC53" s="489"/>
      <c r="OYD53" s="489"/>
      <c r="OYE53" s="489"/>
      <c r="OYF53" s="489"/>
      <c r="OYG53" s="489"/>
      <c r="OYH53" s="489"/>
      <c r="OYI53" s="489"/>
      <c r="OYJ53" s="489"/>
      <c r="OYK53" s="489"/>
      <c r="OYL53" s="489"/>
      <c r="OYM53" s="489"/>
      <c r="OYN53" s="489"/>
      <c r="OYO53" s="489"/>
      <c r="OYP53" s="489"/>
      <c r="OYQ53" s="489"/>
      <c r="OYR53" s="489"/>
      <c r="OYS53" s="489"/>
      <c r="OYT53" s="489"/>
      <c r="OYU53" s="489"/>
      <c r="OYV53" s="489"/>
      <c r="OYW53" s="489"/>
      <c r="OYX53" s="489"/>
      <c r="OYY53" s="489"/>
      <c r="OYZ53" s="489"/>
      <c r="OZA53" s="489"/>
      <c r="OZB53" s="489"/>
      <c r="OZC53" s="489"/>
      <c r="OZD53" s="489"/>
      <c r="OZE53" s="489"/>
      <c r="OZF53" s="489"/>
      <c r="OZG53" s="489"/>
      <c r="OZH53" s="489"/>
      <c r="OZI53" s="489"/>
      <c r="OZJ53" s="489"/>
      <c r="OZK53" s="489"/>
      <c r="OZL53" s="489"/>
      <c r="OZM53" s="489"/>
      <c r="OZN53" s="489"/>
      <c r="OZO53" s="489"/>
      <c r="OZP53" s="489"/>
      <c r="OZQ53" s="489"/>
      <c r="OZR53" s="489"/>
      <c r="OZS53" s="489"/>
      <c r="OZT53" s="489"/>
      <c r="OZU53" s="489"/>
      <c r="OZV53" s="489"/>
      <c r="OZW53" s="489"/>
      <c r="OZX53" s="489"/>
      <c r="OZY53" s="489"/>
      <c r="OZZ53" s="489"/>
      <c r="PAA53" s="489"/>
      <c r="PAB53" s="489"/>
      <c r="PAC53" s="489"/>
      <c r="PAD53" s="489"/>
      <c r="PAE53" s="489"/>
      <c r="PAF53" s="489"/>
      <c r="PAG53" s="489"/>
      <c r="PAH53" s="489"/>
      <c r="PAI53" s="489"/>
      <c r="PAJ53" s="489"/>
      <c r="PAK53" s="489"/>
      <c r="PAL53" s="489"/>
      <c r="PAM53" s="489"/>
      <c r="PAN53" s="489"/>
      <c r="PAO53" s="489"/>
      <c r="PAP53" s="489"/>
      <c r="PAQ53" s="489"/>
      <c r="PAR53" s="489"/>
      <c r="PAS53" s="489"/>
      <c r="PAT53" s="489"/>
      <c r="PAU53" s="489"/>
      <c r="PAV53" s="489"/>
      <c r="PAW53" s="489"/>
      <c r="PAX53" s="489"/>
      <c r="PAY53" s="489"/>
      <c r="PAZ53" s="489"/>
      <c r="PBA53" s="489"/>
      <c r="PBB53" s="489"/>
      <c r="PBC53" s="489"/>
      <c r="PBD53" s="489"/>
      <c r="PBE53" s="489"/>
      <c r="PBF53" s="489"/>
      <c r="PBG53" s="489"/>
      <c r="PBH53" s="489"/>
      <c r="PBI53" s="489"/>
      <c r="PBJ53" s="489"/>
      <c r="PBK53" s="489"/>
      <c r="PBL53" s="489"/>
      <c r="PBM53" s="489"/>
      <c r="PBN53" s="489"/>
      <c r="PBO53" s="489"/>
      <c r="PBP53" s="489"/>
      <c r="PBQ53" s="489"/>
      <c r="PBR53" s="489"/>
      <c r="PBS53" s="489"/>
      <c r="PBT53" s="489"/>
      <c r="PBU53" s="489"/>
      <c r="PBV53" s="489"/>
      <c r="PBW53" s="489"/>
      <c r="PBX53" s="489"/>
      <c r="PBY53" s="489"/>
      <c r="PBZ53" s="489"/>
      <c r="PCA53" s="489"/>
      <c r="PCB53" s="489"/>
      <c r="PCC53" s="489"/>
      <c r="PCD53" s="489"/>
      <c r="PCE53" s="489"/>
      <c r="PCF53" s="489"/>
      <c r="PCG53" s="489"/>
      <c r="PCH53" s="489"/>
      <c r="PCI53" s="489"/>
      <c r="PCJ53" s="489"/>
      <c r="PCK53" s="489"/>
      <c r="PCL53" s="489"/>
      <c r="PCM53" s="489"/>
      <c r="PCN53" s="489"/>
      <c r="PCO53" s="489"/>
      <c r="PCP53" s="489"/>
      <c r="PCQ53" s="489"/>
      <c r="PCR53" s="489"/>
      <c r="PCS53" s="489"/>
      <c r="PCT53" s="489"/>
      <c r="PCU53" s="489"/>
      <c r="PCV53" s="489"/>
      <c r="PCW53" s="489"/>
      <c r="PCX53" s="489"/>
      <c r="PCY53" s="489"/>
      <c r="PCZ53" s="489"/>
      <c r="PDA53" s="489"/>
      <c r="PDB53" s="489"/>
      <c r="PDC53" s="489"/>
      <c r="PDD53" s="489"/>
      <c r="PDE53" s="489"/>
      <c r="PDF53" s="489"/>
      <c r="PDG53" s="489"/>
      <c r="PDH53" s="489"/>
      <c r="PDI53" s="489"/>
      <c r="PDJ53" s="489"/>
      <c r="PDK53" s="489"/>
      <c r="PDL53" s="489"/>
      <c r="PDM53" s="489"/>
      <c r="PDN53" s="489"/>
      <c r="PDO53" s="489"/>
      <c r="PDP53" s="489"/>
      <c r="PDQ53" s="489"/>
      <c r="PDR53" s="489"/>
      <c r="PDS53" s="489"/>
      <c r="PDT53" s="489"/>
      <c r="PDU53" s="489"/>
      <c r="PDV53" s="489"/>
      <c r="PDW53" s="489"/>
      <c r="PDX53" s="489"/>
      <c r="PDY53" s="489"/>
      <c r="PDZ53" s="489"/>
      <c r="PEA53" s="489"/>
      <c r="PEB53" s="489"/>
      <c r="PEC53" s="489"/>
      <c r="PED53" s="489"/>
      <c r="PEE53" s="489"/>
      <c r="PEF53" s="489"/>
      <c r="PEG53" s="489"/>
      <c r="PEH53" s="489"/>
      <c r="PEI53" s="489"/>
      <c r="PEJ53" s="489"/>
      <c r="PEK53" s="489"/>
      <c r="PEL53" s="489"/>
      <c r="PEM53" s="489"/>
      <c r="PEN53" s="489"/>
      <c r="PEO53" s="489"/>
      <c r="PEP53" s="489"/>
      <c r="PEQ53" s="489"/>
      <c r="PER53" s="489"/>
      <c r="PES53" s="489"/>
      <c r="PET53" s="489"/>
      <c r="PEU53" s="489"/>
      <c r="PEV53" s="489"/>
      <c r="PEW53" s="489"/>
      <c r="PEX53" s="489"/>
      <c r="PEY53" s="489"/>
      <c r="PEZ53" s="489"/>
      <c r="PFA53" s="489"/>
      <c r="PFB53" s="489"/>
      <c r="PFC53" s="489"/>
      <c r="PFD53" s="489"/>
      <c r="PFE53" s="489"/>
      <c r="PFF53" s="489"/>
      <c r="PFG53" s="489"/>
      <c r="PFH53" s="489"/>
      <c r="PFI53" s="489"/>
      <c r="PFJ53" s="489"/>
      <c r="PFK53" s="489"/>
      <c r="PFL53" s="489"/>
      <c r="PFM53" s="489"/>
      <c r="PFN53" s="489"/>
      <c r="PFO53" s="489"/>
      <c r="PFP53" s="489"/>
      <c r="PFQ53" s="489"/>
      <c r="PFR53" s="489"/>
      <c r="PFS53" s="489"/>
      <c r="PFT53" s="489"/>
      <c r="PFU53" s="489"/>
      <c r="PFV53" s="489"/>
      <c r="PFW53" s="489"/>
      <c r="PFX53" s="489"/>
      <c r="PFY53" s="489"/>
      <c r="PFZ53" s="489"/>
      <c r="PGA53" s="489"/>
      <c r="PGB53" s="489"/>
      <c r="PGC53" s="489"/>
      <c r="PGD53" s="489"/>
      <c r="PGE53" s="489"/>
      <c r="PGF53" s="489"/>
      <c r="PGG53" s="489"/>
      <c r="PGH53" s="489"/>
      <c r="PGI53" s="489"/>
      <c r="PGJ53" s="489"/>
      <c r="PGK53" s="489"/>
      <c r="PGL53" s="489"/>
      <c r="PGM53" s="489"/>
      <c r="PGN53" s="489"/>
      <c r="PGO53" s="489"/>
      <c r="PGP53" s="489"/>
      <c r="PGQ53" s="489"/>
      <c r="PGR53" s="489"/>
      <c r="PGS53" s="489"/>
      <c r="PGT53" s="489"/>
      <c r="PGU53" s="489"/>
      <c r="PGV53" s="489"/>
      <c r="PGW53" s="489"/>
      <c r="PGX53" s="489"/>
      <c r="PGY53" s="489"/>
      <c r="PGZ53" s="489"/>
      <c r="PHA53" s="489"/>
      <c r="PHB53" s="489"/>
      <c r="PHC53" s="489"/>
      <c r="PHD53" s="489"/>
      <c r="PHE53" s="489"/>
      <c r="PHF53" s="489"/>
      <c r="PHG53" s="489"/>
      <c r="PHH53" s="489"/>
      <c r="PHI53" s="489"/>
      <c r="PHJ53" s="489"/>
      <c r="PHK53" s="489"/>
      <c r="PHL53" s="489"/>
      <c r="PHM53" s="489"/>
      <c r="PHN53" s="489"/>
      <c r="PHO53" s="489"/>
      <c r="PHP53" s="489"/>
      <c r="PHQ53" s="489"/>
      <c r="PHR53" s="489"/>
      <c r="PHS53" s="489"/>
      <c r="PHT53" s="489"/>
      <c r="PHU53" s="489"/>
      <c r="PHV53" s="489"/>
      <c r="PHW53" s="489"/>
      <c r="PHX53" s="489"/>
      <c r="PHY53" s="489"/>
      <c r="PHZ53" s="489"/>
      <c r="PIA53" s="489"/>
      <c r="PIB53" s="489"/>
      <c r="PIC53" s="489"/>
      <c r="PID53" s="489"/>
      <c r="PIE53" s="489"/>
      <c r="PIF53" s="489"/>
      <c r="PIG53" s="489"/>
      <c r="PIH53" s="489"/>
      <c r="PII53" s="489"/>
      <c r="PIJ53" s="489"/>
      <c r="PIK53" s="489"/>
      <c r="PIL53" s="489"/>
      <c r="PIM53" s="489"/>
      <c r="PIN53" s="489"/>
      <c r="PIO53" s="489"/>
      <c r="PIP53" s="489"/>
      <c r="PIQ53" s="489"/>
      <c r="PIR53" s="489"/>
      <c r="PIS53" s="489"/>
      <c r="PIT53" s="489"/>
      <c r="PIU53" s="489"/>
      <c r="PIV53" s="489"/>
      <c r="PIW53" s="489"/>
      <c r="PIX53" s="489"/>
      <c r="PIY53" s="489"/>
      <c r="PIZ53" s="489"/>
      <c r="PJA53" s="489"/>
      <c r="PJB53" s="489"/>
      <c r="PJC53" s="489"/>
      <c r="PJD53" s="489"/>
      <c r="PJE53" s="489"/>
      <c r="PJF53" s="489"/>
      <c r="PJG53" s="489"/>
      <c r="PJH53" s="489"/>
      <c r="PJI53" s="489"/>
      <c r="PJJ53" s="489"/>
      <c r="PJK53" s="489"/>
      <c r="PJL53" s="489"/>
      <c r="PJM53" s="489"/>
      <c r="PJN53" s="489"/>
      <c r="PJO53" s="489"/>
      <c r="PJP53" s="489"/>
      <c r="PJQ53" s="489"/>
      <c r="PJR53" s="489"/>
      <c r="PJS53" s="489"/>
      <c r="PJT53" s="489"/>
      <c r="PJU53" s="489"/>
      <c r="PJV53" s="489"/>
      <c r="PJW53" s="489"/>
      <c r="PJX53" s="489"/>
      <c r="PJY53" s="489"/>
      <c r="PJZ53" s="489"/>
      <c r="PKA53" s="489"/>
      <c r="PKB53" s="489"/>
      <c r="PKC53" s="489"/>
      <c r="PKD53" s="489"/>
      <c r="PKE53" s="489"/>
      <c r="PKF53" s="489"/>
      <c r="PKG53" s="489"/>
      <c r="PKH53" s="489"/>
      <c r="PKI53" s="489"/>
      <c r="PKJ53" s="489"/>
      <c r="PKK53" s="489"/>
      <c r="PKL53" s="489"/>
      <c r="PKM53" s="489"/>
      <c r="PKN53" s="489"/>
      <c r="PKO53" s="489"/>
      <c r="PKP53" s="489"/>
      <c r="PKQ53" s="489"/>
      <c r="PKR53" s="489"/>
      <c r="PKS53" s="489"/>
      <c r="PKT53" s="489"/>
      <c r="PKU53" s="489"/>
      <c r="PKV53" s="489"/>
      <c r="PKW53" s="489"/>
      <c r="PKX53" s="489"/>
      <c r="PKY53" s="489"/>
      <c r="PKZ53" s="489"/>
      <c r="PLA53" s="489"/>
      <c r="PLB53" s="489"/>
      <c r="PLC53" s="489"/>
      <c r="PLD53" s="489"/>
      <c r="PLE53" s="489"/>
      <c r="PLF53" s="489"/>
      <c r="PLG53" s="489"/>
      <c r="PLH53" s="489"/>
      <c r="PLI53" s="489"/>
      <c r="PLJ53" s="489"/>
      <c r="PLK53" s="489"/>
      <c r="PLL53" s="489"/>
      <c r="PLM53" s="489"/>
      <c r="PLN53" s="489"/>
      <c r="PLO53" s="489"/>
      <c r="PLP53" s="489"/>
      <c r="PLQ53" s="489"/>
      <c r="PLR53" s="489"/>
      <c r="PLS53" s="489"/>
      <c r="PLT53" s="489"/>
      <c r="PLU53" s="489"/>
      <c r="PLV53" s="489"/>
      <c r="PLW53" s="489"/>
      <c r="PLX53" s="489"/>
      <c r="PLY53" s="489"/>
      <c r="PLZ53" s="489"/>
      <c r="PMA53" s="489"/>
      <c r="PMB53" s="489"/>
      <c r="PMC53" s="489"/>
      <c r="PMD53" s="489"/>
      <c r="PME53" s="489"/>
      <c r="PMF53" s="489"/>
      <c r="PMG53" s="489"/>
      <c r="PMH53" s="489"/>
      <c r="PMI53" s="489"/>
      <c r="PMJ53" s="489"/>
      <c r="PMK53" s="489"/>
      <c r="PML53" s="489"/>
      <c r="PMM53" s="489"/>
      <c r="PMN53" s="489"/>
      <c r="PMO53" s="489"/>
      <c r="PMP53" s="489"/>
      <c r="PMQ53" s="489"/>
      <c r="PMR53" s="489"/>
      <c r="PMS53" s="489"/>
      <c r="PMT53" s="489"/>
      <c r="PMU53" s="489"/>
      <c r="PMV53" s="489"/>
      <c r="PMW53" s="489"/>
      <c r="PMX53" s="489"/>
      <c r="PMY53" s="489"/>
      <c r="PMZ53" s="489"/>
      <c r="PNA53" s="489"/>
      <c r="PNB53" s="489"/>
      <c r="PNC53" s="489"/>
      <c r="PND53" s="489"/>
      <c r="PNE53" s="489"/>
      <c r="PNF53" s="489"/>
      <c r="PNG53" s="489"/>
      <c r="PNH53" s="489"/>
      <c r="PNI53" s="489"/>
      <c r="PNJ53" s="489"/>
      <c r="PNK53" s="489"/>
      <c r="PNL53" s="489"/>
      <c r="PNM53" s="489"/>
      <c r="PNN53" s="489"/>
      <c r="PNO53" s="489"/>
      <c r="PNP53" s="489"/>
      <c r="PNQ53" s="489"/>
      <c r="PNR53" s="489"/>
      <c r="PNS53" s="489"/>
      <c r="PNT53" s="489"/>
      <c r="PNU53" s="489"/>
      <c r="PNV53" s="489"/>
      <c r="PNW53" s="489"/>
      <c r="PNX53" s="489"/>
      <c r="PNY53" s="489"/>
      <c r="PNZ53" s="489"/>
      <c r="POA53" s="489"/>
      <c r="POB53" s="489"/>
      <c r="POC53" s="489"/>
      <c r="POD53" s="489"/>
      <c r="POE53" s="489"/>
      <c r="POF53" s="489"/>
      <c r="POG53" s="489"/>
      <c r="POH53" s="489"/>
      <c r="POI53" s="489"/>
      <c r="POJ53" s="489"/>
      <c r="POK53" s="489"/>
      <c r="POL53" s="489"/>
      <c r="POM53" s="489"/>
      <c r="PON53" s="489"/>
      <c r="POO53" s="489"/>
      <c r="POP53" s="489"/>
      <c r="POQ53" s="489"/>
      <c r="POR53" s="489"/>
      <c r="POS53" s="489"/>
      <c r="POT53" s="489"/>
      <c r="POU53" s="489"/>
      <c r="POV53" s="489"/>
      <c r="POW53" s="489"/>
      <c r="POX53" s="489"/>
      <c r="POY53" s="489"/>
      <c r="POZ53" s="489"/>
      <c r="PPA53" s="489"/>
      <c r="PPB53" s="489"/>
      <c r="PPC53" s="489"/>
      <c r="PPD53" s="489"/>
      <c r="PPE53" s="489"/>
      <c r="PPF53" s="489"/>
      <c r="PPG53" s="489"/>
      <c r="PPH53" s="489"/>
      <c r="PPI53" s="489"/>
      <c r="PPJ53" s="489"/>
      <c r="PPK53" s="489"/>
      <c r="PPL53" s="489"/>
      <c r="PPM53" s="489"/>
      <c r="PPN53" s="489"/>
      <c r="PPO53" s="489"/>
      <c r="PPP53" s="489"/>
      <c r="PPQ53" s="489"/>
      <c r="PPR53" s="489"/>
      <c r="PPS53" s="489"/>
      <c r="PPT53" s="489"/>
      <c r="PPU53" s="489"/>
      <c r="PPV53" s="489"/>
      <c r="PPW53" s="489"/>
      <c r="PPX53" s="489"/>
      <c r="PPY53" s="489"/>
      <c r="PPZ53" s="489"/>
      <c r="PQA53" s="489"/>
      <c r="PQB53" s="489"/>
      <c r="PQC53" s="489"/>
      <c r="PQD53" s="489"/>
      <c r="PQE53" s="489"/>
      <c r="PQF53" s="489"/>
      <c r="PQG53" s="489"/>
      <c r="PQH53" s="489"/>
      <c r="PQI53" s="489"/>
      <c r="PQJ53" s="489"/>
      <c r="PQK53" s="489"/>
      <c r="PQL53" s="489"/>
      <c r="PQM53" s="489"/>
      <c r="PQN53" s="489"/>
      <c r="PQO53" s="489"/>
      <c r="PQP53" s="489"/>
      <c r="PQQ53" s="489"/>
      <c r="PQR53" s="489"/>
      <c r="PQS53" s="489"/>
      <c r="PQT53" s="489"/>
      <c r="PQU53" s="489"/>
      <c r="PQV53" s="489"/>
      <c r="PQW53" s="489"/>
      <c r="PQX53" s="489"/>
      <c r="PQY53" s="489"/>
      <c r="PQZ53" s="489"/>
      <c r="PRA53" s="489"/>
      <c r="PRB53" s="489"/>
      <c r="PRC53" s="489"/>
      <c r="PRD53" s="489"/>
      <c r="PRE53" s="489"/>
      <c r="PRF53" s="489"/>
      <c r="PRG53" s="489"/>
      <c r="PRH53" s="489"/>
      <c r="PRI53" s="489"/>
      <c r="PRJ53" s="489"/>
      <c r="PRK53" s="489"/>
      <c r="PRL53" s="489"/>
      <c r="PRM53" s="489"/>
      <c r="PRN53" s="489"/>
      <c r="PRO53" s="489"/>
      <c r="PRP53" s="489"/>
      <c r="PRQ53" s="489"/>
      <c r="PRR53" s="489"/>
      <c r="PRS53" s="489"/>
      <c r="PRT53" s="489"/>
      <c r="PRU53" s="489"/>
      <c r="PRV53" s="489"/>
      <c r="PRW53" s="489"/>
      <c r="PRX53" s="489"/>
      <c r="PRY53" s="489"/>
      <c r="PRZ53" s="489"/>
      <c r="PSA53" s="489"/>
      <c r="PSB53" s="489"/>
      <c r="PSC53" s="489"/>
      <c r="PSD53" s="489"/>
      <c r="PSE53" s="489"/>
      <c r="PSF53" s="489"/>
      <c r="PSG53" s="489"/>
      <c r="PSH53" s="489"/>
      <c r="PSI53" s="489"/>
      <c r="PSJ53" s="489"/>
      <c r="PSK53" s="489"/>
      <c r="PSL53" s="489"/>
      <c r="PSM53" s="489"/>
      <c r="PSN53" s="489"/>
      <c r="PSO53" s="489"/>
      <c r="PSP53" s="489"/>
      <c r="PSQ53" s="489"/>
      <c r="PSR53" s="489"/>
      <c r="PSS53" s="489"/>
      <c r="PST53" s="489"/>
      <c r="PSU53" s="489"/>
      <c r="PSV53" s="489"/>
      <c r="PSW53" s="489"/>
      <c r="PSX53" s="489"/>
      <c r="PSY53" s="489"/>
      <c r="PSZ53" s="489"/>
      <c r="PTA53" s="489"/>
      <c r="PTB53" s="489"/>
      <c r="PTC53" s="489"/>
      <c r="PTD53" s="489"/>
      <c r="PTE53" s="489"/>
      <c r="PTF53" s="489"/>
      <c r="PTG53" s="489"/>
      <c r="PTH53" s="489"/>
      <c r="PTI53" s="489"/>
      <c r="PTJ53" s="489"/>
      <c r="PTK53" s="489"/>
      <c r="PTL53" s="489"/>
      <c r="PTM53" s="489"/>
      <c r="PTN53" s="489"/>
      <c r="PTO53" s="489"/>
      <c r="PTP53" s="489"/>
      <c r="PTQ53" s="489"/>
      <c r="PTR53" s="489"/>
      <c r="PTS53" s="489"/>
      <c r="PTT53" s="489"/>
      <c r="PTU53" s="489"/>
      <c r="PTV53" s="489"/>
      <c r="PTW53" s="489"/>
      <c r="PTX53" s="489"/>
      <c r="PTY53" s="489"/>
      <c r="PTZ53" s="489"/>
      <c r="PUA53" s="489"/>
      <c r="PUB53" s="489"/>
      <c r="PUC53" s="489"/>
      <c r="PUD53" s="489"/>
      <c r="PUE53" s="489"/>
      <c r="PUF53" s="489"/>
      <c r="PUG53" s="489"/>
      <c r="PUH53" s="489"/>
      <c r="PUI53" s="489"/>
      <c r="PUJ53" s="489"/>
      <c r="PUK53" s="489"/>
      <c r="PUL53" s="489"/>
      <c r="PUM53" s="489"/>
      <c r="PUN53" s="489"/>
      <c r="PUO53" s="489"/>
      <c r="PUP53" s="489"/>
      <c r="PUQ53" s="489"/>
      <c r="PUR53" s="489"/>
      <c r="PUS53" s="489"/>
      <c r="PUT53" s="489"/>
      <c r="PUU53" s="489"/>
      <c r="PUV53" s="489"/>
      <c r="PUW53" s="489"/>
      <c r="PUX53" s="489"/>
      <c r="PUY53" s="489"/>
      <c r="PUZ53" s="489"/>
      <c r="PVA53" s="489"/>
      <c r="PVB53" s="489"/>
      <c r="PVC53" s="489"/>
      <c r="PVD53" s="489"/>
      <c r="PVE53" s="489"/>
      <c r="PVF53" s="489"/>
      <c r="PVG53" s="489"/>
      <c r="PVH53" s="489"/>
      <c r="PVI53" s="489"/>
      <c r="PVJ53" s="489"/>
      <c r="PVK53" s="489"/>
      <c r="PVL53" s="489"/>
      <c r="PVM53" s="489"/>
      <c r="PVN53" s="489"/>
      <c r="PVO53" s="489"/>
      <c r="PVP53" s="489"/>
      <c r="PVQ53" s="489"/>
      <c r="PVR53" s="489"/>
      <c r="PVS53" s="489"/>
      <c r="PVT53" s="489"/>
      <c r="PVU53" s="489"/>
      <c r="PVV53" s="489"/>
      <c r="PVW53" s="489"/>
      <c r="PVX53" s="489"/>
      <c r="PVY53" s="489"/>
      <c r="PVZ53" s="489"/>
      <c r="PWA53" s="489"/>
      <c r="PWB53" s="489"/>
      <c r="PWC53" s="489"/>
      <c r="PWD53" s="489"/>
      <c r="PWE53" s="489"/>
      <c r="PWF53" s="489"/>
      <c r="PWG53" s="489"/>
      <c r="PWH53" s="489"/>
      <c r="PWI53" s="489"/>
      <c r="PWJ53" s="489"/>
      <c r="PWK53" s="489"/>
      <c r="PWL53" s="489"/>
      <c r="PWM53" s="489"/>
      <c r="PWN53" s="489"/>
      <c r="PWO53" s="489"/>
      <c r="PWP53" s="489"/>
      <c r="PWQ53" s="489"/>
      <c r="PWR53" s="489"/>
      <c r="PWS53" s="489"/>
      <c r="PWT53" s="489"/>
      <c r="PWU53" s="489"/>
      <c r="PWV53" s="489"/>
      <c r="PWW53" s="489"/>
      <c r="PWX53" s="489"/>
      <c r="PWY53" s="489"/>
      <c r="PWZ53" s="489"/>
      <c r="PXA53" s="489"/>
      <c r="PXB53" s="489"/>
      <c r="PXC53" s="489"/>
      <c r="PXD53" s="489"/>
      <c r="PXE53" s="489"/>
      <c r="PXF53" s="489"/>
      <c r="PXG53" s="489"/>
      <c r="PXH53" s="489"/>
      <c r="PXI53" s="489"/>
      <c r="PXJ53" s="489"/>
      <c r="PXK53" s="489"/>
      <c r="PXL53" s="489"/>
      <c r="PXM53" s="489"/>
      <c r="PXN53" s="489"/>
      <c r="PXO53" s="489"/>
      <c r="PXP53" s="489"/>
      <c r="PXQ53" s="489"/>
      <c r="PXR53" s="489"/>
      <c r="PXS53" s="489"/>
      <c r="PXT53" s="489"/>
      <c r="PXU53" s="489"/>
      <c r="PXV53" s="489"/>
      <c r="PXW53" s="489"/>
      <c r="PXX53" s="489"/>
      <c r="PXY53" s="489"/>
      <c r="PXZ53" s="489"/>
      <c r="PYA53" s="489"/>
      <c r="PYB53" s="489"/>
      <c r="PYC53" s="489"/>
      <c r="PYD53" s="489"/>
      <c r="PYE53" s="489"/>
      <c r="PYF53" s="489"/>
      <c r="PYG53" s="489"/>
      <c r="PYH53" s="489"/>
      <c r="PYI53" s="489"/>
      <c r="PYJ53" s="489"/>
      <c r="PYK53" s="489"/>
      <c r="PYL53" s="489"/>
      <c r="PYM53" s="489"/>
      <c r="PYN53" s="489"/>
      <c r="PYO53" s="489"/>
      <c r="PYP53" s="489"/>
      <c r="PYQ53" s="489"/>
      <c r="PYR53" s="489"/>
      <c r="PYS53" s="489"/>
      <c r="PYT53" s="489"/>
      <c r="PYU53" s="489"/>
      <c r="PYV53" s="489"/>
      <c r="PYW53" s="489"/>
      <c r="PYX53" s="489"/>
      <c r="PYY53" s="489"/>
      <c r="PYZ53" s="489"/>
      <c r="PZA53" s="489"/>
      <c r="PZB53" s="489"/>
      <c r="PZC53" s="489"/>
      <c r="PZD53" s="489"/>
      <c r="PZE53" s="489"/>
      <c r="PZF53" s="489"/>
      <c r="PZG53" s="489"/>
      <c r="PZH53" s="489"/>
      <c r="PZI53" s="489"/>
      <c r="PZJ53" s="489"/>
      <c r="PZK53" s="489"/>
      <c r="PZL53" s="489"/>
      <c r="PZM53" s="489"/>
      <c r="PZN53" s="489"/>
      <c r="PZO53" s="489"/>
      <c r="PZP53" s="489"/>
      <c r="PZQ53" s="489"/>
      <c r="PZR53" s="489"/>
      <c r="PZS53" s="489"/>
      <c r="PZT53" s="489"/>
      <c r="PZU53" s="489"/>
      <c r="PZV53" s="489"/>
      <c r="PZW53" s="489"/>
      <c r="PZX53" s="489"/>
      <c r="PZY53" s="489"/>
      <c r="PZZ53" s="489"/>
      <c r="QAA53" s="489"/>
      <c r="QAB53" s="489"/>
      <c r="QAC53" s="489"/>
      <c r="QAD53" s="489"/>
      <c r="QAE53" s="489"/>
      <c r="QAF53" s="489"/>
      <c r="QAG53" s="489"/>
      <c r="QAH53" s="489"/>
      <c r="QAI53" s="489"/>
      <c r="QAJ53" s="489"/>
      <c r="QAK53" s="489"/>
      <c r="QAL53" s="489"/>
      <c r="QAM53" s="489"/>
      <c r="QAN53" s="489"/>
      <c r="QAO53" s="489"/>
      <c r="QAP53" s="489"/>
      <c r="QAQ53" s="489"/>
      <c r="QAR53" s="489"/>
      <c r="QAS53" s="489"/>
      <c r="QAT53" s="489"/>
      <c r="QAU53" s="489"/>
      <c r="QAV53" s="489"/>
      <c r="QAW53" s="489"/>
      <c r="QAX53" s="489"/>
      <c r="QAY53" s="489"/>
      <c r="QAZ53" s="489"/>
      <c r="QBA53" s="489"/>
      <c r="QBB53" s="489"/>
      <c r="QBC53" s="489"/>
      <c r="QBD53" s="489"/>
      <c r="QBE53" s="489"/>
      <c r="QBF53" s="489"/>
      <c r="QBG53" s="489"/>
      <c r="QBH53" s="489"/>
      <c r="QBI53" s="489"/>
      <c r="QBJ53" s="489"/>
      <c r="QBK53" s="489"/>
      <c r="QBL53" s="489"/>
      <c r="QBM53" s="489"/>
      <c r="QBN53" s="489"/>
      <c r="QBO53" s="489"/>
      <c r="QBP53" s="489"/>
      <c r="QBQ53" s="489"/>
      <c r="QBR53" s="489"/>
      <c r="QBS53" s="489"/>
      <c r="QBT53" s="489"/>
      <c r="QBU53" s="489"/>
      <c r="QBV53" s="489"/>
      <c r="QBW53" s="489"/>
      <c r="QBX53" s="489"/>
      <c r="QBY53" s="489"/>
      <c r="QBZ53" s="489"/>
      <c r="QCA53" s="489"/>
      <c r="QCB53" s="489"/>
      <c r="QCC53" s="489"/>
      <c r="QCD53" s="489"/>
      <c r="QCE53" s="489"/>
      <c r="QCF53" s="489"/>
      <c r="QCG53" s="489"/>
      <c r="QCH53" s="489"/>
      <c r="QCI53" s="489"/>
      <c r="QCJ53" s="489"/>
      <c r="QCK53" s="489"/>
      <c r="QCL53" s="489"/>
      <c r="QCM53" s="489"/>
      <c r="QCN53" s="489"/>
      <c r="QCO53" s="489"/>
      <c r="QCP53" s="489"/>
      <c r="QCQ53" s="489"/>
      <c r="QCR53" s="489"/>
      <c r="QCS53" s="489"/>
      <c r="QCT53" s="489"/>
      <c r="QCU53" s="489"/>
      <c r="QCV53" s="489"/>
      <c r="QCW53" s="489"/>
      <c r="QCX53" s="489"/>
      <c r="QCY53" s="489"/>
      <c r="QCZ53" s="489"/>
      <c r="QDA53" s="489"/>
      <c r="QDB53" s="489"/>
      <c r="QDC53" s="489"/>
      <c r="QDD53" s="489"/>
      <c r="QDE53" s="489"/>
      <c r="QDF53" s="489"/>
      <c r="QDG53" s="489"/>
      <c r="QDH53" s="489"/>
      <c r="QDI53" s="489"/>
      <c r="QDJ53" s="489"/>
      <c r="QDK53" s="489"/>
      <c r="QDL53" s="489"/>
      <c r="QDM53" s="489"/>
      <c r="QDN53" s="489"/>
      <c r="QDO53" s="489"/>
      <c r="QDP53" s="489"/>
      <c r="QDQ53" s="489"/>
      <c r="QDR53" s="489"/>
      <c r="QDS53" s="489"/>
      <c r="QDT53" s="489"/>
      <c r="QDU53" s="489"/>
      <c r="QDV53" s="489"/>
      <c r="QDW53" s="489"/>
      <c r="QDX53" s="489"/>
      <c r="QDY53" s="489"/>
      <c r="QDZ53" s="489"/>
      <c r="QEA53" s="489"/>
      <c r="QEB53" s="489"/>
      <c r="QEC53" s="489"/>
      <c r="QED53" s="489"/>
      <c r="QEE53" s="489"/>
      <c r="QEF53" s="489"/>
      <c r="QEG53" s="489"/>
      <c r="QEH53" s="489"/>
      <c r="QEI53" s="489"/>
      <c r="QEJ53" s="489"/>
      <c r="QEK53" s="489"/>
      <c r="QEL53" s="489"/>
      <c r="QEM53" s="489"/>
      <c r="QEN53" s="489"/>
      <c r="QEO53" s="489"/>
      <c r="QEP53" s="489"/>
      <c r="QEQ53" s="489"/>
      <c r="QER53" s="489"/>
      <c r="QES53" s="489"/>
      <c r="QET53" s="489"/>
      <c r="QEU53" s="489"/>
      <c r="QEV53" s="489"/>
      <c r="QEW53" s="489"/>
      <c r="QEX53" s="489"/>
      <c r="QEY53" s="489"/>
      <c r="QEZ53" s="489"/>
      <c r="QFA53" s="489"/>
      <c r="QFB53" s="489"/>
      <c r="QFC53" s="489"/>
      <c r="QFD53" s="489"/>
      <c r="QFE53" s="489"/>
      <c r="QFF53" s="489"/>
      <c r="QFG53" s="489"/>
      <c r="QFH53" s="489"/>
      <c r="QFI53" s="489"/>
      <c r="QFJ53" s="489"/>
      <c r="QFK53" s="489"/>
      <c r="QFL53" s="489"/>
      <c r="QFM53" s="489"/>
      <c r="QFN53" s="489"/>
      <c r="QFO53" s="489"/>
      <c r="QFP53" s="489"/>
      <c r="QFQ53" s="489"/>
      <c r="QFR53" s="489"/>
      <c r="QFS53" s="489"/>
      <c r="QFT53" s="489"/>
      <c r="QFU53" s="489"/>
      <c r="QFV53" s="489"/>
      <c r="QFW53" s="489"/>
      <c r="QFX53" s="489"/>
      <c r="QFY53" s="489"/>
      <c r="QFZ53" s="489"/>
      <c r="QGA53" s="489"/>
      <c r="QGB53" s="489"/>
      <c r="QGC53" s="489"/>
      <c r="QGD53" s="489"/>
      <c r="QGE53" s="489"/>
      <c r="QGF53" s="489"/>
      <c r="QGG53" s="489"/>
      <c r="QGH53" s="489"/>
      <c r="QGI53" s="489"/>
      <c r="QGJ53" s="489"/>
      <c r="QGK53" s="489"/>
      <c r="QGL53" s="489"/>
      <c r="QGM53" s="489"/>
      <c r="QGN53" s="489"/>
      <c r="QGO53" s="489"/>
      <c r="QGP53" s="489"/>
      <c r="QGQ53" s="489"/>
      <c r="QGR53" s="489"/>
      <c r="QGS53" s="489"/>
      <c r="QGT53" s="489"/>
      <c r="QGU53" s="489"/>
      <c r="QGV53" s="489"/>
      <c r="QGW53" s="489"/>
      <c r="QGX53" s="489"/>
      <c r="QGY53" s="489"/>
      <c r="QGZ53" s="489"/>
      <c r="QHA53" s="489"/>
      <c r="QHB53" s="489"/>
      <c r="QHC53" s="489"/>
      <c r="QHD53" s="489"/>
      <c r="QHE53" s="489"/>
      <c r="QHF53" s="489"/>
      <c r="QHG53" s="489"/>
      <c r="QHH53" s="489"/>
      <c r="QHI53" s="489"/>
      <c r="QHJ53" s="489"/>
      <c r="QHK53" s="489"/>
      <c r="QHL53" s="489"/>
      <c r="QHM53" s="489"/>
      <c r="QHN53" s="489"/>
      <c r="QHO53" s="489"/>
      <c r="QHP53" s="489"/>
      <c r="QHQ53" s="489"/>
      <c r="QHR53" s="489"/>
      <c r="QHS53" s="489"/>
      <c r="QHT53" s="489"/>
      <c r="QHU53" s="489"/>
      <c r="QHV53" s="489"/>
      <c r="QHW53" s="489"/>
      <c r="QHX53" s="489"/>
      <c r="QHY53" s="489"/>
      <c r="QHZ53" s="489"/>
      <c r="QIA53" s="489"/>
      <c r="QIB53" s="489"/>
      <c r="QIC53" s="489"/>
      <c r="QID53" s="489"/>
      <c r="QIE53" s="489"/>
      <c r="QIF53" s="489"/>
      <c r="QIG53" s="489"/>
      <c r="QIH53" s="489"/>
      <c r="QII53" s="489"/>
      <c r="QIJ53" s="489"/>
      <c r="QIK53" s="489"/>
      <c r="QIL53" s="489"/>
      <c r="QIM53" s="489"/>
      <c r="QIN53" s="489"/>
      <c r="QIO53" s="489"/>
      <c r="QIP53" s="489"/>
      <c r="QIQ53" s="489"/>
      <c r="QIR53" s="489"/>
      <c r="QIS53" s="489"/>
      <c r="QIT53" s="489"/>
      <c r="QIU53" s="489"/>
      <c r="QIV53" s="489"/>
      <c r="QIW53" s="489"/>
      <c r="QIX53" s="489"/>
      <c r="QIY53" s="489"/>
      <c r="QIZ53" s="489"/>
      <c r="QJA53" s="489"/>
      <c r="QJB53" s="489"/>
      <c r="QJC53" s="489"/>
      <c r="QJD53" s="489"/>
      <c r="QJE53" s="489"/>
      <c r="QJF53" s="489"/>
      <c r="QJG53" s="489"/>
      <c r="QJH53" s="489"/>
      <c r="QJI53" s="489"/>
      <c r="QJJ53" s="489"/>
      <c r="QJK53" s="489"/>
      <c r="QJL53" s="489"/>
      <c r="QJM53" s="489"/>
      <c r="QJN53" s="489"/>
      <c r="QJO53" s="489"/>
      <c r="QJP53" s="489"/>
      <c r="QJQ53" s="489"/>
      <c r="QJR53" s="489"/>
      <c r="QJS53" s="489"/>
      <c r="QJT53" s="489"/>
      <c r="QJU53" s="489"/>
      <c r="QJV53" s="489"/>
      <c r="QJW53" s="489"/>
      <c r="QJX53" s="489"/>
      <c r="QJY53" s="489"/>
      <c r="QJZ53" s="489"/>
      <c r="QKA53" s="489"/>
      <c r="QKB53" s="489"/>
      <c r="QKC53" s="489"/>
      <c r="QKD53" s="489"/>
      <c r="QKE53" s="489"/>
      <c r="QKF53" s="489"/>
      <c r="QKG53" s="489"/>
      <c r="QKH53" s="489"/>
      <c r="QKI53" s="489"/>
      <c r="QKJ53" s="489"/>
      <c r="QKK53" s="489"/>
      <c r="QKL53" s="489"/>
      <c r="QKM53" s="489"/>
      <c r="QKN53" s="489"/>
      <c r="QKO53" s="489"/>
      <c r="QKP53" s="489"/>
      <c r="QKQ53" s="489"/>
      <c r="QKR53" s="489"/>
      <c r="QKS53" s="489"/>
      <c r="QKT53" s="489"/>
      <c r="QKU53" s="489"/>
      <c r="QKV53" s="489"/>
      <c r="QKW53" s="489"/>
      <c r="QKX53" s="489"/>
      <c r="QKY53" s="489"/>
      <c r="QKZ53" s="489"/>
      <c r="QLA53" s="489"/>
      <c r="QLB53" s="489"/>
      <c r="QLC53" s="489"/>
      <c r="QLD53" s="489"/>
      <c r="QLE53" s="489"/>
      <c r="QLF53" s="489"/>
      <c r="QLG53" s="489"/>
      <c r="QLH53" s="489"/>
      <c r="QLI53" s="489"/>
      <c r="QLJ53" s="489"/>
      <c r="QLK53" s="489"/>
      <c r="QLL53" s="489"/>
      <c r="QLM53" s="489"/>
      <c r="QLN53" s="489"/>
      <c r="QLO53" s="489"/>
      <c r="QLP53" s="489"/>
      <c r="QLQ53" s="489"/>
      <c r="QLR53" s="489"/>
      <c r="QLS53" s="489"/>
      <c r="QLT53" s="489"/>
      <c r="QLU53" s="489"/>
      <c r="QLV53" s="489"/>
      <c r="QLW53" s="489"/>
      <c r="QLX53" s="489"/>
      <c r="QLY53" s="489"/>
      <c r="QLZ53" s="489"/>
      <c r="QMA53" s="489"/>
      <c r="QMB53" s="489"/>
      <c r="QMC53" s="489"/>
      <c r="QMD53" s="489"/>
      <c r="QME53" s="489"/>
      <c r="QMF53" s="489"/>
      <c r="QMG53" s="489"/>
      <c r="QMH53" s="489"/>
      <c r="QMI53" s="489"/>
      <c r="QMJ53" s="489"/>
      <c r="QMK53" s="489"/>
      <c r="QML53" s="489"/>
      <c r="QMM53" s="489"/>
      <c r="QMN53" s="489"/>
      <c r="QMO53" s="489"/>
      <c r="QMP53" s="489"/>
      <c r="QMQ53" s="489"/>
      <c r="QMR53" s="489"/>
      <c r="QMS53" s="489"/>
      <c r="QMT53" s="489"/>
      <c r="QMU53" s="489"/>
      <c r="QMV53" s="489"/>
      <c r="QMW53" s="489"/>
      <c r="QMX53" s="489"/>
      <c r="QMY53" s="489"/>
      <c r="QMZ53" s="489"/>
      <c r="QNA53" s="489"/>
      <c r="QNB53" s="489"/>
      <c r="QNC53" s="489"/>
      <c r="QND53" s="489"/>
      <c r="QNE53" s="489"/>
      <c r="QNF53" s="489"/>
      <c r="QNG53" s="489"/>
      <c r="QNH53" s="489"/>
      <c r="QNI53" s="489"/>
      <c r="QNJ53" s="489"/>
      <c r="QNK53" s="489"/>
      <c r="QNL53" s="489"/>
      <c r="QNM53" s="489"/>
      <c r="QNN53" s="489"/>
      <c r="QNO53" s="489"/>
      <c r="QNP53" s="489"/>
      <c r="QNQ53" s="489"/>
      <c r="QNR53" s="489"/>
      <c r="QNS53" s="489"/>
      <c r="QNT53" s="489"/>
      <c r="QNU53" s="489"/>
      <c r="QNV53" s="489"/>
      <c r="QNW53" s="489"/>
      <c r="QNX53" s="489"/>
      <c r="QNY53" s="489"/>
      <c r="QNZ53" s="489"/>
      <c r="QOA53" s="489"/>
      <c r="QOB53" s="489"/>
      <c r="QOC53" s="489"/>
      <c r="QOD53" s="489"/>
      <c r="QOE53" s="489"/>
      <c r="QOF53" s="489"/>
      <c r="QOG53" s="489"/>
      <c r="QOH53" s="489"/>
      <c r="QOI53" s="489"/>
      <c r="QOJ53" s="489"/>
      <c r="QOK53" s="489"/>
      <c r="QOL53" s="489"/>
      <c r="QOM53" s="489"/>
      <c r="QON53" s="489"/>
      <c r="QOO53" s="489"/>
      <c r="QOP53" s="489"/>
      <c r="QOQ53" s="489"/>
      <c r="QOR53" s="489"/>
      <c r="QOS53" s="489"/>
      <c r="QOT53" s="489"/>
      <c r="QOU53" s="489"/>
      <c r="QOV53" s="489"/>
      <c r="QOW53" s="489"/>
      <c r="QOX53" s="489"/>
      <c r="QOY53" s="489"/>
      <c r="QOZ53" s="489"/>
      <c r="QPA53" s="489"/>
      <c r="QPB53" s="489"/>
      <c r="QPC53" s="489"/>
      <c r="QPD53" s="489"/>
      <c r="QPE53" s="489"/>
      <c r="QPF53" s="489"/>
      <c r="QPG53" s="489"/>
      <c r="QPH53" s="489"/>
      <c r="QPI53" s="489"/>
      <c r="QPJ53" s="489"/>
      <c r="QPK53" s="489"/>
      <c r="QPL53" s="489"/>
      <c r="QPM53" s="489"/>
      <c r="QPN53" s="489"/>
      <c r="QPO53" s="489"/>
      <c r="QPP53" s="489"/>
      <c r="QPQ53" s="489"/>
      <c r="QPR53" s="489"/>
      <c r="QPS53" s="489"/>
      <c r="QPT53" s="489"/>
      <c r="QPU53" s="489"/>
      <c r="QPV53" s="489"/>
      <c r="QPW53" s="489"/>
      <c r="QPX53" s="489"/>
      <c r="QPY53" s="489"/>
      <c r="QPZ53" s="489"/>
      <c r="QQA53" s="489"/>
      <c r="QQB53" s="489"/>
      <c r="QQC53" s="489"/>
      <c r="QQD53" s="489"/>
      <c r="QQE53" s="489"/>
      <c r="QQF53" s="489"/>
      <c r="QQG53" s="489"/>
      <c r="QQH53" s="489"/>
      <c r="QQI53" s="489"/>
      <c r="QQJ53" s="489"/>
      <c r="QQK53" s="489"/>
      <c r="QQL53" s="489"/>
      <c r="QQM53" s="489"/>
      <c r="QQN53" s="489"/>
      <c r="QQO53" s="489"/>
      <c r="QQP53" s="489"/>
      <c r="QQQ53" s="489"/>
      <c r="QQR53" s="489"/>
      <c r="QQS53" s="489"/>
      <c r="QQT53" s="489"/>
      <c r="QQU53" s="489"/>
      <c r="QQV53" s="489"/>
      <c r="QQW53" s="489"/>
      <c r="QQX53" s="489"/>
      <c r="QQY53" s="489"/>
      <c r="QQZ53" s="489"/>
      <c r="QRA53" s="489"/>
      <c r="QRB53" s="489"/>
      <c r="QRC53" s="489"/>
      <c r="QRD53" s="489"/>
      <c r="QRE53" s="489"/>
      <c r="QRF53" s="489"/>
      <c r="QRG53" s="489"/>
      <c r="QRH53" s="489"/>
      <c r="QRI53" s="489"/>
      <c r="QRJ53" s="489"/>
      <c r="QRK53" s="489"/>
      <c r="QRL53" s="489"/>
      <c r="QRM53" s="489"/>
      <c r="QRN53" s="489"/>
      <c r="QRO53" s="489"/>
      <c r="QRP53" s="489"/>
      <c r="QRQ53" s="489"/>
      <c r="QRR53" s="489"/>
      <c r="QRS53" s="489"/>
      <c r="QRT53" s="489"/>
      <c r="QRU53" s="489"/>
      <c r="QRV53" s="489"/>
      <c r="QRW53" s="489"/>
      <c r="QRX53" s="489"/>
      <c r="QRY53" s="489"/>
      <c r="QRZ53" s="489"/>
      <c r="QSA53" s="489"/>
      <c r="QSB53" s="489"/>
      <c r="QSC53" s="489"/>
      <c r="QSD53" s="489"/>
      <c r="QSE53" s="489"/>
      <c r="QSF53" s="489"/>
      <c r="QSG53" s="489"/>
      <c r="QSH53" s="489"/>
      <c r="QSI53" s="489"/>
      <c r="QSJ53" s="489"/>
      <c r="QSK53" s="489"/>
      <c r="QSL53" s="489"/>
      <c r="QSM53" s="489"/>
      <c r="QSN53" s="489"/>
      <c r="QSO53" s="489"/>
      <c r="QSP53" s="489"/>
      <c r="QSQ53" s="489"/>
      <c r="QSR53" s="489"/>
      <c r="QSS53" s="489"/>
      <c r="QST53" s="489"/>
      <c r="QSU53" s="489"/>
      <c r="QSV53" s="489"/>
      <c r="QSW53" s="489"/>
      <c r="QSX53" s="489"/>
      <c r="QSY53" s="489"/>
      <c r="QSZ53" s="489"/>
      <c r="QTA53" s="489"/>
      <c r="QTB53" s="489"/>
      <c r="QTC53" s="489"/>
      <c r="QTD53" s="489"/>
      <c r="QTE53" s="489"/>
      <c r="QTF53" s="489"/>
      <c r="QTG53" s="489"/>
      <c r="QTH53" s="489"/>
      <c r="QTI53" s="489"/>
      <c r="QTJ53" s="489"/>
      <c r="QTK53" s="489"/>
      <c r="QTL53" s="489"/>
      <c r="QTM53" s="489"/>
      <c r="QTN53" s="489"/>
      <c r="QTO53" s="489"/>
      <c r="QTP53" s="489"/>
      <c r="QTQ53" s="489"/>
      <c r="QTR53" s="489"/>
      <c r="QTS53" s="489"/>
      <c r="QTT53" s="489"/>
      <c r="QTU53" s="489"/>
      <c r="QTV53" s="489"/>
      <c r="QTW53" s="489"/>
      <c r="QTX53" s="489"/>
      <c r="QTY53" s="489"/>
      <c r="QTZ53" s="489"/>
      <c r="QUA53" s="489"/>
      <c r="QUB53" s="489"/>
      <c r="QUC53" s="489"/>
      <c r="QUD53" s="489"/>
      <c r="QUE53" s="489"/>
      <c r="QUF53" s="489"/>
      <c r="QUG53" s="489"/>
      <c r="QUH53" s="489"/>
      <c r="QUI53" s="489"/>
      <c r="QUJ53" s="489"/>
      <c r="QUK53" s="489"/>
      <c r="QUL53" s="489"/>
      <c r="QUM53" s="489"/>
      <c r="QUN53" s="489"/>
      <c r="QUO53" s="489"/>
      <c r="QUP53" s="489"/>
      <c r="QUQ53" s="489"/>
      <c r="QUR53" s="489"/>
      <c r="QUS53" s="489"/>
      <c r="QUT53" s="489"/>
      <c r="QUU53" s="489"/>
      <c r="QUV53" s="489"/>
      <c r="QUW53" s="489"/>
      <c r="QUX53" s="489"/>
      <c r="QUY53" s="489"/>
      <c r="QUZ53" s="489"/>
      <c r="QVA53" s="489"/>
      <c r="QVB53" s="489"/>
      <c r="QVC53" s="489"/>
      <c r="QVD53" s="489"/>
      <c r="QVE53" s="489"/>
      <c r="QVF53" s="489"/>
      <c r="QVG53" s="489"/>
      <c r="QVH53" s="489"/>
      <c r="QVI53" s="489"/>
      <c r="QVJ53" s="489"/>
      <c r="QVK53" s="489"/>
      <c r="QVL53" s="489"/>
      <c r="QVM53" s="489"/>
      <c r="QVN53" s="489"/>
      <c r="QVO53" s="489"/>
      <c r="QVP53" s="489"/>
      <c r="QVQ53" s="489"/>
      <c r="QVR53" s="489"/>
      <c r="QVS53" s="489"/>
      <c r="QVT53" s="489"/>
      <c r="QVU53" s="489"/>
      <c r="QVV53" s="489"/>
      <c r="QVW53" s="489"/>
      <c r="QVX53" s="489"/>
      <c r="QVY53" s="489"/>
      <c r="QVZ53" s="489"/>
      <c r="QWA53" s="489"/>
      <c r="QWB53" s="489"/>
      <c r="QWC53" s="489"/>
      <c r="QWD53" s="489"/>
      <c r="QWE53" s="489"/>
      <c r="QWF53" s="489"/>
      <c r="QWG53" s="489"/>
      <c r="QWH53" s="489"/>
      <c r="QWI53" s="489"/>
      <c r="QWJ53" s="489"/>
      <c r="QWK53" s="489"/>
      <c r="QWL53" s="489"/>
      <c r="QWM53" s="489"/>
      <c r="QWN53" s="489"/>
      <c r="QWO53" s="489"/>
      <c r="QWP53" s="489"/>
      <c r="QWQ53" s="489"/>
      <c r="QWR53" s="489"/>
      <c r="QWS53" s="489"/>
      <c r="QWT53" s="489"/>
      <c r="QWU53" s="489"/>
      <c r="QWV53" s="489"/>
      <c r="QWW53" s="489"/>
      <c r="QWX53" s="489"/>
      <c r="QWY53" s="489"/>
      <c r="QWZ53" s="489"/>
      <c r="QXA53" s="489"/>
      <c r="QXB53" s="489"/>
      <c r="QXC53" s="489"/>
      <c r="QXD53" s="489"/>
      <c r="QXE53" s="489"/>
      <c r="QXF53" s="489"/>
      <c r="QXG53" s="489"/>
      <c r="QXH53" s="489"/>
      <c r="QXI53" s="489"/>
      <c r="QXJ53" s="489"/>
      <c r="QXK53" s="489"/>
      <c r="QXL53" s="489"/>
      <c r="QXM53" s="489"/>
      <c r="QXN53" s="489"/>
      <c r="QXO53" s="489"/>
      <c r="QXP53" s="489"/>
      <c r="QXQ53" s="489"/>
      <c r="QXR53" s="489"/>
      <c r="QXS53" s="489"/>
      <c r="QXT53" s="489"/>
      <c r="QXU53" s="489"/>
      <c r="QXV53" s="489"/>
      <c r="QXW53" s="489"/>
      <c r="QXX53" s="489"/>
      <c r="QXY53" s="489"/>
      <c r="QXZ53" s="489"/>
      <c r="QYA53" s="489"/>
      <c r="QYB53" s="489"/>
      <c r="QYC53" s="489"/>
      <c r="QYD53" s="489"/>
      <c r="QYE53" s="489"/>
      <c r="QYF53" s="489"/>
      <c r="QYG53" s="489"/>
      <c r="QYH53" s="489"/>
      <c r="QYI53" s="489"/>
      <c r="QYJ53" s="489"/>
      <c r="QYK53" s="489"/>
      <c r="QYL53" s="489"/>
      <c r="QYM53" s="489"/>
      <c r="QYN53" s="489"/>
      <c r="QYO53" s="489"/>
      <c r="QYP53" s="489"/>
      <c r="QYQ53" s="489"/>
      <c r="QYR53" s="489"/>
      <c r="QYS53" s="489"/>
      <c r="QYT53" s="489"/>
      <c r="QYU53" s="489"/>
      <c r="QYV53" s="489"/>
      <c r="QYW53" s="489"/>
      <c r="QYX53" s="489"/>
      <c r="QYY53" s="489"/>
      <c r="QYZ53" s="489"/>
      <c r="QZA53" s="489"/>
      <c r="QZB53" s="489"/>
      <c r="QZC53" s="489"/>
      <c r="QZD53" s="489"/>
      <c r="QZE53" s="489"/>
      <c r="QZF53" s="489"/>
      <c r="QZG53" s="489"/>
      <c r="QZH53" s="489"/>
      <c r="QZI53" s="489"/>
      <c r="QZJ53" s="489"/>
      <c r="QZK53" s="489"/>
      <c r="QZL53" s="489"/>
      <c r="QZM53" s="489"/>
      <c r="QZN53" s="489"/>
      <c r="QZO53" s="489"/>
      <c r="QZP53" s="489"/>
      <c r="QZQ53" s="489"/>
      <c r="QZR53" s="489"/>
      <c r="QZS53" s="489"/>
      <c r="QZT53" s="489"/>
      <c r="QZU53" s="489"/>
      <c r="QZV53" s="489"/>
      <c r="QZW53" s="489"/>
      <c r="QZX53" s="489"/>
      <c r="QZY53" s="489"/>
      <c r="QZZ53" s="489"/>
      <c r="RAA53" s="489"/>
      <c r="RAB53" s="489"/>
      <c r="RAC53" s="489"/>
      <c r="RAD53" s="489"/>
      <c r="RAE53" s="489"/>
      <c r="RAF53" s="489"/>
      <c r="RAG53" s="489"/>
      <c r="RAH53" s="489"/>
      <c r="RAI53" s="489"/>
      <c r="RAJ53" s="489"/>
      <c r="RAK53" s="489"/>
      <c r="RAL53" s="489"/>
      <c r="RAM53" s="489"/>
      <c r="RAN53" s="489"/>
      <c r="RAO53" s="489"/>
      <c r="RAP53" s="489"/>
      <c r="RAQ53" s="489"/>
      <c r="RAR53" s="489"/>
      <c r="RAS53" s="489"/>
      <c r="RAT53" s="489"/>
      <c r="RAU53" s="489"/>
      <c r="RAV53" s="489"/>
      <c r="RAW53" s="489"/>
      <c r="RAX53" s="489"/>
      <c r="RAY53" s="489"/>
      <c r="RAZ53" s="489"/>
      <c r="RBA53" s="489"/>
      <c r="RBB53" s="489"/>
      <c r="RBC53" s="489"/>
      <c r="RBD53" s="489"/>
      <c r="RBE53" s="489"/>
      <c r="RBF53" s="489"/>
      <c r="RBG53" s="489"/>
      <c r="RBH53" s="489"/>
      <c r="RBI53" s="489"/>
      <c r="RBJ53" s="489"/>
      <c r="RBK53" s="489"/>
      <c r="RBL53" s="489"/>
      <c r="RBM53" s="489"/>
      <c r="RBN53" s="489"/>
      <c r="RBO53" s="489"/>
      <c r="RBP53" s="489"/>
      <c r="RBQ53" s="489"/>
      <c r="RBR53" s="489"/>
      <c r="RBS53" s="489"/>
      <c r="RBT53" s="489"/>
      <c r="RBU53" s="489"/>
      <c r="RBV53" s="489"/>
      <c r="RBW53" s="489"/>
      <c r="RBX53" s="489"/>
      <c r="RBY53" s="489"/>
      <c r="RBZ53" s="489"/>
      <c r="RCA53" s="489"/>
      <c r="RCB53" s="489"/>
      <c r="RCC53" s="489"/>
      <c r="RCD53" s="489"/>
      <c r="RCE53" s="489"/>
      <c r="RCF53" s="489"/>
      <c r="RCG53" s="489"/>
      <c r="RCH53" s="489"/>
      <c r="RCI53" s="489"/>
      <c r="RCJ53" s="489"/>
      <c r="RCK53" s="489"/>
      <c r="RCL53" s="489"/>
      <c r="RCM53" s="489"/>
      <c r="RCN53" s="489"/>
      <c r="RCO53" s="489"/>
      <c r="RCP53" s="489"/>
      <c r="RCQ53" s="489"/>
      <c r="RCR53" s="489"/>
      <c r="RCS53" s="489"/>
      <c r="RCT53" s="489"/>
      <c r="RCU53" s="489"/>
      <c r="RCV53" s="489"/>
      <c r="RCW53" s="489"/>
      <c r="RCX53" s="489"/>
      <c r="RCY53" s="489"/>
      <c r="RCZ53" s="489"/>
      <c r="RDA53" s="489"/>
      <c r="RDB53" s="489"/>
      <c r="RDC53" s="489"/>
      <c r="RDD53" s="489"/>
      <c r="RDE53" s="489"/>
      <c r="RDF53" s="489"/>
      <c r="RDG53" s="489"/>
      <c r="RDH53" s="489"/>
      <c r="RDI53" s="489"/>
      <c r="RDJ53" s="489"/>
      <c r="RDK53" s="489"/>
      <c r="RDL53" s="489"/>
      <c r="RDM53" s="489"/>
      <c r="RDN53" s="489"/>
      <c r="RDO53" s="489"/>
      <c r="RDP53" s="489"/>
      <c r="RDQ53" s="489"/>
      <c r="RDR53" s="489"/>
      <c r="RDS53" s="489"/>
      <c r="RDT53" s="489"/>
      <c r="RDU53" s="489"/>
      <c r="RDV53" s="489"/>
      <c r="RDW53" s="489"/>
      <c r="RDX53" s="489"/>
      <c r="RDY53" s="489"/>
      <c r="RDZ53" s="489"/>
      <c r="REA53" s="489"/>
      <c r="REB53" s="489"/>
      <c r="REC53" s="489"/>
      <c r="RED53" s="489"/>
      <c r="REE53" s="489"/>
      <c r="REF53" s="489"/>
      <c r="REG53" s="489"/>
      <c r="REH53" s="489"/>
      <c r="REI53" s="489"/>
      <c r="REJ53" s="489"/>
      <c r="REK53" s="489"/>
      <c r="REL53" s="489"/>
      <c r="REM53" s="489"/>
      <c r="REN53" s="489"/>
      <c r="REO53" s="489"/>
      <c r="REP53" s="489"/>
      <c r="REQ53" s="489"/>
      <c r="RER53" s="489"/>
      <c r="RES53" s="489"/>
      <c r="RET53" s="489"/>
      <c r="REU53" s="489"/>
      <c r="REV53" s="489"/>
      <c r="REW53" s="489"/>
      <c r="REX53" s="489"/>
      <c r="REY53" s="489"/>
      <c r="REZ53" s="489"/>
      <c r="RFA53" s="489"/>
      <c r="RFB53" s="489"/>
      <c r="RFC53" s="489"/>
      <c r="RFD53" s="489"/>
      <c r="RFE53" s="489"/>
      <c r="RFF53" s="489"/>
      <c r="RFG53" s="489"/>
      <c r="RFH53" s="489"/>
      <c r="RFI53" s="489"/>
      <c r="RFJ53" s="489"/>
      <c r="RFK53" s="489"/>
      <c r="RFL53" s="489"/>
      <c r="RFM53" s="489"/>
      <c r="RFN53" s="489"/>
      <c r="RFO53" s="489"/>
      <c r="RFP53" s="489"/>
      <c r="RFQ53" s="489"/>
      <c r="RFR53" s="489"/>
      <c r="RFS53" s="489"/>
      <c r="RFT53" s="489"/>
      <c r="RFU53" s="489"/>
      <c r="RFV53" s="489"/>
      <c r="RFW53" s="489"/>
      <c r="RFX53" s="489"/>
      <c r="RFY53" s="489"/>
      <c r="RFZ53" s="489"/>
      <c r="RGA53" s="489"/>
      <c r="RGB53" s="489"/>
      <c r="RGC53" s="489"/>
      <c r="RGD53" s="489"/>
      <c r="RGE53" s="489"/>
      <c r="RGF53" s="489"/>
      <c r="RGG53" s="489"/>
      <c r="RGH53" s="489"/>
      <c r="RGI53" s="489"/>
      <c r="RGJ53" s="489"/>
      <c r="RGK53" s="489"/>
      <c r="RGL53" s="489"/>
      <c r="RGM53" s="489"/>
      <c r="RGN53" s="489"/>
      <c r="RGO53" s="489"/>
      <c r="RGP53" s="489"/>
      <c r="RGQ53" s="489"/>
      <c r="RGR53" s="489"/>
      <c r="RGS53" s="489"/>
      <c r="RGT53" s="489"/>
      <c r="RGU53" s="489"/>
      <c r="RGV53" s="489"/>
      <c r="RGW53" s="489"/>
      <c r="RGX53" s="489"/>
      <c r="RGY53" s="489"/>
      <c r="RGZ53" s="489"/>
      <c r="RHA53" s="489"/>
      <c r="RHB53" s="489"/>
      <c r="RHC53" s="489"/>
      <c r="RHD53" s="489"/>
      <c r="RHE53" s="489"/>
      <c r="RHF53" s="489"/>
      <c r="RHG53" s="489"/>
      <c r="RHH53" s="489"/>
      <c r="RHI53" s="489"/>
      <c r="RHJ53" s="489"/>
      <c r="RHK53" s="489"/>
      <c r="RHL53" s="489"/>
      <c r="RHM53" s="489"/>
      <c r="RHN53" s="489"/>
      <c r="RHO53" s="489"/>
      <c r="RHP53" s="489"/>
      <c r="RHQ53" s="489"/>
      <c r="RHR53" s="489"/>
      <c r="RHS53" s="489"/>
      <c r="RHT53" s="489"/>
      <c r="RHU53" s="489"/>
      <c r="RHV53" s="489"/>
      <c r="RHW53" s="489"/>
      <c r="RHX53" s="489"/>
      <c r="RHY53" s="489"/>
      <c r="RHZ53" s="489"/>
      <c r="RIA53" s="489"/>
      <c r="RIB53" s="489"/>
      <c r="RIC53" s="489"/>
      <c r="RID53" s="489"/>
      <c r="RIE53" s="489"/>
      <c r="RIF53" s="489"/>
      <c r="RIG53" s="489"/>
      <c r="RIH53" s="489"/>
      <c r="RII53" s="489"/>
      <c r="RIJ53" s="489"/>
      <c r="RIK53" s="489"/>
      <c r="RIL53" s="489"/>
      <c r="RIM53" s="489"/>
      <c r="RIN53" s="489"/>
      <c r="RIO53" s="489"/>
      <c r="RIP53" s="489"/>
      <c r="RIQ53" s="489"/>
      <c r="RIR53" s="489"/>
      <c r="RIS53" s="489"/>
      <c r="RIT53" s="489"/>
      <c r="RIU53" s="489"/>
      <c r="RIV53" s="489"/>
      <c r="RIW53" s="489"/>
      <c r="RIX53" s="489"/>
      <c r="RIY53" s="489"/>
      <c r="RIZ53" s="489"/>
      <c r="RJA53" s="489"/>
      <c r="RJB53" s="489"/>
      <c r="RJC53" s="489"/>
      <c r="RJD53" s="489"/>
      <c r="RJE53" s="489"/>
      <c r="RJF53" s="489"/>
      <c r="RJG53" s="489"/>
      <c r="RJH53" s="489"/>
      <c r="RJI53" s="489"/>
      <c r="RJJ53" s="489"/>
      <c r="RJK53" s="489"/>
      <c r="RJL53" s="489"/>
      <c r="RJM53" s="489"/>
      <c r="RJN53" s="489"/>
      <c r="RJO53" s="489"/>
      <c r="RJP53" s="489"/>
      <c r="RJQ53" s="489"/>
      <c r="RJR53" s="489"/>
      <c r="RJS53" s="489"/>
      <c r="RJT53" s="489"/>
      <c r="RJU53" s="489"/>
      <c r="RJV53" s="489"/>
      <c r="RJW53" s="489"/>
      <c r="RJX53" s="489"/>
      <c r="RJY53" s="489"/>
      <c r="RJZ53" s="489"/>
      <c r="RKA53" s="489"/>
      <c r="RKB53" s="489"/>
      <c r="RKC53" s="489"/>
      <c r="RKD53" s="489"/>
      <c r="RKE53" s="489"/>
      <c r="RKF53" s="489"/>
      <c r="RKG53" s="489"/>
      <c r="RKH53" s="489"/>
      <c r="RKI53" s="489"/>
      <c r="RKJ53" s="489"/>
      <c r="RKK53" s="489"/>
      <c r="RKL53" s="489"/>
      <c r="RKM53" s="489"/>
      <c r="RKN53" s="489"/>
      <c r="RKO53" s="489"/>
      <c r="RKP53" s="489"/>
      <c r="RKQ53" s="489"/>
      <c r="RKR53" s="489"/>
      <c r="RKS53" s="489"/>
      <c r="RKT53" s="489"/>
      <c r="RKU53" s="489"/>
      <c r="RKV53" s="489"/>
      <c r="RKW53" s="489"/>
      <c r="RKX53" s="489"/>
      <c r="RKY53" s="489"/>
      <c r="RKZ53" s="489"/>
      <c r="RLA53" s="489"/>
      <c r="RLB53" s="489"/>
      <c r="RLC53" s="489"/>
      <c r="RLD53" s="489"/>
      <c r="RLE53" s="489"/>
      <c r="RLF53" s="489"/>
      <c r="RLG53" s="489"/>
      <c r="RLH53" s="489"/>
      <c r="RLI53" s="489"/>
      <c r="RLJ53" s="489"/>
      <c r="RLK53" s="489"/>
      <c r="RLL53" s="489"/>
      <c r="RLM53" s="489"/>
      <c r="RLN53" s="489"/>
      <c r="RLO53" s="489"/>
      <c r="RLP53" s="489"/>
      <c r="RLQ53" s="489"/>
      <c r="RLR53" s="489"/>
      <c r="RLS53" s="489"/>
      <c r="RLT53" s="489"/>
      <c r="RLU53" s="489"/>
      <c r="RLV53" s="489"/>
      <c r="RLW53" s="489"/>
      <c r="RLX53" s="489"/>
      <c r="RLY53" s="489"/>
      <c r="RLZ53" s="489"/>
      <c r="RMA53" s="489"/>
      <c r="RMB53" s="489"/>
      <c r="RMC53" s="489"/>
      <c r="RMD53" s="489"/>
      <c r="RME53" s="489"/>
      <c r="RMF53" s="489"/>
      <c r="RMG53" s="489"/>
      <c r="RMH53" s="489"/>
      <c r="RMI53" s="489"/>
      <c r="RMJ53" s="489"/>
      <c r="RMK53" s="489"/>
      <c r="RML53" s="489"/>
      <c r="RMM53" s="489"/>
      <c r="RMN53" s="489"/>
      <c r="RMO53" s="489"/>
      <c r="RMP53" s="489"/>
      <c r="RMQ53" s="489"/>
      <c r="RMR53" s="489"/>
      <c r="RMS53" s="489"/>
      <c r="RMT53" s="489"/>
      <c r="RMU53" s="489"/>
      <c r="RMV53" s="489"/>
      <c r="RMW53" s="489"/>
      <c r="RMX53" s="489"/>
      <c r="RMY53" s="489"/>
      <c r="RMZ53" s="489"/>
      <c r="RNA53" s="489"/>
      <c r="RNB53" s="489"/>
      <c r="RNC53" s="489"/>
      <c r="RND53" s="489"/>
      <c r="RNE53" s="489"/>
      <c r="RNF53" s="489"/>
      <c r="RNG53" s="489"/>
      <c r="RNH53" s="489"/>
      <c r="RNI53" s="489"/>
      <c r="RNJ53" s="489"/>
      <c r="RNK53" s="489"/>
      <c r="RNL53" s="489"/>
      <c r="RNM53" s="489"/>
      <c r="RNN53" s="489"/>
      <c r="RNO53" s="489"/>
      <c r="RNP53" s="489"/>
      <c r="RNQ53" s="489"/>
      <c r="RNR53" s="489"/>
      <c r="RNS53" s="489"/>
      <c r="RNT53" s="489"/>
      <c r="RNU53" s="489"/>
      <c r="RNV53" s="489"/>
      <c r="RNW53" s="489"/>
      <c r="RNX53" s="489"/>
      <c r="RNY53" s="489"/>
      <c r="RNZ53" s="489"/>
      <c r="ROA53" s="489"/>
      <c r="ROB53" s="489"/>
      <c r="ROC53" s="489"/>
      <c r="ROD53" s="489"/>
      <c r="ROE53" s="489"/>
      <c r="ROF53" s="489"/>
      <c r="ROG53" s="489"/>
      <c r="ROH53" s="489"/>
      <c r="ROI53" s="489"/>
      <c r="ROJ53" s="489"/>
      <c r="ROK53" s="489"/>
      <c r="ROL53" s="489"/>
      <c r="ROM53" s="489"/>
      <c r="RON53" s="489"/>
      <c r="ROO53" s="489"/>
      <c r="ROP53" s="489"/>
      <c r="ROQ53" s="489"/>
      <c r="ROR53" s="489"/>
      <c r="ROS53" s="489"/>
      <c r="ROT53" s="489"/>
      <c r="ROU53" s="489"/>
      <c r="ROV53" s="489"/>
      <c r="ROW53" s="489"/>
      <c r="ROX53" s="489"/>
      <c r="ROY53" s="489"/>
      <c r="ROZ53" s="489"/>
      <c r="RPA53" s="489"/>
      <c r="RPB53" s="489"/>
      <c r="RPC53" s="489"/>
      <c r="RPD53" s="489"/>
      <c r="RPE53" s="489"/>
      <c r="RPF53" s="489"/>
      <c r="RPG53" s="489"/>
      <c r="RPH53" s="489"/>
      <c r="RPI53" s="489"/>
      <c r="RPJ53" s="489"/>
      <c r="RPK53" s="489"/>
      <c r="RPL53" s="489"/>
      <c r="RPM53" s="489"/>
      <c r="RPN53" s="489"/>
      <c r="RPO53" s="489"/>
      <c r="RPP53" s="489"/>
      <c r="RPQ53" s="489"/>
      <c r="RPR53" s="489"/>
      <c r="RPS53" s="489"/>
      <c r="RPT53" s="489"/>
      <c r="RPU53" s="489"/>
      <c r="RPV53" s="489"/>
      <c r="RPW53" s="489"/>
      <c r="RPX53" s="489"/>
      <c r="RPY53" s="489"/>
      <c r="RPZ53" s="489"/>
      <c r="RQA53" s="489"/>
      <c r="RQB53" s="489"/>
      <c r="RQC53" s="489"/>
      <c r="RQD53" s="489"/>
      <c r="RQE53" s="489"/>
      <c r="RQF53" s="489"/>
      <c r="RQG53" s="489"/>
      <c r="RQH53" s="489"/>
      <c r="RQI53" s="489"/>
      <c r="RQJ53" s="489"/>
      <c r="RQK53" s="489"/>
      <c r="RQL53" s="489"/>
      <c r="RQM53" s="489"/>
      <c r="RQN53" s="489"/>
      <c r="RQO53" s="489"/>
      <c r="RQP53" s="489"/>
      <c r="RQQ53" s="489"/>
      <c r="RQR53" s="489"/>
      <c r="RQS53" s="489"/>
      <c r="RQT53" s="489"/>
      <c r="RQU53" s="489"/>
      <c r="RQV53" s="489"/>
      <c r="RQW53" s="489"/>
      <c r="RQX53" s="489"/>
      <c r="RQY53" s="489"/>
      <c r="RQZ53" s="489"/>
      <c r="RRA53" s="489"/>
      <c r="RRB53" s="489"/>
      <c r="RRC53" s="489"/>
      <c r="RRD53" s="489"/>
      <c r="RRE53" s="489"/>
      <c r="RRF53" s="489"/>
      <c r="RRG53" s="489"/>
      <c r="RRH53" s="489"/>
      <c r="RRI53" s="489"/>
      <c r="RRJ53" s="489"/>
      <c r="RRK53" s="489"/>
      <c r="RRL53" s="489"/>
      <c r="RRM53" s="489"/>
      <c r="RRN53" s="489"/>
      <c r="RRO53" s="489"/>
      <c r="RRP53" s="489"/>
      <c r="RRQ53" s="489"/>
      <c r="RRR53" s="489"/>
      <c r="RRS53" s="489"/>
      <c r="RRT53" s="489"/>
      <c r="RRU53" s="489"/>
      <c r="RRV53" s="489"/>
      <c r="RRW53" s="489"/>
      <c r="RRX53" s="489"/>
      <c r="RRY53" s="489"/>
      <c r="RRZ53" s="489"/>
      <c r="RSA53" s="489"/>
      <c r="RSB53" s="489"/>
      <c r="RSC53" s="489"/>
      <c r="RSD53" s="489"/>
      <c r="RSE53" s="489"/>
      <c r="RSF53" s="489"/>
      <c r="RSG53" s="489"/>
      <c r="RSH53" s="489"/>
      <c r="RSI53" s="489"/>
      <c r="RSJ53" s="489"/>
      <c r="RSK53" s="489"/>
      <c r="RSL53" s="489"/>
      <c r="RSM53" s="489"/>
      <c r="RSN53" s="489"/>
      <c r="RSO53" s="489"/>
      <c r="RSP53" s="489"/>
      <c r="RSQ53" s="489"/>
      <c r="RSR53" s="489"/>
      <c r="RSS53" s="489"/>
      <c r="RST53" s="489"/>
      <c r="RSU53" s="489"/>
      <c r="RSV53" s="489"/>
      <c r="RSW53" s="489"/>
      <c r="RSX53" s="489"/>
      <c r="RSY53" s="489"/>
      <c r="RSZ53" s="489"/>
      <c r="RTA53" s="489"/>
      <c r="RTB53" s="489"/>
      <c r="RTC53" s="489"/>
      <c r="RTD53" s="489"/>
      <c r="RTE53" s="489"/>
      <c r="RTF53" s="489"/>
      <c r="RTG53" s="489"/>
      <c r="RTH53" s="489"/>
      <c r="RTI53" s="489"/>
      <c r="RTJ53" s="489"/>
      <c r="RTK53" s="489"/>
      <c r="RTL53" s="489"/>
      <c r="RTM53" s="489"/>
      <c r="RTN53" s="489"/>
      <c r="RTO53" s="489"/>
      <c r="RTP53" s="489"/>
      <c r="RTQ53" s="489"/>
      <c r="RTR53" s="489"/>
      <c r="RTS53" s="489"/>
      <c r="RTT53" s="489"/>
      <c r="RTU53" s="489"/>
      <c r="RTV53" s="489"/>
      <c r="RTW53" s="489"/>
      <c r="RTX53" s="489"/>
      <c r="RTY53" s="489"/>
      <c r="RTZ53" s="489"/>
      <c r="RUA53" s="489"/>
      <c r="RUB53" s="489"/>
      <c r="RUC53" s="489"/>
      <c r="RUD53" s="489"/>
      <c r="RUE53" s="489"/>
      <c r="RUF53" s="489"/>
      <c r="RUG53" s="489"/>
      <c r="RUH53" s="489"/>
      <c r="RUI53" s="489"/>
      <c r="RUJ53" s="489"/>
      <c r="RUK53" s="489"/>
      <c r="RUL53" s="489"/>
      <c r="RUM53" s="489"/>
      <c r="RUN53" s="489"/>
      <c r="RUO53" s="489"/>
      <c r="RUP53" s="489"/>
      <c r="RUQ53" s="489"/>
      <c r="RUR53" s="489"/>
      <c r="RUS53" s="489"/>
      <c r="RUT53" s="489"/>
      <c r="RUU53" s="489"/>
      <c r="RUV53" s="489"/>
      <c r="RUW53" s="489"/>
      <c r="RUX53" s="489"/>
      <c r="RUY53" s="489"/>
      <c r="RUZ53" s="489"/>
      <c r="RVA53" s="489"/>
      <c r="RVB53" s="489"/>
      <c r="RVC53" s="489"/>
      <c r="RVD53" s="489"/>
      <c r="RVE53" s="489"/>
      <c r="RVF53" s="489"/>
      <c r="RVG53" s="489"/>
      <c r="RVH53" s="489"/>
      <c r="RVI53" s="489"/>
      <c r="RVJ53" s="489"/>
      <c r="RVK53" s="489"/>
      <c r="RVL53" s="489"/>
      <c r="RVM53" s="489"/>
      <c r="RVN53" s="489"/>
      <c r="RVO53" s="489"/>
      <c r="RVP53" s="489"/>
      <c r="RVQ53" s="489"/>
      <c r="RVR53" s="489"/>
      <c r="RVS53" s="489"/>
      <c r="RVT53" s="489"/>
      <c r="RVU53" s="489"/>
      <c r="RVV53" s="489"/>
      <c r="RVW53" s="489"/>
      <c r="RVX53" s="489"/>
      <c r="RVY53" s="489"/>
      <c r="RVZ53" s="489"/>
      <c r="RWA53" s="489"/>
      <c r="RWB53" s="489"/>
      <c r="RWC53" s="489"/>
      <c r="RWD53" s="489"/>
      <c r="RWE53" s="489"/>
      <c r="RWF53" s="489"/>
      <c r="RWG53" s="489"/>
      <c r="RWH53" s="489"/>
      <c r="RWI53" s="489"/>
      <c r="RWJ53" s="489"/>
      <c r="RWK53" s="489"/>
      <c r="RWL53" s="489"/>
      <c r="RWM53" s="489"/>
      <c r="RWN53" s="489"/>
      <c r="RWO53" s="489"/>
      <c r="RWP53" s="489"/>
      <c r="RWQ53" s="489"/>
      <c r="RWR53" s="489"/>
      <c r="RWS53" s="489"/>
      <c r="RWT53" s="489"/>
      <c r="RWU53" s="489"/>
      <c r="RWV53" s="489"/>
      <c r="RWW53" s="489"/>
      <c r="RWX53" s="489"/>
      <c r="RWY53" s="489"/>
      <c r="RWZ53" s="489"/>
      <c r="RXA53" s="489"/>
      <c r="RXB53" s="489"/>
      <c r="RXC53" s="489"/>
      <c r="RXD53" s="489"/>
      <c r="RXE53" s="489"/>
      <c r="RXF53" s="489"/>
      <c r="RXG53" s="489"/>
      <c r="RXH53" s="489"/>
      <c r="RXI53" s="489"/>
      <c r="RXJ53" s="489"/>
      <c r="RXK53" s="489"/>
      <c r="RXL53" s="489"/>
      <c r="RXM53" s="489"/>
      <c r="RXN53" s="489"/>
      <c r="RXO53" s="489"/>
      <c r="RXP53" s="489"/>
      <c r="RXQ53" s="489"/>
      <c r="RXR53" s="489"/>
      <c r="RXS53" s="489"/>
      <c r="RXT53" s="489"/>
      <c r="RXU53" s="489"/>
      <c r="RXV53" s="489"/>
      <c r="RXW53" s="489"/>
      <c r="RXX53" s="489"/>
      <c r="RXY53" s="489"/>
      <c r="RXZ53" s="489"/>
      <c r="RYA53" s="489"/>
      <c r="RYB53" s="489"/>
      <c r="RYC53" s="489"/>
      <c r="RYD53" s="489"/>
      <c r="RYE53" s="489"/>
      <c r="RYF53" s="489"/>
      <c r="RYG53" s="489"/>
      <c r="RYH53" s="489"/>
      <c r="RYI53" s="489"/>
      <c r="RYJ53" s="489"/>
      <c r="RYK53" s="489"/>
      <c r="RYL53" s="489"/>
      <c r="RYM53" s="489"/>
      <c r="RYN53" s="489"/>
      <c r="RYO53" s="489"/>
      <c r="RYP53" s="489"/>
      <c r="RYQ53" s="489"/>
      <c r="RYR53" s="489"/>
      <c r="RYS53" s="489"/>
      <c r="RYT53" s="489"/>
      <c r="RYU53" s="489"/>
      <c r="RYV53" s="489"/>
      <c r="RYW53" s="489"/>
      <c r="RYX53" s="489"/>
      <c r="RYY53" s="489"/>
      <c r="RYZ53" s="489"/>
      <c r="RZA53" s="489"/>
      <c r="RZB53" s="489"/>
      <c r="RZC53" s="489"/>
      <c r="RZD53" s="489"/>
      <c r="RZE53" s="489"/>
      <c r="RZF53" s="489"/>
      <c r="RZG53" s="489"/>
      <c r="RZH53" s="489"/>
      <c r="RZI53" s="489"/>
      <c r="RZJ53" s="489"/>
      <c r="RZK53" s="489"/>
      <c r="RZL53" s="489"/>
      <c r="RZM53" s="489"/>
      <c r="RZN53" s="489"/>
      <c r="RZO53" s="489"/>
      <c r="RZP53" s="489"/>
      <c r="RZQ53" s="489"/>
      <c r="RZR53" s="489"/>
      <c r="RZS53" s="489"/>
      <c r="RZT53" s="489"/>
      <c r="RZU53" s="489"/>
      <c r="RZV53" s="489"/>
      <c r="RZW53" s="489"/>
      <c r="RZX53" s="489"/>
      <c r="RZY53" s="489"/>
      <c r="RZZ53" s="489"/>
      <c r="SAA53" s="489"/>
      <c r="SAB53" s="489"/>
      <c r="SAC53" s="489"/>
      <c r="SAD53" s="489"/>
      <c r="SAE53" s="489"/>
      <c r="SAF53" s="489"/>
      <c r="SAG53" s="489"/>
      <c r="SAH53" s="489"/>
      <c r="SAI53" s="489"/>
      <c r="SAJ53" s="489"/>
      <c r="SAK53" s="489"/>
      <c r="SAL53" s="489"/>
      <c r="SAM53" s="489"/>
      <c r="SAN53" s="489"/>
      <c r="SAO53" s="489"/>
      <c r="SAP53" s="489"/>
      <c r="SAQ53" s="489"/>
      <c r="SAR53" s="489"/>
      <c r="SAS53" s="489"/>
      <c r="SAT53" s="489"/>
      <c r="SAU53" s="489"/>
      <c r="SAV53" s="489"/>
      <c r="SAW53" s="489"/>
      <c r="SAX53" s="489"/>
      <c r="SAY53" s="489"/>
      <c r="SAZ53" s="489"/>
      <c r="SBA53" s="489"/>
      <c r="SBB53" s="489"/>
      <c r="SBC53" s="489"/>
      <c r="SBD53" s="489"/>
      <c r="SBE53" s="489"/>
      <c r="SBF53" s="489"/>
      <c r="SBG53" s="489"/>
      <c r="SBH53" s="489"/>
      <c r="SBI53" s="489"/>
      <c r="SBJ53" s="489"/>
      <c r="SBK53" s="489"/>
      <c r="SBL53" s="489"/>
      <c r="SBM53" s="489"/>
      <c r="SBN53" s="489"/>
      <c r="SBO53" s="489"/>
      <c r="SBP53" s="489"/>
      <c r="SBQ53" s="489"/>
      <c r="SBR53" s="489"/>
      <c r="SBS53" s="489"/>
      <c r="SBT53" s="489"/>
      <c r="SBU53" s="489"/>
      <c r="SBV53" s="489"/>
      <c r="SBW53" s="489"/>
      <c r="SBX53" s="489"/>
      <c r="SBY53" s="489"/>
      <c r="SBZ53" s="489"/>
      <c r="SCA53" s="489"/>
      <c r="SCB53" s="489"/>
      <c r="SCC53" s="489"/>
      <c r="SCD53" s="489"/>
      <c r="SCE53" s="489"/>
      <c r="SCF53" s="489"/>
      <c r="SCG53" s="489"/>
      <c r="SCH53" s="489"/>
      <c r="SCI53" s="489"/>
      <c r="SCJ53" s="489"/>
      <c r="SCK53" s="489"/>
      <c r="SCL53" s="489"/>
      <c r="SCM53" s="489"/>
      <c r="SCN53" s="489"/>
      <c r="SCO53" s="489"/>
      <c r="SCP53" s="489"/>
      <c r="SCQ53" s="489"/>
      <c r="SCR53" s="489"/>
      <c r="SCS53" s="489"/>
      <c r="SCT53" s="489"/>
      <c r="SCU53" s="489"/>
      <c r="SCV53" s="489"/>
      <c r="SCW53" s="489"/>
      <c r="SCX53" s="489"/>
      <c r="SCY53" s="489"/>
      <c r="SCZ53" s="489"/>
      <c r="SDA53" s="489"/>
      <c r="SDB53" s="489"/>
      <c r="SDC53" s="489"/>
      <c r="SDD53" s="489"/>
      <c r="SDE53" s="489"/>
      <c r="SDF53" s="489"/>
      <c r="SDG53" s="489"/>
      <c r="SDH53" s="489"/>
      <c r="SDI53" s="489"/>
      <c r="SDJ53" s="489"/>
      <c r="SDK53" s="489"/>
      <c r="SDL53" s="489"/>
      <c r="SDM53" s="489"/>
      <c r="SDN53" s="489"/>
      <c r="SDO53" s="489"/>
      <c r="SDP53" s="489"/>
      <c r="SDQ53" s="489"/>
      <c r="SDR53" s="489"/>
      <c r="SDS53" s="489"/>
      <c r="SDT53" s="489"/>
      <c r="SDU53" s="489"/>
      <c r="SDV53" s="489"/>
      <c r="SDW53" s="489"/>
      <c r="SDX53" s="489"/>
      <c r="SDY53" s="489"/>
      <c r="SDZ53" s="489"/>
      <c r="SEA53" s="489"/>
      <c r="SEB53" s="489"/>
      <c r="SEC53" s="489"/>
      <c r="SED53" s="489"/>
      <c r="SEE53" s="489"/>
      <c r="SEF53" s="489"/>
      <c r="SEG53" s="489"/>
      <c r="SEH53" s="489"/>
      <c r="SEI53" s="489"/>
      <c r="SEJ53" s="489"/>
      <c r="SEK53" s="489"/>
      <c r="SEL53" s="489"/>
      <c r="SEM53" s="489"/>
      <c r="SEN53" s="489"/>
      <c r="SEO53" s="489"/>
      <c r="SEP53" s="489"/>
      <c r="SEQ53" s="489"/>
      <c r="SER53" s="489"/>
      <c r="SES53" s="489"/>
      <c r="SET53" s="489"/>
      <c r="SEU53" s="489"/>
      <c r="SEV53" s="489"/>
      <c r="SEW53" s="489"/>
      <c r="SEX53" s="489"/>
      <c r="SEY53" s="489"/>
      <c r="SEZ53" s="489"/>
      <c r="SFA53" s="489"/>
      <c r="SFB53" s="489"/>
      <c r="SFC53" s="489"/>
      <c r="SFD53" s="489"/>
      <c r="SFE53" s="489"/>
      <c r="SFF53" s="489"/>
      <c r="SFG53" s="489"/>
      <c r="SFH53" s="489"/>
      <c r="SFI53" s="489"/>
      <c r="SFJ53" s="489"/>
      <c r="SFK53" s="489"/>
      <c r="SFL53" s="489"/>
      <c r="SFM53" s="489"/>
      <c r="SFN53" s="489"/>
      <c r="SFO53" s="489"/>
      <c r="SFP53" s="489"/>
      <c r="SFQ53" s="489"/>
      <c r="SFR53" s="489"/>
      <c r="SFS53" s="489"/>
      <c r="SFT53" s="489"/>
      <c r="SFU53" s="489"/>
      <c r="SFV53" s="489"/>
      <c r="SFW53" s="489"/>
      <c r="SFX53" s="489"/>
      <c r="SFY53" s="489"/>
      <c r="SFZ53" s="489"/>
      <c r="SGA53" s="489"/>
      <c r="SGB53" s="489"/>
      <c r="SGC53" s="489"/>
      <c r="SGD53" s="489"/>
      <c r="SGE53" s="489"/>
      <c r="SGF53" s="489"/>
      <c r="SGG53" s="489"/>
      <c r="SGH53" s="489"/>
      <c r="SGI53" s="489"/>
      <c r="SGJ53" s="489"/>
      <c r="SGK53" s="489"/>
      <c r="SGL53" s="489"/>
      <c r="SGM53" s="489"/>
      <c r="SGN53" s="489"/>
      <c r="SGO53" s="489"/>
      <c r="SGP53" s="489"/>
      <c r="SGQ53" s="489"/>
      <c r="SGR53" s="489"/>
      <c r="SGS53" s="489"/>
      <c r="SGT53" s="489"/>
      <c r="SGU53" s="489"/>
      <c r="SGV53" s="489"/>
      <c r="SGW53" s="489"/>
      <c r="SGX53" s="489"/>
      <c r="SGY53" s="489"/>
      <c r="SGZ53" s="489"/>
      <c r="SHA53" s="489"/>
      <c r="SHB53" s="489"/>
      <c r="SHC53" s="489"/>
      <c r="SHD53" s="489"/>
      <c r="SHE53" s="489"/>
      <c r="SHF53" s="489"/>
      <c r="SHG53" s="489"/>
      <c r="SHH53" s="489"/>
      <c r="SHI53" s="489"/>
      <c r="SHJ53" s="489"/>
      <c r="SHK53" s="489"/>
      <c r="SHL53" s="489"/>
      <c r="SHM53" s="489"/>
      <c r="SHN53" s="489"/>
      <c r="SHO53" s="489"/>
      <c r="SHP53" s="489"/>
      <c r="SHQ53" s="489"/>
      <c r="SHR53" s="489"/>
      <c r="SHS53" s="489"/>
      <c r="SHT53" s="489"/>
      <c r="SHU53" s="489"/>
      <c r="SHV53" s="489"/>
      <c r="SHW53" s="489"/>
      <c r="SHX53" s="489"/>
      <c r="SHY53" s="489"/>
      <c r="SHZ53" s="489"/>
      <c r="SIA53" s="489"/>
      <c r="SIB53" s="489"/>
      <c r="SIC53" s="489"/>
      <c r="SID53" s="489"/>
      <c r="SIE53" s="489"/>
      <c r="SIF53" s="489"/>
      <c r="SIG53" s="489"/>
      <c r="SIH53" s="489"/>
      <c r="SII53" s="489"/>
      <c r="SIJ53" s="489"/>
      <c r="SIK53" s="489"/>
      <c r="SIL53" s="489"/>
      <c r="SIM53" s="489"/>
      <c r="SIN53" s="489"/>
      <c r="SIO53" s="489"/>
      <c r="SIP53" s="489"/>
      <c r="SIQ53" s="489"/>
      <c r="SIR53" s="489"/>
      <c r="SIS53" s="489"/>
      <c r="SIT53" s="489"/>
      <c r="SIU53" s="489"/>
      <c r="SIV53" s="489"/>
      <c r="SIW53" s="489"/>
      <c r="SIX53" s="489"/>
      <c r="SIY53" s="489"/>
      <c r="SIZ53" s="489"/>
      <c r="SJA53" s="489"/>
      <c r="SJB53" s="489"/>
      <c r="SJC53" s="489"/>
      <c r="SJD53" s="489"/>
      <c r="SJE53" s="489"/>
      <c r="SJF53" s="489"/>
      <c r="SJG53" s="489"/>
      <c r="SJH53" s="489"/>
      <c r="SJI53" s="489"/>
      <c r="SJJ53" s="489"/>
      <c r="SJK53" s="489"/>
      <c r="SJL53" s="489"/>
      <c r="SJM53" s="489"/>
      <c r="SJN53" s="489"/>
      <c r="SJO53" s="489"/>
      <c r="SJP53" s="489"/>
      <c r="SJQ53" s="489"/>
      <c r="SJR53" s="489"/>
      <c r="SJS53" s="489"/>
      <c r="SJT53" s="489"/>
      <c r="SJU53" s="489"/>
      <c r="SJV53" s="489"/>
      <c r="SJW53" s="489"/>
      <c r="SJX53" s="489"/>
      <c r="SJY53" s="489"/>
      <c r="SJZ53" s="489"/>
      <c r="SKA53" s="489"/>
      <c r="SKB53" s="489"/>
      <c r="SKC53" s="489"/>
      <c r="SKD53" s="489"/>
      <c r="SKE53" s="489"/>
      <c r="SKF53" s="489"/>
      <c r="SKG53" s="489"/>
      <c r="SKH53" s="489"/>
      <c r="SKI53" s="489"/>
      <c r="SKJ53" s="489"/>
      <c r="SKK53" s="489"/>
      <c r="SKL53" s="489"/>
      <c r="SKM53" s="489"/>
      <c r="SKN53" s="489"/>
      <c r="SKO53" s="489"/>
      <c r="SKP53" s="489"/>
      <c r="SKQ53" s="489"/>
      <c r="SKR53" s="489"/>
      <c r="SKS53" s="489"/>
      <c r="SKT53" s="489"/>
      <c r="SKU53" s="489"/>
      <c r="SKV53" s="489"/>
      <c r="SKW53" s="489"/>
      <c r="SKX53" s="489"/>
      <c r="SKY53" s="489"/>
      <c r="SKZ53" s="489"/>
      <c r="SLA53" s="489"/>
      <c r="SLB53" s="489"/>
      <c r="SLC53" s="489"/>
      <c r="SLD53" s="489"/>
      <c r="SLE53" s="489"/>
      <c r="SLF53" s="489"/>
      <c r="SLG53" s="489"/>
      <c r="SLH53" s="489"/>
      <c r="SLI53" s="489"/>
      <c r="SLJ53" s="489"/>
      <c r="SLK53" s="489"/>
      <c r="SLL53" s="489"/>
      <c r="SLM53" s="489"/>
      <c r="SLN53" s="489"/>
      <c r="SLO53" s="489"/>
      <c r="SLP53" s="489"/>
      <c r="SLQ53" s="489"/>
      <c r="SLR53" s="489"/>
      <c r="SLS53" s="489"/>
      <c r="SLT53" s="489"/>
      <c r="SLU53" s="489"/>
      <c r="SLV53" s="489"/>
      <c r="SLW53" s="489"/>
      <c r="SLX53" s="489"/>
      <c r="SLY53" s="489"/>
      <c r="SLZ53" s="489"/>
      <c r="SMA53" s="489"/>
      <c r="SMB53" s="489"/>
      <c r="SMC53" s="489"/>
      <c r="SMD53" s="489"/>
      <c r="SME53" s="489"/>
      <c r="SMF53" s="489"/>
      <c r="SMG53" s="489"/>
      <c r="SMH53" s="489"/>
      <c r="SMI53" s="489"/>
      <c r="SMJ53" s="489"/>
      <c r="SMK53" s="489"/>
      <c r="SML53" s="489"/>
      <c r="SMM53" s="489"/>
      <c r="SMN53" s="489"/>
      <c r="SMO53" s="489"/>
      <c r="SMP53" s="489"/>
      <c r="SMQ53" s="489"/>
      <c r="SMR53" s="489"/>
      <c r="SMS53" s="489"/>
      <c r="SMT53" s="489"/>
      <c r="SMU53" s="489"/>
      <c r="SMV53" s="489"/>
      <c r="SMW53" s="489"/>
      <c r="SMX53" s="489"/>
      <c r="SMY53" s="489"/>
      <c r="SMZ53" s="489"/>
      <c r="SNA53" s="489"/>
      <c r="SNB53" s="489"/>
      <c r="SNC53" s="489"/>
      <c r="SND53" s="489"/>
      <c r="SNE53" s="489"/>
      <c r="SNF53" s="489"/>
      <c r="SNG53" s="489"/>
      <c r="SNH53" s="489"/>
      <c r="SNI53" s="489"/>
      <c r="SNJ53" s="489"/>
      <c r="SNK53" s="489"/>
      <c r="SNL53" s="489"/>
      <c r="SNM53" s="489"/>
      <c r="SNN53" s="489"/>
      <c r="SNO53" s="489"/>
      <c r="SNP53" s="489"/>
      <c r="SNQ53" s="489"/>
      <c r="SNR53" s="489"/>
      <c r="SNS53" s="489"/>
      <c r="SNT53" s="489"/>
      <c r="SNU53" s="489"/>
      <c r="SNV53" s="489"/>
      <c r="SNW53" s="489"/>
      <c r="SNX53" s="489"/>
      <c r="SNY53" s="489"/>
      <c r="SNZ53" s="489"/>
      <c r="SOA53" s="489"/>
      <c r="SOB53" s="489"/>
      <c r="SOC53" s="489"/>
      <c r="SOD53" s="489"/>
      <c r="SOE53" s="489"/>
      <c r="SOF53" s="489"/>
      <c r="SOG53" s="489"/>
      <c r="SOH53" s="489"/>
      <c r="SOI53" s="489"/>
      <c r="SOJ53" s="489"/>
      <c r="SOK53" s="489"/>
      <c r="SOL53" s="489"/>
      <c r="SOM53" s="489"/>
      <c r="SON53" s="489"/>
      <c r="SOO53" s="489"/>
      <c r="SOP53" s="489"/>
      <c r="SOQ53" s="489"/>
      <c r="SOR53" s="489"/>
      <c r="SOS53" s="489"/>
      <c r="SOT53" s="489"/>
      <c r="SOU53" s="489"/>
      <c r="SOV53" s="489"/>
      <c r="SOW53" s="489"/>
      <c r="SOX53" s="489"/>
      <c r="SOY53" s="489"/>
      <c r="SOZ53" s="489"/>
      <c r="SPA53" s="489"/>
      <c r="SPB53" s="489"/>
      <c r="SPC53" s="489"/>
      <c r="SPD53" s="489"/>
      <c r="SPE53" s="489"/>
      <c r="SPF53" s="489"/>
      <c r="SPG53" s="489"/>
      <c r="SPH53" s="489"/>
      <c r="SPI53" s="489"/>
      <c r="SPJ53" s="489"/>
      <c r="SPK53" s="489"/>
      <c r="SPL53" s="489"/>
      <c r="SPM53" s="489"/>
      <c r="SPN53" s="489"/>
      <c r="SPO53" s="489"/>
      <c r="SPP53" s="489"/>
      <c r="SPQ53" s="489"/>
      <c r="SPR53" s="489"/>
      <c r="SPS53" s="489"/>
      <c r="SPT53" s="489"/>
      <c r="SPU53" s="489"/>
      <c r="SPV53" s="489"/>
      <c r="SPW53" s="489"/>
      <c r="SPX53" s="489"/>
      <c r="SPY53" s="489"/>
      <c r="SPZ53" s="489"/>
      <c r="SQA53" s="489"/>
      <c r="SQB53" s="489"/>
      <c r="SQC53" s="489"/>
      <c r="SQD53" s="489"/>
      <c r="SQE53" s="489"/>
      <c r="SQF53" s="489"/>
      <c r="SQG53" s="489"/>
      <c r="SQH53" s="489"/>
      <c r="SQI53" s="489"/>
      <c r="SQJ53" s="489"/>
      <c r="SQK53" s="489"/>
      <c r="SQL53" s="489"/>
      <c r="SQM53" s="489"/>
      <c r="SQN53" s="489"/>
      <c r="SQO53" s="489"/>
      <c r="SQP53" s="489"/>
      <c r="SQQ53" s="489"/>
      <c r="SQR53" s="489"/>
      <c r="SQS53" s="489"/>
      <c r="SQT53" s="489"/>
      <c r="SQU53" s="489"/>
      <c r="SQV53" s="489"/>
      <c r="SQW53" s="489"/>
      <c r="SQX53" s="489"/>
      <c r="SQY53" s="489"/>
      <c r="SQZ53" s="489"/>
      <c r="SRA53" s="489"/>
      <c r="SRB53" s="489"/>
      <c r="SRC53" s="489"/>
      <c r="SRD53" s="489"/>
      <c r="SRE53" s="489"/>
      <c r="SRF53" s="489"/>
      <c r="SRG53" s="489"/>
      <c r="SRH53" s="489"/>
      <c r="SRI53" s="489"/>
      <c r="SRJ53" s="489"/>
      <c r="SRK53" s="489"/>
      <c r="SRL53" s="489"/>
      <c r="SRM53" s="489"/>
      <c r="SRN53" s="489"/>
      <c r="SRO53" s="489"/>
      <c r="SRP53" s="489"/>
      <c r="SRQ53" s="489"/>
      <c r="SRR53" s="489"/>
      <c r="SRS53" s="489"/>
      <c r="SRT53" s="489"/>
      <c r="SRU53" s="489"/>
      <c r="SRV53" s="489"/>
      <c r="SRW53" s="489"/>
      <c r="SRX53" s="489"/>
      <c r="SRY53" s="489"/>
      <c r="SRZ53" s="489"/>
      <c r="SSA53" s="489"/>
      <c r="SSB53" s="489"/>
      <c r="SSC53" s="489"/>
      <c r="SSD53" s="489"/>
      <c r="SSE53" s="489"/>
      <c r="SSF53" s="489"/>
      <c r="SSG53" s="489"/>
      <c r="SSH53" s="489"/>
      <c r="SSI53" s="489"/>
      <c r="SSJ53" s="489"/>
      <c r="SSK53" s="489"/>
      <c r="SSL53" s="489"/>
      <c r="SSM53" s="489"/>
      <c r="SSN53" s="489"/>
      <c r="SSO53" s="489"/>
      <c r="SSP53" s="489"/>
      <c r="SSQ53" s="489"/>
      <c r="SSR53" s="489"/>
      <c r="SSS53" s="489"/>
      <c r="SST53" s="489"/>
      <c r="SSU53" s="489"/>
      <c r="SSV53" s="489"/>
      <c r="SSW53" s="489"/>
      <c r="SSX53" s="489"/>
      <c r="SSY53" s="489"/>
      <c r="SSZ53" s="489"/>
      <c r="STA53" s="489"/>
      <c r="STB53" s="489"/>
      <c r="STC53" s="489"/>
      <c r="STD53" s="489"/>
      <c r="STE53" s="489"/>
      <c r="STF53" s="489"/>
      <c r="STG53" s="489"/>
      <c r="STH53" s="489"/>
      <c r="STI53" s="489"/>
      <c r="STJ53" s="489"/>
      <c r="STK53" s="489"/>
      <c r="STL53" s="489"/>
      <c r="STM53" s="489"/>
      <c r="STN53" s="489"/>
      <c r="STO53" s="489"/>
      <c r="STP53" s="489"/>
      <c r="STQ53" s="489"/>
      <c r="STR53" s="489"/>
      <c r="STS53" s="489"/>
      <c r="STT53" s="489"/>
      <c r="STU53" s="489"/>
      <c r="STV53" s="489"/>
      <c r="STW53" s="489"/>
      <c r="STX53" s="489"/>
      <c r="STY53" s="489"/>
      <c r="STZ53" s="489"/>
      <c r="SUA53" s="489"/>
      <c r="SUB53" s="489"/>
      <c r="SUC53" s="489"/>
      <c r="SUD53" s="489"/>
      <c r="SUE53" s="489"/>
      <c r="SUF53" s="489"/>
      <c r="SUG53" s="489"/>
      <c r="SUH53" s="489"/>
      <c r="SUI53" s="489"/>
      <c r="SUJ53" s="489"/>
      <c r="SUK53" s="489"/>
      <c r="SUL53" s="489"/>
      <c r="SUM53" s="489"/>
      <c r="SUN53" s="489"/>
      <c r="SUO53" s="489"/>
      <c r="SUP53" s="489"/>
      <c r="SUQ53" s="489"/>
      <c r="SUR53" s="489"/>
      <c r="SUS53" s="489"/>
      <c r="SUT53" s="489"/>
      <c r="SUU53" s="489"/>
      <c r="SUV53" s="489"/>
      <c r="SUW53" s="489"/>
      <c r="SUX53" s="489"/>
      <c r="SUY53" s="489"/>
      <c r="SUZ53" s="489"/>
      <c r="SVA53" s="489"/>
      <c r="SVB53" s="489"/>
      <c r="SVC53" s="489"/>
      <c r="SVD53" s="489"/>
      <c r="SVE53" s="489"/>
      <c r="SVF53" s="489"/>
      <c r="SVG53" s="489"/>
      <c r="SVH53" s="489"/>
      <c r="SVI53" s="489"/>
      <c r="SVJ53" s="489"/>
      <c r="SVK53" s="489"/>
      <c r="SVL53" s="489"/>
      <c r="SVM53" s="489"/>
      <c r="SVN53" s="489"/>
      <c r="SVO53" s="489"/>
      <c r="SVP53" s="489"/>
      <c r="SVQ53" s="489"/>
      <c r="SVR53" s="489"/>
      <c r="SVS53" s="489"/>
      <c r="SVT53" s="489"/>
      <c r="SVU53" s="489"/>
      <c r="SVV53" s="489"/>
      <c r="SVW53" s="489"/>
      <c r="SVX53" s="489"/>
      <c r="SVY53" s="489"/>
      <c r="SVZ53" s="489"/>
      <c r="SWA53" s="489"/>
      <c r="SWB53" s="489"/>
      <c r="SWC53" s="489"/>
      <c r="SWD53" s="489"/>
      <c r="SWE53" s="489"/>
      <c r="SWF53" s="489"/>
      <c r="SWG53" s="489"/>
      <c r="SWH53" s="489"/>
      <c r="SWI53" s="489"/>
      <c r="SWJ53" s="489"/>
      <c r="SWK53" s="489"/>
      <c r="SWL53" s="489"/>
      <c r="SWM53" s="489"/>
      <c r="SWN53" s="489"/>
      <c r="SWO53" s="489"/>
      <c r="SWP53" s="489"/>
      <c r="SWQ53" s="489"/>
      <c r="SWR53" s="489"/>
      <c r="SWS53" s="489"/>
      <c r="SWT53" s="489"/>
      <c r="SWU53" s="489"/>
      <c r="SWV53" s="489"/>
      <c r="SWW53" s="489"/>
      <c r="SWX53" s="489"/>
      <c r="SWY53" s="489"/>
      <c r="SWZ53" s="489"/>
      <c r="SXA53" s="489"/>
      <c r="SXB53" s="489"/>
      <c r="SXC53" s="489"/>
      <c r="SXD53" s="489"/>
      <c r="SXE53" s="489"/>
      <c r="SXF53" s="489"/>
      <c r="SXG53" s="489"/>
      <c r="SXH53" s="489"/>
      <c r="SXI53" s="489"/>
      <c r="SXJ53" s="489"/>
      <c r="SXK53" s="489"/>
      <c r="SXL53" s="489"/>
      <c r="SXM53" s="489"/>
      <c r="SXN53" s="489"/>
      <c r="SXO53" s="489"/>
      <c r="SXP53" s="489"/>
      <c r="SXQ53" s="489"/>
      <c r="SXR53" s="489"/>
      <c r="SXS53" s="489"/>
      <c r="SXT53" s="489"/>
      <c r="SXU53" s="489"/>
      <c r="SXV53" s="489"/>
      <c r="SXW53" s="489"/>
      <c r="SXX53" s="489"/>
      <c r="SXY53" s="489"/>
      <c r="SXZ53" s="489"/>
      <c r="SYA53" s="489"/>
      <c r="SYB53" s="489"/>
      <c r="SYC53" s="489"/>
      <c r="SYD53" s="489"/>
      <c r="SYE53" s="489"/>
      <c r="SYF53" s="489"/>
      <c r="SYG53" s="489"/>
      <c r="SYH53" s="489"/>
      <c r="SYI53" s="489"/>
      <c r="SYJ53" s="489"/>
      <c r="SYK53" s="489"/>
      <c r="SYL53" s="489"/>
      <c r="SYM53" s="489"/>
      <c r="SYN53" s="489"/>
      <c r="SYO53" s="489"/>
      <c r="SYP53" s="489"/>
      <c r="SYQ53" s="489"/>
      <c r="SYR53" s="489"/>
      <c r="SYS53" s="489"/>
      <c r="SYT53" s="489"/>
      <c r="SYU53" s="489"/>
      <c r="SYV53" s="489"/>
      <c r="SYW53" s="489"/>
      <c r="SYX53" s="489"/>
      <c r="SYY53" s="489"/>
      <c r="SYZ53" s="489"/>
      <c r="SZA53" s="489"/>
      <c r="SZB53" s="489"/>
      <c r="SZC53" s="489"/>
      <c r="SZD53" s="489"/>
      <c r="SZE53" s="489"/>
      <c r="SZF53" s="489"/>
      <c r="SZG53" s="489"/>
      <c r="SZH53" s="489"/>
      <c r="SZI53" s="489"/>
      <c r="SZJ53" s="489"/>
      <c r="SZK53" s="489"/>
      <c r="SZL53" s="489"/>
      <c r="SZM53" s="489"/>
      <c r="SZN53" s="489"/>
      <c r="SZO53" s="489"/>
      <c r="SZP53" s="489"/>
      <c r="SZQ53" s="489"/>
      <c r="SZR53" s="489"/>
      <c r="SZS53" s="489"/>
      <c r="SZT53" s="489"/>
      <c r="SZU53" s="489"/>
      <c r="SZV53" s="489"/>
      <c r="SZW53" s="489"/>
      <c r="SZX53" s="489"/>
      <c r="SZY53" s="489"/>
      <c r="SZZ53" s="489"/>
      <c r="TAA53" s="489"/>
      <c r="TAB53" s="489"/>
      <c r="TAC53" s="489"/>
      <c r="TAD53" s="489"/>
      <c r="TAE53" s="489"/>
      <c r="TAF53" s="489"/>
      <c r="TAG53" s="489"/>
      <c r="TAH53" s="489"/>
      <c r="TAI53" s="489"/>
      <c r="TAJ53" s="489"/>
      <c r="TAK53" s="489"/>
      <c r="TAL53" s="489"/>
      <c r="TAM53" s="489"/>
      <c r="TAN53" s="489"/>
      <c r="TAO53" s="489"/>
      <c r="TAP53" s="489"/>
      <c r="TAQ53" s="489"/>
      <c r="TAR53" s="489"/>
      <c r="TAS53" s="489"/>
      <c r="TAT53" s="489"/>
      <c r="TAU53" s="489"/>
      <c r="TAV53" s="489"/>
      <c r="TAW53" s="489"/>
      <c r="TAX53" s="489"/>
      <c r="TAY53" s="489"/>
      <c r="TAZ53" s="489"/>
      <c r="TBA53" s="489"/>
      <c r="TBB53" s="489"/>
      <c r="TBC53" s="489"/>
      <c r="TBD53" s="489"/>
      <c r="TBE53" s="489"/>
      <c r="TBF53" s="489"/>
      <c r="TBG53" s="489"/>
      <c r="TBH53" s="489"/>
      <c r="TBI53" s="489"/>
      <c r="TBJ53" s="489"/>
      <c r="TBK53" s="489"/>
      <c r="TBL53" s="489"/>
      <c r="TBM53" s="489"/>
      <c r="TBN53" s="489"/>
      <c r="TBO53" s="489"/>
      <c r="TBP53" s="489"/>
      <c r="TBQ53" s="489"/>
      <c r="TBR53" s="489"/>
      <c r="TBS53" s="489"/>
      <c r="TBT53" s="489"/>
      <c r="TBU53" s="489"/>
      <c r="TBV53" s="489"/>
      <c r="TBW53" s="489"/>
      <c r="TBX53" s="489"/>
      <c r="TBY53" s="489"/>
      <c r="TBZ53" s="489"/>
      <c r="TCA53" s="489"/>
      <c r="TCB53" s="489"/>
      <c r="TCC53" s="489"/>
      <c r="TCD53" s="489"/>
      <c r="TCE53" s="489"/>
      <c r="TCF53" s="489"/>
      <c r="TCG53" s="489"/>
      <c r="TCH53" s="489"/>
      <c r="TCI53" s="489"/>
      <c r="TCJ53" s="489"/>
      <c r="TCK53" s="489"/>
      <c r="TCL53" s="489"/>
      <c r="TCM53" s="489"/>
      <c r="TCN53" s="489"/>
      <c r="TCO53" s="489"/>
      <c r="TCP53" s="489"/>
      <c r="TCQ53" s="489"/>
      <c r="TCR53" s="489"/>
      <c r="TCS53" s="489"/>
      <c r="TCT53" s="489"/>
      <c r="TCU53" s="489"/>
      <c r="TCV53" s="489"/>
      <c r="TCW53" s="489"/>
      <c r="TCX53" s="489"/>
      <c r="TCY53" s="489"/>
      <c r="TCZ53" s="489"/>
      <c r="TDA53" s="489"/>
      <c r="TDB53" s="489"/>
      <c r="TDC53" s="489"/>
      <c r="TDD53" s="489"/>
      <c r="TDE53" s="489"/>
      <c r="TDF53" s="489"/>
      <c r="TDG53" s="489"/>
      <c r="TDH53" s="489"/>
      <c r="TDI53" s="489"/>
      <c r="TDJ53" s="489"/>
      <c r="TDK53" s="489"/>
      <c r="TDL53" s="489"/>
      <c r="TDM53" s="489"/>
      <c r="TDN53" s="489"/>
      <c r="TDO53" s="489"/>
      <c r="TDP53" s="489"/>
      <c r="TDQ53" s="489"/>
      <c r="TDR53" s="489"/>
      <c r="TDS53" s="489"/>
      <c r="TDT53" s="489"/>
      <c r="TDU53" s="489"/>
      <c r="TDV53" s="489"/>
      <c r="TDW53" s="489"/>
      <c r="TDX53" s="489"/>
      <c r="TDY53" s="489"/>
      <c r="TDZ53" s="489"/>
      <c r="TEA53" s="489"/>
      <c r="TEB53" s="489"/>
      <c r="TEC53" s="489"/>
      <c r="TED53" s="489"/>
      <c r="TEE53" s="489"/>
      <c r="TEF53" s="489"/>
      <c r="TEG53" s="489"/>
      <c r="TEH53" s="489"/>
      <c r="TEI53" s="489"/>
      <c r="TEJ53" s="489"/>
      <c r="TEK53" s="489"/>
      <c r="TEL53" s="489"/>
      <c r="TEM53" s="489"/>
      <c r="TEN53" s="489"/>
      <c r="TEO53" s="489"/>
      <c r="TEP53" s="489"/>
      <c r="TEQ53" s="489"/>
      <c r="TER53" s="489"/>
      <c r="TES53" s="489"/>
      <c r="TET53" s="489"/>
      <c r="TEU53" s="489"/>
      <c r="TEV53" s="489"/>
      <c r="TEW53" s="489"/>
      <c r="TEX53" s="489"/>
      <c r="TEY53" s="489"/>
      <c r="TEZ53" s="489"/>
      <c r="TFA53" s="489"/>
      <c r="TFB53" s="489"/>
      <c r="TFC53" s="489"/>
      <c r="TFD53" s="489"/>
      <c r="TFE53" s="489"/>
      <c r="TFF53" s="489"/>
      <c r="TFG53" s="489"/>
      <c r="TFH53" s="489"/>
      <c r="TFI53" s="489"/>
      <c r="TFJ53" s="489"/>
      <c r="TFK53" s="489"/>
      <c r="TFL53" s="489"/>
      <c r="TFM53" s="489"/>
      <c r="TFN53" s="489"/>
      <c r="TFO53" s="489"/>
      <c r="TFP53" s="489"/>
      <c r="TFQ53" s="489"/>
      <c r="TFR53" s="489"/>
      <c r="TFS53" s="489"/>
      <c r="TFT53" s="489"/>
      <c r="TFU53" s="489"/>
      <c r="TFV53" s="489"/>
      <c r="TFW53" s="489"/>
      <c r="TFX53" s="489"/>
      <c r="TFY53" s="489"/>
      <c r="TFZ53" s="489"/>
      <c r="TGA53" s="489"/>
      <c r="TGB53" s="489"/>
      <c r="TGC53" s="489"/>
      <c r="TGD53" s="489"/>
      <c r="TGE53" s="489"/>
      <c r="TGF53" s="489"/>
      <c r="TGG53" s="489"/>
      <c r="TGH53" s="489"/>
      <c r="TGI53" s="489"/>
      <c r="TGJ53" s="489"/>
      <c r="TGK53" s="489"/>
      <c r="TGL53" s="489"/>
      <c r="TGM53" s="489"/>
      <c r="TGN53" s="489"/>
      <c r="TGO53" s="489"/>
      <c r="TGP53" s="489"/>
      <c r="TGQ53" s="489"/>
      <c r="TGR53" s="489"/>
      <c r="TGS53" s="489"/>
      <c r="TGT53" s="489"/>
      <c r="TGU53" s="489"/>
      <c r="TGV53" s="489"/>
      <c r="TGW53" s="489"/>
      <c r="TGX53" s="489"/>
      <c r="TGY53" s="489"/>
      <c r="TGZ53" s="489"/>
      <c r="THA53" s="489"/>
      <c r="THB53" s="489"/>
      <c r="THC53" s="489"/>
      <c r="THD53" s="489"/>
      <c r="THE53" s="489"/>
      <c r="THF53" s="489"/>
      <c r="THG53" s="489"/>
      <c r="THH53" s="489"/>
      <c r="THI53" s="489"/>
      <c r="THJ53" s="489"/>
      <c r="THK53" s="489"/>
      <c r="THL53" s="489"/>
      <c r="THM53" s="489"/>
      <c r="THN53" s="489"/>
      <c r="THO53" s="489"/>
      <c r="THP53" s="489"/>
      <c r="THQ53" s="489"/>
      <c r="THR53" s="489"/>
      <c r="THS53" s="489"/>
      <c r="THT53" s="489"/>
      <c r="THU53" s="489"/>
      <c r="THV53" s="489"/>
      <c r="THW53" s="489"/>
      <c r="THX53" s="489"/>
      <c r="THY53" s="489"/>
      <c r="THZ53" s="489"/>
      <c r="TIA53" s="489"/>
      <c r="TIB53" s="489"/>
      <c r="TIC53" s="489"/>
      <c r="TID53" s="489"/>
      <c r="TIE53" s="489"/>
      <c r="TIF53" s="489"/>
      <c r="TIG53" s="489"/>
      <c r="TIH53" s="489"/>
      <c r="TII53" s="489"/>
      <c r="TIJ53" s="489"/>
      <c r="TIK53" s="489"/>
      <c r="TIL53" s="489"/>
      <c r="TIM53" s="489"/>
      <c r="TIN53" s="489"/>
      <c r="TIO53" s="489"/>
      <c r="TIP53" s="489"/>
      <c r="TIQ53" s="489"/>
      <c r="TIR53" s="489"/>
      <c r="TIS53" s="489"/>
      <c r="TIT53" s="489"/>
      <c r="TIU53" s="489"/>
      <c r="TIV53" s="489"/>
      <c r="TIW53" s="489"/>
      <c r="TIX53" s="489"/>
      <c r="TIY53" s="489"/>
      <c r="TIZ53" s="489"/>
      <c r="TJA53" s="489"/>
      <c r="TJB53" s="489"/>
      <c r="TJC53" s="489"/>
      <c r="TJD53" s="489"/>
      <c r="TJE53" s="489"/>
      <c r="TJF53" s="489"/>
      <c r="TJG53" s="489"/>
      <c r="TJH53" s="489"/>
      <c r="TJI53" s="489"/>
      <c r="TJJ53" s="489"/>
      <c r="TJK53" s="489"/>
      <c r="TJL53" s="489"/>
      <c r="TJM53" s="489"/>
      <c r="TJN53" s="489"/>
      <c r="TJO53" s="489"/>
      <c r="TJP53" s="489"/>
      <c r="TJQ53" s="489"/>
      <c r="TJR53" s="489"/>
      <c r="TJS53" s="489"/>
      <c r="TJT53" s="489"/>
      <c r="TJU53" s="489"/>
      <c r="TJV53" s="489"/>
      <c r="TJW53" s="489"/>
      <c r="TJX53" s="489"/>
      <c r="TJY53" s="489"/>
      <c r="TJZ53" s="489"/>
      <c r="TKA53" s="489"/>
      <c r="TKB53" s="489"/>
      <c r="TKC53" s="489"/>
      <c r="TKD53" s="489"/>
      <c r="TKE53" s="489"/>
      <c r="TKF53" s="489"/>
      <c r="TKG53" s="489"/>
      <c r="TKH53" s="489"/>
      <c r="TKI53" s="489"/>
      <c r="TKJ53" s="489"/>
      <c r="TKK53" s="489"/>
      <c r="TKL53" s="489"/>
      <c r="TKM53" s="489"/>
      <c r="TKN53" s="489"/>
      <c r="TKO53" s="489"/>
      <c r="TKP53" s="489"/>
      <c r="TKQ53" s="489"/>
      <c r="TKR53" s="489"/>
      <c r="TKS53" s="489"/>
      <c r="TKT53" s="489"/>
      <c r="TKU53" s="489"/>
      <c r="TKV53" s="489"/>
      <c r="TKW53" s="489"/>
      <c r="TKX53" s="489"/>
      <c r="TKY53" s="489"/>
      <c r="TKZ53" s="489"/>
      <c r="TLA53" s="489"/>
      <c r="TLB53" s="489"/>
      <c r="TLC53" s="489"/>
      <c r="TLD53" s="489"/>
      <c r="TLE53" s="489"/>
      <c r="TLF53" s="489"/>
      <c r="TLG53" s="489"/>
      <c r="TLH53" s="489"/>
      <c r="TLI53" s="489"/>
      <c r="TLJ53" s="489"/>
      <c r="TLK53" s="489"/>
      <c r="TLL53" s="489"/>
      <c r="TLM53" s="489"/>
      <c r="TLN53" s="489"/>
      <c r="TLO53" s="489"/>
      <c r="TLP53" s="489"/>
      <c r="TLQ53" s="489"/>
      <c r="TLR53" s="489"/>
      <c r="TLS53" s="489"/>
      <c r="TLT53" s="489"/>
      <c r="TLU53" s="489"/>
      <c r="TLV53" s="489"/>
      <c r="TLW53" s="489"/>
      <c r="TLX53" s="489"/>
      <c r="TLY53" s="489"/>
      <c r="TLZ53" s="489"/>
      <c r="TMA53" s="489"/>
      <c r="TMB53" s="489"/>
      <c r="TMC53" s="489"/>
      <c r="TMD53" s="489"/>
      <c r="TME53" s="489"/>
      <c r="TMF53" s="489"/>
      <c r="TMG53" s="489"/>
      <c r="TMH53" s="489"/>
      <c r="TMI53" s="489"/>
      <c r="TMJ53" s="489"/>
      <c r="TMK53" s="489"/>
      <c r="TML53" s="489"/>
      <c r="TMM53" s="489"/>
      <c r="TMN53" s="489"/>
      <c r="TMO53" s="489"/>
      <c r="TMP53" s="489"/>
      <c r="TMQ53" s="489"/>
      <c r="TMR53" s="489"/>
      <c r="TMS53" s="489"/>
      <c r="TMT53" s="489"/>
      <c r="TMU53" s="489"/>
      <c r="TMV53" s="489"/>
      <c r="TMW53" s="489"/>
      <c r="TMX53" s="489"/>
      <c r="TMY53" s="489"/>
      <c r="TMZ53" s="489"/>
      <c r="TNA53" s="489"/>
      <c r="TNB53" s="489"/>
      <c r="TNC53" s="489"/>
      <c r="TND53" s="489"/>
      <c r="TNE53" s="489"/>
      <c r="TNF53" s="489"/>
      <c r="TNG53" s="489"/>
      <c r="TNH53" s="489"/>
      <c r="TNI53" s="489"/>
      <c r="TNJ53" s="489"/>
      <c r="TNK53" s="489"/>
      <c r="TNL53" s="489"/>
      <c r="TNM53" s="489"/>
      <c r="TNN53" s="489"/>
      <c r="TNO53" s="489"/>
      <c r="TNP53" s="489"/>
      <c r="TNQ53" s="489"/>
      <c r="TNR53" s="489"/>
      <c r="TNS53" s="489"/>
      <c r="TNT53" s="489"/>
      <c r="TNU53" s="489"/>
      <c r="TNV53" s="489"/>
      <c r="TNW53" s="489"/>
      <c r="TNX53" s="489"/>
      <c r="TNY53" s="489"/>
      <c r="TNZ53" s="489"/>
      <c r="TOA53" s="489"/>
      <c r="TOB53" s="489"/>
      <c r="TOC53" s="489"/>
      <c r="TOD53" s="489"/>
      <c r="TOE53" s="489"/>
      <c r="TOF53" s="489"/>
      <c r="TOG53" s="489"/>
      <c r="TOH53" s="489"/>
      <c r="TOI53" s="489"/>
      <c r="TOJ53" s="489"/>
      <c r="TOK53" s="489"/>
      <c r="TOL53" s="489"/>
      <c r="TOM53" s="489"/>
      <c r="TON53" s="489"/>
      <c r="TOO53" s="489"/>
      <c r="TOP53" s="489"/>
      <c r="TOQ53" s="489"/>
      <c r="TOR53" s="489"/>
      <c r="TOS53" s="489"/>
      <c r="TOT53" s="489"/>
      <c r="TOU53" s="489"/>
      <c r="TOV53" s="489"/>
      <c r="TOW53" s="489"/>
      <c r="TOX53" s="489"/>
      <c r="TOY53" s="489"/>
      <c r="TOZ53" s="489"/>
      <c r="TPA53" s="489"/>
      <c r="TPB53" s="489"/>
      <c r="TPC53" s="489"/>
      <c r="TPD53" s="489"/>
      <c r="TPE53" s="489"/>
      <c r="TPF53" s="489"/>
      <c r="TPG53" s="489"/>
      <c r="TPH53" s="489"/>
      <c r="TPI53" s="489"/>
      <c r="TPJ53" s="489"/>
      <c r="TPK53" s="489"/>
      <c r="TPL53" s="489"/>
      <c r="TPM53" s="489"/>
      <c r="TPN53" s="489"/>
      <c r="TPO53" s="489"/>
      <c r="TPP53" s="489"/>
      <c r="TPQ53" s="489"/>
      <c r="TPR53" s="489"/>
      <c r="TPS53" s="489"/>
      <c r="TPT53" s="489"/>
      <c r="TPU53" s="489"/>
      <c r="TPV53" s="489"/>
      <c r="TPW53" s="489"/>
      <c r="TPX53" s="489"/>
      <c r="TPY53" s="489"/>
      <c r="TPZ53" s="489"/>
      <c r="TQA53" s="489"/>
      <c r="TQB53" s="489"/>
      <c r="TQC53" s="489"/>
      <c r="TQD53" s="489"/>
      <c r="TQE53" s="489"/>
      <c r="TQF53" s="489"/>
      <c r="TQG53" s="489"/>
      <c r="TQH53" s="489"/>
      <c r="TQI53" s="489"/>
      <c r="TQJ53" s="489"/>
      <c r="TQK53" s="489"/>
      <c r="TQL53" s="489"/>
      <c r="TQM53" s="489"/>
      <c r="TQN53" s="489"/>
      <c r="TQO53" s="489"/>
      <c r="TQP53" s="489"/>
      <c r="TQQ53" s="489"/>
      <c r="TQR53" s="489"/>
      <c r="TQS53" s="489"/>
      <c r="TQT53" s="489"/>
      <c r="TQU53" s="489"/>
      <c r="TQV53" s="489"/>
      <c r="TQW53" s="489"/>
      <c r="TQX53" s="489"/>
      <c r="TQY53" s="489"/>
      <c r="TQZ53" s="489"/>
      <c r="TRA53" s="489"/>
      <c r="TRB53" s="489"/>
      <c r="TRC53" s="489"/>
      <c r="TRD53" s="489"/>
      <c r="TRE53" s="489"/>
      <c r="TRF53" s="489"/>
      <c r="TRG53" s="489"/>
      <c r="TRH53" s="489"/>
      <c r="TRI53" s="489"/>
      <c r="TRJ53" s="489"/>
      <c r="TRK53" s="489"/>
      <c r="TRL53" s="489"/>
      <c r="TRM53" s="489"/>
      <c r="TRN53" s="489"/>
      <c r="TRO53" s="489"/>
      <c r="TRP53" s="489"/>
      <c r="TRQ53" s="489"/>
      <c r="TRR53" s="489"/>
      <c r="TRS53" s="489"/>
      <c r="TRT53" s="489"/>
      <c r="TRU53" s="489"/>
      <c r="TRV53" s="489"/>
      <c r="TRW53" s="489"/>
      <c r="TRX53" s="489"/>
      <c r="TRY53" s="489"/>
      <c r="TRZ53" s="489"/>
      <c r="TSA53" s="489"/>
      <c r="TSB53" s="489"/>
      <c r="TSC53" s="489"/>
      <c r="TSD53" s="489"/>
      <c r="TSE53" s="489"/>
      <c r="TSF53" s="489"/>
      <c r="TSG53" s="489"/>
      <c r="TSH53" s="489"/>
      <c r="TSI53" s="489"/>
      <c r="TSJ53" s="489"/>
      <c r="TSK53" s="489"/>
      <c r="TSL53" s="489"/>
      <c r="TSM53" s="489"/>
      <c r="TSN53" s="489"/>
      <c r="TSO53" s="489"/>
      <c r="TSP53" s="489"/>
      <c r="TSQ53" s="489"/>
      <c r="TSR53" s="489"/>
      <c r="TSS53" s="489"/>
      <c r="TST53" s="489"/>
      <c r="TSU53" s="489"/>
      <c r="TSV53" s="489"/>
      <c r="TSW53" s="489"/>
      <c r="TSX53" s="489"/>
      <c r="TSY53" s="489"/>
      <c r="TSZ53" s="489"/>
      <c r="TTA53" s="489"/>
      <c r="TTB53" s="489"/>
      <c r="TTC53" s="489"/>
      <c r="TTD53" s="489"/>
      <c r="TTE53" s="489"/>
      <c r="TTF53" s="489"/>
      <c r="TTG53" s="489"/>
      <c r="TTH53" s="489"/>
      <c r="TTI53" s="489"/>
      <c r="TTJ53" s="489"/>
      <c r="TTK53" s="489"/>
      <c r="TTL53" s="489"/>
      <c r="TTM53" s="489"/>
      <c r="TTN53" s="489"/>
      <c r="TTO53" s="489"/>
      <c r="TTP53" s="489"/>
      <c r="TTQ53" s="489"/>
      <c r="TTR53" s="489"/>
      <c r="TTS53" s="489"/>
      <c r="TTT53" s="489"/>
      <c r="TTU53" s="489"/>
      <c r="TTV53" s="489"/>
      <c r="TTW53" s="489"/>
      <c r="TTX53" s="489"/>
      <c r="TTY53" s="489"/>
      <c r="TTZ53" s="489"/>
      <c r="TUA53" s="489"/>
      <c r="TUB53" s="489"/>
      <c r="TUC53" s="489"/>
      <c r="TUD53" s="489"/>
      <c r="TUE53" s="489"/>
      <c r="TUF53" s="489"/>
      <c r="TUG53" s="489"/>
      <c r="TUH53" s="489"/>
      <c r="TUI53" s="489"/>
      <c r="TUJ53" s="489"/>
      <c r="TUK53" s="489"/>
      <c r="TUL53" s="489"/>
      <c r="TUM53" s="489"/>
      <c r="TUN53" s="489"/>
      <c r="TUO53" s="489"/>
      <c r="TUP53" s="489"/>
      <c r="TUQ53" s="489"/>
      <c r="TUR53" s="489"/>
      <c r="TUS53" s="489"/>
      <c r="TUT53" s="489"/>
      <c r="TUU53" s="489"/>
      <c r="TUV53" s="489"/>
      <c r="TUW53" s="489"/>
      <c r="TUX53" s="489"/>
      <c r="TUY53" s="489"/>
      <c r="TUZ53" s="489"/>
      <c r="TVA53" s="489"/>
      <c r="TVB53" s="489"/>
      <c r="TVC53" s="489"/>
      <c r="TVD53" s="489"/>
      <c r="TVE53" s="489"/>
      <c r="TVF53" s="489"/>
      <c r="TVG53" s="489"/>
      <c r="TVH53" s="489"/>
      <c r="TVI53" s="489"/>
      <c r="TVJ53" s="489"/>
      <c r="TVK53" s="489"/>
      <c r="TVL53" s="489"/>
      <c r="TVM53" s="489"/>
      <c r="TVN53" s="489"/>
      <c r="TVO53" s="489"/>
      <c r="TVP53" s="489"/>
      <c r="TVQ53" s="489"/>
      <c r="TVR53" s="489"/>
      <c r="TVS53" s="489"/>
      <c r="TVT53" s="489"/>
      <c r="TVU53" s="489"/>
      <c r="TVV53" s="489"/>
      <c r="TVW53" s="489"/>
      <c r="TVX53" s="489"/>
      <c r="TVY53" s="489"/>
      <c r="TVZ53" s="489"/>
      <c r="TWA53" s="489"/>
      <c r="TWB53" s="489"/>
      <c r="TWC53" s="489"/>
      <c r="TWD53" s="489"/>
      <c r="TWE53" s="489"/>
      <c r="TWF53" s="489"/>
      <c r="TWG53" s="489"/>
      <c r="TWH53" s="489"/>
      <c r="TWI53" s="489"/>
      <c r="TWJ53" s="489"/>
      <c r="TWK53" s="489"/>
      <c r="TWL53" s="489"/>
      <c r="TWM53" s="489"/>
      <c r="TWN53" s="489"/>
      <c r="TWO53" s="489"/>
      <c r="TWP53" s="489"/>
      <c r="TWQ53" s="489"/>
      <c r="TWR53" s="489"/>
      <c r="TWS53" s="489"/>
      <c r="TWT53" s="489"/>
      <c r="TWU53" s="489"/>
      <c r="TWV53" s="489"/>
      <c r="TWW53" s="489"/>
      <c r="TWX53" s="489"/>
      <c r="TWY53" s="489"/>
      <c r="TWZ53" s="489"/>
      <c r="TXA53" s="489"/>
      <c r="TXB53" s="489"/>
      <c r="TXC53" s="489"/>
      <c r="TXD53" s="489"/>
      <c r="TXE53" s="489"/>
      <c r="TXF53" s="489"/>
      <c r="TXG53" s="489"/>
      <c r="TXH53" s="489"/>
      <c r="TXI53" s="489"/>
      <c r="TXJ53" s="489"/>
      <c r="TXK53" s="489"/>
      <c r="TXL53" s="489"/>
      <c r="TXM53" s="489"/>
      <c r="TXN53" s="489"/>
      <c r="TXO53" s="489"/>
      <c r="TXP53" s="489"/>
      <c r="TXQ53" s="489"/>
      <c r="TXR53" s="489"/>
      <c r="TXS53" s="489"/>
      <c r="TXT53" s="489"/>
      <c r="TXU53" s="489"/>
      <c r="TXV53" s="489"/>
      <c r="TXW53" s="489"/>
      <c r="TXX53" s="489"/>
      <c r="TXY53" s="489"/>
      <c r="TXZ53" s="489"/>
      <c r="TYA53" s="489"/>
      <c r="TYB53" s="489"/>
      <c r="TYC53" s="489"/>
      <c r="TYD53" s="489"/>
      <c r="TYE53" s="489"/>
      <c r="TYF53" s="489"/>
      <c r="TYG53" s="489"/>
      <c r="TYH53" s="489"/>
      <c r="TYI53" s="489"/>
      <c r="TYJ53" s="489"/>
      <c r="TYK53" s="489"/>
      <c r="TYL53" s="489"/>
      <c r="TYM53" s="489"/>
      <c r="TYN53" s="489"/>
      <c r="TYO53" s="489"/>
      <c r="TYP53" s="489"/>
      <c r="TYQ53" s="489"/>
      <c r="TYR53" s="489"/>
      <c r="TYS53" s="489"/>
      <c r="TYT53" s="489"/>
      <c r="TYU53" s="489"/>
      <c r="TYV53" s="489"/>
      <c r="TYW53" s="489"/>
      <c r="TYX53" s="489"/>
      <c r="TYY53" s="489"/>
      <c r="TYZ53" s="489"/>
      <c r="TZA53" s="489"/>
      <c r="TZB53" s="489"/>
      <c r="TZC53" s="489"/>
      <c r="TZD53" s="489"/>
      <c r="TZE53" s="489"/>
      <c r="TZF53" s="489"/>
      <c r="TZG53" s="489"/>
      <c r="TZH53" s="489"/>
      <c r="TZI53" s="489"/>
      <c r="TZJ53" s="489"/>
      <c r="TZK53" s="489"/>
      <c r="TZL53" s="489"/>
      <c r="TZM53" s="489"/>
      <c r="TZN53" s="489"/>
      <c r="TZO53" s="489"/>
      <c r="TZP53" s="489"/>
      <c r="TZQ53" s="489"/>
      <c r="TZR53" s="489"/>
      <c r="TZS53" s="489"/>
      <c r="TZT53" s="489"/>
      <c r="TZU53" s="489"/>
      <c r="TZV53" s="489"/>
      <c r="TZW53" s="489"/>
      <c r="TZX53" s="489"/>
      <c r="TZY53" s="489"/>
      <c r="TZZ53" s="489"/>
      <c r="UAA53" s="489"/>
      <c r="UAB53" s="489"/>
      <c r="UAC53" s="489"/>
      <c r="UAD53" s="489"/>
      <c r="UAE53" s="489"/>
      <c r="UAF53" s="489"/>
      <c r="UAG53" s="489"/>
      <c r="UAH53" s="489"/>
      <c r="UAI53" s="489"/>
      <c r="UAJ53" s="489"/>
      <c r="UAK53" s="489"/>
      <c r="UAL53" s="489"/>
      <c r="UAM53" s="489"/>
      <c r="UAN53" s="489"/>
      <c r="UAO53" s="489"/>
      <c r="UAP53" s="489"/>
      <c r="UAQ53" s="489"/>
      <c r="UAR53" s="489"/>
      <c r="UAS53" s="489"/>
      <c r="UAT53" s="489"/>
      <c r="UAU53" s="489"/>
      <c r="UAV53" s="489"/>
      <c r="UAW53" s="489"/>
      <c r="UAX53" s="489"/>
      <c r="UAY53" s="489"/>
      <c r="UAZ53" s="489"/>
      <c r="UBA53" s="489"/>
      <c r="UBB53" s="489"/>
      <c r="UBC53" s="489"/>
      <c r="UBD53" s="489"/>
      <c r="UBE53" s="489"/>
      <c r="UBF53" s="489"/>
      <c r="UBG53" s="489"/>
      <c r="UBH53" s="489"/>
      <c r="UBI53" s="489"/>
      <c r="UBJ53" s="489"/>
      <c r="UBK53" s="489"/>
      <c r="UBL53" s="489"/>
      <c r="UBM53" s="489"/>
      <c r="UBN53" s="489"/>
      <c r="UBO53" s="489"/>
      <c r="UBP53" s="489"/>
      <c r="UBQ53" s="489"/>
      <c r="UBR53" s="489"/>
      <c r="UBS53" s="489"/>
      <c r="UBT53" s="489"/>
      <c r="UBU53" s="489"/>
      <c r="UBV53" s="489"/>
      <c r="UBW53" s="489"/>
      <c r="UBX53" s="489"/>
      <c r="UBY53" s="489"/>
      <c r="UBZ53" s="489"/>
      <c r="UCA53" s="489"/>
      <c r="UCB53" s="489"/>
      <c r="UCC53" s="489"/>
      <c r="UCD53" s="489"/>
      <c r="UCE53" s="489"/>
      <c r="UCF53" s="489"/>
      <c r="UCG53" s="489"/>
      <c r="UCH53" s="489"/>
      <c r="UCI53" s="489"/>
      <c r="UCJ53" s="489"/>
      <c r="UCK53" s="489"/>
      <c r="UCL53" s="489"/>
      <c r="UCM53" s="489"/>
      <c r="UCN53" s="489"/>
      <c r="UCO53" s="489"/>
      <c r="UCP53" s="489"/>
      <c r="UCQ53" s="489"/>
      <c r="UCR53" s="489"/>
      <c r="UCS53" s="489"/>
      <c r="UCT53" s="489"/>
      <c r="UCU53" s="489"/>
      <c r="UCV53" s="489"/>
      <c r="UCW53" s="489"/>
      <c r="UCX53" s="489"/>
      <c r="UCY53" s="489"/>
      <c r="UCZ53" s="489"/>
      <c r="UDA53" s="489"/>
      <c r="UDB53" s="489"/>
      <c r="UDC53" s="489"/>
      <c r="UDD53" s="489"/>
      <c r="UDE53" s="489"/>
      <c r="UDF53" s="489"/>
      <c r="UDG53" s="489"/>
      <c r="UDH53" s="489"/>
      <c r="UDI53" s="489"/>
      <c r="UDJ53" s="489"/>
      <c r="UDK53" s="489"/>
      <c r="UDL53" s="489"/>
      <c r="UDM53" s="489"/>
      <c r="UDN53" s="489"/>
      <c r="UDO53" s="489"/>
      <c r="UDP53" s="489"/>
      <c r="UDQ53" s="489"/>
      <c r="UDR53" s="489"/>
      <c r="UDS53" s="489"/>
      <c r="UDT53" s="489"/>
      <c r="UDU53" s="489"/>
      <c r="UDV53" s="489"/>
      <c r="UDW53" s="489"/>
      <c r="UDX53" s="489"/>
      <c r="UDY53" s="489"/>
      <c r="UDZ53" s="489"/>
      <c r="UEA53" s="489"/>
      <c r="UEB53" s="489"/>
      <c r="UEC53" s="489"/>
      <c r="UED53" s="489"/>
      <c r="UEE53" s="489"/>
      <c r="UEF53" s="489"/>
      <c r="UEG53" s="489"/>
      <c r="UEH53" s="489"/>
      <c r="UEI53" s="489"/>
      <c r="UEJ53" s="489"/>
      <c r="UEK53" s="489"/>
      <c r="UEL53" s="489"/>
      <c r="UEM53" s="489"/>
      <c r="UEN53" s="489"/>
      <c r="UEO53" s="489"/>
      <c r="UEP53" s="489"/>
      <c r="UEQ53" s="489"/>
      <c r="UER53" s="489"/>
      <c r="UES53" s="489"/>
      <c r="UET53" s="489"/>
      <c r="UEU53" s="489"/>
      <c r="UEV53" s="489"/>
      <c r="UEW53" s="489"/>
      <c r="UEX53" s="489"/>
      <c r="UEY53" s="489"/>
      <c r="UEZ53" s="489"/>
      <c r="UFA53" s="489"/>
      <c r="UFB53" s="489"/>
      <c r="UFC53" s="489"/>
      <c r="UFD53" s="489"/>
      <c r="UFE53" s="489"/>
      <c r="UFF53" s="489"/>
      <c r="UFG53" s="489"/>
      <c r="UFH53" s="489"/>
      <c r="UFI53" s="489"/>
      <c r="UFJ53" s="489"/>
      <c r="UFK53" s="489"/>
      <c r="UFL53" s="489"/>
      <c r="UFM53" s="489"/>
      <c r="UFN53" s="489"/>
      <c r="UFO53" s="489"/>
      <c r="UFP53" s="489"/>
      <c r="UFQ53" s="489"/>
      <c r="UFR53" s="489"/>
      <c r="UFS53" s="489"/>
      <c r="UFT53" s="489"/>
      <c r="UFU53" s="489"/>
      <c r="UFV53" s="489"/>
      <c r="UFW53" s="489"/>
      <c r="UFX53" s="489"/>
      <c r="UFY53" s="489"/>
      <c r="UFZ53" s="489"/>
      <c r="UGA53" s="489"/>
      <c r="UGB53" s="489"/>
      <c r="UGC53" s="489"/>
      <c r="UGD53" s="489"/>
      <c r="UGE53" s="489"/>
      <c r="UGF53" s="489"/>
      <c r="UGG53" s="489"/>
      <c r="UGH53" s="489"/>
      <c r="UGI53" s="489"/>
      <c r="UGJ53" s="489"/>
      <c r="UGK53" s="489"/>
      <c r="UGL53" s="489"/>
      <c r="UGM53" s="489"/>
      <c r="UGN53" s="489"/>
      <c r="UGO53" s="489"/>
      <c r="UGP53" s="489"/>
      <c r="UGQ53" s="489"/>
      <c r="UGR53" s="489"/>
      <c r="UGS53" s="489"/>
      <c r="UGT53" s="489"/>
      <c r="UGU53" s="489"/>
      <c r="UGV53" s="489"/>
      <c r="UGW53" s="489"/>
      <c r="UGX53" s="489"/>
      <c r="UGY53" s="489"/>
      <c r="UGZ53" s="489"/>
      <c r="UHA53" s="489"/>
      <c r="UHB53" s="489"/>
      <c r="UHC53" s="489"/>
      <c r="UHD53" s="489"/>
      <c r="UHE53" s="489"/>
      <c r="UHF53" s="489"/>
      <c r="UHG53" s="489"/>
      <c r="UHH53" s="489"/>
      <c r="UHI53" s="489"/>
      <c r="UHJ53" s="489"/>
      <c r="UHK53" s="489"/>
      <c r="UHL53" s="489"/>
      <c r="UHM53" s="489"/>
      <c r="UHN53" s="489"/>
      <c r="UHO53" s="489"/>
      <c r="UHP53" s="489"/>
      <c r="UHQ53" s="489"/>
      <c r="UHR53" s="489"/>
      <c r="UHS53" s="489"/>
      <c r="UHT53" s="489"/>
      <c r="UHU53" s="489"/>
      <c r="UHV53" s="489"/>
      <c r="UHW53" s="489"/>
      <c r="UHX53" s="489"/>
      <c r="UHY53" s="489"/>
      <c r="UHZ53" s="489"/>
      <c r="UIA53" s="489"/>
      <c r="UIB53" s="489"/>
      <c r="UIC53" s="489"/>
      <c r="UID53" s="489"/>
      <c r="UIE53" s="489"/>
      <c r="UIF53" s="489"/>
      <c r="UIG53" s="489"/>
      <c r="UIH53" s="489"/>
      <c r="UII53" s="489"/>
      <c r="UIJ53" s="489"/>
      <c r="UIK53" s="489"/>
      <c r="UIL53" s="489"/>
      <c r="UIM53" s="489"/>
      <c r="UIN53" s="489"/>
      <c r="UIO53" s="489"/>
      <c r="UIP53" s="489"/>
      <c r="UIQ53" s="489"/>
      <c r="UIR53" s="489"/>
      <c r="UIS53" s="489"/>
      <c r="UIT53" s="489"/>
      <c r="UIU53" s="489"/>
      <c r="UIV53" s="489"/>
      <c r="UIW53" s="489"/>
      <c r="UIX53" s="489"/>
      <c r="UIY53" s="489"/>
      <c r="UIZ53" s="489"/>
      <c r="UJA53" s="489"/>
      <c r="UJB53" s="489"/>
      <c r="UJC53" s="489"/>
      <c r="UJD53" s="489"/>
      <c r="UJE53" s="489"/>
      <c r="UJF53" s="489"/>
      <c r="UJG53" s="489"/>
      <c r="UJH53" s="489"/>
      <c r="UJI53" s="489"/>
      <c r="UJJ53" s="489"/>
      <c r="UJK53" s="489"/>
      <c r="UJL53" s="489"/>
      <c r="UJM53" s="489"/>
      <c r="UJN53" s="489"/>
      <c r="UJO53" s="489"/>
      <c r="UJP53" s="489"/>
      <c r="UJQ53" s="489"/>
      <c r="UJR53" s="489"/>
      <c r="UJS53" s="489"/>
      <c r="UJT53" s="489"/>
      <c r="UJU53" s="489"/>
      <c r="UJV53" s="489"/>
      <c r="UJW53" s="489"/>
      <c r="UJX53" s="489"/>
      <c r="UJY53" s="489"/>
      <c r="UJZ53" s="489"/>
      <c r="UKA53" s="489"/>
      <c r="UKB53" s="489"/>
      <c r="UKC53" s="489"/>
      <c r="UKD53" s="489"/>
      <c r="UKE53" s="489"/>
      <c r="UKF53" s="489"/>
      <c r="UKG53" s="489"/>
      <c r="UKH53" s="489"/>
      <c r="UKI53" s="489"/>
      <c r="UKJ53" s="489"/>
      <c r="UKK53" s="489"/>
      <c r="UKL53" s="489"/>
      <c r="UKM53" s="489"/>
      <c r="UKN53" s="489"/>
      <c r="UKO53" s="489"/>
      <c r="UKP53" s="489"/>
      <c r="UKQ53" s="489"/>
      <c r="UKR53" s="489"/>
      <c r="UKS53" s="489"/>
      <c r="UKT53" s="489"/>
      <c r="UKU53" s="489"/>
      <c r="UKV53" s="489"/>
      <c r="UKW53" s="489"/>
      <c r="UKX53" s="489"/>
      <c r="UKY53" s="489"/>
      <c r="UKZ53" s="489"/>
      <c r="ULA53" s="489"/>
      <c r="ULB53" s="489"/>
      <c r="ULC53" s="489"/>
      <c r="ULD53" s="489"/>
      <c r="ULE53" s="489"/>
      <c r="ULF53" s="489"/>
      <c r="ULG53" s="489"/>
      <c r="ULH53" s="489"/>
      <c r="ULI53" s="489"/>
      <c r="ULJ53" s="489"/>
      <c r="ULK53" s="489"/>
      <c r="ULL53" s="489"/>
      <c r="ULM53" s="489"/>
      <c r="ULN53" s="489"/>
      <c r="ULO53" s="489"/>
      <c r="ULP53" s="489"/>
      <c r="ULQ53" s="489"/>
      <c r="ULR53" s="489"/>
      <c r="ULS53" s="489"/>
      <c r="ULT53" s="489"/>
      <c r="ULU53" s="489"/>
      <c r="ULV53" s="489"/>
      <c r="ULW53" s="489"/>
      <c r="ULX53" s="489"/>
      <c r="ULY53" s="489"/>
      <c r="ULZ53" s="489"/>
      <c r="UMA53" s="489"/>
      <c r="UMB53" s="489"/>
      <c r="UMC53" s="489"/>
      <c r="UMD53" s="489"/>
      <c r="UME53" s="489"/>
      <c r="UMF53" s="489"/>
      <c r="UMG53" s="489"/>
      <c r="UMH53" s="489"/>
      <c r="UMI53" s="489"/>
      <c r="UMJ53" s="489"/>
      <c r="UMK53" s="489"/>
      <c r="UML53" s="489"/>
      <c r="UMM53" s="489"/>
      <c r="UMN53" s="489"/>
      <c r="UMO53" s="489"/>
      <c r="UMP53" s="489"/>
      <c r="UMQ53" s="489"/>
      <c r="UMR53" s="489"/>
      <c r="UMS53" s="489"/>
      <c r="UMT53" s="489"/>
      <c r="UMU53" s="489"/>
      <c r="UMV53" s="489"/>
      <c r="UMW53" s="489"/>
      <c r="UMX53" s="489"/>
      <c r="UMY53" s="489"/>
      <c r="UMZ53" s="489"/>
      <c r="UNA53" s="489"/>
      <c r="UNB53" s="489"/>
      <c r="UNC53" s="489"/>
      <c r="UND53" s="489"/>
      <c r="UNE53" s="489"/>
      <c r="UNF53" s="489"/>
      <c r="UNG53" s="489"/>
      <c r="UNH53" s="489"/>
      <c r="UNI53" s="489"/>
      <c r="UNJ53" s="489"/>
      <c r="UNK53" s="489"/>
      <c r="UNL53" s="489"/>
      <c r="UNM53" s="489"/>
      <c r="UNN53" s="489"/>
      <c r="UNO53" s="489"/>
      <c r="UNP53" s="489"/>
      <c r="UNQ53" s="489"/>
      <c r="UNR53" s="489"/>
      <c r="UNS53" s="489"/>
      <c r="UNT53" s="489"/>
      <c r="UNU53" s="489"/>
      <c r="UNV53" s="489"/>
      <c r="UNW53" s="489"/>
      <c r="UNX53" s="489"/>
      <c r="UNY53" s="489"/>
      <c r="UNZ53" s="489"/>
      <c r="UOA53" s="489"/>
      <c r="UOB53" s="489"/>
      <c r="UOC53" s="489"/>
      <c r="UOD53" s="489"/>
      <c r="UOE53" s="489"/>
      <c r="UOF53" s="489"/>
      <c r="UOG53" s="489"/>
      <c r="UOH53" s="489"/>
      <c r="UOI53" s="489"/>
      <c r="UOJ53" s="489"/>
      <c r="UOK53" s="489"/>
      <c r="UOL53" s="489"/>
      <c r="UOM53" s="489"/>
      <c r="UON53" s="489"/>
      <c r="UOO53" s="489"/>
      <c r="UOP53" s="489"/>
      <c r="UOQ53" s="489"/>
      <c r="UOR53" s="489"/>
      <c r="UOS53" s="489"/>
      <c r="UOT53" s="489"/>
      <c r="UOU53" s="489"/>
      <c r="UOV53" s="489"/>
      <c r="UOW53" s="489"/>
      <c r="UOX53" s="489"/>
      <c r="UOY53" s="489"/>
      <c r="UOZ53" s="489"/>
      <c r="UPA53" s="489"/>
      <c r="UPB53" s="489"/>
      <c r="UPC53" s="489"/>
      <c r="UPD53" s="489"/>
      <c r="UPE53" s="489"/>
      <c r="UPF53" s="489"/>
      <c r="UPG53" s="489"/>
      <c r="UPH53" s="489"/>
      <c r="UPI53" s="489"/>
      <c r="UPJ53" s="489"/>
      <c r="UPK53" s="489"/>
      <c r="UPL53" s="489"/>
      <c r="UPM53" s="489"/>
      <c r="UPN53" s="489"/>
      <c r="UPO53" s="489"/>
      <c r="UPP53" s="489"/>
      <c r="UPQ53" s="489"/>
      <c r="UPR53" s="489"/>
      <c r="UPS53" s="489"/>
      <c r="UPT53" s="489"/>
      <c r="UPU53" s="489"/>
      <c r="UPV53" s="489"/>
      <c r="UPW53" s="489"/>
      <c r="UPX53" s="489"/>
      <c r="UPY53" s="489"/>
      <c r="UPZ53" s="489"/>
      <c r="UQA53" s="489"/>
      <c r="UQB53" s="489"/>
      <c r="UQC53" s="489"/>
      <c r="UQD53" s="489"/>
      <c r="UQE53" s="489"/>
      <c r="UQF53" s="489"/>
      <c r="UQG53" s="489"/>
      <c r="UQH53" s="489"/>
      <c r="UQI53" s="489"/>
      <c r="UQJ53" s="489"/>
      <c r="UQK53" s="489"/>
      <c r="UQL53" s="489"/>
      <c r="UQM53" s="489"/>
      <c r="UQN53" s="489"/>
      <c r="UQO53" s="489"/>
      <c r="UQP53" s="489"/>
      <c r="UQQ53" s="489"/>
      <c r="UQR53" s="489"/>
      <c r="UQS53" s="489"/>
      <c r="UQT53" s="489"/>
      <c r="UQU53" s="489"/>
      <c r="UQV53" s="489"/>
      <c r="UQW53" s="489"/>
      <c r="UQX53" s="489"/>
      <c r="UQY53" s="489"/>
      <c r="UQZ53" s="489"/>
      <c r="URA53" s="489"/>
      <c r="URB53" s="489"/>
      <c r="URC53" s="489"/>
      <c r="URD53" s="489"/>
      <c r="URE53" s="489"/>
      <c r="URF53" s="489"/>
      <c r="URG53" s="489"/>
      <c r="URH53" s="489"/>
      <c r="URI53" s="489"/>
      <c r="URJ53" s="489"/>
      <c r="URK53" s="489"/>
      <c r="URL53" s="489"/>
      <c r="URM53" s="489"/>
      <c r="URN53" s="489"/>
      <c r="URO53" s="489"/>
      <c r="URP53" s="489"/>
      <c r="URQ53" s="489"/>
      <c r="URR53" s="489"/>
      <c r="URS53" s="489"/>
      <c r="URT53" s="489"/>
      <c r="URU53" s="489"/>
      <c r="URV53" s="489"/>
      <c r="URW53" s="489"/>
      <c r="URX53" s="489"/>
      <c r="URY53" s="489"/>
      <c r="URZ53" s="489"/>
      <c r="USA53" s="489"/>
      <c r="USB53" s="489"/>
      <c r="USC53" s="489"/>
      <c r="USD53" s="489"/>
      <c r="USE53" s="489"/>
      <c r="USF53" s="489"/>
      <c r="USG53" s="489"/>
      <c r="USH53" s="489"/>
      <c r="USI53" s="489"/>
      <c r="USJ53" s="489"/>
      <c r="USK53" s="489"/>
      <c r="USL53" s="489"/>
      <c r="USM53" s="489"/>
      <c r="USN53" s="489"/>
      <c r="USO53" s="489"/>
      <c r="USP53" s="489"/>
      <c r="USQ53" s="489"/>
      <c r="USR53" s="489"/>
      <c r="USS53" s="489"/>
      <c r="UST53" s="489"/>
      <c r="USU53" s="489"/>
      <c r="USV53" s="489"/>
      <c r="USW53" s="489"/>
      <c r="USX53" s="489"/>
      <c r="USY53" s="489"/>
      <c r="USZ53" s="489"/>
      <c r="UTA53" s="489"/>
      <c r="UTB53" s="489"/>
      <c r="UTC53" s="489"/>
      <c r="UTD53" s="489"/>
      <c r="UTE53" s="489"/>
      <c r="UTF53" s="489"/>
      <c r="UTG53" s="489"/>
      <c r="UTH53" s="489"/>
      <c r="UTI53" s="489"/>
      <c r="UTJ53" s="489"/>
      <c r="UTK53" s="489"/>
      <c r="UTL53" s="489"/>
      <c r="UTM53" s="489"/>
      <c r="UTN53" s="489"/>
      <c r="UTO53" s="489"/>
      <c r="UTP53" s="489"/>
      <c r="UTQ53" s="489"/>
      <c r="UTR53" s="489"/>
      <c r="UTS53" s="489"/>
      <c r="UTT53" s="489"/>
      <c r="UTU53" s="489"/>
      <c r="UTV53" s="489"/>
      <c r="UTW53" s="489"/>
      <c r="UTX53" s="489"/>
      <c r="UTY53" s="489"/>
      <c r="UTZ53" s="489"/>
      <c r="UUA53" s="489"/>
      <c r="UUB53" s="489"/>
      <c r="UUC53" s="489"/>
      <c r="UUD53" s="489"/>
      <c r="UUE53" s="489"/>
      <c r="UUF53" s="489"/>
      <c r="UUG53" s="489"/>
      <c r="UUH53" s="489"/>
      <c r="UUI53" s="489"/>
      <c r="UUJ53" s="489"/>
      <c r="UUK53" s="489"/>
      <c r="UUL53" s="489"/>
      <c r="UUM53" s="489"/>
      <c r="UUN53" s="489"/>
      <c r="UUO53" s="489"/>
      <c r="UUP53" s="489"/>
      <c r="UUQ53" s="489"/>
      <c r="UUR53" s="489"/>
      <c r="UUS53" s="489"/>
      <c r="UUT53" s="489"/>
      <c r="UUU53" s="489"/>
      <c r="UUV53" s="489"/>
      <c r="UUW53" s="489"/>
      <c r="UUX53" s="489"/>
      <c r="UUY53" s="489"/>
      <c r="UUZ53" s="489"/>
      <c r="UVA53" s="489"/>
      <c r="UVB53" s="489"/>
      <c r="UVC53" s="489"/>
      <c r="UVD53" s="489"/>
      <c r="UVE53" s="489"/>
      <c r="UVF53" s="489"/>
      <c r="UVG53" s="489"/>
      <c r="UVH53" s="489"/>
      <c r="UVI53" s="489"/>
      <c r="UVJ53" s="489"/>
      <c r="UVK53" s="489"/>
      <c r="UVL53" s="489"/>
      <c r="UVM53" s="489"/>
      <c r="UVN53" s="489"/>
      <c r="UVO53" s="489"/>
      <c r="UVP53" s="489"/>
      <c r="UVQ53" s="489"/>
      <c r="UVR53" s="489"/>
      <c r="UVS53" s="489"/>
      <c r="UVT53" s="489"/>
      <c r="UVU53" s="489"/>
      <c r="UVV53" s="489"/>
      <c r="UVW53" s="489"/>
      <c r="UVX53" s="489"/>
      <c r="UVY53" s="489"/>
      <c r="UVZ53" s="489"/>
      <c r="UWA53" s="489"/>
      <c r="UWB53" s="489"/>
      <c r="UWC53" s="489"/>
      <c r="UWD53" s="489"/>
      <c r="UWE53" s="489"/>
      <c r="UWF53" s="489"/>
      <c r="UWG53" s="489"/>
      <c r="UWH53" s="489"/>
      <c r="UWI53" s="489"/>
      <c r="UWJ53" s="489"/>
      <c r="UWK53" s="489"/>
      <c r="UWL53" s="489"/>
      <c r="UWM53" s="489"/>
      <c r="UWN53" s="489"/>
      <c r="UWO53" s="489"/>
      <c r="UWP53" s="489"/>
      <c r="UWQ53" s="489"/>
      <c r="UWR53" s="489"/>
      <c r="UWS53" s="489"/>
      <c r="UWT53" s="489"/>
      <c r="UWU53" s="489"/>
      <c r="UWV53" s="489"/>
      <c r="UWW53" s="489"/>
      <c r="UWX53" s="489"/>
      <c r="UWY53" s="489"/>
      <c r="UWZ53" s="489"/>
      <c r="UXA53" s="489"/>
      <c r="UXB53" s="489"/>
      <c r="UXC53" s="489"/>
      <c r="UXD53" s="489"/>
      <c r="UXE53" s="489"/>
      <c r="UXF53" s="489"/>
      <c r="UXG53" s="489"/>
      <c r="UXH53" s="489"/>
      <c r="UXI53" s="489"/>
      <c r="UXJ53" s="489"/>
      <c r="UXK53" s="489"/>
      <c r="UXL53" s="489"/>
      <c r="UXM53" s="489"/>
      <c r="UXN53" s="489"/>
      <c r="UXO53" s="489"/>
      <c r="UXP53" s="489"/>
      <c r="UXQ53" s="489"/>
      <c r="UXR53" s="489"/>
      <c r="UXS53" s="489"/>
      <c r="UXT53" s="489"/>
      <c r="UXU53" s="489"/>
      <c r="UXV53" s="489"/>
      <c r="UXW53" s="489"/>
      <c r="UXX53" s="489"/>
      <c r="UXY53" s="489"/>
      <c r="UXZ53" s="489"/>
      <c r="UYA53" s="489"/>
      <c r="UYB53" s="489"/>
      <c r="UYC53" s="489"/>
      <c r="UYD53" s="489"/>
      <c r="UYE53" s="489"/>
      <c r="UYF53" s="489"/>
      <c r="UYG53" s="489"/>
      <c r="UYH53" s="489"/>
      <c r="UYI53" s="489"/>
      <c r="UYJ53" s="489"/>
      <c r="UYK53" s="489"/>
      <c r="UYL53" s="489"/>
      <c r="UYM53" s="489"/>
      <c r="UYN53" s="489"/>
      <c r="UYO53" s="489"/>
      <c r="UYP53" s="489"/>
      <c r="UYQ53" s="489"/>
      <c r="UYR53" s="489"/>
      <c r="UYS53" s="489"/>
      <c r="UYT53" s="489"/>
      <c r="UYU53" s="489"/>
      <c r="UYV53" s="489"/>
      <c r="UYW53" s="489"/>
      <c r="UYX53" s="489"/>
      <c r="UYY53" s="489"/>
      <c r="UYZ53" s="489"/>
      <c r="UZA53" s="489"/>
      <c r="UZB53" s="489"/>
      <c r="UZC53" s="489"/>
      <c r="UZD53" s="489"/>
      <c r="UZE53" s="489"/>
      <c r="UZF53" s="489"/>
      <c r="UZG53" s="489"/>
      <c r="UZH53" s="489"/>
      <c r="UZI53" s="489"/>
      <c r="UZJ53" s="489"/>
      <c r="UZK53" s="489"/>
      <c r="UZL53" s="489"/>
      <c r="UZM53" s="489"/>
      <c r="UZN53" s="489"/>
      <c r="UZO53" s="489"/>
      <c r="UZP53" s="489"/>
      <c r="UZQ53" s="489"/>
      <c r="UZR53" s="489"/>
      <c r="UZS53" s="489"/>
      <c r="UZT53" s="489"/>
      <c r="UZU53" s="489"/>
      <c r="UZV53" s="489"/>
      <c r="UZW53" s="489"/>
      <c r="UZX53" s="489"/>
      <c r="UZY53" s="489"/>
      <c r="UZZ53" s="489"/>
      <c r="VAA53" s="489"/>
      <c r="VAB53" s="489"/>
      <c r="VAC53" s="489"/>
      <c r="VAD53" s="489"/>
      <c r="VAE53" s="489"/>
      <c r="VAF53" s="489"/>
      <c r="VAG53" s="489"/>
      <c r="VAH53" s="489"/>
      <c r="VAI53" s="489"/>
      <c r="VAJ53" s="489"/>
      <c r="VAK53" s="489"/>
      <c r="VAL53" s="489"/>
      <c r="VAM53" s="489"/>
      <c r="VAN53" s="489"/>
      <c r="VAO53" s="489"/>
      <c r="VAP53" s="489"/>
      <c r="VAQ53" s="489"/>
      <c r="VAR53" s="489"/>
      <c r="VAS53" s="489"/>
      <c r="VAT53" s="489"/>
      <c r="VAU53" s="489"/>
      <c r="VAV53" s="489"/>
      <c r="VAW53" s="489"/>
      <c r="VAX53" s="489"/>
      <c r="VAY53" s="489"/>
      <c r="VAZ53" s="489"/>
      <c r="VBA53" s="489"/>
      <c r="VBB53" s="489"/>
      <c r="VBC53" s="489"/>
      <c r="VBD53" s="489"/>
      <c r="VBE53" s="489"/>
      <c r="VBF53" s="489"/>
      <c r="VBG53" s="489"/>
      <c r="VBH53" s="489"/>
      <c r="VBI53" s="489"/>
      <c r="VBJ53" s="489"/>
      <c r="VBK53" s="489"/>
      <c r="VBL53" s="489"/>
      <c r="VBM53" s="489"/>
      <c r="VBN53" s="489"/>
      <c r="VBO53" s="489"/>
      <c r="VBP53" s="489"/>
      <c r="VBQ53" s="489"/>
      <c r="VBR53" s="489"/>
      <c r="VBS53" s="489"/>
      <c r="VBT53" s="489"/>
      <c r="VBU53" s="489"/>
      <c r="VBV53" s="489"/>
      <c r="VBW53" s="489"/>
      <c r="VBX53" s="489"/>
      <c r="VBY53" s="489"/>
      <c r="VBZ53" s="489"/>
      <c r="VCA53" s="489"/>
      <c r="VCB53" s="489"/>
      <c r="VCC53" s="489"/>
      <c r="VCD53" s="489"/>
      <c r="VCE53" s="489"/>
      <c r="VCF53" s="489"/>
      <c r="VCG53" s="489"/>
      <c r="VCH53" s="489"/>
      <c r="VCI53" s="489"/>
      <c r="VCJ53" s="489"/>
      <c r="VCK53" s="489"/>
      <c r="VCL53" s="489"/>
      <c r="VCM53" s="489"/>
      <c r="VCN53" s="489"/>
      <c r="VCO53" s="489"/>
      <c r="VCP53" s="489"/>
      <c r="VCQ53" s="489"/>
      <c r="VCR53" s="489"/>
      <c r="VCS53" s="489"/>
      <c r="VCT53" s="489"/>
      <c r="VCU53" s="489"/>
      <c r="VCV53" s="489"/>
      <c r="VCW53" s="489"/>
      <c r="VCX53" s="489"/>
      <c r="VCY53" s="489"/>
      <c r="VCZ53" s="489"/>
      <c r="VDA53" s="489"/>
      <c r="VDB53" s="489"/>
      <c r="VDC53" s="489"/>
      <c r="VDD53" s="489"/>
      <c r="VDE53" s="489"/>
      <c r="VDF53" s="489"/>
      <c r="VDG53" s="489"/>
      <c r="VDH53" s="489"/>
      <c r="VDI53" s="489"/>
      <c r="VDJ53" s="489"/>
      <c r="VDK53" s="489"/>
      <c r="VDL53" s="489"/>
      <c r="VDM53" s="489"/>
      <c r="VDN53" s="489"/>
      <c r="VDO53" s="489"/>
      <c r="VDP53" s="489"/>
      <c r="VDQ53" s="489"/>
      <c r="VDR53" s="489"/>
      <c r="VDS53" s="489"/>
      <c r="VDT53" s="489"/>
      <c r="VDU53" s="489"/>
      <c r="VDV53" s="489"/>
      <c r="VDW53" s="489"/>
      <c r="VDX53" s="489"/>
      <c r="VDY53" s="489"/>
      <c r="VDZ53" s="489"/>
      <c r="VEA53" s="489"/>
      <c r="VEB53" s="489"/>
      <c r="VEC53" s="489"/>
      <c r="VED53" s="489"/>
      <c r="VEE53" s="489"/>
      <c r="VEF53" s="489"/>
      <c r="VEG53" s="489"/>
      <c r="VEH53" s="489"/>
      <c r="VEI53" s="489"/>
      <c r="VEJ53" s="489"/>
      <c r="VEK53" s="489"/>
      <c r="VEL53" s="489"/>
      <c r="VEM53" s="489"/>
      <c r="VEN53" s="489"/>
      <c r="VEO53" s="489"/>
      <c r="VEP53" s="489"/>
      <c r="VEQ53" s="489"/>
      <c r="VER53" s="489"/>
      <c r="VES53" s="489"/>
      <c r="VET53" s="489"/>
      <c r="VEU53" s="489"/>
      <c r="VEV53" s="489"/>
      <c r="VEW53" s="489"/>
      <c r="VEX53" s="489"/>
      <c r="VEY53" s="489"/>
      <c r="VEZ53" s="489"/>
      <c r="VFA53" s="489"/>
      <c r="VFB53" s="489"/>
      <c r="VFC53" s="489"/>
      <c r="VFD53" s="489"/>
      <c r="VFE53" s="489"/>
      <c r="VFF53" s="489"/>
      <c r="VFG53" s="489"/>
      <c r="VFH53" s="489"/>
      <c r="VFI53" s="489"/>
      <c r="VFJ53" s="489"/>
      <c r="VFK53" s="489"/>
      <c r="VFL53" s="489"/>
      <c r="VFM53" s="489"/>
      <c r="VFN53" s="489"/>
      <c r="VFO53" s="489"/>
      <c r="VFP53" s="489"/>
      <c r="VFQ53" s="489"/>
      <c r="VFR53" s="489"/>
      <c r="VFS53" s="489"/>
      <c r="VFT53" s="489"/>
      <c r="VFU53" s="489"/>
      <c r="VFV53" s="489"/>
      <c r="VFW53" s="489"/>
      <c r="VFX53" s="489"/>
      <c r="VFY53" s="489"/>
      <c r="VFZ53" s="489"/>
      <c r="VGA53" s="489"/>
      <c r="VGB53" s="489"/>
      <c r="VGC53" s="489"/>
      <c r="VGD53" s="489"/>
      <c r="VGE53" s="489"/>
      <c r="VGF53" s="489"/>
      <c r="VGG53" s="489"/>
      <c r="VGH53" s="489"/>
      <c r="VGI53" s="489"/>
      <c r="VGJ53" s="489"/>
      <c r="VGK53" s="489"/>
      <c r="VGL53" s="489"/>
      <c r="VGM53" s="489"/>
      <c r="VGN53" s="489"/>
      <c r="VGO53" s="489"/>
      <c r="VGP53" s="489"/>
      <c r="VGQ53" s="489"/>
      <c r="VGR53" s="489"/>
      <c r="VGS53" s="489"/>
      <c r="VGT53" s="489"/>
      <c r="VGU53" s="489"/>
      <c r="VGV53" s="489"/>
      <c r="VGW53" s="489"/>
      <c r="VGX53" s="489"/>
      <c r="VGY53" s="489"/>
      <c r="VGZ53" s="489"/>
      <c r="VHA53" s="489"/>
      <c r="VHB53" s="489"/>
      <c r="VHC53" s="489"/>
      <c r="VHD53" s="489"/>
      <c r="VHE53" s="489"/>
      <c r="VHF53" s="489"/>
      <c r="VHG53" s="489"/>
      <c r="VHH53" s="489"/>
      <c r="VHI53" s="489"/>
      <c r="VHJ53" s="489"/>
      <c r="VHK53" s="489"/>
      <c r="VHL53" s="489"/>
      <c r="VHM53" s="489"/>
      <c r="VHN53" s="489"/>
      <c r="VHO53" s="489"/>
      <c r="VHP53" s="489"/>
      <c r="VHQ53" s="489"/>
      <c r="VHR53" s="489"/>
      <c r="VHS53" s="489"/>
      <c r="VHT53" s="489"/>
      <c r="VHU53" s="489"/>
      <c r="VHV53" s="489"/>
      <c r="VHW53" s="489"/>
      <c r="VHX53" s="489"/>
      <c r="VHY53" s="489"/>
      <c r="VHZ53" s="489"/>
      <c r="VIA53" s="489"/>
      <c r="VIB53" s="489"/>
      <c r="VIC53" s="489"/>
      <c r="VID53" s="489"/>
      <c r="VIE53" s="489"/>
      <c r="VIF53" s="489"/>
      <c r="VIG53" s="489"/>
      <c r="VIH53" s="489"/>
      <c r="VII53" s="489"/>
      <c r="VIJ53" s="489"/>
      <c r="VIK53" s="489"/>
      <c r="VIL53" s="489"/>
      <c r="VIM53" s="489"/>
      <c r="VIN53" s="489"/>
      <c r="VIO53" s="489"/>
      <c r="VIP53" s="489"/>
      <c r="VIQ53" s="489"/>
      <c r="VIR53" s="489"/>
      <c r="VIS53" s="489"/>
      <c r="VIT53" s="489"/>
      <c r="VIU53" s="489"/>
      <c r="VIV53" s="489"/>
      <c r="VIW53" s="489"/>
      <c r="VIX53" s="489"/>
      <c r="VIY53" s="489"/>
      <c r="VIZ53" s="489"/>
      <c r="VJA53" s="489"/>
      <c r="VJB53" s="489"/>
      <c r="VJC53" s="489"/>
      <c r="VJD53" s="489"/>
      <c r="VJE53" s="489"/>
      <c r="VJF53" s="489"/>
      <c r="VJG53" s="489"/>
      <c r="VJH53" s="489"/>
      <c r="VJI53" s="489"/>
      <c r="VJJ53" s="489"/>
      <c r="VJK53" s="489"/>
      <c r="VJL53" s="489"/>
      <c r="VJM53" s="489"/>
      <c r="VJN53" s="489"/>
      <c r="VJO53" s="489"/>
      <c r="VJP53" s="489"/>
      <c r="VJQ53" s="489"/>
      <c r="VJR53" s="489"/>
      <c r="VJS53" s="489"/>
      <c r="VJT53" s="489"/>
      <c r="VJU53" s="489"/>
      <c r="VJV53" s="489"/>
      <c r="VJW53" s="489"/>
      <c r="VJX53" s="489"/>
      <c r="VJY53" s="489"/>
      <c r="VJZ53" s="489"/>
      <c r="VKA53" s="489"/>
      <c r="VKB53" s="489"/>
      <c r="VKC53" s="489"/>
      <c r="VKD53" s="489"/>
      <c r="VKE53" s="489"/>
      <c r="VKF53" s="489"/>
      <c r="VKG53" s="489"/>
      <c r="VKH53" s="489"/>
      <c r="VKI53" s="489"/>
      <c r="VKJ53" s="489"/>
      <c r="VKK53" s="489"/>
      <c r="VKL53" s="489"/>
      <c r="VKM53" s="489"/>
      <c r="VKN53" s="489"/>
      <c r="VKO53" s="489"/>
      <c r="VKP53" s="489"/>
      <c r="VKQ53" s="489"/>
      <c r="VKR53" s="489"/>
      <c r="VKS53" s="489"/>
      <c r="VKT53" s="489"/>
      <c r="VKU53" s="489"/>
      <c r="VKV53" s="489"/>
      <c r="VKW53" s="489"/>
      <c r="VKX53" s="489"/>
      <c r="VKY53" s="489"/>
      <c r="VKZ53" s="489"/>
      <c r="VLA53" s="489"/>
      <c r="VLB53" s="489"/>
      <c r="VLC53" s="489"/>
      <c r="VLD53" s="489"/>
      <c r="VLE53" s="489"/>
      <c r="VLF53" s="489"/>
      <c r="VLG53" s="489"/>
      <c r="VLH53" s="489"/>
      <c r="VLI53" s="489"/>
      <c r="VLJ53" s="489"/>
      <c r="VLK53" s="489"/>
      <c r="VLL53" s="489"/>
      <c r="VLM53" s="489"/>
      <c r="VLN53" s="489"/>
      <c r="VLO53" s="489"/>
      <c r="VLP53" s="489"/>
      <c r="VLQ53" s="489"/>
      <c r="VLR53" s="489"/>
      <c r="VLS53" s="489"/>
      <c r="VLT53" s="489"/>
      <c r="VLU53" s="489"/>
      <c r="VLV53" s="489"/>
      <c r="VLW53" s="489"/>
      <c r="VLX53" s="489"/>
      <c r="VLY53" s="489"/>
      <c r="VLZ53" s="489"/>
      <c r="VMA53" s="489"/>
      <c r="VMB53" s="489"/>
      <c r="VMC53" s="489"/>
      <c r="VMD53" s="489"/>
      <c r="VME53" s="489"/>
      <c r="VMF53" s="489"/>
      <c r="VMG53" s="489"/>
      <c r="VMH53" s="489"/>
      <c r="VMI53" s="489"/>
      <c r="VMJ53" s="489"/>
      <c r="VMK53" s="489"/>
      <c r="VML53" s="489"/>
      <c r="VMM53" s="489"/>
      <c r="VMN53" s="489"/>
      <c r="VMO53" s="489"/>
      <c r="VMP53" s="489"/>
      <c r="VMQ53" s="489"/>
      <c r="VMR53" s="489"/>
      <c r="VMS53" s="489"/>
      <c r="VMT53" s="489"/>
      <c r="VMU53" s="489"/>
      <c r="VMV53" s="489"/>
      <c r="VMW53" s="489"/>
      <c r="VMX53" s="489"/>
      <c r="VMY53" s="489"/>
      <c r="VMZ53" s="489"/>
      <c r="VNA53" s="489"/>
      <c r="VNB53" s="489"/>
      <c r="VNC53" s="489"/>
      <c r="VND53" s="489"/>
      <c r="VNE53" s="489"/>
      <c r="VNF53" s="489"/>
      <c r="VNG53" s="489"/>
      <c r="VNH53" s="489"/>
      <c r="VNI53" s="489"/>
      <c r="VNJ53" s="489"/>
      <c r="VNK53" s="489"/>
      <c r="VNL53" s="489"/>
      <c r="VNM53" s="489"/>
      <c r="VNN53" s="489"/>
      <c r="VNO53" s="489"/>
      <c r="VNP53" s="489"/>
      <c r="VNQ53" s="489"/>
      <c r="VNR53" s="489"/>
      <c r="VNS53" s="489"/>
      <c r="VNT53" s="489"/>
      <c r="VNU53" s="489"/>
      <c r="VNV53" s="489"/>
      <c r="VNW53" s="489"/>
      <c r="VNX53" s="489"/>
      <c r="VNY53" s="489"/>
      <c r="VNZ53" s="489"/>
      <c r="VOA53" s="489"/>
      <c r="VOB53" s="489"/>
      <c r="VOC53" s="489"/>
      <c r="VOD53" s="489"/>
      <c r="VOE53" s="489"/>
      <c r="VOF53" s="489"/>
      <c r="VOG53" s="489"/>
      <c r="VOH53" s="489"/>
      <c r="VOI53" s="489"/>
      <c r="VOJ53" s="489"/>
      <c r="VOK53" s="489"/>
      <c r="VOL53" s="489"/>
      <c r="VOM53" s="489"/>
      <c r="VON53" s="489"/>
      <c r="VOO53" s="489"/>
      <c r="VOP53" s="489"/>
      <c r="VOQ53" s="489"/>
      <c r="VOR53" s="489"/>
      <c r="VOS53" s="489"/>
      <c r="VOT53" s="489"/>
      <c r="VOU53" s="489"/>
      <c r="VOV53" s="489"/>
      <c r="VOW53" s="489"/>
      <c r="VOX53" s="489"/>
      <c r="VOY53" s="489"/>
      <c r="VOZ53" s="489"/>
      <c r="VPA53" s="489"/>
      <c r="VPB53" s="489"/>
      <c r="VPC53" s="489"/>
      <c r="VPD53" s="489"/>
      <c r="VPE53" s="489"/>
      <c r="VPF53" s="489"/>
      <c r="VPG53" s="489"/>
      <c r="VPH53" s="489"/>
      <c r="VPI53" s="489"/>
      <c r="VPJ53" s="489"/>
      <c r="VPK53" s="489"/>
      <c r="VPL53" s="489"/>
      <c r="VPM53" s="489"/>
      <c r="VPN53" s="489"/>
      <c r="VPO53" s="489"/>
      <c r="VPP53" s="489"/>
      <c r="VPQ53" s="489"/>
      <c r="VPR53" s="489"/>
      <c r="VPS53" s="489"/>
      <c r="VPT53" s="489"/>
      <c r="VPU53" s="489"/>
      <c r="VPV53" s="489"/>
      <c r="VPW53" s="489"/>
      <c r="VPX53" s="489"/>
      <c r="VPY53" s="489"/>
      <c r="VPZ53" s="489"/>
      <c r="VQA53" s="489"/>
      <c r="VQB53" s="489"/>
      <c r="VQC53" s="489"/>
      <c r="VQD53" s="489"/>
      <c r="VQE53" s="489"/>
      <c r="VQF53" s="489"/>
      <c r="VQG53" s="489"/>
      <c r="VQH53" s="489"/>
      <c r="VQI53" s="489"/>
      <c r="VQJ53" s="489"/>
      <c r="VQK53" s="489"/>
      <c r="VQL53" s="489"/>
      <c r="VQM53" s="489"/>
      <c r="VQN53" s="489"/>
      <c r="VQO53" s="489"/>
      <c r="VQP53" s="489"/>
      <c r="VQQ53" s="489"/>
      <c r="VQR53" s="489"/>
      <c r="VQS53" s="489"/>
      <c r="VQT53" s="489"/>
      <c r="VQU53" s="489"/>
      <c r="VQV53" s="489"/>
      <c r="VQW53" s="489"/>
      <c r="VQX53" s="489"/>
      <c r="VQY53" s="489"/>
      <c r="VQZ53" s="489"/>
      <c r="VRA53" s="489"/>
      <c r="VRB53" s="489"/>
      <c r="VRC53" s="489"/>
      <c r="VRD53" s="489"/>
      <c r="VRE53" s="489"/>
      <c r="VRF53" s="489"/>
      <c r="VRG53" s="489"/>
      <c r="VRH53" s="489"/>
      <c r="VRI53" s="489"/>
      <c r="VRJ53" s="489"/>
      <c r="VRK53" s="489"/>
      <c r="VRL53" s="489"/>
      <c r="VRM53" s="489"/>
      <c r="VRN53" s="489"/>
      <c r="VRO53" s="489"/>
      <c r="VRP53" s="489"/>
      <c r="VRQ53" s="489"/>
      <c r="VRR53" s="489"/>
      <c r="VRS53" s="489"/>
      <c r="VRT53" s="489"/>
      <c r="VRU53" s="489"/>
      <c r="VRV53" s="489"/>
      <c r="VRW53" s="489"/>
      <c r="VRX53" s="489"/>
      <c r="VRY53" s="489"/>
      <c r="VRZ53" s="489"/>
      <c r="VSA53" s="489"/>
      <c r="VSB53" s="489"/>
      <c r="VSC53" s="489"/>
      <c r="VSD53" s="489"/>
      <c r="VSE53" s="489"/>
      <c r="VSF53" s="489"/>
      <c r="VSG53" s="489"/>
      <c r="VSH53" s="489"/>
      <c r="VSI53" s="489"/>
      <c r="VSJ53" s="489"/>
      <c r="VSK53" s="489"/>
      <c r="VSL53" s="489"/>
      <c r="VSM53" s="489"/>
      <c r="VSN53" s="489"/>
      <c r="VSO53" s="489"/>
      <c r="VSP53" s="489"/>
      <c r="VSQ53" s="489"/>
      <c r="VSR53" s="489"/>
      <c r="VSS53" s="489"/>
      <c r="VST53" s="489"/>
      <c r="VSU53" s="489"/>
      <c r="VSV53" s="489"/>
      <c r="VSW53" s="489"/>
      <c r="VSX53" s="489"/>
      <c r="VSY53" s="489"/>
      <c r="VSZ53" s="489"/>
      <c r="VTA53" s="489"/>
      <c r="VTB53" s="489"/>
      <c r="VTC53" s="489"/>
      <c r="VTD53" s="489"/>
      <c r="VTE53" s="489"/>
      <c r="VTF53" s="489"/>
      <c r="VTG53" s="489"/>
      <c r="VTH53" s="489"/>
      <c r="VTI53" s="489"/>
      <c r="VTJ53" s="489"/>
      <c r="VTK53" s="489"/>
      <c r="VTL53" s="489"/>
      <c r="VTM53" s="489"/>
      <c r="VTN53" s="489"/>
      <c r="VTO53" s="489"/>
      <c r="VTP53" s="489"/>
      <c r="VTQ53" s="489"/>
      <c r="VTR53" s="489"/>
      <c r="VTS53" s="489"/>
      <c r="VTT53" s="489"/>
      <c r="VTU53" s="489"/>
      <c r="VTV53" s="489"/>
      <c r="VTW53" s="489"/>
      <c r="VTX53" s="489"/>
      <c r="VTY53" s="489"/>
      <c r="VTZ53" s="489"/>
      <c r="VUA53" s="489"/>
      <c r="VUB53" s="489"/>
      <c r="VUC53" s="489"/>
      <c r="VUD53" s="489"/>
      <c r="VUE53" s="489"/>
      <c r="VUF53" s="489"/>
      <c r="VUG53" s="489"/>
      <c r="VUH53" s="489"/>
      <c r="VUI53" s="489"/>
      <c r="VUJ53" s="489"/>
      <c r="VUK53" s="489"/>
      <c r="VUL53" s="489"/>
      <c r="VUM53" s="489"/>
      <c r="VUN53" s="489"/>
      <c r="VUO53" s="489"/>
      <c r="VUP53" s="489"/>
      <c r="VUQ53" s="489"/>
      <c r="VUR53" s="489"/>
      <c r="VUS53" s="489"/>
      <c r="VUT53" s="489"/>
      <c r="VUU53" s="489"/>
      <c r="VUV53" s="489"/>
      <c r="VUW53" s="489"/>
      <c r="VUX53" s="489"/>
      <c r="VUY53" s="489"/>
      <c r="VUZ53" s="489"/>
      <c r="VVA53" s="489"/>
      <c r="VVB53" s="489"/>
      <c r="VVC53" s="489"/>
      <c r="VVD53" s="489"/>
      <c r="VVE53" s="489"/>
      <c r="VVF53" s="489"/>
      <c r="VVG53" s="489"/>
      <c r="VVH53" s="489"/>
      <c r="VVI53" s="489"/>
      <c r="VVJ53" s="489"/>
      <c r="VVK53" s="489"/>
      <c r="VVL53" s="489"/>
      <c r="VVM53" s="489"/>
      <c r="VVN53" s="489"/>
      <c r="VVO53" s="489"/>
      <c r="VVP53" s="489"/>
      <c r="VVQ53" s="489"/>
      <c r="VVR53" s="489"/>
      <c r="VVS53" s="489"/>
      <c r="VVT53" s="489"/>
      <c r="VVU53" s="489"/>
      <c r="VVV53" s="489"/>
      <c r="VVW53" s="489"/>
      <c r="VVX53" s="489"/>
      <c r="VVY53" s="489"/>
      <c r="VVZ53" s="489"/>
      <c r="VWA53" s="489"/>
      <c r="VWB53" s="489"/>
      <c r="VWC53" s="489"/>
      <c r="VWD53" s="489"/>
      <c r="VWE53" s="489"/>
      <c r="VWF53" s="489"/>
      <c r="VWG53" s="489"/>
      <c r="VWH53" s="489"/>
      <c r="VWI53" s="489"/>
      <c r="VWJ53" s="489"/>
      <c r="VWK53" s="489"/>
      <c r="VWL53" s="489"/>
      <c r="VWM53" s="489"/>
      <c r="VWN53" s="489"/>
      <c r="VWO53" s="489"/>
      <c r="VWP53" s="489"/>
      <c r="VWQ53" s="489"/>
      <c r="VWR53" s="489"/>
      <c r="VWS53" s="489"/>
      <c r="VWT53" s="489"/>
      <c r="VWU53" s="489"/>
      <c r="VWV53" s="489"/>
      <c r="VWW53" s="489"/>
      <c r="VWX53" s="489"/>
      <c r="VWY53" s="489"/>
      <c r="VWZ53" s="489"/>
      <c r="VXA53" s="489"/>
      <c r="VXB53" s="489"/>
      <c r="VXC53" s="489"/>
      <c r="VXD53" s="489"/>
      <c r="VXE53" s="489"/>
      <c r="VXF53" s="489"/>
      <c r="VXG53" s="489"/>
      <c r="VXH53" s="489"/>
      <c r="VXI53" s="489"/>
      <c r="VXJ53" s="489"/>
      <c r="VXK53" s="489"/>
      <c r="VXL53" s="489"/>
      <c r="VXM53" s="489"/>
      <c r="VXN53" s="489"/>
      <c r="VXO53" s="489"/>
      <c r="VXP53" s="489"/>
      <c r="VXQ53" s="489"/>
      <c r="VXR53" s="489"/>
      <c r="VXS53" s="489"/>
      <c r="VXT53" s="489"/>
      <c r="VXU53" s="489"/>
      <c r="VXV53" s="489"/>
      <c r="VXW53" s="489"/>
      <c r="VXX53" s="489"/>
      <c r="VXY53" s="489"/>
      <c r="VXZ53" s="489"/>
      <c r="VYA53" s="489"/>
      <c r="VYB53" s="489"/>
      <c r="VYC53" s="489"/>
      <c r="VYD53" s="489"/>
      <c r="VYE53" s="489"/>
      <c r="VYF53" s="489"/>
      <c r="VYG53" s="489"/>
      <c r="VYH53" s="489"/>
      <c r="VYI53" s="489"/>
      <c r="VYJ53" s="489"/>
      <c r="VYK53" s="489"/>
      <c r="VYL53" s="489"/>
      <c r="VYM53" s="489"/>
      <c r="VYN53" s="489"/>
      <c r="VYO53" s="489"/>
      <c r="VYP53" s="489"/>
      <c r="VYQ53" s="489"/>
      <c r="VYR53" s="489"/>
      <c r="VYS53" s="489"/>
      <c r="VYT53" s="489"/>
      <c r="VYU53" s="489"/>
      <c r="VYV53" s="489"/>
      <c r="VYW53" s="489"/>
      <c r="VYX53" s="489"/>
      <c r="VYY53" s="489"/>
      <c r="VYZ53" s="489"/>
      <c r="VZA53" s="489"/>
      <c r="VZB53" s="489"/>
      <c r="VZC53" s="489"/>
      <c r="VZD53" s="489"/>
      <c r="VZE53" s="489"/>
      <c r="VZF53" s="489"/>
      <c r="VZG53" s="489"/>
      <c r="VZH53" s="489"/>
      <c r="VZI53" s="489"/>
      <c r="VZJ53" s="489"/>
      <c r="VZK53" s="489"/>
      <c r="VZL53" s="489"/>
      <c r="VZM53" s="489"/>
      <c r="VZN53" s="489"/>
      <c r="VZO53" s="489"/>
      <c r="VZP53" s="489"/>
      <c r="VZQ53" s="489"/>
      <c r="VZR53" s="489"/>
      <c r="VZS53" s="489"/>
      <c r="VZT53" s="489"/>
      <c r="VZU53" s="489"/>
      <c r="VZV53" s="489"/>
      <c r="VZW53" s="489"/>
      <c r="VZX53" s="489"/>
      <c r="VZY53" s="489"/>
      <c r="VZZ53" s="489"/>
      <c r="WAA53" s="489"/>
      <c r="WAB53" s="489"/>
      <c r="WAC53" s="489"/>
      <c r="WAD53" s="489"/>
      <c r="WAE53" s="489"/>
      <c r="WAF53" s="489"/>
      <c r="WAG53" s="489"/>
      <c r="WAH53" s="489"/>
      <c r="WAI53" s="489"/>
      <c r="WAJ53" s="489"/>
      <c r="WAK53" s="489"/>
      <c r="WAL53" s="489"/>
      <c r="WAM53" s="489"/>
      <c r="WAN53" s="489"/>
      <c r="WAO53" s="489"/>
      <c r="WAP53" s="489"/>
      <c r="WAQ53" s="489"/>
      <c r="WAR53" s="489"/>
      <c r="WAS53" s="489"/>
      <c r="WAT53" s="489"/>
      <c r="WAU53" s="489"/>
      <c r="WAV53" s="489"/>
      <c r="WAW53" s="489"/>
      <c r="WAX53" s="489"/>
      <c r="WAY53" s="489"/>
      <c r="WAZ53" s="489"/>
      <c r="WBA53" s="489"/>
      <c r="WBB53" s="489"/>
      <c r="WBC53" s="489"/>
      <c r="WBD53" s="489"/>
      <c r="WBE53" s="489"/>
      <c r="WBF53" s="489"/>
      <c r="WBG53" s="489"/>
      <c r="WBH53" s="489"/>
      <c r="WBI53" s="489"/>
      <c r="WBJ53" s="489"/>
      <c r="WBK53" s="489"/>
      <c r="WBL53" s="489"/>
      <c r="WBM53" s="489"/>
      <c r="WBN53" s="489"/>
      <c r="WBO53" s="489"/>
      <c r="WBP53" s="489"/>
      <c r="WBQ53" s="489"/>
      <c r="WBR53" s="489"/>
      <c r="WBS53" s="489"/>
      <c r="WBT53" s="489"/>
      <c r="WBU53" s="489"/>
      <c r="WBV53" s="489"/>
      <c r="WBW53" s="489"/>
      <c r="WBX53" s="489"/>
      <c r="WBY53" s="489"/>
      <c r="WBZ53" s="489"/>
      <c r="WCA53" s="489"/>
      <c r="WCB53" s="489"/>
      <c r="WCC53" s="489"/>
      <c r="WCD53" s="489"/>
      <c r="WCE53" s="489"/>
      <c r="WCF53" s="489"/>
      <c r="WCG53" s="489"/>
      <c r="WCH53" s="489"/>
      <c r="WCI53" s="489"/>
      <c r="WCJ53" s="489"/>
      <c r="WCK53" s="489"/>
      <c r="WCL53" s="489"/>
      <c r="WCM53" s="489"/>
      <c r="WCN53" s="489"/>
      <c r="WCO53" s="489"/>
      <c r="WCP53" s="489"/>
      <c r="WCQ53" s="489"/>
      <c r="WCR53" s="489"/>
      <c r="WCS53" s="489"/>
      <c r="WCT53" s="489"/>
      <c r="WCU53" s="489"/>
      <c r="WCV53" s="489"/>
      <c r="WCW53" s="489"/>
      <c r="WCX53" s="489"/>
      <c r="WCY53" s="489"/>
      <c r="WCZ53" s="489"/>
      <c r="WDA53" s="489"/>
      <c r="WDB53" s="489"/>
      <c r="WDC53" s="489"/>
      <c r="WDD53" s="489"/>
      <c r="WDE53" s="489"/>
      <c r="WDF53" s="489"/>
      <c r="WDG53" s="489"/>
      <c r="WDH53" s="489"/>
      <c r="WDI53" s="489"/>
      <c r="WDJ53" s="489"/>
      <c r="WDK53" s="489"/>
      <c r="WDL53" s="489"/>
      <c r="WDM53" s="489"/>
      <c r="WDN53" s="489"/>
      <c r="WDO53" s="489"/>
      <c r="WDP53" s="489"/>
      <c r="WDQ53" s="489"/>
      <c r="WDR53" s="489"/>
      <c r="WDS53" s="489"/>
      <c r="WDT53" s="489"/>
      <c r="WDU53" s="489"/>
      <c r="WDV53" s="489"/>
      <c r="WDW53" s="489"/>
      <c r="WDX53" s="489"/>
      <c r="WDY53" s="489"/>
      <c r="WDZ53" s="489"/>
      <c r="WEA53" s="489"/>
      <c r="WEB53" s="489"/>
      <c r="WEC53" s="489"/>
      <c r="WED53" s="489"/>
      <c r="WEE53" s="489"/>
      <c r="WEF53" s="489"/>
      <c r="WEG53" s="489"/>
      <c r="WEH53" s="489"/>
      <c r="WEI53" s="489"/>
      <c r="WEJ53" s="489"/>
      <c r="WEK53" s="489"/>
      <c r="WEL53" s="489"/>
      <c r="WEM53" s="489"/>
      <c r="WEN53" s="489"/>
      <c r="WEO53" s="489"/>
      <c r="WEP53" s="489"/>
      <c r="WEQ53" s="489"/>
      <c r="WER53" s="489"/>
      <c r="WES53" s="489"/>
      <c r="WET53" s="489"/>
      <c r="WEU53" s="489"/>
      <c r="WEV53" s="489"/>
      <c r="WEW53" s="489"/>
      <c r="WEX53" s="489"/>
      <c r="WEY53" s="489"/>
      <c r="WEZ53" s="489"/>
      <c r="WFA53" s="489"/>
      <c r="WFB53" s="489"/>
      <c r="WFC53" s="489"/>
      <c r="WFD53" s="489"/>
      <c r="WFE53" s="489"/>
      <c r="WFF53" s="489"/>
      <c r="WFG53" s="489"/>
      <c r="WFH53" s="489"/>
      <c r="WFI53" s="489"/>
      <c r="WFJ53" s="489"/>
      <c r="WFK53" s="489"/>
      <c r="WFL53" s="489"/>
      <c r="WFM53" s="489"/>
      <c r="WFN53" s="489"/>
      <c r="WFO53" s="489"/>
      <c r="WFP53" s="489"/>
      <c r="WFQ53" s="489"/>
      <c r="WFR53" s="489"/>
      <c r="WFS53" s="489"/>
      <c r="WFT53" s="489"/>
      <c r="WFU53" s="489"/>
      <c r="WFV53" s="489"/>
      <c r="WFW53" s="489"/>
      <c r="WFX53" s="489"/>
      <c r="WFY53" s="489"/>
      <c r="WFZ53" s="489"/>
      <c r="WGA53" s="489"/>
      <c r="WGB53" s="489"/>
      <c r="WGC53" s="489"/>
      <c r="WGD53" s="489"/>
      <c r="WGE53" s="489"/>
      <c r="WGF53" s="489"/>
      <c r="WGG53" s="489"/>
      <c r="WGH53" s="489"/>
      <c r="WGI53" s="489"/>
      <c r="WGJ53" s="489"/>
      <c r="WGK53" s="489"/>
      <c r="WGL53" s="489"/>
      <c r="WGM53" s="489"/>
      <c r="WGN53" s="489"/>
      <c r="WGO53" s="489"/>
      <c r="WGP53" s="489"/>
      <c r="WGQ53" s="489"/>
      <c r="WGR53" s="489"/>
      <c r="WGS53" s="489"/>
      <c r="WGT53" s="489"/>
      <c r="WGU53" s="489"/>
      <c r="WGV53" s="489"/>
      <c r="WGW53" s="489"/>
      <c r="WGX53" s="489"/>
      <c r="WGY53" s="489"/>
      <c r="WGZ53" s="489"/>
      <c r="WHA53" s="489"/>
      <c r="WHB53" s="489"/>
      <c r="WHC53" s="489"/>
      <c r="WHD53" s="489"/>
      <c r="WHE53" s="489"/>
      <c r="WHF53" s="489"/>
      <c r="WHG53" s="489"/>
      <c r="WHH53" s="489"/>
      <c r="WHI53" s="489"/>
      <c r="WHJ53" s="489"/>
      <c r="WHK53" s="489"/>
      <c r="WHL53" s="489"/>
      <c r="WHM53" s="489"/>
      <c r="WHN53" s="489"/>
      <c r="WHO53" s="489"/>
      <c r="WHP53" s="489"/>
      <c r="WHQ53" s="489"/>
      <c r="WHR53" s="489"/>
      <c r="WHS53" s="489"/>
      <c r="WHT53" s="489"/>
      <c r="WHU53" s="489"/>
      <c r="WHV53" s="489"/>
      <c r="WHW53" s="489"/>
      <c r="WHX53" s="489"/>
      <c r="WHY53" s="489"/>
      <c r="WHZ53" s="489"/>
      <c r="WIA53" s="489"/>
      <c r="WIB53" s="489"/>
      <c r="WIC53" s="489"/>
      <c r="WID53" s="489"/>
      <c r="WIE53" s="489"/>
      <c r="WIF53" s="489"/>
      <c r="WIG53" s="489"/>
      <c r="WIH53" s="489"/>
      <c r="WII53" s="489"/>
      <c r="WIJ53" s="489"/>
      <c r="WIK53" s="489"/>
      <c r="WIL53" s="489"/>
      <c r="WIM53" s="489"/>
      <c r="WIN53" s="489"/>
      <c r="WIO53" s="489"/>
      <c r="WIP53" s="489"/>
      <c r="WIQ53" s="489"/>
      <c r="WIR53" s="489"/>
      <c r="WIS53" s="489"/>
      <c r="WIT53" s="489"/>
      <c r="WIU53" s="489"/>
      <c r="WIV53" s="489"/>
      <c r="WIW53" s="489"/>
      <c r="WIX53" s="489"/>
      <c r="WIY53" s="489"/>
      <c r="WIZ53" s="489"/>
      <c r="WJA53" s="489"/>
      <c r="WJB53" s="489"/>
      <c r="WJC53" s="489"/>
      <c r="WJD53" s="489"/>
      <c r="WJE53" s="489"/>
      <c r="WJF53" s="489"/>
      <c r="WJG53" s="489"/>
      <c r="WJH53" s="489"/>
      <c r="WJI53" s="489"/>
      <c r="WJJ53" s="489"/>
      <c r="WJK53" s="489"/>
      <c r="WJL53" s="489"/>
      <c r="WJM53" s="489"/>
      <c r="WJN53" s="489"/>
      <c r="WJO53" s="489"/>
      <c r="WJP53" s="489"/>
      <c r="WJQ53" s="489"/>
      <c r="WJR53" s="489"/>
      <c r="WJS53" s="489"/>
      <c r="WJT53" s="489"/>
      <c r="WJU53" s="489"/>
      <c r="WJV53" s="489"/>
      <c r="WJW53" s="489"/>
      <c r="WJX53" s="489"/>
      <c r="WJY53" s="489"/>
      <c r="WJZ53" s="489"/>
      <c r="WKA53" s="489"/>
      <c r="WKB53" s="489"/>
      <c r="WKC53" s="489"/>
      <c r="WKD53" s="489"/>
      <c r="WKE53" s="489"/>
      <c r="WKF53" s="489"/>
      <c r="WKG53" s="489"/>
      <c r="WKH53" s="489"/>
      <c r="WKI53" s="489"/>
      <c r="WKJ53" s="489"/>
      <c r="WKK53" s="489"/>
      <c r="WKL53" s="489"/>
      <c r="WKM53" s="489"/>
      <c r="WKN53" s="489"/>
      <c r="WKO53" s="489"/>
      <c r="WKP53" s="489"/>
      <c r="WKQ53" s="489"/>
      <c r="WKR53" s="489"/>
      <c r="WKS53" s="489"/>
      <c r="WKT53" s="489"/>
      <c r="WKU53" s="489"/>
      <c r="WKV53" s="489"/>
      <c r="WKW53" s="489"/>
      <c r="WKX53" s="489"/>
      <c r="WKY53" s="489"/>
      <c r="WKZ53" s="489"/>
      <c r="WLA53" s="489"/>
      <c r="WLB53" s="489"/>
      <c r="WLC53" s="489"/>
      <c r="WLD53" s="489"/>
      <c r="WLE53" s="489"/>
      <c r="WLF53" s="489"/>
      <c r="WLG53" s="489"/>
      <c r="WLH53" s="489"/>
      <c r="WLI53" s="489"/>
      <c r="WLJ53" s="489"/>
      <c r="WLK53" s="489"/>
      <c r="WLL53" s="489"/>
      <c r="WLM53" s="489"/>
      <c r="WLN53" s="489"/>
      <c r="WLO53" s="489"/>
      <c r="WLP53" s="489"/>
      <c r="WLQ53" s="489"/>
      <c r="WLR53" s="489"/>
      <c r="WLS53" s="489"/>
      <c r="WLT53" s="489"/>
      <c r="WLU53" s="489"/>
      <c r="WLV53" s="489"/>
      <c r="WLW53" s="489"/>
      <c r="WLX53" s="489"/>
      <c r="WLY53" s="489"/>
      <c r="WLZ53" s="489"/>
      <c r="WMA53" s="489"/>
      <c r="WMB53" s="489"/>
      <c r="WMC53" s="489"/>
      <c r="WMD53" s="489"/>
      <c r="WME53" s="489"/>
      <c r="WMF53" s="489"/>
      <c r="WMG53" s="489"/>
      <c r="WMH53" s="489"/>
      <c r="WMI53" s="489"/>
      <c r="WMJ53" s="489"/>
      <c r="WMK53" s="489"/>
      <c r="WML53" s="489"/>
      <c r="WMM53" s="489"/>
      <c r="WMN53" s="489"/>
      <c r="WMO53" s="489"/>
      <c r="WMP53" s="489"/>
      <c r="WMQ53" s="489"/>
      <c r="WMR53" s="489"/>
      <c r="WMS53" s="489"/>
      <c r="WMT53" s="489"/>
      <c r="WMU53" s="489"/>
      <c r="WMV53" s="489"/>
      <c r="WMW53" s="489"/>
      <c r="WMX53" s="489"/>
      <c r="WMY53" s="489"/>
      <c r="WMZ53" s="489"/>
      <c r="WNA53" s="489"/>
      <c r="WNB53" s="489"/>
      <c r="WNC53" s="489"/>
      <c r="WND53" s="489"/>
      <c r="WNE53" s="489"/>
      <c r="WNF53" s="489"/>
      <c r="WNG53" s="489"/>
      <c r="WNH53" s="489"/>
      <c r="WNI53" s="489"/>
      <c r="WNJ53" s="489"/>
      <c r="WNK53" s="489"/>
      <c r="WNL53" s="489"/>
      <c r="WNM53" s="489"/>
      <c r="WNN53" s="489"/>
      <c r="WNO53" s="489"/>
      <c r="WNP53" s="489"/>
      <c r="WNQ53" s="489"/>
      <c r="WNR53" s="489"/>
      <c r="WNS53" s="489"/>
      <c r="WNT53" s="489"/>
      <c r="WNU53" s="489"/>
      <c r="WNV53" s="489"/>
      <c r="WNW53" s="489"/>
      <c r="WNX53" s="489"/>
      <c r="WNY53" s="489"/>
      <c r="WNZ53" s="489"/>
      <c r="WOA53" s="489"/>
      <c r="WOB53" s="489"/>
      <c r="WOC53" s="489"/>
      <c r="WOD53" s="489"/>
      <c r="WOE53" s="489"/>
      <c r="WOF53" s="489"/>
      <c r="WOG53" s="489"/>
      <c r="WOH53" s="489"/>
      <c r="WOI53" s="489"/>
      <c r="WOJ53" s="489"/>
      <c r="WOK53" s="489"/>
      <c r="WOL53" s="489"/>
      <c r="WOM53" s="489"/>
      <c r="WON53" s="489"/>
      <c r="WOO53" s="489"/>
      <c r="WOP53" s="489"/>
      <c r="WOQ53" s="489"/>
      <c r="WOR53" s="489"/>
      <c r="WOS53" s="489"/>
      <c r="WOT53" s="489"/>
      <c r="WOU53" s="489"/>
      <c r="WOV53" s="489"/>
      <c r="WOW53" s="489"/>
      <c r="WOX53" s="489"/>
      <c r="WOY53" s="489"/>
      <c r="WOZ53" s="489"/>
      <c r="WPA53" s="489"/>
      <c r="WPB53" s="489"/>
      <c r="WPC53" s="489"/>
      <c r="WPD53" s="489"/>
      <c r="WPE53" s="489"/>
      <c r="WPF53" s="489"/>
      <c r="WPG53" s="489"/>
      <c r="WPH53" s="489"/>
      <c r="WPI53" s="489"/>
      <c r="WPJ53" s="489"/>
      <c r="WPK53" s="489"/>
      <c r="WPL53" s="489"/>
      <c r="WPM53" s="489"/>
      <c r="WPN53" s="489"/>
      <c r="WPO53" s="489"/>
      <c r="WPP53" s="489"/>
      <c r="WPQ53" s="489"/>
      <c r="WPR53" s="489"/>
      <c r="WPS53" s="489"/>
      <c r="WPT53" s="489"/>
      <c r="WPU53" s="489"/>
      <c r="WPV53" s="489"/>
      <c r="WPW53" s="489"/>
      <c r="WPX53" s="489"/>
      <c r="WPY53" s="489"/>
      <c r="WPZ53" s="489"/>
      <c r="WQA53" s="489"/>
      <c r="WQB53" s="489"/>
      <c r="WQC53" s="489"/>
      <c r="WQD53" s="489"/>
      <c r="WQE53" s="489"/>
      <c r="WQF53" s="489"/>
      <c r="WQG53" s="489"/>
      <c r="WQH53" s="489"/>
      <c r="WQI53" s="489"/>
      <c r="WQJ53" s="489"/>
      <c r="WQK53" s="489"/>
      <c r="WQL53" s="489"/>
      <c r="WQM53" s="489"/>
      <c r="WQN53" s="489"/>
      <c r="WQO53" s="489"/>
      <c r="WQP53" s="489"/>
      <c r="WQQ53" s="489"/>
      <c r="WQR53" s="489"/>
      <c r="WQS53" s="489"/>
      <c r="WQT53" s="489"/>
      <c r="WQU53" s="489"/>
      <c r="WQV53" s="489"/>
      <c r="WQW53" s="489"/>
      <c r="WQX53" s="489"/>
      <c r="WQY53" s="489"/>
      <c r="WQZ53" s="489"/>
      <c r="WRA53" s="489"/>
      <c r="WRB53" s="489"/>
      <c r="WRC53" s="489"/>
      <c r="WRD53" s="489"/>
      <c r="WRE53" s="489"/>
      <c r="WRF53" s="489"/>
      <c r="WRG53" s="489"/>
      <c r="WRH53" s="489"/>
      <c r="WRI53" s="489"/>
      <c r="WRJ53" s="489"/>
      <c r="WRK53" s="489"/>
      <c r="WRL53" s="489"/>
      <c r="WRM53" s="489"/>
      <c r="WRN53" s="489"/>
      <c r="WRO53" s="489"/>
      <c r="WRP53" s="489"/>
      <c r="WRQ53" s="489"/>
      <c r="WRR53" s="489"/>
      <c r="WRS53" s="489"/>
      <c r="WRT53" s="489"/>
      <c r="WRU53" s="489"/>
      <c r="WRV53" s="489"/>
      <c r="WRW53" s="489"/>
      <c r="WRX53" s="489"/>
      <c r="WRY53" s="489"/>
      <c r="WRZ53" s="489"/>
      <c r="WSA53" s="489"/>
      <c r="WSB53" s="489"/>
      <c r="WSC53" s="489"/>
      <c r="WSD53" s="489"/>
      <c r="WSE53" s="489"/>
      <c r="WSF53" s="489"/>
      <c r="WSG53" s="489"/>
      <c r="WSH53" s="489"/>
      <c r="WSI53" s="489"/>
      <c r="WSJ53" s="489"/>
      <c r="WSK53" s="489"/>
      <c r="WSL53" s="489"/>
      <c r="WSM53" s="489"/>
      <c r="WSN53" s="489"/>
      <c r="WSO53" s="489"/>
      <c r="WSP53" s="489"/>
      <c r="WSQ53" s="489"/>
      <c r="WSR53" s="489"/>
      <c r="WSS53" s="489"/>
      <c r="WST53" s="489"/>
      <c r="WSU53" s="489"/>
      <c r="WSV53" s="489"/>
      <c r="WSW53" s="489"/>
      <c r="WSX53" s="489"/>
      <c r="WSY53" s="489"/>
      <c r="WSZ53" s="489"/>
      <c r="WTA53" s="489"/>
      <c r="WTB53" s="489"/>
      <c r="WTC53" s="489"/>
      <c r="WTD53" s="489"/>
      <c r="WTE53" s="489"/>
      <c r="WTF53" s="489"/>
      <c r="WTG53" s="489"/>
      <c r="WTH53" s="489"/>
      <c r="WTI53" s="489"/>
      <c r="WTJ53" s="489"/>
      <c r="WTK53" s="489"/>
      <c r="WTL53" s="489"/>
      <c r="WTM53" s="489"/>
      <c r="WTN53" s="489"/>
      <c r="WTO53" s="489"/>
      <c r="WTP53" s="489"/>
      <c r="WTQ53" s="489"/>
      <c r="WTR53" s="489"/>
      <c r="WTS53" s="489"/>
      <c r="WTT53" s="489"/>
      <c r="WTU53" s="489"/>
      <c r="WTV53" s="489"/>
      <c r="WTW53" s="489"/>
      <c r="WTX53" s="489"/>
      <c r="WTY53" s="489"/>
      <c r="WTZ53" s="489"/>
      <c r="WUA53" s="489"/>
      <c r="WUB53" s="489"/>
      <c r="WUC53" s="489"/>
      <c r="WUD53" s="489"/>
      <c r="WUE53" s="489"/>
      <c r="WUF53" s="489"/>
      <c r="WUG53" s="489"/>
      <c r="WUH53" s="489"/>
      <c r="WUI53" s="489"/>
      <c r="WUJ53" s="489"/>
      <c r="WUK53" s="489"/>
      <c r="WUL53" s="489"/>
      <c r="WUM53" s="489"/>
      <c r="WUN53" s="489"/>
      <c r="WUO53" s="489"/>
      <c r="WUP53" s="489"/>
      <c r="WUQ53" s="489"/>
      <c r="WUR53" s="489"/>
      <c r="WUS53" s="489"/>
      <c r="WUT53" s="489"/>
      <c r="WUU53" s="489"/>
      <c r="WUV53" s="489"/>
      <c r="WUW53" s="489"/>
      <c r="WUX53" s="489"/>
      <c r="WUY53" s="489"/>
      <c r="WUZ53" s="489"/>
      <c r="WVA53" s="489"/>
      <c r="WVB53" s="489"/>
      <c r="WVC53" s="489"/>
      <c r="WVD53" s="489"/>
      <c r="WVE53" s="489"/>
      <c r="WVF53" s="489"/>
      <c r="WVG53" s="489"/>
      <c r="WVH53" s="489"/>
      <c r="WVI53" s="489"/>
      <c r="WVJ53" s="489"/>
      <c r="WVK53" s="489"/>
      <c r="WVL53" s="489"/>
      <c r="WVM53" s="489"/>
      <c r="WVN53" s="489"/>
      <c r="WVO53" s="489"/>
      <c r="WVP53" s="489"/>
      <c r="WVQ53" s="489"/>
      <c r="WVR53" s="489"/>
      <c r="WVS53" s="489"/>
      <c r="WVT53" s="489"/>
      <c r="WVU53" s="489"/>
      <c r="WVV53" s="489"/>
      <c r="WVW53" s="489"/>
      <c r="WVX53" s="489"/>
      <c r="WVY53" s="489"/>
      <c r="WVZ53" s="489"/>
      <c r="WWA53" s="489"/>
      <c r="WWB53" s="489"/>
      <c r="WWC53" s="489"/>
      <c r="WWD53" s="489"/>
      <c r="WWE53" s="489"/>
      <c r="WWF53" s="489"/>
      <c r="WWG53" s="489"/>
      <c r="WWH53" s="489"/>
      <c r="WWI53" s="489"/>
      <c r="WWJ53" s="489"/>
      <c r="WWK53" s="489"/>
      <c r="WWL53" s="489"/>
      <c r="WWM53" s="489"/>
      <c r="WWN53" s="489"/>
      <c r="WWO53" s="489"/>
      <c r="WWP53" s="489"/>
      <c r="WWQ53" s="489"/>
      <c r="WWR53" s="489"/>
      <c r="WWS53" s="489"/>
      <c r="WWT53" s="489"/>
      <c r="WWU53" s="489"/>
      <c r="WWV53" s="489"/>
      <c r="WWW53" s="489"/>
      <c r="WWX53" s="489"/>
      <c r="WWY53" s="489"/>
      <c r="WWZ53" s="489"/>
      <c r="WXA53" s="489"/>
      <c r="WXB53" s="489"/>
      <c r="WXC53" s="489"/>
      <c r="WXD53" s="489"/>
      <c r="WXE53" s="489"/>
      <c r="WXF53" s="489"/>
      <c r="WXG53" s="489"/>
      <c r="WXH53" s="489"/>
      <c r="WXI53" s="489"/>
      <c r="WXJ53" s="489"/>
      <c r="WXK53" s="489"/>
      <c r="WXL53" s="489"/>
      <c r="WXM53" s="489"/>
      <c r="WXN53" s="489"/>
      <c r="WXO53" s="489"/>
      <c r="WXP53" s="489"/>
      <c r="WXQ53" s="489"/>
      <c r="WXR53" s="489"/>
      <c r="WXS53" s="489"/>
      <c r="WXT53" s="489"/>
      <c r="WXU53" s="489"/>
      <c r="WXV53" s="489"/>
      <c r="WXW53" s="489"/>
      <c r="WXX53" s="489"/>
      <c r="WXY53" s="489"/>
      <c r="WXZ53" s="489"/>
      <c r="WYA53" s="489"/>
      <c r="WYB53" s="489"/>
      <c r="WYC53" s="489"/>
      <c r="WYD53" s="489"/>
      <c r="WYE53" s="489"/>
      <c r="WYF53" s="489"/>
      <c r="WYG53" s="489"/>
      <c r="WYH53" s="489"/>
      <c r="WYI53" s="489"/>
      <c r="WYJ53" s="489"/>
      <c r="WYK53" s="489"/>
      <c r="WYL53" s="489"/>
      <c r="WYM53" s="489"/>
      <c r="WYN53" s="489"/>
      <c r="WYO53" s="489"/>
      <c r="WYP53" s="489"/>
      <c r="WYQ53" s="489"/>
      <c r="WYR53" s="489"/>
      <c r="WYS53" s="489"/>
      <c r="WYT53" s="489"/>
      <c r="WYU53" s="489"/>
      <c r="WYV53" s="489"/>
      <c r="WYW53" s="489"/>
      <c r="WYX53" s="489"/>
      <c r="WYY53" s="489"/>
      <c r="WYZ53" s="489"/>
      <c r="WZA53" s="489"/>
      <c r="WZB53" s="489"/>
      <c r="WZC53" s="489"/>
      <c r="WZD53" s="489"/>
      <c r="WZE53" s="489"/>
      <c r="WZF53" s="489"/>
      <c r="WZG53" s="489"/>
      <c r="WZH53" s="489"/>
      <c r="WZI53" s="489"/>
      <c r="WZJ53" s="489"/>
      <c r="WZK53" s="489"/>
      <c r="WZL53" s="489"/>
      <c r="WZM53" s="489"/>
      <c r="WZN53" s="489"/>
      <c r="WZO53" s="489"/>
      <c r="WZP53" s="489"/>
      <c r="WZQ53" s="489"/>
      <c r="WZR53" s="489"/>
      <c r="WZS53" s="489"/>
      <c r="WZT53" s="489"/>
      <c r="WZU53" s="489"/>
      <c r="WZV53" s="489"/>
      <c r="WZW53" s="489"/>
      <c r="WZX53" s="489"/>
      <c r="WZY53" s="489"/>
      <c r="WZZ53" s="489"/>
      <c r="XAA53" s="489"/>
      <c r="XAB53" s="489"/>
      <c r="XAC53" s="489"/>
      <c r="XAD53" s="489"/>
      <c r="XAE53" s="489"/>
      <c r="XAF53" s="489"/>
      <c r="XAG53" s="489"/>
      <c r="XAH53" s="489"/>
      <c r="XAI53" s="489"/>
      <c r="XAJ53" s="489"/>
      <c r="XAK53" s="489"/>
      <c r="XAL53" s="489"/>
      <c r="XAM53" s="489"/>
      <c r="XAN53" s="489"/>
      <c r="XAO53" s="489"/>
      <c r="XAP53" s="489"/>
      <c r="XAQ53" s="489"/>
      <c r="XAR53" s="489"/>
      <c r="XAS53" s="489"/>
      <c r="XAT53" s="489"/>
      <c r="XAU53" s="489"/>
      <c r="XAV53" s="489"/>
      <c r="XAW53" s="489"/>
      <c r="XAX53" s="489"/>
      <c r="XAY53" s="489"/>
      <c r="XAZ53" s="489"/>
      <c r="XBA53" s="489"/>
      <c r="XBB53" s="489"/>
      <c r="XBC53" s="489"/>
      <c r="XBD53" s="489"/>
      <c r="XBE53" s="489"/>
      <c r="XBF53" s="489"/>
      <c r="XBG53" s="489"/>
      <c r="XBH53" s="489"/>
      <c r="XBI53" s="489"/>
      <c r="XBJ53" s="489"/>
      <c r="XBK53" s="489"/>
      <c r="XBL53" s="489"/>
      <c r="XBM53" s="489"/>
      <c r="XBN53" s="489"/>
      <c r="XBO53" s="489"/>
      <c r="XBP53" s="489"/>
      <c r="XBQ53" s="489"/>
      <c r="XBR53" s="489"/>
      <c r="XBS53" s="489"/>
      <c r="XBT53" s="489"/>
      <c r="XBU53" s="489"/>
      <c r="XBV53" s="489"/>
      <c r="XBW53" s="489"/>
      <c r="XBX53" s="489"/>
      <c r="XBY53" s="489"/>
      <c r="XBZ53" s="489"/>
      <c r="XCA53" s="489"/>
      <c r="XCB53" s="489"/>
      <c r="XCC53" s="489"/>
      <c r="XCD53" s="489"/>
      <c r="XCE53" s="489"/>
      <c r="XCF53" s="489"/>
      <c r="XCG53" s="489"/>
      <c r="XCH53" s="489"/>
      <c r="XCI53" s="489"/>
      <c r="XCJ53" s="489"/>
      <c r="XCK53" s="489"/>
      <c r="XCL53" s="489"/>
      <c r="XCM53" s="489"/>
      <c r="XCN53" s="489"/>
      <c r="XCO53" s="489"/>
      <c r="XCP53" s="489"/>
      <c r="XCQ53" s="489"/>
      <c r="XCR53" s="489"/>
      <c r="XCS53" s="489"/>
      <c r="XCT53" s="489"/>
      <c r="XCU53" s="489"/>
      <c r="XCV53" s="489"/>
      <c r="XCW53" s="489"/>
      <c r="XCX53" s="489"/>
      <c r="XCY53" s="489"/>
      <c r="XCZ53" s="489"/>
      <c r="XDA53" s="489"/>
      <c r="XDB53" s="489"/>
      <c r="XDC53" s="489"/>
      <c r="XDD53" s="489"/>
      <c r="XDE53" s="489"/>
      <c r="XDF53" s="489"/>
      <c r="XDG53" s="489"/>
      <c r="XDH53" s="489"/>
      <c r="XDI53" s="489"/>
      <c r="XDJ53" s="489"/>
      <c r="XDK53" s="489"/>
      <c r="XDL53" s="489"/>
      <c r="XDM53" s="489"/>
      <c r="XDN53" s="489"/>
      <c r="XDO53" s="489"/>
      <c r="XDP53" s="489"/>
      <c r="XDQ53" s="489"/>
      <c r="XDR53" s="489"/>
      <c r="XDS53" s="489"/>
      <c r="XDT53" s="489"/>
      <c r="XDU53" s="489"/>
      <c r="XDV53" s="489"/>
      <c r="XDW53" s="489"/>
      <c r="XDX53" s="489"/>
      <c r="XDY53" s="489"/>
      <c r="XDZ53" s="489"/>
      <c r="XEA53" s="489"/>
      <c r="XEB53" s="489"/>
      <c r="XEC53" s="489"/>
      <c r="XED53" s="489"/>
      <c r="XEE53" s="489"/>
      <c r="XEF53" s="489"/>
      <c r="XEG53" s="489"/>
      <c r="XEH53" s="489"/>
      <c r="XEI53" s="489"/>
      <c r="XEJ53" s="489"/>
      <c r="XEK53" s="489"/>
      <c r="XEL53" s="489"/>
      <c r="XEM53" s="489"/>
      <c r="XEN53" s="489"/>
      <c r="XEO53" s="489"/>
      <c r="XEP53" s="489"/>
      <c r="XEQ53" s="489"/>
      <c r="XER53" s="489"/>
      <c r="XES53" s="489"/>
      <c r="XET53" s="489"/>
      <c r="XEU53" s="489"/>
      <c r="XEV53" s="489"/>
      <c r="XEW53" s="489"/>
      <c r="XEX53" s="489"/>
      <c r="XEY53" s="489"/>
      <c r="XEZ53" s="489"/>
      <c r="XFA53" s="489"/>
      <c r="XFB53" s="489"/>
    </row>
    <row r="54" spans="1:16382" ht="34.5" thickBot="1" x14ac:dyDescent="0.55000000000000004">
      <c r="A54" s="292" t="s">
        <v>983</v>
      </c>
      <c r="B54" s="196"/>
      <c r="C54" s="196"/>
      <c r="D54" s="196"/>
      <c r="E54" s="196"/>
      <c r="F54" s="196"/>
      <c r="G54" s="196"/>
      <c r="H54" s="196"/>
      <c r="I54" s="196"/>
      <c r="J54" s="196"/>
      <c r="K54" s="196"/>
      <c r="L54" s="196"/>
      <c r="M54" s="196"/>
      <c r="N54" s="196"/>
      <c r="O54" s="196"/>
      <c r="P54" s="196"/>
      <c r="Q54" s="196"/>
      <c r="R54" s="196"/>
      <c r="S54" s="196"/>
      <c r="T54" s="196"/>
      <c r="U54" s="196"/>
      <c r="V54" s="196"/>
      <c r="W54" s="196"/>
      <c r="X54" s="196"/>
      <c r="Y54" s="196"/>
      <c r="Z54" s="196"/>
      <c r="AA54" s="196"/>
      <c r="AB54" s="196"/>
      <c r="AC54" s="196"/>
      <c r="AD54" s="196"/>
      <c r="AE54" s="196"/>
      <c r="AF54" s="196"/>
      <c r="AG54" s="196"/>
      <c r="AH54" s="196"/>
      <c r="AI54" s="196"/>
      <c r="AJ54" s="196"/>
      <c r="AK54" s="196"/>
      <c r="AL54" s="196"/>
      <c r="AM54" s="196"/>
      <c r="AN54" s="196"/>
      <c r="AO54" s="196"/>
      <c r="AP54" s="196"/>
      <c r="AQ54" s="196"/>
      <c r="AR54" s="196"/>
      <c r="AS54" s="196"/>
      <c r="AT54" s="196"/>
      <c r="AU54" s="196"/>
      <c r="AV54" s="196"/>
      <c r="AW54" s="196"/>
      <c r="AX54" s="196"/>
      <c r="AY54" s="196"/>
      <c r="AZ54" s="196"/>
      <c r="BA54" s="196"/>
      <c r="BB54" s="196"/>
      <c r="BC54" s="196"/>
      <c r="BD54" s="196"/>
      <c r="BE54" s="196"/>
      <c r="BF54" s="196"/>
      <c r="BG54" s="196"/>
      <c r="BH54" s="196"/>
      <c r="BI54" s="196"/>
      <c r="BJ54" s="196"/>
      <c r="BK54" s="196"/>
      <c r="BL54" s="196"/>
      <c r="BM54" s="196"/>
      <c r="BN54" s="196"/>
      <c r="BO54" s="196"/>
      <c r="BP54" s="196"/>
      <c r="BQ54" s="196"/>
      <c r="BR54" s="196"/>
      <c r="BS54" s="196"/>
      <c r="BT54" s="196"/>
      <c r="BU54" s="196"/>
      <c r="BV54" s="196"/>
      <c r="BW54" s="196"/>
      <c r="BX54" s="196"/>
      <c r="BY54" s="196"/>
      <c r="BZ54" s="196"/>
      <c r="CA54" s="196"/>
      <c r="CB54" s="196"/>
      <c r="CC54" s="196"/>
      <c r="CD54" s="196"/>
      <c r="CE54" s="196"/>
      <c r="CF54" s="196"/>
      <c r="CG54" s="196"/>
      <c r="CH54" s="196"/>
      <c r="CI54" s="196"/>
      <c r="CJ54" s="196"/>
      <c r="CK54" s="196"/>
      <c r="CL54" s="196"/>
      <c r="CM54" s="196"/>
      <c r="CN54" s="196"/>
      <c r="CO54" s="196"/>
      <c r="CP54" s="196"/>
      <c r="CQ54" s="196"/>
      <c r="CR54" s="196"/>
      <c r="CS54" s="196"/>
      <c r="CT54" s="196"/>
      <c r="CU54" s="196"/>
      <c r="CV54" s="196"/>
      <c r="CW54" s="196"/>
      <c r="CX54" s="196"/>
      <c r="CY54" s="196"/>
      <c r="CZ54" s="196"/>
      <c r="DA54" s="196"/>
      <c r="DB54" s="196"/>
      <c r="DC54" s="196"/>
      <c r="DD54" s="196"/>
      <c r="DE54" s="196"/>
      <c r="DF54" s="196"/>
      <c r="DG54" s="196"/>
      <c r="DH54" s="196"/>
      <c r="DI54" s="196"/>
      <c r="DJ54" s="196"/>
      <c r="DK54" s="196"/>
      <c r="DL54" s="196"/>
      <c r="DM54" s="196"/>
      <c r="DN54" s="196"/>
      <c r="DO54" s="196"/>
      <c r="DP54" s="196"/>
      <c r="DQ54" s="196"/>
      <c r="DR54" s="196"/>
      <c r="DS54" s="196"/>
      <c r="DT54" s="196"/>
      <c r="DU54" s="196"/>
      <c r="DV54" s="196"/>
      <c r="DW54" s="196"/>
      <c r="DX54" s="196"/>
      <c r="DY54" s="196"/>
      <c r="DZ54" s="196"/>
      <c r="EA54" s="196"/>
      <c r="EB54" s="196"/>
      <c r="EC54" s="196"/>
      <c r="ED54" s="196"/>
      <c r="EE54" s="196"/>
      <c r="EF54" s="196"/>
      <c r="EG54" s="196"/>
      <c r="EH54" s="196"/>
      <c r="EI54" s="196"/>
      <c r="EJ54" s="196"/>
      <c r="EK54" s="196"/>
      <c r="EL54" s="196"/>
      <c r="EM54" s="196"/>
      <c r="EN54" s="196"/>
      <c r="EO54" s="196"/>
      <c r="EP54" s="196"/>
      <c r="EQ54" s="196"/>
      <c r="ER54" s="196"/>
      <c r="ES54" s="196"/>
      <c r="ET54" s="196"/>
      <c r="EU54" s="196"/>
      <c r="EV54" s="196"/>
      <c r="EW54" s="196"/>
      <c r="EX54" s="196"/>
      <c r="EY54" s="196"/>
      <c r="EZ54" s="196"/>
      <c r="FA54" s="196"/>
      <c r="FB54" s="196"/>
      <c r="FC54" s="196"/>
      <c r="FD54" s="196"/>
      <c r="FE54" s="196"/>
      <c r="FF54" s="196"/>
      <c r="FG54" s="196"/>
      <c r="FH54" s="196"/>
      <c r="FI54" s="196"/>
      <c r="FJ54" s="196"/>
      <c r="FK54" s="196"/>
      <c r="FL54" s="196"/>
      <c r="FM54" s="196"/>
      <c r="FN54" s="196"/>
      <c r="FO54" s="196"/>
      <c r="FP54" s="196"/>
      <c r="FQ54" s="196"/>
      <c r="FR54" s="196"/>
      <c r="FS54" s="196"/>
      <c r="FT54" s="196"/>
      <c r="FU54" s="196"/>
      <c r="FV54" s="196"/>
      <c r="FW54" s="196"/>
      <c r="FX54" s="196"/>
      <c r="FY54" s="196"/>
      <c r="FZ54" s="196"/>
      <c r="GA54" s="196"/>
      <c r="GB54" s="196"/>
      <c r="GC54" s="196"/>
      <c r="GD54" s="196"/>
      <c r="GE54" s="196"/>
      <c r="GF54" s="196"/>
      <c r="GG54" s="196"/>
      <c r="GH54" s="196"/>
      <c r="GI54" s="196"/>
      <c r="GJ54" s="196"/>
      <c r="GK54" s="196"/>
      <c r="GL54" s="196"/>
      <c r="GM54" s="196"/>
      <c r="GN54" s="196"/>
      <c r="GO54" s="196"/>
      <c r="GP54" s="196"/>
      <c r="GQ54" s="196"/>
      <c r="GR54" s="196"/>
      <c r="GS54" s="196"/>
      <c r="GT54" s="196"/>
      <c r="GU54" s="196"/>
      <c r="GV54" s="196"/>
      <c r="GW54" s="196"/>
      <c r="GX54" s="196"/>
      <c r="GY54" s="196"/>
      <c r="GZ54" s="196"/>
      <c r="HA54" s="196"/>
      <c r="HB54" s="196"/>
      <c r="HC54" s="196"/>
      <c r="HD54" s="196"/>
      <c r="HE54" s="196"/>
      <c r="HF54" s="196"/>
      <c r="HG54" s="196"/>
      <c r="HH54" s="196"/>
      <c r="HI54" s="196"/>
      <c r="HJ54" s="196"/>
      <c r="HK54" s="196"/>
      <c r="HL54" s="196"/>
      <c r="HM54" s="196"/>
      <c r="HN54" s="196"/>
      <c r="HO54" s="196"/>
      <c r="HP54" s="196"/>
      <c r="HQ54" s="196"/>
      <c r="HR54" s="196"/>
      <c r="HS54" s="196"/>
      <c r="HT54" s="196"/>
      <c r="HU54" s="196"/>
      <c r="HV54" s="196"/>
      <c r="HW54" s="196"/>
      <c r="HX54" s="196"/>
      <c r="HY54" s="196"/>
      <c r="HZ54" s="196"/>
      <c r="IA54" s="196"/>
      <c r="IB54" s="196"/>
      <c r="IC54" s="196"/>
      <c r="ID54" s="196"/>
      <c r="IE54" s="196"/>
      <c r="IF54" s="196"/>
      <c r="IG54" s="196"/>
      <c r="IH54" s="196"/>
      <c r="II54" s="196"/>
      <c r="IJ54" s="196"/>
      <c r="IK54" s="196"/>
      <c r="IL54" s="196"/>
      <c r="IM54" s="196"/>
      <c r="IN54" s="196"/>
      <c r="IO54" s="196"/>
      <c r="IP54" s="196"/>
      <c r="IQ54" s="196"/>
      <c r="IR54" s="196"/>
      <c r="IS54" s="196"/>
      <c r="IT54" s="196"/>
      <c r="IU54" s="196"/>
      <c r="IV54" s="196"/>
      <c r="IW54" s="196"/>
      <c r="IX54" s="196"/>
      <c r="IY54" s="196"/>
      <c r="IZ54" s="196"/>
      <c r="JA54" s="196"/>
      <c r="JB54" s="196"/>
      <c r="JC54" s="196"/>
      <c r="JD54" s="196"/>
      <c r="JE54" s="196"/>
      <c r="JF54" s="196"/>
      <c r="JG54" s="196"/>
      <c r="JH54" s="196"/>
      <c r="JI54" s="196"/>
      <c r="JJ54" s="196"/>
      <c r="JK54" s="196"/>
      <c r="JL54" s="196"/>
      <c r="JM54" s="196"/>
      <c r="JN54" s="196"/>
      <c r="JO54" s="196"/>
      <c r="JP54" s="196"/>
      <c r="JQ54" s="196"/>
      <c r="JR54" s="196"/>
      <c r="JS54" s="196"/>
      <c r="JT54" s="196"/>
      <c r="JU54" s="196"/>
      <c r="JV54" s="196"/>
      <c r="JW54" s="196"/>
      <c r="JX54" s="196"/>
      <c r="JY54" s="196"/>
      <c r="JZ54" s="196"/>
      <c r="KA54" s="196"/>
      <c r="KB54" s="196"/>
      <c r="KC54" s="196"/>
      <c r="KD54" s="196"/>
      <c r="KE54" s="196"/>
      <c r="KF54" s="196"/>
      <c r="KG54" s="196"/>
      <c r="KH54" s="196"/>
      <c r="KI54" s="196"/>
      <c r="KJ54" s="196"/>
      <c r="KK54" s="196"/>
      <c r="KL54" s="196"/>
      <c r="KM54" s="196"/>
      <c r="KN54" s="196"/>
      <c r="KO54" s="196"/>
      <c r="KP54" s="196"/>
      <c r="KQ54" s="196"/>
      <c r="KR54" s="196"/>
      <c r="KS54" s="196"/>
      <c r="KT54" s="196"/>
      <c r="KU54" s="196"/>
      <c r="KV54" s="196"/>
      <c r="KW54" s="196"/>
      <c r="KX54" s="196"/>
      <c r="KY54" s="196"/>
      <c r="KZ54" s="196"/>
      <c r="LA54" s="196"/>
      <c r="LB54" s="196"/>
      <c r="LC54" s="196"/>
      <c r="LD54" s="196"/>
      <c r="LE54" s="196"/>
      <c r="LF54" s="196"/>
      <c r="LG54" s="196"/>
      <c r="LH54" s="196"/>
      <c r="LI54" s="196"/>
      <c r="LJ54" s="196"/>
      <c r="LK54" s="196"/>
      <c r="LL54" s="196"/>
      <c r="LM54" s="196"/>
      <c r="LN54" s="196"/>
      <c r="LO54" s="196"/>
      <c r="LP54" s="196"/>
      <c r="LQ54" s="196"/>
      <c r="LR54" s="196"/>
      <c r="LS54" s="196"/>
      <c r="LT54" s="196"/>
      <c r="LU54" s="196"/>
      <c r="LV54" s="196"/>
      <c r="LW54" s="196"/>
      <c r="LX54" s="196"/>
      <c r="LY54" s="196"/>
      <c r="LZ54" s="196"/>
      <c r="MA54" s="196"/>
      <c r="MB54" s="196"/>
      <c r="MC54" s="196"/>
      <c r="MD54" s="196"/>
      <c r="ME54" s="196"/>
      <c r="MF54" s="196"/>
      <c r="MG54" s="196"/>
      <c r="MH54" s="196"/>
      <c r="MI54" s="196"/>
      <c r="MJ54" s="196"/>
      <c r="MK54" s="196"/>
      <c r="ML54" s="196"/>
      <c r="MM54" s="196"/>
      <c r="MN54" s="196"/>
      <c r="MO54" s="196"/>
      <c r="MP54" s="196"/>
      <c r="MQ54" s="196"/>
      <c r="MR54" s="196"/>
      <c r="MS54" s="196"/>
      <c r="MT54" s="196"/>
      <c r="MU54" s="196"/>
      <c r="MV54" s="196"/>
      <c r="MW54" s="196"/>
      <c r="MX54" s="196"/>
      <c r="MY54" s="196"/>
      <c r="MZ54" s="196"/>
      <c r="NA54" s="196"/>
      <c r="NB54" s="196"/>
      <c r="NC54" s="196"/>
      <c r="ND54" s="196"/>
      <c r="NE54" s="196"/>
      <c r="NF54" s="196"/>
      <c r="NG54" s="196"/>
      <c r="NH54" s="196"/>
      <c r="NI54" s="196"/>
      <c r="NJ54" s="196"/>
      <c r="NK54" s="196"/>
      <c r="NL54" s="196"/>
      <c r="NM54" s="196"/>
      <c r="NN54" s="196"/>
      <c r="NO54" s="196"/>
      <c r="NP54" s="196"/>
      <c r="NQ54" s="196"/>
      <c r="NR54" s="196"/>
      <c r="NS54" s="196"/>
      <c r="NT54" s="196"/>
      <c r="NU54" s="196"/>
      <c r="NV54" s="196"/>
      <c r="NW54" s="196"/>
      <c r="NX54" s="196"/>
      <c r="NY54" s="196"/>
      <c r="NZ54" s="196"/>
      <c r="OA54" s="196"/>
      <c r="OB54" s="196"/>
      <c r="OC54" s="196"/>
      <c r="OD54" s="196"/>
      <c r="OE54" s="196"/>
      <c r="OF54" s="196"/>
      <c r="OG54" s="196"/>
      <c r="OH54" s="196"/>
      <c r="OI54" s="196"/>
      <c r="OJ54" s="196"/>
      <c r="OK54" s="196"/>
      <c r="OL54" s="196"/>
      <c r="OM54" s="196"/>
      <c r="ON54" s="196"/>
      <c r="OO54" s="196"/>
      <c r="OP54" s="196"/>
      <c r="OQ54" s="196"/>
      <c r="OR54" s="196"/>
      <c r="OS54" s="196"/>
      <c r="OT54" s="196"/>
      <c r="OU54" s="196"/>
      <c r="OV54" s="196"/>
      <c r="OW54" s="196"/>
      <c r="OX54" s="196"/>
      <c r="OY54" s="196"/>
      <c r="OZ54" s="196"/>
      <c r="PA54" s="196"/>
      <c r="PB54" s="196"/>
      <c r="PC54" s="196"/>
      <c r="PD54" s="196"/>
      <c r="PE54" s="196"/>
      <c r="PF54" s="196"/>
      <c r="PG54" s="196"/>
      <c r="PH54" s="196"/>
      <c r="PI54" s="196"/>
      <c r="PJ54" s="196"/>
      <c r="PK54" s="196"/>
      <c r="PL54" s="196"/>
      <c r="PM54" s="196"/>
      <c r="PN54" s="196"/>
      <c r="PO54" s="196"/>
      <c r="PP54" s="196"/>
      <c r="PQ54" s="196"/>
      <c r="PR54" s="196"/>
      <c r="PS54" s="196"/>
      <c r="PT54" s="196"/>
      <c r="PU54" s="196"/>
      <c r="PV54" s="196"/>
      <c r="PW54" s="196"/>
      <c r="PX54" s="196"/>
      <c r="PY54" s="196"/>
      <c r="PZ54" s="196"/>
      <c r="QA54" s="196"/>
      <c r="QB54" s="196"/>
      <c r="QC54" s="196"/>
      <c r="QD54" s="196"/>
      <c r="QE54" s="196"/>
      <c r="QF54" s="196"/>
      <c r="QG54" s="196"/>
      <c r="QH54" s="196"/>
      <c r="QI54" s="196"/>
      <c r="QJ54" s="196"/>
      <c r="QK54" s="196"/>
      <c r="QL54" s="196"/>
      <c r="QM54" s="196"/>
      <c r="QN54" s="196"/>
      <c r="QO54" s="196"/>
      <c r="QP54" s="196"/>
      <c r="QQ54" s="196"/>
      <c r="QR54" s="196"/>
      <c r="QS54" s="196"/>
      <c r="QT54" s="196"/>
      <c r="QU54" s="196"/>
      <c r="QV54" s="196"/>
      <c r="QW54" s="196"/>
      <c r="QX54" s="196"/>
      <c r="QY54" s="196"/>
      <c r="QZ54" s="196"/>
      <c r="RA54" s="196"/>
      <c r="RB54" s="196"/>
      <c r="RC54" s="196"/>
      <c r="RD54" s="196"/>
      <c r="RE54" s="196"/>
      <c r="RF54" s="196"/>
      <c r="RG54" s="196"/>
      <c r="RH54" s="196"/>
      <c r="RI54" s="196"/>
      <c r="RJ54" s="196"/>
      <c r="RK54" s="196"/>
      <c r="RL54" s="196"/>
      <c r="RM54" s="196"/>
      <c r="RN54" s="196"/>
      <c r="RO54" s="196"/>
      <c r="RP54" s="196"/>
      <c r="RQ54" s="196"/>
      <c r="RR54" s="196"/>
      <c r="RS54" s="196"/>
      <c r="RT54" s="196"/>
      <c r="RU54" s="196"/>
      <c r="RV54" s="196"/>
      <c r="RW54" s="196"/>
      <c r="RX54" s="196"/>
      <c r="RY54" s="196"/>
      <c r="RZ54" s="196"/>
      <c r="SA54" s="196"/>
      <c r="SB54" s="196"/>
      <c r="SC54" s="196"/>
      <c r="SD54" s="196"/>
      <c r="SE54" s="196"/>
      <c r="SF54" s="196"/>
      <c r="SG54" s="196"/>
      <c r="SH54" s="196"/>
      <c r="SI54" s="196"/>
      <c r="SJ54" s="196"/>
      <c r="SK54" s="196"/>
      <c r="SL54" s="196"/>
      <c r="SM54" s="196"/>
      <c r="SN54" s="196"/>
      <c r="SO54" s="196"/>
      <c r="SP54" s="196"/>
      <c r="SQ54" s="196"/>
      <c r="SR54" s="196"/>
      <c r="SS54" s="196"/>
      <c r="ST54" s="196"/>
      <c r="SU54" s="196"/>
      <c r="SV54" s="196"/>
      <c r="SW54" s="196"/>
      <c r="SX54" s="196"/>
      <c r="SY54" s="196"/>
      <c r="SZ54" s="196"/>
      <c r="TA54" s="196"/>
      <c r="TB54" s="196"/>
      <c r="TC54" s="196"/>
      <c r="TD54" s="196"/>
      <c r="TE54" s="196"/>
      <c r="TF54" s="196"/>
      <c r="TG54" s="196"/>
      <c r="TH54" s="196"/>
      <c r="TI54" s="196"/>
      <c r="TJ54" s="196"/>
      <c r="TK54" s="196"/>
      <c r="TL54" s="196"/>
      <c r="TM54" s="196"/>
      <c r="TN54" s="196"/>
      <c r="TO54" s="196"/>
      <c r="TP54" s="196"/>
      <c r="TQ54" s="196"/>
      <c r="TR54" s="196"/>
      <c r="TS54" s="196"/>
      <c r="TT54" s="196"/>
      <c r="TU54" s="196"/>
      <c r="TV54" s="196"/>
      <c r="TW54" s="196"/>
      <c r="TX54" s="196"/>
      <c r="TY54" s="196"/>
      <c r="TZ54" s="196"/>
      <c r="UA54" s="196"/>
      <c r="UB54" s="196"/>
      <c r="UC54" s="196"/>
      <c r="UD54" s="196"/>
      <c r="UE54" s="196"/>
      <c r="UF54" s="196"/>
      <c r="UG54" s="196"/>
      <c r="UH54" s="196"/>
      <c r="UI54" s="196"/>
      <c r="UJ54" s="196"/>
      <c r="UK54" s="196"/>
      <c r="UL54" s="196"/>
      <c r="UM54" s="196"/>
      <c r="UN54" s="196"/>
      <c r="UO54" s="196"/>
      <c r="UP54" s="196"/>
      <c r="UQ54" s="196"/>
      <c r="UR54" s="196"/>
      <c r="US54" s="196"/>
      <c r="UT54" s="196"/>
      <c r="UU54" s="196"/>
      <c r="UV54" s="196"/>
      <c r="UW54" s="196"/>
      <c r="UX54" s="196"/>
      <c r="UY54" s="196"/>
      <c r="UZ54" s="196"/>
      <c r="VA54" s="196"/>
      <c r="VB54" s="196"/>
      <c r="VC54" s="196"/>
      <c r="VD54" s="196"/>
      <c r="VE54" s="196"/>
      <c r="VF54" s="196"/>
      <c r="VG54" s="196"/>
      <c r="VH54" s="196"/>
      <c r="VI54" s="196"/>
      <c r="VJ54" s="196"/>
      <c r="VK54" s="196"/>
      <c r="VL54" s="196"/>
      <c r="VM54" s="196"/>
      <c r="VN54" s="196"/>
      <c r="VO54" s="196"/>
      <c r="VP54" s="196"/>
      <c r="VQ54" s="196"/>
      <c r="VR54" s="196"/>
      <c r="VS54" s="196"/>
      <c r="VT54" s="196"/>
      <c r="VU54" s="196"/>
      <c r="VV54" s="196"/>
      <c r="VW54" s="196"/>
      <c r="VX54" s="196"/>
      <c r="VY54" s="196"/>
      <c r="VZ54" s="196"/>
      <c r="WA54" s="196"/>
      <c r="WB54" s="196"/>
      <c r="WC54" s="196"/>
      <c r="WD54" s="196"/>
      <c r="WE54" s="196"/>
      <c r="WF54" s="196"/>
      <c r="WG54" s="196"/>
      <c r="WH54" s="196"/>
      <c r="WI54" s="196"/>
      <c r="WJ54" s="196"/>
      <c r="WK54" s="196"/>
      <c r="WL54" s="196"/>
      <c r="WM54" s="196"/>
      <c r="WN54" s="196"/>
      <c r="WO54" s="196"/>
      <c r="WP54" s="196"/>
      <c r="WQ54" s="196"/>
      <c r="WR54" s="196"/>
      <c r="WS54" s="196"/>
      <c r="WT54" s="196"/>
      <c r="WU54" s="196"/>
      <c r="WV54" s="196"/>
      <c r="WW54" s="196"/>
      <c r="WX54" s="196"/>
      <c r="WY54" s="196"/>
      <c r="WZ54" s="196"/>
      <c r="XA54" s="196"/>
      <c r="XB54" s="196"/>
      <c r="XC54" s="196"/>
      <c r="XD54" s="196"/>
      <c r="XE54" s="196"/>
      <c r="XF54" s="196"/>
      <c r="XG54" s="196"/>
      <c r="XH54" s="196"/>
      <c r="XI54" s="196"/>
      <c r="XJ54" s="196"/>
      <c r="XK54" s="196"/>
      <c r="XL54" s="196"/>
      <c r="XM54" s="196"/>
      <c r="XN54" s="196"/>
      <c r="XO54" s="196"/>
      <c r="XP54" s="196"/>
      <c r="XQ54" s="196"/>
      <c r="XR54" s="196"/>
      <c r="XS54" s="196"/>
      <c r="XT54" s="196"/>
      <c r="XU54" s="196"/>
      <c r="XV54" s="196"/>
      <c r="XW54" s="196"/>
      <c r="XX54" s="196"/>
      <c r="XY54" s="196"/>
      <c r="XZ54" s="196"/>
      <c r="YA54" s="196"/>
      <c r="YB54" s="196"/>
      <c r="YC54" s="196"/>
      <c r="YD54" s="196"/>
      <c r="YE54" s="196"/>
      <c r="YF54" s="196"/>
      <c r="YG54" s="196"/>
      <c r="YH54" s="196"/>
      <c r="YI54" s="196"/>
      <c r="YJ54" s="196"/>
      <c r="YK54" s="196"/>
      <c r="YL54" s="196"/>
      <c r="YM54" s="196"/>
      <c r="YN54" s="196"/>
      <c r="YO54" s="196"/>
      <c r="YP54" s="196"/>
      <c r="YQ54" s="196"/>
      <c r="YR54" s="196"/>
      <c r="YS54" s="196"/>
      <c r="YT54" s="196"/>
      <c r="YU54" s="196"/>
      <c r="YV54" s="196"/>
      <c r="YW54" s="196"/>
      <c r="YX54" s="196"/>
      <c r="YY54" s="196"/>
      <c r="YZ54" s="196"/>
      <c r="ZA54" s="196"/>
      <c r="ZB54" s="196"/>
      <c r="ZC54" s="196"/>
      <c r="ZD54" s="196"/>
      <c r="ZE54" s="196"/>
      <c r="ZF54" s="196"/>
      <c r="ZG54" s="196"/>
      <c r="ZH54" s="196"/>
      <c r="ZI54" s="196"/>
      <c r="ZJ54" s="196"/>
      <c r="ZK54" s="196"/>
      <c r="ZL54" s="196"/>
      <c r="ZM54" s="196"/>
      <c r="ZN54" s="196"/>
      <c r="ZO54" s="196"/>
      <c r="ZP54" s="196"/>
      <c r="ZQ54" s="196"/>
      <c r="ZR54" s="196"/>
      <c r="ZS54" s="196"/>
      <c r="ZT54" s="196"/>
      <c r="ZU54" s="196"/>
      <c r="ZV54" s="196"/>
      <c r="ZW54" s="196"/>
      <c r="ZX54" s="196"/>
      <c r="ZY54" s="196"/>
      <c r="ZZ54" s="196"/>
      <c r="AAA54" s="196"/>
      <c r="AAB54" s="196"/>
      <c r="AAC54" s="196"/>
      <c r="AAD54" s="196"/>
      <c r="AAE54" s="196"/>
      <c r="AAF54" s="196"/>
      <c r="AAG54" s="196"/>
      <c r="AAH54" s="196"/>
      <c r="AAI54" s="196"/>
      <c r="AAJ54" s="196"/>
      <c r="AAK54" s="196"/>
      <c r="AAL54" s="196"/>
      <c r="AAM54" s="196"/>
      <c r="AAN54" s="196"/>
      <c r="AAO54" s="196"/>
      <c r="AAP54" s="196"/>
      <c r="AAQ54" s="196"/>
      <c r="AAR54" s="196"/>
      <c r="AAS54" s="196"/>
      <c r="AAT54" s="196"/>
      <c r="AAU54" s="196"/>
      <c r="AAV54" s="196"/>
      <c r="AAW54" s="196"/>
      <c r="AAX54" s="196"/>
      <c r="AAY54" s="196"/>
      <c r="AAZ54" s="196"/>
      <c r="ABA54" s="196"/>
      <c r="ABB54" s="196"/>
      <c r="ABC54" s="196"/>
      <c r="ABD54" s="196"/>
      <c r="ABE54" s="196"/>
      <c r="ABF54" s="196"/>
      <c r="ABG54" s="196"/>
      <c r="ABH54" s="196"/>
      <c r="ABI54" s="196"/>
      <c r="ABJ54" s="196"/>
      <c r="ABK54" s="196"/>
      <c r="ABL54" s="196"/>
      <c r="ABM54" s="196"/>
      <c r="ABN54" s="196"/>
      <c r="ABO54" s="196"/>
      <c r="ABP54" s="196"/>
      <c r="ABQ54" s="196"/>
      <c r="ABR54" s="196"/>
      <c r="ABS54" s="196"/>
      <c r="ABT54" s="196"/>
      <c r="ABU54" s="196"/>
      <c r="ABV54" s="196"/>
      <c r="ABW54" s="196"/>
      <c r="ABX54" s="196"/>
      <c r="ABY54" s="196"/>
      <c r="ABZ54" s="196"/>
      <c r="ACA54" s="196"/>
      <c r="ACB54" s="196"/>
      <c r="ACC54" s="196"/>
      <c r="ACD54" s="196"/>
      <c r="ACE54" s="196"/>
      <c r="ACF54" s="196"/>
      <c r="ACG54" s="196"/>
      <c r="ACH54" s="196"/>
      <c r="ACI54" s="196"/>
      <c r="ACJ54" s="196"/>
      <c r="ACK54" s="196"/>
      <c r="ACL54" s="196"/>
      <c r="ACM54" s="196"/>
      <c r="ACN54" s="196"/>
      <c r="ACO54" s="196"/>
      <c r="ACP54" s="196"/>
      <c r="ACQ54" s="196"/>
      <c r="ACR54" s="196"/>
      <c r="ACS54" s="196"/>
      <c r="ACT54" s="196"/>
      <c r="ACU54" s="196"/>
      <c r="ACV54" s="196"/>
      <c r="ACW54" s="196"/>
      <c r="ACX54" s="196"/>
      <c r="ACY54" s="196"/>
      <c r="ACZ54" s="196"/>
      <c r="ADA54" s="196"/>
      <c r="ADB54" s="196"/>
      <c r="ADC54" s="196"/>
      <c r="ADD54" s="196"/>
      <c r="ADE54" s="196"/>
      <c r="ADF54" s="196"/>
      <c r="ADG54" s="196"/>
      <c r="ADH54" s="196"/>
      <c r="ADI54" s="196"/>
      <c r="ADJ54" s="196"/>
      <c r="ADK54" s="196"/>
      <c r="ADL54" s="196"/>
      <c r="ADM54" s="196"/>
      <c r="ADN54" s="196"/>
      <c r="ADO54" s="196"/>
      <c r="ADP54" s="196"/>
      <c r="ADQ54" s="196"/>
      <c r="ADR54" s="196"/>
      <c r="ADS54" s="196"/>
      <c r="ADT54" s="196"/>
      <c r="ADU54" s="196"/>
      <c r="ADV54" s="196"/>
      <c r="ADW54" s="196"/>
      <c r="ADX54" s="196"/>
      <c r="ADY54" s="196"/>
      <c r="ADZ54" s="196"/>
      <c r="AEA54" s="196"/>
      <c r="AEB54" s="196"/>
      <c r="AEC54" s="196"/>
      <c r="AED54" s="196"/>
      <c r="AEE54" s="196"/>
      <c r="AEF54" s="196"/>
      <c r="AEG54" s="196"/>
      <c r="AEH54" s="196"/>
      <c r="AEI54" s="196"/>
      <c r="AEJ54" s="196"/>
      <c r="AEK54" s="196"/>
      <c r="AEL54" s="196"/>
      <c r="AEM54" s="196"/>
      <c r="AEN54" s="196"/>
      <c r="AEO54" s="196"/>
      <c r="AEP54" s="196"/>
      <c r="AEQ54" s="196"/>
      <c r="AER54" s="196"/>
      <c r="AES54" s="196"/>
      <c r="AET54" s="196"/>
      <c r="AEU54" s="196"/>
      <c r="AEV54" s="196"/>
      <c r="AEW54" s="196"/>
      <c r="AEX54" s="196"/>
      <c r="AEY54" s="196"/>
      <c r="AEZ54" s="196"/>
      <c r="AFA54" s="196"/>
      <c r="AFB54" s="196"/>
      <c r="AFC54" s="196"/>
      <c r="AFD54" s="196"/>
      <c r="AFE54" s="196"/>
      <c r="AFF54" s="196"/>
      <c r="AFG54" s="196"/>
      <c r="AFH54" s="196"/>
      <c r="AFI54" s="196"/>
      <c r="AFJ54" s="196"/>
      <c r="AFK54" s="196"/>
      <c r="AFL54" s="196"/>
      <c r="AFM54" s="196"/>
      <c r="AFN54" s="196"/>
      <c r="AFO54" s="196"/>
      <c r="AFP54" s="196"/>
      <c r="AFQ54" s="196"/>
      <c r="AFR54" s="196"/>
      <c r="AFS54" s="196"/>
      <c r="AFT54" s="196"/>
      <c r="AFU54" s="196"/>
      <c r="AFV54" s="196"/>
      <c r="AFW54" s="196"/>
      <c r="AFX54" s="196"/>
      <c r="AFY54" s="196"/>
      <c r="AFZ54" s="196"/>
      <c r="AGA54" s="196"/>
      <c r="AGB54" s="196"/>
      <c r="AGC54" s="196"/>
      <c r="AGD54" s="196"/>
      <c r="AGE54" s="196"/>
      <c r="AGF54" s="196"/>
      <c r="AGG54" s="196"/>
      <c r="AGH54" s="196"/>
      <c r="AGI54" s="196"/>
      <c r="AGJ54" s="196"/>
      <c r="AGK54" s="196"/>
      <c r="AGL54" s="196"/>
      <c r="AGM54" s="196"/>
      <c r="AGN54" s="196"/>
      <c r="AGO54" s="196"/>
      <c r="AGP54" s="196"/>
      <c r="AGQ54" s="196"/>
      <c r="AGR54" s="196"/>
      <c r="AGS54" s="196"/>
      <c r="AGT54" s="196"/>
      <c r="AGU54" s="196"/>
      <c r="AGV54" s="196"/>
      <c r="AGW54" s="196"/>
      <c r="AGX54" s="196"/>
      <c r="AGY54" s="196"/>
      <c r="AGZ54" s="196"/>
      <c r="AHA54" s="196"/>
      <c r="AHB54" s="196"/>
      <c r="AHC54" s="196"/>
      <c r="AHD54" s="196"/>
      <c r="AHE54" s="196"/>
      <c r="AHF54" s="196"/>
      <c r="AHG54" s="196"/>
      <c r="AHH54" s="196"/>
      <c r="AHI54" s="196"/>
      <c r="AHJ54" s="196"/>
      <c r="AHK54" s="196"/>
      <c r="AHL54" s="196"/>
      <c r="AHM54" s="196"/>
      <c r="AHN54" s="196"/>
      <c r="AHO54" s="196"/>
      <c r="AHP54" s="196"/>
      <c r="AHQ54" s="196"/>
      <c r="AHR54" s="196"/>
      <c r="AHS54" s="196"/>
      <c r="AHT54" s="196"/>
      <c r="AHU54" s="196"/>
      <c r="AHV54" s="196"/>
      <c r="AHW54" s="196"/>
      <c r="AHX54" s="196"/>
      <c r="AHY54" s="196"/>
      <c r="AHZ54" s="196"/>
      <c r="AIA54" s="196"/>
      <c r="AIB54" s="196"/>
      <c r="AIC54" s="196"/>
      <c r="AID54" s="196"/>
      <c r="AIE54" s="196"/>
      <c r="AIF54" s="196"/>
      <c r="AIG54" s="196"/>
      <c r="AIH54" s="196"/>
      <c r="AII54" s="196"/>
      <c r="AIJ54" s="196"/>
      <c r="AIK54" s="196"/>
      <c r="AIL54" s="196"/>
      <c r="AIM54" s="196"/>
      <c r="AIN54" s="196"/>
      <c r="AIO54" s="196"/>
      <c r="AIP54" s="196"/>
      <c r="AIQ54" s="196"/>
      <c r="AIR54" s="196"/>
      <c r="AIS54" s="196"/>
      <c r="AIT54" s="196"/>
      <c r="AIU54" s="196"/>
      <c r="AIV54" s="196"/>
      <c r="AIW54" s="196"/>
      <c r="AIX54" s="196"/>
      <c r="AIY54" s="196"/>
      <c r="AIZ54" s="196"/>
      <c r="AJA54" s="196"/>
      <c r="AJB54" s="196"/>
      <c r="AJC54" s="196"/>
      <c r="AJD54" s="196"/>
      <c r="AJE54" s="196"/>
      <c r="AJF54" s="196"/>
      <c r="AJG54" s="196"/>
      <c r="AJH54" s="196"/>
      <c r="AJI54" s="196"/>
      <c r="AJJ54" s="196"/>
      <c r="AJK54" s="196"/>
      <c r="AJL54" s="196"/>
      <c r="AJM54" s="196"/>
      <c r="AJN54" s="196"/>
      <c r="AJO54" s="196"/>
      <c r="AJP54" s="196"/>
      <c r="AJQ54" s="196"/>
      <c r="AJR54" s="196"/>
      <c r="AJS54" s="196"/>
      <c r="AJT54" s="196"/>
      <c r="AJU54" s="196"/>
      <c r="AJV54" s="196"/>
      <c r="AJW54" s="196"/>
      <c r="AJX54" s="196"/>
      <c r="AJY54" s="196"/>
      <c r="AJZ54" s="196"/>
      <c r="AKA54" s="196"/>
      <c r="AKB54" s="196"/>
      <c r="AKC54" s="196"/>
      <c r="AKD54" s="196"/>
      <c r="AKE54" s="196"/>
      <c r="AKF54" s="196"/>
      <c r="AKG54" s="196"/>
      <c r="AKH54" s="196"/>
      <c r="AKI54" s="196"/>
      <c r="AKJ54" s="196"/>
      <c r="AKK54" s="196"/>
      <c r="AKL54" s="196"/>
      <c r="AKM54" s="196"/>
      <c r="AKN54" s="196"/>
      <c r="AKO54" s="196"/>
      <c r="AKP54" s="196"/>
      <c r="AKQ54" s="196"/>
      <c r="AKR54" s="196"/>
      <c r="AKS54" s="196"/>
      <c r="AKT54" s="196"/>
      <c r="AKU54" s="196"/>
      <c r="AKV54" s="196"/>
      <c r="AKW54" s="196"/>
      <c r="AKX54" s="196"/>
      <c r="AKY54" s="196"/>
      <c r="AKZ54" s="196"/>
      <c r="ALA54" s="196"/>
      <c r="ALB54" s="196"/>
      <c r="ALC54" s="196"/>
      <c r="ALD54" s="196"/>
      <c r="ALE54" s="196"/>
      <c r="ALF54" s="196"/>
      <c r="ALG54" s="196"/>
      <c r="ALH54" s="196"/>
      <c r="ALI54" s="196"/>
      <c r="ALJ54" s="196"/>
      <c r="ALK54" s="196"/>
      <c r="ALL54" s="196"/>
      <c r="ALM54" s="196"/>
      <c r="ALN54" s="196"/>
      <c r="ALO54" s="196"/>
      <c r="ALP54" s="196"/>
      <c r="ALQ54" s="196"/>
      <c r="ALR54" s="196"/>
      <c r="ALS54" s="196"/>
      <c r="ALT54" s="196"/>
      <c r="ALU54" s="196"/>
      <c r="ALV54" s="196"/>
      <c r="ALW54" s="196"/>
      <c r="ALX54" s="196"/>
      <c r="ALY54" s="196"/>
      <c r="ALZ54" s="196"/>
      <c r="AMA54" s="196"/>
      <c r="AMB54" s="196"/>
      <c r="AMC54" s="196"/>
      <c r="AMD54" s="196"/>
      <c r="AME54" s="196"/>
      <c r="AMF54" s="196"/>
      <c r="AMG54" s="196"/>
      <c r="AMH54" s="196"/>
      <c r="AMI54" s="196"/>
      <c r="AMJ54" s="196"/>
      <c r="AMK54" s="196"/>
      <c r="AML54" s="196"/>
      <c r="AMM54" s="196"/>
      <c r="AMN54" s="196"/>
      <c r="AMO54" s="196"/>
      <c r="AMP54" s="196"/>
      <c r="AMQ54" s="196"/>
      <c r="AMR54" s="196"/>
      <c r="AMS54" s="196"/>
      <c r="AMT54" s="196"/>
      <c r="AMU54" s="196"/>
      <c r="AMV54" s="196"/>
      <c r="AMW54" s="196"/>
      <c r="AMX54" s="196"/>
      <c r="AMY54" s="196"/>
      <c r="AMZ54" s="196"/>
      <c r="ANA54" s="196"/>
      <c r="ANB54" s="196"/>
      <c r="ANC54" s="196"/>
      <c r="AND54" s="196"/>
      <c r="ANE54" s="196"/>
      <c r="ANF54" s="196"/>
      <c r="ANG54" s="196"/>
      <c r="ANH54" s="196"/>
      <c r="ANI54" s="196"/>
      <c r="ANJ54" s="196"/>
      <c r="ANK54" s="196"/>
      <c r="ANL54" s="196"/>
      <c r="ANM54" s="196"/>
      <c r="ANN54" s="196"/>
      <c r="ANO54" s="196"/>
      <c r="ANP54" s="196"/>
      <c r="ANQ54" s="196"/>
      <c r="ANR54" s="196"/>
      <c r="ANS54" s="196"/>
      <c r="ANT54" s="196"/>
      <c r="ANU54" s="196"/>
      <c r="ANV54" s="196"/>
      <c r="ANW54" s="196"/>
      <c r="ANX54" s="196"/>
      <c r="ANY54" s="196"/>
      <c r="ANZ54" s="196"/>
      <c r="AOA54" s="196"/>
      <c r="AOB54" s="196"/>
      <c r="AOC54" s="196"/>
      <c r="AOD54" s="196"/>
      <c r="AOE54" s="196"/>
      <c r="AOF54" s="196"/>
      <c r="AOG54" s="196"/>
      <c r="AOH54" s="196"/>
      <c r="AOI54" s="196"/>
      <c r="AOJ54" s="196"/>
      <c r="AOK54" s="196"/>
      <c r="AOL54" s="196"/>
      <c r="AOM54" s="196"/>
      <c r="AON54" s="196"/>
      <c r="AOO54" s="196"/>
      <c r="AOP54" s="196"/>
      <c r="AOQ54" s="196"/>
      <c r="AOR54" s="196"/>
      <c r="AOS54" s="196"/>
      <c r="AOT54" s="196"/>
      <c r="AOU54" s="196"/>
      <c r="AOV54" s="196"/>
      <c r="AOW54" s="196"/>
      <c r="AOX54" s="196"/>
      <c r="AOY54" s="196"/>
      <c r="AOZ54" s="196"/>
      <c r="APA54" s="196"/>
      <c r="APB54" s="196"/>
      <c r="APC54" s="196"/>
      <c r="APD54" s="196"/>
      <c r="APE54" s="196"/>
      <c r="APF54" s="196"/>
      <c r="APG54" s="196"/>
      <c r="APH54" s="196"/>
      <c r="API54" s="196"/>
      <c r="APJ54" s="196"/>
      <c r="APK54" s="196"/>
      <c r="APL54" s="196"/>
      <c r="APM54" s="196"/>
      <c r="APN54" s="196"/>
      <c r="APO54" s="196"/>
      <c r="APP54" s="196"/>
      <c r="APQ54" s="196"/>
      <c r="APR54" s="196"/>
      <c r="APS54" s="196"/>
      <c r="APT54" s="196"/>
      <c r="APU54" s="196"/>
      <c r="APV54" s="196"/>
      <c r="APW54" s="196"/>
      <c r="APX54" s="196"/>
      <c r="APY54" s="196"/>
      <c r="APZ54" s="196"/>
      <c r="AQA54" s="196"/>
      <c r="AQB54" s="196"/>
      <c r="AQC54" s="196"/>
      <c r="AQD54" s="196"/>
      <c r="AQE54" s="196"/>
      <c r="AQF54" s="196"/>
      <c r="AQG54" s="196"/>
      <c r="AQH54" s="196"/>
      <c r="AQI54" s="196"/>
      <c r="AQJ54" s="196"/>
      <c r="AQK54" s="196"/>
      <c r="AQL54" s="196"/>
      <c r="AQM54" s="196"/>
      <c r="AQN54" s="196"/>
      <c r="AQO54" s="196"/>
      <c r="AQP54" s="196"/>
      <c r="AQQ54" s="196"/>
      <c r="AQR54" s="196"/>
      <c r="AQS54" s="196"/>
      <c r="AQT54" s="196"/>
      <c r="AQU54" s="196"/>
      <c r="AQV54" s="196"/>
      <c r="AQW54" s="196"/>
      <c r="AQX54" s="196"/>
      <c r="AQY54" s="196"/>
      <c r="AQZ54" s="196"/>
      <c r="ARA54" s="196"/>
      <c r="ARB54" s="196"/>
      <c r="ARC54" s="196"/>
      <c r="ARD54" s="196"/>
      <c r="ARE54" s="196"/>
      <c r="ARF54" s="196"/>
      <c r="ARG54" s="196"/>
      <c r="ARH54" s="196"/>
      <c r="ARI54" s="196"/>
      <c r="ARJ54" s="196"/>
      <c r="ARK54" s="196"/>
      <c r="ARL54" s="196"/>
      <c r="ARM54" s="196"/>
      <c r="ARN54" s="196"/>
      <c r="ARO54" s="196"/>
      <c r="ARP54" s="196"/>
      <c r="ARQ54" s="196"/>
      <c r="ARR54" s="196"/>
      <c r="ARS54" s="196"/>
      <c r="ART54" s="196"/>
      <c r="ARU54" s="196"/>
      <c r="ARV54" s="196"/>
      <c r="ARW54" s="196"/>
      <c r="ARX54" s="196"/>
      <c r="ARY54" s="196"/>
      <c r="ARZ54" s="196"/>
      <c r="ASA54" s="196"/>
      <c r="ASB54" s="196"/>
      <c r="ASC54" s="196"/>
      <c r="ASD54" s="196"/>
      <c r="ASE54" s="196"/>
      <c r="ASF54" s="196"/>
      <c r="ASG54" s="196"/>
      <c r="ASH54" s="196"/>
      <c r="ASI54" s="196"/>
      <c r="ASJ54" s="196"/>
      <c r="ASK54" s="196"/>
      <c r="ASL54" s="196"/>
      <c r="ASM54" s="196"/>
      <c r="ASN54" s="196"/>
      <c r="ASO54" s="196"/>
      <c r="ASP54" s="196"/>
      <c r="ASQ54" s="196"/>
      <c r="ASR54" s="196"/>
      <c r="ASS54" s="196"/>
      <c r="AST54" s="196"/>
      <c r="ASU54" s="196"/>
      <c r="ASV54" s="196"/>
      <c r="ASW54" s="196"/>
      <c r="ASX54" s="196"/>
      <c r="ASY54" s="196"/>
      <c r="ASZ54" s="196"/>
      <c r="ATA54" s="196"/>
      <c r="ATB54" s="196"/>
      <c r="ATC54" s="196"/>
      <c r="ATD54" s="196"/>
      <c r="ATE54" s="196"/>
      <c r="ATF54" s="196"/>
      <c r="ATG54" s="196"/>
      <c r="ATH54" s="196"/>
      <c r="ATI54" s="196"/>
      <c r="ATJ54" s="196"/>
      <c r="ATK54" s="196"/>
      <c r="ATL54" s="196"/>
      <c r="ATM54" s="196"/>
      <c r="ATN54" s="196"/>
      <c r="ATO54" s="196"/>
      <c r="ATP54" s="196"/>
      <c r="ATQ54" s="196"/>
      <c r="ATR54" s="196"/>
      <c r="ATS54" s="196"/>
      <c r="ATT54" s="196"/>
      <c r="ATU54" s="196"/>
      <c r="ATV54" s="196"/>
      <c r="ATW54" s="196"/>
      <c r="ATX54" s="196"/>
      <c r="ATY54" s="196"/>
      <c r="ATZ54" s="196"/>
      <c r="AUA54" s="196"/>
      <c r="AUB54" s="196"/>
      <c r="AUC54" s="196"/>
      <c r="AUD54" s="196"/>
      <c r="AUE54" s="196"/>
      <c r="AUF54" s="196"/>
      <c r="AUG54" s="196"/>
      <c r="AUH54" s="196"/>
      <c r="AUI54" s="196"/>
      <c r="AUJ54" s="196"/>
      <c r="AUK54" s="196"/>
      <c r="AUL54" s="196"/>
      <c r="AUM54" s="196"/>
      <c r="AUN54" s="196"/>
      <c r="AUO54" s="196"/>
      <c r="AUP54" s="196"/>
      <c r="AUQ54" s="196"/>
      <c r="AUR54" s="196"/>
      <c r="AUS54" s="196"/>
      <c r="AUT54" s="196"/>
      <c r="AUU54" s="196"/>
      <c r="AUV54" s="196"/>
      <c r="AUW54" s="196"/>
      <c r="AUX54" s="196"/>
      <c r="AUY54" s="196"/>
      <c r="AUZ54" s="196"/>
      <c r="AVA54" s="196"/>
      <c r="AVB54" s="196"/>
      <c r="AVC54" s="196"/>
      <c r="AVD54" s="196"/>
      <c r="AVE54" s="196"/>
      <c r="AVF54" s="196"/>
      <c r="AVG54" s="196"/>
      <c r="AVH54" s="196"/>
      <c r="AVI54" s="196"/>
      <c r="AVJ54" s="196"/>
      <c r="AVK54" s="196"/>
      <c r="AVL54" s="196"/>
      <c r="AVM54" s="196"/>
      <c r="AVN54" s="196"/>
      <c r="AVO54" s="196"/>
      <c r="AVP54" s="196"/>
      <c r="AVQ54" s="196"/>
      <c r="AVR54" s="196"/>
      <c r="AVS54" s="196"/>
      <c r="AVT54" s="196"/>
      <c r="AVU54" s="196"/>
      <c r="AVV54" s="196"/>
      <c r="AVW54" s="196"/>
      <c r="AVX54" s="196"/>
      <c r="AVY54" s="196"/>
      <c r="AVZ54" s="196"/>
      <c r="AWA54" s="196"/>
      <c r="AWB54" s="196"/>
      <c r="AWC54" s="196"/>
      <c r="AWD54" s="196"/>
      <c r="AWE54" s="196"/>
      <c r="AWF54" s="196"/>
      <c r="AWG54" s="196"/>
      <c r="AWH54" s="196"/>
      <c r="AWI54" s="196"/>
      <c r="AWJ54" s="196"/>
      <c r="AWK54" s="196"/>
      <c r="AWL54" s="196"/>
      <c r="AWM54" s="196"/>
      <c r="AWN54" s="196"/>
      <c r="AWO54" s="196"/>
      <c r="AWP54" s="196"/>
      <c r="AWQ54" s="196"/>
      <c r="AWR54" s="196"/>
      <c r="AWS54" s="196"/>
      <c r="AWT54" s="196"/>
      <c r="AWU54" s="196"/>
      <c r="AWV54" s="196"/>
      <c r="AWW54" s="196"/>
      <c r="AWX54" s="196"/>
      <c r="AWY54" s="196"/>
      <c r="AWZ54" s="196"/>
      <c r="AXA54" s="196"/>
      <c r="AXB54" s="196"/>
      <c r="AXC54" s="196"/>
      <c r="AXD54" s="196"/>
      <c r="AXE54" s="196"/>
      <c r="AXF54" s="196"/>
      <c r="AXG54" s="196"/>
      <c r="AXH54" s="196"/>
      <c r="AXI54" s="196"/>
      <c r="AXJ54" s="196"/>
      <c r="AXK54" s="196"/>
      <c r="AXL54" s="196"/>
      <c r="AXM54" s="196"/>
      <c r="AXN54" s="196"/>
      <c r="AXO54" s="196"/>
      <c r="AXP54" s="196"/>
      <c r="AXQ54" s="196"/>
      <c r="AXR54" s="196"/>
      <c r="AXS54" s="196"/>
      <c r="AXT54" s="196"/>
      <c r="AXU54" s="196"/>
      <c r="AXV54" s="196"/>
      <c r="AXW54" s="196"/>
      <c r="AXX54" s="196"/>
      <c r="AXY54" s="196"/>
      <c r="AXZ54" s="196"/>
      <c r="AYA54" s="196"/>
      <c r="AYB54" s="196"/>
      <c r="AYC54" s="196"/>
      <c r="AYD54" s="196"/>
      <c r="AYE54" s="196"/>
      <c r="AYF54" s="196"/>
      <c r="AYG54" s="196"/>
      <c r="AYH54" s="196"/>
      <c r="AYI54" s="196"/>
      <c r="AYJ54" s="196"/>
      <c r="AYK54" s="196"/>
      <c r="AYL54" s="196"/>
      <c r="AYM54" s="196"/>
      <c r="AYN54" s="196"/>
      <c r="AYO54" s="196"/>
      <c r="AYP54" s="196"/>
      <c r="AYQ54" s="196"/>
      <c r="AYR54" s="196"/>
      <c r="AYS54" s="196"/>
      <c r="AYT54" s="196"/>
      <c r="AYU54" s="196"/>
      <c r="AYV54" s="196"/>
      <c r="AYW54" s="196"/>
      <c r="AYX54" s="196"/>
      <c r="AYY54" s="196"/>
      <c r="AYZ54" s="196"/>
      <c r="AZA54" s="196"/>
      <c r="AZB54" s="196"/>
      <c r="AZC54" s="196"/>
      <c r="AZD54" s="196"/>
      <c r="AZE54" s="196"/>
      <c r="AZF54" s="196"/>
      <c r="AZG54" s="196"/>
      <c r="AZH54" s="196"/>
      <c r="AZI54" s="196"/>
      <c r="AZJ54" s="196"/>
      <c r="AZK54" s="196"/>
      <c r="AZL54" s="196"/>
      <c r="AZM54" s="196"/>
      <c r="AZN54" s="196"/>
      <c r="AZO54" s="196"/>
      <c r="AZP54" s="196"/>
      <c r="AZQ54" s="196"/>
      <c r="AZR54" s="196"/>
      <c r="AZS54" s="196"/>
      <c r="AZT54" s="196"/>
      <c r="AZU54" s="196"/>
      <c r="AZV54" s="196"/>
      <c r="AZW54" s="196"/>
      <c r="AZX54" s="196"/>
      <c r="AZY54" s="196"/>
      <c r="AZZ54" s="196"/>
      <c r="BAA54" s="196"/>
      <c r="BAB54" s="196"/>
      <c r="BAC54" s="196"/>
      <c r="BAD54" s="196"/>
      <c r="BAE54" s="196"/>
      <c r="BAF54" s="196"/>
      <c r="BAG54" s="196"/>
      <c r="BAH54" s="196"/>
      <c r="BAI54" s="196"/>
      <c r="BAJ54" s="196"/>
      <c r="BAK54" s="196"/>
      <c r="BAL54" s="196"/>
      <c r="BAM54" s="196"/>
      <c r="BAN54" s="196"/>
      <c r="BAO54" s="196"/>
      <c r="BAP54" s="196"/>
      <c r="BAQ54" s="196"/>
      <c r="BAR54" s="196"/>
      <c r="BAS54" s="196"/>
      <c r="BAT54" s="196"/>
      <c r="BAU54" s="196"/>
      <c r="BAV54" s="196"/>
      <c r="BAW54" s="196"/>
      <c r="BAX54" s="196"/>
      <c r="BAY54" s="196"/>
      <c r="BAZ54" s="196"/>
      <c r="BBA54" s="196"/>
      <c r="BBB54" s="196"/>
      <c r="BBC54" s="196"/>
      <c r="BBD54" s="196"/>
      <c r="BBE54" s="196"/>
      <c r="BBF54" s="196"/>
      <c r="BBG54" s="196"/>
      <c r="BBH54" s="196"/>
      <c r="BBI54" s="196"/>
      <c r="BBJ54" s="196"/>
      <c r="BBK54" s="196"/>
      <c r="BBL54" s="196"/>
      <c r="BBM54" s="196"/>
      <c r="BBN54" s="196"/>
      <c r="BBO54" s="196"/>
      <c r="BBP54" s="196"/>
      <c r="BBQ54" s="196"/>
      <c r="BBR54" s="196"/>
      <c r="BBS54" s="196"/>
      <c r="BBT54" s="196"/>
      <c r="BBU54" s="196"/>
      <c r="BBV54" s="196"/>
      <c r="BBW54" s="196"/>
      <c r="BBX54" s="196"/>
      <c r="BBY54" s="196"/>
      <c r="BBZ54" s="196"/>
      <c r="BCA54" s="196"/>
      <c r="BCB54" s="196"/>
      <c r="BCC54" s="196"/>
      <c r="BCD54" s="196"/>
      <c r="BCE54" s="196"/>
      <c r="BCF54" s="196"/>
      <c r="BCG54" s="196"/>
      <c r="BCH54" s="196"/>
      <c r="BCI54" s="196"/>
      <c r="BCJ54" s="196"/>
      <c r="BCK54" s="196"/>
      <c r="BCL54" s="196"/>
      <c r="BCM54" s="196"/>
      <c r="BCN54" s="196"/>
      <c r="BCO54" s="196"/>
      <c r="BCP54" s="196"/>
      <c r="BCQ54" s="196"/>
      <c r="BCR54" s="196"/>
      <c r="BCS54" s="196"/>
      <c r="BCT54" s="196"/>
      <c r="BCU54" s="196"/>
      <c r="BCV54" s="196"/>
      <c r="BCW54" s="196"/>
      <c r="BCX54" s="196"/>
      <c r="BCY54" s="196"/>
      <c r="BCZ54" s="196"/>
      <c r="BDA54" s="196"/>
      <c r="BDB54" s="196"/>
      <c r="BDC54" s="196"/>
      <c r="BDD54" s="196"/>
      <c r="BDE54" s="196"/>
      <c r="BDF54" s="196"/>
      <c r="BDG54" s="196"/>
      <c r="BDH54" s="196"/>
      <c r="BDI54" s="196"/>
      <c r="BDJ54" s="196"/>
      <c r="BDK54" s="196"/>
      <c r="BDL54" s="196"/>
      <c r="BDM54" s="196"/>
      <c r="BDN54" s="196"/>
      <c r="BDO54" s="196"/>
      <c r="BDP54" s="196"/>
      <c r="BDQ54" s="196"/>
      <c r="BDR54" s="196"/>
      <c r="BDS54" s="196"/>
      <c r="BDT54" s="196"/>
      <c r="BDU54" s="196"/>
      <c r="BDV54" s="196"/>
      <c r="BDW54" s="196"/>
      <c r="BDX54" s="196"/>
      <c r="BDY54" s="196"/>
      <c r="BDZ54" s="196"/>
      <c r="BEA54" s="196"/>
      <c r="BEB54" s="196"/>
      <c r="BEC54" s="196"/>
      <c r="BED54" s="196"/>
      <c r="BEE54" s="196"/>
      <c r="BEF54" s="196"/>
      <c r="BEG54" s="196"/>
      <c r="BEH54" s="196"/>
      <c r="BEI54" s="196"/>
      <c r="BEJ54" s="196"/>
      <c r="BEK54" s="196"/>
      <c r="BEL54" s="196"/>
      <c r="BEM54" s="196"/>
      <c r="BEN54" s="196"/>
      <c r="BEO54" s="196"/>
      <c r="BEP54" s="196"/>
      <c r="BEQ54" s="196"/>
      <c r="BER54" s="196"/>
      <c r="BES54" s="196"/>
      <c r="BET54" s="196"/>
      <c r="BEU54" s="196"/>
      <c r="BEV54" s="196"/>
      <c r="BEW54" s="196"/>
      <c r="BEX54" s="196"/>
      <c r="BEY54" s="196"/>
      <c r="BEZ54" s="196"/>
      <c r="BFA54" s="196"/>
      <c r="BFB54" s="196"/>
      <c r="BFC54" s="196"/>
      <c r="BFD54" s="196"/>
      <c r="BFE54" s="196"/>
      <c r="BFF54" s="196"/>
      <c r="BFG54" s="196"/>
      <c r="BFH54" s="196"/>
      <c r="BFI54" s="196"/>
      <c r="BFJ54" s="196"/>
      <c r="BFK54" s="196"/>
      <c r="BFL54" s="196"/>
      <c r="BFM54" s="196"/>
      <c r="BFN54" s="196"/>
      <c r="BFO54" s="196"/>
      <c r="BFP54" s="196"/>
      <c r="BFQ54" s="196"/>
      <c r="BFR54" s="196"/>
      <c r="BFS54" s="196"/>
      <c r="BFT54" s="196"/>
      <c r="BFU54" s="196"/>
      <c r="BFV54" s="196"/>
      <c r="BFW54" s="196"/>
      <c r="BFX54" s="196"/>
      <c r="BFY54" s="196"/>
      <c r="BFZ54" s="196"/>
      <c r="BGA54" s="196"/>
      <c r="BGB54" s="196"/>
      <c r="BGC54" s="196"/>
      <c r="BGD54" s="196"/>
      <c r="BGE54" s="196"/>
      <c r="BGF54" s="196"/>
      <c r="BGG54" s="196"/>
      <c r="BGH54" s="196"/>
      <c r="BGI54" s="196"/>
      <c r="BGJ54" s="196"/>
      <c r="BGK54" s="196"/>
      <c r="BGL54" s="196"/>
      <c r="BGM54" s="196"/>
      <c r="BGN54" s="196"/>
      <c r="BGO54" s="196"/>
      <c r="BGP54" s="196"/>
      <c r="BGQ54" s="196"/>
      <c r="BGR54" s="196"/>
      <c r="BGS54" s="196"/>
      <c r="BGT54" s="196"/>
      <c r="BGU54" s="196"/>
      <c r="BGV54" s="196"/>
      <c r="BGW54" s="196"/>
      <c r="BGX54" s="196"/>
      <c r="BGY54" s="196"/>
      <c r="BGZ54" s="196"/>
      <c r="BHA54" s="196"/>
      <c r="BHB54" s="196"/>
      <c r="BHC54" s="196"/>
      <c r="BHD54" s="196"/>
      <c r="BHE54" s="196"/>
      <c r="BHF54" s="196"/>
      <c r="BHG54" s="196"/>
      <c r="BHH54" s="196"/>
      <c r="BHI54" s="196"/>
      <c r="BHJ54" s="196"/>
      <c r="BHK54" s="196"/>
      <c r="BHL54" s="196"/>
      <c r="BHM54" s="196"/>
      <c r="BHN54" s="196"/>
      <c r="BHO54" s="196"/>
      <c r="BHP54" s="196"/>
      <c r="BHQ54" s="196"/>
      <c r="BHR54" s="196"/>
      <c r="BHS54" s="196"/>
      <c r="BHT54" s="196"/>
      <c r="BHU54" s="196"/>
      <c r="BHV54" s="196"/>
      <c r="BHW54" s="196"/>
      <c r="BHX54" s="196"/>
      <c r="BHY54" s="196"/>
      <c r="BHZ54" s="196"/>
      <c r="BIA54" s="196"/>
      <c r="BIB54" s="196"/>
      <c r="BIC54" s="196"/>
      <c r="BID54" s="196"/>
      <c r="BIE54" s="196"/>
      <c r="BIF54" s="196"/>
      <c r="BIG54" s="196"/>
      <c r="BIH54" s="196"/>
      <c r="BII54" s="196"/>
      <c r="BIJ54" s="196"/>
      <c r="BIK54" s="196"/>
      <c r="BIL54" s="196"/>
      <c r="BIM54" s="196"/>
      <c r="BIN54" s="196"/>
      <c r="BIO54" s="196"/>
      <c r="BIP54" s="196"/>
      <c r="BIQ54" s="196"/>
      <c r="BIR54" s="196"/>
      <c r="BIS54" s="196"/>
      <c r="BIT54" s="196"/>
      <c r="BIU54" s="196"/>
      <c r="BIV54" s="196"/>
      <c r="BIW54" s="196"/>
      <c r="BIX54" s="196"/>
      <c r="BIY54" s="196"/>
      <c r="BIZ54" s="196"/>
      <c r="BJA54" s="196"/>
      <c r="BJB54" s="196"/>
      <c r="BJC54" s="196"/>
      <c r="BJD54" s="196"/>
      <c r="BJE54" s="196"/>
      <c r="BJF54" s="196"/>
      <c r="BJG54" s="196"/>
      <c r="BJH54" s="196"/>
      <c r="BJI54" s="196"/>
      <c r="BJJ54" s="196"/>
      <c r="BJK54" s="196"/>
      <c r="BJL54" s="196"/>
      <c r="BJM54" s="196"/>
      <c r="BJN54" s="196"/>
      <c r="BJO54" s="196"/>
      <c r="BJP54" s="196"/>
      <c r="BJQ54" s="196"/>
      <c r="BJR54" s="196"/>
      <c r="BJS54" s="196"/>
      <c r="BJT54" s="196"/>
      <c r="BJU54" s="196"/>
      <c r="BJV54" s="196"/>
      <c r="BJW54" s="196"/>
      <c r="BJX54" s="196"/>
      <c r="BJY54" s="196"/>
      <c r="BJZ54" s="196"/>
      <c r="BKA54" s="196"/>
      <c r="BKB54" s="196"/>
      <c r="BKC54" s="196"/>
      <c r="BKD54" s="196"/>
      <c r="BKE54" s="196"/>
      <c r="BKF54" s="196"/>
      <c r="BKG54" s="196"/>
      <c r="BKH54" s="196"/>
      <c r="BKI54" s="196"/>
      <c r="BKJ54" s="196"/>
      <c r="BKK54" s="196"/>
      <c r="BKL54" s="196"/>
      <c r="BKM54" s="196"/>
      <c r="BKN54" s="196"/>
      <c r="BKO54" s="196"/>
      <c r="BKP54" s="196"/>
      <c r="BKQ54" s="196"/>
      <c r="BKR54" s="196"/>
      <c r="BKS54" s="196"/>
      <c r="BKT54" s="196"/>
      <c r="BKU54" s="196"/>
      <c r="BKV54" s="196"/>
      <c r="BKW54" s="196"/>
      <c r="BKX54" s="196"/>
      <c r="BKY54" s="196"/>
      <c r="BKZ54" s="196"/>
      <c r="BLA54" s="196"/>
      <c r="BLB54" s="196"/>
      <c r="BLC54" s="196"/>
      <c r="BLD54" s="196"/>
      <c r="BLE54" s="196"/>
      <c r="BLF54" s="196"/>
      <c r="BLG54" s="196"/>
      <c r="BLH54" s="196"/>
      <c r="BLI54" s="196"/>
      <c r="BLJ54" s="196"/>
      <c r="BLK54" s="196"/>
      <c r="BLL54" s="196"/>
      <c r="BLM54" s="196"/>
      <c r="BLN54" s="196"/>
      <c r="BLO54" s="196"/>
      <c r="BLP54" s="196"/>
      <c r="BLQ54" s="196"/>
      <c r="BLR54" s="196"/>
      <c r="BLS54" s="196"/>
      <c r="BLT54" s="196"/>
      <c r="BLU54" s="196"/>
      <c r="BLV54" s="196"/>
      <c r="BLW54" s="196"/>
      <c r="BLX54" s="196"/>
      <c r="BLY54" s="196"/>
      <c r="BLZ54" s="196"/>
      <c r="BMA54" s="196"/>
      <c r="BMB54" s="196"/>
      <c r="BMC54" s="196"/>
      <c r="BMD54" s="196"/>
      <c r="BME54" s="196"/>
      <c r="BMF54" s="196"/>
      <c r="BMG54" s="196"/>
      <c r="BMH54" s="196"/>
      <c r="BMI54" s="196"/>
      <c r="BMJ54" s="196"/>
      <c r="BMK54" s="196"/>
      <c r="BML54" s="196"/>
      <c r="BMM54" s="196"/>
      <c r="BMN54" s="196"/>
      <c r="BMO54" s="196"/>
      <c r="BMP54" s="196"/>
      <c r="BMQ54" s="196"/>
      <c r="BMR54" s="196"/>
      <c r="BMS54" s="196"/>
      <c r="BMT54" s="196"/>
      <c r="BMU54" s="196"/>
      <c r="BMV54" s="196"/>
      <c r="BMW54" s="196"/>
      <c r="BMX54" s="196"/>
      <c r="BMY54" s="196"/>
      <c r="BMZ54" s="196"/>
      <c r="BNA54" s="196"/>
      <c r="BNB54" s="196"/>
      <c r="BNC54" s="196"/>
      <c r="BND54" s="196"/>
      <c r="BNE54" s="196"/>
      <c r="BNF54" s="196"/>
      <c r="BNG54" s="196"/>
      <c r="BNH54" s="196"/>
      <c r="BNI54" s="196"/>
      <c r="BNJ54" s="196"/>
      <c r="BNK54" s="196"/>
      <c r="BNL54" s="196"/>
      <c r="BNM54" s="196"/>
      <c r="BNN54" s="196"/>
      <c r="BNO54" s="196"/>
      <c r="BNP54" s="196"/>
      <c r="BNQ54" s="196"/>
      <c r="BNR54" s="196"/>
      <c r="BNS54" s="196"/>
      <c r="BNT54" s="196"/>
      <c r="BNU54" s="196"/>
      <c r="BNV54" s="196"/>
      <c r="BNW54" s="196"/>
      <c r="BNX54" s="196"/>
      <c r="BNY54" s="196"/>
      <c r="BNZ54" s="196"/>
      <c r="BOA54" s="196"/>
      <c r="BOB54" s="196"/>
      <c r="BOC54" s="196"/>
      <c r="BOD54" s="196"/>
      <c r="BOE54" s="196"/>
      <c r="BOF54" s="196"/>
      <c r="BOG54" s="196"/>
      <c r="BOH54" s="196"/>
      <c r="BOI54" s="196"/>
      <c r="BOJ54" s="196"/>
      <c r="BOK54" s="196"/>
      <c r="BOL54" s="196"/>
      <c r="BOM54" s="196"/>
      <c r="BON54" s="196"/>
      <c r="BOO54" s="196"/>
      <c r="BOP54" s="196"/>
      <c r="BOQ54" s="196"/>
      <c r="BOR54" s="196"/>
      <c r="BOS54" s="196"/>
      <c r="BOT54" s="196"/>
      <c r="BOU54" s="196"/>
      <c r="BOV54" s="196"/>
      <c r="BOW54" s="196"/>
      <c r="BOX54" s="196"/>
      <c r="BOY54" s="196"/>
      <c r="BOZ54" s="196"/>
      <c r="BPA54" s="196"/>
      <c r="BPB54" s="196"/>
      <c r="BPC54" s="196"/>
      <c r="BPD54" s="196"/>
      <c r="BPE54" s="196"/>
      <c r="BPF54" s="196"/>
      <c r="BPG54" s="196"/>
      <c r="BPH54" s="196"/>
      <c r="BPI54" s="196"/>
      <c r="BPJ54" s="196"/>
      <c r="BPK54" s="196"/>
      <c r="BPL54" s="196"/>
      <c r="BPM54" s="196"/>
      <c r="BPN54" s="196"/>
      <c r="BPO54" s="196"/>
      <c r="BPP54" s="196"/>
      <c r="BPQ54" s="196"/>
      <c r="BPR54" s="196"/>
      <c r="BPS54" s="196"/>
      <c r="BPT54" s="196"/>
      <c r="BPU54" s="196"/>
      <c r="BPV54" s="196"/>
      <c r="BPW54" s="196"/>
      <c r="BPX54" s="196"/>
      <c r="BPY54" s="196"/>
      <c r="BPZ54" s="196"/>
      <c r="BQA54" s="196"/>
      <c r="BQB54" s="196"/>
      <c r="BQC54" s="196"/>
      <c r="BQD54" s="196"/>
      <c r="BQE54" s="196"/>
      <c r="BQF54" s="196"/>
      <c r="BQG54" s="196"/>
      <c r="BQH54" s="196"/>
      <c r="BQI54" s="196"/>
      <c r="BQJ54" s="196"/>
      <c r="BQK54" s="196"/>
      <c r="BQL54" s="196"/>
      <c r="BQM54" s="196"/>
      <c r="BQN54" s="196"/>
      <c r="BQO54" s="196"/>
      <c r="BQP54" s="196"/>
      <c r="BQQ54" s="196"/>
      <c r="BQR54" s="196"/>
      <c r="BQS54" s="196"/>
      <c r="BQT54" s="196"/>
      <c r="BQU54" s="196"/>
      <c r="BQV54" s="196"/>
      <c r="BQW54" s="196"/>
      <c r="BQX54" s="196"/>
      <c r="BQY54" s="196"/>
      <c r="BQZ54" s="196"/>
      <c r="BRA54" s="196"/>
      <c r="BRB54" s="196"/>
      <c r="BRC54" s="196"/>
      <c r="BRD54" s="196"/>
      <c r="BRE54" s="196"/>
      <c r="BRF54" s="196"/>
      <c r="BRG54" s="196"/>
      <c r="BRH54" s="196"/>
      <c r="BRI54" s="196"/>
      <c r="BRJ54" s="196"/>
      <c r="BRK54" s="196"/>
      <c r="BRL54" s="196"/>
      <c r="BRM54" s="196"/>
      <c r="BRN54" s="196"/>
      <c r="BRO54" s="196"/>
      <c r="BRP54" s="196"/>
      <c r="BRQ54" s="196"/>
      <c r="BRR54" s="196"/>
      <c r="BRS54" s="196"/>
      <c r="BRT54" s="196"/>
      <c r="BRU54" s="196"/>
      <c r="BRV54" s="196"/>
      <c r="BRW54" s="196"/>
      <c r="BRX54" s="196"/>
      <c r="BRY54" s="196"/>
      <c r="BRZ54" s="196"/>
      <c r="BSA54" s="196"/>
      <c r="BSB54" s="196"/>
      <c r="BSC54" s="196"/>
      <c r="BSD54" s="196"/>
      <c r="BSE54" s="196"/>
      <c r="BSF54" s="196"/>
      <c r="BSG54" s="196"/>
      <c r="BSH54" s="196"/>
      <c r="BSI54" s="196"/>
      <c r="BSJ54" s="196"/>
      <c r="BSK54" s="196"/>
      <c r="BSL54" s="196"/>
      <c r="BSM54" s="196"/>
      <c r="BSN54" s="196"/>
      <c r="BSO54" s="196"/>
      <c r="BSP54" s="196"/>
      <c r="BSQ54" s="196"/>
      <c r="BSR54" s="196"/>
      <c r="BSS54" s="196"/>
      <c r="BST54" s="196"/>
      <c r="BSU54" s="196"/>
      <c r="BSV54" s="196"/>
      <c r="BSW54" s="196"/>
      <c r="BSX54" s="196"/>
      <c r="BSY54" s="196"/>
      <c r="BSZ54" s="196"/>
      <c r="BTA54" s="196"/>
      <c r="BTB54" s="196"/>
      <c r="BTC54" s="196"/>
      <c r="BTD54" s="196"/>
      <c r="BTE54" s="196"/>
      <c r="BTF54" s="196"/>
      <c r="BTG54" s="196"/>
      <c r="BTH54" s="196"/>
      <c r="BTI54" s="196"/>
      <c r="BTJ54" s="196"/>
      <c r="BTK54" s="196"/>
      <c r="BTL54" s="196"/>
      <c r="BTM54" s="196"/>
      <c r="BTN54" s="196"/>
      <c r="BTO54" s="196"/>
      <c r="BTP54" s="196"/>
      <c r="BTQ54" s="196"/>
      <c r="BTR54" s="196"/>
      <c r="BTS54" s="196"/>
      <c r="BTT54" s="196"/>
      <c r="BTU54" s="196"/>
      <c r="BTV54" s="196"/>
      <c r="BTW54" s="196"/>
      <c r="BTX54" s="196"/>
      <c r="BTY54" s="196"/>
      <c r="BTZ54" s="196"/>
      <c r="BUA54" s="196"/>
      <c r="BUB54" s="196"/>
      <c r="BUC54" s="196"/>
      <c r="BUD54" s="196"/>
      <c r="BUE54" s="196"/>
      <c r="BUF54" s="196"/>
      <c r="BUG54" s="196"/>
      <c r="BUH54" s="196"/>
      <c r="BUI54" s="196"/>
      <c r="BUJ54" s="196"/>
      <c r="BUK54" s="196"/>
      <c r="BUL54" s="196"/>
      <c r="BUM54" s="196"/>
      <c r="BUN54" s="196"/>
      <c r="BUO54" s="196"/>
      <c r="BUP54" s="196"/>
      <c r="BUQ54" s="196"/>
      <c r="BUR54" s="196"/>
      <c r="BUS54" s="196"/>
      <c r="BUT54" s="196"/>
      <c r="BUU54" s="196"/>
      <c r="BUV54" s="196"/>
      <c r="BUW54" s="196"/>
      <c r="BUX54" s="196"/>
      <c r="BUY54" s="196"/>
      <c r="BUZ54" s="196"/>
      <c r="BVA54" s="196"/>
      <c r="BVB54" s="196"/>
      <c r="BVC54" s="196"/>
      <c r="BVD54" s="196"/>
      <c r="BVE54" s="196"/>
      <c r="BVF54" s="196"/>
      <c r="BVG54" s="196"/>
      <c r="BVH54" s="196"/>
      <c r="BVI54" s="196"/>
      <c r="BVJ54" s="196"/>
      <c r="BVK54" s="196"/>
      <c r="BVL54" s="196"/>
      <c r="BVM54" s="196"/>
      <c r="BVN54" s="196"/>
      <c r="BVO54" s="196"/>
      <c r="BVP54" s="196"/>
      <c r="BVQ54" s="196"/>
      <c r="BVR54" s="196"/>
      <c r="BVS54" s="196"/>
      <c r="BVT54" s="196"/>
      <c r="BVU54" s="196"/>
      <c r="BVV54" s="196"/>
      <c r="BVW54" s="196"/>
      <c r="BVX54" s="196"/>
      <c r="BVY54" s="196"/>
      <c r="BVZ54" s="196"/>
      <c r="BWA54" s="196"/>
      <c r="BWB54" s="196"/>
      <c r="BWC54" s="196"/>
      <c r="BWD54" s="196"/>
      <c r="BWE54" s="196"/>
      <c r="BWF54" s="196"/>
      <c r="BWG54" s="196"/>
      <c r="BWH54" s="196"/>
      <c r="BWI54" s="196"/>
      <c r="BWJ54" s="196"/>
      <c r="BWK54" s="196"/>
      <c r="BWL54" s="196"/>
      <c r="BWM54" s="196"/>
      <c r="BWN54" s="196"/>
      <c r="BWO54" s="196"/>
      <c r="BWP54" s="196"/>
      <c r="BWQ54" s="196"/>
      <c r="BWR54" s="196"/>
      <c r="BWS54" s="196"/>
      <c r="BWT54" s="196"/>
      <c r="BWU54" s="196"/>
      <c r="BWV54" s="196"/>
      <c r="BWW54" s="196"/>
      <c r="BWX54" s="196"/>
      <c r="BWY54" s="196"/>
      <c r="BWZ54" s="196"/>
      <c r="BXA54" s="196"/>
      <c r="BXB54" s="196"/>
      <c r="BXC54" s="196"/>
      <c r="BXD54" s="196"/>
      <c r="BXE54" s="196"/>
      <c r="BXF54" s="196"/>
      <c r="BXG54" s="196"/>
      <c r="BXH54" s="196"/>
      <c r="BXI54" s="196"/>
      <c r="BXJ54" s="196"/>
      <c r="BXK54" s="196"/>
      <c r="BXL54" s="196"/>
      <c r="BXM54" s="196"/>
      <c r="BXN54" s="196"/>
      <c r="BXO54" s="196"/>
      <c r="BXP54" s="196"/>
      <c r="BXQ54" s="196"/>
      <c r="BXR54" s="196"/>
      <c r="BXS54" s="196"/>
      <c r="BXT54" s="196"/>
      <c r="BXU54" s="196"/>
      <c r="BXV54" s="196"/>
      <c r="BXW54" s="196"/>
      <c r="BXX54" s="196"/>
      <c r="BXY54" s="196"/>
      <c r="BXZ54" s="196"/>
      <c r="BYA54" s="196"/>
      <c r="BYB54" s="196"/>
      <c r="BYC54" s="196"/>
      <c r="BYD54" s="196"/>
      <c r="BYE54" s="196"/>
      <c r="BYF54" s="196"/>
      <c r="BYG54" s="196"/>
      <c r="BYH54" s="196"/>
      <c r="BYI54" s="196"/>
      <c r="BYJ54" s="196"/>
      <c r="BYK54" s="196"/>
      <c r="BYL54" s="196"/>
      <c r="BYM54" s="196"/>
      <c r="BYN54" s="196"/>
      <c r="BYO54" s="196"/>
      <c r="BYP54" s="196"/>
      <c r="BYQ54" s="196"/>
      <c r="BYR54" s="196"/>
      <c r="BYS54" s="196"/>
      <c r="BYT54" s="196"/>
      <c r="BYU54" s="196"/>
      <c r="BYV54" s="196"/>
      <c r="BYW54" s="196"/>
      <c r="BYX54" s="196"/>
      <c r="BYY54" s="196"/>
      <c r="BYZ54" s="196"/>
      <c r="BZA54" s="196"/>
      <c r="BZB54" s="196"/>
      <c r="BZC54" s="196"/>
      <c r="BZD54" s="196"/>
      <c r="BZE54" s="196"/>
      <c r="BZF54" s="196"/>
      <c r="BZG54" s="196"/>
      <c r="BZH54" s="196"/>
      <c r="BZI54" s="196"/>
      <c r="BZJ54" s="196"/>
      <c r="BZK54" s="196"/>
      <c r="BZL54" s="196"/>
      <c r="BZM54" s="196"/>
      <c r="BZN54" s="196"/>
      <c r="BZO54" s="196"/>
      <c r="BZP54" s="196"/>
      <c r="BZQ54" s="196"/>
      <c r="BZR54" s="196"/>
      <c r="BZS54" s="196"/>
      <c r="BZT54" s="196"/>
      <c r="BZU54" s="196"/>
      <c r="BZV54" s="196"/>
      <c r="BZW54" s="196"/>
      <c r="BZX54" s="196"/>
      <c r="BZY54" s="196"/>
      <c r="BZZ54" s="196"/>
      <c r="CAA54" s="196"/>
      <c r="CAB54" s="196"/>
      <c r="CAC54" s="196"/>
      <c r="CAD54" s="196"/>
      <c r="CAE54" s="196"/>
      <c r="CAF54" s="196"/>
      <c r="CAG54" s="196"/>
      <c r="CAH54" s="196"/>
      <c r="CAI54" s="196"/>
      <c r="CAJ54" s="196"/>
      <c r="CAK54" s="196"/>
      <c r="CAL54" s="196"/>
      <c r="CAM54" s="196"/>
      <c r="CAN54" s="196"/>
      <c r="CAO54" s="196"/>
      <c r="CAP54" s="196"/>
      <c r="CAQ54" s="196"/>
      <c r="CAR54" s="196"/>
      <c r="CAS54" s="196"/>
      <c r="CAT54" s="196"/>
      <c r="CAU54" s="196"/>
      <c r="CAV54" s="196"/>
      <c r="CAW54" s="196"/>
      <c r="CAX54" s="196"/>
      <c r="CAY54" s="196"/>
      <c r="CAZ54" s="196"/>
      <c r="CBA54" s="196"/>
      <c r="CBB54" s="196"/>
      <c r="CBC54" s="196"/>
      <c r="CBD54" s="196"/>
      <c r="CBE54" s="196"/>
      <c r="CBF54" s="196"/>
      <c r="CBG54" s="196"/>
      <c r="CBH54" s="196"/>
      <c r="CBI54" s="196"/>
      <c r="CBJ54" s="196"/>
      <c r="CBK54" s="196"/>
      <c r="CBL54" s="196"/>
      <c r="CBM54" s="196"/>
      <c r="CBN54" s="196"/>
      <c r="CBO54" s="196"/>
      <c r="CBP54" s="196"/>
      <c r="CBQ54" s="196"/>
      <c r="CBR54" s="196"/>
      <c r="CBS54" s="196"/>
      <c r="CBT54" s="196"/>
      <c r="CBU54" s="196"/>
      <c r="CBV54" s="196"/>
      <c r="CBW54" s="196"/>
      <c r="CBX54" s="196"/>
      <c r="CBY54" s="196"/>
      <c r="CBZ54" s="196"/>
      <c r="CCA54" s="196"/>
      <c r="CCB54" s="196"/>
      <c r="CCC54" s="196"/>
      <c r="CCD54" s="196"/>
      <c r="CCE54" s="196"/>
      <c r="CCF54" s="196"/>
      <c r="CCG54" s="196"/>
      <c r="CCH54" s="196"/>
      <c r="CCI54" s="196"/>
      <c r="CCJ54" s="196"/>
      <c r="CCK54" s="196"/>
      <c r="CCL54" s="196"/>
      <c r="CCM54" s="196"/>
      <c r="CCN54" s="196"/>
      <c r="CCO54" s="196"/>
      <c r="CCP54" s="196"/>
      <c r="CCQ54" s="196"/>
      <c r="CCR54" s="196"/>
      <c r="CCS54" s="196"/>
      <c r="CCT54" s="196"/>
      <c r="CCU54" s="196"/>
      <c r="CCV54" s="196"/>
      <c r="CCW54" s="196"/>
      <c r="CCX54" s="196"/>
      <c r="CCY54" s="196"/>
      <c r="CCZ54" s="196"/>
      <c r="CDA54" s="196"/>
      <c r="CDB54" s="196"/>
      <c r="CDC54" s="196"/>
      <c r="CDD54" s="196"/>
      <c r="CDE54" s="196"/>
      <c r="CDF54" s="196"/>
      <c r="CDG54" s="196"/>
      <c r="CDH54" s="196"/>
      <c r="CDI54" s="196"/>
      <c r="CDJ54" s="196"/>
      <c r="CDK54" s="196"/>
      <c r="CDL54" s="196"/>
      <c r="CDM54" s="196"/>
      <c r="CDN54" s="196"/>
      <c r="CDO54" s="196"/>
      <c r="CDP54" s="196"/>
      <c r="CDQ54" s="196"/>
      <c r="CDR54" s="196"/>
      <c r="CDS54" s="196"/>
      <c r="CDT54" s="196"/>
      <c r="CDU54" s="196"/>
      <c r="CDV54" s="196"/>
      <c r="CDW54" s="196"/>
      <c r="CDX54" s="196"/>
      <c r="CDY54" s="196"/>
      <c r="CDZ54" s="196"/>
      <c r="CEA54" s="196"/>
      <c r="CEB54" s="196"/>
      <c r="CEC54" s="196"/>
      <c r="CED54" s="196"/>
      <c r="CEE54" s="196"/>
      <c r="CEF54" s="196"/>
      <c r="CEG54" s="196"/>
      <c r="CEH54" s="196"/>
      <c r="CEI54" s="196"/>
      <c r="CEJ54" s="196"/>
      <c r="CEK54" s="196"/>
      <c r="CEL54" s="196"/>
      <c r="CEM54" s="196"/>
      <c r="CEN54" s="196"/>
      <c r="CEO54" s="196"/>
      <c r="CEP54" s="196"/>
      <c r="CEQ54" s="196"/>
      <c r="CER54" s="196"/>
      <c r="CES54" s="196"/>
      <c r="CET54" s="196"/>
      <c r="CEU54" s="196"/>
      <c r="CEV54" s="196"/>
      <c r="CEW54" s="196"/>
      <c r="CEX54" s="196"/>
      <c r="CEY54" s="196"/>
      <c r="CEZ54" s="196"/>
      <c r="CFA54" s="196"/>
      <c r="CFB54" s="196"/>
      <c r="CFC54" s="196"/>
      <c r="CFD54" s="196"/>
      <c r="CFE54" s="196"/>
      <c r="CFF54" s="196"/>
      <c r="CFG54" s="196"/>
      <c r="CFH54" s="196"/>
      <c r="CFI54" s="196"/>
      <c r="CFJ54" s="196"/>
      <c r="CFK54" s="196"/>
      <c r="CFL54" s="196"/>
      <c r="CFM54" s="196"/>
      <c r="CFN54" s="196"/>
      <c r="CFO54" s="196"/>
      <c r="CFP54" s="196"/>
      <c r="CFQ54" s="196"/>
      <c r="CFR54" s="196"/>
      <c r="CFS54" s="196"/>
      <c r="CFT54" s="196"/>
      <c r="CFU54" s="196"/>
      <c r="CFV54" s="196"/>
      <c r="CFW54" s="196"/>
      <c r="CFX54" s="196"/>
      <c r="CFY54" s="196"/>
      <c r="CFZ54" s="196"/>
      <c r="CGA54" s="196"/>
      <c r="CGB54" s="196"/>
      <c r="CGC54" s="196"/>
      <c r="CGD54" s="196"/>
      <c r="CGE54" s="196"/>
      <c r="CGF54" s="196"/>
      <c r="CGG54" s="196"/>
      <c r="CGH54" s="196"/>
      <c r="CGI54" s="196"/>
      <c r="CGJ54" s="196"/>
      <c r="CGK54" s="196"/>
      <c r="CGL54" s="196"/>
      <c r="CGM54" s="196"/>
      <c r="CGN54" s="196"/>
      <c r="CGO54" s="196"/>
      <c r="CGP54" s="196"/>
      <c r="CGQ54" s="196"/>
      <c r="CGR54" s="196"/>
      <c r="CGS54" s="196"/>
      <c r="CGT54" s="196"/>
      <c r="CGU54" s="196"/>
      <c r="CGV54" s="196"/>
      <c r="CGW54" s="196"/>
      <c r="CGX54" s="196"/>
      <c r="CGY54" s="196"/>
      <c r="CGZ54" s="196"/>
      <c r="CHA54" s="196"/>
      <c r="CHB54" s="196"/>
      <c r="CHC54" s="196"/>
      <c r="CHD54" s="196"/>
      <c r="CHE54" s="196"/>
      <c r="CHF54" s="196"/>
      <c r="CHG54" s="196"/>
      <c r="CHH54" s="196"/>
      <c r="CHI54" s="196"/>
      <c r="CHJ54" s="196"/>
      <c r="CHK54" s="196"/>
      <c r="CHL54" s="196"/>
      <c r="CHM54" s="196"/>
      <c r="CHN54" s="196"/>
      <c r="CHO54" s="196"/>
      <c r="CHP54" s="196"/>
      <c r="CHQ54" s="196"/>
      <c r="CHR54" s="196"/>
      <c r="CHS54" s="196"/>
      <c r="CHT54" s="196"/>
      <c r="CHU54" s="196"/>
      <c r="CHV54" s="196"/>
      <c r="CHW54" s="196"/>
      <c r="CHX54" s="196"/>
      <c r="CHY54" s="196"/>
      <c r="CHZ54" s="196"/>
      <c r="CIA54" s="196"/>
      <c r="CIB54" s="196"/>
      <c r="CIC54" s="196"/>
      <c r="CID54" s="196"/>
      <c r="CIE54" s="196"/>
      <c r="CIF54" s="196"/>
      <c r="CIG54" s="196"/>
      <c r="CIH54" s="196"/>
      <c r="CII54" s="196"/>
      <c r="CIJ54" s="196"/>
      <c r="CIK54" s="196"/>
      <c r="CIL54" s="196"/>
      <c r="CIM54" s="196"/>
      <c r="CIN54" s="196"/>
      <c r="CIO54" s="196"/>
      <c r="CIP54" s="196"/>
      <c r="CIQ54" s="196"/>
      <c r="CIR54" s="196"/>
      <c r="CIS54" s="196"/>
      <c r="CIT54" s="196"/>
      <c r="CIU54" s="196"/>
      <c r="CIV54" s="196"/>
      <c r="CIW54" s="196"/>
      <c r="CIX54" s="196"/>
      <c r="CIY54" s="196"/>
      <c r="CIZ54" s="196"/>
      <c r="CJA54" s="196"/>
      <c r="CJB54" s="196"/>
      <c r="CJC54" s="196"/>
      <c r="CJD54" s="196"/>
      <c r="CJE54" s="196"/>
      <c r="CJF54" s="196"/>
      <c r="CJG54" s="196"/>
      <c r="CJH54" s="196"/>
      <c r="CJI54" s="196"/>
      <c r="CJJ54" s="196"/>
      <c r="CJK54" s="196"/>
      <c r="CJL54" s="196"/>
      <c r="CJM54" s="196"/>
      <c r="CJN54" s="196"/>
      <c r="CJO54" s="196"/>
      <c r="CJP54" s="196"/>
      <c r="CJQ54" s="196"/>
      <c r="CJR54" s="196"/>
      <c r="CJS54" s="196"/>
      <c r="CJT54" s="196"/>
      <c r="CJU54" s="196"/>
      <c r="CJV54" s="196"/>
      <c r="CJW54" s="196"/>
      <c r="CJX54" s="196"/>
      <c r="CJY54" s="196"/>
      <c r="CJZ54" s="196"/>
      <c r="CKA54" s="196"/>
      <c r="CKB54" s="196"/>
      <c r="CKC54" s="196"/>
      <c r="CKD54" s="196"/>
      <c r="CKE54" s="196"/>
      <c r="CKF54" s="196"/>
      <c r="CKG54" s="196"/>
      <c r="CKH54" s="196"/>
      <c r="CKI54" s="196"/>
      <c r="CKJ54" s="196"/>
      <c r="CKK54" s="196"/>
      <c r="CKL54" s="196"/>
      <c r="CKM54" s="196"/>
      <c r="CKN54" s="196"/>
      <c r="CKO54" s="196"/>
      <c r="CKP54" s="196"/>
      <c r="CKQ54" s="196"/>
      <c r="CKR54" s="196"/>
      <c r="CKS54" s="196"/>
      <c r="CKT54" s="196"/>
      <c r="CKU54" s="196"/>
      <c r="CKV54" s="196"/>
      <c r="CKW54" s="196"/>
      <c r="CKX54" s="196"/>
      <c r="CKY54" s="196"/>
      <c r="CKZ54" s="196"/>
      <c r="CLA54" s="196"/>
      <c r="CLB54" s="196"/>
      <c r="CLC54" s="196"/>
      <c r="CLD54" s="196"/>
      <c r="CLE54" s="196"/>
      <c r="CLF54" s="196"/>
      <c r="CLG54" s="196"/>
      <c r="CLH54" s="196"/>
      <c r="CLI54" s="196"/>
      <c r="CLJ54" s="196"/>
      <c r="CLK54" s="196"/>
      <c r="CLL54" s="196"/>
      <c r="CLM54" s="196"/>
      <c r="CLN54" s="196"/>
      <c r="CLO54" s="196"/>
      <c r="CLP54" s="196"/>
      <c r="CLQ54" s="196"/>
      <c r="CLR54" s="196"/>
      <c r="CLS54" s="196"/>
      <c r="CLT54" s="196"/>
      <c r="CLU54" s="196"/>
      <c r="CLV54" s="196"/>
      <c r="CLW54" s="196"/>
      <c r="CLX54" s="196"/>
      <c r="CLY54" s="196"/>
      <c r="CLZ54" s="196"/>
      <c r="CMA54" s="196"/>
      <c r="CMB54" s="196"/>
      <c r="CMC54" s="196"/>
      <c r="CMD54" s="196"/>
      <c r="CME54" s="196"/>
      <c r="CMF54" s="196"/>
      <c r="CMG54" s="196"/>
      <c r="CMH54" s="196"/>
      <c r="CMI54" s="196"/>
      <c r="CMJ54" s="196"/>
      <c r="CMK54" s="196"/>
      <c r="CML54" s="196"/>
      <c r="CMM54" s="196"/>
      <c r="CMN54" s="196"/>
      <c r="CMO54" s="196"/>
      <c r="CMP54" s="196"/>
      <c r="CMQ54" s="196"/>
      <c r="CMR54" s="196"/>
      <c r="CMS54" s="196"/>
      <c r="CMT54" s="196"/>
      <c r="CMU54" s="196"/>
      <c r="CMV54" s="196"/>
      <c r="CMW54" s="196"/>
      <c r="CMX54" s="196"/>
      <c r="CMY54" s="196"/>
      <c r="CMZ54" s="196"/>
      <c r="CNA54" s="196"/>
      <c r="CNB54" s="196"/>
      <c r="CNC54" s="196"/>
      <c r="CND54" s="196"/>
      <c r="CNE54" s="196"/>
      <c r="CNF54" s="196"/>
      <c r="CNG54" s="196"/>
      <c r="CNH54" s="196"/>
      <c r="CNI54" s="196"/>
      <c r="CNJ54" s="196"/>
      <c r="CNK54" s="196"/>
      <c r="CNL54" s="196"/>
      <c r="CNM54" s="196"/>
      <c r="CNN54" s="196"/>
      <c r="CNO54" s="196"/>
      <c r="CNP54" s="196"/>
      <c r="CNQ54" s="196"/>
      <c r="CNR54" s="196"/>
      <c r="CNS54" s="196"/>
      <c r="CNT54" s="196"/>
      <c r="CNU54" s="196"/>
      <c r="CNV54" s="196"/>
      <c r="CNW54" s="196"/>
      <c r="CNX54" s="196"/>
      <c r="CNY54" s="196"/>
      <c r="CNZ54" s="196"/>
      <c r="COA54" s="196"/>
      <c r="COB54" s="196"/>
      <c r="COC54" s="196"/>
      <c r="COD54" s="196"/>
      <c r="COE54" s="196"/>
      <c r="COF54" s="196"/>
      <c r="COG54" s="196"/>
      <c r="COH54" s="196"/>
      <c r="COI54" s="196"/>
      <c r="COJ54" s="196"/>
      <c r="COK54" s="196"/>
      <c r="COL54" s="196"/>
      <c r="COM54" s="196"/>
      <c r="CON54" s="196"/>
      <c r="COO54" s="196"/>
      <c r="COP54" s="196"/>
      <c r="COQ54" s="196"/>
      <c r="COR54" s="196"/>
      <c r="COS54" s="196"/>
      <c r="COT54" s="196"/>
      <c r="COU54" s="196"/>
      <c r="COV54" s="196"/>
      <c r="COW54" s="196"/>
      <c r="COX54" s="196"/>
      <c r="COY54" s="196"/>
      <c r="COZ54" s="196"/>
      <c r="CPA54" s="196"/>
      <c r="CPB54" s="196"/>
      <c r="CPC54" s="196"/>
      <c r="CPD54" s="196"/>
      <c r="CPE54" s="196"/>
      <c r="CPF54" s="196"/>
      <c r="CPG54" s="196"/>
      <c r="CPH54" s="196"/>
      <c r="CPI54" s="196"/>
      <c r="CPJ54" s="196"/>
      <c r="CPK54" s="196"/>
      <c r="CPL54" s="196"/>
      <c r="CPM54" s="196"/>
      <c r="CPN54" s="196"/>
      <c r="CPO54" s="196"/>
      <c r="CPP54" s="196"/>
      <c r="CPQ54" s="196"/>
      <c r="CPR54" s="196"/>
      <c r="CPS54" s="196"/>
      <c r="CPT54" s="196"/>
      <c r="CPU54" s="196"/>
      <c r="CPV54" s="196"/>
      <c r="CPW54" s="196"/>
      <c r="CPX54" s="196"/>
      <c r="CPY54" s="196"/>
      <c r="CPZ54" s="196"/>
      <c r="CQA54" s="196"/>
      <c r="CQB54" s="196"/>
      <c r="CQC54" s="196"/>
      <c r="CQD54" s="196"/>
      <c r="CQE54" s="196"/>
      <c r="CQF54" s="196"/>
      <c r="CQG54" s="196"/>
      <c r="CQH54" s="196"/>
      <c r="CQI54" s="196"/>
      <c r="CQJ54" s="196"/>
      <c r="CQK54" s="196"/>
      <c r="CQL54" s="196"/>
      <c r="CQM54" s="196"/>
      <c r="CQN54" s="196"/>
      <c r="CQO54" s="196"/>
      <c r="CQP54" s="196"/>
      <c r="CQQ54" s="196"/>
      <c r="CQR54" s="196"/>
      <c r="CQS54" s="196"/>
      <c r="CQT54" s="196"/>
      <c r="CQU54" s="196"/>
      <c r="CQV54" s="196"/>
      <c r="CQW54" s="196"/>
      <c r="CQX54" s="196"/>
      <c r="CQY54" s="196"/>
      <c r="CQZ54" s="196"/>
      <c r="CRA54" s="196"/>
      <c r="CRB54" s="196"/>
      <c r="CRC54" s="196"/>
      <c r="CRD54" s="196"/>
      <c r="CRE54" s="196"/>
      <c r="CRF54" s="196"/>
      <c r="CRG54" s="196"/>
      <c r="CRH54" s="196"/>
      <c r="CRI54" s="196"/>
      <c r="CRJ54" s="196"/>
      <c r="CRK54" s="196"/>
      <c r="CRL54" s="196"/>
      <c r="CRM54" s="196"/>
      <c r="CRN54" s="196"/>
      <c r="CRO54" s="196"/>
      <c r="CRP54" s="196"/>
      <c r="CRQ54" s="196"/>
      <c r="CRR54" s="196"/>
      <c r="CRS54" s="196"/>
      <c r="CRT54" s="196"/>
      <c r="CRU54" s="196"/>
      <c r="CRV54" s="196"/>
      <c r="CRW54" s="196"/>
      <c r="CRX54" s="196"/>
      <c r="CRY54" s="196"/>
      <c r="CRZ54" s="196"/>
      <c r="CSA54" s="196"/>
      <c r="CSB54" s="196"/>
      <c r="CSC54" s="196"/>
      <c r="CSD54" s="196"/>
      <c r="CSE54" s="196"/>
      <c r="CSF54" s="196"/>
      <c r="CSG54" s="196"/>
      <c r="CSH54" s="196"/>
      <c r="CSI54" s="196"/>
      <c r="CSJ54" s="196"/>
      <c r="CSK54" s="196"/>
      <c r="CSL54" s="196"/>
      <c r="CSM54" s="196"/>
      <c r="CSN54" s="196"/>
      <c r="CSO54" s="196"/>
      <c r="CSP54" s="196"/>
      <c r="CSQ54" s="196"/>
      <c r="CSR54" s="196"/>
      <c r="CSS54" s="196"/>
      <c r="CST54" s="196"/>
      <c r="CSU54" s="196"/>
      <c r="CSV54" s="196"/>
      <c r="CSW54" s="196"/>
      <c r="CSX54" s="196"/>
      <c r="CSY54" s="196"/>
      <c r="CSZ54" s="196"/>
      <c r="CTA54" s="196"/>
      <c r="CTB54" s="196"/>
      <c r="CTC54" s="196"/>
      <c r="CTD54" s="196"/>
      <c r="CTE54" s="196"/>
      <c r="CTF54" s="196"/>
      <c r="CTG54" s="196"/>
      <c r="CTH54" s="196"/>
      <c r="CTI54" s="196"/>
      <c r="CTJ54" s="196"/>
      <c r="CTK54" s="196"/>
      <c r="CTL54" s="196"/>
      <c r="CTM54" s="196"/>
      <c r="CTN54" s="196"/>
      <c r="CTO54" s="196"/>
      <c r="CTP54" s="196"/>
      <c r="CTQ54" s="196"/>
      <c r="CTR54" s="196"/>
      <c r="CTS54" s="196"/>
      <c r="CTT54" s="196"/>
      <c r="CTU54" s="196"/>
      <c r="CTV54" s="196"/>
      <c r="CTW54" s="196"/>
      <c r="CTX54" s="196"/>
      <c r="CTY54" s="196"/>
      <c r="CTZ54" s="196"/>
      <c r="CUA54" s="196"/>
      <c r="CUB54" s="196"/>
      <c r="CUC54" s="196"/>
      <c r="CUD54" s="196"/>
      <c r="CUE54" s="196"/>
      <c r="CUF54" s="196"/>
      <c r="CUG54" s="196"/>
      <c r="CUH54" s="196"/>
      <c r="CUI54" s="196"/>
      <c r="CUJ54" s="196"/>
      <c r="CUK54" s="196"/>
      <c r="CUL54" s="196"/>
      <c r="CUM54" s="196"/>
      <c r="CUN54" s="196"/>
      <c r="CUO54" s="196"/>
      <c r="CUP54" s="196"/>
      <c r="CUQ54" s="196"/>
      <c r="CUR54" s="196"/>
      <c r="CUS54" s="196"/>
      <c r="CUT54" s="196"/>
      <c r="CUU54" s="196"/>
      <c r="CUV54" s="196"/>
      <c r="CUW54" s="196"/>
      <c r="CUX54" s="196"/>
      <c r="CUY54" s="196"/>
      <c r="CUZ54" s="196"/>
      <c r="CVA54" s="196"/>
      <c r="CVB54" s="196"/>
      <c r="CVC54" s="196"/>
      <c r="CVD54" s="196"/>
      <c r="CVE54" s="196"/>
      <c r="CVF54" s="196"/>
      <c r="CVG54" s="196"/>
      <c r="CVH54" s="196"/>
      <c r="CVI54" s="196"/>
      <c r="CVJ54" s="196"/>
      <c r="CVK54" s="196"/>
      <c r="CVL54" s="196"/>
      <c r="CVM54" s="196"/>
      <c r="CVN54" s="196"/>
      <c r="CVO54" s="196"/>
      <c r="CVP54" s="196"/>
      <c r="CVQ54" s="196"/>
      <c r="CVR54" s="196"/>
      <c r="CVS54" s="196"/>
      <c r="CVT54" s="196"/>
      <c r="CVU54" s="196"/>
      <c r="CVV54" s="196"/>
      <c r="CVW54" s="196"/>
      <c r="CVX54" s="196"/>
      <c r="CVY54" s="196"/>
      <c r="CVZ54" s="196"/>
      <c r="CWA54" s="196"/>
      <c r="CWB54" s="196"/>
      <c r="CWC54" s="196"/>
      <c r="CWD54" s="196"/>
      <c r="CWE54" s="196"/>
      <c r="CWF54" s="196"/>
      <c r="CWG54" s="196"/>
      <c r="CWH54" s="196"/>
      <c r="CWI54" s="196"/>
      <c r="CWJ54" s="196"/>
      <c r="CWK54" s="196"/>
      <c r="CWL54" s="196"/>
      <c r="CWM54" s="196"/>
      <c r="CWN54" s="196"/>
      <c r="CWO54" s="196"/>
      <c r="CWP54" s="196"/>
      <c r="CWQ54" s="196"/>
      <c r="CWR54" s="196"/>
      <c r="CWS54" s="196"/>
      <c r="CWT54" s="196"/>
      <c r="CWU54" s="196"/>
      <c r="CWV54" s="196"/>
      <c r="CWW54" s="196"/>
      <c r="CWX54" s="196"/>
      <c r="CWY54" s="196"/>
      <c r="CWZ54" s="196"/>
      <c r="CXA54" s="196"/>
      <c r="CXB54" s="196"/>
      <c r="CXC54" s="196"/>
      <c r="CXD54" s="196"/>
      <c r="CXE54" s="196"/>
      <c r="CXF54" s="196"/>
      <c r="CXG54" s="196"/>
      <c r="CXH54" s="196"/>
      <c r="CXI54" s="196"/>
      <c r="CXJ54" s="196"/>
      <c r="CXK54" s="196"/>
      <c r="CXL54" s="196"/>
      <c r="CXM54" s="196"/>
      <c r="CXN54" s="196"/>
      <c r="CXO54" s="196"/>
      <c r="CXP54" s="196"/>
      <c r="CXQ54" s="196"/>
      <c r="CXR54" s="196"/>
      <c r="CXS54" s="196"/>
      <c r="CXT54" s="196"/>
      <c r="CXU54" s="196"/>
      <c r="CXV54" s="196"/>
      <c r="CXW54" s="196"/>
      <c r="CXX54" s="196"/>
      <c r="CXY54" s="196"/>
      <c r="CXZ54" s="196"/>
      <c r="CYA54" s="196"/>
      <c r="CYB54" s="196"/>
      <c r="CYC54" s="196"/>
      <c r="CYD54" s="196"/>
      <c r="CYE54" s="196"/>
      <c r="CYF54" s="196"/>
      <c r="CYG54" s="196"/>
      <c r="CYH54" s="196"/>
      <c r="CYI54" s="196"/>
      <c r="CYJ54" s="196"/>
      <c r="CYK54" s="196"/>
      <c r="CYL54" s="196"/>
      <c r="CYM54" s="196"/>
      <c r="CYN54" s="196"/>
      <c r="CYO54" s="196"/>
      <c r="CYP54" s="196"/>
      <c r="CYQ54" s="196"/>
      <c r="CYR54" s="196"/>
      <c r="CYS54" s="196"/>
      <c r="CYT54" s="196"/>
      <c r="CYU54" s="196"/>
      <c r="CYV54" s="196"/>
      <c r="CYW54" s="196"/>
      <c r="CYX54" s="196"/>
      <c r="CYY54" s="196"/>
      <c r="CYZ54" s="196"/>
      <c r="CZA54" s="196"/>
      <c r="CZB54" s="196"/>
      <c r="CZC54" s="196"/>
      <c r="CZD54" s="196"/>
      <c r="CZE54" s="196"/>
      <c r="CZF54" s="196"/>
      <c r="CZG54" s="196"/>
      <c r="CZH54" s="196"/>
      <c r="CZI54" s="196"/>
      <c r="CZJ54" s="196"/>
      <c r="CZK54" s="196"/>
      <c r="CZL54" s="196"/>
      <c r="CZM54" s="196"/>
      <c r="CZN54" s="196"/>
      <c r="CZO54" s="196"/>
      <c r="CZP54" s="196"/>
      <c r="CZQ54" s="196"/>
      <c r="CZR54" s="196"/>
      <c r="CZS54" s="196"/>
      <c r="CZT54" s="196"/>
      <c r="CZU54" s="196"/>
      <c r="CZV54" s="196"/>
      <c r="CZW54" s="196"/>
      <c r="CZX54" s="196"/>
      <c r="CZY54" s="196"/>
      <c r="CZZ54" s="196"/>
      <c r="DAA54" s="196"/>
      <c r="DAB54" s="196"/>
      <c r="DAC54" s="196"/>
      <c r="DAD54" s="196"/>
      <c r="DAE54" s="196"/>
      <c r="DAF54" s="196"/>
      <c r="DAG54" s="196"/>
      <c r="DAH54" s="196"/>
      <c r="DAI54" s="196"/>
      <c r="DAJ54" s="196"/>
      <c r="DAK54" s="196"/>
      <c r="DAL54" s="196"/>
      <c r="DAM54" s="196"/>
      <c r="DAN54" s="196"/>
      <c r="DAO54" s="196"/>
      <c r="DAP54" s="196"/>
      <c r="DAQ54" s="196"/>
      <c r="DAR54" s="196"/>
      <c r="DAS54" s="196"/>
      <c r="DAT54" s="196"/>
      <c r="DAU54" s="196"/>
      <c r="DAV54" s="196"/>
      <c r="DAW54" s="196"/>
      <c r="DAX54" s="196"/>
      <c r="DAY54" s="196"/>
      <c r="DAZ54" s="196"/>
      <c r="DBA54" s="196"/>
      <c r="DBB54" s="196"/>
      <c r="DBC54" s="196"/>
      <c r="DBD54" s="196"/>
      <c r="DBE54" s="196"/>
      <c r="DBF54" s="196"/>
      <c r="DBG54" s="196"/>
      <c r="DBH54" s="196"/>
      <c r="DBI54" s="196"/>
      <c r="DBJ54" s="196"/>
      <c r="DBK54" s="196"/>
      <c r="DBL54" s="196"/>
      <c r="DBM54" s="196"/>
      <c r="DBN54" s="196"/>
      <c r="DBO54" s="196"/>
      <c r="DBP54" s="196"/>
      <c r="DBQ54" s="196"/>
      <c r="DBR54" s="196"/>
      <c r="DBS54" s="196"/>
      <c r="DBT54" s="196"/>
      <c r="DBU54" s="196"/>
      <c r="DBV54" s="196"/>
      <c r="DBW54" s="196"/>
      <c r="DBX54" s="196"/>
      <c r="DBY54" s="196"/>
      <c r="DBZ54" s="196"/>
      <c r="DCA54" s="196"/>
      <c r="DCB54" s="196"/>
      <c r="DCC54" s="196"/>
      <c r="DCD54" s="196"/>
      <c r="DCE54" s="196"/>
      <c r="DCF54" s="196"/>
      <c r="DCG54" s="196"/>
      <c r="DCH54" s="196"/>
      <c r="DCI54" s="196"/>
      <c r="DCJ54" s="196"/>
      <c r="DCK54" s="196"/>
      <c r="DCL54" s="196"/>
      <c r="DCM54" s="196"/>
      <c r="DCN54" s="196"/>
      <c r="DCO54" s="196"/>
      <c r="DCP54" s="196"/>
      <c r="DCQ54" s="196"/>
      <c r="DCR54" s="196"/>
      <c r="DCS54" s="196"/>
      <c r="DCT54" s="196"/>
      <c r="DCU54" s="196"/>
      <c r="DCV54" s="196"/>
      <c r="DCW54" s="196"/>
      <c r="DCX54" s="196"/>
      <c r="DCY54" s="196"/>
      <c r="DCZ54" s="196"/>
      <c r="DDA54" s="196"/>
      <c r="DDB54" s="196"/>
      <c r="DDC54" s="196"/>
      <c r="DDD54" s="196"/>
      <c r="DDE54" s="196"/>
      <c r="DDF54" s="196"/>
      <c r="DDG54" s="196"/>
      <c r="DDH54" s="196"/>
      <c r="DDI54" s="196"/>
      <c r="DDJ54" s="196"/>
      <c r="DDK54" s="196"/>
      <c r="DDL54" s="196"/>
      <c r="DDM54" s="196"/>
      <c r="DDN54" s="196"/>
      <c r="DDO54" s="196"/>
      <c r="DDP54" s="196"/>
      <c r="DDQ54" s="196"/>
      <c r="DDR54" s="196"/>
      <c r="DDS54" s="196"/>
      <c r="DDT54" s="196"/>
      <c r="DDU54" s="196"/>
      <c r="DDV54" s="196"/>
      <c r="DDW54" s="196"/>
      <c r="DDX54" s="196"/>
      <c r="DDY54" s="196"/>
      <c r="DDZ54" s="196"/>
      <c r="DEA54" s="196"/>
      <c r="DEB54" s="196"/>
      <c r="DEC54" s="196"/>
      <c r="DED54" s="196"/>
      <c r="DEE54" s="196"/>
      <c r="DEF54" s="196"/>
      <c r="DEG54" s="196"/>
      <c r="DEH54" s="196"/>
      <c r="DEI54" s="196"/>
      <c r="DEJ54" s="196"/>
      <c r="DEK54" s="196"/>
      <c r="DEL54" s="196"/>
      <c r="DEM54" s="196"/>
      <c r="DEN54" s="196"/>
      <c r="DEO54" s="196"/>
      <c r="DEP54" s="196"/>
      <c r="DEQ54" s="196"/>
      <c r="DER54" s="196"/>
      <c r="DES54" s="196"/>
      <c r="DET54" s="196"/>
      <c r="DEU54" s="196"/>
      <c r="DEV54" s="196"/>
      <c r="DEW54" s="196"/>
      <c r="DEX54" s="196"/>
      <c r="DEY54" s="196"/>
      <c r="DEZ54" s="196"/>
      <c r="DFA54" s="196"/>
      <c r="DFB54" s="196"/>
      <c r="DFC54" s="196"/>
      <c r="DFD54" s="196"/>
      <c r="DFE54" s="196"/>
      <c r="DFF54" s="196"/>
      <c r="DFG54" s="196"/>
      <c r="DFH54" s="196"/>
      <c r="DFI54" s="196"/>
      <c r="DFJ54" s="196"/>
      <c r="DFK54" s="196"/>
      <c r="DFL54" s="196"/>
      <c r="DFM54" s="196"/>
      <c r="DFN54" s="196"/>
      <c r="DFO54" s="196"/>
      <c r="DFP54" s="196"/>
      <c r="DFQ54" s="196"/>
      <c r="DFR54" s="196"/>
      <c r="DFS54" s="196"/>
      <c r="DFT54" s="196"/>
      <c r="DFU54" s="196"/>
      <c r="DFV54" s="196"/>
      <c r="DFW54" s="196"/>
      <c r="DFX54" s="196"/>
      <c r="DFY54" s="196"/>
      <c r="DFZ54" s="196"/>
      <c r="DGA54" s="196"/>
      <c r="DGB54" s="196"/>
      <c r="DGC54" s="196"/>
      <c r="DGD54" s="196"/>
      <c r="DGE54" s="196"/>
      <c r="DGF54" s="196"/>
      <c r="DGG54" s="196"/>
      <c r="DGH54" s="196"/>
      <c r="DGI54" s="196"/>
      <c r="DGJ54" s="196"/>
      <c r="DGK54" s="196"/>
      <c r="DGL54" s="196"/>
      <c r="DGM54" s="196"/>
      <c r="DGN54" s="196"/>
      <c r="DGO54" s="196"/>
      <c r="DGP54" s="196"/>
      <c r="DGQ54" s="196"/>
      <c r="DGR54" s="196"/>
      <c r="DGS54" s="196"/>
      <c r="DGT54" s="196"/>
      <c r="DGU54" s="196"/>
      <c r="DGV54" s="196"/>
      <c r="DGW54" s="196"/>
      <c r="DGX54" s="196"/>
      <c r="DGY54" s="196"/>
      <c r="DGZ54" s="196"/>
      <c r="DHA54" s="196"/>
      <c r="DHB54" s="196"/>
      <c r="DHC54" s="196"/>
      <c r="DHD54" s="196"/>
      <c r="DHE54" s="196"/>
      <c r="DHF54" s="196"/>
      <c r="DHG54" s="196"/>
      <c r="DHH54" s="196"/>
      <c r="DHI54" s="196"/>
      <c r="DHJ54" s="196"/>
      <c r="DHK54" s="196"/>
      <c r="DHL54" s="196"/>
      <c r="DHM54" s="196"/>
      <c r="DHN54" s="196"/>
      <c r="DHO54" s="196"/>
      <c r="DHP54" s="196"/>
      <c r="DHQ54" s="196"/>
      <c r="DHR54" s="196"/>
      <c r="DHS54" s="196"/>
      <c r="DHT54" s="196"/>
      <c r="DHU54" s="196"/>
      <c r="DHV54" s="196"/>
      <c r="DHW54" s="196"/>
      <c r="DHX54" s="196"/>
      <c r="DHY54" s="196"/>
      <c r="DHZ54" s="196"/>
      <c r="DIA54" s="196"/>
      <c r="DIB54" s="196"/>
      <c r="DIC54" s="196"/>
      <c r="DID54" s="196"/>
      <c r="DIE54" s="196"/>
      <c r="DIF54" s="196"/>
      <c r="DIG54" s="196"/>
      <c r="DIH54" s="196"/>
      <c r="DII54" s="196"/>
      <c r="DIJ54" s="196"/>
      <c r="DIK54" s="196"/>
      <c r="DIL54" s="196"/>
      <c r="DIM54" s="196"/>
      <c r="DIN54" s="196"/>
      <c r="DIO54" s="196"/>
      <c r="DIP54" s="196"/>
      <c r="DIQ54" s="196"/>
      <c r="DIR54" s="196"/>
      <c r="DIS54" s="196"/>
      <c r="DIT54" s="196"/>
      <c r="DIU54" s="196"/>
      <c r="DIV54" s="196"/>
      <c r="DIW54" s="196"/>
      <c r="DIX54" s="196"/>
      <c r="DIY54" s="196"/>
      <c r="DIZ54" s="196"/>
      <c r="DJA54" s="196"/>
      <c r="DJB54" s="196"/>
      <c r="DJC54" s="196"/>
      <c r="DJD54" s="196"/>
      <c r="DJE54" s="196"/>
      <c r="DJF54" s="196"/>
      <c r="DJG54" s="196"/>
      <c r="DJH54" s="196"/>
      <c r="DJI54" s="196"/>
      <c r="DJJ54" s="196"/>
      <c r="DJK54" s="196"/>
      <c r="DJL54" s="196"/>
      <c r="DJM54" s="196"/>
      <c r="DJN54" s="196"/>
      <c r="DJO54" s="196"/>
      <c r="DJP54" s="196"/>
      <c r="DJQ54" s="196"/>
      <c r="DJR54" s="196"/>
      <c r="DJS54" s="196"/>
      <c r="DJT54" s="196"/>
      <c r="DJU54" s="196"/>
      <c r="DJV54" s="196"/>
      <c r="DJW54" s="196"/>
      <c r="DJX54" s="196"/>
      <c r="DJY54" s="196"/>
      <c r="DJZ54" s="196"/>
      <c r="DKA54" s="196"/>
      <c r="DKB54" s="196"/>
      <c r="DKC54" s="196"/>
      <c r="DKD54" s="196"/>
      <c r="DKE54" s="196"/>
      <c r="DKF54" s="196"/>
      <c r="DKG54" s="196"/>
      <c r="DKH54" s="196"/>
      <c r="DKI54" s="196"/>
      <c r="DKJ54" s="196"/>
      <c r="DKK54" s="196"/>
      <c r="DKL54" s="196"/>
      <c r="DKM54" s="196"/>
      <c r="DKN54" s="196"/>
      <c r="DKO54" s="196"/>
      <c r="DKP54" s="196"/>
      <c r="DKQ54" s="196"/>
      <c r="DKR54" s="196"/>
      <c r="DKS54" s="196"/>
      <c r="DKT54" s="196"/>
      <c r="DKU54" s="196"/>
      <c r="DKV54" s="196"/>
      <c r="DKW54" s="196"/>
      <c r="DKX54" s="196"/>
      <c r="DKY54" s="196"/>
      <c r="DKZ54" s="196"/>
      <c r="DLA54" s="196"/>
      <c r="DLB54" s="196"/>
      <c r="DLC54" s="196"/>
      <c r="DLD54" s="196"/>
      <c r="DLE54" s="196"/>
      <c r="DLF54" s="196"/>
      <c r="DLG54" s="196"/>
      <c r="DLH54" s="196"/>
      <c r="DLI54" s="196"/>
      <c r="DLJ54" s="196"/>
      <c r="DLK54" s="196"/>
      <c r="DLL54" s="196"/>
      <c r="DLM54" s="196"/>
      <c r="DLN54" s="196"/>
      <c r="DLO54" s="196"/>
      <c r="DLP54" s="196"/>
      <c r="DLQ54" s="196"/>
      <c r="DLR54" s="196"/>
      <c r="DLS54" s="196"/>
      <c r="DLT54" s="196"/>
      <c r="DLU54" s="196"/>
      <c r="DLV54" s="196"/>
      <c r="DLW54" s="196"/>
      <c r="DLX54" s="196"/>
      <c r="DLY54" s="196"/>
      <c r="DLZ54" s="196"/>
      <c r="DMA54" s="196"/>
      <c r="DMB54" s="196"/>
      <c r="DMC54" s="196"/>
      <c r="DMD54" s="196"/>
      <c r="DME54" s="196"/>
      <c r="DMF54" s="196"/>
      <c r="DMG54" s="196"/>
      <c r="DMH54" s="196"/>
      <c r="DMI54" s="196"/>
      <c r="DMJ54" s="196"/>
      <c r="DMK54" s="196"/>
      <c r="DML54" s="196"/>
      <c r="DMM54" s="196"/>
      <c r="DMN54" s="196"/>
      <c r="DMO54" s="196"/>
      <c r="DMP54" s="196"/>
      <c r="DMQ54" s="196"/>
      <c r="DMR54" s="196"/>
      <c r="DMS54" s="196"/>
      <c r="DMT54" s="196"/>
      <c r="DMU54" s="196"/>
      <c r="DMV54" s="196"/>
      <c r="DMW54" s="196"/>
      <c r="DMX54" s="196"/>
      <c r="DMY54" s="196"/>
      <c r="DMZ54" s="196"/>
      <c r="DNA54" s="196"/>
      <c r="DNB54" s="196"/>
      <c r="DNC54" s="196"/>
      <c r="DND54" s="196"/>
      <c r="DNE54" s="196"/>
      <c r="DNF54" s="196"/>
      <c r="DNG54" s="196"/>
      <c r="DNH54" s="196"/>
      <c r="DNI54" s="196"/>
      <c r="DNJ54" s="196"/>
      <c r="DNK54" s="196"/>
      <c r="DNL54" s="196"/>
      <c r="DNM54" s="196"/>
      <c r="DNN54" s="196"/>
      <c r="DNO54" s="196"/>
      <c r="DNP54" s="196"/>
      <c r="DNQ54" s="196"/>
      <c r="DNR54" s="196"/>
      <c r="DNS54" s="196"/>
      <c r="DNT54" s="196"/>
      <c r="DNU54" s="196"/>
      <c r="DNV54" s="196"/>
      <c r="DNW54" s="196"/>
      <c r="DNX54" s="196"/>
      <c r="DNY54" s="196"/>
      <c r="DNZ54" s="196"/>
      <c r="DOA54" s="196"/>
      <c r="DOB54" s="196"/>
      <c r="DOC54" s="196"/>
      <c r="DOD54" s="196"/>
      <c r="DOE54" s="196"/>
      <c r="DOF54" s="196"/>
      <c r="DOG54" s="196"/>
      <c r="DOH54" s="196"/>
      <c r="DOI54" s="196"/>
      <c r="DOJ54" s="196"/>
      <c r="DOK54" s="196"/>
      <c r="DOL54" s="196"/>
      <c r="DOM54" s="196"/>
      <c r="DON54" s="196"/>
      <c r="DOO54" s="196"/>
      <c r="DOP54" s="196"/>
      <c r="DOQ54" s="196"/>
      <c r="DOR54" s="196"/>
      <c r="DOS54" s="196"/>
      <c r="DOT54" s="196"/>
      <c r="DOU54" s="196"/>
      <c r="DOV54" s="196"/>
      <c r="DOW54" s="196"/>
      <c r="DOX54" s="196"/>
      <c r="DOY54" s="196"/>
      <c r="DOZ54" s="196"/>
      <c r="DPA54" s="196"/>
      <c r="DPB54" s="196"/>
      <c r="DPC54" s="196"/>
      <c r="DPD54" s="196"/>
      <c r="DPE54" s="196"/>
      <c r="DPF54" s="196"/>
      <c r="DPG54" s="196"/>
      <c r="DPH54" s="196"/>
      <c r="DPI54" s="196"/>
      <c r="DPJ54" s="196"/>
      <c r="DPK54" s="196"/>
      <c r="DPL54" s="196"/>
      <c r="DPM54" s="196"/>
      <c r="DPN54" s="196"/>
      <c r="DPO54" s="196"/>
      <c r="DPP54" s="196"/>
      <c r="DPQ54" s="196"/>
      <c r="DPR54" s="196"/>
      <c r="DPS54" s="196"/>
      <c r="DPT54" s="196"/>
      <c r="DPU54" s="196"/>
      <c r="DPV54" s="196"/>
      <c r="DPW54" s="196"/>
      <c r="DPX54" s="196"/>
      <c r="DPY54" s="196"/>
      <c r="DPZ54" s="196"/>
      <c r="DQA54" s="196"/>
      <c r="DQB54" s="196"/>
      <c r="DQC54" s="196"/>
      <c r="DQD54" s="196"/>
      <c r="DQE54" s="196"/>
      <c r="DQF54" s="196"/>
      <c r="DQG54" s="196"/>
      <c r="DQH54" s="196"/>
      <c r="DQI54" s="196"/>
      <c r="DQJ54" s="196"/>
      <c r="DQK54" s="196"/>
      <c r="DQL54" s="196"/>
      <c r="DQM54" s="196"/>
      <c r="DQN54" s="196"/>
      <c r="DQO54" s="196"/>
      <c r="DQP54" s="196"/>
      <c r="DQQ54" s="196"/>
      <c r="DQR54" s="196"/>
      <c r="DQS54" s="196"/>
      <c r="DQT54" s="196"/>
      <c r="DQU54" s="196"/>
      <c r="DQV54" s="196"/>
      <c r="DQW54" s="196"/>
      <c r="DQX54" s="196"/>
      <c r="DQY54" s="196"/>
      <c r="DQZ54" s="196"/>
      <c r="DRA54" s="196"/>
      <c r="DRB54" s="196"/>
      <c r="DRC54" s="196"/>
      <c r="DRD54" s="196"/>
      <c r="DRE54" s="196"/>
      <c r="DRF54" s="196"/>
      <c r="DRG54" s="196"/>
      <c r="DRH54" s="196"/>
      <c r="DRI54" s="196"/>
      <c r="DRJ54" s="196"/>
      <c r="DRK54" s="196"/>
      <c r="DRL54" s="196"/>
      <c r="DRM54" s="196"/>
      <c r="DRN54" s="196"/>
      <c r="DRO54" s="196"/>
      <c r="DRP54" s="196"/>
      <c r="DRQ54" s="196"/>
      <c r="DRR54" s="196"/>
      <c r="DRS54" s="196"/>
      <c r="DRT54" s="196"/>
      <c r="DRU54" s="196"/>
      <c r="DRV54" s="196"/>
      <c r="DRW54" s="196"/>
      <c r="DRX54" s="196"/>
      <c r="DRY54" s="196"/>
      <c r="DRZ54" s="196"/>
      <c r="DSA54" s="196"/>
      <c r="DSB54" s="196"/>
      <c r="DSC54" s="196"/>
      <c r="DSD54" s="196"/>
      <c r="DSE54" s="196"/>
      <c r="DSF54" s="196"/>
      <c r="DSG54" s="196"/>
      <c r="DSH54" s="196"/>
      <c r="DSI54" s="196"/>
      <c r="DSJ54" s="196"/>
      <c r="DSK54" s="196"/>
      <c r="DSL54" s="196"/>
      <c r="DSM54" s="196"/>
      <c r="DSN54" s="196"/>
      <c r="DSO54" s="196"/>
      <c r="DSP54" s="196"/>
      <c r="DSQ54" s="196"/>
      <c r="DSR54" s="196"/>
      <c r="DSS54" s="196"/>
      <c r="DST54" s="196"/>
      <c r="DSU54" s="196"/>
      <c r="DSV54" s="196"/>
      <c r="DSW54" s="196"/>
      <c r="DSX54" s="196"/>
      <c r="DSY54" s="196"/>
      <c r="DSZ54" s="196"/>
      <c r="DTA54" s="196"/>
      <c r="DTB54" s="196"/>
      <c r="DTC54" s="196"/>
      <c r="DTD54" s="196"/>
      <c r="DTE54" s="196"/>
      <c r="DTF54" s="196"/>
      <c r="DTG54" s="196"/>
      <c r="DTH54" s="196"/>
      <c r="DTI54" s="196"/>
      <c r="DTJ54" s="196"/>
      <c r="DTK54" s="196"/>
      <c r="DTL54" s="196"/>
      <c r="DTM54" s="196"/>
      <c r="DTN54" s="196"/>
      <c r="DTO54" s="196"/>
      <c r="DTP54" s="196"/>
      <c r="DTQ54" s="196"/>
      <c r="DTR54" s="196"/>
      <c r="DTS54" s="196"/>
      <c r="DTT54" s="196"/>
      <c r="DTU54" s="196"/>
      <c r="DTV54" s="196"/>
      <c r="DTW54" s="196"/>
      <c r="DTX54" s="196"/>
      <c r="DTY54" s="196"/>
      <c r="DTZ54" s="196"/>
      <c r="DUA54" s="196"/>
      <c r="DUB54" s="196"/>
      <c r="DUC54" s="196"/>
      <c r="DUD54" s="196"/>
      <c r="DUE54" s="196"/>
      <c r="DUF54" s="196"/>
      <c r="DUG54" s="196"/>
      <c r="DUH54" s="196"/>
      <c r="DUI54" s="196"/>
      <c r="DUJ54" s="196"/>
      <c r="DUK54" s="196"/>
      <c r="DUL54" s="196"/>
      <c r="DUM54" s="196"/>
      <c r="DUN54" s="196"/>
      <c r="DUO54" s="196"/>
      <c r="DUP54" s="196"/>
      <c r="DUQ54" s="196"/>
      <c r="DUR54" s="196"/>
      <c r="DUS54" s="196"/>
      <c r="DUT54" s="196"/>
      <c r="DUU54" s="196"/>
      <c r="DUV54" s="196"/>
      <c r="DUW54" s="196"/>
      <c r="DUX54" s="196"/>
      <c r="DUY54" s="196"/>
      <c r="DUZ54" s="196"/>
      <c r="DVA54" s="196"/>
      <c r="DVB54" s="196"/>
      <c r="DVC54" s="196"/>
      <c r="DVD54" s="196"/>
      <c r="DVE54" s="196"/>
      <c r="DVF54" s="196"/>
      <c r="DVG54" s="196"/>
      <c r="DVH54" s="196"/>
      <c r="DVI54" s="196"/>
      <c r="DVJ54" s="196"/>
      <c r="DVK54" s="196"/>
      <c r="DVL54" s="196"/>
      <c r="DVM54" s="196"/>
      <c r="DVN54" s="196"/>
      <c r="DVO54" s="196"/>
      <c r="DVP54" s="196"/>
      <c r="DVQ54" s="196"/>
      <c r="DVR54" s="196"/>
      <c r="DVS54" s="196"/>
      <c r="DVT54" s="196"/>
      <c r="DVU54" s="196"/>
      <c r="DVV54" s="196"/>
      <c r="DVW54" s="196"/>
      <c r="DVX54" s="196"/>
      <c r="DVY54" s="196"/>
      <c r="DVZ54" s="196"/>
      <c r="DWA54" s="196"/>
      <c r="DWB54" s="196"/>
      <c r="DWC54" s="196"/>
      <c r="DWD54" s="196"/>
      <c r="DWE54" s="196"/>
      <c r="DWF54" s="196"/>
      <c r="DWG54" s="196"/>
      <c r="DWH54" s="196"/>
      <c r="DWI54" s="196"/>
      <c r="DWJ54" s="196"/>
      <c r="DWK54" s="196"/>
      <c r="DWL54" s="196"/>
      <c r="DWM54" s="196"/>
      <c r="DWN54" s="196"/>
      <c r="DWO54" s="196"/>
      <c r="DWP54" s="196"/>
      <c r="DWQ54" s="196"/>
      <c r="DWR54" s="196"/>
      <c r="DWS54" s="196"/>
      <c r="DWT54" s="196"/>
      <c r="DWU54" s="196"/>
      <c r="DWV54" s="196"/>
      <c r="DWW54" s="196"/>
      <c r="DWX54" s="196"/>
      <c r="DWY54" s="196"/>
      <c r="DWZ54" s="196"/>
      <c r="DXA54" s="196"/>
      <c r="DXB54" s="196"/>
      <c r="DXC54" s="196"/>
      <c r="DXD54" s="196"/>
      <c r="DXE54" s="196"/>
      <c r="DXF54" s="196"/>
      <c r="DXG54" s="196"/>
      <c r="DXH54" s="196"/>
      <c r="DXI54" s="196"/>
      <c r="DXJ54" s="196"/>
      <c r="DXK54" s="196"/>
      <c r="DXL54" s="196"/>
      <c r="DXM54" s="196"/>
      <c r="DXN54" s="196"/>
      <c r="DXO54" s="196"/>
      <c r="DXP54" s="196"/>
      <c r="DXQ54" s="196"/>
      <c r="DXR54" s="196"/>
      <c r="DXS54" s="196"/>
      <c r="DXT54" s="196"/>
      <c r="DXU54" s="196"/>
      <c r="DXV54" s="196"/>
      <c r="DXW54" s="196"/>
      <c r="DXX54" s="196"/>
      <c r="DXY54" s="196"/>
      <c r="DXZ54" s="196"/>
      <c r="DYA54" s="196"/>
      <c r="DYB54" s="196"/>
      <c r="DYC54" s="196"/>
      <c r="DYD54" s="196"/>
      <c r="DYE54" s="196"/>
      <c r="DYF54" s="196"/>
      <c r="DYG54" s="196"/>
      <c r="DYH54" s="196"/>
      <c r="DYI54" s="196"/>
      <c r="DYJ54" s="196"/>
      <c r="DYK54" s="196"/>
      <c r="DYL54" s="196"/>
      <c r="DYM54" s="196"/>
      <c r="DYN54" s="196"/>
      <c r="DYO54" s="196"/>
      <c r="DYP54" s="196"/>
      <c r="DYQ54" s="196"/>
      <c r="DYR54" s="196"/>
      <c r="DYS54" s="196"/>
      <c r="DYT54" s="196"/>
      <c r="DYU54" s="196"/>
      <c r="DYV54" s="196"/>
      <c r="DYW54" s="196"/>
      <c r="DYX54" s="196"/>
      <c r="DYY54" s="196"/>
      <c r="DYZ54" s="196"/>
      <c r="DZA54" s="196"/>
      <c r="DZB54" s="196"/>
      <c r="DZC54" s="196"/>
      <c r="DZD54" s="196"/>
      <c r="DZE54" s="196"/>
      <c r="DZF54" s="196"/>
      <c r="DZG54" s="196"/>
      <c r="DZH54" s="196"/>
      <c r="DZI54" s="196"/>
      <c r="DZJ54" s="196"/>
      <c r="DZK54" s="196"/>
      <c r="DZL54" s="196"/>
      <c r="DZM54" s="196"/>
      <c r="DZN54" s="196"/>
      <c r="DZO54" s="196"/>
      <c r="DZP54" s="196"/>
      <c r="DZQ54" s="196"/>
      <c r="DZR54" s="196"/>
      <c r="DZS54" s="196"/>
      <c r="DZT54" s="196"/>
      <c r="DZU54" s="196"/>
      <c r="DZV54" s="196"/>
      <c r="DZW54" s="196"/>
      <c r="DZX54" s="196"/>
      <c r="DZY54" s="196"/>
      <c r="DZZ54" s="196"/>
      <c r="EAA54" s="196"/>
      <c r="EAB54" s="196"/>
      <c r="EAC54" s="196"/>
      <c r="EAD54" s="196"/>
      <c r="EAE54" s="196"/>
      <c r="EAF54" s="196"/>
      <c r="EAG54" s="196"/>
      <c r="EAH54" s="196"/>
      <c r="EAI54" s="196"/>
      <c r="EAJ54" s="196"/>
      <c r="EAK54" s="196"/>
      <c r="EAL54" s="196"/>
      <c r="EAM54" s="196"/>
      <c r="EAN54" s="196"/>
      <c r="EAO54" s="196"/>
      <c r="EAP54" s="196"/>
      <c r="EAQ54" s="196"/>
      <c r="EAR54" s="196"/>
      <c r="EAS54" s="196"/>
      <c r="EAT54" s="196"/>
      <c r="EAU54" s="196"/>
      <c r="EAV54" s="196"/>
      <c r="EAW54" s="196"/>
      <c r="EAX54" s="196"/>
      <c r="EAY54" s="196"/>
      <c r="EAZ54" s="196"/>
      <c r="EBA54" s="196"/>
      <c r="EBB54" s="196"/>
      <c r="EBC54" s="196"/>
      <c r="EBD54" s="196"/>
      <c r="EBE54" s="196"/>
      <c r="EBF54" s="196"/>
      <c r="EBG54" s="196"/>
      <c r="EBH54" s="196"/>
      <c r="EBI54" s="196"/>
      <c r="EBJ54" s="196"/>
      <c r="EBK54" s="196"/>
      <c r="EBL54" s="196"/>
      <c r="EBM54" s="196"/>
      <c r="EBN54" s="196"/>
      <c r="EBO54" s="196"/>
      <c r="EBP54" s="196"/>
      <c r="EBQ54" s="196"/>
      <c r="EBR54" s="196"/>
      <c r="EBS54" s="196"/>
      <c r="EBT54" s="196"/>
      <c r="EBU54" s="196"/>
      <c r="EBV54" s="196"/>
      <c r="EBW54" s="196"/>
      <c r="EBX54" s="196"/>
      <c r="EBY54" s="196"/>
      <c r="EBZ54" s="196"/>
      <c r="ECA54" s="196"/>
      <c r="ECB54" s="196"/>
      <c r="ECC54" s="196"/>
      <c r="ECD54" s="196"/>
      <c r="ECE54" s="196"/>
      <c r="ECF54" s="196"/>
      <c r="ECG54" s="196"/>
      <c r="ECH54" s="196"/>
      <c r="ECI54" s="196"/>
      <c r="ECJ54" s="196"/>
      <c r="ECK54" s="196"/>
      <c r="ECL54" s="196"/>
      <c r="ECM54" s="196"/>
      <c r="ECN54" s="196"/>
      <c r="ECO54" s="196"/>
      <c r="ECP54" s="196"/>
      <c r="ECQ54" s="196"/>
      <c r="ECR54" s="196"/>
      <c r="ECS54" s="196"/>
      <c r="ECT54" s="196"/>
      <c r="ECU54" s="196"/>
      <c r="ECV54" s="196"/>
      <c r="ECW54" s="196"/>
      <c r="ECX54" s="196"/>
      <c r="ECY54" s="196"/>
      <c r="ECZ54" s="196"/>
      <c r="EDA54" s="196"/>
      <c r="EDB54" s="196"/>
      <c r="EDC54" s="196"/>
      <c r="EDD54" s="196"/>
      <c r="EDE54" s="196"/>
      <c r="EDF54" s="196"/>
      <c r="EDG54" s="196"/>
      <c r="EDH54" s="196"/>
      <c r="EDI54" s="196"/>
      <c r="EDJ54" s="196"/>
      <c r="EDK54" s="196"/>
      <c r="EDL54" s="196"/>
      <c r="EDM54" s="196"/>
      <c r="EDN54" s="196"/>
      <c r="EDO54" s="196"/>
      <c r="EDP54" s="196"/>
      <c r="EDQ54" s="196"/>
      <c r="EDR54" s="196"/>
      <c r="EDS54" s="196"/>
      <c r="EDT54" s="196"/>
      <c r="EDU54" s="196"/>
      <c r="EDV54" s="196"/>
      <c r="EDW54" s="196"/>
      <c r="EDX54" s="196"/>
      <c r="EDY54" s="196"/>
      <c r="EDZ54" s="196"/>
      <c r="EEA54" s="196"/>
      <c r="EEB54" s="196"/>
      <c r="EEC54" s="196"/>
      <c r="EED54" s="196"/>
      <c r="EEE54" s="196"/>
      <c r="EEF54" s="196"/>
      <c r="EEG54" s="196"/>
      <c r="EEH54" s="196"/>
      <c r="EEI54" s="196"/>
      <c r="EEJ54" s="196"/>
      <c r="EEK54" s="196"/>
      <c r="EEL54" s="196"/>
      <c r="EEM54" s="196"/>
      <c r="EEN54" s="196"/>
      <c r="EEO54" s="196"/>
      <c r="EEP54" s="196"/>
      <c r="EEQ54" s="196"/>
      <c r="EER54" s="196"/>
      <c r="EES54" s="196"/>
      <c r="EET54" s="196"/>
      <c r="EEU54" s="196"/>
      <c r="EEV54" s="196"/>
      <c r="EEW54" s="196"/>
      <c r="EEX54" s="196"/>
      <c r="EEY54" s="196"/>
      <c r="EEZ54" s="196"/>
      <c r="EFA54" s="196"/>
      <c r="EFB54" s="196"/>
      <c r="EFC54" s="196"/>
      <c r="EFD54" s="196"/>
      <c r="EFE54" s="196"/>
      <c r="EFF54" s="196"/>
      <c r="EFG54" s="196"/>
      <c r="EFH54" s="196"/>
      <c r="EFI54" s="196"/>
      <c r="EFJ54" s="196"/>
      <c r="EFK54" s="196"/>
      <c r="EFL54" s="196"/>
      <c r="EFM54" s="196"/>
      <c r="EFN54" s="196"/>
      <c r="EFO54" s="196"/>
      <c r="EFP54" s="196"/>
      <c r="EFQ54" s="196"/>
      <c r="EFR54" s="196"/>
      <c r="EFS54" s="196"/>
      <c r="EFT54" s="196"/>
      <c r="EFU54" s="196"/>
      <c r="EFV54" s="196"/>
      <c r="EFW54" s="196"/>
      <c r="EFX54" s="196"/>
      <c r="EFY54" s="196"/>
      <c r="EFZ54" s="196"/>
      <c r="EGA54" s="196"/>
      <c r="EGB54" s="196"/>
      <c r="EGC54" s="196"/>
      <c r="EGD54" s="196"/>
      <c r="EGE54" s="196"/>
      <c r="EGF54" s="196"/>
      <c r="EGG54" s="196"/>
      <c r="EGH54" s="196"/>
      <c r="EGI54" s="196"/>
      <c r="EGJ54" s="196"/>
      <c r="EGK54" s="196"/>
      <c r="EGL54" s="196"/>
      <c r="EGM54" s="196"/>
      <c r="EGN54" s="196"/>
      <c r="EGO54" s="196"/>
      <c r="EGP54" s="196"/>
      <c r="EGQ54" s="196"/>
      <c r="EGR54" s="196"/>
      <c r="EGS54" s="196"/>
      <c r="EGT54" s="196"/>
      <c r="EGU54" s="196"/>
      <c r="EGV54" s="196"/>
      <c r="EGW54" s="196"/>
      <c r="EGX54" s="196"/>
      <c r="EGY54" s="196"/>
      <c r="EGZ54" s="196"/>
      <c r="EHA54" s="196"/>
      <c r="EHB54" s="196"/>
      <c r="EHC54" s="196"/>
      <c r="EHD54" s="196"/>
      <c r="EHE54" s="196"/>
      <c r="EHF54" s="196"/>
      <c r="EHG54" s="196"/>
      <c r="EHH54" s="196"/>
      <c r="EHI54" s="196"/>
      <c r="EHJ54" s="196"/>
      <c r="EHK54" s="196"/>
      <c r="EHL54" s="196"/>
      <c r="EHM54" s="196"/>
      <c r="EHN54" s="196"/>
      <c r="EHO54" s="196"/>
      <c r="EHP54" s="196"/>
      <c r="EHQ54" s="196"/>
      <c r="EHR54" s="196"/>
      <c r="EHS54" s="196"/>
      <c r="EHT54" s="196"/>
      <c r="EHU54" s="196"/>
      <c r="EHV54" s="196"/>
      <c r="EHW54" s="196"/>
      <c r="EHX54" s="196"/>
      <c r="EHY54" s="196"/>
      <c r="EHZ54" s="196"/>
      <c r="EIA54" s="196"/>
      <c r="EIB54" s="196"/>
      <c r="EIC54" s="196"/>
      <c r="EID54" s="196"/>
      <c r="EIE54" s="196"/>
      <c r="EIF54" s="196"/>
      <c r="EIG54" s="196"/>
      <c r="EIH54" s="196"/>
      <c r="EII54" s="196"/>
      <c r="EIJ54" s="196"/>
      <c r="EIK54" s="196"/>
      <c r="EIL54" s="196"/>
      <c r="EIM54" s="196"/>
      <c r="EIN54" s="196"/>
      <c r="EIO54" s="196"/>
      <c r="EIP54" s="196"/>
      <c r="EIQ54" s="196"/>
      <c r="EIR54" s="196"/>
      <c r="EIS54" s="196"/>
      <c r="EIT54" s="196"/>
      <c r="EIU54" s="196"/>
      <c r="EIV54" s="196"/>
      <c r="EIW54" s="196"/>
      <c r="EIX54" s="196"/>
      <c r="EIY54" s="196"/>
      <c r="EIZ54" s="196"/>
      <c r="EJA54" s="196"/>
      <c r="EJB54" s="196"/>
      <c r="EJC54" s="196"/>
      <c r="EJD54" s="196"/>
      <c r="EJE54" s="196"/>
      <c r="EJF54" s="196"/>
      <c r="EJG54" s="196"/>
      <c r="EJH54" s="196"/>
      <c r="EJI54" s="196"/>
      <c r="EJJ54" s="196"/>
      <c r="EJK54" s="196"/>
      <c r="EJL54" s="196"/>
      <c r="EJM54" s="196"/>
      <c r="EJN54" s="196"/>
      <c r="EJO54" s="196"/>
      <c r="EJP54" s="196"/>
      <c r="EJQ54" s="196"/>
      <c r="EJR54" s="196"/>
      <c r="EJS54" s="196"/>
      <c r="EJT54" s="196"/>
      <c r="EJU54" s="196"/>
      <c r="EJV54" s="196"/>
      <c r="EJW54" s="196"/>
      <c r="EJX54" s="196"/>
      <c r="EJY54" s="196"/>
      <c r="EJZ54" s="196"/>
      <c r="EKA54" s="196"/>
      <c r="EKB54" s="196"/>
      <c r="EKC54" s="196"/>
      <c r="EKD54" s="196"/>
      <c r="EKE54" s="196"/>
      <c r="EKF54" s="196"/>
      <c r="EKG54" s="196"/>
      <c r="EKH54" s="196"/>
      <c r="EKI54" s="196"/>
      <c r="EKJ54" s="196"/>
      <c r="EKK54" s="196"/>
      <c r="EKL54" s="196"/>
      <c r="EKM54" s="196"/>
      <c r="EKN54" s="196"/>
      <c r="EKO54" s="196"/>
      <c r="EKP54" s="196"/>
      <c r="EKQ54" s="196"/>
      <c r="EKR54" s="196"/>
      <c r="EKS54" s="196"/>
      <c r="EKT54" s="196"/>
      <c r="EKU54" s="196"/>
      <c r="EKV54" s="196"/>
      <c r="EKW54" s="196"/>
      <c r="EKX54" s="196"/>
      <c r="EKY54" s="196"/>
      <c r="EKZ54" s="196"/>
      <c r="ELA54" s="196"/>
      <c r="ELB54" s="196"/>
      <c r="ELC54" s="196"/>
      <c r="ELD54" s="196"/>
      <c r="ELE54" s="196"/>
      <c r="ELF54" s="196"/>
      <c r="ELG54" s="196"/>
      <c r="ELH54" s="196"/>
      <c r="ELI54" s="196"/>
      <c r="ELJ54" s="196"/>
      <c r="ELK54" s="196"/>
      <c r="ELL54" s="196"/>
      <c r="ELM54" s="196"/>
      <c r="ELN54" s="196"/>
      <c r="ELO54" s="196"/>
      <c r="ELP54" s="196"/>
      <c r="ELQ54" s="196"/>
      <c r="ELR54" s="196"/>
      <c r="ELS54" s="196"/>
      <c r="ELT54" s="196"/>
      <c r="ELU54" s="196"/>
      <c r="ELV54" s="196"/>
      <c r="ELW54" s="196"/>
      <c r="ELX54" s="196"/>
      <c r="ELY54" s="196"/>
      <c r="ELZ54" s="196"/>
      <c r="EMA54" s="196"/>
      <c r="EMB54" s="196"/>
      <c r="EMC54" s="196"/>
      <c r="EMD54" s="196"/>
      <c r="EME54" s="196"/>
      <c r="EMF54" s="196"/>
      <c r="EMG54" s="196"/>
      <c r="EMH54" s="196"/>
      <c r="EMI54" s="196"/>
      <c r="EMJ54" s="196"/>
      <c r="EMK54" s="196"/>
      <c r="EML54" s="196"/>
      <c r="EMM54" s="196"/>
      <c r="EMN54" s="196"/>
      <c r="EMO54" s="196"/>
      <c r="EMP54" s="196"/>
      <c r="EMQ54" s="196"/>
      <c r="EMR54" s="196"/>
      <c r="EMS54" s="196"/>
      <c r="EMT54" s="196"/>
      <c r="EMU54" s="196"/>
      <c r="EMV54" s="196"/>
      <c r="EMW54" s="196"/>
      <c r="EMX54" s="196"/>
      <c r="EMY54" s="196"/>
      <c r="EMZ54" s="196"/>
      <c r="ENA54" s="196"/>
      <c r="ENB54" s="196"/>
      <c r="ENC54" s="196"/>
      <c r="END54" s="196"/>
      <c r="ENE54" s="196"/>
      <c r="ENF54" s="196"/>
      <c r="ENG54" s="196"/>
      <c r="ENH54" s="196"/>
      <c r="ENI54" s="196"/>
      <c r="ENJ54" s="196"/>
      <c r="ENK54" s="196"/>
      <c r="ENL54" s="196"/>
      <c r="ENM54" s="196"/>
      <c r="ENN54" s="196"/>
      <c r="ENO54" s="196"/>
      <c r="ENP54" s="196"/>
      <c r="ENQ54" s="196"/>
      <c r="ENR54" s="196"/>
      <c r="ENS54" s="196"/>
      <c r="ENT54" s="196"/>
      <c r="ENU54" s="196"/>
      <c r="ENV54" s="196"/>
      <c r="ENW54" s="196"/>
      <c r="ENX54" s="196"/>
      <c r="ENY54" s="196"/>
      <c r="ENZ54" s="196"/>
      <c r="EOA54" s="196"/>
      <c r="EOB54" s="196"/>
      <c r="EOC54" s="196"/>
      <c r="EOD54" s="196"/>
      <c r="EOE54" s="196"/>
      <c r="EOF54" s="196"/>
      <c r="EOG54" s="196"/>
      <c r="EOH54" s="196"/>
      <c r="EOI54" s="196"/>
      <c r="EOJ54" s="196"/>
      <c r="EOK54" s="196"/>
      <c r="EOL54" s="196"/>
      <c r="EOM54" s="196"/>
      <c r="EON54" s="196"/>
      <c r="EOO54" s="196"/>
      <c r="EOP54" s="196"/>
      <c r="EOQ54" s="196"/>
      <c r="EOR54" s="196"/>
      <c r="EOS54" s="196"/>
      <c r="EOT54" s="196"/>
      <c r="EOU54" s="196"/>
      <c r="EOV54" s="196"/>
      <c r="EOW54" s="196"/>
      <c r="EOX54" s="196"/>
      <c r="EOY54" s="196"/>
      <c r="EOZ54" s="196"/>
      <c r="EPA54" s="196"/>
      <c r="EPB54" s="196"/>
      <c r="EPC54" s="196"/>
      <c r="EPD54" s="196"/>
      <c r="EPE54" s="196"/>
      <c r="EPF54" s="196"/>
      <c r="EPG54" s="196"/>
      <c r="EPH54" s="196"/>
      <c r="EPI54" s="196"/>
      <c r="EPJ54" s="196"/>
      <c r="EPK54" s="196"/>
      <c r="EPL54" s="196"/>
      <c r="EPM54" s="196"/>
      <c r="EPN54" s="196"/>
      <c r="EPO54" s="196"/>
      <c r="EPP54" s="196"/>
      <c r="EPQ54" s="196"/>
      <c r="EPR54" s="196"/>
      <c r="EPS54" s="196"/>
      <c r="EPT54" s="196"/>
      <c r="EPU54" s="196"/>
      <c r="EPV54" s="196"/>
      <c r="EPW54" s="196"/>
      <c r="EPX54" s="196"/>
      <c r="EPY54" s="196"/>
      <c r="EPZ54" s="196"/>
      <c r="EQA54" s="196"/>
      <c r="EQB54" s="196"/>
      <c r="EQC54" s="196"/>
      <c r="EQD54" s="196"/>
      <c r="EQE54" s="196"/>
      <c r="EQF54" s="196"/>
      <c r="EQG54" s="196"/>
      <c r="EQH54" s="196"/>
      <c r="EQI54" s="196"/>
      <c r="EQJ54" s="196"/>
      <c r="EQK54" s="196"/>
      <c r="EQL54" s="196"/>
      <c r="EQM54" s="196"/>
      <c r="EQN54" s="196"/>
      <c r="EQO54" s="196"/>
      <c r="EQP54" s="196"/>
      <c r="EQQ54" s="196"/>
      <c r="EQR54" s="196"/>
      <c r="EQS54" s="196"/>
      <c r="EQT54" s="196"/>
      <c r="EQU54" s="196"/>
      <c r="EQV54" s="196"/>
      <c r="EQW54" s="196"/>
      <c r="EQX54" s="196"/>
      <c r="EQY54" s="196"/>
      <c r="EQZ54" s="196"/>
      <c r="ERA54" s="196"/>
      <c r="ERB54" s="196"/>
      <c r="ERC54" s="196"/>
      <c r="ERD54" s="196"/>
      <c r="ERE54" s="196"/>
      <c r="ERF54" s="196"/>
      <c r="ERG54" s="196"/>
      <c r="ERH54" s="196"/>
      <c r="ERI54" s="196"/>
      <c r="ERJ54" s="196"/>
      <c r="ERK54" s="196"/>
      <c r="ERL54" s="196"/>
      <c r="ERM54" s="196"/>
      <c r="ERN54" s="196"/>
      <c r="ERO54" s="196"/>
      <c r="ERP54" s="196"/>
      <c r="ERQ54" s="196"/>
      <c r="ERR54" s="196"/>
      <c r="ERS54" s="196"/>
      <c r="ERT54" s="196"/>
      <c r="ERU54" s="196"/>
      <c r="ERV54" s="196"/>
      <c r="ERW54" s="196"/>
      <c r="ERX54" s="196"/>
      <c r="ERY54" s="196"/>
      <c r="ERZ54" s="196"/>
      <c r="ESA54" s="196"/>
      <c r="ESB54" s="196"/>
      <c r="ESC54" s="196"/>
      <c r="ESD54" s="196"/>
      <c r="ESE54" s="196"/>
      <c r="ESF54" s="196"/>
      <c r="ESG54" s="196"/>
      <c r="ESH54" s="196"/>
      <c r="ESI54" s="196"/>
      <c r="ESJ54" s="196"/>
      <c r="ESK54" s="196"/>
      <c r="ESL54" s="196"/>
      <c r="ESM54" s="196"/>
      <c r="ESN54" s="196"/>
      <c r="ESO54" s="196"/>
      <c r="ESP54" s="196"/>
      <c r="ESQ54" s="196"/>
      <c r="ESR54" s="196"/>
      <c r="ESS54" s="196"/>
      <c r="EST54" s="196"/>
      <c r="ESU54" s="196"/>
      <c r="ESV54" s="196"/>
      <c r="ESW54" s="196"/>
      <c r="ESX54" s="196"/>
      <c r="ESY54" s="196"/>
      <c r="ESZ54" s="196"/>
      <c r="ETA54" s="196"/>
      <c r="ETB54" s="196"/>
      <c r="ETC54" s="196"/>
      <c r="ETD54" s="196"/>
      <c r="ETE54" s="196"/>
      <c r="ETF54" s="196"/>
      <c r="ETG54" s="196"/>
      <c r="ETH54" s="196"/>
      <c r="ETI54" s="196"/>
      <c r="ETJ54" s="196"/>
      <c r="ETK54" s="196"/>
      <c r="ETL54" s="196"/>
      <c r="ETM54" s="196"/>
      <c r="ETN54" s="196"/>
      <c r="ETO54" s="196"/>
      <c r="ETP54" s="196"/>
      <c r="ETQ54" s="196"/>
      <c r="ETR54" s="196"/>
      <c r="ETS54" s="196"/>
      <c r="ETT54" s="196"/>
      <c r="ETU54" s="196"/>
      <c r="ETV54" s="196"/>
      <c r="ETW54" s="196"/>
      <c r="ETX54" s="196"/>
      <c r="ETY54" s="196"/>
      <c r="ETZ54" s="196"/>
      <c r="EUA54" s="196"/>
      <c r="EUB54" s="196"/>
      <c r="EUC54" s="196"/>
      <c r="EUD54" s="196"/>
      <c r="EUE54" s="196"/>
      <c r="EUF54" s="196"/>
      <c r="EUG54" s="196"/>
      <c r="EUH54" s="196"/>
      <c r="EUI54" s="196"/>
      <c r="EUJ54" s="196"/>
      <c r="EUK54" s="196"/>
      <c r="EUL54" s="196"/>
      <c r="EUM54" s="196"/>
      <c r="EUN54" s="196"/>
      <c r="EUO54" s="196"/>
      <c r="EUP54" s="196"/>
      <c r="EUQ54" s="196"/>
      <c r="EUR54" s="196"/>
      <c r="EUS54" s="196"/>
      <c r="EUT54" s="196"/>
      <c r="EUU54" s="196"/>
      <c r="EUV54" s="196"/>
      <c r="EUW54" s="196"/>
      <c r="EUX54" s="196"/>
      <c r="EUY54" s="196"/>
      <c r="EUZ54" s="196"/>
      <c r="EVA54" s="196"/>
      <c r="EVB54" s="196"/>
      <c r="EVC54" s="196"/>
      <c r="EVD54" s="196"/>
      <c r="EVE54" s="196"/>
      <c r="EVF54" s="196"/>
      <c r="EVG54" s="196"/>
      <c r="EVH54" s="196"/>
      <c r="EVI54" s="196"/>
      <c r="EVJ54" s="196"/>
      <c r="EVK54" s="196"/>
      <c r="EVL54" s="196"/>
      <c r="EVM54" s="196"/>
      <c r="EVN54" s="196"/>
      <c r="EVO54" s="196"/>
      <c r="EVP54" s="196"/>
      <c r="EVQ54" s="196"/>
      <c r="EVR54" s="196"/>
      <c r="EVS54" s="196"/>
      <c r="EVT54" s="196"/>
      <c r="EVU54" s="196"/>
      <c r="EVV54" s="196"/>
      <c r="EVW54" s="196"/>
      <c r="EVX54" s="196"/>
      <c r="EVY54" s="196"/>
      <c r="EVZ54" s="196"/>
      <c r="EWA54" s="196"/>
      <c r="EWB54" s="196"/>
      <c r="EWC54" s="196"/>
      <c r="EWD54" s="196"/>
      <c r="EWE54" s="196"/>
      <c r="EWF54" s="196"/>
      <c r="EWG54" s="196"/>
      <c r="EWH54" s="196"/>
      <c r="EWI54" s="196"/>
      <c r="EWJ54" s="196"/>
      <c r="EWK54" s="196"/>
      <c r="EWL54" s="196"/>
      <c r="EWM54" s="196"/>
      <c r="EWN54" s="196"/>
      <c r="EWO54" s="196"/>
      <c r="EWP54" s="196"/>
      <c r="EWQ54" s="196"/>
      <c r="EWR54" s="196"/>
      <c r="EWS54" s="196"/>
      <c r="EWT54" s="196"/>
      <c r="EWU54" s="196"/>
      <c r="EWV54" s="196"/>
      <c r="EWW54" s="196"/>
      <c r="EWX54" s="196"/>
      <c r="EWY54" s="196"/>
      <c r="EWZ54" s="196"/>
      <c r="EXA54" s="196"/>
      <c r="EXB54" s="196"/>
      <c r="EXC54" s="196"/>
      <c r="EXD54" s="196"/>
      <c r="EXE54" s="196"/>
      <c r="EXF54" s="196"/>
      <c r="EXG54" s="196"/>
      <c r="EXH54" s="196"/>
      <c r="EXI54" s="196"/>
      <c r="EXJ54" s="196"/>
      <c r="EXK54" s="196"/>
      <c r="EXL54" s="196"/>
      <c r="EXM54" s="196"/>
      <c r="EXN54" s="196"/>
      <c r="EXO54" s="196"/>
      <c r="EXP54" s="196"/>
      <c r="EXQ54" s="196"/>
      <c r="EXR54" s="196"/>
      <c r="EXS54" s="196"/>
      <c r="EXT54" s="196"/>
      <c r="EXU54" s="196"/>
      <c r="EXV54" s="196"/>
      <c r="EXW54" s="196"/>
      <c r="EXX54" s="196"/>
      <c r="EXY54" s="196"/>
      <c r="EXZ54" s="196"/>
      <c r="EYA54" s="196"/>
      <c r="EYB54" s="196"/>
      <c r="EYC54" s="196"/>
      <c r="EYD54" s="196"/>
      <c r="EYE54" s="196"/>
      <c r="EYF54" s="196"/>
      <c r="EYG54" s="196"/>
      <c r="EYH54" s="196"/>
      <c r="EYI54" s="196"/>
      <c r="EYJ54" s="196"/>
      <c r="EYK54" s="196"/>
      <c r="EYL54" s="196"/>
      <c r="EYM54" s="196"/>
      <c r="EYN54" s="196"/>
      <c r="EYO54" s="196"/>
      <c r="EYP54" s="196"/>
      <c r="EYQ54" s="196"/>
      <c r="EYR54" s="196"/>
      <c r="EYS54" s="196"/>
      <c r="EYT54" s="196"/>
      <c r="EYU54" s="196"/>
      <c r="EYV54" s="196"/>
      <c r="EYW54" s="196"/>
      <c r="EYX54" s="196"/>
      <c r="EYY54" s="196"/>
      <c r="EYZ54" s="196"/>
      <c r="EZA54" s="196"/>
      <c r="EZB54" s="196"/>
      <c r="EZC54" s="196"/>
      <c r="EZD54" s="196"/>
      <c r="EZE54" s="196"/>
      <c r="EZF54" s="196"/>
      <c r="EZG54" s="196"/>
      <c r="EZH54" s="196"/>
      <c r="EZI54" s="196"/>
      <c r="EZJ54" s="196"/>
      <c r="EZK54" s="196"/>
      <c r="EZL54" s="196"/>
      <c r="EZM54" s="196"/>
      <c r="EZN54" s="196"/>
      <c r="EZO54" s="196"/>
      <c r="EZP54" s="196"/>
      <c r="EZQ54" s="196"/>
      <c r="EZR54" s="196"/>
      <c r="EZS54" s="196"/>
      <c r="EZT54" s="196"/>
      <c r="EZU54" s="196"/>
      <c r="EZV54" s="196"/>
      <c r="EZW54" s="196"/>
      <c r="EZX54" s="196"/>
      <c r="EZY54" s="196"/>
      <c r="EZZ54" s="196"/>
      <c r="FAA54" s="196"/>
      <c r="FAB54" s="196"/>
      <c r="FAC54" s="196"/>
      <c r="FAD54" s="196"/>
      <c r="FAE54" s="196"/>
      <c r="FAF54" s="196"/>
      <c r="FAG54" s="196"/>
      <c r="FAH54" s="196"/>
      <c r="FAI54" s="196"/>
      <c r="FAJ54" s="196"/>
      <c r="FAK54" s="196"/>
      <c r="FAL54" s="196"/>
      <c r="FAM54" s="196"/>
      <c r="FAN54" s="196"/>
      <c r="FAO54" s="196"/>
      <c r="FAP54" s="196"/>
      <c r="FAQ54" s="196"/>
      <c r="FAR54" s="196"/>
      <c r="FAS54" s="196"/>
      <c r="FAT54" s="196"/>
      <c r="FAU54" s="196"/>
      <c r="FAV54" s="196"/>
      <c r="FAW54" s="196"/>
      <c r="FAX54" s="196"/>
      <c r="FAY54" s="196"/>
      <c r="FAZ54" s="196"/>
      <c r="FBA54" s="196"/>
      <c r="FBB54" s="196"/>
      <c r="FBC54" s="196"/>
      <c r="FBD54" s="196"/>
      <c r="FBE54" s="196"/>
      <c r="FBF54" s="196"/>
      <c r="FBG54" s="196"/>
      <c r="FBH54" s="196"/>
      <c r="FBI54" s="196"/>
      <c r="FBJ54" s="196"/>
      <c r="FBK54" s="196"/>
      <c r="FBL54" s="196"/>
      <c r="FBM54" s="196"/>
      <c r="FBN54" s="196"/>
      <c r="FBO54" s="196"/>
      <c r="FBP54" s="196"/>
      <c r="FBQ54" s="196"/>
      <c r="FBR54" s="196"/>
      <c r="FBS54" s="196"/>
      <c r="FBT54" s="196"/>
      <c r="FBU54" s="196"/>
      <c r="FBV54" s="196"/>
      <c r="FBW54" s="196"/>
      <c r="FBX54" s="196"/>
      <c r="FBY54" s="196"/>
      <c r="FBZ54" s="196"/>
      <c r="FCA54" s="196"/>
      <c r="FCB54" s="196"/>
      <c r="FCC54" s="196"/>
      <c r="FCD54" s="196"/>
      <c r="FCE54" s="196"/>
      <c r="FCF54" s="196"/>
      <c r="FCG54" s="196"/>
      <c r="FCH54" s="196"/>
      <c r="FCI54" s="196"/>
      <c r="FCJ54" s="196"/>
      <c r="FCK54" s="196"/>
      <c r="FCL54" s="196"/>
      <c r="FCM54" s="196"/>
      <c r="FCN54" s="196"/>
      <c r="FCO54" s="196"/>
      <c r="FCP54" s="196"/>
      <c r="FCQ54" s="196"/>
      <c r="FCR54" s="196"/>
      <c r="FCS54" s="196"/>
      <c r="FCT54" s="196"/>
      <c r="FCU54" s="196"/>
      <c r="FCV54" s="196"/>
      <c r="FCW54" s="196"/>
      <c r="FCX54" s="196"/>
      <c r="FCY54" s="196"/>
      <c r="FCZ54" s="196"/>
      <c r="FDA54" s="196"/>
      <c r="FDB54" s="196"/>
      <c r="FDC54" s="196"/>
      <c r="FDD54" s="196"/>
      <c r="FDE54" s="196"/>
      <c r="FDF54" s="196"/>
      <c r="FDG54" s="196"/>
      <c r="FDH54" s="196"/>
      <c r="FDI54" s="196"/>
      <c r="FDJ54" s="196"/>
      <c r="FDK54" s="196"/>
      <c r="FDL54" s="196"/>
      <c r="FDM54" s="196"/>
      <c r="FDN54" s="196"/>
      <c r="FDO54" s="196"/>
      <c r="FDP54" s="196"/>
      <c r="FDQ54" s="196"/>
      <c r="FDR54" s="196"/>
      <c r="FDS54" s="196"/>
      <c r="FDT54" s="196"/>
      <c r="FDU54" s="196"/>
      <c r="FDV54" s="196"/>
      <c r="FDW54" s="196"/>
      <c r="FDX54" s="196"/>
      <c r="FDY54" s="196"/>
      <c r="FDZ54" s="196"/>
      <c r="FEA54" s="196"/>
      <c r="FEB54" s="196"/>
      <c r="FEC54" s="196"/>
      <c r="FED54" s="196"/>
      <c r="FEE54" s="196"/>
      <c r="FEF54" s="196"/>
      <c r="FEG54" s="196"/>
      <c r="FEH54" s="196"/>
      <c r="FEI54" s="196"/>
      <c r="FEJ54" s="196"/>
      <c r="FEK54" s="196"/>
      <c r="FEL54" s="196"/>
      <c r="FEM54" s="196"/>
      <c r="FEN54" s="196"/>
      <c r="FEO54" s="196"/>
      <c r="FEP54" s="196"/>
      <c r="FEQ54" s="196"/>
      <c r="FER54" s="196"/>
      <c r="FES54" s="196"/>
      <c r="FET54" s="196"/>
      <c r="FEU54" s="196"/>
      <c r="FEV54" s="196"/>
      <c r="FEW54" s="196"/>
      <c r="FEX54" s="196"/>
      <c r="FEY54" s="196"/>
      <c r="FEZ54" s="196"/>
      <c r="FFA54" s="196"/>
      <c r="FFB54" s="196"/>
      <c r="FFC54" s="196"/>
      <c r="FFD54" s="196"/>
      <c r="FFE54" s="196"/>
      <c r="FFF54" s="196"/>
      <c r="FFG54" s="196"/>
      <c r="FFH54" s="196"/>
      <c r="FFI54" s="196"/>
      <c r="FFJ54" s="196"/>
      <c r="FFK54" s="196"/>
      <c r="FFL54" s="196"/>
      <c r="FFM54" s="196"/>
      <c r="FFN54" s="196"/>
      <c r="FFO54" s="196"/>
      <c r="FFP54" s="196"/>
      <c r="FFQ54" s="196"/>
      <c r="FFR54" s="196"/>
      <c r="FFS54" s="196"/>
      <c r="FFT54" s="196"/>
      <c r="FFU54" s="196"/>
      <c r="FFV54" s="196"/>
      <c r="FFW54" s="196"/>
      <c r="FFX54" s="196"/>
      <c r="FFY54" s="196"/>
      <c r="FFZ54" s="196"/>
      <c r="FGA54" s="196"/>
      <c r="FGB54" s="196"/>
      <c r="FGC54" s="196"/>
      <c r="FGD54" s="196"/>
      <c r="FGE54" s="196"/>
      <c r="FGF54" s="196"/>
      <c r="FGG54" s="196"/>
      <c r="FGH54" s="196"/>
      <c r="FGI54" s="196"/>
      <c r="FGJ54" s="196"/>
      <c r="FGK54" s="196"/>
      <c r="FGL54" s="196"/>
      <c r="FGM54" s="196"/>
      <c r="FGN54" s="196"/>
      <c r="FGO54" s="196"/>
      <c r="FGP54" s="196"/>
      <c r="FGQ54" s="196"/>
      <c r="FGR54" s="196"/>
      <c r="FGS54" s="196"/>
      <c r="FGT54" s="196"/>
      <c r="FGU54" s="196"/>
      <c r="FGV54" s="196"/>
      <c r="FGW54" s="196"/>
      <c r="FGX54" s="196"/>
      <c r="FGY54" s="196"/>
      <c r="FGZ54" s="196"/>
      <c r="FHA54" s="196"/>
      <c r="FHB54" s="196"/>
      <c r="FHC54" s="196"/>
      <c r="FHD54" s="196"/>
      <c r="FHE54" s="196"/>
      <c r="FHF54" s="196"/>
      <c r="FHG54" s="196"/>
      <c r="FHH54" s="196"/>
      <c r="FHI54" s="196"/>
      <c r="FHJ54" s="196"/>
      <c r="FHK54" s="196"/>
      <c r="FHL54" s="196"/>
      <c r="FHM54" s="196"/>
      <c r="FHN54" s="196"/>
      <c r="FHO54" s="196"/>
      <c r="FHP54" s="196"/>
      <c r="FHQ54" s="196"/>
      <c r="FHR54" s="196"/>
      <c r="FHS54" s="196"/>
      <c r="FHT54" s="196"/>
      <c r="FHU54" s="196"/>
      <c r="FHV54" s="196"/>
      <c r="FHW54" s="196"/>
      <c r="FHX54" s="196"/>
      <c r="FHY54" s="196"/>
      <c r="FHZ54" s="196"/>
      <c r="FIA54" s="196"/>
      <c r="FIB54" s="196"/>
      <c r="FIC54" s="196"/>
      <c r="FID54" s="196"/>
      <c r="FIE54" s="196"/>
      <c r="FIF54" s="196"/>
      <c r="FIG54" s="196"/>
      <c r="FIH54" s="196"/>
      <c r="FII54" s="196"/>
      <c r="FIJ54" s="196"/>
      <c r="FIK54" s="196"/>
      <c r="FIL54" s="196"/>
      <c r="FIM54" s="196"/>
      <c r="FIN54" s="196"/>
      <c r="FIO54" s="196"/>
      <c r="FIP54" s="196"/>
      <c r="FIQ54" s="196"/>
      <c r="FIR54" s="196"/>
      <c r="FIS54" s="196"/>
      <c r="FIT54" s="196"/>
      <c r="FIU54" s="196"/>
      <c r="FIV54" s="196"/>
      <c r="FIW54" s="196"/>
      <c r="FIX54" s="196"/>
      <c r="FIY54" s="196"/>
      <c r="FIZ54" s="196"/>
      <c r="FJA54" s="196"/>
      <c r="FJB54" s="196"/>
      <c r="FJC54" s="196"/>
      <c r="FJD54" s="196"/>
      <c r="FJE54" s="196"/>
      <c r="FJF54" s="196"/>
      <c r="FJG54" s="196"/>
      <c r="FJH54" s="196"/>
      <c r="FJI54" s="196"/>
      <c r="FJJ54" s="196"/>
      <c r="FJK54" s="196"/>
      <c r="FJL54" s="196"/>
      <c r="FJM54" s="196"/>
      <c r="FJN54" s="196"/>
      <c r="FJO54" s="196"/>
      <c r="FJP54" s="196"/>
      <c r="FJQ54" s="196"/>
      <c r="FJR54" s="196"/>
      <c r="FJS54" s="196"/>
      <c r="FJT54" s="196"/>
      <c r="FJU54" s="196"/>
      <c r="FJV54" s="196"/>
      <c r="FJW54" s="196"/>
      <c r="FJX54" s="196"/>
      <c r="FJY54" s="196"/>
      <c r="FJZ54" s="196"/>
      <c r="FKA54" s="196"/>
      <c r="FKB54" s="196"/>
      <c r="FKC54" s="196"/>
      <c r="FKD54" s="196"/>
      <c r="FKE54" s="196"/>
      <c r="FKF54" s="196"/>
      <c r="FKG54" s="196"/>
      <c r="FKH54" s="196"/>
      <c r="FKI54" s="196"/>
      <c r="FKJ54" s="196"/>
      <c r="FKK54" s="196"/>
      <c r="FKL54" s="196"/>
      <c r="FKM54" s="196"/>
      <c r="FKN54" s="196"/>
      <c r="FKO54" s="196"/>
      <c r="FKP54" s="196"/>
      <c r="FKQ54" s="196"/>
      <c r="FKR54" s="196"/>
      <c r="FKS54" s="196"/>
      <c r="FKT54" s="196"/>
      <c r="FKU54" s="196"/>
      <c r="FKV54" s="196"/>
      <c r="FKW54" s="196"/>
      <c r="FKX54" s="196"/>
      <c r="FKY54" s="196"/>
      <c r="FKZ54" s="196"/>
      <c r="FLA54" s="196"/>
      <c r="FLB54" s="196"/>
      <c r="FLC54" s="196"/>
      <c r="FLD54" s="196"/>
      <c r="FLE54" s="196"/>
      <c r="FLF54" s="196"/>
      <c r="FLG54" s="196"/>
      <c r="FLH54" s="196"/>
      <c r="FLI54" s="196"/>
      <c r="FLJ54" s="196"/>
      <c r="FLK54" s="196"/>
      <c r="FLL54" s="196"/>
      <c r="FLM54" s="196"/>
      <c r="FLN54" s="196"/>
      <c r="FLO54" s="196"/>
      <c r="FLP54" s="196"/>
      <c r="FLQ54" s="196"/>
      <c r="FLR54" s="196"/>
      <c r="FLS54" s="196"/>
      <c r="FLT54" s="196"/>
      <c r="FLU54" s="196"/>
      <c r="FLV54" s="196"/>
      <c r="FLW54" s="196"/>
      <c r="FLX54" s="196"/>
      <c r="FLY54" s="196"/>
      <c r="FLZ54" s="196"/>
      <c r="FMA54" s="196"/>
      <c r="FMB54" s="196"/>
      <c r="FMC54" s="196"/>
      <c r="FMD54" s="196"/>
      <c r="FME54" s="196"/>
      <c r="FMF54" s="196"/>
      <c r="FMG54" s="196"/>
      <c r="FMH54" s="196"/>
      <c r="FMI54" s="196"/>
      <c r="FMJ54" s="196"/>
      <c r="FMK54" s="196"/>
      <c r="FML54" s="196"/>
      <c r="FMM54" s="196"/>
      <c r="FMN54" s="196"/>
      <c r="FMO54" s="196"/>
      <c r="FMP54" s="196"/>
      <c r="FMQ54" s="196"/>
      <c r="FMR54" s="196"/>
      <c r="FMS54" s="196"/>
      <c r="FMT54" s="196"/>
      <c r="FMU54" s="196"/>
      <c r="FMV54" s="196"/>
      <c r="FMW54" s="196"/>
      <c r="FMX54" s="196"/>
      <c r="FMY54" s="196"/>
      <c r="FMZ54" s="196"/>
      <c r="FNA54" s="196"/>
      <c r="FNB54" s="196"/>
      <c r="FNC54" s="196"/>
      <c r="FND54" s="196"/>
      <c r="FNE54" s="196"/>
      <c r="FNF54" s="196"/>
      <c r="FNG54" s="196"/>
      <c r="FNH54" s="196"/>
      <c r="FNI54" s="196"/>
      <c r="FNJ54" s="196"/>
      <c r="FNK54" s="196"/>
      <c r="FNL54" s="196"/>
      <c r="FNM54" s="196"/>
      <c r="FNN54" s="196"/>
      <c r="FNO54" s="196"/>
      <c r="FNP54" s="196"/>
      <c r="FNQ54" s="196"/>
      <c r="FNR54" s="196"/>
      <c r="FNS54" s="196"/>
      <c r="FNT54" s="196"/>
      <c r="FNU54" s="196"/>
      <c r="FNV54" s="196"/>
      <c r="FNW54" s="196"/>
      <c r="FNX54" s="196"/>
      <c r="FNY54" s="196"/>
      <c r="FNZ54" s="196"/>
      <c r="FOA54" s="196"/>
      <c r="FOB54" s="196"/>
      <c r="FOC54" s="196"/>
      <c r="FOD54" s="196"/>
      <c r="FOE54" s="196"/>
      <c r="FOF54" s="196"/>
      <c r="FOG54" s="196"/>
      <c r="FOH54" s="196"/>
      <c r="FOI54" s="196"/>
      <c r="FOJ54" s="196"/>
      <c r="FOK54" s="196"/>
      <c r="FOL54" s="196"/>
      <c r="FOM54" s="196"/>
      <c r="FON54" s="196"/>
      <c r="FOO54" s="196"/>
      <c r="FOP54" s="196"/>
      <c r="FOQ54" s="196"/>
      <c r="FOR54" s="196"/>
      <c r="FOS54" s="196"/>
      <c r="FOT54" s="196"/>
      <c r="FOU54" s="196"/>
      <c r="FOV54" s="196"/>
      <c r="FOW54" s="196"/>
      <c r="FOX54" s="196"/>
      <c r="FOY54" s="196"/>
      <c r="FOZ54" s="196"/>
      <c r="FPA54" s="196"/>
      <c r="FPB54" s="196"/>
      <c r="FPC54" s="196"/>
      <c r="FPD54" s="196"/>
      <c r="FPE54" s="196"/>
      <c r="FPF54" s="196"/>
      <c r="FPG54" s="196"/>
      <c r="FPH54" s="196"/>
      <c r="FPI54" s="196"/>
      <c r="FPJ54" s="196"/>
      <c r="FPK54" s="196"/>
      <c r="FPL54" s="196"/>
      <c r="FPM54" s="196"/>
      <c r="FPN54" s="196"/>
      <c r="FPO54" s="196"/>
      <c r="FPP54" s="196"/>
      <c r="FPQ54" s="196"/>
      <c r="FPR54" s="196"/>
      <c r="FPS54" s="196"/>
      <c r="FPT54" s="196"/>
      <c r="FPU54" s="196"/>
      <c r="FPV54" s="196"/>
      <c r="FPW54" s="196"/>
      <c r="FPX54" s="196"/>
      <c r="FPY54" s="196"/>
      <c r="FPZ54" s="196"/>
      <c r="FQA54" s="196"/>
      <c r="FQB54" s="196"/>
      <c r="FQC54" s="196"/>
      <c r="FQD54" s="196"/>
      <c r="FQE54" s="196"/>
      <c r="FQF54" s="196"/>
      <c r="FQG54" s="196"/>
      <c r="FQH54" s="196"/>
      <c r="FQI54" s="196"/>
      <c r="FQJ54" s="196"/>
      <c r="FQK54" s="196"/>
      <c r="FQL54" s="196"/>
      <c r="FQM54" s="196"/>
      <c r="FQN54" s="196"/>
      <c r="FQO54" s="196"/>
      <c r="FQP54" s="196"/>
      <c r="FQQ54" s="196"/>
      <c r="FQR54" s="196"/>
      <c r="FQS54" s="196"/>
      <c r="FQT54" s="196"/>
      <c r="FQU54" s="196"/>
      <c r="FQV54" s="196"/>
      <c r="FQW54" s="196"/>
      <c r="FQX54" s="196"/>
      <c r="FQY54" s="196"/>
      <c r="FQZ54" s="196"/>
      <c r="FRA54" s="196"/>
      <c r="FRB54" s="196"/>
      <c r="FRC54" s="196"/>
      <c r="FRD54" s="196"/>
      <c r="FRE54" s="196"/>
      <c r="FRF54" s="196"/>
      <c r="FRG54" s="196"/>
      <c r="FRH54" s="196"/>
      <c r="FRI54" s="196"/>
      <c r="FRJ54" s="196"/>
      <c r="FRK54" s="196"/>
      <c r="FRL54" s="196"/>
      <c r="FRM54" s="196"/>
      <c r="FRN54" s="196"/>
      <c r="FRO54" s="196"/>
      <c r="FRP54" s="196"/>
      <c r="FRQ54" s="196"/>
      <c r="FRR54" s="196"/>
      <c r="FRS54" s="196"/>
      <c r="FRT54" s="196"/>
      <c r="FRU54" s="196"/>
      <c r="FRV54" s="196"/>
      <c r="FRW54" s="196"/>
      <c r="FRX54" s="196"/>
      <c r="FRY54" s="196"/>
      <c r="FRZ54" s="196"/>
      <c r="FSA54" s="196"/>
      <c r="FSB54" s="196"/>
      <c r="FSC54" s="196"/>
      <c r="FSD54" s="196"/>
      <c r="FSE54" s="196"/>
      <c r="FSF54" s="196"/>
      <c r="FSG54" s="196"/>
      <c r="FSH54" s="196"/>
      <c r="FSI54" s="196"/>
      <c r="FSJ54" s="196"/>
      <c r="FSK54" s="196"/>
      <c r="FSL54" s="196"/>
      <c r="FSM54" s="196"/>
      <c r="FSN54" s="196"/>
      <c r="FSO54" s="196"/>
      <c r="FSP54" s="196"/>
      <c r="FSQ54" s="196"/>
      <c r="FSR54" s="196"/>
      <c r="FSS54" s="196"/>
      <c r="FST54" s="196"/>
      <c r="FSU54" s="196"/>
      <c r="FSV54" s="196"/>
      <c r="FSW54" s="196"/>
      <c r="FSX54" s="196"/>
      <c r="FSY54" s="196"/>
      <c r="FSZ54" s="196"/>
      <c r="FTA54" s="196"/>
      <c r="FTB54" s="196"/>
      <c r="FTC54" s="196"/>
      <c r="FTD54" s="196"/>
      <c r="FTE54" s="196"/>
      <c r="FTF54" s="196"/>
      <c r="FTG54" s="196"/>
      <c r="FTH54" s="196"/>
      <c r="FTI54" s="196"/>
      <c r="FTJ54" s="196"/>
      <c r="FTK54" s="196"/>
      <c r="FTL54" s="196"/>
      <c r="FTM54" s="196"/>
      <c r="FTN54" s="196"/>
      <c r="FTO54" s="196"/>
      <c r="FTP54" s="196"/>
      <c r="FTQ54" s="196"/>
      <c r="FTR54" s="196"/>
      <c r="FTS54" s="196"/>
      <c r="FTT54" s="196"/>
      <c r="FTU54" s="196"/>
      <c r="FTV54" s="196"/>
      <c r="FTW54" s="196"/>
      <c r="FTX54" s="196"/>
      <c r="FTY54" s="196"/>
      <c r="FTZ54" s="196"/>
      <c r="FUA54" s="196"/>
      <c r="FUB54" s="196"/>
      <c r="FUC54" s="196"/>
      <c r="FUD54" s="196"/>
      <c r="FUE54" s="196"/>
      <c r="FUF54" s="196"/>
      <c r="FUG54" s="196"/>
      <c r="FUH54" s="196"/>
      <c r="FUI54" s="196"/>
      <c r="FUJ54" s="196"/>
      <c r="FUK54" s="196"/>
      <c r="FUL54" s="196"/>
      <c r="FUM54" s="196"/>
      <c r="FUN54" s="196"/>
      <c r="FUO54" s="196"/>
      <c r="FUP54" s="196"/>
      <c r="FUQ54" s="196"/>
      <c r="FUR54" s="196"/>
      <c r="FUS54" s="196"/>
      <c r="FUT54" s="196"/>
      <c r="FUU54" s="196"/>
      <c r="FUV54" s="196"/>
      <c r="FUW54" s="196"/>
      <c r="FUX54" s="196"/>
      <c r="FUY54" s="196"/>
      <c r="FUZ54" s="196"/>
      <c r="FVA54" s="196"/>
      <c r="FVB54" s="196"/>
      <c r="FVC54" s="196"/>
      <c r="FVD54" s="196"/>
      <c r="FVE54" s="196"/>
      <c r="FVF54" s="196"/>
      <c r="FVG54" s="196"/>
      <c r="FVH54" s="196"/>
      <c r="FVI54" s="196"/>
      <c r="FVJ54" s="196"/>
      <c r="FVK54" s="196"/>
      <c r="FVL54" s="196"/>
      <c r="FVM54" s="196"/>
      <c r="FVN54" s="196"/>
      <c r="FVO54" s="196"/>
      <c r="FVP54" s="196"/>
      <c r="FVQ54" s="196"/>
      <c r="FVR54" s="196"/>
      <c r="FVS54" s="196"/>
      <c r="FVT54" s="196"/>
      <c r="FVU54" s="196"/>
      <c r="FVV54" s="196"/>
      <c r="FVW54" s="196"/>
      <c r="FVX54" s="196"/>
      <c r="FVY54" s="196"/>
      <c r="FVZ54" s="196"/>
      <c r="FWA54" s="196"/>
      <c r="FWB54" s="196"/>
      <c r="FWC54" s="196"/>
      <c r="FWD54" s="196"/>
      <c r="FWE54" s="196"/>
      <c r="FWF54" s="196"/>
      <c r="FWG54" s="196"/>
      <c r="FWH54" s="196"/>
      <c r="FWI54" s="196"/>
      <c r="FWJ54" s="196"/>
      <c r="FWK54" s="196"/>
      <c r="FWL54" s="196"/>
      <c r="FWM54" s="196"/>
      <c r="FWN54" s="196"/>
      <c r="FWO54" s="196"/>
      <c r="FWP54" s="196"/>
      <c r="FWQ54" s="196"/>
      <c r="FWR54" s="196"/>
      <c r="FWS54" s="196"/>
      <c r="FWT54" s="196"/>
      <c r="FWU54" s="196"/>
      <c r="FWV54" s="196"/>
      <c r="FWW54" s="196"/>
      <c r="FWX54" s="196"/>
      <c r="FWY54" s="196"/>
      <c r="FWZ54" s="196"/>
      <c r="FXA54" s="196"/>
      <c r="FXB54" s="196"/>
      <c r="FXC54" s="196"/>
      <c r="FXD54" s="196"/>
      <c r="FXE54" s="196"/>
      <c r="FXF54" s="196"/>
      <c r="FXG54" s="196"/>
      <c r="FXH54" s="196"/>
      <c r="FXI54" s="196"/>
      <c r="FXJ54" s="196"/>
      <c r="FXK54" s="196"/>
      <c r="FXL54" s="196"/>
      <c r="FXM54" s="196"/>
      <c r="FXN54" s="196"/>
      <c r="FXO54" s="196"/>
      <c r="FXP54" s="196"/>
      <c r="FXQ54" s="196"/>
      <c r="FXR54" s="196"/>
      <c r="FXS54" s="196"/>
      <c r="FXT54" s="196"/>
      <c r="FXU54" s="196"/>
      <c r="FXV54" s="196"/>
      <c r="FXW54" s="196"/>
      <c r="FXX54" s="196"/>
      <c r="FXY54" s="196"/>
      <c r="FXZ54" s="196"/>
      <c r="FYA54" s="196"/>
      <c r="FYB54" s="196"/>
      <c r="FYC54" s="196"/>
      <c r="FYD54" s="196"/>
      <c r="FYE54" s="196"/>
      <c r="FYF54" s="196"/>
      <c r="FYG54" s="196"/>
      <c r="FYH54" s="196"/>
      <c r="FYI54" s="196"/>
      <c r="FYJ54" s="196"/>
      <c r="FYK54" s="196"/>
      <c r="FYL54" s="196"/>
      <c r="FYM54" s="196"/>
      <c r="FYN54" s="196"/>
      <c r="FYO54" s="196"/>
      <c r="FYP54" s="196"/>
      <c r="FYQ54" s="196"/>
      <c r="FYR54" s="196"/>
      <c r="FYS54" s="196"/>
      <c r="FYT54" s="196"/>
      <c r="FYU54" s="196"/>
      <c r="FYV54" s="196"/>
      <c r="FYW54" s="196"/>
      <c r="FYX54" s="196"/>
      <c r="FYY54" s="196"/>
      <c r="FYZ54" s="196"/>
      <c r="FZA54" s="196"/>
      <c r="FZB54" s="196"/>
      <c r="FZC54" s="196"/>
      <c r="FZD54" s="196"/>
      <c r="FZE54" s="196"/>
      <c r="FZF54" s="196"/>
      <c r="FZG54" s="196"/>
      <c r="FZH54" s="196"/>
      <c r="FZI54" s="196"/>
      <c r="FZJ54" s="196"/>
      <c r="FZK54" s="196"/>
      <c r="FZL54" s="196"/>
      <c r="FZM54" s="196"/>
      <c r="FZN54" s="196"/>
      <c r="FZO54" s="196"/>
      <c r="FZP54" s="196"/>
      <c r="FZQ54" s="196"/>
      <c r="FZR54" s="196"/>
      <c r="FZS54" s="196"/>
      <c r="FZT54" s="196"/>
      <c r="FZU54" s="196"/>
      <c r="FZV54" s="196"/>
      <c r="FZW54" s="196"/>
      <c r="FZX54" s="196"/>
      <c r="FZY54" s="196"/>
      <c r="FZZ54" s="196"/>
      <c r="GAA54" s="196"/>
      <c r="GAB54" s="196"/>
      <c r="GAC54" s="196"/>
      <c r="GAD54" s="196"/>
      <c r="GAE54" s="196"/>
      <c r="GAF54" s="196"/>
      <c r="GAG54" s="196"/>
      <c r="GAH54" s="196"/>
      <c r="GAI54" s="196"/>
      <c r="GAJ54" s="196"/>
      <c r="GAK54" s="196"/>
      <c r="GAL54" s="196"/>
      <c r="GAM54" s="196"/>
      <c r="GAN54" s="196"/>
      <c r="GAO54" s="196"/>
      <c r="GAP54" s="196"/>
      <c r="GAQ54" s="196"/>
      <c r="GAR54" s="196"/>
      <c r="GAS54" s="196"/>
      <c r="GAT54" s="196"/>
      <c r="GAU54" s="196"/>
      <c r="GAV54" s="196"/>
      <c r="GAW54" s="196"/>
      <c r="GAX54" s="196"/>
      <c r="GAY54" s="196"/>
      <c r="GAZ54" s="196"/>
      <c r="GBA54" s="196"/>
      <c r="GBB54" s="196"/>
      <c r="GBC54" s="196"/>
      <c r="GBD54" s="196"/>
      <c r="GBE54" s="196"/>
      <c r="GBF54" s="196"/>
      <c r="GBG54" s="196"/>
      <c r="GBH54" s="196"/>
      <c r="GBI54" s="196"/>
      <c r="GBJ54" s="196"/>
      <c r="GBK54" s="196"/>
      <c r="GBL54" s="196"/>
      <c r="GBM54" s="196"/>
      <c r="GBN54" s="196"/>
      <c r="GBO54" s="196"/>
      <c r="GBP54" s="196"/>
      <c r="GBQ54" s="196"/>
      <c r="GBR54" s="196"/>
      <c r="GBS54" s="196"/>
      <c r="GBT54" s="196"/>
      <c r="GBU54" s="196"/>
      <c r="GBV54" s="196"/>
      <c r="GBW54" s="196"/>
      <c r="GBX54" s="196"/>
      <c r="GBY54" s="196"/>
      <c r="GBZ54" s="196"/>
      <c r="GCA54" s="196"/>
      <c r="GCB54" s="196"/>
      <c r="GCC54" s="196"/>
      <c r="GCD54" s="196"/>
      <c r="GCE54" s="196"/>
      <c r="GCF54" s="196"/>
      <c r="GCG54" s="196"/>
      <c r="GCH54" s="196"/>
      <c r="GCI54" s="196"/>
      <c r="GCJ54" s="196"/>
      <c r="GCK54" s="196"/>
      <c r="GCL54" s="196"/>
      <c r="GCM54" s="196"/>
      <c r="GCN54" s="196"/>
      <c r="GCO54" s="196"/>
      <c r="GCP54" s="196"/>
      <c r="GCQ54" s="196"/>
      <c r="GCR54" s="196"/>
      <c r="GCS54" s="196"/>
      <c r="GCT54" s="196"/>
      <c r="GCU54" s="196"/>
      <c r="GCV54" s="196"/>
      <c r="GCW54" s="196"/>
      <c r="GCX54" s="196"/>
      <c r="GCY54" s="196"/>
      <c r="GCZ54" s="196"/>
      <c r="GDA54" s="196"/>
      <c r="GDB54" s="196"/>
      <c r="GDC54" s="196"/>
      <c r="GDD54" s="196"/>
      <c r="GDE54" s="196"/>
      <c r="GDF54" s="196"/>
      <c r="GDG54" s="196"/>
      <c r="GDH54" s="196"/>
      <c r="GDI54" s="196"/>
      <c r="GDJ54" s="196"/>
      <c r="GDK54" s="196"/>
      <c r="GDL54" s="196"/>
      <c r="GDM54" s="196"/>
      <c r="GDN54" s="196"/>
      <c r="GDO54" s="196"/>
      <c r="GDP54" s="196"/>
      <c r="GDQ54" s="196"/>
      <c r="GDR54" s="196"/>
      <c r="GDS54" s="196"/>
      <c r="GDT54" s="196"/>
      <c r="GDU54" s="196"/>
      <c r="GDV54" s="196"/>
      <c r="GDW54" s="196"/>
      <c r="GDX54" s="196"/>
      <c r="GDY54" s="196"/>
      <c r="GDZ54" s="196"/>
      <c r="GEA54" s="196"/>
      <c r="GEB54" s="196"/>
      <c r="GEC54" s="196"/>
      <c r="GED54" s="196"/>
      <c r="GEE54" s="196"/>
      <c r="GEF54" s="196"/>
      <c r="GEG54" s="196"/>
      <c r="GEH54" s="196"/>
      <c r="GEI54" s="196"/>
      <c r="GEJ54" s="196"/>
      <c r="GEK54" s="196"/>
      <c r="GEL54" s="196"/>
      <c r="GEM54" s="196"/>
      <c r="GEN54" s="196"/>
      <c r="GEO54" s="196"/>
      <c r="GEP54" s="196"/>
      <c r="GEQ54" s="196"/>
      <c r="GER54" s="196"/>
      <c r="GES54" s="196"/>
      <c r="GET54" s="196"/>
      <c r="GEU54" s="196"/>
      <c r="GEV54" s="196"/>
      <c r="GEW54" s="196"/>
      <c r="GEX54" s="196"/>
      <c r="GEY54" s="196"/>
      <c r="GEZ54" s="196"/>
      <c r="GFA54" s="196"/>
      <c r="GFB54" s="196"/>
      <c r="GFC54" s="196"/>
      <c r="GFD54" s="196"/>
      <c r="GFE54" s="196"/>
      <c r="GFF54" s="196"/>
      <c r="GFG54" s="196"/>
      <c r="GFH54" s="196"/>
      <c r="GFI54" s="196"/>
      <c r="GFJ54" s="196"/>
      <c r="GFK54" s="196"/>
      <c r="GFL54" s="196"/>
      <c r="GFM54" s="196"/>
      <c r="GFN54" s="196"/>
      <c r="GFO54" s="196"/>
      <c r="GFP54" s="196"/>
      <c r="GFQ54" s="196"/>
      <c r="GFR54" s="196"/>
      <c r="GFS54" s="196"/>
      <c r="GFT54" s="196"/>
      <c r="GFU54" s="196"/>
      <c r="GFV54" s="196"/>
      <c r="GFW54" s="196"/>
      <c r="GFX54" s="196"/>
      <c r="GFY54" s="196"/>
      <c r="GFZ54" s="196"/>
      <c r="GGA54" s="196"/>
      <c r="GGB54" s="196"/>
      <c r="GGC54" s="196"/>
      <c r="GGD54" s="196"/>
      <c r="GGE54" s="196"/>
      <c r="GGF54" s="196"/>
      <c r="GGG54" s="196"/>
      <c r="GGH54" s="196"/>
      <c r="GGI54" s="196"/>
      <c r="GGJ54" s="196"/>
      <c r="GGK54" s="196"/>
      <c r="GGL54" s="196"/>
      <c r="GGM54" s="196"/>
      <c r="GGN54" s="196"/>
      <c r="GGO54" s="196"/>
      <c r="GGP54" s="196"/>
      <c r="GGQ54" s="196"/>
      <c r="GGR54" s="196"/>
      <c r="GGS54" s="196"/>
      <c r="GGT54" s="196"/>
      <c r="GGU54" s="196"/>
      <c r="GGV54" s="196"/>
      <c r="GGW54" s="196"/>
      <c r="GGX54" s="196"/>
      <c r="GGY54" s="196"/>
      <c r="GGZ54" s="196"/>
      <c r="GHA54" s="196"/>
      <c r="GHB54" s="196"/>
      <c r="GHC54" s="196"/>
      <c r="GHD54" s="196"/>
      <c r="GHE54" s="196"/>
      <c r="GHF54" s="196"/>
      <c r="GHG54" s="196"/>
      <c r="GHH54" s="196"/>
      <c r="GHI54" s="196"/>
      <c r="GHJ54" s="196"/>
      <c r="GHK54" s="196"/>
      <c r="GHL54" s="196"/>
      <c r="GHM54" s="196"/>
      <c r="GHN54" s="196"/>
      <c r="GHO54" s="196"/>
      <c r="GHP54" s="196"/>
      <c r="GHQ54" s="196"/>
      <c r="GHR54" s="196"/>
      <c r="GHS54" s="196"/>
      <c r="GHT54" s="196"/>
      <c r="GHU54" s="196"/>
      <c r="GHV54" s="196"/>
      <c r="GHW54" s="196"/>
      <c r="GHX54" s="196"/>
      <c r="GHY54" s="196"/>
      <c r="GHZ54" s="196"/>
      <c r="GIA54" s="196"/>
      <c r="GIB54" s="196"/>
      <c r="GIC54" s="196"/>
      <c r="GID54" s="196"/>
      <c r="GIE54" s="196"/>
      <c r="GIF54" s="196"/>
      <c r="GIG54" s="196"/>
      <c r="GIH54" s="196"/>
      <c r="GII54" s="196"/>
      <c r="GIJ54" s="196"/>
      <c r="GIK54" s="196"/>
      <c r="GIL54" s="196"/>
      <c r="GIM54" s="196"/>
      <c r="GIN54" s="196"/>
      <c r="GIO54" s="196"/>
      <c r="GIP54" s="196"/>
      <c r="GIQ54" s="196"/>
      <c r="GIR54" s="196"/>
      <c r="GIS54" s="196"/>
      <c r="GIT54" s="196"/>
      <c r="GIU54" s="196"/>
      <c r="GIV54" s="196"/>
      <c r="GIW54" s="196"/>
      <c r="GIX54" s="196"/>
      <c r="GIY54" s="196"/>
      <c r="GIZ54" s="196"/>
      <c r="GJA54" s="196"/>
      <c r="GJB54" s="196"/>
      <c r="GJC54" s="196"/>
      <c r="GJD54" s="196"/>
      <c r="GJE54" s="196"/>
      <c r="GJF54" s="196"/>
      <c r="GJG54" s="196"/>
      <c r="GJH54" s="196"/>
      <c r="GJI54" s="196"/>
      <c r="GJJ54" s="196"/>
      <c r="GJK54" s="196"/>
      <c r="GJL54" s="196"/>
      <c r="GJM54" s="196"/>
      <c r="GJN54" s="196"/>
      <c r="GJO54" s="196"/>
      <c r="GJP54" s="196"/>
      <c r="GJQ54" s="196"/>
      <c r="GJR54" s="196"/>
      <c r="GJS54" s="196"/>
      <c r="GJT54" s="196"/>
      <c r="GJU54" s="196"/>
      <c r="GJV54" s="196"/>
      <c r="GJW54" s="196"/>
      <c r="GJX54" s="196"/>
      <c r="GJY54" s="196"/>
      <c r="GJZ54" s="196"/>
      <c r="GKA54" s="196"/>
      <c r="GKB54" s="196"/>
      <c r="GKC54" s="196"/>
      <c r="GKD54" s="196"/>
      <c r="GKE54" s="196"/>
      <c r="GKF54" s="196"/>
      <c r="GKG54" s="196"/>
      <c r="GKH54" s="196"/>
      <c r="GKI54" s="196"/>
      <c r="GKJ54" s="196"/>
      <c r="GKK54" s="196"/>
      <c r="GKL54" s="196"/>
      <c r="GKM54" s="196"/>
      <c r="GKN54" s="196"/>
      <c r="GKO54" s="196"/>
      <c r="GKP54" s="196"/>
      <c r="GKQ54" s="196"/>
      <c r="GKR54" s="196"/>
      <c r="GKS54" s="196"/>
      <c r="GKT54" s="196"/>
      <c r="GKU54" s="196"/>
      <c r="GKV54" s="196"/>
      <c r="GKW54" s="196"/>
      <c r="GKX54" s="196"/>
      <c r="GKY54" s="196"/>
      <c r="GKZ54" s="196"/>
      <c r="GLA54" s="196"/>
      <c r="GLB54" s="196"/>
      <c r="GLC54" s="196"/>
      <c r="GLD54" s="196"/>
      <c r="GLE54" s="196"/>
      <c r="GLF54" s="196"/>
      <c r="GLG54" s="196"/>
      <c r="GLH54" s="196"/>
      <c r="GLI54" s="196"/>
      <c r="GLJ54" s="196"/>
      <c r="GLK54" s="196"/>
      <c r="GLL54" s="196"/>
      <c r="GLM54" s="196"/>
      <c r="GLN54" s="196"/>
      <c r="GLO54" s="196"/>
      <c r="GLP54" s="196"/>
      <c r="GLQ54" s="196"/>
      <c r="GLR54" s="196"/>
      <c r="GLS54" s="196"/>
      <c r="GLT54" s="196"/>
      <c r="GLU54" s="196"/>
      <c r="GLV54" s="196"/>
      <c r="GLW54" s="196"/>
      <c r="GLX54" s="196"/>
      <c r="GLY54" s="196"/>
      <c r="GLZ54" s="196"/>
      <c r="GMA54" s="196"/>
      <c r="GMB54" s="196"/>
      <c r="GMC54" s="196"/>
      <c r="GMD54" s="196"/>
      <c r="GME54" s="196"/>
      <c r="GMF54" s="196"/>
      <c r="GMG54" s="196"/>
      <c r="GMH54" s="196"/>
      <c r="GMI54" s="196"/>
      <c r="GMJ54" s="196"/>
      <c r="GMK54" s="196"/>
      <c r="GML54" s="196"/>
      <c r="GMM54" s="196"/>
      <c r="GMN54" s="196"/>
      <c r="GMO54" s="196"/>
      <c r="GMP54" s="196"/>
      <c r="GMQ54" s="196"/>
      <c r="GMR54" s="196"/>
      <c r="GMS54" s="196"/>
      <c r="GMT54" s="196"/>
      <c r="GMU54" s="196"/>
      <c r="GMV54" s="196"/>
      <c r="GMW54" s="196"/>
      <c r="GMX54" s="196"/>
      <c r="GMY54" s="196"/>
      <c r="GMZ54" s="196"/>
      <c r="GNA54" s="196"/>
      <c r="GNB54" s="196"/>
      <c r="GNC54" s="196"/>
      <c r="GND54" s="196"/>
      <c r="GNE54" s="196"/>
      <c r="GNF54" s="196"/>
      <c r="GNG54" s="196"/>
      <c r="GNH54" s="196"/>
      <c r="GNI54" s="196"/>
      <c r="GNJ54" s="196"/>
      <c r="GNK54" s="196"/>
      <c r="GNL54" s="196"/>
      <c r="GNM54" s="196"/>
      <c r="GNN54" s="196"/>
      <c r="GNO54" s="196"/>
      <c r="GNP54" s="196"/>
      <c r="GNQ54" s="196"/>
      <c r="GNR54" s="196"/>
      <c r="GNS54" s="196"/>
      <c r="GNT54" s="196"/>
      <c r="GNU54" s="196"/>
      <c r="GNV54" s="196"/>
      <c r="GNW54" s="196"/>
      <c r="GNX54" s="196"/>
      <c r="GNY54" s="196"/>
      <c r="GNZ54" s="196"/>
      <c r="GOA54" s="196"/>
      <c r="GOB54" s="196"/>
      <c r="GOC54" s="196"/>
      <c r="GOD54" s="196"/>
      <c r="GOE54" s="196"/>
      <c r="GOF54" s="196"/>
      <c r="GOG54" s="196"/>
      <c r="GOH54" s="196"/>
      <c r="GOI54" s="196"/>
      <c r="GOJ54" s="196"/>
      <c r="GOK54" s="196"/>
      <c r="GOL54" s="196"/>
      <c r="GOM54" s="196"/>
      <c r="GON54" s="196"/>
      <c r="GOO54" s="196"/>
      <c r="GOP54" s="196"/>
      <c r="GOQ54" s="196"/>
      <c r="GOR54" s="196"/>
      <c r="GOS54" s="196"/>
      <c r="GOT54" s="196"/>
      <c r="GOU54" s="196"/>
      <c r="GOV54" s="196"/>
      <c r="GOW54" s="196"/>
      <c r="GOX54" s="196"/>
      <c r="GOY54" s="196"/>
      <c r="GOZ54" s="196"/>
      <c r="GPA54" s="196"/>
      <c r="GPB54" s="196"/>
      <c r="GPC54" s="196"/>
      <c r="GPD54" s="196"/>
      <c r="GPE54" s="196"/>
      <c r="GPF54" s="196"/>
      <c r="GPG54" s="196"/>
      <c r="GPH54" s="196"/>
      <c r="GPI54" s="196"/>
      <c r="GPJ54" s="196"/>
      <c r="GPK54" s="196"/>
      <c r="GPL54" s="196"/>
      <c r="GPM54" s="196"/>
      <c r="GPN54" s="196"/>
      <c r="GPO54" s="196"/>
      <c r="GPP54" s="196"/>
      <c r="GPQ54" s="196"/>
      <c r="GPR54" s="196"/>
      <c r="GPS54" s="196"/>
      <c r="GPT54" s="196"/>
      <c r="GPU54" s="196"/>
      <c r="GPV54" s="196"/>
      <c r="GPW54" s="196"/>
      <c r="GPX54" s="196"/>
      <c r="GPY54" s="196"/>
      <c r="GPZ54" s="196"/>
      <c r="GQA54" s="196"/>
      <c r="GQB54" s="196"/>
      <c r="GQC54" s="196"/>
      <c r="GQD54" s="196"/>
      <c r="GQE54" s="196"/>
      <c r="GQF54" s="196"/>
      <c r="GQG54" s="196"/>
      <c r="GQH54" s="196"/>
      <c r="GQI54" s="196"/>
      <c r="GQJ54" s="196"/>
      <c r="GQK54" s="196"/>
      <c r="GQL54" s="196"/>
      <c r="GQM54" s="196"/>
      <c r="GQN54" s="196"/>
      <c r="GQO54" s="196"/>
      <c r="GQP54" s="196"/>
      <c r="GQQ54" s="196"/>
      <c r="GQR54" s="196"/>
      <c r="GQS54" s="196"/>
      <c r="GQT54" s="196"/>
      <c r="GQU54" s="196"/>
      <c r="GQV54" s="196"/>
      <c r="GQW54" s="196"/>
      <c r="GQX54" s="196"/>
      <c r="GQY54" s="196"/>
      <c r="GQZ54" s="196"/>
      <c r="GRA54" s="196"/>
      <c r="GRB54" s="196"/>
      <c r="GRC54" s="196"/>
      <c r="GRD54" s="196"/>
      <c r="GRE54" s="196"/>
      <c r="GRF54" s="196"/>
      <c r="GRG54" s="196"/>
      <c r="GRH54" s="196"/>
      <c r="GRI54" s="196"/>
      <c r="GRJ54" s="196"/>
      <c r="GRK54" s="196"/>
      <c r="GRL54" s="196"/>
      <c r="GRM54" s="196"/>
      <c r="GRN54" s="196"/>
      <c r="GRO54" s="196"/>
      <c r="GRP54" s="196"/>
      <c r="GRQ54" s="196"/>
      <c r="GRR54" s="196"/>
      <c r="GRS54" s="196"/>
      <c r="GRT54" s="196"/>
      <c r="GRU54" s="196"/>
      <c r="GRV54" s="196"/>
      <c r="GRW54" s="196"/>
      <c r="GRX54" s="196"/>
      <c r="GRY54" s="196"/>
      <c r="GRZ54" s="196"/>
      <c r="GSA54" s="196"/>
      <c r="GSB54" s="196"/>
      <c r="GSC54" s="196"/>
      <c r="GSD54" s="196"/>
      <c r="GSE54" s="196"/>
      <c r="GSF54" s="196"/>
      <c r="GSG54" s="196"/>
      <c r="GSH54" s="196"/>
      <c r="GSI54" s="196"/>
      <c r="GSJ54" s="196"/>
      <c r="GSK54" s="196"/>
      <c r="GSL54" s="196"/>
      <c r="GSM54" s="196"/>
      <c r="GSN54" s="196"/>
      <c r="GSO54" s="196"/>
      <c r="GSP54" s="196"/>
      <c r="GSQ54" s="196"/>
      <c r="GSR54" s="196"/>
      <c r="GSS54" s="196"/>
      <c r="GST54" s="196"/>
      <c r="GSU54" s="196"/>
      <c r="GSV54" s="196"/>
      <c r="GSW54" s="196"/>
      <c r="GSX54" s="196"/>
      <c r="GSY54" s="196"/>
      <c r="GSZ54" s="196"/>
      <c r="GTA54" s="196"/>
      <c r="GTB54" s="196"/>
      <c r="GTC54" s="196"/>
      <c r="GTD54" s="196"/>
      <c r="GTE54" s="196"/>
      <c r="GTF54" s="196"/>
      <c r="GTG54" s="196"/>
      <c r="GTH54" s="196"/>
      <c r="GTI54" s="196"/>
      <c r="GTJ54" s="196"/>
      <c r="GTK54" s="196"/>
      <c r="GTL54" s="196"/>
      <c r="GTM54" s="196"/>
      <c r="GTN54" s="196"/>
      <c r="GTO54" s="196"/>
      <c r="GTP54" s="196"/>
      <c r="GTQ54" s="196"/>
      <c r="GTR54" s="196"/>
      <c r="GTS54" s="196"/>
      <c r="GTT54" s="196"/>
      <c r="GTU54" s="196"/>
      <c r="GTV54" s="196"/>
      <c r="GTW54" s="196"/>
      <c r="GTX54" s="196"/>
      <c r="GTY54" s="196"/>
      <c r="GTZ54" s="196"/>
      <c r="GUA54" s="196"/>
      <c r="GUB54" s="196"/>
      <c r="GUC54" s="196"/>
      <c r="GUD54" s="196"/>
      <c r="GUE54" s="196"/>
      <c r="GUF54" s="196"/>
      <c r="GUG54" s="196"/>
      <c r="GUH54" s="196"/>
      <c r="GUI54" s="196"/>
      <c r="GUJ54" s="196"/>
      <c r="GUK54" s="196"/>
      <c r="GUL54" s="196"/>
      <c r="GUM54" s="196"/>
      <c r="GUN54" s="196"/>
      <c r="GUO54" s="196"/>
      <c r="GUP54" s="196"/>
      <c r="GUQ54" s="196"/>
      <c r="GUR54" s="196"/>
      <c r="GUS54" s="196"/>
      <c r="GUT54" s="196"/>
      <c r="GUU54" s="196"/>
      <c r="GUV54" s="196"/>
      <c r="GUW54" s="196"/>
      <c r="GUX54" s="196"/>
      <c r="GUY54" s="196"/>
      <c r="GUZ54" s="196"/>
      <c r="GVA54" s="196"/>
      <c r="GVB54" s="196"/>
      <c r="GVC54" s="196"/>
      <c r="GVD54" s="196"/>
      <c r="GVE54" s="196"/>
      <c r="GVF54" s="196"/>
      <c r="GVG54" s="196"/>
      <c r="GVH54" s="196"/>
      <c r="GVI54" s="196"/>
      <c r="GVJ54" s="196"/>
      <c r="GVK54" s="196"/>
      <c r="GVL54" s="196"/>
      <c r="GVM54" s="196"/>
      <c r="GVN54" s="196"/>
      <c r="GVO54" s="196"/>
      <c r="GVP54" s="196"/>
      <c r="GVQ54" s="196"/>
      <c r="GVR54" s="196"/>
      <c r="GVS54" s="196"/>
      <c r="GVT54" s="196"/>
      <c r="GVU54" s="196"/>
      <c r="GVV54" s="196"/>
      <c r="GVW54" s="196"/>
      <c r="GVX54" s="196"/>
      <c r="GVY54" s="196"/>
      <c r="GVZ54" s="196"/>
      <c r="GWA54" s="196"/>
      <c r="GWB54" s="196"/>
      <c r="GWC54" s="196"/>
      <c r="GWD54" s="196"/>
      <c r="GWE54" s="196"/>
      <c r="GWF54" s="196"/>
      <c r="GWG54" s="196"/>
      <c r="GWH54" s="196"/>
      <c r="GWI54" s="196"/>
      <c r="GWJ54" s="196"/>
      <c r="GWK54" s="196"/>
      <c r="GWL54" s="196"/>
      <c r="GWM54" s="196"/>
      <c r="GWN54" s="196"/>
      <c r="GWO54" s="196"/>
      <c r="GWP54" s="196"/>
      <c r="GWQ54" s="196"/>
      <c r="GWR54" s="196"/>
      <c r="GWS54" s="196"/>
      <c r="GWT54" s="196"/>
      <c r="GWU54" s="196"/>
      <c r="GWV54" s="196"/>
      <c r="GWW54" s="196"/>
      <c r="GWX54" s="196"/>
      <c r="GWY54" s="196"/>
      <c r="GWZ54" s="196"/>
      <c r="GXA54" s="196"/>
      <c r="GXB54" s="196"/>
      <c r="GXC54" s="196"/>
      <c r="GXD54" s="196"/>
      <c r="GXE54" s="196"/>
      <c r="GXF54" s="196"/>
      <c r="GXG54" s="196"/>
      <c r="GXH54" s="196"/>
      <c r="GXI54" s="196"/>
      <c r="GXJ54" s="196"/>
      <c r="GXK54" s="196"/>
      <c r="GXL54" s="196"/>
      <c r="GXM54" s="196"/>
      <c r="GXN54" s="196"/>
      <c r="GXO54" s="196"/>
      <c r="GXP54" s="196"/>
      <c r="GXQ54" s="196"/>
      <c r="GXR54" s="196"/>
      <c r="GXS54" s="196"/>
      <c r="GXT54" s="196"/>
      <c r="GXU54" s="196"/>
      <c r="GXV54" s="196"/>
      <c r="GXW54" s="196"/>
      <c r="GXX54" s="196"/>
      <c r="GXY54" s="196"/>
      <c r="GXZ54" s="196"/>
      <c r="GYA54" s="196"/>
      <c r="GYB54" s="196"/>
      <c r="GYC54" s="196"/>
      <c r="GYD54" s="196"/>
      <c r="GYE54" s="196"/>
      <c r="GYF54" s="196"/>
      <c r="GYG54" s="196"/>
      <c r="GYH54" s="196"/>
      <c r="GYI54" s="196"/>
      <c r="GYJ54" s="196"/>
      <c r="GYK54" s="196"/>
      <c r="GYL54" s="196"/>
      <c r="GYM54" s="196"/>
      <c r="GYN54" s="196"/>
      <c r="GYO54" s="196"/>
      <c r="GYP54" s="196"/>
      <c r="GYQ54" s="196"/>
      <c r="GYR54" s="196"/>
      <c r="GYS54" s="196"/>
      <c r="GYT54" s="196"/>
      <c r="GYU54" s="196"/>
      <c r="GYV54" s="196"/>
      <c r="GYW54" s="196"/>
      <c r="GYX54" s="196"/>
      <c r="GYY54" s="196"/>
      <c r="GYZ54" s="196"/>
      <c r="GZA54" s="196"/>
      <c r="GZB54" s="196"/>
      <c r="GZC54" s="196"/>
      <c r="GZD54" s="196"/>
      <c r="GZE54" s="196"/>
      <c r="GZF54" s="196"/>
      <c r="GZG54" s="196"/>
      <c r="GZH54" s="196"/>
      <c r="GZI54" s="196"/>
      <c r="GZJ54" s="196"/>
      <c r="GZK54" s="196"/>
      <c r="GZL54" s="196"/>
      <c r="GZM54" s="196"/>
      <c r="GZN54" s="196"/>
      <c r="GZO54" s="196"/>
      <c r="GZP54" s="196"/>
      <c r="GZQ54" s="196"/>
      <c r="GZR54" s="196"/>
      <c r="GZS54" s="196"/>
      <c r="GZT54" s="196"/>
      <c r="GZU54" s="196"/>
      <c r="GZV54" s="196"/>
      <c r="GZW54" s="196"/>
      <c r="GZX54" s="196"/>
      <c r="GZY54" s="196"/>
      <c r="GZZ54" s="196"/>
      <c r="HAA54" s="196"/>
      <c r="HAB54" s="196"/>
      <c r="HAC54" s="196"/>
      <c r="HAD54" s="196"/>
      <c r="HAE54" s="196"/>
      <c r="HAF54" s="196"/>
      <c r="HAG54" s="196"/>
      <c r="HAH54" s="196"/>
      <c r="HAI54" s="196"/>
      <c r="HAJ54" s="196"/>
      <c r="HAK54" s="196"/>
      <c r="HAL54" s="196"/>
      <c r="HAM54" s="196"/>
      <c r="HAN54" s="196"/>
      <c r="HAO54" s="196"/>
      <c r="HAP54" s="196"/>
      <c r="HAQ54" s="196"/>
      <c r="HAR54" s="196"/>
      <c r="HAS54" s="196"/>
      <c r="HAT54" s="196"/>
      <c r="HAU54" s="196"/>
      <c r="HAV54" s="196"/>
      <c r="HAW54" s="196"/>
      <c r="HAX54" s="196"/>
      <c r="HAY54" s="196"/>
      <c r="HAZ54" s="196"/>
      <c r="HBA54" s="196"/>
      <c r="HBB54" s="196"/>
      <c r="HBC54" s="196"/>
      <c r="HBD54" s="196"/>
      <c r="HBE54" s="196"/>
      <c r="HBF54" s="196"/>
      <c r="HBG54" s="196"/>
      <c r="HBH54" s="196"/>
      <c r="HBI54" s="196"/>
      <c r="HBJ54" s="196"/>
      <c r="HBK54" s="196"/>
      <c r="HBL54" s="196"/>
      <c r="HBM54" s="196"/>
      <c r="HBN54" s="196"/>
      <c r="HBO54" s="196"/>
      <c r="HBP54" s="196"/>
      <c r="HBQ54" s="196"/>
      <c r="HBR54" s="196"/>
      <c r="HBS54" s="196"/>
      <c r="HBT54" s="196"/>
      <c r="HBU54" s="196"/>
      <c r="HBV54" s="196"/>
      <c r="HBW54" s="196"/>
      <c r="HBX54" s="196"/>
      <c r="HBY54" s="196"/>
      <c r="HBZ54" s="196"/>
      <c r="HCA54" s="196"/>
      <c r="HCB54" s="196"/>
      <c r="HCC54" s="196"/>
      <c r="HCD54" s="196"/>
      <c r="HCE54" s="196"/>
      <c r="HCF54" s="196"/>
      <c r="HCG54" s="196"/>
      <c r="HCH54" s="196"/>
      <c r="HCI54" s="196"/>
      <c r="HCJ54" s="196"/>
      <c r="HCK54" s="196"/>
      <c r="HCL54" s="196"/>
      <c r="HCM54" s="196"/>
      <c r="HCN54" s="196"/>
      <c r="HCO54" s="196"/>
      <c r="HCP54" s="196"/>
      <c r="HCQ54" s="196"/>
      <c r="HCR54" s="196"/>
      <c r="HCS54" s="196"/>
      <c r="HCT54" s="196"/>
      <c r="HCU54" s="196"/>
      <c r="HCV54" s="196"/>
      <c r="HCW54" s="196"/>
      <c r="HCX54" s="196"/>
      <c r="HCY54" s="196"/>
      <c r="HCZ54" s="196"/>
      <c r="HDA54" s="196"/>
      <c r="HDB54" s="196"/>
      <c r="HDC54" s="196"/>
      <c r="HDD54" s="196"/>
      <c r="HDE54" s="196"/>
      <c r="HDF54" s="196"/>
      <c r="HDG54" s="196"/>
      <c r="HDH54" s="196"/>
      <c r="HDI54" s="196"/>
      <c r="HDJ54" s="196"/>
      <c r="HDK54" s="196"/>
      <c r="HDL54" s="196"/>
      <c r="HDM54" s="196"/>
      <c r="HDN54" s="196"/>
      <c r="HDO54" s="196"/>
      <c r="HDP54" s="196"/>
      <c r="HDQ54" s="196"/>
      <c r="HDR54" s="196"/>
      <c r="HDS54" s="196"/>
      <c r="HDT54" s="196"/>
      <c r="HDU54" s="196"/>
      <c r="HDV54" s="196"/>
      <c r="HDW54" s="196"/>
      <c r="HDX54" s="196"/>
      <c r="HDY54" s="196"/>
      <c r="HDZ54" s="196"/>
      <c r="HEA54" s="196"/>
      <c r="HEB54" s="196"/>
      <c r="HEC54" s="196"/>
      <c r="HED54" s="196"/>
      <c r="HEE54" s="196"/>
      <c r="HEF54" s="196"/>
      <c r="HEG54" s="196"/>
      <c r="HEH54" s="196"/>
      <c r="HEI54" s="196"/>
      <c r="HEJ54" s="196"/>
      <c r="HEK54" s="196"/>
      <c r="HEL54" s="196"/>
      <c r="HEM54" s="196"/>
      <c r="HEN54" s="196"/>
      <c r="HEO54" s="196"/>
      <c r="HEP54" s="196"/>
      <c r="HEQ54" s="196"/>
      <c r="HER54" s="196"/>
      <c r="HES54" s="196"/>
      <c r="HET54" s="196"/>
      <c r="HEU54" s="196"/>
      <c r="HEV54" s="196"/>
      <c r="HEW54" s="196"/>
      <c r="HEX54" s="196"/>
      <c r="HEY54" s="196"/>
      <c r="HEZ54" s="196"/>
      <c r="HFA54" s="196"/>
      <c r="HFB54" s="196"/>
      <c r="HFC54" s="196"/>
      <c r="HFD54" s="196"/>
      <c r="HFE54" s="196"/>
      <c r="HFF54" s="196"/>
      <c r="HFG54" s="196"/>
      <c r="HFH54" s="196"/>
      <c r="HFI54" s="196"/>
      <c r="HFJ54" s="196"/>
      <c r="HFK54" s="196"/>
      <c r="HFL54" s="196"/>
      <c r="HFM54" s="196"/>
      <c r="HFN54" s="196"/>
      <c r="HFO54" s="196"/>
      <c r="HFP54" s="196"/>
      <c r="HFQ54" s="196"/>
      <c r="HFR54" s="196"/>
      <c r="HFS54" s="196"/>
      <c r="HFT54" s="196"/>
      <c r="HFU54" s="196"/>
      <c r="HFV54" s="196"/>
      <c r="HFW54" s="196"/>
      <c r="HFX54" s="196"/>
      <c r="HFY54" s="196"/>
      <c r="HFZ54" s="196"/>
      <c r="HGA54" s="196"/>
      <c r="HGB54" s="196"/>
      <c r="HGC54" s="196"/>
      <c r="HGD54" s="196"/>
      <c r="HGE54" s="196"/>
      <c r="HGF54" s="196"/>
      <c r="HGG54" s="196"/>
      <c r="HGH54" s="196"/>
      <c r="HGI54" s="196"/>
      <c r="HGJ54" s="196"/>
      <c r="HGK54" s="196"/>
      <c r="HGL54" s="196"/>
      <c r="HGM54" s="196"/>
      <c r="HGN54" s="196"/>
      <c r="HGO54" s="196"/>
      <c r="HGP54" s="196"/>
      <c r="HGQ54" s="196"/>
      <c r="HGR54" s="196"/>
      <c r="HGS54" s="196"/>
      <c r="HGT54" s="196"/>
      <c r="HGU54" s="196"/>
      <c r="HGV54" s="196"/>
      <c r="HGW54" s="196"/>
      <c r="HGX54" s="196"/>
      <c r="HGY54" s="196"/>
      <c r="HGZ54" s="196"/>
      <c r="HHA54" s="196"/>
      <c r="HHB54" s="196"/>
      <c r="HHC54" s="196"/>
      <c r="HHD54" s="196"/>
      <c r="HHE54" s="196"/>
      <c r="HHF54" s="196"/>
      <c r="HHG54" s="196"/>
      <c r="HHH54" s="196"/>
      <c r="HHI54" s="196"/>
      <c r="HHJ54" s="196"/>
      <c r="HHK54" s="196"/>
      <c r="HHL54" s="196"/>
      <c r="HHM54" s="196"/>
      <c r="HHN54" s="196"/>
      <c r="HHO54" s="196"/>
      <c r="HHP54" s="196"/>
      <c r="HHQ54" s="196"/>
      <c r="HHR54" s="196"/>
      <c r="HHS54" s="196"/>
      <c r="HHT54" s="196"/>
      <c r="HHU54" s="196"/>
      <c r="HHV54" s="196"/>
      <c r="HHW54" s="196"/>
      <c r="HHX54" s="196"/>
      <c r="HHY54" s="196"/>
      <c r="HHZ54" s="196"/>
      <c r="HIA54" s="196"/>
      <c r="HIB54" s="196"/>
      <c r="HIC54" s="196"/>
      <c r="HID54" s="196"/>
      <c r="HIE54" s="196"/>
      <c r="HIF54" s="196"/>
      <c r="HIG54" s="196"/>
      <c r="HIH54" s="196"/>
      <c r="HII54" s="196"/>
      <c r="HIJ54" s="196"/>
      <c r="HIK54" s="196"/>
      <c r="HIL54" s="196"/>
      <c r="HIM54" s="196"/>
      <c r="HIN54" s="196"/>
      <c r="HIO54" s="196"/>
      <c r="HIP54" s="196"/>
      <c r="HIQ54" s="196"/>
      <c r="HIR54" s="196"/>
      <c r="HIS54" s="196"/>
      <c r="HIT54" s="196"/>
      <c r="HIU54" s="196"/>
      <c r="HIV54" s="196"/>
      <c r="HIW54" s="196"/>
      <c r="HIX54" s="196"/>
      <c r="HIY54" s="196"/>
      <c r="HIZ54" s="196"/>
      <c r="HJA54" s="196"/>
      <c r="HJB54" s="196"/>
      <c r="HJC54" s="196"/>
      <c r="HJD54" s="196"/>
      <c r="HJE54" s="196"/>
      <c r="HJF54" s="196"/>
      <c r="HJG54" s="196"/>
      <c r="HJH54" s="196"/>
      <c r="HJI54" s="196"/>
      <c r="HJJ54" s="196"/>
      <c r="HJK54" s="196"/>
      <c r="HJL54" s="196"/>
      <c r="HJM54" s="196"/>
      <c r="HJN54" s="196"/>
      <c r="HJO54" s="196"/>
      <c r="HJP54" s="196"/>
      <c r="HJQ54" s="196"/>
      <c r="HJR54" s="196"/>
      <c r="HJS54" s="196"/>
      <c r="HJT54" s="196"/>
      <c r="HJU54" s="196"/>
      <c r="HJV54" s="196"/>
      <c r="HJW54" s="196"/>
      <c r="HJX54" s="196"/>
      <c r="HJY54" s="196"/>
      <c r="HJZ54" s="196"/>
      <c r="HKA54" s="196"/>
      <c r="HKB54" s="196"/>
      <c r="HKC54" s="196"/>
      <c r="HKD54" s="196"/>
      <c r="HKE54" s="196"/>
      <c r="HKF54" s="196"/>
      <c r="HKG54" s="196"/>
      <c r="HKH54" s="196"/>
      <c r="HKI54" s="196"/>
      <c r="HKJ54" s="196"/>
      <c r="HKK54" s="196"/>
      <c r="HKL54" s="196"/>
      <c r="HKM54" s="196"/>
      <c r="HKN54" s="196"/>
      <c r="HKO54" s="196"/>
      <c r="HKP54" s="196"/>
      <c r="HKQ54" s="196"/>
      <c r="HKR54" s="196"/>
      <c r="HKS54" s="196"/>
      <c r="HKT54" s="196"/>
      <c r="HKU54" s="196"/>
      <c r="HKV54" s="196"/>
      <c r="HKW54" s="196"/>
      <c r="HKX54" s="196"/>
      <c r="HKY54" s="196"/>
      <c r="HKZ54" s="196"/>
      <c r="HLA54" s="196"/>
      <c r="HLB54" s="196"/>
      <c r="HLC54" s="196"/>
      <c r="HLD54" s="196"/>
      <c r="HLE54" s="196"/>
      <c r="HLF54" s="196"/>
      <c r="HLG54" s="196"/>
      <c r="HLH54" s="196"/>
      <c r="HLI54" s="196"/>
      <c r="HLJ54" s="196"/>
      <c r="HLK54" s="196"/>
      <c r="HLL54" s="196"/>
      <c r="HLM54" s="196"/>
      <c r="HLN54" s="196"/>
      <c r="HLO54" s="196"/>
      <c r="HLP54" s="196"/>
      <c r="HLQ54" s="196"/>
      <c r="HLR54" s="196"/>
      <c r="HLS54" s="196"/>
      <c r="HLT54" s="196"/>
      <c r="HLU54" s="196"/>
      <c r="HLV54" s="196"/>
      <c r="HLW54" s="196"/>
      <c r="HLX54" s="196"/>
      <c r="HLY54" s="196"/>
      <c r="HLZ54" s="196"/>
      <c r="HMA54" s="196"/>
      <c r="HMB54" s="196"/>
      <c r="HMC54" s="196"/>
      <c r="HMD54" s="196"/>
      <c r="HME54" s="196"/>
      <c r="HMF54" s="196"/>
      <c r="HMG54" s="196"/>
      <c r="HMH54" s="196"/>
      <c r="HMI54" s="196"/>
      <c r="HMJ54" s="196"/>
      <c r="HMK54" s="196"/>
      <c r="HML54" s="196"/>
      <c r="HMM54" s="196"/>
      <c r="HMN54" s="196"/>
      <c r="HMO54" s="196"/>
      <c r="HMP54" s="196"/>
      <c r="HMQ54" s="196"/>
      <c r="HMR54" s="196"/>
      <c r="HMS54" s="196"/>
      <c r="HMT54" s="196"/>
      <c r="HMU54" s="196"/>
      <c r="HMV54" s="196"/>
      <c r="HMW54" s="196"/>
      <c r="HMX54" s="196"/>
      <c r="HMY54" s="196"/>
      <c r="HMZ54" s="196"/>
      <c r="HNA54" s="196"/>
      <c r="HNB54" s="196"/>
      <c r="HNC54" s="196"/>
      <c r="HND54" s="196"/>
      <c r="HNE54" s="196"/>
      <c r="HNF54" s="196"/>
      <c r="HNG54" s="196"/>
      <c r="HNH54" s="196"/>
      <c r="HNI54" s="196"/>
      <c r="HNJ54" s="196"/>
      <c r="HNK54" s="196"/>
      <c r="HNL54" s="196"/>
      <c r="HNM54" s="196"/>
      <c r="HNN54" s="196"/>
      <c r="HNO54" s="196"/>
      <c r="HNP54" s="196"/>
      <c r="HNQ54" s="196"/>
      <c r="HNR54" s="196"/>
      <c r="HNS54" s="196"/>
      <c r="HNT54" s="196"/>
      <c r="HNU54" s="196"/>
      <c r="HNV54" s="196"/>
      <c r="HNW54" s="196"/>
      <c r="HNX54" s="196"/>
      <c r="HNY54" s="196"/>
      <c r="HNZ54" s="196"/>
      <c r="HOA54" s="196"/>
      <c r="HOB54" s="196"/>
      <c r="HOC54" s="196"/>
      <c r="HOD54" s="196"/>
      <c r="HOE54" s="196"/>
      <c r="HOF54" s="196"/>
      <c r="HOG54" s="196"/>
      <c r="HOH54" s="196"/>
      <c r="HOI54" s="196"/>
      <c r="HOJ54" s="196"/>
      <c r="HOK54" s="196"/>
      <c r="HOL54" s="196"/>
      <c r="HOM54" s="196"/>
      <c r="HON54" s="196"/>
      <c r="HOO54" s="196"/>
      <c r="HOP54" s="196"/>
      <c r="HOQ54" s="196"/>
      <c r="HOR54" s="196"/>
      <c r="HOS54" s="196"/>
      <c r="HOT54" s="196"/>
      <c r="HOU54" s="196"/>
      <c r="HOV54" s="196"/>
      <c r="HOW54" s="196"/>
      <c r="HOX54" s="196"/>
      <c r="HOY54" s="196"/>
      <c r="HOZ54" s="196"/>
      <c r="HPA54" s="196"/>
      <c r="HPB54" s="196"/>
      <c r="HPC54" s="196"/>
      <c r="HPD54" s="196"/>
      <c r="HPE54" s="196"/>
      <c r="HPF54" s="196"/>
      <c r="HPG54" s="196"/>
      <c r="HPH54" s="196"/>
      <c r="HPI54" s="196"/>
      <c r="HPJ54" s="196"/>
      <c r="HPK54" s="196"/>
      <c r="HPL54" s="196"/>
      <c r="HPM54" s="196"/>
      <c r="HPN54" s="196"/>
      <c r="HPO54" s="196"/>
      <c r="HPP54" s="196"/>
      <c r="HPQ54" s="196"/>
      <c r="HPR54" s="196"/>
      <c r="HPS54" s="196"/>
      <c r="HPT54" s="196"/>
      <c r="HPU54" s="196"/>
      <c r="HPV54" s="196"/>
      <c r="HPW54" s="196"/>
      <c r="HPX54" s="196"/>
      <c r="HPY54" s="196"/>
      <c r="HPZ54" s="196"/>
      <c r="HQA54" s="196"/>
      <c r="HQB54" s="196"/>
      <c r="HQC54" s="196"/>
      <c r="HQD54" s="196"/>
      <c r="HQE54" s="196"/>
      <c r="HQF54" s="196"/>
      <c r="HQG54" s="196"/>
      <c r="HQH54" s="196"/>
      <c r="HQI54" s="196"/>
      <c r="HQJ54" s="196"/>
      <c r="HQK54" s="196"/>
      <c r="HQL54" s="196"/>
      <c r="HQM54" s="196"/>
      <c r="HQN54" s="196"/>
      <c r="HQO54" s="196"/>
      <c r="HQP54" s="196"/>
      <c r="HQQ54" s="196"/>
      <c r="HQR54" s="196"/>
      <c r="HQS54" s="196"/>
      <c r="HQT54" s="196"/>
      <c r="HQU54" s="196"/>
      <c r="HQV54" s="196"/>
      <c r="HQW54" s="196"/>
      <c r="HQX54" s="196"/>
      <c r="HQY54" s="196"/>
      <c r="HQZ54" s="196"/>
      <c r="HRA54" s="196"/>
      <c r="HRB54" s="196"/>
      <c r="HRC54" s="196"/>
      <c r="HRD54" s="196"/>
      <c r="HRE54" s="196"/>
      <c r="HRF54" s="196"/>
      <c r="HRG54" s="196"/>
      <c r="HRH54" s="196"/>
      <c r="HRI54" s="196"/>
      <c r="HRJ54" s="196"/>
      <c r="HRK54" s="196"/>
      <c r="HRL54" s="196"/>
      <c r="HRM54" s="196"/>
      <c r="HRN54" s="196"/>
      <c r="HRO54" s="196"/>
      <c r="HRP54" s="196"/>
      <c r="HRQ54" s="196"/>
      <c r="HRR54" s="196"/>
      <c r="HRS54" s="196"/>
      <c r="HRT54" s="196"/>
      <c r="HRU54" s="196"/>
      <c r="HRV54" s="196"/>
      <c r="HRW54" s="196"/>
      <c r="HRX54" s="196"/>
      <c r="HRY54" s="196"/>
      <c r="HRZ54" s="196"/>
      <c r="HSA54" s="196"/>
      <c r="HSB54" s="196"/>
      <c r="HSC54" s="196"/>
      <c r="HSD54" s="196"/>
      <c r="HSE54" s="196"/>
      <c r="HSF54" s="196"/>
      <c r="HSG54" s="196"/>
      <c r="HSH54" s="196"/>
      <c r="HSI54" s="196"/>
      <c r="HSJ54" s="196"/>
      <c r="HSK54" s="196"/>
      <c r="HSL54" s="196"/>
      <c r="HSM54" s="196"/>
      <c r="HSN54" s="196"/>
      <c r="HSO54" s="196"/>
      <c r="HSP54" s="196"/>
      <c r="HSQ54" s="196"/>
      <c r="HSR54" s="196"/>
      <c r="HSS54" s="196"/>
      <c r="HST54" s="196"/>
      <c r="HSU54" s="196"/>
      <c r="HSV54" s="196"/>
      <c r="HSW54" s="196"/>
      <c r="HSX54" s="196"/>
      <c r="HSY54" s="196"/>
      <c r="HSZ54" s="196"/>
      <c r="HTA54" s="196"/>
      <c r="HTB54" s="196"/>
      <c r="HTC54" s="196"/>
      <c r="HTD54" s="196"/>
      <c r="HTE54" s="196"/>
      <c r="HTF54" s="196"/>
      <c r="HTG54" s="196"/>
      <c r="HTH54" s="196"/>
      <c r="HTI54" s="196"/>
      <c r="HTJ54" s="196"/>
      <c r="HTK54" s="196"/>
      <c r="HTL54" s="196"/>
      <c r="HTM54" s="196"/>
      <c r="HTN54" s="196"/>
      <c r="HTO54" s="196"/>
      <c r="HTP54" s="196"/>
      <c r="HTQ54" s="196"/>
      <c r="HTR54" s="196"/>
      <c r="HTS54" s="196"/>
      <c r="HTT54" s="196"/>
      <c r="HTU54" s="196"/>
      <c r="HTV54" s="196"/>
      <c r="HTW54" s="196"/>
      <c r="HTX54" s="196"/>
      <c r="HTY54" s="196"/>
      <c r="HTZ54" s="196"/>
      <c r="HUA54" s="196"/>
      <c r="HUB54" s="196"/>
      <c r="HUC54" s="196"/>
      <c r="HUD54" s="196"/>
      <c r="HUE54" s="196"/>
      <c r="HUF54" s="196"/>
      <c r="HUG54" s="196"/>
      <c r="HUH54" s="196"/>
      <c r="HUI54" s="196"/>
      <c r="HUJ54" s="196"/>
      <c r="HUK54" s="196"/>
      <c r="HUL54" s="196"/>
      <c r="HUM54" s="196"/>
      <c r="HUN54" s="196"/>
      <c r="HUO54" s="196"/>
      <c r="HUP54" s="196"/>
      <c r="HUQ54" s="196"/>
      <c r="HUR54" s="196"/>
      <c r="HUS54" s="196"/>
      <c r="HUT54" s="196"/>
      <c r="HUU54" s="196"/>
      <c r="HUV54" s="196"/>
      <c r="HUW54" s="196"/>
      <c r="HUX54" s="196"/>
      <c r="HUY54" s="196"/>
      <c r="HUZ54" s="196"/>
      <c r="HVA54" s="196"/>
      <c r="HVB54" s="196"/>
      <c r="HVC54" s="196"/>
      <c r="HVD54" s="196"/>
      <c r="HVE54" s="196"/>
      <c r="HVF54" s="196"/>
      <c r="HVG54" s="196"/>
      <c r="HVH54" s="196"/>
      <c r="HVI54" s="196"/>
      <c r="HVJ54" s="196"/>
      <c r="HVK54" s="196"/>
      <c r="HVL54" s="196"/>
      <c r="HVM54" s="196"/>
      <c r="HVN54" s="196"/>
      <c r="HVO54" s="196"/>
      <c r="HVP54" s="196"/>
      <c r="HVQ54" s="196"/>
      <c r="HVR54" s="196"/>
      <c r="HVS54" s="196"/>
      <c r="HVT54" s="196"/>
      <c r="HVU54" s="196"/>
      <c r="HVV54" s="196"/>
      <c r="HVW54" s="196"/>
      <c r="HVX54" s="196"/>
      <c r="HVY54" s="196"/>
      <c r="HVZ54" s="196"/>
      <c r="HWA54" s="196"/>
      <c r="HWB54" s="196"/>
      <c r="HWC54" s="196"/>
      <c r="HWD54" s="196"/>
      <c r="HWE54" s="196"/>
      <c r="HWF54" s="196"/>
      <c r="HWG54" s="196"/>
      <c r="HWH54" s="196"/>
      <c r="HWI54" s="196"/>
      <c r="HWJ54" s="196"/>
      <c r="HWK54" s="196"/>
      <c r="HWL54" s="196"/>
      <c r="HWM54" s="196"/>
      <c r="HWN54" s="196"/>
      <c r="HWO54" s="196"/>
      <c r="HWP54" s="196"/>
      <c r="HWQ54" s="196"/>
      <c r="HWR54" s="196"/>
      <c r="HWS54" s="196"/>
      <c r="HWT54" s="196"/>
      <c r="HWU54" s="196"/>
      <c r="HWV54" s="196"/>
      <c r="HWW54" s="196"/>
      <c r="HWX54" s="196"/>
      <c r="HWY54" s="196"/>
      <c r="HWZ54" s="196"/>
      <c r="HXA54" s="196"/>
      <c r="HXB54" s="196"/>
      <c r="HXC54" s="196"/>
      <c r="HXD54" s="196"/>
      <c r="HXE54" s="196"/>
      <c r="HXF54" s="196"/>
      <c r="HXG54" s="196"/>
      <c r="HXH54" s="196"/>
      <c r="HXI54" s="196"/>
      <c r="HXJ54" s="196"/>
      <c r="HXK54" s="196"/>
      <c r="HXL54" s="196"/>
      <c r="HXM54" s="196"/>
      <c r="HXN54" s="196"/>
      <c r="HXO54" s="196"/>
      <c r="HXP54" s="196"/>
      <c r="HXQ54" s="196"/>
      <c r="HXR54" s="196"/>
      <c r="HXS54" s="196"/>
      <c r="HXT54" s="196"/>
      <c r="HXU54" s="196"/>
      <c r="HXV54" s="196"/>
      <c r="HXW54" s="196"/>
      <c r="HXX54" s="196"/>
      <c r="HXY54" s="196"/>
      <c r="HXZ54" s="196"/>
      <c r="HYA54" s="196"/>
      <c r="HYB54" s="196"/>
      <c r="HYC54" s="196"/>
      <c r="HYD54" s="196"/>
      <c r="HYE54" s="196"/>
      <c r="HYF54" s="196"/>
      <c r="HYG54" s="196"/>
      <c r="HYH54" s="196"/>
      <c r="HYI54" s="196"/>
      <c r="HYJ54" s="196"/>
      <c r="HYK54" s="196"/>
      <c r="HYL54" s="196"/>
      <c r="HYM54" s="196"/>
      <c r="HYN54" s="196"/>
      <c r="HYO54" s="196"/>
      <c r="HYP54" s="196"/>
      <c r="HYQ54" s="196"/>
      <c r="HYR54" s="196"/>
      <c r="HYS54" s="196"/>
      <c r="HYT54" s="196"/>
      <c r="HYU54" s="196"/>
      <c r="HYV54" s="196"/>
      <c r="HYW54" s="196"/>
      <c r="HYX54" s="196"/>
      <c r="HYY54" s="196"/>
      <c r="HYZ54" s="196"/>
      <c r="HZA54" s="196"/>
      <c r="HZB54" s="196"/>
      <c r="HZC54" s="196"/>
      <c r="HZD54" s="196"/>
      <c r="HZE54" s="196"/>
      <c r="HZF54" s="196"/>
      <c r="HZG54" s="196"/>
      <c r="HZH54" s="196"/>
      <c r="HZI54" s="196"/>
      <c r="HZJ54" s="196"/>
      <c r="HZK54" s="196"/>
      <c r="HZL54" s="196"/>
      <c r="HZM54" s="196"/>
      <c r="HZN54" s="196"/>
      <c r="HZO54" s="196"/>
      <c r="HZP54" s="196"/>
      <c r="HZQ54" s="196"/>
      <c r="HZR54" s="196"/>
      <c r="HZS54" s="196"/>
      <c r="HZT54" s="196"/>
      <c r="HZU54" s="196"/>
      <c r="HZV54" s="196"/>
      <c r="HZW54" s="196"/>
      <c r="HZX54" s="196"/>
      <c r="HZY54" s="196"/>
      <c r="HZZ54" s="196"/>
      <c r="IAA54" s="196"/>
      <c r="IAB54" s="196"/>
      <c r="IAC54" s="196"/>
      <c r="IAD54" s="196"/>
      <c r="IAE54" s="196"/>
      <c r="IAF54" s="196"/>
      <c r="IAG54" s="196"/>
      <c r="IAH54" s="196"/>
      <c r="IAI54" s="196"/>
      <c r="IAJ54" s="196"/>
      <c r="IAK54" s="196"/>
      <c r="IAL54" s="196"/>
      <c r="IAM54" s="196"/>
      <c r="IAN54" s="196"/>
      <c r="IAO54" s="196"/>
      <c r="IAP54" s="196"/>
      <c r="IAQ54" s="196"/>
      <c r="IAR54" s="196"/>
      <c r="IAS54" s="196"/>
      <c r="IAT54" s="196"/>
      <c r="IAU54" s="196"/>
      <c r="IAV54" s="196"/>
      <c r="IAW54" s="196"/>
      <c r="IAX54" s="196"/>
      <c r="IAY54" s="196"/>
      <c r="IAZ54" s="196"/>
      <c r="IBA54" s="196"/>
      <c r="IBB54" s="196"/>
      <c r="IBC54" s="196"/>
      <c r="IBD54" s="196"/>
      <c r="IBE54" s="196"/>
      <c r="IBF54" s="196"/>
      <c r="IBG54" s="196"/>
      <c r="IBH54" s="196"/>
      <c r="IBI54" s="196"/>
      <c r="IBJ54" s="196"/>
      <c r="IBK54" s="196"/>
      <c r="IBL54" s="196"/>
      <c r="IBM54" s="196"/>
      <c r="IBN54" s="196"/>
      <c r="IBO54" s="196"/>
      <c r="IBP54" s="196"/>
      <c r="IBQ54" s="196"/>
      <c r="IBR54" s="196"/>
      <c r="IBS54" s="196"/>
      <c r="IBT54" s="196"/>
      <c r="IBU54" s="196"/>
      <c r="IBV54" s="196"/>
      <c r="IBW54" s="196"/>
      <c r="IBX54" s="196"/>
      <c r="IBY54" s="196"/>
      <c r="IBZ54" s="196"/>
      <c r="ICA54" s="196"/>
      <c r="ICB54" s="196"/>
      <c r="ICC54" s="196"/>
      <c r="ICD54" s="196"/>
      <c r="ICE54" s="196"/>
      <c r="ICF54" s="196"/>
      <c r="ICG54" s="196"/>
      <c r="ICH54" s="196"/>
      <c r="ICI54" s="196"/>
      <c r="ICJ54" s="196"/>
      <c r="ICK54" s="196"/>
      <c r="ICL54" s="196"/>
      <c r="ICM54" s="196"/>
      <c r="ICN54" s="196"/>
      <c r="ICO54" s="196"/>
      <c r="ICP54" s="196"/>
      <c r="ICQ54" s="196"/>
      <c r="ICR54" s="196"/>
      <c r="ICS54" s="196"/>
      <c r="ICT54" s="196"/>
      <c r="ICU54" s="196"/>
      <c r="ICV54" s="196"/>
      <c r="ICW54" s="196"/>
      <c r="ICX54" s="196"/>
      <c r="ICY54" s="196"/>
      <c r="ICZ54" s="196"/>
      <c r="IDA54" s="196"/>
      <c r="IDB54" s="196"/>
      <c r="IDC54" s="196"/>
      <c r="IDD54" s="196"/>
      <c r="IDE54" s="196"/>
      <c r="IDF54" s="196"/>
      <c r="IDG54" s="196"/>
      <c r="IDH54" s="196"/>
      <c r="IDI54" s="196"/>
      <c r="IDJ54" s="196"/>
      <c r="IDK54" s="196"/>
      <c r="IDL54" s="196"/>
      <c r="IDM54" s="196"/>
      <c r="IDN54" s="196"/>
      <c r="IDO54" s="196"/>
      <c r="IDP54" s="196"/>
      <c r="IDQ54" s="196"/>
      <c r="IDR54" s="196"/>
      <c r="IDS54" s="196"/>
      <c r="IDT54" s="196"/>
      <c r="IDU54" s="196"/>
      <c r="IDV54" s="196"/>
      <c r="IDW54" s="196"/>
      <c r="IDX54" s="196"/>
      <c r="IDY54" s="196"/>
      <c r="IDZ54" s="196"/>
      <c r="IEA54" s="196"/>
      <c r="IEB54" s="196"/>
      <c r="IEC54" s="196"/>
      <c r="IED54" s="196"/>
      <c r="IEE54" s="196"/>
      <c r="IEF54" s="196"/>
      <c r="IEG54" s="196"/>
      <c r="IEH54" s="196"/>
      <c r="IEI54" s="196"/>
      <c r="IEJ54" s="196"/>
      <c r="IEK54" s="196"/>
      <c r="IEL54" s="196"/>
      <c r="IEM54" s="196"/>
      <c r="IEN54" s="196"/>
      <c r="IEO54" s="196"/>
      <c r="IEP54" s="196"/>
      <c r="IEQ54" s="196"/>
      <c r="IER54" s="196"/>
      <c r="IES54" s="196"/>
      <c r="IET54" s="196"/>
      <c r="IEU54" s="196"/>
      <c r="IEV54" s="196"/>
      <c r="IEW54" s="196"/>
      <c r="IEX54" s="196"/>
      <c r="IEY54" s="196"/>
      <c r="IEZ54" s="196"/>
      <c r="IFA54" s="196"/>
      <c r="IFB54" s="196"/>
      <c r="IFC54" s="196"/>
      <c r="IFD54" s="196"/>
      <c r="IFE54" s="196"/>
      <c r="IFF54" s="196"/>
      <c r="IFG54" s="196"/>
      <c r="IFH54" s="196"/>
      <c r="IFI54" s="196"/>
      <c r="IFJ54" s="196"/>
      <c r="IFK54" s="196"/>
      <c r="IFL54" s="196"/>
      <c r="IFM54" s="196"/>
      <c r="IFN54" s="196"/>
      <c r="IFO54" s="196"/>
      <c r="IFP54" s="196"/>
      <c r="IFQ54" s="196"/>
      <c r="IFR54" s="196"/>
      <c r="IFS54" s="196"/>
      <c r="IFT54" s="196"/>
      <c r="IFU54" s="196"/>
      <c r="IFV54" s="196"/>
      <c r="IFW54" s="196"/>
      <c r="IFX54" s="196"/>
      <c r="IFY54" s="196"/>
      <c r="IFZ54" s="196"/>
      <c r="IGA54" s="196"/>
      <c r="IGB54" s="196"/>
      <c r="IGC54" s="196"/>
      <c r="IGD54" s="196"/>
      <c r="IGE54" s="196"/>
      <c r="IGF54" s="196"/>
      <c r="IGG54" s="196"/>
      <c r="IGH54" s="196"/>
      <c r="IGI54" s="196"/>
      <c r="IGJ54" s="196"/>
      <c r="IGK54" s="196"/>
      <c r="IGL54" s="196"/>
      <c r="IGM54" s="196"/>
      <c r="IGN54" s="196"/>
      <c r="IGO54" s="196"/>
      <c r="IGP54" s="196"/>
      <c r="IGQ54" s="196"/>
      <c r="IGR54" s="196"/>
      <c r="IGS54" s="196"/>
      <c r="IGT54" s="196"/>
      <c r="IGU54" s="196"/>
      <c r="IGV54" s="196"/>
      <c r="IGW54" s="196"/>
      <c r="IGX54" s="196"/>
      <c r="IGY54" s="196"/>
      <c r="IGZ54" s="196"/>
      <c r="IHA54" s="196"/>
      <c r="IHB54" s="196"/>
      <c r="IHC54" s="196"/>
      <c r="IHD54" s="196"/>
      <c r="IHE54" s="196"/>
      <c r="IHF54" s="196"/>
      <c r="IHG54" s="196"/>
      <c r="IHH54" s="196"/>
      <c r="IHI54" s="196"/>
      <c r="IHJ54" s="196"/>
      <c r="IHK54" s="196"/>
      <c r="IHL54" s="196"/>
      <c r="IHM54" s="196"/>
      <c r="IHN54" s="196"/>
      <c r="IHO54" s="196"/>
      <c r="IHP54" s="196"/>
      <c r="IHQ54" s="196"/>
      <c r="IHR54" s="196"/>
      <c r="IHS54" s="196"/>
      <c r="IHT54" s="196"/>
      <c r="IHU54" s="196"/>
      <c r="IHV54" s="196"/>
      <c r="IHW54" s="196"/>
      <c r="IHX54" s="196"/>
      <c r="IHY54" s="196"/>
      <c r="IHZ54" s="196"/>
      <c r="IIA54" s="196"/>
      <c r="IIB54" s="196"/>
      <c r="IIC54" s="196"/>
      <c r="IID54" s="196"/>
      <c r="IIE54" s="196"/>
      <c r="IIF54" s="196"/>
      <c r="IIG54" s="196"/>
      <c r="IIH54" s="196"/>
      <c r="III54" s="196"/>
      <c r="IIJ54" s="196"/>
      <c r="IIK54" s="196"/>
      <c r="IIL54" s="196"/>
      <c r="IIM54" s="196"/>
      <c r="IIN54" s="196"/>
      <c r="IIO54" s="196"/>
      <c r="IIP54" s="196"/>
      <c r="IIQ54" s="196"/>
      <c r="IIR54" s="196"/>
      <c r="IIS54" s="196"/>
      <c r="IIT54" s="196"/>
      <c r="IIU54" s="196"/>
      <c r="IIV54" s="196"/>
      <c r="IIW54" s="196"/>
      <c r="IIX54" s="196"/>
      <c r="IIY54" s="196"/>
      <c r="IIZ54" s="196"/>
      <c r="IJA54" s="196"/>
      <c r="IJB54" s="196"/>
      <c r="IJC54" s="196"/>
      <c r="IJD54" s="196"/>
      <c r="IJE54" s="196"/>
      <c r="IJF54" s="196"/>
      <c r="IJG54" s="196"/>
      <c r="IJH54" s="196"/>
      <c r="IJI54" s="196"/>
      <c r="IJJ54" s="196"/>
      <c r="IJK54" s="196"/>
      <c r="IJL54" s="196"/>
      <c r="IJM54" s="196"/>
      <c r="IJN54" s="196"/>
      <c r="IJO54" s="196"/>
      <c r="IJP54" s="196"/>
      <c r="IJQ54" s="196"/>
      <c r="IJR54" s="196"/>
      <c r="IJS54" s="196"/>
      <c r="IJT54" s="196"/>
      <c r="IJU54" s="196"/>
      <c r="IJV54" s="196"/>
      <c r="IJW54" s="196"/>
      <c r="IJX54" s="196"/>
      <c r="IJY54" s="196"/>
      <c r="IJZ54" s="196"/>
      <c r="IKA54" s="196"/>
      <c r="IKB54" s="196"/>
      <c r="IKC54" s="196"/>
      <c r="IKD54" s="196"/>
      <c r="IKE54" s="196"/>
      <c r="IKF54" s="196"/>
      <c r="IKG54" s="196"/>
      <c r="IKH54" s="196"/>
      <c r="IKI54" s="196"/>
      <c r="IKJ54" s="196"/>
      <c r="IKK54" s="196"/>
      <c r="IKL54" s="196"/>
      <c r="IKM54" s="196"/>
      <c r="IKN54" s="196"/>
      <c r="IKO54" s="196"/>
      <c r="IKP54" s="196"/>
      <c r="IKQ54" s="196"/>
      <c r="IKR54" s="196"/>
      <c r="IKS54" s="196"/>
      <c r="IKT54" s="196"/>
      <c r="IKU54" s="196"/>
      <c r="IKV54" s="196"/>
      <c r="IKW54" s="196"/>
      <c r="IKX54" s="196"/>
      <c r="IKY54" s="196"/>
      <c r="IKZ54" s="196"/>
      <c r="ILA54" s="196"/>
      <c r="ILB54" s="196"/>
      <c r="ILC54" s="196"/>
      <c r="ILD54" s="196"/>
      <c r="ILE54" s="196"/>
      <c r="ILF54" s="196"/>
      <c r="ILG54" s="196"/>
      <c r="ILH54" s="196"/>
      <c r="ILI54" s="196"/>
      <c r="ILJ54" s="196"/>
      <c r="ILK54" s="196"/>
      <c r="ILL54" s="196"/>
      <c r="ILM54" s="196"/>
      <c r="ILN54" s="196"/>
      <c r="ILO54" s="196"/>
      <c r="ILP54" s="196"/>
      <c r="ILQ54" s="196"/>
      <c r="ILR54" s="196"/>
      <c r="ILS54" s="196"/>
      <c r="ILT54" s="196"/>
      <c r="ILU54" s="196"/>
      <c r="ILV54" s="196"/>
      <c r="ILW54" s="196"/>
      <c r="ILX54" s="196"/>
      <c r="ILY54" s="196"/>
      <c r="ILZ54" s="196"/>
      <c r="IMA54" s="196"/>
      <c r="IMB54" s="196"/>
      <c r="IMC54" s="196"/>
      <c r="IMD54" s="196"/>
      <c r="IME54" s="196"/>
      <c r="IMF54" s="196"/>
      <c r="IMG54" s="196"/>
      <c r="IMH54" s="196"/>
      <c r="IMI54" s="196"/>
      <c r="IMJ54" s="196"/>
      <c r="IMK54" s="196"/>
      <c r="IML54" s="196"/>
      <c r="IMM54" s="196"/>
      <c r="IMN54" s="196"/>
      <c r="IMO54" s="196"/>
      <c r="IMP54" s="196"/>
      <c r="IMQ54" s="196"/>
      <c r="IMR54" s="196"/>
      <c r="IMS54" s="196"/>
      <c r="IMT54" s="196"/>
      <c r="IMU54" s="196"/>
      <c r="IMV54" s="196"/>
      <c r="IMW54" s="196"/>
      <c r="IMX54" s="196"/>
      <c r="IMY54" s="196"/>
      <c r="IMZ54" s="196"/>
      <c r="INA54" s="196"/>
      <c r="INB54" s="196"/>
      <c r="INC54" s="196"/>
      <c r="IND54" s="196"/>
      <c r="INE54" s="196"/>
      <c r="INF54" s="196"/>
      <c r="ING54" s="196"/>
      <c r="INH54" s="196"/>
      <c r="INI54" s="196"/>
      <c r="INJ54" s="196"/>
      <c r="INK54" s="196"/>
      <c r="INL54" s="196"/>
      <c r="INM54" s="196"/>
      <c r="INN54" s="196"/>
      <c r="INO54" s="196"/>
      <c r="INP54" s="196"/>
      <c r="INQ54" s="196"/>
      <c r="INR54" s="196"/>
      <c r="INS54" s="196"/>
      <c r="INT54" s="196"/>
      <c r="INU54" s="196"/>
      <c r="INV54" s="196"/>
      <c r="INW54" s="196"/>
      <c r="INX54" s="196"/>
      <c r="INY54" s="196"/>
      <c r="INZ54" s="196"/>
      <c r="IOA54" s="196"/>
      <c r="IOB54" s="196"/>
      <c r="IOC54" s="196"/>
      <c r="IOD54" s="196"/>
      <c r="IOE54" s="196"/>
      <c r="IOF54" s="196"/>
      <c r="IOG54" s="196"/>
      <c r="IOH54" s="196"/>
      <c r="IOI54" s="196"/>
      <c r="IOJ54" s="196"/>
      <c r="IOK54" s="196"/>
      <c r="IOL54" s="196"/>
      <c r="IOM54" s="196"/>
      <c r="ION54" s="196"/>
      <c r="IOO54" s="196"/>
      <c r="IOP54" s="196"/>
      <c r="IOQ54" s="196"/>
      <c r="IOR54" s="196"/>
      <c r="IOS54" s="196"/>
      <c r="IOT54" s="196"/>
      <c r="IOU54" s="196"/>
      <c r="IOV54" s="196"/>
      <c r="IOW54" s="196"/>
      <c r="IOX54" s="196"/>
      <c r="IOY54" s="196"/>
      <c r="IOZ54" s="196"/>
      <c r="IPA54" s="196"/>
      <c r="IPB54" s="196"/>
      <c r="IPC54" s="196"/>
      <c r="IPD54" s="196"/>
      <c r="IPE54" s="196"/>
      <c r="IPF54" s="196"/>
      <c r="IPG54" s="196"/>
      <c r="IPH54" s="196"/>
      <c r="IPI54" s="196"/>
      <c r="IPJ54" s="196"/>
      <c r="IPK54" s="196"/>
      <c r="IPL54" s="196"/>
      <c r="IPM54" s="196"/>
      <c r="IPN54" s="196"/>
      <c r="IPO54" s="196"/>
      <c r="IPP54" s="196"/>
      <c r="IPQ54" s="196"/>
      <c r="IPR54" s="196"/>
      <c r="IPS54" s="196"/>
      <c r="IPT54" s="196"/>
      <c r="IPU54" s="196"/>
      <c r="IPV54" s="196"/>
      <c r="IPW54" s="196"/>
      <c r="IPX54" s="196"/>
      <c r="IPY54" s="196"/>
      <c r="IPZ54" s="196"/>
      <c r="IQA54" s="196"/>
      <c r="IQB54" s="196"/>
      <c r="IQC54" s="196"/>
      <c r="IQD54" s="196"/>
      <c r="IQE54" s="196"/>
      <c r="IQF54" s="196"/>
      <c r="IQG54" s="196"/>
      <c r="IQH54" s="196"/>
      <c r="IQI54" s="196"/>
      <c r="IQJ54" s="196"/>
      <c r="IQK54" s="196"/>
      <c r="IQL54" s="196"/>
      <c r="IQM54" s="196"/>
      <c r="IQN54" s="196"/>
      <c r="IQO54" s="196"/>
      <c r="IQP54" s="196"/>
      <c r="IQQ54" s="196"/>
      <c r="IQR54" s="196"/>
      <c r="IQS54" s="196"/>
      <c r="IQT54" s="196"/>
      <c r="IQU54" s="196"/>
      <c r="IQV54" s="196"/>
      <c r="IQW54" s="196"/>
      <c r="IQX54" s="196"/>
      <c r="IQY54" s="196"/>
      <c r="IQZ54" s="196"/>
      <c r="IRA54" s="196"/>
      <c r="IRB54" s="196"/>
      <c r="IRC54" s="196"/>
      <c r="IRD54" s="196"/>
      <c r="IRE54" s="196"/>
      <c r="IRF54" s="196"/>
      <c r="IRG54" s="196"/>
      <c r="IRH54" s="196"/>
      <c r="IRI54" s="196"/>
      <c r="IRJ54" s="196"/>
      <c r="IRK54" s="196"/>
      <c r="IRL54" s="196"/>
      <c r="IRM54" s="196"/>
      <c r="IRN54" s="196"/>
      <c r="IRO54" s="196"/>
      <c r="IRP54" s="196"/>
      <c r="IRQ54" s="196"/>
      <c r="IRR54" s="196"/>
      <c r="IRS54" s="196"/>
      <c r="IRT54" s="196"/>
      <c r="IRU54" s="196"/>
      <c r="IRV54" s="196"/>
      <c r="IRW54" s="196"/>
      <c r="IRX54" s="196"/>
      <c r="IRY54" s="196"/>
      <c r="IRZ54" s="196"/>
      <c r="ISA54" s="196"/>
      <c r="ISB54" s="196"/>
      <c r="ISC54" s="196"/>
      <c r="ISD54" s="196"/>
      <c r="ISE54" s="196"/>
      <c r="ISF54" s="196"/>
      <c r="ISG54" s="196"/>
      <c r="ISH54" s="196"/>
      <c r="ISI54" s="196"/>
      <c r="ISJ54" s="196"/>
      <c r="ISK54" s="196"/>
      <c r="ISL54" s="196"/>
      <c r="ISM54" s="196"/>
      <c r="ISN54" s="196"/>
      <c r="ISO54" s="196"/>
      <c r="ISP54" s="196"/>
      <c r="ISQ54" s="196"/>
      <c r="ISR54" s="196"/>
      <c r="ISS54" s="196"/>
      <c r="IST54" s="196"/>
      <c r="ISU54" s="196"/>
      <c r="ISV54" s="196"/>
      <c r="ISW54" s="196"/>
      <c r="ISX54" s="196"/>
      <c r="ISY54" s="196"/>
      <c r="ISZ54" s="196"/>
      <c r="ITA54" s="196"/>
      <c r="ITB54" s="196"/>
      <c r="ITC54" s="196"/>
      <c r="ITD54" s="196"/>
      <c r="ITE54" s="196"/>
      <c r="ITF54" s="196"/>
      <c r="ITG54" s="196"/>
      <c r="ITH54" s="196"/>
      <c r="ITI54" s="196"/>
      <c r="ITJ54" s="196"/>
      <c r="ITK54" s="196"/>
      <c r="ITL54" s="196"/>
      <c r="ITM54" s="196"/>
      <c r="ITN54" s="196"/>
      <c r="ITO54" s="196"/>
      <c r="ITP54" s="196"/>
      <c r="ITQ54" s="196"/>
      <c r="ITR54" s="196"/>
      <c r="ITS54" s="196"/>
      <c r="ITT54" s="196"/>
      <c r="ITU54" s="196"/>
      <c r="ITV54" s="196"/>
      <c r="ITW54" s="196"/>
      <c r="ITX54" s="196"/>
      <c r="ITY54" s="196"/>
      <c r="ITZ54" s="196"/>
      <c r="IUA54" s="196"/>
      <c r="IUB54" s="196"/>
      <c r="IUC54" s="196"/>
      <c r="IUD54" s="196"/>
      <c r="IUE54" s="196"/>
      <c r="IUF54" s="196"/>
      <c r="IUG54" s="196"/>
      <c r="IUH54" s="196"/>
      <c r="IUI54" s="196"/>
      <c r="IUJ54" s="196"/>
      <c r="IUK54" s="196"/>
      <c r="IUL54" s="196"/>
      <c r="IUM54" s="196"/>
      <c r="IUN54" s="196"/>
      <c r="IUO54" s="196"/>
      <c r="IUP54" s="196"/>
      <c r="IUQ54" s="196"/>
      <c r="IUR54" s="196"/>
      <c r="IUS54" s="196"/>
      <c r="IUT54" s="196"/>
      <c r="IUU54" s="196"/>
      <c r="IUV54" s="196"/>
      <c r="IUW54" s="196"/>
      <c r="IUX54" s="196"/>
      <c r="IUY54" s="196"/>
      <c r="IUZ54" s="196"/>
      <c r="IVA54" s="196"/>
      <c r="IVB54" s="196"/>
      <c r="IVC54" s="196"/>
      <c r="IVD54" s="196"/>
      <c r="IVE54" s="196"/>
      <c r="IVF54" s="196"/>
      <c r="IVG54" s="196"/>
      <c r="IVH54" s="196"/>
      <c r="IVI54" s="196"/>
      <c r="IVJ54" s="196"/>
      <c r="IVK54" s="196"/>
      <c r="IVL54" s="196"/>
      <c r="IVM54" s="196"/>
      <c r="IVN54" s="196"/>
      <c r="IVO54" s="196"/>
      <c r="IVP54" s="196"/>
      <c r="IVQ54" s="196"/>
      <c r="IVR54" s="196"/>
      <c r="IVS54" s="196"/>
      <c r="IVT54" s="196"/>
      <c r="IVU54" s="196"/>
      <c r="IVV54" s="196"/>
      <c r="IVW54" s="196"/>
      <c r="IVX54" s="196"/>
      <c r="IVY54" s="196"/>
      <c r="IVZ54" s="196"/>
      <c r="IWA54" s="196"/>
      <c r="IWB54" s="196"/>
      <c r="IWC54" s="196"/>
      <c r="IWD54" s="196"/>
      <c r="IWE54" s="196"/>
      <c r="IWF54" s="196"/>
      <c r="IWG54" s="196"/>
      <c r="IWH54" s="196"/>
      <c r="IWI54" s="196"/>
      <c r="IWJ54" s="196"/>
      <c r="IWK54" s="196"/>
      <c r="IWL54" s="196"/>
      <c r="IWM54" s="196"/>
      <c r="IWN54" s="196"/>
      <c r="IWO54" s="196"/>
      <c r="IWP54" s="196"/>
      <c r="IWQ54" s="196"/>
      <c r="IWR54" s="196"/>
      <c r="IWS54" s="196"/>
      <c r="IWT54" s="196"/>
      <c r="IWU54" s="196"/>
      <c r="IWV54" s="196"/>
      <c r="IWW54" s="196"/>
      <c r="IWX54" s="196"/>
      <c r="IWY54" s="196"/>
      <c r="IWZ54" s="196"/>
      <c r="IXA54" s="196"/>
      <c r="IXB54" s="196"/>
      <c r="IXC54" s="196"/>
      <c r="IXD54" s="196"/>
      <c r="IXE54" s="196"/>
      <c r="IXF54" s="196"/>
      <c r="IXG54" s="196"/>
      <c r="IXH54" s="196"/>
      <c r="IXI54" s="196"/>
      <c r="IXJ54" s="196"/>
      <c r="IXK54" s="196"/>
      <c r="IXL54" s="196"/>
      <c r="IXM54" s="196"/>
      <c r="IXN54" s="196"/>
      <c r="IXO54" s="196"/>
      <c r="IXP54" s="196"/>
      <c r="IXQ54" s="196"/>
      <c r="IXR54" s="196"/>
      <c r="IXS54" s="196"/>
      <c r="IXT54" s="196"/>
      <c r="IXU54" s="196"/>
      <c r="IXV54" s="196"/>
      <c r="IXW54" s="196"/>
      <c r="IXX54" s="196"/>
      <c r="IXY54" s="196"/>
      <c r="IXZ54" s="196"/>
      <c r="IYA54" s="196"/>
      <c r="IYB54" s="196"/>
      <c r="IYC54" s="196"/>
      <c r="IYD54" s="196"/>
      <c r="IYE54" s="196"/>
      <c r="IYF54" s="196"/>
      <c r="IYG54" s="196"/>
      <c r="IYH54" s="196"/>
      <c r="IYI54" s="196"/>
      <c r="IYJ54" s="196"/>
      <c r="IYK54" s="196"/>
      <c r="IYL54" s="196"/>
      <c r="IYM54" s="196"/>
      <c r="IYN54" s="196"/>
      <c r="IYO54" s="196"/>
      <c r="IYP54" s="196"/>
      <c r="IYQ54" s="196"/>
      <c r="IYR54" s="196"/>
      <c r="IYS54" s="196"/>
      <c r="IYT54" s="196"/>
      <c r="IYU54" s="196"/>
      <c r="IYV54" s="196"/>
      <c r="IYW54" s="196"/>
      <c r="IYX54" s="196"/>
      <c r="IYY54" s="196"/>
      <c r="IYZ54" s="196"/>
      <c r="IZA54" s="196"/>
      <c r="IZB54" s="196"/>
      <c r="IZC54" s="196"/>
      <c r="IZD54" s="196"/>
      <c r="IZE54" s="196"/>
      <c r="IZF54" s="196"/>
      <c r="IZG54" s="196"/>
      <c r="IZH54" s="196"/>
      <c r="IZI54" s="196"/>
      <c r="IZJ54" s="196"/>
      <c r="IZK54" s="196"/>
      <c r="IZL54" s="196"/>
      <c r="IZM54" s="196"/>
      <c r="IZN54" s="196"/>
      <c r="IZO54" s="196"/>
      <c r="IZP54" s="196"/>
      <c r="IZQ54" s="196"/>
      <c r="IZR54" s="196"/>
      <c r="IZS54" s="196"/>
      <c r="IZT54" s="196"/>
      <c r="IZU54" s="196"/>
      <c r="IZV54" s="196"/>
      <c r="IZW54" s="196"/>
      <c r="IZX54" s="196"/>
      <c r="IZY54" s="196"/>
      <c r="IZZ54" s="196"/>
      <c r="JAA54" s="196"/>
      <c r="JAB54" s="196"/>
      <c r="JAC54" s="196"/>
      <c r="JAD54" s="196"/>
      <c r="JAE54" s="196"/>
      <c r="JAF54" s="196"/>
      <c r="JAG54" s="196"/>
      <c r="JAH54" s="196"/>
      <c r="JAI54" s="196"/>
      <c r="JAJ54" s="196"/>
      <c r="JAK54" s="196"/>
      <c r="JAL54" s="196"/>
      <c r="JAM54" s="196"/>
      <c r="JAN54" s="196"/>
      <c r="JAO54" s="196"/>
      <c r="JAP54" s="196"/>
      <c r="JAQ54" s="196"/>
      <c r="JAR54" s="196"/>
      <c r="JAS54" s="196"/>
      <c r="JAT54" s="196"/>
      <c r="JAU54" s="196"/>
      <c r="JAV54" s="196"/>
      <c r="JAW54" s="196"/>
      <c r="JAX54" s="196"/>
      <c r="JAY54" s="196"/>
      <c r="JAZ54" s="196"/>
      <c r="JBA54" s="196"/>
      <c r="JBB54" s="196"/>
      <c r="JBC54" s="196"/>
      <c r="JBD54" s="196"/>
      <c r="JBE54" s="196"/>
      <c r="JBF54" s="196"/>
      <c r="JBG54" s="196"/>
      <c r="JBH54" s="196"/>
      <c r="JBI54" s="196"/>
      <c r="JBJ54" s="196"/>
      <c r="JBK54" s="196"/>
      <c r="JBL54" s="196"/>
      <c r="JBM54" s="196"/>
      <c r="JBN54" s="196"/>
      <c r="JBO54" s="196"/>
      <c r="JBP54" s="196"/>
      <c r="JBQ54" s="196"/>
      <c r="JBR54" s="196"/>
      <c r="JBS54" s="196"/>
      <c r="JBT54" s="196"/>
      <c r="JBU54" s="196"/>
      <c r="JBV54" s="196"/>
      <c r="JBW54" s="196"/>
      <c r="JBX54" s="196"/>
      <c r="JBY54" s="196"/>
      <c r="JBZ54" s="196"/>
      <c r="JCA54" s="196"/>
      <c r="JCB54" s="196"/>
      <c r="JCC54" s="196"/>
      <c r="JCD54" s="196"/>
      <c r="JCE54" s="196"/>
      <c r="JCF54" s="196"/>
      <c r="JCG54" s="196"/>
      <c r="JCH54" s="196"/>
      <c r="JCI54" s="196"/>
      <c r="JCJ54" s="196"/>
      <c r="JCK54" s="196"/>
      <c r="JCL54" s="196"/>
      <c r="JCM54" s="196"/>
      <c r="JCN54" s="196"/>
      <c r="JCO54" s="196"/>
      <c r="JCP54" s="196"/>
      <c r="JCQ54" s="196"/>
      <c r="JCR54" s="196"/>
      <c r="JCS54" s="196"/>
      <c r="JCT54" s="196"/>
      <c r="JCU54" s="196"/>
      <c r="JCV54" s="196"/>
      <c r="JCW54" s="196"/>
      <c r="JCX54" s="196"/>
      <c r="JCY54" s="196"/>
      <c r="JCZ54" s="196"/>
      <c r="JDA54" s="196"/>
      <c r="JDB54" s="196"/>
      <c r="JDC54" s="196"/>
      <c r="JDD54" s="196"/>
      <c r="JDE54" s="196"/>
      <c r="JDF54" s="196"/>
      <c r="JDG54" s="196"/>
      <c r="JDH54" s="196"/>
      <c r="JDI54" s="196"/>
      <c r="JDJ54" s="196"/>
      <c r="JDK54" s="196"/>
      <c r="JDL54" s="196"/>
      <c r="JDM54" s="196"/>
      <c r="JDN54" s="196"/>
      <c r="JDO54" s="196"/>
      <c r="JDP54" s="196"/>
      <c r="JDQ54" s="196"/>
      <c r="JDR54" s="196"/>
      <c r="JDS54" s="196"/>
      <c r="JDT54" s="196"/>
      <c r="JDU54" s="196"/>
      <c r="JDV54" s="196"/>
      <c r="JDW54" s="196"/>
      <c r="JDX54" s="196"/>
      <c r="JDY54" s="196"/>
      <c r="JDZ54" s="196"/>
      <c r="JEA54" s="196"/>
      <c r="JEB54" s="196"/>
      <c r="JEC54" s="196"/>
      <c r="JED54" s="196"/>
      <c r="JEE54" s="196"/>
      <c r="JEF54" s="196"/>
      <c r="JEG54" s="196"/>
      <c r="JEH54" s="196"/>
      <c r="JEI54" s="196"/>
      <c r="JEJ54" s="196"/>
      <c r="JEK54" s="196"/>
      <c r="JEL54" s="196"/>
      <c r="JEM54" s="196"/>
      <c r="JEN54" s="196"/>
      <c r="JEO54" s="196"/>
      <c r="JEP54" s="196"/>
      <c r="JEQ54" s="196"/>
      <c r="JER54" s="196"/>
      <c r="JES54" s="196"/>
      <c r="JET54" s="196"/>
      <c r="JEU54" s="196"/>
      <c r="JEV54" s="196"/>
      <c r="JEW54" s="196"/>
      <c r="JEX54" s="196"/>
      <c r="JEY54" s="196"/>
      <c r="JEZ54" s="196"/>
      <c r="JFA54" s="196"/>
      <c r="JFB54" s="196"/>
      <c r="JFC54" s="196"/>
      <c r="JFD54" s="196"/>
      <c r="JFE54" s="196"/>
      <c r="JFF54" s="196"/>
      <c r="JFG54" s="196"/>
      <c r="JFH54" s="196"/>
      <c r="JFI54" s="196"/>
      <c r="JFJ54" s="196"/>
      <c r="JFK54" s="196"/>
      <c r="JFL54" s="196"/>
      <c r="JFM54" s="196"/>
      <c r="JFN54" s="196"/>
      <c r="JFO54" s="196"/>
      <c r="JFP54" s="196"/>
      <c r="JFQ54" s="196"/>
      <c r="JFR54" s="196"/>
      <c r="JFS54" s="196"/>
      <c r="JFT54" s="196"/>
      <c r="JFU54" s="196"/>
      <c r="JFV54" s="196"/>
      <c r="JFW54" s="196"/>
      <c r="JFX54" s="196"/>
      <c r="JFY54" s="196"/>
      <c r="JFZ54" s="196"/>
      <c r="JGA54" s="196"/>
      <c r="JGB54" s="196"/>
      <c r="JGC54" s="196"/>
      <c r="JGD54" s="196"/>
      <c r="JGE54" s="196"/>
      <c r="JGF54" s="196"/>
      <c r="JGG54" s="196"/>
      <c r="JGH54" s="196"/>
      <c r="JGI54" s="196"/>
      <c r="JGJ54" s="196"/>
      <c r="JGK54" s="196"/>
      <c r="JGL54" s="196"/>
      <c r="JGM54" s="196"/>
      <c r="JGN54" s="196"/>
      <c r="JGO54" s="196"/>
      <c r="JGP54" s="196"/>
      <c r="JGQ54" s="196"/>
      <c r="JGR54" s="196"/>
      <c r="JGS54" s="196"/>
      <c r="JGT54" s="196"/>
      <c r="JGU54" s="196"/>
      <c r="JGV54" s="196"/>
      <c r="JGW54" s="196"/>
      <c r="JGX54" s="196"/>
      <c r="JGY54" s="196"/>
      <c r="JGZ54" s="196"/>
      <c r="JHA54" s="196"/>
      <c r="JHB54" s="196"/>
      <c r="JHC54" s="196"/>
      <c r="JHD54" s="196"/>
      <c r="JHE54" s="196"/>
      <c r="JHF54" s="196"/>
      <c r="JHG54" s="196"/>
      <c r="JHH54" s="196"/>
      <c r="JHI54" s="196"/>
      <c r="JHJ54" s="196"/>
      <c r="JHK54" s="196"/>
      <c r="JHL54" s="196"/>
      <c r="JHM54" s="196"/>
      <c r="JHN54" s="196"/>
      <c r="JHO54" s="196"/>
      <c r="JHP54" s="196"/>
      <c r="JHQ54" s="196"/>
      <c r="JHR54" s="196"/>
      <c r="JHS54" s="196"/>
      <c r="JHT54" s="196"/>
      <c r="JHU54" s="196"/>
      <c r="JHV54" s="196"/>
      <c r="JHW54" s="196"/>
      <c r="JHX54" s="196"/>
      <c r="JHY54" s="196"/>
      <c r="JHZ54" s="196"/>
      <c r="JIA54" s="196"/>
      <c r="JIB54" s="196"/>
      <c r="JIC54" s="196"/>
      <c r="JID54" s="196"/>
      <c r="JIE54" s="196"/>
      <c r="JIF54" s="196"/>
      <c r="JIG54" s="196"/>
      <c r="JIH54" s="196"/>
      <c r="JII54" s="196"/>
      <c r="JIJ54" s="196"/>
      <c r="JIK54" s="196"/>
      <c r="JIL54" s="196"/>
      <c r="JIM54" s="196"/>
      <c r="JIN54" s="196"/>
      <c r="JIO54" s="196"/>
      <c r="JIP54" s="196"/>
      <c r="JIQ54" s="196"/>
      <c r="JIR54" s="196"/>
      <c r="JIS54" s="196"/>
      <c r="JIT54" s="196"/>
      <c r="JIU54" s="196"/>
      <c r="JIV54" s="196"/>
      <c r="JIW54" s="196"/>
      <c r="JIX54" s="196"/>
      <c r="JIY54" s="196"/>
      <c r="JIZ54" s="196"/>
      <c r="JJA54" s="196"/>
      <c r="JJB54" s="196"/>
      <c r="JJC54" s="196"/>
      <c r="JJD54" s="196"/>
      <c r="JJE54" s="196"/>
      <c r="JJF54" s="196"/>
      <c r="JJG54" s="196"/>
      <c r="JJH54" s="196"/>
      <c r="JJI54" s="196"/>
      <c r="JJJ54" s="196"/>
      <c r="JJK54" s="196"/>
      <c r="JJL54" s="196"/>
      <c r="JJM54" s="196"/>
      <c r="JJN54" s="196"/>
      <c r="JJO54" s="196"/>
      <c r="JJP54" s="196"/>
      <c r="JJQ54" s="196"/>
      <c r="JJR54" s="196"/>
      <c r="JJS54" s="196"/>
      <c r="JJT54" s="196"/>
      <c r="JJU54" s="196"/>
      <c r="JJV54" s="196"/>
      <c r="JJW54" s="196"/>
      <c r="JJX54" s="196"/>
      <c r="JJY54" s="196"/>
      <c r="JJZ54" s="196"/>
      <c r="JKA54" s="196"/>
      <c r="JKB54" s="196"/>
      <c r="JKC54" s="196"/>
      <c r="JKD54" s="196"/>
      <c r="JKE54" s="196"/>
      <c r="JKF54" s="196"/>
      <c r="JKG54" s="196"/>
      <c r="JKH54" s="196"/>
      <c r="JKI54" s="196"/>
      <c r="JKJ54" s="196"/>
      <c r="JKK54" s="196"/>
      <c r="JKL54" s="196"/>
      <c r="JKM54" s="196"/>
      <c r="JKN54" s="196"/>
      <c r="JKO54" s="196"/>
      <c r="JKP54" s="196"/>
      <c r="JKQ54" s="196"/>
      <c r="JKR54" s="196"/>
      <c r="JKS54" s="196"/>
      <c r="JKT54" s="196"/>
      <c r="JKU54" s="196"/>
      <c r="JKV54" s="196"/>
      <c r="JKW54" s="196"/>
      <c r="JKX54" s="196"/>
      <c r="JKY54" s="196"/>
      <c r="JKZ54" s="196"/>
      <c r="JLA54" s="196"/>
      <c r="JLB54" s="196"/>
      <c r="JLC54" s="196"/>
      <c r="JLD54" s="196"/>
      <c r="JLE54" s="196"/>
      <c r="JLF54" s="196"/>
      <c r="JLG54" s="196"/>
      <c r="JLH54" s="196"/>
      <c r="JLI54" s="196"/>
      <c r="JLJ54" s="196"/>
      <c r="JLK54" s="196"/>
      <c r="JLL54" s="196"/>
      <c r="JLM54" s="196"/>
      <c r="JLN54" s="196"/>
      <c r="JLO54" s="196"/>
      <c r="JLP54" s="196"/>
      <c r="JLQ54" s="196"/>
      <c r="JLR54" s="196"/>
      <c r="JLS54" s="196"/>
      <c r="JLT54" s="196"/>
      <c r="JLU54" s="196"/>
      <c r="JLV54" s="196"/>
      <c r="JLW54" s="196"/>
      <c r="JLX54" s="196"/>
      <c r="JLY54" s="196"/>
      <c r="JLZ54" s="196"/>
      <c r="JMA54" s="196"/>
      <c r="JMB54" s="196"/>
      <c r="JMC54" s="196"/>
      <c r="JMD54" s="196"/>
      <c r="JME54" s="196"/>
      <c r="JMF54" s="196"/>
      <c r="JMG54" s="196"/>
      <c r="JMH54" s="196"/>
      <c r="JMI54" s="196"/>
      <c r="JMJ54" s="196"/>
      <c r="JMK54" s="196"/>
      <c r="JML54" s="196"/>
      <c r="JMM54" s="196"/>
      <c r="JMN54" s="196"/>
      <c r="JMO54" s="196"/>
      <c r="JMP54" s="196"/>
      <c r="JMQ54" s="196"/>
      <c r="JMR54" s="196"/>
      <c r="JMS54" s="196"/>
      <c r="JMT54" s="196"/>
      <c r="JMU54" s="196"/>
      <c r="JMV54" s="196"/>
      <c r="JMW54" s="196"/>
      <c r="JMX54" s="196"/>
      <c r="JMY54" s="196"/>
      <c r="JMZ54" s="196"/>
      <c r="JNA54" s="196"/>
      <c r="JNB54" s="196"/>
      <c r="JNC54" s="196"/>
      <c r="JND54" s="196"/>
      <c r="JNE54" s="196"/>
      <c r="JNF54" s="196"/>
      <c r="JNG54" s="196"/>
      <c r="JNH54" s="196"/>
      <c r="JNI54" s="196"/>
      <c r="JNJ54" s="196"/>
      <c r="JNK54" s="196"/>
      <c r="JNL54" s="196"/>
      <c r="JNM54" s="196"/>
      <c r="JNN54" s="196"/>
      <c r="JNO54" s="196"/>
      <c r="JNP54" s="196"/>
      <c r="JNQ54" s="196"/>
      <c r="JNR54" s="196"/>
      <c r="JNS54" s="196"/>
      <c r="JNT54" s="196"/>
      <c r="JNU54" s="196"/>
      <c r="JNV54" s="196"/>
      <c r="JNW54" s="196"/>
      <c r="JNX54" s="196"/>
      <c r="JNY54" s="196"/>
      <c r="JNZ54" s="196"/>
      <c r="JOA54" s="196"/>
      <c r="JOB54" s="196"/>
      <c r="JOC54" s="196"/>
      <c r="JOD54" s="196"/>
      <c r="JOE54" s="196"/>
      <c r="JOF54" s="196"/>
      <c r="JOG54" s="196"/>
      <c r="JOH54" s="196"/>
      <c r="JOI54" s="196"/>
      <c r="JOJ54" s="196"/>
      <c r="JOK54" s="196"/>
      <c r="JOL54" s="196"/>
      <c r="JOM54" s="196"/>
      <c r="JON54" s="196"/>
      <c r="JOO54" s="196"/>
      <c r="JOP54" s="196"/>
      <c r="JOQ54" s="196"/>
      <c r="JOR54" s="196"/>
      <c r="JOS54" s="196"/>
      <c r="JOT54" s="196"/>
      <c r="JOU54" s="196"/>
      <c r="JOV54" s="196"/>
      <c r="JOW54" s="196"/>
      <c r="JOX54" s="196"/>
      <c r="JOY54" s="196"/>
      <c r="JOZ54" s="196"/>
      <c r="JPA54" s="196"/>
      <c r="JPB54" s="196"/>
      <c r="JPC54" s="196"/>
      <c r="JPD54" s="196"/>
      <c r="JPE54" s="196"/>
      <c r="JPF54" s="196"/>
      <c r="JPG54" s="196"/>
      <c r="JPH54" s="196"/>
      <c r="JPI54" s="196"/>
      <c r="JPJ54" s="196"/>
      <c r="JPK54" s="196"/>
      <c r="JPL54" s="196"/>
      <c r="JPM54" s="196"/>
      <c r="JPN54" s="196"/>
      <c r="JPO54" s="196"/>
      <c r="JPP54" s="196"/>
      <c r="JPQ54" s="196"/>
      <c r="JPR54" s="196"/>
      <c r="JPS54" s="196"/>
      <c r="JPT54" s="196"/>
      <c r="JPU54" s="196"/>
      <c r="JPV54" s="196"/>
      <c r="JPW54" s="196"/>
      <c r="JPX54" s="196"/>
      <c r="JPY54" s="196"/>
      <c r="JPZ54" s="196"/>
      <c r="JQA54" s="196"/>
      <c r="JQB54" s="196"/>
      <c r="JQC54" s="196"/>
      <c r="JQD54" s="196"/>
      <c r="JQE54" s="196"/>
      <c r="JQF54" s="196"/>
      <c r="JQG54" s="196"/>
      <c r="JQH54" s="196"/>
      <c r="JQI54" s="196"/>
      <c r="JQJ54" s="196"/>
      <c r="JQK54" s="196"/>
      <c r="JQL54" s="196"/>
      <c r="JQM54" s="196"/>
      <c r="JQN54" s="196"/>
      <c r="JQO54" s="196"/>
      <c r="JQP54" s="196"/>
      <c r="JQQ54" s="196"/>
      <c r="JQR54" s="196"/>
      <c r="JQS54" s="196"/>
      <c r="JQT54" s="196"/>
      <c r="JQU54" s="196"/>
      <c r="JQV54" s="196"/>
      <c r="JQW54" s="196"/>
      <c r="JQX54" s="196"/>
      <c r="JQY54" s="196"/>
      <c r="JQZ54" s="196"/>
      <c r="JRA54" s="196"/>
      <c r="JRB54" s="196"/>
      <c r="JRC54" s="196"/>
      <c r="JRD54" s="196"/>
      <c r="JRE54" s="196"/>
      <c r="JRF54" s="196"/>
      <c r="JRG54" s="196"/>
      <c r="JRH54" s="196"/>
      <c r="JRI54" s="196"/>
      <c r="JRJ54" s="196"/>
      <c r="JRK54" s="196"/>
      <c r="JRL54" s="196"/>
      <c r="JRM54" s="196"/>
      <c r="JRN54" s="196"/>
      <c r="JRO54" s="196"/>
      <c r="JRP54" s="196"/>
      <c r="JRQ54" s="196"/>
      <c r="JRR54" s="196"/>
      <c r="JRS54" s="196"/>
      <c r="JRT54" s="196"/>
      <c r="JRU54" s="196"/>
      <c r="JRV54" s="196"/>
      <c r="JRW54" s="196"/>
      <c r="JRX54" s="196"/>
      <c r="JRY54" s="196"/>
      <c r="JRZ54" s="196"/>
      <c r="JSA54" s="196"/>
      <c r="JSB54" s="196"/>
      <c r="JSC54" s="196"/>
      <c r="JSD54" s="196"/>
      <c r="JSE54" s="196"/>
      <c r="JSF54" s="196"/>
      <c r="JSG54" s="196"/>
      <c r="JSH54" s="196"/>
      <c r="JSI54" s="196"/>
      <c r="JSJ54" s="196"/>
      <c r="JSK54" s="196"/>
      <c r="JSL54" s="196"/>
      <c r="JSM54" s="196"/>
      <c r="JSN54" s="196"/>
      <c r="JSO54" s="196"/>
      <c r="JSP54" s="196"/>
      <c r="JSQ54" s="196"/>
      <c r="JSR54" s="196"/>
      <c r="JSS54" s="196"/>
      <c r="JST54" s="196"/>
      <c r="JSU54" s="196"/>
      <c r="JSV54" s="196"/>
      <c r="JSW54" s="196"/>
      <c r="JSX54" s="196"/>
      <c r="JSY54" s="196"/>
      <c r="JSZ54" s="196"/>
      <c r="JTA54" s="196"/>
      <c r="JTB54" s="196"/>
      <c r="JTC54" s="196"/>
      <c r="JTD54" s="196"/>
      <c r="JTE54" s="196"/>
      <c r="JTF54" s="196"/>
      <c r="JTG54" s="196"/>
      <c r="JTH54" s="196"/>
      <c r="JTI54" s="196"/>
      <c r="JTJ54" s="196"/>
      <c r="JTK54" s="196"/>
      <c r="JTL54" s="196"/>
      <c r="JTM54" s="196"/>
      <c r="JTN54" s="196"/>
      <c r="JTO54" s="196"/>
      <c r="JTP54" s="196"/>
      <c r="JTQ54" s="196"/>
      <c r="JTR54" s="196"/>
      <c r="JTS54" s="196"/>
      <c r="JTT54" s="196"/>
      <c r="JTU54" s="196"/>
      <c r="JTV54" s="196"/>
      <c r="JTW54" s="196"/>
      <c r="JTX54" s="196"/>
      <c r="JTY54" s="196"/>
      <c r="JTZ54" s="196"/>
      <c r="JUA54" s="196"/>
      <c r="JUB54" s="196"/>
      <c r="JUC54" s="196"/>
      <c r="JUD54" s="196"/>
      <c r="JUE54" s="196"/>
      <c r="JUF54" s="196"/>
      <c r="JUG54" s="196"/>
      <c r="JUH54" s="196"/>
      <c r="JUI54" s="196"/>
      <c r="JUJ54" s="196"/>
      <c r="JUK54" s="196"/>
      <c r="JUL54" s="196"/>
      <c r="JUM54" s="196"/>
      <c r="JUN54" s="196"/>
      <c r="JUO54" s="196"/>
      <c r="JUP54" s="196"/>
      <c r="JUQ54" s="196"/>
      <c r="JUR54" s="196"/>
      <c r="JUS54" s="196"/>
      <c r="JUT54" s="196"/>
      <c r="JUU54" s="196"/>
      <c r="JUV54" s="196"/>
      <c r="JUW54" s="196"/>
      <c r="JUX54" s="196"/>
      <c r="JUY54" s="196"/>
      <c r="JUZ54" s="196"/>
      <c r="JVA54" s="196"/>
      <c r="JVB54" s="196"/>
      <c r="JVC54" s="196"/>
      <c r="JVD54" s="196"/>
      <c r="JVE54" s="196"/>
      <c r="JVF54" s="196"/>
      <c r="JVG54" s="196"/>
      <c r="JVH54" s="196"/>
      <c r="JVI54" s="196"/>
      <c r="JVJ54" s="196"/>
      <c r="JVK54" s="196"/>
      <c r="JVL54" s="196"/>
      <c r="JVM54" s="196"/>
      <c r="JVN54" s="196"/>
      <c r="JVO54" s="196"/>
      <c r="JVP54" s="196"/>
      <c r="JVQ54" s="196"/>
      <c r="JVR54" s="196"/>
      <c r="JVS54" s="196"/>
      <c r="JVT54" s="196"/>
      <c r="JVU54" s="196"/>
      <c r="JVV54" s="196"/>
      <c r="JVW54" s="196"/>
      <c r="JVX54" s="196"/>
      <c r="JVY54" s="196"/>
      <c r="JVZ54" s="196"/>
      <c r="JWA54" s="196"/>
      <c r="JWB54" s="196"/>
      <c r="JWC54" s="196"/>
      <c r="JWD54" s="196"/>
      <c r="JWE54" s="196"/>
      <c r="JWF54" s="196"/>
      <c r="JWG54" s="196"/>
      <c r="JWH54" s="196"/>
      <c r="JWI54" s="196"/>
      <c r="JWJ54" s="196"/>
      <c r="JWK54" s="196"/>
      <c r="JWL54" s="196"/>
      <c r="JWM54" s="196"/>
      <c r="JWN54" s="196"/>
      <c r="JWO54" s="196"/>
      <c r="JWP54" s="196"/>
      <c r="JWQ54" s="196"/>
      <c r="JWR54" s="196"/>
      <c r="JWS54" s="196"/>
      <c r="JWT54" s="196"/>
      <c r="JWU54" s="196"/>
      <c r="JWV54" s="196"/>
      <c r="JWW54" s="196"/>
      <c r="JWX54" s="196"/>
      <c r="JWY54" s="196"/>
      <c r="JWZ54" s="196"/>
      <c r="JXA54" s="196"/>
      <c r="JXB54" s="196"/>
      <c r="JXC54" s="196"/>
      <c r="JXD54" s="196"/>
      <c r="JXE54" s="196"/>
      <c r="JXF54" s="196"/>
      <c r="JXG54" s="196"/>
      <c r="JXH54" s="196"/>
      <c r="JXI54" s="196"/>
      <c r="JXJ54" s="196"/>
      <c r="JXK54" s="196"/>
      <c r="JXL54" s="196"/>
      <c r="JXM54" s="196"/>
      <c r="JXN54" s="196"/>
      <c r="JXO54" s="196"/>
      <c r="JXP54" s="196"/>
      <c r="JXQ54" s="196"/>
      <c r="JXR54" s="196"/>
      <c r="JXS54" s="196"/>
      <c r="JXT54" s="196"/>
      <c r="JXU54" s="196"/>
      <c r="JXV54" s="196"/>
      <c r="JXW54" s="196"/>
      <c r="JXX54" s="196"/>
      <c r="JXY54" s="196"/>
      <c r="JXZ54" s="196"/>
      <c r="JYA54" s="196"/>
      <c r="JYB54" s="196"/>
      <c r="JYC54" s="196"/>
      <c r="JYD54" s="196"/>
      <c r="JYE54" s="196"/>
      <c r="JYF54" s="196"/>
      <c r="JYG54" s="196"/>
      <c r="JYH54" s="196"/>
      <c r="JYI54" s="196"/>
      <c r="JYJ54" s="196"/>
      <c r="JYK54" s="196"/>
      <c r="JYL54" s="196"/>
      <c r="JYM54" s="196"/>
      <c r="JYN54" s="196"/>
      <c r="JYO54" s="196"/>
      <c r="JYP54" s="196"/>
      <c r="JYQ54" s="196"/>
      <c r="JYR54" s="196"/>
      <c r="JYS54" s="196"/>
      <c r="JYT54" s="196"/>
      <c r="JYU54" s="196"/>
      <c r="JYV54" s="196"/>
      <c r="JYW54" s="196"/>
      <c r="JYX54" s="196"/>
      <c r="JYY54" s="196"/>
      <c r="JYZ54" s="196"/>
      <c r="JZA54" s="196"/>
      <c r="JZB54" s="196"/>
      <c r="JZC54" s="196"/>
      <c r="JZD54" s="196"/>
      <c r="JZE54" s="196"/>
      <c r="JZF54" s="196"/>
      <c r="JZG54" s="196"/>
      <c r="JZH54" s="196"/>
      <c r="JZI54" s="196"/>
      <c r="JZJ54" s="196"/>
      <c r="JZK54" s="196"/>
      <c r="JZL54" s="196"/>
      <c r="JZM54" s="196"/>
      <c r="JZN54" s="196"/>
      <c r="JZO54" s="196"/>
      <c r="JZP54" s="196"/>
      <c r="JZQ54" s="196"/>
      <c r="JZR54" s="196"/>
      <c r="JZS54" s="196"/>
      <c r="JZT54" s="196"/>
      <c r="JZU54" s="196"/>
      <c r="JZV54" s="196"/>
      <c r="JZW54" s="196"/>
      <c r="JZX54" s="196"/>
      <c r="JZY54" s="196"/>
      <c r="JZZ54" s="196"/>
      <c r="KAA54" s="196"/>
      <c r="KAB54" s="196"/>
      <c r="KAC54" s="196"/>
      <c r="KAD54" s="196"/>
      <c r="KAE54" s="196"/>
      <c r="KAF54" s="196"/>
      <c r="KAG54" s="196"/>
      <c r="KAH54" s="196"/>
      <c r="KAI54" s="196"/>
      <c r="KAJ54" s="196"/>
      <c r="KAK54" s="196"/>
      <c r="KAL54" s="196"/>
      <c r="KAM54" s="196"/>
      <c r="KAN54" s="196"/>
      <c r="KAO54" s="196"/>
      <c r="KAP54" s="196"/>
      <c r="KAQ54" s="196"/>
      <c r="KAR54" s="196"/>
      <c r="KAS54" s="196"/>
      <c r="KAT54" s="196"/>
      <c r="KAU54" s="196"/>
      <c r="KAV54" s="196"/>
      <c r="KAW54" s="196"/>
      <c r="KAX54" s="196"/>
      <c r="KAY54" s="196"/>
      <c r="KAZ54" s="196"/>
      <c r="KBA54" s="196"/>
      <c r="KBB54" s="196"/>
      <c r="KBC54" s="196"/>
      <c r="KBD54" s="196"/>
      <c r="KBE54" s="196"/>
      <c r="KBF54" s="196"/>
      <c r="KBG54" s="196"/>
      <c r="KBH54" s="196"/>
      <c r="KBI54" s="196"/>
      <c r="KBJ54" s="196"/>
      <c r="KBK54" s="196"/>
      <c r="KBL54" s="196"/>
      <c r="KBM54" s="196"/>
      <c r="KBN54" s="196"/>
      <c r="KBO54" s="196"/>
      <c r="KBP54" s="196"/>
      <c r="KBQ54" s="196"/>
      <c r="KBR54" s="196"/>
      <c r="KBS54" s="196"/>
      <c r="KBT54" s="196"/>
      <c r="KBU54" s="196"/>
      <c r="KBV54" s="196"/>
      <c r="KBW54" s="196"/>
      <c r="KBX54" s="196"/>
      <c r="KBY54" s="196"/>
      <c r="KBZ54" s="196"/>
      <c r="KCA54" s="196"/>
      <c r="KCB54" s="196"/>
      <c r="KCC54" s="196"/>
      <c r="KCD54" s="196"/>
      <c r="KCE54" s="196"/>
      <c r="KCF54" s="196"/>
      <c r="KCG54" s="196"/>
      <c r="KCH54" s="196"/>
      <c r="KCI54" s="196"/>
      <c r="KCJ54" s="196"/>
      <c r="KCK54" s="196"/>
      <c r="KCL54" s="196"/>
      <c r="KCM54" s="196"/>
      <c r="KCN54" s="196"/>
      <c r="KCO54" s="196"/>
      <c r="KCP54" s="196"/>
      <c r="KCQ54" s="196"/>
      <c r="KCR54" s="196"/>
      <c r="KCS54" s="196"/>
      <c r="KCT54" s="196"/>
      <c r="KCU54" s="196"/>
      <c r="KCV54" s="196"/>
      <c r="KCW54" s="196"/>
      <c r="KCX54" s="196"/>
      <c r="KCY54" s="196"/>
      <c r="KCZ54" s="196"/>
      <c r="KDA54" s="196"/>
      <c r="KDB54" s="196"/>
      <c r="KDC54" s="196"/>
      <c r="KDD54" s="196"/>
      <c r="KDE54" s="196"/>
      <c r="KDF54" s="196"/>
      <c r="KDG54" s="196"/>
      <c r="KDH54" s="196"/>
      <c r="KDI54" s="196"/>
      <c r="KDJ54" s="196"/>
      <c r="KDK54" s="196"/>
      <c r="KDL54" s="196"/>
      <c r="KDM54" s="196"/>
      <c r="KDN54" s="196"/>
      <c r="KDO54" s="196"/>
      <c r="KDP54" s="196"/>
      <c r="KDQ54" s="196"/>
      <c r="KDR54" s="196"/>
      <c r="KDS54" s="196"/>
      <c r="KDT54" s="196"/>
      <c r="KDU54" s="196"/>
      <c r="KDV54" s="196"/>
      <c r="KDW54" s="196"/>
      <c r="KDX54" s="196"/>
      <c r="KDY54" s="196"/>
      <c r="KDZ54" s="196"/>
      <c r="KEA54" s="196"/>
      <c r="KEB54" s="196"/>
      <c r="KEC54" s="196"/>
      <c r="KED54" s="196"/>
      <c r="KEE54" s="196"/>
      <c r="KEF54" s="196"/>
      <c r="KEG54" s="196"/>
      <c r="KEH54" s="196"/>
      <c r="KEI54" s="196"/>
      <c r="KEJ54" s="196"/>
      <c r="KEK54" s="196"/>
      <c r="KEL54" s="196"/>
      <c r="KEM54" s="196"/>
      <c r="KEN54" s="196"/>
      <c r="KEO54" s="196"/>
      <c r="KEP54" s="196"/>
      <c r="KEQ54" s="196"/>
      <c r="KER54" s="196"/>
      <c r="KES54" s="196"/>
      <c r="KET54" s="196"/>
      <c r="KEU54" s="196"/>
      <c r="KEV54" s="196"/>
      <c r="KEW54" s="196"/>
      <c r="KEX54" s="196"/>
      <c r="KEY54" s="196"/>
      <c r="KEZ54" s="196"/>
      <c r="KFA54" s="196"/>
      <c r="KFB54" s="196"/>
      <c r="KFC54" s="196"/>
      <c r="KFD54" s="196"/>
      <c r="KFE54" s="196"/>
      <c r="KFF54" s="196"/>
      <c r="KFG54" s="196"/>
      <c r="KFH54" s="196"/>
      <c r="KFI54" s="196"/>
      <c r="KFJ54" s="196"/>
      <c r="KFK54" s="196"/>
      <c r="KFL54" s="196"/>
      <c r="KFM54" s="196"/>
      <c r="KFN54" s="196"/>
      <c r="KFO54" s="196"/>
      <c r="KFP54" s="196"/>
      <c r="KFQ54" s="196"/>
      <c r="KFR54" s="196"/>
      <c r="KFS54" s="196"/>
      <c r="KFT54" s="196"/>
      <c r="KFU54" s="196"/>
      <c r="KFV54" s="196"/>
      <c r="KFW54" s="196"/>
      <c r="KFX54" s="196"/>
      <c r="KFY54" s="196"/>
      <c r="KFZ54" s="196"/>
      <c r="KGA54" s="196"/>
      <c r="KGB54" s="196"/>
      <c r="KGC54" s="196"/>
      <c r="KGD54" s="196"/>
      <c r="KGE54" s="196"/>
      <c r="KGF54" s="196"/>
      <c r="KGG54" s="196"/>
      <c r="KGH54" s="196"/>
      <c r="KGI54" s="196"/>
      <c r="KGJ54" s="196"/>
      <c r="KGK54" s="196"/>
      <c r="KGL54" s="196"/>
      <c r="KGM54" s="196"/>
      <c r="KGN54" s="196"/>
      <c r="KGO54" s="196"/>
      <c r="KGP54" s="196"/>
      <c r="KGQ54" s="196"/>
      <c r="KGR54" s="196"/>
      <c r="KGS54" s="196"/>
      <c r="KGT54" s="196"/>
      <c r="KGU54" s="196"/>
      <c r="KGV54" s="196"/>
      <c r="KGW54" s="196"/>
      <c r="KGX54" s="196"/>
      <c r="KGY54" s="196"/>
      <c r="KGZ54" s="196"/>
      <c r="KHA54" s="196"/>
      <c r="KHB54" s="196"/>
      <c r="KHC54" s="196"/>
      <c r="KHD54" s="196"/>
      <c r="KHE54" s="196"/>
      <c r="KHF54" s="196"/>
      <c r="KHG54" s="196"/>
      <c r="KHH54" s="196"/>
      <c r="KHI54" s="196"/>
      <c r="KHJ54" s="196"/>
      <c r="KHK54" s="196"/>
      <c r="KHL54" s="196"/>
      <c r="KHM54" s="196"/>
      <c r="KHN54" s="196"/>
      <c r="KHO54" s="196"/>
      <c r="KHP54" s="196"/>
      <c r="KHQ54" s="196"/>
      <c r="KHR54" s="196"/>
      <c r="KHS54" s="196"/>
      <c r="KHT54" s="196"/>
      <c r="KHU54" s="196"/>
      <c r="KHV54" s="196"/>
      <c r="KHW54" s="196"/>
      <c r="KHX54" s="196"/>
      <c r="KHY54" s="196"/>
      <c r="KHZ54" s="196"/>
      <c r="KIA54" s="196"/>
      <c r="KIB54" s="196"/>
      <c r="KIC54" s="196"/>
      <c r="KID54" s="196"/>
      <c r="KIE54" s="196"/>
      <c r="KIF54" s="196"/>
      <c r="KIG54" s="196"/>
      <c r="KIH54" s="196"/>
      <c r="KII54" s="196"/>
      <c r="KIJ54" s="196"/>
      <c r="KIK54" s="196"/>
      <c r="KIL54" s="196"/>
      <c r="KIM54" s="196"/>
      <c r="KIN54" s="196"/>
      <c r="KIO54" s="196"/>
      <c r="KIP54" s="196"/>
      <c r="KIQ54" s="196"/>
      <c r="KIR54" s="196"/>
      <c r="KIS54" s="196"/>
      <c r="KIT54" s="196"/>
      <c r="KIU54" s="196"/>
      <c r="KIV54" s="196"/>
      <c r="KIW54" s="196"/>
      <c r="KIX54" s="196"/>
      <c r="KIY54" s="196"/>
      <c r="KIZ54" s="196"/>
      <c r="KJA54" s="196"/>
      <c r="KJB54" s="196"/>
      <c r="KJC54" s="196"/>
      <c r="KJD54" s="196"/>
      <c r="KJE54" s="196"/>
      <c r="KJF54" s="196"/>
      <c r="KJG54" s="196"/>
      <c r="KJH54" s="196"/>
      <c r="KJI54" s="196"/>
      <c r="KJJ54" s="196"/>
      <c r="KJK54" s="196"/>
      <c r="KJL54" s="196"/>
      <c r="KJM54" s="196"/>
      <c r="KJN54" s="196"/>
      <c r="KJO54" s="196"/>
      <c r="KJP54" s="196"/>
      <c r="KJQ54" s="196"/>
      <c r="KJR54" s="196"/>
      <c r="KJS54" s="196"/>
      <c r="KJT54" s="196"/>
      <c r="KJU54" s="196"/>
      <c r="KJV54" s="196"/>
      <c r="KJW54" s="196"/>
      <c r="KJX54" s="196"/>
      <c r="KJY54" s="196"/>
      <c r="KJZ54" s="196"/>
      <c r="KKA54" s="196"/>
      <c r="KKB54" s="196"/>
      <c r="KKC54" s="196"/>
      <c r="KKD54" s="196"/>
      <c r="KKE54" s="196"/>
      <c r="KKF54" s="196"/>
      <c r="KKG54" s="196"/>
      <c r="KKH54" s="196"/>
      <c r="KKI54" s="196"/>
      <c r="KKJ54" s="196"/>
      <c r="KKK54" s="196"/>
      <c r="KKL54" s="196"/>
      <c r="KKM54" s="196"/>
      <c r="KKN54" s="196"/>
      <c r="KKO54" s="196"/>
      <c r="KKP54" s="196"/>
      <c r="KKQ54" s="196"/>
      <c r="KKR54" s="196"/>
      <c r="KKS54" s="196"/>
      <c r="KKT54" s="196"/>
      <c r="KKU54" s="196"/>
      <c r="KKV54" s="196"/>
      <c r="KKW54" s="196"/>
      <c r="KKX54" s="196"/>
      <c r="KKY54" s="196"/>
      <c r="KKZ54" s="196"/>
      <c r="KLA54" s="196"/>
      <c r="KLB54" s="196"/>
      <c r="KLC54" s="196"/>
      <c r="KLD54" s="196"/>
      <c r="KLE54" s="196"/>
      <c r="KLF54" s="196"/>
      <c r="KLG54" s="196"/>
      <c r="KLH54" s="196"/>
      <c r="KLI54" s="196"/>
      <c r="KLJ54" s="196"/>
      <c r="KLK54" s="196"/>
      <c r="KLL54" s="196"/>
      <c r="KLM54" s="196"/>
      <c r="KLN54" s="196"/>
      <c r="KLO54" s="196"/>
      <c r="KLP54" s="196"/>
      <c r="KLQ54" s="196"/>
      <c r="KLR54" s="196"/>
      <c r="KLS54" s="196"/>
      <c r="KLT54" s="196"/>
      <c r="KLU54" s="196"/>
      <c r="KLV54" s="196"/>
      <c r="KLW54" s="196"/>
      <c r="KLX54" s="196"/>
      <c r="KLY54" s="196"/>
      <c r="KLZ54" s="196"/>
      <c r="KMA54" s="196"/>
      <c r="KMB54" s="196"/>
      <c r="KMC54" s="196"/>
      <c r="KMD54" s="196"/>
      <c r="KME54" s="196"/>
      <c r="KMF54" s="196"/>
      <c r="KMG54" s="196"/>
      <c r="KMH54" s="196"/>
      <c r="KMI54" s="196"/>
      <c r="KMJ54" s="196"/>
      <c r="KMK54" s="196"/>
      <c r="KML54" s="196"/>
      <c r="KMM54" s="196"/>
      <c r="KMN54" s="196"/>
      <c r="KMO54" s="196"/>
      <c r="KMP54" s="196"/>
      <c r="KMQ54" s="196"/>
      <c r="KMR54" s="196"/>
      <c r="KMS54" s="196"/>
      <c r="KMT54" s="196"/>
      <c r="KMU54" s="196"/>
      <c r="KMV54" s="196"/>
      <c r="KMW54" s="196"/>
      <c r="KMX54" s="196"/>
      <c r="KMY54" s="196"/>
      <c r="KMZ54" s="196"/>
      <c r="KNA54" s="196"/>
      <c r="KNB54" s="196"/>
      <c r="KNC54" s="196"/>
      <c r="KND54" s="196"/>
      <c r="KNE54" s="196"/>
      <c r="KNF54" s="196"/>
      <c r="KNG54" s="196"/>
      <c r="KNH54" s="196"/>
      <c r="KNI54" s="196"/>
      <c r="KNJ54" s="196"/>
      <c r="KNK54" s="196"/>
      <c r="KNL54" s="196"/>
      <c r="KNM54" s="196"/>
      <c r="KNN54" s="196"/>
      <c r="KNO54" s="196"/>
      <c r="KNP54" s="196"/>
      <c r="KNQ54" s="196"/>
      <c r="KNR54" s="196"/>
      <c r="KNS54" s="196"/>
      <c r="KNT54" s="196"/>
      <c r="KNU54" s="196"/>
      <c r="KNV54" s="196"/>
      <c r="KNW54" s="196"/>
      <c r="KNX54" s="196"/>
      <c r="KNY54" s="196"/>
      <c r="KNZ54" s="196"/>
      <c r="KOA54" s="196"/>
      <c r="KOB54" s="196"/>
      <c r="KOC54" s="196"/>
      <c r="KOD54" s="196"/>
      <c r="KOE54" s="196"/>
      <c r="KOF54" s="196"/>
      <c r="KOG54" s="196"/>
      <c r="KOH54" s="196"/>
      <c r="KOI54" s="196"/>
      <c r="KOJ54" s="196"/>
      <c r="KOK54" s="196"/>
      <c r="KOL54" s="196"/>
      <c r="KOM54" s="196"/>
      <c r="KON54" s="196"/>
      <c r="KOO54" s="196"/>
      <c r="KOP54" s="196"/>
      <c r="KOQ54" s="196"/>
      <c r="KOR54" s="196"/>
      <c r="KOS54" s="196"/>
      <c r="KOT54" s="196"/>
      <c r="KOU54" s="196"/>
      <c r="KOV54" s="196"/>
      <c r="KOW54" s="196"/>
      <c r="KOX54" s="196"/>
      <c r="KOY54" s="196"/>
      <c r="KOZ54" s="196"/>
      <c r="KPA54" s="196"/>
      <c r="KPB54" s="196"/>
      <c r="KPC54" s="196"/>
      <c r="KPD54" s="196"/>
      <c r="KPE54" s="196"/>
      <c r="KPF54" s="196"/>
      <c r="KPG54" s="196"/>
      <c r="KPH54" s="196"/>
      <c r="KPI54" s="196"/>
      <c r="KPJ54" s="196"/>
      <c r="KPK54" s="196"/>
      <c r="KPL54" s="196"/>
      <c r="KPM54" s="196"/>
      <c r="KPN54" s="196"/>
      <c r="KPO54" s="196"/>
      <c r="KPP54" s="196"/>
      <c r="KPQ54" s="196"/>
      <c r="KPR54" s="196"/>
      <c r="KPS54" s="196"/>
      <c r="KPT54" s="196"/>
      <c r="KPU54" s="196"/>
      <c r="KPV54" s="196"/>
      <c r="KPW54" s="196"/>
      <c r="KPX54" s="196"/>
      <c r="KPY54" s="196"/>
      <c r="KPZ54" s="196"/>
      <c r="KQA54" s="196"/>
      <c r="KQB54" s="196"/>
      <c r="KQC54" s="196"/>
      <c r="KQD54" s="196"/>
      <c r="KQE54" s="196"/>
      <c r="KQF54" s="196"/>
      <c r="KQG54" s="196"/>
      <c r="KQH54" s="196"/>
      <c r="KQI54" s="196"/>
      <c r="KQJ54" s="196"/>
      <c r="KQK54" s="196"/>
      <c r="KQL54" s="196"/>
      <c r="KQM54" s="196"/>
      <c r="KQN54" s="196"/>
      <c r="KQO54" s="196"/>
      <c r="KQP54" s="196"/>
      <c r="KQQ54" s="196"/>
      <c r="KQR54" s="196"/>
      <c r="KQS54" s="196"/>
      <c r="KQT54" s="196"/>
      <c r="KQU54" s="196"/>
      <c r="KQV54" s="196"/>
      <c r="KQW54" s="196"/>
      <c r="KQX54" s="196"/>
      <c r="KQY54" s="196"/>
      <c r="KQZ54" s="196"/>
      <c r="KRA54" s="196"/>
      <c r="KRB54" s="196"/>
      <c r="KRC54" s="196"/>
      <c r="KRD54" s="196"/>
      <c r="KRE54" s="196"/>
      <c r="KRF54" s="196"/>
      <c r="KRG54" s="196"/>
      <c r="KRH54" s="196"/>
      <c r="KRI54" s="196"/>
      <c r="KRJ54" s="196"/>
      <c r="KRK54" s="196"/>
      <c r="KRL54" s="196"/>
      <c r="KRM54" s="196"/>
      <c r="KRN54" s="196"/>
      <c r="KRO54" s="196"/>
      <c r="KRP54" s="196"/>
      <c r="KRQ54" s="196"/>
      <c r="KRR54" s="196"/>
      <c r="KRS54" s="196"/>
      <c r="KRT54" s="196"/>
      <c r="KRU54" s="196"/>
      <c r="KRV54" s="196"/>
      <c r="KRW54" s="196"/>
      <c r="KRX54" s="196"/>
      <c r="KRY54" s="196"/>
      <c r="KRZ54" s="196"/>
      <c r="KSA54" s="196"/>
      <c r="KSB54" s="196"/>
      <c r="KSC54" s="196"/>
      <c r="KSD54" s="196"/>
      <c r="KSE54" s="196"/>
      <c r="KSF54" s="196"/>
      <c r="KSG54" s="196"/>
      <c r="KSH54" s="196"/>
      <c r="KSI54" s="196"/>
      <c r="KSJ54" s="196"/>
      <c r="KSK54" s="196"/>
      <c r="KSL54" s="196"/>
      <c r="KSM54" s="196"/>
      <c r="KSN54" s="196"/>
      <c r="KSO54" s="196"/>
      <c r="KSP54" s="196"/>
      <c r="KSQ54" s="196"/>
      <c r="KSR54" s="196"/>
      <c r="KSS54" s="196"/>
      <c r="KST54" s="196"/>
      <c r="KSU54" s="196"/>
      <c r="KSV54" s="196"/>
      <c r="KSW54" s="196"/>
      <c r="KSX54" s="196"/>
      <c r="KSY54" s="196"/>
      <c r="KSZ54" s="196"/>
      <c r="KTA54" s="196"/>
      <c r="KTB54" s="196"/>
      <c r="KTC54" s="196"/>
      <c r="KTD54" s="196"/>
      <c r="KTE54" s="196"/>
      <c r="KTF54" s="196"/>
      <c r="KTG54" s="196"/>
      <c r="KTH54" s="196"/>
      <c r="KTI54" s="196"/>
      <c r="KTJ54" s="196"/>
      <c r="KTK54" s="196"/>
      <c r="KTL54" s="196"/>
      <c r="KTM54" s="196"/>
      <c r="KTN54" s="196"/>
      <c r="KTO54" s="196"/>
      <c r="KTP54" s="196"/>
      <c r="KTQ54" s="196"/>
      <c r="KTR54" s="196"/>
      <c r="KTS54" s="196"/>
      <c r="KTT54" s="196"/>
      <c r="KTU54" s="196"/>
      <c r="KTV54" s="196"/>
      <c r="KTW54" s="196"/>
      <c r="KTX54" s="196"/>
      <c r="KTY54" s="196"/>
      <c r="KTZ54" s="196"/>
      <c r="KUA54" s="196"/>
      <c r="KUB54" s="196"/>
      <c r="KUC54" s="196"/>
      <c r="KUD54" s="196"/>
      <c r="KUE54" s="196"/>
      <c r="KUF54" s="196"/>
      <c r="KUG54" s="196"/>
      <c r="KUH54" s="196"/>
      <c r="KUI54" s="196"/>
      <c r="KUJ54" s="196"/>
      <c r="KUK54" s="196"/>
      <c r="KUL54" s="196"/>
      <c r="KUM54" s="196"/>
      <c r="KUN54" s="196"/>
      <c r="KUO54" s="196"/>
      <c r="KUP54" s="196"/>
      <c r="KUQ54" s="196"/>
      <c r="KUR54" s="196"/>
      <c r="KUS54" s="196"/>
      <c r="KUT54" s="196"/>
      <c r="KUU54" s="196"/>
      <c r="KUV54" s="196"/>
      <c r="KUW54" s="196"/>
      <c r="KUX54" s="196"/>
      <c r="KUY54" s="196"/>
      <c r="KUZ54" s="196"/>
      <c r="KVA54" s="196"/>
      <c r="KVB54" s="196"/>
      <c r="KVC54" s="196"/>
      <c r="KVD54" s="196"/>
      <c r="KVE54" s="196"/>
      <c r="KVF54" s="196"/>
      <c r="KVG54" s="196"/>
      <c r="KVH54" s="196"/>
      <c r="KVI54" s="196"/>
      <c r="KVJ54" s="196"/>
      <c r="KVK54" s="196"/>
      <c r="KVL54" s="196"/>
      <c r="KVM54" s="196"/>
      <c r="KVN54" s="196"/>
      <c r="KVO54" s="196"/>
      <c r="KVP54" s="196"/>
      <c r="KVQ54" s="196"/>
      <c r="KVR54" s="196"/>
      <c r="KVS54" s="196"/>
      <c r="KVT54" s="196"/>
      <c r="KVU54" s="196"/>
      <c r="KVV54" s="196"/>
      <c r="KVW54" s="196"/>
      <c r="KVX54" s="196"/>
      <c r="KVY54" s="196"/>
      <c r="KVZ54" s="196"/>
      <c r="KWA54" s="196"/>
      <c r="KWB54" s="196"/>
      <c r="KWC54" s="196"/>
      <c r="KWD54" s="196"/>
      <c r="KWE54" s="196"/>
      <c r="KWF54" s="196"/>
      <c r="KWG54" s="196"/>
      <c r="KWH54" s="196"/>
      <c r="KWI54" s="196"/>
      <c r="KWJ54" s="196"/>
      <c r="KWK54" s="196"/>
      <c r="KWL54" s="196"/>
      <c r="KWM54" s="196"/>
      <c r="KWN54" s="196"/>
      <c r="KWO54" s="196"/>
      <c r="KWP54" s="196"/>
      <c r="KWQ54" s="196"/>
      <c r="KWR54" s="196"/>
      <c r="KWS54" s="196"/>
      <c r="KWT54" s="196"/>
      <c r="KWU54" s="196"/>
      <c r="KWV54" s="196"/>
      <c r="KWW54" s="196"/>
      <c r="KWX54" s="196"/>
      <c r="KWY54" s="196"/>
      <c r="KWZ54" s="196"/>
      <c r="KXA54" s="196"/>
      <c r="KXB54" s="196"/>
      <c r="KXC54" s="196"/>
      <c r="KXD54" s="196"/>
      <c r="KXE54" s="196"/>
      <c r="KXF54" s="196"/>
      <c r="KXG54" s="196"/>
      <c r="KXH54" s="196"/>
      <c r="KXI54" s="196"/>
      <c r="KXJ54" s="196"/>
      <c r="KXK54" s="196"/>
      <c r="KXL54" s="196"/>
      <c r="KXM54" s="196"/>
      <c r="KXN54" s="196"/>
      <c r="KXO54" s="196"/>
      <c r="KXP54" s="196"/>
      <c r="KXQ54" s="196"/>
      <c r="KXR54" s="196"/>
      <c r="KXS54" s="196"/>
      <c r="KXT54" s="196"/>
      <c r="KXU54" s="196"/>
      <c r="KXV54" s="196"/>
      <c r="KXW54" s="196"/>
      <c r="KXX54" s="196"/>
      <c r="KXY54" s="196"/>
      <c r="KXZ54" s="196"/>
      <c r="KYA54" s="196"/>
      <c r="KYB54" s="196"/>
      <c r="KYC54" s="196"/>
      <c r="KYD54" s="196"/>
      <c r="KYE54" s="196"/>
      <c r="KYF54" s="196"/>
      <c r="KYG54" s="196"/>
      <c r="KYH54" s="196"/>
      <c r="KYI54" s="196"/>
      <c r="KYJ54" s="196"/>
      <c r="KYK54" s="196"/>
      <c r="KYL54" s="196"/>
      <c r="KYM54" s="196"/>
      <c r="KYN54" s="196"/>
      <c r="KYO54" s="196"/>
      <c r="KYP54" s="196"/>
      <c r="KYQ54" s="196"/>
      <c r="KYR54" s="196"/>
      <c r="KYS54" s="196"/>
      <c r="KYT54" s="196"/>
      <c r="KYU54" s="196"/>
      <c r="KYV54" s="196"/>
      <c r="KYW54" s="196"/>
      <c r="KYX54" s="196"/>
      <c r="KYY54" s="196"/>
      <c r="KYZ54" s="196"/>
      <c r="KZA54" s="196"/>
      <c r="KZB54" s="196"/>
      <c r="KZC54" s="196"/>
      <c r="KZD54" s="196"/>
      <c r="KZE54" s="196"/>
      <c r="KZF54" s="196"/>
      <c r="KZG54" s="196"/>
      <c r="KZH54" s="196"/>
      <c r="KZI54" s="196"/>
      <c r="KZJ54" s="196"/>
      <c r="KZK54" s="196"/>
      <c r="KZL54" s="196"/>
      <c r="KZM54" s="196"/>
      <c r="KZN54" s="196"/>
      <c r="KZO54" s="196"/>
      <c r="KZP54" s="196"/>
      <c r="KZQ54" s="196"/>
      <c r="KZR54" s="196"/>
      <c r="KZS54" s="196"/>
      <c r="KZT54" s="196"/>
      <c r="KZU54" s="196"/>
      <c r="KZV54" s="196"/>
      <c r="KZW54" s="196"/>
      <c r="KZX54" s="196"/>
      <c r="KZY54" s="196"/>
      <c r="KZZ54" s="196"/>
      <c r="LAA54" s="196"/>
      <c r="LAB54" s="196"/>
      <c r="LAC54" s="196"/>
      <c r="LAD54" s="196"/>
      <c r="LAE54" s="196"/>
      <c r="LAF54" s="196"/>
      <c r="LAG54" s="196"/>
      <c r="LAH54" s="196"/>
      <c r="LAI54" s="196"/>
      <c r="LAJ54" s="196"/>
      <c r="LAK54" s="196"/>
      <c r="LAL54" s="196"/>
      <c r="LAM54" s="196"/>
      <c r="LAN54" s="196"/>
      <c r="LAO54" s="196"/>
      <c r="LAP54" s="196"/>
      <c r="LAQ54" s="196"/>
      <c r="LAR54" s="196"/>
      <c r="LAS54" s="196"/>
      <c r="LAT54" s="196"/>
      <c r="LAU54" s="196"/>
      <c r="LAV54" s="196"/>
      <c r="LAW54" s="196"/>
      <c r="LAX54" s="196"/>
      <c r="LAY54" s="196"/>
      <c r="LAZ54" s="196"/>
      <c r="LBA54" s="196"/>
      <c r="LBB54" s="196"/>
      <c r="LBC54" s="196"/>
      <c r="LBD54" s="196"/>
      <c r="LBE54" s="196"/>
      <c r="LBF54" s="196"/>
      <c r="LBG54" s="196"/>
      <c r="LBH54" s="196"/>
      <c r="LBI54" s="196"/>
      <c r="LBJ54" s="196"/>
      <c r="LBK54" s="196"/>
      <c r="LBL54" s="196"/>
      <c r="LBM54" s="196"/>
      <c r="LBN54" s="196"/>
      <c r="LBO54" s="196"/>
      <c r="LBP54" s="196"/>
      <c r="LBQ54" s="196"/>
      <c r="LBR54" s="196"/>
      <c r="LBS54" s="196"/>
      <c r="LBT54" s="196"/>
      <c r="LBU54" s="196"/>
      <c r="LBV54" s="196"/>
      <c r="LBW54" s="196"/>
      <c r="LBX54" s="196"/>
      <c r="LBY54" s="196"/>
      <c r="LBZ54" s="196"/>
      <c r="LCA54" s="196"/>
      <c r="LCB54" s="196"/>
      <c r="LCC54" s="196"/>
      <c r="LCD54" s="196"/>
      <c r="LCE54" s="196"/>
      <c r="LCF54" s="196"/>
      <c r="LCG54" s="196"/>
      <c r="LCH54" s="196"/>
      <c r="LCI54" s="196"/>
      <c r="LCJ54" s="196"/>
      <c r="LCK54" s="196"/>
      <c r="LCL54" s="196"/>
      <c r="LCM54" s="196"/>
      <c r="LCN54" s="196"/>
      <c r="LCO54" s="196"/>
      <c r="LCP54" s="196"/>
      <c r="LCQ54" s="196"/>
      <c r="LCR54" s="196"/>
      <c r="LCS54" s="196"/>
      <c r="LCT54" s="196"/>
      <c r="LCU54" s="196"/>
      <c r="LCV54" s="196"/>
      <c r="LCW54" s="196"/>
      <c r="LCX54" s="196"/>
      <c r="LCY54" s="196"/>
      <c r="LCZ54" s="196"/>
      <c r="LDA54" s="196"/>
      <c r="LDB54" s="196"/>
      <c r="LDC54" s="196"/>
      <c r="LDD54" s="196"/>
      <c r="LDE54" s="196"/>
      <c r="LDF54" s="196"/>
      <c r="LDG54" s="196"/>
      <c r="LDH54" s="196"/>
      <c r="LDI54" s="196"/>
      <c r="LDJ54" s="196"/>
      <c r="LDK54" s="196"/>
      <c r="LDL54" s="196"/>
      <c r="LDM54" s="196"/>
      <c r="LDN54" s="196"/>
      <c r="LDO54" s="196"/>
      <c r="LDP54" s="196"/>
      <c r="LDQ54" s="196"/>
      <c r="LDR54" s="196"/>
      <c r="LDS54" s="196"/>
      <c r="LDT54" s="196"/>
      <c r="LDU54" s="196"/>
      <c r="LDV54" s="196"/>
      <c r="LDW54" s="196"/>
      <c r="LDX54" s="196"/>
      <c r="LDY54" s="196"/>
      <c r="LDZ54" s="196"/>
      <c r="LEA54" s="196"/>
      <c r="LEB54" s="196"/>
      <c r="LEC54" s="196"/>
      <c r="LED54" s="196"/>
      <c r="LEE54" s="196"/>
      <c r="LEF54" s="196"/>
      <c r="LEG54" s="196"/>
      <c r="LEH54" s="196"/>
      <c r="LEI54" s="196"/>
      <c r="LEJ54" s="196"/>
      <c r="LEK54" s="196"/>
      <c r="LEL54" s="196"/>
      <c r="LEM54" s="196"/>
      <c r="LEN54" s="196"/>
      <c r="LEO54" s="196"/>
      <c r="LEP54" s="196"/>
      <c r="LEQ54" s="196"/>
      <c r="LER54" s="196"/>
      <c r="LES54" s="196"/>
      <c r="LET54" s="196"/>
      <c r="LEU54" s="196"/>
      <c r="LEV54" s="196"/>
      <c r="LEW54" s="196"/>
      <c r="LEX54" s="196"/>
      <c r="LEY54" s="196"/>
      <c r="LEZ54" s="196"/>
      <c r="LFA54" s="196"/>
      <c r="LFB54" s="196"/>
      <c r="LFC54" s="196"/>
      <c r="LFD54" s="196"/>
      <c r="LFE54" s="196"/>
      <c r="LFF54" s="196"/>
      <c r="LFG54" s="196"/>
      <c r="LFH54" s="196"/>
      <c r="LFI54" s="196"/>
      <c r="LFJ54" s="196"/>
      <c r="LFK54" s="196"/>
      <c r="LFL54" s="196"/>
      <c r="LFM54" s="196"/>
      <c r="LFN54" s="196"/>
      <c r="LFO54" s="196"/>
      <c r="LFP54" s="196"/>
      <c r="LFQ54" s="196"/>
      <c r="LFR54" s="196"/>
      <c r="LFS54" s="196"/>
      <c r="LFT54" s="196"/>
      <c r="LFU54" s="196"/>
      <c r="LFV54" s="196"/>
      <c r="LFW54" s="196"/>
      <c r="LFX54" s="196"/>
      <c r="LFY54" s="196"/>
      <c r="LFZ54" s="196"/>
      <c r="LGA54" s="196"/>
      <c r="LGB54" s="196"/>
      <c r="LGC54" s="196"/>
      <c r="LGD54" s="196"/>
      <c r="LGE54" s="196"/>
      <c r="LGF54" s="196"/>
      <c r="LGG54" s="196"/>
      <c r="LGH54" s="196"/>
      <c r="LGI54" s="196"/>
      <c r="LGJ54" s="196"/>
      <c r="LGK54" s="196"/>
      <c r="LGL54" s="196"/>
      <c r="LGM54" s="196"/>
      <c r="LGN54" s="196"/>
      <c r="LGO54" s="196"/>
      <c r="LGP54" s="196"/>
      <c r="LGQ54" s="196"/>
      <c r="LGR54" s="196"/>
      <c r="LGS54" s="196"/>
      <c r="LGT54" s="196"/>
      <c r="LGU54" s="196"/>
      <c r="LGV54" s="196"/>
      <c r="LGW54" s="196"/>
      <c r="LGX54" s="196"/>
      <c r="LGY54" s="196"/>
      <c r="LGZ54" s="196"/>
      <c r="LHA54" s="196"/>
      <c r="LHB54" s="196"/>
      <c r="LHC54" s="196"/>
      <c r="LHD54" s="196"/>
      <c r="LHE54" s="196"/>
      <c r="LHF54" s="196"/>
      <c r="LHG54" s="196"/>
      <c r="LHH54" s="196"/>
      <c r="LHI54" s="196"/>
      <c r="LHJ54" s="196"/>
      <c r="LHK54" s="196"/>
      <c r="LHL54" s="196"/>
      <c r="LHM54" s="196"/>
      <c r="LHN54" s="196"/>
      <c r="LHO54" s="196"/>
      <c r="LHP54" s="196"/>
      <c r="LHQ54" s="196"/>
      <c r="LHR54" s="196"/>
      <c r="LHS54" s="196"/>
      <c r="LHT54" s="196"/>
      <c r="LHU54" s="196"/>
      <c r="LHV54" s="196"/>
      <c r="LHW54" s="196"/>
      <c r="LHX54" s="196"/>
      <c r="LHY54" s="196"/>
      <c r="LHZ54" s="196"/>
      <c r="LIA54" s="196"/>
      <c r="LIB54" s="196"/>
      <c r="LIC54" s="196"/>
      <c r="LID54" s="196"/>
      <c r="LIE54" s="196"/>
      <c r="LIF54" s="196"/>
      <c r="LIG54" s="196"/>
      <c r="LIH54" s="196"/>
      <c r="LII54" s="196"/>
      <c r="LIJ54" s="196"/>
      <c r="LIK54" s="196"/>
      <c r="LIL54" s="196"/>
      <c r="LIM54" s="196"/>
      <c r="LIN54" s="196"/>
      <c r="LIO54" s="196"/>
      <c r="LIP54" s="196"/>
      <c r="LIQ54" s="196"/>
      <c r="LIR54" s="196"/>
      <c r="LIS54" s="196"/>
      <c r="LIT54" s="196"/>
      <c r="LIU54" s="196"/>
      <c r="LIV54" s="196"/>
      <c r="LIW54" s="196"/>
      <c r="LIX54" s="196"/>
      <c r="LIY54" s="196"/>
      <c r="LIZ54" s="196"/>
      <c r="LJA54" s="196"/>
      <c r="LJB54" s="196"/>
      <c r="LJC54" s="196"/>
      <c r="LJD54" s="196"/>
      <c r="LJE54" s="196"/>
      <c r="LJF54" s="196"/>
      <c r="LJG54" s="196"/>
      <c r="LJH54" s="196"/>
      <c r="LJI54" s="196"/>
      <c r="LJJ54" s="196"/>
      <c r="LJK54" s="196"/>
      <c r="LJL54" s="196"/>
      <c r="LJM54" s="196"/>
      <c r="LJN54" s="196"/>
      <c r="LJO54" s="196"/>
      <c r="LJP54" s="196"/>
      <c r="LJQ54" s="196"/>
      <c r="LJR54" s="196"/>
      <c r="LJS54" s="196"/>
      <c r="LJT54" s="196"/>
      <c r="LJU54" s="196"/>
      <c r="LJV54" s="196"/>
      <c r="LJW54" s="196"/>
      <c r="LJX54" s="196"/>
      <c r="LJY54" s="196"/>
      <c r="LJZ54" s="196"/>
      <c r="LKA54" s="196"/>
      <c r="LKB54" s="196"/>
      <c r="LKC54" s="196"/>
      <c r="LKD54" s="196"/>
      <c r="LKE54" s="196"/>
      <c r="LKF54" s="196"/>
      <c r="LKG54" s="196"/>
      <c r="LKH54" s="196"/>
      <c r="LKI54" s="196"/>
      <c r="LKJ54" s="196"/>
      <c r="LKK54" s="196"/>
      <c r="LKL54" s="196"/>
      <c r="LKM54" s="196"/>
      <c r="LKN54" s="196"/>
      <c r="LKO54" s="196"/>
      <c r="LKP54" s="196"/>
      <c r="LKQ54" s="196"/>
      <c r="LKR54" s="196"/>
      <c r="LKS54" s="196"/>
      <c r="LKT54" s="196"/>
      <c r="LKU54" s="196"/>
      <c r="LKV54" s="196"/>
      <c r="LKW54" s="196"/>
      <c r="LKX54" s="196"/>
      <c r="LKY54" s="196"/>
      <c r="LKZ54" s="196"/>
      <c r="LLA54" s="196"/>
      <c r="LLB54" s="196"/>
      <c r="LLC54" s="196"/>
      <c r="LLD54" s="196"/>
      <c r="LLE54" s="196"/>
      <c r="LLF54" s="196"/>
      <c r="LLG54" s="196"/>
      <c r="LLH54" s="196"/>
      <c r="LLI54" s="196"/>
      <c r="LLJ54" s="196"/>
      <c r="LLK54" s="196"/>
      <c r="LLL54" s="196"/>
      <c r="LLM54" s="196"/>
      <c r="LLN54" s="196"/>
      <c r="LLO54" s="196"/>
      <c r="LLP54" s="196"/>
      <c r="LLQ54" s="196"/>
      <c r="LLR54" s="196"/>
      <c r="LLS54" s="196"/>
      <c r="LLT54" s="196"/>
      <c r="LLU54" s="196"/>
      <c r="LLV54" s="196"/>
      <c r="LLW54" s="196"/>
      <c r="LLX54" s="196"/>
      <c r="LLY54" s="196"/>
      <c r="LLZ54" s="196"/>
      <c r="LMA54" s="196"/>
      <c r="LMB54" s="196"/>
      <c r="LMC54" s="196"/>
      <c r="LMD54" s="196"/>
      <c r="LME54" s="196"/>
      <c r="LMF54" s="196"/>
      <c r="LMG54" s="196"/>
      <c r="LMH54" s="196"/>
      <c r="LMI54" s="196"/>
      <c r="LMJ54" s="196"/>
      <c r="LMK54" s="196"/>
      <c r="LML54" s="196"/>
      <c r="LMM54" s="196"/>
      <c r="LMN54" s="196"/>
      <c r="LMO54" s="196"/>
      <c r="LMP54" s="196"/>
      <c r="LMQ54" s="196"/>
      <c r="LMR54" s="196"/>
      <c r="LMS54" s="196"/>
      <c r="LMT54" s="196"/>
      <c r="LMU54" s="196"/>
      <c r="LMV54" s="196"/>
      <c r="LMW54" s="196"/>
      <c r="LMX54" s="196"/>
      <c r="LMY54" s="196"/>
      <c r="LMZ54" s="196"/>
      <c r="LNA54" s="196"/>
      <c r="LNB54" s="196"/>
      <c r="LNC54" s="196"/>
      <c r="LND54" s="196"/>
      <c r="LNE54" s="196"/>
      <c r="LNF54" s="196"/>
      <c r="LNG54" s="196"/>
      <c r="LNH54" s="196"/>
      <c r="LNI54" s="196"/>
      <c r="LNJ54" s="196"/>
      <c r="LNK54" s="196"/>
      <c r="LNL54" s="196"/>
      <c r="LNM54" s="196"/>
      <c r="LNN54" s="196"/>
      <c r="LNO54" s="196"/>
      <c r="LNP54" s="196"/>
      <c r="LNQ54" s="196"/>
      <c r="LNR54" s="196"/>
      <c r="LNS54" s="196"/>
      <c r="LNT54" s="196"/>
      <c r="LNU54" s="196"/>
      <c r="LNV54" s="196"/>
      <c r="LNW54" s="196"/>
      <c r="LNX54" s="196"/>
      <c r="LNY54" s="196"/>
      <c r="LNZ54" s="196"/>
      <c r="LOA54" s="196"/>
      <c r="LOB54" s="196"/>
      <c r="LOC54" s="196"/>
      <c r="LOD54" s="196"/>
      <c r="LOE54" s="196"/>
      <c r="LOF54" s="196"/>
      <c r="LOG54" s="196"/>
      <c r="LOH54" s="196"/>
      <c r="LOI54" s="196"/>
      <c r="LOJ54" s="196"/>
      <c r="LOK54" s="196"/>
      <c r="LOL54" s="196"/>
      <c r="LOM54" s="196"/>
      <c r="LON54" s="196"/>
      <c r="LOO54" s="196"/>
      <c r="LOP54" s="196"/>
      <c r="LOQ54" s="196"/>
      <c r="LOR54" s="196"/>
      <c r="LOS54" s="196"/>
      <c r="LOT54" s="196"/>
      <c r="LOU54" s="196"/>
      <c r="LOV54" s="196"/>
      <c r="LOW54" s="196"/>
      <c r="LOX54" s="196"/>
      <c r="LOY54" s="196"/>
      <c r="LOZ54" s="196"/>
      <c r="LPA54" s="196"/>
      <c r="LPB54" s="196"/>
      <c r="LPC54" s="196"/>
      <c r="LPD54" s="196"/>
      <c r="LPE54" s="196"/>
      <c r="LPF54" s="196"/>
      <c r="LPG54" s="196"/>
      <c r="LPH54" s="196"/>
      <c r="LPI54" s="196"/>
      <c r="LPJ54" s="196"/>
      <c r="LPK54" s="196"/>
      <c r="LPL54" s="196"/>
      <c r="LPM54" s="196"/>
      <c r="LPN54" s="196"/>
      <c r="LPO54" s="196"/>
      <c r="LPP54" s="196"/>
      <c r="LPQ54" s="196"/>
      <c r="LPR54" s="196"/>
      <c r="LPS54" s="196"/>
      <c r="LPT54" s="196"/>
      <c r="LPU54" s="196"/>
      <c r="LPV54" s="196"/>
      <c r="LPW54" s="196"/>
      <c r="LPX54" s="196"/>
      <c r="LPY54" s="196"/>
      <c r="LPZ54" s="196"/>
      <c r="LQA54" s="196"/>
      <c r="LQB54" s="196"/>
      <c r="LQC54" s="196"/>
      <c r="LQD54" s="196"/>
      <c r="LQE54" s="196"/>
      <c r="LQF54" s="196"/>
      <c r="LQG54" s="196"/>
      <c r="LQH54" s="196"/>
      <c r="LQI54" s="196"/>
      <c r="LQJ54" s="196"/>
      <c r="LQK54" s="196"/>
      <c r="LQL54" s="196"/>
      <c r="LQM54" s="196"/>
      <c r="LQN54" s="196"/>
      <c r="LQO54" s="196"/>
      <c r="LQP54" s="196"/>
      <c r="LQQ54" s="196"/>
      <c r="LQR54" s="196"/>
      <c r="LQS54" s="196"/>
      <c r="LQT54" s="196"/>
      <c r="LQU54" s="196"/>
      <c r="LQV54" s="196"/>
      <c r="LQW54" s="196"/>
      <c r="LQX54" s="196"/>
      <c r="LQY54" s="196"/>
      <c r="LQZ54" s="196"/>
      <c r="LRA54" s="196"/>
      <c r="LRB54" s="196"/>
      <c r="LRC54" s="196"/>
      <c r="LRD54" s="196"/>
      <c r="LRE54" s="196"/>
      <c r="LRF54" s="196"/>
      <c r="LRG54" s="196"/>
      <c r="LRH54" s="196"/>
      <c r="LRI54" s="196"/>
      <c r="LRJ54" s="196"/>
      <c r="LRK54" s="196"/>
      <c r="LRL54" s="196"/>
      <c r="LRM54" s="196"/>
      <c r="LRN54" s="196"/>
      <c r="LRO54" s="196"/>
      <c r="LRP54" s="196"/>
      <c r="LRQ54" s="196"/>
      <c r="LRR54" s="196"/>
      <c r="LRS54" s="196"/>
      <c r="LRT54" s="196"/>
      <c r="LRU54" s="196"/>
      <c r="LRV54" s="196"/>
      <c r="LRW54" s="196"/>
      <c r="LRX54" s="196"/>
      <c r="LRY54" s="196"/>
      <c r="LRZ54" s="196"/>
      <c r="LSA54" s="196"/>
      <c r="LSB54" s="196"/>
      <c r="LSC54" s="196"/>
      <c r="LSD54" s="196"/>
      <c r="LSE54" s="196"/>
      <c r="LSF54" s="196"/>
      <c r="LSG54" s="196"/>
      <c r="LSH54" s="196"/>
      <c r="LSI54" s="196"/>
      <c r="LSJ54" s="196"/>
      <c r="LSK54" s="196"/>
      <c r="LSL54" s="196"/>
      <c r="LSM54" s="196"/>
      <c r="LSN54" s="196"/>
      <c r="LSO54" s="196"/>
      <c r="LSP54" s="196"/>
      <c r="LSQ54" s="196"/>
      <c r="LSR54" s="196"/>
      <c r="LSS54" s="196"/>
      <c r="LST54" s="196"/>
      <c r="LSU54" s="196"/>
      <c r="LSV54" s="196"/>
      <c r="LSW54" s="196"/>
      <c r="LSX54" s="196"/>
      <c r="LSY54" s="196"/>
      <c r="LSZ54" s="196"/>
      <c r="LTA54" s="196"/>
      <c r="LTB54" s="196"/>
      <c r="LTC54" s="196"/>
      <c r="LTD54" s="196"/>
      <c r="LTE54" s="196"/>
      <c r="LTF54" s="196"/>
      <c r="LTG54" s="196"/>
      <c r="LTH54" s="196"/>
      <c r="LTI54" s="196"/>
      <c r="LTJ54" s="196"/>
      <c r="LTK54" s="196"/>
      <c r="LTL54" s="196"/>
      <c r="LTM54" s="196"/>
      <c r="LTN54" s="196"/>
      <c r="LTO54" s="196"/>
      <c r="LTP54" s="196"/>
      <c r="LTQ54" s="196"/>
      <c r="LTR54" s="196"/>
      <c r="LTS54" s="196"/>
      <c r="LTT54" s="196"/>
      <c r="LTU54" s="196"/>
      <c r="LTV54" s="196"/>
      <c r="LTW54" s="196"/>
      <c r="LTX54" s="196"/>
      <c r="LTY54" s="196"/>
      <c r="LTZ54" s="196"/>
      <c r="LUA54" s="196"/>
      <c r="LUB54" s="196"/>
      <c r="LUC54" s="196"/>
      <c r="LUD54" s="196"/>
      <c r="LUE54" s="196"/>
      <c r="LUF54" s="196"/>
      <c r="LUG54" s="196"/>
      <c r="LUH54" s="196"/>
      <c r="LUI54" s="196"/>
      <c r="LUJ54" s="196"/>
      <c r="LUK54" s="196"/>
      <c r="LUL54" s="196"/>
      <c r="LUM54" s="196"/>
      <c r="LUN54" s="196"/>
      <c r="LUO54" s="196"/>
      <c r="LUP54" s="196"/>
      <c r="LUQ54" s="196"/>
      <c r="LUR54" s="196"/>
      <c r="LUS54" s="196"/>
      <c r="LUT54" s="196"/>
      <c r="LUU54" s="196"/>
      <c r="LUV54" s="196"/>
      <c r="LUW54" s="196"/>
      <c r="LUX54" s="196"/>
      <c r="LUY54" s="196"/>
      <c r="LUZ54" s="196"/>
      <c r="LVA54" s="196"/>
      <c r="LVB54" s="196"/>
      <c r="LVC54" s="196"/>
      <c r="LVD54" s="196"/>
      <c r="LVE54" s="196"/>
      <c r="LVF54" s="196"/>
      <c r="LVG54" s="196"/>
      <c r="LVH54" s="196"/>
      <c r="LVI54" s="196"/>
      <c r="LVJ54" s="196"/>
      <c r="LVK54" s="196"/>
      <c r="LVL54" s="196"/>
      <c r="LVM54" s="196"/>
      <c r="LVN54" s="196"/>
      <c r="LVO54" s="196"/>
      <c r="LVP54" s="196"/>
      <c r="LVQ54" s="196"/>
      <c r="LVR54" s="196"/>
      <c r="LVS54" s="196"/>
      <c r="LVT54" s="196"/>
      <c r="LVU54" s="196"/>
      <c r="LVV54" s="196"/>
      <c r="LVW54" s="196"/>
      <c r="LVX54" s="196"/>
      <c r="LVY54" s="196"/>
      <c r="LVZ54" s="196"/>
      <c r="LWA54" s="196"/>
      <c r="LWB54" s="196"/>
      <c r="LWC54" s="196"/>
      <c r="LWD54" s="196"/>
      <c r="LWE54" s="196"/>
      <c r="LWF54" s="196"/>
      <c r="LWG54" s="196"/>
      <c r="LWH54" s="196"/>
      <c r="LWI54" s="196"/>
      <c r="LWJ54" s="196"/>
      <c r="LWK54" s="196"/>
      <c r="LWL54" s="196"/>
      <c r="LWM54" s="196"/>
      <c r="LWN54" s="196"/>
      <c r="LWO54" s="196"/>
      <c r="LWP54" s="196"/>
      <c r="LWQ54" s="196"/>
      <c r="LWR54" s="196"/>
      <c r="LWS54" s="196"/>
      <c r="LWT54" s="196"/>
      <c r="LWU54" s="196"/>
      <c r="LWV54" s="196"/>
      <c r="LWW54" s="196"/>
      <c r="LWX54" s="196"/>
      <c r="LWY54" s="196"/>
      <c r="LWZ54" s="196"/>
      <c r="LXA54" s="196"/>
      <c r="LXB54" s="196"/>
      <c r="LXC54" s="196"/>
      <c r="LXD54" s="196"/>
      <c r="LXE54" s="196"/>
      <c r="LXF54" s="196"/>
      <c r="LXG54" s="196"/>
      <c r="LXH54" s="196"/>
      <c r="LXI54" s="196"/>
      <c r="LXJ54" s="196"/>
      <c r="LXK54" s="196"/>
      <c r="LXL54" s="196"/>
      <c r="LXM54" s="196"/>
      <c r="LXN54" s="196"/>
      <c r="LXO54" s="196"/>
      <c r="LXP54" s="196"/>
      <c r="LXQ54" s="196"/>
      <c r="LXR54" s="196"/>
      <c r="LXS54" s="196"/>
      <c r="LXT54" s="196"/>
      <c r="LXU54" s="196"/>
      <c r="LXV54" s="196"/>
      <c r="LXW54" s="196"/>
      <c r="LXX54" s="196"/>
      <c r="LXY54" s="196"/>
      <c r="LXZ54" s="196"/>
      <c r="LYA54" s="196"/>
      <c r="LYB54" s="196"/>
      <c r="LYC54" s="196"/>
      <c r="LYD54" s="196"/>
      <c r="LYE54" s="196"/>
      <c r="LYF54" s="196"/>
      <c r="LYG54" s="196"/>
      <c r="LYH54" s="196"/>
      <c r="LYI54" s="196"/>
      <c r="LYJ54" s="196"/>
      <c r="LYK54" s="196"/>
      <c r="LYL54" s="196"/>
      <c r="LYM54" s="196"/>
      <c r="LYN54" s="196"/>
      <c r="LYO54" s="196"/>
      <c r="LYP54" s="196"/>
      <c r="LYQ54" s="196"/>
      <c r="LYR54" s="196"/>
      <c r="LYS54" s="196"/>
      <c r="LYT54" s="196"/>
      <c r="LYU54" s="196"/>
      <c r="LYV54" s="196"/>
      <c r="LYW54" s="196"/>
      <c r="LYX54" s="196"/>
      <c r="LYY54" s="196"/>
      <c r="LYZ54" s="196"/>
      <c r="LZA54" s="196"/>
      <c r="LZB54" s="196"/>
      <c r="LZC54" s="196"/>
      <c r="LZD54" s="196"/>
      <c r="LZE54" s="196"/>
      <c r="LZF54" s="196"/>
      <c r="LZG54" s="196"/>
      <c r="LZH54" s="196"/>
      <c r="LZI54" s="196"/>
      <c r="LZJ54" s="196"/>
      <c r="LZK54" s="196"/>
      <c r="LZL54" s="196"/>
      <c r="LZM54" s="196"/>
      <c r="LZN54" s="196"/>
      <c r="LZO54" s="196"/>
      <c r="LZP54" s="196"/>
      <c r="LZQ54" s="196"/>
      <c r="LZR54" s="196"/>
      <c r="LZS54" s="196"/>
      <c r="LZT54" s="196"/>
      <c r="LZU54" s="196"/>
      <c r="LZV54" s="196"/>
      <c r="LZW54" s="196"/>
      <c r="LZX54" s="196"/>
      <c r="LZY54" s="196"/>
      <c r="LZZ54" s="196"/>
      <c r="MAA54" s="196"/>
      <c r="MAB54" s="196"/>
      <c r="MAC54" s="196"/>
      <c r="MAD54" s="196"/>
      <c r="MAE54" s="196"/>
      <c r="MAF54" s="196"/>
      <c r="MAG54" s="196"/>
      <c r="MAH54" s="196"/>
      <c r="MAI54" s="196"/>
      <c r="MAJ54" s="196"/>
      <c r="MAK54" s="196"/>
      <c r="MAL54" s="196"/>
      <c r="MAM54" s="196"/>
      <c r="MAN54" s="196"/>
      <c r="MAO54" s="196"/>
      <c r="MAP54" s="196"/>
      <c r="MAQ54" s="196"/>
      <c r="MAR54" s="196"/>
      <c r="MAS54" s="196"/>
      <c r="MAT54" s="196"/>
      <c r="MAU54" s="196"/>
      <c r="MAV54" s="196"/>
      <c r="MAW54" s="196"/>
      <c r="MAX54" s="196"/>
      <c r="MAY54" s="196"/>
      <c r="MAZ54" s="196"/>
      <c r="MBA54" s="196"/>
      <c r="MBB54" s="196"/>
      <c r="MBC54" s="196"/>
      <c r="MBD54" s="196"/>
      <c r="MBE54" s="196"/>
      <c r="MBF54" s="196"/>
      <c r="MBG54" s="196"/>
      <c r="MBH54" s="196"/>
      <c r="MBI54" s="196"/>
      <c r="MBJ54" s="196"/>
      <c r="MBK54" s="196"/>
      <c r="MBL54" s="196"/>
      <c r="MBM54" s="196"/>
      <c r="MBN54" s="196"/>
      <c r="MBO54" s="196"/>
      <c r="MBP54" s="196"/>
      <c r="MBQ54" s="196"/>
      <c r="MBR54" s="196"/>
      <c r="MBS54" s="196"/>
      <c r="MBT54" s="196"/>
      <c r="MBU54" s="196"/>
      <c r="MBV54" s="196"/>
      <c r="MBW54" s="196"/>
      <c r="MBX54" s="196"/>
      <c r="MBY54" s="196"/>
      <c r="MBZ54" s="196"/>
      <c r="MCA54" s="196"/>
      <c r="MCB54" s="196"/>
      <c r="MCC54" s="196"/>
      <c r="MCD54" s="196"/>
      <c r="MCE54" s="196"/>
      <c r="MCF54" s="196"/>
      <c r="MCG54" s="196"/>
      <c r="MCH54" s="196"/>
      <c r="MCI54" s="196"/>
      <c r="MCJ54" s="196"/>
      <c r="MCK54" s="196"/>
      <c r="MCL54" s="196"/>
      <c r="MCM54" s="196"/>
      <c r="MCN54" s="196"/>
      <c r="MCO54" s="196"/>
      <c r="MCP54" s="196"/>
      <c r="MCQ54" s="196"/>
      <c r="MCR54" s="196"/>
      <c r="MCS54" s="196"/>
      <c r="MCT54" s="196"/>
      <c r="MCU54" s="196"/>
      <c r="MCV54" s="196"/>
      <c r="MCW54" s="196"/>
      <c r="MCX54" s="196"/>
      <c r="MCY54" s="196"/>
      <c r="MCZ54" s="196"/>
      <c r="MDA54" s="196"/>
      <c r="MDB54" s="196"/>
      <c r="MDC54" s="196"/>
      <c r="MDD54" s="196"/>
      <c r="MDE54" s="196"/>
      <c r="MDF54" s="196"/>
      <c r="MDG54" s="196"/>
      <c r="MDH54" s="196"/>
      <c r="MDI54" s="196"/>
      <c r="MDJ54" s="196"/>
      <c r="MDK54" s="196"/>
      <c r="MDL54" s="196"/>
      <c r="MDM54" s="196"/>
      <c r="MDN54" s="196"/>
      <c r="MDO54" s="196"/>
      <c r="MDP54" s="196"/>
      <c r="MDQ54" s="196"/>
      <c r="MDR54" s="196"/>
      <c r="MDS54" s="196"/>
      <c r="MDT54" s="196"/>
      <c r="MDU54" s="196"/>
      <c r="MDV54" s="196"/>
      <c r="MDW54" s="196"/>
      <c r="MDX54" s="196"/>
      <c r="MDY54" s="196"/>
      <c r="MDZ54" s="196"/>
      <c r="MEA54" s="196"/>
      <c r="MEB54" s="196"/>
      <c r="MEC54" s="196"/>
      <c r="MED54" s="196"/>
      <c r="MEE54" s="196"/>
      <c r="MEF54" s="196"/>
      <c r="MEG54" s="196"/>
      <c r="MEH54" s="196"/>
      <c r="MEI54" s="196"/>
      <c r="MEJ54" s="196"/>
      <c r="MEK54" s="196"/>
      <c r="MEL54" s="196"/>
      <c r="MEM54" s="196"/>
      <c r="MEN54" s="196"/>
      <c r="MEO54" s="196"/>
      <c r="MEP54" s="196"/>
      <c r="MEQ54" s="196"/>
      <c r="MER54" s="196"/>
      <c r="MES54" s="196"/>
      <c r="MET54" s="196"/>
      <c r="MEU54" s="196"/>
      <c r="MEV54" s="196"/>
      <c r="MEW54" s="196"/>
      <c r="MEX54" s="196"/>
      <c r="MEY54" s="196"/>
      <c r="MEZ54" s="196"/>
      <c r="MFA54" s="196"/>
      <c r="MFB54" s="196"/>
      <c r="MFC54" s="196"/>
      <c r="MFD54" s="196"/>
      <c r="MFE54" s="196"/>
      <c r="MFF54" s="196"/>
      <c r="MFG54" s="196"/>
      <c r="MFH54" s="196"/>
      <c r="MFI54" s="196"/>
      <c r="MFJ54" s="196"/>
      <c r="MFK54" s="196"/>
      <c r="MFL54" s="196"/>
      <c r="MFM54" s="196"/>
      <c r="MFN54" s="196"/>
      <c r="MFO54" s="196"/>
      <c r="MFP54" s="196"/>
      <c r="MFQ54" s="196"/>
      <c r="MFR54" s="196"/>
      <c r="MFS54" s="196"/>
      <c r="MFT54" s="196"/>
      <c r="MFU54" s="196"/>
      <c r="MFV54" s="196"/>
      <c r="MFW54" s="196"/>
      <c r="MFX54" s="196"/>
      <c r="MFY54" s="196"/>
      <c r="MFZ54" s="196"/>
      <c r="MGA54" s="196"/>
      <c r="MGB54" s="196"/>
      <c r="MGC54" s="196"/>
      <c r="MGD54" s="196"/>
      <c r="MGE54" s="196"/>
      <c r="MGF54" s="196"/>
      <c r="MGG54" s="196"/>
      <c r="MGH54" s="196"/>
      <c r="MGI54" s="196"/>
      <c r="MGJ54" s="196"/>
      <c r="MGK54" s="196"/>
      <c r="MGL54" s="196"/>
      <c r="MGM54" s="196"/>
      <c r="MGN54" s="196"/>
      <c r="MGO54" s="196"/>
      <c r="MGP54" s="196"/>
      <c r="MGQ54" s="196"/>
      <c r="MGR54" s="196"/>
      <c r="MGS54" s="196"/>
      <c r="MGT54" s="196"/>
      <c r="MGU54" s="196"/>
      <c r="MGV54" s="196"/>
      <c r="MGW54" s="196"/>
      <c r="MGX54" s="196"/>
      <c r="MGY54" s="196"/>
      <c r="MGZ54" s="196"/>
      <c r="MHA54" s="196"/>
      <c r="MHB54" s="196"/>
      <c r="MHC54" s="196"/>
      <c r="MHD54" s="196"/>
      <c r="MHE54" s="196"/>
      <c r="MHF54" s="196"/>
      <c r="MHG54" s="196"/>
      <c r="MHH54" s="196"/>
      <c r="MHI54" s="196"/>
      <c r="MHJ54" s="196"/>
      <c r="MHK54" s="196"/>
      <c r="MHL54" s="196"/>
      <c r="MHM54" s="196"/>
      <c r="MHN54" s="196"/>
      <c r="MHO54" s="196"/>
      <c r="MHP54" s="196"/>
      <c r="MHQ54" s="196"/>
      <c r="MHR54" s="196"/>
      <c r="MHS54" s="196"/>
      <c r="MHT54" s="196"/>
      <c r="MHU54" s="196"/>
      <c r="MHV54" s="196"/>
      <c r="MHW54" s="196"/>
      <c r="MHX54" s="196"/>
      <c r="MHY54" s="196"/>
      <c r="MHZ54" s="196"/>
      <c r="MIA54" s="196"/>
      <c r="MIB54" s="196"/>
      <c r="MIC54" s="196"/>
      <c r="MID54" s="196"/>
      <c r="MIE54" s="196"/>
      <c r="MIF54" s="196"/>
      <c r="MIG54" s="196"/>
      <c r="MIH54" s="196"/>
      <c r="MII54" s="196"/>
      <c r="MIJ54" s="196"/>
      <c r="MIK54" s="196"/>
      <c r="MIL54" s="196"/>
      <c r="MIM54" s="196"/>
      <c r="MIN54" s="196"/>
      <c r="MIO54" s="196"/>
      <c r="MIP54" s="196"/>
      <c r="MIQ54" s="196"/>
      <c r="MIR54" s="196"/>
      <c r="MIS54" s="196"/>
      <c r="MIT54" s="196"/>
      <c r="MIU54" s="196"/>
      <c r="MIV54" s="196"/>
      <c r="MIW54" s="196"/>
      <c r="MIX54" s="196"/>
      <c r="MIY54" s="196"/>
      <c r="MIZ54" s="196"/>
      <c r="MJA54" s="196"/>
      <c r="MJB54" s="196"/>
      <c r="MJC54" s="196"/>
      <c r="MJD54" s="196"/>
      <c r="MJE54" s="196"/>
      <c r="MJF54" s="196"/>
      <c r="MJG54" s="196"/>
      <c r="MJH54" s="196"/>
      <c r="MJI54" s="196"/>
      <c r="MJJ54" s="196"/>
      <c r="MJK54" s="196"/>
      <c r="MJL54" s="196"/>
      <c r="MJM54" s="196"/>
      <c r="MJN54" s="196"/>
      <c r="MJO54" s="196"/>
      <c r="MJP54" s="196"/>
      <c r="MJQ54" s="196"/>
      <c r="MJR54" s="196"/>
      <c r="MJS54" s="196"/>
      <c r="MJT54" s="196"/>
      <c r="MJU54" s="196"/>
      <c r="MJV54" s="196"/>
      <c r="MJW54" s="196"/>
      <c r="MJX54" s="196"/>
      <c r="MJY54" s="196"/>
      <c r="MJZ54" s="196"/>
      <c r="MKA54" s="196"/>
      <c r="MKB54" s="196"/>
      <c r="MKC54" s="196"/>
      <c r="MKD54" s="196"/>
      <c r="MKE54" s="196"/>
      <c r="MKF54" s="196"/>
      <c r="MKG54" s="196"/>
      <c r="MKH54" s="196"/>
      <c r="MKI54" s="196"/>
      <c r="MKJ54" s="196"/>
      <c r="MKK54" s="196"/>
      <c r="MKL54" s="196"/>
      <c r="MKM54" s="196"/>
      <c r="MKN54" s="196"/>
      <c r="MKO54" s="196"/>
      <c r="MKP54" s="196"/>
      <c r="MKQ54" s="196"/>
      <c r="MKR54" s="196"/>
      <c r="MKS54" s="196"/>
      <c r="MKT54" s="196"/>
      <c r="MKU54" s="196"/>
      <c r="MKV54" s="196"/>
      <c r="MKW54" s="196"/>
      <c r="MKX54" s="196"/>
      <c r="MKY54" s="196"/>
      <c r="MKZ54" s="196"/>
      <c r="MLA54" s="196"/>
      <c r="MLB54" s="196"/>
      <c r="MLC54" s="196"/>
      <c r="MLD54" s="196"/>
      <c r="MLE54" s="196"/>
      <c r="MLF54" s="196"/>
      <c r="MLG54" s="196"/>
      <c r="MLH54" s="196"/>
      <c r="MLI54" s="196"/>
      <c r="MLJ54" s="196"/>
      <c r="MLK54" s="196"/>
      <c r="MLL54" s="196"/>
      <c r="MLM54" s="196"/>
      <c r="MLN54" s="196"/>
      <c r="MLO54" s="196"/>
      <c r="MLP54" s="196"/>
      <c r="MLQ54" s="196"/>
      <c r="MLR54" s="196"/>
      <c r="MLS54" s="196"/>
      <c r="MLT54" s="196"/>
      <c r="MLU54" s="196"/>
      <c r="MLV54" s="196"/>
      <c r="MLW54" s="196"/>
      <c r="MLX54" s="196"/>
      <c r="MLY54" s="196"/>
      <c r="MLZ54" s="196"/>
      <c r="MMA54" s="196"/>
      <c r="MMB54" s="196"/>
      <c r="MMC54" s="196"/>
      <c r="MMD54" s="196"/>
      <c r="MME54" s="196"/>
      <c r="MMF54" s="196"/>
      <c r="MMG54" s="196"/>
      <c r="MMH54" s="196"/>
      <c r="MMI54" s="196"/>
      <c r="MMJ54" s="196"/>
      <c r="MMK54" s="196"/>
      <c r="MML54" s="196"/>
      <c r="MMM54" s="196"/>
      <c r="MMN54" s="196"/>
      <c r="MMO54" s="196"/>
      <c r="MMP54" s="196"/>
      <c r="MMQ54" s="196"/>
      <c r="MMR54" s="196"/>
      <c r="MMS54" s="196"/>
      <c r="MMT54" s="196"/>
      <c r="MMU54" s="196"/>
      <c r="MMV54" s="196"/>
      <c r="MMW54" s="196"/>
      <c r="MMX54" s="196"/>
      <c r="MMY54" s="196"/>
      <c r="MMZ54" s="196"/>
      <c r="MNA54" s="196"/>
      <c r="MNB54" s="196"/>
      <c r="MNC54" s="196"/>
      <c r="MND54" s="196"/>
      <c r="MNE54" s="196"/>
      <c r="MNF54" s="196"/>
      <c r="MNG54" s="196"/>
      <c r="MNH54" s="196"/>
      <c r="MNI54" s="196"/>
      <c r="MNJ54" s="196"/>
      <c r="MNK54" s="196"/>
      <c r="MNL54" s="196"/>
      <c r="MNM54" s="196"/>
      <c r="MNN54" s="196"/>
      <c r="MNO54" s="196"/>
      <c r="MNP54" s="196"/>
      <c r="MNQ54" s="196"/>
      <c r="MNR54" s="196"/>
      <c r="MNS54" s="196"/>
      <c r="MNT54" s="196"/>
      <c r="MNU54" s="196"/>
      <c r="MNV54" s="196"/>
      <c r="MNW54" s="196"/>
      <c r="MNX54" s="196"/>
      <c r="MNY54" s="196"/>
      <c r="MNZ54" s="196"/>
      <c r="MOA54" s="196"/>
      <c r="MOB54" s="196"/>
      <c r="MOC54" s="196"/>
      <c r="MOD54" s="196"/>
      <c r="MOE54" s="196"/>
      <c r="MOF54" s="196"/>
      <c r="MOG54" s="196"/>
      <c r="MOH54" s="196"/>
      <c r="MOI54" s="196"/>
      <c r="MOJ54" s="196"/>
      <c r="MOK54" s="196"/>
      <c r="MOL54" s="196"/>
      <c r="MOM54" s="196"/>
      <c r="MON54" s="196"/>
      <c r="MOO54" s="196"/>
      <c r="MOP54" s="196"/>
      <c r="MOQ54" s="196"/>
      <c r="MOR54" s="196"/>
      <c r="MOS54" s="196"/>
      <c r="MOT54" s="196"/>
      <c r="MOU54" s="196"/>
      <c r="MOV54" s="196"/>
      <c r="MOW54" s="196"/>
      <c r="MOX54" s="196"/>
      <c r="MOY54" s="196"/>
      <c r="MOZ54" s="196"/>
      <c r="MPA54" s="196"/>
      <c r="MPB54" s="196"/>
      <c r="MPC54" s="196"/>
      <c r="MPD54" s="196"/>
      <c r="MPE54" s="196"/>
      <c r="MPF54" s="196"/>
      <c r="MPG54" s="196"/>
      <c r="MPH54" s="196"/>
      <c r="MPI54" s="196"/>
      <c r="MPJ54" s="196"/>
      <c r="MPK54" s="196"/>
      <c r="MPL54" s="196"/>
      <c r="MPM54" s="196"/>
      <c r="MPN54" s="196"/>
      <c r="MPO54" s="196"/>
      <c r="MPP54" s="196"/>
      <c r="MPQ54" s="196"/>
      <c r="MPR54" s="196"/>
      <c r="MPS54" s="196"/>
      <c r="MPT54" s="196"/>
      <c r="MPU54" s="196"/>
      <c r="MPV54" s="196"/>
      <c r="MPW54" s="196"/>
      <c r="MPX54" s="196"/>
      <c r="MPY54" s="196"/>
      <c r="MPZ54" s="196"/>
      <c r="MQA54" s="196"/>
      <c r="MQB54" s="196"/>
      <c r="MQC54" s="196"/>
      <c r="MQD54" s="196"/>
      <c r="MQE54" s="196"/>
      <c r="MQF54" s="196"/>
      <c r="MQG54" s="196"/>
      <c r="MQH54" s="196"/>
      <c r="MQI54" s="196"/>
      <c r="MQJ54" s="196"/>
      <c r="MQK54" s="196"/>
      <c r="MQL54" s="196"/>
      <c r="MQM54" s="196"/>
      <c r="MQN54" s="196"/>
      <c r="MQO54" s="196"/>
      <c r="MQP54" s="196"/>
      <c r="MQQ54" s="196"/>
      <c r="MQR54" s="196"/>
      <c r="MQS54" s="196"/>
      <c r="MQT54" s="196"/>
      <c r="MQU54" s="196"/>
      <c r="MQV54" s="196"/>
      <c r="MQW54" s="196"/>
      <c r="MQX54" s="196"/>
      <c r="MQY54" s="196"/>
      <c r="MQZ54" s="196"/>
      <c r="MRA54" s="196"/>
      <c r="MRB54" s="196"/>
      <c r="MRC54" s="196"/>
      <c r="MRD54" s="196"/>
      <c r="MRE54" s="196"/>
      <c r="MRF54" s="196"/>
      <c r="MRG54" s="196"/>
      <c r="MRH54" s="196"/>
      <c r="MRI54" s="196"/>
      <c r="MRJ54" s="196"/>
      <c r="MRK54" s="196"/>
      <c r="MRL54" s="196"/>
      <c r="MRM54" s="196"/>
      <c r="MRN54" s="196"/>
      <c r="MRO54" s="196"/>
      <c r="MRP54" s="196"/>
      <c r="MRQ54" s="196"/>
      <c r="MRR54" s="196"/>
      <c r="MRS54" s="196"/>
      <c r="MRT54" s="196"/>
      <c r="MRU54" s="196"/>
      <c r="MRV54" s="196"/>
      <c r="MRW54" s="196"/>
      <c r="MRX54" s="196"/>
      <c r="MRY54" s="196"/>
      <c r="MRZ54" s="196"/>
      <c r="MSA54" s="196"/>
      <c r="MSB54" s="196"/>
      <c r="MSC54" s="196"/>
      <c r="MSD54" s="196"/>
      <c r="MSE54" s="196"/>
      <c r="MSF54" s="196"/>
      <c r="MSG54" s="196"/>
      <c r="MSH54" s="196"/>
      <c r="MSI54" s="196"/>
      <c r="MSJ54" s="196"/>
      <c r="MSK54" s="196"/>
      <c r="MSL54" s="196"/>
      <c r="MSM54" s="196"/>
      <c r="MSN54" s="196"/>
      <c r="MSO54" s="196"/>
      <c r="MSP54" s="196"/>
      <c r="MSQ54" s="196"/>
      <c r="MSR54" s="196"/>
      <c r="MSS54" s="196"/>
      <c r="MST54" s="196"/>
      <c r="MSU54" s="196"/>
      <c r="MSV54" s="196"/>
      <c r="MSW54" s="196"/>
      <c r="MSX54" s="196"/>
      <c r="MSY54" s="196"/>
      <c r="MSZ54" s="196"/>
      <c r="MTA54" s="196"/>
      <c r="MTB54" s="196"/>
      <c r="MTC54" s="196"/>
      <c r="MTD54" s="196"/>
      <c r="MTE54" s="196"/>
      <c r="MTF54" s="196"/>
      <c r="MTG54" s="196"/>
      <c r="MTH54" s="196"/>
      <c r="MTI54" s="196"/>
      <c r="MTJ54" s="196"/>
      <c r="MTK54" s="196"/>
      <c r="MTL54" s="196"/>
      <c r="MTM54" s="196"/>
      <c r="MTN54" s="196"/>
      <c r="MTO54" s="196"/>
      <c r="MTP54" s="196"/>
      <c r="MTQ54" s="196"/>
      <c r="MTR54" s="196"/>
      <c r="MTS54" s="196"/>
      <c r="MTT54" s="196"/>
      <c r="MTU54" s="196"/>
      <c r="MTV54" s="196"/>
      <c r="MTW54" s="196"/>
      <c r="MTX54" s="196"/>
      <c r="MTY54" s="196"/>
      <c r="MTZ54" s="196"/>
      <c r="MUA54" s="196"/>
      <c r="MUB54" s="196"/>
      <c r="MUC54" s="196"/>
      <c r="MUD54" s="196"/>
      <c r="MUE54" s="196"/>
      <c r="MUF54" s="196"/>
      <c r="MUG54" s="196"/>
      <c r="MUH54" s="196"/>
      <c r="MUI54" s="196"/>
      <c r="MUJ54" s="196"/>
      <c r="MUK54" s="196"/>
      <c r="MUL54" s="196"/>
      <c r="MUM54" s="196"/>
      <c r="MUN54" s="196"/>
      <c r="MUO54" s="196"/>
      <c r="MUP54" s="196"/>
      <c r="MUQ54" s="196"/>
      <c r="MUR54" s="196"/>
      <c r="MUS54" s="196"/>
      <c r="MUT54" s="196"/>
      <c r="MUU54" s="196"/>
      <c r="MUV54" s="196"/>
      <c r="MUW54" s="196"/>
      <c r="MUX54" s="196"/>
      <c r="MUY54" s="196"/>
      <c r="MUZ54" s="196"/>
      <c r="MVA54" s="196"/>
      <c r="MVB54" s="196"/>
      <c r="MVC54" s="196"/>
      <c r="MVD54" s="196"/>
      <c r="MVE54" s="196"/>
      <c r="MVF54" s="196"/>
      <c r="MVG54" s="196"/>
      <c r="MVH54" s="196"/>
      <c r="MVI54" s="196"/>
      <c r="MVJ54" s="196"/>
      <c r="MVK54" s="196"/>
      <c r="MVL54" s="196"/>
      <c r="MVM54" s="196"/>
      <c r="MVN54" s="196"/>
      <c r="MVO54" s="196"/>
      <c r="MVP54" s="196"/>
      <c r="MVQ54" s="196"/>
      <c r="MVR54" s="196"/>
      <c r="MVS54" s="196"/>
      <c r="MVT54" s="196"/>
      <c r="MVU54" s="196"/>
      <c r="MVV54" s="196"/>
      <c r="MVW54" s="196"/>
      <c r="MVX54" s="196"/>
      <c r="MVY54" s="196"/>
      <c r="MVZ54" s="196"/>
      <c r="MWA54" s="196"/>
      <c r="MWB54" s="196"/>
      <c r="MWC54" s="196"/>
      <c r="MWD54" s="196"/>
      <c r="MWE54" s="196"/>
      <c r="MWF54" s="196"/>
      <c r="MWG54" s="196"/>
      <c r="MWH54" s="196"/>
      <c r="MWI54" s="196"/>
      <c r="MWJ54" s="196"/>
      <c r="MWK54" s="196"/>
      <c r="MWL54" s="196"/>
      <c r="MWM54" s="196"/>
      <c r="MWN54" s="196"/>
      <c r="MWO54" s="196"/>
      <c r="MWP54" s="196"/>
      <c r="MWQ54" s="196"/>
      <c r="MWR54" s="196"/>
      <c r="MWS54" s="196"/>
      <c r="MWT54" s="196"/>
      <c r="MWU54" s="196"/>
      <c r="MWV54" s="196"/>
      <c r="MWW54" s="196"/>
      <c r="MWX54" s="196"/>
      <c r="MWY54" s="196"/>
      <c r="MWZ54" s="196"/>
      <c r="MXA54" s="196"/>
      <c r="MXB54" s="196"/>
      <c r="MXC54" s="196"/>
      <c r="MXD54" s="196"/>
      <c r="MXE54" s="196"/>
      <c r="MXF54" s="196"/>
      <c r="MXG54" s="196"/>
      <c r="MXH54" s="196"/>
      <c r="MXI54" s="196"/>
      <c r="MXJ54" s="196"/>
      <c r="MXK54" s="196"/>
      <c r="MXL54" s="196"/>
      <c r="MXM54" s="196"/>
      <c r="MXN54" s="196"/>
      <c r="MXO54" s="196"/>
      <c r="MXP54" s="196"/>
      <c r="MXQ54" s="196"/>
      <c r="MXR54" s="196"/>
      <c r="MXS54" s="196"/>
      <c r="MXT54" s="196"/>
      <c r="MXU54" s="196"/>
      <c r="MXV54" s="196"/>
      <c r="MXW54" s="196"/>
      <c r="MXX54" s="196"/>
      <c r="MXY54" s="196"/>
      <c r="MXZ54" s="196"/>
      <c r="MYA54" s="196"/>
      <c r="MYB54" s="196"/>
      <c r="MYC54" s="196"/>
      <c r="MYD54" s="196"/>
      <c r="MYE54" s="196"/>
      <c r="MYF54" s="196"/>
      <c r="MYG54" s="196"/>
      <c r="MYH54" s="196"/>
      <c r="MYI54" s="196"/>
      <c r="MYJ54" s="196"/>
      <c r="MYK54" s="196"/>
      <c r="MYL54" s="196"/>
      <c r="MYM54" s="196"/>
      <c r="MYN54" s="196"/>
      <c r="MYO54" s="196"/>
      <c r="MYP54" s="196"/>
      <c r="MYQ54" s="196"/>
      <c r="MYR54" s="196"/>
      <c r="MYS54" s="196"/>
      <c r="MYT54" s="196"/>
      <c r="MYU54" s="196"/>
      <c r="MYV54" s="196"/>
      <c r="MYW54" s="196"/>
      <c r="MYX54" s="196"/>
      <c r="MYY54" s="196"/>
      <c r="MYZ54" s="196"/>
      <c r="MZA54" s="196"/>
      <c r="MZB54" s="196"/>
      <c r="MZC54" s="196"/>
      <c r="MZD54" s="196"/>
      <c r="MZE54" s="196"/>
      <c r="MZF54" s="196"/>
      <c r="MZG54" s="196"/>
      <c r="MZH54" s="196"/>
      <c r="MZI54" s="196"/>
      <c r="MZJ54" s="196"/>
      <c r="MZK54" s="196"/>
      <c r="MZL54" s="196"/>
      <c r="MZM54" s="196"/>
      <c r="MZN54" s="196"/>
      <c r="MZO54" s="196"/>
      <c r="MZP54" s="196"/>
      <c r="MZQ54" s="196"/>
      <c r="MZR54" s="196"/>
      <c r="MZS54" s="196"/>
      <c r="MZT54" s="196"/>
      <c r="MZU54" s="196"/>
      <c r="MZV54" s="196"/>
      <c r="MZW54" s="196"/>
      <c r="MZX54" s="196"/>
      <c r="MZY54" s="196"/>
      <c r="MZZ54" s="196"/>
      <c r="NAA54" s="196"/>
      <c r="NAB54" s="196"/>
      <c r="NAC54" s="196"/>
      <c r="NAD54" s="196"/>
      <c r="NAE54" s="196"/>
      <c r="NAF54" s="196"/>
      <c r="NAG54" s="196"/>
      <c r="NAH54" s="196"/>
      <c r="NAI54" s="196"/>
      <c r="NAJ54" s="196"/>
      <c r="NAK54" s="196"/>
      <c r="NAL54" s="196"/>
      <c r="NAM54" s="196"/>
      <c r="NAN54" s="196"/>
      <c r="NAO54" s="196"/>
      <c r="NAP54" s="196"/>
      <c r="NAQ54" s="196"/>
      <c r="NAR54" s="196"/>
      <c r="NAS54" s="196"/>
      <c r="NAT54" s="196"/>
      <c r="NAU54" s="196"/>
      <c r="NAV54" s="196"/>
      <c r="NAW54" s="196"/>
      <c r="NAX54" s="196"/>
      <c r="NAY54" s="196"/>
      <c r="NAZ54" s="196"/>
      <c r="NBA54" s="196"/>
      <c r="NBB54" s="196"/>
      <c r="NBC54" s="196"/>
      <c r="NBD54" s="196"/>
      <c r="NBE54" s="196"/>
      <c r="NBF54" s="196"/>
      <c r="NBG54" s="196"/>
      <c r="NBH54" s="196"/>
      <c r="NBI54" s="196"/>
      <c r="NBJ54" s="196"/>
      <c r="NBK54" s="196"/>
      <c r="NBL54" s="196"/>
      <c r="NBM54" s="196"/>
      <c r="NBN54" s="196"/>
      <c r="NBO54" s="196"/>
      <c r="NBP54" s="196"/>
      <c r="NBQ54" s="196"/>
      <c r="NBR54" s="196"/>
      <c r="NBS54" s="196"/>
      <c r="NBT54" s="196"/>
      <c r="NBU54" s="196"/>
      <c r="NBV54" s="196"/>
      <c r="NBW54" s="196"/>
      <c r="NBX54" s="196"/>
      <c r="NBY54" s="196"/>
      <c r="NBZ54" s="196"/>
      <c r="NCA54" s="196"/>
      <c r="NCB54" s="196"/>
      <c r="NCC54" s="196"/>
      <c r="NCD54" s="196"/>
      <c r="NCE54" s="196"/>
      <c r="NCF54" s="196"/>
      <c r="NCG54" s="196"/>
      <c r="NCH54" s="196"/>
      <c r="NCI54" s="196"/>
      <c r="NCJ54" s="196"/>
      <c r="NCK54" s="196"/>
      <c r="NCL54" s="196"/>
      <c r="NCM54" s="196"/>
      <c r="NCN54" s="196"/>
      <c r="NCO54" s="196"/>
      <c r="NCP54" s="196"/>
      <c r="NCQ54" s="196"/>
      <c r="NCR54" s="196"/>
      <c r="NCS54" s="196"/>
      <c r="NCT54" s="196"/>
      <c r="NCU54" s="196"/>
      <c r="NCV54" s="196"/>
      <c r="NCW54" s="196"/>
      <c r="NCX54" s="196"/>
      <c r="NCY54" s="196"/>
      <c r="NCZ54" s="196"/>
      <c r="NDA54" s="196"/>
      <c r="NDB54" s="196"/>
      <c r="NDC54" s="196"/>
      <c r="NDD54" s="196"/>
      <c r="NDE54" s="196"/>
      <c r="NDF54" s="196"/>
      <c r="NDG54" s="196"/>
      <c r="NDH54" s="196"/>
      <c r="NDI54" s="196"/>
      <c r="NDJ54" s="196"/>
      <c r="NDK54" s="196"/>
      <c r="NDL54" s="196"/>
      <c r="NDM54" s="196"/>
      <c r="NDN54" s="196"/>
      <c r="NDO54" s="196"/>
      <c r="NDP54" s="196"/>
      <c r="NDQ54" s="196"/>
      <c r="NDR54" s="196"/>
      <c r="NDS54" s="196"/>
      <c r="NDT54" s="196"/>
      <c r="NDU54" s="196"/>
      <c r="NDV54" s="196"/>
      <c r="NDW54" s="196"/>
      <c r="NDX54" s="196"/>
      <c r="NDY54" s="196"/>
      <c r="NDZ54" s="196"/>
      <c r="NEA54" s="196"/>
      <c r="NEB54" s="196"/>
      <c r="NEC54" s="196"/>
      <c r="NED54" s="196"/>
      <c r="NEE54" s="196"/>
      <c r="NEF54" s="196"/>
      <c r="NEG54" s="196"/>
      <c r="NEH54" s="196"/>
      <c r="NEI54" s="196"/>
      <c r="NEJ54" s="196"/>
      <c r="NEK54" s="196"/>
      <c r="NEL54" s="196"/>
      <c r="NEM54" s="196"/>
      <c r="NEN54" s="196"/>
      <c r="NEO54" s="196"/>
      <c r="NEP54" s="196"/>
      <c r="NEQ54" s="196"/>
      <c r="NER54" s="196"/>
      <c r="NES54" s="196"/>
      <c r="NET54" s="196"/>
      <c r="NEU54" s="196"/>
      <c r="NEV54" s="196"/>
      <c r="NEW54" s="196"/>
      <c r="NEX54" s="196"/>
      <c r="NEY54" s="196"/>
      <c r="NEZ54" s="196"/>
      <c r="NFA54" s="196"/>
      <c r="NFB54" s="196"/>
      <c r="NFC54" s="196"/>
      <c r="NFD54" s="196"/>
      <c r="NFE54" s="196"/>
      <c r="NFF54" s="196"/>
      <c r="NFG54" s="196"/>
      <c r="NFH54" s="196"/>
      <c r="NFI54" s="196"/>
      <c r="NFJ54" s="196"/>
      <c r="NFK54" s="196"/>
      <c r="NFL54" s="196"/>
      <c r="NFM54" s="196"/>
      <c r="NFN54" s="196"/>
      <c r="NFO54" s="196"/>
      <c r="NFP54" s="196"/>
      <c r="NFQ54" s="196"/>
      <c r="NFR54" s="196"/>
      <c r="NFS54" s="196"/>
      <c r="NFT54" s="196"/>
      <c r="NFU54" s="196"/>
      <c r="NFV54" s="196"/>
      <c r="NFW54" s="196"/>
      <c r="NFX54" s="196"/>
      <c r="NFY54" s="196"/>
      <c r="NFZ54" s="196"/>
      <c r="NGA54" s="196"/>
      <c r="NGB54" s="196"/>
      <c r="NGC54" s="196"/>
      <c r="NGD54" s="196"/>
      <c r="NGE54" s="196"/>
      <c r="NGF54" s="196"/>
      <c r="NGG54" s="196"/>
      <c r="NGH54" s="196"/>
      <c r="NGI54" s="196"/>
      <c r="NGJ54" s="196"/>
      <c r="NGK54" s="196"/>
      <c r="NGL54" s="196"/>
      <c r="NGM54" s="196"/>
      <c r="NGN54" s="196"/>
      <c r="NGO54" s="196"/>
      <c r="NGP54" s="196"/>
      <c r="NGQ54" s="196"/>
      <c r="NGR54" s="196"/>
      <c r="NGS54" s="196"/>
      <c r="NGT54" s="196"/>
      <c r="NGU54" s="196"/>
      <c r="NGV54" s="196"/>
      <c r="NGW54" s="196"/>
      <c r="NGX54" s="196"/>
      <c r="NGY54" s="196"/>
      <c r="NGZ54" s="196"/>
      <c r="NHA54" s="196"/>
      <c r="NHB54" s="196"/>
      <c r="NHC54" s="196"/>
      <c r="NHD54" s="196"/>
      <c r="NHE54" s="196"/>
      <c r="NHF54" s="196"/>
      <c r="NHG54" s="196"/>
      <c r="NHH54" s="196"/>
      <c r="NHI54" s="196"/>
      <c r="NHJ54" s="196"/>
      <c r="NHK54" s="196"/>
      <c r="NHL54" s="196"/>
      <c r="NHM54" s="196"/>
      <c r="NHN54" s="196"/>
      <c r="NHO54" s="196"/>
      <c r="NHP54" s="196"/>
      <c r="NHQ54" s="196"/>
      <c r="NHR54" s="196"/>
      <c r="NHS54" s="196"/>
      <c r="NHT54" s="196"/>
      <c r="NHU54" s="196"/>
      <c r="NHV54" s="196"/>
      <c r="NHW54" s="196"/>
      <c r="NHX54" s="196"/>
      <c r="NHY54" s="196"/>
      <c r="NHZ54" s="196"/>
      <c r="NIA54" s="196"/>
      <c r="NIB54" s="196"/>
      <c r="NIC54" s="196"/>
      <c r="NID54" s="196"/>
      <c r="NIE54" s="196"/>
      <c r="NIF54" s="196"/>
      <c r="NIG54" s="196"/>
      <c r="NIH54" s="196"/>
      <c r="NII54" s="196"/>
      <c r="NIJ54" s="196"/>
      <c r="NIK54" s="196"/>
      <c r="NIL54" s="196"/>
      <c r="NIM54" s="196"/>
      <c r="NIN54" s="196"/>
      <c r="NIO54" s="196"/>
      <c r="NIP54" s="196"/>
      <c r="NIQ54" s="196"/>
      <c r="NIR54" s="196"/>
      <c r="NIS54" s="196"/>
      <c r="NIT54" s="196"/>
      <c r="NIU54" s="196"/>
      <c r="NIV54" s="196"/>
      <c r="NIW54" s="196"/>
      <c r="NIX54" s="196"/>
      <c r="NIY54" s="196"/>
      <c r="NIZ54" s="196"/>
      <c r="NJA54" s="196"/>
      <c r="NJB54" s="196"/>
      <c r="NJC54" s="196"/>
      <c r="NJD54" s="196"/>
      <c r="NJE54" s="196"/>
      <c r="NJF54" s="196"/>
      <c r="NJG54" s="196"/>
      <c r="NJH54" s="196"/>
      <c r="NJI54" s="196"/>
      <c r="NJJ54" s="196"/>
      <c r="NJK54" s="196"/>
      <c r="NJL54" s="196"/>
      <c r="NJM54" s="196"/>
      <c r="NJN54" s="196"/>
      <c r="NJO54" s="196"/>
      <c r="NJP54" s="196"/>
      <c r="NJQ54" s="196"/>
      <c r="NJR54" s="196"/>
      <c r="NJS54" s="196"/>
      <c r="NJT54" s="196"/>
      <c r="NJU54" s="196"/>
      <c r="NJV54" s="196"/>
      <c r="NJW54" s="196"/>
      <c r="NJX54" s="196"/>
      <c r="NJY54" s="196"/>
      <c r="NJZ54" s="196"/>
      <c r="NKA54" s="196"/>
      <c r="NKB54" s="196"/>
      <c r="NKC54" s="196"/>
      <c r="NKD54" s="196"/>
      <c r="NKE54" s="196"/>
      <c r="NKF54" s="196"/>
      <c r="NKG54" s="196"/>
      <c r="NKH54" s="196"/>
      <c r="NKI54" s="196"/>
      <c r="NKJ54" s="196"/>
      <c r="NKK54" s="196"/>
      <c r="NKL54" s="196"/>
      <c r="NKM54" s="196"/>
      <c r="NKN54" s="196"/>
      <c r="NKO54" s="196"/>
      <c r="NKP54" s="196"/>
      <c r="NKQ54" s="196"/>
      <c r="NKR54" s="196"/>
      <c r="NKS54" s="196"/>
      <c r="NKT54" s="196"/>
      <c r="NKU54" s="196"/>
      <c r="NKV54" s="196"/>
      <c r="NKW54" s="196"/>
      <c r="NKX54" s="196"/>
      <c r="NKY54" s="196"/>
      <c r="NKZ54" s="196"/>
      <c r="NLA54" s="196"/>
      <c r="NLB54" s="196"/>
      <c r="NLC54" s="196"/>
      <c r="NLD54" s="196"/>
      <c r="NLE54" s="196"/>
      <c r="NLF54" s="196"/>
      <c r="NLG54" s="196"/>
      <c r="NLH54" s="196"/>
      <c r="NLI54" s="196"/>
      <c r="NLJ54" s="196"/>
      <c r="NLK54" s="196"/>
      <c r="NLL54" s="196"/>
      <c r="NLM54" s="196"/>
      <c r="NLN54" s="196"/>
      <c r="NLO54" s="196"/>
      <c r="NLP54" s="196"/>
      <c r="NLQ54" s="196"/>
      <c r="NLR54" s="196"/>
      <c r="NLS54" s="196"/>
      <c r="NLT54" s="196"/>
      <c r="NLU54" s="196"/>
      <c r="NLV54" s="196"/>
      <c r="NLW54" s="196"/>
      <c r="NLX54" s="196"/>
      <c r="NLY54" s="196"/>
      <c r="NLZ54" s="196"/>
      <c r="NMA54" s="196"/>
      <c r="NMB54" s="196"/>
      <c r="NMC54" s="196"/>
      <c r="NMD54" s="196"/>
      <c r="NME54" s="196"/>
      <c r="NMF54" s="196"/>
      <c r="NMG54" s="196"/>
      <c r="NMH54" s="196"/>
      <c r="NMI54" s="196"/>
      <c r="NMJ54" s="196"/>
      <c r="NMK54" s="196"/>
      <c r="NML54" s="196"/>
      <c r="NMM54" s="196"/>
      <c r="NMN54" s="196"/>
      <c r="NMO54" s="196"/>
      <c r="NMP54" s="196"/>
      <c r="NMQ54" s="196"/>
      <c r="NMR54" s="196"/>
      <c r="NMS54" s="196"/>
      <c r="NMT54" s="196"/>
      <c r="NMU54" s="196"/>
      <c r="NMV54" s="196"/>
      <c r="NMW54" s="196"/>
      <c r="NMX54" s="196"/>
      <c r="NMY54" s="196"/>
      <c r="NMZ54" s="196"/>
      <c r="NNA54" s="196"/>
      <c r="NNB54" s="196"/>
      <c r="NNC54" s="196"/>
      <c r="NND54" s="196"/>
      <c r="NNE54" s="196"/>
      <c r="NNF54" s="196"/>
      <c r="NNG54" s="196"/>
      <c r="NNH54" s="196"/>
      <c r="NNI54" s="196"/>
      <c r="NNJ54" s="196"/>
      <c r="NNK54" s="196"/>
      <c r="NNL54" s="196"/>
      <c r="NNM54" s="196"/>
      <c r="NNN54" s="196"/>
      <c r="NNO54" s="196"/>
      <c r="NNP54" s="196"/>
      <c r="NNQ54" s="196"/>
      <c r="NNR54" s="196"/>
      <c r="NNS54" s="196"/>
      <c r="NNT54" s="196"/>
      <c r="NNU54" s="196"/>
      <c r="NNV54" s="196"/>
      <c r="NNW54" s="196"/>
      <c r="NNX54" s="196"/>
      <c r="NNY54" s="196"/>
      <c r="NNZ54" s="196"/>
      <c r="NOA54" s="196"/>
      <c r="NOB54" s="196"/>
      <c r="NOC54" s="196"/>
      <c r="NOD54" s="196"/>
      <c r="NOE54" s="196"/>
      <c r="NOF54" s="196"/>
      <c r="NOG54" s="196"/>
      <c r="NOH54" s="196"/>
      <c r="NOI54" s="196"/>
      <c r="NOJ54" s="196"/>
      <c r="NOK54" s="196"/>
      <c r="NOL54" s="196"/>
      <c r="NOM54" s="196"/>
      <c r="NON54" s="196"/>
      <c r="NOO54" s="196"/>
      <c r="NOP54" s="196"/>
      <c r="NOQ54" s="196"/>
      <c r="NOR54" s="196"/>
      <c r="NOS54" s="196"/>
      <c r="NOT54" s="196"/>
      <c r="NOU54" s="196"/>
      <c r="NOV54" s="196"/>
      <c r="NOW54" s="196"/>
      <c r="NOX54" s="196"/>
      <c r="NOY54" s="196"/>
      <c r="NOZ54" s="196"/>
      <c r="NPA54" s="196"/>
      <c r="NPB54" s="196"/>
      <c r="NPC54" s="196"/>
      <c r="NPD54" s="196"/>
      <c r="NPE54" s="196"/>
      <c r="NPF54" s="196"/>
      <c r="NPG54" s="196"/>
      <c r="NPH54" s="196"/>
      <c r="NPI54" s="196"/>
      <c r="NPJ54" s="196"/>
      <c r="NPK54" s="196"/>
      <c r="NPL54" s="196"/>
      <c r="NPM54" s="196"/>
      <c r="NPN54" s="196"/>
      <c r="NPO54" s="196"/>
      <c r="NPP54" s="196"/>
      <c r="NPQ54" s="196"/>
      <c r="NPR54" s="196"/>
      <c r="NPS54" s="196"/>
      <c r="NPT54" s="196"/>
      <c r="NPU54" s="196"/>
      <c r="NPV54" s="196"/>
      <c r="NPW54" s="196"/>
      <c r="NPX54" s="196"/>
      <c r="NPY54" s="196"/>
      <c r="NPZ54" s="196"/>
      <c r="NQA54" s="196"/>
      <c r="NQB54" s="196"/>
      <c r="NQC54" s="196"/>
      <c r="NQD54" s="196"/>
      <c r="NQE54" s="196"/>
      <c r="NQF54" s="196"/>
      <c r="NQG54" s="196"/>
      <c r="NQH54" s="196"/>
      <c r="NQI54" s="196"/>
      <c r="NQJ54" s="196"/>
      <c r="NQK54" s="196"/>
      <c r="NQL54" s="196"/>
      <c r="NQM54" s="196"/>
      <c r="NQN54" s="196"/>
      <c r="NQO54" s="196"/>
      <c r="NQP54" s="196"/>
      <c r="NQQ54" s="196"/>
      <c r="NQR54" s="196"/>
      <c r="NQS54" s="196"/>
      <c r="NQT54" s="196"/>
      <c r="NQU54" s="196"/>
      <c r="NQV54" s="196"/>
      <c r="NQW54" s="196"/>
      <c r="NQX54" s="196"/>
      <c r="NQY54" s="196"/>
      <c r="NQZ54" s="196"/>
      <c r="NRA54" s="196"/>
      <c r="NRB54" s="196"/>
      <c r="NRC54" s="196"/>
      <c r="NRD54" s="196"/>
      <c r="NRE54" s="196"/>
      <c r="NRF54" s="196"/>
      <c r="NRG54" s="196"/>
      <c r="NRH54" s="196"/>
      <c r="NRI54" s="196"/>
      <c r="NRJ54" s="196"/>
      <c r="NRK54" s="196"/>
      <c r="NRL54" s="196"/>
      <c r="NRM54" s="196"/>
      <c r="NRN54" s="196"/>
      <c r="NRO54" s="196"/>
      <c r="NRP54" s="196"/>
      <c r="NRQ54" s="196"/>
      <c r="NRR54" s="196"/>
      <c r="NRS54" s="196"/>
      <c r="NRT54" s="196"/>
      <c r="NRU54" s="196"/>
      <c r="NRV54" s="196"/>
      <c r="NRW54" s="196"/>
      <c r="NRX54" s="196"/>
      <c r="NRY54" s="196"/>
      <c r="NRZ54" s="196"/>
      <c r="NSA54" s="196"/>
      <c r="NSB54" s="196"/>
      <c r="NSC54" s="196"/>
      <c r="NSD54" s="196"/>
      <c r="NSE54" s="196"/>
      <c r="NSF54" s="196"/>
      <c r="NSG54" s="196"/>
      <c r="NSH54" s="196"/>
      <c r="NSI54" s="196"/>
      <c r="NSJ54" s="196"/>
      <c r="NSK54" s="196"/>
      <c r="NSL54" s="196"/>
      <c r="NSM54" s="196"/>
      <c r="NSN54" s="196"/>
      <c r="NSO54" s="196"/>
      <c r="NSP54" s="196"/>
      <c r="NSQ54" s="196"/>
      <c r="NSR54" s="196"/>
      <c r="NSS54" s="196"/>
      <c r="NST54" s="196"/>
      <c r="NSU54" s="196"/>
      <c r="NSV54" s="196"/>
      <c r="NSW54" s="196"/>
      <c r="NSX54" s="196"/>
      <c r="NSY54" s="196"/>
      <c r="NSZ54" s="196"/>
      <c r="NTA54" s="196"/>
      <c r="NTB54" s="196"/>
      <c r="NTC54" s="196"/>
      <c r="NTD54" s="196"/>
      <c r="NTE54" s="196"/>
      <c r="NTF54" s="196"/>
      <c r="NTG54" s="196"/>
      <c r="NTH54" s="196"/>
      <c r="NTI54" s="196"/>
      <c r="NTJ54" s="196"/>
      <c r="NTK54" s="196"/>
      <c r="NTL54" s="196"/>
      <c r="NTM54" s="196"/>
      <c r="NTN54" s="196"/>
      <c r="NTO54" s="196"/>
      <c r="NTP54" s="196"/>
      <c r="NTQ54" s="196"/>
      <c r="NTR54" s="196"/>
      <c r="NTS54" s="196"/>
      <c r="NTT54" s="196"/>
      <c r="NTU54" s="196"/>
      <c r="NTV54" s="196"/>
      <c r="NTW54" s="196"/>
      <c r="NTX54" s="196"/>
      <c r="NTY54" s="196"/>
      <c r="NTZ54" s="196"/>
      <c r="NUA54" s="196"/>
      <c r="NUB54" s="196"/>
      <c r="NUC54" s="196"/>
      <c r="NUD54" s="196"/>
      <c r="NUE54" s="196"/>
      <c r="NUF54" s="196"/>
      <c r="NUG54" s="196"/>
      <c r="NUH54" s="196"/>
      <c r="NUI54" s="196"/>
      <c r="NUJ54" s="196"/>
      <c r="NUK54" s="196"/>
      <c r="NUL54" s="196"/>
      <c r="NUM54" s="196"/>
      <c r="NUN54" s="196"/>
      <c r="NUO54" s="196"/>
      <c r="NUP54" s="196"/>
      <c r="NUQ54" s="196"/>
      <c r="NUR54" s="196"/>
      <c r="NUS54" s="196"/>
      <c r="NUT54" s="196"/>
      <c r="NUU54" s="196"/>
      <c r="NUV54" s="196"/>
      <c r="NUW54" s="196"/>
      <c r="NUX54" s="196"/>
      <c r="NUY54" s="196"/>
      <c r="NUZ54" s="196"/>
      <c r="NVA54" s="196"/>
      <c r="NVB54" s="196"/>
      <c r="NVC54" s="196"/>
      <c r="NVD54" s="196"/>
      <c r="NVE54" s="196"/>
      <c r="NVF54" s="196"/>
      <c r="NVG54" s="196"/>
      <c r="NVH54" s="196"/>
      <c r="NVI54" s="196"/>
      <c r="NVJ54" s="196"/>
      <c r="NVK54" s="196"/>
      <c r="NVL54" s="196"/>
      <c r="NVM54" s="196"/>
      <c r="NVN54" s="196"/>
      <c r="NVO54" s="196"/>
      <c r="NVP54" s="196"/>
      <c r="NVQ54" s="196"/>
      <c r="NVR54" s="196"/>
      <c r="NVS54" s="196"/>
      <c r="NVT54" s="196"/>
      <c r="NVU54" s="196"/>
      <c r="NVV54" s="196"/>
      <c r="NVW54" s="196"/>
      <c r="NVX54" s="196"/>
      <c r="NVY54" s="196"/>
      <c r="NVZ54" s="196"/>
      <c r="NWA54" s="196"/>
      <c r="NWB54" s="196"/>
      <c r="NWC54" s="196"/>
      <c r="NWD54" s="196"/>
      <c r="NWE54" s="196"/>
      <c r="NWF54" s="196"/>
      <c r="NWG54" s="196"/>
      <c r="NWH54" s="196"/>
      <c r="NWI54" s="196"/>
      <c r="NWJ54" s="196"/>
      <c r="NWK54" s="196"/>
      <c r="NWL54" s="196"/>
      <c r="NWM54" s="196"/>
      <c r="NWN54" s="196"/>
      <c r="NWO54" s="196"/>
      <c r="NWP54" s="196"/>
      <c r="NWQ54" s="196"/>
      <c r="NWR54" s="196"/>
      <c r="NWS54" s="196"/>
      <c r="NWT54" s="196"/>
      <c r="NWU54" s="196"/>
      <c r="NWV54" s="196"/>
      <c r="NWW54" s="196"/>
      <c r="NWX54" s="196"/>
      <c r="NWY54" s="196"/>
      <c r="NWZ54" s="196"/>
      <c r="NXA54" s="196"/>
      <c r="NXB54" s="196"/>
      <c r="NXC54" s="196"/>
      <c r="NXD54" s="196"/>
      <c r="NXE54" s="196"/>
      <c r="NXF54" s="196"/>
      <c r="NXG54" s="196"/>
      <c r="NXH54" s="196"/>
      <c r="NXI54" s="196"/>
      <c r="NXJ54" s="196"/>
      <c r="NXK54" s="196"/>
      <c r="NXL54" s="196"/>
      <c r="NXM54" s="196"/>
      <c r="NXN54" s="196"/>
      <c r="NXO54" s="196"/>
      <c r="NXP54" s="196"/>
      <c r="NXQ54" s="196"/>
      <c r="NXR54" s="196"/>
      <c r="NXS54" s="196"/>
      <c r="NXT54" s="196"/>
      <c r="NXU54" s="196"/>
      <c r="NXV54" s="196"/>
      <c r="NXW54" s="196"/>
      <c r="NXX54" s="196"/>
      <c r="NXY54" s="196"/>
      <c r="NXZ54" s="196"/>
      <c r="NYA54" s="196"/>
      <c r="NYB54" s="196"/>
      <c r="NYC54" s="196"/>
      <c r="NYD54" s="196"/>
      <c r="NYE54" s="196"/>
      <c r="NYF54" s="196"/>
      <c r="NYG54" s="196"/>
      <c r="NYH54" s="196"/>
      <c r="NYI54" s="196"/>
      <c r="NYJ54" s="196"/>
      <c r="NYK54" s="196"/>
      <c r="NYL54" s="196"/>
      <c r="NYM54" s="196"/>
      <c r="NYN54" s="196"/>
      <c r="NYO54" s="196"/>
      <c r="NYP54" s="196"/>
      <c r="NYQ54" s="196"/>
      <c r="NYR54" s="196"/>
      <c r="NYS54" s="196"/>
      <c r="NYT54" s="196"/>
      <c r="NYU54" s="196"/>
      <c r="NYV54" s="196"/>
      <c r="NYW54" s="196"/>
      <c r="NYX54" s="196"/>
      <c r="NYY54" s="196"/>
      <c r="NYZ54" s="196"/>
      <c r="NZA54" s="196"/>
      <c r="NZB54" s="196"/>
      <c r="NZC54" s="196"/>
      <c r="NZD54" s="196"/>
      <c r="NZE54" s="196"/>
      <c r="NZF54" s="196"/>
      <c r="NZG54" s="196"/>
      <c r="NZH54" s="196"/>
      <c r="NZI54" s="196"/>
      <c r="NZJ54" s="196"/>
      <c r="NZK54" s="196"/>
      <c r="NZL54" s="196"/>
      <c r="NZM54" s="196"/>
      <c r="NZN54" s="196"/>
      <c r="NZO54" s="196"/>
      <c r="NZP54" s="196"/>
      <c r="NZQ54" s="196"/>
      <c r="NZR54" s="196"/>
      <c r="NZS54" s="196"/>
      <c r="NZT54" s="196"/>
      <c r="NZU54" s="196"/>
      <c r="NZV54" s="196"/>
      <c r="NZW54" s="196"/>
      <c r="NZX54" s="196"/>
      <c r="NZY54" s="196"/>
      <c r="NZZ54" s="196"/>
      <c r="OAA54" s="196"/>
      <c r="OAB54" s="196"/>
      <c r="OAC54" s="196"/>
      <c r="OAD54" s="196"/>
      <c r="OAE54" s="196"/>
      <c r="OAF54" s="196"/>
      <c r="OAG54" s="196"/>
      <c r="OAH54" s="196"/>
      <c r="OAI54" s="196"/>
      <c r="OAJ54" s="196"/>
      <c r="OAK54" s="196"/>
      <c r="OAL54" s="196"/>
      <c r="OAM54" s="196"/>
      <c r="OAN54" s="196"/>
      <c r="OAO54" s="196"/>
      <c r="OAP54" s="196"/>
      <c r="OAQ54" s="196"/>
      <c r="OAR54" s="196"/>
      <c r="OAS54" s="196"/>
      <c r="OAT54" s="196"/>
      <c r="OAU54" s="196"/>
      <c r="OAV54" s="196"/>
      <c r="OAW54" s="196"/>
      <c r="OAX54" s="196"/>
      <c r="OAY54" s="196"/>
      <c r="OAZ54" s="196"/>
      <c r="OBA54" s="196"/>
      <c r="OBB54" s="196"/>
      <c r="OBC54" s="196"/>
      <c r="OBD54" s="196"/>
      <c r="OBE54" s="196"/>
      <c r="OBF54" s="196"/>
      <c r="OBG54" s="196"/>
      <c r="OBH54" s="196"/>
      <c r="OBI54" s="196"/>
      <c r="OBJ54" s="196"/>
      <c r="OBK54" s="196"/>
      <c r="OBL54" s="196"/>
      <c r="OBM54" s="196"/>
      <c r="OBN54" s="196"/>
      <c r="OBO54" s="196"/>
      <c r="OBP54" s="196"/>
      <c r="OBQ54" s="196"/>
      <c r="OBR54" s="196"/>
      <c r="OBS54" s="196"/>
      <c r="OBT54" s="196"/>
      <c r="OBU54" s="196"/>
      <c r="OBV54" s="196"/>
      <c r="OBW54" s="196"/>
      <c r="OBX54" s="196"/>
      <c r="OBY54" s="196"/>
      <c r="OBZ54" s="196"/>
      <c r="OCA54" s="196"/>
      <c r="OCB54" s="196"/>
      <c r="OCC54" s="196"/>
      <c r="OCD54" s="196"/>
      <c r="OCE54" s="196"/>
      <c r="OCF54" s="196"/>
      <c r="OCG54" s="196"/>
      <c r="OCH54" s="196"/>
      <c r="OCI54" s="196"/>
      <c r="OCJ54" s="196"/>
      <c r="OCK54" s="196"/>
      <c r="OCL54" s="196"/>
      <c r="OCM54" s="196"/>
      <c r="OCN54" s="196"/>
      <c r="OCO54" s="196"/>
      <c r="OCP54" s="196"/>
      <c r="OCQ54" s="196"/>
      <c r="OCR54" s="196"/>
      <c r="OCS54" s="196"/>
      <c r="OCT54" s="196"/>
      <c r="OCU54" s="196"/>
      <c r="OCV54" s="196"/>
      <c r="OCW54" s="196"/>
      <c r="OCX54" s="196"/>
      <c r="OCY54" s="196"/>
      <c r="OCZ54" s="196"/>
      <c r="ODA54" s="196"/>
      <c r="ODB54" s="196"/>
      <c r="ODC54" s="196"/>
      <c r="ODD54" s="196"/>
      <c r="ODE54" s="196"/>
      <c r="ODF54" s="196"/>
      <c r="ODG54" s="196"/>
      <c r="ODH54" s="196"/>
      <c r="ODI54" s="196"/>
      <c r="ODJ54" s="196"/>
      <c r="ODK54" s="196"/>
      <c r="ODL54" s="196"/>
      <c r="ODM54" s="196"/>
      <c r="ODN54" s="196"/>
      <c r="ODO54" s="196"/>
      <c r="ODP54" s="196"/>
      <c r="ODQ54" s="196"/>
      <c r="ODR54" s="196"/>
      <c r="ODS54" s="196"/>
      <c r="ODT54" s="196"/>
      <c r="ODU54" s="196"/>
      <c r="ODV54" s="196"/>
      <c r="ODW54" s="196"/>
      <c r="ODX54" s="196"/>
      <c r="ODY54" s="196"/>
      <c r="ODZ54" s="196"/>
      <c r="OEA54" s="196"/>
      <c r="OEB54" s="196"/>
      <c r="OEC54" s="196"/>
      <c r="OED54" s="196"/>
      <c r="OEE54" s="196"/>
      <c r="OEF54" s="196"/>
      <c r="OEG54" s="196"/>
      <c r="OEH54" s="196"/>
      <c r="OEI54" s="196"/>
      <c r="OEJ54" s="196"/>
      <c r="OEK54" s="196"/>
      <c r="OEL54" s="196"/>
      <c r="OEM54" s="196"/>
      <c r="OEN54" s="196"/>
      <c r="OEO54" s="196"/>
      <c r="OEP54" s="196"/>
      <c r="OEQ54" s="196"/>
      <c r="OER54" s="196"/>
      <c r="OES54" s="196"/>
      <c r="OET54" s="196"/>
      <c r="OEU54" s="196"/>
      <c r="OEV54" s="196"/>
      <c r="OEW54" s="196"/>
      <c r="OEX54" s="196"/>
      <c r="OEY54" s="196"/>
      <c r="OEZ54" s="196"/>
      <c r="OFA54" s="196"/>
      <c r="OFB54" s="196"/>
      <c r="OFC54" s="196"/>
      <c r="OFD54" s="196"/>
      <c r="OFE54" s="196"/>
      <c r="OFF54" s="196"/>
      <c r="OFG54" s="196"/>
      <c r="OFH54" s="196"/>
      <c r="OFI54" s="196"/>
      <c r="OFJ54" s="196"/>
      <c r="OFK54" s="196"/>
      <c r="OFL54" s="196"/>
      <c r="OFM54" s="196"/>
      <c r="OFN54" s="196"/>
      <c r="OFO54" s="196"/>
      <c r="OFP54" s="196"/>
      <c r="OFQ54" s="196"/>
      <c r="OFR54" s="196"/>
      <c r="OFS54" s="196"/>
      <c r="OFT54" s="196"/>
      <c r="OFU54" s="196"/>
      <c r="OFV54" s="196"/>
      <c r="OFW54" s="196"/>
      <c r="OFX54" s="196"/>
      <c r="OFY54" s="196"/>
      <c r="OFZ54" s="196"/>
      <c r="OGA54" s="196"/>
      <c r="OGB54" s="196"/>
      <c r="OGC54" s="196"/>
      <c r="OGD54" s="196"/>
      <c r="OGE54" s="196"/>
      <c r="OGF54" s="196"/>
      <c r="OGG54" s="196"/>
      <c r="OGH54" s="196"/>
      <c r="OGI54" s="196"/>
      <c r="OGJ54" s="196"/>
      <c r="OGK54" s="196"/>
      <c r="OGL54" s="196"/>
      <c r="OGM54" s="196"/>
      <c r="OGN54" s="196"/>
      <c r="OGO54" s="196"/>
      <c r="OGP54" s="196"/>
      <c r="OGQ54" s="196"/>
      <c r="OGR54" s="196"/>
      <c r="OGS54" s="196"/>
      <c r="OGT54" s="196"/>
      <c r="OGU54" s="196"/>
      <c r="OGV54" s="196"/>
      <c r="OGW54" s="196"/>
      <c r="OGX54" s="196"/>
      <c r="OGY54" s="196"/>
      <c r="OGZ54" s="196"/>
      <c r="OHA54" s="196"/>
      <c r="OHB54" s="196"/>
      <c r="OHC54" s="196"/>
      <c r="OHD54" s="196"/>
      <c r="OHE54" s="196"/>
      <c r="OHF54" s="196"/>
      <c r="OHG54" s="196"/>
      <c r="OHH54" s="196"/>
      <c r="OHI54" s="196"/>
      <c r="OHJ54" s="196"/>
      <c r="OHK54" s="196"/>
      <c r="OHL54" s="196"/>
      <c r="OHM54" s="196"/>
      <c r="OHN54" s="196"/>
      <c r="OHO54" s="196"/>
      <c r="OHP54" s="196"/>
      <c r="OHQ54" s="196"/>
      <c r="OHR54" s="196"/>
      <c r="OHS54" s="196"/>
      <c r="OHT54" s="196"/>
      <c r="OHU54" s="196"/>
      <c r="OHV54" s="196"/>
      <c r="OHW54" s="196"/>
      <c r="OHX54" s="196"/>
      <c r="OHY54" s="196"/>
      <c r="OHZ54" s="196"/>
      <c r="OIA54" s="196"/>
      <c r="OIB54" s="196"/>
      <c r="OIC54" s="196"/>
      <c r="OID54" s="196"/>
      <c r="OIE54" s="196"/>
      <c r="OIF54" s="196"/>
      <c r="OIG54" s="196"/>
      <c r="OIH54" s="196"/>
      <c r="OII54" s="196"/>
      <c r="OIJ54" s="196"/>
      <c r="OIK54" s="196"/>
      <c r="OIL54" s="196"/>
      <c r="OIM54" s="196"/>
      <c r="OIN54" s="196"/>
      <c r="OIO54" s="196"/>
      <c r="OIP54" s="196"/>
      <c r="OIQ54" s="196"/>
      <c r="OIR54" s="196"/>
      <c r="OIS54" s="196"/>
      <c r="OIT54" s="196"/>
      <c r="OIU54" s="196"/>
      <c r="OIV54" s="196"/>
      <c r="OIW54" s="196"/>
      <c r="OIX54" s="196"/>
      <c r="OIY54" s="196"/>
      <c r="OIZ54" s="196"/>
      <c r="OJA54" s="196"/>
      <c r="OJB54" s="196"/>
      <c r="OJC54" s="196"/>
      <c r="OJD54" s="196"/>
      <c r="OJE54" s="196"/>
      <c r="OJF54" s="196"/>
      <c r="OJG54" s="196"/>
      <c r="OJH54" s="196"/>
      <c r="OJI54" s="196"/>
      <c r="OJJ54" s="196"/>
      <c r="OJK54" s="196"/>
      <c r="OJL54" s="196"/>
      <c r="OJM54" s="196"/>
      <c r="OJN54" s="196"/>
      <c r="OJO54" s="196"/>
      <c r="OJP54" s="196"/>
      <c r="OJQ54" s="196"/>
      <c r="OJR54" s="196"/>
      <c r="OJS54" s="196"/>
      <c r="OJT54" s="196"/>
      <c r="OJU54" s="196"/>
      <c r="OJV54" s="196"/>
      <c r="OJW54" s="196"/>
      <c r="OJX54" s="196"/>
      <c r="OJY54" s="196"/>
      <c r="OJZ54" s="196"/>
      <c r="OKA54" s="196"/>
      <c r="OKB54" s="196"/>
      <c r="OKC54" s="196"/>
      <c r="OKD54" s="196"/>
      <c r="OKE54" s="196"/>
      <c r="OKF54" s="196"/>
      <c r="OKG54" s="196"/>
      <c r="OKH54" s="196"/>
      <c r="OKI54" s="196"/>
      <c r="OKJ54" s="196"/>
      <c r="OKK54" s="196"/>
      <c r="OKL54" s="196"/>
      <c r="OKM54" s="196"/>
      <c r="OKN54" s="196"/>
      <c r="OKO54" s="196"/>
      <c r="OKP54" s="196"/>
      <c r="OKQ54" s="196"/>
      <c r="OKR54" s="196"/>
      <c r="OKS54" s="196"/>
      <c r="OKT54" s="196"/>
      <c r="OKU54" s="196"/>
      <c r="OKV54" s="196"/>
      <c r="OKW54" s="196"/>
      <c r="OKX54" s="196"/>
      <c r="OKY54" s="196"/>
      <c r="OKZ54" s="196"/>
      <c r="OLA54" s="196"/>
      <c r="OLB54" s="196"/>
      <c r="OLC54" s="196"/>
      <c r="OLD54" s="196"/>
      <c r="OLE54" s="196"/>
      <c r="OLF54" s="196"/>
      <c r="OLG54" s="196"/>
      <c r="OLH54" s="196"/>
      <c r="OLI54" s="196"/>
      <c r="OLJ54" s="196"/>
      <c r="OLK54" s="196"/>
      <c r="OLL54" s="196"/>
      <c r="OLM54" s="196"/>
      <c r="OLN54" s="196"/>
      <c r="OLO54" s="196"/>
      <c r="OLP54" s="196"/>
      <c r="OLQ54" s="196"/>
      <c r="OLR54" s="196"/>
      <c r="OLS54" s="196"/>
      <c r="OLT54" s="196"/>
      <c r="OLU54" s="196"/>
      <c r="OLV54" s="196"/>
      <c r="OLW54" s="196"/>
      <c r="OLX54" s="196"/>
      <c r="OLY54" s="196"/>
      <c r="OLZ54" s="196"/>
      <c r="OMA54" s="196"/>
      <c r="OMB54" s="196"/>
      <c r="OMC54" s="196"/>
      <c r="OMD54" s="196"/>
      <c r="OME54" s="196"/>
      <c r="OMF54" s="196"/>
      <c r="OMG54" s="196"/>
      <c r="OMH54" s="196"/>
      <c r="OMI54" s="196"/>
      <c r="OMJ54" s="196"/>
      <c r="OMK54" s="196"/>
      <c r="OML54" s="196"/>
      <c r="OMM54" s="196"/>
      <c r="OMN54" s="196"/>
      <c r="OMO54" s="196"/>
      <c r="OMP54" s="196"/>
      <c r="OMQ54" s="196"/>
      <c r="OMR54" s="196"/>
      <c r="OMS54" s="196"/>
      <c r="OMT54" s="196"/>
      <c r="OMU54" s="196"/>
      <c r="OMV54" s="196"/>
      <c r="OMW54" s="196"/>
      <c r="OMX54" s="196"/>
      <c r="OMY54" s="196"/>
      <c r="OMZ54" s="196"/>
      <c r="ONA54" s="196"/>
      <c r="ONB54" s="196"/>
      <c r="ONC54" s="196"/>
      <c r="OND54" s="196"/>
      <c r="ONE54" s="196"/>
      <c r="ONF54" s="196"/>
      <c r="ONG54" s="196"/>
      <c r="ONH54" s="196"/>
      <c r="ONI54" s="196"/>
      <c r="ONJ54" s="196"/>
      <c r="ONK54" s="196"/>
      <c r="ONL54" s="196"/>
      <c r="ONM54" s="196"/>
      <c r="ONN54" s="196"/>
      <c r="ONO54" s="196"/>
      <c r="ONP54" s="196"/>
      <c r="ONQ54" s="196"/>
      <c r="ONR54" s="196"/>
      <c r="ONS54" s="196"/>
      <c r="ONT54" s="196"/>
      <c r="ONU54" s="196"/>
      <c r="ONV54" s="196"/>
      <c r="ONW54" s="196"/>
      <c r="ONX54" s="196"/>
      <c r="ONY54" s="196"/>
      <c r="ONZ54" s="196"/>
      <c r="OOA54" s="196"/>
      <c r="OOB54" s="196"/>
      <c r="OOC54" s="196"/>
      <c r="OOD54" s="196"/>
      <c r="OOE54" s="196"/>
      <c r="OOF54" s="196"/>
      <c r="OOG54" s="196"/>
      <c r="OOH54" s="196"/>
      <c r="OOI54" s="196"/>
      <c r="OOJ54" s="196"/>
      <c r="OOK54" s="196"/>
      <c r="OOL54" s="196"/>
      <c r="OOM54" s="196"/>
      <c r="OON54" s="196"/>
      <c r="OOO54" s="196"/>
      <c r="OOP54" s="196"/>
      <c r="OOQ54" s="196"/>
      <c r="OOR54" s="196"/>
      <c r="OOS54" s="196"/>
      <c r="OOT54" s="196"/>
      <c r="OOU54" s="196"/>
      <c r="OOV54" s="196"/>
      <c r="OOW54" s="196"/>
      <c r="OOX54" s="196"/>
      <c r="OOY54" s="196"/>
      <c r="OOZ54" s="196"/>
      <c r="OPA54" s="196"/>
      <c r="OPB54" s="196"/>
      <c r="OPC54" s="196"/>
      <c r="OPD54" s="196"/>
      <c r="OPE54" s="196"/>
      <c r="OPF54" s="196"/>
      <c r="OPG54" s="196"/>
      <c r="OPH54" s="196"/>
      <c r="OPI54" s="196"/>
      <c r="OPJ54" s="196"/>
      <c r="OPK54" s="196"/>
      <c r="OPL54" s="196"/>
      <c r="OPM54" s="196"/>
      <c r="OPN54" s="196"/>
      <c r="OPO54" s="196"/>
      <c r="OPP54" s="196"/>
      <c r="OPQ54" s="196"/>
      <c r="OPR54" s="196"/>
      <c r="OPS54" s="196"/>
      <c r="OPT54" s="196"/>
      <c r="OPU54" s="196"/>
      <c r="OPV54" s="196"/>
      <c r="OPW54" s="196"/>
      <c r="OPX54" s="196"/>
      <c r="OPY54" s="196"/>
      <c r="OPZ54" s="196"/>
      <c r="OQA54" s="196"/>
      <c r="OQB54" s="196"/>
      <c r="OQC54" s="196"/>
      <c r="OQD54" s="196"/>
      <c r="OQE54" s="196"/>
      <c r="OQF54" s="196"/>
      <c r="OQG54" s="196"/>
      <c r="OQH54" s="196"/>
      <c r="OQI54" s="196"/>
      <c r="OQJ54" s="196"/>
      <c r="OQK54" s="196"/>
      <c r="OQL54" s="196"/>
      <c r="OQM54" s="196"/>
      <c r="OQN54" s="196"/>
      <c r="OQO54" s="196"/>
      <c r="OQP54" s="196"/>
      <c r="OQQ54" s="196"/>
      <c r="OQR54" s="196"/>
      <c r="OQS54" s="196"/>
      <c r="OQT54" s="196"/>
      <c r="OQU54" s="196"/>
      <c r="OQV54" s="196"/>
      <c r="OQW54" s="196"/>
      <c r="OQX54" s="196"/>
      <c r="OQY54" s="196"/>
      <c r="OQZ54" s="196"/>
      <c r="ORA54" s="196"/>
      <c r="ORB54" s="196"/>
      <c r="ORC54" s="196"/>
      <c r="ORD54" s="196"/>
      <c r="ORE54" s="196"/>
      <c r="ORF54" s="196"/>
      <c r="ORG54" s="196"/>
      <c r="ORH54" s="196"/>
      <c r="ORI54" s="196"/>
      <c r="ORJ54" s="196"/>
      <c r="ORK54" s="196"/>
      <c r="ORL54" s="196"/>
      <c r="ORM54" s="196"/>
      <c r="ORN54" s="196"/>
      <c r="ORO54" s="196"/>
      <c r="ORP54" s="196"/>
      <c r="ORQ54" s="196"/>
      <c r="ORR54" s="196"/>
      <c r="ORS54" s="196"/>
      <c r="ORT54" s="196"/>
      <c r="ORU54" s="196"/>
      <c r="ORV54" s="196"/>
      <c r="ORW54" s="196"/>
      <c r="ORX54" s="196"/>
      <c r="ORY54" s="196"/>
      <c r="ORZ54" s="196"/>
      <c r="OSA54" s="196"/>
      <c r="OSB54" s="196"/>
      <c r="OSC54" s="196"/>
      <c r="OSD54" s="196"/>
      <c r="OSE54" s="196"/>
      <c r="OSF54" s="196"/>
      <c r="OSG54" s="196"/>
      <c r="OSH54" s="196"/>
      <c r="OSI54" s="196"/>
      <c r="OSJ54" s="196"/>
      <c r="OSK54" s="196"/>
      <c r="OSL54" s="196"/>
      <c r="OSM54" s="196"/>
      <c r="OSN54" s="196"/>
      <c r="OSO54" s="196"/>
      <c r="OSP54" s="196"/>
      <c r="OSQ54" s="196"/>
      <c r="OSR54" s="196"/>
      <c r="OSS54" s="196"/>
      <c r="OST54" s="196"/>
      <c r="OSU54" s="196"/>
      <c r="OSV54" s="196"/>
      <c r="OSW54" s="196"/>
      <c r="OSX54" s="196"/>
      <c r="OSY54" s="196"/>
      <c r="OSZ54" s="196"/>
      <c r="OTA54" s="196"/>
      <c r="OTB54" s="196"/>
      <c r="OTC54" s="196"/>
      <c r="OTD54" s="196"/>
      <c r="OTE54" s="196"/>
      <c r="OTF54" s="196"/>
      <c r="OTG54" s="196"/>
      <c r="OTH54" s="196"/>
      <c r="OTI54" s="196"/>
      <c r="OTJ54" s="196"/>
      <c r="OTK54" s="196"/>
      <c r="OTL54" s="196"/>
      <c r="OTM54" s="196"/>
      <c r="OTN54" s="196"/>
      <c r="OTO54" s="196"/>
      <c r="OTP54" s="196"/>
      <c r="OTQ54" s="196"/>
      <c r="OTR54" s="196"/>
      <c r="OTS54" s="196"/>
      <c r="OTT54" s="196"/>
      <c r="OTU54" s="196"/>
      <c r="OTV54" s="196"/>
      <c r="OTW54" s="196"/>
      <c r="OTX54" s="196"/>
      <c r="OTY54" s="196"/>
      <c r="OTZ54" s="196"/>
      <c r="OUA54" s="196"/>
      <c r="OUB54" s="196"/>
      <c r="OUC54" s="196"/>
      <c r="OUD54" s="196"/>
      <c r="OUE54" s="196"/>
      <c r="OUF54" s="196"/>
      <c r="OUG54" s="196"/>
      <c r="OUH54" s="196"/>
      <c r="OUI54" s="196"/>
      <c r="OUJ54" s="196"/>
      <c r="OUK54" s="196"/>
      <c r="OUL54" s="196"/>
      <c r="OUM54" s="196"/>
      <c r="OUN54" s="196"/>
      <c r="OUO54" s="196"/>
      <c r="OUP54" s="196"/>
      <c r="OUQ54" s="196"/>
      <c r="OUR54" s="196"/>
      <c r="OUS54" s="196"/>
      <c r="OUT54" s="196"/>
      <c r="OUU54" s="196"/>
      <c r="OUV54" s="196"/>
      <c r="OUW54" s="196"/>
      <c r="OUX54" s="196"/>
      <c r="OUY54" s="196"/>
      <c r="OUZ54" s="196"/>
      <c r="OVA54" s="196"/>
      <c r="OVB54" s="196"/>
      <c r="OVC54" s="196"/>
      <c r="OVD54" s="196"/>
      <c r="OVE54" s="196"/>
      <c r="OVF54" s="196"/>
      <c r="OVG54" s="196"/>
      <c r="OVH54" s="196"/>
      <c r="OVI54" s="196"/>
      <c r="OVJ54" s="196"/>
      <c r="OVK54" s="196"/>
      <c r="OVL54" s="196"/>
      <c r="OVM54" s="196"/>
      <c r="OVN54" s="196"/>
      <c r="OVO54" s="196"/>
      <c r="OVP54" s="196"/>
      <c r="OVQ54" s="196"/>
      <c r="OVR54" s="196"/>
      <c r="OVS54" s="196"/>
      <c r="OVT54" s="196"/>
      <c r="OVU54" s="196"/>
      <c r="OVV54" s="196"/>
      <c r="OVW54" s="196"/>
      <c r="OVX54" s="196"/>
      <c r="OVY54" s="196"/>
      <c r="OVZ54" s="196"/>
      <c r="OWA54" s="196"/>
      <c r="OWB54" s="196"/>
      <c r="OWC54" s="196"/>
      <c r="OWD54" s="196"/>
      <c r="OWE54" s="196"/>
      <c r="OWF54" s="196"/>
      <c r="OWG54" s="196"/>
      <c r="OWH54" s="196"/>
      <c r="OWI54" s="196"/>
      <c r="OWJ54" s="196"/>
      <c r="OWK54" s="196"/>
      <c r="OWL54" s="196"/>
      <c r="OWM54" s="196"/>
      <c r="OWN54" s="196"/>
      <c r="OWO54" s="196"/>
      <c r="OWP54" s="196"/>
      <c r="OWQ54" s="196"/>
      <c r="OWR54" s="196"/>
      <c r="OWS54" s="196"/>
      <c r="OWT54" s="196"/>
      <c r="OWU54" s="196"/>
      <c r="OWV54" s="196"/>
      <c r="OWW54" s="196"/>
      <c r="OWX54" s="196"/>
      <c r="OWY54" s="196"/>
      <c r="OWZ54" s="196"/>
      <c r="OXA54" s="196"/>
      <c r="OXB54" s="196"/>
      <c r="OXC54" s="196"/>
      <c r="OXD54" s="196"/>
      <c r="OXE54" s="196"/>
      <c r="OXF54" s="196"/>
      <c r="OXG54" s="196"/>
      <c r="OXH54" s="196"/>
      <c r="OXI54" s="196"/>
      <c r="OXJ54" s="196"/>
      <c r="OXK54" s="196"/>
      <c r="OXL54" s="196"/>
      <c r="OXM54" s="196"/>
      <c r="OXN54" s="196"/>
      <c r="OXO54" s="196"/>
      <c r="OXP54" s="196"/>
      <c r="OXQ54" s="196"/>
      <c r="OXR54" s="196"/>
      <c r="OXS54" s="196"/>
      <c r="OXT54" s="196"/>
      <c r="OXU54" s="196"/>
      <c r="OXV54" s="196"/>
      <c r="OXW54" s="196"/>
      <c r="OXX54" s="196"/>
      <c r="OXY54" s="196"/>
      <c r="OXZ54" s="196"/>
      <c r="OYA54" s="196"/>
      <c r="OYB54" s="196"/>
      <c r="OYC54" s="196"/>
      <c r="OYD54" s="196"/>
      <c r="OYE54" s="196"/>
      <c r="OYF54" s="196"/>
      <c r="OYG54" s="196"/>
      <c r="OYH54" s="196"/>
      <c r="OYI54" s="196"/>
      <c r="OYJ54" s="196"/>
      <c r="OYK54" s="196"/>
      <c r="OYL54" s="196"/>
      <c r="OYM54" s="196"/>
      <c r="OYN54" s="196"/>
      <c r="OYO54" s="196"/>
      <c r="OYP54" s="196"/>
      <c r="OYQ54" s="196"/>
      <c r="OYR54" s="196"/>
      <c r="OYS54" s="196"/>
      <c r="OYT54" s="196"/>
      <c r="OYU54" s="196"/>
      <c r="OYV54" s="196"/>
      <c r="OYW54" s="196"/>
      <c r="OYX54" s="196"/>
      <c r="OYY54" s="196"/>
      <c r="OYZ54" s="196"/>
      <c r="OZA54" s="196"/>
      <c r="OZB54" s="196"/>
      <c r="OZC54" s="196"/>
      <c r="OZD54" s="196"/>
      <c r="OZE54" s="196"/>
      <c r="OZF54" s="196"/>
      <c r="OZG54" s="196"/>
      <c r="OZH54" s="196"/>
      <c r="OZI54" s="196"/>
      <c r="OZJ54" s="196"/>
      <c r="OZK54" s="196"/>
      <c r="OZL54" s="196"/>
      <c r="OZM54" s="196"/>
      <c r="OZN54" s="196"/>
      <c r="OZO54" s="196"/>
      <c r="OZP54" s="196"/>
      <c r="OZQ54" s="196"/>
      <c r="OZR54" s="196"/>
      <c r="OZS54" s="196"/>
      <c r="OZT54" s="196"/>
      <c r="OZU54" s="196"/>
      <c r="OZV54" s="196"/>
      <c r="OZW54" s="196"/>
      <c r="OZX54" s="196"/>
      <c r="OZY54" s="196"/>
      <c r="OZZ54" s="196"/>
      <c r="PAA54" s="196"/>
      <c r="PAB54" s="196"/>
      <c r="PAC54" s="196"/>
      <c r="PAD54" s="196"/>
      <c r="PAE54" s="196"/>
      <c r="PAF54" s="196"/>
      <c r="PAG54" s="196"/>
      <c r="PAH54" s="196"/>
      <c r="PAI54" s="196"/>
      <c r="PAJ54" s="196"/>
      <c r="PAK54" s="196"/>
      <c r="PAL54" s="196"/>
      <c r="PAM54" s="196"/>
      <c r="PAN54" s="196"/>
      <c r="PAO54" s="196"/>
      <c r="PAP54" s="196"/>
      <c r="PAQ54" s="196"/>
      <c r="PAR54" s="196"/>
      <c r="PAS54" s="196"/>
      <c r="PAT54" s="196"/>
      <c r="PAU54" s="196"/>
      <c r="PAV54" s="196"/>
      <c r="PAW54" s="196"/>
      <c r="PAX54" s="196"/>
      <c r="PAY54" s="196"/>
      <c r="PAZ54" s="196"/>
      <c r="PBA54" s="196"/>
      <c r="PBB54" s="196"/>
      <c r="PBC54" s="196"/>
      <c r="PBD54" s="196"/>
      <c r="PBE54" s="196"/>
      <c r="PBF54" s="196"/>
      <c r="PBG54" s="196"/>
      <c r="PBH54" s="196"/>
      <c r="PBI54" s="196"/>
      <c r="PBJ54" s="196"/>
      <c r="PBK54" s="196"/>
      <c r="PBL54" s="196"/>
      <c r="PBM54" s="196"/>
      <c r="PBN54" s="196"/>
      <c r="PBO54" s="196"/>
      <c r="PBP54" s="196"/>
      <c r="PBQ54" s="196"/>
      <c r="PBR54" s="196"/>
      <c r="PBS54" s="196"/>
      <c r="PBT54" s="196"/>
      <c r="PBU54" s="196"/>
      <c r="PBV54" s="196"/>
      <c r="PBW54" s="196"/>
      <c r="PBX54" s="196"/>
      <c r="PBY54" s="196"/>
      <c r="PBZ54" s="196"/>
      <c r="PCA54" s="196"/>
      <c r="PCB54" s="196"/>
      <c r="PCC54" s="196"/>
      <c r="PCD54" s="196"/>
      <c r="PCE54" s="196"/>
      <c r="PCF54" s="196"/>
      <c r="PCG54" s="196"/>
      <c r="PCH54" s="196"/>
      <c r="PCI54" s="196"/>
      <c r="PCJ54" s="196"/>
      <c r="PCK54" s="196"/>
      <c r="PCL54" s="196"/>
      <c r="PCM54" s="196"/>
      <c r="PCN54" s="196"/>
      <c r="PCO54" s="196"/>
      <c r="PCP54" s="196"/>
      <c r="PCQ54" s="196"/>
      <c r="PCR54" s="196"/>
      <c r="PCS54" s="196"/>
      <c r="PCT54" s="196"/>
      <c r="PCU54" s="196"/>
      <c r="PCV54" s="196"/>
      <c r="PCW54" s="196"/>
      <c r="PCX54" s="196"/>
      <c r="PCY54" s="196"/>
      <c r="PCZ54" s="196"/>
      <c r="PDA54" s="196"/>
      <c r="PDB54" s="196"/>
      <c r="PDC54" s="196"/>
      <c r="PDD54" s="196"/>
      <c r="PDE54" s="196"/>
      <c r="PDF54" s="196"/>
      <c r="PDG54" s="196"/>
      <c r="PDH54" s="196"/>
      <c r="PDI54" s="196"/>
      <c r="PDJ54" s="196"/>
      <c r="PDK54" s="196"/>
      <c r="PDL54" s="196"/>
      <c r="PDM54" s="196"/>
      <c r="PDN54" s="196"/>
      <c r="PDO54" s="196"/>
      <c r="PDP54" s="196"/>
      <c r="PDQ54" s="196"/>
      <c r="PDR54" s="196"/>
      <c r="PDS54" s="196"/>
      <c r="PDT54" s="196"/>
      <c r="PDU54" s="196"/>
      <c r="PDV54" s="196"/>
      <c r="PDW54" s="196"/>
      <c r="PDX54" s="196"/>
      <c r="PDY54" s="196"/>
      <c r="PDZ54" s="196"/>
      <c r="PEA54" s="196"/>
      <c r="PEB54" s="196"/>
      <c r="PEC54" s="196"/>
      <c r="PED54" s="196"/>
      <c r="PEE54" s="196"/>
      <c r="PEF54" s="196"/>
      <c r="PEG54" s="196"/>
      <c r="PEH54" s="196"/>
      <c r="PEI54" s="196"/>
      <c r="PEJ54" s="196"/>
      <c r="PEK54" s="196"/>
      <c r="PEL54" s="196"/>
      <c r="PEM54" s="196"/>
      <c r="PEN54" s="196"/>
      <c r="PEO54" s="196"/>
      <c r="PEP54" s="196"/>
      <c r="PEQ54" s="196"/>
      <c r="PER54" s="196"/>
      <c r="PES54" s="196"/>
      <c r="PET54" s="196"/>
      <c r="PEU54" s="196"/>
      <c r="PEV54" s="196"/>
      <c r="PEW54" s="196"/>
      <c r="PEX54" s="196"/>
      <c r="PEY54" s="196"/>
      <c r="PEZ54" s="196"/>
      <c r="PFA54" s="196"/>
      <c r="PFB54" s="196"/>
      <c r="PFC54" s="196"/>
      <c r="PFD54" s="196"/>
      <c r="PFE54" s="196"/>
      <c r="PFF54" s="196"/>
      <c r="PFG54" s="196"/>
      <c r="PFH54" s="196"/>
      <c r="PFI54" s="196"/>
      <c r="PFJ54" s="196"/>
      <c r="PFK54" s="196"/>
      <c r="PFL54" s="196"/>
      <c r="PFM54" s="196"/>
      <c r="PFN54" s="196"/>
      <c r="PFO54" s="196"/>
      <c r="PFP54" s="196"/>
      <c r="PFQ54" s="196"/>
      <c r="PFR54" s="196"/>
      <c r="PFS54" s="196"/>
      <c r="PFT54" s="196"/>
      <c r="PFU54" s="196"/>
      <c r="PFV54" s="196"/>
      <c r="PFW54" s="196"/>
      <c r="PFX54" s="196"/>
      <c r="PFY54" s="196"/>
      <c r="PFZ54" s="196"/>
      <c r="PGA54" s="196"/>
      <c r="PGB54" s="196"/>
      <c r="PGC54" s="196"/>
      <c r="PGD54" s="196"/>
      <c r="PGE54" s="196"/>
      <c r="PGF54" s="196"/>
      <c r="PGG54" s="196"/>
      <c r="PGH54" s="196"/>
      <c r="PGI54" s="196"/>
      <c r="PGJ54" s="196"/>
      <c r="PGK54" s="196"/>
      <c r="PGL54" s="196"/>
      <c r="PGM54" s="196"/>
      <c r="PGN54" s="196"/>
      <c r="PGO54" s="196"/>
      <c r="PGP54" s="196"/>
      <c r="PGQ54" s="196"/>
      <c r="PGR54" s="196"/>
      <c r="PGS54" s="196"/>
      <c r="PGT54" s="196"/>
      <c r="PGU54" s="196"/>
      <c r="PGV54" s="196"/>
      <c r="PGW54" s="196"/>
      <c r="PGX54" s="196"/>
      <c r="PGY54" s="196"/>
      <c r="PGZ54" s="196"/>
      <c r="PHA54" s="196"/>
      <c r="PHB54" s="196"/>
      <c r="PHC54" s="196"/>
      <c r="PHD54" s="196"/>
      <c r="PHE54" s="196"/>
      <c r="PHF54" s="196"/>
      <c r="PHG54" s="196"/>
      <c r="PHH54" s="196"/>
      <c r="PHI54" s="196"/>
      <c r="PHJ54" s="196"/>
      <c r="PHK54" s="196"/>
      <c r="PHL54" s="196"/>
      <c r="PHM54" s="196"/>
      <c r="PHN54" s="196"/>
      <c r="PHO54" s="196"/>
      <c r="PHP54" s="196"/>
      <c r="PHQ54" s="196"/>
      <c r="PHR54" s="196"/>
      <c r="PHS54" s="196"/>
      <c r="PHT54" s="196"/>
      <c r="PHU54" s="196"/>
      <c r="PHV54" s="196"/>
      <c r="PHW54" s="196"/>
      <c r="PHX54" s="196"/>
      <c r="PHY54" s="196"/>
      <c r="PHZ54" s="196"/>
      <c r="PIA54" s="196"/>
      <c r="PIB54" s="196"/>
      <c r="PIC54" s="196"/>
      <c r="PID54" s="196"/>
      <c r="PIE54" s="196"/>
      <c r="PIF54" s="196"/>
      <c r="PIG54" s="196"/>
      <c r="PIH54" s="196"/>
      <c r="PII54" s="196"/>
      <c r="PIJ54" s="196"/>
      <c r="PIK54" s="196"/>
      <c r="PIL54" s="196"/>
      <c r="PIM54" s="196"/>
      <c r="PIN54" s="196"/>
      <c r="PIO54" s="196"/>
      <c r="PIP54" s="196"/>
      <c r="PIQ54" s="196"/>
      <c r="PIR54" s="196"/>
      <c r="PIS54" s="196"/>
      <c r="PIT54" s="196"/>
      <c r="PIU54" s="196"/>
      <c r="PIV54" s="196"/>
      <c r="PIW54" s="196"/>
      <c r="PIX54" s="196"/>
      <c r="PIY54" s="196"/>
      <c r="PIZ54" s="196"/>
      <c r="PJA54" s="196"/>
      <c r="PJB54" s="196"/>
      <c r="PJC54" s="196"/>
      <c r="PJD54" s="196"/>
      <c r="PJE54" s="196"/>
      <c r="PJF54" s="196"/>
      <c r="PJG54" s="196"/>
      <c r="PJH54" s="196"/>
      <c r="PJI54" s="196"/>
      <c r="PJJ54" s="196"/>
      <c r="PJK54" s="196"/>
      <c r="PJL54" s="196"/>
      <c r="PJM54" s="196"/>
      <c r="PJN54" s="196"/>
      <c r="PJO54" s="196"/>
      <c r="PJP54" s="196"/>
      <c r="PJQ54" s="196"/>
      <c r="PJR54" s="196"/>
      <c r="PJS54" s="196"/>
      <c r="PJT54" s="196"/>
      <c r="PJU54" s="196"/>
      <c r="PJV54" s="196"/>
      <c r="PJW54" s="196"/>
      <c r="PJX54" s="196"/>
      <c r="PJY54" s="196"/>
      <c r="PJZ54" s="196"/>
      <c r="PKA54" s="196"/>
      <c r="PKB54" s="196"/>
      <c r="PKC54" s="196"/>
      <c r="PKD54" s="196"/>
      <c r="PKE54" s="196"/>
      <c r="PKF54" s="196"/>
      <c r="PKG54" s="196"/>
      <c r="PKH54" s="196"/>
      <c r="PKI54" s="196"/>
      <c r="PKJ54" s="196"/>
      <c r="PKK54" s="196"/>
      <c r="PKL54" s="196"/>
      <c r="PKM54" s="196"/>
      <c r="PKN54" s="196"/>
      <c r="PKO54" s="196"/>
      <c r="PKP54" s="196"/>
      <c r="PKQ54" s="196"/>
      <c r="PKR54" s="196"/>
      <c r="PKS54" s="196"/>
      <c r="PKT54" s="196"/>
      <c r="PKU54" s="196"/>
      <c r="PKV54" s="196"/>
      <c r="PKW54" s="196"/>
      <c r="PKX54" s="196"/>
      <c r="PKY54" s="196"/>
      <c r="PKZ54" s="196"/>
      <c r="PLA54" s="196"/>
      <c r="PLB54" s="196"/>
      <c r="PLC54" s="196"/>
      <c r="PLD54" s="196"/>
      <c r="PLE54" s="196"/>
      <c r="PLF54" s="196"/>
      <c r="PLG54" s="196"/>
      <c r="PLH54" s="196"/>
      <c r="PLI54" s="196"/>
      <c r="PLJ54" s="196"/>
      <c r="PLK54" s="196"/>
      <c r="PLL54" s="196"/>
      <c r="PLM54" s="196"/>
      <c r="PLN54" s="196"/>
      <c r="PLO54" s="196"/>
      <c r="PLP54" s="196"/>
      <c r="PLQ54" s="196"/>
      <c r="PLR54" s="196"/>
      <c r="PLS54" s="196"/>
      <c r="PLT54" s="196"/>
      <c r="PLU54" s="196"/>
      <c r="PLV54" s="196"/>
      <c r="PLW54" s="196"/>
      <c r="PLX54" s="196"/>
      <c r="PLY54" s="196"/>
      <c r="PLZ54" s="196"/>
      <c r="PMA54" s="196"/>
      <c r="PMB54" s="196"/>
      <c r="PMC54" s="196"/>
      <c r="PMD54" s="196"/>
      <c r="PME54" s="196"/>
      <c r="PMF54" s="196"/>
      <c r="PMG54" s="196"/>
      <c r="PMH54" s="196"/>
      <c r="PMI54" s="196"/>
      <c r="PMJ54" s="196"/>
      <c r="PMK54" s="196"/>
      <c r="PML54" s="196"/>
      <c r="PMM54" s="196"/>
      <c r="PMN54" s="196"/>
      <c r="PMO54" s="196"/>
      <c r="PMP54" s="196"/>
      <c r="PMQ54" s="196"/>
      <c r="PMR54" s="196"/>
      <c r="PMS54" s="196"/>
      <c r="PMT54" s="196"/>
      <c r="PMU54" s="196"/>
      <c r="PMV54" s="196"/>
      <c r="PMW54" s="196"/>
      <c r="PMX54" s="196"/>
      <c r="PMY54" s="196"/>
      <c r="PMZ54" s="196"/>
      <c r="PNA54" s="196"/>
      <c r="PNB54" s="196"/>
      <c r="PNC54" s="196"/>
      <c r="PND54" s="196"/>
      <c r="PNE54" s="196"/>
      <c r="PNF54" s="196"/>
      <c r="PNG54" s="196"/>
      <c r="PNH54" s="196"/>
      <c r="PNI54" s="196"/>
      <c r="PNJ54" s="196"/>
      <c r="PNK54" s="196"/>
      <c r="PNL54" s="196"/>
      <c r="PNM54" s="196"/>
      <c r="PNN54" s="196"/>
      <c r="PNO54" s="196"/>
      <c r="PNP54" s="196"/>
      <c r="PNQ54" s="196"/>
      <c r="PNR54" s="196"/>
      <c r="PNS54" s="196"/>
      <c r="PNT54" s="196"/>
      <c r="PNU54" s="196"/>
      <c r="PNV54" s="196"/>
      <c r="PNW54" s="196"/>
      <c r="PNX54" s="196"/>
      <c r="PNY54" s="196"/>
      <c r="PNZ54" s="196"/>
      <c r="POA54" s="196"/>
      <c r="POB54" s="196"/>
      <c r="POC54" s="196"/>
      <c r="POD54" s="196"/>
      <c r="POE54" s="196"/>
      <c r="POF54" s="196"/>
      <c r="POG54" s="196"/>
      <c r="POH54" s="196"/>
      <c r="POI54" s="196"/>
      <c r="POJ54" s="196"/>
      <c r="POK54" s="196"/>
      <c r="POL54" s="196"/>
      <c r="POM54" s="196"/>
      <c r="PON54" s="196"/>
      <c r="POO54" s="196"/>
      <c r="POP54" s="196"/>
      <c r="POQ54" s="196"/>
      <c r="POR54" s="196"/>
      <c r="POS54" s="196"/>
      <c r="POT54" s="196"/>
      <c r="POU54" s="196"/>
      <c r="POV54" s="196"/>
      <c r="POW54" s="196"/>
      <c r="POX54" s="196"/>
      <c r="POY54" s="196"/>
      <c r="POZ54" s="196"/>
      <c r="PPA54" s="196"/>
      <c r="PPB54" s="196"/>
      <c r="PPC54" s="196"/>
      <c r="PPD54" s="196"/>
      <c r="PPE54" s="196"/>
      <c r="PPF54" s="196"/>
      <c r="PPG54" s="196"/>
      <c r="PPH54" s="196"/>
      <c r="PPI54" s="196"/>
      <c r="PPJ54" s="196"/>
      <c r="PPK54" s="196"/>
      <c r="PPL54" s="196"/>
      <c r="PPM54" s="196"/>
      <c r="PPN54" s="196"/>
      <c r="PPO54" s="196"/>
      <c r="PPP54" s="196"/>
      <c r="PPQ54" s="196"/>
      <c r="PPR54" s="196"/>
      <c r="PPS54" s="196"/>
      <c r="PPT54" s="196"/>
      <c r="PPU54" s="196"/>
      <c r="PPV54" s="196"/>
      <c r="PPW54" s="196"/>
      <c r="PPX54" s="196"/>
      <c r="PPY54" s="196"/>
      <c r="PPZ54" s="196"/>
      <c r="PQA54" s="196"/>
      <c r="PQB54" s="196"/>
      <c r="PQC54" s="196"/>
      <c r="PQD54" s="196"/>
      <c r="PQE54" s="196"/>
      <c r="PQF54" s="196"/>
      <c r="PQG54" s="196"/>
      <c r="PQH54" s="196"/>
      <c r="PQI54" s="196"/>
      <c r="PQJ54" s="196"/>
      <c r="PQK54" s="196"/>
      <c r="PQL54" s="196"/>
      <c r="PQM54" s="196"/>
      <c r="PQN54" s="196"/>
      <c r="PQO54" s="196"/>
      <c r="PQP54" s="196"/>
      <c r="PQQ54" s="196"/>
      <c r="PQR54" s="196"/>
      <c r="PQS54" s="196"/>
      <c r="PQT54" s="196"/>
      <c r="PQU54" s="196"/>
      <c r="PQV54" s="196"/>
      <c r="PQW54" s="196"/>
      <c r="PQX54" s="196"/>
      <c r="PQY54" s="196"/>
      <c r="PQZ54" s="196"/>
      <c r="PRA54" s="196"/>
      <c r="PRB54" s="196"/>
      <c r="PRC54" s="196"/>
      <c r="PRD54" s="196"/>
      <c r="PRE54" s="196"/>
      <c r="PRF54" s="196"/>
      <c r="PRG54" s="196"/>
      <c r="PRH54" s="196"/>
      <c r="PRI54" s="196"/>
      <c r="PRJ54" s="196"/>
      <c r="PRK54" s="196"/>
      <c r="PRL54" s="196"/>
      <c r="PRM54" s="196"/>
      <c r="PRN54" s="196"/>
      <c r="PRO54" s="196"/>
      <c r="PRP54" s="196"/>
      <c r="PRQ54" s="196"/>
      <c r="PRR54" s="196"/>
      <c r="PRS54" s="196"/>
      <c r="PRT54" s="196"/>
      <c r="PRU54" s="196"/>
      <c r="PRV54" s="196"/>
      <c r="PRW54" s="196"/>
      <c r="PRX54" s="196"/>
      <c r="PRY54" s="196"/>
      <c r="PRZ54" s="196"/>
      <c r="PSA54" s="196"/>
      <c r="PSB54" s="196"/>
      <c r="PSC54" s="196"/>
      <c r="PSD54" s="196"/>
      <c r="PSE54" s="196"/>
      <c r="PSF54" s="196"/>
      <c r="PSG54" s="196"/>
      <c r="PSH54" s="196"/>
      <c r="PSI54" s="196"/>
      <c r="PSJ54" s="196"/>
      <c r="PSK54" s="196"/>
      <c r="PSL54" s="196"/>
      <c r="PSM54" s="196"/>
      <c r="PSN54" s="196"/>
      <c r="PSO54" s="196"/>
      <c r="PSP54" s="196"/>
      <c r="PSQ54" s="196"/>
      <c r="PSR54" s="196"/>
      <c r="PSS54" s="196"/>
      <c r="PST54" s="196"/>
      <c r="PSU54" s="196"/>
      <c r="PSV54" s="196"/>
      <c r="PSW54" s="196"/>
      <c r="PSX54" s="196"/>
      <c r="PSY54" s="196"/>
      <c r="PSZ54" s="196"/>
      <c r="PTA54" s="196"/>
      <c r="PTB54" s="196"/>
      <c r="PTC54" s="196"/>
      <c r="PTD54" s="196"/>
      <c r="PTE54" s="196"/>
      <c r="PTF54" s="196"/>
      <c r="PTG54" s="196"/>
      <c r="PTH54" s="196"/>
      <c r="PTI54" s="196"/>
      <c r="PTJ54" s="196"/>
      <c r="PTK54" s="196"/>
      <c r="PTL54" s="196"/>
      <c r="PTM54" s="196"/>
      <c r="PTN54" s="196"/>
      <c r="PTO54" s="196"/>
      <c r="PTP54" s="196"/>
      <c r="PTQ54" s="196"/>
      <c r="PTR54" s="196"/>
      <c r="PTS54" s="196"/>
      <c r="PTT54" s="196"/>
      <c r="PTU54" s="196"/>
      <c r="PTV54" s="196"/>
      <c r="PTW54" s="196"/>
      <c r="PTX54" s="196"/>
      <c r="PTY54" s="196"/>
      <c r="PTZ54" s="196"/>
      <c r="PUA54" s="196"/>
      <c r="PUB54" s="196"/>
      <c r="PUC54" s="196"/>
      <c r="PUD54" s="196"/>
      <c r="PUE54" s="196"/>
      <c r="PUF54" s="196"/>
      <c r="PUG54" s="196"/>
      <c r="PUH54" s="196"/>
      <c r="PUI54" s="196"/>
      <c r="PUJ54" s="196"/>
      <c r="PUK54" s="196"/>
      <c r="PUL54" s="196"/>
      <c r="PUM54" s="196"/>
      <c r="PUN54" s="196"/>
      <c r="PUO54" s="196"/>
      <c r="PUP54" s="196"/>
      <c r="PUQ54" s="196"/>
      <c r="PUR54" s="196"/>
      <c r="PUS54" s="196"/>
      <c r="PUT54" s="196"/>
      <c r="PUU54" s="196"/>
      <c r="PUV54" s="196"/>
      <c r="PUW54" s="196"/>
      <c r="PUX54" s="196"/>
      <c r="PUY54" s="196"/>
      <c r="PUZ54" s="196"/>
      <c r="PVA54" s="196"/>
      <c r="PVB54" s="196"/>
      <c r="PVC54" s="196"/>
      <c r="PVD54" s="196"/>
      <c r="PVE54" s="196"/>
      <c r="PVF54" s="196"/>
      <c r="PVG54" s="196"/>
      <c r="PVH54" s="196"/>
      <c r="PVI54" s="196"/>
      <c r="PVJ54" s="196"/>
      <c r="PVK54" s="196"/>
      <c r="PVL54" s="196"/>
      <c r="PVM54" s="196"/>
      <c r="PVN54" s="196"/>
      <c r="PVO54" s="196"/>
      <c r="PVP54" s="196"/>
      <c r="PVQ54" s="196"/>
      <c r="PVR54" s="196"/>
      <c r="PVS54" s="196"/>
      <c r="PVT54" s="196"/>
      <c r="PVU54" s="196"/>
      <c r="PVV54" s="196"/>
      <c r="PVW54" s="196"/>
      <c r="PVX54" s="196"/>
      <c r="PVY54" s="196"/>
      <c r="PVZ54" s="196"/>
      <c r="PWA54" s="196"/>
      <c r="PWB54" s="196"/>
      <c r="PWC54" s="196"/>
      <c r="PWD54" s="196"/>
      <c r="PWE54" s="196"/>
      <c r="PWF54" s="196"/>
      <c r="PWG54" s="196"/>
      <c r="PWH54" s="196"/>
      <c r="PWI54" s="196"/>
      <c r="PWJ54" s="196"/>
      <c r="PWK54" s="196"/>
      <c r="PWL54" s="196"/>
      <c r="PWM54" s="196"/>
      <c r="PWN54" s="196"/>
      <c r="PWO54" s="196"/>
      <c r="PWP54" s="196"/>
      <c r="PWQ54" s="196"/>
      <c r="PWR54" s="196"/>
      <c r="PWS54" s="196"/>
      <c r="PWT54" s="196"/>
      <c r="PWU54" s="196"/>
      <c r="PWV54" s="196"/>
      <c r="PWW54" s="196"/>
      <c r="PWX54" s="196"/>
      <c r="PWY54" s="196"/>
      <c r="PWZ54" s="196"/>
      <c r="PXA54" s="196"/>
      <c r="PXB54" s="196"/>
      <c r="PXC54" s="196"/>
      <c r="PXD54" s="196"/>
      <c r="PXE54" s="196"/>
      <c r="PXF54" s="196"/>
      <c r="PXG54" s="196"/>
      <c r="PXH54" s="196"/>
      <c r="PXI54" s="196"/>
      <c r="PXJ54" s="196"/>
      <c r="PXK54" s="196"/>
      <c r="PXL54" s="196"/>
      <c r="PXM54" s="196"/>
      <c r="PXN54" s="196"/>
      <c r="PXO54" s="196"/>
      <c r="PXP54" s="196"/>
      <c r="PXQ54" s="196"/>
      <c r="PXR54" s="196"/>
      <c r="PXS54" s="196"/>
      <c r="PXT54" s="196"/>
      <c r="PXU54" s="196"/>
      <c r="PXV54" s="196"/>
      <c r="PXW54" s="196"/>
      <c r="PXX54" s="196"/>
      <c r="PXY54" s="196"/>
      <c r="PXZ54" s="196"/>
      <c r="PYA54" s="196"/>
      <c r="PYB54" s="196"/>
      <c r="PYC54" s="196"/>
      <c r="PYD54" s="196"/>
      <c r="PYE54" s="196"/>
      <c r="PYF54" s="196"/>
      <c r="PYG54" s="196"/>
      <c r="PYH54" s="196"/>
      <c r="PYI54" s="196"/>
      <c r="PYJ54" s="196"/>
      <c r="PYK54" s="196"/>
      <c r="PYL54" s="196"/>
      <c r="PYM54" s="196"/>
      <c r="PYN54" s="196"/>
      <c r="PYO54" s="196"/>
      <c r="PYP54" s="196"/>
      <c r="PYQ54" s="196"/>
      <c r="PYR54" s="196"/>
      <c r="PYS54" s="196"/>
      <c r="PYT54" s="196"/>
      <c r="PYU54" s="196"/>
      <c r="PYV54" s="196"/>
      <c r="PYW54" s="196"/>
      <c r="PYX54" s="196"/>
      <c r="PYY54" s="196"/>
      <c r="PYZ54" s="196"/>
      <c r="PZA54" s="196"/>
      <c r="PZB54" s="196"/>
      <c r="PZC54" s="196"/>
      <c r="PZD54" s="196"/>
      <c r="PZE54" s="196"/>
      <c r="PZF54" s="196"/>
      <c r="PZG54" s="196"/>
      <c r="PZH54" s="196"/>
      <c r="PZI54" s="196"/>
      <c r="PZJ54" s="196"/>
      <c r="PZK54" s="196"/>
      <c r="PZL54" s="196"/>
      <c r="PZM54" s="196"/>
      <c r="PZN54" s="196"/>
      <c r="PZO54" s="196"/>
      <c r="PZP54" s="196"/>
      <c r="PZQ54" s="196"/>
      <c r="PZR54" s="196"/>
      <c r="PZS54" s="196"/>
      <c r="PZT54" s="196"/>
      <c r="PZU54" s="196"/>
      <c r="PZV54" s="196"/>
      <c r="PZW54" s="196"/>
      <c r="PZX54" s="196"/>
      <c r="PZY54" s="196"/>
      <c r="PZZ54" s="196"/>
      <c r="QAA54" s="196"/>
      <c r="QAB54" s="196"/>
      <c r="QAC54" s="196"/>
      <c r="QAD54" s="196"/>
      <c r="QAE54" s="196"/>
      <c r="QAF54" s="196"/>
      <c r="QAG54" s="196"/>
      <c r="QAH54" s="196"/>
      <c r="QAI54" s="196"/>
      <c r="QAJ54" s="196"/>
      <c r="QAK54" s="196"/>
      <c r="QAL54" s="196"/>
      <c r="QAM54" s="196"/>
      <c r="QAN54" s="196"/>
      <c r="QAO54" s="196"/>
      <c r="QAP54" s="196"/>
      <c r="QAQ54" s="196"/>
      <c r="QAR54" s="196"/>
      <c r="QAS54" s="196"/>
      <c r="QAT54" s="196"/>
      <c r="QAU54" s="196"/>
      <c r="QAV54" s="196"/>
      <c r="QAW54" s="196"/>
      <c r="QAX54" s="196"/>
      <c r="QAY54" s="196"/>
      <c r="QAZ54" s="196"/>
      <c r="QBA54" s="196"/>
      <c r="QBB54" s="196"/>
      <c r="QBC54" s="196"/>
      <c r="QBD54" s="196"/>
      <c r="QBE54" s="196"/>
      <c r="QBF54" s="196"/>
      <c r="QBG54" s="196"/>
      <c r="QBH54" s="196"/>
      <c r="QBI54" s="196"/>
      <c r="QBJ54" s="196"/>
      <c r="QBK54" s="196"/>
      <c r="QBL54" s="196"/>
      <c r="QBM54" s="196"/>
      <c r="QBN54" s="196"/>
      <c r="QBO54" s="196"/>
      <c r="QBP54" s="196"/>
      <c r="QBQ54" s="196"/>
      <c r="QBR54" s="196"/>
      <c r="QBS54" s="196"/>
      <c r="QBT54" s="196"/>
      <c r="QBU54" s="196"/>
      <c r="QBV54" s="196"/>
      <c r="QBW54" s="196"/>
      <c r="QBX54" s="196"/>
      <c r="QBY54" s="196"/>
      <c r="QBZ54" s="196"/>
      <c r="QCA54" s="196"/>
      <c r="QCB54" s="196"/>
      <c r="QCC54" s="196"/>
      <c r="QCD54" s="196"/>
      <c r="QCE54" s="196"/>
      <c r="QCF54" s="196"/>
      <c r="QCG54" s="196"/>
      <c r="QCH54" s="196"/>
      <c r="QCI54" s="196"/>
      <c r="QCJ54" s="196"/>
      <c r="QCK54" s="196"/>
      <c r="QCL54" s="196"/>
      <c r="QCM54" s="196"/>
      <c r="QCN54" s="196"/>
      <c r="QCO54" s="196"/>
      <c r="QCP54" s="196"/>
      <c r="QCQ54" s="196"/>
      <c r="QCR54" s="196"/>
      <c r="QCS54" s="196"/>
      <c r="QCT54" s="196"/>
      <c r="QCU54" s="196"/>
      <c r="QCV54" s="196"/>
      <c r="QCW54" s="196"/>
      <c r="QCX54" s="196"/>
      <c r="QCY54" s="196"/>
      <c r="QCZ54" s="196"/>
      <c r="QDA54" s="196"/>
      <c r="QDB54" s="196"/>
      <c r="QDC54" s="196"/>
      <c r="QDD54" s="196"/>
      <c r="QDE54" s="196"/>
      <c r="QDF54" s="196"/>
      <c r="QDG54" s="196"/>
      <c r="QDH54" s="196"/>
      <c r="QDI54" s="196"/>
      <c r="QDJ54" s="196"/>
      <c r="QDK54" s="196"/>
      <c r="QDL54" s="196"/>
      <c r="QDM54" s="196"/>
      <c r="QDN54" s="196"/>
      <c r="QDO54" s="196"/>
      <c r="QDP54" s="196"/>
      <c r="QDQ54" s="196"/>
      <c r="QDR54" s="196"/>
      <c r="QDS54" s="196"/>
      <c r="QDT54" s="196"/>
      <c r="QDU54" s="196"/>
      <c r="QDV54" s="196"/>
      <c r="QDW54" s="196"/>
      <c r="QDX54" s="196"/>
      <c r="QDY54" s="196"/>
      <c r="QDZ54" s="196"/>
      <c r="QEA54" s="196"/>
      <c r="QEB54" s="196"/>
      <c r="QEC54" s="196"/>
      <c r="QED54" s="196"/>
      <c r="QEE54" s="196"/>
      <c r="QEF54" s="196"/>
      <c r="QEG54" s="196"/>
      <c r="QEH54" s="196"/>
      <c r="QEI54" s="196"/>
      <c r="QEJ54" s="196"/>
      <c r="QEK54" s="196"/>
      <c r="QEL54" s="196"/>
      <c r="QEM54" s="196"/>
      <c r="QEN54" s="196"/>
      <c r="QEO54" s="196"/>
      <c r="QEP54" s="196"/>
      <c r="QEQ54" s="196"/>
      <c r="QER54" s="196"/>
      <c r="QES54" s="196"/>
      <c r="QET54" s="196"/>
      <c r="QEU54" s="196"/>
      <c r="QEV54" s="196"/>
      <c r="QEW54" s="196"/>
      <c r="QEX54" s="196"/>
      <c r="QEY54" s="196"/>
      <c r="QEZ54" s="196"/>
      <c r="QFA54" s="196"/>
      <c r="QFB54" s="196"/>
      <c r="QFC54" s="196"/>
      <c r="QFD54" s="196"/>
      <c r="QFE54" s="196"/>
      <c r="QFF54" s="196"/>
      <c r="QFG54" s="196"/>
      <c r="QFH54" s="196"/>
      <c r="QFI54" s="196"/>
      <c r="QFJ54" s="196"/>
      <c r="QFK54" s="196"/>
      <c r="QFL54" s="196"/>
      <c r="QFM54" s="196"/>
      <c r="QFN54" s="196"/>
      <c r="QFO54" s="196"/>
      <c r="QFP54" s="196"/>
      <c r="QFQ54" s="196"/>
      <c r="QFR54" s="196"/>
      <c r="QFS54" s="196"/>
      <c r="QFT54" s="196"/>
      <c r="QFU54" s="196"/>
      <c r="QFV54" s="196"/>
      <c r="QFW54" s="196"/>
      <c r="QFX54" s="196"/>
      <c r="QFY54" s="196"/>
      <c r="QFZ54" s="196"/>
      <c r="QGA54" s="196"/>
      <c r="QGB54" s="196"/>
      <c r="QGC54" s="196"/>
      <c r="QGD54" s="196"/>
      <c r="QGE54" s="196"/>
      <c r="QGF54" s="196"/>
      <c r="QGG54" s="196"/>
      <c r="QGH54" s="196"/>
      <c r="QGI54" s="196"/>
      <c r="QGJ54" s="196"/>
      <c r="QGK54" s="196"/>
      <c r="QGL54" s="196"/>
      <c r="QGM54" s="196"/>
      <c r="QGN54" s="196"/>
      <c r="QGO54" s="196"/>
      <c r="QGP54" s="196"/>
      <c r="QGQ54" s="196"/>
      <c r="QGR54" s="196"/>
      <c r="QGS54" s="196"/>
      <c r="QGT54" s="196"/>
      <c r="QGU54" s="196"/>
      <c r="QGV54" s="196"/>
      <c r="QGW54" s="196"/>
      <c r="QGX54" s="196"/>
      <c r="QGY54" s="196"/>
      <c r="QGZ54" s="196"/>
      <c r="QHA54" s="196"/>
      <c r="QHB54" s="196"/>
      <c r="QHC54" s="196"/>
      <c r="QHD54" s="196"/>
      <c r="QHE54" s="196"/>
      <c r="QHF54" s="196"/>
      <c r="QHG54" s="196"/>
      <c r="QHH54" s="196"/>
      <c r="QHI54" s="196"/>
      <c r="QHJ54" s="196"/>
      <c r="QHK54" s="196"/>
      <c r="QHL54" s="196"/>
      <c r="QHM54" s="196"/>
      <c r="QHN54" s="196"/>
      <c r="QHO54" s="196"/>
      <c r="QHP54" s="196"/>
      <c r="QHQ54" s="196"/>
      <c r="QHR54" s="196"/>
      <c r="QHS54" s="196"/>
      <c r="QHT54" s="196"/>
      <c r="QHU54" s="196"/>
      <c r="QHV54" s="196"/>
      <c r="QHW54" s="196"/>
      <c r="QHX54" s="196"/>
      <c r="QHY54" s="196"/>
      <c r="QHZ54" s="196"/>
      <c r="QIA54" s="196"/>
      <c r="QIB54" s="196"/>
      <c r="QIC54" s="196"/>
      <c r="QID54" s="196"/>
      <c r="QIE54" s="196"/>
      <c r="QIF54" s="196"/>
      <c r="QIG54" s="196"/>
      <c r="QIH54" s="196"/>
      <c r="QII54" s="196"/>
      <c r="QIJ54" s="196"/>
      <c r="QIK54" s="196"/>
      <c r="QIL54" s="196"/>
      <c r="QIM54" s="196"/>
      <c r="QIN54" s="196"/>
      <c r="QIO54" s="196"/>
      <c r="QIP54" s="196"/>
      <c r="QIQ54" s="196"/>
      <c r="QIR54" s="196"/>
      <c r="QIS54" s="196"/>
      <c r="QIT54" s="196"/>
      <c r="QIU54" s="196"/>
      <c r="QIV54" s="196"/>
      <c r="QIW54" s="196"/>
      <c r="QIX54" s="196"/>
      <c r="QIY54" s="196"/>
      <c r="QIZ54" s="196"/>
      <c r="QJA54" s="196"/>
      <c r="QJB54" s="196"/>
      <c r="QJC54" s="196"/>
      <c r="QJD54" s="196"/>
      <c r="QJE54" s="196"/>
      <c r="QJF54" s="196"/>
      <c r="QJG54" s="196"/>
      <c r="QJH54" s="196"/>
      <c r="QJI54" s="196"/>
      <c r="QJJ54" s="196"/>
      <c r="QJK54" s="196"/>
      <c r="QJL54" s="196"/>
      <c r="QJM54" s="196"/>
      <c r="QJN54" s="196"/>
      <c r="QJO54" s="196"/>
      <c r="QJP54" s="196"/>
      <c r="QJQ54" s="196"/>
      <c r="QJR54" s="196"/>
      <c r="QJS54" s="196"/>
      <c r="QJT54" s="196"/>
      <c r="QJU54" s="196"/>
      <c r="QJV54" s="196"/>
      <c r="QJW54" s="196"/>
      <c r="QJX54" s="196"/>
      <c r="QJY54" s="196"/>
      <c r="QJZ54" s="196"/>
      <c r="QKA54" s="196"/>
      <c r="QKB54" s="196"/>
      <c r="QKC54" s="196"/>
      <c r="QKD54" s="196"/>
      <c r="QKE54" s="196"/>
      <c r="QKF54" s="196"/>
      <c r="QKG54" s="196"/>
      <c r="QKH54" s="196"/>
      <c r="QKI54" s="196"/>
      <c r="QKJ54" s="196"/>
      <c r="QKK54" s="196"/>
      <c r="QKL54" s="196"/>
      <c r="QKM54" s="196"/>
      <c r="QKN54" s="196"/>
      <c r="QKO54" s="196"/>
      <c r="QKP54" s="196"/>
      <c r="QKQ54" s="196"/>
      <c r="QKR54" s="196"/>
      <c r="QKS54" s="196"/>
      <c r="QKT54" s="196"/>
      <c r="QKU54" s="196"/>
      <c r="QKV54" s="196"/>
      <c r="QKW54" s="196"/>
      <c r="QKX54" s="196"/>
      <c r="QKY54" s="196"/>
      <c r="QKZ54" s="196"/>
      <c r="QLA54" s="196"/>
      <c r="QLB54" s="196"/>
      <c r="QLC54" s="196"/>
      <c r="QLD54" s="196"/>
      <c r="QLE54" s="196"/>
      <c r="QLF54" s="196"/>
      <c r="QLG54" s="196"/>
      <c r="QLH54" s="196"/>
      <c r="QLI54" s="196"/>
      <c r="QLJ54" s="196"/>
      <c r="QLK54" s="196"/>
      <c r="QLL54" s="196"/>
      <c r="QLM54" s="196"/>
      <c r="QLN54" s="196"/>
      <c r="QLO54" s="196"/>
      <c r="QLP54" s="196"/>
      <c r="QLQ54" s="196"/>
      <c r="QLR54" s="196"/>
      <c r="QLS54" s="196"/>
      <c r="QLT54" s="196"/>
      <c r="QLU54" s="196"/>
      <c r="QLV54" s="196"/>
      <c r="QLW54" s="196"/>
      <c r="QLX54" s="196"/>
      <c r="QLY54" s="196"/>
      <c r="QLZ54" s="196"/>
      <c r="QMA54" s="196"/>
      <c r="QMB54" s="196"/>
      <c r="QMC54" s="196"/>
      <c r="QMD54" s="196"/>
      <c r="QME54" s="196"/>
      <c r="QMF54" s="196"/>
      <c r="QMG54" s="196"/>
      <c r="QMH54" s="196"/>
      <c r="QMI54" s="196"/>
      <c r="QMJ54" s="196"/>
      <c r="QMK54" s="196"/>
      <c r="QML54" s="196"/>
      <c r="QMM54" s="196"/>
      <c r="QMN54" s="196"/>
      <c r="QMO54" s="196"/>
      <c r="QMP54" s="196"/>
      <c r="QMQ54" s="196"/>
      <c r="QMR54" s="196"/>
      <c r="QMS54" s="196"/>
      <c r="QMT54" s="196"/>
      <c r="QMU54" s="196"/>
      <c r="QMV54" s="196"/>
      <c r="QMW54" s="196"/>
      <c r="QMX54" s="196"/>
      <c r="QMY54" s="196"/>
      <c r="QMZ54" s="196"/>
      <c r="QNA54" s="196"/>
      <c r="QNB54" s="196"/>
      <c r="QNC54" s="196"/>
      <c r="QND54" s="196"/>
      <c r="QNE54" s="196"/>
      <c r="QNF54" s="196"/>
      <c r="QNG54" s="196"/>
      <c r="QNH54" s="196"/>
      <c r="QNI54" s="196"/>
      <c r="QNJ54" s="196"/>
      <c r="QNK54" s="196"/>
      <c r="QNL54" s="196"/>
      <c r="QNM54" s="196"/>
      <c r="QNN54" s="196"/>
      <c r="QNO54" s="196"/>
      <c r="QNP54" s="196"/>
      <c r="QNQ54" s="196"/>
      <c r="QNR54" s="196"/>
      <c r="QNS54" s="196"/>
      <c r="QNT54" s="196"/>
      <c r="QNU54" s="196"/>
      <c r="QNV54" s="196"/>
      <c r="QNW54" s="196"/>
      <c r="QNX54" s="196"/>
      <c r="QNY54" s="196"/>
      <c r="QNZ54" s="196"/>
      <c r="QOA54" s="196"/>
      <c r="QOB54" s="196"/>
      <c r="QOC54" s="196"/>
      <c r="QOD54" s="196"/>
      <c r="QOE54" s="196"/>
      <c r="QOF54" s="196"/>
      <c r="QOG54" s="196"/>
      <c r="QOH54" s="196"/>
      <c r="QOI54" s="196"/>
      <c r="QOJ54" s="196"/>
      <c r="QOK54" s="196"/>
      <c r="QOL54" s="196"/>
      <c r="QOM54" s="196"/>
      <c r="QON54" s="196"/>
      <c r="QOO54" s="196"/>
      <c r="QOP54" s="196"/>
      <c r="QOQ54" s="196"/>
      <c r="QOR54" s="196"/>
      <c r="QOS54" s="196"/>
      <c r="QOT54" s="196"/>
      <c r="QOU54" s="196"/>
      <c r="QOV54" s="196"/>
      <c r="QOW54" s="196"/>
      <c r="QOX54" s="196"/>
      <c r="QOY54" s="196"/>
      <c r="QOZ54" s="196"/>
      <c r="QPA54" s="196"/>
      <c r="QPB54" s="196"/>
      <c r="QPC54" s="196"/>
      <c r="QPD54" s="196"/>
      <c r="QPE54" s="196"/>
      <c r="QPF54" s="196"/>
      <c r="QPG54" s="196"/>
      <c r="QPH54" s="196"/>
      <c r="QPI54" s="196"/>
      <c r="QPJ54" s="196"/>
      <c r="QPK54" s="196"/>
      <c r="QPL54" s="196"/>
      <c r="QPM54" s="196"/>
      <c r="QPN54" s="196"/>
      <c r="QPO54" s="196"/>
      <c r="QPP54" s="196"/>
      <c r="QPQ54" s="196"/>
      <c r="QPR54" s="196"/>
      <c r="QPS54" s="196"/>
      <c r="QPT54" s="196"/>
      <c r="QPU54" s="196"/>
      <c r="QPV54" s="196"/>
      <c r="QPW54" s="196"/>
      <c r="QPX54" s="196"/>
      <c r="QPY54" s="196"/>
      <c r="QPZ54" s="196"/>
      <c r="QQA54" s="196"/>
      <c r="QQB54" s="196"/>
      <c r="QQC54" s="196"/>
      <c r="QQD54" s="196"/>
      <c r="QQE54" s="196"/>
      <c r="QQF54" s="196"/>
      <c r="QQG54" s="196"/>
      <c r="QQH54" s="196"/>
      <c r="QQI54" s="196"/>
      <c r="QQJ54" s="196"/>
      <c r="QQK54" s="196"/>
      <c r="QQL54" s="196"/>
      <c r="QQM54" s="196"/>
      <c r="QQN54" s="196"/>
      <c r="QQO54" s="196"/>
      <c r="QQP54" s="196"/>
      <c r="QQQ54" s="196"/>
      <c r="QQR54" s="196"/>
      <c r="QQS54" s="196"/>
      <c r="QQT54" s="196"/>
      <c r="QQU54" s="196"/>
      <c r="QQV54" s="196"/>
      <c r="QQW54" s="196"/>
      <c r="QQX54" s="196"/>
      <c r="QQY54" s="196"/>
      <c r="QQZ54" s="196"/>
      <c r="QRA54" s="196"/>
      <c r="QRB54" s="196"/>
      <c r="QRC54" s="196"/>
      <c r="QRD54" s="196"/>
      <c r="QRE54" s="196"/>
      <c r="QRF54" s="196"/>
      <c r="QRG54" s="196"/>
      <c r="QRH54" s="196"/>
      <c r="QRI54" s="196"/>
      <c r="QRJ54" s="196"/>
      <c r="QRK54" s="196"/>
      <c r="QRL54" s="196"/>
      <c r="QRM54" s="196"/>
      <c r="QRN54" s="196"/>
      <c r="QRO54" s="196"/>
      <c r="QRP54" s="196"/>
      <c r="QRQ54" s="196"/>
      <c r="QRR54" s="196"/>
      <c r="QRS54" s="196"/>
      <c r="QRT54" s="196"/>
      <c r="QRU54" s="196"/>
      <c r="QRV54" s="196"/>
      <c r="QRW54" s="196"/>
      <c r="QRX54" s="196"/>
      <c r="QRY54" s="196"/>
      <c r="QRZ54" s="196"/>
      <c r="QSA54" s="196"/>
      <c r="QSB54" s="196"/>
      <c r="QSC54" s="196"/>
      <c r="QSD54" s="196"/>
      <c r="QSE54" s="196"/>
      <c r="QSF54" s="196"/>
      <c r="QSG54" s="196"/>
      <c r="QSH54" s="196"/>
      <c r="QSI54" s="196"/>
      <c r="QSJ54" s="196"/>
      <c r="QSK54" s="196"/>
      <c r="QSL54" s="196"/>
      <c r="QSM54" s="196"/>
      <c r="QSN54" s="196"/>
      <c r="QSO54" s="196"/>
      <c r="QSP54" s="196"/>
      <c r="QSQ54" s="196"/>
      <c r="QSR54" s="196"/>
      <c r="QSS54" s="196"/>
      <c r="QST54" s="196"/>
      <c r="QSU54" s="196"/>
      <c r="QSV54" s="196"/>
      <c r="QSW54" s="196"/>
      <c r="QSX54" s="196"/>
      <c r="QSY54" s="196"/>
      <c r="QSZ54" s="196"/>
      <c r="QTA54" s="196"/>
      <c r="QTB54" s="196"/>
      <c r="QTC54" s="196"/>
      <c r="QTD54" s="196"/>
      <c r="QTE54" s="196"/>
      <c r="QTF54" s="196"/>
      <c r="QTG54" s="196"/>
      <c r="QTH54" s="196"/>
      <c r="QTI54" s="196"/>
      <c r="QTJ54" s="196"/>
      <c r="QTK54" s="196"/>
      <c r="QTL54" s="196"/>
      <c r="QTM54" s="196"/>
      <c r="QTN54" s="196"/>
      <c r="QTO54" s="196"/>
      <c r="QTP54" s="196"/>
      <c r="QTQ54" s="196"/>
      <c r="QTR54" s="196"/>
      <c r="QTS54" s="196"/>
      <c r="QTT54" s="196"/>
      <c r="QTU54" s="196"/>
      <c r="QTV54" s="196"/>
      <c r="QTW54" s="196"/>
      <c r="QTX54" s="196"/>
      <c r="QTY54" s="196"/>
      <c r="QTZ54" s="196"/>
      <c r="QUA54" s="196"/>
      <c r="QUB54" s="196"/>
      <c r="QUC54" s="196"/>
      <c r="QUD54" s="196"/>
      <c r="QUE54" s="196"/>
      <c r="QUF54" s="196"/>
      <c r="QUG54" s="196"/>
      <c r="QUH54" s="196"/>
      <c r="QUI54" s="196"/>
      <c r="QUJ54" s="196"/>
      <c r="QUK54" s="196"/>
      <c r="QUL54" s="196"/>
      <c r="QUM54" s="196"/>
      <c r="QUN54" s="196"/>
      <c r="QUO54" s="196"/>
      <c r="QUP54" s="196"/>
      <c r="QUQ54" s="196"/>
      <c r="QUR54" s="196"/>
      <c r="QUS54" s="196"/>
      <c r="QUT54" s="196"/>
      <c r="QUU54" s="196"/>
      <c r="QUV54" s="196"/>
      <c r="QUW54" s="196"/>
      <c r="QUX54" s="196"/>
      <c r="QUY54" s="196"/>
      <c r="QUZ54" s="196"/>
      <c r="QVA54" s="196"/>
      <c r="QVB54" s="196"/>
      <c r="QVC54" s="196"/>
      <c r="QVD54" s="196"/>
      <c r="QVE54" s="196"/>
      <c r="QVF54" s="196"/>
      <c r="QVG54" s="196"/>
      <c r="QVH54" s="196"/>
      <c r="QVI54" s="196"/>
      <c r="QVJ54" s="196"/>
      <c r="QVK54" s="196"/>
      <c r="QVL54" s="196"/>
      <c r="QVM54" s="196"/>
      <c r="QVN54" s="196"/>
      <c r="QVO54" s="196"/>
      <c r="QVP54" s="196"/>
      <c r="QVQ54" s="196"/>
      <c r="QVR54" s="196"/>
      <c r="QVS54" s="196"/>
      <c r="QVT54" s="196"/>
      <c r="QVU54" s="196"/>
      <c r="QVV54" s="196"/>
      <c r="QVW54" s="196"/>
      <c r="QVX54" s="196"/>
      <c r="QVY54" s="196"/>
      <c r="QVZ54" s="196"/>
      <c r="QWA54" s="196"/>
      <c r="QWB54" s="196"/>
      <c r="QWC54" s="196"/>
      <c r="QWD54" s="196"/>
      <c r="QWE54" s="196"/>
      <c r="QWF54" s="196"/>
      <c r="QWG54" s="196"/>
      <c r="QWH54" s="196"/>
      <c r="QWI54" s="196"/>
      <c r="QWJ54" s="196"/>
      <c r="QWK54" s="196"/>
      <c r="QWL54" s="196"/>
      <c r="QWM54" s="196"/>
      <c r="QWN54" s="196"/>
      <c r="QWO54" s="196"/>
      <c r="QWP54" s="196"/>
      <c r="QWQ54" s="196"/>
      <c r="QWR54" s="196"/>
      <c r="QWS54" s="196"/>
      <c r="QWT54" s="196"/>
      <c r="QWU54" s="196"/>
      <c r="QWV54" s="196"/>
      <c r="QWW54" s="196"/>
      <c r="QWX54" s="196"/>
      <c r="QWY54" s="196"/>
      <c r="QWZ54" s="196"/>
      <c r="QXA54" s="196"/>
      <c r="QXB54" s="196"/>
      <c r="QXC54" s="196"/>
      <c r="QXD54" s="196"/>
      <c r="QXE54" s="196"/>
      <c r="QXF54" s="196"/>
      <c r="QXG54" s="196"/>
      <c r="QXH54" s="196"/>
      <c r="QXI54" s="196"/>
      <c r="QXJ54" s="196"/>
      <c r="QXK54" s="196"/>
      <c r="QXL54" s="196"/>
      <c r="QXM54" s="196"/>
      <c r="QXN54" s="196"/>
      <c r="QXO54" s="196"/>
      <c r="QXP54" s="196"/>
      <c r="QXQ54" s="196"/>
      <c r="QXR54" s="196"/>
      <c r="QXS54" s="196"/>
      <c r="QXT54" s="196"/>
      <c r="QXU54" s="196"/>
      <c r="QXV54" s="196"/>
      <c r="QXW54" s="196"/>
      <c r="QXX54" s="196"/>
      <c r="QXY54" s="196"/>
      <c r="QXZ54" s="196"/>
      <c r="QYA54" s="196"/>
      <c r="QYB54" s="196"/>
      <c r="QYC54" s="196"/>
      <c r="QYD54" s="196"/>
      <c r="QYE54" s="196"/>
      <c r="QYF54" s="196"/>
      <c r="QYG54" s="196"/>
      <c r="QYH54" s="196"/>
      <c r="QYI54" s="196"/>
      <c r="QYJ54" s="196"/>
      <c r="QYK54" s="196"/>
      <c r="QYL54" s="196"/>
      <c r="QYM54" s="196"/>
      <c r="QYN54" s="196"/>
      <c r="QYO54" s="196"/>
      <c r="QYP54" s="196"/>
      <c r="QYQ54" s="196"/>
      <c r="QYR54" s="196"/>
      <c r="QYS54" s="196"/>
      <c r="QYT54" s="196"/>
      <c r="QYU54" s="196"/>
      <c r="QYV54" s="196"/>
      <c r="QYW54" s="196"/>
      <c r="QYX54" s="196"/>
      <c r="QYY54" s="196"/>
      <c r="QYZ54" s="196"/>
      <c r="QZA54" s="196"/>
      <c r="QZB54" s="196"/>
      <c r="QZC54" s="196"/>
      <c r="QZD54" s="196"/>
      <c r="QZE54" s="196"/>
      <c r="QZF54" s="196"/>
      <c r="QZG54" s="196"/>
      <c r="QZH54" s="196"/>
      <c r="QZI54" s="196"/>
      <c r="QZJ54" s="196"/>
      <c r="QZK54" s="196"/>
      <c r="QZL54" s="196"/>
      <c r="QZM54" s="196"/>
      <c r="QZN54" s="196"/>
      <c r="QZO54" s="196"/>
      <c r="QZP54" s="196"/>
      <c r="QZQ54" s="196"/>
      <c r="QZR54" s="196"/>
      <c r="QZS54" s="196"/>
      <c r="QZT54" s="196"/>
      <c r="QZU54" s="196"/>
      <c r="QZV54" s="196"/>
      <c r="QZW54" s="196"/>
      <c r="QZX54" s="196"/>
      <c r="QZY54" s="196"/>
      <c r="QZZ54" s="196"/>
      <c r="RAA54" s="196"/>
      <c r="RAB54" s="196"/>
      <c r="RAC54" s="196"/>
      <c r="RAD54" s="196"/>
      <c r="RAE54" s="196"/>
      <c r="RAF54" s="196"/>
      <c r="RAG54" s="196"/>
      <c r="RAH54" s="196"/>
      <c r="RAI54" s="196"/>
      <c r="RAJ54" s="196"/>
      <c r="RAK54" s="196"/>
      <c r="RAL54" s="196"/>
      <c r="RAM54" s="196"/>
      <c r="RAN54" s="196"/>
      <c r="RAO54" s="196"/>
      <c r="RAP54" s="196"/>
      <c r="RAQ54" s="196"/>
      <c r="RAR54" s="196"/>
      <c r="RAS54" s="196"/>
      <c r="RAT54" s="196"/>
      <c r="RAU54" s="196"/>
      <c r="RAV54" s="196"/>
      <c r="RAW54" s="196"/>
      <c r="RAX54" s="196"/>
      <c r="RAY54" s="196"/>
      <c r="RAZ54" s="196"/>
      <c r="RBA54" s="196"/>
      <c r="RBB54" s="196"/>
      <c r="RBC54" s="196"/>
      <c r="RBD54" s="196"/>
      <c r="RBE54" s="196"/>
      <c r="RBF54" s="196"/>
      <c r="RBG54" s="196"/>
      <c r="RBH54" s="196"/>
      <c r="RBI54" s="196"/>
      <c r="RBJ54" s="196"/>
      <c r="RBK54" s="196"/>
      <c r="RBL54" s="196"/>
      <c r="RBM54" s="196"/>
      <c r="RBN54" s="196"/>
      <c r="RBO54" s="196"/>
      <c r="RBP54" s="196"/>
      <c r="RBQ54" s="196"/>
      <c r="RBR54" s="196"/>
      <c r="RBS54" s="196"/>
      <c r="RBT54" s="196"/>
      <c r="RBU54" s="196"/>
      <c r="RBV54" s="196"/>
      <c r="RBW54" s="196"/>
      <c r="RBX54" s="196"/>
      <c r="RBY54" s="196"/>
      <c r="RBZ54" s="196"/>
      <c r="RCA54" s="196"/>
      <c r="RCB54" s="196"/>
      <c r="RCC54" s="196"/>
      <c r="RCD54" s="196"/>
      <c r="RCE54" s="196"/>
      <c r="RCF54" s="196"/>
      <c r="RCG54" s="196"/>
      <c r="RCH54" s="196"/>
      <c r="RCI54" s="196"/>
      <c r="RCJ54" s="196"/>
      <c r="RCK54" s="196"/>
      <c r="RCL54" s="196"/>
      <c r="RCM54" s="196"/>
      <c r="RCN54" s="196"/>
      <c r="RCO54" s="196"/>
      <c r="RCP54" s="196"/>
      <c r="RCQ54" s="196"/>
      <c r="RCR54" s="196"/>
      <c r="RCS54" s="196"/>
      <c r="RCT54" s="196"/>
      <c r="RCU54" s="196"/>
      <c r="RCV54" s="196"/>
      <c r="RCW54" s="196"/>
      <c r="RCX54" s="196"/>
      <c r="RCY54" s="196"/>
      <c r="RCZ54" s="196"/>
      <c r="RDA54" s="196"/>
      <c r="RDB54" s="196"/>
      <c r="RDC54" s="196"/>
      <c r="RDD54" s="196"/>
      <c r="RDE54" s="196"/>
      <c r="RDF54" s="196"/>
      <c r="RDG54" s="196"/>
      <c r="RDH54" s="196"/>
      <c r="RDI54" s="196"/>
      <c r="RDJ54" s="196"/>
      <c r="RDK54" s="196"/>
      <c r="RDL54" s="196"/>
      <c r="RDM54" s="196"/>
      <c r="RDN54" s="196"/>
      <c r="RDO54" s="196"/>
      <c r="RDP54" s="196"/>
      <c r="RDQ54" s="196"/>
      <c r="RDR54" s="196"/>
      <c r="RDS54" s="196"/>
      <c r="RDT54" s="196"/>
      <c r="RDU54" s="196"/>
      <c r="RDV54" s="196"/>
      <c r="RDW54" s="196"/>
      <c r="RDX54" s="196"/>
      <c r="RDY54" s="196"/>
      <c r="RDZ54" s="196"/>
      <c r="REA54" s="196"/>
      <c r="REB54" s="196"/>
      <c r="REC54" s="196"/>
      <c r="RED54" s="196"/>
      <c r="REE54" s="196"/>
      <c r="REF54" s="196"/>
      <c r="REG54" s="196"/>
      <c r="REH54" s="196"/>
      <c r="REI54" s="196"/>
      <c r="REJ54" s="196"/>
      <c r="REK54" s="196"/>
      <c r="REL54" s="196"/>
      <c r="REM54" s="196"/>
      <c r="REN54" s="196"/>
      <c r="REO54" s="196"/>
      <c r="REP54" s="196"/>
      <c r="REQ54" s="196"/>
      <c r="RER54" s="196"/>
      <c r="RES54" s="196"/>
      <c r="RET54" s="196"/>
      <c r="REU54" s="196"/>
      <c r="REV54" s="196"/>
      <c r="REW54" s="196"/>
      <c r="REX54" s="196"/>
      <c r="REY54" s="196"/>
      <c r="REZ54" s="196"/>
      <c r="RFA54" s="196"/>
      <c r="RFB54" s="196"/>
      <c r="RFC54" s="196"/>
      <c r="RFD54" s="196"/>
      <c r="RFE54" s="196"/>
      <c r="RFF54" s="196"/>
      <c r="RFG54" s="196"/>
      <c r="RFH54" s="196"/>
      <c r="RFI54" s="196"/>
      <c r="RFJ54" s="196"/>
      <c r="RFK54" s="196"/>
      <c r="RFL54" s="196"/>
      <c r="RFM54" s="196"/>
      <c r="RFN54" s="196"/>
      <c r="RFO54" s="196"/>
      <c r="RFP54" s="196"/>
      <c r="RFQ54" s="196"/>
      <c r="RFR54" s="196"/>
      <c r="RFS54" s="196"/>
      <c r="RFT54" s="196"/>
      <c r="RFU54" s="196"/>
      <c r="RFV54" s="196"/>
      <c r="RFW54" s="196"/>
      <c r="RFX54" s="196"/>
      <c r="RFY54" s="196"/>
      <c r="RFZ54" s="196"/>
      <c r="RGA54" s="196"/>
      <c r="RGB54" s="196"/>
      <c r="RGC54" s="196"/>
      <c r="RGD54" s="196"/>
      <c r="RGE54" s="196"/>
      <c r="RGF54" s="196"/>
      <c r="RGG54" s="196"/>
      <c r="RGH54" s="196"/>
      <c r="RGI54" s="196"/>
      <c r="RGJ54" s="196"/>
      <c r="RGK54" s="196"/>
      <c r="RGL54" s="196"/>
      <c r="RGM54" s="196"/>
      <c r="RGN54" s="196"/>
      <c r="RGO54" s="196"/>
      <c r="RGP54" s="196"/>
      <c r="RGQ54" s="196"/>
      <c r="RGR54" s="196"/>
      <c r="RGS54" s="196"/>
      <c r="RGT54" s="196"/>
      <c r="RGU54" s="196"/>
      <c r="RGV54" s="196"/>
      <c r="RGW54" s="196"/>
      <c r="RGX54" s="196"/>
      <c r="RGY54" s="196"/>
      <c r="RGZ54" s="196"/>
      <c r="RHA54" s="196"/>
      <c r="RHB54" s="196"/>
      <c r="RHC54" s="196"/>
      <c r="RHD54" s="196"/>
      <c r="RHE54" s="196"/>
      <c r="RHF54" s="196"/>
      <c r="RHG54" s="196"/>
      <c r="RHH54" s="196"/>
      <c r="RHI54" s="196"/>
      <c r="RHJ54" s="196"/>
      <c r="RHK54" s="196"/>
      <c r="RHL54" s="196"/>
      <c r="RHM54" s="196"/>
      <c r="RHN54" s="196"/>
      <c r="RHO54" s="196"/>
      <c r="RHP54" s="196"/>
      <c r="RHQ54" s="196"/>
      <c r="RHR54" s="196"/>
      <c r="RHS54" s="196"/>
      <c r="RHT54" s="196"/>
      <c r="RHU54" s="196"/>
      <c r="RHV54" s="196"/>
      <c r="RHW54" s="196"/>
      <c r="RHX54" s="196"/>
      <c r="RHY54" s="196"/>
      <c r="RHZ54" s="196"/>
      <c r="RIA54" s="196"/>
      <c r="RIB54" s="196"/>
      <c r="RIC54" s="196"/>
      <c r="RID54" s="196"/>
      <c r="RIE54" s="196"/>
      <c r="RIF54" s="196"/>
      <c r="RIG54" s="196"/>
      <c r="RIH54" s="196"/>
      <c r="RII54" s="196"/>
      <c r="RIJ54" s="196"/>
      <c r="RIK54" s="196"/>
      <c r="RIL54" s="196"/>
      <c r="RIM54" s="196"/>
      <c r="RIN54" s="196"/>
      <c r="RIO54" s="196"/>
      <c r="RIP54" s="196"/>
      <c r="RIQ54" s="196"/>
      <c r="RIR54" s="196"/>
      <c r="RIS54" s="196"/>
      <c r="RIT54" s="196"/>
      <c r="RIU54" s="196"/>
      <c r="RIV54" s="196"/>
      <c r="RIW54" s="196"/>
      <c r="RIX54" s="196"/>
      <c r="RIY54" s="196"/>
      <c r="RIZ54" s="196"/>
      <c r="RJA54" s="196"/>
      <c r="RJB54" s="196"/>
      <c r="RJC54" s="196"/>
      <c r="RJD54" s="196"/>
      <c r="RJE54" s="196"/>
      <c r="RJF54" s="196"/>
      <c r="RJG54" s="196"/>
      <c r="RJH54" s="196"/>
      <c r="RJI54" s="196"/>
      <c r="RJJ54" s="196"/>
      <c r="RJK54" s="196"/>
      <c r="RJL54" s="196"/>
      <c r="RJM54" s="196"/>
      <c r="RJN54" s="196"/>
      <c r="RJO54" s="196"/>
      <c r="RJP54" s="196"/>
      <c r="RJQ54" s="196"/>
      <c r="RJR54" s="196"/>
      <c r="RJS54" s="196"/>
      <c r="RJT54" s="196"/>
      <c r="RJU54" s="196"/>
      <c r="RJV54" s="196"/>
      <c r="RJW54" s="196"/>
      <c r="RJX54" s="196"/>
      <c r="RJY54" s="196"/>
      <c r="RJZ54" s="196"/>
      <c r="RKA54" s="196"/>
      <c r="RKB54" s="196"/>
      <c r="RKC54" s="196"/>
      <c r="RKD54" s="196"/>
      <c r="RKE54" s="196"/>
      <c r="RKF54" s="196"/>
      <c r="RKG54" s="196"/>
      <c r="RKH54" s="196"/>
      <c r="RKI54" s="196"/>
      <c r="RKJ54" s="196"/>
      <c r="RKK54" s="196"/>
      <c r="RKL54" s="196"/>
      <c r="RKM54" s="196"/>
      <c r="RKN54" s="196"/>
      <c r="RKO54" s="196"/>
      <c r="RKP54" s="196"/>
      <c r="RKQ54" s="196"/>
      <c r="RKR54" s="196"/>
      <c r="RKS54" s="196"/>
      <c r="RKT54" s="196"/>
      <c r="RKU54" s="196"/>
      <c r="RKV54" s="196"/>
      <c r="RKW54" s="196"/>
      <c r="RKX54" s="196"/>
      <c r="RKY54" s="196"/>
      <c r="RKZ54" s="196"/>
      <c r="RLA54" s="196"/>
      <c r="RLB54" s="196"/>
      <c r="RLC54" s="196"/>
      <c r="RLD54" s="196"/>
      <c r="RLE54" s="196"/>
      <c r="RLF54" s="196"/>
      <c r="RLG54" s="196"/>
      <c r="RLH54" s="196"/>
      <c r="RLI54" s="196"/>
      <c r="RLJ54" s="196"/>
      <c r="RLK54" s="196"/>
      <c r="RLL54" s="196"/>
      <c r="RLM54" s="196"/>
      <c r="RLN54" s="196"/>
      <c r="RLO54" s="196"/>
      <c r="RLP54" s="196"/>
      <c r="RLQ54" s="196"/>
      <c r="RLR54" s="196"/>
      <c r="RLS54" s="196"/>
      <c r="RLT54" s="196"/>
      <c r="RLU54" s="196"/>
      <c r="RLV54" s="196"/>
      <c r="RLW54" s="196"/>
      <c r="RLX54" s="196"/>
      <c r="RLY54" s="196"/>
      <c r="RLZ54" s="196"/>
      <c r="RMA54" s="196"/>
      <c r="RMB54" s="196"/>
      <c r="RMC54" s="196"/>
      <c r="RMD54" s="196"/>
      <c r="RME54" s="196"/>
      <c r="RMF54" s="196"/>
      <c r="RMG54" s="196"/>
      <c r="RMH54" s="196"/>
      <c r="RMI54" s="196"/>
      <c r="RMJ54" s="196"/>
      <c r="RMK54" s="196"/>
      <c r="RML54" s="196"/>
      <c r="RMM54" s="196"/>
      <c r="RMN54" s="196"/>
      <c r="RMO54" s="196"/>
      <c r="RMP54" s="196"/>
      <c r="RMQ54" s="196"/>
      <c r="RMR54" s="196"/>
      <c r="RMS54" s="196"/>
      <c r="RMT54" s="196"/>
      <c r="RMU54" s="196"/>
      <c r="RMV54" s="196"/>
      <c r="RMW54" s="196"/>
      <c r="RMX54" s="196"/>
      <c r="RMY54" s="196"/>
      <c r="RMZ54" s="196"/>
      <c r="RNA54" s="196"/>
      <c r="RNB54" s="196"/>
      <c r="RNC54" s="196"/>
      <c r="RND54" s="196"/>
      <c r="RNE54" s="196"/>
      <c r="RNF54" s="196"/>
      <c r="RNG54" s="196"/>
      <c r="RNH54" s="196"/>
      <c r="RNI54" s="196"/>
      <c r="RNJ54" s="196"/>
      <c r="RNK54" s="196"/>
      <c r="RNL54" s="196"/>
      <c r="RNM54" s="196"/>
      <c r="RNN54" s="196"/>
      <c r="RNO54" s="196"/>
      <c r="RNP54" s="196"/>
      <c r="RNQ54" s="196"/>
      <c r="RNR54" s="196"/>
      <c r="RNS54" s="196"/>
      <c r="RNT54" s="196"/>
      <c r="RNU54" s="196"/>
      <c r="RNV54" s="196"/>
      <c r="RNW54" s="196"/>
      <c r="RNX54" s="196"/>
      <c r="RNY54" s="196"/>
      <c r="RNZ54" s="196"/>
      <c r="ROA54" s="196"/>
      <c r="ROB54" s="196"/>
      <c r="ROC54" s="196"/>
      <c r="ROD54" s="196"/>
      <c r="ROE54" s="196"/>
      <c r="ROF54" s="196"/>
      <c r="ROG54" s="196"/>
      <c r="ROH54" s="196"/>
      <c r="ROI54" s="196"/>
      <c r="ROJ54" s="196"/>
      <c r="ROK54" s="196"/>
      <c r="ROL54" s="196"/>
      <c r="ROM54" s="196"/>
      <c r="RON54" s="196"/>
      <c r="ROO54" s="196"/>
      <c r="ROP54" s="196"/>
      <c r="ROQ54" s="196"/>
      <c r="ROR54" s="196"/>
      <c r="ROS54" s="196"/>
      <c r="ROT54" s="196"/>
      <c r="ROU54" s="196"/>
      <c r="ROV54" s="196"/>
      <c r="ROW54" s="196"/>
      <c r="ROX54" s="196"/>
      <c r="ROY54" s="196"/>
      <c r="ROZ54" s="196"/>
      <c r="RPA54" s="196"/>
      <c r="RPB54" s="196"/>
      <c r="RPC54" s="196"/>
      <c r="RPD54" s="196"/>
      <c r="RPE54" s="196"/>
      <c r="RPF54" s="196"/>
      <c r="RPG54" s="196"/>
      <c r="RPH54" s="196"/>
      <c r="RPI54" s="196"/>
      <c r="RPJ54" s="196"/>
      <c r="RPK54" s="196"/>
      <c r="RPL54" s="196"/>
      <c r="RPM54" s="196"/>
      <c r="RPN54" s="196"/>
      <c r="RPO54" s="196"/>
      <c r="RPP54" s="196"/>
      <c r="RPQ54" s="196"/>
      <c r="RPR54" s="196"/>
      <c r="RPS54" s="196"/>
      <c r="RPT54" s="196"/>
      <c r="RPU54" s="196"/>
      <c r="RPV54" s="196"/>
      <c r="RPW54" s="196"/>
      <c r="RPX54" s="196"/>
      <c r="RPY54" s="196"/>
      <c r="RPZ54" s="196"/>
      <c r="RQA54" s="196"/>
      <c r="RQB54" s="196"/>
      <c r="RQC54" s="196"/>
      <c r="RQD54" s="196"/>
      <c r="RQE54" s="196"/>
      <c r="RQF54" s="196"/>
      <c r="RQG54" s="196"/>
      <c r="RQH54" s="196"/>
      <c r="RQI54" s="196"/>
      <c r="RQJ54" s="196"/>
      <c r="RQK54" s="196"/>
      <c r="RQL54" s="196"/>
      <c r="RQM54" s="196"/>
      <c r="RQN54" s="196"/>
      <c r="RQO54" s="196"/>
      <c r="RQP54" s="196"/>
      <c r="RQQ54" s="196"/>
      <c r="RQR54" s="196"/>
      <c r="RQS54" s="196"/>
      <c r="RQT54" s="196"/>
      <c r="RQU54" s="196"/>
      <c r="RQV54" s="196"/>
      <c r="RQW54" s="196"/>
      <c r="RQX54" s="196"/>
      <c r="RQY54" s="196"/>
      <c r="RQZ54" s="196"/>
      <c r="RRA54" s="196"/>
      <c r="RRB54" s="196"/>
      <c r="RRC54" s="196"/>
      <c r="RRD54" s="196"/>
      <c r="RRE54" s="196"/>
      <c r="RRF54" s="196"/>
      <c r="RRG54" s="196"/>
      <c r="RRH54" s="196"/>
      <c r="RRI54" s="196"/>
      <c r="RRJ54" s="196"/>
      <c r="RRK54" s="196"/>
      <c r="RRL54" s="196"/>
      <c r="RRM54" s="196"/>
      <c r="RRN54" s="196"/>
      <c r="RRO54" s="196"/>
      <c r="RRP54" s="196"/>
      <c r="RRQ54" s="196"/>
      <c r="RRR54" s="196"/>
      <c r="RRS54" s="196"/>
      <c r="RRT54" s="196"/>
      <c r="RRU54" s="196"/>
      <c r="RRV54" s="196"/>
      <c r="RRW54" s="196"/>
      <c r="RRX54" s="196"/>
      <c r="RRY54" s="196"/>
      <c r="RRZ54" s="196"/>
      <c r="RSA54" s="196"/>
      <c r="RSB54" s="196"/>
      <c r="RSC54" s="196"/>
      <c r="RSD54" s="196"/>
      <c r="RSE54" s="196"/>
      <c r="RSF54" s="196"/>
      <c r="RSG54" s="196"/>
      <c r="RSH54" s="196"/>
      <c r="RSI54" s="196"/>
      <c r="RSJ54" s="196"/>
      <c r="RSK54" s="196"/>
      <c r="RSL54" s="196"/>
      <c r="RSM54" s="196"/>
      <c r="RSN54" s="196"/>
      <c r="RSO54" s="196"/>
      <c r="RSP54" s="196"/>
      <c r="RSQ54" s="196"/>
      <c r="RSR54" s="196"/>
      <c r="RSS54" s="196"/>
      <c r="RST54" s="196"/>
      <c r="RSU54" s="196"/>
      <c r="RSV54" s="196"/>
      <c r="RSW54" s="196"/>
      <c r="RSX54" s="196"/>
      <c r="RSY54" s="196"/>
      <c r="RSZ54" s="196"/>
      <c r="RTA54" s="196"/>
      <c r="RTB54" s="196"/>
      <c r="RTC54" s="196"/>
      <c r="RTD54" s="196"/>
      <c r="RTE54" s="196"/>
      <c r="RTF54" s="196"/>
      <c r="RTG54" s="196"/>
      <c r="RTH54" s="196"/>
      <c r="RTI54" s="196"/>
      <c r="RTJ54" s="196"/>
      <c r="RTK54" s="196"/>
      <c r="RTL54" s="196"/>
      <c r="RTM54" s="196"/>
      <c r="RTN54" s="196"/>
      <c r="RTO54" s="196"/>
      <c r="RTP54" s="196"/>
      <c r="RTQ54" s="196"/>
      <c r="RTR54" s="196"/>
      <c r="RTS54" s="196"/>
      <c r="RTT54" s="196"/>
      <c r="RTU54" s="196"/>
      <c r="RTV54" s="196"/>
      <c r="RTW54" s="196"/>
      <c r="RTX54" s="196"/>
      <c r="RTY54" s="196"/>
      <c r="RTZ54" s="196"/>
      <c r="RUA54" s="196"/>
      <c r="RUB54" s="196"/>
      <c r="RUC54" s="196"/>
      <c r="RUD54" s="196"/>
      <c r="RUE54" s="196"/>
      <c r="RUF54" s="196"/>
      <c r="RUG54" s="196"/>
      <c r="RUH54" s="196"/>
      <c r="RUI54" s="196"/>
      <c r="RUJ54" s="196"/>
      <c r="RUK54" s="196"/>
      <c r="RUL54" s="196"/>
      <c r="RUM54" s="196"/>
      <c r="RUN54" s="196"/>
      <c r="RUO54" s="196"/>
      <c r="RUP54" s="196"/>
      <c r="RUQ54" s="196"/>
      <c r="RUR54" s="196"/>
      <c r="RUS54" s="196"/>
      <c r="RUT54" s="196"/>
      <c r="RUU54" s="196"/>
      <c r="RUV54" s="196"/>
      <c r="RUW54" s="196"/>
      <c r="RUX54" s="196"/>
      <c r="RUY54" s="196"/>
      <c r="RUZ54" s="196"/>
      <c r="RVA54" s="196"/>
      <c r="RVB54" s="196"/>
      <c r="RVC54" s="196"/>
      <c r="RVD54" s="196"/>
      <c r="RVE54" s="196"/>
      <c r="RVF54" s="196"/>
      <c r="RVG54" s="196"/>
      <c r="RVH54" s="196"/>
      <c r="RVI54" s="196"/>
      <c r="RVJ54" s="196"/>
      <c r="RVK54" s="196"/>
      <c r="RVL54" s="196"/>
      <c r="RVM54" s="196"/>
      <c r="RVN54" s="196"/>
      <c r="RVO54" s="196"/>
      <c r="RVP54" s="196"/>
      <c r="RVQ54" s="196"/>
      <c r="RVR54" s="196"/>
      <c r="RVS54" s="196"/>
      <c r="RVT54" s="196"/>
      <c r="RVU54" s="196"/>
      <c r="RVV54" s="196"/>
      <c r="RVW54" s="196"/>
      <c r="RVX54" s="196"/>
      <c r="RVY54" s="196"/>
      <c r="RVZ54" s="196"/>
      <c r="RWA54" s="196"/>
      <c r="RWB54" s="196"/>
      <c r="RWC54" s="196"/>
      <c r="RWD54" s="196"/>
      <c r="RWE54" s="196"/>
      <c r="RWF54" s="196"/>
      <c r="RWG54" s="196"/>
      <c r="RWH54" s="196"/>
      <c r="RWI54" s="196"/>
      <c r="RWJ54" s="196"/>
      <c r="RWK54" s="196"/>
      <c r="RWL54" s="196"/>
      <c r="RWM54" s="196"/>
      <c r="RWN54" s="196"/>
      <c r="RWO54" s="196"/>
      <c r="RWP54" s="196"/>
      <c r="RWQ54" s="196"/>
      <c r="RWR54" s="196"/>
      <c r="RWS54" s="196"/>
      <c r="RWT54" s="196"/>
      <c r="RWU54" s="196"/>
      <c r="RWV54" s="196"/>
      <c r="RWW54" s="196"/>
      <c r="RWX54" s="196"/>
      <c r="RWY54" s="196"/>
      <c r="RWZ54" s="196"/>
      <c r="RXA54" s="196"/>
      <c r="RXB54" s="196"/>
      <c r="RXC54" s="196"/>
      <c r="RXD54" s="196"/>
      <c r="RXE54" s="196"/>
      <c r="RXF54" s="196"/>
      <c r="RXG54" s="196"/>
      <c r="RXH54" s="196"/>
      <c r="RXI54" s="196"/>
      <c r="RXJ54" s="196"/>
      <c r="RXK54" s="196"/>
      <c r="RXL54" s="196"/>
      <c r="RXM54" s="196"/>
      <c r="RXN54" s="196"/>
      <c r="RXO54" s="196"/>
      <c r="RXP54" s="196"/>
      <c r="RXQ54" s="196"/>
      <c r="RXR54" s="196"/>
      <c r="RXS54" s="196"/>
      <c r="RXT54" s="196"/>
      <c r="RXU54" s="196"/>
      <c r="RXV54" s="196"/>
      <c r="RXW54" s="196"/>
      <c r="RXX54" s="196"/>
      <c r="RXY54" s="196"/>
      <c r="RXZ54" s="196"/>
      <c r="RYA54" s="196"/>
      <c r="RYB54" s="196"/>
      <c r="RYC54" s="196"/>
      <c r="RYD54" s="196"/>
      <c r="RYE54" s="196"/>
      <c r="RYF54" s="196"/>
      <c r="RYG54" s="196"/>
      <c r="RYH54" s="196"/>
      <c r="RYI54" s="196"/>
      <c r="RYJ54" s="196"/>
      <c r="RYK54" s="196"/>
      <c r="RYL54" s="196"/>
      <c r="RYM54" s="196"/>
      <c r="RYN54" s="196"/>
      <c r="RYO54" s="196"/>
      <c r="RYP54" s="196"/>
      <c r="RYQ54" s="196"/>
      <c r="RYR54" s="196"/>
      <c r="RYS54" s="196"/>
      <c r="RYT54" s="196"/>
      <c r="RYU54" s="196"/>
      <c r="RYV54" s="196"/>
      <c r="RYW54" s="196"/>
      <c r="RYX54" s="196"/>
      <c r="RYY54" s="196"/>
      <c r="RYZ54" s="196"/>
      <c r="RZA54" s="196"/>
      <c r="RZB54" s="196"/>
      <c r="RZC54" s="196"/>
      <c r="RZD54" s="196"/>
      <c r="RZE54" s="196"/>
      <c r="RZF54" s="196"/>
      <c r="RZG54" s="196"/>
      <c r="RZH54" s="196"/>
      <c r="RZI54" s="196"/>
      <c r="RZJ54" s="196"/>
      <c r="RZK54" s="196"/>
      <c r="RZL54" s="196"/>
      <c r="RZM54" s="196"/>
      <c r="RZN54" s="196"/>
      <c r="RZO54" s="196"/>
      <c r="RZP54" s="196"/>
      <c r="RZQ54" s="196"/>
      <c r="RZR54" s="196"/>
      <c r="RZS54" s="196"/>
      <c r="RZT54" s="196"/>
      <c r="RZU54" s="196"/>
      <c r="RZV54" s="196"/>
      <c r="RZW54" s="196"/>
      <c r="RZX54" s="196"/>
      <c r="RZY54" s="196"/>
      <c r="RZZ54" s="196"/>
      <c r="SAA54" s="196"/>
      <c r="SAB54" s="196"/>
      <c r="SAC54" s="196"/>
      <c r="SAD54" s="196"/>
      <c r="SAE54" s="196"/>
      <c r="SAF54" s="196"/>
      <c r="SAG54" s="196"/>
      <c r="SAH54" s="196"/>
      <c r="SAI54" s="196"/>
      <c r="SAJ54" s="196"/>
      <c r="SAK54" s="196"/>
      <c r="SAL54" s="196"/>
      <c r="SAM54" s="196"/>
      <c r="SAN54" s="196"/>
      <c r="SAO54" s="196"/>
      <c r="SAP54" s="196"/>
      <c r="SAQ54" s="196"/>
      <c r="SAR54" s="196"/>
      <c r="SAS54" s="196"/>
      <c r="SAT54" s="196"/>
      <c r="SAU54" s="196"/>
      <c r="SAV54" s="196"/>
      <c r="SAW54" s="196"/>
      <c r="SAX54" s="196"/>
      <c r="SAY54" s="196"/>
      <c r="SAZ54" s="196"/>
      <c r="SBA54" s="196"/>
      <c r="SBB54" s="196"/>
      <c r="SBC54" s="196"/>
      <c r="SBD54" s="196"/>
      <c r="SBE54" s="196"/>
      <c r="SBF54" s="196"/>
      <c r="SBG54" s="196"/>
      <c r="SBH54" s="196"/>
      <c r="SBI54" s="196"/>
      <c r="SBJ54" s="196"/>
      <c r="SBK54" s="196"/>
      <c r="SBL54" s="196"/>
      <c r="SBM54" s="196"/>
      <c r="SBN54" s="196"/>
      <c r="SBO54" s="196"/>
      <c r="SBP54" s="196"/>
      <c r="SBQ54" s="196"/>
      <c r="SBR54" s="196"/>
      <c r="SBS54" s="196"/>
      <c r="SBT54" s="196"/>
      <c r="SBU54" s="196"/>
      <c r="SBV54" s="196"/>
      <c r="SBW54" s="196"/>
      <c r="SBX54" s="196"/>
      <c r="SBY54" s="196"/>
      <c r="SBZ54" s="196"/>
      <c r="SCA54" s="196"/>
      <c r="SCB54" s="196"/>
      <c r="SCC54" s="196"/>
      <c r="SCD54" s="196"/>
      <c r="SCE54" s="196"/>
      <c r="SCF54" s="196"/>
      <c r="SCG54" s="196"/>
      <c r="SCH54" s="196"/>
      <c r="SCI54" s="196"/>
      <c r="SCJ54" s="196"/>
      <c r="SCK54" s="196"/>
      <c r="SCL54" s="196"/>
      <c r="SCM54" s="196"/>
      <c r="SCN54" s="196"/>
      <c r="SCO54" s="196"/>
      <c r="SCP54" s="196"/>
      <c r="SCQ54" s="196"/>
      <c r="SCR54" s="196"/>
      <c r="SCS54" s="196"/>
      <c r="SCT54" s="196"/>
      <c r="SCU54" s="196"/>
      <c r="SCV54" s="196"/>
      <c r="SCW54" s="196"/>
      <c r="SCX54" s="196"/>
      <c r="SCY54" s="196"/>
      <c r="SCZ54" s="196"/>
      <c r="SDA54" s="196"/>
      <c r="SDB54" s="196"/>
      <c r="SDC54" s="196"/>
      <c r="SDD54" s="196"/>
      <c r="SDE54" s="196"/>
      <c r="SDF54" s="196"/>
      <c r="SDG54" s="196"/>
      <c r="SDH54" s="196"/>
      <c r="SDI54" s="196"/>
      <c r="SDJ54" s="196"/>
      <c r="SDK54" s="196"/>
      <c r="SDL54" s="196"/>
      <c r="SDM54" s="196"/>
      <c r="SDN54" s="196"/>
      <c r="SDO54" s="196"/>
      <c r="SDP54" s="196"/>
      <c r="SDQ54" s="196"/>
      <c r="SDR54" s="196"/>
      <c r="SDS54" s="196"/>
      <c r="SDT54" s="196"/>
      <c r="SDU54" s="196"/>
      <c r="SDV54" s="196"/>
      <c r="SDW54" s="196"/>
      <c r="SDX54" s="196"/>
      <c r="SDY54" s="196"/>
      <c r="SDZ54" s="196"/>
      <c r="SEA54" s="196"/>
      <c r="SEB54" s="196"/>
      <c r="SEC54" s="196"/>
      <c r="SED54" s="196"/>
      <c r="SEE54" s="196"/>
      <c r="SEF54" s="196"/>
      <c r="SEG54" s="196"/>
      <c r="SEH54" s="196"/>
      <c r="SEI54" s="196"/>
      <c r="SEJ54" s="196"/>
      <c r="SEK54" s="196"/>
      <c r="SEL54" s="196"/>
      <c r="SEM54" s="196"/>
      <c r="SEN54" s="196"/>
      <c r="SEO54" s="196"/>
      <c r="SEP54" s="196"/>
      <c r="SEQ54" s="196"/>
      <c r="SER54" s="196"/>
      <c r="SES54" s="196"/>
      <c r="SET54" s="196"/>
      <c r="SEU54" s="196"/>
      <c r="SEV54" s="196"/>
      <c r="SEW54" s="196"/>
      <c r="SEX54" s="196"/>
      <c r="SEY54" s="196"/>
      <c r="SEZ54" s="196"/>
      <c r="SFA54" s="196"/>
      <c r="SFB54" s="196"/>
      <c r="SFC54" s="196"/>
      <c r="SFD54" s="196"/>
      <c r="SFE54" s="196"/>
      <c r="SFF54" s="196"/>
      <c r="SFG54" s="196"/>
      <c r="SFH54" s="196"/>
      <c r="SFI54" s="196"/>
      <c r="SFJ54" s="196"/>
      <c r="SFK54" s="196"/>
      <c r="SFL54" s="196"/>
      <c r="SFM54" s="196"/>
      <c r="SFN54" s="196"/>
      <c r="SFO54" s="196"/>
      <c r="SFP54" s="196"/>
      <c r="SFQ54" s="196"/>
      <c r="SFR54" s="196"/>
      <c r="SFS54" s="196"/>
      <c r="SFT54" s="196"/>
      <c r="SFU54" s="196"/>
      <c r="SFV54" s="196"/>
      <c r="SFW54" s="196"/>
      <c r="SFX54" s="196"/>
      <c r="SFY54" s="196"/>
      <c r="SFZ54" s="196"/>
      <c r="SGA54" s="196"/>
      <c r="SGB54" s="196"/>
      <c r="SGC54" s="196"/>
      <c r="SGD54" s="196"/>
      <c r="SGE54" s="196"/>
      <c r="SGF54" s="196"/>
      <c r="SGG54" s="196"/>
      <c r="SGH54" s="196"/>
      <c r="SGI54" s="196"/>
      <c r="SGJ54" s="196"/>
      <c r="SGK54" s="196"/>
      <c r="SGL54" s="196"/>
      <c r="SGM54" s="196"/>
      <c r="SGN54" s="196"/>
      <c r="SGO54" s="196"/>
      <c r="SGP54" s="196"/>
      <c r="SGQ54" s="196"/>
      <c r="SGR54" s="196"/>
      <c r="SGS54" s="196"/>
      <c r="SGT54" s="196"/>
      <c r="SGU54" s="196"/>
      <c r="SGV54" s="196"/>
      <c r="SGW54" s="196"/>
      <c r="SGX54" s="196"/>
      <c r="SGY54" s="196"/>
      <c r="SGZ54" s="196"/>
      <c r="SHA54" s="196"/>
      <c r="SHB54" s="196"/>
      <c r="SHC54" s="196"/>
      <c r="SHD54" s="196"/>
      <c r="SHE54" s="196"/>
      <c r="SHF54" s="196"/>
      <c r="SHG54" s="196"/>
      <c r="SHH54" s="196"/>
      <c r="SHI54" s="196"/>
      <c r="SHJ54" s="196"/>
      <c r="SHK54" s="196"/>
      <c r="SHL54" s="196"/>
      <c r="SHM54" s="196"/>
      <c r="SHN54" s="196"/>
      <c r="SHO54" s="196"/>
      <c r="SHP54" s="196"/>
      <c r="SHQ54" s="196"/>
      <c r="SHR54" s="196"/>
      <c r="SHS54" s="196"/>
      <c r="SHT54" s="196"/>
      <c r="SHU54" s="196"/>
      <c r="SHV54" s="196"/>
      <c r="SHW54" s="196"/>
      <c r="SHX54" s="196"/>
      <c r="SHY54" s="196"/>
      <c r="SHZ54" s="196"/>
      <c r="SIA54" s="196"/>
      <c r="SIB54" s="196"/>
      <c r="SIC54" s="196"/>
      <c r="SID54" s="196"/>
      <c r="SIE54" s="196"/>
      <c r="SIF54" s="196"/>
      <c r="SIG54" s="196"/>
      <c r="SIH54" s="196"/>
      <c r="SII54" s="196"/>
      <c r="SIJ54" s="196"/>
      <c r="SIK54" s="196"/>
      <c r="SIL54" s="196"/>
      <c r="SIM54" s="196"/>
      <c r="SIN54" s="196"/>
      <c r="SIO54" s="196"/>
      <c r="SIP54" s="196"/>
      <c r="SIQ54" s="196"/>
      <c r="SIR54" s="196"/>
      <c r="SIS54" s="196"/>
      <c r="SIT54" s="196"/>
      <c r="SIU54" s="196"/>
      <c r="SIV54" s="196"/>
      <c r="SIW54" s="196"/>
      <c r="SIX54" s="196"/>
      <c r="SIY54" s="196"/>
      <c r="SIZ54" s="196"/>
      <c r="SJA54" s="196"/>
      <c r="SJB54" s="196"/>
      <c r="SJC54" s="196"/>
      <c r="SJD54" s="196"/>
      <c r="SJE54" s="196"/>
      <c r="SJF54" s="196"/>
      <c r="SJG54" s="196"/>
      <c r="SJH54" s="196"/>
      <c r="SJI54" s="196"/>
      <c r="SJJ54" s="196"/>
      <c r="SJK54" s="196"/>
      <c r="SJL54" s="196"/>
      <c r="SJM54" s="196"/>
      <c r="SJN54" s="196"/>
      <c r="SJO54" s="196"/>
      <c r="SJP54" s="196"/>
      <c r="SJQ54" s="196"/>
      <c r="SJR54" s="196"/>
      <c r="SJS54" s="196"/>
      <c r="SJT54" s="196"/>
      <c r="SJU54" s="196"/>
      <c r="SJV54" s="196"/>
      <c r="SJW54" s="196"/>
      <c r="SJX54" s="196"/>
      <c r="SJY54" s="196"/>
      <c r="SJZ54" s="196"/>
      <c r="SKA54" s="196"/>
      <c r="SKB54" s="196"/>
      <c r="SKC54" s="196"/>
      <c r="SKD54" s="196"/>
      <c r="SKE54" s="196"/>
      <c r="SKF54" s="196"/>
      <c r="SKG54" s="196"/>
      <c r="SKH54" s="196"/>
      <c r="SKI54" s="196"/>
      <c r="SKJ54" s="196"/>
      <c r="SKK54" s="196"/>
      <c r="SKL54" s="196"/>
      <c r="SKM54" s="196"/>
      <c r="SKN54" s="196"/>
      <c r="SKO54" s="196"/>
      <c r="SKP54" s="196"/>
      <c r="SKQ54" s="196"/>
      <c r="SKR54" s="196"/>
      <c r="SKS54" s="196"/>
      <c r="SKT54" s="196"/>
      <c r="SKU54" s="196"/>
      <c r="SKV54" s="196"/>
      <c r="SKW54" s="196"/>
      <c r="SKX54" s="196"/>
      <c r="SKY54" s="196"/>
      <c r="SKZ54" s="196"/>
      <c r="SLA54" s="196"/>
      <c r="SLB54" s="196"/>
      <c r="SLC54" s="196"/>
      <c r="SLD54" s="196"/>
      <c r="SLE54" s="196"/>
      <c r="SLF54" s="196"/>
      <c r="SLG54" s="196"/>
      <c r="SLH54" s="196"/>
      <c r="SLI54" s="196"/>
      <c r="SLJ54" s="196"/>
      <c r="SLK54" s="196"/>
      <c r="SLL54" s="196"/>
      <c r="SLM54" s="196"/>
      <c r="SLN54" s="196"/>
      <c r="SLO54" s="196"/>
      <c r="SLP54" s="196"/>
      <c r="SLQ54" s="196"/>
      <c r="SLR54" s="196"/>
      <c r="SLS54" s="196"/>
      <c r="SLT54" s="196"/>
      <c r="SLU54" s="196"/>
      <c r="SLV54" s="196"/>
      <c r="SLW54" s="196"/>
      <c r="SLX54" s="196"/>
      <c r="SLY54" s="196"/>
      <c r="SLZ54" s="196"/>
      <c r="SMA54" s="196"/>
      <c r="SMB54" s="196"/>
      <c r="SMC54" s="196"/>
      <c r="SMD54" s="196"/>
      <c r="SME54" s="196"/>
      <c r="SMF54" s="196"/>
      <c r="SMG54" s="196"/>
      <c r="SMH54" s="196"/>
      <c r="SMI54" s="196"/>
      <c r="SMJ54" s="196"/>
      <c r="SMK54" s="196"/>
      <c r="SML54" s="196"/>
      <c r="SMM54" s="196"/>
      <c r="SMN54" s="196"/>
      <c r="SMO54" s="196"/>
      <c r="SMP54" s="196"/>
      <c r="SMQ54" s="196"/>
      <c r="SMR54" s="196"/>
      <c r="SMS54" s="196"/>
      <c r="SMT54" s="196"/>
      <c r="SMU54" s="196"/>
      <c r="SMV54" s="196"/>
      <c r="SMW54" s="196"/>
      <c r="SMX54" s="196"/>
      <c r="SMY54" s="196"/>
      <c r="SMZ54" s="196"/>
      <c r="SNA54" s="196"/>
      <c r="SNB54" s="196"/>
      <c r="SNC54" s="196"/>
      <c r="SND54" s="196"/>
      <c r="SNE54" s="196"/>
      <c r="SNF54" s="196"/>
      <c r="SNG54" s="196"/>
      <c r="SNH54" s="196"/>
      <c r="SNI54" s="196"/>
      <c r="SNJ54" s="196"/>
      <c r="SNK54" s="196"/>
      <c r="SNL54" s="196"/>
      <c r="SNM54" s="196"/>
      <c r="SNN54" s="196"/>
      <c r="SNO54" s="196"/>
      <c r="SNP54" s="196"/>
      <c r="SNQ54" s="196"/>
      <c r="SNR54" s="196"/>
      <c r="SNS54" s="196"/>
      <c r="SNT54" s="196"/>
      <c r="SNU54" s="196"/>
      <c r="SNV54" s="196"/>
      <c r="SNW54" s="196"/>
      <c r="SNX54" s="196"/>
      <c r="SNY54" s="196"/>
      <c r="SNZ54" s="196"/>
      <c r="SOA54" s="196"/>
      <c r="SOB54" s="196"/>
      <c r="SOC54" s="196"/>
      <c r="SOD54" s="196"/>
      <c r="SOE54" s="196"/>
      <c r="SOF54" s="196"/>
      <c r="SOG54" s="196"/>
      <c r="SOH54" s="196"/>
      <c r="SOI54" s="196"/>
      <c r="SOJ54" s="196"/>
      <c r="SOK54" s="196"/>
      <c r="SOL54" s="196"/>
      <c r="SOM54" s="196"/>
      <c r="SON54" s="196"/>
      <c r="SOO54" s="196"/>
      <c r="SOP54" s="196"/>
      <c r="SOQ54" s="196"/>
      <c r="SOR54" s="196"/>
      <c r="SOS54" s="196"/>
      <c r="SOT54" s="196"/>
      <c r="SOU54" s="196"/>
      <c r="SOV54" s="196"/>
      <c r="SOW54" s="196"/>
      <c r="SOX54" s="196"/>
      <c r="SOY54" s="196"/>
      <c r="SOZ54" s="196"/>
      <c r="SPA54" s="196"/>
      <c r="SPB54" s="196"/>
      <c r="SPC54" s="196"/>
      <c r="SPD54" s="196"/>
      <c r="SPE54" s="196"/>
      <c r="SPF54" s="196"/>
      <c r="SPG54" s="196"/>
      <c r="SPH54" s="196"/>
      <c r="SPI54" s="196"/>
      <c r="SPJ54" s="196"/>
      <c r="SPK54" s="196"/>
      <c r="SPL54" s="196"/>
      <c r="SPM54" s="196"/>
      <c r="SPN54" s="196"/>
      <c r="SPO54" s="196"/>
      <c r="SPP54" s="196"/>
      <c r="SPQ54" s="196"/>
      <c r="SPR54" s="196"/>
      <c r="SPS54" s="196"/>
      <c r="SPT54" s="196"/>
      <c r="SPU54" s="196"/>
      <c r="SPV54" s="196"/>
      <c r="SPW54" s="196"/>
      <c r="SPX54" s="196"/>
      <c r="SPY54" s="196"/>
      <c r="SPZ54" s="196"/>
      <c r="SQA54" s="196"/>
      <c r="SQB54" s="196"/>
      <c r="SQC54" s="196"/>
      <c r="SQD54" s="196"/>
      <c r="SQE54" s="196"/>
      <c r="SQF54" s="196"/>
      <c r="SQG54" s="196"/>
      <c r="SQH54" s="196"/>
      <c r="SQI54" s="196"/>
      <c r="SQJ54" s="196"/>
      <c r="SQK54" s="196"/>
      <c r="SQL54" s="196"/>
      <c r="SQM54" s="196"/>
      <c r="SQN54" s="196"/>
      <c r="SQO54" s="196"/>
      <c r="SQP54" s="196"/>
      <c r="SQQ54" s="196"/>
      <c r="SQR54" s="196"/>
      <c r="SQS54" s="196"/>
      <c r="SQT54" s="196"/>
      <c r="SQU54" s="196"/>
      <c r="SQV54" s="196"/>
      <c r="SQW54" s="196"/>
      <c r="SQX54" s="196"/>
      <c r="SQY54" s="196"/>
      <c r="SQZ54" s="196"/>
      <c r="SRA54" s="196"/>
      <c r="SRB54" s="196"/>
      <c r="SRC54" s="196"/>
      <c r="SRD54" s="196"/>
      <c r="SRE54" s="196"/>
      <c r="SRF54" s="196"/>
      <c r="SRG54" s="196"/>
      <c r="SRH54" s="196"/>
      <c r="SRI54" s="196"/>
      <c r="SRJ54" s="196"/>
      <c r="SRK54" s="196"/>
      <c r="SRL54" s="196"/>
      <c r="SRM54" s="196"/>
      <c r="SRN54" s="196"/>
      <c r="SRO54" s="196"/>
      <c r="SRP54" s="196"/>
      <c r="SRQ54" s="196"/>
      <c r="SRR54" s="196"/>
      <c r="SRS54" s="196"/>
      <c r="SRT54" s="196"/>
      <c r="SRU54" s="196"/>
      <c r="SRV54" s="196"/>
      <c r="SRW54" s="196"/>
      <c r="SRX54" s="196"/>
      <c r="SRY54" s="196"/>
      <c r="SRZ54" s="196"/>
      <c r="SSA54" s="196"/>
      <c r="SSB54" s="196"/>
      <c r="SSC54" s="196"/>
      <c r="SSD54" s="196"/>
      <c r="SSE54" s="196"/>
      <c r="SSF54" s="196"/>
      <c r="SSG54" s="196"/>
      <c r="SSH54" s="196"/>
      <c r="SSI54" s="196"/>
      <c r="SSJ54" s="196"/>
      <c r="SSK54" s="196"/>
      <c r="SSL54" s="196"/>
      <c r="SSM54" s="196"/>
      <c r="SSN54" s="196"/>
      <c r="SSO54" s="196"/>
      <c r="SSP54" s="196"/>
      <c r="SSQ54" s="196"/>
      <c r="SSR54" s="196"/>
      <c r="SSS54" s="196"/>
      <c r="SST54" s="196"/>
      <c r="SSU54" s="196"/>
      <c r="SSV54" s="196"/>
      <c r="SSW54" s="196"/>
      <c r="SSX54" s="196"/>
      <c r="SSY54" s="196"/>
      <c r="SSZ54" s="196"/>
      <c r="STA54" s="196"/>
      <c r="STB54" s="196"/>
      <c r="STC54" s="196"/>
      <c r="STD54" s="196"/>
      <c r="STE54" s="196"/>
      <c r="STF54" s="196"/>
      <c r="STG54" s="196"/>
      <c r="STH54" s="196"/>
      <c r="STI54" s="196"/>
      <c r="STJ54" s="196"/>
      <c r="STK54" s="196"/>
      <c r="STL54" s="196"/>
      <c r="STM54" s="196"/>
      <c r="STN54" s="196"/>
      <c r="STO54" s="196"/>
      <c r="STP54" s="196"/>
      <c r="STQ54" s="196"/>
      <c r="STR54" s="196"/>
      <c r="STS54" s="196"/>
      <c r="STT54" s="196"/>
      <c r="STU54" s="196"/>
      <c r="STV54" s="196"/>
      <c r="STW54" s="196"/>
      <c r="STX54" s="196"/>
      <c r="STY54" s="196"/>
      <c r="STZ54" s="196"/>
      <c r="SUA54" s="196"/>
      <c r="SUB54" s="196"/>
      <c r="SUC54" s="196"/>
      <c r="SUD54" s="196"/>
      <c r="SUE54" s="196"/>
      <c r="SUF54" s="196"/>
      <c r="SUG54" s="196"/>
      <c r="SUH54" s="196"/>
      <c r="SUI54" s="196"/>
      <c r="SUJ54" s="196"/>
      <c r="SUK54" s="196"/>
      <c r="SUL54" s="196"/>
      <c r="SUM54" s="196"/>
      <c r="SUN54" s="196"/>
      <c r="SUO54" s="196"/>
      <c r="SUP54" s="196"/>
      <c r="SUQ54" s="196"/>
      <c r="SUR54" s="196"/>
      <c r="SUS54" s="196"/>
      <c r="SUT54" s="196"/>
      <c r="SUU54" s="196"/>
      <c r="SUV54" s="196"/>
      <c r="SUW54" s="196"/>
      <c r="SUX54" s="196"/>
      <c r="SUY54" s="196"/>
      <c r="SUZ54" s="196"/>
      <c r="SVA54" s="196"/>
      <c r="SVB54" s="196"/>
      <c r="SVC54" s="196"/>
      <c r="SVD54" s="196"/>
      <c r="SVE54" s="196"/>
      <c r="SVF54" s="196"/>
      <c r="SVG54" s="196"/>
      <c r="SVH54" s="196"/>
      <c r="SVI54" s="196"/>
      <c r="SVJ54" s="196"/>
      <c r="SVK54" s="196"/>
      <c r="SVL54" s="196"/>
      <c r="SVM54" s="196"/>
      <c r="SVN54" s="196"/>
      <c r="SVO54" s="196"/>
      <c r="SVP54" s="196"/>
      <c r="SVQ54" s="196"/>
      <c r="SVR54" s="196"/>
      <c r="SVS54" s="196"/>
      <c r="SVT54" s="196"/>
      <c r="SVU54" s="196"/>
      <c r="SVV54" s="196"/>
      <c r="SVW54" s="196"/>
      <c r="SVX54" s="196"/>
      <c r="SVY54" s="196"/>
      <c r="SVZ54" s="196"/>
      <c r="SWA54" s="196"/>
      <c r="SWB54" s="196"/>
      <c r="SWC54" s="196"/>
      <c r="SWD54" s="196"/>
      <c r="SWE54" s="196"/>
      <c r="SWF54" s="196"/>
      <c r="SWG54" s="196"/>
      <c r="SWH54" s="196"/>
      <c r="SWI54" s="196"/>
      <c r="SWJ54" s="196"/>
      <c r="SWK54" s="196"/>
      <c r="SWL54" s="196"/>
      <c r="SWM54" s="196"/>
      <c r="SWN54" s="196"/>
      <c r="SWO54" s="196"/>
      <c r="SWP54" s="196"/>
      <c r="SWQ54" s="196"/>
      <c r="SWR54" s="196"/>
      <c r="SWS54" s="196"/>
      <c r="SWT54" s="196"/>
      <c r="SWU54" s="196"/>
      <c r="SWV54" s="196"/>
      <c r="SWW54" s="196"/>
      <c r="SWX54" s="196"/>
      <c r="SWY54" s="196"/>
      <c r="SWZ54" s="196"/>
      <c r="SXA54" s="196"/>
      <c r="SXB54" s="196"/>
      <c r="SXC54" s="196"/>
      <c r="SXD54" s="196"/>
      <c r="SXE54" s="196"/>
      <c r="SXF54" s="196"/>
      <c r="SXG54" s="196"/>
      <c r="SXH54" s="196"/>
      <c r="SXI54" s="196"/>
      <c r="SXJ54" s="196"/>
      <c r="SXK54" s="196"/>
      <c r="SXL54" s="196"/>
      <c r="SXM54" s="196"/>
      <c r="SXN54" s="196"/>
      <c r="SXO54" s="196"/>
      <c r="SXP54" s="196"/>
      <c r="SXQ54" s="196"/>
      <c r="SXR54" s="196"/>
      <c r="SXS54" s="196"/>
      <c r="SXT54" s="196"/>
      <c r="SXU54" s="196"/>
      <c r="SXV54" s="196"/>
      <c r="SXW54" s="196"/>
      <c r="SXX54" s="196"/>
      <c r="SXY54" s="196"/>
      <c r="SXZ54" s="196"/>
      <c r="SYA54" s="196"/>
      <c r="SYB54" s="196"/>
      <c r="SYC54" s="196"/>
      <c r="SYD54" s="196"/>
      <c r="SYE54" s="196"/>
      <c r="SYF54" s="196"/>
      <c r="SYG54" s="196"/>
      <c r="SYH54" s="196"/>
      <c r="SYI54" s="196"/>
      <c r="SYJ54" s="196"/>
      <c r="SYK54" s="196"/>
      <c r="SYL54" s="196"/>
      <c r="SYM54" s="196"/>
      <c r="SYN54" s="196"/>
      <c r="SYO54" s="196"/>
      <c r="SYP54" s="196"/>
      <c r="SYQ54" s="196"/>
      <c r="SYR54" s="196"/>
      <c r="SYS54" s="196"/>
      <c r="SYT54" s="196"/>
      <c r="SYU54" s="196"/>
      <c r="SYV54" s="196"/>
      <c r="SYW54" s="196"/>
      <c r="SYX54" s="196"/>
      <c r="SYY54" s="196"/>
      <c r="SYZ54" s="196"/>
      <c r="SZA54" s="196"/>
      <c r="SZB54" s="196"/>
      <c r="SZC54" s="196"/>
      <c r="SZD54" s="196"/>
      <c r="SZE54" s="196"/>
      <c r="SZF54" s="196"/>
      <c r="SZG54" s="196"/>
      <c r="SZH54" s="196"/>
      <c r="SZI54" s="196"/>
      <c r="SZJ54" s="196"/>
      <c r="SZK54" s="196"/>
      <c r="SZL54" s="196"/>
      <c r="SZM54" s="196"/>
      <c r="SZN54" s="196"/>
      <c r="SZO54" s="196"/>
      <c r="SZP54" s="196"/>
      <c r="SZQ54" s="196"/>
      <c r="SZR54" s="196"/>
      <c r="SZS54" s="196"/>
      <c r="SZT54" s="196"/>
      <c r="SZU54" s="196"/>
      <c r="SZV54" s="196"/>
      <c r="SZW54" s="196"/>
      <c r="SZX54" s="196"/>
      <c r="SZY54" s="196"/>
      <c r="SZZ54" s="196"/>
      <c r="TAA54" s="196"/>
      <c r="TAB54" s="196"/>
      <c r="TAC54" s="196"/>
      <c r="TAD54" s="196"/>
      <c r="TAE54" s="196"/>
      <c r="TAF54" s="196"/>
      <c r="TAG54" s="196"/>
      <c r="TAH54" s="196"/>
      <c r="TAI54" s="196"/>
      <c r="TAJ54" s="196"/>
      <c r="TAK54" s="196"/>
      <c r="TAL54" s="196"/>
      <c r="TAM54" s="196"/>
      <c r="TAN54" s="196"/>
      <c r="TAO54" s="196"/>
      <c r="TAP54" s="196"/>
      <c r="TAQ54" s="196"/>
      <c r="TAR54" s="196"/>
      <c r="TAS54" s="196"/>
      <c r="TAT54" s="196"/>
      <c r="TAU54" s="196"/>
      <c r="TAV54" s="196"/>
      <c r="TAW54" s="196"/>
      <c r="TAX54" s="196"/>
      <c r="TAY54" s="196"/>
      <c r="TAZ54" s="196"/>
      <c r="TBA54" s="196"/>
      <c r="TBB54" s="196"/>
      <c r="TBC54" s="196"/>
      <c r="TBD54" s="196"/>
      <c r="TBE54" s="196"/>
      <c r="TBF54" s="196"/>
      <c r="TBG54" s="196"/>
      <c r="TBH54" s="196"/>
      <c r="TBI54" s="196"/>
      <c r="TBJ54" s="196"/>
      <c r="TBK54" s="196"/>
      <c r="TBL54" s="196"/>
      <c r="TBM54" s="196"/>
      <c r="TBN54" s="196"/>
      <c r="TBO54" s="196"/>
      <c r="TBP54" s="196"/>
      <c r="TBQ54" s="196"/>
      <c r="TBR54" s="196"/>
      <c r="TBS54" s="196"/>
      <c r="TBT54" s="196"/>
      <c r="TBU54" s="196"/>
      <c r="TBV54" s="196"/>
      <c r="TBW54" s="196"/>
      <c r="TBX54" s="196"/>
      <c r="TBY54" s="196"/>
      <c r="TBZ54" s="196"/>
      <c r="TCA54" s="196"/>
      <c r="TCB54" s="196"/>
      <c r="TCC54" s="196"/>
      <c r="TCD54" s="196"/>
      <c r="TCE54" s="196"/>
      <c r="TCF54" s="196"/>
      <c r="TCG54" s="196"/>
      <c r="TCH54" s="196"/>
      <c r="TCI54" s="196"/>
      <c r="TCJ54" s="196"/>
      <c r="TCK54" s="196"/>
      <c r="TCL54" s="196"/>
      <c r="TCM54" s="196"/>
      <c r="TCN54" s="196"/>
      <c r="TCO54" s="196"/>
      <c r="TCP54" s="196"/>
      <c r="TCQ54" s="196"/>
      <c r="TCR54" s="196"/>
      <c r="TCS54" s="196"/>
      <c r="TCT54" s="196"/>
      <c r="TCU54" s="196"/>
      <c r="TCV54" s="196"/>
      <c r="TCW54" s="196"/>
      <c r="TCX54" s="196"/>
      <c r="TCY54" s="196"/>
      <c r="TCZ54" s="196"/>
      <c r="TDA54" s="196"/>
      <c r="TDB54" s="196"/>
      <c r="TDC54" s="196"/>
      <c r="TDD54" s="196"/>
      <c r="TDE54" s="196"/>
      <c r="TDF54" s="196"/>
      <c r="TDG54" s="196"/>
      <c r="TDH54" s="196"/>
      <c r="TDI54" s="196"/>
      <c r="TDJ54" s="196"/>
      <c r="TDK54" s="196"/>
      <c r="TDL54" s="196"/>
      <c r="TDM54" s="196"/>
      <c r="TDN54" s="196"/>
      <c r="TDO54" s="196"/>
      <c r="TDP54" s="196"/>
      <c r="TDQ54" s="196"/>
      <c r="TDR54" s="196"/>
      <c r="TDS54" s="196"/>
      <c r="TDT54" s="196"/>
      <c r="TDU54" s="196"/>
      <c r="TDV54" s="196"/>
      <c r="TDW54" s="196"/>
      <c r="TDX54" s="196"/>
      <c r="TDY54" s="196"/>
      <c r="TDZ54" s="196"/>
      <c r="TEA54" s="196"/>
      <c r="TEB54" s="196"/>
      <c r="TEC54" s="196"/>
      <c r="TED54" s="196"/>
      <c r="TEE54" s="196"/>
      <c r="TEF54" s="196"/>
      <c r="TEG54" s="196"/>
      <c r="TEH54" s="196"/>
      <c r="TEI54" s="196"/>
      <c r="TEJ54" s="196"/>
      <c r="TEK54" s="196"/>
      <c r="TEL54" s="196"/>
      <c r="TEM54" s="196"/>
      <c r="TEN54" s="196"/>
      <c r="TEO54" s="196"/>
      <c r="TEP54" s="196"/>
      <c r="TEQ54" s="196"/>
      <c r="TER54" s="196"/>
      <c r="TES54" s="196"/>
      <c r="TET54" s="196"/>
      <c r="TEU54" s="196"/>
      <c r="TEV54" s="196"/>
      <c r="TEW54" s="196"/>
      <c r="TEX54" s="196"/>
      <c r="TEY54" s="196"/>
      <c r="TEZ54" s="196"/>
      <c r="TFA54" s="196"/>
      <c r="TFB54" s="196"/>
      <c r="TFC54" s="196"/>
      <c r="TFD54" s="196"/>
      <c r="TFE54" s="196"/>
      <c r="TFF54" s="196"/>
      <c r="TFG54" s="196"/>
      <c r="TFH54" s="196"/>
      <c r="TFI54" s="196"/>
      <c r="TFJ54" s="196"/>
      <c r="TFK54" s="196"/>
      <c r="TFL54" s="196"/>
      <c r="TFM54" s="196"/>
      <c r="TFN54" s="196"/>
      <c r="TFO54" s="196"/>
      <c r="TFP54" s="196"/>
      <c r="TFQ54" s="196"/>
      <c r="TFR54" s="196"/>
      <c r="TFS54" s="196"/>
      <c r="TFT54" s="196"/>
      <c r="TFU54" s="196"/>
      <c r="TFV54" s="196"/>
      <c r="TFW54" s="196"/>
      <c r="TFX54" s="196"/>
      <c r="TFY54" s="196"/>
      <c r="TFZ54" s="196"/>
      <c r="TGA54" s="196"/>
      <c r="TGB54" s="196"/>
      <c r="TGC54" s="196"/>
      <c r="TGD54" s="196"/>
      <c r="TGE54" s="196"/>
      <c r="TGF54" s="196"/>
      <c r="TGG54" s="196"/>
      <c r="TGH54" s="196"/>
      <c r="TGI54" s="196"/>
      <c r="TGJ54" s="196"/>
      <c r="TGK54" s="196"/>
      <c r="TGL54" s="196"/>
      <c r="TGM54" s="196"/>
      <c r="TGN54" s="196"/>
      <c r="TGO54" s="196"/>
      <c r="TGP54" s="196"/>
      <c r="TGQ54" s="196"/>
      <c r="TGR54" s="196"/>
      <c r="TGS54" s="196"/>
      <c r="TGT54" s="196"/>
      <c r="TGU54" s="196"/>
      <c r="TGV54" s="196"/>
      <c r="TGW54" s="196"/>
      <c r="TGX54" s="196"/>
      <c r="TGY54" s="196"/>
      <c r="TGZ54" s="196"/>
      <c r="THA54" s="196"/>
      <c r="THB54" s="196"/>
      <c r="THC54" s="196"/>
      <c r="THD54" s="196"/>
      <c r="THE54" s="196"/>
      <c r="THF54" s="196"/>
      <c r="THG54" s="196"/>
      <c r="THH54" s="196"/>
      <c r="THI54" s="196"/>
      <c r="THJ54" s="196"/>
      <c r="THK54" s="196"/>
      <c r="THL54" s="196"/>
      <c r="THM54" s="196"/>
      <c r="THN54" s="196"/>
      <c r="THO54" s="196"/>
      <c r="THP54" s="196"/>
      <c r="THQ54" s="196"/>
      <c r="THR54" s="196"/>
      <c r="THS54" s="196"/>
      <c r="THT54" s="196"/>
      <c r="THU54" s="196"/>
      <c r="THV54" s="196"/>
      <c r="THW54" s="196"/>
      <c r="THX54" s="196"/>
      <c r="THY54" s="196"/>
      <c r="THZ54" s="196"/>
      <c r="TIA54" s="196"/>
      <c r="TIB54" s="196"/>
      <c r="TIC54" s="196"/>
      <c r="TID54" s="196"/>
      <c r="TIE54" s="196"/>
      <c r="TIF54" s="196"/>
      <c r="TIG54" s="196"/>
      <c r="TIH54" s="196"/>
      <c r="TII54" s="196"/>
      <c r="TIJ54" s="196"/>
      <c r="TIK54" s="196"/>
      <c r="TIL54" s="196"/>
      <c r="TIM54" s="196"/>
      <c r="TIN54" s="196"/>
      <c r="TIO54" s="196"/>
      <c r="TIP54" s="196"/>
      <c r="TIQ54" s="196"/>
      <c r="TIR54" s="196"/>
      <c r="TIS54" s="196"/>
      <c r="TIT54" s="196"/>
      <c r="TIU54" s="196"/>
      <c r="TIV54" s="196"/>
      <c r="TIW54" s="196"/>
      <c r="TIX54" s="196"/>
      <c r="TIY54" s="196"/>
      <c r="TIZ54" s="196"/>
      <c r="TJA54" s="196"/>
      <c r="TJB54" s="196"/>
      <c r="TJC54" s="196"/>
      <c r="TJD54" s="196"/>
      <c r="TJE54" s="196"/>
      <c r="TJF54" s="196"/>
      <c r="TJG54" s="196"/>
      <c r="TJH54" s="196"/>
      <c r="TJI54" s="196"/>
      <c r="TJJ54" s="196"/>
      <c r="TJK54" s="196"/>
      <c r="TJL54" s="196"/>
      <c r="TJM54" s="196"/>
      <c r="TJN54" s="196"/>
      <c r="TJO54" s="196"/>
      <c r="TJP54" s="196"/>
      <c r="TJQ54" s="196"/>
      <c r="TJR54" s="196"/>
      <c r="TJS54" s="196"/>
      <c r="TJT54" s="196"/>
      <c r="TJU54" s="196"/>
      <c r="TJV54" s="196"/>
      <c r="TJW54" s="196"/>
      <c r="TJX54" s="196"/>
      <c r="TJY54" s="196"/>
      <c r="TJZ54" s="196"/>
      <c r="TKA54" s="196"/>
      <c r="TKB54" s="196"/>
      <c r="TKC54" s="196"/>
      <c r="TKD54" s="196"/>
      <c r="TKE54" s="196"/>
      <c r="TKF54" s="196"/>
      <c r="TKG54" s="196"/>
      <c r="TKH54" s="196"/>
      <c r="TKI54" s="196"/>
      <c r="TKJ54" s="196"/>
      <c r="TKK54" s="196"/>
      <c r="TKL54" s="196"/>
      <c r="TKM54" s="196"/>
      <c r="TKN54" s="196"/>
      <c r="TKO54" s="196"/>
      <c r="TKP54" s="196"/>
      <c r="TKQ54" s="196"/>
      <c r="TKR54" s="196"/>
      <c r="TKS54" s="196"/>
      <c r="TKT54" s="196"/>
      <c r="TKU54" s="196"/>
      <c r="TKV54" s="196"/>
      <c r="TKW54" s="196"/>
      <c r="TKX54" s="196"/>
      <c r="TKY54" s="196"/>
      <c r="TKZ54" s="196"/>
      <c r="TLA54" s="196"/>
      <c r="TLB54" s="196"/>
      <c r="TLC54" s="196"/>
      <c r="TLD54" s="196"/>
      <c r="TLE54" s="196"/>
      <c r="TLF54" s="196"/>
      <c r="TLG54" s="196"/>
      <c r="TLH54" s="196"/>
      <c r="TLI54" s="196"/>
      <c r="TLJ54" s="196"/>
      <c r="TLK54" s="196"/>
      <c r="TLL54" s="196"/>
      <c r="TLM54" s="196"/>
      <c r="TLN54" s="196"/>
      <c r="TLO54" s="196"/>
      <c r="TLP54" s="196"/>
      <c r="TLQ54" s="196"/>
      <c r="TLR54" s="196"/>
      <c r="TLS54" s="196"/>
      <c r="TLT54" s="196"/>
      <c r="TLU54" s="196"/>
      <c r="TLV54" s="196"/>
      <c r="TLW54" s="196"/>
      <c r="TLX54" s="196"/>
      <c r="TLY54" s="196"/>
      <c r="TLZ54" s="196"/>
      <c r="TMA54" s="196"/>
      <c r="TMB54" s="196"/>
      <c r="TMC54" s="196"/>
      <c r="TMD54" s="196"/>
      <c r="TME54" s="196"/>
      <c r="TMF54" s="196"/>
      <c r="TMG54" s="196"/>
      <c r="TMH54" s="196"/>
      <c r="TMI54" s="196"/>
      <c r="TMJ54" s="196"/>
      <c r="TMK54" s="196"/>
      <c r="TML54" s="196"/>
      <c r="TMM54" s="196"/>
      <c r="TMN54" s="196"/>
      <c r="TMO54" s="196"/>
      <c r="TMP54" s="196"/>
      <c r="TMQ54" s="196"/>
      <c r="TMR54" s="196"/>
      <c r="TMS54" s="196"/>
      <c r="TMT54" s="196"/>
      <c r="TMU54" s="196"/>
      <c r="TMV54" s="196"/>
      <c r="TMW54" s="196"/>
      <c r="TMX54" s="196"/>
      <c r="TMY54" s="196"/>
      <c r="TMZ54" s="196"/>
      <c r="TNA54" s="196"/>
      <c r="TNB54" s="196"/>
      <c r="TNC54" s="196"/>
      <c r="TND54" s="196"/>
      <c r="TNE54" s="196"/>
      <c r="TNF54" s="196"/>
      <c r="TNG54" s="196"/>
      <c r="TNH54" s="196"/>
      <c r="TNI54" s="196"/>
      <c r="TNJ54" s="196"/>
      <c r="TNK54" s="196"/>
      <c r="TNL54" s="196"/>
      <c r="TNM54" s="196"/>
      <c r="TNN54" s="196"/>
      <c r="TNO54" s="196"/>
      <c r="TNP54" s="196"/>
      <c r="TNQ54" s="196"/>
      <c r="TNR54" s="196"/>
      <c r="TNS54" s="196"/>
      <c r="TNT54" s="196"/>
      <c r="TNU54" s="196"/>
      <c r="TNV54" s="196"/>
      <c r="TNW54" s="196"/>
      <c r="TNX54" s="196"/>
      <c r="TNY54" s="196"/>
      <c r="TNZ54" s="196"/>
      <c r="TOA54" s="196"/>
      <c r="TOB54" s="196"/>
      <c r="TOC54" s="196"/>
      <c r="TOD54" s="196"/>
      <c r="TOE54" s="196"/>
      <c r="TOF54" s="196"/>
      <c r="TOG54" s="196"/>
      <c r="TOH54" s="196"/>
      <c r="TOI54" s="196"/>
      <c r="TOJ54" s="196"/>
      <c r="TOK54" s="196"/>
      <c r="TOL54" s="196"/>
      <c r="TOM54" s="196"/>
      <c r="TON54" s="196"/>
      <c r="TOO54" s="196"/>
      <c r="TOP54" s="196"/>
      <c r="TOQ54" s="196"/>
      <c r="TOR54" s="196"/>
      <c r="TOS54" s="196"/>
      <c r="TOT54" s="196"/>
      <c r="TOU54" s="196"/>
      <c r="TOV54" s="196"/>
      <c r="TOW54" s="196"/>
      <c r="TOX54" s="196"/>
      <c r="TOY54" s="196"/>
      <c r="TOZ54" s="196"/>
      <c r="TPA54" s="196"/>
      <c r="TPB54" s="196"/>
      <c r="TPC54" s="196"/>
      <c r="TPD54" s="196"/>
      <c r="TPE54" s="196"/>
      <c r="TPF54" s="196"/>
      <c r="TPG54" s="196"/>
      <c r="TPH54" s="196"/>
      <c r="TPI54" s="196"/>
      <c r="TPJ54" s="196"/>
      <c r="TPK54" s="196"/>
      <c r="TPL54" s="196"/>
      <c r="TPM54" s="196"/>
      <c r="TPN54" s="196"/>
      <c r="TPO54" s="196"/>
      <c r="TPP54" s="196"/>
      <c r="TPQ54" s="196"/>
      <c r="TPR54" s="196"/>
      <c r="TPS54" s="196"/>
      <c r="TPT54" s="196"/>
      <c r="TPU54" s="196"/>
      <c r="TPV54" s="196"/>
      <c r="TPW54" s="196"/>
      <c r="TPX54" s="196"/>
      <c r="TPY54" s="196"/>
      <c r="TPZ54" s="196"/>
      <c r="TQA54" s="196"/>
      <c r="TQB54" s="196"/>
      <c r="TQC54" s="196"/>
      <c r="TQD54" s="196"/>
      <c r="TQE54" s="196"/>
      <c r="TQF54" s="196"/>
      <c r="TQG54" s="196"/>
      <c r="TQH54" s="196"/>
      <c r="TQI54" s="196"/>
      <c r="TQJ54" s="196"/>
      <c r="TQK54" s="196"/>
      <c r="TQL54" s="196"/>
      <c r="TQM54" s="196"/>
      <c r="TQN54" s="196"/>
      <c r="TQO54" s="196"/>
      <c r="TQP54" s="196"/>
      <c r="TQQ54" s="196"/>
      <c r="TQR54" s="196"/>
      <c r="TQS54" s="196"/>
      <c r="TQT54" s="196"/>
      <c r="TQU54" s="196"/>
      <c r="TQV54" s="196"/>
      <c r="TQW54" s="196"/>
      <c r="TQX54" s="196"/>
      <c r="TQY54" s="196"/>
      <c r="TQZ54" s="196"/>
      <c r="TRA54" s="196"/>
      <c r="TRB54" s="196"/>
      <c r="TRC54" s="196"/>
      <c r="TRD54" s="196"/>
      <c r="TRE54" s="196"/>
      <c r="TRF54" s="196"/>
      <c r="TRG54" s="196"/>
      <c r="TRH54" s="196"/>
      <c r="TRI54" s="196"/>
      <c r="TRJ54" s="196"/>
      <c r="TRK54" s="196"/>
      <c r="TRL54" s="196"/>
      <c r="TRM54" s="196"/>
      <c r="TRN54" s="196"/>
      <c r="TRO54" s="196"/>
      <c r="TRP54" s="196"/>
      <c r="TRQ54" s="196"/>
      <c r="TRR54" s="196"/>
      <c r="TRS54" s="196"/>
      <c r="TRT54" s="196"/>
      <c r="TRU54" s="196"/>
      <c r="TRV54" s="196"/>
      <c r="TRW54" s="196"/>
      <c r="TRX54" s="196"/>
      <c r="TRY54" s="196"/>
      <c r="TRZ54" s="196"/>
      <c r="TSA54" s="196"/>
      <c r="TSB54" s="196"/>
      <c r="TSC54" s="196"/>
      <c r="TSD54" s="196"/>
      <c r="TSE54" s="196"/>
      <c r="TSF54" s="196"/>
      <c r="TSG54" s="196"/>
      <c r="TSH54" s="196"/>
      <c r="TSI54" s="196"/>
      <c r="TSJ54" s="196"/>
      <c r="TSK54" s="196"/>
      <c r="TSL54" s="196"/>
      <c r="TSM54" s="196"/>
      <c r="TSN54" s="196"/>
      <c r="TSO54" s="196"/>
      <c r="TSP54" s="196"/>
      <c r="TSQ54" s="196"/>
      <c r="TSR54" s="196"/>
      <c r="TSS54" s="196"/>
      <c r="TST54" s="196"/>
      <c r="TSU54" s="196"/>
      <c r="TSV54" s="196"/>
      <c r="TSW54" s="196"/>
      <c r="TSX54" s="196"/>
      <c r="TSY54" s="196"/>
      <c r="TSZ54" s="196"/>
      <c r="TTA54" s="196"/>
      <c r="TTB54" s="196"/>
      <c r="TTC54" s="196"/>
      <c r="TTD54" s="196"/>
      <c r="TTE54" s="196"/>
      <c r="TTF54" s="196"/>
      <c r="TTG54" s="196"/>
      <c r="TTH54" s="196"/>
      <c r="TTI54" s="196"/>
      <c r="TTJ54" s="196"/>
      <c r="TTK54" s="196"/>
      <c r="TTL54" s="196"/>
      <c r="TTM54" s="196"/>
      <c r="TTN54" s="196"/>
      <c r="TTO54" s="196"/>
      <c r="TTP54" s="196"/>
      <c r="TTQ54" s="196"/>
      <c r="TTR54" s="196"/>
      <c r="TTS54" s="196"/>
      <c r="TTT54" s="196"/>
      <c r="TTU54" s="196"/>
      <c r="TTV54" s="196"/>
      <c r="TTW54" s="196"/>
      <c r="TTX54" s="196"/>
      <c r="TTY54" s="196"/>
      <c r="TTZ54" s="196"/>
      <c r="TUA54" s="196"/>
      <c r="TUB54" s="196"/>
      <c r="TUC54" s="196"/>
      <c r="TUD54" s="196"/>
      <c r="TUE54" s="196"/>
      <c r="TUF54" s="196"/>
      <c r="TUG54" s="196"/>
      <c r="TUH54" s="196"/>
      <c r="TUI54" s="196"/>
      <c r="TUJ54" s="196"/>
      <c r="TUK54" s="196"/>
      <c r="TUL54" s="196"/>
      <c r="TUM54" s="196"/>
      <c r="TUN54" s="196"/>
      <c r="TUO54" s="196"/>
      <c r="TUP54" s="196"/>
      <c r="TUQ54" s="196"/>
      <c r="TUR54" s="196"/>
      <c r="TUS54" s="196"/>
      <c r="TUT54" s="196"/>
      <c r="TUU54" s="196"/>
      <c r="TUV54" s="196"/>
      <c r="TUW54" s="196"/>
      <c r="TUX54" s="196"/>
      <c r="TUY54" s="196"/>
      <c r="TUZ54" s="196"/>
      <c r="TVA54" s="196"/>
      <c r="TVB54" s="196"/>
      <c r="TVC54" s="196"/>
      <c r="TVD54" s="196"/>
      <c r="TVE54" s="196"/>
      <c r="TVF54" s="196"/>
      <c r="TVG54" s="196"/>
      <c r="TVH54" s="196"/>
      <c r="TVI54" s="196"/>
      <c r="TVJ54" s="196"/>
      <c r="TVK54" s="196"/>
      <c r="TVL54" s="196"/>
      <c r="TVM54" s="196"/>
      <c r="TVN54" s="196"/>
      <c r="TVO54" s="196"/>
      <c r="TVP54" s="196"/>
      <c r="TVQ54" s="196"/>
      <c r="TVR54" s="196"/>
      <c r="TVS54" s="196"/>
      <c r="TVT54" s="196"/>
      <c r="TVU54" s="196"/>
      <c r="TVV54" s="196"/>
      <c r="TVW54" s="196"/>
      <c r="TVX54" s="196"/>
      <c r="TVY54" s="196"/>
      <c r="TVZ54" s="196"/>
      <c r="TWA54" s="196"/>
      <c r="TWB54" s="196"/>
      <c r="TWC54" s="196"/>
      <c r="TWD54" s="196"/>
      <c r="TWE54" s="196"/>
      <c r="TWF54" s="196"/>
      <c r="TWG54" s="196"/>
      <c r="TWH54" s="196"/>
      <c r="TWI54" s="196"/>
      <c r="TWJ54" s="196"/>
      <c r="TWK54" s="196"/>
      <c r="TWL54" s="196"/>
      <c r="TWM54" s="196"/>
      <c r="TWN54" s="196"/>
      <c r="TWO54" s="196"/>
      <c r="TWP54" s="196"/>
      <c r="TWQ54" s="196"/>
      <c r="TWR54" s="196"/>
      <c r="TWS54" s="196"/>
      <c r="TWT54" s="196"/>
      <c r="TWU54" s="196"/>
      <c r="TWV54" s="196"/>
      <c r="TWW54" s="196"/>
      <c r="TWX54" s="196"/>
      <c r="TWY54" s="196"/>
      <c r="TWZ54" s="196"/>
      <c r="TXA54" s="196"/>
      <c r="TXB54" s="196"/>
      <c r="TXC54" s="196"/>
      <c r="TXD54" s="196"/>
      <c r="TXE54" s="196"/>
      <c r="TXF54" s="196"/>
      <c r="TXG54" s="196"/>
      <c r="TXH54" s="196"/>
      <c r="TXI54" s="196"/>
      <c r="TXJ54" s="196"/>
      <c r="TXK54" s="196"/>
      <c r="TXL54" s="196"/>
      <c r="TXM54" s="196"/>
      <c r="TXN54" s="196"/>
      <c r="TXO54" s="196"/>
      <c r="TXP54" s="196"/>
      <c r="TXQ54" s="196"/>
      <c r="TXR54" s="196"/>
      <c r="TXS54" s="196"/>
      <c r="TXT54" s="196"/>
      <c r="TXU54" s="196"/>
      <c r="TXV54" s="196"/>
      <c r="TXW54" s="196"/>
      <c r="TXX54" s="196"/>
      <c r="TXY54" s="196"/>
      <c r="TXZ54" s="196"/>
      <c r="TYA54" s="196"/>
      <c r="TYB54" s="196"/>
      <c r="TYC54" s="196"/>
      <c r="TYD54" s="196"/>
      <c r="TYE54" s="196"/>
      <c r="TYF54" s="196"/>
      <c r="TYG54" s="196"/>
      <c r="TYH54" s="196"/>
      <c r="TYI54" s="196"/>
      <c r="TYJ54" s="196"/>
      <c r="TYK54" s="196"/>
      <c r="TYL54" s="196"/>
      <c r="TYM54" s="196"/>
      <c r="TYN54" s="196"/>
      <c r="TYO54" s="196"/>
      <c r="TYP54" s="196"/>
      <c r="TYQ54" s="196"/>
      <c r="TYR54" s="196"/>
      <c r="TYS54" s="196"/>
      <c r="TYT54" s="196"/>
      <c r="TYU54" s="196"/>
      <c r="TYV54" s="196"/>
      <c r="TYW54" s="196"/>
      <c r="TYX54" s="196"/>
      <c r="TYY54" s="196"/>
      <c r="TYZ54" s="196"/>
      <c r="TZA54" s="196"/>
      <c r="TZB54" s="196"/>
      <c r="TZC54" s="196"/>
      <c r="TZD54" s="196"/>
      <c r="TZE54" s="196"/>
      <c r="TZF54" s="196"/>
      <c r="TZG54" s="196"/>
      <c r="TZH54" s="196"/>
      <c r="TZI54" s="196"/>
      <c r="TZJ54" s="196"/>
      <c r="TZK54" s="196"/>
      <c r="TZL54" s="196"/>
      <c r="TZM54" s="196"/>
      <c r="TZN54" s="196"/>
      <c r="TZO54" s="196"/>
      <c r="TZP54" s="196"/>
      <c r="TZQ54" s="196"/>
      <c r="TZR54" s="196"/>
      <c r="TZS54" s="196"/>
      <c r="TZT54" s="196"/>
      <c r="TZU54" s="196"/>
      <c r="TZV54" s="196"/>
      <c r="TZW54" s="196"/>
      <c r="TZX54" s="196"/>
      <c r="TZY54" s="196"/>
      <c r="TZZ54" s="196"/>
      <c r="UAA54" s="196"/>
      <c r="UAB54" s="196"/>
      <c r="UAC54" s="196"/>
      <c r="UAD54" s="196"/>
      <c r="UAE54" s="196"/>
      <c r="UAF54" s="196"/>
      <c r="UAG54" s="196"/>
      <c r="UAH54" s="196"/>
      <c r="UAI54" s="196"/>
      <c r="UAJ54" s="196"/>
      <c r="UAK54" s="196"/>
      <c r="UAL54" s="196"/>
      <c r="UAM54" s="196"/>
      <c r="UAN54" s="196"/>
      <c r="UAO54" s="196"/>
      <c r="UAP54" s="196"/>
      <c r="UAQ54" s="196"/>
      <c r="UAR54" s="196"/>
      <c r="UAS54" s="196"/>
      <c r="UAT54" s="196"/>
      <c r="UAU54" s="196"/>
      <c r="UAV54" s="196"/>
      <c r="UAW54" s="196"/>
      <c r="UAX54" s="196"/>
      <c r="UAY54" s="196"/>
      <c r="UAZ54" s="196"/>
      <c r="UBA54" s="196"/>
      <c r="UBB54" s="196"/>
      <c r="UBC54" s="196"/>
      <c r="UBD54" s="196"/>
      <c r="UBE54" s="196"/>
      <c r="UBF54" s="196"/>
      <c r="UBG54" s="196"/>
      <c r="UBH54" s="196"/>
      <c r="UBI54" s="196"/>
      <c r="UBJ54" s="196"/>
      <c r="UBK54" s="196"/>
      <c r="UBL54" s="196"/>
      <c r="UBM54" s="196"/>
      <c r="UBN54" s="196"/>
      <c r="UBO54" s="196"/>
      <c r="UBP54" s="196"/>
      <c r="UBQ54" s="196"/>
      <c r="UBR54" s="196"/>
      <c r="UBS54" s="196"/>
      <c r="UBT54" s="196"/>
      <c r="UBU54" s="196"/>
      <c r="UBV54" s="196"/>
      <c r="UBW54" s="196"/>
      <c r="UBX54" s="196"/>
      <c r="UBY54" s="196"/>
      <c r="UBZ54" s="196"/>
      <c r="UCA54" s="196"/>
      <c r="UCB54" s="196"/>
      <c r="UCC54" s="196"/>
      <c r="UCD54" s="196"/>
      <c r="UCE54" s="196"/>
      <c r="UCF54" s="196"/>
      <c r="UCG54" s="196"/>
      <c r="UCH54" s="196"/>
      <c r="UCI54" s="196"/>
      <c r="UCJ54" s="196"/>
      <c r="UCK54" s="196"/>
      <c r="UCL54" s="196"/>
      <c r="UCM54" s="196"/>
      <c r="UCN54" s="196"/>
      <c r="UCO54" s="196"/>
      <c r="UCP54" s="196"/>
      <c r="UCQ54" s="196"/>
      <c r="UCR54" s="196"/>
      <c r="UCS54" s="196"/>
      <c r="UCT54" s="196"/>
      <c r="UCU54" s="196"/>
      <c r="UCV54" s="196"/>
      <c r="UCW54" s="196"/>
      <c r="UCX54" s="196"/>
      <c r="UCY54" s="196"/>
      <c r="UCZ54" s="196"/>
      <c r="UDA54" s="196"/>
      <c r="UDB54" s="196"/>
      <c r="UDC54" s="196"/>
      <c r="UDD54" s="196"/>
      <c r="UDE54" s="196"/>
      <c r="UDF54" s="196"/>
      <c r="UDG54" s="196"/>
      <c r="UDH54" s="196"/>
      <c r="UDI54" s="196"/>
      <c r="UDJ54" s="196"/>
      <c r="UDK54" s="196"/>
      <c r="UDL54" s="196"/>
      <c r="UDM54" s="196"/>
      <c r="UDN54" s="196"/>
      <c r="UDO54" s="196"/>
      <c r="UDP54" s="196"/>
      <c r="UDQ54" s="196"/>
      <c r="UDR54" s="196"/>
      <c r="UDS54" s="196"/>
      <c r="UDT54" s="196"/>
      <c r="UDU54" s="196"/>
      <c r="UDV54" s="196"/>
      <c r="UDW54" s="196"/>
      <c r="UDX54" s="196"/>
      <c r="UDY54" s="196"/>
      <c r="UDZ54" s="196"/>
      <c r="UEA54" s="196"/>
      <c r="UEB54" s="196"/>
      <c r="UEC54" s="196"/>
      <c r="UED54" s="196"/>
      <c r="UEE54" s="196"/>
      <c r="UEF54" s="196"/>
      <c r="UEG54" s="196"/>
      <c r="UEH54" s="196"/>
      <c r="UEI54" s="196"/>
      <c r="UEJ54" s="196"/>
      <c r="UEK54" s="196"/>
      <c r="UEL54" s="196"/>
      <c r="UEM54" s="196"/>
      <c r="UEN54" s="196"/>
      <c r="UEO54" s="196"/>
      <c r="UEP54" s="196"/>
      <c r="UEQ54" s="196"/>
      <c r="UER54" s="196"/>
      <c r="UES54" s="196"/>
      <c r="UET54" s="196"/>
      <c r="UEU54" s="196"/>
      <c r="UEV54" s="196"/>
      <c r="UEW54" s="196"/>
      <c r="UEX54" s="196"/>
      <c r="UEY54" s="196"/>
      <c r="UEZ54" s="196"/>
      <c r="UFA54" s="196"/>
      <c r="UFB54" s="196"/>
      <c r="UFC54" s="196"/>
      <c r="UFD54" s="196"/>
      <c r="UFE54" s="196"/>
      <c r="UFF54" s="196"/>
      <c r="UFG54" s="196"/>
      <c r="UFH54" s="196"/>
      <c r="UFI54" s="196"/>
      <c r="UFJ54" s="196"/>
      <c r="UFK54" s="196"/>
      <c r="UFL54" s="196"/>
      <c r="UFM54" s="196"/>
      <c r="UFN54" s="196"/>
      <c r="UFO54" s="196"/>
      <c r="UFP54" s="196"/>
      <c r="UFQ54" s="196"/>
      <c r="UFR54" s="196"/>
      <c r="UFS54" s="196"/>
      <c r="UFT54" s="196"/>
      <c r="UFU54" s="196"/>
      <c r="UFV54" s="196"/>
      <c r="UFW54" s="196"/>
      <c r="UFX54" s="196"/>
      <c r="UFY54" s="196"/>
      <c r="UFZ54" s="196"/>
      <c r="UGA54" s="196"/>
      <c r="UGB54" s="196"/>
      <c r="UGC54" s="196"/>
      <c r="UGD54" s="196"/>
      <c r="UGE54" s="196"/>
      <c r="UGF54" s="196"/>
      <c r="UGG54" s="196"/>
      <c r="UGH54" s="196"/>
      <c r="UGI54" s="196"/>
      <c r="UGJ54" s="196"/>
      <c r="UGK54" s="196"/>
      <c r="UGL54" s="196"/>
      <c r="UGM54" s="196"/>
      <c r="UGN54" s="196"/>
      <c r="UGO54" s="196"/>
      <c r="UGP54" s="196"/>
      <c r="UGQ54" s="196"/>
      <c r="UGR54" s="196"/>
      <c r="UGS54" s="196"/>
      <c r="UGT54" s="196"/>
      <c r="UGU54" s="196"/>
      <c r="UGV54" s="196"/>
      <c r="UGW54" s="196"/>
      <c r="UGX54" s="196"/>
      <c r="UGY54" s="196"/>
      <c r="UGZ54" s="196"/>
      <c r="UHA54" s="196"/>
      <c r="UHB54" s="196"/>
      <c r="UHC54" s="196"/>
      <c r="UHD54" s="196"/>
      <c r="UHE54" s="196"/>
      <c r="UHF54" s="196"/>
      <c r="UHG54" s="196"/>
      <c r="UHH54" s="196"/>
      <c r="UHI54" s="196"/>
      <c r="UHJ54" s="196"/>
      <c r="UHK54" s="196"/>
      <c r="UHL54" s="196"/>
      <c r="UHM54" s="196"/>
      <c r="UHN54" s="196"/>
      <c r="UHO54" s="196"/>
      <c r="UHP54" s="196"/>
      <c r="UHQ54" s="196"/>
      <c r="UHR54" s="196"/>
      <c r="UHS54" s="196"/>
      <c r="UHT54" s="196"/>
      <c r="UHU54" s="196"/>
      <c r="UHV54" s="196"/>
      <c r="UHW54" s="196"/>
      <c r="UHX54" s="196"/>
      <c r="UHY54" s="196"/>
      <c r="UHZ54" s="196"/>
      <c r="UIA54" s="196"/>
      <c r="UIB54" s="196"/>
      <c r="UIC54" s="196"/>
      <c r="UID54" s="196"/>
      <c r="UIE54" s="196"/>
      <c r="UIF54" s="196"/>
      <c r="UIG54" s="196"/>
      <c r="UIH54" s="196"/>
      <c r="UII54" s="196"/>
      <c r="UIJ54" s="196"/>
      <c r="UIK54" s="196"/>
      <c r="UIL54" s="196"/>
      <c r="UIM54" s="196"/>
      <c r="UIN54" s="196"/>
      <c r="UIO54" s="196"/>
      <c r="UIP54" s="196"/>
      <c r="UIQ54" s="196"/>
      <c r="UIR54" s="196"/>
      <c r="UIS54" s="196"/>
      <c r="UIT54" s="196"/>
      <c r="UIU54" s="196"/>
      <c r="UIV54" s="196"/>
      <c r="UIW54" s="196"/>
      <c r="UIX54" s="196"/>
      <c r="UIY54" s="196"/>
      <c r="UIZ54" s="196"/>
      <c r="UJA54" s="196"/>
      <c r="UJB54" s="196"/>
      <c r="UJC54" s="196"/>
      <c r="UJD54" s="196"/>
      <c r="UJE54" s="196"/>
      <c r="UJF54" s="196"/>
      <c r="UJG54" s="196"/>
      <c r="UJH54" s="196"/>
      <c r="UJI54" s="196"/>
      <c r="UJJ54" s="196"/>
      <c r="UJK54" s="196"/>
      <c r="UJL54" s="196"/>
      <c r="UJM54" s="196"/>
      <c r="UJN54" s="196"/>
      <c r="UJO54" s="196"/>
      <c r="UJP54" s="196"/>
      <c r="UJQ54" s="196"/>
      <c r="UJR54" s="196"/>
      <c r="UJS54" s="196"/>
      <c r="UJT54" s="196"/>
      <c r="UJU54" s="196"/>
      <c r="UJV54" s="196"/>
      <c r="UJW54" s="196"/>
      <c r="UJX54" s="196"/>
      <c r="UJY54" s="196"/>
      <c r="UJZ54" s="196"/>
      <c r="UKA54" s="196"/>
      <c r="UKB54" s="196"/>
      <c r="UKC54" s="196"/>
      <c r="UKD54" s="196"/>
      <c r="UKE54" s="196"/>
      <c r="UKF54" s="196"/>
      <c r="UKG54" s="196"/>
      <c r="UKH54" s="196"/>
      <c r="UKI54" s="196"/>
      <c r="UKJ54" s="196"/>
      <c r="UKK54" s="196"/>
      <c r="UKL54" s="196"/>
      <c r="UKM54" s="196"/>
      <c r="UKN54" s="196"/>
      <c r="UKO54" s="196"/>
      <c r="UKP54" s="196"/>
      <c r="UKQ54" s="196"/>
      <c r="UKR54" s="196"/>
      <c r="UKS54" s="196"/>
      <c r="UKT54" s="196"/>
      <c r="UKU54" s="196"/>
      <c r="UKV54" s="196"/>
      <c r="UKW54" s="196"/>
      <c r="UKX54" s="196"/>
      <c r="UKY54" s="196"/>
      <c r="UKZ54" s="196"/>
      <c r="ULA54" s="196"/>
      <c r="ULB54" s="196"/>
      <c r="ULC54" s="196"/>
      <c r="ULD54" s="196"/>
      <c r="ULE54" s="196"/>
      <c r="ULF54" s="196"/>
      <c r="ULG54" s="196"/>
      <c r="ULH54" s="196"/>
      <c r="ULI54" s="196"/>
      <c r="ULJ54" s="196"/>
      <c r="ULK54" s="196"/>
      <c r="ULL54" s="196"/>
      <c r="ULM54" s="196"/>
      <c r="ULN54" s="196"/>
      <c r="ULO54" s="196"/>
      <c r="ULP54" s="196"/>
      <c r="ULQ54" s="196"/>
      <c r="ULR54" s="196"/>
      <c r="ULS54" s="196"/>
      <c r="ULT54" s="196"/>
      <c r="ULU54" s="196"/>
      <c r="ULV54" s="196"/>
      <c r="ULW54" s="196"/>
      <c r="ULX54" s="196"/>
      <c r="ULY54" s="196"/>
      <c r="ULZ54" s="196"/>
      <c r="UMA54" s="196"/>
      <c r="UMB54" s="196"/>
      <c r="UMC54" s="196"/>
      <c r="UMD54" s="196"/>
      <c r="UME54" s="196"/>
      <c r="UMF54" s="196"/>
      <c r="UMG54" s="196"/>
      <c r="UMH54" s="196"/>
      <c r="UMI54" s="196"/>
      <c r="UMJ54" s="196"/>
      <c r="UMK54" s="196"/>
      <c r="UML54" s="196"/>
      <c r="UMM54" s="196"/>
      <c r="UMN54" s="196"/>
      <c r="UMO54" s="196"/>
      <c r="UMP54" s="196"/>
      <c r="UMQ54" s="196"/>
      <c r="UMR54" s="196"/>
      <c r="UMS54" s="196"/>
      <c r="UMT54" s="196"/>
      <c r="UMU54" s="196"/>
      <c r="UMV54" s="196"/>
      <c r="UMW54" s="196"/>
      <c r="UMX54" s="196"/>
      <c r="UMY54" s="196"/>
      <c r="UMZ54" s="196"/>
      <c r="UNA54" s="196"/>
      <c r="UNB54" s="196"/>
      <c r="UNC54" s="196"/>
      <c r="UND54" s="196"/>
      <c r="UNE54" s="196"/>
      <c r="UNF54" s="196"/>
      <c r="UNG54" s="196"/>
      <c r="UNH54" s="196"/>
      <c r="UNI54" s="196"/>
      <c r="UNJ54" s="196"/>
      <c r="UNK54" s="196"/>
      <c r="UNL54" s="196"/>
      <c r="UNM54" s="196"/>
      <c r="UNN54" s="196"/>
      <c r="UNO54" s="196"/>
      <c r="UNP54" s="196"/>
      <c r="UNQ54" s="196"/>
      <c r="UNR54" s="196"/>
      <c r="UNS54" s="196"/>
      <c r="UNT54" s="196"/>
      <c r="UNU54" s="196"/>
      <c r="UNV54" s="196"/>
      <c r="UNW54" s="196"/>
      <c r="UNX54" s="196"/>
      <c r="UNY54" s="196"/>
      <c r="UNZ54" s="196"/>
      <c r="UOA54" s="196"/>
      <c r="UOB54" s="196"/>
      <c r="UOC54" s="196"/>
      <c r="UOD54" s="196"/>
      <c r="UOE54" s="196"/>
      <c r="UOF54" s="196"/>
      <c r="UOG54" s="196"/>
      <c r="UOH54" s="196"/>
      <c r="UOI54" s="196"/>
      <c r="UOJ54" s="196"/>
      <c r="UOK54" s="196"/>
      <c r="UOL54" s="196"/>
      <c r="UOM54" s="196"/>
      <c r="UON54" s="196"/>
      <c r="UOO54" s="196"/>
      <c r="UOP54" s="196"/>
      <c r="UOQ54" s="196"/>
      <c r="UOR54" s="196"/>
      <c r="UOS54" s="196"/>
      <c r="UOT54" s="196"/>
      <c r="UOU54" s="196"/>
      <c r="UOV54" s="196"/>
      <c r="UOW54" s="196"/>
      <c r="UOX54" s="196"/>
      <c r="UOY54" s="196"/>
      <c r="UOZ54" s="196"/>
      <c r="UPA54" s="196"/>
      <c r="UPB54" s="196"/>
      <c r="UPC54" s="196"/>
      <c r="UPD54" s="196"/>
      <c r="UPE54" s="196"/>
      <c r="UPF54" s="196"/>
      <c r="UPG54" s="196"/>
      <c r="UPH54" s="196"/>
      <c r="UPI54" s="196"/>
      <c r="UPJ54" s="196"/>
      <c r="UPK54" s="196"/>
      <c r="UPL54" s="196"/>
      <c r="UPM54" s="196"/>
      <c r="UPN54" s="196"/>
      <c r="UPO54" s="196"/>
      <c r="UPP54" s="196"/>
      <c r="UPQ54" s="196"/>
      <c r="UPR54" s="196"/>
      <c r="UPS54" s="196"/>
      <c r="UPT54" s="196"/>
      <c r="UPU54" s="196"/>
      <c r="UPV54" s="196"/>
      <c r="UPW54" s="196"/>
      <c r="UPX54" s="196"/>
      <c r="UPY54" s="196"/>
      <c r="UPZ54" s="196"/>
      <c r="UQA54" s="196"/>
      <c r="UQB54" s="196"/>
      <c r="UQC54" s="196"/>
      <c r="UQD54" s="196"/>
      <c r="UQE54" s="196"/>
      <c r="UQF54" s="196"/>
      <c r="UQG54" s="196"/>
      <c r="UQH54" s="196"/>
      <c r="UQI54" s="196"/>
      <c r="UQJ54" s="196"/>
      <c r="UQK54" s="196"/>
      <c r="UQL54" s="196"/>
      <c r="UQM54" s="196"/>
      <c r="UQN54" s="196"/>
      <c r="UQO54" s="196"/>
      <c r="UQP54" s="196"/>
      <c r="UQQ54" s="196"/>
      <c r="UQR54" s="196"/>
      <c r="UQS54" s="196"/>
      <c r="UQT54" s="196"/>
      <c r="UQU54" s="196"/>
      <c r="UQV54" s="196"/>
      <c r="UQW54" s="196"/>
      <c r="UQX54" s="196"/>
      <c r="UQY54" s="196"/>
      <c r="UQZ54" s="196"/>
      <c r="URA54" s="196"/>
      <c r="URB54" s="196"/>
      <c r="URC54" s="196"/>
      <c r="URD54" s="196"/>
      <c r="URE54" s="196"/>
      <c r="URF54" s="196"/>
      <c r="URG54" s="196"/>
      <c r="URH54" s="196"/>
      <c r="URI54" s="196"/>
      <c r="URJ54" s="196"/>
      <c r="URK54" s="196"/>
      <c r="URL54" s="196"/>
      <c r="URM54" s="196"/>
      <c r="URN54" s="196"/>
      <c r="URO54" s="196"/>
      <c r="URP54" s="196"/>
      <c r="URQ54" s="196"/>
      <c r="URR54" s="196"/>
      <c r="URS54" s="196"/>
      <c r="URT54" s="196"/>
      <c r="URU54" s="196"/>
      <c r="URV54" s="196"/>
      <c r="URW54" s="196"/>
      <c r="URX54" s="196"/>
      <c r="URY54" s="196"/>
      <c r="URZ54" s="196"/>
      <c r="USA54" s="196"/>
      <c r="USB54" s="196"/>
      <c r="USC54" s="196"/>
      <c r="USD54" s="196"/>
      <c r="USE54" s="196"/>
      <c r="USF54" s="196"/>
      <c r="USG54" s="196"/>
      <c r="USH54" s="196"/>
      <c r="USI54" s="196"/>
      <c r="USJ54" s="196"/>
      <c r="USK54" s="196"/>
      <c r="USL54" s="196"/>
      <c r="USM54" s="196"/>
      <c r="USN54" s="196"/>
      <c r="USO54" s="196"/>
      <c r="USP54" s="196"/>
      <c r="USQ54" s="196"/>
      <c r="USR54" s="196"/>
      <c r="USS54" s="196"/>
      <c r="UST54" s="196"/>
      <c r="USU54" s="196"/>
      <c r="USV54" s="196"/>
      <c r="USW54" s="196"/>
      <c r="USX54" s="196"/>
      <c r="USY54" s="196"/>
      <c r="USZ54" s="196"/>
      <c r="UTA54" s="196"/>
      <c r="UTB54" s="196"/>
      <c r="UTC54" s="196"/>
      <c r="UTD54" s="196"/>
      <c r="UTE54" s="196"/>
      <c r="UTF54" s="196"/>
      <c r="UTG54" s="196"/>
      <c r="UTH54" s="196"/>
      <c r="UTI54" s="196"/>
      <c r="UTJ54" s="196"/>
      <c r="UTK54" s="196"/>
      <c r="UTL54" s="196"/>
      <c r="UTM54" s="196"/>
      <c r="UTN54" s="196"/>
      <c r="UTO54" s="196"/>
      <c r="UTP54" s="196"/>
      <c r="UTQ54" s="196"/>
      <c r="UTR54" s="196"/>
      <c r="UTS54" s="196"/>
      <c r="UTT54" s="196"/>
      <c r="UTU54" s="196"/>
      <c r="UTV54" s="196"/>
      <c r="UTW54" s="196"/>
      <c r="UTX54" s="196"/>
      <c r="UTY54" s="196"/>
      <c r="UTZ54" s="196"/>
      <c r="UUA54" s="196"/>
      <c r="UUB54" s="196"/>
      <c r="UUC54" s="196"/>
      <c r="UUD54" s="196"/>
      <c r="UUE54" s="196"/>
      <c r="UUF54" s="196"/>
      <c r="UUG54" s="196"/>
      <c r="UUH54" s="196"/>
      <c r="UUI54" s="196"/>
      <c r="UUJ54" s="196"/>
      <c r="UUK54" s="196"/>
      <c r="UUL54" s="196"/>
      <c r="UUM54" s="196"/>
      <c r="UUN54" s="196"/>
      <c r="UUO54" s="196"/>
      <c r="UUP54" s="196"/>
      <c r="UUQ54" s="196"/>
      <c r="UUR54" s="196"/>
      <c r="UUS54" s="196"/>
      <c r="UUT54" s="196"/>
      <c r="UUU54" s="196"/>
      <c r="UUV54" s="196"/>
      <c r="UUW54" s="196"/>
      <c r="UUX54" s="196"/>
      <c r="UUY54" s="196"/>
      <c r="UUZ54" s="196"/>
      <c r="UVA54" s="196"/>
      <c r="UVB54" s="196"/>
      <c r="UVC54" s="196"/>
      <c r="UVD54" s="196"/>
      <c r="UVE54" s="196"/>
      <c r="UVF54" s="196"/>
      <c r="UVG54" s="196"/>
      <c r="UVH54" s="196"/>
      <c r="UVI54" s="196"/>
      <c r="UVJ54" s="196"/>
      <c r="UVK54" s="196"/>
      <c r="UVL54" s="196"/>
      <c r="UVM54" s="196"/>
      <c r="UVN54" s="196"/>
      <c r="UVO54" s="196"/>
      <c r="UVP54" s="196"/>
      <c r="UVQ54" s="196"/>
      <c r="UVR54" s="196"/>
      <c r="UVS54" s="196"/>
      <c r="UVT54" s="196"/>
      <c r="UVU54" s="196"/>
      <c r="UVV54" s="196"/>
      <c r="UVW54" s="196"/>
      <c r="UVX54" s="196"/>
      <c r="UVY54" s="196"/>
      <c r="UVZ54" s="196"/>
      <c r="UWA54" s="196"/>
      <c r="UWB54" s="196"/>
      <c r="UWC54" s="196"/>
      <c r="UWD54" s="196"/>
      <c r="UWE54" s="196"/>
      <c r="UWF54" s="196"/>
      <c r="UWG54" s="196"/>
      <c r="UWH54" s="196"/>
      <c r="UWI54" s="196"/>
      <c r="UWJ54" s="196"/>
      <c r="UWK54" s="196"/>
      <c r="UWL54" s="196"/>
      <c r="UWM54" s="196"/>
      <c r="UWN54" s="196"/>
      <c r="UWO54" s="196"/>
      <c r="UWP54" s="196"/>
      <c r="UWQ54" s="196"/>
      <c r="UWR54" s="196"/>
      <c r="UWS54" s="196"/>
      <c r="UWT54" s="196"/>
      <c r="UWU54" s="196"/>
      <c r="UWV54" s="196"/>
      <c r="UWW54" s="196"/>
      <c r="UWX54" s="196"/>
      <c r="UWY54" s="196"/>
      <c r="UWZ54" s="196"/>
      <c r="UXA54" s="196"/>
      <c r="UXB54" s="196"/>
      <c r="UXC54" s="196"/>
      <c r="UXD54" s="196"/>
      <c r="UXE54" s="196"/>
      <c r="UXF54" s="196"/>
      <c r="UXG54" s="196"/>
      <c r="UXH54" s="196"/>
      <c r="UXI54" s="196"/>
      <c r="UXJ54" s="196"/>
      <c r="UXK54" s="196"/>
      <c r="UXL54" s="196"/>
      <c r="UXM54" s="196"/>
      <c r="UXN54" s="196"/>
      <c r="UXO54" s="196"/>
      <c r="UXP54" s="196"/>
      <c r="UXQ54" s="196"/>
      <c r="UXR54" s="196"/>
      <c r="UXS54" s="196"/>
      <c r="UXT54" s="196"/>
      <c r="UXU54" s="196"/>
      <c r="UXV54" s="196"/>
      <c r="UXW54" s="196"/>
      <c r="UXX54" s="196"/>
      <c r="UXY54" s="196"/>
      <c r="UXZ54" s="196"/>
      <c r="UYA54" s="196"/>
      <c r="UYB54" s="196"/>
      <c r="UYC54" s="196"/>
      <c r="UYD54" s="196"/>
      <c r="UYE54" s="196"/>
      <c r="UYF54" s="196"/>
      <c r="UYG54" s="196"/>
      <c r="UYH54" s="196"/>
      <c r="UYI54" s="196"/>
      <c r="UYJ54" s="196"/>
      <c r="UYK54" s="196"/>
      <c r="UYL54" s="196"/>
      <c r="UYM54" s="196"/>
      <c r="UYN54" s="196"/>
      <c r="UYO54" s="196"/>
      <c r="UYP54" s="196"/>
      <c r="UYQ54" s="196"/>
      <c r="UYR54" s="196"/>
      <c r="UYS54" s="196"/>
      <c r="UYT54" s="196"/>
      <c r="UYU54" s="196"/>
      <c r="UYV54" s="196"/>
      <c r="UYW54" s="196"/>
      <c r="UYX54" s="196"/>
      <c r="UYY54" s="196"/>
      <c r="UYZ54" s="196"/>
      <c r="UZA54" s="196"/>
      <c r="UZB54" s="196"/>
      <c r="UZC54" s="196"/>
      <c r="UZD54" s="196"/>
      <c r="UZE54" s="196"/>
      <c r="UZF54" s="196"/>
      <c r="UZG54" s="196"/>
      <c r="UZH54" s="196"/>
      <c r="UZI54" s="196"/>
      <c r="UZJ54" s="196"/>
      <c r="UZK54" s="196"/>
      <c r="UZL54" s="196"/>
      <c r="UZM54" s="196"/>
      <c r="UZN54" s="196"/>
      <c r="UZO54" s="196"/>
      <c r="UZP54" s="196"/>
      <c r="UZQ54" s="196"/>
      <c r="UZR54" s="196"/>
      <c r="UZS54" s="196"/>
      <c r="UZT54" s="196"/>
      <c r="UZU54" s="196"/>
      <c r="UZV54" s="196"/>
      <c r="UZW54" s="196"/>
      <c r="UZX54" s="196"/>
      <c r="UZY54" s="196"/>
      <c r="UZZ54" s="196"/>
      <c r="VAA54" s="196"/>
      <c r="VAB54" s="196"/>
      <c r="VAC54" s="196"/>
      <c r="VAD54" s="196"/>
      <c r="VAE54" s="196"/>
      <c r="VAF54" s="196"/>
      <c r="VAG54" s="196"/>
      <c r="VAH54" s="196"/>
      <c r="VAI54" s="196"/>
      <c r="VAJ54" s="196"/>
      <c r="VAK54" s="196"/>
      <c r="VAL54" s="196"/>
      <c r="VAM54" s="196"/>
      <c r="VAN54" s="196"/>
      <c r="VAO54" s="196"/>
      <c r="VAP54" s="196"/>
      <c r="VAQ54" s="196"/>
      <c r="VAR54" s="196"/>
      <c r="VAS54" s="196"/>
      <c r="VAT54" s="196"/>
      <c r="VAU54" s="196"/>
      <c r="VAV54" s="196"/>
      <c r="VAW54" s="196"/>
      <c r="VAX54" s="196"/>
      <c r="VAY54" s="196"/>
      <c r="VAZ54" s="196"/>
      <c r="VBA54" s="196"/>
      <c r="VBB54" s="196"/>
      <c r="VBC54" s="196"/>
      <c r="VBD54" s="196"/>
      <c r="VBE54" s="196"/>
      <c r="VBF54" s="196"/>
      <c r="VBG54" s="196"/>
      <c r="VBH54" s="196"/>
      <c r="VBI54" s="196"/>
      <c r="VBJ54" s="196"/>
      <c r="VBK54" s="196"/>
      <c r="VBL54" s="196"/>
      <c r="VBM54" s="196"/>
      <c r="VBN54" s="196"/>
      <c r="VBO54" s="196"/>
      <c r="VBP54" s="196"/>
      <c r="VBQ54" s="196"/>
      <c r="VBR54" s="196"/>
      <c r="VBS54" s="196"/>
      <c r="VBT54" s="196"/>
      <c r="VBU54" s="196"/>
      <c r="VBV54" s="196"/>
      <c r="VBW54" s="196"/>
      <c r="VBX54" s="196"/>
      <c r="VBY54" s="196"/>
      <c r="VBZ54" s="196"/>
      <c r="VCA54" s="196"/>
      <c r="VCB54" s="196"/>
      <c r="VCC54" s="196"/>
      <c r="VCD54" s="196"/>
      <c r="VCE54" s="196"/>
      <c r="VCF54" s="196"/>
      <c r="VCG54" s="196"/>
      <c r="VCH54" s="196"/>
      <c r="VCI54" s="196"/>
      <c r="VCJ54" s="196"/>
      <c r="VCK54" s="196"/>
      <c r="VCL54" s="196"/>
      <c r="VCM54" s="196"/>
      <c r="VCN54" s="196"/>
      <c r="VCO54" s="196"/>
      <c r="VCP54" s="196"/>
      <c r="VCQ54" s="196"/>
      <c r="VCR54" s="196"/>
      <c r="VCS54" s="196"/>
      <c r="VCT54" s="196"/>
      <c r="VCU54" s="196"/>
      <c r="VCV54" s="196"/>
      <c r="VCW54" s="196"/>
      <c r="VCX54" s="196"/>
      <c r="VCY54" s="196"/>
      <c r="VCZ54" s="196"/>
      <c r="VDA54" s="196"/>
      <c r="VDB54" s="196"/>
      <c r="VDC54" s="196"/>
      <c r="VDD54" s="196"/>
      <c r="VDE54" s="196"/>
      <c r="VDF54" s="196"/>
      <c r="VDG54" s="196"/>
      <c r="VDH54" s="196"/>
      <c r="VDI54" s="196"/>
      <c r="VDJ54" s="196"/>
      <c r="VDK54" s="196"/>
      <c r="VDL54" s="196"/>
      <c r="VDM54" s="196"/>
      <c r="VDN54" s="196"/>
      <c r="VDO54" s="196"/>
      <c r="VDP54" s="196"/>
      <c r="VDQ54" s="196"/>
      <c r="VDR54" s="196"/>
      <c r="VDS54" s="196"/>
      <c r="VDT54" s="196"/>
      <c r="VDU54" s="196"/>
      <c r="VDV54" s="196"/>
      <c r="VDW54" s="196"/>
      <c r="VDX54" s="196"/>
      <c r="VDY54" s="196"/>
      <c r="VDZ54" s="196"/>
      <c r="VEA54" s="196"/>
      <c r="VEB54" s="196"/>
      <c r="VEC54" s="196"/>
      <c r="VED54" s="196"/>
      <c r="VEE54" s="196"/>
      <c r="VEF54" s="196"/>
      <c r="VEG54" s="196"/>
      <c r="VEH54" s="196"/>
      <c r="VEI54" s="196"/>
      <c r="VEJ54" s="196"/>
      <c r="VEK54" s="196"/>
      <c r="VEL54" s="196"/>
      <c r="VEM54" s="196"/>
      <c r="VEN54" s="196"/>
      <c r="VEO54" s="196"/>
      <c r="VEP54" s="196"/>
      <c r="VEQ54" s="196"/>
      <c r="VER54" s="196"/>
      <c r="VES54" s="196"/>
      <c r="VET54" s="196"/>
      <c r="VEU54" s="196"/>
      <c r="VEV54" s="196"/>
      <c r="VEW54" s="196"/>
      <c r="VEX54" s="196"/>
      <c r="VEY54" s="196"/>
      <c r="VEZ54" s="196"/>
      <c r="VFA54" s="196"/>
      <c r="VFB54" s="196"/>
      <c r="VFC54" s="196"/>
      <c r="VFD54" s="196"/>
      <c r="VFE54" s="196"/>
      <c r="VFF54" s="196"/>
      <c r="VFG54" s="196"/>
      <c r="VFH54" s="196"/>
      <c r="VFI54" s="196"/>
      <c r="VFJ54" s="196"/>
      <c r="VFK54" s="196"/>
      <c r="VFL54" s="196"/>
      <c r="VFM54" s="196"/>
      <c r="VFN54" s="196"/>
      <c r="VFO54" s="196"/>
      <c r="VFP54" s="196"/>
      <c r="VFQ54" s="196"/>
      <c r="VFR54" s="196"/>
      <c r="VFS54" s="196"/>
      <c r="VFT54" s="196"/>
      <c r="VFU54" s="196"/>
      <c r="VFV54" s="196"/>
      <c r="VFW54" s="196"/>
      <c r="VFX54" s="196"/>
      <c r="VFY54" s="196"/>
      <c r="VFZ54" s="196"/>
      <c r="VGA54" s="196"/>
      <c r="VGB54" s="196"/>
      <c r="VGC54" s="196"/>
      <c r="VGD54" s="196"/>
      <c r="VGE54" s="196"/>
      <c r="VGF54" s="196"/>
      <c r="VGG54" s="196"/>
      <c r="VGH54" s="196"/>
      <c r="VGI54" s="196"/>
      <c r="VGJ54" s="196"/>
      <c r="VGK54" s="196"/>
      <c r="VGL54" s="196"/>
      <c r="VGM54" s="196"/>
      <c r="VGN54" s="196"/>
      <c r="VGO54" s="196"/>
      <c r="VGP54" s="196"/>
      <c r="VGQ54" s="196"/>
      <c r="VGR54" s="196"/>
      <c r="VGS54" s="196"/>
      <c r="VGT54" s="196"/>
      <c r="VGU54" s="196"/>
      <c r="VGV54" s="196"/>
      <c r="VGW54" s="196"/>
      <c r="VGX54" s="196"/>
      <c r="VGY54" s="196"/>
      <c r="VGZ54" s="196"/>
      <c r="VHA54" s="196"/>
      <c r="VHB54" s="196"/>
      <c r="VHC54" s="196"/>
      <c r="VHD54" s="196"/>
      <c r="VHE54" s="196"/>
      <c r="VHF54" s="196"/>
      <c r="VHG54" s="196"/>
      <c r="VHH54" s="196"/>
      <c r="VHI54" s="196"/>
      <c r="VHJ54" s="196"/>
      <c r="VHK54" s="196"/>
      <c r="VHL54" s="196"/>
      <c r="VHM54" s="196"/>
      <c r="VHN54" s="196"/>
      <c r="VHO54" s="196"/>
      <c r="VHP54" s="196"/>
      <c r="VHQ54" s="196"/>
      <c r="VHR54" s="196"/>
      <c r="VHS54" s="196"/>
      <c r="VHT54" s="196"/>
      <c r="VHU54" s="196"/>
      <c r="VHV54" s="196"/>
      <c r="VHW54" s="196"/>
      <c r="VHX54" s="196"/>
      <c r="VHY54" s="196"/>
      <c r="VHZ54" s="196"/>
      <c r="VIA54" s="196"/>
      <c r="VIB54" s="196"/>
      <c r="VIC54" s="196"/>
      <c r="VID54" s="196"/>
      <c r="VIE54" s="196"/>
      <c r="VIF54" s="196"/>
      <c r="VIG54" s="196"/>
      <c r="VIH54" s="196"/>
      <c r="VII54" s="196"/>
      <c r="VIJ54" s="196"/>
      <c r="VIK54" s="196"/>
      <c r="VIL54" s="196"/>
      <c r="VIM54" s="196"/>
      <c r="VIN54" s="196"/>
      <c r="VIO54" s="196"/>
      <c r="VIP54" s="196"/>
      <c r="VIQ54" s="196"/>
      <c r="VIR54" s="196"/>
      <c r="VIS54" s="196"/>
      <c r="VIT54" s="196"/>
      <c r="VIU54" s="196"/>
      <c r="VIV54" s="196"/>
      <c r="VIW54" s="196"/>
      <c r="VIX54" s="196"/>
      <c r="VIY54" s="196"/>
      <c r="VIZ54" s="196"/>
      <c r="VJA54" s="196"/>
      <c r="VJB54" s="196"/>
      <c r="VJC54" s="196"/>
      <c r="VJD54" s="196"/>
      <c r="VJE54" s="196"/>
      <c r="VJF54" s="196"/>
      <c r="VJG54" s="196"/>
      <c r="VJH54" s="196"/>
      <c r="VJI54" s="196"/>
      <c r="VJJ54" s="196"/>
      <c r="VJK54" s="196"/>
      <c r="VJL54" s="196"/>
      <c r="VJM54" s="196"/>
      <c r="VJN54" s="196"/>
      <c r="VJO54" s="196"/>
      <c r="VJP54" s="196"/>
      <c r="VJQ54" s="196"/>
      <c r="VJR54" s="196"/>
      <c r="VJS54" s="196"/>
      <c r="VJT54" s="196"/>
      <c r="VJU54" s="196"/>
      <c r="VJV54" s="196"/>
      <c r="VJW54" s="196"/>
      <c r="VJX54" s="196"/>
      <c r="VJY54" s="196"/>
      <c r="VJZ54" s="196"/>
      <c r="VKA54" s="196"/>
      <c r="VKB54" s="196"/>
      <c r="VKC54" s="196"/>
      <c r="VKD54" s="196"/>
      <c r="VKE54" s="196"/>
      <c r="VKF54" s="196"/>
      <c r="VKG54" s="196"/>
      <c r="VKH54" s="196"/>
      <c r="VKI54" s="196"/>
      <c r="VKJ54" s="196"/>
      <c r="VKK54" s="196"/>
      <c r="VKL54" s="196"/>
      <c r="VKM54" s="196"/>
      <c r="VKN54" s="196"/>
      <c r="VKO54" s="196"/>
      <c r="VKP54" s="196"/>
      <c r="VKQ54" s="196"/>
      <c r="VKR54" s="196"/>
      <c r="VKS54" s="196"/>
      <c r="VKT54" s="196"/>
      <c r="VKU54" s="196"/>
      <c r="VKV54" s="196"/>
      <c r="VKW54" s="196"/>
      <c r="VKX54" s="196"/>
      <c r="VKY54" s="196"/>
      <c r="VKZ54" s="196"/>
      <c r="VLA54" s="196"/>
      <c r="VLB54" s="196"/>
      <c r="VLC54" s="196"/>
      <c r="VLD54" s="196"/>
      <c r="VLE54" s="196"/>
      <c r="VLF54" s="196"/>
      <c r="VLG54" s="196"/>
      <c r="VLH54" s="196"/>
      <c r="VLI54" s="196"/>
      <c r="VLJ54" s="196"/>
      <c r="VLK54" s="196"/>
      <c r="VLL54" s="196"/>
      <c r="VLM54" s="196"/>
      <c r="VLN54" s="196"/>
      <c r="VLO54" s="196"/>
      <c r="VLP54" s="196"/>
      <c r="VLQ54" s="196"/>
      <c r="VLR54" s="196"/>
      <c r="VLS54" s="196"/>
      <c r="VLT54" s="196"/>
      <c r="VLU54" s="196"/>
      <c r="VLV54" s="196"/>
      <c r="VLW54" s="196"/>
      <c r="VLX54" s="196"/>
      <c r="VLY54" s="196"/>
      <c r="VLZ54" s="196"/>
      <c r="VMA54" s="196"/>
      <c r="VMB54" s="196"/>
      <c r="VMC54" s="196"/>
      <c r="VMD54" s="196"/>
      <c r="VME54" s="196"/>
      <c r="VMF54" s="196"/>
      <c r="VMG54" s="196"/>
      <c r="VMH54" s="196"/>
      <c r="VMI54" s="196"/>
      <c r="VMJ54" s="196"/>
      <c r="VMK54" s="196"/>
      <c r="VML54" s="196"/>
      <c r="VMM54" s="196"/>
      <c r="VMN54" s="196"/>
      <c r="VMO54" s="196"/>
      <c r="VMP54" s="196"/>
      <c r="VMQ54" s="196"/>
      <c r="VMR54" s="196"/>
      <c r="VMS54" s="196"/>
      <c r="VMT54" s="196"/>
      <c r="VMU54" s="196"/>
      <c r="VMV54" s="196"/>
      <c r="VMW54" s="196"/>
      <c r="VMX54" s="196"/>
      <c r="VMY54" s="196"/>
      <c r="VMZ54" s="196"/>
      <c r="VNA54" s="196"/>
      <c r="VNB54" s="196"/>
      <c r="VNC54" s="196"/>
      <c r="VND54" s="196"/>
      <c r="VNE54" s="196"/>
      <c r="VNF54" s="196"/>
      <c r="VNG54" s="196"/>
      <c r="VNH54" s="196"/>
      <c r="VNI54" s="196"/>
      <c r="VNJ54" s="196"/>
      <c r="VNK54" s="196"/>
      <c r="VNL54" s="196"/>
      <c r="VNM54" s="196"/>
      <c r="VNN54" s="196"/>
      <c r="VNO54" s="196"/>
      <c r="VNP54" s="196"/>
      <c r="VNQ54" s="196"/>
      <c r="VNR54" s="196"/>
      <c r="VNS54" s="196"/>
      <c r="VNT54" s="196"/>
      <c r="VNU54" s="196"/>
      <c r="VNV54" s="196"/>
      <c r="VNW54" s="196"/>
      <c r="VNX54" s="196"/>
      <c r="VNY54" s="196"/>
      <c r="VNZ54" s="196"/>
      <c r="VOA54" s="196"/>
      <c r="VOB54" s="196"/>
      <c r="VOC54" s="196"/>
      <c r="VOD54" s="196"/>
      <c r="VOE54" s="196"/>
      <c r="VOF54" s="196"/>
      <c r="VOG54" s="196"/>
      <c r="VOH54" s="196"/>
      <c r="VOI54" s="196"/>
      <c r="VOJ54" s="196"/>
      <c r="VOK54" s="196"/>
      <c r="VOL54" s="196"/>
      <c r="VOM54" s="196"/>
      <c r="VON54" s="196"/>
      <c r="VOO54" s="196"/>
      <c r="VOP54" s="196"/>
      <c r="VOQ54" s="196"/>
      <c r="VOR54" s="196"/>
      <c r="VOS54" s="196"/>
      <c r="VOT54" s="196"/>
      <c r="VOU54" s="196"/>
      <c r="VOV54" s="196"/>
      <c r="VOW54" s="196"/>
      <c r="VOX54" s="196"/>
      <c r="VOY54" s="196"/>
      <c r="VOZ54" s="196"/>
      <c r="VPA54" s="196"/>
      <c r="VPB54" s="196"/>
      <c r="VPC54" s="196"/>
      <c r="VPD54" s="196"/>
      <c r="VPE54" s="196"/>
      <c r="VPF54" s="196"/>
      <c r="VPG54" s="196"/>
      <c r="VPH54" s="196"/>
      <c r="VPI54" s="196"/>
      <c r="VPJ54" s="196"/>
      <c r="VPK54" s="196"/>
      <c r="VPL54" s="196"/>
      <c r="VPM54" s="196"/>
      <c r="VPN54" s="196"/>
      <c r="VPO54" s="196"/>
      <c r="VPP54" s="196"/>
      <c r="VPQ54" s="196"/>
      <c r="VPR54" s="196"/>
      <c r="VPS54" s="196"/>
      <c r="VPT54" s="196"/>
      <c r="VPU54" s="196"/>
      <c r="VPV54" s="196"/>
      <c r="VPW54" s="196"/>
      <c r="VPX54" s="196"/>
      <c r="VPY54" s="196"/>
      <c r="VPZ54" s="196"/>
      <c r="VQA54" s="196"/>
      <c r="VQB54" s="196"/>
      <c r="VQC54" s="196"/>
      <c r="VQD54" s="196"/>
      <c r="VQE54" s="196"/>
      <c r="VQF54" s="196"/>
      <c r="VQG54" s="196"/>
      <c r="VQH54" s="196"/>
      <c r="VQI54" s="196"/>
      <c r="VQJ54" s="196"/>
      <c r="VQK54" s="196"/>
      <c r="VQL54" s="196"/>
      <c r="VQM54" s="196"/>
      <c r="VQN54" s="196"/>
      <c r="VQO54" s="196"/>
      <c r="VQP54" s="196"/>
      <c r="VQQ54" s="196"/>
      <c r="VQR54" s="196"/>
      <c r="VQS54" s="196"/>
      <c r="VQT54" s="196"/>
      <c r="VQU54" s="196"/>
      <c r="VQV54" s="196"/>
      <c r="VQW54" s="196"/>
      <c r="VQX54" s="196"/>
      <c r="VQY54" s="196"/>
      <c r="VQZ54" s="196"/>
      <c r="VRA54" s="196"/>
      <c r="VRB54" s="196"/>
      <c r="VRC54" s="196"/>
      <c r="VRD54" s="196"/>
      <c r="VRE54" s="196"/>
      <c r="VRF54" s="196"/>
      <c r="VRG54" s="196"/>
      <c r="VRH54" s="196"/>
      <c r="VRI54" s="196"/>
      <c r="VRJ54" s="196"/>
      <c r="VRK54" s="196"/>
      <c r="VRL54" s="196"/>
      <c r="VRM54" s="196"/>
      <c r="VRN54" s="196"/>
      <c r="VRO54" s="196"/>
      <c r="VRP54" s="196"/>
      <c r="VRQ54" s="196"/>
      <c r="VRR54" s="196"/>
      <c r="VRS54" s="196"/>
      <c r="VRT54" s="196"/>
      <c r="VRU54" s="196"/>
      <c r="VRV54" s="196"/>
      <c r="VRW54" s="196"/>
      <c r="VRX54" s="196"/>
      <c r="VRY54" s="196"/>
      <c r="VRZ54" s="196"/>
      <c r="VSA54" s="196"/>
      <c r="VSB54" s="196"/>
      <c r="VSC54" s="196"/>
      <c r="VSD54" s="196"/>
      <c r="VSE54" s="196"/>
      <c r="VSF54" s="196"/>
      <c r="VSG54" s="196"/>
      <c r="VSH54" s="196"/>
      <c r="VSI54" s="196"/>
      <c r="VSJ54" s="196"/>
      <c r="VSK54" s="196"/>
      <c r="VSL54" s="196"/>
      <c r="VSM54" s="196"/>
      <c r="VSN54" s="196"/>
      <c r="VSO54" s="196"/>
      <c r="VSP54" s="196"/>
      <c r="VSQ54" s="196"/>
      <c r="VSR54" s="196"/>
      <c r="VSS54" s="196"/>
      <c r="VST54" s="196"/>
      <c r="VSU54" s="196"/>
      <c r="VSV54" s="196"/>
      <c r="VSW54" s="196"/>
      <c r="VSX54" s="196"/>
      <c r="VSY54" s="196"/>
      <c r="VSZ54" s="196"/>
      <c r="VTA54" s="196"/>
      <c r="VTB54" s="196"/>
      <c r="VTC54" s="196"/>
      <c r="VTD54" s="196"/>
      <c r="VTE54" s="196"/>
      <c r="VTF54" s="196"/>
      <c r="VTG54" s="196"/>
      <c r="VTH54" s="196"/>
      <c r="VTI54" s="196"/>
      <c r="VTJ54" s="196"/>
      <c r="VTK54" s="196"/>
      <c r="VTL54" s="196"/>
      <c r="VTM54" s="196"/>
      <c r="VTN54" s="196"/>
      <c r="VTO54" s="196"/>
      <c r="VTP54" s="196"/>
      <c r="VTQ54" s="196"/>
      <c r="VTR54" s="196"/>
      <c r="VTS54" s="196"/>
      <c r="VTT54" s="196"/>
      <c r="VTU54" s="196"/>
      <c r="VTV54" s="196"/>
      <c r="VTW54" s="196"/>
      <c r="VTX54" s="196"/>
      <c r="VTY54" s="196"/>
      <c r="VTZ54" s="196"/>
      <c r="VUA54" s="196"/>
      <c r="VUB54" s="196"/>
      <c r="VUC54" s="196"/>
      <c r="VUD54" s="196"/>
      <c r="VUE54" s="196"/>
      <c r="VUF54" s="196"/>
      <c r="VUG54" s="196"/>
      <c r="VUH54" s="196"/>
      <c r="VUI54" s="196"/>
      <c r="VUJ54" s="196"/>
      <c r="VUK54" s="196"/>
      <c r="VUL54" s="196"/>
      <c r="VUM54" s="196"/>
      <c r="VUN54" s="196"/>
      <c r="VUO54" s="196"/>
      <c r="VUP54" s="196"/>
      <c r="VUQ54" s="196"/>
      <c r="VUR54" s="196"/>
      <c r="VUS54" s="196"/>
      <c r="VUT54" s="196"/>
      <c r="VUU54" s="196"/>
      <c r="VUV54" s="196"/>
      <c r="VUW54" s="196"/>
      <c r="VUX54" s="196"/>
      <c r="VUY54" s="196"/>
      <c r="VUZ54" s="196"/>
      <c r="VVA54" s="196"/>
      <c r="VVB54" s="196"/>
      <c r="VVC54" s="196"/>
      <c r="VVD54" s="196"/>
      <c r="VVE54" s="196"/>
      <c r="VVF54" s="196"/>
      <c r="VVG54" s="196"/>
      <c r="VVH54" s="196"/>
      <c r="VVI54" s="196"/>
      <c r="VVJ54" s="196"/>
      <c r="VVK54" s="196"/>
      <c r="VVL54" s="196"/>
      <c r="VVM54" s="196"/>
      <c r="VVN54" s="196"/>
      <c r="VVO54" s="196"/>
      <c r="VVP54" s="196"/>
      <c r="VVQ54" s="196"/>
      <c r="VVR54" s="196"/>
      <c r="VVS54" s="196"/>
      <c r="VVT54" s="196"/>
      <c r="VVU54" s="196"/>
      <c r="VVV54" s="196"/>
      <c r="VVW54" s="196"/>
      <c r="VVX54" s="196"/>
      <c r="VVY54" s="196"/>
      <c r="VVZ54" s="196"/>
      <c r="VWA54" s="196"/>
      <c r="VWB54" s="196"/>
      <c r="VWC54" s="196"/>
      <c r="VWD54" s="196"/>
      <c r="VWE54" s="196"/>
      <c r="VWF54" s="196"/>
      <c r="VWG54" s="196"/>
      <c r="VWH54" s="196"/>
      <c r="VWI54" s="196"/>
      <c r="VWJ54" s="196"/>
      <c r="VWK54" s="196"/>
      <c r="VWL54" s="196"/>
      <c r="VWM54" s="196"/>
      <c r="VWN54" s="196"/>
      <c r="VWO54" s="196"/>
      <c r="VWP54" s="196"/>
      <c r="VWQ54" s="196"/>
      <c r="VWR54" s="196"/>
      <c r="VWS54" s="196"/>
      <c r="VWT54" s="196"/>
      <c r="VWU54" s="196"/>
      <c r="VWV54" s="196"/>
      <c r="VWW54" s="196"/>
      <c r="VWX54" s="196"/>
      <c r="VWY54" s="196"/>
      <c r="VWZ54" s="196"/>
      <c r="VXA54" s="196"/>
      <c r="VXB54" s="196"/>
      <c r="VXC54" s="196"/>
      <c r="VXD54" s="196"/>
      <c r="VXE54" s="196"/>
      <c r="VXF54" s="196"/>
      <c r="VXG54" s="196"/>
      <c r="VXH54" s="196"/>
      <c r="VXI54" s="196"/>
      <c r="VXJ54" s="196"/>
      <c r="VXK54" s="196"/>
      <c r="VXL54" s="196"/>
      <c r="VXM54" s="196"/>
      <c r="VXN54" s="196"/>
      <c r="VXO54" s="196"/>
      <c r="VXP54" s="196"/>
      <c r="VXQ54" s="196"/>
      <c r="VXR54" s="196"/>
      <c r="VXS54" s="196"/>
      <c r="VXT54" s="196"/>
      <c r="VXU54" s="196"/>
      <c r="VXV54" s="196"/>
      <c r="VXW54" s="196"/>
      <c r="VXX54" s="196"/>
      <c r="VXY54" s="196"/>
      <c r="VXZ54" s="196"/>
      <c r="VYA54" s="196"/>
      <c r="VYB54" s="196"/>
      <c r="VYC54" s="196"/>
      <c r="VYD54" s="196"/>
      <c r="VYE54" s="196"/>
      <c r="VYF54" s="196"/>
      <c r="VYG54" s="196"/>
      <c r="VYH54" s="196"/>
      <c r="VYI54" s="196"/>
      <c r="VYJ54" s="196"/>
      <c r="VYK54" s="196"/>
      <c r="VYL54" s="196"/>
      <c r="VYM54" s="196"/>
      <c r="VYN54" s="196"/>
      <c r="VYO54" s="196"/>
      <c r="VYP54" s="196"/>
      <c r="VYQ54" s="196"/>
      <c r="VYR54" s="196"/>
      <c r="VYS54" s="196"/>
      <c r="VYT54" s="196"/>
      <c r="VYU54" s="196"/>
      <c r="VYV54" s="196"/>
      <c r="VYW54" s="196"/>
      <c r="VYX54" s="196"/>
      <c r="VYY54" s="196"/>
      <c r="VYZ54" s="196"/>
      <c r="VZA54" s="196"/>
      <c r="VZB54" s="196"/>
      <c r="VZC54" s="196"/>
      <c r="VZD54" s="196"/>
      <c r="VZE54" s="196"/>
      <c r="VZF54" s="196"/>
      <c r="VZG54" s="196"/>
      <c r="VZH54" s="196"/>
      <c r="VZI54" s="196"/>
      <c r="VZJ54" s="196"/>
      <c r="VZK54" s="196"/>
      <c r="VZL54" s="196"/>
      <c r="VZM54" s="196"/>
      <c r="VZN54" s="196"/>
      <c r="VZO54" s="196"/>
      <c r="VZP54" s="196"/>
      <c r="VZQ54" s="196"/>
      <c r="VZR54" s="196"/>
      <c r="VZS54" s="196"/>
      <c r="VZT54" s="196"/>
      <c r="VZU54" s="196"/>
      <c r="VZV54" s="196"/>
      <c r="VZW54" s="196"/>
      <c r="VZX54" s="196"/>
      <c r="VZY54" s="196"/>
      <c r="VZZ54" s="196"/>
      <c r="WAA54" s="196"/>
      <c r="WAB54" s="196"/>
      <c r="WAC54" s="196"/>
      <c r="WAD54" s="196"/>
      <c r="WAE54" s="196"/>
      <c r="WAF54" s="196"/>
      <c r="WAG54" s="196"/>
      <c r="WAH54" s="196"/>
      <c r="WAI54" s="196"/>
      <c r="WAJ54" s="196"/>
      <c r="WAK54" s="196"/>
      <c r="WAL54" s="196"/>
      <c r="WAM54" s="196"/>
      <c r="WAN54" s="196"/>
      <c r="WAO54" s="196"/>
      <c r="WAP54" s="196"/>
      <c r="WAQ54" s="196"/>
      <c r="WAR54" s="196"/>
      <c r="WAS54" s="196"/>
      <c r="WAT54" s="196"/>
      <c r="WAU54" s="196"/>
      <c r="WAV54" s="196"/>
      <c r="WAW54" s="196"/>
      <c r="WAX54" s="196"/>
      <c r="WAY54" s="196"/>
      <c r="WAZ54" s="196"/>
      <c r="WBA54" s="196"/>
      <c r="WBB54" s="196"/>
      <c r="WBC54" s="196"/>
      <c r="WBD54" s="196"/>
      <c r="WBE54" s="196"/>
      <c r="WBF54" s="196"/>
      <c r="WBG54" s="196"/>
      <c r="WBH54" s="196"/>
      <c r="WBI54" s="196"/>
      <c r="WBJ54" s="196"/>
      <c r="WBK54" s="196"/>
      <c r="WBL54" s="196"/>
      <c r="WBM54" s="196"/>
      <c r="WBN54" s="196"/>
      <c r="WBO54" s="196"/>
      <c r="WBP54" s="196"/>
      <c r="WBQ54" s="196"/>
      <c r="WBR54" s="196"/>
      <c r="WBS54" s="196"/>
      <c r="WBT54" s="196"/>
      <c r="WBU54" s="196"/>
      <c r="WBV54" s="196"/>
      <c r="WBW54" s="196"/>
      <c r="WBX54" s="196"/>
      <c r="WBY54" s="196"/>
      <c r="WBZ54" s="196"/>
      <c r="WCA54" s="196"/>
      <c r="WCB54" s="196"/>
      <c r="WCC54" s="196"/>
      <c r="WCD54" s="196"/>
      <c r="WCE54" s="196"/>
      <c r="WCF54" s="196"/>
      <c r="WCG54" s="196"/>
      <c r="WCH54" s="196"/>
      <c r="WCI54" s="196"/>
      <c r="WCJ54" s="196"/>
      <c r="WCK54" s="196"/>
      <c r="WCL54" s="196"/>
      <c r="WCM54" s="196"/>
      <c r="WCN54" s="196"/>
      <c r="WCO54" s="196"/>
      <c r="WCP54" s="196"/>
      <c r="WCQ54" s="196"/>
      <c r="WCR54" s="196"/>
      <c r="WCS54" s="196"/>
      <c r="WCT54" s="196"/>
      <c r="WCU54" s="196"/>
      <c r="WCV54" s="196"/>
      <c r="WCW54" s="196"/>
      <c r="WCX54" s="196"/>
      <c r="WCY54" s="196"/>
      <c r="WCZ54" s="196"/>
      <c r="WDA54" s="196"/>
      <c r="WDB54" s="196"/>
      <c r="WDC54" s="196"/>
      <c r="WDD54" s="196"/>
      <c r="WDE54" s="196"/>
      <c r="WDF54" s="196"/>
      <c r="WDG54" s="196"/>
      <c r="WDH54" s="196"/>
      <c r="WDI54" s="196"/>
      <c r="WDJ54" s="196"/>
      <c r="WDK54" s="196"/>
      <c r="WDL54" s="196"/>
      <c r="WDM54" s="196"/>
      <c r="WDN54" s="196"/>
      <c r="WDO54" s="196"/>
      <c r="WDP54" s="196"/>
      <c r="WDQ54" s="196"/>
      <c r="WDR54" s="196"/>
      <c r="WDS54" s="196"/>
      <c r="WDT54" s="196"/>
      <c r="WDU54" s="196"/>
      <c r="WDV54" s="196"/>
      <c r="WDW54" s="196"/>
      <c r="WDX54" s="196"/>
      <c r="WDY54" s="196"/>
      <c r="WDZ54" s="196"/>
      <c r="WEA54" s="196"/>
      <c r="WEB54" s="196"/>
      <c r="WEC54" s="196"/>
      <c r="WED54" s="196"/>
      <c r="WEE54" s="196"/>
      <c r="WEF54" s="196"/>
      <c r="WEG54" s="196"/>
      <c r="WEH54" s="196"/>
      <c r="WEI54" s="196"/>
      <c r="WEJ54" s="196"/>
      <c r="WEK54" s="196"/>
      <c r="WEL54" s="196"/>
      <c r="WEM54" s="196"/>
      <c r="WEN54" s="196"/>
      <c r="WEO54" s="196"/>
      <c r="WEP54" s="196"/>
      <c r="WEQ54" s="196"/>
      <c r="WER54" s="196"/>
      <c r="WES54" s="196"/>
      <c r="WET54" s="196"/>
      <c r="WEU54" s="196"/>
      <c r="WEV54" s="196"/>
      <c r="WEW54" s="196"/>
      <c r="WEX54" s="196"/>
      <c r="WEY54" s="196"/>
      <c r="WEZ54" s="196"/>
      <c r="WFA54" s="196"/>
      <c r="WFB54" s="196"/>
      <c r="WFC54" s="196"/>
      <c r="WFD54" s="196"/>
      <c r="WFE54" s="196"/>
      <c r="WFF54" s="196"/>
      <c r="WFG54" s="196"/>
      <c r="WFH54" s="196"/>
      <c r="WFI54" s="196"/>
      <c r="WFJ54" s="196"/>
      <c r="WFK54" s="196"/>
      <c r="WFL54" s="196"/>
      <c r="WFM54" s="196"/>
      <c r="WFN54" s="196"/>
      <c r="WFO54" s="196"/>
      <c r="WFP54" s="196"/>
      <c r="WFQ54" s="196"/>
      <c r="WFR54" s="196"/>
      <c r="WFS54" s="196"/>
      <c r="WFT54" s="196"/>
      <c r="WFU54" s="196"/>
      <c r="WFV54" s="196"/>
      <c r="WFW54" s="196"/>
      <c r="WFX54" s="196"/>
      <c r="WFY54" s="196"/>
      <c r="WFZ54" s="196"/>
      <c r="WGA54" s="196"/>
      <c r="WGB54" s="196"/>
      <c r="WGC54" s="196"/>
      <c r="WGD54" s="196"/>
      <c r="WGE54" s="196"/>
      <c r="WGF54" s="196"/>
      <c r="WGG54" s="196"/>
      <c r="WGH54" s="196"/>
      <c r="WGI54" s="196"/>
      <c r="WGJ54" s="196"/>
      <c r="WGK54" s="196"/>
      <c r="WGL54" s="196"/>
      <c r="WGM54" s="196"/>
      <c r="WGN54" s="196"/>
      <c r="WGO54" s="196"/>
      <c r="WGP54" s="196"/>
      <c r="WGQ54" s="196"/>
      <c r="WGR54" s="196"/>
      <c r="WGS54" s="196"/>
      <c r="WGT54" s="196"/>
      <c r="WGU54" s="196"/>
      <c r="WGV54" s="196"/>
      <c r="WGW54" s="196"/>
      <c r="WGX54" s="196"/>
      <c r="WGY54" s="196"/>
      <c r="WGZ54" s="196"/>
      <c r="WHA54" s="196"/>
      <c r="WHB54" s="196"/>
      <c r="WHC54" s="196"/>
      <c r="WHD54" s="196"/>
      <c r="WHE54" s="196"/>
      <c r="WHF54" s="196"/>
      <c r="WHG54" s="196"/>
      <c r="WHH54" s="196"/>
      <c r="WHI54" s="196"/>
      <c r="WHJ54" s="196"/>
      <c r="WHK54" s="196"/>
      <c r="WHL54" s="196"/>
      <c r="WHM54" s="196"/>
      <c r="WHN54" s="196"/>
      <c r="WHO54" s="196"/>
      <c r="WHP54" s="196"/>
      <c r="WHQ54" s="196"/>
      <c r="WHR54" s="196"/>
      <c r="WHS54" s="196"/>
      <c r="WHT54" s="196"/>
      <c r="WHU54" s="196"/>
      <c r="WHV54" s="196"/>
      <c r="WHW54" s="196"/>
      <c r="WHX54" s="196"/>
      <c r="WHY54" s="196"/>
      <c r="WHZ54" s="196"/>
      <c r="WIA54" s="196"/>
      <c r="WIB54" s="196"/>
      <c r="WIC54" s="196"/>
      <c r="WID54" s="196"/>
      <c r="WIE54" s="196"/>
      <c r="WIF54" s="196"/>
      <c r="WIG54" s="196"/>
      <c r="WIH54" s="196"/>
      <c r="WII54" s="196"/>
      <c r="WIJ54" s="196"/>
      <c r="WIK54" s="196"/>
      <c r="WIL54" s="196"/>
      <c r="WIM54" s="196"/>
      <c r="WIN54" s="196"/>
      <c r="WIO54" s="196"/>
      <c r="WIP54" s="196"/>
      <c r="WIQ54" s="196"/>
      <c r="WIR54" s="196"/>
      <c r="WIS54" s="196"/>
      <c r="WIT54" s="196"/>
      <c r="WIU54" s="196"/>
      <c r="WIV54" s="196"/>
      <c r="WIW54" s="196"/>
      <c r="WIX54" s="196"/>
      <c r="WIY54" s="196"/>
      <c r="WIZ54" s="196"/>
      <c r="WJA54" s="196"/>
      <c r="WJB54" s="196"/>
      <c r="WJC54" s="196"/>
      <c r="WJD54" s="196"/>
      <c r="WJE54" s="196"/>
      <c r="WJF54" s="196"/>
      <c r="WJG54" s="196"/>
      <c r="WJH54" s="196"/>
      <c r="WJI54" s="196"/>
      <c r="WJJ54" s="196"/>
      <c r="WJK54" s="196"/>
      <c r="WJL54" s="196"/>
      <c r="WJM54" s="196"/>
      <c r="WJN54" s="196"/>
      <c r="WJO54" s="196"/>
      <c r="WJP54" s="196"/>
      <c r="WJQ54" s="196"/>
      <c r="WJR54" s="196"/>
      <c r="WJS54" s="196"/>
      <c r="WJT54" s="196"/>
      <c r="WJU54" s="196"/>
      <c r="WJV54" s="196"/>
      <c r="WJW54" s="196"/>
      <c r="WJX54" s="196"/>
      <c r="WJY54" s="196"/>
      <c r="WJZ54" s="196"/>
      <c r="WKA54" s="196"/>
      <c r="WKB54" s="196"/>
      <c r="WKC54" s="196"/>
      <c r="WKD54" s="196"/>
      <c r="WKE54" s="196"/>
      <c r="WKF54" s="196"/>
      <c r="WKG54" s="196"/>
      <c r="WKH54" s="196"/>
      <c r="WKI54" s="196"/>
      <c r="WKJ54" s="196"/>
      <c r="WKK54" s="196"/>
      <c r="WKL54" s="196"/>
      <c r="WKM54" s="196"/>
      <c r="WKN54" s="196"/>
      <c r="WKO54" s="196"/>
      <c r="WKP54" s="196"/>
      <c r="WKQ54" s="196"/>
      <c r="WKR54" s="196"/>
      <c r="WKS54" s="196"/>
      <c r="WKT54" s="196"/>
      <c r="WKU54" s="196"/>
      <c r="WKV54" s="196"/>
      <c r="WKW54" s="196"/>
      <c r="WKX54" s="196"/>
      <c r="WKY54" s="196"/>
      <c r="WKZ54" s="196"/>
      <c r="WLA54" s="196"/>
      <c r="WLB54" s="196"/>
      <c r="WLC54" s="196"/>
      <c r="WLD54" s="196"/>
      <c r="WLE54" s="196"/>
      <c r="WLF54" s="196"/>
      <c r="WLG54" s="196"/>
      <c r="WLH54" s="196"/>
      <c r="WLI54" s="196"/>
      <c r="WLJ54" s="196"/>
      <c r="WLK54" s="196"/>
      <c r="WLL54" s="196"/>
      <c r="WLM54" s="196"/>
      <c r="WLN54" s="196"/>
      <c r="WLO54" s="196"/>
      <c r="WLP54" s="196"/>
      <c r="WLQ54" s="196"/>
      <c r="WLR54" s="196"/>
      <c r="WLS54" s="196"/>
      <c r="WLT54" s="196"/>
      <c r="WLU54" s="196"/>
      <c r="WLV54" s="196"/>
      <c r="WLW54" s="196"/>
      <c r="WLX54" s="196"/>
      <c r="WLY54" s="196"/>
      <c r="WLZ54" s="196"/>
      <c r="WMA54" s="196"/>
      <c r="WMB54" s="196"/>
      <c r="WMC54" s="196"/>
      <c r="WMD54" s="196"/>
      <c r="WME54" s="196"/>
      <c r="WMF54" s="196"/>
      <c r="WMG54" s="196"/>
      <c r="WMH54" s="196"/>
      <c r="WMI54" s="196"/>
      <c r="WMJ54" s="196"/>
      <c r="WMK54" s="196"/>
      <c r="WML54" s="196"/>
      <c r="WMM54" s="196"/>
      <c r="WMN54" s="196"/>
      <c r="WMO54" s="196"/>
      <c r="WMP54" s="196"/>
      <c r="WMQ54" s="196"/>
      <c r="WMR54" s="196"/>
      <c r="WMS54" s="196"/>
      <c r="WMT54" s="196"/>
      <c r="WMU54" s="196"/>
      <c r="WMV54" s="196"/>
      <c r="WMW54" s="196"/>
      <c r="WMX54" s="196"/>
      <c r="WMY54" s="196"/>
      <c r="WMZ54" s="196"/>
      <c r="WNA54" s="196"/>
      <c r="WNB54" s="196"/>
      <c r="WNC54" s="196"/>
      <c r="WND54" s="196"/>
      <c r="WNE54" s="196"/>
      <c r="WNF54" s="196"/>
      <c r="WNG54" s="196"/>
      <c r="WNH54" s="196"/>
      <c r="WNI54" s="196"/>
      <c r="WNJ54" s="196"/>
      <c r="WNK54" s="196"/>
      <c r="WNL54" s="196"/>
      <c r="WNM54" s="196"/>
      <c r="WNN54" s="196"/>
      <c r="WNO54" s="196"/>
      <c r="WNP54" s="196"/>
      <c r="WNQ54" s="196"/>
      <c r="WNR54" s="196"/>
      <c r="WNS54" s="196"/>
      <c r="WNT54" s="196"/>
      <c r="WNU54" s="196"/>
      <c r="WNV54" s="196"/>
      <c r="WNW54" s="196"/>
      <c r="WNX54" s="196"/>
      <c r="WNY54" s="196"/>
      <c r="WNZ54" s="196"/>
      <c r="WOA54" s="196"/>
      <c r="WOB54" s="196"/>
      <c r="WOC54" s="196"/>
      <c r="WOD54" s="196"/>
      <c r="WOE54" s="196"/>
      <c r="WOF54" s="196"/>
      <c r="WOG54" s="196"/>
      <c r="WOH54" s="196"/>
      <c r="WOI54" s="196"/>
      <c r="WOJ54" s="196"/>
      <c r="WOK54" s="196"/>
      <c r="WOL54" s="196"/>
      <c r="WOM54" s="196"/>
      <c r="WON54" s="196"/>
      <c r="WOO54" s="196"/>
      <c r="WOP54" s="196"/>
      <c r="WOQ54" s="196"/>
      <c r="WOR54" s="196"/>
      <c r="WOS54" s="196"/>
      <c r="WOT54" s="196"/>
      <c r="WOU54" s="196"/>
      <c r="WOV54" s="196"/>
      <c r="WOW54" s="196"/>
      <c r="WOX54" s="196"/>
      <c r="WOY54" s="196"/>
      <c r="WOZ54" s="196"/>
      <c r="WPA54" s="196"/>
      <c r="WPB54" s="196"/>
      <c r="WPC54" s="196"/>
      <c r="WPD54" s="196"/>
      <c r="WPE54" s="196"/>
      <c r="WPF54" s="196"/>
      <c r="WPG54" s="196"/>
      <c r="WPH54" s="196"/>
      <c r="WPI54" s="196"/>
      <c r="WPJ54" s="196"/>
      <c r="WPK54" s="196"/>
      <c r="WPL54" s="196"/>
      <c r="WPM54" s="196"/>
      <c r="WPN54" s="196"/>
      <c r="WPO54" s="196"/>
      <c r="WPP54" s="196"/>
      <c r="WPQ54" s="196"/>
      <c r="WPR54" s="196"/>
      <c r="WPS54" s="196"/>
      <c r="WPT54" s="196"/>
      <c r="WPU54" s="196"/>
      <c r="WPV54" s="196"/>
      <c r="WPW54" s="196"/>
      <c r="WPX54" s="196"/>
      <c r="WPY54" s="196"/>
      <c r="WPZ54" s="196"/>
      <c r="WQA54" s="196"/>
      <c r="WQB54" s="196"/>
      <c r="WQC54" s="196"/>
      <c r="WQD54" s="196"/>
      <c r="WQE54" s="196"/>
      <c r="WQF54" s="196"/>
      <c r="WQG54" s="196"/>
      <c r="WQH54" s="196"/>
      <c r="WQI54" s="196"/>
      <c r="WQJ54" s="196"/>
      <c r="WQK54" s="196"/>
      <c r="WQL54" s="196"/>
      <c r="WQM54" s="196"/>
      <c r="WQN54" s="196"/>
      <c r="WQO54" s="196"/>
      <c r="WQP54" s="196"/>
      <c r="WQQ54" s="196"/>
      <c r="WQR54" s="196"/>
      <c r="WQS54" s="196"/>
      <c r="WQT54" s="196"/>
      <c r="WQU54" s="196"/>
      <c r="WQV54" s="196"/>
      <c r="WQW54" s="196"/>
      <c r="WQX54" s="196"/>
      <c r="WQY54" s="196"/>
      <c r="WQZ54" s="196"/>
      <c r="WRA54" s="196"/>
      <c r="WRB54" s="196"/>
      <c r="WRC54" s="196"/>
      <c r="WRD54" s="196"/>
      <c r="WRE54" s="196"/>
      <c r="WRF54" s="196"/>
      <c r="WRG54" s="196"/>
      <c r="WRH54" s="196"/>
      <c r="WRI54" s="196"/>
      <c r="WRJ54" s="196"/>
      <c r="WRK54" s="196"/>
      <c r="WRL54" s="196"/>
      <c r="WRM54" s="196"/>
      <c r="WRN54" s="196"/>
      <c r="WRO54" s="196"/>
      <c r="WRP54" s="196"/>
      <c r="WRQ54" s="196"/>
      <c r="WRR54" s="196"/>
      <c r="WRS54" s="196"/>
      <c r="WRT54" s="196"/>
      <c r="WRU54" s="196"/>
      <c r="WRV54" s="196"/>
      <c r="WRW54" s="196"/>
      <c r="WRX54" s="196"/>
      <c r="WRY54" s="196"/>
      <c r="WRZ54" s="196"/>
      <c r="WSA54" s="196"/>
      <c r="WSB54" s="196"/>
      <c r="WSC54" s="196"/>
      <c r="WSD54" s="196"/>
      <c r="WSE54" s="196"/>
      <c r="WSF54" s="196"/>
      <c r="WSG54" s="196"/>
      <c r="WSH54" s="196"/>
      <c r="WSI54" s="196"/>
      <c r="WSJ54" s="196"/>
      <c r="WSK54" s="196"/>
      <c r="WSL54" s="196"/>
      <c r="WSM54" s="196"/>
      <c r="WSN54" s="196"/>
      <c r="WSO54" s="196"/>
      <c r="WSP54" s="196"/>
      <c r="WSQ54" s="196"/>
      <c r="WSR54" s="196"/>
      <c r="WSS54" s="196"/>
      <c r="WST54" s="196"/>
      <c r="WSU54" s="196"/>
      <c r="WSV54" s="196"/>
      <c r="WSW54" s="196"/>
      <c r="WSX54" s="196"/>
      <c r="WSY54" s="196"/>
      <c r="WSZ54" s="196"/>
      <c r="WTA54" s="196"/>
      <c r="WTB54" s="196"/>
      <c r="WTC54" s="196"/>
      <c r="WTD54" s="196"/>
      <c r="WTE54" s="196"/>
      <c r="WTF54" s="196"/>
      <c r="WTG54" s="196"/>
      <c r="WTH54" s="196"/>
      <c r="WTI54" s="196"/>
      <c r="WTJ54" s="196"/>
      <c r="WTK54" s="196"/>
      <c r="WTL54" s="196"/>
      <c r="WTM54" s="196"/>
      <c r="WTN54" s="196"/>
      <c r="WTO54" s="196"/>
      <c r="WTP54" s="196"/>
      <c r="WTQ54" s="196"/>
      <c r="WTR54" s="196"/>
      <c r="WTS54" s="196"/>
      <c r="WTT54" s="196"/>
      <c r="WTU54" s="196"/>
      <c r="WTV54" s="196"/>
      <c r="WTW54" s="196"/>
      <c r="WTX54" s="196"/>
      <c r="WTY54" s="196"/>
      <c r="WTZ54" s="196"/>
      <c r="WUA54" s="196"/>
      <c r="WUB54" s="196"/>
      <c r="WUC54" s="196"/>
      <c r="WUD54" s="196"/>
      <c r="WUE54" s="196"/>
      <c r="WUF54" s="196"/>
      <c r="WUG54" s="196"/>
      <c r="WUH54" s="196"/>
      <c r="WUI54" s="196"/>
      <c r="WUJ54" s="196"/>
      <c r="WUK54" s="196"/>
      <c r="WUL54" s="196"/>
      <c r="WUM54" s="196"/>
      <c r="WUN54" s="196"/>
      <c r="WUO54" s="196"/>
      <c r="WUP54" s="196"/>
      <c r="WUQ54" s="196"/>
      <c r="WUR54" s="196"/>
      <c r="WUS54" s="196"/>
      <c r="WUT54" s="196"/>
      <c r="WUU54" s="196"/>
      <c r="WUV54" s="196"/>
      <c r="WUW54" s="196"/>
      <c r="WUX54" s="196"/>
      <c r="WUY54" s="196"/>
      <c r="WUZ54" s="196"/>
      <c r="WVA54" s="196"/>
      <c r="WVB54" s="196"/>
      <c r="WVC54" s="196"/>
      <c r="WVD54" s="196"/>
      <c r="WVE54" s="196"/>
      <c r="WVF54" s="196"/>
      <c r="WVG54" s="196"/>
      <c r="WVH54" s="196"/>
      <c r="WVI54" s="196"/>
      <c r="WVJ54" s="196"/>
      <c r="WVK54" s="196"/>
      <c r="WVL54" s="196"/>
      <c r="WVM54" s="196"/>
      <c r="WVN54" s="196"/>
      <c r="WVO54" s="196"/>
      <c r="WVP54" s="196"/>
      <c r="WVQ54" s="196"/>
      <c r="WVR54" s="196"/>
      <c r="WVS54" s="196"/>
      <c r="WVT54" s="196"/>
      <c r="WVU54" s="196"/>
      <c r="WVV54" s="196"/>
      <c r="WVW54" s="196"/>
      <c r="WVX54" s="196"/>
      <c r="WVY54" s="196"/>
      <c r="WVZ54" s="196"/>
      <c r="WWA54" s="196"/>
      <c r="WWB54" s="196"/>
      <c r="WWC54" s="196"/>
      <c r="WWD54" s="196"/>
      <c r="WWE54" s="196"/>
      <c r="WWF54" s="196"/>
      <c r="WWG54" s="196"/>
      <c r="WWH54" s="196"/>
      <c r="WWI54" s="196"/>
      <c r="WWJ54" s="196"/>
      <c r="WWK54" s="196"/>
      <c r="WWL54" s="196"/>
      <c r="WWM54" s="196"/>
      <c r="WWN54" s="196"/>
      <c r="WWO54" s="196"/>
      <c r="WWP54" s="196"/>
      <c r="WWQ54" s="196"/>
      <c r="WWR54" s="196"/>
      <c r="WWS54" s="196"/>
      <c r="WWT54" s="196"/>
      <c r="WWU54" s="196"/>
      <c r="WWV54" s="196"/>
      <c r="WWW54" s="196"/>
      <c r="WWX54" s="196"/>
      <c r="WWY54" s="196"/>
      <c r="WWZ54" s="196"/>
      <c r="WXA54" s="196"/>
      <c r="WXB54" s="196"/>
      <c r="WXC54" s="196"/>
      <c r="WXD54" s="196"/>
      <c r="WXE54" s="196"/>
      <c r="WXF54" s="196"/>
      <c r="WXG54" s="196"/>
      <c r="WXH54" s="196"/>
      <c r="WXI54" s="196"/>
      <c r="WXJ54" s="196"/>
      <c r="WXK54" s="196"/>
      <c r="WXL54" s="196"/>
      <c r="WXM54" s="196"/>
      <c r="WXN54" s="196"/>
      <c r="WXO54" s="196"/>
      <c r="WXP54" s="196"/>
      <c r="WXQ54" s="196"/>
      <c r="WXR54" s="196"/>
      <c r="WXS54" s="196"/>
      <c r="WXT54" s="196"/>
      <c r="WXU54" s="196"/>
      <c r="WXV54" s="196"/>
      <c r="WXW54" s="196"/>
      <c r="WXX54" s="196"/>
      <c r="WXY54" s="196"/>
      <c r="WXZ54" s="196"/>
      <c r="WYA54" s="196"/>
      <c r="WYB54" s="196"/>
      <c r="WYC54" s="196"/>
      <c r="WYD54" s="196"/>
      <c r="WYE54" s="196"/>
      <c r="WYF54" s="196"/>
      <c r="WYG54" s="196"/>
      <c r="WYH54" s="196"/>
      <c r="WYI54" s="196"/>
      <c r="WYJ54" s="196"/>
      <c r="WYK54" s="196"/>
      <c r="WYL54" s="196"/>
      <c r="WYM54" s="196"/>
      <c r="WYN54" s="196"/>
      <c r="WYO54" s="196"/>
      <c r="WYP54" s="196"/>
      <c r="WYQ54" s="196"/>
      <c r="WYR54" s="196"/>
      <c r="WYS54" s="196"/>
      <c r="WYT54" s="196"/>
      <c r="WYU54" s="196"/>
      <c r="WYV54" s="196"/>
      <c r="WYW54" s="196"/>
      <c r="WYX54" s="196"/>
      <c r="WYY54" s="196"/>
      <c r="WYZ54" s="196"/>
      <c r="WZA54" s="196"/>
      <c r="WZB54" s="196"/>
      <c r="WZC54" s="196"/>
      <c r="WZD54" s="196"/>
      <c r="WZE54" s="196"/>
      <c r="WZF54" s="196"/>
      <c r="WZG54" s="196"/>
      <c r="WZH54" s="196"/>
      <c r="WZI54" s="196"/>
      <c r="WZJ54" s="196"/>
      <c r="WZK54" s="196"/>
      <c r="WZL54" s="196"/>
      <c r="WZM54" s="196"/>
      <c r="WZN54" s="196"/>
      <c r="WZO54" s="196"/>
      <c r="WZP54" s="196"/>
      <c r="WZQ54" s="196"/>
      <c r="WZR54" s="196"/>
      <c r="WZS54" s="196"/>
      <c r="WZT54" s="196"/>
      <c r="WZU54" s="196"/>
      <c r="WZV54" s="196"/>
      <c r="WZW54" s="196"/>
      <c r="WZX54" s="196"/>
      <c r="WZY54" s="196"/>
      <c r="WZZ54" s="196"/>
      <c r="XAA54" s="196"/>
      <c r="XAB54" s="196"/>
      <c r="XAC54" s="196"/>
      <c r="XAD54" s="196"/>
      <c r="XAE54" s="196"/>
      <c r="XAF54" s="196"/>
      <c r="XAG54" s="196"/>
      <c r="XAH54" s="196"/>
      <c r="XAI54" s="196"/>
      <c r="XAJ54" s="196"/>
      <c r="XAK54" s="196"/>
      <c r="XAL54" s="196"/>
      <c r="XAM54" s="196"/>
      <c r="XAN54" s="196"/>
      <c r="XAO54" s="196"/>
      <c r="XAP54" s="196"/>
      <c r="XAQ54" s="196"/>
      <c r="XAR54" s="196"/>
      <c r="XAS54" s="196"/>
      <c r="XAT54" s="196"/>
      <c r="XAU54" s="196"/>
      <c r="XAV54" s="196"/>
      <c r="XAW54" s="196"/>
      <c r="XAX54" s="196"/>
      <c r="XAY54" s="196"/>
      <c r="XAZ54" s="196"/>
      <c r="XBA54" s="196"/>
      <c r="XBB54" s="196"/>
      <c r="XBC54" s="196"/>
      <c r="XBD54" s="196"/>
      <c r="XBE54" s="196"/>
      <c r="XBF54" s="196"/>
      <c r="XBG54" s="196"/>
      <c r="XBH54" s="196"/>
      <c r="XBI54" s="196"/>
      <c r="XBJ54" s="196"/>
      <c r="XBK54" s="196"/>
      <c r="XBL54" s="196"/>
      <c r="XBM54" s="196"/>
      <c r="XBN54" s="196"/>
      <c r="XBO54" s="196"/>
      <c r="XBP54" s="196"/>
      <c r="XBQ54" s="196"/>
      <c r="XBR54" s="196"/>
      <c r="XBS54" s="196"/>
      <c r="XBT54" s="196"/>
      <c r="XBU54" s="196"/>
      <c r="XBV54" s="196"/>
      <c r="XBW54" s="196"/>
      <c r="XBX54" s="196"/>
      <c r="XBY54" s="196"/>
      <c r="XBZ54" s="196"/>
      <c r="XCA54" s="196"/>
      <c r="XCB54" s="196"/>
      <c r="XCC54" s="196"/>
      <c r="XCD54" s="196"/>
      <c r="XCE54" s="196"/>
      <c r="XCF54" s="196"/>
      <c r="XCG54" s="196"/>
      <c r="XCH54" s="196"/>
      <c r="XCI54" s="196"/>
      <c r="XCJ54" s="196"/>
      <c r="XCK54" s="196"/>
      <c r="XCL54" s="196"/>
      <c r="XCM54" s="196"/>
      <c r="XCN54" s="196"/>
      <c r="XCO54" s="196"/>
      <c r="XCP54" s="196"/>
      <c r="XCQ54" s="196"/>
      <c r="XCR54" s="196"/>
      <c r="XCS54" s="196"/>
      <c r="XCT54" s="196"/>
      <c r="XCU54" s="196"/>
      <c r="XCV54" s="196"/>
      <c r="XCW54" s="196"/>
      <c r="XCX54" s="196"/>
      <c r="XCY54" s="196"/>
      <c r="XCZ54" s="196"/>
      <c r="XDA54" s="196"/>
      <c r="XDB54" s="196"/>
      <c r="XDC54" s="196"/>
      <c r="XDD54" s="196"/>
      <c r="XDE54" s="196"/>
      <c r="XDF54" s="196"/>
      <c r="XDG54" s="196"/>
      <c r="XDH54" s="196"/>
      <c r="XDI54" s="196"/>
      <c r="XDJ54" s="196"/>
      <c r="XDK54" s="196"/>
      <c r="XDL54" s="196"/>
      <c r="XDM54" s="196"/>
      <c r="XDN54" s="196"/>
      <c r="XDO54" s="196"/>
      <c r="XDP54" s="196"/>
      <c r="XDQ54" s="196"/>
      <c r="XDR54" s="196"/>
      <c r="XDS54" s="196"/>
      <c r="XDT54" s="196"/>
      <c r="XDU54" s="196"/>
      <c r="XDV54" s="196"/>
      <c r="XDW54" s="196"/>
      <c r="XDX54" s="196"/>
      <c r="XDY54" s="196"/>
      <c r="XDZ54" s="196"/>
      <c r="XEA54" s="196"/>
      <c r="XEB54" s="196"/>
      <c r="XEC54" s="196"/>
      <c r="XED54" s="196"/>
      <c r="XEE54" s="196"/>
      <c r="XEF54" s="196"/>
      <c r="XEG54" s="196"/>
      <c r="XEH54" s="196"/>
      <c r="XEI54" s="196"/>
      <c r="XEJ54" s="196"/>
      <c r="XEK54" s="196"/>
      <c r="XEL54" s="196"/>
      <c r="XEM54" s="196"/>
      <c r="XEN54" s="196"/>
      <c r="XEO54" s="196"/>
      <c r="XEP54" s="196"/>
      <c r="XEQ54" s="196"/>
      <c r="XER54" s="196"/>
      <c r="XES54" s="196"/>
      <c r="XET54" s="196"/>
      <c r="XEU54" s="196"/>
      <c r="XEV54" s="196"/>
      <c r="XEW54" s="196"/>
      <c r="XEX54" s="196"/>
      <c r="XEY54" s="196"/>
      <c r="XEZ54" s="196"/>
      <c r="XFA54" s="196"/>
      <c r="XFB54" s="196"/>
    </row>
    <row r="55" spans="1:16382" ht="17.149999999999999" customHeight="1" x14ac:dyDescent="0.5">
      <c r="A55" s="486" t="str">
        <f xml:space="preserve"> CONCATENATE("Geselecteerde situatie is: ",'A1 Algemene resultaten'!B51)</f>
        <v>Geselecteerde situatie is: Uitgangssituatie (huidig beleid gehaald, geen nieuw beleid)</v>
      </c>
      <c r="B55" s="196"/>
      <c r="C55" s="196"/>
      <c r="D55" s="196"/>
      <c r="E55" s="196"/>
      <c r="F55" s="196"/>
      <c r="G55" s="196"/>
      <c r="H55" s="196"/>
      <c r="I55" s="196"/>
      <c r="J55" s="196"/>
      <c r="K55" s="196"/>
      <c r="L55" s="196"/>
      <c r="M55" s="196"/>
      <c r="N55" s="196"/>
      <c r="O55" s="196"/>
      <c r="P55" s="196"/>
      <c r="Q55" s="196"/>
      <c r="R55" s="196"/>
      <c r="S55" s="196"/>
      <c r="T55" s="196"/>
      <c r="U55" s="196"/>
      <c r="V55" s="196"/>
      <c r="W55" s="196"/>
      <c r="X55" s="196"/>
      <c r="Y55" s="196"/>
      <c r="Z55" s="196"/>
      <c r="AA55" s="196"/>
      <c r="AB55" s="196"/>
      <c r="AC55" s="196"/>
      <c r="AD55" s="196"/>
      <c r="AE55" s="196"/>
      <c r="AF55" s="196"/>
      <c r="AG55" s="196"/>
      <c r="AH55" s="196"/>
      <c r="AI55" s="196"/>
      <c r="AJ55" s="196"/>
      <c r="AK55" s="196"/>
      <c r="AL55" s="196"/>
      <c r="AM55" s="196"/>
      <c r="AN55" s="196"/>
      <c r="AO55" s="196"/>
      <c r="AP55" s="196"/>
      <c r="AQ55" s="196"/>
      <c r="AR55" s="196"/>
      <c r="AS55" s="196"/>
      <c r="AT55" s="196"/>
      <c r="AU55" s="196"/>
      <c r="AV55" s="196"/>
      <c r="AW55" s="196"/>
      <c r="AX55" s="196"/>
      <c r="AY55" s="196"/>
      <c r="AZ55" s="196"/>
      <c r="BA55" s="196"/>
      <c r="BB55" s="196"/>
      <c r="BC55" s="196"/>
      <c r="BD55" s="196"/>
      <c r="BE55" s="196"/>
      <c r="BF55" s="196"/>
      <c r="BG55" s="196"/>
      <c r="BH55" s="196"/>
      <c r="BI55" s="196"/>
      <c r="BJ55" s="196"/>
      <c r="BK55" s="196"/>
      <c r="BL55" s="196"/>
      <c r="BM55" s="196"/>
      <c r="BN55" s="196"/>
      <c r="BO55" s="196"/>
      <c r="BP55" s="196"/>
      <c r="BQ55" s="196"/>
      <c r="BR55" s="196"/>
      <c r="BS55" s="196"/>
      <c r="BT55" s="196"/>
      <c r="BU55" s="196"/>
      <c r="BV55" s="196"/>
      <c r="BW55" s="196"/>
      <c r="BX55" s="196"/>
      <c r="BY55" s="196"/>
      <c r="BZ55" s="196"/>
      <c r="CA55" s="196"/>
      <c r="CB55" s="196"/>
      <c r="CC55" s="196"/>
      <c r="CD55" s="196"/>
      <c r="CE55" s="196"/>
      <c r="CF55" s="196"/>
      <c r="CG55" s="196"/>
      <c r="CH55" s="196"/>
      <c r="CI55" s="196"/>
      <c r="CJ55" s="196"/>
      <c r="CK55" s="196"/>
      <c r="CL55" s="196"/>
      <c r="CM55" s="196"/>
      <c r="CN55" s="196"/>
      <c r="CO55" s="196"/>
      <c r="CP55" s="196"/>
      <c r="CQ55" s="196"/>
      <c r="CR55" s="196"/>
      <c r="CS55" s="196"/>
      <c r="CT55" s="196"/>
      <c r="CU55" s="196"/>
      <c r="CV55" s="196"/>
      <c r="CW55" s="196"/>
      <c r="CX55" s="196"/>
      <c r="CY55" s="196"/>
      <c r="CZ55" s="196"/>
      <c r="DA55" s="196"/>
      <c r="DB55" s="196"/>
      <c r="DC55" s="196"/>
      <c r="DD55" s="196"/>
      <c r="DE55" s="196"/>
      <c r="DF55" s="196"/>
      <c r="DG55" s="196"/>
      <c r="DH55" s="196"/>
      <c r="DI55" s="196"/>
      <c r="DJ55" s="196"/>
      <c r="DK55" s="196"/>
      <c r="DL55" s="196"/>
      <c r="DM55" s="196"/>
      <c r="DN55" s="196"/>
      <c r="DO55" s="196"/>
      <c r="DP55" s="196"/>
      <c r="DQ55" s="196"/>
      <c r="DR55" s="196"/>
      <c r="DS55" s="196"/>
      <c r="DT55" s="196"/>
      <c r="DU55" s="196"/>
      <c r="DV55" s="196"/>
      <c r="DW55" s="196"/>
      <c r="DX55" s="196"/>
      <c r="DY55" s="196"/>
      <c r="DZ55" s="196"/>
      <c r="EA55" s="196"/>
      <c r="EB55" s="196"/>
      <c r="EC55" s="196"/>
      <c r="ED55" s="196"/>
      <c r="EE55" s="196"/>
      <c r="EF55" s="196"/>
      <c r="EG55" s="196"/>
      <c r="EH55" s="196"/>
      <c r="EI55" s="196"/>
      <c r="EJ55" s="196"/>
      <c r="EK55" s="196"/>
      <c r="EL55" s="196"/>
      <c r="EM55" s="196"/>
      <c r="EN55" s="196"/>
      <c r="EO55" s="196"/>
      <c r="EP55" s="196"/>
      <c r="EQ55" s="196"/>
      <c r="ER55" s="196"/>
      <c r="ES55" s="196"/>
      <c r="ET55" s="196"/>
      <c r="EU55" s="196"/>
      <c r="EV55" s="196"/>
      <c r="EW55" s="196"/>
      <c r="EX55" s="196"/>
      <c r="EY55" s="196"/>
      <c r="EZ55" s="196"/>
      <c r="FA55" s="196"/>
      <c r="FB55" s="196"/>
      <c r="FC55" s="196"/>
      <c r="FD55" s="196"/>
      <c r="FE55" s="196"/>
      <c r="FF55" s="196"/>
      <c r="FG55" s="196"/>
      <c r="FH55" s="196"/>
      <c r="FI55" s="196"/>
      <c r="FJ55" s="196"/>
      <c r="FK55" s="196"/>
      <c r="FL55" s="196"/>
      <c r="FM55" s="196"/>
      <c r="FN55" s="196"/>
      <c r="FO55" s="196"/>
      <c r="FP55" s="196"/>
      <c r="FQ55" s="196"/>
      <c r="FR55" s="196"/>
      <c r="FS55" s="196"/>
      <c r="FT55" s="196"/>
      <c r="FU55" s="196"/>
      <c r="FV55" s="196"/>
      <c r="FW55" s="196"/>
      <c r="FX55" s="196"/>
      <c r="FY55" s="196"/>
      <c r="FZ55" s="196"/>
      <c r="GA55" s="196"/>
      <c r="GB55" s="196"/>
      <c r="GC55" s="196"/>
      <c r="GD55" s="196"/>
      <c r="GE55" s="196"/>
      <c r="GF55" s="196"/>
      <c r="GG55" s="196"/>
      <c r="GH55" s="196"/>
      <c r="GI55" s="196"/>
      <c r="GJ55" s="196"/>
      <c r="GK55" s="196"/>
      <c r="GL55" s="196"/>
      <c r="GM55" s="196"/>
      <c r="GN55" s="196"/>
      <c r="GO55" s="196"/>
      <c r="GP55" s="196"/>
      <c r="GQ55" s="196"/>
      <c r="GR55" s="196"/>
      <c r="GS55" s="196"/>
      <c r="GT55" s="196"/>
      <c r="GU55" s="196"/>
      <c r="GV55" s="196"/>
      <c r="GW55" s="196"/>
      <c r="GX55" s="196"/>
      <c r="GY55" s="196"/>
      <c r="GZ55" s="196"/>
      <c r="HA55" s="196"/>
      <c r="HB55" s="196"/>
      <c r="HC55" s="196"/>
      <c r="HD55" s="196"/>
      <c r="HE55" s="196"/>
      <c r="HF55" s="196"/>
      <c r="HG55" s="196"/>
      <c r="HH55" s="196"/>
      <c r="HI55" s="196"/>
      <c r="HJ55" s="196"/>
      <c r="HK55" s="196"/>
      <c r="HL55" s="196"/>
      <c r="HM55" s="196"/>
      <c r="HN55" s="196"/>
      <c r="HO55" s="196"/>
      <c r="HP55" s="196"/>
      <c r="HQ55" s="196"/>
      <c r="HR55" s="196"/>
      <c r="HS55" s="196"/>
      <c r="HT55" s="196"/>
      <c r="HU55" s="196"/>
      <c r="HV55" s="196"/>
      <c r="HW55" s="196"/>
      <c r="HX55" s="196"/>
      <c r="HY55" s="196"/>
      <c r="HZ55" s="196"/>
      <c r="IA55" s="196"/>
      <c r="IB55" s="196"/>
      <c r="IC55" s="196"/>
      <c r="ID55" s="196"/>
      <c r="IE55" s="196"/>
      <c r="IF55" s="196"/>
      <c r="IG55" s="196"/>
      <c r="IH55" s="196"/>
      <c r="II55" s="196"/>
      <c r="IJ55" s="196"/>
      <c r="IK55" s="196"/>
      <c r="IL55" s="196"/>
      <c r="IM55" s="196"/>
      <c r="IN55" s="196"/>
      <c r="IO55" s="196"/>
      <c r="IP55" s="196"/>
      <c r="IQ55" s="196"/>
      <c r="IR55" s="196"/>
      <c r="IS55" s="196"/>
      <c r="IT55" s="196"/>
      <c r="IU55" s="196"/>
      <c r="IV55" s="196"/>
      <c r="IW55" s="196"/>
      <c r="IX55" s="196"/>
      <c r="IY55" s="196"/>
      <c r="IZ55" s="196"/>
      <c r="JA55" s="196"/>
      <c r="JB55" s="196"/>
      <c r="JC55" s="196"/>
      <c r="JD55" s="196"/>
      <c r="JE55" s="196"/>
      <c r="JF55" s="196"/>
      <c r="JG55" s="196"/>
      <c r="JH55" s="196"/>
      <c r="JI55" s="196"/>
      <c r="JJ55" s="196"/>
      <c r="JK55" s="196"/>
      <c r="JL55" s="196"/>
      <c r="JM55" s="196"/>
      <c r="JN55" s="196"/>
      <c r="JO55" s="196"/>
      <c r="JP55" s="196"/>
      <c r="JQ55" s="196"/>
      <c r="JR55" s="196"/>
      <c r="JS55" s="196"/>
      <c r="JT55" s="196"/>
      <c r="JU55" s="196"/>
      <c r="JV55" s="196"/>
      <c r="JW55" s="196"/>
      <c r="JX55" s="196"/>
      <c r="JY55" s="196"/>
      <c r="JZ55" s="196"/>
      <c r="KA55" s="196"/>
      <c r="KB55" s="196"/>
      <c r="KC55" s="196"/>
      <c r="KD55" s="196"/>
      <c r="KE55" s="196"/>
      <c r="KF55" s="196"/>
      <c r="KG55" s="196"/>
      <c r="KH55" s="196"/>
      <c r="KI55" s="196"/>
      <c r="KJ55" s="196"/>
      <c r="KK55" s="196"/>
      <c r="KL55" s="196"/>
      <c r="KM55" s="196"/>
      <c r="KN55" s="196"/>
      <c r="KO55" s="196"/>
      <c r="KP55" s="196"/>
      <c r="KQ55" s="196"/>
      <c r="KR55" s="196"/>
      <c r="KS55" s="196"/>
      <c r="KT55" s="196"/>
      <c r="KU55" s="196"/>
      <c r="KV55" s="196"/>
      <c r="KW55" s="196"/>
      <c r="KX55" s="196"/>
      <c r="KY55" s="196"/>
      <c r="KZ55" s="196"/>
      <c r="LA55" s="196"/>
      <c r="LB55" s="196"/>
      <c r="LC55" s="196"/>
      <c r="LD55" s="196"/>
      <c r="LE55" s="196"/>
      <c r="LF55" s="196"/>
      <c r="LG55" s="196"/>
      <c r="LH55" s="196"/>
      <c r="LI55" s="196"/>
      <c r="LJ55" s="196"/>
      <c r="LK55" s="196"/>
      <c r="LL55" s="196"/>
      <c r="LM55" s="196"/>
      <c r="LN55" s="196"/>
      <c r="LO55" s="196"/>
      <c r="LP55" s="196"/>
      <c r="LQ55" s="196"/>
      <c r="LR55" s="196"/>
      <c r="LS55" s="196"/>
      <c r="LT55" s="196"/>
      <c r="LU55" s="196"/>
      <c r="LV55" s="196"/>
      <c r="LW55" s="196"/>
      <c r="LX55" s="196"/>
      <c r="LY55" s="196"/>
      <c r="LZ55" s="196"/>
      <c r="MA55" s="196"/>
      <c r="MB55" s="196"/>
      <c r="MC55" s="196"/>
      <c r="MD55" s="196"/>
      <c r="ME55" s="196"/>
      <c r="MF55" s="196"/>
      <c r="MG55" s="196"/>
      <c r="MH55" s="196"/>
      <c r="MI55" s="196"/>
      <c r="MJ55" s="196"/>
      <c r="MK55" s="196"/>
      <c r="ML55" s="196"/>
      <c r="MM55" s="196"/>
      <c r="MN55" s="196"/>
      <c r="MO55" s="196"/>
      <c r="MP55" s="196"/>
      <c r="MQ55" s="196"/>
      <c r="MR55" s="196"/>
      <c r="MS55" s="196"/>
      <c r="MT55" s="196"/>
      <c r="MU55" s="196"/>
      <c r="MV55" s="196"/>
      <c r="MW55" s="196"/>
      <c r="MX55" s="196"/>
      <c r="MY55" s="196"/>
      <c r="MZ55" s="196"/>
      <c r="NA55" s="196"/>
      <c r="NB55" s="196"/>
      <c r="NC55" s="196"/>
      <c r="ND55" s="196"/>
      <c r="NE55" s="196"/>
      <c r="NF55" s="196"/>
      <c r="NG55" s="196"/>
      <c r="NH55" s="196"/>
      <c r="NI55" s="196"/>
      <c r="NJ55" s="196"/>
      <c r="NK55" s="196"/>
      <c r="NL55" s="196"/>
      <c r="NM55" s="196"/>
      <c r="NN55" s="196"/>
      <c r="NO55" s="196"/>
      <c r="NP55" s="196"/>
      <c r="NQ55" s="196"/>
      <c r="NR55" s="196"/>
      <c r="NS55" s="196"/>
      <c r="NT55" s="196"/>
      <c r="NU55" s="196"/>
      <c r="NV55" s="196"/>
      <c r="NW55" s="196"/>
      <c r="NX55" s="196"/>
      <c r="NY55" s="196"/>
      <c r="NZ55" s="196"/>
      <c r="OA55" s="196"/>
      <c r="OB55" s="196"/>
      <c r="OC55" s="196"/>
      <c r="OD55" s="196"/>
      <c r="OE55" s="196"/>
      <c r="OF55" s="196"/>
      <c r="OG55" s="196"/>
      <c r="OH55" s="196"/>
      <c r="OI55" s="196"/>
      <c r="OJ55" s="196"/>
      <c r="OK55" s="196"/>
      <c r="OL55" s="196"/>
      <c r="OM55" s="196"/>
      <c r="ON55" s="196"/>
      <c r="OO55" s="196"/>
      <c r="OP55" s="196"/>
      <c r="OQ55" s="196"/>
      <c r="OR55" s="196"/>
      <c r="OS55" s="196"/>
      <c r="OT55" s="196"/>
      <c r="OU55" s="196"/>
      <c r="OV55" s="196"/>
      <c r="OW55" s="196"/>
      <c r="OX55" s="196"/>
      <c r="OY55" s="196"/>
      <c r="OZ55" s="196"/>
      <c r="PA55" s="196"/>
      <c r="PB55" s="196"/>
      <c r="PC55" s="196"/>
      <c r="PD55" s="196"/>
      <c r="PE55" s="196"/>
      <c r="PF55" s="196"/>
      <c r="PG55" s="196"/>
      <c r="PH55" s="196"/>
      <c r="PI55" s="196"/>
      <c r="PJ55" s="196"/>
      <c r="PK55" s="196"/>
      <c r="PL55" s="196"/>
      <c r="PM55" s="196"/>
      <c r="PN55" s="196"/>
      <c r="PO55" s="196"/>
      <c r="PP55" s="196"/>
      <c r="PQ55" s="196"/>
      <c r="PR55" s="196"/>
      <c r="PS55" s="196"/>
      <c r="PT55" s="196"/>
      <c r="PU55" s="196"/>
      <c r="PV55" s="196"/>
      <c r="PW55" s="196"/>
      <c r="PX55" s="196"/>
      <c r="PY55" s="196"/>
      <c r="PZ55" s="196"/>
      <c r="QA55" s="196"/>
      <c r="QB55" s="196"/>
      <c r="QC55" s="196"/>
      <c r="QD55" s="196"/>
      <c r="QE55" s="196"/>
      <c r="QF55" s="196"/>
      <c r="QG55" s="196"/>
      <c r="QH55" s="196"/>
      <c r="QI55" s="196"/>
      <c r="QJ55" s="196"/>
      <c r="QK55" s="196"/>
      <c r="QL55" s="196"/>
      <c r="QM55" s="196"/>
      <c r="QN55" s="196"/>
      <c r="QO55" s="196"/>
      <c r="QP55" s="196"/>
      <c r="QQ55" s="196"/>
      <c r="QR55" s="196"/>
      <c r="QS55" s="196"/>
      <c r="QT55" s="196"/>
      <c r="QU55" s="196"/>
      <c r="QV55" s="196"/>
      <c r="QW55" s="196"/>
      <c r="QX55" s="196"/>
      <c r="QY55" s="196"/>
      <c r="QZ55" s="196"/>
      <c r="RA55" s="196"/>
      <c r="RB55" s="196"/>
      <c r="RC55" s="196"/>
      <c r="RD55" s="196"/>
      <c r="RE55" s="196"/>
      <c r="RF55" s="196"/>
      <c r="RG55" s="196"/>
      <c r="RH55" s="196"/>
      <c r="RI55" s="196"/>
      <c r="RJ55" s="196"/>
      <c r="RK55" s="196"/>
      <c r="RL55" s="196"/>
      <c r="RM55" s="196"/>
      <c r="RN55" s="196"/>
      <c r="RO55" s="196"/>
      <c r="RP55" s="196"/>
      <c r="RQ55" s="196"/>
      <c r="RR55" s="196"/>
      <c r="RS55" s="196"/>
      <c r="RT55" s="196"/>
      <c r="RU55" s="196"/>
      <c r="RV55" s="196"/>
      <c r="RW55" s="196"/>
      <c r="RX55" s="196"/>
      <c r="RY55" s="196"/>
      <c r="RZ55" s="196"/>
      <c r="SA55" s="196"/>
      <c r="SB55" s="196"/>
      <c r="SC55" s="196"/>
      <c r="SD55" s="196"/>
      <c r="SE55" s="196"/>
      <c r="SF55" s="196"/>
      <c r="SG55" s="196"/>
      <c r="SH55" s="196"/>
      <c r="SI55" s="196"/>
      <c r="SJ55" s="196"/>
      <c r="SK55" s="196"/>
      <c r="SL55" s="196"/>
      <c r="SM55" s="196"/>
      <c r="SN55" s="196"/>
      <c r="SO55" s="196"/>
      <c r="SP55" s="196"/>
      <c r="SQ55" s="196"/>
      <c r="SR55" s="196"/>
      <c r="SS55" s="196"/>
      <c r="ST55" s="196"/>
      <c r="SU55" s="196"/>
      <c r="SV55" s="196"/>
      <c r="SW55" s="196"/>
      <c r="SX55" s="196"/>
      <c r="SY55" s="196"/>
      <c r="SZ55" s="196"/>
      <c r="TA55" s="196"/>
      <c r="TB55" s="196"/>
      <c r="TC55" s="196"/>
      <c r="TD55" s="196"/>
      <c r="TE55" s="196"/>
      <c r="TF55" s="196"/>
      <c r="TG55" s="196"/>
      <c r="TH55" s="196"/>
      <c r="TI55" s="196"/>
      <c r="TJ55" s="196"/>
      <c r="TK55" s="196"/>
      <c r="TL55" s="196"/>
      <c r="TM55" s="196"/>
      <c r="TN55" s="196"/>
      <c r="TO55" s="196"/>
      <c r="TP55" s="196"/>
      <c r="TQ55" s="196"/>
      <c r="TR55" s="196"/>
      <c r="TS55" s="196"/>
      <c r="TT55" s="196"/>
      <c r="TU55" s="196"/>
      <c r="TV55" s="196"/>
      <c r="TW55" s="196"/>
      <c r="TX55" s="196"/>
      <c r="TY55" s="196"/>
      <c r="TZ55" s="196"/>
      <c r="UA55" s="196"/>
      <c r="UB55" s="196"/>
      <c r="UC55" s="196"/>
      <c r="UD55" s="196"/>
      <c r="UE55" s="196"/>
      <c r="UF55" s="196"/>
      <c r="UG55" s="196"/>
      <c r="UH55" s="196"/>
      <c r="UI55" s="196"/>
      <c r="UJ55" s="196"/>
      <c r="UK55" s="196"/>
      <c r="UL55" s="196"/>
      <c r="UM55" s="196"/>
      <c r="UN55" s="196"/>
      <c r="UO55" s="196"/>
      <c r="UP55" s="196"/>
      <c r="UQ55" s="196"/>
      <c r="UR55" s="196"/>
      <c r="US55" s="196"/>
      <c r="UT55" s="196"/>
      <c r="UU55" s="196"/>
      <c r="UV55" s="196"/>
      <c r="UW55" s="196"/>
      <c r="UX55" s="196"/>
      <c r="UY55" s="196"/>
      <c r="UZ55" s="196"/>
      <c r="VA55" s="196"/>
      <c r="VB55" s="196"/>
      <c r="VC55" s="196"/>
      <c r="VD55" s="196"/>
      <c r="VE55" s="196"/>
      <c r="VF55" s="196"/>
      <c r="VG55" s="196"/>
      <c r="VH55" s="196"/>
      <c r="VI55" s="196"/>
      <c r="VJ55" s="196"/>
      <c r="VK55" s="196"/>
      <c r="VL55" s="196"/>
      <c r="VM55" s="196"/>
      <c r="VN55" s="196"/>
      <c r="VO55" s="196"/>
      <c r="VP55" s="196"/>
      <c r="VQ55" s="196"/>
      <c r="VR55" s="196"/>
      <c r="VS55" s="196"/>
      <c r="VT55" s="196"/>
      <c r="VU55" s="196"/>
      <c r="VV55" s="196"/>
      <c r="VW55" s="196"/>
      <c r="VX55" s="196"/>
      <c r="VY55" s="196"/>
      <c r="VZ55" s="196"/>
      <c r="WA55" s="196"/>
      <c r="WB55" s="196"/>
      <c r="WC55" s="196"/>
      <c r="WD55" s="196"/>
      <c r="WE55" s="196"/>
      <c r="WF55" s="196"/>
      <c r="WG55" s="196"/>
      <c r="WH55" s="196"/>
      <c r="WI55" s="196"/>
      <c r="WJ55" s="196"/>
      <c r="WK55" s="196"/>
      <c r="WL55" s="196"/>
      <c r="WM55" s="196"/>
      <c r="WN55" s="196"/>
      <c r="WO55" s="196"/>
      <c r="WP55" s="196"/>
      <c r="WQ55" s="196"/>
      <c r="WR55" s="196"/>
      <c r="WS55" s="196"/>
      <c r="WT55" s="196"/>
      <c r="WU55" s="196"/>
      <c r="WV55" s="196"/>
      <c r="WW55" s="196"/>
      <c r="WX55" s="196"/>
      <c r="WY55" s="196"/>
      <c r="WZ55" s="196"/>
      <c r="XA55" s="196"/>
      <c r="XB55" s="196"/>
      <c r="XC55" s="196"/>
      <c r="XD55" s="196"/>
      <c r="XE55" s="196"/>
      <c r="XF55" s="196"/>
      <c r="XG55" s="196"/>
      <c r="XH55" s="196"/>
      <c r="XI55" s="196"/>
      <c r="XJ55" s="196"/>
      <c r="XK55" s="196"/>
      <c r="XL55" s="196"/>
      <c r="XM55" s="196"/>
      <c r="XN55" s="196"/>
      <c r="XO55" s="196"/>
      <c r="XP55" s="196"/>
      <c r="XQ55" s="196"/>
      <c r="XR55" s="196"/>
      <c r="XS55" s="196"/>
      <c r="XT55" s="196"/>
      <c r="XU55" s="196"/>
      <c r="XV55" s="196"/>
      <c r="XW55" s="196"/>
      <c r="XX55" s="196"/>
      <c r="XY55" s="196"/>
      <c r="XZ55" s="196"/>
      <c r="YA55" s="196"/>
      <c r="YB55" s="196"/>
      <c r="YC55" s="196"/>
      <c r="YD55" s="196"/>
      <c r="YE55" s="196"/>
      <c r="YF55" s="196"/>
      <c r="YG55" s="196"/>
      <c r="YH55" s="196"/>
      <c r="YI55" s="196"/>
      <c r="YJ55" s="196"/>
      <c r="YK55" s="196"/>
      <c r="YL55" s="196"/>
      <c r="YM55" s="196"/>
      <c r="YN55" s="196"/>
      <c r="YO55" s="196"/>
      <c r="YP55" s="196"/>
      <c r="YQ55" s="196"/>
      <c r="YR55" s="196"/>
      <c r="YS55" s="196"/>
      <c r="YT55" s="196"/>
      <c r="YU55" s="196"/>
      <c r="YV55" s="196"/>
      <c r="YW55" s="196"/>
      <c r="YX55" s="196"/>
      <c r="YY55" s="196"/>
      <c r="YZ55" s="196"/>
      <c r="ZA55" s="196"/>
      <c r="ZB55" s="196"/>
      <c r="ZC55" s="196"/>
      <c r="ZD55" s="196"/>
      <c r="ZE55" s="196"/>
      <c r="ZF55" s="196"/>
      <c r="ZG55" s="196"/>
      <c r="ZH55" s="196"/>
      <c r="ZI55" s="196"/>
      <c r="ZJ55" s="196"/>
      <c r="ZK55" s="196"/>
      <c r="ZL55" s="196"/>
      <c r="ZM55" s="196"/>
      <c r="ZN55" s="196"/>
      <c r="ZO55" s="196"/>
      <c r="ZP55" s="196"/>
      <c r="ZQ55" s="196"/>
      <c r="ZR55" s="196"/>
      <c r="ZS55" s="196"/>
      <c r="ZT55" s="196"/>
      <c r="ZU55" s="196"/>
      <c r="ZV55" s="196"/>
      <c r="ZW55" s="196"/>
      <c r="ZX55" s="196"/>
      <c r="ZY55" s="196"/>
      <c r="ZZ55" s="196"/>
      <c r="AAA55" s="196"/>
      <c r="AAB55" s="196"/>
      <c r="AAC55" s="196"/>
      <c r="AAD55" s="196"/>
      <c r="AAE55" s="196"/>
      <c r="AAF55" s="196"/>
      <c r="AAG55" s="196"/>
      <c r="AAH55" s="196"/>
      <c r="AAI55" s="196"/>
      <c r="AAJ55" s="196"/>
      <c r="AAK55" s="196"/>
      <c r="AAL55" s="196"/>
      <c r="AAM55" s="196"/>
      <c r="AAN55" s="196"/>
      <c r="AAO55" s="196"/>
      <c r="AAP55" s="196"/>
      <c r="AAQ55" s="196"/>
      <c r="AAR55" s="196"/>
      <c r="AAS55" s="196"/>
      <c r="AAT55" s="196"/>
      <c r="AAU55" s="196"/>
      <c r="AAV55" s="196"/>
      <c r="AAW55" s="196"/>
      <c r="AAX55" s="196"/>
      <c r="AAY55" s="196"/>
      <c r="AAZ55" s="196"/>
      <c r="ABA55" s="196"/>
      <c r="ABB55" s="196"/>
      <c r="ABC55" s="196"/>
      <c r="ABD55" s="196"/>
      <c r="ABE55" s="196"/>
      <c r="ABF55" s="196"/>
      <c r="ABG55" s="196"/>
      <c r="ABH55" s="196"/>
      <c r="ABI55" s="196"/>
      <c r="ABJ55" s="196"/>
      <c r="ABK55" s="196"/>
      <c r="ABL55" s="196"/>
      <c r="ABM55" s="196"/>
      <c r="ABN55" s="196"/>
      <c r="ABO55" s="196"/>
      <c r="ABP55" s="196"/>
      <c r="ABQ55" s="196"/>
      <c r="ABR55" s="196"/>
      <c r="ABS55" s="196"/>
      <c r="ABT55" s="196"/>
      <c r="ABU55" s="196"/>
      <c r="ABV55" s="196"/>
      <c r="ABW55" s="196"/>
      <c r="ABX55" s="196"/>
      <c r="ABY55" s="196"/>
      <c r="ABZ55" s="196"/>
      <c r="ACA55" s="196"/>
      <c r="ACB55" s="196"/>
      <c r="ACC55" s="196"/>
      <c r="ACD55" s="196"/>
      <c r="ACE55" s="196"/>
      <c r="ACF55" s="196"/>
      <c r="ACG55" s="196"/>
      <c r="ACH55" s="196"/>
      <c r="ACI55" s="196"/>
      <c r="ACJ55" s="196"/>
      <c r="ACK55" s="196"/>
      <c r="ACL55" s="196"/>
      <c r="ACM55" s="196"/>
      <c r="ACN55" s="196"/>
      <c r="ACO55" s="196"/>
      <c r="ACP55" s="196"/>
      <c r="ACQ55" s="196"/>
      <c r="ACR55" s="196"/>
      <c r="ACS55" s="196"/>
      <c r="ACT55" s="196"/>
      <c r="ACU55" s="196"/>
      <c r="ACV55" s="196"/>
      <c r="ACW55" s="196"/>
      <c r="ACX55" s="196"/>
      <c r="ACY55" s="196"/>
      <c r="ACZ55" s="196"/>
      <c r="ADA55" s="196"/>
      <c r="ADB55" s="196"/>
      <c r="ADC55" s="196"/>
      <c r="ADD55" s="196"/>
      <c r="ADE55" s="196"/>
      <c r="ADF55" s="196"/>
      <c r="ADG55" s="196"/>
      <c r="ADH55" s="196"/>
      <c r="ADI55" s="196"/>
      <c r="ADJ55" s="196"/>
      <c r="ADK55" s="196"/>
      <c r="ADL55" s="196"/>
      <c r="ADM55" s="196"/>
      <c r="ADN55" s="196"/>
      <c r="ADO55" s="196"/>
      <c r="ADP55" s="196"/>
      <c r="ADQ55" s="196"/>
      <c r="ADR55" s="196"/>
      <c r="ADS55" s="196"/>
      <c r="ADT55" s="196"/>
      <c r="ADU55" s="196"/>
      <c r="ADV55" s="196"/>
      <c r="ADW55" s="196"/>
      <c r="ADX55" s="196"/>
      <c r="ADY55" s="196"/>
      <c r="ADZ55" s="196"/>
      <c r="AEA55" s="196"/>
      <c r="AEB55" s="196"/>
      <c r="AEC55" s="196"/>
      <c r="AED55" s="196"/>
      <c r="AEE55" s="196"/>
      <c r="AEF55" s="196"/>
      <c r="AEG55" s="196"/>
      <c r="AEH55" s="196"/>
      <c r="AEI55" s="196"/>
      <c r="AEJ55" s="196"/>
      <c r="AEK55" s="196"/>
      <c r="AEL55" s="196"/>
      <c r="AEM55" s="196"/>
      <c r="AEN55" s="196"/>
      <c r="AEO55" s="196"/>
      <c r="AEP55" s="196"/>
      <c r="AEQ55" s="196"/>
      <c r="AER55" s="196"/>
      <c r="AES55" s="196"/>
      <c r="AET55" s="196"/>
      <c r="AEU55" s="196"/>
      <c r="AEV55" s="196"/>
      <c r="AEW55" s="196"/>
      <c r="AEX55" s="196"/>
      <c r="AEY55" s="196"/>
      <c r="AEZ55" s="196"/>
      <c r="AFA55" s="196"/>
      <c r="AFB55" s="196"/>
      <c r="AFC55" s="196"/>
      <c r="AFD55" s="196"/>
      <c r="AFE55" s="196"/>
      <c r="AFF55" s="196"/>
      <c r="AFG55" s="196"/>
      <c r="AFH55" s="196"/>
      <c r="AFI55" s="196"/>
      <c r="AFJ55" s="196"/>
      <c r="AFK55" s="196"/>
      <c r="AFL55" s="196"/>
      <c r="AFM55" s="196"/>
      <c r="AFN55" s="196"/>
      <c r="AFO55" s="196"/>
      <c r="AFP55" s="196"/>
      <c r="AFQ55" s="196"/>
      <c r="AFR55" s="196"/>
      <c r="AFS55" s="196"/>
      <c r="AFT55" s="196"/>
      <c r="AFU55" s="196"/>
      <c r="AFV55" s="196"/>
      <c r="AFW55" s="196"/>
      <c r="AFX55" s="196"/>
      <c r="AFY55" s="196"/>
      <c r="AFZ55" s="196"/>
      <c r="AGA55" s="196"/>
      <c r="AGB55" s="196"/>
      <c r="AGC55" s="196"/>
      <c r="AGD55" s="196"/>
      <c r="AGE55" s="196"/>
      <c r="AGF55" s="196"/>
      <c r="AGG55" s="196"/>
      <c r="AGH55" s="196"/>
      <c r="AGI55" s="196"/>
      <c r="AGJ55" s="196"/>
      <c r="AGK55" s="196"/>
      <c r="AGL55" s="196"/>
      <c r="AGM55" s="196"/>
      <c r="AGN55" s="196"/>
      <c r="AGO55" s="196"/>
      <c r="AGP55" s="196"/>
      <c r="AGQ55" s="196"/>
      <c r="AGR55" s="196"/>
      <c r="AGS55" s="196"/>
      <c r="AGT55" s="196"/>
      <c r="AGU55" s="196"/>
      <c r="AGV55" s="196"/>
      <c r="AGW55" s="196"/>
      <c r="AGX55" s="196"/>
      <c r="AGY55" s="196"/>
      <c r="AGZ55" s="196"/>
      <c r="AHA55" s="196"/>
      <c r="AHB55" s="196"/>
      <c r="AHC55" s="196"/>
      <c r="AHD55" s="196"/>
      <c r="AHE55" s="196"/>
      <c r="AHF55" s="196"/>
      <c r="AHG55" s="196"/>
      <c r="AHH55" s="196"/>
      <c r="AHI55" s="196"/>
      <c r="AHJ55" s="196"/>
      <c r="AHK55" s="196"/>
      <c r="AHL55" s="196"/>
      <c r="AHM55" s="196"/>
      <c r="AHN55" s="196"/>
      <c r="AHO55" s="196"/>
      <c r="AHP55" s="196"/>
      <c r="AHQ55" s="196"/>
      <c r="AHR55" s="196"/>
      <c r="AHS55" s="196"/>
      <c r="AHT55" s="196"/>
      <c r="AHU55" s="196"/>
      <c r="AHV55" s="196"/>
      <c r="AHW55" s="196"/>
      <c r="AHX55" s="196"/>
      <c r="AHY55" s="196"/>
      <c r="AHZ55" s="196"/>
      <c r="AIA55" s="196"/>
      <c r="AIB55" s="196"/>
      <c r="AIC55" s="196"/>
      <c r="AID55" s="196"/>
      <c r="AIE55" s="196"/>
      <c r="AIF55" s="196"/>
      <c r="AIG55" s="196"/>
      <c r="AIH55" s="196"/>
      <c r="AII55" s="196"/>
      <c r="AIJ55" s="196"/>
      <c r="AIK55" s="196"/>
      <c r="AIL55" s="196"/>
      <c r="AIM55" s="196"/>
      <c r="AIN55" s="196"/>
      <c r="AIO55" s="196"/>
      <c r="AIP55" s="196"/>
      <c r="AIQ55" s="196"/>
      <c r="AIR55" s="196"/>
      <c r="AIS55" s="196"/>
      <c r="AIT55" s="196"/>
      <c r="AIU55" s="196"/>
      <c r="AIV55" s="196"/>
      <c r="AIW55" s="196"/>
      <c r="AIX55" s="196"/>
      <c r="AIY55" s="196"/>
      <c r="AIZ55" s="196"/>
      <c r="AJA55" s="196"/>
      <c r="AJB55" s="196"/>
      <c r="AJC55" s="196"/>
      <c r="AJD55" s="196"/>
      <c r="AJE55" s="196"/>
      <c r="AJF55" s="196"/>
      <c r="AJG55" s="196"/>
      <c r="AJH55" s="196"/>
      <c r="AJI55" s="196"/>
      <c r="AJJ55" s="196"/>
      <c r="AJK55" s="196"/>
      <c r="AJL55" s="196"/>
      <c r="AJM55" s="196"/>
      <c r="AJN55" s="196"/>
      <c r="AJO55" s="196"/>
      <c r="AJP55" s="196"/>
      <c r="AJQ55" s="196"/>
      <c r="AJR55" s="196"/>
      <c r="AJS55" s="196"/>
      <c r="AJT55" s="196"/>
      <c r="AJU55" s="196"/>
      <c r="AJV55" s="196"/>
      <c r="AJW55" s="196"/>
      <c r="AJX55" s="196"/>
      <c r="AJY55" s="196"/>
      <c r="AJZ55" s="196"/>
      <c r="AKA55" s="196"/>
      <c r="AKB55" s="196"/>
      <c r="AKC55" s="196"/>
      <c r="AKD55" s="196"/>
      <c r="AKE55" s="196"/>
      <c r="AKF55" s="196"/>
      <c r="AKG55" s="196"/>
      <c r="AKH55" s="196"/>
      <c r="AKI55" s="196"/>
      <c r="AKJ55" s="196"/>
      <c r="AKK55" s="196"/>
      <c r="AKL55" s="196"/>
      <c r="AKM55" s="196"/>
      <c r="AKN55" s="196"/>
      <c r="AKO55" s="196"/>
      <c r="AKP55" s="196"/>
      <c r="AKQ55" s="196"/>
      <c r="AKR55" s="196"/>
      <c r="AKS55" s="196"/>
      <c r="AKT55" s="196"/>
      <c r="AKU55" s="196"/>
      <c r="AKV55" s="196"/>
      <c r="AKW55" s="196"/>
      <c r="AKX55" s="196"/>
      <c r="AKY55" s="196"/>
      <c r="AKZ55" s="196"/>
      <c r="ALA55" s="196"/>
      <c r="ALB55" s="196"/>
      <c r="ALC55" s="196"/>
      <c r="ALD55" s="196"/>
      <c r="ALE55" s="196"/>
      <c r="ALF55" s="196"/>
      <c r="ALG55" s="196"/>
      <c r="ALH55" s="196"/>
      <c r="ALI55" s="196"/>
      <c r="ALJ55" s="196"/>
      <c r="ALK55" s="196"/>
      <c r="ALL55" s="196"/>
      <c r="ALM55" s="196"/>
      <c r="ALN55" s="196"/>
      <c r="ALO55" s="196"/>
      <c r="ALP55" s="196"/>
      <c r="ALQ55" s="196"/>
      <c r="ALR55" s="196"/>
      <c r="ALS55" s="196"/>
      <c r="ALT55" s="196"/>
      <c r="ALU55" s="196"/>
      <c r="ALV55" s="196"/>
      <c r="ALW55" s="196"/>
      <c r="ALX55" s="196"/>
      <c r="ALY55" s="196"/>
      <c r="ALZ55" s="196"/>
      <c r="AMA55" s="196"/>
      <c r="AMB55" s="196"/>
      <c r="AMC55" s="196"/>
      <c r="AMD55" s="196"/>
      <c r="AME55" s="196"/>
      <c r="AMF55" s="196"/>
      <c r="AMG55" s="196"/>
      <c r="AMH55" s="196"/>
      <c r="AMI55" s="196"/>
      <c r="AMJ55" s="196"/>
      <c r="AMK55" s="196"/>
      <c r="AML55" s="196"/>
      <c r="AMM55" s="196"/>
      <c r="AMN55" s="196"/>
      <c r="AMO55" s="196"/>
      <c r="AMP55" s="196"/>
      <c r="AMQ55" s="196"/>
      <c r="AMR55" s="196"/>
      <c r="AMS55" s="196"/>
      <c r="AMT55" s="196"/>
      <c r="AMU55" s="196"/>
      <c r="AMV55" s="196"/>
      <c r="AMW55" s="196"/>
      <c r="AMX55" s="196"/>
      <c r="AMY55" s="196"/>
      <c r="AMZ55" s="196"/>
      <c r="ANA55" s="196"/>
      <c r="ANB55" s="196"/>
      <c r="ANC55" s="196"/>
      <c r="AND55" s="196"/>
      <c r="ANE55" s="196"/>
      <c r="ANF55" s="196"/>
      <c r="ANG55" s="196"/>
      <c r="ANH55" s="196"/>
      <c r="ANI55" s="196"/>
      <c r="ANJ55" s="196"/>
      <c r="ANK55" s="196"/>
      <c r="ANL55" s="196"/>
      <c r="ANM55" s="196"/>
      <c r="ANN55" s="196"/>
      <c r="ANO55" s="196"/>
      <c r="ANP55" s="196"/>
      <c r="ANQ55" s="196"/>
      <c r="ANR55" s="196"/>
      <c r="ANS55" s="196"/>
      <c r="ANT55" s="196"/>
      <c r="ANU55" s="196"/>
      <c r="ANV55" s="196"/>
      <c r="ANW55" s="196"/>
      <c r="ANX55" s="196"/>
      <c r="ANY55" s="196"/>
      <c r="ANZ55" s="196"/>
      <c r="AOA55" s="196"/>
      <c r="AOB55" s="196"/>
      <c r="AOC55" s="196"/>
      <c r="AOD55" s="196"/>
      <c r="AOE55" s="196"/>
      <c r="AOF55" s="196"/>
      <c r="AOG55" s="196"/>
      <c r="AOH55" s="196"/>
      <c r="AOI55" s="196"/>
      <c r="AOJ55" s="196"/>
      <c r="AOK55" s="196"/>
      <c r="AOL55" s="196"/>
      <c r="AOM55" s="196"/>
      <c r="AON55" s="196"/>
      <c r="AOO55" s="196"/>
      <c r="AOP55" s="196"/>
      <c r="AOQ55" s="196"/>
      <c r="AOR55" s="196"/>
      <c r="AOS55" s="196"/>
      <c r="AOT55" s="196"/>
      <c r="AOU55" s="196"/>
      <c r="AOV55" s="196"/>
      <c r="AOW55" s="196"/>
      <c r="AOX55" s="196"/>
      <c r="AOY55" s="196"/>
      <c r="AOZ55" s="196"/>
      <c r="APA55" s="196"/>
      <c r="APB55" s="196"/>
      <c r="APC55" s="196"/>
      <c r="APD55" s="196"/>
      <c r="APE55" s="196"/>
      <c r="APF55" s="196"/>
      <c r="APG55" s="196"/>
      <c r="APH55" s="196"/>
      <c r="API55" s="196"/>
      <c r="APJ55" s="196"/>
      <c r="APK55" s="196"/>
      <c r="APL55" s="196"/>
      <c r="APM55" s="196"/>
      <c r="APN55" s="196"/>
      <c r="APO55" s="196"/>
      <c r="APP55" s="196"/>
      <c r="APQ55" s="196"/>
      <c r="APR55" s="196"/>
      <c r="APS55" s="196"/>
      <c r="APT55" s="196"/>
      <c r="APU55" s="196"/>
      <c r="APV55" s="196"/>
      <c r="APW55" s="196"/>
      <c r="APX55" s="196"/>
      <c r="APY55" s="196"/>
      <c r="APZ55" s="196"/>
      <c r="AQA55" s="196"/>
      <c r="AQB55" s="196"/>
      <c r="AQC55" s="196"/>
      <c r="AQD55" s="196"/>
      <c r="AQE55" s="196"/>
      <c r="AQF55" s="196"/>
      <c r="AQG55" s="196"/>
      <c r="AQH55" s="196"/>
      <c r="AQI55" s="196"/>
      <c r="AQJ55" s="196"/>
      <c r="AQK55" s="196"/>
      <c r="AQL55" s="196"/>
      <c r="AQM55" s="196"/>
      <c r="AQN55" s="196"/>
      <c r="AQO55" s="196"/>
      <c r="AQP55" s="196"/>
      <c r="AQQ55" s="196"/>
      <c r="AQR55" s="196"/>
      <c r="AQS55" s="196"/>
      <c r="AQT55" s="196"/>
      <c r="AQU55" s="196"/>
      <c r="AQV55" s="196"/>
      <c r="AQW55" s="196"/>
      <c r="AQX55" s="196"/>
      <c r="AQY55" s="196"/>
      <c r="AQZ55" s="196"/>
      <c r="ARA55" s="196"/>
      <c r="ARB55" s="196"/>
      <c r="ARC55" s="196"/>
      <c r="ARD55" s="196"/>
      <c r="ARE55" s="196"/>
      <c r="ARF55" s="196"/>
      <c r="ARG55" s="196"/>
      <c r="ARH55" s="196"/>
      <c r="ARI55" s="196"/>
      <c r="ARJ55" s="196"/>
      <c r="ARK55" s="196"/>
      <c r="ARL55" s="196"/>
      <c r="ARM55" s="196"/>
      <c r="ARN55" s="196"/>
      <c r="ARO55" s="196"/>
      <c r="ARP55" s="196"/>
      <c r="ARQ55" s="196"/>
      <c r="ARR55" s="196"/>
      <c r="ARS55" s="196"/>
      <c r="ART55" s="196"/>
      <c r="ARU55" s="196"/>
      <c r="ARV55" s="196"/>
      <c r="ARW55" s="196"/>
      <c r="ARX55" s="196"/>
      <c r="ARY55" s="196"/>
      <c r="ARZ55" s="196"/>
      <c r="ASA55" s="196"/>
      <c r="ASB55" s="196"/>
      <c r="ASC55" s="196"/>
      <c r="ASD55" s="196"/>
      <c r="ASE55" s="196"/>
      <c r="ASF55" s="196"/>
      <c r="ASG55" s="196"/>
      <c r="ASH55" s="196"/>
      <c r="ASI55" s="196"/>
      <c r="ASJ55" s="196"/>
      <c r="ASK55" s="196"/>
      <c r="ASL55" s="196"/>
      <c r="ASM55" s="196"/>
      <c r="ASN55" s="196"/>
      <c r="ASO55" s="196"/>
      <c r="ASP55" s="196"/>
      <c r="ASQ55" s="196"/>
      <c r="ASR55" s="196"/>
      <c r="ASS55" s="196"/>
      <c r="AST55" s="196"/>
      <c r="ASU55" s="196"/>
      <c r="ASV55" s="196"/>
      <c r="ASW55" s="196"/>
      <c r="ASX55" s="196"/>
      <c r="ASY55" s="196"/>
      <c r="ASZ55" s="196"/>
      <c r="ATA55" s="196"/>
      <c r="ATB55" s="196"/>
      <c r="ATC55" s="196"/>
      <c r="ATD55" s="196"/>
      <c r="ATE55" s="196"/>
      <c r="ATF55" s="196"/>
      <c r="ATG55" s="196"/>
      <c r="ATH55" s="196"/>
      <c r="ATI55" s="196"/>
      <c r="ATJ55" s="196"/>
      <c r="ATK55" s="196"/>
      <c r="ATL55" s="196"/>
      <c r="ATM55" s="196"/>
      <c r="ATN55" s="196"/>
      <c r="ATO55" s="196"/>
      <c r="ATP55" s="196"/>
      <c r="ATQ55" s="196"/>
      <c r="ATR55" s="196"/>
      <c r="ATS55" s="196"/>
      <c r="ATT55" s="196"/>
      <c r="ATU55" s="196"/>
      <c r="ATV55" s="196"/>
      <c r="ATW55" s="196"/>
      <c r="ATX55" s="196"/>
      <c r="ATY55" s="196"/>
      <c r="ATZ55" s="196"/>
      <c r="AUA55" s="196"/>
      <c r="AUB55" s="196"/>
      <c r="AUC55" s="196"/>
      <c r="AUD55" s="196"/>
      <c r="AUE55" s="196"/>
      <c r="AUF55" s="196"/>
      <c r="AUG55" s="196"/>
      <c r="AUH55" s="196"/>
      <c r="AUI55" s="196"/>
      <c r="AUJ55" s="196"/>
      <c r="AUK55" s="196"/>
      <c r="AUL55" s="196"/>
      <c r="AUM55" s="196"/>
      <c r="AUN55" s="196"/>
      <c r="AUO55" s="196"/>
      <c r="AUP55" s="196"/>
      <c r="AUQ55" s="196"/>
      <c r="AUR55" s="196"/>
      <c r="AUS55" s="196"/>
      <c r="AUT55" s="196"/>
      <c r="AUU55" s="196"/>
      <c r="AUV55" s="196"/>
      <c r="AUW55" s="196"/>
      <c r="AUX55" s="196"/>
      <c r="AUY55" s="196"/>
      <c r="AUZ55" s="196"/>
      <c r="AVA55" s="196"/>
      <c r="AVB55" s="196"/>
      <c r="AVC55" s="196"/>
      <c r="AVD55" s="196"/>
      <c r="AVE55" s="196"/>
      <c r="AVF55" s="196"/>
      <c r="AVG55" s="196"/>
      <c r="AVH55" s="196"/>
      <c r="AVI55" s="196"/>
      <c r="AVJ55" s="196"/>
      <c r="AVK55" s="196"/>
      <c r="AVL55" s="196"/>
      <c r="AVM55" s="196"/>
      <c r="AVN55" s="196"/>
      <c r="AVO55" s="196"/>
      <c r="AVP55" s="196"/>
      <c r="AVQ55" s="196"/>
      <c r="AVR55" s="196"/>
      <c r="AVS55" s="196"/>
      <c r="AVT55" s="196"/>
      <c r="AVU55" s="196"/>
      <c r="AVV55" s="196"/>
      <c r="AVW55" s="196"/>
      <c r="AVX55" s="196"/>
      <c r="AVY55" s="196"/>
      <c r="AVZ55" s="196"/>
      <c r="AWA55" s="196"/>
      <c r="AWB55" s="196"/>
      <c r="AWC55" s="196"/>
      <c r="AWD55" s="196"/>
      <c r="AWE55" s="196"/>
      <c r="AWF55" s="196"/>
      <c r="AWG55" s="196"/>
      <c r="AWH55" s="196"/>
      <c r="AWI55" s="196"/>
      <c r="AWJ55" s="196"/>
      <c r="AWK55" s="196"/>
      <c r="AWL55" s="196"/>
      <c r="AWM55" s="196"/>
      <c r="AWN55" s="196"/>
      <c r="AWO55" s="196"/>
      <c r="AWP55" s="196"/>
      <c r="AWQ55" s="196"/>
      <c r="AWR55" s="196"/>
      <c r="AWS55" s="196"/>
      <c r="AWT55" s="196"/>
      <c r="AWU55" s="196"/>
      <c r="AWV55" s="196"/>
      <c r="AWW55" s="196"/>
      <c r="AWX55" s="196"/>
      <c r="AWY55" s="196"/>
      <c r="AWZ55" s="196"/>
      <c r="AXA55" s="196"/>
      <c r="AXB55" s="196"/>
      <c r="AXC55" s="196"/>
      <c r="AXD55" s="196"/>
      <c r="AXE55" s="196"/>
      <c r="AXF55" s="196"/>
      <c r="AXG55" s="196"/>
      <c r="AXH55" s="196"/>
      <c r="AXI55" s="196"/>
      <c r="AXJ55" s="196"/>
      <c r="AXK55" s="196"/>
      <c r="AXL55" s="196"/>
      <c r="AXM55" s="196"/>
      <c r="AXN55" s="196"/>
      <c r="AXO55" s="196"/>
      <c r="AXP55" s="196"/>
      <c r="AXQ55" s="196"/>
      <c r="AXR55" s="196"/>
      <c r="AXS55" s="196"/>
      <c r="AXT55" s="196"/>
      <c r="AXU55" s="196"/>
      <c r="AXV55" s="196"/>
      <c r="AXW55" s="196"/>
      <c r="AXX55" s="196"/>
      <c r="AXY55" s="196"/>
      <c r="AXZ55" s="196"/>
      <c r="AYA55" s="196"/>
      <c r="AYB55" s="196"/>
      <c r="AYC55" s="196"/>
      <c r="AYD55" s="196"/>
      <c r="AYE55" s="196"/>
      <c r="AYF55" s="196"/>
      <c r="AYG55" s="196"/>
      <c r="AYH55" s="196"/>
      <c r="AYI55" s="196"/>
      <c r="AYJ55" s="196"/>
      <c r="AYK55" s="196"/>
      <c r="AYL55" s="196"/>
      <c r="AYM55" s="196"/>
      <c r="AYN55" s="196"/>
      <c r="AYO55" s="196"/>
      <c r="AYP55" s="196"/>
      <c r="AYQ55" s="196"/>
      <c r="AYR55" s="196"/>
      <c r="AYS55" s="196"/>
      <c r="AYT55" s="196"/>
      <c r="AYU55" s="196"/>
      <c r="AYV55" s="196"/>
      <c r="AYW55" s="196"/>
      <c r="AYX55" s="196"/>
      <c r="AYY55" s="196"/>
      <c r="AYZ55" s="196"/>
      <c r="AZA55" s="196"/>
      <c r="AZB55" s="196"/>
      <c r="AZC55" s="196"/>
      <c r="AZD55" s="196"/>
      <c r="AZE55" s="196"/>
      <c r="AZF55" s="196"/>
      <c r="AZG55" s="196"/>
      <c r="AZH55" s="196"/>
      <c r="AZI55" s="196"/>
      <c r="AZJ55" s="196"/>
      <c r="AZK55" s="196"/>
      <c r="AZL55" s="196"/>
      <c r="AZM55" s="196"/>
      <c r="AZN55" s="196"/>
      <c r="AZO55" s="196"/>
      <c r="AZP55" s="196"/>
      <c r="AZQ55" s="196"/>
      <c r="AZR55" s="196"/>
      <c r="AZS55" s="196"/>
      <c r="AZT55" s="196"/>
      <c r="AZU55" s="196"/>
      <c r="AZV55" s="196"/>
      <c r="AZW55" s="196"/>
      <c r="AZX55" s="196"/>
      <c r="AZY55" s="196"/>
      <c r="AZZ55" s="196"/>
      <c r="BAA55" s="196"/>
      <c r="BAB55" s="196"/>
      <c r="BAC55" s="196"/>
      <c r="BAD55" s="196"/>
      <c r="BAE55" s="196"/>
      <c r="BAF55" s="196"/>
      <c r="BAG55" s="196"/>
      <c r="BAH55" s="196"/>
      <c r="BAI55" s="196"/>
      <c r="BAJ55" s="196"/>
      <c r="BAK55" s="196"/>
      <c r="BAL55" s="196"/>
      <c r="BAM55" s="196"/>
      <c r="BAN55" s="196"/>
      <c r="BAO55" s="196"/>
      <c r="BAP55" s="196"/>
      <c r="BAQ55" s="196"/>
      <c r="BAR55" s="196"/>
      <c r="BAS55" s="196"/>
      <c r="BAT55" s="196"/>
      <c r="BAU55" s="196"/>
      <c r="BAV55" s="196"/>
      <c r="BAW55" s="196"/>
      <c r="BAX55" s="196"/>
      <c r="BAY55" s="196"/>
      <c r="BAZ55" s="196"/>
      <c r="BBA55" s="196"/>
      <c r="BBB55" s="196"/>
      <c r="BBC55" s="196"/>
      <c r="BBD55" s="196"/>
      <c r="BBE55" s="196"/>
      <c r="BBF55" s="196"/>
      <c r="BBG55" s="196"/>
      <c r="BBH55" s="196"/>
      <c r="BBI55" s="196"/>
      <c r="BBJ55" s="196"/>
      <c r="BBK55" s="196"/>
      <c r="BBL55" s="196"/>
      <c r="BBM55" s="196"/>
      <c r="BBN55" s="196"/>
      <c r="BBO55" s="196"/>
      <c r="BBP55" s="196"/>
      <c r="BBQ55" s="196"/>
      <c r="BBR55" s="196"/>
      <c r="BBS55" s="196"/>
      <c r="BBT55" s="196"/>
      <c r="BBU55" s="196"/>
      <c r="BBV55" s="196"/>
      <c r="BBW55" s="196"/>
      <c r="BBX55" s="196"/>
      <c r="BBY55" s="196"/>
      <c r="BBZ55" s="196"/>
      <c r="BCA55" s="196"/>
      <c r="BCB55" s="196"/>
      <c r="BCC55" s="196"/>
      <c r="BCD55" s="196"/>
      <c r="BCE55" s="196"/>
      <c r="BCF55" s="196"/>
      <c r="BCG55" s="196"/>
      <c r="BCH55" s="196"/>
      <c r="BCI55" s="196"/>
      <c r="BCJ55" s="196"/>
      <c r="BCK55" s="196"/>
      <c r="BCL55" s="196"/>
      <c r="BCM55" s="196"/>
      <c r="BCN55" s="196"/>
      <c r="BCO55" s="196"/>
      <c r="BCP55" s="196"/>
      <c r="BCQ55" s="196"/>
      <c r="BCR55" s="196"/>
      <c r="BCS55" s="196"/>
      <c r="BCT55" s="196"/>
      <c r="BCU55" s="196"/>
      <c r="BCV55" s="196"/>
      <c r="BCW55" s="196"/>
      <c r="BCX55" s="196"/>
      <c r="BCY55" s="196"/>
      <c r="BCZ55" s="196"/>
      <c r="BDA55" s="196"/>
      <c r="BDB55" s="196"/>
      <c r="BDC55" s="196"/>
      <c r="BDD55" s="196"/>
      <c r="BDE55" s="196"/>
      <c r="BDF55" s="196"/>
      <c r="BDG55" s="196"/>
      <c r="BDH55" s="196"/>
      <c r="BDI55" s="196"/>
      <c r="BDJ55" s="196"/>
      <c r="BDK55" s="196"/>
      <c r="BDL55" s="196"/>
      <c r="BDM55" s="196"/>
      <c r="BDN55" s="196"/>
      <c r="BDO55" s="196"/>
      <c r="BDP55" s="196"/>
      <c r="BDQ55" s="196"/>
      <c r="BDR55" s="196"/>
      <c r="BDS55" s="196"/>
      <c r="BDT55" s="196"/>
      <c r="BDU55" s="196"/>
      <c r="BDV55" s="196"/>
      <c r="BDW55" s="196"/>
      <c r="BDX55" s="196"/>
      <c r="BDY55" s="196"/>
      <c r="BDZ55" s="196"/>
      <c r="BEA55" s="196"/>
      <c r="BEB55" s="196"/>
      <c r="BEC55" s="196"/>
      <c r="BED55" s="196"/>
      <c r="BEE55" s="196"/>
      <c r="BEF55" s="196"/>
      <c r="BEG55" s="196"/>
      <c r="BEH55" s="196"/>
      <c r="BEI55" s="196"/>
      <c r="BEJ55" s="196"/>
      <c r="BEK55" s="196"/>
      <c r="BEL55" s="196"/>
      <c r="BEM55" s="196"/>
      <c r="BEN55" s="196"/>
      <c r="BEO55" s="196"/>
      <c r="BEP55" s="196"/>
      <c r="BEQ55" s="196"/>
      <c r="BER55" s="196"/>
      <c r="BES55" s="196"/>
      <c r="BET55" s="196"/>
      <c r="BEU55" s="196"/>
      <c r="BEV55" s="196"/>
      <c r="BEW55" s="196"/>
      <c r="BEX55" s="196"/>
      <c r="BEY55" s="196"/>
      <c r="BEZ55" s="196"/>
      <c r="BFA55" s="196"/>
      <c r="BFB55" s="196"/>
      <c r="BFC55" s="196"/>
      <c r="BFD55" s="196"/>
      <c r="BFE55" s="196"/>
      <c r="BFF55" s="196"/>
      <c r="BFG55" s="196"/>
      <c r="BFH55" s="196"/>
      <c r="BFI55" s="196"/>
      <c r="BFJ55" s="196"/>
      <c r="BFK55" s="196"/>
      <c r="BFL55" s="196"/>
      <c r="BFM55" s="196"/>
      <c r="BFN55" s="196"/>
      <c r="BFO55" s="196"/>
      <c r="BFP55" s="196"/>
      <c r="BFQ55" s="196"/>
      <c r="BFR55" s="196"/>
      <c r="BFS55" s="196"/>
      <c r="BFT55" s="196"/>
      <c r="BFU55" s="196"/>
      <c r="BFV55" s="196"/>
      <c r="BFW55" s="196"/>
      <c r="BFX55" s="196"/>
      <c r="BFY55" s="196"/>
      <c r="BFZ55" s="196"/>
      <c r="BGA55" s="196"/>
      <c r="BGB55" s="196"/>
      <c r="BGC55" s="196"/>
      <c r="BGD55" s="196"/>
      <c r="BGE55" s="196"/>
      <c r="BGF55" s="196"/>
      <c r="BGG55" s="196"/>
      <c r="BGH55" s="196"/>
      <c r="BGI55" s="196"/>
      <c r="BGJ55" s="196"/>
      <c r="BGK55" s="196"/>
      <c r="BGL55" s="196"/>
      <c r="BGM55" s="196"/>
      <c r="BGN55" s="196"/>
      <c r="BGO55" s="196"/>
      <c r="BGP55" s="196"/>
      <c r="BGQ55" s="196"/>
      <c r="BGR55" s="196"/>
      <c r="BGS55" s="196"/>
      <c r="BGT55" s="196"/>
      <c r="BGU55" s="196"/>
      <c r="BGV55" s="196"/>
      <c r="BGW55" s="196"/>
      <c r="BGX55" s="196"/>
      <c r="BGY55" s="196"/>
      <c r="BGZ55" s="196"/>
      <c r="BHA55" s="196"/>
      <c r="BHB55" s="196"/>
      <c r="BHC55" s="196"/>
      <c r="BHD55" s="196"/>
      <c r="BHE55" s="196"/>
      <c r="BHF55" s="196"/>
      <c r="BHG55" s="196"/>
      <c r="BHH55" s="196"/>
      <c r="BHI55" s="196"/>
      <c r="BHJ55" s="196"/>
      <c r="BHK55" s="196"/>
      <c r="BHL55" s="196"/>
      <c r="BHM55" s="196"/>
      <c r="BHN55" s="196"/>
      <c r="BHO55" s="196"/>
      <c r="BHP55" s="196"/>
      <c r="BHQ55" s="196"/>
      <c r="BHR55" s="196"/>
      <c r="BHS55" s="196"/>
      <c r="BHT55" s="196"/>
      <c r="BHU55" s="196"/>
      <c r="BHV55" s="196"/>
      <c r="BHW55" s="196"/>
      <c r="BHX55" s="196"/>
      <c r="BHY55" s="196"/>
      <c r="BHZ55" s="196"/>
      <c r="BIA55" s="196"/>
      <c r="BIB55" s="196"/>
      <c r="BIC55" s="196"/>
      <c r="BID55" s="196"/>
      <c r="BIE55" s="196"/>
      <c r="BIF55" s="196"/>
      <c r="BIG55" s="196"/>
      <c r="BIH55" s="196"/>
      <c r="BII55" s="196"/>
      <c r="BIJ55" s="196"/>
      <c r="BIK55" s="196"/>
      <c r="BIL55" s="196"/>
      <c r="BIM55" s="196"/>
      <c r="BIN55" s="196"/>
      <c r="BIO55" s="196"/>
      <c r="BIP55" s="196"/>
      <c r="BIQ55" s="196"/>
      <c r="BIR55" s="196"/>
      <c r="BIS55" s="196"/>
      <c r="BIT55" s="196"/>
      <c r="BIU55" s="196"/>
      <c r="BIV55" s="196"/>
      <c r="BIW55" s="196"/>
      <c r="BIX55" s="196"/>
      <c r="BIY55" s="196"/>
      <c r="BIZ55" s="196"/>
      <c r="BJA55" s="196"/>
      <c r="BJB55" s="196"/>
      <c r="BJC55" s="196"/>
      <c r="BJD55" s="196"/>
      <c r="BJE55" s="196"/>
      <c r="BJF55" s="196"/>
      <c r="BJG55" s="196"/>
      <c r="BJH55" s="196"/>
      <c r="BJI55" s="196"/>
      <c r="BJJ55" s="196"/>
      <c r="BJK55" s="196"/>
      <c r="BJL55" s="196"/>
      <c r="BJM55" s="196"/>
      <c r="BJN55" s="196"/>
      <c r="BJO55" s="196"/>
      <c r="BJP55" s="196"/>
      <c r="BJQ55" s="196"/>
      <c r="BJR55" s="196"/>
      <c r="BJS55" s="196"/>
      <c r="BJT55" s="196"/>
      <c r="BJU55" s="196"/>
      <c r="BJV55" s="196"/>
      <c r="BJW55" s="196"/>
      <c r="BJX55" s="196"/>
      <c r="BJY55" s="196"/>
      <c r="BJZ55" s="196"/>
      <c r="BKA55" s="196"/>
      <c r="BKB55" s="196"/>
      <c r="BKC55" s="196"/>
      <c r="BKD55" s="196"/>
      <c r="BKE55" s="196"/>
      <c r="BKF55" s="196"/>
      <c r="BKG55" s="196"/>
      <c r="BKH55" s="196"/>
      <c r="BKI55" s="196"/>
      <c r="BKJ55" s="196"/>
      <c r="BKK55" s="196"/>
      <c r="BKL55" s="196"/>
      <c r="BKM55" s="196"/>
      <c r="BKN55" s="196"/>
      <c r="BKO55" s="196"/>
      <c r="BKP55" s="196"/>
      <c r="BKQ55" s="196"/>
      <c r="BKR55" s="196"/>
      <c r="BKS55" s="196"/>
      <c r="BKT55" s="196"/>
      <c r="BKU55" s="196"/>
      <c r="BKV55" s="196"/>
      <c r="BKW55" s="196"/>
      <c r="BKX55" s="196"/>
      <c r="BKY55" s="196"/>
      <c r="BKZ55" s="196"/>
      <c r="BLA55" s="196"/>
      <c r="BLB55" s="196"/>
      <c r="BLC55" s="196"/>
      <c r="BLD55" s="196"/>
      <c r="BLE55" s="196"/>
      <c r="BLF55" s="196"/>
      <c r="BLG55" s="196"/>
      <c r="BLH55" s="196"/>
      <c r="BLI55" s="196"/>
      <c r="BLJ55" s="196"/>
      <c r="BLK55" s="196"/>
      <c r="BLL55" s="196"/>
      <c r="BLM55" s="196"/>
      <c r="BLN55" s="196"/>
      <c r="BLO55" s="196"/>
      <c r="BLP55" s="196"/>
      <c r="BLQ55" s="196"/>
      <c r="BLR55" s="196"/>
      <c r="BLS55" s="196"/>
      <c r="BLT55" s="196"/>
      <c r="BLU55" s="196"/>
      <c r="BLV55" s="196"/>
      <c r="BLW55" s="196"/>
      <c r="BLX55" s="196"/>
      <c r="BLY55" s="196"/>
      <c r="BLZ55" s="196"/>
      <c r="BMA55" s="196"/>
      <c r="BMB55" s="196"/>
      <c r="BMC55" s="196"/>
      <c r="BMD55" s="196"/>
      <c r="BME55" s="196"/>
      <c r="BMF55" s="196"/>
      <c r="BMG55" s="196"/>
      <c r="BMH55" s="196"/>
      <c r="BMI55" s="196"/>
      <c r="BMJ55" s="196"/>
      <c r="BMK55" s="196"/>
      <c r="BML55" s="196"/>
      <c r="BMM55" s="196"/>
      <c r="BMN55" s="196"/>
      <c r="BMO55" s="196"/>
      <c r="BMP55" s="196"/>
      <c r="BMQ55" s="196"/>
      <c r="BMR55" s="196"/>
      <c r="BMS55" s="196"/>
      <c r="BMT55" s="196"/>
      <c r="BMU55" s="196"/>
      <c r="BMV55" s="196"/>
      <c r="BMW55" s="196"/>
      <c r="BMX55" s="196"/>
      <c r="BMY55" s="196"/>
      <c r="BMZ55" s="196"/>
      <c r="BNA55" s="196"/>
      <c r="BNB55" s="196"/>
      <c r="BNC55" s="196"/>
      <c r="BND55" s="196"/>
      <c r="BNE55" s="196"/>
      <c r="BNF55" s="196"/>
      <c r="BNG55" s="196"/>
      <c r="BNH55" s="196"/>
      <c r="BNI55" s="196"/>
      <c r="BNJ55" s="196"/>
      <c r="BNK55" s="196"/>
      <c r="BNL55" s="196"/>
      <c r="BNM55" s="196"/>
      <c r="BNN55" s="196"/>
      <c r="BNO55" s="196"/>
      <c r="BNP55" s="196"/>
      <c r="BNQ55" s="196"/>
      <c r="BNR55" s="196"/>
      <c r="BNS55" s="196"/>
      <c r="BNT55" s="196"/>
      <c r="BNU55" s="196"/>
      <c r="BNV55" s="196"/>
      <c r="BNW55" s="196"/>
      <c r="BNX55" s="196"/>
      <c r="BNY55" s="196"/>
      <c r="BNZ55" s="196"/>
      <c r="BOA55" s="196"/>
      <c r="BOB55" s="196"/>
      <c r="BOC55" s="196"/>
      <c r="BOD55" s="196"/>
      <c r="BOE55" s="196"/>
      <c r="BOF55" s="196"/>
      <c r="BOG55" s="196"/>
      <c r="BOH55" s="196"/>
      <c r="BOI55" s="196"/>
      <c r="BOJ55" s="196"/>
      <c r="BOK55" s="196"/>
      <c r="BOL55" s="196"/>
      <c r="BOM55" s="196"/>
      <c r="BON55" s="196"/>
      <c r="BOO55" s="196"/>
      <c r="BOP55" s="196"/>
      <c r="BOQ55" s="196"/>
      <c r="BOR55" s="196"/>
      <c r="BOS55" s="196"/>
      <c r="BOT55" s="196"/>
      <c r="BOU55" s="196"/>
      <c r="BOV55" s="196"/>
      <c r="BOW55" s="196"/>
      <c r="BOX55" s="196"/>
      <c r="BOY55" s="196"/>
      <c r="BOZ55" s="196"/>
      <c r="BPA55" s="196"/>
      <c r="BPB55" s="196"/>
      <c r="BPC55" s="196"/>
      <c r="BPD55" s="196"/>
      <c r="BPE55" s="196"/>
      <c r="BPF55" s="196"/>
      <c r="BPG55" s="196"/>
      <c r="BPH55" s="196"/>
      <c r="BPI55" s="196"/>
      <c r="BPJ55" s="196"/>
      <c r="BPK55" s="196"/>
      <c r="BPL55" s="196"/>
      <c r="BPM55" s="196"/>
      <c r="BPN55" s="196"/>
      <c r="BPO55" s="196"/>
      <c r="BPP55" s="196"/>
      <c r="BPQ55" s="196"/>
      <c r="BPR55" s="196"/>
      <c r="BPS55" s="196"/>
      <c r="BPT55" s="196"/>
      <c r="BPU55" s="196"/>
      <c r="BPV55" s="196"/>
      <c r="BPW55" s="196"/>
      <c r="BPX55" s="196"/>
      <c r="BPY55" s="196"/>
      <c r="BPZ55" s="196"/>
      <c r="BQA55" s="196"/>
      <c r="BQB55" s="196"/>
      <c r="BQC55" s="196"/>
      <c r="BQD55" s="196"/>
      <c r="BQE55" s="196"/>
      <c r="BQF55" s="196"/>
      <c r="BQG55" s="196"/>
      <c r="BQH55" s="196"/>
      <c r="BQI55" s="196"/>
      <c r="BQJ55" s="196"/>
      <c r="BQK55" s="196"/>
      <c r="BQL55" s="196"/>
      <c r="BQM55" s="196"/>
      <c r="BQN55" s="196"/>
      <c r="BQO55" s="196"/>
      <c r="BQP55" s="196"/>
      <c r="BQQ55" s="196"/>
      <c r="BQR55" s="196"/>
      <c r="BQS55" s="196"/>
      <c r="BQT55" s="196"/>
      <c r="BQU55" s="196"/>
      <c r="BQV55" s="196"/>
      <c r="BQW55" s="196"/>
      <c r="BQX55" s="196"/>
      <c r="BQY55" s="196"/>
      <c r="BQZ55" s="196"/>
      <c r="BRA55" s="196"/>
      <c r="BRB55" s="196"/>
      <c r="BRC55" s="196"/>
      <c r="BRD55" s="196"/>
      <c r="BRE55" s="196"/>
      <c r="BRF55" s="196"/>
      <c r="BRG55" s="196"/>
      <c r="BRH55" s="196"/>
      <c r="BRI55" s="196"/>
      <c r="BRJ55" s="196"/>
      <c r="BRK55" s="196"/>
      <c r="BRL55" s="196"/>
      <c r="BRM55" s="196"/>
      <c r="BRN55" s="196"/>
      <c r="BRO55" s="196"/>
      <c r="BRP55" s="196"/>
      <c r="BRQ55" s="196"/>
      <c r="BRR55" s="196"/>
      <c r="BRS55" s="196"/>
      <c r="BRT55" s="196"/>
      <c r="BRU55" s="196"/>
      <c r="BRV55" s="196"/>
      <c r="BRW55" s="196"/>
      <c r="BRX55" s="196"/>
      <c r="BRY55" s="196"/>
      <c r="BRZ55" s="196"/>
      <c r="BSA55" s="196"/>
      <c r="BSB55" s="196"/>
      <c r="BSC55" s="196"/>
      <c r="BSD55" s="196"/>
      <c r="BSE55" s="196"/>
      <c r="BSF55" s="196"/>
      <c r="BSG55" s="196"/>
      <c r="BSH55" s="196"/>
      <c r="BSI55" s="196"/>
      <c r="BSJ55" s="196"/>
      <c r="BSK55" s="196"/>
      <c r="BSL55" s="196"/>
      <c r="BSM55" s="196"/>
      <c r="BSN55" s="196"/>
      <c r="BSO55" s="196"/>
      <c r="BSP55" s="196"/>
      <c r="BSQ55" s="196"/>
      <c r="BSR55" s="196"/>
      <c r="BSS55" s="196"/>
      <c r="BST55" s="196"/>
      <c r="BSU55" s="196"/>
      <c r="BSV55" s="196"/>
      <c r="BSW55" s="196"/>
      <c r="BSX55" s="196"/>
      <c r="BSY55" s="196"/>
      <c r="BSZ55" s="196"/>
      <c r="BTA55" s="196"/>
      <c r="BTB55" s="196"/>
      <c r="BTC55" s="196"/>
      <c r="BTD55" s="196"/>
      <c r="BTE55" s="196"/>
      <c r="BTF55" s="196"/>
      <c r="BTG55" s="196"/>
      <c r="BTH55" s="196"/>
      <c r="BTI55" s="196"/>
      <c r="BTJ55" s="196"/>
      <c r="BTK55" s="196"/>
      <c r="BTL55" s="196"/>
      <c r="BTM55" s="196"/>
      <c r="BTN55" s="196"/>
      <c r="BTO55" s="196"/>
      <c r="BTP55" s="196"/>
      <c r="BTQ55" s="196"/>
      <c r="BTR55" s="196"/>
      <c r="BTS55" s="196"/>
      <c r="BTT55" s="196"/>
      <c r="BTU55" s="196"/>
      <c r="BTV55" s="196"/>
      <c r="BTW55" s="196"/>
      <c r="BTX55" s="196"/>
      <c r="BTY55" s="196"/>
      <c r="BTZ55" s="196"/>
      <c r="BUA55" s="196"/>
      <c r="BUB55" s="196"/>
      <c r="BUC55" s="196"/>
      <c r="BUD55" s="196"/>
      <c r="BUE55" s="196"/>
      <c r="BUF55" s="196"/>
      <c r="BUG55" s="196"/>
      <c r="BUH55" s="196"/>
      <c r="BUI55" s="196"/>
      <c r="BUJ55" s="196"/>
      <c r="BUK55" s="196"/>
      <c r="BUL55" s="196"/>
      <c r="BUM55" s="196"/>
      <c r="BUN55" s="196"/>
      <c r="BUO55" s="196"/>
      <c r="BUP55" s="196"/>
      <c r="BUQ55" s="196"/>
      <c r="BUR55" s="196"/>
      <c r="BUS55" s="196"/>
      <c r="BUT55" s="196"/>
      <c r="BUU55" s="196"/>
      <c r="BUV55" s="196"/>
      <c r="BUW55" s="196"/>
      <c r="BUX55" s="196"/>
      <c r="BUY55" s="196"/>
      <c r="BUZ55" s="196"/>
      <c r="BVA55" s="196"/>
      <c r="BVB55" s="196"/>
      <c r="BVC55" s="196"/>
      <c r="BVD55" s="196"/>
      <c r="BVE55" s="196"/>
      <c r="BVF55" s="196"/>
      <c r="BVG55" s="196"/>
      <c r="BVH55" s="196"/>
      <c r="BVI55" s="196"/>
      <c r="BVJ55" s="196"/>
      <c r="BVK55" s="196"/>
      <c r="BVL55" s="196"/>
      <c r="BVM55" s="196"/>
      <c r="BVN55" s="196"/>
      <c r="BVO55" s="196"/>
      <c r="BVP55" s="196"/>
      <c r="BVQ55" s="196"/>
      <c r="BVR55" s="196"/>
      <c r="BVS55" s="196"/>
      <c r="BVT55" s="196"/>
      <c r="BVU55" s="196"/>
      <c r="BVV55" s="196"/>
      <c r="BVW55" s="196"/>
      <c r="BVX55" s="196"/>
      <c r="BVY55" s="196"/>
      <c r="BVZ55" s="196"/>
      <c r="BWA55" s="196"/>
      <c r="BWB55" s="196"/>
      <c r="BWC55" s="196"/>
      <c r="BWD55" s="196"/>
      <c r="BWE55" s="196"/>
      <c r="BWF55" s="196"/>
      <c r="BWG55" s="196"/>
      <c r="BWH55" s="196"/>
      <c r="BWI55" s="196"/>
      <c r="BWJ55" s="196"/>
      <c r="BWK55" s="196"/>
      <c r="BWL55" s="196"/>
      <c r="BWM55" s="196"/>
      <c r="BWN55" s="196"/>
      <c r="BWO55" s="196"/>
      <c r="BWP55" s="196"/>
      <c r="BWQ55" s="196"/>
      <c r="BWR55" s="196"/>
      <c r="BWS55" s="196"/>
      <c r="BWT55" s="196"/>
      <c r="BWU55" s="196"/>
      <c r="BWV55" s="196"/>
      <c r="BWW55" s="196"/>
      <c r="BWX55" s="196"/>
      <c r="BWY55" s="196"/>
      <c r="BWZ55" s="196"/>
      <c r="BXA55" s="196"/>
      <c r="BXB55" s="196"/>
      <c r="BXC55" s="196"/>
      <c r="BXD55" s="196"/>
      <c r="BXE55" s="196"/>
      <c r="BXF55" s="196"/>
      <c r="BXG55" s="196"/>
      <c r="BXH55" s="196"/>
      <c r="BXI55" s="196"/>
      <c r="BXJ55" s="196"/>
      <c r="BXK55" s="196"/>
      <c r="BXL55" s="196"/>
      <c r="BXM55" s="196"/>
      <c r="BXN55" s="196"/>
      <c r="BXO55" s="196"/>
      <c r="BXP55" s="196"/>
      <c r="BXQ55" s="196"/>
      <c r="BXR55" s="196"/>
      <c r="BXS55" s="196"/>
      <c r="BXT55" s="196"/>
      <c r="BXU55" s="196"/>
      <c r="BXV55" s="196"/>
      <c r="BXW55" s="196"/>
      <c r="BXX55" s="196"/>
      <c r="BXY55" s="196"/>
      <c r="BXZ55" s="196"/>
      <c r="BYA55" s="196"/>
      <c r="BYB55" s="196"/>
      <c r="BYC55" s="196"/>
      <c r="BYD55" s="196"/>
      <c r="BYE55" s="196"/>
      <c r="BYF55" s="196"/>
      <c r="BYG55" s="196"/>
      <c r="BYH55" s="196"/>
      <c r="BYI55" s="196"/>
      <c r="BYJ55" s="196"/>
      <c r="BYK55" s="196"/>
      <c r="BYL55" s="196"/>
      <c r="BYM55" s="196"/>
      <c r="BYN55" s="196"/>
      <c r="BYO55" s="196"/>
      <c r="BYP55" s="196"/>
      <c r="BYQ55" s="196"/>
      <c r="BYR55" s="196"/>
      <c r="BYS55" s="196"/>
      <c r="BYT55" s="196"/>
      <c r="BYU55" s="196"/>
      <c r="BYV55" s="196"/>
      <c r="BYW55" s="196"/>
      <c r="BYX55" s="196"/>
      <c r="BYY55" s="196"/>
      <c r="BYZ55" s="196"/>
      <c r="BZA55" s="196"/>
      <c r="BZB55" s="196"/>
      <c r="BZC55" s="196"/>
      <c r="BZD55" s="196"/>
      <c r="BZE55" s="196"/>
      <c r="BZF55" s="196"/>
      <c r="BZG55" s="196"/>
      <c r="BZH55" s="196"/>
      <c r="BZI55" s="196"/>
      <c r="BZJ55" s="196"/>
      <c r="BZK55" s="196"/>
      <c r="BZL55" s="196"/>
      <c r="BZM55" s="196"/>
      <c r="BZN55" s="196"/>
      <c r="BZO55" s="196"/>
      <c r="BZP55" s="196"/>
      <c r="BZQ55" s="196"/>
      <c r="BZR55" s="196"/>
      <c r="BZS55" s="196"/>
      <c r="BZT55" s="196"/>
      <c r="BZU55" s="196"/>
      <c r="BZV55" s="196"/>
      <c r="BZW55" s="196"/>
      <c r="BZX55" s="196"/>
      <c r="BZY55" s="196"/>
      <c r="BZZ55" s="196"/>
      <c r="CAA55" s="196"/>
      <c r="CAB55" s="196"/>
      <c r="CAC55" s="196"/>
      <c r="CAD55" s="196"/>
      <c r="CAE55" s="196"/>
      <c r="CAF55" s="196"/>
      <c r="CAG55" s="196"/>
      <c r="CAH55" s="196"/>
      <c r="CAI55" s="196"/>
      <c r="CAJ55" s="196"/>
      <c r="CAK55" s="196"/>
      <c r="CAL55" s="196"/>
      <c r="CAM55" s="196"/>
      <c r="CAN55" s="196"/>
      <c r="CAO55" s="196"/>
      <c r="CAP55" s="196"/>
      <c r="CAQ55" s="196"/>
      <c r="CAR55" s="196"/>
      <c r="CAS55" s="196"/>
      <c r="CAT55" s="196"/>
      <c r="CAU55" s="196"/>
      <c r="CAV55" s="196"/>
      <c r="CAW55" s="196"/>
      <c r="CAX55" s="196"/>
      <c r="CAY55" s="196"/>
      <c r="CAZ55" s="196"/>
      <c r="CBA55" s="196"/>
      <c r="CBB55" s="196"/>
      <c r="CBC55" s="196"/>
      <c r="CBD55" s="196"/>
      <c r="CBE55" s="196"/>
      <c r="CBF55" s="196"/>
      <c r="CBG55" s="196"/>
      <c r="CBH55" s="196"/>
      <c r="CBI55" s="196"/>
      <c r="CBJ55" s="196"/>
      <c r="CBK55" s="196"/>
      <c r="CBL55" s="196"/>
      <c r="CBM55" s="196"/>
      <c r="CBN55" s="196"/>
      <c r="CBO55" s="196"/>
      <c r="CBP55" s="196"/>
      <c r="CBQ55" s="196"/>
      <c r="CBR55" s="196"/>
      <c r="CBS55" s="196"/>
      <c r="CBT55" s="196"/>
      <c r="CBU55" s="196"/>
      <c r="CBV55" s="196"/>
      <c r="CBW55" s="196"/>
      <c r="CBX55" s="196"/>
      <c r="CBY55" s="196"/>
      <c r="CBZ55" s="196"/>
      <c r="CCA55" s="196"/>
      <c r="CCB55" s="196"/>
      <c r="CCC55" s="196"/>
      <c r="CCD55" s="196"/>
      <c r="CCE55" s="196"/>
      <c r="CCF55" s="196"/>
      <c r="CCG55" s="196"/>
      <c r="CCH55" s="196"/>
      <c r="CCI55" s="196"/>
      <c r="CCJ55" s="196"/>
      <c r="CCK55" s="196"/>
      <c r="CCL55" s="196"/>
      <c r="CCM55" s="196"/>
      <c r="CCN55" s="196"/>
      <c r="CCO55" s="196"/>
      <c r="CCP55" s="196"/>
      <c r="CCQ55" s="196"/>
      <c r="CCR55" s="196"/>
      <c r="CCS55" s="196"/>
      <c r="CCT55" s="196"/>
      <c r="CCU55" s="196"/>
      <c r="CCV55" s="196"/>
      <c r="CCW55" s="196"/>
      <c r="CCX55" s="196"/>
      <c r="CCY55" s="196"/>
      <c r="CCZ55" s="196"/>
      <c r="CDA55" s="196"/>
      <c r="CDB55" s="196"/>
      <c r="CDC55" s="196"/>
      <c r="CDD55" s="196"/>
      <c r="CDE55" s="196"/>
      <c r="CDF55" s="196"/>
      <c r="CDG55" s="196"/>
      <c r="CDH55" s="196"/>
      <c r="CDI55" s="196"/>
      <c r="CDJ55" s="196"/>
      <c r="CDK55" s="196"/>
      <c r="CDL55" s="196"/>
      <c r="CDM55" s="196"/>
      <c r="CDN55" s="196"/>
      <c r="CDO55" s="196"/>
      <c r="CDP55" s="196"/>
      <c r="CDQ55" s="196"/>
      <c r="CDR55" s="196"/>
      <c r="CDS55" s="196"/>
      <c r="CDT55" s="196"/>
      <c r="CDU55" s="196"/>
      <c r="CDV55" s="196"/>
      <c r="CDW55" s="196"/>
      <c r="CDX55" s="196"/>
      <c r="CDY55" s="196"/>
      <c r="CDZ55" s="196"/>
      <c r="CEA55" s="196"/>
      <c r="CEB55" s="196"/>
      <c r="CEC55" s="196"/>
      <c r="CED55" s="196"/>
      <c r="CEE55" s="196"/>
      <c r="CEF55" s="196"/>
      <c r="CEG55" s="196"/>
      <c r="CEH55" s="196"/>
      <c r="CEI55" s="196"/>
      <c r="CEJ55" s="196"/>
      <c r="CEK55" s="196"/>
      <c r="CEL55" s="196"/>
      <c r="CEM55" s="196"/>
      <c r="CEN55" s="196"/>
      <c r="CEO55" s="196"/>
      <c r="CEP55" s="196"/>
      <c r="CEQ55" s="196"/>
      <c r="CER55" s="196"/>
      <c r="CES55" s="196"/>
      <c r="CET55" s="196"/>
      <c r="CEU55" s="196"/>
      <c r="CEV55" s="196"/>
      <c r="CEW55" s="196"/>
      <c r="CEX55" s="196"/>
      <c r="CEY55" s="196"/>
      <c r="CEZ55" s="196"/>
      <c r="CFA55" s="196"/>
      <c r="CFB55" s="196"/>
      <c r="CFC55" s="196"/>
      <c r="CFD55" s="196"/>
      <c r="CFE55" s="196"/>
      <c r="CFF55" s="196"/>
      <c r="CFG55" s="196"/>
      <c r="CFH55" s="196"/>
      <c r="CFI55" s="196"/>
      <c r="CFJ55" s="196"/>
      <c r="CFK55" s="196"/>
      <c r="CFL55" s="196"/>
      <c r="CFM55" s="196"/>
      <c r="CFN55" s="196"/>
      <c r="CFO55" s="196"/>
      <c r="CFP55" s="196"/>
      <c r="CFQ55" s="196"/>
      <c r="CFR55" s="196"/>
      <c r="CFS55" s="196"/>
      <c r="CFT55" s="196"/>
      <c r="CFU55" s="196"/>
      <c r="CFV55" s="196"/>
      <c r="CFW55" s="196"/>
      <c r="CFX55" s="196"/>
      <c r="CFY55" s="196"/>
      <c r="CFZ55" s="196"/>
      <c r="CGA55" s="196"/>
      <c r="CGB55" s="196"/>
      <c r="CGC55" s="196"/>
      <c r="CGD55" s="196"/>
      <c r="CGE55" s="196"/>
      <c r="CGF55" s="196"/>
      <c r="CGG55" s="196"/>
      <c r="CGH55" s="196"/>
      <c r="CGI55" s="196"/>
      <c r="CGJ55" s="196"/>
      <c r="CGK55" s="196"/>
      <c r="CGL55" s="196"/>
      <c r="CGM55" s="196"/>
      <c r="CGN55" s="196"/>
      <c r="CGO55" s="196"/>
      <c r="CGP55" s="196"/>
      <c r="CGQ55" s="196"/>
      <c r="CGR55" s="196"/>
      <c r="CGS55" s="196"/>
      <c r="CGT55" s="196"/>
      <c r="CGU55" s="196"/>
      <c r="CGV55" s="196"/>
      <c r="CGW55" s="196"/>
      <c r="CGX55" s="196"/>
      <c r="CGY55" s="196"/>
      <c r="CGZ55" s="196"/>
      <c r="CHA55" s="196"/>
      <c r="CHB55" s="196"/>
      <c r="CHC55" s="196"/>
      <c r="CHD55" s="196"/>
      <c r="CHE55" s="196"/>
      <c r="CHF55" s="196"/>
      <c r="CHG55" s="196"/>
      <c r="CHH55" s="196"/>
      <c r="CHI55" s="196"/>
      <c r="CHJ55" s="196"/>
      <c r="CHK55" s="196"/>
      <c r="CHL55" s="196"/>
      <c r="CHM55" s="196"/>
      <c r="CHN55" s="196"/>
      <c r="CHO55" s="196"/>
      <c r="CHP55" s="196"/>
      <c r="CHQ55" s="196"/>
      <c r="CHR55" s="196"/>
      <c r="CHS55" s="196"/>
      <c r="CHT55" s="196"/>
      <c r="CHU55" s="196"/>
      <c r="CHV55" s="196"/>
      <c r="CHW55" s="196"/>
      <c r="CHX55" s="196"/>
      <c r="CHY55" s="196"/>
      <c r="CHZ55" s="196"/>
      <c r="CIA55" s="196"/>
      <c r="CIB55" s="196"/>
      <c r="CIC55" s="196"/>
      <c r="CID55" s="196"/>
      <c r="CIE55" s="196"/>
      <c r="CIF55" s="196"/>
      <c r="CIG55" s="196"/>
      <c r="CIH55" s="196"/>
      <c r="CII55" s="196"/>
      <c r="CIJ55" s="196"/>
      <c r="CIK55" s="196"/>
      <c r="CIL55" s="196"/>
      <c r="CIM55" s="196"/>
      <c r="CIN55" s="196"/>
      <c r="CIO55" s="196"/>
      <c r="CIP55" s="196"/>
      <c r="CIQ55" s="196"/>
      <c r="CIR55" s="196"/>
      <c r="CIS55" s="196"/>
      <c r="CIT55" s="196"/>
      <c r="CIU55" s="196"/>
      <c r="CIV55" s="196"/>
      <c r="CIW55" s="196"/>
      <c r="CIX55" s="196"/>
      <c r="CIY55" s="196"/>
      <c r="CIZ55" s="196"/>
      <c r="CJA55" s="196"/>
      <c r="CJB55" s="196"/>
      <c r="CJC55" s="196"/>
      <c r="CJD55" s="196"/>
      <c r="CJE55" s="196"/>
      <c r="CJF55" s="196"/>
      <c r="CJG55" s="196"/>
      <c r="CJH55" s="196"/>
      <c r="CJI55" s="196"/>
      <c r="CJJ55" s="196"/>
      <c r="CJK55" s="196"/>
      <c r="CJL55" s="196"/>
      <c r="CJM55" s="196"/>
      <c r="CJN55" s="196"/>
      <c r="CJO55" s="196"/>
      <c r="CJP55" s="196"/>
      <c r="CJQ55" s="196"/>
      <c r="CJR55" s="196"/>
      <c r="CJS55" s="196"/>
      <c r="CJT55" s="196"/>
      <c r="CJU55" s="196"/>
      <c r="CJV55" s="196"/>
      <c r="CJW55" s="196"/>
      <c r="CJX55" s="196"/>
      <c r="CJY55" s="196"/>
      <c r="CJZ55" s="196"/>
      <c r="CKA55" s="196"/>
      <c r="CKB55" s="196"/>
      <c r="CKC55" s="196"/>
      <c r="CKD55" s="196"/>
      <c r="CKE55" s="196"/>
      <c r="CKF55" s="196"/>
      <c r="CKG55" s="196"/>
      <c r="CKH55" s="196"/>
      <c r="CKI55" s="196"/>
      <c r="CKJ55" s="196"/>
      <c r="CKK55" s="196"/>
      <c r="CKL55" s="196"/>
      <c r="CKM55" s="196"/>
      <c r="CKN55" s="196"/>
      <c r="CKO55" s="196"/>
      <c r="CKP55" s="196"/>
      <c r="CKQ55" s="196"/>
      <c r="CKR55" s="196"/>
      <c r="CKS55" s="196"/>
      <c r="CKT55" s="196"/>
      <c r="CKU55" s="196"/>
      <c r="CKV55" s="196"/>
      <c r="CKW55" s="196"/>
      <c r="CKX55" s="196"/>
      <c r="CKY55" s="196"/>
      <c r="CKZ55" s="196"/>
      <c r="CLA55" s="196"/>
      <c r="CLB55" s="196"/>
      <c r="CLC55" s="196"/>
      <c r="CLD55" s="196"/>
      <c r="CLE55" s="196"/>
      <c r="CLF55" s="196"/>
      <c r="CLG55" s="196"/>
      <c r="CLH55" s="196"/>
      <c r="CLI55" s="196"/>
      <c r="CLJ55" s="196"/>
      <c r="CLK55" s="196"/>
      <c r="CLL55" s="196"/>
      <c r="CLM55" s="196"/>
      <c r="CLN55" s="196"/>
      <c r="CLO55" s="196"/>
      <c r="CLP55" s="196"/>
      <c r="CLQ55" s="196"/>
      <c r="CLR55" s="196"/>
      <c r="CLS55" s="196"/>
      <c r="CLT55" s="196"/>
      <c r="CLU55" s="196"/>
      <c r="CLV55" s="196"/>
      <c r="CLW55" s="196"/>
      <c r="CLX55" s="196"/>
      <c r="CLY55" s="196"/>
      <c r="CLZ55" s="196"/>
      <c r="CMA55" s="196"/>
      <c r="CMB55" s="196"/>
      <c r="CMC55" s="196"/>
      <c r="CMD55" s="196"/>
      <c r="CME55" s="196"/>
      <c r="CMF55" s="196"/>
      <c r="CMG55" s="196"/>
      <c r="CMH55" s="196"/>
      <c r="CMI55" s="196"/>
      <c r="CMJ55" s="196"/>
      <c r="CMK55" s="196"/>
      <c r="CML55" s="196"/>
      <c r="CMM55" s="196"/>
      <c r="CMN55" s="196"/>
      <c r="CMO55" s="196"/>
      <c r="CMP55" s="196"/>
      <c r="CMQ55" s="196"/>
      <c r="CMR55" s="196"/>
      <c r="CMS55" s="196"/>
      <c r="CMT55" s="196"/>
      <c r="CMU55" s="196"/>
      <c r="CMV55" s="196"/>
      <c r="CMW55" s="196"/>
      <c r="CMX55" s="196"/>
      <c r="CMY55" s="196"/>
      <c r="CMZ55" s="196"/>
      <c r="CNA55" s="196"/>
      <c r="CNB55" s="196"/>
      <c r="CNC55" s="196"/>
      <c r="CND55" s="196"/>
      <c r="CNE55" s="196"/>
      <c r="CNF55" s="196"/>
      <c r="CNG55" s="196"/>
      <c r="CNH55" s="196"/>
      <c r="CNI55" s="196"/>
      <c r="CNJ55" s="196"/>
      <c r="CNK55" s="196"/>
      <c r="CNL55" s="196"/>
      <c r="CNM55" s="196"/>
      <c r="CNN55" s="196"/>
      <c r="CNO55" s="196"/>
      <c r="CNP55" s="196"/>
      <c r="CNQ55" s="196"/>
      <c r="CNR55" s="196"/>
      <c r="CNS55" s="196"/>
      <c r="CNT55" s="196"/>
      <c r="CNU55" s="196"/>
      <c r="CNV55" s="196"/>
      <c r="CNW55" s="196"/>
      <c r="CNX55" s="196"/>
      <c r="CNY55" s="196"/>
      <c r="CNZ55" s="196"/>
      <c r="COA55" s="196"/>
      <c r="COB55" s="196"/>
      <c r="COC55" s="196"/>
      <c r="COD55" s="196"/>
      <c r="COE55" s="196"/>
      <c r="COF55" s="196"/>
      <c r="COG55" s="196"/>
      <c r="COH55" s="196"/>
      <c r="COI55" s="196"/>
      <c r="COJ55" s="196"/>
      <c r="COK55" s="196"/>
      <c r="COL55" s="196"/>
      <c r="COM55" s="196"/>
      <c r="CON55" s="196"/>
      <c r="COO55" s="196"/>
      <c r="COP55" s="196"/>
      <c r="COQ55" s="196"/>
      <c r="COR55" s="196"/>
      <c r="COS55" s="196"/>
      <c r="COT55" s="196"/>
      <c r="COU55" s="196"/>
      <c r="COV55" s="196"/>
      <c r="COW55" s="196"/>
      <c r="COX55" s="196"/>
      <c r="COY55" s="196"/>
      <c r="COZ55" s="196"/>
      <c r="CPA55" s="196"/>
      <c r="CPB55" s="196"/>
      <c r="CPC55" s="196"/>
      <c r="CPD55" s="196"/>
      <c r="CPE55" s="196"/>
      <c r="CPF55" s="196"/>
      <c r="CPG55" s="196"/>
      <c r="CPH55" s="196"/>
      <c r="CPI55" s="196"/>
      <c r="CPJ55" s="196"/>
      <c r="CPK55" s="196"/>
      <c r="CPL55" s="196"/>
      <c r="CPM55" s="196"/>
      <c r="CPN55" s="196"/>
      <c r="CPO55" s="196"/>
      <c r="CPP55" s="196"/>
      <c r="CPQ55" s="196"/>
      <c r="CPR55" s="196"/>
      <c r="CPS55" s="196"/>
      <c r="CPT55" s="196"/>
      <c r="CPU55" s="196"/>
      <c r="CPV55" s="196"/>
      <c r="CPW55" s="196"/>
      <c r="CPX55" s="196"/>
      <c r="CPY55" s="196"/>
      <c r="CPZ55" s="196"/>
      <c r="CQA55" s="196"/>
      <c r="CQB55" s="196"/>
      <c r="CQC55" s="196"/>
      <c r="CQD55" s="196"/>
      <c r="CQE55" s="196"/>
      <c r="CQF55" s="196"/>
      <c r="CQG55" s="196"/>
      <c r="CQH55" s="196"/>
      <c r="CQI55" s="196"/>
      <c r="CQJ55" s="196"/>
      <c r="CQK55" s="196"/>
      <c r="CQL55" s="196"/>
      <c r="CQM55" s="196"/>
      <c r="CQN55" s="196"/>
      <c r="CQO55" s="196"/>
      <c r="CQP55" s="196"/>
      <c r="CQQ55" s="196"/>
      <c r="CQR55" s="196"/>
      <c r="CQS55" s="196"/>
      <c r="CQT55" s="196"/>
      <c r="CQU55" s="196"/>
      <c r="CQV55" s="196"/>
      <c r="CQW55" s="196"/>
      <c r="CQX55" s="196"/>
      <c r="CQY55" s="196"/>
      <c r="CQZ55" s="196"/>
      <c r="CRA55" s="196"/>
      <c r="CRB55" s="196"/>
      <c r="CRC55" s="196"/>
      <c r="CRD55" s="196"/>
      <c r="CRE55" s="196"/>
      <c r="CRF55" s="196"/>
      <c r="CRG55" s="196"/>
      <c r="CRH55" s="196"/>
      <c r="CRI55" s="196"/>
      <c r="CRJ55" s="196"/>
      <c r="CRK55" s="196"/>
      <c r="CRL55" s="196"/>
      <c r="CRM55" s="196"/>
      <c r="CRN55" s="196"/>
      <c r="CRO55" s="196"/>
      <c r="CRP55" s="196"/>
      <c r="CRQ55" s="196"/>
      <c r="CRR55" s="196"/>
      <c r="CRS55" s="196"/>
      <c r="CRT55" s="196"/>
      <c r="CRU55" s="196"/>
      <c r="CRV55" s="196"/>
      <c r="CRW55" s="196"/>
      <c r="CRX55" s="196"/>
      <c r="CRY55" s="196"/>
      <c r="CRZ55" s="196"/>
      <c r="CSA55" s="196"/>
      <c r="CSB55" s="196"/>
      <c r="CSC55" s="196"/>
      <c r="CSD55" s="196"/>
      <c r="CSE55" s="196"/>
      <c r="CSF55" s="196"/>
      <c r="CSG55" s="196"/>
      <c r="CSH55" s="196"/>
      <c r="CSI55" s="196"/>
      <c r="CSJ55" s="196"/>
      <c r="CSK55" s="196"/>
      <c r="CSL55" s="196"/>
      <c r="CSM55" s="196"/>
      <c r="CSN55" s="196"/>
      <c r="CSO55" s="196"/>
      <c r="CSP55" s="196"/>
      <c r="CSQ55" s="196"/>
      <c r="CSR55" s="196"/>
      <c r="CSS55" s="196"/>
      <c r="CST55" s="196"/>
      <c r="CSU55" s="196"/>
      <c r="CSV55" s="196"/>
      <c r="CSW55" s="196"/>
      <c r="CSX55" s="196"/>
      <c r="CSY55" s="196"/>
      <c r="CSZ55" s="196"/>
      <c r="CTA55" s="196"/>
      <c r="CTB55" s="196"/>
      <c r="CTC55" s="196"/>
      <c r="CTD55" s="196"/>
      <c r="CTE55" s="196"/>
      <c r="CTF55" s="196"/>
      <c r="CTG55" s="196"/>
      <c r="CTH55" s="196"/>
      <c r="CTI55" s="196"/>
      <c r="CTJ55" s="196"/>
      <c r="CTK55" s="196"/>
      <c r="CTL55" s="196"/>
      <c r="CTM55" s="196"/>
      <c r="CTN55" s="196"/>
      <c r="CTO55" s="196"/>
      <c r="CTP55" s="196"/>
      <c r="CTQ55" s="196"/>
      <c r="CTR55" s="196"/>
      <c r="CTS55" s="196"/>
      <c r="CTT55" s="196"/>
      <c r="CTU55" s="196"/>
      <c r="CTV55" s="196"/>
      <c r="CTW55" s="196"/>
      <c r="CTX55" s="196"/>
      <c r="CTY55" s="196"/>
      <c r="CTZ55" s="196"/>
      <c r="CUA55" s="196"/>
      <c r="CUB55" s="196"/>
      <c r="CUC55" s="196"/>
      <c r="CUD55" s="196"/>
      <c r="CUE55" s="196"/>
      <c r="CUF55" s="196"/>
      <c r="CUG55" s="196"/>
      <c r="CUH55" s="196"/>
      <c r="CUI55" s="196"/>
      <c r="CUJ55" s="196"/>
      <c r="CUK55" s="196"/>
      <c r="CUL55" s="196"/>
      <c r="CUM55" s="196"/>
      <c r="CUN55" s="196"/>
      <c r="CUO55" s="196"/>
      <c r="CUP55" s="196"/>
      <c r="CUQ55" s="196"/>
      <c r="CUR55" s="196"/>
      <c r="CUS55" s="196"/>
      <c r="CUT55" s="196"/>
      <c r="CUU55" s="196"/>
      <c r="CUV55" s="196"/>
      <c r="CUW55" s="196"/>
      <c r="CUX55" s="196"/>
      <c r="CUY55" s="196"/>
      <c r="CUZ55" s="196"/>
      <c r="CVA55" s="196"/>
      <c r="CVB55" s="196"/>
      <c r="CVC55" s="196"/>
      <c r="CVD55" s="196"/>
      <c r="CVE55" s="196"/>
      <c r="CVF55" s="196"/>
      <c r="CVG55" s="196"/>
      <c r="CVH55" s="196"/>
      <c r="CVI55" s="196"/>
      <c r="CVJ55" s="196"/>
      <c r="CVK55" s="196"/>
      <c r="CVL55" s="196"/>
      <c r="CVM55" s="196"/>
      <c r="CVN55" s="196"/>
      <c r="CVO55" s="196"/>
      <c r="CVP55" s="196"/>
      <c r="CVQ55" s="196"/>
      <c r="CVR55" s="196"/>
      <c r="CVS55" s="196"/>
      <c r="CVT55" s="196"/>
      <c r="CVU55" s="196"/>
      <c r="CVV55" s="196"/>
      <c r="CVW55" s="196"/>
      <c r="CVX55" s="196"/>
      <c r="CVY55" s="196"/>
      <c r="CVZ55" s="196"/>
      <c r="CWA55" s="196"/>
      <c r="CWB55" s="196"/>
      <c r="CWC55" s="196"/>
      <c r="CWD55" s="196"/>
      <c r="CWE55" s="196"/>
      <c r="CWF55" s="196"/>
      <c r="CWG55" s="196"/>
      <c r="CWH55" s="196"/>
      <c r="CWI55" s="196"/>
      <c r="CWJ55" s="196"/>
      <c r="CWK55" s="196"/>
      <c r="CWL55" s="196"/>
      <c r="CWM55" s="196"/>
      <c r="CWN55" s="196"/>
      <c r="CWO55" s="196"/>
      <c r="CWP55" s="196"/>
      <c r="CWQ55" s="196"/>
      <c r="CWR55" s="196"/>
      <c r="CWS55" s="196"/>
      <c r="CWT55" s="196"/>
      <c r="CWU55" s="196"/>
      <c r="CWV55" s="196"/>
      <c r="CWW55" s="196"/>
      <c r="CWX55" s="196"/>
      <c r="CWY55" s="196"/>
      <c r="CWZ55" s="196"/>
      <c r="CXA55" s="196"/>
      <c r="CXB55" s="196"/>
      <c r="CXC55" s="196"/>
      <c r="CXD55" s="196"/>
      <c r="CXE55" s="196"/>
      <c r="CXF55" s="196"/>
      <c r="CXG55" s="196"/>
      <c r="CXH55" s="196"/>
      <c r="CXI55" s="196"/>
      <c r="CXJ55" s="196"/>
      <c r="CXK55" s="196"/>
      <c r="CXL55" s="196"/>
      <c r="CXM55" s="196"/>
      <c r="CXN55" s="196"/>
      <c r="CXO55" s="196"/>
      <c r="CXP55" s="196"/>
      <c r="CXQ55" s="196"/>
      <c r="CXR55" s="196"/>
      <c r="CXS55" s="196"/>
      <c r="CXT55" s="196"/>
      <c r="CXU55" s="196"/>
      <c r="CXV55" s="196"/>
      <c r="CXW55" s="196"/>
      <c r="CXX55" s="196"/>
      <c r="CXY55" s="196"/>
      <c r="CXZ55" s="196"/>
      <c r="CYA55" s="196"/>
      <c r="CYB55" s="196"/>
      <c r="CYC55" s="196"/>
      <c r="CYD55" s="196"/>
      <c r="CYE55" s="196"/>
      <c r="CYF55" s="196"/>
      <c r="CYG55" s="196"/>
      <c r="CYH55" s="196"/>
      <c r="CYI55" s="196"/>
      <c r="CYJ55" s="196"/>
      <c r="CYK55" s="196"/>
      <c r="CYL55" s="196"/>
      <c r="CYM55" s="196"/>
      <c r="CYN55" s="196"/>
      <c r="CYO55" s="196"/>
      <c r="CYP55" s="196"/>
      <c r="CYQ55" s="196"/>
      <c r="CYR55" s="196"/>
      <c r="CYS55" s="196"/>
      <c r="CYT55" s="196"/>
      <c r="CYU55" s="196"/>
      <c r="CYV55" s="196"/>
      <c r="CYW55" s="196"/>
      <c r="CYX55" s="196"/>
      <c r="CYY55" s="196"/>
      <c r="CYZ55" s="196"/>
      <c r="CZA55" s="196"/>
      <c r="CZB55" s="196"/>
      <c r="CZC55" s="196"/>
      <c r="CZD55" s="196"/>
      <c r="CZE55" s="196"/>
      <c r="CZF55" s="196"/>
      <c r="CZG55" s="196"/>
      <c r="CZH55" s="196"/>
      <c r="CZI55" s="196"/>
      <c r="CZJ55" s="196"/>
      <c r="CZK55" s="196"/>
      <c r="CZL55" s="196"/>
      <c r="CZM55" s="196"/>
      <c r="CZN55" s="196"/>
      <c r="CZO55" s="196"/>
      <c r="CZP55" s="196"/>
      <c r="CZQ55" s="196"/>
      <c r="CZR55" s="196"/>
      <c r="CZS55" s="196"/>
      <c r="CZT55" s="196"/>
      <c r="CZU55" s="196"/>
      <c r="CZV55" s="196"/>
      <c r="CZW55" s="196"/>
      <c r="CZX55" s="196"/>
      <c r="CZY55" s="196"/>
      <c r="CZZ55" s="196"/>
      <c r="DAA55" s="196"/>
      <c r="DAB55" s="196"/>
      <c r="DAC55" s="196"/>
      <c r="DAD55" s="196"/>
      <c r="DAE55" s="196"/>
      <c r="DAF55" s="196"/>
      <c r="DAG55" s="196"/>
      <c r="DAH55" s="196"/>
      <c r="DAI55" s="196"/>
      <c r="DAJ55" s="196"/>
      <c r="DAK55" s="196"/>
      <c r="DAL55" s="196"/>
      <c r="DAM55" s="196"/>
      <c r="DAN55" s="196"/>
      <c r="DAO55" s="196"/>
      <c r="DAP55" s="196"/>
      <c r="DAQ55" s="196"/>
      <c r="DAR55" s="196"/>
      <c r="DAS55" s="196"/>
      <c r="DAT55" s="196"/>
      <c r="DAU55" s="196"/>
      <c r="DAV55" s="196"/>
      <c r="DAW55" s="196"/>
      <c r="DAX55" s="196"/>
      <c r="DAY55" s="196"/>
      <c r="DAZ55" s="196"/>
      <c r="DBA55" s="196"/>
      <c r="DBB55" s="196"/>
      <c r="DBC55" s="196"/>
      <c r="DBD55" s="196"/>
      <c r="DBE55" s="196"/>
      <c r="DBF55" s="196"/>
      <c r="DBG55" s="196"/>
      <c r="DBH55" s="196"/>
      <c r="DBI55" s="196"/>
      <c r="DBJ55" s="196"/>
      <c r="DBK55" s="196"/>
      <c r="DBL55" s="196"/>
      <c r="DBM55" s="196"/>
      <c r="DBN55" s="196"/>
      <c r="DBO55" s="196"/>
      <c r="DBP55" s="196"/>
      <c r="DBQ55" s="196"/>
      <c r="DBR55" s="196"/>
      <c r="DBS55" s="196"/>
      <c r="DBT55" s="196"/>
      <c r="DBU55" s="196"/>
      <c r="DBV55" s="196"/>
      <c r="DBW55" s="196"/>
      <c r="DBX55" s="196"/>
      <c r="DBY55" s="196"/>
      <c r="DBZ55" s="196"/>
      <c r="DCA55" s="196"/>
      <c r="DCB55" s="196"/>
      <c r="DCC55" s="196"/>
      <c r="DCD55" s="196"/>
      <c r="DCE55" s="196"/>
      <c r="DCF55" s="196"/>
      <c r="DCG55" s="196"/>
      <c r="DCH55" s="196"/>
      <c r="DCI55" s="196"/>
      <c r="DCJ55" s="196"/>
      <c r="DCK55" s="196"/>
      <c r="DCL55" s="196"/>
      <c r="DCM55" s="196"/>
      <c r="DCN55" s="196"/>
      <c r="DCO55" s="196"/>
      <c r="DCP55" s="196"/>
      <c r="DCQ55" s="196"/>
      <c r="DCR55" s="196"/>
      <c r="DCS55" s="196"/>
      <c r="DCT55" s="196"/>
      <c r="DCU55" s="196"/>
      <c r="DCV55" s="196"/>
      <c r="DCW55" s="196"/>
      <c r="DCX55" s="196"/>
      <c r="DCY55" s="196"/>
      <c r="DCZ55" s="196"/>
      <c r="DDA55" s="196"/>
      <c r="DDB55" s="196"/>
      <c r="DDC55" s="196"/>
      <c r="DDD55" s="196"/>
      <c r="DDE55" s="196"/>
      <c r="DDF55" s="196"/>
      <c r="DDG55" s="196"/>
      <c r="DDH55" s="196"/>
      <c r="DDI55" s="196"/>
      <c r="DDJ55" s="196"/>
      <c r="DDK55" s="196"/>
      <c r="DDL55" s="196"/>
      <c r="DDM55" s="196"/>
      <c r="DDN55" s="196"/>
      <c r="DDO55" s="196"/>
      <c r="DDP55" s="196"/>
      <c r="DDQ55" s="196"/>
      <c r="DDR55" s="196"/>
      <c r="DDS55" s="196"/>
      <c r="DDT55" s="196"/>
      <c r="DDU55" s="196"/>
      <c r="DDV55" s="196"/>
      <c r="DDW55" s="196"/>
      <c r="DDX55" s="196"/>
      <c r="DDY55" s="196"/>
      <c r="DDZ55" s="196"/>
      <c r="DEA55" s="196"/>
      <c r="DEB55" s="196"/>
      <c r="DEC55" s="196"/>
      <c r="DED55" s="196"/>
      <c r="DEE55" s="196"/>
      <c r="DEF55" s="196"/>
      <c r="DEG55" s="196"/>
      <c r="DEH55" s="196"/>
      <c r="DEI55" s="196"/>
      <c r="DEJ55" s="196"/>
      <c r="DEK55" s="196"/>
      <c r="DEL55" s="196"/>
      <c r="DEM55" s="196"/>
      <c r="DEN55" s="196"/>
      <c r="DEO55" s="196"/>
      <c r="DEP55" s="196"/>
      <c r="DEQ55" s="196"/>
      <c r="DER55" s="196"/>
      <c r="DES55" s="196"/>
      <c r="DET55" s="196"/>
      <c r="DEU55" s="196"/>
      <c r="DEV55" s="196"/>
      <c r="DEW55" s="196"/>
      <c r="DEX55" s="196"/>
      <c r="DEY55" s="196"/>
      <c r="DEZ55" s="196"/>
      <c r="DFA55" s="196"/>
      <c r="DFB55" s="196"/>
      <c r="DFC55" s="196"/>
      <c r="DFD55" s="196"/>
      <c r="DFE55" s="196"/>
      <c r="DFF55" s="196"/>
      <c r="DFG55" s="196"/>
      <c r="DFH55" s="196"/>
      <c r="DFI55" s="196"/>
      <c r="DFJ55" s="196"/>
      <c r="DFK55" s="196"/>
      <c r="DFL55" s="196"/>
      <c r="DFM55" s="196"/>
      <c r="DFN55" s="196"/>
      <c r="DFO55" s="196"/>
      <c r="DFP55" s="196"/>
      <c r="DFQ55" s="196"/>
      <c r="DFR55" s="196"/>
      <c r="DFS55" s="196"/>
      <c r="DFT55" s="196"/>
      <c r="DFU55" s="196"/>
      <c r="DFV55" s="196"/>
      <c r="DFW55" s="196"/>
      <c r="DFX55" s="196"/>
      <c r="DFY55" s="196"/>
      <c r="DFZ55" s="196"/>
      <c r="DGA55" s="196"/>
      <c r="DGB55" s="196"/>
      <c r="DGC55" s="196"/>
      <c r="DGD55" s="196"/>
      <c r="DGE55" s="196"/>
      <c r="DGF55" s="196"/>
      <c r="DGG55" s="196"/>
      <c r="DGH55" s="196"/>
      <c r="DGI55" s="196"/>
      <c r="DGJ55" s="196"/>
      <c r="DGK55" s="196"/>
      <c r="DGL55" s="196"/>
      <c r="DGM55" s="196"/>
      <c r="DGN55" s="196"/>
      <c r="DGO55" s="196"/>
      <c r="DGP55" s="196"/>
      <c r="DGQ55" s="196"/>
      <c r="DGR55" s="196"/>
      <c r="DGS55" s="196"/>
      <c r="DGT55" s="196"/>
      <c r="DGU55" s="196"/>
      <c r="DGV55" s="196"/>
      <c r="DGW55" s="196"/>
      <c r="DGX55" s="196"/>
      <c r="DGY55" s="196"/>
      <c r="DGZ55" s="196"/>
      <c r="DHA55" s="196"/>
      <c r="DHB55" s="196"/>
      <c r="DHC55" s="196"/>
      <c r="DHD55" s="196"/>
      <c r="DHE55" s="196"/>
      <c r="DHF55" s="196"/>
      <c r="DHG55" s="196"/>
      <c r="DHH55" s="196"/>
      <c r="DHI55" s="196"/>
      <c r="DHJ55" s="196"/>
      <c r="DHK55" s="196"/>
      <c r="DHL55" s="196"/>
      <c r="DHM55" s="196"/>
      <c r="DHN55" s="196"/>
      <c r="DHO55" s="196"/>
      <c r="DHP55" s="196"/>
      <c r="DHQ55" s="196"/>
      <c r="DHR55" s="196"/>
      <c r="DHS55" s="196"/>
      <c r="DHT55" s="196"/>
      <c r="DHU55" s="196"/>
      <c r="DHV55" s="196"/>
      <c r="DHW55" s="196"/>
      <c r="DHX55" s="196"/>
      <c r="DHY55" s="196"/>
      <c r="DHZ55" s="196"/>
      <c r="DIA55" s="196"/>
      <c r="DIB55" s="196"/>
      <c r="DIC55" s="196"/>
      <c r="DID55" s="196"/>
      <c r="DIE55" s="196"/>
      <c r="DIF55" s="196"/>
      <c r="DIG55" s="196"/>
      <c r="DIH55" s="196"/>
      <c r="DII55" s="196"/>
      <c r="DIJ55" s="196"/>
      <c r="DIK55" s="196"/>
      <c r="DIL55" s="196"/>
      <c r="DIM55" s="196"/>
      <c r="DIN55" s="196"/>
      <c r="DIO55" s="196"/>
      <c r="DIP55" s="196"/>
      <c r="DIQ55" s="196"/>
      <c r="DIR55" s="196"/>
      <c r="DIS55" s="196"/>
      <c r="DIT55" s="196"/>
      <c r="DIU55" s="196"/>
      <c r="DIV55" s="196"/>
      <c r="DIW55" s="196"/>
      <c r="DIX55" s="196"/>
      <c r="DIY55" s="196"/>
      <c r="DIZ55" s="196"/>
      <c r="DJA55" s="196"/>
      <c r="DJB55" s="196"/>
      <c r="DJC55" s="196"/>
      <c r="DJD55" s="196"/>
      <c r="DJE55" s="196"/>
      <c r="DJF55" s="196"/>
      <c r="DJG55" s="196"/>
      <c r="DJH55" s="196"/>
      <c r="DJI55" s="196"/>
      <c r="DJJ55" s="196"/>
      <c r="DJK55" s="196"/>
      <c r="DJL55" s="196"/>
      <c r="DJM55" s="196"/>
      <c r="DJN55" s="196"/>
      <c r="DJO55" s="196"/>
      <c r="DJP55" s="196"/>
      <c r="DJQ55" s="196"/>
      <c r="DJR55" s="196"/>
      <c r="DJS55" s="196"/>
      <c r="DJT55" s="196"/>
      <c r="DJU55" s="196"/>
      <c r="DJV55" s="196"/>
      <c r="DJW55" s="196"/>
      <c r="DJX55" s="196"/>
      <c r="DJY55" s="196"/>
      <c r="DJZ55" s="196"/>
      <c r="DKA55" s="196"/>
      <c r="DKB55" s="196"/>
      <c r="DKC55" s="196"/>
      <c r="DKD55" s="196"/>
      <c r="DKE55" s="196"/>
      <c r="DKF55" s="196"/>
      <c r="DKG55" s="196"/>
      <c r="DKH55" s="196"/>
      <c r="DKI55" s="196"/>
      <c r="DKJ55" s="196"/>
      <c r="DKK55" s="196"/>
      <c r="DKL55" s="196"/>
      <c r="DKM55" s="196"/>
      <c r="DKN55" s="196"/>
      <c r="DKO55" s="196"/>
      <c r="DKP55" s="196"/>
      <c r="DKQ55" s="196"/>
      <c r="DKR55" s="196"/>
      <c r="DKS55" s="196"/>
      <c r="DKT55" s="196"/>
      <c r="DKU55" s="196"/>
      <c r="DKV55" s="196"/>
      <c r="DKW55" s="196"/>
      <c r="DKX55" s="196"/>
      <c r="DKY55" s="196"/>
      <c r="DKZ55" s="196"/>
      <c r="DLA55" s="196"/>
      <c r="DLB55" s="196"/>
      <c r="DLC55" s="196"/>
      <c r="DLD55" s="196"/>
      <c r="DLE55" s="196"/>
      <c r="DLF55" s="196"/>
      <c r="DLG55" s="196"/>
      <c r="DLH55" s="196"/>
      <c r="DLI55" s="196"/>
      <c r="DLJ55" s="196"/>
      <c r="DLK55" s="196"/>
      <c r="DLL55" s="196"/>
      <c r="DLM55" s="196"/>
      <c r="DLN55" s="196"/>
      <c r="DLO55" s="196"/>
      <c r="DLP55" s="196"/>
      <c r="DLQ55" s="196"/>
      <c r="DLR55" s="196"/>
      <c r="DLS55" s="196"/>
      <c r="DLT55" s="196"/>
      <c r="DLU55" s="196"/>
      <c r="DLV55" s="196"/>
      <c r="DLW55" s="196"/>
      <c r="DLX55" s="196"/>
      <c r="DLY55" s="196"/>
      <c r="DLZ55" s="196"/>
      <c r="DMA55" s="196"/>
      <c r="DMB55" s="196"/>
      <c r="DMC55" s="196"/>
      <c r="DMD55" s="196"/>
      <c r="DME55" s="196"/>
      <c r="DMF55" s="196"/>
      <c r="DMG55" s="196"/>
      <c r="DMH55" s="196"/>
      <c r="DMI55" s="196"/>
      <c r="DMJ55" s="196"/>
      <c r="DMK55" s="196"/>
      <c r="DML55" s="196"/>
      <c r="DMM55" s="196"/>
      <c r="DMN55" s="196"/>
      <c r="DMO55" s="196"/>
      <c r="DMP55" s="196"/>
      <c r="DMQ55" s="196"/>
      <c r="DMR55" s="196"/>
      <c r="DMS55" s="196"/>
      <c r="DMT55" s="196"/>
      <c r="DMU55" s="196"/>
      <c r="DMV55" s="196"/>
      <c r="DMW55" s="196"/>
      <c r="DMX55" s="196"/>
      <c r="DMY55" s="196"/>
      <c r="DMZ55" s="196"/>
      <c r="DNA55" s="196"/>
      <c r="DNB55" s="196"/>
      <c r="DNC55" s="196"/>
      <c r="DND55" s="196"/>
      <c r="DNE55" s="196"/>
      <c r="DNF55" s="196"/>
      <c r="DNG55" s="196"/>
      <c r="DNH55" s="196"/>
      <c r="DNI55" s="196"/>
      <c r="DNJ55" s="196"/>
      <c r="DNK55" s="196"/>
      <c r="DNL55" s="196"/>
      <c r="DNM55" s="196"/>
      <c r="DNN55" s="196"/>
      <c r="DNO55" s="196"/>
      <c r="DNP55" s="196"/>
      <c r="DNQ55" s="196"/>
      <c r="DNR55" s="196"/>
      <c r="DNS55" s="196"/>
      <c r="DNT55" s="196"/>
      <c r="DNU55" s="196"/>
      <c r="DNV55" s="196"/>
      <c r="DNW55" s="196"/>
      <c r="DNX55" s="196"/>
      <c r="DNY55" s="196"/>
      <c r="DNZ55" s="196"/>
      <c r="DOA55" s="196"/>
      <c r="DOB55" s="196"/>
      <c r="DOC55" s="196"/>
      <c r="DOD55" s="196"/>
      <c r="DOE55" s="196"/>
      <c r="DOF55" s="196"/>
      <c r="DOG55" s="196"/>
      <c r="DOH55" s="196"/>
      <c r="DOI55" s="196"/>
      <c r="DOJ55" s="196"/>
      <c r="DOK55" s="196"/>
      <c r="DOL55" s="196"/>
      <c r="DOM55" s="196"/>
      <c r="DON55" s="196"/>
      <c r="DOO55" s="196"/>
      <c r="DOP55" s="196"/>
      <c r="DOQ55" s="196"/>
      <c r="DOR55" s="196"/>
      <c r="DOS55" s="196"/>
      <c r="DOT55" s="196"/>
      <c r="DOU55" s="196"/>
      <c r="DOV55" s="196"/>
      <c r="DOW55" s="196"/>
      <c r="DOX55" s="196"/>
      <c r="DOY55" s="196"/>
      <c r="DOZ55" s="196"/>
      <c r="DPA55" s="196"/>
      <c r="DPB55" s="196"/>
      <c r="DPC55" s="196"/>
      <c r="DPD55" s="196"/>
      <c r="DPE55" s="196"/>
      <c r="DPF55" s="196"/>
      <c r="DPG55" s="196"/>
      <c r="DPH55" s="196"/>
      <c r="DPI55" s="196"/>
      <c r="DPJ55" s="196"/>
      <c r="DPK55" s="196"/>
      <c r="DPL55" s="196"/>
      <c r="DPM55" s="196"/>
      <c r="DPN55" s="196"/>
      <c r="DPO55" s="196"/>
      <c r="DPP55" s="196"/>
      <c r="DPQ55" s="196"/>
      <c r="DPR55" s="196"/>
      <c r="DPS55" s="196"/>
      <c r="DPT55" s="196"/>
      <c r="DPU55" s="196"/>
      <c r="DPV55" s="196"/>
      <c r="DPW55" s="196"/>
      <c r="DPX55" s="196"/>
      <c r="DPY55" s="196"/>
      <c r="DPZ55" s="196"/>
      <c r="DQA55" s="196"/>
      <c r="DQB55" s="196"/>
      <c r="DQC55" s="196"/>
      <c r="DQD55" s="196"/>
      <c r="DQE55" s="196"/>
      <c r="DQF55" s="196"/>
      <c r="DQG55" s="196"/>
      <c r="DQH55" s="196"/>
      <c r="DQI55" s="196"/>
      <c r="DQJ55" s="196"/>
      <c r="DQK55" s="196"/>
      <c r="DQL55" s="196"/>
      <c r="DQM55" s="196"/>
      <c r="DQN55" s="196"/>
      <c r="DQO55" s="196"/>
      <c r="DQP55" s="196"/>
      <c r="DQQ55" s="196"/>
      <c r="DQR55" s="196"/>
      <c r="DQS55" s="196"/>
      <c r="DQT55" s="196"/>
      <c r="DQU55" s="196"/>
      <c r="DQV55" s="196"/>
      <c r="DQW55" s="196"/>
      <c r="DQX55" s="196"/>
      <c r="DQY55" s="196"/>
      <c r="DQZ55" s="196"/>
      <c r="DRA55" s="196"/>
      <c r="DRB55" s="196"/>
      <c r="DRC55" s="196"/>
      <c r="DRD55" s="196"/>
      <c r="DRE55" s="196"/>
      <c r="DRF55" s="196"/>
      <c r="DRG55" s="196"/>
      <c r="DRH55" s="196"/>
      <c r="DRI55" s="196"/>
      <c r="DRJ55" s="196"/>
      <c r="DRK55" s="196"/>
      <c r="DRL55" s="196"/>
      <c r="DRM55" s="196"/>
      <c r="DRN55" s="196"/>
      <c r="DRO55" s="196"/>
      <c r="DRP55" s="196"/>
      <c r="DRQ55" s="196"/>
      <c r="DRR55" s="196"/>
      <c r="DRS55" s="196"/>
      <c r="DRT55" s="196"/>
      <c r="DRU55" s="196"/>
      <c r="DRV55" s="196"/>
      <c r="DRW55" s="196"/>
      <c r="DRX55" s="196"/>
      <c r="DRY55" s="196"/>
      <c r="DRZ55" s="196"/>
      <c r="DSA55" s="196"/>
      <c r="DSB55" s="196"/>
      <c r="DSC55" s="196"/>
      <c r="DSD55" s="196"/>
      <c r="DSE55" s="196"/>
      <c r="DSF55" s="196"/>
      <c r="DSG55" s="196"/>
      <c r="DSH55" s="196"/>
      <c r="DSI55" s="196"/>
      <c r="DSJ55" s="196"/>
      <c r="DSK55" s="196"/>
      <c r="DSL55" s="196"/>
      <c r="DSM55" s="196"/>
      <c r="DSN55" s="196"/>
      <c r="DSO55" s="196"/>
      <c r="DSP55" s="196"/>
      <c r="DSQ55" s="196"/>
      <c r="DSR55" s="196"/>
      <c r="DSS55" s="196"/>
      <c r="DST55" s="196"/>
      <c r="DSU55" s="196"/>
      <c r="DSV55" s="196"/>
      <c r="DSW55" s="196"/>
      <c r="DSX55" s="196"/>
      <c r="DSY55" s="196"/>
      <c r="DSZ55" s="196"/>
      <c r="DTA55" s="196"/>
      <c r="DTB55" s="196"/>
      <c r="DTC55" s="196"/>
      <c r="DTD55" s="196"/>
      <c r="DTE55" s="196"/>
      <c r="DTF55" s="196"/>
      <c r="DTG55" s="196"/>
      <c r="DTH55" s="196"/>
      <c r="DTI55" s="196"/>
      <c r="DTJ55" s="196"/>
      <c r="DTK55" s="196"/>
      <c r="DTL55" s="196"/>
      <c r="DTM55" s="196"/>
      <c r="DTN55" s="196"/>
      <c r="DTO55" s="196"/>
      <c r="DTP55" s="196"/>
      <c r="DTQ55" s="196"/>
      <c r="DTR55" s="196"/>
      <c r="DTS55" s="196"/>
      <c r="DTT55" s="196"/>
      <c r="DTU55" s="196"/>
      <c r="DTV55" s="196"/>
      <c r="DTW55" s="196"/>
      <c r="DTX55" s="196"/>
      <c r="DTY55" s="196"/>
      <c r="DTZ55" s="196"/>
      <c r="DUA55" s="196"/>
      <c r="DUB55" s="196"/>
      <c r="DUC55" s="196"/>
      <c r="DUD55" s="196"/>
      <c r="DUE55" s="196"/>
      <c r="DUF55" s="196"/>
      <c r="DUG55" s="196"/>
      <c r="DUH55" s="196"/>
      <c r="DUI55" s="196"/>
      <c r="DUJ55" s="196"/>
      <c r="DUK55" s="196"/>
      <c r="DUL55" s="196"/>
      <c r="DUM55" s="196"/>
      <c r="DUN55" s="196"/>
      <c r="DUO55" s="196"/>
      <c r="DUP55" s="196"/>
      <c r="DUQ55" s="196"/>
      <c r="DUR55" s="196"/>
      <c r="DUS55" s="196"/>
      <c r="DUT55" s="196"/>
      <c r="DUU55" s="196"/>
      <c r="DUV55" s="196"/>
      <c r="DUW55" s="196"/>
      <c r="DUX55" s="196"/>
      <c r="DUY55" s="196"/>
      <c r="DUZ55" s="196"/>
      <c r="DVA55" s="196"/>
      <c r="DVB55" s="196"/>
      <c r="DVC55" s="196"/>
      <c r="DVD55" s="196"/>
      <c r="DVE55" s="196"/>
      <c r="DVF55" s="196"/>
      <c r="DVG55" s="196"/>
      <c r="DVH55" s="196"/>
      <c r="DVI55" s="196"/>
      <c r="DVJ55" s="196"/>
      <c r="DVK55" s="196"/>
      <c r="DVL55" s="196"/>
      <c r="DVM55" s="196"/>
      <c r="DVN55" s="196"/>
      <c r="DVO55" s="196"/>
      <c r="DVP55" s="196"/>
      <c r="DVQ55" s="196"/>
      <c r="DVR55" s="196"/>
      <c r="DVS55" s="196"/>
      <c r="DVT55" s="196"/>
      <c r="DVU55" s="196"/>
      <c r="DVV55" s="196"/>
      <c r="DVW55" s="196"/>
      <c r="DVX55" s="196"/>
      <c r="DVY55" s="196"/>
      <c r="DVZ55" s="196"/>
      <c r="DWA55" s="196"/>
      <c r="DWB55" s="196"/>
      <c r="DWC55" s="196"/>
      <c r="DWD55" s="196"/>
      <c r="DWE55" s="196"/>
      <c r="DWF55" s="196"/>
      <c r="DWG55" s="196"/>
      <c r="DWH55" s="196"/>
      <c r="DWI55" s="196"/>
      <c r="DWJ55" s="196"/>
      <c r="DWK55" s="196"/>
      <c r="DWL55" s="196"/>
      <c r="DWM55" s="196"/>
      <c r="DWN55" s="196"/>
      <c r="DWO55" s="196"/>
      <c r="DWP55" s="196"/>
      <c r="DWQ55" s="196"/>
      <c r="DWR55" s="196"/>
      <c r="DWS55" s="196"/>
      <c r="DWT55" s="196"/>
      <c r="DWU55" s="196"/>
      <c r="DWV55" s="196"/>
      <c r="DWW55" s="196"/>
      <c r="DWX55" s="196"/>
      <c r="DWY55" s="196"/>
      <c r="DWZ55" s="196"/>
      <c r="DXA55" s="196"/>
      <c r="DXB55" s="196"/>
      <c r="DXC55" s="196"/>
      <c r="DXD55" s="196"/>
      <c r="DXE55" s="196"/>
      <c r="DXF55" s="196"/>
      <c r="DXG55" s="196"/>
      <c r="DXH55" s="196"/>
      <c r="DXI55" s="196"/>
      <c r="DXJ55" s="196"/>
      <c r="DXK55" s="196"/>
      <c r="DXL55" s="196"/>
      <c r="DXM55" s="196"/>
      <c r="DXN55" s="196"/>
      <c r="DXO55" s="196"/>
      <c r="DXP55" s="196"/>
      <c r="DXQ55" s="196"/>
      <c r="DXR55" s="196"/>
      <c r="DXS55" s="196"/>
      <c r="DXT55" s="196"/>
      <c r="DXU55" s="196"/>
      <c r="DXV55" s="196"/>
      <c r="DXW55" s="196"/>
      <c r="DXX55" s="196"/>
      <c r="DXY55" s="196"/>
      <c r="DXZ55" s="196"/>
      <c r="DYA55" s="196"/>
      <c r="DYB55" s="196"/>
      <c r="DYC55" s="196"/>
      <c r="DYD55" s="196"/>
      <c r="DYE55" s="196"/>
      <c r="DYF55" s="196"/>
      <c r="DYG55" s="196"/>
      <c r="DYH55" s="196"/>
      <c r="DYI55" s="196"/>
      <c r="DYJ55" s="196"/>
      <c r="DYK55" s="196"/>
      <c r="DYL55" s="196"/>
      <c r="DYM55" s="196"/>
      <c r="DYN55" s="196"/>
      <c r="DYO55" s="196"/>
      <c r="DYP55" s="196"/>
      <c r="DYQ55" s="196"/>
      <c r="DYR55" s="196"/>
      <c r="DYS55" s="196"/>
      <c r="DYT55" s="196"/>
      <c r="DYU55" s="196"/>
      <c r="DYV55" s="196"/>
      <c r="DYW55" s="196"/>
      <c r="DYX55" s="196"/>
      <c r="DYY55" s="196"/>
      <c r="DYZ55" s="196"/>
      <c r="DZA55" s="196"/>
      <c r="DZB55" s="196"/>
      <c r="DZC55" s="196"/>
      <c r="DZD55" s="196"/>
      <c r="DZE55" s="196"/>
      <c r="DZF55" s="196"/>
      <c r="DZG55" s="196"/>
      <c r="DZH55" s="196"/>
      <c r="DZI55" s="196"/>
      <c r="DZJ55" s="196"/>
      <c r="DZK55" s="196"/>
      <c r="DZL55" s="196"/>
      <c r="DZM55" s="196"/>
      <c r="DZN55" s="196"/>
      <c r="DZO55" s="196"/>
      <c r="DZP55" s="196"/>
      <c r="DZQ55" s="196"/>
      <c r="DZR55" s="196"/>
      <c r="DZS55" s="196"/>
      <c r="DZT55" s="196"/>
      <c r="DZU55" s="196"/>
      <c r="DZV55" s="196"/>
      <c r="DZW55" s="196"/>
      <c r="DZX55" s="196"/>
      <c r="DZY55" s="196"/>
      <c r="DZZ55" s="196"/>
      <c r="EAA55" s="196"/>
      <c r="EAB55" s="196"/>
      <c r="EAC55" s="196"/>
      <c r="EAD55" s="196"/>
      <c r="EAE55" s="196"/>
      <c r="EAF55" s="196"/>
      <c r="EAG55" s="196"/>
      <c r="EAH55" s="196"/>
      <c r="EAI55" s="196"/>
      <c r="EAJ55" s="196"/>
      <c r="EAK55" s="196"/>
      <c r="EAL55" s="196"/>
      <c r="EAM55" s="196"/>
      <c r="EAN55" s="196"/>
      <c r="EAO55" s="196"/>
      <c r="EAP55" s="196"/>
      <c r="EAQ55" s="196"/>
      <c r="EAR55" s="196"/>
      <c r="EAS55" s="196"/>
      <c r="EAT55" s="196"/>
      <c r="EAU55" s="196"/>
      <c r="EAV55" s="196"/>
      <c r="EAW55" s="196"/>
      <c r="EAX55" s="196"/>
      <c r="EAY55" s="196"/>
      <c r="EAZ55" s="196"/>
      <c r="EBA55" s="196"/>
      <c r="EBB55" s="196"/>
      <c r="EBC55" s="196"/>
      <c r="EBD55" s="196"/>
      <c r="EBE55" s="196"/>
      <c r="EBF55" s="196"/>
      <c r="EBG55" s="196"/>
      <c r="EBH55" s="196"/>
      <c r="EBI55" s="196"/>
      <c r="EBJ55" s="196"/>
      <c r="EBK55" s="196"/>
      <c r="EBL55" s="196"/>
      <c r="EBM55" s="196"/>
      <c r="EBN55" s="196"/>
      <c r="EBO55" s="196"/>
      <c r="EBP55" s="196"/>
      <c r="EBQ55" s="196"/>
      <c r="EBR55" s="196"/>
      <c r="EBS55" s="196"/>
      <c r="EBT55" s="196"/>
      <c r="EBU55" s="196"/>
      <c r="EBV55" s="196"/>
      <c r="EBW55" s="196"/>
      <c r="EBX55" s="196"/>
      <c r="EBY55" s="196"/>
      <c r="EBZ55" s="196"/>
      <c r="ECA55" s="196"/>
      <c r="ECB55" s="196"/>
      <c r="ECC55" s="196"/>
      <c r="ECD55" s="196"/>
      <c r="ECE55" s="196"/>
      <c r="ECF55" s="196"/>
      <c r="ECG55" s="196"/>
      <c r="ECH55" s="196"/>
      <c r="ECI55" s="196"/>
      <c r="ECJ55" s="196"/>
      <c r="ECK55" s="196"/>
      <c r="ECL55" s="196"/>
      <c r="ECM55" s="196"/>
      <c r="ECN55" s="196"/>
      <c r="ECO55" s="196"/>
      <c r="ECP55" s="196"/>
      <c r="ECQ55" s="196"/>
      <c r="ECR55" s="196"/>
      <c r="ECS55" s="196"/>
      <c r="ECT55" s="196"/>
      <c r="ECU55" s="196"/>
      <c r="ECV55" s="196"/>
      <c r="ECW55" s="196"/>
      <c r="ECX55" s="196"/>
      <c r="ECY55" s="196"/>
      <c r="ECZ55" s="196"/>
      <c r="EDA55" s="196"/>
      <c r="EDB55" s="196"/>
      <c r="EDC55" s="196"/>
      <c r="EDD55" s="196"/>
      <c r="EDE55" s="196"/>
      <c r="EDF55" s="196"/>
      <c r="EDG55" s="196"/>
      <c r="EDH55" s="196"/>
      <c r="EDI55" s="196"/>
      <c r="EDJ55" s="196"/>
      <c r="EDK55" s="196"/>
      <c r="EDL55" s="196"/>
      <c r="EDM55" s="196"/>
      <c r="EDN55" s="196"/>
      <c r="EDO55" s="196"/>
      <c r="EDP55" s="196"/>
      <c r="EDQ55" s="196"/>
      <c r="EDR55" s="196"/>
      <c r="EDS55" s="196"/>
      <c r="EDT55" s="196"/>
      <c r="EDU55" s="196"/>
      <c r="EDV55" s="196"/>
      <c r="EDW55" s="196"/>
      <c r="EDX55" s="196"/>
      <c r="EDY55" s="196"/>
      <c r="EDZ55" s="196"/>
      <c r="EEA55" s="196"/>
      <c r="EEB55" s="196"/>
      <c r="EEC55" s="196"/>
      <c r="EED55" s="196"/>
      <c r="EEE55" s="196"/>
      <c r="EEF55" s="196"/>
      <c r="EEG55" s="196"/>
      <c r="EEH55" s="196"/>
      <c r="EEI55" s="196"/>
      <c r="EEJ55" s="196"/>
      <c r="EEK55" s="196"/>
      <c r="EEL55" s="196"/>
      <c r="EEM55" s="196"/>
      <c r="EEN55" s="196"/>
      <c r="EEO55" s="196"/>
      <c r="EEP55" s="196"/>
      <c r="EEQ55" s="196"/>
      <c r="EER55" s="196"/>
      <c r="EES55" s="196"/>
      <c r="EET55" s="196"/>
      <c r="EEU55" s="196"/>
      <c r="EEV55" s="196"/>
      <c r="EEW55" s="196"/>
      <c r="EEX55" s="196"/>
      <c r="EEY55" s="196"/>
      <c r="EEZ55" s="196"/>
      <c r="EFA55" s="196"/>
      <c r="EFB55" s="196"/>
      <c r="EFC55" s="196"/>
      <c r="EFD55" s="196"/>
      <c r="EFE55" s="196"/>
      <c r="EFF55" s="196"/>
      <c r="EFG55" s="196"/>
      <c r="EFH55" s="196"/>
      <c r="EFI55" s="196"/>
      <c r="EFJ55" s="196"/>
      <c r="EFK55" s="196"/>
      <c r="EFL55" s="196"/>
      <c r="EFM55" s="196"/>
      <c r="EFN55" s="196"/>
      <c r="EFO55" s="196"/>
      <c r="EFP55" s="196"/>
      <c r="EFQ55" s="196"/>
      <c r="EFR55" s="196"/>
      <c r="EFS55" s="196"/>
      <c r="EFT55" s="196"/>
      <c r="EFU55" s="196"/>
      <c r="EFV55" s="196"/>
      <c r="EFW55" s="196"/>
      <c r="EFX55" s="196"/>
      <c r="EFY55" s="196"/>
      <c r="EFZ55" s="196"/>
      <c r="EGA55" s="196"/>
      <c r="EGB55" s="196"/>
      <c r="EGC55" s="196"/>
      <c r="EGD55" s="196"/>
      <c r="EGE55" s="196"/>
      <c r="EGF55" s="196"/>
      <c r="EGG55" s="196"/>
      <c r="EGH55" s="196"/>
      <c r="EGI55" s="196"/>
      <c r="EGJ55" s="196"/>
      <c r="EGK55" s="196"/>
      <c r="EGL55" s="196"/>
      <c r="EGM55" s="196"/>
      <c r="EGN55" s="196"/>
      <c r="EGO55" s="196"/>
      <c r="EGP55" s="196"/>
      <c r="EGQ55" s="196"/>
      <c r="EGR55" s="196"/>
      <c r="EGS55" s="196"/>
      <c r="EGT55" s="196"/>
      <c r="EGU55" s="196"/>
      <c r="EGV55" s="196"/>
      <c r="EGW55" s="196"/>
      <c r="EGX55" s="196"/>
      <c r="EGY55" s="196"/>
      <c r="EGZ55" s="196"/>
      <c r="EHA55" s="196"/>
      <c r="EHB55" s="196"/>
      <c r="EHC55" s="196"/>
      <c r="EHD55" s="196"/>
      <c r="EHE55" s="196"/>
      <c r="EHF55" s="196"/>
      <c r="EHG55" s="196"/>
      <c r="EHH55" s="196"/>
      <c r="EHI55" s="196"/>
      <c r="EHJ55" s="196"/>
      <c r="EHK55" s="196"/>
      <c r="EHL55" s="196"/>
      <c r="EHM55" s="196"/>
      <c r="EHN55" s="196"/>
      <c r="EHO55" s="196"/>
      <c r="EHP55" s="196"/>
      <c r="EHQ55" s="196"/>
      <c r="EHR55" s="196"/>
      <c r="EHS55" s="196"/>
      <c r="EHT55" s="196"/>
      <c r="EHU55" s="196"/>
      <c r="EHV55" s="196"/>
      <c r="EHW55" s="196"/>
      <c r="EHX55" s="196"/>
      <c r="EHY55" s="196"/>
      <c r="EHZ55" s="196"/>
      <c r="EIA55" s="196"/>
      <c r="EIB55" s="196"/>
      <c r="EIC55" s="196"/>
      <c r="EID55" s="196"/>
      <c r="EIE55" s="196"/>
      <c r="EIF55" s="196"/>
      <c r="EIG55" s="196"/>
      <c r="EIH55" s="196"/>
      <c r="EII55" s="196"/>
      <c r="EIJ55" s="196"/>
      <c r="EIK55" s="196"/>
      <c r="EIL55" s="196"/>
      <c r="EIM55" s="196"/>
      <c r="EIN55" s="196"/>
      <c r="EIO55" s="196"/>
      <c r="EIP55" s="196"/>
      <c r="EIQ55" s="196"/>
      <c r="EIR55" s="196"/>
      <c r="EIS55" s="196"/>
      <c r="EIT55" s="196"/>
      <c r="EIU55" s="196"/>
      <c r="EIV55" s="196"/>
      <c r="EIW55" s="196"/>
      <c r="EIX55" s="196"/>
      <c r="EIY55" s="196"/>
      <c r="EIZ55" s="196"/>
      <c r="EJA55" s="196"/>
      <c r="EJB55" s="196"/>
      <c r="EJC55" s="196"/>
      <c r="EJD55" s="196"/>
      <c r="EJE55" s="196"/>
      <c r="EJF55" s="196"/>
      <c r="EJG55" s="196"/>
      <c r="EJH55" s="196"/>
      <c r="EJI55" s="196"/>
      <c r="EJJ55" s="196"/>
      <c r="EJK55" s="196"/>
      <c r="EJL55" s="196"/>
      <c r="EJM55" s="196"/>
      <c r="EJN55" s="196"/>
      <c r="EJO55" s="196"/>
      <c r="EJP55" s="196"/>
      <c r="EJQ55" s="196"/>
      <c r="EJR55" s="196"/>
      <c r="EJS55" s="196"/>
      <c r="EJT55" s="196"/>
      <c r="EJU55" s="196"/>
      <c r="EJV55" s="196"/>
      <c r="EJW55" s="196"/>
      <c r="EJX55" s="196"/>
      <c r="EJY55" s="196"/>
      <c r="EJZ55" s="196"/>
      <c r="EKA55" s="196"/>
      <c r="EKB55" s="196"/>
      <c r="EKC55" s="196"/>
      <c r="EKD55" s="196"/>
      <c r="EKE55" s="196"/>
      <c r="EKF55" s="196"/>
      <c r="EKG55" s="196"/>
      <c r="EKH55" s="196"/>
      <c r="EKI55" s="196"/>
      <c r="EKJ55" s="196"/>
      <c r="EKK55" s="196"/>
      <c r="EKL55" s="196"/>
      <c r="EKM55" s="196"/>
      <c r="EKN55" s="196"/>
      <c r="EKO55" s="196"/>
      <c r="EKP55" s="196"/>
      <c r="EKQ55" s="196"/>
      <c r="EKR55" s="196"/>
      <c r="EKS55" s="196"/>
      <c r="EKT55" s="196"/>
      <c r="EKU55" s="196"/>
      <c r="EKV55" s="196"/>
      <c r="EKW55" s="196"/>
      <c r="EKX55" s="196"/>
      <c r="EKY55" s="196"/>
      <c r="EKZ55" s="196"/>
      <c r="ELA55" s="196"/>
      <c r="ELB55" s="196"/>
      <c r="ELC55" s="196"/>
      <c r="ELD55" s="196"/>
      <c r="ELE55" s="196"/>
      <c r="ELF55" s="196"/>
      <c r="ELG55" s="196"/>
      <c r="ELH55" s="196"/>
      <c r="ELI55" s="196"/>
      <c r="ELJ55" s="196"/>
      <c r="ELK55" s="196"/>
      <c r="ELL55" s="196"/>
      <c r="ELM55" s="196"/>
      <c r="ELN55" s="196"/>
      <c r="ELO55" s="196"/>
      <c r="ELP55" s="196"/>
      <c r="ELQ55" s="196"/>
      <c r="ELR55" s="196"/>
      <c r="ELS55" s="196"/>
      <c r="ELT55" s="196"/>
      <c r="ELU55" s="196"/>
      <c r="ELV55" s="196"/>
      <c r="ELW55" s="196"/>
      <c r="ELX55" s="196"/>
      <c r="ELY55" s="196"/>
      <c r="ELZ55" s="196"/>
      <c r="EMA55" s="196"/>
      <c r="EMB55" s="196"/>
      <c r="EMC55" s="196"/>
      <c r="EMD55" s="196"/>
      <c r="EME55" s="196"/>
      <c r="EMF55" s="196"/>
      <c r="EMG55" s="196"/>
      <c r="EMH55" s="196"/>
      <c r="EMI55" s="196"/>
      <c r="EMJ55" s="196"/>
      <c r="EMK55" s="196"/>
      <c r="EML55" s="196"/>
      <c r="EMM55" s="196"/>
      <c r="EMN55" s="196"/>
      <c r="EMO55" s="196"/>
      <c r="EMP55" s="196"/>
      <c r="EMQ55" s="196"/>
      <c r="EMR55" s="196"/>
      <c r="EMS55" s="196"/>
      <c r="EMT55" s="196"/>
      <c r="EMU55" s="196"/>
      <c r="EMV55" s="196"/>
      <c r="EMW55" s="196"/>
      <c r="EMX55" s="196"/>
      <c r="EMY55" s="196"/>
      <c r="EMZ55" s="196"/>
      <c r="ENA55" s="196"/>
      <c r="ENB55" s="196"/>
      <c r="ENC55" s="196"/>
      <c r="END55" s="196"/>
      <c r="ENE55" s="196"/>
      <c r="ENF55" s="196"/>
      <c r="ENG55" s="196"/>
      <c r="ENH55" s="196"/>
      <c r="ENI55" s="196"/>
      <c r="ENJ55" s="196"/>
      <c r="ENK55" s="196"/>
      <c r="ENL55" s="196"/>
      <c r="ENM55" s="196"/>
      <c r="ENN55" s="196"/>
      <c r="ENO55" s="196"/>
      <c r="ENP55" s="196"/>
      <c r="ENQ55" s="196"/>
      <c r="ENR55" s="196"/>
      <c r="ENS55" s="196"/>
      <c r="ENT55" s="196"/>
      <c r="ENU55" s="196"/>
      <c r="ENV55" s="196"/>
      <c r="ENW55" s="196"/>
      <c r="ENX55" s="196"/>
      <c r="ENY55" s="196"/>
      <c r="ENZ55" s="196"/>
      <c r="EOA55" s="196"/>
      <c r="EOB55" s="196"/>
      <c r="EOC55" s="196"/>
      <c r="EOD55" s="196"/>
      <c r="EOE55" s="196"/>
      <c r="EOF55" s="196"/>
      <c r="EOG55" s="196"/>
      <c r="EOH55" s="196"/>
      <c r="EOI55" s="196"/>
      <c r="EOJ55" s="196"/>
      <c r="EOK55" s="196"/>
      <c r="EOL55" s="196"/>
      <c r="EOM55" s="196"/>
      <c r="EON55" s="196"/>
      <c r="EOO55" s="196"/>
      <c r="EOP55" s="196"/>
      <c r="EOQ55" s="196"/>
      <c r="EOR55" s="196"/>
      <c r="EOS55" s="196"/>
      <c r="EOT55" s="196"/>
      <c r="EOU55" s="196"/>
      <c r="EOV55" s="196"/>
      <c r="EOW55" s="196"/>
      <c r="EOX55" s="196"/>
      <c r="EOY55" s="196"/>
      <c r="EOZ55" s="196"/>
      <c r="EPA55" s="196"/>
      <c r="EPB55" s="196"/>
      <c r="EPC55" s="196"/>
      <c r="EPD55" s="196"/>
      <c r="EPE55" s="196"/>
      <c r="EPF55" s="196"/>
      <c r="EPG55" s="196"/>
      <c r="EPH55" s="196"/>
      <c r="EPI55" s="196"/>
      <c r="EPJ55" s="196"/>
      <c r="EPK55" s="196"/>
      <c r="EPL55" s="196"/>
      <c r="EPM55" s="196"/>
      <c r="EPN55" s="196"/>
      <c r="EPO55" s="196"/>
      <c r="EPP55" s="196"/>
      <c r="EPQ55" s="196"/>
      <c r="EPR55" s="196"/>
      <c r="EPS55" s="196"/>
      <c r="EPT55" s="196"/>
      <c r="EPU55" s="196"/>
      <c r="EPV55" s="196"/>
      <c r="EPW55" s="196"/>
      <c r="EPX55" s="196"/>
      <c r="EPY55" s="196"/>
      <c r="EPZ55" s="196"/>
      <c r="EQA55" s="196"/>
      <c r="EQB55" s="196"/>
      <c r="EQC55" s="196"/>
      <c r="EQD55" s="196"/>
      <c r="EQE55" s="196"/>
      <c r="EQF55" s="196"/>
      <c r="EQG55" s="196"/>
      <c r="EQH55" s="196"/>
      <c r="EQI55" s="196"/>
      <c r="EQJ55" s="196"/>
      <c r="EQK55" s="196"/>
      <c r="EQL55" s="196"/>
      <c r="EQM55" s="196"/>
      <c r="EQN55" s="196"/>
      <c r="EQO55" s="196"/>
      <c r="EQP55" s="196"/>
      <c r="EQQ55" s="196"/>
      <c r="EQR55" s="196"/>
      <c r="EQS55" s="196"/>
      <c r="EQT55" s="196"/>
      <c r="EQU55" s="196"/>
      <c r="EQV55" s="196"/>
      <c r="EQW55" s="196"/>
      <c r="EQX55" s="196"/>
      <c r="EQY55" s="196"/>
      <c r="EQZ55" s="196"/>
      <c r="ERA55" s="196"/>
      <c r="ERB55" s="196"/>
      <c r="ERC55" s="196"/>
      <c r="ERD55" s="196"/>
      <c r="ERE55" s="196"/>
      <c r="ERF55" s="196"/>
      <c r="ERG55" s="196"/>
      <c r="ERH55" s="196"/>
      <c r="ERI55" s="196"/>
      <c r="ERJ55" s="196"/>
      <c r="ERK55" s="196"/>
      <c r="ERL55" s="196"/>
      <c r="ERM55" s="196"/>
      <c r="ERN55" s="196"/>
      <c r="ERO55" s="196"/>
      <c r="ERP55" s="196"/>
      <c r="ERQ55" s="196"/>
      <c r="ERR55" s="196"/>
      <c r="ERS55" s="196"/>
      <c r="ERT55" s="196"/>
      <c r="ERU55" s="196"/>
      <c r="ERV55" s="196"/>
      <c r="ERW55" s="196"/>
      <c r="ERX55" s="196"/>
      <c r="ERY55" s="196"/>
      <c r="ERZ55" s="196"/>
      <c r="ESA55" s="196"/>
      <c r="ESB55" s="196"/>
      <c r="ESC55" s="196"/>
      <c r="ESD55" s="196"/>
      <c r="ESE55" s="196"/>
      <c r="ESF55" s="196"/>
      <c r="ESG55" s="196"/>
      <c r="ESH55" s="196"/>
      <c r="ESI55" s="196"/>
      <c r="ESJ55" s="196"/>
      <c r="ESK55" s="196"/>
      <c r="ESL55" s="196"/>
      <c r="ESM55" s="196"/>
      <c r="ESN55" s="196"/>
      <c r="ESO55" s="196"/>
      <c r="ESP55" s="196"/>
      <c r="ESQ55" s="196"/>
      <c r="ESR55" s="196"/>
      <c r="ESS55" s="196"/>
      <c r="EST55" s="196"/>
      <c r="ESU55" s="196"/>
      <c r="ESV55" s="196"/>
      <c r="ESW55" s="196"/>
      <c r="ESX55" s="196"/>
      <c r="ESY55" s="196"/>
      <c r="ESZ55" s="196"/>
      <c r="ETA55" s="196"/>
      <c r="ETB55" s="196"/>
      <c r="ETC55" s="196"/>
      <c r="ETD55" s="196"/>
      <c r="ETE55" s="196"/>
      <c r="ETF55" s="196"/>
      <c r="ETG55" s="196"/>
      <c r="ETH55" s="196"/>
      <c r="ETI55" s="196"/>
      <c r="ETJ55" s="196"/>
      <c r="ETK55" s="196"/>
      <c r="ETL55" s="196"/>
      <c r="ETM55" s="196"/>
      <c r="ETN55" s="196"/>
      <c r="ETO55" s="196"/>
      <c r="ETP55" s="196"/>
      <c r="ETQ55" s="196"/>
      <c r="ETR55" s="196"/>
      <c r="ETS55" s="196"/>
      <c r="ETT55" s="196"/>
      <c r="ETU55" s="196"/>
      <c r="ETV55" s="196"/>
      <c r="ETW55" s="196"/>
      <c r="ETX55" s="196"/>
      <c r="ETY55" s="196"/>
      <c r="ETZ55" s="196"/>
      <c r="EUA55" s="196"/>
      <c r="EUB55" s="196"/>
      <c r="EUC55" s="196"/>
      <c r="EUD55" s="196"/>
      <c r="EUE55" s="196"/>
      <c r="EUF55" s="196"/>
      <c r="EUG55" s="196"/>
      <c r="EUH55" s="196"/>
      <c r="EUI55" s="196"/>
      <c r="EUJ55" s="196"/>
      <c r="EUK55" s="196"/>
      <c r="EUL55" s="196"/>
      <c r="EUM55" s="196"/>
      <c r="EUN55" s="196"/>
      <c r="EUO55" s="196"/>
      <c r="EUP55" s="196"/>
      <c r="EUQ55" s="196"/>
      <c r="EUR55" s="196"/>
      <c r="EUS55" s="196"/>
      <c r="EUT55" s="196"/>
      <c r="EUU55" s="196"/>
      <c r="EUV55" s="196"/>
      <c r="EUW55" s="196"/>
      <c r="EUX55" s="196"/>
      <c r="EUY55" s="196"/>
      <c r="EUZ55" s="196"/>
      <c r="EVA55" s="196"/>
      <c r="EVB55" s="196"/>
      <c r="EVC55" s="196"/>
      <c r="EVD55" s="196"/>
      <c r="EVE55" s="196"/>
      <c r="EVF55" s="196"/>
      <c r="EVG55" s="196"/>
      <c r="EVH55" s="196"/>
      <c r="EVI55" s="196"/>
      <c r="EVJ55" s="196"/>
      <c r="EVK55" s="196"/>
      <c r="EVL55" s="196"/>
      <c r="EVM55" s="196"/>
      <c r="EVN55" s="196"/>
      <c r="EVO55" s="196"/>
      <c r="EVP55" s="196"/>
      <c r="EVQ55" s="196"/>
      <c r="EVR55" s="196"/>
      <c r="EVS55" s="196"/>
      <c r="EVT55" s="196"/>
      <c r="EVU55" s="196"/>
      <c r="EVV55" s="196"/>
      <c r="EVW55" s="196"/>
      <c r="EVX55" s="196"/>
      <c r="EVY55" s="196"/>
      <c r="EVZ55" s="196"/>
      <c r="EWA55" s="196"/>
      <c r="EWB55" s="196"/>
      <c r="EWC55" s="196"/>
      <c r="EWD55" s="196"/>
      <c r="EWE55" s="196"/>
      <c r="EWF55" s="196"/>
      <c r="EWG55" s="196"/>
      <c r="EWH55" s="196"/>
      <c r="EWI55" s="196"/>
      <c r="EWJ55" s="196"/>
      <c r="EWK55" s="196"/>
      <c r="EWL55" s="196"/>
      <c r="EWM55" s="196"/>
      <c r="EWN55" s="196"/>
      <c r="EWO55" s="196"/>
      <c r="EWP55" s="196"/>
      <c r="EWQ55" s="196"/>
      <c r="EWR55" s="196"/>
      <c r="EWS55" s="196"/>
      <c r="EWT55" s="196"/>
      <c r="EWU55" s="196"/>
      <c r="EWV55" s="196"/>
      <c r="EWW55" s="196"/>
      <c r="EWX55" s="196"/>
      <c r="EWY55" s="196"/>
      <c r="EWZ55" s="196"/>
      <c r="EXA55" s="196"/>
      <c r="EXB55" s="196"/>
      <c r="EXC55" s="196"/>
      <c r="EXD55" s="196"/>
      <c r="EXE55" s="196"/>
      <c r="EXF55" s="196"/>
      <c r="EXG55" s="196"/>
      <c r="EXH55" s="196"/>
      <c r="EXI55" s="196"/>
      <c r="EXJ55" s="196"/>
      <c r="EXK55" s="196"/>
      <c r="EXL55" s="196"/>
      <c r="EXM55" s="196"/>
      <c r="EXN55" s="196"/>
      <c r="EXO55" s="196"/>
      <c r="EXP55" s="196"/>
      <c r="EXQ55" s="196"/>
      <c r="EXR55" s="196"/>
      <c r="EXS55" s="196"/>
      <c r="EXT55" s="196"/>
      <c r="EXU55" s="196"/>
      <c r="EXV55" s="196"/>
      <c r="EXW55" s="196"/>
      <c r="EXX55" s="196"/>
      <c r="EXY55" s="196"/>
      <c r="EXZ55" s="196"/>
      <c r="EYA55" s="196"/>
      <c r="EYB55" s="196"/>
      <c r="EYC55" s="196"/>
      <c r="EYD55" s="196"/>
      <c r="EYE55" s="196"/>
      <c r="EYF55" s="196"/>
      <c r="EYG55" s="196"/>
      <c r="EYH55" s="196"/>
      <c r="EYI55" s="196"/>
      <c r="EYJ55" s="196"/>
      <c r="EYK55" s="196"/>
      <c r="EYL55" s="196"/>
      <c r="EYM55" s="196"/>
      <c r="EYN55" s="196"/>
      <c r="EYO55" s="196"/>
      <c r="EYP55" s="196"/>
      <c r="EYQ55" s="196"/>
      <c r="EYR55" s="196"/>
      <c r="EYS55" s="196"/>
      <c r="EYT55" s="196"/>
      <c r="EYU55" s="196"/>
      <c r="EYV55" s="196"/>
      <c r="EYW55" s="196"/>
      <c r="EYX55" s="196"/>
      <c r="EYY55" s="196"/>
      <c r="EYZ55" s="196"/>
      <c r="EZA55" s="196"/>
      <c r="EZB55" s="196"/>
      <c r="EZC55" s="196"/>
      <c r="EZD55" s="196"/>
      <c r="EZE55" s="196"/>
      <c r="EZF55" s="196"/>
      <c r="EZG55" s="196"/>
      <c r="EZH55" s="196"/>
      <c r="EZI55" s="196"/>
      <c r="EZJ55" s="196"/>
      <c r="EZK55" s="196"/>
      <c r="EZL55" s="196"/>
      <c r="EZM55" s="196"/>
      <c r="EZN55" s="196"/>
      <c r="EZO55" s="196"/>
      <c r="EZP55" s="196"/>
      <c r="EZQ55" s="196"/>
      <c r="EZR55" s="196"/>
      <c r="EZS55" s="196"/>
      <c r="EZT55" s="196"/>
      <c r="EZU55" s="196"/>
      <c r="EZV55" s="196"/>
      <c r="EZW55" s="196"/>
      <c r="EZX55" s="196"/>
      <c r="EZY55" s="196"/>
      <c r="EZZ55" s="196"/>
      <c r="FAA55" s="196"/>
      <c r="FAB55" s="196"/>
      <c r="FAC55" s="196"/>
      <c r="FAD55" s="196"/>
      <c r="FAE55" s="196"/>
      <c r="FAF55" s="196"/>
      <c r="FAG55" s="196"/>
      <c r="FAH55" s="196"/>
      <c r="FAI55" s="196"/>
      <c r="FAJ55" s="196"/>
      <c r="FAK55" s="196"/>
      <c r="FAL55" s="196"/>
      <c r="FAM55" s="196"/>
      <c r="FAN55" s="196"/>
      <c r="FAO55" s="196"/>
      <c r="FAP55" s="196"/>
      <c r="FAQ55" s="196"/>
      <c r="FAR55" s="196"/>
      <c r="FAS55" s="196"/>
      <c r="FAT55" s="196"/>
      <c r="FAU55" s="196"/>
      <c r="FAV55" s="196"/>
      <c r="FAW55" s="196"/>
      <c r="FAX55" s="196"/>
      <c r="FAY55" s="196"/>
      <c r="FAZ55" s="196"/>
      <c r="FBA55" s="196"/>
      <c r="FBB55" s="196"/>
      <c r="FBC55" s="196"/>
      <c r="FBD55" s="196"/>
      <c r="FBE55" s="196"/>
      <c r="FBF55" s="196"/>
      <c r="FBG55" s="196"/>
      <c r="FBH55" s="196"/>
      <c r="FBI55" s="196"/>
      <c r="FBJ55" s="196"/>
      <c r="FBK55" s="196"/>
      <c r="FBL55" s="196"/>
      <c r="FBM55" s="196"/>
      <c r="FBN55" s="196"/>
      <c r="FBO55" s="196"/>
      <c r="FBP55" s="196"/>
      <c r="FBQ55" s="196"/>
      <c r="FBR55" s="196"/>
      <c r="FBS55" s="196"/>
      <c r="FBT55" s="196"/>
      <c r="FBU55" s="196"/>
      <c r="FBV55" s="196"/>
      <c r="FBW55" s="196"/>
      <c r="FBX55" s="196"/>
      <c r="FBY55" s="196"/>
      <c r="FBZ55" s="196"/>
      <c r="FCA55" s="196"/>
      <c r="FCB55" s="196"/>
      <c r="FCC55" s="196"/>
      <c r="FCD55" s="196"/>
      <c r="FCE55" s="196"/>
      <c r="FCF55" s="196"/>
      <c r="FCG55" s="196"/>
      <c r="FCH55" s="196"/>
      <c r="FCI55" s="196"/>
      <c r="FCJ55" s="196"/>
      <c r="FCK55" s="196"/>
      <c r="FCL55" s="196"/>
      <c r="FCM55" s="196"/>
      <c r="FCN55" s="196"/>
      <c r="FCO55" s="196"/>
      <c r="FCP55" s="196"/>
      <c r="FCQ55" s="196"/>
      <c r="FCR55" s="196"/>
      <c r="FCS55" s="196"/>
      <c r="FCT55" s="196"/>
      <c r="FCU55" s="196"/>
      <c r="FCV55" s="196"/>
      <c r="FCW55" s="196"/>
      <c r="FCX55" s="196"/>
      <c r="FCY55" s="196"/>
      <c r="FCZ55" s="196"/>
      <c r="FDA55" s="196"/>
      <c r="FDB55" s="196"/>
      <c r="FDC55" s="196"/>
      <c r="FDD55" s="196"/>
      <c r="FDE55" s="196"/>
      <c r="FDF55" s="196"/>
      <c r="FDG55" s="196"/>
      <c r="FDH55" s="196"/>
      <c r="FDI55" s="196"/>
      <c r="FDJ55" s="196"/>
      <c r="FDK55" s="196"/>
      <c r="FDL55" s="196"/>
      <c r="FDM55" s="196"/>
      <c r="FDN55" s="196"/>
      <c r="FDO55" s="196"/>
      <c r="FDP55" s="196"/>
      <c r="FDQ55" s="196"/>
      <c r="FDR55" s="196"/>
      <c r="FDS55" s="196"/>
      <c r="FDT55" s="196"/>
      <c r="FDU55" s="196"/>
      <c r="FDV55" s="196"/>
      <c r="FDW55" s="196"/>
      <c r="FDX55" s="196"/>
      <c r="FDY55" s="196"/>
      <c r="FDZ55" s="196"/>
      <c r="FEA55" s="196"/>
      <c r="FEB55" s="196"/>
      <c r="FEC55" s="196"/>
      <c r="FED55" s="196"/>
      <c r="FEE55" s="196"/>
      <c r="FEF55" s="196"/>
      <c r="FEG55" s="196"/>
      <c r="FEH55" s="196"/>
      <c r="FEI55" s="196"/>
      <c r="FEJ55" s="196"/>
      <c r="FEK55" s="196"/>
      <c r="FEL55" s="196"/>
      <c r="FEM55" s="196"/>
      <c r="FEN55" s="196"/>
      <c r="FEO55" s="196"/>
      <c r="FEP55" s="196"/>
      <c r="FEQ55" s="196"/>
      <c r="FER55" s="196"/>
      <c r="FES55" s="196"/>
      <c r="FET55" s="196"/>
      <c r="FEU55" s="196"/>
      <c r="FEV55" s="196"/>
      <c r="FEW55" s="196"/>
      <c r="FEX55" s="196"/>
      <c r="FEY55" s="196"/>
      <c r="FEZ55" s="196"/>
      <c r="FFA55" s="196"/>
      <c r="FFB55" s="196"/>
      <c r="FFC55" s="196"/>
      <c r="FFD55" s="196"/>
      <c r="FFE55" s="196"/>
      <c r="FFF55" s="196"/>
      <c r="FFG55" s="196"/>
      <c r="FFH55" s="196"/>
      <c r="FFI55" s="196"/>
      <c r="FFJ55" s="196"/>
      <c r="FFK55" s="196"/>
      <c r="FFL55" s="196"/>
      <c r="FFM55" s="196"/>
      <c r="FFN55" s="196"/>
      <c r="FFO55" s="196"/>
      <c r="FFP55" s="196"/>
      <c r="FFQ55" s="196"/>
      <c r="FFR55" s="196"/>
      <c r="FFS55" s="196"/>
      <c r="FFT55" s="196"/>
      <c r="FFU55" s="196"/>
      <c r="FFV55" s="196"/>
      <c r="FFW55" s="196"/>
      <c r="FFX55" s="196"/>
      <c r="FFY55" s="196"/>
      <c r="FFZ55" s="196"/>
      <c r="FGA55" s="196"/>
      <c r="FGB55" s="196"/>
      <c r="FGC55" s="196"/>
      <c r="FGD55" s="196"/>
      <c r="FGE55" s="196"/>
      <c r="FGF55" s="196"/>
      <c r="FGG55" s="196"/>
      <c r="FGH55" s="196"/>
      <c r="FGI55" s="196"/>
      <c r="FGJ55" s="196"/>
      <c r="FGK55" s="196"/>
      <c r="FGL55" s="196"/>
      <c r="FGM55" s="196"/>
      <c r="FGN55" s="196"/>
      <c r="FGO55" s="196"/>
      <c r="FGP55" s="196"/>
      <c r="FGQ55" s="196"/>
      <c r="FGR55" s="196"/>
      <c r="FGS55" s="196"/>
      <c r="FGT55" s="196"/>
      <c r="FGU55" s="196"/>
      <c r="FGV55" s="196"/>
      <c r="FGW55" s="196"/>
      <c r="FGX55" s="196"/>
      <c r="FGY55" s="196"/>
      <c r="FGZ55" s="196"/>
      <c r="FHA55" s="196"/>
      <c r="FHB55" s="196"/>
      <c r="FHC55" s="196"/>
      <c r="FHD55" s="196"/>
      <c r="FHE55" s="196"/>
      <c r="FHF55" s="196"/>
      <c r="FHG55" s="196"/>
      <c r="FHH55" s="196"/>
      <c r="FHI55" s="196"/>
      <c r="FHJ55" s="196"/>
      <c r="FHK55" s="196"/>
      <c r="FHL55" s="196"/>
      <c r="FHM55" s="196"/>
      <c r="FHN55" s="196"/>
      <c r="FHO55" s="196"/>
      <c r="FHP55" s="196"/>
      <c r="FHQ55" s="196"/>
      <c r="FHR55" s="196"/>
      <c r="FHS55" s="196"/>
      <c r="FHT55" s="196"/>
      <c r="FHU55" s="196"/>
      <c r="FHV55" s="196"/>
      <c r="FHW55" s="196"/>
      <c r="FHX55" s="196"/>
      <c r="FHY55" s="196"/>
      <c r="FHZ55" s="196"/>
      <c r="FIA55" s="196"/>
      <c r="FIB55" s="196"/>
      <c r="FIC55" s="196"/>
      <c r="FID55" s="196"/>
      <c r="FIE55" s="196"/>
      <c r="FIF55" s="196"/>
      <c r="FIG55" s="196"/>
      <c r="FIH55" s="196"/>
      <c r="FII55" s="196"/>
      <c r="FIJ55" s="196"/>
      <c r="FIK55" s="196"/>
      <c r="FIL55" s="196"/>
      <c r="FIM55" s="196"/>
      <c r="FIN55" s="196"/>
      <c r="FIO55" s="196"/>
      <c r="FIP55" s="196"/>
      <c r="FIQ55" s="196"/>
      <c r="FIR55" s="196"/>
      <c r="FIS55" s="196"/>
      <c r="FIT55" s="196"/>
      <c r="FIU55" s="196"/>
      <c r="FIV55" s="196"/>
      <c r="FIW55" s="196"/>
      <c r="FIX55" s="196"/>
      <c r="FIY55" s="196"/>
      <c r="FIZ55" s="196"/>
      <c r="FJA55" s="196"/>
      <c r="FJB55" s="196"/>
      <c r="FJC55" s="196"/>
      <c r="FJD55" s="196"/>
      <c r="FJE55" s="196"/>
      <c r="FJF55" s="196"/>
      <c r="FJG55" s="196"/>
      <c r="FJH55" s="196"/>
      <c r="FJI55" s="196"/>
      <c r="FJJ55" s="196"/>
      <c r="FJK55" s="196"/>
      <c r="FJL55" s="196"/>
      <c r="FJM55" s="196"/>
      <c r="FJN55" s="196"/>
      <c r="FJO55" s="196"/>
      <c r="FJP55" s="196"/>
      <c r="FJQ55" s="196"/>
      <c r="FJR55" s="196"/>
      <c r="FJS55" s="196"/>
      <c r="FJT55" s="196"/>
      <c r="FJU55" s="196"/>
      <c r="FJV55" s="196"/>
      <c r="FJW55" s="196"/>
      <c r="FJX55" s="196"/>
      <c r="FJY55" s="196"/>
      <c r="FJZ55" s="196"/>
      <c r="FKA55" s="196"/>
      <c r="FKB55" s="196"/>
      <c r="FKC55" s="196"/>
      <c r="FKD55" s="196"/>
      <c r="FKE55" s="196"/>
      <c r="FKF55" s="196"/>
      <c r="FKG55" s="196"/>
      <c r="FKH55" s="196"/>
      <c r="FKI55" s="196"/>
      <c r="FKJ55" s="196"/>
      <c r="FKK55" s="196"/>
      <c r="FKL55" s="196"/>
      <c r="FKM55" s="196"/>
      <c r="FKN55" s="196"/>
      <c r="FKO55" s="196"/>
      <c r="FKP55" s="196"/>
      <c r="FKQ55" s="196"/>
      <c r="FKR55" s="196"/>
      <c r="FKS55" s="196"/>
      <c r="FKT55" s="196"/>
      <c r="FKU55" s="196"/>
      <c r="FKV55" s="196"/>
      <c r="FKW55" s="196"/>
      <c r="FKX55" s="196"/>
      <c r="FKY55" s="196"/>
      <c r="FKZ55" s="196"/>
      <c r="FLA55" s="196"/>
      <c r="FLB55" s="196"/>
      <c r="FLC55" s="196"/>
      <c r="FLD55" s="196"/>
      <c r="FLE55" s="196"/>
      <c r="FLF55" s="196"/>
      <c r="FLG55" s="196"/>
      <c r="FLH55" s="196"/>
      <c r="FLI55" s="196"/>
      <c r="FLJ55" s="196"/>
      <c r="FLK55" s="196"/>
      <c r="FLL55" s="196"/>
      <c r="FLM55" s="196"/>
      <c r="FLN55" s="196"/>
      <c r="FLO55" s="196"/>
      <c r="FLP55" s="196"/>
      <c r="FLQ55" s="196"/>
      <c r="FLR55" s="196"/>
      <c r="FLS55" s="196"/>
      <c r="FLT55" s="196"/>
      <c r="FLU55" s="196"/>
      <c r="FLV55" s="196"/>
      <c r="FLW55" s="196"/>
      <c r="FLX55" s="196"/>
      <c r="FLY55" s="196"/>
      <c r="FLZ55" s="196"/>
      <c r="FMA55" s="196"/>
      <c r="FMB55" s="196"/>
      <c r="FMC55" s="196"/>
      <c r="FMD55" s="196"/>
      <c r="FME55" s="196"/>
      <c r="FMF55" s="196"/>
      <c r="FMG55" s="196"/>
      <c r="FMH55" s="196"/>
      <c r="FMI55" s="196"/>
      <c r="FMJ55" s="196"/>
      <c r="FMK55" s="196"/>
      <c r="FML55" s="196"/>
      <c r="FMM55" s="196"/>
      <c r="FMN55" s="196"/>
      <c r="FMO55" s="196"/>
      <c r="FMP55" s="196"/>
      <c r="FMQ55" s="196"/>
      <c r="FMR55" s="196"/>
      <c r="FMS55" s="196"/>
      <c r="FMT55" s="196"/>
      <c r="FMU55" s="196"/>
      <c r="FMV55" s="196"/>
      <c r="FMW55" s="196"/>
      <c r="FMX55" s="196"/>
      <c r="FMY55" s="196"/>
      <c r="FMZ55" s="196"/>
      <c r="FNA55" s="196"/>
      <c r="FNB55" s="196"/>
      <c r="FNC55" s="196"/>
      <c r="FND55" s="196"/>
      <c r="FNE55" s="196"/>
      <c r="FNF55" s="196"/>
      <c r="FNG55" s="196"/>
      <c r="FNH55" s="196"/>
      <c r="FNI55" s="196"/>
      <c r="FNJ55" s="196"/>
      <c r="FNK55" s="196"/>
      <c r="FNL55" s="196"/>
      <c r="FNM55" s="196"/>
      <c r="FNN55" s="196"/>
      <c r="FNO55" s="196"/>
      <c r="FNP55" s="196"/>
      <c r="FNQ55" s="196"/>
      <c r="FNR55" s="196"/>
      <c r="FNS55" s="196"/>
      <c r="FNT55" s="196"/>
      <c r="FNU55" s="196"/>
      <c r="FNV55" s="196"/>
      <c r="FNW55" s="196"/>
      <c r="FNX55" s="196"/>
      <c r="FNY55" s="196"/>
      <c r="FNZ55" s="196"/>
      <c r="FOA55" s="196"/>
      <c r="FOB55" s="196"/>
      <c r="FOC55" s="196"/>
      <c r="FOD55" s="196"/>
      <c r="FOE55" s="196"/>
      <c r="FOF55" s="196"/>
      <c r="FOG55" s="196"/>
      <c r="FOH55" s="196"/>
      <c r="FOI55" s="196"/>
      <c r="FOJ55" s="196"/>
      <c r="FOK55" s="196"/>
      <c r="FOL55" s="196"/>
      <c r="FOM55" s="196"/>
      <c r="FON55" s="196"/>
      <c r="FOO55" s="196"/>
      <c r="FOP55" s="196"/>
      <c r="FOQ55" s="196"/>
      <c r="FOR55" s="196"/>
      <c r="FOS55" s="196"/>
      <c r="FOT55" s="196"/>
      <c r="FOU55" s="196"/>
      <c r="FOV55" s="196"/>
      <c r="FOW55" s="196"/>
      <c r="FOX55" s="196"/>
      <c r="FOY55" s="196"/>
      <c r="FOZ55" s="196"/>
      <c r="FPA55" s="196"/>
      <c r="FPB55" s="196"/>
      <c r="FPC55" s="196"/>
      <c r="FPD55" s="196"/>
      <c r="FPE55" s="196"/>
      <c r="FPF55" s="196"/>
      <c r="FPG55" s="196"/>
      <c r="FPH55" s="196"/>
      <c r="FPI55" s="196"/>
      <c r="FPJ55" s="196"/>
      <c r="FPK55" s="196"/>
      <c r="FPL55" s="196"/>
      <c r="FPM55" s="196"/>
      <c r="FPN55" s="196"/>
      <c r="FPO55" s="196"/>
      <c r="FPP55" s="196"/>
      <c r="FPQ55" s="196"/>
      <c r="FPR55" s="196"/>
      <c r="FPS55" s="196"/>
      <c r="FPT55" s="196"/>
      <c r="FPU55" s="196"/>
      <c r="FPV55" s="196"/>
      <c r="FPW55" s="196"/>
      <c r="FPX55" s="196"/>
      <c r="FPY55" s="196"/>
      <c r="FPZ55" s="196"/>
      <c r="FQA55" s="196"/>
      <c r="FQB55" s="196"/>
      <c r="FQC55" s="196"/>
      <c r="FQD55" s="196"/>
      <c r="FQE55" s="196"/>
      <c r="FQF55" s="196"/>
      <c r="FQG55" s="196"/>
      <c r="FQH55" s="196"/>
      <c r="FQI55" s="196"/>
      <c r="FQJ55" s="196"/>
      <c r="FQK55" s="196"/>
      <c r="FQL55" s="196"/>
      <c r="FQM55" s="196"/>
      <c r="FQN55" s="196"/>
      <c r="FQO55" s="196"/>
      <c r="FQP55" s="196"/>
      <c r="FQQ55" s="196"/>
      <c r="FQR55" s="196"/>
      <c r="FQS55" s="196"/>
      <c r="FQT55" s="196"/>
      <c r="FQU55" s="196"/>
      <c r="FQV55" s="196"/>
      <c r="FQW55" s="196"/>
      <c r="FQX55" s="196"/>
      <c r="FQY55" s="196"/>
      <c r="FQZ55" s="196"/>
      <c r="FRA55" s="196"/>
      <c r="FRB55" s="196"/>
      <c r="FRC55" s="196"/>
      <c r="FRD55" s="196"/>
      <c r="FRE55" s="196"/>
      <c r="FRF55" s="196"/>
      <c r="FRG55" s="196"/>
      <c r="FRH55" s="196"/>
      <c r="FRI55" s="196"/>
      <c r="FRJ55" s="196"/>
      <c r="FRK55" s="196"/>
      <c r="FRL55" s="196"/>
      <c r="FRM55" s="196"/>
      <c r="FRN55" s="196"/>
      <c r="FRO55" s="196"/>
      <c r="FRP55" s="196"/>
      <c r="FRQ55" s="196"/>
      <c r="FRR55" s="196"/>
      <c r="FRS55" s="196"/>
      <c r="FRT55" s="196"/>
      <c r="FRU55" s="196"/>
      <c r="FRV55" s="196"/>
      <c r="FRW55" s="196"/>
      <c r="FRX55" s="196"/>
      <c r="FRY55" s="196"/>
      <c r="FRZ55" s="196"/>
      <c r="FSA55" s="196"/>
      <c r="FSB55" s="196"/>
      <c r="FSC55" s="196"/>
      <c r="FSD55" s="196"/>
      <c r="FSE55" s="196"/>
      <c r="FSF55" s="196"/>
      <c r="FSG55" s="196"/>
      <c r="FSH55" s="196"/>
      <c r="FSI55" s="196"/>
      <c r="FSJ55" s="196"/>
      <c r="FSK55" s="196"/>
      <c r="FSL55" s="196"/>
      <c r="FSM55" s="196"/>
      <c r="FSN55" s="196"/>
      <c r="FSO55" s="196"/>
      <c r="FSP55" s="196"/>
      <c r="FSQ55" s="196"/>
      <c r="FSR55" s="196"/>
      <c r="FSS55" s="196"/>
      <c r="FST55" s="196"/>
      <c r="FSU55" s="196"/>
      <c r="FSV55" s="196"/>
      <c r="FSW55" s="196"/>
      <c r="FSX55" s="196"/>
      <c r="FSY55" s="196"/>
      <c r="FSZ55" s="196"/>
      <c r="FTA55" s="196"/>
      <c r="FTB55" s="196"/>
      <c r="FTC55" s="196"/>
      <c r="FTD55" s="196"/>
      <c r="FTE55" s="196"/>
      <c r="FTF55" s="196"/>
      <c r="FTG55" s="196"/>
      <c r="FTH55" s="196"/>
      <c r="FTI55" s="196"/>
      <c r="FTJ55" s="196"/>
      <c r="FTK55" s="196"/>
      <c r="FTL55" s="196"/>
      <c r="FTM55" s="196"/>
      <c r="FTN55" s="196"/>
      <c r="FTO55" s="196"/>
      <c r="FTP55" s="196"/>
      <c r="FTQ55" s="196"/>
      <c r="FTR55" s="196"/>
      <c r="FTS55" s="196"/>
      <c r="FTT55" s="196"/>
      <c r="FTU55" s="196"/>
      <c r="FTV55" s="196"/>
      <c r="FTW55" s="196"/>
      <c r="FTX55" s="196"/>
      <c r="FTY55" s="196"/>
      <c r="FTZ55" s="196"/>
      <c r="FUA55" s="196"/>
      <c r="FUB55" s="196"/>
      <c r="FUC55" s="196"/>
      <c r="FUD55" s="196"/>
      <c r="FUE55" s="196"/>
      <c r="FUF55" s="196"/>
      <c r="FUG55" s="196"/>
      <c r="FUH55" s="196"/>
      <c r="FUI55" s="196"/>
      <c r="FUJ55" s="196"/>
      <c r="FUK55" s="196"/>
      <c r="FUL55" s="196"/>
      <c r="FUM55" s="196"/>
      <c r="FUN55" s="196"/>
      <c r="FUO55" s="196"/>
      <c r="FUP55" s="196"/>
      <c r="FUQ55" s="196"/>
      <c r="FUR55" s="196"/>
      <c r="FUS55" s="196"/>
      <c r="FUT55" s="196"/>
      <c r="FUU55" s="196"/>
      <c r="FUV55" s="196"/>
      <c r="FUW55" s="196"/>
      <c r="FUX55" s="196"/>
      <c r="FUY55" s="196"/>
      <c r="FUZ55" s="196"/>
      <c r="FVA55" s="196"/>
      <c r="FVB55" s="196"/>
      <c r="FVC55" s="196"/>
      <c r="FVD55" s="196"/>
      <c r="FVE55" s="196"/>
      <c r="FVF55" s="196"/>
      <c r="FVG55" s="196"/>
      <c r="FVH55" s="196"/>
      <c r="FVI55" s="196"/>
      <c r="FVJ55" s="196"/>
      <c r="FVK55" s="196"/>
      <c r="FVL55" s="196"/>
      <c r="FVM55" s="196"/>
      <c r="FVN55" s="196"/>
      <c r="FVO55" s="196"/>
      <c r="FVP55" s="196"/>
      <c r="FVQ55" s="196"/>
      <c r="FVR55" s="196"/>
      <c r="FVS55" s="196"/>
      <c r="FVT55" s="196"/>
      <c r="FVU55" s="196"/>
      <c r="FVV55" s="196"/>
      <c r="FVW55" s="196"/>
      <c r="FVX55" s="196"/>
      <c r="FVY55" s="196"/>
      <c r="FVZ55" s="196"/>
      <c r="FWA55" s="196"/>
      <c r="FWB55" s="196"/>
      <c r="FWC55" s="196"/>
      <c r="FWD55" s="196"/>
      <c r="FWE55" s="196"/>
      <c r="FWF55" s="196"/>
      <c r="FWG55" s="196"/>
      <c r="FWH55" s="196"/>
      <c r="FWI55" s="196"/>
      <c r="FWJ55" s="196"/>
      <c r="FWK55" s="196"/>
      <c r="FWL55" s="196"/>
      <c r="FWM55" s="196"/>
      <c r="FWN55" s="196"/>
      <c r="FWO55" s="196"/>
      <c r="FWP55" s="196"/>
      <c r="FWQ55" s="196"/>
      <c r="FWR55" s="196"/>
      <c r="FWS55" s="196"/>
      <c r="FWT55" s="196"/>
      <c r="FWU55" s="196"/>
      <c r="FWV55" s="196"/>
      <c r="FWW55" s="196"/>
      <c r="FWX55" s="196"/>
      <c r="FWY55" s="196"/>
      <c r="FWZ55" s="196"/>
      <c r="FXA55" s="196"/>
      <c r="FXB55" s="196"/>
      <c r="FXC55" s="196"/>
      <c r="FXD55" s="196"/>
      <c r="FXE55" s="196"/>
      <c r="FXF55" s="196"/>
      <c r="FXG55" s="196"/>
      <c r="FXH55" s="196"/>
      <c r="FXI55" s="196"/>
      <c r="FXJ55" s="196"/>
      <c r="FXK55" s="196"/>
      <c r="FXL55" s="196"/>
      <c r="FXM55" s="196"/>
      <c r="FXN55" s="196"/>
      <c r="FXO55" s="196"/>
      <c r="FXP55" s="196"/>
      <c r="FXQ55" s="196"/>
      <c r="FXR55" s="196"/>
      <c r="FXS55" s="196"/>
      <c r="FXT55" s="196"/>
      <c r="FXU55" s="196"/>
      <c r="FXV55" s="196"/>
      <c r="FXW55" s="196"/>
      <c r="FXX55" s="196"/>
      <c r="FXY55" s="196"/>
      <c r="FXZ55" s="196"/>
      <c r="FYA55" s="196"/>
      <c r="FYB55" s="196"/>
      <c r="FYC55" s="196"/>
      <c r="FYD55" s="196"/>
      <c r="FYE55" s="196"/>
      <c r="FYF55" s="196"/>
      <c r="FYG55" s="196"/>
      <c r="FYH55" s="196"/>
      <c r="FYI55" s="196"/>
      <c r="FYJ55" s="196"/>
      <c r="FYK55" s="196"/>
      <c r="FYL55" s="196"/>
      <c r="FYM55" s="196"/>
      <c r="FYN55" s="196"/>
      <c r="FYO55" s="196"/>
      <c r="FYP55" s="196"/>
      <c r="FYQ55" s="196"/>
      <c r="FYR55" s="196"/>
      <c r="FYS55" s="196"/>
      <c r="FYT55" s="196"/>
      <c r="FYU55" s="196"/>
      <c r="FYV55" s="196"/>
      <c r="FYW55" s="196"/>
      <c r="FYX55" s="196"/>
      <c r="FYY55" s="196"/>
      <c r="FYZ55" s="196"/>
      <c r="FZA55" s="196"/>
      <c r="FZB55" s="196"/>
      <c r="FZC55" s="196"/>
      <c r="FZD55" s="196"/>
      <c r="FZE55" s="196"/>
      <c r="FZF55" s="196"/>
      <c r="FZG55" s="196"/>
      <c r="FZH55" s="196"/>
      <c r="FZI55" s="196"/>
      <c r="FZJ55" s="196"/>
      <c r="FZK55" s="196"/>
      <c r="FZL55" s="196"/>
      <c r="FZM55" s="196"/>
      <c r="FZN55" s="196"/>
      <c r="FZO55" s="196"/>
      <c r="FZP55" s="196"/>
      <c r="FZQ55" s="196"/>
      <c r="FZR55" s="196"/>
      <c r="FZS55" s="196"/>
      <c r="FZT55" s="196"/>
      <c r="FZU55" s="196"/>
      <c r="FZV55" s="196"/>
      <c r="FZW55" s="196"/>
      <c r="FZX55" s="196"/>
      <c r="FZY55" s="196"/>
      <c r="FZZ55" s="196"/>
      <c r="GAA55" s="196"/>
      <c r="GAB55" s="196"/>
      <c r="GAC55" s="196"/>
      <c r="GAD55" s="196"/>
      <c r="GAE55" s="196"/>
      <c r="GAF55" s="196"/>
      <c r="GAG55" s="196"/>
      <c r="GAH55" s="196"/>
      <c r="GAI55" s="196"/>
      <c r="GAJ55" s="196"/>
      <c r="GAK55" s="196"/>
      <c r="GAL55" s="196"/>
      <c r="GAM55" s="196"/>
      <c r="GAN55" s="196"/>
      <c r="GAO55" s="196"/>
      <c r="GAP55" s="196"/>
      <c r="GAQ55" s="196"/>
      <c r="GAR55" s="196"/>
      <c r="GAS55" s="196"/>
      <c r="GAT55" s="196"/>
      <c r="GAU55" s="196"/>
      <c r="GAV55" s="196"/>
      <c r="GAW55" s="196"/>
      <c r="GAX55" s="196"/>
      <c r="GAY55" s="196"/>
      <c r="GAZ55" s="196"/>
      <c r="GBA55" s="196"/>
      <c r="GBB55" s="196"/>
      <c r="GBC55" s="196"/>
      <c r="GBD55" s="196"/>
      <c r="GBE55" s="196"/>
      <c r="GBF55" s="196"/>
      <c r="GBG55" s="196"/>
      <c r="GBH55" s="196"/>
      <c r="GBI55" s="196"/>
      <c r="GBJ55" s="196"/>
      <c r="GBK55" s="196"/>
      <c r="GBL55" s="196"/>
      <c r="GBM55" s="196"/>
      <c r="GBN55" s="196"/>
      <c r="GBO55" s="196"/>
      <c r="GBP55" s="196"/>
      <c r="GBQ55" s="196"/>
      <c r="GBR55" s="196"/>
      <c r="GBS55" s="196"/>
      <c r="GBT55" s="196"/>
      <c r="GBU55" s="196"/>
      <c r="GBV55" s="196"/>
      <c r="GBW55" s="196"/>
      <c r="GBX55" s="196"/>
      <c r="GBY55" s="196"/>
      <c r="GBZ55" s="196"/>
      <c r="GCA55" s="196"/>
      <c r="GCB55" s="196"/>
      <c r="GCC55" s="196"/>
      <c r="GCD55" s="196"/>
      <c r="GCE55" s="196"/>
      <c r="GCF55" s="196"/>
      <c r="GCG55" s="196"/>
      <c r="GCH55" s="196"/>
      <c r="GCI55" s="196"/>
      <c r="GCJ55" s="196"/>
      <c r="GCK55" s="196"/>
      <c r="GCL55" s="196"/>
      <c r="GCM55" s="196"/>
      <c r="GCN55" s="196"/>
      <c r="GCO55" s="196"/>
      <c r="GCP55" s="196"/>
      <c r="GCQ55" s="196"/>
      <c r="GCR55" s="196"/>
      <c r="GCS55" s="196"/>
      <c r="GCT55" s="196"/>
      <c r="GCU55" s="196"/>
      <c r="GCV55" s="196"/>
      <c r="GCW55" s="196"/>
      <c r="GCX55" s="196"/>
      <c r="GCY55" s="196"/>
      <c r="GCZ55" s="196"/>
      <c r="GDA55" s="196"/>
      <c r="GDB55" s="196"/>
      <c r="GDC55" s="196"/>
      <c r="GDD55" s="196"/>
      <c r="GDE55" s="196"/>
      <c r="GDF55" s="196"/>
      <c r="GDG55" s="196"/>
      <c r="GDH55" s="196"/>
      <c r="GDI55" s="196"/>
      <c r="GDJ55" s="196"/>
      <c r="GDK55" s="196"/>
      <c r="GDL55" s="196"/>
      <c r="GDM55" s="196"/>
      <c r="GDN55" s="196"/>
      <c r="GDO55" s="196"/>
      <c r="GDP55" s="196"/>
      <c r="GDQ55" s="196"/>
      <c r="GDR55" s="196"/>
      <c r="GDS55" s="196"/>
      <c r="GDT55" s="196"/>
      <c r="GDU55" s="196"/>
      <c r="GDV55" s="196"/>
      <c r="GDW55" s="196"/>
      <c r="GDX55" s="196"/>
      <c r="GDY55" s="196"/>
      <c r="GDZ55" s="196"/>
      <c r="GEA55" s="196"/>
      <c r="GEB55" s="196"/>
      <c r="GEC55" s="196"/>
      <c r="GED55" s="196"/>
      <c r="GEE55" s="196"/>
      <c r="GEF55" s="196"/>
      <c r="GEG55" s="196"/>
      <c r="GEH55" s="196"/>
      <c r="GEI55" s="196"/>
      <c r="GEJ55" s="196"/>
      <c r="GEK55" s="196"/>
      <c r="GEL55" s="196"/>
      <c r="GEM55" s="196"/>
      <c r="GEN55" s="196"/>
      <c r="GEO55" s="196"/>
      <c r="GEP55" s="196"/>
      <c r="GEQ55" s="196"/>
      <c r="GER55" s="196"/>
      <c r="GES55" s="196"/>
      <c r="GET55" s="196"/>
      <c r="GEU55" s="196"/>
      <c r="GEV55" s="196"/>
      <c r="GEW55" s="196"/>
      <c r="GEX55" s="196"/>
      <c r="GEY55" s="196"/>
      <c r="GEZ55" s="196"/>
      <c r="GFA55" s="196"/>
      <c r="GFB55" s="196"/>
      <c r="GFC55" s="196"/>
      <c r="GFD55" s="196"/>
      <c r="GFE55" s="196"/>
      <c r="GFF55" s="196"/>
      <c r="GFG55" s="196"/>
      <c r="GFH55" s="196"/>
      <c r="GFI55" s="196"/>
      <c r="GFJ55" s="196"/>
      <c r="GFK55" s="196"/>
      <c r="GFL55" s="196"/>
      <c r="GFM55" s="196"/>
      <c r="GFN55" s="196"/>
      <c r="GFO55" s="196"/>
      <c r="GFP55" s="196"/>
      <c r="GFQ55" s="196"/>
      <c r="GFR55" s="196"/>
      <c r="GFS55" s="196"/>
      <c r="GFT55" s="196"/>
      <c r="GFU55" s="196"/>
      <c r="GFV55" s="196"/>
      <c r="GFW55" s="196"/>
      <c r="GFX55" s="196"/>
      <c r="GFY55" s="196"/>
      <c r="GFZ55" s="196"/>
      <c r="GGA55" s="196"/>
      <c r="GGB55" s="196"/>
      <c r="GGC55" s="196"/>
      <c r="GGD55" s="196"/>
      <c r="GGE55" s="196"/>
      <c r="GGF55" s="196"/>
      <c r="GGG55" s="196"/>
      <c r="GGH55" s="196"/>
      <c r="GGI55" s="196"/>
      <c r="GGJ55" s="196"/>
      <c r="GGK55" s="196"/>
      <c r="GGL55" s="196"/>
      <c r="GGM55" s="196"/>
      <c r="GGN55" s="196"/>
      <c r="GGO55" s="196"/>
      <c r="GGP55" s="196"/>
      <c r="GGQ55" s="196"/>
      <c r="GGR55" s="196"/>
      <c r="GGS55" s="196"/>
      <c r="GGT55" s="196"/>
      <c r="GGU55" s="196"/>
      <c r="GGV55" s="196"/>
      <c r="GGW55" s="196"/>
      <c r="GGX55" s="196"/>
      <c r="GGY55" s="196"/>
      <c r="GGZ55" s="196"/>
      <c r="GHA55" s="196"/>
      <c r="GHB55" s="196"/>
      <c r="GHC55" s="196"/>
      <c r="GHD55" s="196"/>
      <c r="GHE55" s="196"/>
      <c r="GHF55" s="196"/>
      <c r="GHG55" s="196"/>
      <c r="GHH55" s="196"/>
      <c r="GHI55" s="196"/>
      <c r="GHJ55" s="196"/>
      <c r="GHK55" s="196"/>
      <c r="GHL55" s="196"/>
      <c r="GHM55" s="196"/>
      <c r="GHN55" s="196"/>
      <c r="GHO55" s="196"/>
      <c r="GHP55" s="196"/>
      <c r="GHQ55" s="196"/>
      <c r="GHR55" s="196"/>
      <c r="GHS55" s="196"/>
      <c r="GHT55" s="196"/>
      <c r="GHU55" s="196"/>
      <c r="GHV55" s="196"/>
      <c r="GHW55" s="196"/>
      <c r="GHX55" s="196"/>
      <c r="GHY55" s="196"/>
      <c r="GHZ55" s="196"/>
      <c r="GIA55" s="196"/>
      <c r="GIB55" s="196"/>
      <c r="GIC55" s="196"/>
      <c r="GID55" s="196"/>
      <c r="GIE55" s="196"/>
      <c r="GIF55" s="196"/>
      <c r="GIG55" s="196"/>
      <c r="GIH55" s="196"/>
      <c r="GII55" s="196"/>
      <c r="GIJ55" s="196"/>
      <c r="GIK55" s="196"/>
      <c r="GIL55" s="196"/>
      <c r="GIM55" s="196"/>
      <c r="GIN55" s="196"/>
      <c r="GIO55" s="196"/>
      <c r="GIP55" s="196"/>
      <c r="GIQ55" s="196"/>
      <c r="GIR55" s="196"/>
      <c r="GIS55" s="196"/>
      <c r="GIT55" s="196"/>
      <c r="GIU55" s="196"/>
      <c r="GIV55" s="196"/>
      <c r="GIW55" s="196"/>
      <c r="GIX55" s="196"/>
      <c r="GIY55" s="196"/>
      <c r="GIZ55" s="196"/>
      <c r="GJA55" s="196"/>
      <c r="GJB55" s="196"/>
      <c r="GJC55" s="196"/>
      <c r="GJD55" s="196"/>
      <c r="GJE55" s="196"/>
      <c r="GJF55" s="196"/>
      <c r="GJG55" s="196"/>
      <c r="GJH55" s="196"/>
      <c r="GJI55" s="196"/>
      <c r="GJJ55" s="196"/>
      <c r="GJK55" s="196"/>
      <c r="GJL55" s="196"/>
      <c r="GJM55" s="196"/>
      <c r="GJN55" s="196"/>
      <c r="GJO55" s="196"/>
      <c r="GJP55" s="196"/>
      <c r="GJQ55" s="196"/>
      <c r="GJR55" s="196"/>
      <c r="GJS55" s="196"/>
      <c r="GJT55" s="196"/>
      <c r="GJU55" s="196"/>
      <c r="GJV55" s="196"/>
      <c r="GJW55" s="196"/>
      <c r="GJX55" s="196"/>
      <c r="GJY55" s="196"/>
      <c r="GJZ55" s="196"/>
      <c r="GKA55" s="196"/>
      <c r="GKB55" s="196"/>
      <c r="GKC55" s="196"/>
      <c r="GKD55" s="196"/>
      <c r="GKE55" s="196"/>
      <c r="GKF55" s="196"/>
      <c r="GKG55" s="196"/>
      <c r="GKH55" s="196"/>
      <c r="GKI55" s="196"/>
      <c r="GKJ55" s="196"/>
      <c r="GKK55" s="196"/>
      <c r="GKL55" s="196"/>
      <c r="GKM55" s="196"/>
      <c r="GKN55" s="196"/>
      <c r="GKO55" s="196"/>
      <c r="GKP55" s="196"/>
      <c r="GKQ55" s="196"/>
      <c r="GKR55" s="196"/>
      <c r="GKS55" s="196"/>
      <c r="GKT55" s="196"/>
      <c r="GKU55" s="196"/>
      <c r="GKV55" s="196"/>
      <c r="GKW55" s="196"/>
      <c r="GKX55" s="196"/>
      <c r="GKY55" s="196"/>
      <c r="GKZ55" s="196"/>
      <c r="GLA55" s="196"/>
      <c r="GLB55" s="196"/>
      <c r="GLC55" s="196"/>
      <c r="GLD55" s="196"/>
      <c r="GLE55" s="196"/>
      <c r="GLF55" s="196"/>
      <c r="GLG55" s="196"/>
      <c r="GLH55" s="196"/>
      <c r="GLI55" s="196"/>
      <c r="GLJ55" s="196"/>
      <c r="GLK55" s="196"/>
      <c r="GLL55" s="196"/>
      <c r="GLM55" s="196"/>
      <c r="GLN55" s="196"/>
      <c r="GLO55" s="196"/>
      <c r="GLP55" s="196"/>
      <c r="GLQ55" s="196"/>
      <c r="GLR55" s="196"/>
      <c r="GLS55" s="196"/>
      <c r="GLT55" s="196"/>
      <c r="GLU55" s="196"/>
      <c r="GLV55" s="196"/>
      <c r="GLW55" s="196"/>
      <c r="GLX55" s="196"/>
      <c r="GLY55" s="196"/>
      <c r="GLZ55" s="196"/>
      <c r="GMA55" s="196"/>
      <c r="GMB55" s="196"/>
      <c r="GMC55" s="196"/>
      <c r="GMD55" s="196"/>
      <c r="GME55" s="196"/>
      <c r="GMF55" s="196"/>
      <c r="GMG55" s="196"/>
      <c r="GMH55" s="196"/>
      <c r="GMI55" s="196"/>
      <c r="GMJ55" s="196"/>
      <c r="GMK55" s="196"/>
      <c r="GML55" s="196"/>
      <c r="GMM55" s="196"/>
      <c r="GMN55" s="196"/>
      <c r="GMO55" s="196"/>
      <c r="GMP55" s="196"/>
      <c r="GMQ55" s="196"/>
      <c r="GMR55" s="196"/>
      <c r="GMS55" s="196"/>
      <c r="GMT55" s="196"/>
      <c r="GMU55" s="196"/>
      <c r="GMV55" s="196"/>
      <c r="GMW55" s="196"/>
      <c r="GMX55" s="196"/>
      <c r="GMY55" s="196"/>
      <c r="GMZ55" s="196"/>
      <c r="GNA55" s="196"/>
      <c r="GNB55" s="196"/>
      <c r="GNC55" s="196"/>
      <c r="GND55" s="196"/>
      <c r="GNE55" s="196"/>
      <c r="GNF55" s="196"/>
      <c r="GNG55" s="196"/>
      <c r="GNH55" s="196"/>
      <c r="GNI55" s="196"/>
      <c r="GNJ55" s="196"/>
      <c r="GNK55" s="196"/>
      <c r="GNL55" s="196"/>
      <c r="GNM55" s="196"/>
      <c r="GNN55" s="196"/>
      <c r="GNO55" s="196"/>
      <c r="GNP55" s="196"/>
      <c r="GNQ55" s="196"/>
      <c r="GNR55" s="196"/>
      <c r="GNS55" s="196"/>
      <c r="GNT55" s="196"/>
      <c r="GNU55" s="196"/>
      <c r="GNV55" s="196"/>
      <c r="GNW55" s="196"/>
      <c r="GNX55" s="196"/>
      <c r="GNY55" s="196"/>
      <c r="GNZ55" s="196"/>
      <c r="GOA55" s="196"/>
      <c r="GOB55" s="196"/>
      <c r="GOC55" s="196"/>
      <c r="GOD55" s="196"/>
      <c r="GOE55" s="196"/>
      <c r="GOF55" s="196"/>
      <c r="GOG55" s="196"/>
      <c r="GOH55" s="196"/>
      <c r="GOI55" s="196"/>
      <c r="GOJ55" s="196"/>
      <c r="GOK55" s="196"/>
      <c r="GOL55" s="196"/>
      <c r="GOM55" s="196"/>
      <c r="GON55" s="196"/>
      <c r="GOO55" s="196"/>
      <c r="GOP55" s="196"/>
      <c r="GOQ55" s="196"/>
      <c r="GOR55" s="196"/>
      <c r="GOS55" s="196"/>
      <c r="GOT55" s="196"/>
      <c r="GOU55" s="196"/>
      <c r="GOV55" s="196"/>
      <c r="GOW55" s="196"/>
      <c r="GOX55" s="196"/>
      <c r="GOY55" s="196"/>
      <c r="GOZ55" s="196"/>
      <c r="GPA55" s="196"/>
      <c r="GPB55" s="196"/>
      <c r="GPC55" s="196"/>
      <c r="GPD55" s="196"/>
      <c r="GPE55" s="196"/>
      <c r="GPF55" s="196"/>
      <c r="GPG55" s="196"/>
      <c r="GPH55" s="196"/>
      <c r="GPI55" s="196"/>
      <c r="GPJ55" s="196"/>
      <c r="GPK55" s="196"/>
      <c r="GPL55" s="196"/>
      <c r="GPM55" s="196"/>
      <c r="GPN55" s="196"/>
      <c r="GPO55" s="196"/>
      <c r="GPP55" s="196"/>
      <c r="GPQ55" s="196"/>
      <c r="GPR55" s="196"/>
      <c r="GPS55" s="196"/>
      <c r="GPT55" s="196"/>
      <c r="GPU55" s="196"/>
      <c r="GPV55" s="196"/>
      <c r="GPW55" s="196"/>
      <c r="GPX55" s="196"/>
      <c r="GPY55" s="196"/>
      <c r="GPZ55" s="196"/>
      <c r="GQA55" s="196"/>
      <c r="GQB55" s="196"/>
      <c r="GQC55" s="196"/>
      <c r="GQD55" s="196"/>
      <c r="GQE55" s="196"/>
      <c r="GQF55" s="196"/>
      <c r="GQG55" s="196"/>
      <c r="GQH55" s="196"/>
      <c r="GQI55" s="196"/>
      <c r="GQJ55" s="196"/>
      <c r="GQK55" s="196"/>
      <c r="GQL55" s="196"/>
      <c r="GQM55" s="196"/>
      <c r="GQN55" s="196"/>
      <c r="GQO55" s="196"/>
      <c r="GQP55" s="196"/>
      <c r="GQQ55" s="196"/>
      <c r="GQR55" s="196"/>
      <c r="GQS55" s="196"/>
      <c r="GQT55" s="196"/>
      <c r="GQU55" s="196"/>
      <c r="GQV55" s="196"/>
      <c r="GQW55" s="196"/>
      <c r="GQX55" s="196"/>
      <c r="GQY55" s="196"/>
      <c r="GQZ55" s="196"/>
      <c r="GRA55" s="196"/>
      <c r="GRB55" s="196"/>
      <c r="GRC55" s="196"/>
      <c r="GRD55" s="196"/>
      <c r="GRE55" s="196"/>
      <c r="GRF55" s="196"/>
      <c r="GRG55" s="196"/>
      <c r="GRH55" s="196"/>
      <c r="GRI55" s="196"/>
      <c r="GRJ55" s="196"/>
      <c r="GRK55" s="196"/>
      <c r="GRL55" s="196"/>
      <c r="GRM55" s="196"/>
      <c r="GRN55" s="196"/>
      <c r="GRO55" s="196"/>
      <c r="GRP55" s="196"/>
      <c r="GRQ55" s="196"/>
      <c r="GRR55" s="196"/>
      <c r="GRS55" s="196"/>
      <c r="GRT55" s="196"/>
      <c r="GRU55" s="196"/>
      <c r="GRV55" s="196"/>
      <c r="GRW55" s="196"/>
      <c r="GRX55" s="196"/>
      <c r="GRY55" s="196"/>
      <c r="GRZ55" s="196"/>
      <c r="GSA55" s="196"/>
      <c r="GSB55" s="196"/>
      <c r="GSC55" s="196"/>
      <c r="GSD55" s="196"/>
      <c r="GSE55" s="196"/>
      <c r="GSF55" s="196"/>
      <c r="GSG55" s="196"/>
      <c r="GSH55" s="196"/>
      <c r="GSI55" s="196"/>
      <c r="GSJ55" s="196"/>
      <c r="GSK55" s="196"/>
      <c r="GSL55" s="196"/>
      <c r="GSM55" s="196"/>
      <c r="GSN55" s="196"/>
      <c r="GSO55" s="196"/>
      <c r="GSP55" s="196"/>
      <c r="GSQ55" s="196"/>
      <c r="GSR55" s="196"/>
      <c r="GSS55" s="196"/>
      <c r="GST55" s="196"/>
      <c r="GSU55" s="196"/>
      <c r="GSV55" s="196"/>
      <c r="GSW55" s="196"/>
      <c r="GSX55" s="196"/>
      <c r="GSY55" s="196"/>
      <c r="GSZ55" s="196"/>
      <c r="GTA55" s="196"/>
      <c r="GTB55" s="196"/>
      <c r="GTC55" s="196"/>
      <c r="GTD55" s="196"/>
      <c r="GTE55" s="196"/>
      <c r="GTF55" s="196"/>
      <c r="GTG55" s="196"/>
      <c r="GTH55" s="196"/>
      <c r="GTI55" s="196"/>
      <c r="GTJ55" s="196"/>
      <c r="GTK55" s="196"/>
      <c r="GTL55" s="196"/>
      <c r="GTM55" s="196"/>
      <c r="GTN55" s="196"/>
      <c r="GTO55" s="196"/>
      <c r="GTP55" s="196"/>
      <c r="GTQ55" s="196"/>
      <c r="GTR55" s="196"/>
      <c r="GTS55" s="196"/>
      <c r="GTT55" s="196"/>
      <c r="GTU55" s="196"/>
      <c r="GTV55" s="196"/>
      <c r="GTW55" s="196"/>
      <c r="GTX55" s="196"/>
      <c r="GTY55" s="196"/>
      <c r="GTZ55" s="196"/>
      <c r="GUA55" s="196"/>
      <c r="GUB55" s="196"/>
      <c r="GUC55" s="196"/>
      <c r="GUD55" s="196"/>
      <c r="GUE55" s="196"/>
      <c r="GUF55" s="196"/>
      <c r="GUG55" s="196"/>
      <c r="GUH55" s="196"/>
      <c r="GUI55" s="196"/>
      <c r="GUJ55" s="196"/>
      <c r="GUK55" s="196"/>
      <c r="GUL55" s="196"/>
      <c r="GUM55" s="196"/>
      <c r="GUN55" s="196"/>
      <c r="GUO55" s="196"/>
      <c r="GUP55" s="196"/>
      <c r="GUQ55" s="196"/>
      <c r="GUR55" s="196"/>
      <c r="GUS55" s="196"/>
      <c r="GUT55" s="196"/>
      <c r="GUU55" s="196"/>
      <c r="GUV55" s="196"/>
      <c r="GUW55" s="196"/>
      <c r="GUX55" s="196"/>
      <c r="GUY55" s="196"/>
      <c r="GUZ55" s="196"/>
      <c r="GVA55" s="196"/>
      <c r="GVB55" s="196"/>
      <c r="GVC55" s="196"/>
      <c r="GVD55" s="196"/>
      <c r="GVE55" s="196"/>
      <c r="GVF55" s="196"/>
      <c r="GVG55" s="196"/>
      <c r="GVH55" s="196"/>
      <c r="GVI55" s="196"/>
      <c r="GVJ55" s="196"/>
      <c r="GVK55" s="196"/>
      <c r="GVL55" s="196"/>
      <c r="GVM55" s="196"/>
      <c r="GVN55" s="196"/>
      <c r="GVO55" s="196"/>
      <c r="GVP55" s="196"/>
      <c r="GVQ55" s="196"/>
      <c r="GVR55" s="196"/>
      <c r="GVS55" s="196"/>
      <c r="GVT55" s="196"/>
      <c r="GVU55" s="196"/>
      <c r="GVV55" s="196"/>
      <c r="GVW55" s="196"/>
      <c r="GVX55" s="196"/>
      <c r="GVY55" s="196"/>
      <c r="GVZ55" s="196"/>
      <c r="GWA55" s="196"/>
      <c r="GWB55" s="196"/>
      <c r="GWC55" s="196"/>
      <c r="GWD55" s="196"/>
      <c r="GWE55" s="196"/>
      <c r="GWF55" s="196"/>
      <c r="GWG55" s="196"/>
      <c r="GWH55" s="196"/>
      <c r="GWI55" s="196"/>
      <c r="GWJ55" s="196"/>
      <c r="GWK55" s="196"/>
      <c r="GWL55" s="196"/>
      <c r="GWM55" s="196"/>
      <c r="GWN55" s="196"/>
      <c r="GWO55" s="196"/>
      <c r="GWP55" s="196"/>
      <c r="GWQ55" s="196"/>
      <c r="GWR55" s="196"/>
      <c r="GWS55" s="196"/>
      <c r="GWT55" s="196"/>
      <c r="GWU55" s="196"/>
      <c r="GWV55" s="196"/>
      <c r="GWW55" s="196"/>
      <c r="GWX55" s="196"/>
      <c r="GWY55" s="196"/>
      <c r="GWZ55" s="196"/>
      <c r="GXA55" s="196"/>
      <c r="GXB55" s="196"/>
      <c r="GXC55" s="196"/>
      <c r="GXD55" s="196"/>
      <c r="GXE55" s="196"/>
      <c r="GXF55" s="196"/>
      <c r="GXG55" s="196"/>
      <c r="GXH55" s="196"/>
      <c r="GXI55" s="196"/>
      <c r="GXJ55" s="196"/>
      <c r="GXK55" s="196"/>
      <c r="GXL55" s="196"/>
      <c r="GXM55" s="196"/>
      <c r="GXN55" s="196"/>
      <c r="GXO55" s="196"/>
      <c r="GXP55" s="196"/>
      <c r="GXQ55" s="196"/>
      <c r="GXR55" s="196"/>
      <c r="GXS55" s="196"/>
      <c r="GXT55" s="196"/>
      <c r="GXU55" s="196"/>
      <c r="GXV55" s="196"/>
      <c r="GXW55" s="196"/>
      <c r="GXX55" s="196"/>
      <c r="GXY55" s="196"/>
      <c r="GXZ55" s="196"/>
      <c r="GYA55" s="196"/>
      <c r="GYB55" s="196"/>
      <c r="GYC55" s="196"/>
      <c r="GYD55" s="196"/>
      <c r="GYE55" s="196"/>
      <c r="GYF55" s="196"/>
      <c r="GYG55" s="196"/>
      <c r="GYH55" s="196"/>
      <c r="GYI55" s="196"/>
      <c r="GYJ55" s="196"/>
      <c r="GYK55" s="196"/>
      <c r="GYL55" s="196"/>
      <c r="GYM55" s="196"/>
      <c r="GYN55" s="196"/>
      <c r="GYO55" s="196"/>
      <c r="GYP55" s="196"/>
      <c r="GYQ55" s="196"/>
      <c r="GYR55" s="196"/>
      <c r="GYS55" s="196"/>
      <c r="GYT55" s="196"/>
      <c r="GYU55" s="196"/>
      <c r="GYV55" s="196"/>
      <c r="GYW55" s="196"/>
      <c r="GYX55" s="196"/>
      <c r="GYY55" s="196"/>
      <c r="GYZ55" s="196"/>
      <c r="GZA55" s="196"/>
      <c r="GZB55" s="196"/>
      <c r="GZC55" s="196"/>
      <c r="GZD55" s="196"/>
      <c r="GZE55" s="196"/>
      <c r="GZF55" s="196"/>
      <c r="GZG55" s="196"/>
      <c r="GZH55" s="196"/>
      <c r="GZI55" s="196"/>
      <c r="GZJ55" s="196"/>
      <c r="GZK55" s="196"/>
      <c r="GZL55" s="196"/>
      <c r="GZM55" s="196"/>
      <c r="GZN55" s="196"/>
      <c r="GZO55" s="196"/>
      <c r="GZP55" s="196"/>
      <c r="GZQ55" s="196"/>
      <c r="GZR55" s="196"/>
      <c r="GZS55" s="196"/>
      <c r="GZT55" s="196"/>
      <c r="GZU55" s="196"/>
      <c r="GZV55" s="196"/>
      <c r="GZW55" s="196"/>
      <c r="GZX55" s="196"/>
      <c r="GZY55" s="196"/>
      <c r="GZZ55" s="196"/>
      <c r="HAA55" s="196"/>
      <c r="HAB55" s="196"/>
      <c r="HAC55" s="196"/>
      <c r="HAD55" s="196"/>
      <c r="HAE55" s="196"/>
      <c r="HAF55" s="196"/>
      <c r="HAG55" s="196"/>
      <c r="HAH55" s="196"/>
      <c r="HAI55" s="196"/>
      <c r="HAJ55" s="196"/>
      <c r="HAK55" s="196"/>
      <c r="HAL55" s="196"/>
      <c r="HAM55" s="196"/>
      <c r="HAN55" s="196"/>
      <c r="HAO55" s="196"/>
      <c r="HAP55" s="196"/>
      <c r="HAQ55" s="196"/>
      <c r="HAR55" s="196"/>
      <c r="HAS55" s="196"/>
      <c r="HAT55" s="196"/>
      <c r="HAU55" s="196"/>
      <c r="HAV55" s="196"/>
      <c r="HAW55" s="196"/>
      <c r="HAX55" s="196"/>
      <c r="HAY55" s="196"/>
      <c r="HAZ55" s="196"/>
      <c r="HBA55" s="196"/>
      <c r="HBB55" s="196"/>
      <c r="HBC55" s="196"/>
      <c r="HBD55" s="196"/>
      <c r="HBE55" s="196"/>
      <c r="HBF55" s="196"/>
      <c r="HBG55" s="196"/>
      <c r="HBH55" s="196"/>
      <c r="HBI55" s="196"/>
      <c r="HBJ55" s="196"/>
      <c r="HBK55" s="196"/>
      <c r="HBL55" s="196"/>
      <c r="HBM55" s="196"/>
      <c r="HBN55" s="196"/>
      <c r="HBO55" s="196"/>
      <c r="HBP55" s="196"/>
      <c r="HBQ55" s="196"/>
      <c r="HBR55" s="196"/>
      <c r="HBS55" s="196"/>
      <c r="HBT55" s="196"/>
      <c r="HBU55" s="196"/>
      <c r="HBV55" s="196"/>
      <c r="HBW55" s="196"/>
      <c r="HBX55" s="196"/>
      <c r="HBY55" s="196"/>
      <c r="HBZ55" s="196"/>
      <c r="HCA55" s="196"/>
      <c r="HCB55" s="196"/>
      <c r="HCC55" s="196"/>
      <c r="HCD55" s="196"/>
      <c r="HCE55" s="196"/>
      <c r="HCF55" s="196"/>
      <c r="HCG55" s="196"/>
      <c r="HCH55" s="196"/>
      <c r="HCI55" s="196"/>
      <c r="HCJ55" s="196"/>
      <c r="HCK55" s="196"/>
      <c r="HCL55" s="196"/>
      <c r="HCM55" s="196"/>
      <c r="HCN55" s="196"/>
      <c r="HCO55" s="196"/>
      <c r="HCP55" s="196"/>
      <c r="HCQ55" s="196"/>
      <c r="HCR55" s="196"/>
      <c r="HCS55" s="196"/>
      <c r="HCT55" s="196"/>
      <c r="HCU55" s="196"/>
      <c r="HCV55" s="196"/>
      <c r="HCW55" s="196"/>
      <c r="HCX55" s="196"/>
      <c r="HCY55" s="196"/>
      <c r="HCZ55" s="196"/>
      <c r="HDA55" s="196"/>
      <c r="HDB55" s="196"/>
      <c r="HDC55" s="196"/>
      <c r="HDD55" s="196"/>
      <c r="HDE55" s="196"/>
      <c r="HDF55" s="196"/>
      <c r="HDG55" s="196"/>
      <c r="HDH55" s="196"/>
      <c r="HDI55" s="196"/>
      <c r="HDJ55" s="196"/>
      <c r="HDK55" s="196"/>
      <c r="HDL55" s="196"/>
      <c r="HDM55" s="196"/>
      <c r="HDN55" s="196"/>
      <c r="HDO55" s="196"/>
      <c r="HDP55" s="196"/>
      <c r="HDQ55" s="196"/>
      <c r="HDR55" s="196"/>
      <c r="HDS55" s="196"/>
      <c r="HDT55" s="196"/>
      <c r="HDU55" s="196"/>
      <c r="HDV55" s="196"/>
      <c r="HDW55" s="196"/>
      <c r="HDX55" s="196"/>
      <c r="HDY55" s="196"/>
      <c r="HDZ55" s="196"/>
      <c r="HEA55" s="196"/>
      <c r="HEB55" s="196"/>
      <c r="HEC55" s="196"/>
      <c r="HED55" s="196"/>
      <c r="HEE55" s="196"/>
      <c r="HEF55" s="196"/>
      <c r="HEG55" s="196"/>
      <c r="HEH55" s="196"/>
      <c r="HEI55" s="196"/>
      <c r="HEJ55" s="196"/>
      <c r="HEK55" s="196"/>
      <c r="HEL55" s="196"/>
      <c r="HEM55" s="196"/>
      <c r="HEN55" s="196"/>
      <c r="HEO55" s="196"/>
      <c r="HEP55" s="196"/>
      <c r="HEQ55" s="196"/>
      <c r="HER55" s="196"/>
      <c r="HES55" s="196"/>
      <c r="HET55" s="196"/>
      <c r="HEU55" s="196"/>
      <c r="HEV55" s="196"/>
      <c r="HEW55" s="196"/>
      <c r="HEX55" s="196"/>
      <c r="HEY55" s="196"/>
      <c r="HEZ55" s="196"/>
      <c r="HFA55" s="196"/>
      <c r="HFB55" s="196"/>
      <c r="HFC55" s="196"/>
      <c r="HFD55" s="196"/>
      <c r="HFE55" s="196"/>
      <c r="HFF55" s="196"/>
      <c r="HFG55" s="196"/>
      <c r="HFH55" s="196"/>
      <c r="HFI55" s="196"/>
      <c r="HFJ55" s="196"/>
      <c r="HFK55" s="196"/>
      <c r="HFL55" s="196"/>
      <c r="HFM55" s="196"/>
      <c r="HFN55" s="196"/>
      <c r="HFO55" s="196"/>
      <c r="HFP55" s="196"/>
      <c r="HFQ55" s="196"/>
      <c r="HFR55" s="196"/>
      <c r="HFS55" s="196"/>
      <c r="HFT55" s="196"/>
      <c r="HFU55" s="196"/>
      <c r="HFV55" s="196"/>
      <c r="HFW55" s="196"/>
      <c r="HFX55" s="196"/>
      <c r="HFY55" s="196"/>
      <c r="HFZ55" s="196"/>
      <c r="HGA55" s="196"/>
      <c r="HGB55" s="196"/>
      <c r="HGC55" s="196"/>
      <c r="HGD55" s="196"/>
      <c r="HGE55" s="196"/>
      <c r="HGF55" s="196"/>
      <c r="HGG55" s="196"/>
      <c r="HGH55" s="196"/>
      <c r="HGI55" s="196"/>
      <c r="HGJ55" s="196"/>
      <c r="HGK55" s="196"/>
      <c r="HGL55" s="196"/>
      <c r="HGM55" s="196"/>
      <c r="HGN55" s="196"/>
      <c r="HGO55" s="196"/>
      <c r="HGP55" s="196"/>
      <c r="HGQ55" s="196"/>
      <c r="HGR55" s="196"/>
      <c r="HGS55" s="196"/>
      <c r="HGT55" s="196"/>
      <c r="HGU55" s="196"/>
      <c r="HGV55" s="196"/>
      <c r="HGW55" s="196"/>
      <c r="HGX55" s="196"/>
      <c r="HGY55" s="196"/>
      <c r="HGZ55" s="196"/>
      <c r="HHA55" s="196"/>
      <c r="HHB55" s="196"/>
      <c r="HHC55" s="196"/>
      <c r="HHD55" s="196"/>
      <c r="HHE55" s="196"/>
      <c r="HHF55" s="196"/>
      <c r="HHG55" s="196"/>
      <c r="HHH55" s="196"/>
      <c r="HHI55" s="196"/>
      <c r="HHJ55" s="196"/>
      <c r="HHK55" s="196"/>
      <c r="HHL55" s="196"/>
      <c r="HHM55" s="196"/>
      <c r="HHN55" s="196"/>
      <c r="HHO55" s="196"/>
      <c r="HHP55" s="196"/>
      <c r="HHQ55" s="196"/>
      <c r="HHR55" s="196"/>
      <c r="HHS55" s="196"/>
      <c r="HHT55" s="196"/>
      <c r="HHU55" s="196"/>
      <c r="HHV55" s="196"/>
      <c r="HHW55" s="196"/>
      <c r="HHX55" s="196"/>
      <c r="HHY55" s="196"/>
      <c r="HHZ55" s="196"/>
      <c r="HIA55" s="196"/>
      <c r="HIB55" s="196"/>
      <c r="HIC55" s="196"/>
      <c r="HID55" s="196"/>
      <c r="HIE55" s="196"/>
      <c r="HIF55" s="196"/>
      <c r="HIG55" s="196"/>
      <c r="HIH55" s="196"/>
      <c r="HII55" s="196"/>
      <c r="HIJ55" s="196"/>
      <c r="HIK55" s="196"/>
      <c r="HIL55" s="196"/>
      <c r="HIM55" s="196"/>
      <c r="HIN55" s="196"/>
      <c r="HIO55" s="196"/>
      <c r="HIP55" s="196"/>
      <c r="HIQ55" s="196"/>
      <c r="HIR55" s="196"/>
      <c r="HIS55" s="196"/>
      <c r="HIT55" s="196"/>
      <c r="HIU55" s="196"/>
      <c r="HIV55" s="196"/>
      <c r="HIW55" s="196"/>
      <c r="HIX55" s="196"/>
      <c r="HIY55" s="196"/>
      <c r="HIZ55" s="196"/>
      <c r="HJA55" s="196"/>
      <c r="HJB55" s="196"/>
      <c r="HJC55" s="196"/>
      <c r="HJD55" s="196"/>
      <c r="HJE55" s="196"/>
      <c r="HJF55" s="196"/>
      <c r="HJG55" s="196"/>
      <c r="HJH55" s="196"/>
      <c r="HJI55" s="196"/>
      <c r="HJJ55" s="196"/>
      <c r="HJK55" s="196"/>
      <c r="HJL55" s="196"/>
      <c r="HJM55" s="196"/>
      <c r="HJN55" s="196"/>
      <c r="HJO55" s="196"/>
      <c r="HJP55" s="196"/>
      <c r="HJQ55" s="196"/>
      <c r="HJR55" s="196"/>
      <c r="HJS55" s="196"/>
      <c r="HJT55" s="196"/>
      <c r="HJU55" s="196"/>
      <c r="HJV55" s="196"/>
      <c r="HJW55" s="196"/>
      <c r="HJX55" s="196"/>
      <c r="HJY55" s="196"/>
      <c r="HJZ55" s="196"/>
      <c r="HKA55" s="196"/>
      <c r="HKB55" s="196"/>
      <c r="HKC55" s="196"/>
      <c r="HKD55" s="196"/>
      <c r="HKE55" s="196"/>
      <c r="HKF55" s="196"/>
      <c r="HKG55" s="196"/>
      <c r="HKH55" s="196"/>
      <c r="HKI55" s="196"/>
      <c r="HKJ55" s="196"/>
      <c r="HKK55" s="196"/>
      <c r="HKL55" s="196"/>
      <c r="HKM55" s="196"/>
      <c r="HKN55" s="196"/>
      <c r="HKO55" s="196"/>
      <c r="HKP55" s="196"/>
      <c r="HKQ55" s="196"/>
      <c r="HKR55" s="196"/>
      <c r="HKS55" s="196"/>
      <c r="HKT55" s="196"/>
      <c r="HKU55" s="196"/>
      <c r="HKV55" s="196"/>
      <c r="HKW55" s="196"/>
      <c r="HKX55" s="196"/>
      <c r="HKY55" s="196"/>
      <c r="HKZ55" s="196"/>
      <c r="HLA55" s="196"/>
      <c r="HLB55" s="196"/>
      <c r="HLC55" s="196"/>
      <c r="HLD55" s="196"/>
      <c r="HLE55" s="196"/>
      <c r="HLF55" s="196"/>
      <c r="HLG55" s="196"/>
      <c r="HLH55" s="196"/>
      <c r="HLI55" s="196"/>
      <c r="HLJ55" s="196"/>
      <c r="HLK55" s="196"/>
      <c r="HLL55" s="196"/>
      <c r="HLM55" s="196"/>
      <c r="HLN55" s="196"/>
      <c r="HLO55" s="196"/>
      <c r="HLP55" s="196"/>
      <c r="HLQ55" s="196"/>
      <c r="HLR55" s="196"/>
      <c r="HLS55" s="196"/>
      <c r="HLT55" s="196"/>
      <c r="HLU55" s="196"/>
      <c r="HLV55" s="196"/>
      <c r="HLW55" s="196"/>
      <c r="HLX55" s="196"/>
      <c r="HLY55" s="196"/>
      <c r="HLZ55" s="196"/>
      <c r="HMA55" s="196"/>
      <c r="HMB55" s="196"/>
      <c r="HMC55" s="196"/>
      <c r="HMD55" s="196"/>
      <c r="HME55" s="196"/>
      <c r="HMF55" s="196"/>
      <c r="HMG55" s="196"/>
      <c r="HMH55" s="196"/>
      <c r="HMI55" s="196"/>
      <c r="HMJ55" s="196"/>
      <c r="HMK55" s="196"/>
      <c r="HML55" s="196"/>
      <c r="HMM55" s="196"/>
      <c r="HMN55" s="196"/>
      <c r="HMO55" s="196"/>
      <c r="HMP55" s="196"/>
      <c r="HMQ55" s="196"/>
      <c r="HMR55" s="196"/>
      <c r="HMS55" s="196"/>
      <c r="HMT55" s="196"/>
      <c r="HMU55" s="196"/>
      <c r="HMV55" s="196"/>
      <c r="HMW55" s="196"/>
      <c r="HMX55" s="196"/>
      <c r="HMY55" s="196"/>
      <c r="HMZ55" s="196"/>
      <c r="HNA55" s="196"/>
      <c r="HNB55" s="196"/>
      <c r="HNC55" s="196"/>
      <c r="HND55" s="196"/>
      <c r="HNE55" s="196"/>
      <c r="HNF55" s="196"/>
      <c r="HNG55" s="196"/>
      <c r="HNH55" s="196"/>
      <c r="HNI55" s="196"/>
      <c r="HNJ55" s="196"/>
      <c r="HNK55" s="196"/>
      <c r="HNL55" s="196"/>
      <c r="HNM55" s="196"/>
      <c r="HNN55" s="196"/>
      <c r="HNO55" s="196"/>
      <c r="HNP55" s="196"/>
      <c r="HNQ55" s="196"/>
      <c r="HNR55" s="196"/>
      <c r="HNS55" s="196"/>
      <c r="HNT55" s="196"/>
      <c r="HNU55" s="196"/>
      <c r="HNV55" s="196"/>
      <c r="HNW55" s="196"/>
      <c r="HNX55" s="196"/>
      <c r="HNY55" s="196"/>
      <c r="HNZ55" s="196"/>
      <c r="HOA55" s="196"/>
      <c r="HOB55" s="196"/>
      <c r="HOC55" s="196"/>
      <c r="HOD55" s="196"/>
      <c r="HOE55" s="196"/>
      <c r="HOF55" s="196"/>
      <c r="HOG55" s="196"/>
      <c r="HOH55" s="196"/>
      <c r="HOI55" s="196"/>
      <c r="HOJ55" s="196"/>
      <c r="HOK55" s="196"/>
      <c r="HOL55" s="196"/>
      <c r="HOM55" s="196"/>
      <c r="HON55" s="196"/>
      <c r="HOO55" s="196"/>
      <c r="HOP55" s="196"/>
      <c r="HOQ55" s="196"/>
      <c r="HOR55" s="196"/>
      <c r="HOS55" s="196"/>
      <c r="HOT55" s="196"/>
      <c r="HOU55" s="196"/>
      <c r="HOV55" s="196"/>
      <c r="HOW55" s="196"/>
      <c r="HOX55" s="196"/>
      <c r="HOY55" s="196"/>
      <c r="HOZ55" s="196"/>
      <c r="HPA55" s="196"/>
      <c r="HPB55" s="196"/>
      <c r="HPC55" s="196"/>
      <c r="HPD55" s="196"/>
      <c r="HPE55" s="196"/>
      <c r="HPF55" s="196"/>
      <c r="HPG55" s="196"/>
      <c r="HPH55" s="196"/>
      <c r="HPI55" s="196"/>
      <c r="HPJ55" s="196"/>
      <c r="HPK55" s="196"/>
      <c r="HPL55" s="196"/>
      <c r="HPM55" s="196"/>
      <c r="HPN55" s="196"/>
      <c r="HPO55" s="196"/>
      <c r="HPP55" s="196"/>
      <c r="HPQ55" s="196"/>
      <c r="HPR55" s="196"/>
      <c r="HPS55" s="196"/>
      <c r="HPT55" s="196"/>
      <c r="HPU55" s="196"/>
      <c r="HPV55" s="196"/>
      <c r="HPW55" s="196"/>
      <c r="HPX55" s="196"/>
      <c r="HPY55" s="196"/>
      <c r="HPZ55" s="196"/>
      <c r="HQA55" s="196"/>
      <c r="HQB55" s="196"/>
      <c r="HQC55" s="196"/>
      <c r="HQD55" s="196"/>
      <c r="HQE55" s="196"/>
      <c r="HQF55" s="196"/>
      <c r="HQG55" s="196"/>
      <c r="HQH55" s="196"/>
      <c r="HQI55" s="196"/>
      <c r="HQJ55" s="196"/>
      <c r="HQK55" s="196"/>
      <c r="HQL55" s="196"/>
      <c r="HQM55" s="196"/>
      <c r="HQN55" s="196"/>
      <c r="HQO55" s="196"/>
      <c r="HQP55" s="196"/>
      <c r="HQQ55" s="196"/>
      <c r="HQR55" s="196"/>
      <c r="HQS55" s="196"/>
      <c r="HQT55" s="196"/>
      <c r="HQU55" s="196"/>
      <c r="HQV55" s="196"/>
      <c r="HQW55" s="196"/>
      <c r="HQX55" s="196"/>
      <c r="HQY55" s="196"/>
      <c r="HQZ55" s="196"/>
      <c r="HRA55" s="196"/>
      <c r="HRB55" s="196"/>
      <c r="HRC55" s="196"/>
      <c r="HRD55" s="196"/>
      <c r="HRE55" s="196"/>
      <c r="HRF55" s="196"/>
      <c r="HRG55" s="196"/>
      <c r="HRH55" s="196"/>
      <c r="HRI55" s="196"/>
      <c r="HRJ55" s="196"/>
      <c r="HRK55" s="196"/>
      <c r="HRL55" s="196"/>
      <c r="HRM55" s="196"/>
      <c r="HRN55" s="196"/>
      <c r="HRO55" s="196"/>
      <c r="HRP55" s="196"/>
      <c r="HRQ55" s="196"/>
      <c r="HRR55" s="196"/>
      <c r="HRS55" s="196"/>
      <c r="HRT55" s="196"/>
      <c r="HRU55" s="196"/>
      <c r="HRV55" s="196"/>
      <c r="HRW55" s="196"/>
      <c r="HRX55" s="196"/>
      <c r="HRY55" s="196"/>
      <c r="HRZ55" s="196"/>
      <c r="HSA55" s="196"/>
      <c r="HSB55" s="196"/>
      <c r="HSC55" s="196"/>
      <c r="HSD55" s="196"/>
      <c r="HSE55" s="196"/>
      <c r="HSF55" s="196"/>
      <c r="HSG55" s="196"/>
      <c r="HSH55" s="196"/>
      <c r="HSI55" s="196"/>
      <c r="HSJ55" s="196"/>
      <c r="HSK55" s="196"/>
      <c r="HSL55" s="196"/>
      <c r="HSM55" s="196"/>
      <c r="HSN55" s="196"/>
      <c r="HSO55" s="196"/>
      <c r="HSP55" s="196"/>
      <c r="HSQ55" s="196"/>
      <c r="HSR55" s="196"/>
      <c r="HSS55" s="196"/>
      <c r="HST55" s="196"/>
      <c r="HSU55" s="196"/>
      <c r="HSV55" s="196"/>
      <c r="HSW55" s="196"/>
      <c r="HSX55" s="196"/>
      <c r="HSY55" s="196"/>
      <c r="HSZ55" s="196"/>
      <c r="HTA55" s="196"/>
      <c r="HTB55" s="196"/>
      <c r="HTC55" s="196"/>
      <c r="HTD55" s="196"/>
      <c r="HTE55" s="196"/>
      <c r="HTF55" s="196"/>
      <c r="HTG55" s="196"/>
      <c r="HTH55" s="196"/>
      <c r="HTI55" s="196"/>
      <c r="HTJ55" s="196"/>
      <c r="HTK55" s="196"/>
      <c r="HTL55" s="196"/>
      <c r="HTM55" s="196"/>
      <c r="HTN55" s="196"/>
      <c r="HTO55" s="196"/>
      <c r="HTP55" s="196"/>
      <c r="HTQ55" s="196"/>
      <c r="HTR55" s="196"/>
      <c r="HTS55" s="196"/>
      <c r="HTT55" s="196"/>
      <c r="HTU55" s="196"/>
      <c r="HTV55" s="196"/>
      <c r="HTW55" s="196"/>
      <c r="HTX55" s="196"/>
      <c r="HTY55" s="196"/>
      <c r="HTZ55" s="196"/>
      <c r="HUA55" s="196"/>
      <c r="HUB55" s="196"/>
      <c r="HUC55" s="196"/>
      <c r="HUD55" s="196"/>
      <c r="HUE55" s="196"/>
      <c r="HUF55" s="196"/>
      <c r="HUG55" s="196"/>
      <c r="HUH55" s="196"/>
      <c r="HUI55" s="196"/>
      <c r="HUJ55" s="196"/>
      <c r="HUK55" s="196"/>
      <c r="HUL55" s="196"/>
      <c r="HUM55" s="196"/>
      <c r="HUN55" s="196"/>
      <c r="HUO55" s="196"/>
      <c r="HUP55" s="196"/>
      <c r="HUQ55" s="196"/>
      <c r="HUR55" s="196"/>
      <c r="HUS55" s="196"/>
      <c r="HUT55" s="196"/>
      <c r="HUU55" s="196"/>
      <c r="HUV55" s="196"/>
      <c r="HUW55" s="196"/>
      <c r="HUX55" s="196"/>
      <c r="HUY55" s="196"/>
      <c r="HUZ55" s="196"/>
      <c r="HVA55" s="196"/>
      <c r="HVB55" s="196"/>
      <c r="HVC55" s="196"/>
      <c r="HVD55" s="196"/>
      <c r="HVE55" s="196"/>
      <c r="HVF55" s="196"/>
      <c r="HVG55" s="196"/>
      <c r="HVH55" s="196"/>
      <c r="HVI55" s="196"/>
      <c r="HVJ55" s="196"/>
      <c r="HVK55" s="196"/>
      <c r="HVL55" s="196"/>
      <c r="HVM55" s="196"/>
      <c r="HVN55" s="196"/>
      <c r="HVO55" s="196"/>
      <c r="HVP55" s="196"/>
      <c r="HVQ55" s="196"/>
      <c r="HVR55" s="196"/>
      <c r="HVS55" s="196"/>
      <c r="HVT55" s="196"/>
      <c r="HVU55" s="196"/>
      <c r="HVV55" s="196"/>
      <c r="HVW55" s="196"/>
      <c r="HVX55" s="196"/>
      <c r="HVY55" s="196"/>
      <c r="HVZ55" s="196"/>
      <c r="HWA55" s="196"/>
      <c r="HWB55" s="196"/>
      <c r="HWC55" s="196"/>
      <c r="HWD55" s="196"/>
      <c r="HWE55" s="196"/>
      <c r="HWF55" s="196"/>
      <c r="HWG55" s="196"/>
      <c r="HWH55" s="196"/>
      <c r="HWI55" s="196"/>
      <c r="HWJ55" s="196"/>
      <c r="HWK55" s="196"/>
      <c r="HWL55" s="196"/>
      <c r="HWM55" s="196"/>
      <c r="HWN55" s="196"/>
      <c r="HWO55" s="196"/>
      <c r="HWP55" s="196"/>
      <c r="HWQ55" s="196"/>
      <c r="HWR55" s="196"/>
      <c r="HWS55" s="196"/>
      <c r="HWT55" s="196"/>
      <c r="HWU55" s="196"/>
      <c r="HWV55" s="196"/>
      <c r="HWW55" s="196"/>
      <c r="HWX55" s="196"/>
      <c r="HWY55" s="196"/>
      <c r="HWZ55" s="196"/>
      <c r="HXA55" s="196"/>
      <c r="HXB55" s="196"/>
      <c r="HXC55" s="196"/>
      <c r="HXD55" s="196"/>
      <c r="HXE55" s="196"/>
      <c r="HXF55" s="196"/>
      <c r="HXG55" s="196"/>
      <c r="HXH55" s="196"/>
      <c r="HXI55" s="196"/>
      <c r="HXJ55" s="196"/>
      <c r="HXK55" s="196"/>
      <c r="HXL55" s="196"/>
      <c r="HXM55" s="196"/>
      <c r="HXN55" s="196"/>
      <c r="HXO55" s="196"/>
      <c r="HXP55" s="196"/>
      <c r="HXQ55" s="196"/>
      <c r="HXR55" s="196"/>
      <c r="HXS55" s="196"/>
      <c r="HXT55" s="196"/>
      <c r="HXU55" s="196"/>
      <c r="HXV55" s="196"/>
      <c r="HXW55" s="196"/>
      <c r="HXX55" s="196"/>
      <c r="HXY55" s="196"/>
      <c r="HXZ55" s="196"/>
      <c r="HYA55" s="196"/>
      <c r="HYB55" s="196"/>
      <c r="HYC55" s="196"/>
      <c r="HYD55" s="196"/>
      <c r="HYE55" s="196"/>
      <c r="HYF55" s="196"/>
      <c r="HYG55" s="196"/>
      <c r="HYH55" s="196"/>
      <c r="HYI55" s="196"/>
      <c r="HYJ55" s="196"/>
      <c r="HYK55" s="196"/>
      <c r="HYL55" s="196"/>
      <c r="HYM55" s="196"/>
      <c r="HYN55" s="196"/>
      <c r="HYO55" s="196"/>
      <c r="HYP55" s="196"/>
      <c r="HYQ55" s="196"/>
      <c r="HYR55" s="196"/>
      <c r="HYS55" s="196"/>
      <c r="HYT55" s="196"/>
      <c r="HYU55" s="196"/>
      <c r="HYV55" s="196"/>
      <c r="HYW55" s="196"/>
      <c r="HYX55" s="196"/>
      <c r="HYY55" s="196"/>
      <c r="HYZ55" s="196"/>
      <c r="HZA55" s="196"/>
      <c r="HZB55" s="196"/>
      <c r="HZC55" s="196"/>
      <c r="HZD55" s="196"/>
      <c r="HZE55" s="196"/>
      <c r="HZF55" s="196"/>
      <c r="HZG55" s="196"/>
      <c r="HZH55" s="196"/>
      <c r="HZI55" s="196"/>
      <c r="HZJ55" s="196"/>
      <c r="HZK55" s="196"/>
      <c r="HZL55" s="196"/>
      <c r="HZM55" s="196"/>
      <c r="HZN55" s="196"/>
      <c r="HZO55" s="196"/>
      <c r="HZP55" s="196"/>
      <c r="HZQ55" s="196"/>
      <c r="HZR55" s="196"/>
      <c r="HZS55" s="196"/>
      <c r="HZT55" s="196"/>
      <c r="HZU55" s="196"/>
      <c r="HZV55" s="196"/>
      <c r="HZW55" s="196"/>
      <c r="HZX55" s="196"/>
      <c r="HZY55" s="196"/>
      <c r="HZZ55" s="196"/>
      <c r="IAA55" s="196"/>
      <c r="IAB55" s="196"/>
      <c r="IAC55" s="196"/>
      <c r="IAD55" s="196"/>
      <c r="IAE55" s="196"/>
      <c r="IAF55" s="196"/>
      <c r="IAG55" s="196"/>
      <c r="IAH55" s="196"/>
      <c r="IAI55" s="196"/>
      <c r="IAJ55" s="196"/>
      <c r="IAK55" s="196"/>
      <c r="IAL55" s="196"/>
      <c r="IAM55" s="196"/>
      <c r="IAN55" s="196"/>
      <c r="IAO55" s="196"/>
      <c r="IAP55" s="196"/>
      <c r="IAQ55" s="196"/>
      <c r="IAR55" s="196"/>
      <c r="IAS55" s="196"/>
      <c r="IAT55" s="196"/>
      <c r="IAU55" s="196"/>
      <c r="IAV55" s="196"/>
      <c r="IAW55" s="196"/>
      <c r="IAX55" s="196"/>
      <c r="IAY55" s="196"/>
      <c r="IAZ55" s="196"/>
      <c r="IBA55" s="196"/>
      <c r="IBB55" s="196"/>
      <c r="IBC55" s="196"/>
      <c r="IBD55" s="196"/>
      <c r="IBE55" s="196"/>
      <c r="IBF55" s="196"/>
      <c r="IBG55" s="196"/>
      <c r="IBH55" s="196"/>
      <c r="IBI55" s="196"/>
      <c r="IBJ55" s="196"/>
      <c r="IBK55" s="196"/>
      <c r="IBL55" s="196"/>
      <c r="IBM55" s="196"/>
      <c r="IBN55" s="196"/>
      <c r="IBO55" s="196"/>
      <c r="IBP55" s="196"/>
      <c r="IBQ55" s="196"/>
      <c r="IBR55" s="196"/>
      <c r="IBS55" s="196"/>
      <c r="IBT55" s="196"/>
      <c r="IBU55" s="196"/>
      <c r="IBV55" s="196"/>
      <c r="IBW55" s="196"/>
      <c r="IBX55" s="196"/>
      <c r="IBY55" s="196"/>
      <c r="IBZ55" s="196"/>
      <c r="ICA55" s="196"/>
      <c r="ICB55" s="196"/>
      <c r="ICC55" s="196"/>
      <c r="ICD55" s="196"/>
      <c r="ICE55" s="196"/>
      <c r="ICF55" s="196"/>
      <c r="ICG55" s="196"/>
      <c r="ICH55" s="196"/>
      <c r="ICI55" s="196"/>
      <c r="ICJ55" s="196"/>
      <c r="ICK55" s="196"/>
      <c r="ICL55" s="196"/>
      <c r="ICM55" s="196"/>
      <c r="ICN55" s="196"/>
      <c r="ICO55" s="196"/>
      <c r="ICP55" s="196"/>
      <c r="ICQ55" s="196"/>
      <c r="ICR55" s="196"/>
      <c r="ICS55" s="196"/>
      <c r="ICT55" s="196"/>
      <c r="ICU55" s="196"/>
      <c r="ICV55" s="196"/>
      <c r="ICW55" s="196"/>
      <c r="ICX55" s="196"/>
      <c r="ICY55" s="196"/>
      <c r="ICZ55" s="196"/>
      <c r="IDA55" s="196"/>
      <c r="IDB55" s="196"/>
      <c r="IDC55" s="196"/>
      <c r="IDD55" s="196"/>
      <c r="IDE55" s="196"/>
      <c r="IDF55" s="196"/>
      <c r="IDG55" s="196"/>
      <c r="IDH55" s="196"/>
      <c r="IDI55" s="196"/>
      <c r="IDJ55" s="196"/>
      <c r="IDK55" s="196"/>
      <c r="IDL55" s="196"/>
      <c r="IDM55" s="196"/>
      <c r="IDN55" s="196"/>
      <c r="IDO55" s="196"/>
      <c r="IDP55" s="196"/>
      <c r="IDQ55" s="196"/>
      <c r="IDR55" s="196"/>
      <c r="IDS55" s="196"/>
      <c r="IDT55" s="196"/>
      <c r="IDU55" s="196"/>
      <c r="IDV55" s="196"/>
      <c r="IDW55" s="196"/>
      <c r="IDX55" s="196"/>
      <c r="IDY55" s="196"/>
      <c r="IDZ55" s="196"/>
      <c r="IEA55" s="196"/>
      <c r="IEB55" s="196"/>
      <c r="IEC55" s="196"/>
      <c r="IED55" s="196"/>
      <c r="IEE55" s="196"/>
      <c r="IEF55" s="196"/>
      <c r="IEG55" s="196"/>
      <c r="IEH55" s="196"/>
      <c r="IEI55" s="196"/>
      <c r="IEJ55" s="196"/>
      <c r="IEK55" s="196"/>
      <c r="IEL55" s="196"/>
      <c r="IEM55" s="196"/>
      <c r="IEN55" s="196"/>
      <c r="IEO55" s="196"/>
      <c r="IEP55" s="196"/>
      <c r="IEQ55" s="196"/>
      <c r="IER55" s="196"/>
      <c r="IES55" s="196"/>
      <c r="IET55" s="196"/>
      <c r="IEU55" s="196"/>
      <c r="IEV55" s="196"/>
      <c r="IEW55" s="196"/>
      <c r="IEX55" s="196"/>
      <c r="IEY55" s="196"/>
      <c r="IEZ55" s="196"/>
      <c r="IFA55" s="196"/>
      <c r="IFB55" s="196"/>
      <c r="IFC55" s="196"/>
      <c r="IFD55" s="196"/>
      <c r="IFE55" s="196"/>
      <c r="IFF55" s="196"/>
      <c r="IFG55" s="196"/>
      <c r="IFH55" s="196"/>
      <c r="IFI55" s="196"/>
      <c r="IFJ55" s="196"/>
      <c r="IFK55" s="196"/>
      <c r="IFL55" s="196"/>
      <c r="IFM55" s="196"/>
      <c r="IFN55" s="196"/>
      <c r="IFO55" s="196"/>
      <c r="IFP55" s="196"/>
      <c r="IFQ55" s="196"/>
      <c r="IFR55" s="196"/>
      <c r="IFS55" s="196"/>
      <c r="IFT55" s="196"/>
      <c r="IFU55" s="196"/>
      <c r="IFV55" s="196"/>
      <c r="IFW55" s="196"/>
      <c r="IFX55" s="196"/>
      <c r="IFY55" s="196"/>
      <c r="IFZ55" s="196"/>
      <c r="IGA55" s="196"/>
      <c r="IGB55" s="196"/>
      <c r="IGC55" s="196"/>
      <c r="IGD55" s="196"/>
      <c r="IGE55" s="196"/>
      <c r="IGF55" s="196"/>
      <c r="IGG55" s="196"/>
      <c r="IGH55" s="196"/>
      <c r="IGI55" s="196"/>
      <c r="IGJ55" s="196"/>
      <c r="IGK55" s="196"/>
      <c r="IGL55" s="196"/>
      <c r="IGM55" s="196"/>
      <c r="IGN55" s="196"/>
      <c r="IGO55" s="196"/>
      <c r="IGP55" s="196"/>
      <c r="IGQ55" s="196"/>
      <c r="IGR55" s="196"/>
      <c r="IGS55" s="196"/>
      <c r="IGT55" s="196"/>
      <c r="IGU55" s="196"/>
      <c r="IGV55" s="196"/>
      <c r="IGW55" s="196"/>
      <c r="IGX55" s="196"/>
      <c r="IGY55" s="196"/>
      <c r="IGZ55" s="196"/>
      <c r="IHA55" s="196"/>
      <c r="IHB55" s="196"/>
      <c r="IHC55" s="196"/>
      <c r="IHD55" s="196"/>
      <c r="IHE55" s="196"/>
      <c r="IHF55" s="196"/>
      <c r="IHG55" s="196"/>
      <c r="IHH55" s="196"/>
      <c r="IHI55" s="196"/>
      <c r="IHJ55" s="196"/>
      <c r="IHK55" s="196"/>
      <c r="IHL55" s="196"/>
      <c r="IHM55" s="196"/>
      <c r="IHN55" s="196"/>
      <c r="IHO55" s="196"/>
      <c r="IHP55" s="196"/>
      <c r="IHQ55" s="196"/>
      <c r="IHR55" s="196"/>
      <c r="IHS55" s="196"/>
      <c r="IHT55" s="196"/>
      <c r="IHU55" s="196"/>
      <c r="IHV55" s="196"/>
      <c r="IHW55" s="196"/>
      <c r="IHX55" s="196"/>
      <c r="IHY55" s="196"/>
      <c r="IHZ55" s="196"/>
      <c r="IIA55" s="196"/>
      <c r="IIB55" s="196"/>
      <c r="IIC55" s="196"/>
      <c r="IID55" s="196"/>
      <c r="IIE55" s="196"/>
      <c r="IIF55" s="196"/>
      <c r="IIG55" s="196"/>
      <c r="IIH55" s="196"/>
      <c r="III55" s="196"/>
      <c r="IIJ55" s="196"/>
      <c r="IIK55" s="196"/>
      <c r="IIL55" s="196"/>
      <c r="IIM55" s="196"/>
      <c r="IIN55" s="196"/>
      <c r="IIO55" s="196"/>
      <c r="IIP55" s="196"/>
      <c r="IIQ55" s="196"/>
      <c r="IIR55" s="196"/>
      <c r="IIS55" s="196"/>
      <c r="IIT55" s="196"/>
      <c r="IIU55" s="196"/>
      <c r="IIV55" s="196"/>
      <c r="IIW55" s="196"/>
      <c r="IIX55" s="196"/>
      <c r="IIY55" s="196"/>
      <c r="IIZ55" s="196"/>
      <c r="IJA55" s="196"/>
      <c r="IJB55" s="196"/>
      <c r="IJC55" s="196"/>
      <c r="IJD55" s="196"/>
      <c r="IJE55" s="196"/>
      <c r="IJF55" s="196"/>
      <c r="IJG55" s="196"/>
      <c r="IJH55" s="196"/>
      <c r="IJI55" s="196"/>
      <c r="IJJ55" s="196"/>
      <c r="IJK55" s="196"/>
      <c r="IJL55" s="196"/>
      <c r="IJM55" s="196"/>
      <c r="IJN55" s="196"/>
      <c r="IJO55" s="196"/>
      <c r="IJP55" s="196"/>
      <c r="IJQ55" s="196"/>
      <c r="IJR55" s="196"/>
      <c r="IJS55" s="196"/>
      <c r="IJT55" s="196"/>
      <c r="IJU55" s="196"/>
      <c r="IJV55" s="196"/>
      <c r="IJW55" s="196"/>
      <c r="IJX55" s="196"/>
      <c r="IJY55" s="196"/>
      <c r="IJZ55" s="196"/>
      <c r="IKA55" s="196"/>
      <c r="IKB55" s="196"/>
      <c r="IKC55" s="196"/>
      <c r="IKD55" s="196"/>
      <c r="IKE55" s="196"/>
      <c r="IKF55" s="196"/>
      <c r="IKG55" s="196"/>
      <c r="IKH55" s="196"/>
      <c r="IKI55" s="196"/>
      <c r="IKJ55" s="196"/>
      <c r="IKK55" s="196"/>
      <c r="IKL55" s="196"/>
      <c r="IKM55" s="196"/>
      <c r="IKN55" s="196"/>
      <c r="IKO55" s="196"/>
      <c r="IKP55" s="196"/>
      <c r="IKQ55" s="196"/>
      <c r="IKR55" s="196"/>
      <c r="IKS55" s="196"/>
      <c r="IKT55" s="196"/>
      <c r="IKU55" s="196"/>
      <c r="IKV55" s="196"/>
      <c r="IKW55" s="196"/>
      <c r="IKX55" s="196"/>
      <c r="IKY55" s="196"/>
      <c r="IKZ55" s="196"/>
      <c r="ILA55" s="196"/>
      <c r="ILB55" s="196"/>
      <c r="ILC55" s="196"/>
      <c r="ILD55" s="196"/>
      <c r="ILE55" s="196"/>
      <c r="ILF55" s="196"/>
      <c r="ILG55" s="196"/>
      <c r="ILH55" s="196"/>
      <c r="ILI55" s="196"/>
      <c r="ILJ55" s="196"/>
      <c r="ILK55" s="196"/>
      <c r="ILL55" s="196"/>
      <c r="ILM55" s="196"/>
      <c r="ILN55" s="196"/>
      <c r="ILO55" s="196"/>
      <c r="ILP55" s="196"/>
      <c r="ILQ55" s="196"/>
      <c r="ILR55" s="196"/>
      <c r="ILS55" s="196"/>
      <c r="ILT55" s="196"/>
      <c r="ILU55" s="196"/>
      <c r="ILV55" s="196"/>
      <c r="ILW55" s="196"/>
      <c r="ILX55" s="196"/>
      <c r="ILY55" s="196"/>
      <c r="ILZ55" s="196"/>
      <c r="IMA55" s="196"/>
      <c r="IMB55" s="196"/>
      <c r="IMC55" s="196"/>
      <c r="IMD55" s="196"/>
      <c r="IME55" s="196"/>
      <c r="IMF55" s="196"/>
      <c r="IMG55" s="196"/>
      <c r="IMH55" s="196"/>
      <c r="IMI55" s="196"/>
      <c r="IMJ55" s="196"/>
      <c r="IMK55" s="196"/>
      <c r="IML55" s="196"/>
      <c r="IMM55" s="196"/>
      <c r="IMN55" s="196"/>
      <c r="IMO55" s="196"/>
      <c r="IMP55" s="196"/>
      <c r="IMQ55" s="196"/>
      <c r="IMR55" s="196"/>
      <c r="IMS55" s="196"/>
      <c r="IMT55" s="196"/>
      <c r="IMU55" s="196"/>
      <c r="IMV55" s="196"/>
      <c r="IMW55" s="196"/>
      <c r="IMX55" s="196"/>
      <c r="IMY55" s="196"/>
      <c r="IMZ55" s="196"/>
      <c r="INA55" s="196"/>
      <c r="INB55" s="196"/>
      <c r="INC55" s="196"/>
      <c r="IND55" s="196"/>
      <c r="INE55" s="196"/>
      <c r="INF55" s="196"/>
      <c r="ING55" s="196"/>
      <c r="INH55" s="196"/>
      <c r="INI55" s="196"/>
      <c r="INJ55" s="196"/>
      <c r="INK55" s="196"/>
      <c r="INL55" s="196"/>
      <c r="INM55" s="196"/>
      <c r="INN55" s="196"/>
      <c r="INO55" s="196"/>
      <c r="INP55" s="196"/>
      <c r="INQ55" s="196"/>
      <c r="INR55" s="196"/>
      <c r="INS55" s="196"/>
      <c r="INT55" s="196"/>
      <c r="INU55" s="196"/>
      <c r="INV55" s="196"/>
      <c r="INW55" s="196"/>
      <c r="INX55" s="196"/>
      <c r="INY55" s="196"/>
      <c r="INZ55" s="196"/>
      <c r="IOA55" s="196"/>
      <c r="IOB55" s="196"/>
      <c r="IOC55" s="196"/>
      <c r="IOD55" s="196"/>
      <c r="IOE55" s="196"/>
      <c r="IOF55" s="196"/>
      <c r="IOG55" s="196"/>
      <c r="IOH55" s="196"/>
      <c r="IOI55" s="196"/>
      <c r="IOJ55" s="196"/>
      <c r="IOK55" s="196"/>
      <c r="IOL55" s="196"/>
      <c r="IOM55" s="196"/>
      <c r="ION55" s="196"/>
      <c r="IOO55" s="196"/>
      <c r="IOP55" s="196"/>
      <c r="IOQ55" s="196"/>
      <c r="IOR55" s="196"/>
      <c r="IOS55" s="196"/>
      <c r="IOT55" s="196"/>
      <c r="IOU55" s="196"/>
      <c r="IOV55" s="196"/>
      <c r="IOW55" s="196"/>
      <c r="IOX55" s="196"/>
      <c r="IOY55" s="196"/>
      <c r="IOZ55" s="196"/>
      <c r="IPA55" s="196"/>
      <c r="IPB55" s="196"/>
      <c r="IPC55" s="196"/>
      <c r="IPD55" s="196"/>
      <c r="IPE55" s="196"/>
      <c r="IPF55" s="196"/>
      <c r="IPG55" s="196"/>
      <c r="IPH55" s="196"/>
      <c r="IPI55" s="196"/>
      <c r="IPJ55" s="196"/>
      <c r="IPK55" s="196"/>
      <c r="IPL55" s="196"/>
      <c r="IPM55" s="196"/>
      <c r="IPN55" s="196"/>
      <c r="IPO55" s="196"/>
      <c r="IPP55" s="196"/>
      <c r="IPQ55" s="196"/>
      <c r="IPR55" s="196"/>
      <c r="IPS55" s="196"/>
      <c r="IPT55" s="196"/>
      <c r="IPU55" s="196"/>
      <c r="IPV55" s="196"/>
      <c r="IPW55" s="196"/>
      <c r="IPX55" s="196"/>
      <c r="IPY55" s="196"/>
      <c r="IPZ55" s="196"/>
      <c r="IQA55" s="196"/>
      <c r="IQB55" s="196"/>
      <c r="IQC55" s="196"/>
      <c r="IQD55" s="196"/>
      <c r="IQE55" s="196"/>
      <c r="IQF55" s="196"/>
      <c r="IQG55" s="196"/>
      <c r="IQH55" s="196"/>
      <c r="IQI55" s="196"/>
      <c r="IQJ55" s="196"/>
      <c r="IQK55" s="196"/>
      <c r="IQL55" s="196"/>
      <c r="IQM55" s="196"/>
      <c r="IQN55" s="196"/>
      <c r="IQO55" s="196"/>
      <c r="IQP55" s="196"/>
      <c r="IQQ55" s="196"/>
      <c r="IQR55" s="196"/>
      <c r="IQS55" s="196"/>
      <c r="IQT55" s="196"/>
      <c r="IQU55" s="196"/>
      <c r="IQV55" s="196"/>
      <c r="IQW55" s="196"/>
      <c r="IQX55" s="196"/>
      <c r="IQY55" s="196"/>
      <c r="IQZ55" s="196"/>
      <c r="IRA55" s="196"/>
      <c r="IRB55" s="196"/>
      <c r="IRC55" s="196"/>
      <c r="IRD55" s="196"/>
      <c r="IRE55" s="196"/>
      <c r="IRF55" s="196"/>
      <c r="IRG55" s="196"/>
      <c r="IRH55" s="196"/>
      <c r="IRI55" s="196"/>
      <c r="IRJ55" s="196"/>
      <c r="IRK55" s="196"/>
      <c r="IRL55" s="196"/>
      <c r="IRM55" s="196"/>
      <c r="IRN55" s="196"/>
      <c r="IRO55" s="196"/>
      <c r="IRP55" s="196"/>
      <c r="IRQ55" s="196"/>
      <c r="IRR55" s="196"/>
      <c r="IRS55" s="196"/>
      <c r="IRT55" s="196"/>
      <c r="IRU55" s="196"/>
      <c r="IRV55" s="196"/>
      <c r="IRW55" s="196"/>
      <c r="IRX55" s="196"/>
      <c r="IRY55" s="196"/>
      <c r="IRZ55" s="196"/>
      <c r="ISA55" s="196"/>
      <c r="ISB55" s="196"/>
      <c r="ISC55" s="196"/>
      <c r="ISD55" s="196"/>
      <c r="ISE55" s="196"/>
      <c r="ISF55" s="196"/>
      <c r="ISG55" s="196"/>
      <c r="ISH55" s="196"/>
      <c r="ISI55" s="196"/>
      <c r="ISJ55" s="196"/>
      <c r="ISK55" s="196"/>
      <c r="ISL55" s="196"/>
      <c r="ISM55" s="196"/>
      <c r="ISN55" s="196"/>
      <c r="ISO55" s="196"/>
      <c r="ISP55" s="196"/>
      <c r="ISQ55" s="196"/>
      <c r="ISR55" s="196"/>
      <c r="ISS55" s="196"/>
      <c r="IST55" s="196"/>
      <c r="ISU55" s="196"/>
      <c r="ISV55" s="196"/>
      <c r="ISW55" s="196"/>
      <c r="ISX55" s="196"/>
      <c r="ISY55" s="196"/>
      <c r="ISZ55" s="196"/>
      <c r="ITA55" s="196"/>
      <c r="ITB55" s="196"/>
      <c r="ITC55" s="196"/>
      <c r="ITD55" s="196"/>
      <c r="ITE55" s="196"/>
      <c r="ITF55" s="196"/>
      <c r="ITG55" s="196"/>
      <c r="ITH55" s="196"/>
      <c r="ITI55" s="196"/>
      <c r="ITJ55" s="196"/>
      <c r="ITK55" s="196"/>
      <c r="ITL55" s="196"/>
      <c r="ITM55" s="196"/>
      <c r="ITN55" s="196"/>
      <c r="ITO55" s="196"/>
      <c r="ITP55" s="196"/>
      <c r="ITQ55" s="196"/>
      <c r="ITR55" s="196"/>
      <c r="ITS55" s="196"/>
      <c r="ITT55" s="196"/>
      <c r="ITU55" s="196"/>
      <c r="ITV55" s="196"/>
      <c r="ITW55" s="196"/>
      <c r="ITX55" s="196"/>
      <c r="ITY55" s="196"/>
      <c r="ITZ55" s="196"/>
      <c r="IUA55" s="196"/>
      <c r="IUB55" s="196"/>
      <c r="IUC55" s="196"/>
      <c r="IUD55" s="196"/>
      <c r="IUE55" s="196"/>
      <c r="IUF55" s="196"/>
      <c r="IUG55" s="196"/>
      <c r="IUH55" s="196"/>
      <c r="IUI55" s="196"/>
      <c r="IUJ55" s="196"/>
      <c r="IUK55" s="196"/>
      <c r="IUL55" s="196"/>
      <c r="IUM55" s="196"/>
      <c r="IUN55" s="196"/>
      <c r="IUO55" s="196"/>
      <c r="IUP55" s="196"/>
      <c r="IUQ55" s="196"/>
      <c r="IUR55" s="196"/>
      <c r="IUS55" s="196"/>
      <c r="IUT55" s="196"/>
      <c r="IUU55" s="196"/>
      <c r="IUV55" s="196"/>
      <c r="IUW55" s="196"/>
      <c r="IUX55" s="196"/>
      <c r="IUY55" s="196"/>
      <c r="IUZ55" s="196"/>
      <c r="IVA55" s="196"/>
      <c r="IVB55" s="196"/>
      <c r="IVC55" s="196"/>
      <c r="IVD55" s="196"/>
      <c r="IVE55" s="196"/>
      <c r="IVF55" s="196"/>
      <c r="IVG55" s="196"/>
      <c r="IVH55" s="196"/>
      <c r="IVI55" s="196"/>
      <c r="IVJ55" s="196"/>
      <c r="IVK55" s="196"/>
      <c r="IVL55" s="196"/>
      <c r="IVM55" s="196"/>
      <c r="IVN55" s="196"/>
      <c r="IVO55" s="196"/>
      <c r="IVP55" s="196"/>
      <c r="IVQ55" s="196"/>
      <c r="IVR55" s="196"/>
      <c r="IVS55" s="196"/>
      <c r="IVT55" s="196"/>
      <c r="IVU55" s="196"/>
      <c r="IVV55" s="196"/>
      <c r="IVW55" s="196"/>
      <c r="IVX55" s="196"/>
      <c r="IVY55" s="196"/>
      <c r="IVZ55" s="196"/>
      <c r="IWA55" s="196"/>
      <c r="IWB55" s="196"/>
      <c r="IWC55" s="196"/>
      <c r="IWD55" s="196"/>
      <c r="IWE55" s="196"/>
      <c r="IWF55" s="196"/>
      <c r="IWG55" s="196"/>
      <c r="IWH55" s="196"/>
      <c r="IWI55" s="196"/>
      <c r="IWJ55" s="196"/>
      <c r="IWK55" s="196"/>
      <c r="IWL55" s="196"/>
      <c r="IWM55" s="196"/>
      <c r="IWN55" s="196"/>
      <c r="IWO55" s="196"/>
      <c r="IWP55" s="196"/>
      <c r="IWQ55" s="196"/>
      <c r="IWR55" s="196"/>
      <c r="IWS55" s="196"/>
      <c r="IWT55" s="196"/>
      <c r="IWU55" s="196"/>
      <c r="IWV55" s="196"/>
      <c r="IWW55" s="196"/>
      <c r="IWX55" s="196"/>
      <c r="IWY55" s="196"/>
      <c r="IWZ55" s="196"/>
      <c r="IXA55" s="196"/>
      <c r="IXB55" s="196"/>
      <c r="IXC55" s="196"/>
      <c r="IXD55" s="196"/>
      <c r="IXE55" s="196"/>
      <c r="IXF55" s="196"/>
      <c r="IXG55" s="196"/>
      <c r="IXH55" s="196"/>
      <c r="IXI55" s="196"/>
      <c r="IXJ55" s="196"/>
      <c r="IXK55" s="196"/>
      <c r="IXL55" s="196"/>
      <c r="IXM55" s="196"/>
      <c r="IXN55" s="196"/>
      <c r="IXO55" s="196"/>
      <c r="IXP55" s="196"/>
      <c r="IXQ55" s="196"/>
      <c r="IXR55" s="196"/>
      <c r="IXS55" s="196"/>
      <c r="IXT55" s="196"/>
      <c r="IXU55" s="196"/>
      <c r="IXV55" s="196"/>
      <c r="IXW55" s="196"/>
      <c r="IXX55" s="196"/>
      <c r="IXY55" s="196"/>
      <c r="IXZ55" s="196"/>
      <c r="IYA55" s="196"/>
      <c r="IYB55" s="196"/>
      <c r="IYC55" s="196"/>
      <c r="IYD55" s="196"/>
      <c r="IYE55" s="196"/>
      <c r="IYF55" s="196"/>
      <c r="IYG55" s="196"/>
      <c r="IYH55" s="196"/>
      <c r="IYI55" s="196"/>
      <c r="IYJ55" s="196"/>
      <c r="IYK55" s="196"/>
      <c r="IYL55" s="196"/>
      <c r="IYM55" s="196"/>
      <c r="IYN55" s="196"/>
      <c r="IYO55" s="196"/>
      <c r="IYP55" s="196"/>
      <c r="IYQ55" s="196"/>
      <c r="IYR55" s="196"/>
      <c r="IYS55" s="196"/>
      <c r="IYT55" s="196"/>
      <c r="IYU55" s="196"/>
      <c r="IYV55" s="196"/>
      <c r="IYW55" s="196"/>
      <c r="IYX55" s="196"/>
      <c r="IYY55" s="196"/>
      <c r="IYZ55" s="196"/>
      <c r="IZA55" s="196"/>
      <c r="IZB55" s="196"/>
      <c r="IZC55" s="196"/>
      <c r="IZD55" s="196"/>
      <c r="IZE55" s="196"/>
      <c r="IZF55" s="196"/>
      <c r="IZG55" s="196"/>
      <c r="IZH55" s="196"/>
      <c r="IZI55" s="196"/>
      <c r="IZJ55" s="196"/>
      <c r="IZK55" s="196"/>
      <c r="IZL55" s="196"/>
      <c r="IZM55" s="196"/>
      <c r="IZN55" s="196"/>
      <c r="IZO55" s="196"/>
      <c r="IZP55" s="196"/>
      <c r="IZQ55" s="196"/>
      <c r="IZR55" s="196"/>
      <c r="IZS55" s="196"/>
      <c r="IZT55" s="196"/>
      <c r="IZU55" s="196"/>
      <c r="IZV55" s="196"/>
      <c r="IZW55" s="196"/>
      <c r="IZX55" s="196"/>
      <c r="IZY55" s="196"/>
      <c r="IZZ55" s="196"/>
      <c r="JAA55" s="196"/>
      <c r="JAB55" s="196"/>
      <c r="JAC55" s="196"/>
      <c r="JAD55" s="196"/>
      <c r="JAE55" s="196"/>
      <c r="JAF55" s="196"/>
      <c r="JAG55" s="196"/>
      <c r="JAH55" s="196"/>
      <c r="JAI55" s="196"/>
      <c r="JAJ55" s="196"/>
      <c r="JAK55" s="196"/>
      <c r="JAL55" s="196"/>
      <c r="JAM55" s="196"/>
      <c r="JAN55" s="196"/>
      <c r="JAO55" s="196"/>
      <c r="JAP55" s="196"/>
      <c r="JAQ55" s="196"/>
      <c r="JAR55" s="196"/>
      <c r="JAS55" s="196"/>
      <c r="JAT55" s="196"/>
      <c r="JAU55" s="196"/>
      <c r="JAV55" s="196"/>
      <c r="JAW55" s="196"/>
      <c r="JAX55" s="196"/>
      <c r="JAY55" s="196"/>
      <c r="JAZ55" s="196"/>
      <c r="JBA55" s="196"/>
      <c r="JBB55" s="196"/>
      <c r="JBC55" s="196"/>
      <c r="JBD55" s="196"/>
      <c r="JBE55" s="196"/>
      <c r="JBF55" s="196"/>
      <c r="JBG55" s="196"/>
      <c r="JBH55" s="196"/>
      <c r="JBI55" s="196"/>
      <c r="JBJ55" s="196"/>
      <c r="JBK55" s="196"/>
      <c r="JBL55" s="196"/>
      <c r="JBM55" s="196"/>
      <c r="JBN55" s="196"/>
      <c r="JBO55" s="196"/>
      <c r="JBP55" s="196"/>
      <c r="JBQ55" s="196"/>
      <c r="JBR55" s="196"/>
      <c r="JBS55" s="196"/>
      <c r="JBT55" s="196"/>
      <c r="JBU55" s="196"/>
      <c r="JBV55" s="196"/>
      <c r="JBW55" s="196"/>
      <c r="JBX55" s="196"/>
      <c r="JBY55" s="196"/>
      <c r="JBZ55" s="196"/>
      <c r="JCA55" s="196"/>
      <c r="JCB55" s="196"/>
      <c r="JCC55" s="196"/>
      <c r="JCD55" s="196"/>
      <c r="JCE55" s="196"/>
      <c r="JCF55" s="196"/>
      <c r="JCG55" s="196"/>
      <c r="JCH55" s="196"/>
      <c r="JCI55" s="196"/>
      <c r="JCJ55" s="196"/>
      <c r="JCK55" s="196"/>
      <c r="JCL55" s="196"/>
      <c r="JCM55" s="196"/>
      <c r="JCN55" s="196"/>
      <c r="JCO55" s="196"/>
      <c r="JCP55" s="196"/>
      <c r="JCQ55" s="196"/>
      <c r="JCR55" s="196"/>
      <c r="JCS55" s="196"/>
      <c r="JCT55" s="196"/>
      <c r="JCU55" s="196"/>
      <c r="JCV55" s="196"/>
      <c r="JCW55" s="196"/>
      <c r="JCX55" s="196"/>
      <c r="JCY55" s="196"/>
      <c r="JCZ55" s="196"/>
      <c r="JDA55" s="196"/>
      <c r="JDB55" s="196"/>
      <c r="JDC55" s="196"/>
      <c r="JDD55" s="196"/>
      <c r="JDE55" s="196"/>
      <c r="JDF55" s="196"/>
      <c r="JDG55" s="196"/>
      <c r="JDH55" s="196"/>
      <c r="JDI55" s="196"/>
      <c r="JDJ55" s="196"/>
      <c r="JDK55" s="196"/>
      <c r="JDL55" s="196"/>
      <c r="JDM55" s="196"/>
      <c r="JDN55" s="196"/>
      <c r="JDO55" s="196"/>
      <c r="JDP55" s="196"/>
      <c r="JDQ55" s="196"/>
      <c r="JDR55" s="196"/>
      <c r="JDS55" s="196"/>
      <c r="JDT55" s="196"/>
      <c r="JDU55" s="196"/>
      <c r="JDV55" s="196"/>
      <c r="JDW55" s="196"/>
      <c r="JDX55" s="196"/>
      <c r="JDY55" s="196"/>
      <c r="JDZ55" s="196"/>
      <c r="JEA55" s="196"/>
      <c r="JEB55" s="196"/>
      <c r="JEC55" s="196"/>
      <c r="JED55" s="196"/>
      <c r="JEE55" s="196"/>
      <c r="JEF55" s="196"/>
      <c r="JEG55" s="196"/>
      <c r="JEH55" s="196"/>
      <c r="JEI55" s="196"/>
      <c r="JEJ55" s="196"/>
      <c r="JEK55" s="196"/>
      <c r="JEL55" s="196"/>
      <c r="JEM55" s="196"/>
      <c r="JEN55" s="196"/>
      <c r="JEO55" s="196"/>
      <c r="JEP55" s="196"/>
      <c r="JEQ55" s="196"/>
      <c r="JER55" s="196"/>
      <c r="JES55" s="196"/>
      <c r="JET55" s="196"/>
      <c r="JEU55" s="196"/>
      <c r="JEV55" s="196"/>
      <c r="JEW55" s="196"/>
      <c r="JEX55" s="196"/>
      <c r="JEY55" s="196"/>
      <c r="JEZ55" s="196"/>
      <c r="JFA55" s="196"/>
      <c r="JFB55" s="196"/>
      <c r="JFC55" s="196"/>
      <c r="JFD55" s="196"/>
      <c r="JFE55" s="196"/>
      <c r="JFF55" s="196"/>
      <c r="JFG55" s="196"/>
      <c r="JFH55" s="196"/>
      <c r="JFI55" s="196"/>
      <c r="JFJ55" s="196"/>
      <c r="JFK55" s="196"/>
      <c r="JFL55" s="196"/>
      <c r="JFM55" s="196"/>
      <c r="JFN55" s="196"/>
      <c r="JFO55" s="196"/>
      <c r="JFP55" s="196"/>
      <c r="JFQ55" s="196"/>
      <c r="JFR55" s="196"/>
      <c r="JFS55" s="196"/>
      <c r="JFT55" s="196"/>
      <c r="JFU55" s="196"/>
      <c r="JFV55" s="196"/>
      <c r="JFW55" s="196"/>
      <c r="JFX55" s="196"/>
      <c r="JFY55" s="196"/>
      <c r="JFZ55" s="196"/>
      <c r="JGA55" s="196"/>
      <c r="JGB55" s="196"/>
      <c r="JGC55" s="196"/>
      <c r="JGD55" s="196"/>
      <c r="JGE55" s="196"/>
      <c r="JGF55" s="196"/>
      <c r="JGG55" s="196"/>
      <c r="JGH55" s="196"/>
      <c r="JGI55" s="196"/>
      <c r="JGJ55" s="196"/>
      <c r="JGK55" s="196"/>
      <c r="JGL55" s="196"/>
      <c r="JGM55" s="196"/>
      <c r="JGN55" s="196"/>
      <c r="JGO55" s="196"/>
      <c r="JGP55" s="196"/>
      <c r="JGQ55" s="196"/>
      <c r="JGR55" s="196"/>
      <c r="JGS55" s="196"/>
      <c r="JGT55" s="196"/>
      <c r="JGU55" s="196"/>
      <c r="JGV55" s="196"/>
      <c r="JGW55" s="196"/>
      <c r="JGX55" s="196"/>
      <c r="JGY55" s="196"/>
      <c r="JGZ55" s="196"/>
      <c r="JHA55" s="196"/>
      <c r="JHB55" s="196"/>
      <c r="JHC55" s="196"/>
      <c r="JHD55" s="196"/>
      <c r="JHE55" s="196"/>
      <c r="JHF55" s="196"/>
      <c r="JHG55" s="196"/>
      <c r="JHH55" s="196"/>
      <c r="JHI55" s="196"/>
      <c r="JHJ55" s="196"/>
      <c r="JHK55" s="196"/>
      <c r="JHL55" s="196"/>
      <c r="JHM55" s="196"/>
      <c r="JHN55" s="196"/>
      <c r="JHO55" s="196"/>
      <c r="JHP55" s="196"/>
      <c r="JHQ55" s="196"/>
      <c r="JHR55" s="196"/>
      <c r="JHS55" s="196"/>
      <c r="JHT55" s="196"/>
      <c r="JHU55" s="196"/>
      <c r="JHV55" s="196"/>
      <c r="JHW55" s="196"/>
      <c r="JHX55" s="196"/>
      <c r="JHY55" s="196"/>
      <c r="JHZ55" s="196"/>
      <c r="JIA55" s="196"/>
      <c r="JIB55" s="196"/>
      <c r="JIC55" s="196"/>
      <c r="JID55" s="196"/>
      <c r="JIE55" s="196"/>
      <c r="JIF55" s="196"/>
      <c r="JIG55" s="196"/>
      <c r="JIH55" s="196"/>
      <c r="JII55" s="196"/>
      <c r="JIJ55" s="196"/>
      <c r="JIK55" s="196"/>
      <c r="JIL55" s="196"/>
      <c r="JIM55" s="196"/>
      <c r="JIN55" s="196"/>
      <c r="JIO55" s="196"/>
      <c r="JIP55" s="196"/>
      <c r="JIQ55" s="196"/>
      <c r="JIR55" s="196"/>
      <c r="JIS55" s="196"/>
      <c r="JIT55" s="196"/>
      <c r="JIU55" s="196"/>
      <c r="JIV55" s="196"/>
      <c r="JIW55" s="196"/>
      <c r="JIX55" s="196"/>
      <c r="JIY55" s="196"/>
      <c r="JIZ55" s="196"/>
      <c r="JJA55" s="196"/>
      <c r="JJB55" s="196"/>
      <c r="JJC55" s="196"/>
      <c r="JJD55" s="196"/>
      <c r="JJE55" s="196"/>
      <c r="JJF55" s="196"/>
      <c r="JJG55" s="196"/>
      <c r="JJH55" s="196"/>
      <c r="JJI55" s="196"/>
      <c r="JJJ55" s="196"/>
      <c r="JJK55" s="196"/>
      <c r="JJL55" s="196"/>
      <c r="JJM55" s="196"/>
      <c r="JJN55" s="196"/>
      <c r="JJO55" s="196"/>
      <c r="JJP55" s="196"/>
      <c r="JJQ55" s="196"/>
      <c r="JJR55" s="196"/>
      <c r="JJS55" s="196"/>
      <c r="JJT55" s="196"/>
      <c r="JJU55" s="196"/>
      <c r="JJV55" s="196"/>
      <c r="JJW55" s="196"/>
      <c r="JJX55" s="196"/>
      <c r="JJY55" s="196"/>
      <c r="JJZ55" s="196"/>
      <c r="JKA55" s="196"/>
      <c r="JKB55" s="196"/>
      <c r="JKC55" s="196"/>
      <c r="JKD55" s="196"/>
      <c r="JKE55" s="196"/>
      <c r="JKF55" s="196"/>
      <c r="JKG55" s="196"/>
      <c r="JKH55" s="196"/>
      <c r="JKI55" s="196"/>
      <c r="JKJ55" s="196"/>
      <c r="JKK55" s="196"/>
      <c r="JKL55" s="196"/>
      <c r="JKM55" s="196"/>
      <c r="JKN55" s="196"/>
      <c r="JKO55" s="196"/>
      <c r="JKP55" s="196"/>
      <c r="JKQ55" s="196"/>
      <c r="JKR55" s="196"/>
      <c r="JKS55" s="196"/>
      <c r="JKT55" s="196"/>
      <c r="JKU55" s="196"/>
      <c r="JKV55" s="196"/>
      <c r="JKW55" s="196"/>
      <c r="JKX55" s="196"/>
      <c r="JKY55" s="196"/>
      <c r="JKZ55" s="196"/>
      <c r="JLA55" s="196"/>
      <c r="JLB55" s="196"/>
      <c r="JLC55" s="196"/>
      <c r="JLD55" s="196"/>
      <c r="JLE55" s="196"/>
      <c r="JLF55" s="196"/>
      <c r="JLG55" s="196"/>
      <c r="JLH55" s="196"/>
      <c r="JLI55" s="196"/>
      <c r="JLJ55" s="196"/>
      <c r="JLK55" s="196"/>
      <c r="JLL55" s="196"/>
      <c r="JLM55" s="196"/>
      <c r="JLN55" s="196"/>
      <c r="JLO55" s="196"/>
      <c r="JLP55" s="196"/>
      <c r="JLQ55" s="196"/>
      <c r="JLR55" s="196"/>
      <c r="JLS55" s="196"/>
      <c r="JLT55" s="196"/>
      <c r="JLU55" s="196"/>
      <c r="JLV55" s="196"/>
      <c r="JLW55" s="196"/>
      <c r="JLX55" s="196"/>
      <c r="JLY55" s="196"/>
      <c r="JLZ55" s="196"/>
      <c r="JMA55" s="196"/>
      <c r="JMB55" s="196"/>
      <c r="JMC55" s="196"/>
      <c r="JMD55" s="196"/>
      <c r="JME55" s="196"/>
      <c r="JMF55" s="196"/>
      <c r="JMG55" s="196"/>
      <c r="JMH55" s="196"/>
      <c r="JMI55" s="196"/>
      <c r="JMJ55" s="196"/>
      <c r="JMK55" s="196"/>
      <c r="JML55" s="196"/>
      <c r="JMM55" s="196"/>
      <c r="JMN55" s="196"/>
      <c r="JMO55" s="196"/>
      <c r="JMP55" s="196"/>
      <c r="JMQ55" s="196"/>
      <c r="JMR55" s="196"/>
      <c r="JMS55" s="196"/>
      <c r="JMT55" s="196"/>
      <c r="JMU55" s="196"/>
      <c r="JMV55" s="196"/>
      <c r="JMW55" s="196"/>
      <c r="JMX55" s="196"/>
      <c r="JMY55" s="196"/>
      <c r="JMZ55" s="196"/>
      <c r="JNA55" s="196"/>
      <c r="JNB55" s="196"/>
      <c r="JNC55" s="196"/>
      <c r="JND55" s="196"/>
      <c r="JNE55" s="196"/>
      <c r="JNF55" s="196"/>
      <c r="JNG55" s="196"/>
      <c r="JNH55" s="196"/>
      <c r="JNI55" s="196"/>
      <c r="JNJ55" s="196"/>
      <c r="JNK55" s="196"/>
      <c r="JNL55" s="196"/>
      <c r="JNM55" s="196"/>
      <c r="JNN55" s="196"/>
      <c r="JNO55" s="196"/>
      <c r="JNP55" s="196"/>
      <c r="JNQ55" s="196"/>
      <c r="JNR55" s="196"/>
      <c r="JNS55" s="196"/>
      <c r="JNT55" s="196"/>
      <c r="JNU55" s="196"/>
      <c r="JNV55" s="196"/>
      <c r="JNW55" s="196"/>
      <c r="JNX55" s="196"/>
      <c r="JNY55" s="196"/>
      <c r="JNZ55" s="196"/>
      <c r="JOA55" s="196"/>
      <c r="JOB55" s="196"/>
      <c r="JOC55" s="196"/>
      <c r="JOD55" s="196"/>
      <c r="JOE55" s="196"/>
      <c r="JOF55" s="196"/>
      <c r="JOG55" s="196"/>
      <c r="JOH55" s="196"/>
      <c r="JOI55" s="196"/>
      <c r="JOJ55" s="196"/>
      <c r="JOK55" s="196"/>
      <c r="JOL55" s="196"/>
      <c r="JOM55" s="196"/>
      <c r="JON55" s="196"/>
      <c r="JOO55" s="196"/>
      <c r="JOP55" s="196"/>
      <c r="JOQ55" s="196"/>
      <c r="JOR55" s="196"/>
      <c r="JOS55" s="196"/>
      <c r="JOT55" s="196"/>
      <c r="JOU55" s="196"/>
      <c r="JOV55" s="196"/>
      <c r="JOW55" s="196"/>
      <c r="JOX55" s="196"/>
      <c r="JOY55" s="196"/>
      <c r="JOZ55" s="196"/>
      <c r="JPA55" s="196"/>
      <c r="JPB55" s="196"/>
      <c r="JPC55" s="196"/>
      <c r="JPD55" s="196"/>
      <c r="JPE55" s="196"/>
      <c r="JPF55" s="196"/>
      <c r="JPG55" s="196"/>
      <c r="JPH55" s="196"/>
      <c r="JPI55" s="196"/>
      <c r="JPJ55" s="196"/>
      <c r="JPK55" s="196"/>
      <c r="JPL55" s="196"/>
      <c r="JPM55" s="196"/>
      <c r="JPN55" s="196"/>
      <c r="JPO55" s="196"/>
      <c r="JPP55" s="196"/>
      <c r="JPQ55" s="196"/>
      <c r="JPR55" s="196"/>
      <c r="JPS55" s="196"/>
      <c r="JPT55" s="196"/>
      <c r="JPU55" s="196"/>
      <c r="JPV55" s="196"/>
      <c r="JPW55" s="196"/>
      <c r="JPX55" s="196"/>
      <c r="JPY55" s="196"/>
      <c r="JPZ55" s="196"/>
      <c r="JQA55" s="196"/>
      <c r="JQB55" s="196"/>
      <c r="JQC55" s="196"/>
      <c r="JQD55" s="196"/>
      <c r="JQE55" s="196"/>
      <c r="JQF55" s="196"/>
      <c r="JQG55" s="196"/>
      <c r="JQH55" s="196"/>
      <c r="JQI55" s="196"/>
      <c r="JQJ55" s="196"/>
      <c r="JQK55" s="196"/>
      <c r="JQL55" s="196"/>
      <c r="JQM55" s="196"/>
      <c r="JQN55" s="196"/>
      <c r="JQO55" s="196"/>
      <c r="JQP55" s="196"/>
      <c r="JQQ55" s="196"/>
      <c r="JQR55" s="196"/>
      <c r="JQS55" s="196"/>
      <c r="JQT55" s="196"/>
      <c r="JQU55" s="196"/>
      <c r="JQV55" s="196"/>
      <c r="JQW55" s="196"/>
      <c r="JQX55" s="196"/>
      <c r="JQY55" s="196"/>
      <c r="JQZ55" s="196"/>
      <c r="JRA55" s="196"/>
      <c r="JRB55" s="196"/>
      <c r="JRC55" s="196"/>
      <c r="JRD55" s="196"/>
      <c r="JRE55" s="196"/>
      <c r="JRF55" s="196"/>
      <c r="JRG55" s="196"/>
      <c r="JRH55" s="196"/>
      <c r="JRI55" s="196"/>
      <c r="JRJ55" s="196"/>
      <c r="JRK55" s="196"/>
      <c r="JRL55" s="196"/>
      <c r="JRM55" s="196"/>
      <c r="JRN55" s="196"/>
      <c r="JRO55" s="196"/>
      <c r="JRP55" s="196"/>
      <c r="JRQ55" s="196"/>
      <c r="JRR55" s="196"/>
      <c r="JRS55" s="196"/>
      <c r="JRT55" s="196"/>
      <c r="JRU55" s="196"/>
      <c r="JRV55" s="196"/>
      <c r="JRW55" s="196"/>
      <c r="JRX55" s="196"/>
      <c r="JRY55" s="196"/>
      <c r="JRZ55" s="196"/>
      <c r="JSA55" s="196"/>
      <c r="JSB55" s="196"/>
      <c r="JSC55" s="196"/>
      <c r="JSD55" s="196"/>
      <c r="JSE55" s="196"/>
      <c r="JSF55" s="196"/>
      <c r="JSG55" s="196"/>
      <c r="JSH55" s="196"/>
      <c r="JSI55" s="196"/>
      <c r="JSJ55" s="196"/>
      <c r="JSK55" s="196"/>
      <c r="JSL55" s="196"/>
      <c r="JSM55" s="196"/>
      <c r="JSN55" s="196"/>
      <c r="JSO55" s="196"/>
      <c r="JSP55" s="196"/>
      <c r="JSQ55" s="196"/>
      <c r="JSR55" s="196"/>
      <c r="JSS55" s="196"/>
      <c r="JST55" s="196"/>
      <c r="JSU55" s="196"/>
      <c r="JSV55" s="196"/>
      <c r="JSW55" s="196"/>
      <c r="JSX55" s="196"/>
      <c r="JSY55" s="196"/>
      <c r="JSZ55" s="196"/>
      <c r="JTA55" s="196"/>
      <c r="JTB55" s="196"/>
      <c r="JTC55" s="196"/>
      <c r="JTD55" s="196"/>
      <c r="JTE55" s="196"/>
      <c r="JTF55" s="196"/>
      <c r="JTG55" s="196"/>
      <c r="JTH55" s="196"/>
      <c r="JTI55" s="196"/>
      <c r="JTJ55" s="196"/>
      <c r="JTK55" s="196"/>
      <c r="JTL55" s="196"/>
      <c r="JTM55" s="196"/>
      <c r="JTN55" s="196"/>
      <c r="JTO55" s="196"/>
      <c r="JTP55" s="196"/>
      <c r="JTQ55" s="196"/>
      <c r="JTR55" s="196"/>
      <c r="JTS55" s="196"/>
      <c r="JTT55" s="196"/>
      <c r="JTU55" s="196"/>
      <c r="JTV55" s="196"/>
      <c r="JTW55" s="196"/>
      <c r="JTX55" s="196"/>
      <c r="JTY55" s="196"/>
      <c r="JTZ55" s="196"/>
      <c r="JUA55" s="196"/>
      <c r="JUB55" s="196"/>
      <c r="JUC55" s="196"/>
      <c r="JUD55" s="196"/>
      <c r="JUE55" s="196"/>
      <c r="JUF55" s="196"/>
      <c r="JUG55" s="196"/>
      <c r="JUH55" s="196"/>
      <c r="JUI55" s="196"/>
      <c r="JUJ55" s="196"/>
      <c r="JUK55" s="196"/>
      <c r="JUL55" s="196"/>
      <c r="JUM55" s="196"/>
      <c r="JUN55" s="196"/>
      <c r="JUO55" s="196"/>
      <c r="JUP55" s="196"/>
      <c r="JUQ55" s="196"/>
      <c r="JUR55" s="196"/>
      <c r="JUS55" s="196"/>
      <c r="JUT55" s="196"/>
      <c r="JUU55" s="196"/>
      <c r="JUV55" s="196"/>
      <c r="JUW55" s="196"/>
      <c r="JUX55" s="196"/>
      <c r="JUY55" s="196"/>
      <c r="JUZ55" s="196"/>
      <c r="JVA55" s="196"/>
      <c r="JVB55" s="196"/>
      <c r="JVC55" s="196"/>
      <c r="JVD55" s="196"/>
      <c r="JVE55" s="196"/>
      <c r="JVF55" s="196"/>
      <c r="JVG55" s="196"/>
      <c r="JVH55" s="196"/>
      <c r="JVI55" s="196"/>
      <c r="JVJ55" s="196"/>
      <c r="JVK55" s="196"/>
      <c r="JVL55" s="196"/>
      <c r="JVM55" s="196"/>
      <c r="JVN55" s="196"/>
      <c r="JVO55" s="196"/>
      <c r="JVP55" s="196"/>
      <c r="JVQ55" s="196"/>
      <c r="JVR55" s="196"/>
      <c r="JVS55" s="196"/>
      <c r="JVT55" s="196"/>
      <c r="JVU55" s="196"/>
      <c r="JVV55" s="196"/>
      <c r="JVW55" s="196"/>
      <c r="JVX55" s="196"/>
      <c r="JVY55" s="196"/>
      <c r="JVZ55" s="196"/>
      <c r="JWA55" s="196"/>
      <c r="JWB55" s="196"/>
      <c r="JWC55" s="196"/>
      <c r="JWD55" s="196"/>
      <c r="JWE55" s="196"/>
      <c r="JWF55" s="196"/>
      <c r="JWG55" s="196"/>
      <c r="JWH55" s="196"/>
      <c r="JWI55" s="196"/>
      <c r="JWJ55" s="196"/>
      <c r="JWK55" s="196"/>
      <c r="JWL55" s="196"/>
      <c r="JWM55" s="196"/>
      <c r="JWN55" s="196"/>
      <c r="JWO55" s="196"/>
      <c r="JWP55" s="196"/>
      <c r="JWQ55" s="196"/>
      <c r="JWR55" s="196"/>
      <c r="JWS55" s="196"/>
      <c r="JWT55" s="196"/>
      <c r="JWU55" s="196"/>
      <c r="JWV55" s="196"/>
      <c r="JWW55" s="196"/>
      <c r="JWX55" s="196"/>
      <c r="JWY55" s="196"/>
      <c r="JWZ55" s="196"/>
      <c r="JXA55" s="196"/>
      <c r="JXB55" s="196"/>
      <c r="JXC55" s="196"/>
      <c r="JXD55" s="196"/>
      <c r="JXE55" s="196"/>
      <c r="JXF55" s="196"/>
      <c r="JXG55" s="196"/>
      <c r="JXH55" s="196"/>
      <c r="JXI55" s="196"/>
      <c r="JXJ55" s="196"/>
      <c r="JXK55" s="196"/>
      <c r="JXL55" s="196"/>
      <c r="JXM55" s="196"/>
      <c r="JXN55" s="196"/>
      <c r="JXO55" s="196"/>
      <c r="JXP55" s="196"/>
      <c r="JXQ55" s="196"/>
      <c r="JXR55" s="196"/>
      <c r="JXS55" s="196"/>
      <c r="JXT55" s="196"/>
      <c r="JXU55" s="196"/>
      <c r="JXV55" s="196"/>
      <c r="JXW55" s="196"/>
      <c r="JXX55" s="196"/>
      <c r="JXY55" s="196"/>
      <c r="JXZ55" s="196"/>
      <c r="JYA55" s="196"/>
      <c r="JYB55" s="196"/>
      <c r="JYC55" s="196"/>
      <c r="JYD55" s="196"/>
      <c r="JYE55" s="196"/>
      <c r="JYF55" s="196"/>
      <c r="JYG55" s="196"/>
      <c r="JYH55" s="196"/>
      <c r="JYI55" s="196"/>
      <c r="JYJ55" s="196"/>
      <c r="JYK55" s="196"/>
      <c r="JYL55" s="196"/>
      <c r="JYM55" s="196"/>
      <c r="JYN55" s="196"/>
      <c r="JYO55" s="196"/>
      <c r="JYP55" s="196"/>
      <c r="JYQ55" s="196"/>
      <c r="JYR55" s="196"/>
      <c r="JYS55" s="196"/>
      <c r="JYT55" s="196"/>
      <c r="JYU55" s="196"/>
      <c r="JYV55" s="196"/>
      <c r="JYW55" s="196"/>
      <c r="JYX55" s="196"/>
      <c r="JYY55" s="196"/>
      <c r="JYZ55" s="196"/>
      <c r="JZA55" s="196"/>
      <c r="JZB55" s="196"/>
      <c r="JZC55" s="196"/>
      <c r="JZD55" s="196"/>
      <c r="JZE55" s="196"/>
      <c r="JZF55" s="196"/>
      <c r="JZG55" s="196"/>
      <c r="JZH55" s="196"/>
      <c r="JZI55" s="196"/>
      <c r="JZJ55" s="196"/>
      <c r="JZK55" s="196"/>
      <c r="JZL55" s="196"/>
      <c r="JZM55" s="196"/>
      <c r="JZN55" s="196"/>
      <c r="JZO55" s="196"/>
      <c r="JZP55" s="196"/>
      <c r="JZQ55" s="196"/>
      <c r="JZR55" s="196"/>
      <c r="JZS55" s="196"/>
      <c r="JZT55" s="196"/>
      <c r="JZU55" s="196"/>
      <c r="JZV55" s="196"/>
      <c r="JZW55" s="196"/>
      <c r="JZX55" s="196"/>
      <c r="JZY55" s="196"/>
      <c r="JZZ55" s="196"/>
      <c r="KAA55" s="196"/>
      <c r="KAB55" s="196"/>
      <c r="KAC55" s="196"/>
      <c r="KAD55" s="196"/>
      <c r="KAE55" s="196"/>
      <c r="KAF55" s="196"/>
      <c r="KAG55" s="196"/>
      <c r="KAH55" s="196"/>
      <c r="KAI55" s="196"/>
      <c r="KAJ55" s="196"/>
      <c r="KAK55" s="196"/>
      <c r="KAL55" s="196"/>
      <c r="KAM55" s="196"/>
      <c r="KAN55" s="196"/>
      <c r="KAO55" s="196"/>
      <c r="KAP55" s="196"/>
      <c r="KAQ55" s="196"/>
      <c r="KAR55" s="196"/>
      <c r="KAS55" s="196"/>
      <c r="KAT55" s="196"/>
      <c r="KAU55" s="196"/>
      <c r="KAV55" s="196"/>
      <c r="KAW55" s="196"/>
      <c r="KAX55" s="196"/>
      <c r="KAY55" s="196"/>
      <c r="KAZ55" s="196"/>
      <c r="KBA55" s="196"/>
      <c r="KBB55" s="196"/>
      <c r="KBC55" s="196"/>
      <c r="KBD55" s="196"/>
      <c r="KBE55" s="196"/>
      <c r="KBF55" s="196"/>
      <c r="KBG55" s="196"/>
      <c r="KBH55" s="196"/>
      <c r="KBI55" s="196"/>
      <c r="KBJ55" s="196"/>
      <c r="KBK55" s="196"/>
      <c r="KBL55" s="196"/>
      <c r="KBM55" s="196"/>
      <c r="KBN55" s="196"/>
      <c r="KBO55" s="196"/>
      <c r="KBP55" s="196"/>
      <c r="KBQ55" s="196"/>
      <c r="KBR55" s="196"/>
      <c r="KBS55" s="196"/>
      <c r="KBT55" s="196"/>
      <c r="KBU55" s="196"/>
      <c r="KBV55" s="196"/>
      <c r="KBW55" s="196"/>
      <c r="KBX55" s="196"/>
      <c r="KBY55" s="196"/>
      <c r="KBZ55" s="196"/>
      <c r="KCA55" s="196"/>
      <c r="KCB55" s="196"/>
      <c r="KCC55" s="196"/>
      <c r="KCD55" s="196"/>
      <c r="KCE55" s="196"/>
      <c r="KCF55" s="196"/>
      <c r="KCG55" s="196"/>
      <c r="KCH55" s="196"/>
      <c r="KCI55" s="196"/>
      <c r="KCJ55" s="196"/>
      <c r="KCK55" s="196"/>
      <c r="KCL55" s="196"/>
      <c r="KCM55" s="196"/>
      <c r="KCN55" s="196"/>
      <c r="KCO55" s="196"/>
      <c r="KCP55" s="196"/>
      <c r="KCQ55" s="196"/>
      <c r="KCR55" s="196"/>
      <c r="KCS55" s="196"/>
      <c r="KCT55" s="196"/>
      <c r="KCU55" s="196"/>
      <c r="KCV55" s="196"/>
      <c r="KCW55" s="196"/>
      <c r="KCX55" s="196"/>
      <c r="KCY55" s="196"/>
      <c r="KCZ55" s="196"/>
      <c r="KDA55" s="196"/>
      <c r="KDB55" s="196"/>
      <c r="KDC55" s="196"/>
      <c r="KDD55" s="196"/>
      <c r="KDE55" s="196"/>
      <c r="KDF55" s="196"/>
      <c r="KDG55" s="196"/>
      <c r="KDH55" s="196"/>
      <c r="KDI55" s="196"/>
      <c r="KDJ55" s="196"/>
      <c r="KDK55" s="196"/>
      <c r="KDL55" s="196"/>
      <c r="KDM55" s="196"/>
      <c r="KDN55" s="196"/>
      <c r="KDO55" s="196"/>
      <c r="KDP55" s="196"/>
      <c r="KDQ55" s="196"/>
      <c r="KDR55" s="196"/>
      <c r="KDS55" s="196"/>
      <c r="KDT55" s="196"/>
      <c r="KDU55" s="196"/>
      <c r="KDV55" s="196"/>
      <c r="KDW55" s="196"/>
      <c r="KDX55" s="196"/>
      <c r="KDY55" s="196"/>
      <c r="KDZ55" s="196"/>
      <c r="KEA55" s="196"/>
      <c r="KEB55" s="196"/>
      <c r="KEC55" s="196"/>
      <c r="KED55" s="196"/>
      <c r="KEE55" s="196"/>
      <c r="KEF55" s="196"/>
      <c r="KEG55" s="196"/>
      <c r="KEH55" s="196"/>
      <c r="KEI55" s="196"/>
      <c r="KEJ55" s="196"/>
      <c r="KEK55" s="196"/>
      <c r="KEL55" s="196"/>
      <c r="KEM55" s="196"/>
      <c r="KEN55" s="196"/>
      <c r="KEO55" s="196"/>
      <c r="KEP55" s="196"/>
      <c r="KEQ55" s="196"/>
      <c r="KER55" s="196"/>
      <c r="KES55" s="196"/>
      <c r="KET55" s="196"/>
      <c r="KEU55" s="196"/>
      <c r="KEV55" s="196"/>
      <c r="KEW55" s="196"/>
      <c r="KEX55" s="196"/>
      <c r="KEY55" s="196"/>
      <c r="KEZ55" s="196"/>
      <c r="KFA55" s="196"/>
      <c r="KFB55" s="196"/>
      <c r="KFC55" s="196"/>
      <c r="KFD55" s="196"/>
      <c r="KFE55" s="196"/>
      <c r="KFF55" s="196"/>
      <c r="KFG55" s="196"/>
      <c r="KFH55" s="196"/>
      <c r="KFI55" s="196"/>
      <c r="KFJ55" s="196"/>
      <c r="KFK55" s="196"/>
      <c r="KFL55" s="196"/>
      <c r="KFM55" s="196"/>
      <c r="KFN55" s="196"/>
      <c r="KFO55" s="196"/>
      <c r="KFP55" s="196"/>
      <c r="KFQ55" s="196"/>
      <c r="KFR55" s="196"/>
      <c r="KFS55" s="196"/>
      <c r="KFT55" s="196"/>
      <c r="KFU55" s="196"/>
      <c r="KFV55" s="196"/>
      <c r="KFW55" s="196"/>
      <c r="KFX55" s="196"/>
      <c r="KFY55" s="196"/>
      <c r="KFZ55" s="196"/>
      <c r="KGA55" s="196"/>
      <c r="KGB55" s="196"/>
      <c r="KGC55" s="196"/>
      <c r="KGD55" s="196"/>
      <c r="KGE55" s="196"/>
      <c r="KGF55" s="196"/>
      <c r="KGG55" s="196"/>
      <c r="KGH55" s="196"/>
      <c r="KGI55" s="196"/>
      <c r="KGJ55" s="196"/>
      <c r="KGK55" s="196"/>
      <c r="KGL55" s="196"/>
      <c r="KGM55" s="196"/>
      <c r="KGN55" s="196"/>
      <c r="KGO55" s="196"/>
      <c r="KGP55" s="196"/>
      <c r="KGQ55" s="196"/>
      <c r="KGR55" s="196"/>
      <c r="KGS55" s="196"/>
      <c r="KGT55" s="196"/>
      <c r="KGU55" s="196"/>
      <c r="KGV55" s="196"/>
      <c r="KGW55" s="196"/>
      <c r="KGX55" s="196"/>
      <c r="KGY55" s="196"/>
      <c r="KGZ55" s="196"/>
      <c r="KHA55" s="196"/>
      <c r="KHB55" s="196"/>
      <c r="KHC55" s="196"/>
      <c r="KHD55" s="196"/>
      <c r="KHE55" s="196"/>
      <c r="KHF55" s="196"/>
      <c r="KHG55" s="196"/>
      <c r="KHH55" s="196"/>
      <c r="KHI55" s="196"/>
      <c r="KHJ55" s="196"/>
      <c r="KHK55" s="196"/>
      <c r="KHL55" s="196"/>
      <c r="KHM55" s="196"/>
      <c r="KHN55" s="196"/>
      <c r="KHO55" s="196"/>
      <c r="KHP55" s="196"/>
      <c r="KHQ55" s="196"/>
      <c r="KHR55" s="196"/>
      <c r="KHS55" s="196"/>
      <c r="KHT55" s="196"/>
      <c r="KHU55" s="196"/>
      <c r="KHV55" s="196"/>
      <c r="KHW55" s="196"/>
      <c r="KHX55" s="196"/>
      <c r="KHY55" s="196"/>
      <c r="KHZ55" s="196"/>
      <c r="KIA55" s="196"/>
      <c r="KIB55" s="196"/>
      <c r="KIC55" s="196"/>
      <c r="KID55" s="196"/>
      <c r="KIE55" s="196"/>
      <c r="KIF55" s="196"/>
      <c r="KIG55" s="196"/>
      <c r="KIH55" s="196"/>
      <c r="KII55" s="196"/>
      <c r="KIJ55" s="196"/>
      <c r="KIK55" s="196"/>
      <c r="KIL55" s="196"/>
      <c r="KIM55" s="196"/>
      <c r="KIN55" s="196"/>
      <c r="KIO55" s="196"/>
      <c r="KIP55" s="196"/>
      <c r="KIQ55" s="196"/>
      <c r="KIR55" s="196"/>
      <c r="KIS55" s="196"/>
      <c r="KIT55" s="196"/>
      <c r="KIU55" s="196"/>
      <c r="KIV55" s="196"/>
      <c r="KIW55" s="196"/>
      <c r="KIX55" s="196"/>
      <c r="KIY55" s="196"/>
      <c r="KIZ55" s="196"/>
      <c r="KJA55" s="196"/>
      <c r="KJB55" s="196"/>
      <c r="KJC55" s="196"/>
      <c r="KJD55" s="196"/>
      <c r="KJE55" s="196"/>
      <c r="KJF55" s="196"/>
      <c r="KJG55" s="196"/>
      <c r="KJH55" s="196"/>
      <c r="KJI55" s="196"/>
      <c r="KJJ55" s="196"/>
      <c r="KJK55" s="196"/>
      <c r="KJL55" s="196"/>
      <c r="KJM55" s="196"/>
      <c r="KJN55" s="196"/>
      <c r="KJO55" s="196"/>
      <c r="KJP55" s="196"/>
      <c r="KJQ55" s="196"/>
      <c r="KJR55" s="196"/>
      <c r="KJS55" s="196"/>
      <c r="KJT55" s="196"/>
      <c r="KJU55" s="196"/>
      <c r="KJV55" s="196"/>
      <c r="KJW55" s="196"/>
      <c r="KJX55" s="196"/>
      <c r="KJY55" s="196"/>
      <c r="KJZ55" s="196"/>
      <c r="KKA55" s="196"/>
      <c r="KKB55" s="196"/>
      <c r="KKC55" s="196"/>
      <c r="KKD55" s="196"/>
      <c r="KKE55" s="196"/>
      <c r="KKF55" s="196"/>
      <c r="KKG55" s="196"/>
      <c r="KKH55" s="196"/>
      <c r="KKI55" s="196"/>
      <c r="KKJ55" s="196"/>
      <c r="KKK55" s="196"/>
      <c r="KKL55" s="196"/>
      <c r="KKM55" s="196"/>
      <c r="KKN55" s="196"/>
      <c r="KKO55" s="196"/>
      <c r="KKP55" s="196"/>
      <c r="KKQ55" s="196"/>
      <c r="KKR55" s="196"/>
      <c r="KKS55" s="196"/>
      <c r="KKT55" s="196"/>
      <c r="KKU55" s="196"/>
      <c r="KKV55" s="196"/>
      <c r="KKW55" s="196"/>
      <c r="KKX55" s="196"/>
      <c r="KKY55" s="196"/>
      <c r="KKZ55" s="196"/>
      <c r="KLA55" s="196"/>
      <c r="KLB55" s="196"/>
      <c r="KLC55" s="196"/>
      <c r="KLD55" s="196"/>
      <c r="KLE55" s="196"/>
      <c r="KLF55" s="196"/>
      <c r="KLG55" s="196"/>
      <c r="KLH55" s="196"/>
      <c r="KLI55" s="196"/>
      <c r="KLJ55" s="196"/>
      <c r="KLK55" s="196"/>
      <c r="KLL55" s="196"/>
      <c r="KLM55" s="196"/>
      <c r="KLN55" s="196"/>
      <c r="KLO55" s="196"/>
      <c r="KLP55" s="196"/>
      <c r="KLQ55" s="196"/>
      <c r="KLR55" s="196"/>
      <c r="KLS55" s="196"/>
      <c r="KLT55" s="196"/>
      <c r="KLU55" s="196"/>
      <c r="KLV55" s="196"/>
      <c r="KLW55" s="196"/>
      <c r="KLX55" s="196"/>
      <c r="KLY55" s="196"/>
      <c r="KLZ55" s="196"/>
      <c r="KMA55" s="196"/>
      <c r="KMB55" s="196"/>
      <c r="KMC55" s="196"/>
      <c r="KMD55" s="196"/>
      <c r="KME55" s="196"/>
      <c r="KMF55" s="196"/>
      <c r="KMG55" s="196"/>
      <c r="KMH55" s="196"/>
      <c r="KMI55" s="196"/>
      <c r="KMJ55" s="196"/>
      <c r="KMK55" s="196"/>
      <c r="KML55" s="196"/>
      <c r="KMM55" s="196"/>
      <c r="KMN55" s="196"/>
      <c r="KMO55" s="196"/>
      <c r="KMP55" s="196"/>
      <c r="KMQ55" s="196"/>
      <c r="KMR55" s="196"/>
      <c r="KMS55" s="196"/>
      <c r="KMT55" s="196"/>
      <c r="KMU55" s="196"/>
      <c r="KMV55" s="196"/>
      <c r="KMW55" s="196"/>
      <c r="KMX55" s="196"/>
      <c r="KMY55" s="196"/>
      <c r="KMZ55" s="196"/>
      <c r="KNA55" s="196"/>
      <c r="KNB55" s="196"/>
      <c r="KNC55" s="196"/>
      <c r="KND55" s="196"/>
      <c r="KNE55" s="196"/>
      <c r="KNF55" s="196"/>
      <c r="KNG55" s="196"/>
      <c r="KNH55" s="196"/>
      <c r="KNI55" s="196"/>
      <c r="KNJ55" s="196"/>
      <c r="KNK55" s="196"/>
      <c r="KNL55" s="196"/>
      <c r="KNM55" s="196"/>
      <c r="KNN55" s="196"/>
      <c r="KNO55" s="196"/>
      <c r="KNP55" s="196"/>
      <c r="KNQ55" s="196"/>
      <c r="KNR55" s="196"/>
      <c r="KNS55" s="196"/>
      <c r="KNT55" s="196"/>
      <c r="KNU55" s="196"/>
      <c r="KNV55" s="196"/>
      <c r="KNW55" s="196"/>
      <c r="KNX55" s="196"/>
      <c r="KNY55" s="196"/>
      <c r="KNZ55" s="196"/>
      <c r="KOA55" s="196"/>
      <c r="KOB55" s="196"/>
      <c r="KOC55" s="196"/>
      <c r="KOD55" s="196"/>
      <c r="KOE55" s="196"/>
      <c r="KOF55" s="196"/>
      <c r="KOG55" s="196"/>
      <c r="KOH55" s="196"/>
      <c r="KOI55" s="196"/>
      <c r="KOJ55" s="196"/>
      <c r="KOK55" s="196"/>
      <c r="KOL55" s="196"/>
      <c r="KOM55" s="196"/>
      <c r="KON55" s="196"/>
      <c r="KOO55" s="196"/>
      <c r="KOP55" s="196"/>
      <c r="KOQ55" s="196"/>
      <c r="KOR55" s="196"/>
      <c r="KOS55" s="196"/>
      <c r="KOT55" s="196"/>
      <c r="KOU55" s="196"/>
      <c r="KOV55" s="196"/>
      <c r="KOW55" s="196"/>
      <c r="KOX55" s="196"/>
      <c r="KOY55" s="196"/>
      <c r="KOZ55" s="196"/>
      <c r="KPA55" s="196"/>
      <c r="KPB55" s="196"/>
      <c r="KPC55" s="196"/>
      <c r="KPD55" s="196"/>
      <c r="KPE55" s="196"/>
      <c r="KPF55" s="196"/>
      <c r="KPG55" s="196"/>
      <c r="KPH55" s="196"/>
      <c r="KPI55" s="196"/>
      <c r="KPJ55" s="196"/>
      <c r="KPK55" s="196"/>
      <c r="KPL55" s="196"/>
      <c r="KPM55" s="196"/>
      <c r="KPN55" s="196"/>
      <c r="KPO55" s="196"/>
      <c r="KPP55" s="196"/>
      <c r="KPQ55" s="196"/>
      <c r="KPR55" s="196"/>
      <c r="KPS55" s="196"/>
      <c r="KPT55" s="196"/>
      <c r="KPU55" s="196"/>
      <c r="KPV55" s="196"/>
      <c r="KPW55" s="196"/>
      <c r="KPX55" s="196"/>
      <c r="KPY55" s="196"/>
      <c r="KPZ55" s="196"/>
      <c r="KQA55" s="196"/>
      <c r="KQB55" s="196"/>
      <c r="KQC55" s="196"/>
      <c r="KQD55" s="196"/>
      <c r="KQE55" s="196"/>
      <c r="KQF55" s="196"/>
      <c r="KQG55" s="196"/>
      <c r="KQH55" s="196"/>
      <c r="KQI55" s="196"/>
      <c r="KQJ55" s="196"/>
      <c r="KQK55" s="196"/>
      <c r="KQL55" s="196"/>
      <c r="KQM55" s="196"/>
      <c r="KQN55" s="196"/>
      <c r="KQO55" s="196"/>
      <c r="KQP55" s="196"/>
      <c r="KQQ55" s="196"/>
      <c r="KQR55" s="196"/>
      <c r="KQS55" s="196"/>
      <c r="KQT55" s="196"/>
      <c r="KQU55" s="196"/>
      <c r="KQV55" s="196"/>
      <c r="KQW55" s="196"/>
      <c r="KQX55" s="196"/>
      <c r="KQY55" s="196"/>
      <c r="KQZ55" s="196"/>
      <c r="KRA55" s="196"/>
      <c r="KRB55" s="196"/>
      <c r="KRC55" s="196"/>
      <c r="KRD55" s="196"/>
      <c r="KRE55" s="196"/>
      <c r="KRF55" s="196"/>
      <c r="KRG55" s="196"/>
      <c r="KRH55" s="196"/>
      <c r="KRI55" s="196"/>
      <c r="KRJ55" s="196"/>
      <c r="KRK55" s="196"/>
      <c r="KRL55" s="196"/>
      <c r="KRM55" s="196"/>
      <c r="KRN55" s="196"/>
      <c r="KRO55" s="196"/>
      <c r="KRP55" s="196"/>
      <c r="KRQ55" s="196"/>
      <c r="KRR55" s="196"/>
      <c r="KRS55" s="196"/>
      <c r="KRT55" s="196"/>
      <c r="KRU55" s="196"/>
      <c r="KRV55" s="196"/>
      <c r="KRW55" s="196"/>
      <c r="KRX55" s="196"/>
      <c r="KRY55" s="196"/>
      <c r="KRZ55" s="196"/>
      <c r="KSA55" s="196"/>
      <c r="KSB55" s="196"/>
      <c r="KSC55" s="196"/>
      <c r="KSD55" s="196"/>
      <c r="KSE55" s="196"/>
      <c r="KSF55" s="196"/>
      <c r="KSG55" s="196"/>
      <c r="KSH55" s="196"/>
      <c r="KSI55" s="196"/>
      <c r="KSJ55" s="196"/>
      <c r="KSK55" s="196"/>
      <c r="KSL55" s="196"/>
      <c r="KSM55" s="196"/>
      <c r="KSN55" s="196"/>
      <c r="KSO55" s="196"/>
      <c r="KSP55" s="196"/>
      <c r="KSQ55" s="196"/>
      <c r="KSR55" s="196"/>
      <c r="KSS55" s="196"/>
      <c r="KST55" s="196"/>
      <c r="KSU55" s="196"/>
      <c r="KSV55" s="196"/>
      <c r="KSW55" s="196"/>
      <c r="KSX55" s="196"/>
      <c r="KSY55" s="196"/>
      <c r="KSZ55" s="196"/>
      <c r="KTA55" s="196"/>
      <c r="KTB55" s="196"/>
      <c r="KTC55" s="196"/>
      <c r="KTD55" s="196"/>
      <c r="KTE55" s="196"/>
      <c r="KTF55" s="196"/>
      <c r="KTG55" s="196"/>
      <c r="KTH55" s="196"/>
      <c r="KTI55" s="196"/>
      <c r="KTJ55" s="196"/>
      <c r="KTK55" s="196"/>
      <c r="KTL55" s="196"/>
      <c r="KTM55" s="196"/>
      <c r="KTN55" s="196"/>
      <c r="KTO55" s="196"/>
      <c r="KTP55" s="196"/>
      <c r="KTQ55" s="196"/>
      <c r="KTR55" s="196"/>
      <c r="KTS55" s="196"/>
      <c r="KTT55" s="196"/>
      <c r="KTU55" s="196"/>
      <c r="KTV55" s="196"/>
      <c r="KTW55" s="196"/>
      <c r="KTX55" s="196"/>
      <c r="KTY55" s="196"/>
      <c r="KTZ55" s="196"/>
      <c r="KUA55" s="196"/>
      <c r="KUB55" s="196"/>
      <c r="KUC55" s="196"/>
      <c r="KUD55" s="196"/>
      <c r="KUE55" s="196"/>
      <c r="KUF55" s="196"/>
      <c r="KUG55" s="196"/>
      <c r="KUH55" s="196"/>
      <c r="KUI55" s="196"/>
      <c r="KUJ55" s="196"/>
      <c r="KUK55" s="196"/>
      <c r="KUL55" s="196"/>
      <c r="KUM55" s="196"/>
      <c r="KUN55" s="196"/>
      <c r="KUO55" s="196"/>
      <c r="KUP55" s="196"/>
      <c r="KUQ55" s="196"/>
      <c r="KUR55" s="196"/>
      <c r="KUS55" s="196"/>
      <c r="KUT55" s="196"/>
      <c r="KUU55" s="196"/>
      <c r="KUV55" s="196"/>
      <c r="KUW55" s="196"/>
      <c r="KUX55" s="196"/>
      <c r="KUY55" s="196"/>
      <c r="KUZ55" s="196"/>
      <c r="KVA55" s="196"/>
      <c r="KVB55" s="196"/>
      <c r="KVC55" s="196"/>
      <c r="KVD55" s="196"/>
      <c r="KVE55" s="196"/>
      <c r="KVF55" s="196"/>
      <c r="KVG55" s="196"/>
      <c r="KVH55" s="196"/>
      <c r="KVI55" s="196"/>
      <c r="KVJ55" s="196"/>
      <c r="KVK55" s="196"/>
      <c r="KVL55" s="196"/>
      <c r="KVM55" s="196"/>
      <c r="KVN55" s="196"/>
      <c r="KVO55" s="196"/>
      <c r="KVP55" s="196"/>
      <c r="KVQ55" s="196"/>
      <c r="KVR55" s="196"/>
      <c r="KVS55" s="196"/>
      <c r="KVT55" s="196"/>
      <c r="KVU55" s="196"/>
      <c r="KVV55" s="196"/>
      <c r="KVW55" s="196"/>
      <c r="KVX55" s="196"/>
      <c r="KVY55" s="196"/>
      <c r="KVZ55" s="196"/>
      <c r="KWA55" s="196"/>
      <c r="KWB55" s="196"/>
      <c r="KWC55" s="196"/>
      <c r="KWD55" s="196"/>
      <c r="KWE55" s="196"/>
      <c r="KWF55" s="196"/>
      <c r="KWG55" s="196"/>
      <c r="KWH55" s="196"/>
      <c r="KWI55" s="196"/>
      <c r="KWJ55" s="196"/>
      <c r="KWK55" s="196"/>
      <c r="KWL55" s="196"/>
      <c r="KWM55" s="196"/>
      <c r="KWN55" s="196"/>
      <c r="KWO55" s="196"/>
      <c r="KWP55" s="196"/>
      <c r="KWQ55" s="196"/>
      <c r="KWR55" s="196"/>
      <c r="KWS55" s="196"/>
      <c r="KWT55" s="196"/>
      <c r="KWU55" s="196"/>
      <c r="KWV55" s="196"/>
      <c r="KWW55" s="196"/>
      <c r="KWX55" s="196"/>
      <c r="KWY55" s="196"/>
      <c r="KWZ55" s="196"/>
      <c r="KXA55" s="196"/>
      <c r="KXB55" s="196"/>
      <c r="KXC55" s="196"/>
      <c r="KXD55" s="196"/>
      <c r="KXE55" s="196"/>
      <c r="KXF55" s="196"/>
      <c r="KXG55" s="196"/>
      <c r="KXH55" s="196"/>
      <c r="KXI55" s="196"/>
      <c r="KXJ55" s="196"/>
      <c r="KXK55" s="196"/>
      <c r="KXL55" s="196"/>
      <c r="KXM55" s="196"/>
      <c r="KXN55" s="196"/>
      <c r="KXO55" s="196"/>
      <c r="KXP55" s="196"/>
      <c r="KXQ55" s="196"/>
      <c r="KXR55" s="196"/>
      <c r="KXS55" s="196"/>
      <c r="KXT55" s="196"/>
      <c r="KXU55" s="196"/>
      <c r="KXV55" s="196"/>
      <c r="KXW55" s="196"/>
      <c r="KXX55" s="196"/>
      <c r="KXY55" s="196"/>
      <c r="KXZ55" s="196"/>
      <c r="KYA55" s="196"/>
      <c r="KYB55" s="196"/>
      <c r="KYC55" s="196"/>
      <c r="KYD55" s="196"/>
      <c r="KYE55" s="196"/>
      <c r="KYF55" s="196"/>
      <c r="KYG55" s="196"/>
      <c r="KYH55" s="196"/>
      <c r="KYI55" s="196"/>
      <c r="KYJ55" s="196"/>
      <c r="KYK55" s="196"/>
      <c r="KYL55" s="196"/>
      <c r="KYM55" s="196"/>
      <c r="KYN55" s="196"/>
      <c r="KYO55" s="196"/>
      <c r="KYP55" s="196"/>
      <c r="KYQ55" s="196"/>
      <c r="KYR55" s="196"/>
      <c r="KYS55" s="196"/>
      <c r="KYT55" s="196"/>
      <c r="KYU55" s="196"/>
      <c r="KYV55" s="196"/>
      <c r="KYW55" s="196"/>
      <c r="KYX55" s="196"/>
      <c r="KYY55" s="196"/>
      <c r="KYZ55" s="196"/>
      <c r="KZA55" s="196"/>
      <c r="KZB55" s="196"/>
      <c r="KZC55" s="196"/>
      <c r="KZD55" s="196"/>
      <c r="KZE55" s="196"/>
      <c r="KZF55" s="196"/>
      <c r="KZG55" s="196"/>
      <c r="KZH55" s="196"/>
      <c r="KZI55" s="196"/>
      <c r="KZJ55" s="196"/>
      <c r="KZK55" s="196"/>
      <c r="KZL55" s="196"/>
      <c r="KZM55" s="196"/>
      <c r="KZN55" s="196"/>
      <c r="KZO55" s="196"/>
      <c r="KZP55" s="196"/>
      <c r="KZQ55" s="196"/>
      <c r="KZR55" s="196"/>
      <c r="KZS55" s="196"/>
      <c r="KZT55" s="196"/>
      <c r="KZU55" s="196"/>
      <c r="KZV55" s="196"/>
      <c r="KZW55" s="196"/>
      <c r="KZX55" s="196"/>
      <c r="KZY55" s="196"/>
      <c r="KZZ55" s="196"/>
      <c r="LAA55" s="196"/>
      <c r="LAB55" s="196"/>
      <c r="LAC55" s="196"/>
      <c r="LAD55" s="196"/>
      <c r="LAE55" s="196"/>
      <c r="LAF55" s="196"/>
      <c r="LAG55" s="196"/>
      <c r="LAH55" s="196"/>
      <c r="LAI55" s="196"/>
      <c r="LAJ55" s="196"/>
      <c r="LAK55" s="196"/>
      <c r="LAL55" s="196"/>
      <c r="LAM55" s="196"/>
      <c r="LAN55" s="196"/>
      <c r="LAO55" s="196"/>
      <c r="LAP55" s="196"/>
      <c r="LAQ55" s="196"/>
      <c r="LAR55" s="196"/>
      <c r="LAS55" s="196"/>
      <c r="LAT55" s="196"/>
      <c r="LAU55" s="196"/>
      <c r="LAV55" s="196"/>
      <c r="LAW55" s="196"/>
      <c r="LAX55" s="196"/>
      <c r="LAY55" s="196"/>
      <c r="LAZ55" s="196"/>
      <c r="LBA55" s="196"/>
      <c r="LBB55" s="196"/>
      <c r="LBC55" s="196"/>
      <c r="LBD55" s="196"/>
      <c r="LBE55" s="196"/>
      <c r="LBF55" s="196"/>
      <c r="LBG55" s="196"/>
      <c r="LBH55" s="196"/>
      <c r="LBI55" s="196"/>
      <c r="LBJ55" s="196"/>
      <c r="LBK55" s="196"/>
      <c r="LBL55" s="196"/>
      <c r="LBM55" s="196"/>
      <c r="LBN55" s="196"/>
      <c r="LBO55" s="196"/>
      <c r="LBP55" s="196"/>
      <c r="LBQ55" s="196"/>
      <c r="LBR55" s="196"/>
      <c r="LBS55" s="196"/>
      <c r="LBT55" s="196"/>
      <c r="LBU55" s="196"/>
      <c r="LBV55" s="196"/>
      <c r="LBW55" s="196"/>
      <c r="LBX55" s="196"/>
      <c r="LBY55" s="196"/>
      <c r="LBZ55" s="196"/>
      <c r="LCA55" s="196"/>
      <c r="LCB55" s="196"/>
      <c r="LCC55" s="196"/>
      <c r="LCD55" s="196"/>
      <c r="LCE55" s="196"/>
      <c r="LCF55" s="196"/>
      <c r="LCG55" s="196"/>
      <c r="LCH55" s="196"/>
      <c r="LCI55" s="196"/>
      <c r="LCJ55" s="196"/>
      <c r="LCK55" s="196"/>
      <c r="LCL55" s="196"/>
      <c r="LCM55" s="196"/>
      <c r="LCN55" s="196"/>
      <c r="LCO55" s="196"/>
      <c r="LCP55" s="196"/>
      <c r="LCQ55" s="196"/>
      <c r="LCR55" s="196"/>
      <c r="LCS55" s="196"/>
      <c r="LCT55" s="196"/>
      <c r="LCU55" s="196"/>
      <c r="LCV55" s="196"/>
      <c r="LCW55" s="196"/>
      <c r="LCX55" s="196"/>
      <c r="LCY55" s="196"/>
      <c r="LCZ55" s="196"/>
      <c r="LDA55" s="196"/>
      <c r="LDB55" s="196"/>
      <c r="LDC55" s="196"/>
      <c r="LDD55" s="196"/>
      <c r="LDE55" s="196"/>
      <c r="LDF55" s="196"/>
      <c r="LDG55" s="196"/>
      <c r="LDH55" s="196"/>
      <c r="LDI55" s="196"/>
      <c r="LDJ55" s="196"/>
      <c r="LDK55" s="196"/>
      <c r="LDL55" s="196"/>
      <c r="LDM55" s="196"/>
      <c r="LDN55" s="196"/>
      <c r="LDO55" s="196"/>
      <c r="LDP55" s="196"/>
      <c r="LDQ55" s="196"/>
      <c r="LDR55" s="196"/>
      <c r="LDS55" s="196"/>
      <c r="LDT55" s="196"/>
      <c r="LDU55" s="196"/>
      <c r="LDV55" s="196"/>
      <c r="LDW55" s="196"/>
      <c r="LDX55" s="196"/>
      <c r="LDY55" s="196"/>
      <c r="LDZ55" s="196"/>
      <c r="LEA55" s="196"/>
      <c r="LEB55" s="196"/>
      <c r="LEC55" s="196"/>
      <c r="LED55" s="196"/>
      <c r="LEE55" s="196"/>
      <c r="LEF55" s="196"/>
      <c r="LEG55" s="196"/>
      <c r="LEH55" s="196"/>
      <c r="LEI55" s="196"/>
      <c r="LEJ55" s="196"/>
      <c r="LEK55" s="196"/>
      <c r="LEL55" s="196"/>
      <c r="LEM55" s="196"/>
      <c r="LEN55" s="196"/>
      <c r="LEO55" s="196"/>
      <c r="LEP55" s="196"/>
      <c r="LEQ55" s="196"/>
      <c r="LER55" s="196"/>
      <c r="LES55" s="196"/>
      <c r="LET55" s="196"/>
      <c r="LEU55" s="196"/>
      <c r="LEV55" s="196"/>
      <c r="LEW55" s="196"/>
      <c r="LEX55" s="196"/>
      <c r="LEY55" s="196"/>
      <c r="LEZ55" s="196"/>
      <c r="LFA55" s="196"/>
      <c r="LFB55" s="196"/>
      <c r="LFC55" s="196"/>
      <c r="LFD55" s="196"/>
      <c r="LFE55" s="196"/>
      <c r="LFF55" s="196"/>
      <c r="LFG55" s="196"/>
      <c r="LFH55" s="196"/>
      <c r="LFI55" s="196"/>
      <c r="LFJ55" s="196"/>
      <c r="LFK55" s="196"/>
      <c r="LFL55" s="196"/>
      <c r="LFM55" s="196"/>
      <c r="LFN55" s="196"/>
      <c r="LFO55" s="196"/>
      <c r="LFP55" s="196"/>
      <c r="LFQ55" s="196"/>
      <c r="LFR55" s="196"/>
      <c r="LFS55" s="196"/>
      <c r="LFT55" s="196"/>
      <c r="LFU55" s="196"/>
      <c r="LFV55" s="196"/>
      <c r="LFW55" s="196"/>
      <c r="LFX55" s="196"/>
      <c r="LFY55" s="196"/>
      <c r="LFZ55" s="196"/>
      <c r="LGA55" s="196"/>
      <c r="LGB55" s="196"/>
      <c r="LGC55" s="196"/>
      <c r="LGD55" s="196"/>
      <c r="LGE55" s="196"/>
      <c r="LGF55" s="196"/>
      <c r="LGG55" s="196"/>
      <c r="LGH55" s="196"/>
      <c r="LGI55" s="196"/>
      <c r="LGJ55" s="196"/>
      <c r="LGK55" s="196"/>
      <c r="LGL55" s="196"/>
      <c r="LGM55" s="196"/>
      <c r="LGN55" s="196"/>
      <c r="LGO55" s="196"/>
      <c r="LGP55" s="196"/>
      <c r="LGQ55" s="196"/>
      <c r="LGR55" s="196"/>
      <c r="LGS55" s="196"/>
      <c r="LGT55" s="196"/>
      <c r="LGU55" s="196"/>
      <c r="LGV55" s="196"/>
      <c r="LGW55" s="196"/>
      <c r="LGX55" s="196"/>
      <c r="LGY55" s="196"/>
      <c r="LGZ55" s="196"/>
      <c r="LHA55" s="196"/>
      <c r="LHB55" s="196"/>
      <c r="LHC55" s="196"/>
      <c r="LHD55" s="196"/>
      <c r="LHE55" s="196"/>
      <c r="LHF55" s="196"/>
      <c r="LHG55" s="196"/>
      <c r="LHH55" s="196"/>
      <c r="LHI55" s="196"/>
      <c r="LHJ55" s="196"/>
      <c r="LHK55" s="196"/>
      <c r="LHL55" s="196"/>
      <c r="LHM55" s="196"/>
      <c r="LHN55" s="196"/>
      <c r="LHO55" s="196"/>
      <c r="LHP55" s="196"/>
      <c r="LHQ55" s="196"/>
      <c r="LHR55" s="196"/>
      <c r="LHS55" s="196"/>
      <c r="LHT55" s="196"/>
      <c r="LHU55" s="196"/>
      <c r="LHV55" s="196"/>
      <c r="LHW55" s="196"/>
      <c r="LHX55" s="196"/>
      <c r="LHY55" s="196"/>
      <c r="LHZ55" s="196"/>
      <c r="LIA55" s="196"/>
      <c r="LIB55" s="196"/>
      <c r="LIC55" s="196"/>
      <c r="LID55" s="196"/>
      <c r="LIE55" s="196"/>
      <c r="LIF55" s="196"/>
      <c r="LIG55" s="196"/>
      <c r="LIH55" s="196"/>
      <c r="LII55" s="196"/>
      <c r="LIJ55" s="196"/>
      <c r="LIK55" s="196"/>
      <c r="LIL55" s="196"/>
      <c r="LIM55" s="196"/>
      <c r="LIN55" s="196"/>
      <c r="LIO55" s="196"/>
      <c r="LIP55" s="196"/>
      <c r="LIQ55" s="196"/>
      <c r="LIR55" s="196"/>
      <c r="LIS55" s="196"/>
      <c r="LIT55" s="196"/>
      <c r="LIU55" s="196"/>
      <c r="LIV55" s="196"/>
      <c r="LIW55" s="196"/>
      <c r="LIX55" s="196"/>
      <c r="LIY55" s="196"/>
      <c r="LIZ55" s="196"/>
      <c r="LJA55" s="196"/>
      <c r="LJB55" s="196"/>
      <c r="LJC55" s="196"/>
      <c r="LJD55" s="196"/>
      <c r="LJE55" s="196"/>
      <c r="LJF55" s="196"/>
      <c r="LJG55" s="196"/>
      <c r="LJH55" s="196"/>
      <c r="LJI55" s="196"/>
      <c r="LJJ55" s="196"/>
      <c r="LJK55" s="196"/>
      <c r="LJL55" s="196"/>
      <c r="LJM55" s="196"/>
      <c r="LJN55" s="196"/>
      <c r="LJO55" s="196"/>
      <c r="LJP55" s="196"/>
      <c r="LJQ55" s="196"/>
      <c r="LJR55" s="196"/>
      <c r="LJS55" s="196"/>
      <c r="LJT55" s="196"/>
      <c r="LJU55" s="196"/>
      <c r="LJV55" s="196"/>
      <c r="LJW55" s="196"/>
      <c r="LJX55" s="196"/>
      <c r="LJY55" s="196"/>
      <c r="LJZ55" s="196"/>
      <c r="LKA55" s="196"/>
      <c r="LKB55" s="196"/>
      <c r="LKC55" s="196"/>
      <c r="LKD55" s="196"/>
      <c r="LKE55" s="196"/>
      <c r="LKF55" s="196"/>
      <c r="LKG55" s="196"/>
      <c r="LKH55" s="196"/>
      <c r="LKI55" s="196"/>
      <c r="LKJ55" s="196"/>
      <c r="LKK55" s="196"/>
      <c r="LKL55" s="196"/>
      <c r="LKM55" s="196"/>
      <c r="LKN55" s="196"/>
      <c r="LKO55" s="196"/>
      <c r="LKP55" s="196"/>
      <c r="LKQ55" s="196"/>
      <c r="LKR55" s="196"/>
      <c r="LKS55" s="196"/>
      <c r="LKT55" s="196"/>
      <c r="LKU55" s="196"/>
      <c r="LKV55" s="196"/>
      <c r="LKW55" s="196"/>
      <c r="LKX55" s="196"/>
      <c r="LKY55" s="196"/>
      <c r="LKZ55" s="196"/>
      <c r="LLA55" s="196"/>
      <c r="LLB55" s="196"/>
      <c r="LLC55" s="196"/>
      <c r="LLD55" s="196"/>
      <c r="LLE55" s="196"/>
      <c r="LLF55" s="196"/>
      <c r="LLG55" s="196"/>
      <c r="LLH55" s="196"/>
      <c r="LLI55" s="196"/>
      <c r="LLJ55" s="196"/>
      <c r="LLK55" s="196"/>
      <c r="LLL55" s="196"/>
      <c r="LLM55" s="196"/>
      <c r="LLN55" s="196"/>
      <c r="LLO55" s="196"/>
      <c r="LLP55" s="196"/>
      <c r="LLQ55" s="196"/>
      <c r="LLR55" s="196"/>
      <c r="LLS55" s="196"/>
      <c r="LLT55" s="196"/>
      <c r="LLU55" s="196"/>
      <c r="LLV55" s="196"/>
      <c r="LLW55" s="196"/>
      <c r="LLX55" s="196"/>
      <c r="LLY55" s="196"/>
      <c r="LLZ55" s="196"/>
      <c r="LMA55" s="196"/>
      <c r="LMB55" s="196"/>
      <c r="LMC55" s="196"/>
      <c r="LMD55" s="196"/>
      <c r="LME55" s="196"/>
      <c r="LMF55" s="196"/>
      <c r="LMG55" s="196"/>
      <c r="LMH55" s="196"/>
      <c r="LMI55" s="196"/>
      <c r="LMJ55" s="196"/>
      <c r="LMK55" s="196"/>
      <c r="LML55" s="196"/>
      <c r="LMM55" s="196"/>
      <c r="LMN55" s="196"/>
      <c r="LMO55" s="196"/>
      <c r="LMP55" s="196"/>
      <c r="LMQ55" s="196"/>
      <c r="LMR55" s="196"/>
      <c r="LMS55" s="196"/>
      <c r="LMT55" s="196"/>
      <c r="LMU55" s="196"/>
      <c r="LMV55" s="196"/>
      <c r="LMW55" s="196"/>
      <c r="LMX55" s="196"/>
      <c r="LMY55" s="196"/>
      <c r="LMZ55" s="196"/>
      <c r="LNA55" s="196"/>
      <c r="LNB55" s="196"/>
      <c r="LNC55" s="196"/>
      <c r="LND55" s="196"/>
      <c r="LNE55" s="196"/>
      <c r="LNF55" s="196"/>
      <c r="LNG55" s="196"/>
      <c r="LNH55" s="196"/>
      <c r="LNI55" s="196"/>
      <c r="LNJ55" s="196"/>
      <c r="LNK55" s="196"/>
      <c r="LNL55" s="196"/>
      <c r="LNM55" s="196"/>
      <c r="LNN55" s="196"/>
      <c r="LNO55" s="196"/>
      <c r="LNP55" s="196"/>
      <c r="LNQ55" s="196"/>
      <c r="LNR55" s="196"/>
      <c r="LNS55" s="196"/>
      <c r="LNT55" s="196"/>
      <c r="LNU55" s="196"/>
      <c r="LNV55" s="196"/>
      <c r="LNW55" s="196"/>
      <c r="LNX55" s="196"/>
      <c r="LNY55" s="196"/>
      <c r="LNZ55" s="196"/>
      <c r="LOA55" s="196"/>
      <c r="LOB55" s="196"/>
      <c r="LOC55" s="196"/>
      <c r="LOD55" s="196"/>
      <c r="LOE55" s="196"/>
      <c r="LOF55" s="196"/>
      <c r="LOG55" s="196"/>
      <c r="LOH55" s="196"/>
      <c r="LOI55" s="196"/>
      <c r="LOJ55" s="196"/>
      <c r="LOK55" s="196"/>
      <c r="LOL55" s="196"/>
      <c r="LOM55" s="196"/>
      <c r="LON55" s="196"/>
      <c r="LOO55" s="196"/>
      <c r="LOP55" s="196"/>
      <c r="LOQ55" s="196"/>
      <c r="LOR55" s="196"/>
      <c r="LOS55" s="196"/>
      <c r="LOT55" s="196"/>
      <c r="LOU55" s="196"/>
      <c r="LOV55" s="196"/>
      <c r="LOW55" s="196"/>
      <c r="LOX55" s="196"/>
      <c r="LOY55" s="196"/>
      <c r="LOZ55" s="196"/>
      <c r="LPA55" s="196"/>
      <c r="LPB55" s="196"/>
      <c r="LPC55" s="196"/>
      <c r="LPD55" s="196"/>
      <c r="LPE55" s="196"/>
      <c r="LPF55" s="196"/>
      <c r="LPG55" s="196"/>
      <c r="LPH55" s="196"/>
      <c r="LPI55" s="196"/>
      <c r="LPJ55" s="196"/>
      <c r="LPK55" s="196"/>
      <c r="LPL55" s="196"/>
      <c r="LPM55" s="196"/>
      <c r="LPN55" s="196"/>
      <c r="LPO55" s="196"/>
      <c r="LPP55" s="196"/>
      <c r="LPQ55" s="196"/>
      <c r="LPR55" s="196"/>
      <c r="LPS55" s="196"/>
      <c r="LPT55" s="196"/>
      <c r="LPU55" s="196"/>
      <c r="LPV55" s="196"/>
      <c r="LPW55" s="196"/>
      <c r="LPX55" s="196"/>
      <c r="LPY55" s="196"/>
      <c r="LPZ55" s="196"/>
      <c r="LQA55" s="196"/>
      <c r="LQB55" s="196"/>
      <c r="LQC55" s="196"/>
      <c r="LQD55" s="196"/>
      <c r="LQE55" s="196"/>
      <c r="LQF55" s="196"/>
      <c r="LQG55" s="196"/>
      <c r="LQH55" s="196"/>
      <c r="LQI55" s="196"/>
      <c r="LQJ55" s="196"/>
      <c r="LQK55" s="196"/>
      <c r="LQL55" s="196"/>
      <c r="LQM55" s="196"/>
      <c r="LQN55" s="196"/>
      <c r="LQO55" s="196"/>
      <c r="LQP55" s="196"/>
      <c r="LQQ55" s="196"/>
      <c r="LQR55" s="196"/>
      <c r="LQS55" s="196"/>
      <c r="LQT55" s="196"/>
      <c r="LQU55" s="196"/>
      <c r="LQV55" s="196"/>
      <c r="LQW55" s="196"/>
      <c r="LQX55" s="196"/>
      <c r="LQY55" s="196"/>
      <c r="LQZ55" s="196"/>
      <c r="LRA55" s="196"/>
      <c r="LRB55" s="196"/>
      <c r="LRC55" s="196"/>
      <c r="LRD55" s="196"/>
      <c r="LRE55" s="196"/>
      <c r="LRF55" s="196"/>
      <c r="LRG55" s="196"/>
      <c r="LRH55" s="196"/>
      <c r="LRI55" s="196"/>
      <c r="LRJ55" s="196"/>
      <c r="LRK55" s="196"/>
      <c r="LRL55" s="196"/>
      <c r="LRM55" s="196"/>
      <c r="LRN55" s="196"/>
      <c r="LRO55" s="196"/>
      <c r="LRP55" s="196"/>
      <c r="LRQ55" s="196"/>
      <c r="LRR55" s="196"/>
      <c r="LRS55" s="196"/>
      <c r="LRT55" s="196"/>
      <c r="LRU55" s="196"/>
      <c r="LRV55" s="196"/>
      <c r="LRW55" s="196"/>
      <c r="LRX55" s="196"/>
      <c r="LRY55" s="196"/>
      <c r="LRZ55" s="196"/>
      <c r="LSA55" s="196"/>
      <c r="LSB55" s="196"/>
      <c r="LSC55" s="196"/>
      <c r="LSD55" s="196"/>
      <c r="LSE55" s="196"/>
      <c r="LSF55" s="196"/>
      <c r="LSG55" s="196"/>
      <c r="LSH55" s="196"/>
      <c r="LSI55" s="196"/>
      <c r="LSJ55" s="196"/>
      <c r="LSK55" s="196"/>
      <c r="LSL55" s="196"/>
      <c r="LSM55" s="196"/>
      <c r="LSN55" s="196"/>
      <c r="LSO55" s="196"/>
      <c r="LSP55" s="196"/>
      <c r="LSQ55" s="196"/>
      <c r="LSR55" s="196"/>
      <c r="LSS55" s="196"/>
      <c r="LST55" s="196"/>
      <c r="LSU55" s="196"/>
      <c r="LSV55" s="196"/>
      <c r="LSW55" s="196"/>
      <c r="LSX55" s="196"/>
      <c r="LSY55" s="196"/>
      <c r="LSZ55" s="196"/>
      <c r="LTA55" s="196"/>
      <c r="LTB55" s="196"/>
      <c r="LTC55" s="196"/>
      <c r="LTD55" s="196"/>
      <c r="LTE55" s="196"/>
      <c r="LTF55" s="196"/>
      <c r="LTG55" s="196"/>
      <c r="LTH55" s="196"/>
      <c r="LTI55" s="196"/>
      <c r="LTJ55" s="196"/>
      <c r="LTK55" s="196"/>
      <c r="LTL55" s="196"/>
      <c r="LTM55" s="196"/>
      <c r="LTN55" s="196"/>
      <c r="LTO55" s="196"/>
      <c r="LTP55" s="196"/>
      <c r="LTQ55" s="196"/>
      <c r="LTR55" s="196"/>
      <c r="LTS55" s="196"/>
      <c r="LTT55" s="196"/>
      <c r="LTU55" s="196"/>
      <c r="LTV55" s="196"/>
      <c r="LTW55" s="196"/>
      <c r="LTX55" s="196"/>
      <c r="LTY55" s="196"/>
      <c r="LTZ55" s="196"/>
      <c r="LUA55" s="196"/>
      <c r="LUB55" s="196"/>
      <c r="LUC55" s="196"/>
      <c r="LUD55" s="196"/>
      <c r="LUE55" s="196"/>
      <c r="LUF55" s="196"/>
      <c r="LUG55" s="196"/>
      <c r="LUH55" s="196"/>
      <c r="LUI55" s="196"/>
      <c r="LUJ55" s="196"/>
      <c r="LUK55" s="196"/>
      <c r="LUL55" s="196"/>
      <c r="LUM55" s="196"/>
      <c r="LUN55" s="196"/>
      <c r="LUO55" s="196"/>
      <c r="LUP55" s="196"/>
      <c r="LUQ55" s="196"/>
      <c r="LUR55" s="196"/>
      <c r="LUS55" s="196"/>
      <c r="LUT55" s="196"/>
      <c r="LUU55" s="196"/>
      <c r="LUV55" s="196"/>
      <c r="LUW55" s="196"/>
      <c r="LUX55" s="196"/>
      <c r="LUY55" s="196"/>
      <c r="LUZ55" s="196"/>
      <c r="LVA55" s="196"/>
      <c r="LVB55" s="196"/>
      <c r="LVC55" s="196"/>
      <c r="LVD55" s="196"/>
      <c r="LVE55" s="196"/>
      <c r="LVF55" s="196"/>
      <c r="LVG55" s="196"/>
      <c r="LVH55" s="196"/>
      <c r="LVI55" s="196"/>
      <c r="LVJ55" s="196"/>
      <c r="LVK55" s="196"/>
      <c r="LVL55" s="196"/>
      <c r="LVM55" s="196"/>
      <c r="LVN55" s="196"/>
      <c r="LVO55" s="196"/>
      <c r="LVP55" s="196"/>
      <c r="LVQ55" s="196"/>
      <c r="LVR55" s="196"/>
      <c r="LVS55" s="196"/>
      <c r="LVT55" s="196"/>
      <c r="LVU55" s="196"/>
      <c r="LVV55" s="196"/>
      <c r="LVW55" s="196"/>
      <c r="LVX55" s="196"/>
      <c r="LVY55" s="196"/>
      <c r="LVZ55" s="196"/>
      <c r="LWA55" s="196"/>
      <c r="LWB55" s="196"/>
      <c r="LWC55" s="196"/>
      <c r="LWD55" s="196"/>
      <c r="LWE55" s="196"/>
      <c r="LWF55" s="196"/>
      <c r="LWG55" s="196"/>
      <c r="LWH55" s="196"/>
      <c r="LWI55" s="196"/>
      <c r="LWJ55" s="196"/>
      <c r="LWK55" s="196"/>
      <c r="LWL55" s="196"/>
      <c r="LWM55" s="196"/>
      <c r="LWN55" s="196"/>
      <c r="LWO55" s="196"/>
      <c r="LWP55" s="196"/>
      <c r="LWQ55" s="196"/>
      <c r="LWR55" s="196"/>
      <c r="LWS55" s="196"/>
      <c r="LWT55" s="196"/>
      <c r="LWU55" s="196"/>
      <c r="LWV55" s="196"/>
      <c r="LWW55" s="196"/>
      <c r="LWX55" s="196"/>
      <c r="LWY55" s="196"/>
      <c r="LWZ55" s="196"/>
      <c r="LXA55" s="196"/>
      <c r="LXB55" s="196"/>
      <c r="LXC55" s="196"/>
      <c r="LXD55" s="196"/>
      <c r="LXE55" s="196"/>
      <c r="LXF55" s="196"/>
      <c r="LXG55" s="196"/>
      <c r="LXH55" s="196"/>
      <c r="LXI55" s="196"/>
      <c r="LXJ55" s="196"/>
      <c r="LXK55" s="196"/>
      <c r="LXL55" s="196"/>
      <c r="LXM55" s="196"/>
      <c r="LXN55" s="196"/>
      <c r="LXO55" s="196"/>
      <c r="LXP55" s="196"/>
      <c r="LXQ55" s="196"/>
      <c r="LXR55" s="196"/>
      <c r="LXS55" s="196"/>
      <c r="LXT55" s="196"/>
      <c r="LXU55" s="196"/>
      <c r="LXV55" s="196"/>
      <c r="LXW55" s="196"/>
      <c r="LXX55" s="196"/>
      <c r="LXY55" s="196"/>
      <c r="LXZ55" s="196"/>
      <c r="LYA55" s="196"/>
      <c r="LYB55" s="196"/>
      <c r="LYC55" s="196"/>
      <c r="LYD55" s="196"/>
      <c r="LYE55" s="196"/>
      <c r="LYF55" s="196"/>
      <c r="LYG55" s="196"/>
      <c r="LYH55" s="196"/>
      <c r="LYI55" s="196"/>
      <c r="LYJ55" s="196"/>
      <c r="LYK55" s="196"/>
      <c r="LYL55" s="196"/>
      <c r="LYM55" s="196"/>
      <c r="LYN55" s="196"/>
      <c r="LYO55" s="196"/>
      <c r="LYP55" s="196"/>
      <c r="LYQ55" s="196"/>
      <c r="LYR55" s="196"/>
      <c r="LYS55" s="196"/>
      <c r="LYT55" s="196"/>
      <c r="LYU55" s="196"/>
      <c r="LYV55" s="196"/>
      <c r="LYW55" s="196"/>
      <c r="LYX55" s="196"/>
      <c r="LYY55" s="196"/>
      <c r="LYZ55" s="196"/>
      <c r="LZA55" s="196"/>
      <c r="LZB55" s="196"/>
      <c r="LZC55" s="196"/>
      <c r="LZD55" s="196"/>
      <c r="LZE55" s="196"/>
      <c r="LZF55" s="196"/>
      <c r="LZG55" s="196"/>
      <c r="LZH55" s="196"/>
      <c r="LZI55" s="196"/>
      <c r="LZJ55" s="196"/>
      <c r="LZK55" s="196"/>
      <c r="LZL55" s="196"/>
      <c r="LZM55" s="196"/>
      <c r="LZN55" s="196"/>
      <c r="LZO55" s="196"/>
      <c r="LZP55" s="196"/>
      <c r="LZQ55" s="196"/>
      <c r="LZR55" s="196"/>
      <c r="LZS55" s="196"/>
      <c r="LZT55" s="196"/>
      <c r="LZU55" s="196"/>
      <c r="LZV55" s="196"/>
      <c r="LZW55" s="196"/>
      <c r="LZX55" s="196"/>
      <c r="LZY55" s="196"/>
      <c r="LZZ55" s="196"/>
      <c r="MAA55" s="196"/>
      <c r="MAB55" s="196"/>
      <c r="MAC55" s="196"/>
      <c r="MAD55" s="196"/>
      <c r="MAE55" s="196"/>
      <c r="MAF55" s="196"/>
      <c r="MAG55" s="196"/>
      <c r="MAH55" s="196"/>
      <c r="MAI55" s="196"/>
      <c r="MAJ55" s="196"/>
      <c r="MAK55" s="196"/>
      <c r="MAL55" s="196"/>
      <c r="MAM55" s="196"/>
      <c r="MAN55" s="196"/>
      <c r="MAO55" s="196"/>
      <c r="MAP55" s="196"/>
      <c r="MAQ55" s="196"/>
      <c r="MAR55" s="196"/>
      <c r="MAS55" s="196"/>
      <c r="MAT55" s="196"/>
      <c r="MAU55" s="196"/>
      <c r="MAV55" s="196"/>
      <c r="MAW55" s="196"/>
      <c r="MAX55" s="196"/>
      <c r="MAY55" s="196"/>
      <c r="MAZ55" s="196"/>
      <c r="MBA55" s="196"/>
      <c r="MBB55" s="196"/>
      <c r="MBC55" s="196"/>
      <c r="MBD55" s="196"/>
      <c r="MBE55" s="196"/>
      <c r="MBF55" s="196"/>
      <c r="MBG55" s="196"/>
      <c r="MBH55" s="196"/>
      <c r="MBI55" s="196"/>
      <c r="MBJ55" s="196"/>
      <c r="MBK55" s="196"/>
      <c r="MBL55" s="196"/>
      <c r="MBM55" s="196"/>
      <c r="MBN55" s="196"/>
      <c r="MBO55" s="196"/>
      <c r="MBP55" s="196"/>
      <c r="MBQ55" s="196"/>
      <c r="MBR55" s="196"/>
      <c r="MBS55" s="196"/>
      <c r="MBT55" s="196"/>
      <c r="MBU55" s="196"/>
      <c r="MBV55" s="196"/>
      <c r="MBW55" s="196"/>
      <c r="MBX55" s="196"/>
      <c r="MBY55" s="196"/>
      <c r="MBZ55" s="196"/>
      <c r="MCA55" s="196"/>
      <c r="MCB55" s="196"/>
      <c r="MCC55" s="196"/>
      <c r="MCD55" s="196"/>
      <c r="MCE55" s="196"/>
      <c r="MCF55" s="196"/>
      <c r="MCG55" s="196"/>
      <c r="MCH55" s="196"/>
      <c r="MCI55" s="196"/>
      <c r="MCJ55" s="196"/>
      <c r="MCK55" s="196"/>
      <c r="MCL55" s="196"/>
      <c r="MCM55" s="196"/>
      <c r="MCN55" s="196"/>
      <c r="MCO55" s="196"/>
      <c r="MCP55" s="196"/>
      <c r="MCQ55" s="196"/>
      <c r="MCR55" s="196"/>
      <c r="MCS55" s="196"/>
      <c r="MCT55" s="196"/>
      <c r="MCU55" s="196"/>
      <c r="MCV55" s="196"/>
      <c r="MCW55" s="196"/>
      <c r="MCX55" s="196"/>
      <c r="MCY55" s="196"/>
      <c r="MCZ55" s="196"/>
      <c r="MDA55" s="196"/>
      <c r="MDB55" s="196"/>
      <c r="MDC55" s="196"/>
      <c r="MDD55" s="196"/>
      <c r="MDE55" s="196"/>
      <c r="MDF55" s="196"/>
      <c r="MDG55" s="196"/>
      <c r="MDH55" s="196"/>
      <c r="MDI55" s="196"/>
      <c r="MDJ55" s="196"/>
      <c r="MDK55" s="196"/>
      <c r="MDL55" s="196"/>
      <c r="MDM55" s="196"/>
      <c r="MDN55" s="196"/>
      <c r="MDO55" s="196"/>
      <c r="MDP55" s="196"/>
      <c r="MDQ55" s="196"/>
      <c r="MDR55" s="196"/>
      <c r="MDS55" s="196"/>
      <c r="MDT55" s="196"/>
      <c r="MDU55" s="196"/>
      <c r="MDV55" s="196"/>
      <c r="MDW55" s="196"/>
      <c r="MDX55" s="196"/>
      <c r="MDY55" s="196"/>
      <c r="MDZ55" s="196"/>
      <c r="MEA55" s="196"/>
      <c r="MEB55" s="196"/>
      <c r="MEC55" s="196"/>
      <c r="MED55" s="196"/>
      <c r="MEE55" s="196"/>
      <c r="MEF55" s="196"/>
      <c r="MEG55" s="196"/>
      <c r="MEH55" s="196"/>
      <c r="MEI55" s="196"/>
      <c r="MEJ55" s="196"/>
      <c r="MEK55" s="196"/>
      <c r="MEL55" s="196"/>
      <c r="MEM55" s="196"/>
      <c r="MEN55" s="196"/>
      <c r="MEO55" s="196"/>
      <c r="MEP55" s="196"/>
      <c r="MEQ55" s="196"/>
      <c r="MER55" s="196"/>
      <c r="MES55" s="196"/>
      <c r="MET55" s="196"/>
      <c r="MEU55" s="196"/>
      <c r="MEV55" s="196"/>
      <c r="MEW55" s="196"/>
      <c r="MEX55" s="196"/>
      <c r="MEY55" s="196"/>
      <c r="MEZ55" s="196"/>
      <c r="MFA55" s="196"/>
      <c r="MFB55" s="196"/>
      <c r="MFC55" s="196"/>
      <c r="MFD55" s="196"/>
      <c r="MFE55" s="196"/>
      <c r="MFF55" s="196"/>
      <c r="MFG55" s="196"/>
      <c r="MFH55" s="196"/>
      <c r="MFI55" s="196"/>
      <c r="MFJ55" s="196"/>
      <c r="MFK55" s="196"/>
      <c r="MFL55" s="196"/>
      <c r="MFM55" s="196"/>
      <c r="MFN55" s="196"/>
      <c r="MFO55" s="196"/>
      <c r="MFP55" s="196"/>
      <c r="MFQ55" s="196"/>
      <c r="MFR55" s="196"/>
      <c r="MFS55" s="196"/>
      <c r="MFT55" s="196"/>
      <c r="MFU55" s="196"/>
      <c r="MFV55" s="196"/>
      <c r="MFW55" s="196"/>
      <c r="MFX55" s="196"/>
      <c r="MFY55" s="196"/>
      <c r="MFZ55" s="196"/>
      <c r="MGA55" s="196"/>
      <c r="MGB55" s="196"/>
      <c r="MGC55" s="196"/>
      <c r="MGD55" s="196"/>
      <c r="MGE55" s="196"/>
      <c r="MGF55" s="196"/>
      <c r="MGG55" s="196"/>
      <c r="MGH55" s="196"/>
      <c r="MGI55" s="196"/>
      <c r="MGJ55" s="196"/>
      <c r="MGK55" s="196"/>
      <c r="MGL55" s="196"/>
      <c r="MGM55" s="196"/>
      <c r="MGN55" s="196"/>
      <c r="MGO55" s="196"/>
      <c r="MGP55" s="196"/>
      <c r="MGQ55" s="196"/>
      <c r="MGR55" s="196"/>
      <c r="MGS55" s="196"/>
      <c r="MGT55" s="196"/>
      <c r="MGU55" s="196"/>
      <c r="MGV55" s="196"/>
      <c r="MGW55" s="196"/>
      <c r="MGX55" s="196"/>
      <c r="MGY55" s="196"/>
      <c r="MGZ55" s="196"/>
      <c r="MHA55" s="196"/>
      <c r="MHB55" s="196"/>
      <c r="MHC55" s="196"/>
      <c r="MHD55" s="196"/>
      <c r="MHE55" s="196"/>
      <c r="MHF55" s="196"/>
      <c r="MHG55" s="196"/>
      <c r="MHH55" s="196"/>
      <c r="MHI55" s="196"/>
      <c r="MHJ55" s="196"/>
      <c r="MHK55" s="196"/>
      <c r="MHL55" s="196"/>
      <c r="MHM55" s="196"/>
      <c r="MHN55" s="196"/>
      <c r="MHO55" s="196"/>
      <c r="MHP55" s="196"/>
      <c r="MHQ55" s="196"/>
      <c r="MHR55" s="196"/>
      <c r="MHS55" s="196"/>
      <c r="MHT55" s="196"/>
      <c r="MHU55" s="196"/>
      <c r="MHV55" s="196"/>
      <c r="MHW55" s="196"/>
      <c r="MHX55" s="196"/>
      <c r="MHY55" s="196"/>
      <c r="MHZ55" s="196"/>
      <c r="MIA55" s="196"/>
      <c r="MIB55" s="196"/>
      <c r="MIC55" s="196"/>
      <c r="MID55" s="196"/>
      <c r="MIE55" s="196"/>
      <c r="MIF55" s="196"/>
      <c r="MIG55" s="196"/>
      <c r="MIH55" s="196"/>
      <c r="MII55" s="196"/>
      <c r="MIJ55" s="196"/>
      <c r="MIK55" s="196"/>
      <c r="MIL55" s="196"/>
      <c r="MIM55" s="196"/>
      <c r="MIN55" s="196"/>
      <c r="MIO55" s="196"/>
      <c r="MIP55" s="196"/>
      <c r="MIQ55" s="196"/>
      <c r="MIR55" s="196"/>
      <c r="MIS55" s="196"/>
      <c r="MIT55" s="196"/>
      <c r="MIU55" s="196"/>
      <c r="MIV55" s="196"/>
      <c r="MIW55" s="196"/>
      <c r="MIX55" s="196"/>
      <c r="MIY55" s="196"/>
      <c r="MIZ55" s="196"/>
      <c r="MJA55" s="196"/>
      <c r="MJB55" s="196"/>
      <c r="MJC55" s="196"/>
      <c r="MJD55" s="196"/>
      <c r="MJE55" s="196"/>
      <c r="MJF55" s="196"/>
      <c r="MJG55" s="196"/>
      <c r="MJH55" s="196"/>
      <c r="MJI55" s="196"/>
      <c r="MJJ55" s="196"/>
      <c r="MJK55" s="196"/>
      <c r="MJL55" s="196"/>
      <c r="MJM55" s="196"/>
      <c r="MJN55" s="196"/>
      <c r="MJO55" s="196"/>
      <c r="MJP55" s="196"/>
      <c r="MJQ55" s="196"/>
      <c r="MJR55" s="196"/>
      <c r="MJS55" s="196"/>
      <c r="MJT55" s="196"/>
      <c r="MJU55" s="196"/>
      <c r="MJV55" s="196"/>
      <c r="MJW55" s="196"/>
      <c r="MJX55" s="196"/>
      <c r="MJY55" s="196"/>
      <c r="MJZ55" s="196"/>
      <c r="MKA55" s="196"/>
      <c r="MKB55" s="196"/>
      <c r="MKC55" s="196"/>
      <c r="MKD55" s="196"/>
      <c r="MKE55" s="196"/>
      <c r="MKF55" s="196"/>
      <c r="MKG55" s="196"/>
      <c r="MKH55" s="196"/>
      <c r="MKI55" s="196"/>
      <c r="MKJ55" s="196"/>
      <c r="MKK55" s="196"/>
      <c r="MKL55" s="196"/>
      <c r="MKM55" s="196"/>
      <c r="MKN55" s="196"/>
      <c r="MKO55" s="196"/>
      <c r="MKP55" s="196"/>
      <c r="MKQ55" s="196"/>
      <c r="MKR55" s="196"/>
      <c r="MKS55" s="196"/>
      <c r="MKT55" s="196"/>
      <c r="MKU55" s="196"/>
      <c r="MKV55" s="196"/>
      <c r="MKW55" s="196"/>
      <c r="MKX55" s="196"/>
      <c r="MKY55" s="196"/>
      <c r="MKZ55" s="196"/>
      <c r="MLA55" s="196"/>
      <c r="MLB55" s="196"/>
      <c r="MLC55" s="196"/>
      <c r="MLD55" s="196"/>
      <c r="MLE55" s="196"/>
      <c r="MLF55" s="196"/>
      <c r="MLG55" s="196"/>
      <c r="MLH55" s="196"/>
      <c r="MLI55" s="196"/>
      <c r="MLJ55" s="196"/>
      <c r="MLK55" s="196"/>
      <c r="MLL55" s="196"/>
      <c r="MLM55" s="196"/>
      <c r="MLN55" s="196"/>
      <c r="MLO55" s="196"/>
      <c r="MLP55" s="196"/>
      <c r="MLQ55" s="196"/>
      <c r="MLR55" s="196"/>
      <c r="MLS55" s="196"/>
      <c r="MLT55" s="196"/>
      <c r="MLU55" s="196"/>
      <c r="MLV55" s="196"/>
      <c r="MLW55" s="196"/>
      <c r="MLX55" s="196"/>
      <c r="MLY55" s="196"/>
      <c r="MLZ55" s="196"/>
      <c r="MMA55" s="196"/>
      <c r="MMB55" s="196"/>
      <c r="MMC55" s="196"/>
      <c r="MMD55" s="196"/>
      <c r="MME55" s="196"/>
      <c r="MMF55" s="196"/>
      <c r="MMG55" s="196"/>
      <c r="MMH55" s="196"/>
      <c r="MMI55" s="196"/>
      <c r="MMJ55" s="196"/>
      <c r="MMK55" s="196"/>
      <c r="MML55" s="196"/>
      <c r="MMM55" s="196"/>
      <c r="MMN55" s="196"/>
      <c r="MMO55" s="196"/>
      <c r="MMP55" s="196"/>
      <c r="MMQ55" s="196"/>
      <c r="MMR55" s="196"/>
      <c r="MMS55" s="196"/>
      <c r="MMT55" s="196"/>
      <c r="MMU55" s="196"/>
      <c r="MMV55" s="196"/>
      <c r="MMW55" s="196"/>
      <c r="MMX55" s="196"/>
      <c r="MMY55" s="196"/>
      <c r="MMZ55" s="196"/>
      <c r="MNA55" s="196"/>
      <c r="MNB55" s="196"/>
      <c r="MNC55" s="196"/>
      <c r="MND55" s="196"/>
      <c r="MNE55" s="196"/>
      <c r="MNF55" s="196"/>
      <c r="MNG55" s="196"/>
      <c r="MNH55" s="196"/>
      <c r="MNI55" s="196"/>
      <c r="MNJ55" s="196"/>
      <c r="MNK55" s="196"/>
      <c r="MNL55" s="196"/>
      <c r="MNM55" s="196"/>
      <c r="MNN55" s="196"/>
      <c r="MNO55" s="196"/>
      <c r="MNP55" s="196"/>
      <c r="MNQ55" s="196"/>
      <c r="MNR55" s="196"/>
      <c r="MNS55" s="196"/>
      <c r="MNT55" s="196"/>
      <c r="MNU55" s="196"/>
      <c r="MNV55" s="196"/>
      <c r="MNW55" s="196"/>
      <c r="MNX55" s="196"/>
      <c r="MNY55" s="196"/>
      <c r="MNZ55" s="196"/>
      <c r="MOA55" s="196"/>
      <c r="MOB55" s="196"/>
      <c r="MOC55" s="196"/>
      <c r="MOD55" s="196"/>
      <c r="MOE55" s="196"/>
      <c r="MOF55" s="196"/>
      <c r="MOG55" s="196"/>
      <c r="MOH55" s="196"/>
      <c r="MOI55" s="196"/>
      <c r="MOJ55" s="196"/>
      <c r="MOK55" s="196"/>
      <c r="MOL55" s="196"/>
      <c r="MOM55" s="196"/>
      <c r="MON55" s="196"/>
      <c r="MOO55" s="196"/>
      <c r="MOP55" s="196"/>
      <c r="MOQ55" s="196"/>
      <c r="MOR55" s="196"/>
      <c r="MOS55" s="196"/>
      <c r="MOT55" s="196"/>
      <c r="MOU55" s="196"/>
      <c r="MOV55" s="196"/>
      <c r="MOW55" s="196"/>
      <c r="MOX55" s="196"/>
      <c r="MOY55" s="196"/>
      <c r="MOZ55" s="196"/>
      <c r="MPA55" s="196"/>
      <c r="MPB55" s="196"/>
      <c r="MPC55" s="196"/>
      <c r="MPD55" s="196"/>
      <c r="MPE55" s="196"/>
      <c r="MPF55" s="196"/>
      <c r="MPG55" s="196"/>
      <c r="MPH55" s="196"/>
      <c r="MPI55" s="196"/>
      <c r="MPJ55" s="196"/>
      <c r="MPK55" s="196"/>
      <c r="MPL55" s="196"/>
      <c r="MPM55" s="196"/>
      <c r="MPN55" s="196"/>
      <c r="MPO55" s="196"/>
      <c r="MPP55" s="196"/>
      <c r="MPQ55" s="196"/>
      <c r="MPR55" s="196"/>
      <c r="MPS55" s="196"/>
      <c r="MPT55" s="196"/>
      <c r="MPU55" s="196"/>
      <c r="MPV55" s="196"/>
      <c r="MPW55" s="196"/>
      <c r="MPX55" s="196"/>
      <c r="MPY55" s="196"/>
      <c r="MPZ55" s="196"/>
      <c r="MQA55" s="196"/>
      <c r="MQB55" s="196"/>
      <c r="MQC55" s="196"/>
      <c r="MQD55" s="196"/>
      <c r="MQE55" s="196"/>
      <c r="MQF55" s="196"/>
      <c r="MQG55" s="196"/>
      <c r="MQH55" s="196"/>
      <c r="MQI55" s="196"/>
      <c r="MQJ55" s="196"/>
      <c r="MQK55" s="196"/>
      <c r="MQL55" s="196"/>
      <c r="MQM55" s="196"/>
      <c r="MQN55" s="196"/>
      <c r="MQO55" s="196"/>
      <c r="MQP55" s="196"/>
      <c r="MQQ55" s="196"/>
      <c r="MQR55" s="196"/>
      <c r="MQS55" s="196"/>
      <c r="MQT55" s="196"/>
      <c r="MQU55" s="196"/>
      <c r="MQV55" s="196"/>
      <c r="MQW55" s="196"/>
      <c r="MQX55" s="196"/>
      <c r="MQY55" s="196"/>
      <c r="MQZ55" s="196"/>
      <c r="MRA55" s="196"/>
      <c r="MRB55" s="196"/>
      <c r="MRC55" s="196"/>
      <c r="MRD55" s="196"/>
      <c r="MRE55" s="196"/>
      <c r="MRF55" s="196"/>
      <c r="MRG55" s="196"/>
      <c r="MRH55" s="196"/>
      <c r="MRI55" s="196"/>
      <c r="MRJ55" s="196"/>
      <c r="MRK55" s="196"/>
      <c r="MRL55" s="196"/>
      <c r="MRM55" s="196"/>
      <c r="MRN55" s="196"/>
      <c r="MRO55" s="196"/>
      <c r="MRP55" s="196"/>
      <c r="MRQ55" s="196"/>
      <c r="MRR55" s="196"/>
      <c r="MRS55" s="196"/>
      <c r="MRT55" s="196"/>
      <c r="MRU55" s="196"/>
      <c r="MRV55" s="196"/>
      <c r="MRW55" s="196"/>
      <c r="MRX55" s="196"/>
      <c r="MRY55" s="196"/>
      <c r="MRZ55" s="196"/>
      <c r="MSA55" s="196"/>
      <c r="MSB55" s="196"/>
      <c r="MSC55" s="196"/>
      <c r="MSD55" s="196"/>
      <c r="MSE55" s="196"/>
      <c r="MSF55" s="196"/>
      <c r="MSG55" s="196"/>
      <c r="MSH55" s="196"/>
      <c r="MSI55" s="196"/>
      <c r="MSJ55" s="196"/>
      <c r="MSK55" s="196"/>
      <c r="MSL55" s="196"/>
      <c r="MSM55" s="196"/>
      <c r="MSN55" s="196"/>
      <c r="MSO55" s="196"/>
      <c r="MSP55" s="196"/>
      <c r="MSQ55" s="196"/>
      <c r="MSR55" s="196"/>
      <c r="MSS55" s="196"/>
      <c r="MST55" s="196"/>
      <c r="MSU55" s="196"/>
      <c r="MSV55" s="196"/>
      <c r="MSW55" s="196"/>
      <c r="MSX55" s="196"/>
      <c r="MSY55" s="196"/>
      <c r="MSZ55" s="196"/>
      <c r="MTA55" s="196"/>
      <c r="MTB55" s="196"/>
      <c r="MTC55" s="196"/>
      <c r="MTD55" s="196"/>
      <c r="MTE55" s="196"/>
      <c r="MTF55" s="196"/>
      <c r="MTG55" s="196"/>
      <c r="MTH55" s="196"/>
      <c r="MTI55" s="196"/>
      <c r="MTJ55" s="196"/>
      <c r="MTK55" s="196"/>
      <c r="MTL55" s="196"/>
      <c r="MTM55" s="196"/>
      <c r="MTN55" s="196"/>
      <c r="MTO55" s="196"/>
      <c r="MTP55" s="196"/>
      <c r="MTQ55" s="196"/>
      <c r="MTR55" s="196"/>
      <c r="MTS55" s="196"/>
      <c r="MTT55" s="196"/>
      <c r="MTU55" s="196"/>
      <c r="MTV55" s="196"/>
      <c r="MTW55" s="196"/>
      <c r="MTX55" s="196"/>
      <c r="MTY55" s="196"/>
      <c r="MTZ55" s="196"/>
      <c r="MUA55" s="196"/>
      <c r="MUB55" s="196"/>
      <c r="MUC55" s="196"/>
      <c r="MUD55" s="196"/>
      <c r="MUE55" s="196"/>
      <c r="MUF55" s="196"/>
      <c r="MUG55" s="196"/>
      <c r="MUH55" s="196"/>
      <c r="MUI55" s="196"/>
      <c r="MUJ55" s="196"/>
      <c r="MUK55" s="196"/>
      <c r="MUL55" s="196"/>
      <c r="MUM55" s="196"/>
      <c r="MUN55" s="196"/>
      <c r="MUO55" s="196"/>
      <c r="MUP55" s="196"/>
      <c r="MUQ55" s="196"/>
      <c r="MUR55" s="196"/>
      <c r="MUS55" s="196"/>
      <c r="MUT55" s="196"/>
      <c r="MUU55" s="196"/>
      <c r="MUV55" s="196"/>
      <c r="MUW55" s="196"/>
      <c r="MUX55" s="196"/>
      <c r="MUY55" s="196"/>
      <c r="MUZ55" s="196"/>
      <c r="MVA55" s="196"/>
      <c r="MVB55" s="196"/>
      <c r="MVC55" s="196"/>
      <c r="MVD55" s="196"/>
      <c r="MVE55" s="196"/>
      <c r="MVF55" s="196"/>
      <c r="MVG55" s="196"/>
      <c r="MVH55" s="196"/>
      <c r="MVI55" s="196"/>
      <c r="MVJ55" s="196"/>
      <c r="MVK55" s="196"/>
      <c r="MVL55" s="196"/>
      <c r="MVM55" s="196"/>
      <c r="MVN55" s="196"/>
      <c r="MVO55" s="196"/>
      <c r="MVP55" s="196"/>
      <c r="MVQ55" s="196"/>
      <c r="MVR55" s="196"/>
      <c r="MVS55" s="196"/>
      <c r="MVT55" s="196"/>
      <c r="MVU55" s="196"/>
      <c r="MVV55" s="196"/>
      <c r="MVW55" s="196"/>
      <c r="MVX55" s="196"/>
      <c r="MVY55" s="196"/>
      <c r="MVZ55" s="196"/>
      <c r="MWA55" s="196"/>
      <c r="MWB55" s="196"/>
      <c r="MWC55" s="196"/>
      <c r="MWD55" s="196"/>
      <c r="MWE55" s="196"/>
      <c r="MWF55" s="196"/>
      <c r="MWG55" s="196"/>
      <c r="MWH55" s="196"/>
      <c r="MWI55" s="196"/>
      <c r="MWJ55" s="196"/>
      <c r="MWK55" s="196"/>
      <c r="MWL55" s="196"/>
      <c r="MWM55" s="196"/>
      <c r="MWN55" s="196"/>
      <c r="MWO55" s="196"/>
      <c r="MWP55" s="196"/>
      <c r="MWQ55" s="196"/>
      <c r="MWR55" s="196"/>
      <c r="MWS55" s="196"/>
      <c r="MWT55" s="196"/>
      <c r="MWU55" s="196"/>
      <c r="MWV55" s="196"/>
      <c r="MWW55" s="196"/>
      <c r="MWX55" s="196"/>
      <c r="MWY55" s="196"/>
      <c r="MWZ55" s="196"/>
      <c r="MXA55" s="196"/>
      <c r="MXB55" s="196"/>
      <c r="MXC55" s="196"/>
      <c r="MXD55" s="196"/>
      <c r="MXE55" s="196"/>
      <c r="MXF55" s="196"/>
      <c r="MXG55" s="196"/>
      <c r="MXH55" s="196"/>
      <c r="MXI55" s="196"/>
      <c r="MXJ55" s="196"/>
      <c r="MXK55" s="196"/>
      <c r="MXL55" s="196"/>
      <c r="MXM55" s="196"/>
      <c r="MXN55" s="196"/>
      <c r="MXO55" s="196"/>
      <c r="MXP55" s="196"/>
      <c r="MXQ55" s="196"/>
      <c r="MXR55" s="196"/>
      <c r="MXS55" s="196"/>
      <c r="MXT55" s="196"/>
      <c r="MXU55" s="196"/>
      <c r="MXV55" s="196"/>
      <c r="MXW55" s="196"/>
      <c r="MXX55" s="196"/>
      <c r="MXY55" s="196"/>
      <c r="MXZ55" s="196"/>
      <c r="MYA55" s="196"/>
      <c r="MYB55" s="196"/>
      <c r="MYC55" s="196"/>
      <c r="MYD55" s="196"/>
      <c r="MYE55" s="196"/>
      <c r="MYF55" s="196"/>
      <c r="MYG55" s="196"/>
      <c r="MYH55" s="196"/>
      <c r="MYI55" s="196"/>
      <c r="MYJ55" s="196"/>
      <c r="MYK55" s="196"/>
      <c r="MYL55" s="196"/>
      <c r="MYM55" s="196"/>
      <c r="MYN55" s="196"/>
      <c r="MYO55" s="196"/>
      <c r="MYP55" s="196"/>
      <c r="MYQ55" s="196"/>
      <c r="MYR55" s="196"/>
      <c r="MYS55" s="196"/>
      <c r="MYT55" s="196"/>
      <c r="MYU55" s="196"/>
      <c r="MYV55" s="196"/>
      <c r="MYW55" s="196"/>
      <c r="MYX55" s="196"/>
      <c r="MYY55" s="196"/>
      <c r="MYZ55" s="196"/>
      <c r="MZA55" s="196"/>
      <c r="MZB55" s="196"/>
      <c r="MZC55" s="196"/>
      <c r="MZD55" s="196"/>
      <c r="MZE55" s="196"/>
      <c r="MZF55" s="196"/>
      <c r="MZG55" s="196"/>
      <c r="MZH55" s="196"/>
      <c r="MZI55" s="196"/>
      <c r="MZJ55" s="196"/>
      <c r="MZK55" s="196"/>
      <c r="MZL55" s="196"/>
      <c r="MZM55" s="196"/>
      <c r="MZN55" s="196"/>
      <c r="MZO55" s="196"/>
      <c r="MZP55" s="196"/>
      <c r="MZQ55" s="196"/>
      <c r="MZR55" s="196"/>
      <c r="MZS55" s="196"/>
      <c r="MZT55" s="196"/>
      <c r="MZU55" s="196"/>
      <c r="MZV55" s="196"/>
      <c r="MZW55" s="196"/>
      <c r="MZX55" s="196"/>
      <c r="MZY55" s="196"/>
      <c r="MZZ55" s="196"/>
      <c r="NAA55" s="196"/>
      <c r="NAB55" s="196"/>
      <c r="NAC55" s="196"/>
      <c r="NAD55" s="196"/>
      <c r="NAE55" s="196"/>
      <c r="NAF55" s="196"/>
      <c r="NAG55" s="196"/>
      <c r="NAH55" s="196"/>
      <c r="NAI55" s="196"/>
      <c r="NAJ55" s="196"/>
      <c r="NAK55" s="196"/>
      <c r="NAL55" s="196"/>
      <c r="NAM55" s="196"/>
      <c r="NAN55" s="196"/>
      <c r="NAO55" s="196"/>
      <c r="NAP55" s="196"/>
      <c r="NAQ55" s="196"/>
      <c r="NAR55" s="196"/>
      <c r="NAS55" s="196"/>
      <c r="NAT55" s="196"/>
      <c r="NAU55" s="196"/>
      <c r="NAV55" s="196"/>
      <c r="NAW55" s="196"/>
      <c r="NAX55" s="196"/>
      <c r="NAY55" s="196"/>
      <c r="NAZ55" s="196"/>
      <c r="NBA55" s="196"/>
      <c r="NBB55" s="196"/>
      <c r="NBC55" s="196"/>
      <c r="NBD55" s="196"/>
      <c r="NBE55" s="196"/>
      <c r="NBF55" s="196"/>
      <c r="NBG55" s="196"/>
      <c r="NBH55" s="196"/>
      <c r="NBI55" s="196"/>
      <c r="NBJ55" s="196"/>
      <c r="NBK55" s="196"/>
      <c r="NBL55" s="196"/>
      <c r="NBM55" s="196"/>
      <c r="NBN55" s="196"/>
      <c r="NBO55" s="196"/>
      <c r="NBP55" s="196"/>
      <c r="NBQ55" s="196"/>
      <c r="NBR55" s="196"/>
      <c r="NBS55" s="196"/>
      <c r="NBT55" s="196"/>
      <c r="NBU55" s="196"/>
      <c r="NBV55" s="196"/>
      <c r="NBW55" s="196"/>
      <c r="NBX55" s="196"/>
      <c r="NBY55" s="196"/>
      <c r="NBZ55" s="196"/>
      <c r="NCA55" s="196"/>
      <c r="NCB55" s="196"/>
      <c r="NCC55" s="196"/>
      <c r="NCD55" s="196"/>
      <c r="NCE55" s="196"/>
      <c r="NCF55" s="196"/>
      <c r="NCG55" s="196"/>
      <c r="NCH55" s="196"/>
      <c r="NCI55" s="196"/>
      <c r="NCJ55" s="196"/>
      <c r="NCK55" s="196"/>
      <c r="NCL55" s="196"/>
      <c r="NCM55" s="196"/>
      <c r="NCN55" s="196"/>
      <c r="NCO55" s="196"/>
      <c r="NCP55" s="196"/>
      <c r="NCQ55" s="196"/>
      <c r="NCR55" s="196"/>
      <c r="NCS55" s="196"/>
      <c r="NCT55" s="196"/>
      <c r="NCU55" s="196"/>
      <c r="NCV55" s="196"/>
      <c r="NCW55" s="196"/>
      <c r="NCX55" s="196"/>
      <c r="NCY55" s="196"/>
      <c r="NCZ55" s="196"/>
      <c r="NDA55" s="196"/>
      <c r="NDB55" s="196"/>
      <c r="NDC55" s="196"/>
      <c r="NDD55" s="196"/>
      <c r="NDE55" s="196"/>
      <c r="NDF55" s="196"/>
      <c r="NDG55" s="196"/>
      <c r="NDH55" s="196"/>
      <c r="NDI55" s="196"/>
      <c r="NDJ55" s="196"/>
      <c r="NDK55" s="196"/>
      <c r="NDL55" s="196"/>
      <c r="NDM55" s="196"/>
      <c r="NDN55" s="196"/>
      <c r="NDO55" s="196"/>
      <c r="NDP55" s="196"/>
      <c r="NDQ55" s="196"/>
      <c r="NDR55" s="196"/>
      <c r="NDS55" s="196"/>
      <c r="NDT55" s="196"/>
      <c r="NDU55" s="196"/>
      <c r="NDV55" s="196"/>
      <c r="NDW55" s="196"/>
      <c r="NDX55" s="196"/>
      <c r="NDY55" s="196"/>
      <c r="NDZ55" s="196"/>
      <c r="NEA55" s="196"/>
      <c r="NEB55" s="196"/>
      <c r="NEC55" s="196"/>
      <c r="NED55" s="196"/>
      <c r="NEE55" s="196"/>
      <c r="NEF55" s="196"/>
      <c r="NEG55" s="196"/>
      <c r="NEH55" s="196"/>
      <c r="NEI55" s="196"/>
      <c r="NEJ55" s="196"/>
      <c r="NEK55" s="196"/>
      <c r="NEL55" s="196"/>
      <c r="NEM55" s="196"/>
      <c r="NEN55" s="196"/>
      <c r="NEO55" s="196"/>
      <c r="NEP55" s="196"/>
      <c r="NEQ55" s="196"/>
      <c r="NER55" s="196"/>
      <c r="NES55" s="196"/>
      <c r="NET55" s="196"/>
      <c r="NEU55" s="196"/>
      <c r="NEV55" s="196"/>
      <c r="NEW55" s="196"/>
      <c r="NEX55" s="196"/>
      <c r="NEY55" s="196"/>
      <c r="NEZ55" s="196"/>
      <c r="NFA55" s="196"/>
      <c r="NFB55" s="196"/>
      <c r="NFC55" s="196"/>
      <c r="NFD55" s="196"/>
      <c r="NFE55" s="196"/>
      <c r="NFF55" s="196"/>
      <c r="NFG55" s="196"/>
      <c r="NFH55" s="196"/>
      <c r="NFI55" s="196"/>
      <c r="NFJ55" s="196"/>
      <c r="NFK55" s="196"/>
      <c r="NFL55" s="196"/>
      <c r="NFM55" s="196"/>
      <c r="NFN55" s="196"/>
      <c r="NFO55" s="196"/>
      <c r="NFP55" s="196"/>
      <c r="NFQ55" s="196"/>
      <c r="NFR55" s="196"/>
      <c r="NFS55" s="196"/>
      <c r="NFT55" s="196"/>
      <c r="NFU55" s="196"/>
      <c r="NFV55" s="196"/>
      <c r="NFW55" s="196"/>
      <c r="NFX55" s="196"/>
      <c r="NFY55" s="196"/>
      <c r="NFZ55" s="196"/>
      <c r="NGA55" s="196"/>
      <c r="NGB55" s="196"/>
      <c r="NGC55" s="196"/>
      <c r="NGD55" s="196"/>
      <c r="NGE55" s="196"/>
      <c r="NGF55" s="196"/>
      <c r="NGG55" s="196"/>
      <c r="NGH55" s="196"/>
      <c r="NGI55" s="196"/>
      <c r="NGJ55" s="196"/>
      <c r="NGK55" s="196"/>
      <c r="NGL55" s="196"/>
      <c r="NGM55" s="196"/>
      <c r="NGN55" s="196"/>
      <c r="NGO55" s="196"/>
      <c r="NGP55" s="196"/>
      <c r="NGQ55" s="196"/>
      <c r="NGR55" s="196"/>
      <c r="NGS55" s="196"/>
      <c r="NGT55" s="196"/>
      <c r="NGU55" s="196"/>
      <c r="NGV55" s="196"/>
      <c r="NGW55" s="196"/>
      <c r="NGX55" s="196"/>
      <c r="NGY55" s="196"/>
      <c r="NGZ55" s="196"/>
      <c r="NHA55" s="196"/>
      <c r="NHB55" s="196"/>
      <c r="NHC55" s="196"/>
      <c r="NHD55" s="196"/>
      <c r="NHE55" s="196"/>
      <c r="NHF55" s="196"/>
      <c r="NHG55" s="196"/>
      <c r="NHH55" s="196"/>
      <c r="NHI55" s="196"/>
      <c r="NHJ55" s="196"/>
      <c r="NHK55" s="196"/>
      <c r="NHL55" s="196"/>
      <c r="NHM55" s="196"/>
      <c r="NHN55" s="196"/>
      <c r="NHO55" s="196"/>
      <c r="NHP55" s="196"/>
      <c r="NHQ55" s="196"/>
      <c r="NHR55" s="196"/>
      <c r="NHS55" s="196"/>
      <c r="NHT55" s="196"/>
      <c r="NHU55" s="196"/>
      <c r="NHV55" s="196"/>
      <c r="NHW55" s="196"/>
      <c r="NHX55" s="196"/>
      <c r="NHY55" s="196"/>
      <c r="NHZ55" s="196"/>
      <c r="NIA55" s="196"/>
      <c r="NIB55" s="196"/>
      <c r="NIC55" s="196"/>
      <c r="NID55" s="196"/>
      <c r="NIE55" s="196"/>
      <c r="NIF55" s="196"/>
      <c r="NIG55" s="196"/>
      <c r="NIH55" s="196"/>
      <c r="NII55" s="196"/>
      <c r="NIJ55" s="196"/>
      <c r="NIK55" s="196"/>
      <c r="NIL55" s="196"/>
      <c r="NIM55" s="196"/>
      <c r="NIN55" s="196"/>
      <c r="NIO55" s="196"/>
      <c r="NIP55" s="196"/>
      <c r="NIQ55" s="196"/>
      <c r="NIR55" s="196"/>
      <c r="NIS55" s="196"/>
      <c r="NIT55" s="196"/>
      <c r="NIU55" s="196"/>
      <c r="NIV55" s="196"/>
      <c r="NIW55" s="196"/>
      <c r="NIX55" s="196"/>
      <c r="NIY55" s="196"/>
      <c r="NIZ55" s="196"/>
      <c r="NJA55" s="196"/>
      <c r="NJB55" s="196"/>
      <c r="NJC55" s="196"/>
      <c r="NJD55" s="196"/>
      <c r="NJE55" s="196"/>
      <c r="NJF55" s="196"/>
      <c r="NJG55" s="196"/>
      <c r="NJH55" s="196"/>
      <c r="NJI55" s="196"/>
      <c r="NJJ55" s="196"/>
      <c r="NJK55" s="196"/>
      <c r="NJL55" s="196"/>
      <c r="NJM55" s="196"/>
      <c r="NJN55" s="196"/>
      <c r="NJO55" s="196"/>
      <c r="NJP55" s="196"/>
      <c r="NJQ55" s="196"/>
      <c r="NJR55" s="196"/>
      <c r="NJS55" s="196"/>
      <c r="NJT55" s="196"/>
      <c r="NJU55" s="196"/>
      <c r="NJV55" s="196"/>
      <c r="NJW55" s="196"/>
      <c r="NJX55" s="196"/>
      <c r="NJY55" s="196"/>
      <c r="NJZ55" s="196"/>
      <c r="NKA55" s="196"/>
      <c r="NKB55" s="196"/>
      <c r="NKC55" s="196"/>
      <c r="NKD55" s="196"/>
      <c r="NKE55" s="196"/>
      <c r="NKF55" s="196"/>
      <c r="NKG55" s="196"/>
      <c r="NKH55" s="196"/>
      <c r="NKI55" s="196"/>
      <c r="NKJ55" s="196"/>
      <c r="NKK55" s="196"/>
      <c r="NKL55" s="196"/>
      <c r="NKM55" s="196"/>
      <c r="NKN55" s="196"/>
      <c r="NKO55" s="196"/>
      <c r="NKP55" s="196"/>
      <c r="NKQ55" s="196"/>
      <c r="NKR55" s="196"/>
      <c r="NKS55" s="196"/>
      <c r="NKT55" s="196"/>
      <c r="NKU55" s="196"/>
      <c r="NKV55" s="196"/>
      <c r="NKW55" s="196"/>
      <c r="NKX55" s="196"/>
      <c r="NKY55" s="196"/>
      <c r="NKZ55" s="196"/>
      <c r="NLA55" s="196"/>
      <c r="NLB55" s="196"/>
      <c r="NLC55" s="196"/>
      <c r="NLD55" s="196"/>
      <c r="NLE55" s="196"/>
      <c r="NLF55" s="196"/>
      <c r="NLG55" s="196"/>
      <c r="NLH55" s="196"/>
      <c r="NLI55" s="196"/>
      <c r="NLJ55" s="196"/>
      <c r="NLK55" s="196"/>
      <c r="NLL55" s="196"/>
      <c r="NLM55" s="196"/>
      <c r="NLN55" s="196"/>
      <c r="NLO55" s="196"/>
      <c r="NLP55" s="196"/>
      <c r="NLQ55" s="196"/>
      <c r="NLR55" s="196"/>
      <c r="NLS55" s="196"/>
      <c r="NLT55" s="196"/>
      <c r="NLU55" s="196"/>
      <c r="NLV55" s="196"/>
      <c r="NLW55" s="196"/>
      <c r="NLX55" s="196"/>
      <c r="NLY55" s="196"/>
      <c r="NLZ55" s="196"/>
      <c r="NMA55" s="196"/>
      <c r="NMB55" s="196"/>
      <c r="NMC55" s="196"/>
      <c r="NMD55" s="196"/>
      <c r="NME55" s="196"/>
      <c r="NMF55" s="196"/>
      <c r="NMG55" s="196"/>
      <c r="NMH55" s="196"/>
      <c r="NMI55" s="196"/>
      <c r="NMJ55" s="196"/>
      <c r="NMK55" s="196"/>
      <c r="NML55" s="196"/>
      <c r="NMM55" s="196"/>
      <c r="NMN55" s="196"/>
      <c r="NMO55" s="196"/>
      <c r="NMP55" s="196"/>
      <c r="NMQ55" s="196"/>
      <c r="NMR55" s="196"/>
      <c r="NMS55" s="196"/>
      <c r="NMT55" s="196"/>
      <c r="NMU55" s="196"/>
      <c r="NMV55" s="196"/>
      <c r="NMW55" s="196"/>
      <c r="NMX55" s="196"/>
      <c r="NMY55" s="196"/>
      <c r="NMZ55" s="196"/>
      <c r="NNA55" s="196"/>
      <c r="NNB55" s="196"/>
      <c r="NNC55" s="196"/>
      <c r="NND55" s="196"/>
      <c r="NNE55" s="196"/>
      <c r="NNF55" s="196"/>
      <c r="NNG55" s="196"/>
      <c r="NNH55" s="196"/>
      <c r="NNI55" s="196"/>
      <c r="NNJ55" s="196"/>
      <c r="NNK55" s="196"/>
      <c r="NNL55" s="196"/>
      <c r="NNM55" s="196"/>
      <c r="NNN55" s="196"/>
      <c r="NNO55" s="196"/>
      <c r="NNP55" s="196"/>
      <c r="NNQ55" s="196"/>
      <c r="NNR55" s="196"/>
      <c r="NNS55" s="196"/>
      <c r="NNT55" s="196"/>
      <c r="NNU55" s="196"/>
      <c r="NNV55" s="196"/>
      <c r="NNW55" s="196"/>
      <c r="NNX55" s="196"/>
      <c r="NNY55" s="196"/>
      <c r="NNZ55" s="196"/>
      <c r="NOA55" s="196"/>
      <c r="NOB55" s="196"/>
      <c r="NOC55" s="196"/>
      <c r="NOD55" s="196"/>
      <c r="NOE55" s="196"/>
      <c r="NOF55" s="196"/>
      <c r="NOG55" s="196"/>
      <c r="NOH55" s="196"/>
      <c r="NOI55" s="196"/>
      <c r="NOJ55" s="196"/>
      <c r="NOK55" s="196"/>
      <c r="NOL55" s="196"/>
      <c r="NOM55" s="196"/>
      <c r="NON55" s="196"/>
      <c r="NOO55" s="196"/>
      <c r="NOP55" s="196"/>
      <c r="NOQ55" s="196"/>
      <c r="NOR55" s="196"/>
      <c r="NOS55" s="196"/>
      <c r="NOT55" s="196"/>
      <c r="NOU55" s="196"/>
      <c r="NOV55" s="196"/>
      <c r="NOW55" s="196"/>
      <c r="NOX55" s="196"/>
      <c r="NOY55" s="196"/>
      <c r="NOZ55" s="196"/>
      <c r="NPA55" s="196"/>
      <c r="NPB55" s="196"/>
      <c r="NPC55" s="196"/>
      <c r="NPD55" s="196"/>
      <c r="NPE55" s="196"/>
      <c r="NPF55" s="196"/>
      <c r="NPG55" s="196"/>
      <c r="NPH55" s="196"/>
      <c r="NPI55" s="196"/>
      <c r="NPJ55" s="196"/>
      <c r="NPK55" s="196"/>
      <c r="NPL55" s="196"/>
      <c r="NPM55" s="196"/>
      <c r="NPN55" s="196"/>
      <c r="NPO55" s="196"/>
      <c r="NPP55" s="196"/>
      <c r="NPQ55" s="196"/>
      <c r="NPR55" s="196"/>
      <c r="NPS55" s="196"/>
      <c r="NPT55" s="196"/>
      <c r="NPU55" s="196"/>
      <c r="NPV55" s="196"/>
      <c r="NPW55" s="196"/>
      <c r="NPX55" s="196"/>
      <c r="NPY55" s="196"/>
      <c r="NPZ55" s="196"/>
      <c r="NQA55" s="196"/>
      <c r="NQB55" s="196"/>
      <c r="NQC55" s="196"/>
      <c r="NQD55" s="196"/>
      <c r="NQE55" s="196"/>
      <c r="NQF55" s="196"/>
      <c r="NQG55" s="196"/>
      <c r="NQH55" s="196"/>
      <c r="NQI55" s="196"/>
      <c r="NQJ55" s="196"/>
      <c r="NQK55" s="196"/>
      <c r="NQL55" s="196"/>
      <c r="NQM55" s="196"/>
      <c r="NQN55" s="196"/>
      <c r="NQO55" s="196"/>
      <c r="NQP55" s="196"/>
      <c r="NQQ55" s="196"/>
      <c r="NQR55" s="196"/>
      <c r="NQS55" s="196"/>
      <c r="NQT55" s="196"/>
      <c r="NQU55" s="196"/>
      <c r="NQV55" s="196"/>
      <c r="NQW55" s="196"/>
      <c r="NQX55" s="196"/>
      <c r="NQY55" s="196"/>
      <c r="NQZ55" s="196"/>
      <c r="NRA55" s="196"/>
      <c r="NRB55" s="196"/>
      <c r="NRC55" s="196"/>
      <c r="NRD55" s="196"/>
      <c r="NRE55" s="196"/>
      <c r="NRF55" s="196"/>
      <c r="NRG55" s="196"/>
      <c r="NRH55" s="196"/>
      <c r="NRI55" s="196"/>
      <c r="NRJ55" s="196"/>
      <c r="NRK55" s="196"/>
      <c r="NRL55" s="196"/>
      <c r="NRM55" s="196"/>
      <c r="NRN55" s="196"/>
      <c r="NRO55" s="196"/>
      <c r="NRP55" s="196"/>
      <c r="NRQ55" s="196"/>
      <c r="NRR55" s="196"/>
      <c r="NRS55" s="196"/>
      <c r="NRT55" s="196"/>
      <c r="NRU55" s="196"/>
      <c r="NRV55" s="196"/>
      <c r="NRW55" s="196"/>
      <c r="NRX55" s="196"/>
      <c r="NRY55" s="196"/>
      <c r="NRZ55" s="196"/>
      <c r="NSA55" s="196"/>
      <c r="NSB55" s="196"/>
      <c r="NSC55" s="196"/>
      <c r="NSD55" s="196"/>
      <c r="NSE55" s="196"/>
      <c r="NSF55" s="196"/>
      <c r="NSG55" s="196"/>
      <c r="NSH55" s="196"/>
      <c r="NSI55" s="196"/>
      <c r="NSJ55" s="196"/>
      <c r="NSK55" s="196"/>
      <c r="NSL55" s="196"/>
      <c r="NSM55" s="196"/>
      <c r="NSN55" s="196"/>
      <c r="NSO55" s="196"/>
      <c r="NSP55" s="196"/>
      <c r="NSQ55" s="196"/>
      <c r="NSR55" s="196"/>
      <c r="NSS55" s="196"/>
      <c r="NST55" s="196"/>
      <c r="NSU55" s="196"/>
      <c r="NSV55" s="196"/>
      <c r="NSW55" s="196"/>
      <c r="NSX55" s="196"/>
      <c r="NSY55" s="196"/>
      <c r="NSZ55" s="196"/>
      <c r="NTA55" s="196"/>
      <c r="NTB55" s="196"/>
      <c r="NTC55" s="196"/>
      <c r="NTD55" s="196"/>
      <c r="NTE55" s="196"/>
      <c r="NTF55" s="196"/>
      <c r="NTG55" s="196"/>
      <c r="NTH55" s="196"/>
      <c r="NTI55" s="196"/>
      <c r="NTJ55" s="196"/>
      <c r="NTK55" s="196"/>
      <c r="NTL55" s="196"/>
      <c r="NTM55" s="196"/>
      <c r="NTN55" s="196"/>
      <c r="NTO55" s="196"/>
      <c r="NTP55" s="196"/>
      <c r="NTQ55" s="196"/>
      <c r="NTR55" s="196"/>
      <c r="NTS55" s="196"/>
      <c r="NTT55" s="196"/>
      <c r="NTU55" s="196"/>
      <c r="NTV55" s="196"/>
      <c r="NTW55" s="196"/>
      <c r="NTX55" s="196"/>
      <c r="NTY55" s="196"/>
      <c r="NTZ55" s="196"/>
      <c r="NUA55" s="196"/>
      <c r="NUB55" s="196"/>
      <c r="NUC55" s="196"/>
      <c r="NUD55" s="196"/>
      <c r="NUE55" s="196"/>
      <c r="NUF55" s="196"/>
      <c r="NUG55" s="196"/>
      <c r="NUH55" s="196"/>
      <c r="NUI55" s="196"/>
      <c r="NUJ55" s="196"/>
      <c r="NUK55" s="196"/>
      <c r="NUL55" s="196"/>
      <c r="NUM55" s="196"/>
      <c r="NUN55" s="196"/>
      <c r="NUO55" s="196"/>
      <c r="NUP55" s="196"/>
      <c r="NUQ55" s="196"/>
      <c r="NUR55" s="196"/>
      <c r="NUS55" s="196"/>
      <c r="NUT55" s="196"/>
      <c r="NUU55" s="196"/>
      <c r="NUV55" s="196"/>
      <c r="NUW55" s="196"/>
      <c r="NUX55" s="196"/>
      <c r="NUY55" s="196"/>
      <c r="NUZ55" s="196"/>
      <c r="NVA55" s="196"/>
      <c r="NVB55" s="196"/>
      <c r="NVC55" s="196"/>
      <c r="NVD55" s="196"/>
      <c r="NVE55" s="196"/>
      <c r="NVF55" s="196"/>
      <c r="NVG55" s="196"/>
      <c r="NVH55" s="196"/>
      <c r="NVI55" s="196"/>
      <c r="NVJ55" s="196"/>
      <c r="NVK55" s="196"/>
      <c r="NVL55" s="196"/>
      <c r="NVM55" s="196"/>
      <c r="NVN55" s="196"/>
      <c r="NVO55" s="196"/>
      <c r="NVP55" s="196"/>
      <c r="NVQ55" s="196"/>
      <c r="NVR55" s="196"/>
      <c r="NVS55" s="196"/>
      <c r="NVT55" s="196"/>
      <c r="NVU55" s="196"/>
      <c r="NVV55" s="196"/>
      <c r="NVW55" s="196"/>
      <c r="NVX55" s="196"/>
      <c r="NVY55" s="196"/>
      <c r="NVZ55" s="196"/>
      <c r="NWA55" s="196"/>
      <c r="NWB55" s="196"/>
      <c r="NWC55" s="196"/>
      <c r="NWD55" s="196"/>
      <c r="NWE55" s="196"/>
      <c r="NWF55" s="196"/>
      <c r="NWG55" s="196"/>
      <c r="NWH55" s="196"/>
      <c r="NWI55" s="196"/>
      <c r="NWJ55" s="196"/>
      <c r="NWK55" s="196"/>
      <c r="NWL55" s="196"/>
      <c r="NWM55" s="196"/>
      <c r="NWN55" s="196"/>
      <c r="NWO55" s="196"/>
      <c r="NWP55" s="196"/>
      <c r="NWQ55" s="196"/>
      <c r="NWR55" s="196"/>
      <c r="NWS55" s="196"/>
      <c r="NWT55" s="196"/>
      <c r="NWU55" s="196"/>
      <c r="NWV55" s="196"/>
      <c r="NWW55" s="196"/>
      <c r="NWX55" s="196"/>
      <c r="NWY55" s="196"/>
      <c r="NWZ55" s="196"/>
      <c r="NXA55" s="196"/>
      <c r="NXB55" s="196"/>
      <c r="NXC55" s="196"/>
      <c r="NXD55" s="196"/>
      <c r="NXE55" s="196"/>
      <c r="NXF55" s="196"/>
      <c r="NXG55" s="196"/>
      <c r="NXH55" s="196"/>
      <c r="NXI55" s="196"/>
      <c r="NXJ55" s="196"/>
      <c r="NXK55" s="196"/>
      <c r="NXL55" s="196"/>
      <c r="NXM55" s="196"/>
      <c r="NXN55" s="196"/>
      <c r="NXO55" s="196"/>
      <c r="NXP55" s="196"/>
      <c r="NXQ55" s="196"/>
      <c r="NXR55" s="196"/>
      <c r="NXS55" s="196"/>
      <c r="NXT55" s="196"/>
      <c r="NXU55" s="196"/>
      <c r="NXV55" s="196"/>
      <c r="NXW55" s="196"/>
      <c r="NXX55" s="196"/>
      <c r="NXY55" s="196"/>
      <c r="NXZ55" s="196"/>
      <c r="NYA55" s="196"/>
      <c r="NYB55" s="196"/>
      <c r="NYC55" s="196"/>
      <c r="NYD55" s="196"/>
      <c r="NYE55" s="196"/>
      <c r="NYF55" s="196"/>
      <c r="NYG55" s="196"/>
      <c r="NYH55" s="196"/>
      <c r="NYI55" s="196"/>
      <c r="NYJ55" s="196"/>
      <c r="NYK55" s="196"/>
      <c r="NYL55" s="196"/>
      <c r="NYM55" s="196"/>
      <c r="NYN55" s="196"/>
      <c r="NYO55" s="196"/>
      <c r="NYP55" s="196"/>
      <c r="NYQ55" s="196"/>
      <c r="NYR55" s="196"/>
      <c r="NYS55" s="196"/>
      <c r="NYT55" s="196"/>
      <c r="NYU55" s="196"/>
      <c r="NYV55" s="196"/>
      <c r="NYW55" s="196"/>
      <c r="NYX55" s="196"/>
      <c r="NYY55" s="196"/>
      <c r="NYZ55" s="196"/>
      <c r="NZA55" s="196"/>
      <c r="NZB55" s="196"/>
      <c r="NZC55" s="196"/>
      <c r="NZD55" s="196"/>
      <c r="NZE55" s="196"/>
      <c r="NZF55" s="196"/>
      <c r="NZG55" s="196"/>
      <c r="NZH55" s="196"/>
      <c r="NZI55" s="196"/>
      <c r="NZJ55" s="196"/>
      <c r="NZK55" s="196"/>
      <c r="NZL55" s="196"/>
      <c r="NZM55" s="196"/>
      <c r="NZN55" s="196"/>
      <c r="NZO55" s="196"/>
      <c r="NZP55" s="196"/>
      <c r="NZQ55" s="196"/>
      <c r="NZR55" s="196"/>
      <c r="NZS55" s="196"/>
      <c r="NZT55" s="196"/>
      <c r="NZU55" s="196"/>
      <c r="NZV55" s="196"/>
      <c r="NZW55" s="196"/>
      <c r="NZX55" s="196"/>
      <c r="NZY55" s="196"/>
      <c r="NZZ55" s="196"/>
      <c r="OAA55" s="196"/>
      <c r="OAB55" s="196"/>
      <c r="OAC55" s="196"/>
      <c r="OAD55" s="196"/>
      <c r="OAE55" s="196"/>
      <c r="OAF55" s="196"/>
      <c r="OAG55" s="196"/>
      <c r="OAH55" s="196"/>
      <c r="OAI55" s="196"/>
      <c r="OAJ55" s="196"/>
      <c r="OAK55" s="196"/>
      <c r="OAL55" s="196"/>
      <c r="OAM55" s="196"/>
      <c r="OAN55" s="196"/>
      <c r="OAO55" s="196"/>
      <c r="OAP55" s="196"/>
      <c r="OAQ55" s="196"/>
      <c r="OAR55" s="196"/>
      <c r="OAS55" s="196"/>
      <c r="OAT55" s="196"/>
      <c r="OAU55" s="196"/>
      <c r="OAV55" s="196"/>
      <c r="OAW55" s="196"/>
      <c r="OAX55" s="196"/>
      <c r="OAY55" s="196"/>
      <c r="OAZ55" s="196"/>
      <c r="OBA55" s="196"/>
      <c r="OBB55" s="196"/>
      <c r="OBC55" s="196"/>
      <c r="OBD55" s="196"/>
      <c r="OBE55" s="196"/>
      <c r="OBF55" s="196"/>
      <c r="OBG55" s="196"/>
      <c r="OBH55" s="196"/>
      <c r="OBI55" s="196"/>
      <c r="OBJ55" s="196"/>
      <c r="OBK55" s="196"/>
      <c r="OBL55" s="196"/>
      <c r="OBM55" s="196"/>
      <c r="OBN55" s="196"/>
      <c r="OBO55" s="196"/>
      <c r="OBP55" s="196"/>
      <c r="OBQ55" s="196"/>
      <c r="OBR55" s="196"/>
      <c r="OBS55" s="196"/>
      <c r="OBT55" s="196"/>
      <c r="OBU55" s="196"/>
      <c r="OBV55" s="196"/>
      <c r="OBW55" s="196"/>
      <c r="OBX55" s="196"/>
      <c r="OBY55" s="196"/>
      <c r="OBZ55" s="196"/>
      <c r="OCA55" s="196"/>
      <c r="OCB55" s="196"/>
      <c r="OCC55" s="196"/>
      <c r="OCD55" s="196"/>
      <c r="OCE55" s="196"/>
      <c r="OCF55" s="196"/>
      <c r="OCG55" s="196"/>
      <c r="OCH55" s="196"/>
      <c r="OCI55" s="196"/>
      <c r="OCJ55" s="196"/>
      <c r="OCK55" s="196"/>
      <c r="OCL55" s="196"/>
      <c r="OCM55" s="196"/>
      <c r="OCN55" s="196"/>
      <c r="OCO55" s="196"/>
      <c r="OCP55" s="196"/>
      <c r="OCQ55" s="196"/>
      <c r="OCR55" s="196"/>
      <c r="OCS55" s="196"/>
      <c r="OCT55" s="196"/>
      <c r="OCU55" s="196"/>
      <c r="OCV55" s="196"/>
      <c r="OCW55" s="196"/>
      <c r="OCX55" s="196"/>
      <c r="OCY55" s="196"/>
      <c r="OCZ55" s="196"/>
      <c r="ODA55" s="196"/>
      <c r="ODB55" s="196"/>
      <c r="ODC55" s="196"/>
      <c r="ODD55" s="196"/>
      <c r="ODE55" s="196"/>
      <c r="ODF55" s="196"/>
      <c r="ODG55" s="196"/>
      <c r="ODH55" s="196"/>
      <c r="ODI55" s="196"/>
      <c r="ODJ55" s="196"/>
      <c r="ODK55" s="196"/>
      <c r="ODL55" s="196"/>
      <c r="ODM55" s="196"/>
      <c r="ODN55" s="196"/>
      <c r="ODO55" s="196"/>
      <c r="ODP55" s="196"/>
      <c r="ODQ55" s="196"/>
      <c r="ODR55" s="196"/>
      <c r="ODS55" s="196"/>
      <c r="ODT55" s="196"/>
      <c r="ODU55" s="196"/>
      <c r="ODV55" s="196"/>
      <c r="ODW55" s="196"/>
      <c r="ODX55" s="196"/>
      <c r="ODY55" s="196"/>
      <c r="ODZ55" s="196"/>
      <c r="OEA55" s="196"/>
      <c r="OEB55" s="196"/>
      <c r="OEC55" s="196"/>
      <c r="OED55" s="196"/>
      <c r="OEE55" s="196"/>
      <c r="OEF55" s="196"/>
      <c r="OEG55" s="196"/>
      <c r="OEH55" s="196"/>
      <c r="OEI55" s="196"/>
      <c r="OEJ55" s="196"/>
      <c r="OEK55" s="196"/>
      <c r="OEL55" s="196"/>
      <c r="OEM55" s="196"/>
      <c r="OEN55" s="196"/>
      <c r="OEO55" s="196"/>
      <c r="OEP55" s="196"/>
      <c r="OEQ55" s="196"/>
      <c r="OER55" s="196"/>
      <c r="OES55" s="196"/>
      <c r="OET55" s="196"/>
      <c r="OEU55" s="196"/>
      <c r="OEV55" s="196"/>
      <c r="OEW55" s="196"/>
      <c r="OEX55" s="196"/>
      <c r="OEY55" s="196"/>
      <c r="OEZ55" s="196"/>
      <c r="OFA55" s="196"/>
      <c r="OFB55" s="196"/>
      <c r="OFC55" s="196"/>
      <c r="OFD55" s="196"/>
      <c r="OFE55" s="196"/>
      <c r="OFF55" s="196"/>
      <c r="OFG55" s="196"/>
      <c r="OFH55" s="196"/>
      <c r="OFI55" s="196"/>
      <c r="OFJ55" s="196"/>
      <c r="OFK55" s="196"/>
      <c r="OFL55" s="196"/>
      <c r="OFM55" s="196"/>
      <c r="OFN55" s="196"/>
      <c r="OFO55" s="196"/>
      <c r="OFP55" s="196"/>
      <c r="OFQ55" s="196"/>
      <c r="OFR55" s="196"/>
      <c r="OFS55" s="196"/>
      <c r="OFT55" s="196"/>
      <c r="OFU55" s="196"/>
      <c r="OFV55" s="196"/>
      <c r="OFW55" s="196"/>
      <c r="OFX55" s="196"/>
      <c r="OFY55" s="196"/>
      <c r="OFZ55" s="196"/>
      <c r="OGA55" s="196"/>
      <c r="OGB55" s="196"/>
      <c r="OGC55" s="196"/>
      <c r="OGD55" s="196"/>
      <c r="OGE55" s="196"/>
      <c r="OGF55" s="196"/>
      <c r="OGG55" s="196"/>
      <c r="OGH55" s="196"/>
      <c r="OGI55" s="196"/>
      <c r="OGJ55" s="196"/>
      <c r="OGK55" s="196"/>
      <c r="OGL55" s="196"/>
      <c r="OGM55" s="196"/>
      <c r="OGN55" s="196"/>
      <c r="OGO55" s="196"/>
      <c r="OGP55" s="196"/>
      <c r="OGQ55" s="196"/>
      <c r="OGR55" s="196"/>
      <c r="OGS55" s="196"/>
      <c r="OGT55" s="196"/>
      <c r="OGU55" s="196"/>
      <c r="OGV55" s="196"/>
      <c r="OGW55" s="196"/>
      <c r="OGX55" s="196"/>
      <c r="OGY55" s="196"/>
      <c r="OGZ55" s="196"/>
      <c r="OHA55" s="196"/>
      <c r="OHB55" s="196"/>
      <c r="OHC55" s="196"/>
      <c r="OHD55" s="196"/>
      <c r="OHE55" s="196"/>
      <c r="OHF55" s="196"/>
      <c r="OHG55" s="196"/>
      <c r="OHH55" s="196"/>
      <c r="OHI55" s="196"/>
      <c r="OHJ55" s="196"/>
      <c r="OHK55" s="196"/>
      <c r="OHL55" s="196"/>
      <c r="OHM55" s="196"/>
      <c r="OHN55" s="196"/>
      <c r="OHO55" s="196"/>
      <c r="OHP55" s="196"/>
      <c r="OHQ55" s="196"/>
      <c r="OHR55" s="196"/>
      <c r="OHS55" s="196"/>
      <c r="OHT55" s="196"/>
      <c r="OHU55" s="196"/>
      <c r="OHV55" s="196"/>
      <c r="OHW55" s="196"/>
      <c r="OHX55" s="196"/>
      <c r="OHY55" s="196"/>
      <c r="OHZ55" s="196"/>
      <c r="OIA55" s="196"/>
      <c r="OIB55" s="196"/>
      <c r="OIC55" s="196"/>
      <c r="OID55" s="196"/>
      <c r="OIE55" s="196"/>
      <c r="OIF55" s="196"/>
      <c r="OIG55" s="196"/>
      <c r="OIH55" s="196"/>
      <c r="OII55" s="196"/>
      <c r="OIJ55" s="196"/>
      <c r="OIK55" s="196"/>
      <c r="OIL55" s="196"/>
      <c r="OIM55" s="196"/>
      <c r="OIN55" s="196"/>
      <c r="OIO55" s="196"/>
      <c r="OIP55" s="196"/>
      <c r="OIQ55" s="196"/>
      <c r="OIR55" s="196"/>
      <c r="OIS55" s="196"/>
      <c r="OIT55" s="196"/>
      <c r="OIU55" s="196"/>
      <c r="OIV55" s="196"/>
      <c r="OIW55" s="196"/>
      <c r="OIX55" s="196"/>
      <c r="OIY55" s="196"/>
      <c r="OIZ55" s="196"/>
      <c r="OJA55" s="196"/>
      <c r="OJB55" s="196"/>
      <c r="OJC55" s="196"/>
      <c r="OJD55" s="196"/>
      <c r="OJE55" s="196"/>
      <c r="OJF55" s="196"/>
      <c r="OJG55" s="196"/>
      <c r="OJH55" s="196"/>
      <c r="OJI55" s="196"/>
      <c r="OJJ55" s="196"/>
      <c r="OJK55" s="196"/>
      <c r="OJL55" s="196"/>
      <c r="OJM55" s="196"/>
      <c r="OJN55" s="196"/>
      <c r="OJO55" s="196"/>
      <c r="OJP55" s="196"/>
      <c r="OJQ55" s="196"/>
      <c r="OJR55" s="196"/>
      <c r="OJS55" s="196"/>
      <c r="OJT55" s="196"/>
      <c r="OJU55" s="196"/>
      <c r="OJV55" s="196"/>
      <c r="OJW55" s="196"/>
      <c r="OJX55" s="196"/>
      <c r="OJY55" s="196"/>
      <c r="OJZ55" s="196"/>
      <c r="OKA55" s="196"/>
      <c r="OKB55" s="196"/>
      <c r="OKC55" s="196"/>
      <c r="OKD55" s="196"/>
      <c r="OKE55" s="196"/>
      <c r="OKF55" s="196"/>
      <c r="OKG55" s="196"/>
      <c r="OKH55" s="196"/>
      <c r="OKI55" s="196"/>
      <c r="OKJ55" s="196"/>
      <c r="OKK55" s="196"/>
      <c r="OKL55" s="196"/>
      <c r="OKM55" s="196"/>
      <c r="OKN55" s="196"/>
      <c r="OKO55" s="196"/>
      <c r="OKP55" s="196"/>
      <c r="OKQ55" s="196"/>
      <c r="OKR55" s="196"/>
      <c r="OKS55" s="196"/>
      <c r="OKT55" s="196"/>
      <c r="OKU55" s="196"/>
      <c r="OKV55" s="196"/>
      <c r="OKW55" s="196"/>
      <c r="OKX55" s="196"/>
      <c r="OKY55" s="196"/>
      <c r="OKZ55" s="196"/>
      <c r="OLA55" s="196"/>
      <c r="OLB55" s="196"/>
      <c r="OLC55" s="196"/>
      <c r="OLD55" s="196"/>
      <c r="OLE55" s="196"/>
      <c r="OLF55" s="196"/>
      <c r="OLG55" s="196"/>
      <c r="OLH55" s="196"/>
      <c r="OLI55" s="196"/>
      <c r="OLJ55" s="196"/>
      <c r="OLK55" s="196"/>
      <c r="OLL55" s="196"/>
      <c r="OLM55" s="196"/>
      <c r="OLN55" s="196"/>
      <c r="OLO55" s="196"/>
      <c r="OLP55" s="196"/>
      <c r="OLQ55" s="196"/>
      <c r="OLR55" s="196"/>
      <c r="OLS55" s="196"/>
      <c r="OLT55" s="196"/>
      <c r="OLU55" s="196"/>
      <c r="OLV55" s="196"/>
      <c r="OLW55" s="196"/>
      <c r="OLX55" s="196"/>
      <c r="OLY55" s="196"/>
      <c r="OLZ55" s="196"/>
      <c r="OMA55" s="196"/>
      <c r="OMB55" s="196"/>
      <c r="OMC55" s="196"/>
      <c r="OMD55" s="196"/>
      <c r="OME55" s="196"/>
      <c r="OMF55" s="196"/>
      <c r="OMG55" s="196"/>
      <c r="OMH55" s="196"/>
      <c r="OMI55" s="196"/>
      <c r="OMJ55" s="196"/>
      <c r="OMK55" s="196"/>
      <c r="OML55" s="196"/>
      <c r="OMM55" s="196"/>
      <c r="OMN55" s="196"/>
      <c r="OMO55" s="196"/>
      <c r="OMP55" s="196"/>
      <c r="OMQ55" s="196"/>
      <c r="OMR55" s="196"/>
      <c r="OMS55" s="196"/>
      <c r="OMT55" s="196"/>
      <c r="OMU55" s="196"/>
      <c r="OMV55" s="196"/>
      <c r="OMW55" s="196"/>
      <c r="OMX55" s="196"/>
      <c r="OMY55" s="196"/>
      <c r="OMZ55" s="196"/>
      <c r="ONA55" s="196"/>
      <c r="ONB55" s="196"/>
      <c r="ONC55" s="196"/>
      <c r="OND55" s="196"/>
      <c r="ONE55" s="196"/>
      <c r="ONF55" s="196"/>
      <c r="ONG55" s="196"/>
      <c r="ONH55" s="196"/>
      <c r="ONI55" s="196"/>
      <c r="ONJ55" s="196"/>
      <c r="ONK55" s="196"/>
      <c r="ONL55" s="196"/>
      <c r="ONM55" s="196"/>
      <c r="ONN55" s="196"/>
      <c r="ONO55" s="196"/>
      <c r="ONP55" s="196"/>
      <c r="ONQ55" s="196"/>
      <c r="ONR55" s="196"/>
      <c r="ONS55" s="196"/>
      <c r="ONT55" s="196"/>
      <c r="ONU55" s="196"/>
      <c r="ONV55" s="196"/>
      <c r="ONW55" s="196"/>
      <c r="ONX55" s="196"/>
      <c r="ONY55" s="196"/>
      <c r="ONZ55" s="196"/>
      <c r="OOA55" s="196"/>
      <c r="OOB55" s="196"/>
      <c r="OOC55" s="196"/>
      <c r="OOD55" s="196"/>
      <c r="OOE55" s="196"/>
      <c r="OOF55" s="196"/>
      <c r="OOG55" s="196"/>
      <c r="OOH55" s="196"/>
      <c r="OOI55" s="196"/>
      <c r="OOJ55" s="196"/>
      <c r="OOK55" s="196"/>
      <c r="OOL55" s="196"/>
      <c r="OOM55" s="196"/>
      <c r="OON55" s="196"/>
      <c r="OOO55" s="196"/>
      <c r="OOP55" s="196"/>
      <c r="OOQ55" s="196"/>
      <c r="OOR55" s="196"/>
      <c r="OOS55" s="196"/>
      <c r="OOT55" s="196"/>
      <c r="OOU55" s="196"/>
      <c r="OOV55" s="196"/>
      <c r="OOW55" s="196"/>
      <c r="OOX55" s="196"/>
      <c r="OOY55" s="196"/>
      <c r="OOZ55" s="196"/>
      <c r="OPA55" s="196"/>
      <c r="OPB55" s="196"/>
      <c r="OPC55" s="196"/>
      <c r="OPD55" s="196"/>
      <c r="OPE55" s="196"/>
      <c r="OPF55" s="196"/>
      <c r="OPG55" s="196"/>
      <c r="OPH55" s="196"/>
      <c r="OPI55" s="196"/>
      <c r="OPJ55" s="196"/>
      <c r="OPK55" s="196"/>
      <c r="OPL55" s="196"/>
      <c r="OPM55" s="196"/>
      <c r="OPN55" s="196"/>
      <c r="OPO55" s="196"/>
      <c r="OPP55" s="196"/>
      <c r="OPQ55" s="196"/>
      <c r="OPR55" s="196"/>
      <c r="OPS55" s="196"/>
      <c r="OPT55" s="196"/>
      <c r="OPU55" s="196"/>
      <c r="OPV55" s="196"/>
      <c r="OPW55" s="196"/>
      <c r="OPX55" s="196"/>
      <c r="OPY55" s="196"/>
      <c r="OPZ55" s="196"/>
      <c r="OQA55" s="196"/>
      <c r="OQB55" s="196"/>
      <c r="OQC55" s="196"/>
      <c r="OQD55" s="196"/>
      <c r="OQE55" s="196"/>
      <c r="OQF55" s="196"/>
      <c r="OQG55" s="196"/>
      <c r="OQH55" s="196"/>
      <c r="OQI55" s="196"/>
      <c r="OQJ55" s="196"/>
      <c r="OQK55" s="196"/>
      <c r="OQL55" s="196"/>
      <c r="OQM55" s="196"/>
      <c r="OQN55" s="196"/>
      <c r="OQO55" s="196"/>
      <c r="OQP55" s="196"/>
      <c r="OQQ55" s="196"/>
      <c r="OQR55" s="196"/>
      <c r="OQS55" s="196"/>
      <c r="OQT55" s="196"/>
      <c r="OQU55" s="196"/>
      <c r="OQV55" s="196"/>
      <c r="OQW55" s="196"/>
      <c r="OQX55" s="196"/>
      <c r="OQY55" s="196"/>
      <c r="OQZ55" s="196"/>
      <c r="ORA55" s="196"/>
      <c r="ORB55" s="196"/>
      <c r="ORC55" s="196"/>
      <c r="ORD55" s="196"/>
      <c r="ORE55" s="196"/>
      <c r="ORF55" s="196"/>
      <c r="ORG55" s="196"/>
      <c r="ORH55" s="196"/>
      <c r="ORI55" s="196"/>
      <c r="ORJ55" s="196"/>
      <c r="ORK55" s="196"/>
      <c r="ORL55" s="196"/>
      <c r="ORM55" s="196"/>
      <c r="ORN55" s="196"/>
      <c r="ORO55" s="196"/>
      <c r="ORP55" s="196"/>
      <c r="ORQ55" s="196"/>
      <c r="ORR55" s="196"/>
      <c r="ORS55" s="196"/>
      <c r="ORT55" s="196"/>
      <c r="ORU55" s="196"/>
      <c r="ORV55" s="196"/>
      <c r="ORW55" s="196"/>
      <c r="ORX55" s="196"/>
      <c r="ORY55" s="196"/>
      <c r="ORZ55" s="196"/>
      <c r="OSA55" s="196"/>
      <c r="OSB55" s="196"/>
      <c r="OSC55" s="196"/>
      <c r="OSD55" s="196"/>
      <c r="OSE55" s="196"/>
      <c r="OSF55" s="196"/>
      <c r="OSG55" s="196"/>
      <c r="OSH55" s="196"/>
      <c r="OSI55" s="196"/>
      <c r="OSJ55" s="196"/>
      <c r="OSK55" s="196"/>
      <c r="OSL55" s="196"/>
      <c r="OSM55" s="196"/>
      <c r="OSN55" s="196"/>
      <c r="OSO55" s="196"/>
      <c r="OSP55" s="196"/>
      <c r="OSQ55" s="196"/>
      <c r="OSR55" s="196"/>
      <c r="OSS55" s="196"/>
      <c r="OST55" s="196"/>
      <c r="OSU55" s="196"/>
      <c r="OSV55" s="196"/>
      <c r="OSW55" s="196"/>
      <c r="OSX55" s="196"/>
      <c r="OSY55" s="196"/>
      <c r="OSZ55" s="196"/>
      <c r="OTA55" s="196"/>
      <c r="OTB55" s="196"/>
      <c r="OTC55" s="196"/>
      <c r="OTD55" s="196"/>
      <c r="OTE55" s="196"/>
      <c r="OTF55" s="196"/>
      <c r="OTG55" s="196"/>
      <c r="OTH55" s="196"/>
      <c r="OTI55" s="196"/>
      <c r="OTJ55" s="196"/>
      <c r="OTK55" s="196"/>
      <c r="OTL55" s="196"/>
      <c r="OTM55" s="196"/>
      <c r="OTN55" s="196"/>
      <c r="OTO55" s="196"/>
      <c r="OTP55" s="196"/>
      <c r="OTQ55" s="196"/>
      <c r="OTR55" s="196"/>
      <c r="OTS55" s="196"/>
      <c r="OTT55" s="196"/>
      <c r="OTU55" s="196"/>
      <c r="OTV55" s="196"/>
      <c r="OTW55" s="196"/>
      <c r="OTX55" s="196"/>
      <c r="OTY55" s="196"/>
      <c r="OTZ55" s="196"/>
      <c r="OUA55" s="196"/>
      <c r="OUB55" s="196"/>
      <c r="OUC55" s="196"/>
      <c r="OUD55" s="196"/>
      <c r="OUE55" s="196"/>
      <c r="OUF55" s="196"/>
      <c r="OUG55" s="196"/>
      <c r="OUH55" s="196"/>
      <c r="OUI55" s="196"/>
      <c r="OUJ55" s="196"/>
      <c r="OUK55" s="196"/>
      <c r="OUL55" s="196"/>
      <c r="OUM55" s="196"/>
      <c r="OUN55" s="196"/>
      <c r="OUO55" s="196"/>
      <c r="OUP55" s="196"/>
      <c r="OUQ55" s="196"/>
      <c r="OUR55" s="196"/>
      <c r="OUS55" s="196"/>
      <c r="OUT55" s="196"/>
      <c r="OUU55" s="196"/>
      <c r="OUV55" s="196"/>
      <c r="OUW55" s="196"/>
      <c r="OUX55" s="196"/>
      <c r="OUY55" s="196"/>
      <c r="OUZ55" s="196"/>
      <c r="OVA55" s="196"/>
      <c r="OVB55" s="196"/>
      <c r="OVC55" s="196"/>
      <c r="OVD55" s="196"/>
      <c r="OVE55" s="196"/>
      <c r="OVF55" s="196"/>
      <c r="OVG55" s="196"/>
      <c r="OVH55" s="196"/>
      <c r="OVI55" s="196"/>
      <c r="OVJ55" s="196"/>
      <c r="OVK55" s="196"/>
      <c r="OVL55" s="196"/>
      <c r="OVM55" s="196"/>
      <c r="OVN55" s="196"/>
      <c r="OVO55" s="196"/>
      <c r="OVP55" s="196"/>
      <c r="OVQ55" s="196"/>
      <c r="OVR55" s="196"/>
      <c r="OVS55" s="196"/>
      <c r="OVT55" s="196"/>
      <c r="OVU55" s="196"/>
      <c r="OVV55" s="196"/>
      <c r="OVW55" s="196"/>
      <c r="OVX55" s="196"/>
      <c r="OVY55" s="196"/>
      <c r="OVZ55" s="196"/>
      <c r="OWA55" s="196"/>
      <c r="OWB55" s="196"/>
      <c r="OWC55" s="196"/>
      <c r="OWD55" s="196"/>
      <c r="OWE55" s="196"/>
      <c r="OWF55" s="196"/>
      <c r="OWG55" s="196"/>
      <c r="OWH55" s="196"/>
      <c r="OWI55" s="196"/>
      <c r="OWJ55" s="196"/>
      <c r="OWK55" s="196"/>
      <c r="OWL55" s="196"/>
      <c r="OWM55" s="196"/>
      <c r="OWN55" s="196"/>
      <c r="OWO55" s="196"/>
      <c r="OWP55" s="196"/>
      <c r="OWQ55" s="196"/>
      <c r="OWR55" s="196"/>
      <c r="OWS55" s="196"/>
      <c r="OWT55" s="196"/>
      <c r="OWU55" s="196"/>
      <c r="OWV55" s="196"/>
      <c r="OWW55" s="196"/>
      <c r="OWX55" s="196"/>
      <c r="OWY55" s="196"/>
      <c r="OWZ55" s="196"/>
      <c r="OXA55" s="196"/>
      <c r="OXB55" s="196"/>
      <c r="OXC55" s="196"/>
      <c r="OXD55" s="196"/>
      <c r="OXE55" s="196"/>
      <c r="OXF55" s="196"/>
      <c r="OXG55" s="196"/>
      <c r="OXH55" s="196"/>
      <c r="OXI55" s="196"/>
      <c r="OXJ55" s="196"/>
      <c r="OXK55" s="196"/>
      <c r="OXL55" s="196"/>
      <c r="OXM55" s="196"/>
      <c r="OXN55" s="196"/>
      <c r="OXO55" s="196"/>
      <c r="OXP55" s="196"/>
      <c r="OXQ55" s="196"/>
      <c r="OXR55" s="196"/>
      <c r="OXS55" s="196"/>
      <c r="OXT55" s="196"/>
      <c r="OXU55" s="196"/>
      <c r="OXV55" s="196"/>
      <c r="OXW55" s="196"/>
      <c r="OXX55" s="196"/>
      <c r="OXY55" s="196"/>
      <c r="OXZ55" s="196"/>
      <c r="OYA55" s="196"/>
      <c r="OYB55" s="196"/>
      <c r="OYC55" s="196"/>
      <c r="OYD55" s="196"/>
      <c r="OYE55" s="196"/>
      <c r="OYF55" s="196"/>
      <c r="OYG55" s="196"/>
      <c r="OYH55" s="196"/>
      <c r="OYI55" s="196"/>
      <c r="OYJ55" s="196"/>
      <c r="OYK55" s="196"/>
      <c r="OYL55" s="196"/>
      <c r="OYM55" s="196"/>
      <c r="OYN55" s="196"/>
      <c r="OYO55" s="196"/>
      <c r="OYP55" s="196"/>
      <c r="OYQ55" s="196"/>
      <c r="OYR55" s="196"/>
      <c r="OYS55" s="196"/>
      <c r="OYT55" s="196"/>
      <c r="OYU55" s="196"/>
      <c r="OYV55" s="196"/>
      <c r="OYW55" s="196"/>
      <c r="OYX55" s="196"/>
      <c r="OYY55" s="196"/>
      <c r="OYZ55" s="196"/>
      <c r="OZA55" s="196"/>
      <c r="OZB55" s="196"/>
      <c r="OZC55" s="196"/>
      <c r="OZD55" s="196"/>
      <c r="OZE55" s="196"/>
      <c r="OZF55" s="196"/>
      <c r="OZG55" s="196"/>
      <c r="OZH55" s="196"/>
      <c r="OZI55" s="196"/>
      <c r="OZJ55" s="196"/>
      <c r="OZK55" s="196"/>
      <c r="OZL55" s="196"/>
      <c r="OZM55" s="196"/>
      <c r="OZN55" s="196"/>
      <c r="OZO55" s="196"/>
      <c r="OZP55" s="196"/>
      <c r="OZQ55" s="196"/>
      <c r="OZR55" s="196"/>
      <c r="OZS55" s="196"/>
      <c r="OZT55" s="196"/>
      <c r="OZU55" s="196"/>
      <c r="OZV55" s="196"/>
      <c r="OZW55" s="196"/>
      <c r="OZX55" s="196"/>
      <c r="OZY55" s="196"/>
      <c r="OZZ55" s="196"/>
      <c r="PAA55" s="196"/>
      <c r="PAB55" s="196"/>
      <c r="PAC55" s="196"/>
      <c r="PAD55" s="196"/>
      <c r="PAE55" s="196"/>
      <c r="PAF55" s="196"/>
      <c r="PAG55" s="196"/>
      <c r="PAH55" s="196"/>
      <c r="PAI55" s="196"/>
      <c r="PAJ55" s="196"/>
      <c r="PAK55" s="196"/>
      <c r="PAL55" s="196"/>
      <c r="PAM55" s="196"/>
      <c r="PAN55" s="196"/>
      <c r="PAO55" s="196"/>
      <c r="PAP55" s="196"/>
      <c r="PAQ55" s="196"/>
      <c r="PAR55" s="196"/>
      <c r="PAS55" s="196"/>
      <c r="PAT55" s="196"/>
      <c r="PAU55" s="196"/>
      <c r="PAV55" s="196"/>
      <c r="PAW55" s="196"/>
      <c r="PAX55" s="196"/>
      <c r="PAY55" s="196"/>
      <c r="PAZ55" s="196"/>
      <c r="PBA55" s="196"/>
      <c r="PBB55" s="196"/>
      <c r="PBC55" s="196"/>
      <c r="PBD55" s="196"/>
      <c r="PBE55" s="196"/>
      <c r="PBF55" s="196"/>
      <c r="PBG55" s="196"/>
      <c r="PBH55" s="196"/>
      <c r="PBI55" s="196"/>
      <c r="PBJ55" s="196"/>
      <c r="PBK55" s="196"/>
      <c r="PBL55" s="196"/>
      <c r="PBM55" s="196"/>
      <c r="PBN55" s="196"/>
      <c r="PBO55" s="196"/>
      <c r="PBP55" s="196"/>
      <c r="PBQ55" s="196"/>
      <c r="PBR55" s="196"/>
      <c r="PBS55" s="196"/>
      <c r="PBT55" s="196"/>
      <c r="PBU55" s="196"/>
      <c r="PBV55" s="196"/>
      <c r="PBW55" s="196"/>
      <c r="PBX55" s="196"/>
      <c r="PBY55" s="196"/>
      <c r="PBZ55" s="196"/>
      <c r="PCA55" s="196"/>
      <c r="PCB55" s="196"/>
      <c r="PCC55" s="196"/>
      <c r="PCD55" s="196"/>
      <c r="PCE55" s="196"/>
      <c r="PCF55" s="196"/>
      <c r="PCG55" s="196"/>
      <c r="PCH55" s="196"/>
      <c r="PCI55" s="196"/>
      <c r="PCJ55" s="196"/>
      <c r="PCK55" s="196"/>
      <c r="PCL55" s="196"/>
      <c r="PCM55" s="196"/>
      <c r="PCN55" s="196"/>
      <c r="PCO55" s="196"/>
      <c r="PCP55" s="196"/>
      <c r="PCQ55" s="196"/>
      <c r="PCR55" s="196"/>
      <c r="PCS55" s="196"/>
      <c r="PCT55" s="196"/>
      <c r="PCU55" s="196"/>
      <c r="PCV55" s="196"/>
      <c r="PCW55" s="196"/>
      <c r="PCX55" s="196"/>
      <c r="PCY55" s="196"/>
      <c r="PCZ55" s="196"/>
      <c r="PDA55" s="196"/>
      <c r="PDB55" s="196"/>
      <c r="PDC55" s="196"/>
      <c r="PDD55" s="196"/>
      <c r="PDE55" s="196"/>
      <c r="PDF55" s="196"/>
      <c r="PDG55" s="196"/>
      <c r="PDH55" s="196"/>
      <c r="PDI55" s="196"/>
      <c r="PDJ55" s="196"/>
      <c r="PDK55" s="196"/>
      <c r="PDL55" s="196"/>
      <c r="PDM55" s="196"/>
      <c r="PDN55" s="196"/>
      <c r="PDO55" s="196"/>
      <c r="PDP55" s="196"/>
      <c r="PDQ55" s="196"/>
      <c r="PDR55" s="196"/>
      <c r="PDS55" s="196"/>
      <c r="PDT55" s="196"/>
      <c r="PDU55" s="196"/>
      <c r="PDV55" s="196"/>
      <c r="PDW55" s="196"/>
      <c r="PDX55" s="196"/>
      <c r="PDY55" s="196"/>
      <c r="PDZ55" s="196"/>
      <c r="PEA55" s="196"/>
      <c r="PEB55" s="196"/>
      <c r="PEC55" s="196"/>
      <c r="PED55" s="196"/>
      <c r="PEE55" s="196"/>
      <c r="PEF55" s="196"/>
      <c r="PEG55" s="196"/>
      <c r="PEH55" s="196"/>
      <c r="PEI55" s="196"/>
      <c r="PEJ55" s="196"/>
      <c r="PEK55" s="196"/>
      <c r="PEL55" s="196"/>
      <c r="PEM55" s="196"/>
      <c r="PEN55" s="196"/>
      <c r="PEO55" s="196"/>
      <c r="PEP55" s="196"/>
      <c r="PEQ55" s="196"/>
      <c r="PER55" s="196"/>
      <c r="PES55" s="196"/>
      <c r="PET55" s="196"/>
      <c r="PEU55" s="196"/>
      <c r="PEV55" s="196"/>
      <c r="PEW55" s="196"/>
      <c r="PEX55" s="196"/>
      <c r="PEY55" s="196"/>
      <c r="PEZ55" s="196"/>
      <c r="PFA55" s="196"/>
      <c r="PFB55" s="196"/>
      <c r="PFC55" s="196"/>
      <c r="PFD55" s="196"/>
      <c r="PFE55" s="196"/>
      <c r="PFF55" s="196"/>
      <c r="PFG55" s="196"/>
      <c r="PFH55" s="196"/>
      <c r="PFI55" s="196"/>
      <c r="PFJ55" s="196"/>
      <c r="PFK55" s="196"/>
      <c r="PFL55" s="196"/>
      <c r="PFM55" s="196"/>
      <c r="PFN55" s="196"/>
      <c r="PFO55" s="196"/>
      <c r="PFP55" s="196"/>
      <c r="PFQ55" s="196"/>
      <c r="PFR55" s="196"/>
      <c r="PFS55" s="196"/>
      <c r="PFT55" s="196"/>
      <c r="PFU55" s="196"/>
      <c r="PFV55" s="196"/>
      <c r="PFW55" s="196"/>
      <c r="PFX55" s="196"/>
      <c r="PFY55" s="196"/>
      <c r="PFZ55" s="196"/>
      <c r="PGA55" s="196"/>
      <c r="PGB55" s="196"/>
      <c r="PGC55" s="196"/>
      <c r="PGD55" s="196"/>
      <c r="PGE55" s="196"/>
      <c r="PGF55" s="196"/>
      <c r="PGG55" s="196"/>
      <c r="PGH55" s="196"/>
      <c r="PGI55" s="196"/>
      <c r="PGJ55" s="196"/>
      <c r="PGK55" s="196"/>
      <c r="PGL55" s="196"/>
      <c r="PGM55" s="196"/>
      <c r="PGN55" s="196"/>
      <c r="PGO55" s="196"/>
      <c r="PGP55" s="196"/>
      <c r="PGQ55" s="196"/>
      <c r="PGR55" s="196"/>
      <c r="PGS55" s="196"/>
      <c r="PGT55" s="196"/>
      <c r="PGU55" s="196"/>
      <c r="PGV55" s="196"/>
      <c r="PGW55" s="196"/>
      <c r="PGX55" s="196"/>
      <c r="PGY55" s="196"/>
      <c r="PGZ55" s="196"/>
      <c r="PHA55" s="196"/>
      <c r="PHB55" s="196"/>
      <c r="PHC55" s="196"/>
      <c r="PHD55" s="196"/>
      <c r="PHE55" s="196"/>
      <c r="PHF55" s="196"/>
      <c r="PHG55" s="196"/>
      <c r="PHH55" s="196"/>
      <c r="PHI55" s="196"/>
      <c r="PHJ55" s="196"/>
      <c r="PHK55" s="196"/>
      <c r="PHL55" s="196"/>
      <c r="PHM55" s="196"/>
      <c r="PHN55" s="196"/>
      <c r="PHO55" s="196"/>
      <c r="PHP55" s="196"/>
      <c r="PHQ55" s="196"/>
      <c r="PHR55" s="196"/>
      <c r="PHS55" s="196"/>
      <c r="PHT55" s="196"/>
      <c r="PHU55" s="196"/>
      <c r="PHV55" s="196"/>
      <c r="PHW55" s="196"/>
      <c r="PHX55" s="196"/>
      <c r="PHY55" s="196"/>
      <c r="PHZ55" s="196"/>
      <c r="PIA55" s="196"/>
      <c r="PIB55" s="196"/>
      <c r="PIC55" s="196"/>
      <c r="PID55" s="196"/>
      <c r="PIE55" s="196"/>
      <c r="PIF55" s="196"/>
      <c r="PIG55" s="196"/>
      <c r="PIH55" s="196"/>
      <c r="PII55" s="196"/>
      <c r="PIJ55" s="196"/>
      <c r="PIK55" s="196"/>
      <c r="PIL55" s="196"/>
      <c r="PIM55" s="196"/>
      <c r="PIN55" s="196"/>
      <c r="PIO55" s="196"/>
      <c r="PIP55" s="196"/>
      <c r="PIQ55" s="196"/>
      <c r="PIR55" s="196"/>
      <c r="PIS55" s="196"/>
      <c r="PIT55" s="196"/>
      <c r="PIU55" s="196"/>
      <c r="PIV55" s="196"/>
      <c r="PIW55" s="196"/>
      <c r="PIX55" s="196"/>
      <c r="PIY55" s="196"/>
      <c r="PIZ55" s="196"/>
      <c r="PJA55" s="196"/>
      <c r="PJB55" s="196"/>
      <c r="PJC55" s="196"/>
      <c r="PJD55" s="196"/>
      <c r="PJE55" s="196"/>
      <c r="PJF55" s="196"/>
      <c r="PJG55" s="196"/>
      <c r="PJH55" s="196"/>
      <c r="PJI55" s="196"/>
      <c r="PJJ55" s="196"/>
      <c r="PJK55" s="196"/>
      <c r="PJL55" s="196"/>
      <c r="PJM55" s="196"/>
      <c r="PJN55" s="196"/>
      <c r="PJO55" s="196"/>
      <c r="PJP55" s="196"/>
      <c r="PJQ55" s="196"/>
      <c r="PJR55" s="196"/>
      <c r="PJS55" s="196"/>
      <c r="PJT55" s="196"/>
      <c r="PJU55" s="196"/>
      <c r="PJV55" s="196"/>
      <c r="PJW55" s="196"/>
      <c r="PJX55" s="196"/>
      <c r="PJY55" s="196"/>
      <c r="PJZ55" s="196"/>
      <c r="PKA55" s="196"/>
      <c r="PKB55" s="196"/>
      <c r="PKC55" s="196"/>
      <c r="PKD55" s="196"/>
      <c r="PKE55" s="196"/>
      <c r="PKF55" s="196"/>
      <c r="PKG55" s="196"/>
      <c r="PKH55" s="196"/>
      <c r="PKI55" s="196"/>
      <c r="PKJ55" s="196"/>
      <c r="PKK55" s="196"/>
      <c r="PKL55" s="196"/>
      <c r="PKM55" s="196"/>
      <c r="PKN55" s="196"/>
      <c r="PKO55" s="196"/>
      <c r="PKP55" s="196"/>
      <c r="PKQ55" s="196"/>
      <c r="PKR55" s="196"/>
      <c r="PKS55" s="196"/>
      <c r="PKT55" s="196"/>
      <c r="PKU55" s="196"/>
      <c r="PKV55" s="196"/>
      <c r="PKW55" s="196"/>
      <c r="PKX55" s="196"/>
      <c r="PKY55" s="196"/>
      <c r="PKZ55" s="196"/>
      <c r="PLA55" s="196"/>
      <c r="PLB55" s="196"/>
      <c r="PLC55" s="196"/>
      <c r="PLD55" s="196"/>
      <c r="PLE55" s="196"/>
      <c r="PLF55" s="196"/>
      <c r="PLG55" s="196"/>
      <c r="PLH55" s="196"/>
      <c r="PLI55" s="196"/>
      <c r="PLJ55" s="196"/>
      <c r="PLK55" s="196"/>
      <c r="PLL55" s="196"/>
      <c r="PLM55" s="196"/>
      <c r="PLN55" s="196"/>
      <c r="PLO55" s="196"/>
      <c r="PLP55" s="196"/>
      <c r="PLQ55" s="196"/>
      <c r="PLR55" s="196"/>
      <c r="PLS55" s="196"/>
      <c r="PLT55" s="196"/>
      <c r="PLU55" s="196"/>
      <c r="PLV55" s="196"/>
      <c r="PLW55" s="196"/>
      <c r="PLX55" s="196"/>
      <c r="PLY55" s="196"/>
      <c r="PLZ55" s="196"/>
      <c r="PMA55" s="196"/>
      <c r="PMB55" s="196"/>
      <c r="PMC55" s="196"/>
      <c r="PMD55" s="196"/>
      <c r="PME55" s="196"/>
      <c r="PMF55" s="196"/>
      <c r="PMG55" s="196"/>
      <c r="PMH55" s="196"/>
      <c r="PMI55" s="196"/>
      <c r="PMJ55" s="196"/>
      <c r="PMK55" s="196"/>
      <c r="PML55" s="196"/>
      <c r="PMM55" s="196"/>
      <c r="PMN55" s="196"/>
      <c r="PMO55" s="196"/>
      <c r="PMP55" s="196"/>
      <c r="PMQ55" s="196"/>
      <c r="PMR55" s="196"/>
      <c r="PMS55" s="196"/>
      <c r="PMT55" s="196"/>
      <c r="PMU55" s="196"/>
      <c r="PMV55" s="196"/>
      <c r="PMW55" s="196"/>
      <c r="PMX55" s="196"/>
      <c r="PMY55" s="196"/>
      <c r="PMZ55" s="196"/>
      <c r="PNA55" s="196"/>
      <c r="PNB55" s="196"/>
      <c r="PNC55" s="196"/>
      <c r="PND55" s="196"/>
      <c r="PNE55" s="196"/>
      <c r="PNF55" s="196"/>
      <c r="PNG55" s="196"/>
      <c r="PNH55" s="196"/>
      <c r="PNI55" s="196"/>
      <c r="PNJ55" s="196"/>
      <c r="PNK55" s="196"/>
      <c r="PNL55" s="196"/>
      <c r="PNM55" s="196"/>
      <c r="PNN55" s="196"/>
      <c r="PNO55" s="196"/>
      <c r="PNP55" s="196"/>
      <c r="PNQ55" s="196"/>
      <c r="PNR55" s="196"/>
      <c r="PNS55" s="196"/>
      <c r="PNT55" s="196"/>
      <c r="PNU55" s="196"/>
      <c r="PNV55" s="196"/>
      <c r="PNW55" s="196"/>
      <c r="PNX55" s="196"/>
      <c r="PNY55" s="196"/>
      <c r="PNZ55" s="196"/>
      <c r="POA55" s="196"/>
      <c r="POB55" s="196"/>
      <c r="POC55" s="196"/>
      <c r="POD55" s="196"/>
      <c r="POE55" s="196"/>
      <c r="POF55" s="196"/>
      <c r="POG55" s="196"/>
      <c r="POH55" s="196"/>
      <c r="POI55" s="196"/>
      <c r="POJ55" s="196"/>
      <c r="POK55" s="196"/>
      <c r="POL55" s="196"/>
      <c r="POM55" s="196"/>
      <c r="PON55" s="196"/>
      <c r="POO55" s="196"/>
      <c r="POP55" s="196"/>
      <c r="POQ55" s="196"/>
      <c r="POR55" s="196"/>
      <c r="POS55" s="196"/>
      <c r="POT55" s="196"/>
      <c r="POU55" s="196"/>
      <c r="POV55" s="196"/>
      <c r="POW55" s="196"/>
      <c r="POX55" s="196"/>
      <c r="POY55" s="196"/>
      <c r="POZ55" s="196"/>
      <c r="PPA55" s="196"/>
      <c r="PPB55" s="196"/>
      <c r="PPC55" s="196"/>
      <c r="PPD55" s="196"/>
      <c r="PPE55" s="196"/>
      <c r="PPF55" s="196"/>
      <c r="PPG55" s="196"/>
      <c r="PPH55" s="196"/>
      <c r="PPI55" s="196"/>
      <c r="PPJ55" s="196"/>
      <c r="PPK55" s="196"/>
      <c r="PPL55" s="196"/>
      <c r="PPM55" s="196"/>
      <c r="PPN55" s="196"/>
      <c r="PPO55" s="196"/>
      <c r="PPP55" s="196"/>
      <c r="PPQ55" s="196"/>
      <c r="PPR55" s="196"/>
      <c r="PPS55" s="196"/>
      <c r="PPT55" s="196"/>
      <c r="PPU55" s="196"/>
      <c r="PPV55" s="196"/>
      <c r="PPW55" s="196"/>
      <c r="PPX55" s="196"/>
      <c r="PPY55" s="196"/>
      <c r="PPZ55" s="196"/>
      <c r="PQA55" s="196"/>
      <c r="PQB55" s="196"/>
      <c r="PQC55" s="196"/>
      <c r="PQD55" s="196"/>
      <c r="PQE55" s="196"/>
      <c r="PQF55" s="196"/>
      <c r="PQG55" s="196"/>
      <c r="PQH55" s="196"/>
      <c r="PQI55" s="196"/>
      <c r="PQJ55" s="196"/>
      <c r="PQK55" s="196"/>
      <c r="PQL55" s="196"/>
      <c r="PQM55" s="196"/>
      <c r="PQN55" s="196"/>
      <c r="PQO55" s="196"/>
      <c r="PQP55" s="196"/>
      <c r="PQQ55" s="196"/>
      <c r="PQR55" s="196"/>
      <c r="PQS55" s="196"/>
      <c r="PQT55" s="196"/>
      <c r="PQU55" s="196"/>
      <c r="PQV55" s="196"/>
      <c r="PQW55" s="196"/>
      <c r="PQX55" s="196"/>
      <c r="PQY55" s="196"/>
      <c r="PQZ55" s="196"/>
      <c r="PRA55" s="196"/>
      <c r="PRB55" s="196"/>
      <c r="PRC55" s="196"/>
      <c r="PRD55" s="196"/>
      <c r="PRE55" s="196"/>
      <c r="PRF55" s="196"/>
      <c r="PRG55" s="196"/>
      <c r="PRH55" s="196"/>
      <c r="PRI55" s="196"/>
      <c r="PRJ55" s="196"/>
      <c r="PRK55" s="196"/>
      <c r="PRL55" s="196"/>
      <c r="PRM55" s="196"/>
      <c r="PRN55" s="196"/>
      <c r="PRO55" s="196"/>
      <c r="PRP55" s="196"/>
      <c r="PRQ55" s="196"/>
      <c r="PRR55" s="196"/>
      <c r="PRS55" s="196"/>
      <c r="PRT55" s="196"/>
      <c r="PRU55" s="196"/>
      <c r="PRV55" s="196"/>
      <c r="PRW55" s="196"/>
      <c r="PRX55" s="196"/>
      <c r="PRY55" s="196"/>
      <c r="PRZ55" s="196"/>
      <c r="PSA55" s="196"/>
      <c r="PSB55" s="196"/>
      <c r="PSC55" s="196"/>
      <c r="PSD55" s="196"/>
      <c r="PSE55" s="196"/>
      <c r="PSF55" s="196"/>
      <c r="PSG55" s="196"/>
      <c r="PSH55" s="196"/>
      <c r="PSI55" s="196"/>
      <c r="PSJ55" s="196"/>
      <c r="PSK55" s="196"/>
      <c r="PSL55" s="196"/>
      <c r="PSM55" s="196"/>
      <c r="PSN55" s="196"/>
      <c r="PSO55" s="196"/>
      <c r="PSP55" s="196"/>
      <c r="PSQ55" s="196"/>
      <c r="PSR55" s="196"/>
      <c r="PSS55" s="196"/>
      <c r="PST55" s="196"/>
      <c r="PSU55" s="196"/>
      <c r="PSV55" s="196"/>
      <c r="PSW55" s="196"/>
      <c r="PSX55" s="196"/>
      <c r="PSY55" s="196"/>
      <c r="PSZ55" s="196"/>
      <c r="PTA55" s="196"/>
      <c r="PTB55" s="196"/>
      <c r="PTC55" s="196"/>
      <c r="PTD55" s="196"/>
      <c r="PTE55" s="196"/>
      <c r="PTF55" s="196"/>
      <c r="PTG55" s="196"/>
      <c r="PTH55" s="196"/>
      <c r="PTI55" s="196"/>
      <c r="PTJ55" s="196"/>
      <c r="PTK55" s="196"/>
      <c r="PTL55" s="196"/>
      <c r="PTM55" s="196"/>
      <c r="PTN55" s="196"/>
      <c r="PTO55" s="196"/>
      <c r="PTP55" s="196"/>
      <c r="PTQ55" s="196"/>
      <c r="PTR55" s="196"/>
      <c r="PTS55" s="196"/>
      <c r="PTT55" s="196"/>
      <c r="PTU55" s="196"/>
      <c r="PTV55" s="196"/>
      <c r="PTW55" s="196"/>
      <c r="PTX55" s="196"/>
      <c r="PTY55" s="196"/>
      <c r="PTZ55" s="196"/>
      <c r="PUA55" s="196"/>
      <c r="PUB55" s="196"/>
      <c r="PUC55" s="196"/>
      <c r="PUD55" s="196"/>
      <c r="PUE55" s="196"/>
      <c r="PUF55" s="196"/>
      <c r="PUG55" s="196"/>
      <c r="PUH55" s="196"/>
      <c r="PUI55" s="196"/>
      <c r="PUJ55" s="196"/>
      <c r="PUK55" s="196"/>
      <c r="PUL55" s="196"/>
      <c r="PUM55" s="196"/>
      <c r="PUN55" s="196"/>
      <c r="PUO55" s="196"/>
      <c r="PUP55" s="196"/>
      <c r="PUQ55" s="196"/>
      <c r="PUR55" s="196"/>
      <c r="PUS55" s="196"/>
      <c r="PUT55" s="196"/>
      <c r="PUU55" s="196"/>
      <c r="PUV55" s="196"/>
      <c r="PUW55" s="196"/>
      <c r="PUX55" s="196"/>
      <c r="PUY55" s="196"/>
      <c r="PUZ55" s="196"/>
      <c r="PVA55" s="196"/>
      <c r="PVB55" s="196"/>
      <c r="PVC55" s="196"/>
      <c r="PVD55" s="196"/>
      <c r="PVE55" s="196"/>
      <c r="PVF55" s="196"/>
      <c r="PVG55" s="196"/>
      <c r="PVH55" s="196"/>
      <c r="PVI55" s="196"/>
      <c r="PVJ55" s="196"/>
      <c r="PVK55" s="196"/>
      <c r="PVL55" s="196"/>
      <c r="PVM55" s="196"/>
      <c r="PVN55" s="196"/>
      <c r="PVO55" s="196"/>
      <c r="PVP55" s="196"/>
      <c r="PVQ55" s="196"/>
      <c r="PVR55" s="196"/>
      <c r="PVS55" s="196"/>
      <c r="PVT55" s="196"/>
      <c r="PVU55" s="196"/>
      <c r="PVV55" s="196"/>
      <c r="PVW55" s="196"/>
      <c r="PVX55" s="196"/>
      <c r="PVY55" s="196"/>
      <c r="PVZ55" s="196"/>
      <c r="PWA55" s="196"/>
      <c r="PWB55" s="196"/>
      <c r="PWC55" s="196"/>
      <c r="PWD55" s="196"/>
      <c r="PWE55" s="196"/>
      <c r="PWF55" s="196"/>
      <c r="PWG55" s="196"/>
      <c r="PWH55" s="196"/>
      <c r="PWI55" s="196"/>
      <c r="PWJ55" s="196"/>
      <c r="PWK55" s="196"/>
      <c r="PWL55" s="196"/>
      <c r="PWM55" s="196"/>
      <c r="PWN55" s="196"/>
      <c r="PWO55" s="196"/>
      <c r="PWP55" s="196"/>
      <c r="PWQ55" s="196"/>
      <c r="PWR55" s="196"/>
      <c r="PWS55" s="196"/>
      <c r="PWT55" s="196"/>
      <c r="PWU55" s="196"/>
      <c r="PWV55" s="196"/>
      <c r="PWW55" s="196"/>
      <c r="PWX55" s="196"/>
      <c r="PWY55" s="196"/>
      <c r="PWZ55" s="196"/>
      <c r="PXA55" s="196"/>
      <c r="PXB55" s="196"/>
      <c r="PXC55" s="196"/>
      <c r="PXD55" s="196"/>
      <c r="PXE55" s="196"/>
      <c r="PXF55" s="196"/>
      <c r="PXG55" s="196"/>
      <c r="PXH55" s="196"/>
      <c r="PXI55" s="196"/>
      <c r="PXJ55" s="196"/>
      <c r="PXK55" s="196"/>
      <c r="PXL55" s="196"/>
      <c r="PXM55" s="196"/>
      <c r="PXN55" s="196"/>
      <c r="PXO55" s="196"/>
      <c r="PXP55" s="196"/>
      <c r="PXQ55" s="196"/>
      <c r="PXR55" s="196"/>
      <c r="PXS55" s="196"/>
      <c r="PXT55" s="196"/>
      <c r="PXU55" s="196"/>
      <c r="PXV55" s="196"/>
      <c r="PXW55" s="196"/>
      <c r="PXX55" s="196"/>
      <c r="PXY55" s="196"/>
      <c r="PXZ55" s="196"/>
      <c r="PYA55" s="196"/>
      <c r="PYB55" s="196"/>
      <c r="PYC55" s="196"/>
      <c r="PYD55" s="196"/>
      <c r="PYE55" s="196"/>
      <c r="PYF55" s="196"/>
      <c r="PYG55" s="196"/>
      <c r="PYH55" s="196"/>
      <c r="PYI55" s="196"/>
      <c r="PYJ55" s="196"/>
      <c r="PYK55" s="196"/>
      <c r="PYL55" s="196"/>
      <c r="PYM55" s="196"/>
      <c r="PYN55" s="196"/>
      <c r="PYO55" s="196"/>
      <c r="PYP55" s="196"/>
      <c r="PYQ55" s="196"/>
      <c r="PYR55" s="196"/>
      <c r="PYS55" s="196"/>
      <c r="PYT55" s="196"/>
      <c r="PYU55" s="196"/>
      <c r="PYV55" s="196"/>
      <c r="PYW55" s="196"/>
      <c r="PYX55" s="196"/>
      <c r="PYY55" s="196"/>
      <c r="PYZ55" s="196"/>
      <c r="PZA55" s="196"/>
      <c r="PZB55" s="196"/>
      <c r="PZC55" s="196"/>
      <c r="PZD55" s="196"/>
      <c r="PZE55" s="196"/>
      <c r="PZF55" s="196"/>
      <c r="PZG55" s="196"/>
      <c r="PZH55" s="196"/>
      <c r="PZI55" s="196"/>
      <c r="PZJ55" s="196"/>
      <c r="PZK55" s="196"/>
      <c r="PZL55" s="196"/>
      <c r="PZM55" s="196"/>
      <c r="PZN55" s="196"/>
      <c r="PZO55" s="196"/>
      <c r="PZP55" s="196"/>
      <c r="PZQ55" s="196"/>
      <c r="PZR55" s="196"/>
      <c r="PZS55" s="196"/>
      <c r="PZT55" s="196"/>
      <c r="PZU55" s="196"/>
      <c r="PZV55" s="196"/>
      <c r="PZW55" s="196"/>
      <c r="PZX55" s="196"/>
      <c r="PZY55" s="196"/>
      <c r="PZZ55" s="196"/>
      <c r="QAA55" s="196"/>
      <c r="QAB55" s="196"/>
      <c r="QAC55" s="196"/>
      <c r="QAD55" s="196"/>
      <c r="QAE55" s="196"/>
      <c r="QAF55" s="196"/>
      <c r="QAG55" s="196"/>
      <c r="QAH55" s="196"/>
      <c r="QAI55" s="196"/>
      <c r="QAJ55" s="196"/>
      <c r="QAK55" s="196"/>
      <c r="QAL55" s="196"/>
      <c r="QAM55" s="196"/>
      <c r="QAN55" s="196"/>
      <c r="QAO55" s="196"/>
      <c r="QAP55" s="196"/>
      <c r="QAQ55" s="196"/>
      <c r="QAR55" s="196"/>
      <c r="QAS55" s="196"/>
      <c r="QAT55" s="196"/>
      <c r="QAU55" s="196"/>
      <c r="QAV55" s="196"/>
      <c r="QAW55" s="196"/>
      <c r="QAX55" s="196"/>
      <c r="QAY55" s="196"/>
      <c r="QAZ55" s="196"/>
      <c r="QBA55" s="196"/>
      <c r="QBB55" s="196"/>
      <c r="QBC55" s="196"/>
      <c r="QBD55" s="196"/>
      <c r="QBE55" s="196"/>
      <c r="QBF55" s="196"/>
      <c r="QBG55" s="196"/>
      <c r="QBH55" s="196"/>
      <c r="QBI55" s="196"/>
      <c r="QBJ55" s="196"/>
      <c r="QBK55" s="196"/>
      <c r="QBL55" s="196"/>
      <c r="QBM55" s="196"/>
      <c r="QBN55" s="196"/>
      <c r="QBO55" s="196"/>
      <c r="QBP55" s="196"/>
      <c r="QBQ55" s="196"/>
      <c r="QBR55" s="196"/>
      <c r="QBS55" s="196"/>
      <c r="QBT55" s="196"/>
      <c r="QBU55" s="196"/>
      <c r="QBV55" s="196"/>
      <c r="QBW55" s="196"/>
      <c r="QBX55" s="196"/>
      <c r="QBY55" s="196"/>
      <c r="QBZ55" s="196"/>
      <c r="QCA55" s="196"/>
      <c r="QCB55" s="196"/>
      <c r="QCC55" s="196"/>
      <c r="QCD55" s="196"/>
      <c r="QCE55" s="196"/>
      <c r="QCF55" s="196"/>
      <c r="QCG55" s="196"/>
      <c r="QCH55" s="196"/>
      <c r="QCI55" s="196"/>
      <c r="QCJ55" s="196"/>
      <c r="QCK55" s="196"/>
      <c r="QCL55" s="196"/>
      <c r="QCM55" s="196"/>
      <c r="QCN55" s="196"/>
      <c r="QCO55" s="196"/>
      <c r="QCP55" s="196"/>
      <c r="QCQ55" s="196"/>
      <c r="QCR55" s="196"/>
      <c r="QCS55" s="196"/>
      <c r="QCT55" s="196"/>
      <c r="QCU55" s="196"/>
      <c r="QCV55" s="196"/>
      <c r="QCW55" s="196"/>
      <c r="QCX55" s="196"/>
      <c r="QCY55" s="196"/>
      <c r="QCZ55" s="196"/>
      <c r="QDA55" s="196"/>
      <c r="QDB55" s="196"/>
      <c r="QDC55" s="196"/>
      <c r="QDD55" s="196"/>
      <c r="QDE55" s="196"/>
      <c r="QDF55" s="196"/>
      <c r="QDG55" s="196"/>
      <c r="QDH55" s="196"/>
      <c r="QDI55" s="196"/>
      <c r="QDJ55" s="196"/>
      <c r="QDK55" s="196"/>
      <c r="QDL55" s="196"/>
      <c r="QDM55" s="196"/>
      <c r="QDN55" s="196"/>
      <c r="QDO55" s="196"/>
      <c r="QDP55" s="196"/>
      <c r="QDQ55" s="196"/>
      <c r="QDR55" s="196"/>
      <c r="QDS55" s="196"/>
      <c r="QDT55" s="196"/>
      <c r="QDU55" s="196"/>
      <c r="QDV55" s="196"/>
      <c r="QDW55" s="196"/>
      <c r="QDX55" s="196"/>
      <c r="QDY55" s="196"/>
      <c r="QDZ55" s="196"/>
      <c r="QEA55" s="196"/>
      <c r="QEB55" s="196"/>
      <c r="QEC55" s="196"/>
      <c r="QED55" s="196"/>
      <c r="QEE55" s="196"/>
      <c r="QEF55" s="196"/>
      <c r="QEG55" s="196"/>
      <c r="QEH55" s="196"/>
      <c r="QEI55" s="196"/>
      <c r="QEJ55" s="196"/>
      <c r="QEK55" s="196"/>
      <c r="QEL55" s="196"/>
      <c r="QEM55" s="196"/>
      <c r="QEN55" s="196"/>
      <c r="QEO55" s="196"/>
      <c r="QEP55" s="196"/>
      <c r="QEQ55" s="196"/>
      <c r="QER55" s="196"/>
      <c r="QES55" s="196"/>
      <c r="QET55" s="196"/>
      <c r="QEU55" s="196"/>
      <c r="QEV55" s="196"/>
      <c r="QEW55" s="196"/>
      <c r="QEX55" s="196"/>
      <c r="QEY55" s="196"/>
      <c r="QEZ55" s="196"/>
      <c r="QFA55" s="196"/>
      <c r="QFB55" s="196"/>
      <c r="QFC55" s="196"/>
      <c r="QFD55" s="196"/>
      <c r="QFE55" s="196"/>
      <c r="QFF55" s="196"/>
      <c r="QFG55" s="196"/>
      <c r="QFH55" s="196"/>
      <c r="QFI55" s="196"/>
      <c r="QFJ55" s="196"/>
      <c r="QFK55" s="196"/>
      <c r="QFL55" s="196"/>
      <c r="QFM55" s="196"/>
      <c r="QFN55" s="196"/>
      <c r="QFO55" s="196"/>
      <c r="QFP55" s="196"/>
      <c r="QFQ55" s="196"/>
      <c r="QFR55" s="196"/>
      <c r="QFS55" s="196"/>
      <c r="QFT55" s="196"/>
      <c r="QFU55" s="196"/>
      <c r="QFV55" s="196"/>
      <c r="QFW55" s="196"/>
      <c r="QFX55" s="196"/>
      <c r="QFY55" s="196"/>
      <c r="QFZ55" s="196"/>
      <c r="QGA55" s="196"/>
      <c r="QGB55" s="196"/>
      <c r="QGC55" s="196"/>
      <c r="QGD55" s="196"/>
      <c r="QGE55" s="196"/>
      <c r="QGF55" s="196"/>
      <c r="QGG55" s="196"/>
      <c r="QGH55" s="196"/>
      <c r="QGI55" s="196"/>
      <c r="QGJ55" s="196"/>
      <c r="QGK55" s="196"/>
      <c r="QGL55" s="196"/>
      <c r="QGM55" s="196"/>
      <c r="QGN55" s="196"/>
      <c r="QGO55" s="196"/>
      <c r="QGP55" s="196"/>
      <c r="QGQ55" s="196"/>
      <c r="QGR55" s="196"/>
      <c r="QGS55" s="196"/>
      <c r="QGT55" s="196"/>
      <c r="QGU55" s="196"/>
      <c r="QGV55" s="196"/>
      <c r="QGW55" s="196"/>
      <c r="QGX55" s="196"/>
      <c r="QGY55" s="196"/>
      <c r="QGZ55" s="196"/>
      <c r="QHA55" s="196"/>
      <c r="QHB55" s="196"/>
      <c r="QHC55" s="196"/>
      <c r="QHD55" s="196"/>
      <c r="QHE55" s="196"/>
      <c r="QHF55" s="196"/>
      <c r="QHG55" s="196"/>
      <c r="QHH55" s="196"/>
      <c r="QHI55" s="196"/>
      <c r="QHJ55" s="196"/>
      <c r="QHK55" s="196"/>
      <c r="QHL55" s="196"/>
      <c r="QHM55" s="196"/>
      <c r="QHN55" s="196"/>
      <c r="QHO55" s="196"/>
      <c r="QHP55" s="196"/>
      <c r="QHQ55" s="196"/>
      <c r="QHR55" s="196"/>
      <c r="QHS55" s="196"/>
      <c r="QHT55" s="196"/>
      <c r="QHU55" s="196"/>
      <c r="QHV55" s="196"/>
      <c r="QHW55" s="196"/>
      <c r="QHX55" s="196"/>
      <c r="QHY55" s="196"/>
      <c r="QHZ55" s="196"/>
      <c r="QIA55" s="196"/>
      <c r="QIB55" s="196"/>
      <c r="QIC55" s="196"/>
      <c r="QID55" s="196"/>
      <c r="QIE55" s="196"/>
      <c r="QIF55" s="196"/>
      <c r="QIG55" s="196"/>
      <c r="QIH55" s="196"/>
      <c r="QII55" s="196"/>
      <c r="QIJ55" s="196"/>
      <c r="QIK55" s="196"/>
      <c r="QIL55" s="196"/>
      <c r="QIM55" s="196"/>
      <c r="QIN55" s="196"/>
      <c r="QIO55" s="196"/>
      <c r="QIP55" s="196"/>
      <c r="QIQ55" s="196"/>
      <c r="QIR55" s="196"/>
      <c r="QIS55" s="196"/>
      <c r="QIT55" s="196"/>
      <c r="QIU55" s="196"/>
      <c r="QIV55" s="196"/>
      <c r="QIW55" s="196"/>
      <c r="QIX55" s="196"/>
      <c r="QIY55" s="196"/>
      <c r="QIZ55" s="196"/>
      <c r="QJA55" s="196"/>
      <c r="QJB55" s="196"/>
      <c r="QJC55" s="196"/>
      <c r="QJD55" s="196"/>
      <c r="QJE55" s="196"/>
      <c r="QJF55" s="196"/>
      <c r="QJG55" s="196"/>
      <c r="QJH55" s="196"/>
      <c r="QJI55" s="196"/>
      <c r="QJJ55" s="196"/>
      <c r="QJK55" s="196"/>
      <c r="QJL55" s="196"/>
      <c r="QJM55" s="196"/>
      <c r="QJN55" s="196"/>
      <c r="QJO55" s="196"/>
      <c r="QJP55" s="196"/>
      <c r="QJQ55" s="196"/>
      <c r="QJR55" s="196"/>
      <c r="QJS55" s="196"/>
      <c r="QJT55" s="196"/>
      <c r="QJU55" s="196"/>
      <c r="QJV55" s="196"/>
      <c r="QJW55" s="196"/>
      <c r="QJX55" s="196"/>
      <c r="QJY55" s="196"/>
      <c r="QJZ55" s="196"/>
      <c r="QKA55" s="196"/>
      <c r="QKB55" s="196"/>
      <c r="QKC55" s="196"/>
      <c r="QKD55" s="196"/>
      <c r="QKE55" s="196"/>
      <c r="QKF55" s="196"/>
      <c r="QKG55" s="196"/>
      <c r="QKH55" s="196"/>
      <c r="QKI55" s="196"/>
      <c r="QKJ55" s="196"/>
      <c r="QKK55" s="196"/>
      <c r="QKL55" s="196"/>
      <c r="QKM55" s="196"/>
      <c r="QKN55" s="196"/>
      <c r="QKO55" s="196"/>
      <c r="QKP55" s="196"/>
      <c r="QKQ55" s="196"/>
      <c r="QKR55" s="196"/>
      <c r="QKS55" s="196"/>
      <c r="QKT55" s="196"/>
      <c r="QKU55" s="196"/>
      <c r="QKV55" s="196"/>
      <c r="QKW55" s="196"/>
      <c r="QKX55" s="196"/>
      <c r="QKY55" s="196"/>
      <c r="QKZ55" s="196"/>
      <c r="QLA55" s="196"/>
      <c r="QLB55" s="196"/>
      <c r="QLC55" s="196"/>
      <c r="QLD55" s="196"/>
      <c r="QLE55" s="196"/>
      <c r="QLF55" s="196"/>
      <c r="QLG55" s="196"/>
      <c r="QLH55" s="196"/>
      <c r="QLI55" s="196"/>
      <c r="QLJ55" s="196"/>
      <c r="QLK55" s="196"/>
      <c r="QLL55" s="196"/>
      <c r="QLM55" s="196"/>
      <c r="QLN55" s="196"/>
      <c r="QLO55" s="196"/>
      <c r="QLP55" s="196"/>
      <c r="QLQ55" s="196"/>
      <c r="QLR55" s="196"/>
      <c r="QLS55" s="196"/>
      <c r="QLT55" s="196"/>
      <c r="QLU55" s="196"/>
      <c r="QLV55" s="196"/>
      <c r="QLW55" s="196"/>
      <c r="QLX55" s="196"/>
      <c r="QLY55" s="196"/>
      <c r="QLZ55" s="196"/>
      <c r="QMA55" s="196"/>
      <c r="QMB55" s="196"/>
      <c r="QMC55" s="196"/>
      <c r="QMD55" s="196"/>
      <c r="QME55" s="196"/>
      <c r="QMF55" s="196"/>
      <c r="QMG55" s="196"/>
      <c r="QMH55" s="196"/>
      <c r="QMI55" s="196"/>
      <c r="QMJ55" s="196"/>
      <c r="QMK55" s="196"/>
      <c r="QML55" s="196"/>
      <c r="QMM55" s="196"/>
      <c r="QMN55" s="196"/>
      <c r="QMO55" s="196"/>
      <c r="QMP55" s="196"/>
      <c r="QMQ55" s="196"/>
      <c r="QMR55" s="196"/>
      <c r="QMS55" s="196"/>
      <c r="QMT55" s="196"/>
      <c r="QMU55" s="196"/>
      <c r="QMV55" s="196"/>
      <c r="QMW55" s="196"/>
      <c r="QMX55" s="196"/>
      <c r="QMY55" s="196"/>
      <c r="QMZ55" s="196"/>
      <c r="QNA55" s="196"/>
      <c r="QNB55" s="196"/>
      <c r="QNC55" s="196"/>
      <c r="QND55" s="196"/>
      <c r="QNE55" s="196"/>
      <c r="QNF55" s="196"/>
      <c r="QNG55" s="196"/>
      <c r="QNH55" s="196"/>
      <c r="QNI55" s="196"/>
      <c r="QNJ55" s="196"/>
      <c r="QNK55" s="196"/>
      <c r="QNL55" s="196"/>
      <c r="QNM55" s="196"/>
      <c r="QNN55" s="196"/>
      <c r="QNO55" s="196"/>
      <c r="QNP55" s="196"/>
      <c r="QNQ55" s="196"/>
      <c r="QNR55" s="196"/>
      <c r="QNS55" s="196"/>
      <c r="QNT55" s="196"/>
      <c r="QNU55" s="196"/>
      <c r="QNV55" s="196"/>
      <c r="QNW55" s="196"/>
      <c r="QNX55" s="196"/>
      <c r="QNY55" s="196"/>
      <c r="QNZ55" s="196"/>
      <c r="QOA55" s="196"/>
      <c r="QOB55" s="196"/>
      <c r="QOC55" s="196"/>
      <c r="QOD55" s="196"/>
      <c r="QOE55" s="196"/>
      <c r="QOF55" s="196"/>
      <c r="QOG55" s="196"/>
      <c r="QOH55" s="196"/>
      <c r="QOI55" s="196"/>
      <c r="QOJ55" s="196"/>
      <c r="QOK55" s="196"/>
      <c r="QOL55" s="196"/>
      <c r="QOM55" s="196"/>
      <c r="QON55" s="196"/>
      <c r="QOO55" s="196"/>
      <c r="QOP55" s="196"/>
      <c r="QOQ55" s="196"/>
      <c r="QOR55" s="196"/>
      <c r="QOS55" s="196"/>
      <c r="QOT55" s="196"/>
      <c r="QOU55" s="196"/>
      <c r="QOV55" s="196"/>
      <c r="QOW55" s="196"/>
      <c r="QOX55" s="196"/>
      <c r="QOY55" s="196"/>
      <c r="QOZ55" s="196"/>
      <c r="QPA55" s="196"/>
      <c r="QPB55" s="196"/>
      <c r="QPC55" s="196"/>
      <c r="QPD55" s="196"/>
      <c r="QPE55" s="196"/>
      <c r="QPF55" s="196"/>
      <c r="QPG55" s="196"/>
      <c r="QPH55" s="196"/>
      <c r="QPI55" s="196"/>
      <c r="QPJ55" s="196"/>
      <c r="QPK55" s="196"/>
      <c r="QPL55" s="196"/>
      <c r="QPM55" s="196"/>
      <c r="QPN55" s="196"/>
      <c r="QPO55" s="196"/>
      <c r="QPP55" s="196"/>
      <c r="QPQ55" s="196"/>
      <c r="QPR55" s="196"/>
      <c r="QPS55" s="196"/>
      <c r="QPT55" s="196"/>
      <c r="QPU55" s="196"/>
      <c r="QPV55" s="196"/>
      <c r="QPW55" s="196"/>
      <c r="QPX55" s="196"/>
      <c r="QPY55" s="196"/>
      <c r="QPZ55" s="196"/>
      <c r="QQA55" s="196"/>
      <c r="QQB55" s="196"/>
      <c r="QQC55" s="196"/>
      <c r="QQD55" s="196"/>
      <c r="QQE55" s="196"/>
      <c r="QQF55" s="196"/>
      <c r="QQG55" s="196"/>
      <c r="QQH55" s="196"/>
      <c r="QQI55" s="196"/>
      <c r="QQJ55" s="196"/>
      <c r="QQK55" s="196"/>
      <c r="QQL55" s="196"/>
      <c r="QQM55" s="196"/>
      <c r="QQN55" s="196"/>
      <c r="QQO55" s="196"/>
      <c r="QQP55" s="196"/>
      <c r="QQQ55" s="196"/>
      <c r="QQR55" s="196"/>
      <c r="QQS55" s="196"/>
      <c r="QQT55" s="196"/>
      <c r="QQU55" s="196"/>
      <c r="QQV55" s="196"/>
      <c r="QQW55" s="196"/>
      <c r="QQX55" s="196"/>
      <c r="QQY55" s="196"/>
      <c r="QQZ55" s="196"/>
      <c r="QRA55" s="196"/>
      <c r="QRB55" s="196"/>
      <c r="QRC55" s="196"/>
      <c r="QRD55" s="196"/>
      <c r="QRE55" s="196"/>
      <c r="QRF55" s="196"/>
      <c r="QRG55" s="196"/>
      <c r="QRH55" s="196"/>
      <c r="QRI55" s="196"/>
      <c r="QRJ55" s="196"/>
      <c r="QRK55" s="196"/>
      <c r="QRL55" s="196"/>
      <c r="QRM55" s="196"/>
      <c r="QRN55" s="196"/>
      <c r="QRO55" s="196"/>
      <c r="QRP55" s="196"/>
      <c r="QRQ55" s="196"/>
      <c r="QRR55" s="196"/>
      <c r="QRS55" s="196"/>
      <c r="QRT55" s="196"/>
      <c r="QRU55" s="196"/>
      <c r="QRV55" s="196"/>
      <c r="QRW55" s="196"/>
      <c r="QRX55" s="196"/>
      <c r="QRY55" s="196"/>
      <c r="QRZ55" s="196"/>
      <c r="QSA55" s="196"/>
      <c r="QSB55" s="196"/>
      <c r="QSC55" s="196"/>
      <c r="QSD55" s="196"/>
      <c r="QSE55" s="196"/>
      <c r="QSF55" s="196"/>
      <c r="QSG55" s="196"/>
      <c r="QSH55" s="196"/>
      <c r="QSI55" s="196"/>
      <c r="QSJ55" s="196"/>
      <c r="QSK55" s="196"/>
      <c r="QSL55" s="196"/>
      <c r="QSM55" s="196"/>
      <c r="QSN55" s="196"/>
      <c r="QSO55" s="196"/>
      <c r="QSP55" s="196"/>
      <c r="QSQ55" s="196"/>
      <c r="QSR55" s="196"/>
      <c r="QSS55" s="196"/>
      <c r="QST55" s="196"/>
      <c r="QSU55" s="196"/>
      <c r="QSV55" s="196"/>
      <c r="QSW55" s="196"/>
      <c r="QSX55" s="196"/>
      <c r="QSY55" s="196"/>
      <c r="QSZ55" s="196"/>
      <c r="QTA55" s="196"/>
      <c r="QTB55" s="196"/>
      <c r="QTC55" s="196"/>
      <c r="QTD55" s="196"/>
      <c r="QTE55" s="196"/>
      <c r="QTF55" s="196"/>
      <c r="QTG55" s="196"/>
      <c r="QTH55" s="196"/>
      <c r="QTI55" s="196"/>
      <c r="QTJ55" s="196"/>
      <c r="QTK55" s="196"/>
      <c r="QTL55" s="196"/>
      <c r="QTM55" s="196"/>
      <c r="QTN55" s="196"/>
      <c r="QTO55" s="196"/>
      <c r="QTP55" s="196"/>
      <c r="QTQ55" s="196"/>
      <c r="QTR55" s="196"/>
      <c r="QTS55" s="196"/>
      <c r="QTT55" s="196"/>
      <c r="QTU55" s="196"/>
      <c r="QTV55" s="196"/>
      <c r="QTW55" s="196"/>
      <c r="QTX55" s="196"/>
      <c r="QTY55" s="196"/>
      <c r="QTZ55" s="196"/>
      <c r="QUA55" s="196"/>
      <c r="QUB55" s="196"/>
      <c r="QUC55" s="196"/>
      <c r="QUD55" s="196"/>
      <c r="QUE55" s="196"/>
      <c r="QUF55" s="196"/>
      <c r="QUG55" s="196"/>
      <c r="QUH55" s="196"/>
      <c r="QUI55" s="196"/>
      <c r="QUJ55" s="196"/>
      <c r="QUK55" s="196"/>
      <c r="QUL55" s="196"/>
      <c r="QUM55" s="196"/>
      <c r="QUN55" s="196"/>
      <c r="QUO55" s="196"/>
      <c r="QUP55" s="196"/>
      <c r="QUQ55" s="196"/>
      <c r="QUR55" s="196"/>
      <c r="QUS55" s="196"/>
      <c r="QUT55" s="196"/>
      <c r="QUU55" s="196"/>
      <c r="QUV55" s="196"/>
      <c r="QUW55" s="196"/>
      <c r="QUX55" s="196"/>
      <c r="QUY55" s="196"/>
      <c r="QUZ55" s="196"/>
      <c r="QVA55" s="196"/>
      <c r="QVB55" s="196"/>
      <c r="QVC55" s="196"/>
      <c r="QVD55" s="196"/>
      <c r="QVE55" s="196"/>
      <c r="QVF55" s="196"/>
      <c r="QVG55" s="196"/>
      <c r="QVH55" s="196"/>
      <c r="QVI55" s="196"/>
      <c r="QVJ55" s="196"/>
      <c r="QVK55" s="196"/>
      <c r="QVL55" s="196"/>
      <c r="QVM55" s="196"/>
      <c r="QVN55" s="196"/>
      <c r="QVO55" s="196"/>
      <c r="QVP55" s="196"/>
      <c r="QVQ55" s="196"/>
      <c r="QVR55" s="196"/>
      <c r="QVS55" s="196"/>
      <c r="QVT55" s="196"/>
      <c r="QVU55" s="196"/>
      <c r="QVV55" s="196"/>
      <c r="QVW55" s="196"/>
      <c r="QVX55" s="196"/>
      <c r="QVY55" s="196"/>
      <c r="QVZ55" s="196"/>
      <c r="QWA55" s="196"/>
      <c r="QWB55" s="196"/>
      <c r="QWC55" s="196"/>
      <c r="QWD55" s="196"/>
      <c r="QWE55" s="196"/>
      <c r="QWF55" s="196"/>
      <c r="QWG55" s="196"/>
      <c r="QWH55" s="196"/>
      <c r="QWI55" s="196"/>
      <c r="QWJ55" s="196"/>
      <c r="QWK55" s="196"/>
      <c r="QWL55" s="196"/>
      <c r="QWM55" s="196"/>
      <c r="QWN55" s="196"/>
      <c r="QWO55" s="196"/>
      <c r="QWP55" s="196"/>
      <c r="QWQ55" s="196"/>
      <c r="QWR55" s="196"/>
      <c r="QWS55" s="196"/>
      <c r="QWT55" s="196"/>
      <c r="QWU55" s="196"/>
      <c r="QWV55" s="196"/>
      <c r="QWW55" s="196"/>
      <c r="QWX55" s="196"/>
      <c r="QWY55" s="196"/>
      <c r="QWZ55" s="196"/>
      <c r="QXA55" s="196"/>
      <c r="QXB55" s="196"/>
      <c r="QXC55" s="196"/>
      <c r="QXD55" s="196"/>
      <c r="QXE55" s="196"/>
      <c r="QXF55" s="196"/>
      <c r="QXG55" s="196"/>
      <c r="QXH55" s="196"/>
      <c r="QXI55" s="196"/>
      <c r="QXJ55" s="196"/>
      <c r="QXK55" s="196"/>
      <c r="QXL55" s="196"/>
      <c r="QXM55" s="196"/>
      <c r="QXN55" s="196"/>
      <c r="QXO55" s="196"/>
      <c r="QXP55" s="196"/>
      <c r="QXQ55" s="196"/>
      <c r="QXR55" s="196"/>
      <c r="QXS55" s="196"/>
      <c r="QXT55" s="196"/>
      <c r="QXU55" s="196"/>
      <c r="QXV55" s="196"/>
      <c r="QXW55" s="196"/>
      <c r="QXX55" s="196"/>
      <c r="QXY55" s="196"/>
      <c r="QXZ55" s="196"/>
      <c r="QYA55" s="196"/>
      <c r="QYB55" s="196"/>
      <c r="QYC55" s="196"/>
      <c r="QYD55" s="196"/>
      <c r="QYE55" s="196"/>
      <c r="QYF55" s="196"/>
      <c r="QYG55" s="196"/>
      <c r="QYH55" s="196"/>
      <c r="QYI55" s="196"/>
      <c r="QYJ55" s="196"/>
      <c r="QYK55" s="196"/>
      <c r="QYL55" s="196"/>
      <c r="QYM55" s="196"/>
      <c r="QYN55" s="196"/>
      <c r="QYO55" s="196"/>
      <c r="QYP55" s="196"/>
      <c r="QYQ55" s="196"/>
      <c r="QYR55" s="196"/>
      <c r="QYS55" s="196"/>
      <c r="QYT55" s="196"/>
      <c r="QYU55" s="196"/>
      <c r="QYV55" s="196"/>
      <c r="QYW55" s="196"/>
      <c r="QYX55" s="196"/>
      <c r="QYY55" s="196"/>
      <c r="QYZ55" s="196"/>
      <c r="QZA55" s="196"/>
      <c r="QZB55" s="196"/>
      <c r="QZC55" s="196"/>
      <c r="QZD55" s="196"/>
      <c r="QZE55" s="196"/>
      <c r="QZF55" s="196"/>
      <c r="QZG55" s="196"/>
      <c r="QZH55" s="196"/>
      <c r="QZI55" s="196"/>
      <c r="QZJ55" s="196"/>
      <c r="QZK55" s="196"/>
      <c r="QZL55" s="196"/>
      <c r="QZM55" s="196"/>
      <c r="QZN55" s="196"/>
      <c r="QZO55" s="196"/>
      <c r="QZP55" s="196"/>
      <c r="QZQ55" s="196"/>
      <c r="QZR55" s="196"/>
      <c r="QZS55" s="196"/>
      <c r="QZT55" s="196"/>
      <c r="QZU55" s="196"/>
      <c r="QZV55" s="196"/>
      <c r="QZW55" s="196"/>
      <c r="QZX55" s="196"/>
      <c r="QZY55" s="196"/>
      <c r="QZZ55" s="196"/>
      <c r="RAA55" s="196"/>
      <c r="RAB55" s="196"/>
      <c r="RAC55" s="196"/>
      <c r="RAD55" s="196"/>
      <c r="RAE55" s="196"/>
      <c r="RAF55" s="196"/>
      <c r="RAG55" s="196"/>
      <c r="RAH55" s="196"/>
      <c r="RAI55" s="196"/>
      <c r="RAJ55" s="196"/>
      <c r="RAK55" s="196"/>
      <c r="RAL55" s="196"/>
      <c r="RAM55" s="196"/>
      <c r="RAN55" s="196"/>
      <c r="RAO55" s="196"/>
      <c r="RAP55" s="196"/>
      <c r="RAQ55" s="196"/>
      <c r="RAR55" s="196"/>
      <c r="RAS55" s="196"/>
      <c r="RAT55" s="196"/>
      <c r="RAU55" s="196"/>
      <c r="RAV55" s="196"/>
      <c r="RAW55" s="196"/>
      <c r="RAX55" s="196"/>
      <c r="RAY55" s="196"/>
      <c r="RAZ55" s="196"/>
      <c r="RBA55" s="196"/>
      <c r="RBB55" s="196"/>
      <c r="RBC55" s="196"/>
      <c r="RBD55" s="196"/>
      <c r="RBE55" s="196"/>
      <c r="RBF55" s="196"/>
      <c r="RBG55" s="196"/>
      <c r="RBH55" s="196"/>
      <c r="RBI55" s="196"/>
      <c r="RBJ55" s="196"/>
      <c r="RBK55" s="196"/>
      <c r="RBL55" s="196"/>
      <c r="RBM55" s="196"/>
      <c r="RBN55" s="196"/>
      <c r="RBO55" s="196"/>
      <c r="RBP55" s="196"/>
      <c r="RBQ55" s="196"/>
      <c r="RBR55" s="196"/>
      <c r="RBS55" s="196"/>
      <c r="RBT55" s="196"/>
      <c r="RBU55" s="196"/>
      <c r="RBV55" s="196"/>
      <c r="RBW55" s="196"/>
      <c r="RBX55" s="196"/>
      <c r="RBY55" s="196"/>
      <c r="RBZ55" s="196"/>
      <c r="RCA55" s="196"/>
      <c r="RCB55" s="196"/>
      <c r="RCC55" s="196"/>
      <c r="RCD55" s="196"/>
      <c r="RCE55" s="196"/>
      <c r="RCF55" s="196"/>
      <c r="RCG55" s="196"/>
      <c r="RCH55" s="196"/>
      <c r="RCI55" s="196"/>
      <c r="RCJ55" s="196"/>
      <c r="RCK55" s="196"/>
      <c r="RCL55" s="196"/>
      <c r="RCM55" s="196"/>
      <c r="RCN55" s="196"/>
      <c r="RCO55" s="196"/>
      <c r="RCP55" s="196"/>
      <c r="RCQ55" s="196"/>
      <c r="RCR55" s="196"/>
      <c r="RCS55" s="196"/>
      <c r="RCT55" s="196"/>
      <c r="RCU55" s="196"/>
      <c r="RCV55" s="196"/>
      <c r="RCW55" s="196"/>
      <c r="RCX55" s="196"/>
      <c r="RCY55" s="196"/>
      <c r="RCZ55" s="196"/>
      <c r="RDA55" s="196"/>
      <c r="RDB55" s="196"/>
      <c r="RDC55" s="196"/>
      <c r="RDD55" s="196"/>
      <c r="RDE55" s="196"/>
      <c r="RDF55" s="196"/>
      <c r="RDG55" s="196"/>
      <c r="RDH55" s="196"/>
      <c r="RDI55" s="196"/>
      <c r="RDJ55" s="196"/>
      <c r="RDK55" s="196"/>
      <c r="RDL55" s="196"/>
      <c r="RDM55" s="196"/>
      <c r="RDN55" s="196"/>
      <c r="RDO55" s="196"/>
      <c r="RDP55" s="196"/>
      <c r="RDQ55" s="196"/>
      <c r="RDR55" s="196"/>
      <c r="RDS55" s="196"/>
      <c r="RDT55" s="196"/>
      <c r="RDU55" s="196"/>
      <c r="RDV55" s="196"/>
      <c r="RDW55" s="196"/>
      <c r="RDX55" s="196"/>
      <c r="RDY55" s="196"/>
      <c r="RDZ55" s="196"/>
      <c r="REA55" s="196"/>
      <c r="REB55" s="196"/>
      <c r="REC55" s="196"/>
      <c r="RED55" s="196"/>
      <c r="REE55" s="196"/>
      <c r="REF55" s="196"/>
      <c r="REG55" s="196"/>
      <c r="REH55" s="196"/>
      <c r="REI55" s="196"/>
      <c r="REJ55" s="196"/>
      <c r="REK55" s="196"/>
      <c r="REL55" s="196"/>
      <c r="REM55" s="196"/>
      <c r="REN55" s="196"/>
      <c r="REO55" s="196"/>
      <c r="REP55" s="196"/>
      <c r="REQ55" s="196"/>
      <c r="RER55" s="196"/>
      <c r="RES55" s="196"/>
      <c r="RET55" s="196"/>
      <c r="REU55" s="196"/>
      <c r="REV55" s="196"/>
      <c r="REW55" s="196"/>
      <c r="REX55" s="196"/>
      <c r="REY55" s="196"/>
      <c r="REZ55" s="196"/>
      <c r="RFA55" s="196"/>
      <c r="RFB55" s="196"/>
      <c r="RFC55" s="196"/>
      <c r="RFD55" s="196"/>
      <c r="RFE55" s="196"/>
      <c r="RFF55" s="196"/>
      <c r="RFG55" s="196"/>
      <c r="RFH55" s="196"/>
      <c r="RFI55" s="196"/>
      <c r="RFJ55" s="196"/>
      <c r="RFK55" s="196"/>
      <c r="RFL55" s="196"/>
      <c r="RFM55" s="196"/>
      <c r="RFN55" s="196"/>
      <c r="RFO55" s="196"/>
      <c r="RFP55" s="196"/>
      <c r="RFQ55" s="196"/>
      <c r="RFR55" s="196"/>
      <c r="RFS55" s="196"/>
      <c r="RFT55" s="196"/>
      <c r="RFU55" s="196"/>
      <c r="RFV55" s="196"/>
      <c r="RFW55" s="196"/>
      <c r="RFX55" s="196"/>
      <c r="RFY55" s="196"/>
      <c r="RFZ55" s="196"/>
      <c r="RGA55" s="196"/>
      <c r="RGB55" s="196"/>
      <c r="RGC55" s="196"/>
      <c r="RGD55" s="196"/>
      <c r="RGE55" s="196"/>
      <c r="RGF55" s="196"/>
      <c r="RGG55" s="196"/>
      <c r="RGH55" s="196"/>
      <c r="RGI55" s="196"/>
      <c r="RGJ55" s="196"/>
      <c r="RGK55" s="196"/>
      <c r="RGL55" s="196"/>
      <c r="RGM55" s="196"/>
      <c r="RGN55" s="196"/>
      <c r="RGO55" s="196"/>
      <c r="RGP55" s="196"/>
      <c r="RGQ55" s="196"/>
      <c r="RGR55" s="196"/>
      <c r="RGS55" s="196"/>
      <c r="RGT55" s="196"/>
      <c r="RGU55" s="196"/>
      <c r="RGV55" s="196"/>
      <c r="RGW55" s="196"/>
      <c r="RGX55" s="196"/>
      <c r="RGY55" s="196"/>
      <c r="RGZ55" s="196"/>
      <c r="RHA55" s="196"/>
      <c r="RHB55" s="196"/>
      <c r="RHC55" s="196"/>
      <c r="RHD55" s="196"/>
      <c r="RHE55" s="196"/>
      <c r="RHF55" s="196"/>
      <c r="RHG55" s="196"/>
      <c r="RHH55" s="196"/>
      <c r="RHI55" s="196"/>
      <c r="RHJ55" s="196"/>
      <c r="RHK55" s="196"/>
      <c r="RHL55" s="196"/>
      <c r="RHM55" s="196"/>
      <c r="RHN55" s="196"/>
      <c r="RHO55" s="196"/>
      <c r="RHP55" s="196"/>
      <c r="RHQ55" s="196"/>
      <c r="RHR55" s="196"/>
      <c r="RHS55" s="196"/>
      <c r="RHT55" s="196"/>
      <c r="RHU55" s="196"/>
      <c r="RHV55" s="196"/>
      <c r="RHW55" s="196"/>
      <c r="RHX55" s="196"/>
      <c r="RHY55" s="196"/>
      <c r="RHZ55" s="196"/>
      <c r="RIA55" s="196"/>
      <c r="RIB55" s="196"/>
      <c r="RIC55" s="196"/>
      <c r="RID55" s="196"/>
      <c r="RIE55" s="196"/>
      <c r="RIF55" s="196"/>
      <c r="RIG55" s="196"/>
      <c r="RIH55" s="196"/>
      <c r="RII55" s="196"/>
      <c r="RIJ55" s="196"/>
      <c r="RIK55" s="196"/>
      <c r="RIL55" s="196"/>
      <c r="RIM55" s="196"/>
      <c r="RIN55" s="196"/>
      <c r="RIO55" s="196"/>
      <c r="RIP55" s="196"/>
      <c r="RIQ55" s="196"/>
      <c r="RIR55" s="196"/>
      <c r="RIS55" s="196"/>
      <c r="RIT55" s="196"/>
      <c r="RIU55" s="196"/>
      <c r="RIV55" s="196"/>
      <c r="RIW55" s="196"/>
      <c r="RIX55" s="196"/>
      <c r="RIY55" s="196"/>
      <c r="RIZ55" s="196"/>
      <c r="RJA55" s="196"/>
      <c r="RJB55" s="196"/>
      <c r="RJC55" s="196"/>
      <c r="RJD55" s="196"/>
      <c r="RJE55" s="196"/>
      <c r="RJF55" s="196"/>
      <c r="RJG55" s="196"/>
      <c r="RJH55" s="196"/>
      <c r="RJI55" s="196"/>
      <c r="RJJ55" s="196"/>
      <c r="RJK55" s="196"/>
      <c r="RJL55" s="196"/>
      <c r="RJM55" s="196"/>
      <c r="RJN55" s="196"/>
      <c r="RJO55" s="196"/>
      <c r="RJP55" s="196"/>
      <c r="RJQ55" s="196"/>
      <c r="RJR55" s="196"/>
      <c r="RJS55" s="196"/>
      <c r="RJT55" s="196"/>
      <c r="RJU55" s="196"/>
      <c r="RJV55" s="196"/>
      <c r="RJW55" s="196"/>
      <c r="RJX55" s="196"/>
      <c r="RJY55" s="196"/>
      <c r="RJZ55" s="196"/>
      <c r="RKA55" s="196"/>
      <c r="RKB55" s="196"/>
      <c r="RKC55" s="196"/>
      <c r="RKD55" s="196"/>
      <c r="RKE55" s="196"/>
      <c r="RKF55" s="196"/>
      <c r="RKG55" s="196"/>
      <c r="RKH55" s="196"/>
      <c r="RKI55" s="196"/>
      <c r="RKJ55" s="196"/>
      <c r="RKK55" s="196"/>
      <c r="RKL55" s="196"/>
      <c r="RKM55" s="196"/>
      <c r="RKN55" s="196"/>
      <c r="RKO55" s="196"/>
      <c r="RKP55" s="196"/>
      <c r="RKQ55" s="196"/>
      <c r="RKR55" s="196"/>
      <c r="RKS55" s="196"/>
      <c r="RKT55" s="196"/>
      <c r="RKU55" s="196"/>
      <c r="RKV55" s="196"/>
      <c r="RKW55" s="196"/>
      <c r="RKX55" s="196"/>
      <c r="RKY55" s="196"/>
      <c r="RKZ55" s="196"/>
      <c r="RLA55" s="196"/>
      <c r="RLB55" s="196"/>
      <c r="RLC55" s="196"/>
      <c r="RLD55" s="196"/>
      <c r="RLE55" s="196"/>
      <c r="RLF55" s="196"/>
      <c r="RLG55" s="196"/>
      <c r="RLH55" s="196"/>
      <c r="RLI55" s="196"/>
      <c r="RLJ55" s="196"/>
      <c r="RLK55" s="196"/>
      <c r="RLL55" s="196"/>
      <c r="RLM55" s="196"/>
      <c r="RLN55" s="196"/>
      <c r="RLO55" s="196"/>
      <c r="RLP55" s="196"/>
      <c r="RLQ55" s="196"/>
      <c r="RLR55" s="196"/>
      <c r="RLS55" s="196"/>
      <c r="RLT55" s="196"/>
      <c r="RLU55" s="196"/>
      <c r="RLV55" s="196"/>
      <c r="RLW55" s="196"/>
      <c r="RLX55" s="196"/>
      <c r="RLY55" s="196"/>
      <c r="RLZ55" s="196"/>
      <c r="RMA55" s="196"/>
      <c r="RMB55" s="196"/>
      <c r="RMC55" s="196"/>
      <c r="RMD55" s="196"/>
      <c r="RME55" s="196"/>
      <c r="RMF55" s="196"/>
      <c r="RMG55" s="196"/>
      <c r="RMH55" s="196"/>
      <c r="RMI55" s="196"/>
      <c r="RMJ55" s="196"/>
      <c r="RMK55" s="196"/>
      <c r="RML55" s="196"/>
      <c r="RMM55" s="196"/>
      <c r="RMN55" s="196"/>
      <c r="RMO55" s="196"/>
      <c r="RMP55" s="196"/>
      <c r="RMQ55" s="196"/>
      <c r="RMR55" s="196"/>
      <c r="RMS55" s="196"/>
      <c r="RMT55" s="196"/>
      <c r="RMU55" s="196"/>
      <c r="RMV55" s="196"/>
      <c r="RMW55" s="196"/>
      <c r="RMX55" s="196"/>
      <c r="RMY55" s="196"/>
      <c r="RMZ55" s="196"/>
      <c r="RNA55" s="196"/>
      <c r="RNB55" s="196"/>
      <c r="RNC55" s="196"/>
      <c r="RND55" s="196"/>
      <c r="RNE55" s="196"/>
      <c r="RNF55" s="196"/>
      <c r="RNG55" s="196"/>
      <c r="RNH55" s="196"/>
      <c r="RNI55" s="196"/>
      <c r="RNJ55" s="196"/>
      <c r="RNK55" s="196"/>
      <c r="RNL55" s="196"/>
      <c r="RNM55" s="196"/>
      <c r="RNN55" s="196"/>
      <c r="RNO55" s="196"/>
      <c r="RNP55" s="196"/>
      <c r="RNQ55" s="196"/>
      <c r="RNR55" s="196"/>
      <c r="RNS55" s="196"/>
      <c r="RNT55" s="196"/>
      <c r="RNU55" s="196"/>
      <c r="RNV55" s="196"/>
      <c r="RNW55" s="196"/>
      <c r="RNX55" s="196"/>
      <c r="RNY55" s="196"/>
      <c r="RNZ55" s="196"/>
      <c r="ROA55" s="196"/>
      <c r="ROB55" s="196"/>
      <c r="ROC55" s="196"/>
      <c r="ROD55" s="196"/>
      <c r="ROE55" s="196"/>
      <c r="ROF55" s="196"/>
      <c r="ROG55" s="196"/>
      <c r="ROH55" s="196"/>
      <c r="ROI55" s="196"/>
      <c r="ROJ55" s="196"/>
      <c r="ROK55" s="196"/>
      <c r="ROL55" s="196"/>
      <c r="ROM55" s="196"/>
      <c r="RON55" s="196"/>
      <c r="ROO55" s="196"/>
      <c r="ROP55" s="196"/>
      <c r="ROQ55" s="196"/>
      <c r="ROR55" s="196"/>
      <c r="ROS55" s="196"/>
      <c r="ROT55" s="196"/>
      <c r="ROU55" s="196"/>
      <c r="ROV55" s="196"/>
      <c r="ROW55" s="196"/>
      <c r="ROX55" s="196"/>
      <c r="ROY55" s="196"/>
      <c r="ROZ55" s="196"/>
      <c r="RPA55" s="196"/>
      <c r="RPB55" s="196"/>
      <c r="RPC55" s="196"/>
      <c r="RPD55" s="196"/>
      <c r="RPE55" s="196"/>
      <c r="RPF55" s="196"/>
      <c r="RPG55" s="196"/>
      <c r="RPH55" s="196"/>
      <c r="RPI55" s="196"/>
      <c r="RPJ55" s="196"/>
      <c r="RPK55" s="196"/>
      <c r="RPL55" s="196"/>
      <c r="RPM55" s="196"/>
      <c r="RPN55" s="196"/>
      <c r="RPO55" s="196"/>
      <c r="RPP55" s="196"/>
      <c r="RPQ55" s="196"/>
      <c r="RPR55" s="196"/>
      <c r="RPS55" s="196"/>
      <c r="RPT55" s="196"/>
      <c r="RPU55" s="196"/>
      <c r="RPV55" s="196"/>
      <c r="RPW55" s="196"/>
      <c r="RPX55" s="196"/>
      <c r="RPY55" s="196"/>
      <c r="RPZ55" s="196"/>
      <c r="RQA55" s="196"/>
      <c r="RQB55" s="196"/>
      <c r="RQC55" s="196"/>
      <c r="RQD55" s="196"/>
      <c r="RQE55" s="196"/>
      <c r="RQF55" s="196"/>
      <c r="RQG55" s="196"/>
      <c r="RQH55" s="196"/>
      <c r="RQI55" s="196"/>
      <c r="RQJ55" s="196"/>
      <c r="RQK55" s="196"/>
      <c r="RQL55" s="196"/>
      <c r="RQM55" s="196"/>
      <c r="RQN55" s="196"/>
      <c r="RQO55" s="196"/>
      <c r="RQP55" s="196"/>
      <c r="RQQ55" s="196"/>
      <c r="RQR55" s="196"/>
      <c r="RQS55" s="196"/>
      <c r="RQT55" s="196"/>
      <c r="RQU55" s="196"/>
      <c r="RQV55" s="196"/>
      <c r="RQW55" s="196"/>
      <c r="RQX55" s="196"/>
      <c r="RQY55" s="196"/>
      <c r="RQZ55" s="196"/>
      <c r="RRA55" s="196"/>
      <c r="RRB55" s="196"/>
      <c r="RRC55" s="196"/>
      <c r="RRD55" s="196"/>
      <c r="RRE55" s="196"/>
      <c r="RRF55" s="196"/>
      <c r="RRG55" s="196"/>
      <c r="RRH55" s="196"/>
      <c r="RRI55" s="196"/>
      <c r="RRJ55" s="196"/>
      <c r="RRK55" s="196"/>
      <c r="RRL55" s="196"/>
      <c r="RRM55" s="196"/>
      <c r="RRN55" s="196"/>
      <c r="RRO55" s="196"/>
      <c r="RRP55" s="196"/>
      <c r="RRQ55" s="196"/>
      <c r="RRR55" s="196"/>
      <c r="RRS55" s="196"/>
      <c r="RRT55" s="196"/>
      <c r="RRU55" s="196"/>
      <c r="RRV55" s="196"/>
      <c r="RRW55" s="196"/>
      <c r="RRX55" s="196"/>
      <c r="RRY55" s="196"/>
      <c r="RRZ55" s="196"/>
      <c r="RSA55" s="196"/>
      <c r="RSB55" s="196"/>
      <c r="RSC55" s="196"/>
      <c r="RSD55" s="196"/>
      <c r="RSE55" s="196"/>
      <c r="RSF55" s="196"/>
      <c r="RSG55" s="196"/>
      <c r="RSH55" s="196"/>
      <c r="RSI55" s="196"/>
      <c r="RSJ55" s="196"/>
      <c r="RSK55" s="196"/>
      <c r="RSL55" s="196"/>
      <c r="RSM55" s="196"/>
      <c r="RSN55" s="196"/>
      <c r="RSO55" s="196"/>
      <c r="RSP55" s="196"/>
      <c r="RSQ55" s="196"/>
      <c r="RSR55" s="196"/>
      <c r="RSS55" s="196"/>
      <c r="RST55" s="196"/>
      <c r="RSU55" s="196"/>
      <c r="RSV55" s="196"/>
      <c r="RSW55" s="196"/>
      <c r="RSX55" s="196"/>
      <c r="RSY55" s="196"/>
      <c r="RSZ55" s="196"/>
      <c r="RTA55" s="196"/>
      <c r="RTB55" s="196"/>
      <c r="RTC55" s="196"/>
      <c r="RTD55" s="196"/>
      <c r="RTE55" s="196"/>
      <c r="RTF55" s="196"/>
      <c r="RTG55" s="196"/>
      <c r="RTH55" s="196"/>
      <c r="RTI55" s="196"/>
      <c r="RTJ55" s="196"/>
      <c r="RTK55" s="196"/>
      <c r="RTL55" s="196"/>
      <c r="RTM55" s="196"/>
      <c r="RTN55" s="196"/>
      <c r="RTO55" s="196"/>
      <c r="RTP55" s="196"/>
      <c r="RTQ55" s="196"/>
      <c r="RTR55" s="196"/>
      <c r="RTS55" s="196"/>
      <c r="RTT55" s="196"/>
      <c r="RTU55" s="196"/>
      <c r="RTV55" s="196"/>
      <c r="RTW55" s="196"/>
      <c r="RTX55" s="196"/>
      <c r="RTY55" s="196"/>
      <c r="RTZ55" s="196"/>
      <c r="RUA55" s="196"/>
      <c r="RUB55" s="196"/>
      <c r="RUC55" s="196"/>
      <c r="RUD55" s="196"/>
      <c r="RUE55" s="196"/>
      <c r="RUF55" s="196"/>
      <c r="RUG55" s="196"/>
      <c r="RUH55" s="196"/>
      <c r="RUI55" s="196"/>
      <c r="RUJ55" s="196"/>
      <c r="RUK55" s="196"/>
      <c r="RUL55" s="196"/>
      <c r="RUM55" s="196"/>
      <c r="RUN55" s="196"/>
      <c r="RUO55" s="196"/>
      <c r="RUP55" s="196"/>
      <c r="RUQ55" s="196"/>
      <c r="RUR55" s="196"/>
      <c r="RUS55" s="196"/>
      <c r="RUT55" s="196"/>
      <c r="RUU55" s="196"/>
      <c r="RUV55" s="196"/>
      <c r="RUW55" s="196"/>
      <c r="RUX55" s="196"/>
      <c r="RUY55" s="196"/>
      <c r="RUZ55" s="196"/>
      <c r="RVA55" s="196"/>
      <c r="RVB55" s="196"/>
      <c r="RVC55" s="196"/>
      <c r="RVD55" s="196"/>
      <c r="RVE55" s="196"/>
      <c r="RVF55" s="196"/>
      <c r="RVG55" s="196"/>
      <c r="RVH55" s="196"/>
      <c r="RVI55" s="196"/>
      <c r="RVJ55" s="196"/>
      <c r="RVK55" s="196"/>
      <c r="RVL55" s="196"/>
      <c r="RVM55" s="196"/>
      <c r="RVN55" s="196"/>
      <c r="RVO55" s="196"/>
      <c r="RVP55" s="196"/>
      <c r="RVQ55" s="196"/>
      <c r="RVR55" s="196"/>
      <c r="RVS55" s="196"/>
      <c r="RVT55" s="196"/>
      <c r="RVU55" s="196"/>
      <c r="RVV55" s="196"/>
      <c r="RVW55" s="196"/>
      <c r="RVX55" s="196"/>
      <c r="RVY55" s="196"/>
      <c r="RVZ55" s="196"/>
      <c r="RWA55" s="196"/>
      <c r="RWB55" s="196"/>
      <c r="RWC55" s="196"/>
      <c r="RWD55" s="196"/>
      <c r="RWE55" s="196"/>
      <c r="RWF55" s="196"/>
      <c r="RWG55" s="196"/>
      <c r="RWH55" s="196"/>
      <c r="RWI55" s="196"/>
      <c r="RWJ55" s="196"/>
      <c r="RWK55" s="196"/>
      <c r="RWL55" s="196"/>
      <c r="RWM55" s="196"/>
      <c r="RWN55" s="196"/>
      <c r="RWO55" s="196"/>
      <c r="RWP55" s="196"/>
      <c r="RWQ55" s="196"/>
      <c r="RWR55" s="196"/>
      <c r="RWS55" s="196"/>
      <c r="RWT55" s="196"/>
      <c r="RWU55" s="196"/>
      <c r="RWV55" s="196"/>
      <c r="RWW55" s="196"/>
      <c r="RWX55" s="196"/>
      <c r="RWY55" s="196"/>
      <c r="RWZ55" s="196"/>
      <c r="RXA55" s="196"/>
      <c r="RXB55" s="196"/>
      <c r="RXC55" s="196"/>
      <c r="RXD55" s="196"/>
      <c r="RXE55" s="196"/>
      <c r="RXF55" s="196"/>
      <c r="RXG55" s="196"/>
      <c r="RXH55" s="196"/>
      <c r="RXI55" s="196"/>
      <c r="RXJ55" s="196"/>
      <c r="RXK55" s="196"/>
      <c r="RXL55" s="196"/>
      <c r="RXM55" s="196"/>
      <c r="RXN55" s="196"/>
      <c r="RXO55" s="196"/>
      <c r="RXP55" s="196"/>
      <c r="RXQ55" s="196"/>
      <c r="RXR55" s="196"/>
      <c r="RXS55" s="196"/>
      <c r="RXT55" s="196"/>
      <c r="RXU55" s="196"/>
      <c r="RXV55" s="196"/>
      <c r="RXW55" s="196"/>
      <c r="RXX55" s="196"/>
      <c r="RXY55" s="196"/>
      <c r="RXZ55" s="196"/>
      <c r="RYA55" s="196"/>
      <c r="RYB55" s="196"/>
      <c r="RYC55" s="196"/>
      <c r="RYD55" s="196"/>
      <c r="RYE55" s="196"/>
      <c r="RYF55" s="196"/>
      <c r="RYG55" s="196"/>
      <c r="RYH55" s="196"/>
      <c r="RYI55" s="196"/>
      <c r="RYJ55" s="196"/>
      <c r="RYK55" s="196"/>
      <c r="RYL55" s="196"/>
      <c r="RYM55" s="196"/>
      <c r="RYN55" s="196"/>
      <c r="RYO55" s="196"/>
      <c r="RYP55" s="196"/>
      <c r="RYQ55" s="196"/>
      <c r="RYR55" s="196"/>
      <c r="RYS55" s="196"/>
      <c r="RYT55" s="196"/>
      <c r="RYU55" s="196"/>
      <c r="RYV55" s="196"/>
      <c r="RYW55" s="196"/>
      <c r="RYX55" s="196"/>
      <c r="RYY55" s="196"/>
      <c r="RYZ55" s="196"/>
      <c r="RZA55" s="196"/>
      <c r="RZB55" s="196"/>
      <c r="RZC55" s="196"/>
      <c r="RZD55" s="196"/>
      <c r="RZE55" s="196"/>
      <c r="RZF55" s="196"/>
      <c r="RZG55" s="196"/>
      <c r="RZH55" s="196"/>
      <c r="RZI55" s="196"/>
      <c r="RZJ55" s="196"/>
      <c r="RZK55" s="196"/>
      <c r="RZL55" s="196"/>
      <c r="RZM55" s="196"/>
      <c r="RZN55" s="196"/>
      <c r="RZO55" s="196"/>
      <c r="RZP55" s="196"/>
      <c r="RZQ55" s="196"/>
      <c r="RZR55" s="196"/>
      <c r="RZS55" s="196"/>
      <c r="RZT55" s="196"/>
      <c r="RZU55" s="196"/>
      <c r="RZV55" s="196"/>
      <c r="RZW55" s="196"/>
      <c r="RZX55" s="196"/>
      <c r="RZY55" s="196"/>
      <c r="RZZ55" s="196"/>
      <c r="SAA55" s="196"/>
      <c r="SAB55" s="196"/>
      <c r="SAC55" s="196"/>
      <c r="SAD55" s="196"/>
      <c r="SAE55" s="196"/>
      <c r="SAF55" s="196"/>
      <c r="SAG55" s="196"/>
      <c r="SAH55" s="196"/>
      <c r="SAI55" s="196"/>
      <c r="SAJ55" s="196"/>
      <c r="SAK55" s="196"/>
      <c r="SAL55" s="196"/>
      <c r="SAM55" s="196"/>
      <c r="SAN55" s="196"/>
      <c r="SAO55" s="196"/>
      <c r="SAP55" s="196"/>
      <c r="SAQ55" s="196"/>
      <c r="SAR55" s="196"/>
      <c r="SAS55" s="196"/>
      <c r="SAT55" s="196"/>
      <c r="SAU55" s="196"/>
      <c r="SAV55" s="196"/>
      <c r="SAW55" s="196"/>
      <c r="SAX55" s="196"/>
      <c r="SAY55" s="196"/>
      <c r="SAZ55" s="196"/>
      <c r="SBA55" s="196"/>
      <c r="SBB55" s="196"/>
      <c r="SBC55" s="196"/>
      <c r="SBD55" s="196"/>
      <c r="SBE55" s="196"/>
      <c r="SBF55" s="196"/>
      <c r="SBG55" s="196"/>
      <c r="SBH55" s="196"/>
      <c r="SBI55" s="196"/>
      <c r="SBJ55" s="196"/>
      <c r="SBK55" s="196"/>
      <c r="SBL55" s="196"/>
      <c r="SBM55" s="196"/>
      <c r="SBN55" s="196"/>
      <c r="SBO55" s="196"/>
      <c r="SBP55" s="196"/>
      <c r="SBQ55" s="196"/>
      <c r="SBR55" s="196"/>
      <c r="SBS55" s="196"/>
      <c r="SBT55" s="196"/>
      <c r="SBU55" s="196"/>
      <c r="SBV55" s="196"/>
      <c r="SBW55" s="196"/>
      <c r="SBX55" s="196"/>
      <c r="SBY55" s="196"/>
      <c r="SBZ55" s="196"/>
      <c r="SCA55" s="196"/>
      <c r="SCB55" s="196"/>
      <c r="SCC55" s="196"/>
      <c r="SCD55" s="196"/>
      <c r="SCE55" s="196"/>
      <c r="SCF55" s="196"/>
      <c r="SCG55" s="196"/>
      <c r="SCH55" s="196"/>
      <c r="SCI55" s="196"/>
      <c r="SCJ55" s="196"/>
      <c r="SCK55" s="196"/>
      <c r="SCL55" s="196"/>
      <c r="SCM55" s="196"/>
      <c r="SCN55" s="196"/>
      <c r="SCO55" s="196"/>
      <c r="SCP55" s="196"/>
      <c r="SCQ55" s="196"/>
      <c r="SCR55" s="196"/>
      <c r="SCS55" s="196"/>
      <c r="SCT55" s="196"/>
      <c r="SCU55" s="196"/>
      <c r="SCV55" s="196"/>
      <c r="SCW55" s="196"/>
      <c r="SCX55" s="196"/>
      <c r="SCY55" s="196"/>
      <c r="SCZ55" s="196"/>
      <c r="SDA55" s="196"/>
      <c r="SDB55" s="196"/>
      <c r="SDC55" s="196"/>
      <c r="SDD55" s="196"/>
      <c r="SDE55" s="196"/>
      <c r="SDF55" s="196"/>
      <c r="SDG55" s="196"/>
      <c r="SDH55" s="196"/>
      <c r="SDI55" s="196"/>
      <c r="SDJ55" s="196"/>
      <c r="SDK55" s="196"/>
      <c r="SDL55" s="196"/>
      <c r="SDM55" s="196"/>
      <c r="SDN55" s="196"/>
      <c r="SDO55" s="196"/>
      <c r="SDP55" s="196"/>
      <c r="SDQ55" s="196"/>
      <c r="SDR55" s="196"/>
      <c r="SDS55" s="196"/>
      <c r="SDT55" s="196"/>
      <c r="SDU55" s="196"/>
      <c r="SDV55" s="196"/>
      <c r="SDW55" s="196"/>
      <c r="SDX55" s="196"/>
      <c r="SDY55" s="196"/>
      <c r="SDZ55" s="196"/>
      <c r="SEA55" s="196"/>
      <c r="SEB55" s="196"/>
      <c r="SEC55" s="196"/>
      <c r="SED55" s="196"/>
      <c r="SEE55" s="196"/>
      <c r="SEF55" s="196"/>
      <c r="SEG55" s="196"/>
      <c r="SEH55" s="196"/>
      <c r="SEI55" s="196"/>
      <c r="SEJ55" s="196"/>
      <c r="SEK55" s="196"/>
      <c r="SEL55" s="196"/>
      <c r="SEM55" s="196"/>
      <c r="SEN55" s="196"/>
      <c r="SEO55" s="196"/>
      <c r="SEP55" s="196"/>
      <c r="SEQ55" s="196"/>
      <c r="SER55" s="196"/>
      <c r="SES55" s="196"/>
      <c r="SET55" s="196"/>
      <c r="SEU55" s="196"/>
      <c r="SEV55" s="196"/>
      <c r="SEW55" s="196"/>
      <c r="SEX55" s="196"/>
      <c r="SEY55" s="196"/>
      <c r="SEZ55" s="196"/>
      <c r="SFA55" s="196"/>
      <c r="SFB55" s="196"/>
      <c r="SFC55" s="196"/>
      <c r="SFD55" s="196"/>
      <c r="SFE55" s="196"/>
      <c r="SFF55" s="196"/>
      <c r="SFG55" s="196"/>
      <c r="SFH55" s="196"/>
      <c r="SFI55" s="196"/>
      <c r="SFJ55" s="196"/>
      <c r="SFK55" s="196"/>
      <c r="SFL55" s="196"/>
      <c r="SFM55" s="196"/>
      <c r="SFN55" s="196"/>
      <c r="SFO55" s="196"/>
      <c r="SFP55" s="196"/>
      <c r="SFQ55" s="196"/>
      <c r="SFR55" s="196"/>
      <c r="SFS55" s="196"/>
      <c r="SFT55" s="196"/>
      <c r="SFU55" s="196"/>
      <c r="SFV55" s="196"/>
      <c r="SFW55" s="196"/>
      <c r="SFX55" s="196"/>
      <c r="SFY55" s="196"/>
      <c r="SFZ55" s="196"/>
      <c r="SGA55" s="196"/>
      <c r="SGB55" s="196"/>
      <c r="SGC55" s="196"/>
      <c r="SGD55" s="196"/>
      <c r="SGE55" s="196"/>
      <c r="SGF55" s="196"/>
      <c r="SGG55" s="196"/>
      <c r="SGH55" s="196"/>
      <c r="SGI55" s="196"/>
      <c r="SGJ55" s="196"/>
      <c r="SGK55" s="196"/>
      <c r="SGL55" s="196"/>
      <c r="SGM55" s="196"/>
      <c r="SGN55" s="196"/>
      <c r="SGO55" s="196"/>
      <c r="SGP55" s="196"/>
      <c r="SGQ55" s="196"/>
      <c r="SGR55" s="196"/>
      <c r="SGS55" s="196"/>
      <c r="SGT55" s="196"/>
      <c r="SGU55" s="196"/>
      <c r="SGV55" s="196"/>
      <c r="SGW55" s="196"/>
      <c r="SGX55" s="196"/>
      <c r="SGY55" s="196"/>
      <c r="SGZ55" s="196"/>
      <c r="SHA55" s="196"/>
      <c r="SHB55" s="196"/>
      <c r="SHC55" s="196"/>
      <c r="SHD55" s="196"/>
      <c r="SHE55" s="196"/>
      <c r="SHF55" s="196"/>
      <c r="SHG55" s="196"/>
      <c r="SHH55" s="196"/>
      <c r="SHI55" s="196"/>
      <c r="SHJ55" s="196"/>
      <c r="SHK55" s="196"/>
      <c r="SHL55" s="196"/>
      <c r="SHM55" s="196"/>
      <c r="SHN55" s="196"/>
      <c r="SHO55" s="196"/>
      <c r="SHP55" s="196"/>
      <c r="SHQ55" s="196"/>
      <c r="SHR55" s="196"/>
      <c r="SHS55" s="196"/>
      <c r="SHT55" s="196"/>
      <c r="SHU55" s="196"/>
      <c r="SHV55" s="196"/>
      <c r="SHW55" s="196"/>
      <c r="SHX55" s="196"/>
      <c r="SHY55" s="196"/>
      <c r="SHZ55" s="196"/>
      <c r="SIA55" s="196"/>
      <c r="SIB55" s="196"/>
      <c r="SIC55" s="196"/>
      <c r="SID55" s="196"/>
      <c r="SIE55" s="196"/>
      <c r="SIF55" s="196"/>
      <c r="SIG55" s="196"/>
      <c r="SIH55" s="196"/>
      <c r="SII55" s="196"/>
      <c r="SIJ55" s="196"/>
      <c r="SIK55" s="196"/>
      <c r="SIL55" s="196"/>
      <c r="SIM55" s="196"/>
      <c r="SIN55" s="196"/>
      <c r="SIO55" s="196"/>
      <c r="SIP55" s="196"/>
      <c r="SIQ55" s="196"/>
      <c r="SIR55" s="196"/>
      <c r="SIS55" s="196"/>
      <c r="SIT55" s="196"/>
      <c r="SIU55" s="196"/>
      <c r="SIV55" s="196"/>
      <c r="SIW55" s="196"/>
      <c r="SIX55" s="196"/>
      <c r="SIY55" s="196"/>
      <c r="SIZ55" s="196"/>
      <c r="SJA55" s="196"/>
      <c r="SJB55" s="196"/>
      <c r="SJC55" s="196"/>
      <c r="SJD55" s="196"/>
      <c r="SJE55" s="196"/>
      <c r="SJF55" s="196"/>
      <c r="SJG55" s="196"/>
      <c r="SJH55" s="196"/>
      <c r="SJI55" s="196"/>
      <c r="SJJ55" s="196"/>
      <c r="SJK55" s="196"/>
      <c r="SJL55" s="196"/>
      <c r="SJM55" s="196"/>
      <c r="SJN55" s="196"/>
      <c r="SJO55" s="196"/>
      <c r="SJP55" s="196"/>
      <c r="SJQ55" s="196"/>
      <c r="SJR55" s="196"/>
      <c r="SJS55" s="196"/>
      <c r="SJT55" s="196"/>
      <c r="SJU55" s="196"/>
      <c r="SJV55" s="196"/>
      <c r="SJW55" s="196"/>
      <c r="SJX55" s="196"/>
      <c r="SJY55" s="196"/>
      <c r="SJZ55" s="196"/>
      <c r="SKA55" s="196"/>
      <c r="SKB55" s="196"/>
      <c r="SKC55" s="196"/>
      <c r="SKD55" s="196"/>
      <c r="SKE55" s="196"/>
      <c r="SKF55" s="196"/>
      <c r="SKG55" s="196"/>
      <c r="SKH55" s="196"/>
      <c r="SKI55" s="196"/>
      <c r="SKJ55" s="196"/>
      <c r="SKK55" s="196"/>
      <c r="SKL55" s="196"/>
      <c r="SKM55" s="196"/>
      <c r="SKN55" s="196"/>
      <c r="SKO55" s="196"/>
      <c r="SKP55" s="196"/>
      <c r="SKQ55" s="196"/>
      <c r="SKR55" s="196"/>
      <c r="SKS55" s="196"/>
      <c r="SKT55" s="196"/>
      <c r="SKU55" s="196"/>
      <c r="SKV55" s="196"/>
      <c r="SKW55" s="196"/>
      <c r="SKX55" s="196"/>
      <c r="SKY55" s="196"/>
      <c r="SKZ55" s="196"/>
      <c r="SLA55" s="196"/>
      <c r="SLB55" s="196"/>
      <c r="SLC55" s="196"/>
      <c r="SLD55" s="196"/>
      <c r="SLE55" s="196"/>
      <c r="SLF55" s="196"/>
      <c r="SLG55" s="196"/>
      <c r="SLH55" s="196"/>
      <c r="SLI55" s="196"/>
      <c r="SLJ55" s="196"/>
      <c r="SLK55" s="196"/>
      <c r="SLL55" s="196"/>
      <c r="SLM55" s="196"/>
      <c r="SLN55" s="196"/>
      <c r="SLO55" s="196"/>
      <c r="SLP55" s="196"/>
      <c r="SLQ55" s="196"/>
      <c r="SLR55" s="196"/>
      <c r="SLS55" s="196"/>
      <c r="SLT55" s="196"/>
      <c r="SLU55" s="196"/>
      <c r="SLV55" s="196"/>
      <c r="SLW55" s="196"/>
      <c r="SLX55" s="196"/>
      <c r="SLY55" s="196"/>
      <c r="SLZ55" s="196"/>
      <c r="SMA55" s="196"/>
      <c r="SMB55" s="196"/>
      <c r="SMC55" s="196"/>
      <c r="SMD55" s="196"/>
      <c r="SME55" s="196"/>
      <c r="SMF55" s="196"/>
      <c r="SMG55" s="196"/>
      <c r="SMH55" s="196"/>
      <c r="SMI55" s="196"/>
      <c r="SMJ55" s="196"/>
      <c r="SMK55" s="196"/>
      <c r="SML55" s="196"/>
      <c r="SMM55" s="196"/>
      <c r="SMN55" s="196"/>
      <c r="SMO55" s="196"/>
      <c r="SMP55" s="196"/>
      <c r="SMQ55" s="196"/>
      <c r="SMR55" s="196"/>
      <c r="SMS55" s="196"/>
      <c r="SMT55" s="196"/>
      <c r="SMU55" s="196"/>
      <c r="SMV55" s="196"/>
      <c r="SMW55" s="196"/>
      <c r="SMX55" s="196"/>
      <c r="SMY55" s="196"/>
      <c r="SMZ55" s="196"/>
      <c r="SNA55" s="196"/>
      <c r="SNB55" s="196"/>
      <c r="SNC55" s="196"/>
      <c r="SND55" s="196"/>
      <c r="SNE55" s="196"/>
      <c r="SNF55" s="196"/>
      <c r="SNG55" s="196"/>
      <c r="SNH55" s="196"/>
      <c r="SNI55" s="196"/>
      <c r="SNJ55" s="196"/>
      <c r="SNK55" s="196"/>
      <c r="SNL55" s="196"/>
      <c r="SNM55" s="196"/>
      <c r="SNN55" s="196"/>
      <c r="SNO55" s="196"/>
      <c r="SNP55" s="196"/>
      <c r="SNQ55" s="196"/>
      <c r="SNR55" s="196"/>
      <c r="SNS55" s="196"/>
      <c r="SNT55" s="196"/>
      <c r="SNU55" s="196"/>
      <c r="SNV55" s="196"/>
      <c r="SNW55" s="196"/>
      <c r="SNX55" s="196"/>
      <c r="SNY55" s="196"/>
      <c r="SNZ55" s="196"/>
      <c r="SOA55" s="196"/>
      <c r="SOB55" s="196"/>
      <c r="SOC55" s="196"/>
      <c r="SOD55" s="196"/>
      <c r="SOE55" s="196"/>
      <c r="SOF55" s="196"/>
      <c r="SOG55" s="196"/>
      <c r="SOH55" s="196"/>
      <c r="SOI55" s="196"/>
      <c r="SOJ55" s="196"/>
      <c r="SOK55" s="196"/>
      <c r="SOL55" s="196"/>
      <c r="SOM55" s="196"/>
      <c r="SON55" s="196"/>
      <c r="SOO55" s="196"/>
      <c r="SOP55" s="196"/>
      <c r="SOQ55" s="196"/>
      <c r="SOR55" s="196"/>
      <c r="SOS55" s="196"/>
      <c r="SOT55" s="196"/>
      <c r="SOU55" s="196"/>
      <c r="SOV55" s="196"/>
      <c r="SOW55" s="196"/>
      <c r="SOX55" s="196"/>
      <c r="SOY55" s="196"/>
      <c r="SOZ55" s="196"/>
      <c r="SPA55" s="196"/>
      <c r="SPB55" s="196"/>
      <c r="SPC55" s="196"/>
      <c r="SPD55" s="196"/>
      <c r="SPE55" s="196"/>
      <c r="SPF55" s="196"/>
      <c r="SPG55" s="196"/>
      <c r="SPH55" s="196"/>
      <c r="SPI55" s="196"/>
      <c r="SPJ55" s="196"/>
      <c r="SPK55" s="196"/>
      <c r="SPL55" s="196"/>
      <c r="SPM55" s="196"/>
      <c r="SPN55" s="196"/>
      <c r="SPO55" s="196"/>
      <c r="SPP55" s="196"/>
      <c r="SPQ55" s="196"/>
      <c r="SPR55" s="196"/>
      <c r="SPS55" s="196"/>
      <c r="SPT55" s="196"/>
      <c r="SPU55" s="196"/>
      <c r="SPV55" s="196"/>
      <c r="SPW55" s="196"/>
      <c r="SPX55" s="196"/>
      <c r="SPY55" s="196"/>
      <c r="SPZ55" s="196"/>
      <c r="SQA55" s="196"/>
      <c r="SQB55" s="196"/>
      <c r="SQC55" s="196"/>
      <c r="SQD55" s="196"/>
      <c r="SQE55" s="196"/>
      <c r="SQF55" s="196"/>
      <c r="SQG55" s="196"/>
      <c r="SQH55" s="196"/>
      <c r="SQI55" s="196"/>
      <c r="SQJ55" s="196"/>
      <c r="SQK55" s="196"/>
      <c r="SQL55" s="196"/>
      <c r="SQM55" s="196"/>
      <c r="SQN55" s="196"/>
      <c r="SQO55" s="196"/>
      <c r="SQP55" s="196"/>
      <c r="SQQ55" s="196"/>
      <c r="SQR55" s="196"/>
      <c r="SQS55" s="196"/>
      <c r="SQT55" s="196"/>
      <c r="SQU55" s="196"/>
      <c r="SQV55" s="196"/>
      <c r="SQW55" s="196"/>
      <c r="SQX55" s="196"/>
      <c r="SQY55" s="196"/>
      <c r="SQZ55" s="196"/>
      <c r="SRA55" s="196"/>
      <c r="SRB55" s="196"/>
      <c r="SRC55" s="196"/>
      <c r="SRD55" s="196"/>
      <c r="SRE55" s="196"/>
      <c r="SRF55" s="196"/>
      <c r="SRG55" s="196"/>
      <c r="SRH55" s="196"/>
      <c r="SRI55" s="196"/>
      <c r="SRJ55" s="196"/>
      <c r="SRK55" s="196"/>
      <c r="SRL55" s="196"/>
      <c r="SRM55" s="196"/>
      <c r="SRN55" s="196"/>
      <c r="SRO55" s="196"/>
      <c r="SRP55" s="196"/>
      <c r="SRQ55" s="196"/>
      <c r="SRR55" s="196"/>
      <c r="SRS55" s="196"/>
      <c r="SRT55" s="196"/>
      <c r="SRU55" s="196"/>
      <c r="SRV55" s="196"/>
      <c r="SRW55" s="196"/>
      <c r="SRX55" s="196"/>
      <c r="SRY55" s="196"/>
      <c r="SRZ55" s="196"/>
      <c r="SSA55" s="196"/>
      <c r="SSB55" s="196"/>
      <c r="SSC55" s="196"/>
      <c r="SSD55" s="196"/>
      <c r="SSE55" s="196"/>
      <c r="SSF55" s="196"/>
      <c r="SSG55" s="196"/>
      <c r="SSH55" s="196"/>
      <c r="SSI55" s="196"/>
      <c r="SSJ55" s="196"/>
      <c r="SSK55" s="196"/>
      <c r="SSL55" s="196"/>
      <c r="SSM55" s="196"/>
      <c r="SSN55" s="196"/>
      <c r="SSO55" s="196"/>
      <c r="SSP55" s="196"/>
      <c r="SSQ55" s="196"/>
      <c r="SSR55" s="196"/>
      <c r="SSS55" s="196"/>
      <c r="SST55" s="196"/>
      <c r="SSU55" s="196"/>
      <c r="SSV55" s="196"/>
      <c r="SSW55" s="196"/>
      <c r="SSX55" s="196"/>
      <c r="SSY55" s="196"/>
      <c r="SSZ55" s="196"/>
      <c r="STA55" s="196"/>
      <c r="STB55" s="196"/>
      <c r="STC55" s="196"/>
      <c r="STD55" s="196"/>
      <c r="STE55" s="196"/>
      <c r="STF55" s="196"/>
      <c r="STG55" s="196"/>
      <c r="STH55" s="196"/>
      <c r="STI55" s="196"/>
      <c r="STJ55" s="196"/>
      <c r="STK55" s="196"/>
      <c r="STL55" s="196"/>
      <c r="STM55" s="196"/>
      <c r="STN55" s="196"/>
      <c r="STO55" s="196"/>
      <c r="STP55" s="196"/>
      <c r="STQ55" s="196"/>
      <c r="STR55" s="196"/>
      <c r="STS55" s="196"/>
      <c r="STT55" s="196"/>
      <c r="STU55" s="196"/>
      <c r="STV55" s="196"/>
      <c r="STW55" s="196"/>
      <c r="STX55" s="196"/>
      <c r="STY55" s="196"/>
      <c r="STZ55" s="196"/>
      <c r="SUA55" s="196"/>
      <c r="SUB55" s="196"/>
      <c r="SUC55" s="196"/>
      <c r="SUD55" s="196"/>
      <c r="SUE55" s="196"/>
      <c r="SUF55" s="196"/>
      <c r="SUG55" s="196"/>
      <c r="SUH55" s="196"/>
      <c r="SUI55" s="196"/>
      <c r="SUJ55" s="196"/>
      <c r="SUK55" s="196"/>
      <c r="SUL55" s="196"/>
      <c r="SUM55" s="196"/>
      <c r="SUN55" s="196"/>
      <c r="SUO55" s="196"/>
      <c r="SUP55" s="196"/>
      <c r="SUQ55" s="196"/>
      <c r="SUR55" s="196"/>
      <c r="SUS55" s="196"/>
      <c r="SUT55" s="196"/>
      <c r="SUU55" s="196"/>
      <c r="SUV55" s="196"/>
      <c r="SUW55" s="196"/>
      <c r="SUX55" s="196"/>
      <c r="SUY55" s="196"/>
      <c r="SUZ55" s="196"/>
      <c r="SVA55" s="196"/>
      <c r="SVB55" s="196"/>
      <c r="SVC55" s="196"/>
      <c r="SVD55" s="196"/>
      <c r="SVE55" s="196"/>
      <c r="SVF55" s="196"/>
      <c r="SVG55" s="196"/>
      <c r="SVH55" s="196"/>
      <c r="SVI55" s="196"/>
      <c r="SVJ55" s="196"/>
      <c r="SVK55" s="196"/>
      <c r="SVL55" s="196"/>
      <c r="SVM55" s="196"/>
      <c r="SVN55" s="196"/>
      <c r="SVO55" s="196"/>
      <c r="SVP55" s="196"/>
      <c r="SVQ55" s="196"/>
      <c r="SVR55" s="196"/>
      <c r="SVS55" s="196"/>
      <c r="SVT55" s="196"/>
      <c r="SVU55" s="196"/>
      <c r="SVV55" s="196"/>
      <c r="SVW55" s="196"/>
      <c r="SVX55" s="196"/>
      <c r="SVY55" s="196"/>
      <c r="SVZ55" s="196"/>
      <c r="SWA55" s="196"/>
      <c r="SWB55" s="196"/>
      <c r="SWC55" s="196"/>
      <c r="SWD55" s="196"/>
      <c r="SWE55" s="196"/>
      <c r="SWF55" s="196"/>
      <c r="SWG55" s="196"/>
      <c r="SWH55" s="196"/>
      <c r="SWI55" s="196"/>
      <c r="SWJ55" s="196"/>
      <c r="SWK55" s="196"/>
      <c r="SWL55" s="196"/>
      <c r="SWM55" s="196"/>
      <c r="SWN55" s="196"/>
      <c r="SWO55" s="196"/>
      <c r="SWP55" s="196"/>
      <c r="SWQ55" s="196"/>
      <c r="SWR55" s="196"/>
      <c r="SWS55" s="196"/>
      <c r="SWT55" s="196"/>
      <c r="SWU55" s="196"/>
      <c r="SWV55" s="196"/>
      <c r="SWW55" s="196"/>
      <c r="SWX55" s="196"/>
      <c r="SWY55" s="196"/>
      <c r="SWZ55" s="196"/>
      <c r="SXA55" s="196"/>
      <c r="SXB55" s="196"/>
      <c r="SXC55" s="196"/>
      <c r="SXD55" s="196"/>
      <c r="SXE55" s="196"/>
      <c r="SXF55" s="196"/>
      <c r="SXG55" s="196"/>
      <c r="SXH55" s="196"/>
      <c r="SXI55" s="196"/>
      <c r="SXJ55" s="196"/>
      <c r="SXK55" s="196"/>
      <c r="SXL55" s="196"/>
      <c r="SXM55" s="196"/>
      <c r="SXN55" s="196"/>
      <c r="SXO55" s="196"/>
      <c r="SXP55" s="196"/>
      <c r="SXQ55" s="196"/>
      <c r="SXR55" s="196"/>
      <c r="SXS55" s="196"/>
      <c r="SXT55" s="196"/>
      <c r="SXU55" s="196"/>
      <c r="SXV55" s="196"/>
      <c r="SXW55" s="196"/>
      <c r="SXX55" s="196"/>
      <c r="SXY55" s="196"/>
      <c r="SXZ55" s="196"/>
      <c r="SYA55" s="196"/>
      <c r="SYB55" s="196"/>
      <c r="SYC55" s="196"/>
      <c r="SYD55" s="196"/>
      <c r="SYE55" s="196"/>
      <c r="SYF55" s="196"/>
      <c r="SYG55" s="196"/>
      <c r="SYH55" s="196"/>
      <c r="SYI55" s="196"/>
      <c r="SYJ55" s="196"/>
      <c r="SYK55" s="196"/>
      <c r="SYL55" s="196"/>
      <c r="SYM55" s="196"/>
      <c r="SYN55" s="196"/>
      <c r="SYO55" s="196"/>
      <c r="SYP55" s="196"/>
      <c r="SYQ55" s="196"/>
      <c r="SYR55" s="196"/>
      <c r="SYS55" s="196"/>
      <c r="SYT55" s="196"/>
      <c r="SYU55" s="196"/>
      <c r="SYV55" s="196"/>
      <c r="SYW55" s="196"/>
      <c r="SYX55" s="196"/>
      <c r="SYY55" s="196"/>
      <c r="SYZ55" s="196"/>
      <c r="SZA55" s="196"/>
      <c r="SZB55" s="196"/>
      <c r="SZC55" s="196"/>
      <c r="SZD55" s="196"/>
      <c r="SZE55" s="196"/>
      <c r="SZF55" s="196"/>
      <c r="SZG55" s="196"/>
      <c r="SZH55" s="196"/>
      <c r="SZI55" s="196"/>
      <c r="SZJ55" s="196"/>
      <c r="SZK55" s="196"/>
      <c r="SZL55" s="196"/>
      <c r="SZM55" s="196"/>
      <c r="SZN55" s="196"/>
      <c r="SZO55" s="196"/>
      <c r="SZP55" s="196"/>
      <c r="SZQ55" s="196"/>
      <c r="SZR55" s="196"/>
      <c r="SZS55" s="196"/>
      <c r="SZT55" s="196"/>
      <c r="SZU55" s="196"/>
      <c r="SZV55" s="196"/>
      <c r="SZW55" s="196"/>
      <c r="SZX55" s="196"/>
      <c r="SZY55" s="196"/>
      <c r="SZZ55" s="196"/>
      <c r="TAA55" s="196"/>
      <c r="TAB55" s="196"/>
      <c r="TAC55" s="196"/>
      <c r="TAD55" s="196"/>
      <c r="TAE55" s="196"/>
      <c r="TAF55" s="196"/>
      <c r="TAG55" s="196"/>
      <c r="TAH55" s="196"/>
      <c r="TAI55" s="196"/>
      <c r="TAJ55" s="196"/>
      <c r="TAK55" s="196"/>
      <c r="TAL55" s="196"/>
      <c r="TAM55" s="196"/>
      <c r="TAN55" s="196"/>
      <c r="TAO55" s="196"/>
      <c r="TAP55" s="196"/>
      <c r="TAQ55" s="196"/>
      <c r="TAR55" s="196"/>
      <c r="TAS55" s="196"/>
      <c r="TAT55" s="196"/>
      <c r="TAU55" s="196"/>
      <c r="TAV55" s="196"/>
      <c r="TAW55" s="196"/>
      <c r="TAX55" s="196"/>
      <c r="TAY55" s="196"/>
      <c r="TAZ55" s="196"/>
      <c r="TBA55" s="196"/>
      <c r="TBB55" s="196"/>
      <c r="TBC55" s="196"/>
      <c r="TBD55" s="196"/>
      <c r="TBE55" s="196"/>
      <c r="TBF55" s="196"/>
      <c r="TBG55" s="196"/>
      <c r="TBH55" s="196"/>
      <c r="TBI55" s="196"/>
      <c r="TBJ55" s="196"/>
      <c r="TBK55" s="196"/>
      <c r="TBL55" s="196"/>
      <c r="TBM55" s="196"/>
      <c r="TBN55" s="196"/>
      <c r="TBO55" s="196"/>
      <c r="TBP55" s="196"/>
      <c r="TBQ55" s="196"/>
      <c r="TBR55" s="196"/>
      <c r="TBS55" s="196"/>
      <c r="TBT55" s="196"/>
      <c r="TBU55" s="196"/>
      <c r="TBV55" s="196"/>
      <c r="TBW55" s="196"/>
      <c r="TBX55" s="196"/>
      <c r="TBY55" s="196"/>
      <c r="TBZ55" s="196"/>
      <c r="TCA55" s="196"/>
      <c r="TCB55" s="196"/>
      <c r="TCC55" s="196"/>
      <c r="TCD55" s="196"/>
      <c r="TCE55" s="196"/>
      <c r="TCF55" s="196"/>
      <c r="TCG55" s="196"/>
      <c r="TCH55" s="196"/>
      <c r="TCI55" s="196"/>
      <c r="TCJ55" s="196"/>
      <c r="TCK55" s="196"/>
      <c r="TCL55" s="196"/>
      <c r="TCM55" s="196"/>
      <c r="TCN55" s="196"/>
      <c r="TCO55" s="196"/>
      <c r="TCP55" s="196"/>
      <c r="TCQ55" s="196"/>
      <c r="TCR55" s="196"/>
      <c r="TCS55" s="196"/>
      <c r="TCT55" s="196"/>
      <c r="TCU55" s="196"/>
      <c r="TCV55" s="196"/>
      <c r="TCW55" s="196"/>
      <c r="TCX55" s="196"/>
      <c r="TCY55" s="196"/>
      <c r="TCZ55" s="196"/>
      <c r="TDA55" s="196"/>
      <c r="TDB55" s="196"/>
      <c r="TDC55" s="196"/>
      <c r="TDD55" s="196"/>
      <c r="TDE55" s="196"/>
      <c r="TDF55" s="196"/>
      <c r="TDG55" s="196"/>
      <c r="TDH55" s="196"/>
      <c r="TDI55" s="196"/>
      <c r="TDJ55" s="196"/>
      <c r="TDK55" s="196"/>
      <c r="TDL55" s="196"/>
      <c r="TDM55" s="196"/>
      <c r="TDN55" s="196"/>
      <c r="TDO55" s="196"/>
      <c r="TDP55" s="196"/>
      <c r="TDQ55" s="196"/>
      <c r="TDR55" s="196"/>
      <c r="TDS55" s="196"/>
      <c r="TDT55" s="196"/>
      <c r="TDU55" s="196"/>
      <c r="TDV55" s="196"/>
      <c r="TDW55" s="196"/>
      <c r="TDX55" s="196"/>
      <c r="TDY55" s="196"/>
      <c r="TDZ55" s="196"/>
      <c r="TEA55" s="196"/>
      <c r="TEB55" s="196"/>
      <c r="TEC55" s="196"/>
      <c r="TED55" s="196"/>
      <c r="TEE55" s="196"/>
      <c r="TEF55" s="196"/>
      <c r="TEG55" s="196"/>
      <c r="TEH55" s="196"/>
      <c r="TEI55" s="196"/>
      <c r="TEJ55" s="196"/>
      <c r="TEK55" s="196"/>
      <c r="TEL55" s="196"/>
      <c r="TEM55" s="196"/>
      <c r="TEN55" s="196"/>
      <c r="TEO55" s="196"/>
      <c r="TEP55" s="196"/>
      <c r="TEQ55" s="196"/>
      <c r="TER55" s="196"/>
      <c r="TES55" s="196"/>
      <c r="TET55" s="196"/>
      <c r="TEU55" s="196"/>
      <c r="TEV55" s="196"/>
      <c r="TEW55" s="196"/>
      <c r="TEX55" s="196"/>
      <c r="TEY55" s="196"/>
      <c r="TEZ55" s="196"/>
      <c r="TFA55" s="196"/>
      <c r="TFB55" s="196"/>
      <c r="TFC55" s="196"/>
      <c r="TFD55" s="196"/>
      <c r="TFE55" s="196"/>
      <c r="TFF55" s="196"/>
      <c r="TFG55" s="196"/>
      <c r="TFH55" s="196"/>
      <c r="TFI55" s="196"/>
      <c r="TFJ55" s="196"/>
      <c r="TFK55" s="196"/>
      <c r="TFL55" s="196"/>
      <c r="TFM55" s="196"/>
      <c r="TFN55" s="196"/>
      <c r="TFO55" s="196"/>
      <c r="TFP55" s="196"/>
      <c r="TFQ55" s="196"/>
      <c r="TFR55" s="196"/>
      <c r="TFS55" s="196"/>
      <c r="TFT55" s="196"/>
      <c r="TFU55" s="196"/>
      <c r="TFV55" s="196"/>
      <c r="TFW55" s="196"/>
      <c r="TFX55" s="196"/>
      <c r="TFY55" s="196"/>
      <c r="TFZ55" s="196"/>
      <c r="TGA55" s="196"/>
      <c r="TGB55" s="196"/>
      <c r="TGC55" s="196"/>
      <c r="TGD55" s="196"/>
      <c r="TGE55" s="196"/>
      <c r="TGF55" s="196"/>
      <c r="TGG55" s="196"/>
      <c r="TGH55" s="196"/>
      <c r="TGI55" s="196"/>
      <c r="TGJ55" s="196"/>
      <c r="TGK55" s="196"/>
      <c r="TGL55" s="196"/>
      <c r="TGM55" s="196"/>
      <c r="TGN55" s="196"/>
      <c r="TGO55" s="196"/>
      <c r="TGP55" s="196"/>
      <c r="TGQ55" s="196"/>
      <c r="TGR55" s="196"/>
      <c r="TGS55" s="196"/>
      <c r="TGT55" s="196"/>
      <c r="TGU55" s="196"/>
      <c r="TGV55" s="196"/>
      <c r="TGW55" s="196"/>
      <c r="TGX55" s="196"/>
      <c r="TGY55" s="196"/>
      <c r="TGZ55" s="196"/>
      <c r="THA55" s="196"/>
      <c r="THB55" s="196"/>
      <c r="THC55" s="196"/>
      <c r="THD55" s="196"/>
      <c r="THE55" s="196"/>
      <c r="THF55" s="196"/>
      <c r="THG55" s="196"/>
      <c r="THH55" s="196"/>
      <c r="THI55" s="196"/>
      <c r="THJ55" s="196"/>
      <c r="THK55" s="196"/>
      <c r="THL55" s="196"/>
      <c r="THM55" s="196"/>
      <c r="THN55" s="196"/>
      <c r="THO55" s="196"/>
      <c r="THP55" s="196"/>
      <c r="THQ55" s="196"/>
      <c r="THR55" s="196"/>
      <c r="THS55" s="196"/>
      <c r="THT55" s="196"/>
      <c r="THU55" s="196"/>
      <c r="THV55" s="196"/>
      <c r="THW55" s="196"/>
      <c r="THX55" s="196"/>
      <c r="THY55" s="196"/>
      <c r="THZ55" s="196"/>
      <c r="TIA55" s="196"/>
      <c r="TIB55" s="196"/>
      <c r="TIC55" s="196"/>
      <c r="TID55" s="196"/>
      <c r="TIE55" s="196"/>
      <c r="TIF55" s="196"/>
      <c r="TIG55" s="196"/>
      <c r="TIH55" s="196"/>
      <c r="TII55" s="196"/>
      <c r="TIJ55" s="196"/>
      <c r="TIK55" s="196"/>
      <c r="TIL55" s="196"/>
      <c r="TIM55" s="196"/>
      <c r="TIN55" s="196"/>
      <c r="TIO55" s="196"/>
      <c r="TIP55" s="196"/>
      <c r="TIQ55" s="196"/>
      <c r="TIR55" s="196"/>
      <c r="TIS55" s="196"/>
      <c r="TIT55" s="196"/>
      <c r="TIU55" s="196"/>
      <c r="TIV55" s="196"/>
      <c r="TIW55" s="196"/>
      <c r="TIX55" s="196"/>
      <c r="TIY55" s="196"/>
      <c r="TIZ55" s="196"/>
      <c r="TJA55" s="196"/>
      <c r="TJB55" s="196"/>
      <c r="TJC55" s="196"/>
      <c r="TJD55" s="196"/>
      <c r="TJE55" s="196"/>
      <c r="TJF55" s="196"/>
      <c r="TJG55" s="196"/>
      <c r="TJH55" s="196"/>
      <c r="TJI55" s="196"/>
      <c r="TJJ55" s="196"/>
      <c r="TJK55" s="196"/>
      <c r="TJL55" s="196"/>
      <c r="TJM55" s="196"/>
      <c r="TJN55" s="196"/>
      <c r="TJO55" s="196"/>
      <c r="TJP55" s="196"/>
      <c r="TJQ55" s="196"/>
      <c r="TJR55" s="196"/>
      <c r="TJS55" s="196"/>
      <c r="TJT55" s="196"/>
      <c r="TJU55" s="196"/>
      <c r="TJV55" s="196"/>
      <c r="TJW55" s="196"/>
      <c r="TJX55" s="196"/>
      <c r="TJY55" s="196"/>
      <c r="TJZ55" s="196"/>
      <c r="TKA55" s="196"/>
      <c r="TKB55" s="196"/>
      <c r="TKC55" s="196"/>
      <c r="TKD55" s="196"/>
      <c r="TKE55" s="196"/>
      <c r="TKF55" s="196"/>
      <c r="TKG55" s="196"/>
      <c r="TKH55" s="196"/>
      <c r="TKI55" s="196"/>
      <c r="TKJ55" s="196"/>
      <c r="TKK55" s="196"/>
      <c r="TKL55" s="196"/>
      <c r="TKM55" s="196"/>
      <c r="TKN55" s="196"/>
      <c r="TKO55" s="196"/>
      <c r="TKP55" s="196"/>
      <c r="TKQ55" s="196"/>
      <c r="TKR55" s="196"/>
      <c r="TKS55" s="196"/>
      <c r="TKT55" s="196"/>
      <c r="TKU55" s="196"/>
      <c r="TKV55" s="196"/>
      <c r="TKW55" s="196"/>
      <c r="TKX55" s="196"/>
      <c r="TKY55" s="196"/>
      <c r="TKZ55" s="196"/>
      <c r="TLA55" s="196"/>
      <c r="TLB55" s="196"/>
      <c r="TLC55" s="196"/>
      <c r="TLD55" s="196"/>
      <c r="TLE55" s="196"/>
      <c r="TLF55" s="196"/>
      <c r="TLG55" s="196"/>
      <c r="TLH55" s="196"/>
      <c r="TLI55" s="196"/>
      <c r="TLJ55" s="196"/>
      <c r="TLK55" s="196"/>
      <c r="TLL55" s="196"/>
      <c r="TLM55" s="196"/>
      <c r="TLN55" s="196"/>
      <c r="TLO55" s="196"/>
      <c r="TLP55" s="196"/>
      <c r="TLQ55" s="196"/>
      <c r="TLR55" s="196"/>
      <c r="TLS55" s="196"/>
      <c r="TLT55" s="196"/>
      <c r="TLU55" s="196"/>
      <c r="TLV55" s="196"/>
      <c r="TLW55" s="196"/>
      <c r="TLX55" s="196"/>
      <c r="TLY55" s="196"/>
      <c r="TLZ55" s="196"/>
      <c r="TMA55" s="196"/>
      <c r="TMB55" s="196"/>
      <c r="TMC55" s="196"/>
      <c r="TMD55" s="196"/>
      <c r="TME55" s="196"/>
      <c r="TMF55" s="196"/>
      <c r="TMG55" s="196"/>
      <c r="TMH55" s="196"/>
      <c r="TMI55" s="196"/>
      <c r="TMJ55" s="196"/>
      <c r="TMK55" s="196"/>
      <c r="TML55" s="196"/>
      <c r="TMM55" s="196"/>
      <c r="TMN55" s="196"/>
      <c r="TMO55" s="196"/>
      <c r="TMP55" s="196"/>
      <c r="TMQ55" s="196"/>
      <c r="TMR55" s="196"/>
      <c r="TMS55" s="196"/>
      <c r="TMT55" s="196"/>
      <c r="TMU55" s="196"/>
      <c r="TMV55" s="196"/>
      <c r="TMW55" s="196"/>
      <c r="TMX55" s="196"/>
      <c r="TMY55" s="196"/>
      <c r="TMZ55" s="196"/>
      <c r="TNA55" s="196"/>
      <c r="TNB55" s="196"/>
      <c r="TNC55" s="196"/>
      <c r="TND55" s="196"/>
      <c r="TNE55" s="196"/>
      <c r="TNF55" s="196"/>
      <c r="TNG55" s="196"/>
      <c r="TNH55" s="196"/>
      <c r="TNI55" s="196"/>
      <c r="TNJ55" s="196"/>
      <c r="TNK55" s="196"/>
      <c r="TNL55" s="196"/>
      <c r="TNM55" s="196"/>
      <c r="TNN55" s="196"/>
      <c r="TNO55" s="196"/>
      <c r="TNP55" s="196"/>
      <c r="TNQ55" s="196"/>
      <c r="TNR55" s="196"/>
      <c r="TNS55" s="196"/>
      <c r="TNT55" s="196"/>
      <c r="TNU55" s="196"/>
      <c r="TNV55" s="196"/>
      <c r="TNW55" s="196"/>
      <c r="TNX55" s="196"/>
      <c r="TNY55" s="196"/>
      <c r="TNZ55" s="196"/>
      <c r="TOA55" s="196"/>
      <c r="TOB55" s="196"/>
      <c r="TOC55" s="196"/>
      <c r="TOD55" s="196"/>
      <c r="TOE55" s="196"/>
      <c r="TOF55" s="196"/>
      <c r="TOG55" s="196"/>
      <c r="TOH55" s="196"/>
      <c r="TOI55" s="196"/>
      <c r="TOJ55" s="196"/>
      <c r="TOK55" s="196"/>
      <c r="TOL55" s="196"/>
      <c r="TOM55" s="196"/>
      <c r="TON55" s="196"/>
      <c r="TOO55" s="196"/>
      <c r="TOP55" s="196"/>
      <c r="TOQ55" s="196"/>
      <c r="TOR55" s="196"/>
      <c r="TOS55" s="196"/>
      <c r="TOT55" s="196"/>
      <c r="TOU55" s="196"/>
      <c r="TOV55" s="196"/>
      <c r="TOW55" s="196"/>
      <c r="TOX55" s="196"/>
      <c r="TOY55" s="196"/>
      <c r="TOZ55" s="196"/>
      <c r="TPA55" s="196"/>
      <c r="TPB55" s="196"/>
      <c r="TPC55" s="196"/>
      <c r="TPD55" s="196"/>
      <c r="TPE55" s="196"/>
      <c r="TPF55" s="196"/>
      <c r="TPG55" s="196"/>
      <c r="TPH55" s="196"/>
      <c r="TPI55" s="196"/>
      <c r="TPJ55" s="196"/>
      <c r="TPK55" s="196"/>
      <c r="TPL55" s="196"/>
      <c r="TPM55" s="196"/>
      <c r="TPN55" s="196"/>
      <c r="TPO55" s="196"/>
      <c r="TPP55" s="196"/>
      <c r="TPQ55" s="196"/>
      <c r="TPR55" s="196"/>
      <c r="TPS55" s="196"/>
      <c r="TPT55" s="196"/>
      <c r="TPU55" s="196"/>
      <c r="TPV55" s="196"/>
      <c r="TPW55" s="196"/>
      <c r="TPX55" s="196"/>
      <c r="TPY55" s="196"/>
      <c r="TPZ55" s="196"/>
      <c r="TQA55" s="196"/>
      <c r="TQB55" s="196"/>
      <c r="TQC55" s="196"/>
      <c r="TQD55" s="196"/>
      <c r="TQE55" s="196"/>
      <c r="TQF55" s="196"/>
      <c r="TQG55" s="196"/>
      <c r="TQH55" s="196"/>
      <c r="TQI55" s="196"/>
      <c r="TQJ55" s="196"/>
      <c r="TQK55" s="196"/>
      <c r="TQL55" s="196"/>
      <c r="TQM55" s="196"/>
      <c r="TQN55" s="196"/>
      <c r="TQO55" s="196"/>
      <c r="TQP55" s="196"/>
      <c r="TQQ55" s="196"/>
      <c r="TQR55" s="196"/>
      <c r="TQS55" s="196"/>
      <c r="TQT55" s="196"/>
      <c r="TQU55" s="196"/>
      <c r="TQV55" s="196"/>
      <c r="TQW55" s="196"/>
      <c r="TQX55" s="196"/>
      <c r="TQY55" s="196"/>
      <c r="TQZ55" s="196"/>
      <c r="TRA55" s="196"/>
      <c r="TRB55" s="196"/>
      <c r="TRC55" s="196"/>
      <c r="TRD55" s="196"/>
      <c r="TRE55" s="196"/>
      <c r="TRF55" s="196"/>
      <c r="TRG55" s="196"/>
      <c r="TRH55" s="196"/>
      <c r="TRI55" s="196"/>
      <c r="TRJ55" s="196"/>
      <c r="TRK55" s="196"/>
      <c r="TRL55" s="196"/>
      <c r="TRM55" s="196"/>
      <c r="TRN55" s="196"/>
      <c r="TRO55" s="196"/>
      <c r="TRP55" s="196"/>
      <c r="TRQ55" s="196"/>
      <c r="TRR55" s="196"/>
      <c r="TRS55" s="196"/>
      <c r="TRT55" s="196"/>
      <c r="TRU55" s="196"/>
      <c r="TRV55" s="196"/>
      <c r="TRW55" s="196"/>
      <c r="TRX55" s="196"/>
      <c r="TRY55" s="196"/>
      <c r="TRZ55" s="196"/>
      <c r="TSA55" s="196"/>
      <c r="TSB55" s="196"/>
      <c r="TSC55" s="196"/>
      <c r="TSD55" s="196"/>
      <c r="TSE55" s="196"/>
      <c r="TSF55" s="196"/>
      <c r="TSG55" s="196"/>
      <c r="TSH55" s="196"/>
      <c r="TSI55" s="196"/>
      <c r="TSJ55" s="196"/>
      <c r="TSK55" s="196"/>
      <c r="TSL55" s="196"/>
      <c r="TSM55" s="196"/>
      <c r="TSN55" s="196"/>
      <c r="TSO55" s="196"/>
      <c r="TSP55" s="196"/>
      <c r="TSQ55" s="196"/>
      <c r="TSR55" s="196"/>
      <c r="TSS55" s="196"/>
      <c r="TST55" s="196"/>
      <c r="TSU55" s="196"/>
      <c r="TSV55" s="196"/>
      <c r="TSW55" s="196"/>
      <c r="TSX55" s="196"/>
      <c r="TSY55" s="196"/>
      <c r="TSZ55" s="196"/>
      <c r="TTA55" s="196"/>
      <c r="TTB55" s="196"/>
      <c r="TTC55" s="196"/>
      <c r="TTD55" s="196"/>
      <c r="TTE55" s="196"/>
      <c r="TTF55" s="196"/>
      <c r="TTG55" s="196"/>
      <c r="TTH55" s="196"/>
      <c r="TTI55" s="196"/>
      <c r="TTJ55" s="196"/>
      <c r="TTK55" s="196"/>
      <c r="TTL55" s="196"/>
      <c r="TTM55" s="196"/>
      <c r="TTN55" s="196"/>
      <c r="TTO55" s="196"/>
      <c r="TTP55" s="196"/>
      <c r="TTQ55" s="196"/>
      <c r="TTR55" s="196"/>
      <c r="TTS55" s="196"/>
      <c r="TTT55" s="196"/>
      <c r="TTU55" s="196"/>
      <c r="TTV55" s="196"/>
      <c r="TTW55" s="196"/>
      <c r="TTX55" s="196"/>
      <c r="TTY55" s="196"/>
      <c r="TTZ55" s="196"/>
      <c r="TUA55" s="196"/>
      <c r="TUB55" s="196"/>
      <c r="TUC55" s="196"/>
      <c r="TUD55" s="196"/>
      <c r="TUE55" s="196"/>
      <c r="TUF55" s="196"/>
      <c r="TUG55" s="196"/>
      <c r="TUH55" s="196"/>
      <c r="TUI55" s="196"/>
      <c r="TUJ55" s="196"/>
      <c r="TUK55" s="196"/>
      <c r="TUL55" s="196"/>
      <c r="TUM55" s="196"/>
      <c r="TUN55" s="196"/>
      <c r="TUO55" s="196"/>
      <c r="TUP55" s="196"/>
      <c r="TUQ55" s="196"/>
      <c r="TUR55" s="196"/>
      <c r="TUS55" s="196"/>
      <c r="TUT55" s="196"/>
      <c r="TUU55" s="196"/>
      <c r="TUV55" s="196"/>
      <c r="TUW55" s="196"/>
      <c r="TUX55" s="196"/>
      <c r="TUY55" s="196"/>
      <c r="TUZ55" s="196"/>
      <c r="TVA55" s="196"/>
      <c r="TVB55" s="196"/>
      <c r="TVC55" s="196"/>
      <c r="TVD55" s="196"/>
      <c r="TVE55" s="196"/>
      <c r="TVF55" s="196"/>
      <c r="TVG55" s="196"/>
      <c r="TVH55" s="196"/>
      <c r="TVI55" s="196"/>
      <c r="TVJ55" s="196"/>
      <c r="TVK55" s="196"/>
      <c r="TVL55" s="196"/>
      <c r="TVM55" s="196"/>
      <c r="TVN55" s="196"/>
      <c r="TVO55" s="196"/>
      <c r="TVP55" s="196"/>
      <c r="TVQ55" s="196"/>
      <c r="TVR55" s="196"/>
      <c r="TVS55" s="196"/>
      <c r="TVT55" s="196"/>
      <c r="TVU55" s="196"/>
      <c r="TVV55" s="196"/>
      <c r="TVW55" s="196"/>
      <c r="TVX55" s="196"/>
      <c r="TVY55" s="196"/>
      <c r="TVZ55" s="196"/>
      <c r="TWA55" s="196"/>
      <c r="TWB55" s="196"/>
      <c r="TWC55" s="196"/>
      <c r="TWD55" s="196"/>
      <c r="TWE55" s="196"/>
      <c r="TWF55" s="196"/>
      <c r="TWG55" s="196"/>
      <c r="TWH55" s="196"/>
      <c r="TWI55" s="196"/>
      <c r="TWJ55" s="196"/>
      <c r="TWK55" s="196"/>
      <c r="TWL55" s="196"/>
      <c r="TWM55" s="196"/>
      <c r="TWN55" s="196"/>
      <c r="TWO55" s="196"/>
      <c r="TWP55" s="196"/>
      <c r="TWQ55" s="196"/>
      <c r="TWR55" s="196"/>
      <c r="TWS55" s="196"/>
      <c r="TWT55" s="196"/>
      <c r="TWU55" s="196"/>
      <c r="TWV55" s="196"/>
      <c r="TWW55" s="196"/>
      <c r="TWX55" s="196"/>
      <c r="TWY55" s="196"/>
      <c r="TWZ55" s="196"/>
      <c r="TXA55" s="196"/>
      <c r="TXB55" s="196"/>
      <c r="TXC55" s="196"/>
      <c r="TXD55" s="196"/>
      <c r="TXE55" s="196"/>
      <c r="TXF55" s="196"/>
      <c r="TXG55" s="196"/>
      <c r="TXH55" s="196"/>
      <c r="TXI55" s="196"/>
      <c r="TXJ55" s="196"/>
      <c r="TXK55" s="196"/>
      <c r="TXL55" s="196"/>
      <c r="TXM55" s="196"/>
      <c r="TXN55" s="196"/>
      <c r="TXO55" s="196"/>
      <c r="TXP55" s="196"/>
      <c r="TXQ55" s="196"/>
      <c r="TXR55" s="196"/>
      <c r="TXS55" s="196"/>
      <c r="TXT55" s="196"/>
      <c r="TXU55" s="196"/>
      <c r="TXV55" s="196"/>
      <c r="TXW55" s="196"/>
      <c r="TXX55" s="196"/>
      <c r="TXY55" s="196"/>
      <c r="TXZ55" s="196"/>
      <c r="TYA55" s="196"/>
      <c r="TYB55" s="196"/>
      <c r="TYC55" s="196"/>
      <c r="TYD55" s="196"/>
      <c r="TYE55" s="196"/>
      <c r="TYF55" s="196"/>
      <c r="TYG55" s="196"/>
      <c r="TYH55" s="196"/>
      <c r="TYI55" s="196"/>
      <c r="TYJ55" s="196"/>
      <c r="TYK55" s="196"/>
      <c r="TYL55" s="196"/>
      <c r="TYM55" s="196"/>
      <c r="TYN55" s="196"/>
      <c r="TYO55" s="196"/>
      <c r="TYP55" s="196"/>
      <c r="TYQ55" s="196"/>
      <c r="TYR55" s="196"/>
      <c r="TYS55" s="196"/>
      <c r="TYT55" s="196"/>
      <c r="TYU55" s="196"/>
      <c r="TYV55" s="196"/>
      <c r="TYW55" s="196"/>
      <c r="TYX55" s="196"/>
      <c r="TYY55" s="196"/>
      <c r="TYZ55" s="196"/>
      <c r="TZA55" s="196"/>
      <c r="TZB55" s="196"/>
      <c r="TZC55" s="196"/>
      <c r="TZD55" s="196"/>
      <c r="TZE55" s="196"/>
      <c r="TZF55" s="196"/>
      <c r="TZG55" s="196"/>
      <c r="TZH55" s="196"/>
      <c r="TZI55" s="196"/>
      <c r="TZJ55" s="196"/>
      <c r="TZK55" s="196"/>
      <c r="TZL55" s="196"/>
      <c r="TZM55" s="196"/>
      <c r="TZN55" s="196"/>
      <c r="TZO55" s="196"/>
      <c r="TZP55" s="196"/>
      <c r="TZQ55" s="196"/>
      <c r="TZR55" s="196"/>
      <c r="TZS55" s="196"/>
      <c r="TZT55" s="196"/>
      <c r="TZU55" s="196"/>
      <c r="TZV55" s="196"/>
      <c r="TZW55" s="196"/>
      <c r="TZX55" s="196"/>
      <c r="TZY55" s="196"/>
      <c r="TZZ55" s="196"/>
      <c r="UAA55" s="196"/>
      <c r="UAB55" s="196"/>
      <c r="UAC55" s="196"/>
      <c r="UAD55" s="196"/>
      <c r="UAE55" s="196"/>
      <c r="UAF55" s="196"/>
      <c r="UAG55" s="196"/>
      <c r="UAH55" s="196"/>
      <c r="UAI55" s="196"/>
      <c r="UAJ55" s="196"/>
      <c r="UAK55" s="196"/>
      <c r="UAL55" s="196"/>
      <c r="UAM55" s="196"/>
      <c r="UAN55" s="196"/>
      <c r="UAO55" s="196"/>
      <c r="UAP55" s="196"/>
      <c r="UAQ55" s="196"/>
      <c r="UAR55" s="196"/>
      <c r="UAS55" s="196"/>
      <c r="UAT55" s="196"/>
      <c r="UAU55" s="196"/>
      <c r="UAV55" s="196"/>
      <c r="UAW55" s="196"/>
      <c r="UAX55" s="196"/>
      <c r="UAY55" s="196"/>
      <c r="UAZ55" s="196"/>
      <c r="UBA55" s="196"/>
      <c r="UBB55" s="196"/>
      <c r="UBC55" s="196"/>
      <c r="UBD55" s="196"/>
      <c r="UBE55" s="196"/>
      <c r="UBF55" s="196"/>
      <c r="UBG55" s="196"/>
      <c r="UBH55" s="196"/>
      <c r="UBI55" s="196"/>
      <c r="UBJ55" s="196"/>
      <c r="UBK55" s="196"/>
      <c r="UBL55" s="196"/>
      <c r="UBM55" s="196"/>
      <c r="UBN55" s="196"/>
      <c r="UBO55" s="196"/>
      <c r="UBP55" s="196"/>
      <c r="UBQ55" s="196"/>
      <c r="UBR55" s="196"/>
      <c r="UBS55" s="196"/>
      <c r="UBT55" s="196"/>
      <c r="UBU55" s="196"/>
      <c r="UBV55" s="196"/>
      <c r="UBW55" s="196"/>
      <c r="UBX55" s="196"/>
      <c r="UBY55" s="196"/>
      <c r="UBZ55" s="196"/>
      <c r="UCA55" s="196"/>
      <c r="UCB55" s="196"/>
      <c r="UCC55" s="196"/>
      <c r="UCD55" s="196"/>
      <c r="UCE55" s="196"/>
      <c r="UCF55" s="196"/>
      <c r="UCG55" s="196"/>
      <c r="UCH55" s="196"/>
      <c r="UCI55" s="196"/>
      <c r="UCJ55" s="196"/>
      <c r="UCK55" s="196"/>
      <c r="UCL55" s="196"/>
      <c r="UCM55" s="196"/>
      <c r="UCN55" s="196"/>
      <c r="UCO55" s="196"/>
      <c r="UCP55" s="196"/>
      <c r="UCQ55" s="196"/>
      <c r="UCR55" s="196"/>
      <c r="UCS55" s="196"/>
      <c r="UCT55" s="196"/>
      <c r="UCU55" s="196"/>
      <c r="UCV55" s="196"/>
      <c r="UCW55" s="196"/>
      <c r="UCX55" s="196"/>
      <c r="UCY55" s="196"/>
      <c r="UCZ55" s="196"/>
      <c r="UDA55" s="196"/>
      <c r="UDB55" s="196"/>
      <c r="UDC55" s="196"/>
      <c r="UDD55" s="196"/>
      <c r="UDE55" s="196"/>
      <c r="UDF55" s="196"/>
      <c r="UDG55" s="196"/>
      <c r="UDH55" s="196"/>
      <c r="UDI55" s="196"/>
      <c r="UDJ55" s="196"/>
      <c r="UDK55" s="196"/>
      <c r="UDL55" s="196"/>
      <c r="UDM55" s="196"/>
      <c r="UDN55" s="196"/>
      <c r="UDO55" s="196"/>
      <c r="UDP55" s="196"/>
      <c r="UDQ55" s="196"/>
      <c r="UDR55" s="196"/>
      <c r="UDS55" s="196"/>
      <c r="UDT55" s="196"/>
      <c r="UDU55" s="196"/>
      <c r="UDV55" s="196"/>
      <c r="UDW55" s="196"/>
      <c r="UDX55" s="196"/>
      <c r="UDY55" s="196"/>
      <c r="UDZ55" s="196"/>
      <c r="UEA55" s="196"/>
      <c r="UEB55" s="196"/>
      <c r="UEC55" s="196"/>
      <c r="UED55" s="196"/>
      <c r="UEE55" s="196"/>
      <c r="UEF55" s="196"/>
      <c r="UEG55" s="196"/>
      <c r="UEH55" s="196"/>
      <c r="UEI55" s="196"/>
      <c r="UEJ55" s="196"/>
      <c r="UEK55" s="196"/>
      <c r="UEL55" s="196"/>
      <c r="UEM55" s="196"/>
      <c r="UEN55" s="196"/>
      <c r="UEO55" s="196"/>
      <c r="UEP55" s="196"/>
      <c r="UEQ55" s="196"/>
      <c r="UER55" s="196"/>
      <c r="UES55" s="196"/>
      <c r="UET55" s="196"/>
      <c r="UEU55" s="196"/>
      <c r="UEV55" s="196"/>
      <c r="UEW55" s="196"/>
      <c r="UEX55" s="196"/>
      <c r="UEY55" s="196"/>
      <c r="UEZ55" s="196"/>
      <c r="UFA55" s="196"/>
      <c r="UFB55" s="196"/>
      <c r="UFC55" s="196"/>
      <c r="UFD55" s="196"/>
      <c r="UFE55" s="196"/>
      <c r="UFF55" s="196"/>
      <c r="UFG55" s="196"/>
      <c r="UFH55" s="196"/>
      <c r="UFI55" s="196"/>
      <c r="UFJ55" s="196"/>
      <c r="UFK55" s="196"/>
      <c r="UFL55" s="196"/>
      <c r="UFM55" s="196"/>
      <c r="UFN55" s="196"/>
      <c r="UFO55" s="196"/>
      <c r="UFP55" s="196"/>
      <c r="UFQ55" s="196"/>
      <c r="UFR55" s="196"/>
      <c r="UFS55" s="196"/>
      <c r="UFT55" s="196"/>
      <c r="UFU55" s="196"/>
      <c r="UFV55" s="196"/>
      <c r="UFW55" s="196"/>
      <c r="UFX55" s="196"/>
      <c r="UFY55" s="196"/>
      <c r="UFZ55" s="196"/>
      <c r="UGA55" s="196"/>
      <c r="UGB55" s="196"/>
      <c r="UGC55" s="196"/>
      <c r="UGD55" s="196"/>
      <c r="UGE55" s="196"/>
      <c r="UGF55" s="196"/>
      <c r="UGG55" s="196"/>
      <c r="UGH55" s="196"/>
      <c r="UGI55" s="196"/>
      <c r="UGJ55" s="196"/>
      <c r="UGK55" s="196"/>
      <c r="UGL55" s="196"/>
      <c r="UGM55" s="196"/>
      <c r="UGN55" s="196"/>
      <c r="UGO55" s="196"/>
      <c r="UGP55" s="196"/>
      <c r="UGQ55" s="196"/>
      <c r="UGR55" s="196"/>
      <c r="UGS55" s="196"/>
      <c r="UGT55" s="196"/>
      <c r="UGU55" s="196"/>
      <c r="UGV55" s="196"/>
      <c r="UGW55" s="196"/>
      <c r="UGX55" s="196"/>
      <c r="UGY55" s="196"/>
      <c r="UGZ55" s="196"/>
      <c r="UHA55" s="196"/>
      <c r="UHB55" s="196"/>
      <c r="UHC55" s="196"/>
      <c r="UHD55" s="196"/>
      <c r="UHE55" s="196"/>
      <c r="UHF55" s="196"/>
      <c r="UHG55" s="196"/>
      <c r="UHH55" s="196"/>
      <c r="UHI55" s="196"/>
      <c r="UHJ55" s="196"/>
      <c r="UHK55" s="196"/>
      <c r="UHL55" s="196"/>
      <c r="UHM55" s="196"/>
      <c r="UHN55" s="196"/>
      <c r="UHO55" s="196"/>
      <c r="UHP55" s="196"/>
      <c r="UHQ55" s="196"/>
      <c r="UHR55" s="196"/>
      <c r="UHS55" s="196"/>
      <c r="UHT55" s="196"/>
      <c r="UHU55" s="196"/>
      <c r="UHV55" s="196"/>
      <c r="UHW55" s="196"/>
      <c r="UHX55" s="196"/>
      <c r="UHY55" s="196"/>
      <c r="UHZ55" s="196"/>
      <c r="UIA55" s="196"/>
      <c r="UIB55" s="196"/>
      <c r="UIC55" s="196"/>
      <c r="UID55" s="196"/>
      <c r="UIE55" s="196"/>
      <c r="UIF55" s="196"/>
      <c r="UIG55" s="196"/>
      <c r="UIH55" s="196"/>
      <c r="UII55" s="196"/>
      <c r="UIJ55" s="196"/>
      <c r="UIK55" s="196"/>
      <c r="UIL55" s="196"/>
      <c r="UIM55" s="196"/>
      <c r="UIN55" s="196"/>
      <c r="UIO55" s="196"/>
      <c r="UIP55" s="196"/>
      <c r="UIQ55" s="196"/>
      <c r="UIR55" s="196"/>
      <c r="UIS55" s="196"/>
      <c r="UIT55" s="196"/>
      <c r="UIU55" s="196"/>
      <c r="UIV55" s="196"/>
      <c r="UIW55" s="196"/>
      <c r="UIX55" s="196"/>
      <c r="UIY55" s="196"/>
      <c r="UIZ55" s="196"/>
      <c r="UJA55" s="196"/>
      <c r="UJB55" s="196"/>
      <c r="UJC55" s="196"/>
      <c r="UJD55" s="196"/>
      <c r="UJE55" s="196"/>
      <c r="UJF55" s="196"/>
      <c r="UJG55" s="196"/>
      <c r="UJH55" s="196"/>
      <c r="UJI55" s="196"/>
      <c r="UJJ55" s="196"/>
      <c r="UJK55" s="196"/>
      <c r="UJL55" s="196"/>
      <c r="UJM55" s="196"/>
      <c r="UJN55" s="196"/>
      <c r="UJO55" s="196"/>
      <c r="UJP55" s="196"/>
      <c r="UJQ55" s="196"/>
      <c r="UJR55" s="196"/>
      <c r="UJS55" s="196"/>
      <c r="UJT55" s="196"/>
      <c r="UJU55" s="196"/>
      <c r="UJV55" s="196"/>
      <c r="UJW55" s="196"/>
      <c r="UJX55" s="196"/>
      <c r="UJY55" s="196"/>
      <c r="UJZ55" s="196"/>
      <c r="UKA55" s="196"/>
      <c r="UKB55" s="196"/>
      <c r="UKC55" s="196"/>
      <c r="UKD55" s="196"/>
      <c r="UKE55" s="196"/>
      <c r="UKF55" s="196"/>
      <c r="UKG55" s="196"/>
      <c r="UKH55" s="196"/>
      <c r="UKI55" s="196"/>
      <c r="UKJ55" s="196"/>
      <c r="UKK55" s="196"/>
      <c r="UKL55" s="196"/>
      <c r="UKM55" s="196"/>
      <c r="UKN55" s="196"/>
      <c r="UKO55" s="196"/>
      <c r="UKP55" s="196"/>
      <c r="UKQ55" s="196"/>
      <c r="UKR55" s="196"/>
      <c r="UKS55" s="196"/>
      <c r="UKT55" s="196"/>
      <c r="UKU55" s="196"/>
      <c r="UKV55" s="196"/>
      <c r="UKW55" s="196"/>
      <c r="UKX55" s="196"/>
      <c r="UKY55" s="196"/>
      <c r="UKZ55" s="196"/>
      <c r="ULA55" s="196"/>
      <c r="ULB55" s="196"/>
      <c r="ULC55" s="196"/>
      <c r="ULD55" s="196"/>
      <c r="ULE55" s="196"/>
      <c r="ULF55" s="196"/>
      <c r="ULG55" s="196"/>
      <c r="ULH55" s="196"/>
      <c r="ULI55" s="196"/>
      <c r="ULJ55" s="196"/>
      <c r="ULK55" s="196"/>
      <c r="ULL55" s="196"/>
      <c r="ULM55" s="196"/>
      <c r="ULN55" s="196"/>
      <c r="ULO55" s="196"/>
      <c r="ULP55" s="196"/>
      <c r="ULQ55" s="196"/>
      <c r="ULR55" s="196"/>
      <c r="ULS55" s="196"/>
      <c r="ULT55" s="196"/>
      <c r="ULU55" s="196"/>
      <c r="ULV55" s="196"/>
      <c r="ULW55" s="196"/>
      <c r="ULX55" s="196"/>
      <c r="ULY55" s="196"/>
      <c r="ULZ55" s="196"/>
      <c r="UMA55" s="196"/>
      <c r="UMB55" s="196"/>
      <c r="UMC55" s="196"/>
      <c r="UMD55" s="196"/>
      <c r="UME55" s="196"/>
      <c r="UMF55" s="196"/>
      <c r="UMG55" s="196"/>
      <c r="UMH55" s="196"/>
      <c r="UMI55" s="196"/>
      <c r="UMJ55" s="196"/>
      <c r="UMK55" s="196"/>
      <c r="UML55" s="196"/>
      <c r="UMM55" s="196"/>
      <c r="UMN55" s="196"/>
      <c r="UMO55" s="196"/>
      <c r="UMP55" s="196"/>
      <c r="UMQ55" s="196"/>
      <c r="UMR55" s="196"/>
      <c r="UMS55" s="196"/>
      <c r="UMT55" s="196"/>
      <c r="UMU55" s="196"/>
      <c r="UMV55" s="196"/>
      <c r="UMW55" s="196"/>
      <c r="UMX55" s="196"/>
      <c r="UMY55" s="196"/>
      <c r="UMZ55" s="196"/>
      <c r="UNA55" s="196"/>
      <c r="UNB55" s="196"/>
      <c r="UNC55" s="196"/>
      <c r="UND55" s="196"/>
      <c r="UNE55" s="196"/>
      <c r="UNF55" s="196"/>
      <c r="UNG55" s="196"/>
      <c r="UNH55" s="196"/>
      <c r="UNI55" s="196"/>
      <c r="UNJ55" s="196"/>
      <c r="UNK55" s="196"/>
      <c r="UNL55" s="196"/>
      <c r="UNM55" s="196"/>
      <c r="UNN55" s="196"/>
      <c r="UNO55" s="196"/>
      <c r="UNP55" s="196"/>
      <c r="UNQ55" s="196"/>
      <c r="UNR55" s="196"/>
      <c r="UNS55" s="196"/>
      <c r="UNT55" s="196"/>
      <c r="UNU55" s="196"/>
      <c r="UNV55" s="196"/>
      <c r="UNW55" s="196"/>
      <c r="UNX55" s="196"/>
      <c r="UNY55" s="196"/>
      <c r="UNZ55" s="196"/>
      <c r="UOA55" s="196"/>
      <c r="UOB55" s="196"/>
      <c r="UOC55" s="196"/>
      <c r="UOD55" s="196"/>
      <c r="UOE55" s="196"/>
      <c r="UOF55" s="196"/>
      <c r="UOG55" s="196"/>
      <c r="UOH55" s="196"/>
      <c r="UOI55" s="196"/>
      <c r="UOJ55" s="196"/>
      <c r="UOK55" s="196"/>
      <c r="UOL55" s="196"/>
      <c r="UOM55" s="196"/>
      <c r="UON55" s="196"/>
      <c r="UOO55" s="196"/>
      <c r="UOP55" s="196"/>
      <c r="UOQ55" s="196"/>
      <c r="UOR55" s="196"/>
      <c r="UOS55" s="196"/>
      <c r="UOT55" s="196"/>
      <c r="UOU55" s="196"/>
      <c r="UOV55" s="196"/>
      <c r="UOW55" s="196"/>
      <c r="UOX55" s="196"/>
      <c r="UOY55" s="196"/>
      <c r="UOZ55" s="196"/>
      <c r="UPA55" s="196"/>
      <c r="UPB55" s="196"/>
      <c r="UPC55" s="196"/>
      <c r="UPD55" s="196"/>
      <c r="UPE55" s="196"/>
      <c r="UPF55" s="196"/>
      <c r="UPG55" s="196"/>
      <c r="UPH55" s="196"/>
      <c r="UPI55" s="196"/>
      <c r="UPJ55" s="196"/>
      <c r="UPK55" s="196"/>
      <c r="UPL55" s="196"/>
      <c r="UPM55" s="196"/>
      <c r="UPN55" s="196"/>
      <c r="UPO55" s="196"/>
      <c r="UPP55" s="196"/>
      <c r="UPQ55" s="196"/>
      <c r="UPR55" s="196"/>
      <c r="UPS55" s="196"/>
      <c r="UPT55" s="196"/>
      <c r="UPU55" s="196"/>
      <c r="UPV55" s="196"/>
      <c r="UPW55" s="196"/>
      <c r="UPX55" s="196"/>
      <c r="UPY55" s="196"/>
      <c r="UPZ55" s="196"/>
      <c r="UQA55" s="196"/>
      <c r="UQB55" s="196"/>
      <c r="UQC55" s="196"/>
      <c r="UQD55" s="196"/>
      <c r="UQE55" s="196"/>
      <c r="UQF55" s="196"/>
      <c r="UQG55" s="196"/>
      <c r="UQH55" s="196"/>
      <c r="UQI55" s="196"/>
      <c r="UQJ55" s="196"/>
      <c r="UQK55" s="196"/>
      <c r="UQL55" s="196"/>
      <c r="UQM55" s="196"/>
      <c r="UQN55" s="196"/>
      <c r="UQO55" s="196"/>
      <c r="UQP55" s="196"/>
      <c r="UQQ55" s="196"/>
      <c r="UQR55" s="196"/>
      <c r="UQS55" s="196"/>
      <c r="UQT55" s="196"/>
      <c r="UQU55" s="196"/>
      <c r="UQV55" s="196"/>
      <c r="UQW55" s="196"/>
      <c r="UQX55" s="196"/>
      <c r="UQY55" s="196"/>
      <c r="UQZ55" s="196"/>
      <c r="URA55" s="196"/>
      <c r="URB55" s="196"/>
      <c r="URC55" s="196"/>
      <c r="URD55" s="196"/>
      <c r="URE55" s="196"/>
      <c r="URF55" s="196"/>
      <c r="URG55" s="196"/>
      <c r="URH55" s="196"/>
      <c r="URI55" s="196"/>
      <c r="URJ55" s="196"/>
      <c r="URK55" s="196"/>
      <c r="URL55" s="196"/>
      <c r="URM55" s="196"/>
      <c r="URN55" s="196"/>
      <c r="URO55" s="196"/>
      <c r="URP55" s="196"/>
      <c r="URQ55" s="196"/>
      <c r="URR55" s="196"/>
      <c r="URS55" s="196"/>
      <c r="URT55" s="196"/>
      <c r="URU55" s="196"/>
      <c r="URV55" s="196"/>
      <c r="URW55" s="196"/>
      <c r="URX55" s="196"/>
      <c r="URY55" s="196"/>
      <c r="URZ55" s="196"/>
      <c r="USA55" s="196"/>
      <c r="USB55" s="196"/>
      <c r="USC55" s="196"/>
      <c r="USD55" s="196"/>
      <c r="USE55" s="196"/>
      <c r="USF55" s="196"/>
      <c r="USG55" s="196"/>
      <c r="USH55" s="196"/>
      <c r="USI55" s="196"/>
      <c r="USJ55" s="196"/>
      <c r="USK55" s="196"/>
      <c r="USL55" s="196"/>
      <c r="USM55" s="196"/>
      <c r="USN55" s="196"/>
      <c r="USO55" s="196"/>
      <c r="USP55" s="196"/>
      <c r="USQ55" s="196"/>
      <c r="USR55" s="196"/>
      <c r="USS55" s="196"/>
      <c r="UST55" s="196"/>
      <c r="USU55" s="196"/>
      <c r="USV55" s="196"/>
      <c r="USW55" s="196"/>
      <c r="USX55" s="196"/>
      <c r="USY55" s="196"/>
      <c r="USZ55" s="196"/>
      <c r="UTA55" s="196"/>
      <c r="UTB55" s="196"/>
      <c r="UTC55" s="196"/>
      <c r="UTD55" s="196"/>
      <c r="UTE55" s="196"/>
      <c r="UTF55" s="196"/>
      <c r="UTG55" s="196"/>
      <c r="UTH55" s="196"/>
      <c r="UTI55" s="196"/>
      <c r="UTJ55" s="196"/>
      <c r="UTK55" s="196"/>
      <c r="UTL55" s="196"/>
      <c r="UTM55" s="196"/>
      <c r="UTN55" s="196"/>
      <c r="UTO55" s="196"/>
      <c r="UTP55" s="196"/>
      <c r="UTQ55" s="196"/>
      <c r="UTR55" s="196"/>
      <c r="UTS55" s="196"/>
      <c r="UTT55" s="196"/>
      <c r="UTU55" s="196"/>
      <c r="UTV55" s="196"/>
      <c r="UTW55" s="196"/>
      <c r="UTX55" s="196"/>
      <c r="UTY55" s="196"/>
      <c r="UTZ55" s="196"/>
      <c r="UUA55" s="196"/>
      <c r="UUB55" s="196"/>
      <c r="UUC55" s="196"/>
      <c r="UUD55" s="196"/>
      <c r="UUE55" s="196"/>
      <c r="UUF55" s="196"/>
      <c r="UUG55" s="196"/>
      <c r="UUH55" s="196"/>
      <c r="UUI55" s="196"/>
      <c r="UUJ55" s="196"/>
      <c r="UUK55" s="196"/>
      <c r="UUL55" s="196"/>
      <c r="UUM55" s="196"/>
      <c r="UUN55" s="196"/>
      <c r="UUO55" s="196"/>
      <c r="UUP55" s="196"/>
      <c r="UUQ55" s="196"/>
      <c r="UUR55" s="196"/>
      <c r="UUS55" s="196"/>
      <c r="UUT55" s="196"/>
      <c r="UUU55" s="196"/>
      <c r="UUV55" s="196"/>
      <c r="UUW55" s="196"/>
      <c r="UUX55" s="196"/>
      <c r="UUY55" s="196"/>
      <c r="UUZ55" s="196"/>
      <c r="UVA55" s="196"/>
      <c r="UVB55" s="196"/>
      <c r="UVC55" s="196"/>
      <c r="UVD55" s="196"/>
      <c r="UVE55" s="196"/>
      <c r="UVF55" s="196"/>
      <c r="UVG55" s="196"/>
      <c r="UVH55" s="196"/>
      <c r="UVI55" s="196"/>
      <c r="UVJ55" s="196"/>
      <c r="UVK55" s="196"/>
      <c r="UVL55" s="196"/>
      <c r="UVM55" s="196"/>
      <c r="UVN55" s="196"/>
      <c r="UVO55" s="196"/>
      <c r="UVP55" s="196"/>
      <c r="UVQ55" s="196"/>
      <c r="UVR55" s="196"/>
      <c r="UVS55" s="196"/>
      <c r="UVT55" s="196"/>
      <c r="UVU55" s="196"/>
      <c r="UVV55" s="196"/>
      <c r="UVW55" s="196"/>
      <c r="UVX55" s="196"/>
      <c r="UVY55" s="196"/>
      <c r="UVZ55" s="196"/>
      <c r="UWA55" s="196"/>
      <c r="UWB55" s="196"/>
      <c r="UWC55" s="196"/>
      <c r="UWD55" s="196"/>
      <c r="UWE55" s="196"/>
      <c r="UWF55" s="196"/>
      <c r="UWG55" s="196"/>
      <c r="UWH55" s="196"/>
      <c r="UWI55" s="196"/>
      <c r="UWJ55" s="196"/>
      <c r="UWK55" s="196"/>
      <c r="UWL55" s="196"/>
      <c r="UWM55" s="196"/>
      <c r="UWN55" s="196"/>
      <c r="UWO55" s="196"/>
      <c r="UWP55" s="196"/>
      <c r="UWQ55" s="196"/>
      <c r="UWR55" s="196"/>
      <c r="UWS55" s="196"/>
      <c r="UWT55" s="196"/>
      <c r="UWU55" s="196"/>
      <c r="UWV55" s="196"/>
      <c r="UWW55" s="196"/>
      <c r="UWX55" s="196"/>
      <c r="UWY55" s="196"/>
      <c r="UWZ55" s="196"/>
      <c r="UXA55" s="196"/>
      <c r="UXB55" s="196"/>
      <c r="UXC55" s="196"/>
      <c r="UXD55" s="196"/>
      <c r="UXE55" s="196"/>
      <c r="UXF55" s="196"/>
      <c r="UXG55" s="196"/>
      <c r="UXH55" s="196"/>
      <c r="UXI55" s="196"/>
      <c r="UXJ55" s="196"/>
      <c r="UXK55" s="196"/>
      <c r="UXL55" s="196"/>
      <c r="UXM55" s="196"/>
      <c r="UXN55" s="196"/>
      <c r="UXO55" s="196"/>
      <c r="UXP55" s="196"/>
      <c r="UXQ55" s="196"/>
      <c r="UXR55" s="196"/>
      <c r="UXS55" s="196"/>
      <c r="UXT55" s="196"/>
      <c r="UXU55" s="196"/>
      <c r="UXV55" s="196"/>
      <c r="UXW55" s="196"/>
      <c r="UXX55" s="196"/>
      <c r="UXY55" s="196"/>
      <c r="UXZ55" s="196"/>
      <c r="UYA55" s="196"/>
      <c r="UYB55" s="196"/>
      <c r="UYC55" s="196"/>
      <c r="UYD55" s="196"/>
      <c r="UYE55" s="196"/>
      <c r="UYF55" s="196"/>
      <c r="UYG55" s="196"/>
      <c r="UYH55" s="196"/>
      <c r="UYI55" s="196"/>
      <c r="UYJ55" s="196"/>
      <c r="UYK55" s="196"/>
      <c r="UYL55" s="196"/>
      <c r="UYM55" s="196"/>
      <c r="UYN55" s="196"/>
      <c r="UYO55" s="196"/>
      <c r="UYP55" s="196"/>
      <c r="UYQ55" s="196"/>
      <c r="UYR55" s="196"/>
      <c r="UYS55" s="196"/>
      <c r="UYT55" s="196"/>
      <c r="UYU55" s="196"/>
      <c r="UYV55" s="196"/>
      <c r="UYW55" s="196"/>
      <c r="UYX55" s="196"/>
      <c r="UYY55" s="196"/>
      <c r="UYZ55" s="196"/>
      <c r="UZA55" s="196"/>
      <c r="UZB55" s="196"/>
      <c r="UZC55" s="196"/>
      <c r="UZD55" s="196"/>
      <c r="UZE55" s="196"/>
      <c r="UZF55" s="196"/>
      <c r="UZG55" s="196"/>
      <c r="UZH55" s="196"/>
      <c r="UZI55" s="196"/>
      <c r="UZJ55" s="196"/>
      <c r="UZK55" s="196"/>
      <c r="UZL55" s="196"/>
      <c r="UZM55" s="196"/>
      <c r="UZN55" s="196"/>
      <c r="UZO55" s="196"/>
      <c r="UZP55" s="196"/>
      <c r="UZQ55" s="196"/>
      <c r="UZR55" s="196"/>
      <c r="UZS55" s="196"/>
      <c r="UZT55" s="196"/>
      <c r="UZU55" s="196"/>
      <c r="UZV55" s="196"/>
      <c r="UZW55" s="196"/>
      <c r="UZX55" s="196"/>
      <c r="UZY55" s="196"/>
      <c r="UZZ55" s="196"/>
      <c r="VAA55" s="196"/>
      <c r="VAB55" s="196"/>
      <c r="VAC55" s="196"/>
      <c r="VAD55" s="196"/>
      <c r="VAE55" s="196"/>
      <c r="VAF55" s="196"/>
      <c r="VAG55" s="196"/>
      <c r="VAH55" s="196"/>
      <c r="VAI55" s="196"/>
      <c r="VAJ55" s="196"/>
      <c r="VAK55" s="196"/>
      <c r="VAL55" s="196"/>
      <c r="VAM55" s="196"/>
      <c r="VAN55" s="196"/>
      <c r="VAO55" s="196"/>
      <c r="VAP55" s="196"/>
      <c r="VAQ55" s="196"/>
      <c r="VAR55" s="196"/>
      <c r="VAS55" s="196"/>
      <c r="VAT55" s="196"/>
      <c r="VAU55" s="196"/>
      <c r="VAV55" s="196"/>
      <c r="VAW55" s="196"/>
      <c r="VAX55" s="196"/>
      <c r="VAY55" s="196"/>
      <c r="VAZ55" s="196"/>
      <c r="VBA55" s="196"/>
      <c r="VBB55" s="196"/>
      <c r="VBC55" s="196"/>
      <c r="VBD55" s="196"/>
      <c r="VBE55" s="196"/>
      <c r="VBF55" s="196"/>
      <c r="VBG55" s="196"/>
      <c r="VBH55" s="196"/>
      <c r="VBI55" s="196"/>
      <c r="VBJ55" s="196"/>
      <c r="VBK55" s="196"/>
      <c r="VBL55" s="196"/>
      <c r="VBM55" s="196"/>
      <c r="VBN55" s="196"/>
      <c r="VBO55" s="196"/>
      <c r="VBP55" s="196"/>
      <c r="VBQ55" s="196"/>
      <c r="VBR55" s="196"/>
      <c r="VBS55" s="196"/>
      <c r="VBT55" s="196"/>
      <c r="VBU55" s="196"/>
      <c r="VBV55" s="196"/>
      <c r="VBW55" s="196"/>
      <c r="VBX55" s="196"/>
      <c r="VBY55" s="196"/>
      <c r="VBZ55" s="196"/>
      <c r="VCA55" s="196"/>
      <c r="VCB55" s="196"/>
      <c r="VCC55" s="196"/>
      <c r="VCD55" s="196"/>
      <c r="VCE55" s="196"/>
      <c r="VCF55" s="196"/>
      <c r="VCG55" s="196"/>
      <c r="VCH55" s="196"/>
      <c r="VCI55" s="196"/>
      <c r="VCJ55" s="196"/>
      <c r="VCK55" s="196"/>
      <c r="VCL55" s="196"/>
      <c r="VCM55" s="196"/>
      <c r="VCN55" s="196"/>
      <c r="VCO55" s="196"/>
      <c r="VCP55" s="196"/>
      <c r="VCQ55" s="196"/>
      <c r="VCR55" s="196"/>
      <c r="VCS55" s="196"/>
      <c r="VCT55" s="196"/>
      <c r="VCU55" s="196"/>
      <c r="VCV55" s="196"/>
      <c r="VCW55" s="196"/>
      <c r="VCX55" s="196"/>
      <c r="VCY55" s="196"/>
      <c r="VCZ55" s="196"/>
      <c r="VDA55" s="196"/>
      <c r="VDB55" s="196"/>
      <c r="VDC55" s="196"/>
      <c r="VDD55" s="196"/>
      <c r="VDE55" s="196"/>
      <c r="VDF55" s="196"/>
      <c r="VDG55" s="196"/>
      <c r="VDH55" s="196"/>
      <c r="VDI55" s="196"/>
      <c r="VDJ55" s="196"/>
      <c r="VDK55" s="196"/>
      <c r="VDL55" s="196"/>
      <c r="VDM55" s="196"/>
      <c r="VDN55" s="196"/>
      <c r="VDO55" s="196"/>
      <c r="VDP55" s="196"/>
      <c r="VDQ55" s="196"/>
      <c r="VDR55" s="196"/>
      <c r="VDS55" s="196"/>
      <c r="VDT55" s="196"/>
      <c r="VDU55" s="196"/>
      <c r="VDV55" s="196"/>
      <c r="VDW55" s="196"/>
      <c r="VDX55" s="196"/>
      <c r="VDY55" s="196"/>
      <c r="VDZ55" s="196"/>
      <c r="VEA55" s="196"/>
      <c r="VEB55" s="196"/>
      <c r="VEC55" s="196"/>
      <c r="VED55" s="196"/>
      <c r="VEE55" s="196"/>
      <c r="VEF55" s="196"/>
      <c r="VEG55" s="196"/>
      <c r="VEH55" s="196"/>
      <c r="VEI55" s="196"/>
      <c r="VEJ55" s="196"/>
      <c r="VEK55" s="196"/>
      <c r="VEL55" s="196"/>
      <c r="VEM55" s="196"/>
      <c r="VEN55" s="196"/>
      <c r="VEO55" s="196"/>
      <c r="VEP55" s="196"/>
      <c r="VEQ55" s="196"/>
      <c r="VER55" s="196"/>
      <c r="VES55" s="196"/>
      <c r="VET55" s="196"/>
      <c r="VEU55" s="196"/>
      <c r="VEV55" s="196"/>
      <c r="VEW55" s="196"/>
      <c r="VEX55" s="196"/>
      <c r="VEY55" s="196"/>
      <c r="VEZ55" s="196"/>
      <c r="VFA55" s="196"/>
      <c r="VFB55" s="196"/>
      <c r="VFC55" s="196"/>
      <c r="VFD55" s="196"/>
      <c r="VFE55" s="196"/>
      <c r="VFF55" s="196"/>
      <c r="VFG55" s="196"/>
      <c r="VFH55" s="196"/>
      <c r="VFI55" s="196"/>
      <c r="VFJ55" s="196"/>
      <c r="VFK55" s="196"/>
      <c r="VFL55" s="196"/>
      <c r="VFM55" s="196"/>
      <c r="VFN55" s="196"/>
      <c r="VFO55" s="196"/>
      <c r="VFP55" s="196"/>
      <c r="VFQ55" s="196"/>
      <c r="VFR55" s="196"/>
      <c r="VFS55" s="196"/>
      <c r="VFT55" s="196"/>
      <c r="VFU55" s="196"/>
      <c r="VFV55" s="196"/>
      <c r="VFW55" s="196"/>
      <c r="VFX55" s="196"/>
      <c r="VFY55" s="196"/>
      <c r="VFZ55" s="196"/>
      <c r="VGA55" s="196"/>
      <c r="VGB55" s="196"/>
      <c r="VGC55" s="196"/>
      <c r="VGD55" s="196"/>
      <c r="VGE55" s="196"/>
      <c r="VGF55" s="196"/>
      <c r="VGG55" s="196"/>
      <c r="VGH55" s="196"/>
      <c r="VGI55" s="196"/>
      <c r="VGJ55" s="196"/>
      <c r="VGK55" s="196"/>
      <c r="VGL55" s="196"/>
      <c r="VGM55" s="196"/>
      <c r="VGN55" s="196"/>
      <c r="VGO55" s="196"/>
      <c r="VGP55" s="196"/>
      <c r="VGQ55" s="196"/>
      <c r="VGR55" s="196"/>
      <c r="VGS55" s="196"/>
      <c r="VGT55" s="196"/>
      <c r="VGU55" s="196"/>
      <c r="VGV55" s="196"/>
      <c r="VGW55" s="196"/>
      <c r="VGX55" s="196"/>
      <c r="VGY55" s="196"/>
      <c r="VGZ55" s="196"/>
      <c r="VHA55" s="196"/>
      <c r="VHB55" s="196"/>
      <c r="VHC55" s="196"/>
      <c r="VHD55" s="196"/>
      <c r="VHE55" s="196"/>
      <c r="VHF55" s="196"/>
      <c r="VHG55" s="196"/>
      <c r="VHH55" s="196"/>
      <c r="VHI55" s="196"/>
      <c r="VHJ55" s="196"/>
      <c r="VHK55" s="196"/>
      <c r="VHL55" s="196"/>
      <c r="VHM55" s="196"/>
      <c r="VHN55" s="196"/>
      <c r="VHO55" s="196"/>
      <c r="VHP55" s="196"/>
      <c r="VHQ55" s="196"/>
      <c r="VHR55" s="196"/>
      <c r="VHS55" s="196"/>
      <c r="VHT55" s="196"/>
      <c r="VHU55" s="196"/>
      <c r="VHV55" s="196"/>
      <c r="VHW55" s="196"/>
      <c r="VHX55" s="196"/>
      <c r="VHY55" s="196"/>
      <c r="VHZ55" s="196"/>
      <c r="VIA55" s="196"/>
      <c r="VIB55" s="196"/>
      <c r="VIC55" s="196"/>
      <c r="VID55" s="196"/>
      <c r="VIE55" s="196"/>
      <c r="VIF55" s="196"/>
      <c r="VIG55" s="196"/>
      <c r="VIH55" s="196"/>
      <c r="VII55" s="196"/>
      <c r="VIJ55" s="196"/>
      <c r="VIK55" s="196"/>
      <c r="VIL55" s="196"/>
      <c r="VIM55" s="196"/>
      <c r="VIN55" s="196"/>
      <c r="VIO55" s="196"/>
      <c r="VIP55" s="196"/>
      <c r="VIQ55" s="196"/>
      <c r="VIR55" s="196"/>
      <c r="VIS55" s="196"/>
      <c r="VIT55" s="196"/>
      <c r="VIU55" s="196"/>
      <c r="VIV55" s="196"/>
      <c r="VIW55" s="196"/>
      <c r="VIX55" s="196"/>
      <c r="VIY55" s="196"/>
      <c r="VIZ55" s="196"/>
      <c r="VJA55" s="196"/>
      <c r="VJB55" s="196"/>
      <c r="VJC55" s="196"/>
      <c r="VJD55" s="196"/>
      <c r="VJE55" s="196"/>
      <c r="VJF55" s="196"/>
      <c r="VJG55" s="196"/>
      <c r="VJH55" s="196"/>
      <c r="VJI55" s="196"/>
      <c r="VJJ55" s="196"/>
      <c r="VJK55" s="196"/>
      <c r="VJL55" s="196"/>
      <c r="VJM55" s="196"/>
      <c r="VJN55" s="196"/>
      <c r="VJO55" s="196"/>
      <c r="VJP55" s="196"/>
      <c r="VJQ55" s="196"/>
      <c r="VJR55" s="196"/>
      <c r="VJS55" s="196"/>
      <c r="VJT55" s="196"/>
      <c r="VJU55" s="196"/>
      <c r="VJV55" s="196"/>
      <c r="VJW55" s="196"/>
      <c r="VJX55" s="196"/>
      <c r="VJY55" s="196"/>
      <c r="VJZ55" s="196"/>
      <c r="VKA55" s="196"/>
      <c r="VKB55" s="196"/>
      <c r="VKC55" s="196"/>
      <c r="VKD55" s="196"/>
      <c r="VKE55" s="196"/>
      <c r="VKF55" s="196"/>
      <c r="VKG55" s="196"/>
      <c r="VKH55" s="196"/>
      <c r="VKI55" s="196"/>
      <c r="VKJ55" s="196"/>
      <c r="VKK55" s="196"/>
      <c r="VKL55" s="196"/>
      <c r="VKM55" s="196"/>
      <c r="VKN55" s="196"/>
      <c r="VKO55" s="196"/>
      <c r="VKP55" s="196"/>
      <c r="VKQ55" s="196"/>
      <c r="VKR55" s="196"/>
      <c r="VKS55" s="196"/>
      <c r="VKT55" s="196"/>
      <c r="VKU55" s="196"/>
      <c r="VKV55" s="196"/>
      <c r="VKW55" s="196"/>
      <c r="VKX55" s="196"/>
      <c r="VKY55" s="196"/>
      <c r="VKZ55" s="196"/>
      <c r="VLA55" s="196"/>
      <c r="VLB55" s="196"/>
      <c r="VLC55" s="196"/>
      <c r="VLD55" s="196"/>
      <c r="VLE55" s="196"/>
      <c r="VLF55" s="196"/>
      <c r="VLG55" s="196"/>
      <c r="VLH55" s="196"/>
      <c r="VLI55" s="196"/>
      <c r="VLJ55" s="196"/>
      <c r="VLK55" s="196"/>
      <c r="VLL55" s="196"/>
      <c r="VLM55" s="196"/>
      <c r="VLN55" s="196"/>
      <c r="VLO55" s="196"/>
      <c r="VLP55" s="196"/>
      <c r="VLQ55" s="196"/>
      <c r="VLR55" s="196"/>
      <c r="VLS55" s="196"/>
      <c r="VLT55" s="196"/>
      <c r="VLU55" s="196"/>
      <c r="VLV55" s="196"/>
      <c r="VLW55" s="196"/>
      <c r="VLX55" s="196"/>
      <c r="VLY55" s="196"/>
      <c r="VLZ55" s="196"/>
      <c r="VMA55" s="196"/>
      <c r="VMB55" s="196"/>
      <c r="VMC55" s="196"/>
      <c r="VMD55" s="196"/>
      <c r="VME55" s="196"/>
      <c r="VMF55" s="196"/>
      <c r="VMG55" s="196"/>
      <c r="VMH55" s="196"/>
      <c r="VMI55" s="196"/>
      <c r="VMJ55" s="196"/>
      <c r="VMK55" s="196"/>
      <c r="VML55" s="196"/>
      <c r="VMM55" s="196"/>
      <c r="VMN55" s="196"/>
      <c r="VMO55" s="196"/>
      <c r="VMP55" s="196"/>
      <c r="VMQ55" s="196"/>
      <c r="VMR55" s="196"/>
      <c r="VMS55" s="196"/>
      <c r="VMT55" s="196"/>
      <c r="VMU55" s="196"/>
      <c r="VMV55" s="196"/>
      <c r="VMW55" s="196"/>
      <c r="VMX55" s="196"/>
      <c r="VMY55" s="196"/>
      <c r="VMZ55" s="196"/>
      <c r="VNA55" s="196"/>
      <c r="VNB55" s="196"/>
      <c r="VNC55" s="196"/>
      <c r="VND55" s="196"/>
      <c r="VNE55" s="196"/>
      <c r="VNF55" s="196"/>
      <c r="VNG55" s="196"/>
      <c r="VNH55" s="196"/>
      <c r="VNI55" s="196"/>
      <c r="VNJ55" s="196"/>
      <c r="VNK55" s="196"/>
      <c r="VNL55" s="196"/>
      <c r="VNM55" s="196"/>
      <c r="VNN55" s="196"/>
      <c r="VNO55" s="196"/>
      <c r="VNP55" s="196"/>
      <c r="VNQ55" s="196"/>
      <c r="VNR55" s="196"/>
      <c r="VNS55" s="196"/>
      <c r="VNT55" s="196"/>
      <c r="VNU55" s="196"/>
      <c r="VNV55" s="196"/>
      <c r="VNW55" s="196"/>
      <c r="VNX55" s="196"/>
      <c r="VNY55" s="196"/>
      <c r="VNZ55" s="196"/>
      <c r="VOA55" s="196"/>
      <c r="VOB55" s="196"/>
      <c r="VOC55" s="196"/>
      <c r="VOD55" s="196"/>
      <c r="VOE55" s="196"/>
      <c r="VOF55" s="196"/>
      <c r="VOG55" s="196"/>
      <c r="VOH55" s="196"/>
      <c r="VOI55" s="196"/>
      <c r="VOJ55" s="196"/>
      <c r="VOK55" s="196"/>
      <c r="VOL55" s="196"/>
      <c r="VOM55" s="196"/>
      <c r="VON55" s="196"/>
      <c r="VOO55" s="196"/>
      <c r="VOP55" s="196"/>
      <c r="VOQ55" s="196"/>
      <c r="VOR55" s="196"/>
      <c r="VOS55" s="196"/>
      <c r="VOT55" s="196"/>
      <c r="VOU55" s="196"/>
      <c r="VOV55" s="196"/>
      <c r="VOW55" s="196"/>
      <c r="VOX55" s="196"/>
      <c r="VOY55" s="196"/>
      <c r="VOZ55" s="196"/>
      <c r="VPA55" s="196"/>
      <c r="VPB55" s="196"/>
      <c r="VPC55" s="196"/>
      <c r="VPD55" s="196"/>
      <c r="VPE55" s="196"/>
      <c r="VPF55" s="196"/>
      <c r="VPG55" s="196"/>
      <c r="VPH55" s="196"/>
      <c r="VPI55" s="196"/>
      <c r="VPJ55" s="196"/>
      <c r="VPK55" s="196"/>
      <c r="VPL55" s="196"/>
      <c r="VPM55" s="196"/>
      <c r="VPN55" s="196"/>
      <c r="VPO55" s="196"/>
      <c r="VPP55" s="196"/>
      <c r="VPQ55" s="196"/>
      <c r="VPR55" s="196"/>
      <c r="VPS55" s="196"/>
      <c r="VPT55" s="196"/>
      <c r="VPU55" s="196"/>
      <c r="VPV55" s="196"/>
      <c r="VPW55" s="196"/>
      <c r="VPX55" s="196"/>
      <c r="VPY55" s="196"/>
      <c r="VPZ55" s="196"/>
      <c r="VQA55" s="196"/>
      <c r="VQB55" s="196"/>
      <c r="VQC55" s="196"/>
      <c r="VQD55" s="196"/>
      <c r="VQE55" s="196"/>
      <c r="VQF55" s="196"/>
      <c r="VQG55" s="196"/>
      <c r="VQH55" s="196"/>
      <c r="VQI55" s="196"/>
      <c r="VQJ55" s="196"/>
      <c r="VQK55" s="196"/>
      <c r="VQL55" s="196"/>
      <c r="VQM55" s="196"/>
      <c r="VQN55" s="196"/>
      <c r="VQO55" s="196"/>
      <c r="VQP55" s="196"/>
      <c r="VQQ55" s="196"/>
      <c r="VQR55" s="196"/>
      <c r="VQS55" s="196"/>
      <c r="VQT55" s="196"/>
      <c r="VQU55" s="196"/>
      <c r="VQV55" s="196"/>
      <c r="VQW55" s="196"/>
      <c r="VQX55" s="196"/>
      <c r="VQY55" s="196"/>
      <c r="VQZ55" s="196"/>
      <c r="VRA55" s="196"/>
      <c r="VRB55" s="196"/>
      <c r="VRC55" s="196"/>
      <c r="VRD55" s="196"/>
      <c r="VRE55" s="196"/>
      <c r="VRF55" s="196"/>
      <c r="VRG55" s="196"/>
      <c r="VRH55" s="196"/>
      <c r="VRI55" s="196"/>
      <c r="VRJ55" s="196"/>
      <c r="VRK55" s="196"/>
      <c r="VRL55" s="196"/>
      <c r="VRM55" s="196"/>
      <c r="VRN55" s="196"/>
      <c r="VRO55" s="196"/>
      <c r="VRP55" s="196"/>
      <c r="VRQ55" s="196"/>
      <c r="VRR55" s="196"/>
      <c r="VRS55" s="196"/>
      <c r="VRT55" s="196"/>
      <c r="VRU55" s="196"/>
      <c r="VRV55" s="196"/>
      <c r="VRW55" s="196"/>
      <c r="VRX55" s="196"/>
      <c r="VRY55" s="196"/>
      <c r="VRZ55" s="196"/>
      <c r="VSA55" s="196"/>
      <c r="VSB55" s="196"/>
      <c r="VSC55" s="196"/>
      <c r="VSD55" s="196"/>
      <c r="VSE55" s="196"/>
      <c r="VSF55" s="196"/>
      <c r="VSG55" s="196"/>
      <c r="VSH55" s="196"/>
      <c r="VSI55" s="196"/>
      <c r="VSJ55" s="196"/>
      <c r="VSK55" s="196"/>
      <c r="VSL55" s="196"/>
      <c r="VSM55" s="196"/>
      <c r="VSN55" s="196"/>
      <c r="VSO55" s="196"/>
      <c r="VSP55" s="196"/>
      <c r="VSQ55" s="196"/>
      <c r="VSR55" s="196"/>
      <c r="VSS55" s="196"/>
      <c r="VST55" s="196"/>
      <c r="VSU55" s="196"/>
      <c r="VSV55" s="196"/>
      <c r="VSW55" s="196"/>
      <c r="VSX55" s="196"/>
      <c r="VSY55" s="196"/>
      <c r="VSZ55" s="196"/>
      <c r="VTA55" s="196"/>
      <c r="VTB55" s="196"/>
      <c r="VTC55" s="196"/>
      <c r="VTD55" s="196"/>
      <c r="VTE55" s="196"/>
      <c r="VTF55" s="196"/>
      <c r="VTG55" s="196"/>
      <c r="VTH55" s="196"/>
      <c r="VTI55" s="196"/>
      <c r="VTJ55" s="196"/>
      <c r="VTK55" s="196"/>
      <c r="VTL55" s="196"/>
      <c r="VTM55" s="196"/>
      <c r="VTN55" s="196"/>
      <c r="VTO55" s="196"/>
      <c r="VTP55" s="196"/>
      <c r="VTQ55" s="196"/>
      <c r="VTR55" s="196"/>
      <c r="VTS55" s="196"/>
      <c r="VTT55" s="196"/>
      <c r="VTU55" s="196"/>
      <c r="VTV55" s="196"/>
      <c r="VTW55" s="196"/>
      <c r="VTX55" s="196"/>
      <c r="VTY55" s="196"/>
      <c r="VTZ55" s="196"/>
      <c r="VUA55" s="196"/>
      <c r="VUB55" s="196"/>
      <c r="VUC55" s="196"/>
      <c r="VUD55" s="196"/>
      <c r="VUE55" s="196"/>
      <c r="VUF55" s="196"/>
      <c r="VUG55" s="196"/>
      <c r="VUH55" s="196"/>
      <c r="VUI55" s="196"/>
      <c r="VUJ55" s="196"/>
      <c r="VUK55" s="196"/>
      <c r="VUL55" s="196"/>
      <c r="VUM55" s="196"/>
      <c r="VUN55" s="196"/>
      <c r="VUO55" s="196"/>
      <c r="VUP55" s="196"/>
      <c r="VUQ55" s="196"/>
      <c r="VUR55" s="196"/>
      <c r="VUS55" s="196"/>
      <c r="VUT55" s="196"/>
      <c r="VUU55" s="196"/>
      <c r="VUV55" s="196"/>
      <c r="VUW55" s="196"/>
      <c r="VUX55" s="196"/>
      <c r="VUY55" s="196"/>
      <c r="VUZ55" s="196"/>
      <c r="VVA55" s="196"/>
      <c r="VVB55" s="196"/>
      <c r="VVC55" s="196"/>
      <c r="VVD55" s="196"/>
      <c r="VVE55" s="196"/>
      <c r="VVF55" s="196"/>
      <c r="VVG55" s="196"/>
      <c r="VVH55" s="196"/>
      <c r="VVI55" s="196"/>
      <c r="VVJ55" s="196"/>
      <c r="VVK55" s="196"/>
      <c r="VVL55" s="196"/>
      <c r="VVM55" s="196"/>
      <c r="VVN55" s="196"/>
      <c r="VVO55" s="196"/>
      <c r="VVP55" s="196"/>
      <c r="VVQ55" s="196"/>
      <c r="VVR55" s="196"/>
      <c r="VVS55" s="196"/>
      <c r="VVT55" s="196"/>
      <c r="VVU55" s="196"/>
      <c r="VVV55" s="196"/>
      <c r="VVW55" s="196"/>
      <c r="VVX55" s="196"/>
      <c r="VVY55" s="196"/>
      <c r="VVZ55" s="196"/>
      <c r="VWA55" s="196"/>
      <c r="VWB55" s="196"/>
      <c r="VWC55" s="196"/>
      <c r="VWD55" s="196"/>
      <c r="VWE55" s="196"/>
      <c r="VWF55" s="196"/>
      <c r="VWG55" s="196"/>
      <c r="VWH55" s="196"/>
      <c r="VWI55" s="196"/>
      <c r="VWJ55" s="196"/>
      <c r="VWK55" s="196"/>
      <c r="VWL55" s="196"/>
      <c r="VWM55" s="196"/>
      <c r="VWN55" s="196"/>
      <c r="VWO55" s="196"/>
      <c r="VWP55" s="196"/>
      <c r="VWQ55" s="196"/>
      <c r="VWR55" s="196"/>
      <c r="VWS55" s="196"/>
      <c r="VWT55" s="196"/>
      <c r="VWU55" s="196"/>
      <c r="VWV55" s="196"/>
      <c r="VWW55" s="196"/>
      <c r="VWX55" s="196"/>
      <c r="VWY55" s="196"/>
      <c r="VWZ55" s="196"/>
      <c r="VXA55" s="196"/>
      <c r="VXB55" s="196"/>
      <c r="VXC55" s="196"/>
      <c r="VXD55" s="196"/>
      <c r="VXE55" s="196"/>
      <c r="VXF55" s="196"/>
      <c r="VXG55" s="196"/>
      <c r="VXH55" s="196"/>
      <c r="VXI55" s="196"/>
      <c r="VXJ55" s="196"/>
      <c r="VXK55" s="196"/>
      <c r="VXL55" s="196"/>
      <c r="VXM55" s="196"/>
      <c r="VXN55" s="196"/>
      <c r="VXO55" s="196"/>
      <c r="VXP55" s="196"/>
      <c r="VXQ55" s="196"/>
      <c r="VXR55" s="196"/>
      <c r="VXS55" s="196"/>
      <c r="VXT55" s="196"/>
      <c r="VXU55" s="196"/>
      <c r="VXV55" s="196"/>
      <c r="VXW55" s="196"/>
      <c r="VXX55" s="196"/>
      <c r="VXY55" s="196"/>
      <c r="VXZ55" s="196"/>
      <c r="VYA55" s="196"/>
      <c r="VYB55" s="196"/>
      <c r="VYC55" s="196"/>
      <c r="VYD55" s="196"/>
      <c r="VYE55" s="196"/>
      <c r="VYF55" s="196"/>
      <c r="VYG55" s="196"/>
      <c r="VYH55" s="196"/>
      <c r="VYI55" s="196"/>
      <c r="VYJ55" s="196"/>
      <c r="VYK55" s="196"/>
      <c r="VYL55" s="196"/>
      <c r="VYM55" s="196"/>
      <c r="VYN55" s="196"/>
      <c r="VYO55" s="196"/>
      <c r="VYP55" s="196"/>
      <c r="VYQ55" s="196"/>
      <c r="VYR55" s="196"/>
      <c r="VYS55" s="196"/>
      <c r="VYT55" s="196"/>
      <c r="VYU55" s="196"/>
      <c r="VYV55" s="196"/>
      <c r="VYW55" s="196"/>
      <c r="VYX55" s="196"/>
      <c r="VYY55" s="196"/>
      <c r="VYZ55" s="196"/>
      <c r="VZA55" s="196"/>
      <c r="VZB55" s="196"/>
      <c r="VZC55" s="196"/>
      <c r="VZD55" s="196"/>
      <c r="VZE55" s="196"/>
      <c r="VZF55" s="196"/>
      <c r="VZG55" s="196"/>
      <c r="VZH55" s="196"/>
      <c r="VZI55" s="196"/>
      <c r="VZJ55" s="196"/>
      <c r="VZK55" s="196"/>
      <c r="VZL55" s="196"/>
      <c r="VZM55" s="196"/>
      <c r="VZN55" s="196"/>
      <c r="VZO55" s="196"/>
      <c r="VZP55" s="196"/>
      <c r="VZQ55" s="196"/>
      <c r="VZR55" s="196"/>
      <c r="VZS55" s="196"/>
      <c r="VZT55" s="196"/>
      <c r="VZU55" s="196"/>
      <c r="VZV55" s="196"/>
      <c r="VZW55" s="196"/>
      <c r="VZX55" s="196"/>
      <c r="VZY55" s="196"/>
      <c r="VZZ55" s="196"/>
      <c r="WAA55" s="196"/>
      <c r="WAB55" s="196"/>
      <c r="WAC55" s="196"/>
      <c r="WAD55" s="196"/>
      <c r="WAE55" s="196"/>
      <c r="WAF55" s="196"/>
      <c r="WAG55" s="196"/>
      <c r="WAH55" s="196"/>
      <c r="WAI55" s="196"/>
      <c r="WAJ55" s="196"/>
      <c r="WAK55" s="196"/>
      <c r="WAL55" s="196"/>
      <c r="WAM55" s="196"/>
      <c r="WAN55" s="196"/>
      <c r="WAO55" s="196"/>
      <c r="WAP55" s="196"/>
      <c r="WAQ55" s="196"/>
      <c r="WAR55" s="196"/>
      <c r="WAS55" s="196"/>
      <c r="WAT55" s="196"/>
      <c r="WAU55" s="196"/>
      <c r="WAV55" s="196"/>
      <c r="WAW55" s="196"/>
      <c r="WAX55" s="196"/>
      <c r="WAY55" s="196"/>
      <c r="WAZ55" s="196"/>
      <c r="WBA55" s="196"/>
      <c r="WBB55" s="196"/>
      <c r="WBC55" s="196"/>
      <c r="WBD55" s="196"/>
      <c r="WBE55" s="196"/>
      <c r="WBF55" s="196"/>
      <c r="WBG55" s="196"/>
      <c r="WBH55" s="196"/>
      <c r="WBI55" s="196"/>
      <c r="WBJ55" s="196"/>
      <c r="WBK55" s="196"/>
      <c r="WBL55" s="196"/>
      <c r="WBM55" s="196"/>
      <c r="WBN55" s="196"/>
      <c r="WBO55" s="196"/>
      <c r="WBP55" s="196"/>
      <c r="WBQ55" s="196"/>
      <c r="WBR55" s="196"/>
      <c r="WBS55" s="196"/>
      <c r="WBT55" s="196"/>
      <c r="WBU55" s="196"/>
      <c r="WBV55" s="196"/>
      <c r="WBW55" s="196"/>
      <c r="WBX55" s="196"/>
      <c r="WBY55" s="196"/>
      <c r="WBZ55" s="196"/>
      <c r="WCA55" s="196"/>
      <c r="WCB55" s="196"/>
      <c r="WCC55" s="196"/>
      <c r="WCD55" s="196"/>
      <c r="WCE55" s="196"/>
      <c r="WCF55" s="196"/>
      <c r="WCG55" s="196"/>
      <c r="WCH55" s="196"/>
      <c r="WCI55" s="196"/>
      <c r="WCJ55" s="196"/>
      <c r="WCK55" s="196"/>
      <c r="WCL55" s="196"/>
      <c r="WCM55" s="196"/>
      <c r="WCN55" s="196"/>
      <c r="WCO55" s="196"/>
      <c r="WCP55" s="196"/>
      <c r="WCQ55" s="196"/>
      <c r="WCR55" s="196"/>
      <c r="WCS55" s="196"/>
      <c r="WCT55" s="196"/>
      <c r="WCU55" s="196"/>
      <c r="WCV55" s="196"/>
      <c r="WCW55" s="196"/>
      <c r="WCX55" s="196"/>
      <c r="WCY55" s="196"/>
      <c r="WCZ55" s="196"/>
      <c r="WDA55" s="196"/>
      <c r="WDB55" s="196"/>
      <c r="WDC55" s="196"/>
      <c r="WDD55" s="196"/>
      <c r="WDE55" s="196"/>
      <c r="WDF55" s="196"/>
      <c r="WDG55" s="196"/>
      <c r="WDH55" s="196"/>
      <c r="WDI55" s="196"/>
      <c r="WDJ55" s="196"/>
      <c r="WDK55" s="196"/>
      <c r="WDL55" s="196"/>
      <c r="WDM55" s="196"/>
      <c r="WDN55" s="196"/>
      <c r="WDO55" s="196"/>
      <c r="WDP55" s="196"/>
      <c r="WDQ55" s="196"/>
      <c r="WDR55" s="196"/>
      <c r="WDS55" s="196"/>
      <c r="WDT55" s="196"/>
      <c r="WDU55" s="196"/>
      <c r="WDV55" s="196"/>
      <c r="WDW55" s="196"/>
      <c r="WDX55" s="196"/>
      <c r="WDY55" s="196"/>
      <c r="WDZ55" s="196"/>
      <c r="WEA55" s="196"/>
      <c r="WEB55" s="196"/>
      <c r="WEC55" s="196"/>
      <c r="WED55" s="196"/>
      <c r="WEE55" s="196"/>
      <c r="WEF55" s="196"/>
      <c r="WEG55" s="196"/>
      <c r="WEH55" s="196"/>
      <c r="WEI55" s="196"/>
      <c r="WEJ55" s="196"/>
      <c r="WEK55" s="196"/>
      <c r="WEL55" s="196"/>
      <c r="WEM55" s="196"/>
      <c r="WEN55" s="196"/>
      <c r="WEO55" s="196"/>
      <c r="WEP55" s="196"/>
      <c r="WEQ55" s="196"/>
      <c r="WER55" s="196"/>
      <c r="WES55" s="196"/>
      <c r="WET55" s="196"/>
      <c r="WEU55" s="196"/>
      <c r="WEV55" s="196"/>
      <c r="WEW55" s="196"/>
      <c r="WEX55" s="196"/>
      <c r="WEY55" s="196"/>
      <c r="WEZ55" s="196"/>
      <c r="WFA55" s="196"/>
      <c r="WFB55" s="196"/>
      <c r="WFC55" s="196"/>
      <c r="WFD55" s="196"/>
      <c r="WFE55" s="196"/>
      <c r="WFF55" s="196"/>
      <c r="WFG55" s="196"/>
      <c r="WFH55" s="196"/>
      <c r="WFI55" s="196"/>
      <c r="WFJ55" s="196"/>
      <c r="WFK55" s="196"/>
      <c r="WFL55" s="196"/>
      <c r="WFM55" s="196"/>
      <c r="WFN55" s="196"/>
      <c r="WFO55" s="196"/>
      <c r="WFP55" s="196"/>
      <c r="WFQ55" s="196"/>
      <c r="WFR55" s="196"/>
      <c r="WFS55" s="196"/>
      <c r="WFT55" s="196"/>
      <c r="WFU55" s="196"/>
      <c r="WFV55" s="196"/>
      <c r="WFW55" s="196"/>
      <c r="WFX55" s="196"/>
      <c r="WFY55" s="196"/>
      <c r="WFZ55" s="196"/>
      <c r="WGA55" s="196"/>
      <c r="WGB55" s="196"/>
      <c r="WGC55" s="196"/>
      <c r="WGD55" s="196"/>
      <c r="WGE55" s="196"/>
      <c r="WGF55" s="196"/>
      <c r="WGG55" s="196"/>
      <c r="WGH55" s="196"/>
      <c r="WGI55" s="196"/>
      <c r="WGJ55" s="196"/>
      <c r="WGK55" s="196"/>
      <c r="WGL55" s="196"/>
      <c r="WGM55" s="196"/>
      <c r="WGN55" s="196"/>
      <c r="WGO55" s="196"/>
      <c r="WGP55" s="196"/>
      <c r="WGQ55" s="196"/>
      <c r="WGR55" s="196"/>
      <c r="WGS55" s="196"/>
      <c r="WGT55" s="196"/>
      <c r="WGU55" s="196"/>
      <c r="WGV55" s="196"/>
      <c r="WGW55" s="196"/>
      <c r="WGX55" s="196"/>
      <c r="WGY55" s="196"/>
      <c r="WGZ55" s="196"/>
      <c r="WHA55" s="196"/>
      <c r="WHB55" s="196"/>
      <c r="WHC55" s="196"/>
      <c r="WHD55" s="196"/>
      <c r="WHE55" s="196"/>
      <c r="WHF55" s="196"/>
      <c r="WHG55" s="196"/>
      <c r="WHH55" s="196"/>
      <c r="WHI55" s="196"/>
      <c r="WHJ55" s="196"/>
      <c r="WHK55" s="196"/>
      <c r="WHL55" s="196"/>
      <c r="WHM55" s="196"/>
      <c r="WHN55" s="196"/>
      <c r="WHO55" s="196"/>
      <c r="WHP55" s="196"/>
      <c r="WHQ55" s="196"/>
      <c r="WHR55" s="196"/>
      <c r="WHS55" s="196"/>
      <c r="WHT55" s="196"/>
      <c r="WHU55" s="196"/>
      <c r="WHV55" s="196"/>
      <c r="WHW55" s="196"/>
      <c r="WHX55" s="196"/>
      <c r="WHY55" s="196"/>
      <c r="WHZ55" s="196"/>
      <c r="WIA55" s="196"/>
      <c r="WIB55" s="196"/>
      <c r="WIC55" s="196"/>
      <c r="WID55" s="196"/>
      <c r="WIE55" s="196"/>
      <c r="WIF55" s="196"/>
      <c r="WIG55" s="196"/>
      <c r="WIH55" s="196"/>
      <c r="WII55" s="196"/>
      <c r="WIJ55" s="196"/>
      <c r="WIK55" s="196"/>
      <c r="WIL55" s="196"/>
      <c r="WIM55" s="196"/>
      <c r="WIN55" s="196"/>
      <c r="WIO55" s="196"/>
      <c r="WIP55" s="196"/>
      <c r="WIQ55" s="196"/>
      <c r="WIR55" s="196"/>
      <c r="WIS55" s="196"/>
      <c r="WIT55" s="196"/>
      <c r="WIU55" s="196"/>
      <c r="WIV55" s="196"/>
      <c r="WIW55" s="196"/>
      <c r="WIX55" s="196"/>
      <c r="WIY55" s="196"/>
      <c r="WIZ55" s="196"/>
      <c r="WJA55" s="196"/>
      <c r="WJB55" s="196"/>
      <c r="WJC55" s="196"/>
      <c r="WJD55" s="196"/>
      <c r="WJE55" s="196"/>
      <c r="WJF55" s="196"/>
      <c r="WJG55" s="196"/>
      <c r="WJH55" s="196"/>
      <c r="WJI55" s="196"/>
      <c r="WJJ55" s="196"/>
      <c r="WJK55" s="196"/>
      <c r="WJL55" s="196"/>
      <c r="WJM55" s="196"/>
      <c r="WJN55" s="196"/>
      <c r="WJO55" s="196"/>
      <c r="WJP55" s="196"/>
      <c r="WJQ55" s="196"/>
      <c r="WJR55" s="196"/>
      <c r="WJS55" s="196"/>
      <c r="WJT55" s="196"/>
      <c r="WJU55" s="196"/>
      <c r="WJV55" s="196"/>
      <c r="WJW55" s="196"/>
      <c r="WJX55" s="196"/>
      <c r="WJY55" s="196"/>
      <c r="WJZ55" s="196"/>
      <c r="WKA55" s="196"/>
      <c r="WKB55" s="196"/>
      <c r="WKC55" s="196"/>
      <c r="WKD55" s="196"/>
      <c r="WKE55" s="196"/>
      <c r="WKF55" s="196"/>
      <c r="WKG55" s="196"/>
      <c r="WKH55" s="196"/>
      <c r="WKI55" s="196"/>
      <c r="WKJ55" s="196"/>
      <c r="WKK55" s="196"/>
      <c r="WKL55" s="196"/>
      <c r="WKM55" s="196"/>
      <c r="WKN55" s="196"/>
      <c r="WKO55" s="196"/>
      <c r="WKP55" s="196"/>
      <c r="WKQ55" s="196"/>
      <c r="WKR55" s="196"/>
      <c r="WKS55" s="196"/>
      <c r="WKT55" s="196"/>
      <c r="WKU55" s="196"/>
      <c r="WKV55" s="196"/>
      <c r="WKW55" s="196"/>
      <c r="WKX55" s="196"/>
      <c r="WKY55" s="196"/>
      <c r="WKZ55" s="196"/>
      <c r="WLA55" s="196"/>
      <c r="WLB55" s="196"/>
      <c r="WLC55" s="196"/>
      <c r="WLD55" s="196"/>
      <c r="WLE55" s="196"/>
      <c r="WLF55" s="196"/>
      <c r="WLG55" s="196"/>
      <c r="WLH55" s="196"/>
      <c r="WLI55" s="196"/>
      <c r="WLJ55" s="196"/>
      <c r="WLK55" s="196"/>
      <c r="WLL55" s="196"/>
      <c r="WLM55" s="196"/>
      <c r="WLN55" s="196"/>
      <c r="WLO55" s="196"/>
      <c r="WLP55" s="196"/>
      <c r="WLQ55" s="196"/>
      <c r="WLR55" s="196"/>
      <c r="WLS55" s="196"/>
      <c r="WLT55" s="196"/>
      <c r="WLU55" s="196"/>
      <c r="WLV55" s="196"/>
      <c r="WLW55" s="196"/>
      <c r="WLX55" s="196"/>
      <c r="WLY55" s="196"/>
      <c r="WLZ55" s="196"/>
      <c r="WMA55" s="196"/>
      <c r="WMB55" s="196"/>
      <c r="WMC55" s="196"/>
      <c r="WMD55" s="196"/>
      <c r="WME55" s="196"/>
      <c r="WMF55" s="196"/>
      <c r="WMG55" s="196"/>
      <c r="WMH55" s="196"/>
      <c r="WMI55" s="196"/>
      <c r="WMJ55" s="196"/>
      <c r="WMK55" s="196"/>
      <c r="WML55" s="196"/>
      <c r="WMM55" s="196"/>
      <c r="WMN55" s="196"/>
      <c r="WMO55" s="196"/>
      <c r="WMP55" s="196"/>
      <c r="WMQ55" s="196"/>
      <c r="WMR55" s="196"/>
      <c r="WMS55" s="196"/>
      <c r="WMT55" s="196"/>
      <c r="WMU55" s="196"/>
      <c r="WMV55" s="196"/>
      <c r="WMW55" s="196"/>
      <c r="WMX55" s="196"/>
      <c r="WMY55" s="196"/>
      <c r="WMZ55" s="196"/>
      <c r="WNA55" s="196"/>
      <c r="WNB55" s="196"/>
      <c r="WNC55" s="196"/>
      <c r="WND55" s="196"/>
      <c r="WNE55" s="196"/>
      <c r="WNF55" s="196"/>
      <c r="WNG55" s="196"/>
      <c r="WNH55" s="196"/>
      <c r="WNI55" s="196"/>
      <c r="WNJ55" s="196"/>
      <c r="WNK55" s="196"/>
      <c r="WNL55" s="196"/>
      <c r="WNM55" s="196"/>
      <c r="WNN55" s="196"/>
      <c r="WNO55" s="196"/>
      <c r="WNP55" s="196"/>
      <c r="WNQ55" s="196"/>
      <c r="WNR55" s="196"/>
      <c r="WNS55" s="196"/>
      <c r="WNT55" s="196"/>
      <c r="WNU55" s="196"/>
      <c r="WNV55" s="196"/>
      <c r="WNW55" s="196"/>
      <c r="WNX55" s="196"/>
      <c r="WNY55" s="196"/>
      <c r="WNZ55" s="196"/>
      <c r="WOA55" s="196"/>
      <c r="WOB55" s="196"/>
      <c r="WOC55" s="196"/>
      <c r="WOD55" s="196"/>
      <c r="WOE55" s="196"/>
      <c r="WOF55" s="196"/>
      <c r="WOG55" s="196"/>
      <c r="WOH55" s="196"/>
      <c r="WOI55" s="196"/>
      <c r="WOJ55" s="196"/>
      <c r="WOK55" s="196"/>
      <c r="WOL55" s="196"/>
      <c r="WOM55" s="196"/>
      <c r="WON55" s="196"/>
      <c r="WOO55" s="196"/>
      <c r="WOP55" s="196"/>
      <c r="WOQ55" s="196"/>
      <c r="WOR55" s="196"/>
      <c r="WOS55" s="196"/>
      <c r="WOT55" s="196"/>
      <c r="WOU55" s="196"/>
      <c r="WOV55" s="196"/>
      <c r="WOW55" s="196"/>
      <c r="WOX55" s="196"/>
      <c r="WOY55" s="196"/>
      <c r="WOZ55" s="196"/>
      <c r="WPA55" s="196"/>
      <c r="WPB55" s="196"/>
      <c r="WPC55" s="196"/>
      <c r="WPD55" s="196"/>
      <c r="WPE55" s="196"/>
      <c r="WPF55" s="196"/>
      <c r="WPG55" s="196"/>
      <c r="WPH55" s="196"/>
      <c r="WPI55" s="196"/>
      <c r="WPJ55" s="196"/>
      <c r="WPK55" s="196"/>
      <c r="WPL55" s="196"/>
      <c r="WPM55" s="196"/>
      <c r="WPN55" s="196"/>
      <c r="WPO55" s="196"/>
      <c r="WPP55" s="196"/>
      <c r="WPQ55" s="196"/>
      <c r="WPR55" s="196"/>
      <c r="WPS55" s="196"/>
      <c r="WPT55" s="196"/>
      <c r="WPU55" s="196"/>
      <c r="WPV55" s="196"/>
      <c r="WPW55" s="196"/>
      <c r="WPX55" s="196"/>
      <c r="WPY55" s="196"/>
      <c r="WPZ55" s="196"/>
      <c r="WQA55" s="196"/>
      <c r="WQB55" s="196"/>
      <c r="WQC55" s="196"/>
      <c r="WQD55" s="196"/>
      <c r="WQE55" s="196"/>
      <c r="WQF55" s="196"/>
      <c r="WQG55" s="196"/>
      <c r="WQH55" s="196"/>
      <c r="WQI55" s="196"/>
      <c r="WQJ55" s="196"/>
      <c r="WQK55" s="196"/>
      <c r="WQL55" s="196"/>
      <c r="WQM55" s="196"/>
      <c r="WQN55" s="196"/>
      <c r="WQO55" s="196"/>
      <c r="WQP55" s="196"/>
      <c r="WQQ55" s="196"/>
      <c r="WQR55" s="196"/>
      <c r="WQS55" s="196"/>
      <c r="WQT55" s="196"/>
      <c r="WQU55" s="196"/>
      <c r="WQV55" s="196"/>
      <c r="WQW55" s="196"/>
      <c r="WQX55" s="196"/>
      <c r="WQY55" s="196"/>
      <c r="WQZ55" s="196"/>
      <c r="WRA55" s="196"/>
      <c r="WRB55" s="196"/>
      <c r="WRC55" s="196"/>
      <c r="WRD55" s="196"/>
      <c r="WRE55" s="196"/>
      <c r="WRF55" s="196"/>
      <c r="WRG55" s="196"/>
      <c r="WRH55" s="196"/>
      <c r="WRI55" s="196"/>
      <c r="WRJ55" s="196"/>
      <c r="WRK55" s="196"/>
      <c r="WRL55" s="196"/>
      <c r="WRM55" s="196"/>
      <c r="WRN55" s="196"/>
      <c r="WRO55" s="196"/>
      <c r="WRP55" s="196"/>
      <c r="WRQ55" s="196"/>
      <c r="WRR55" s="196"/>
      <c r="WRS55" s="196"/>
      <c r="WRT55" s="196"/>
      <c r="WRU55" s="196"/>
      <c r="WRV55" s="196"/>
      <c r="WRW55" s="196"/>
      <c r="WRX55" s="196"/>
      <c r="WRY55" s="196"/>
      <c r="WRZ55" s="196"/>
      <c r="WSA55" s="196"/>
      <c r="WSB55" s="196"/>
      <c r="WSC55" s="196"/>
      <c r="WSD55" s="196"/>
      <c r="WSE55" s="196"/>
      <c r="WSF55" s="196"/>
      <c r="WSG55" s="196"/>
      <c r="WSH55" s="196"/>
      <c r="WSI55" s="196"/>
      <c r="WSJ55" s="196"/>
      <c r="WSK55" s="196"/>
      <c r="WSL55" s="196"/>
      <c r="WSM55" s="196"/>
      <c r="WSN55" s="196"/>
      <c r="WSO55" s="196"/>
      <c r="WSP55" s="196"/>
      <c r="WSQ55" s="196"/>
      <c r="WSR55" s="196"/>
      <c r="WSS55" s="196"/>
      <c r="WST55" s="196"/>
      <c r="WSU55" s="196"/>
      <c r="WSV55" s="196"/>
      <c r="WSW55" s="196"/>
      <c r="WSX55" s="196"/>
      <c r="WSY55" s="196"/>
      <c r="WSZ55" s="196"/>
      <c r="WTA55" s="196"/>
      <c r="WTB55" s="196"/>
      <c r="WTC55" s="196"/>
      <c r="WTD55" s="196"/>
      <c r="WTE55" s="196"/>
      <c r="WTF55" s="196"/>
      <c r="WTG55" s="196"/>
      <c r="WTH55" s="196"/>
      <c r="WTI55" s="196"/>
      <c r="WTJ55" s="196"/>
      <c r="WTK55" s="196"/>
      <c r="WTL55" s="196"/>
      <c r="WTM55" s="196"/>
      <c r="WTN55" s="196"/>
      <c r="WTO55" s="196"/>
      <c r="WTP55" s="196"/>
      <c r="WTQ55" s="196"/>
      <c r="WTR55" s="196"/>
      <c r="WTS55" s="196"/>
      <c r="WTT55" s="196"/>
      <c r="WTU55" s="196"/>
      <c r="WTV55" s="196"/>
      <c r="WTW55" s="196"/>
      <c r="WTX55" s="196"/>
      <c r="WTY55" s="196"/>
      <c r="WTZ55" s="196"/>
      <c r="WUA55" s="196"/>
      <c r="WUB55" s="196"/>
      <c r="WUC55" s="196"/>
      <c r="WUD55" s="196"/>
      <c r="WUE55" s="196"/>
      <c r="WUF55" s="196"/>
      <c r="WUG55" s="196"/>
      <c r="WUH55" s="196"/>
      <c r="WUI55" s="196"/>
      <c r="WUJ55" s="196"/>
      <c r="WUK55" s="196"/>
      <c r="WUL55" s="196"/>
      <c r="WUM55" s="196"/>
      <c r="WUN55" s="196"/>
      <c r="WUO55" s="196"/>
      <c r="WUP55" s="196"/>
      <c r="WUQ55" s="196"/>
      <c r="WUR55" s="196"/>
      <c r="WUS55" s="196"/>
      <c r="WUT55" s="196"/>
      <c r="WUU55" s="196"/>
      <c r="WUV55" s="196"/>
      <c r="WUW55" s="196"/>
      <c r="WUX55" s="196"/>
      <c r="WUY55" s="196"/>
      <c r="WUZ55" s="196"/>
      <c r="WVA55" s="196"/>
      <c r="WVB55" s="196"/>
      <c r="WVC55" s="196"/>
      <c r="WVD55" s="196"/>
      <c r="WVE55" s="196"/>
      <c r="WVF55" s="196"/>
      <c r="WVG55" s="196"/>
      <c r="WVH55" s="196"/>
      <c r="WVI55" s="196"/>
      <c r="WVJ55" s="196"/>
      <c r="WVK55" s="196"/>
      <c r="WVL55" s="196"/>
      <c r="WVM55" s="196"/>
      <c r="WVN55" s="196"/>
      <c r="WVO55" s="196"/>
      <c r="WVP55" s="196"/>
      <c r="WVQ55" s="196"/>
      <c r="WVR55" s="196"/>
      <c r="WVS55" s="196"/>
      <c r="WVT55" s="196"/>
      <c r="WVU55" s="196"/>
      <c r="WVV55" s="196"/>
      <c r="WVW55" s="196"/>
      <c r="WVX55" s="196"/>
      <c r="WVY55" s="196"/>
      <c r="WVZ55" s="196"/>
      <c r="WWA55" s="196"/>
      <c r="WWB55" s="196"/>
      <c r="WWC55" s="196"/>
      <c r="WWD55" s="196"/>
      <c r="WWE55" s="196"/>
      <c r="WWF55" s="196"/>
      <c r="WWG55" s="196"/>
      <c r="WWH55" s="196"/>
      <c r="WWI55" s="196"/>
      <c r="WWJ55" s="196"/>
      <c r="WWK55" s="196"/>
      <c r="WWL55" s="196"/>
      <c r="WWM55" s="196"/>
      <c r="WWN55" s="196"/>
      <c r="WWO55" s="196"/>
      <c r="WWP55" s="196"/>
      <c r="WWQ55" s="196"/>
      <c r="WWR55" s="196"/>
      <c r="WWS55" s="196"/>
      <c r="WWT55" s="196"/>
      <c r="WWU55" s="196"/>
      <c r="WWV55" s="196"/>
      <c r="WWW55" s="196"/>
      <c r="WWX55" s="196"/>
      <c r="WWY55" s="196"/>
      <c r="WWZ55" s="196"/>
      <c r="WXA55" s="196"/>
      <c r="WXB55" s="196"/>
      <c r="WXC55" s="196"/>
      <c r="WXD55" s="196"/>
      <c r="WXE55" s="196"/>
      <c r="WXF55" s="196"/>
      <c r="WXG55" s="196"/>
      <c r="WXH55" s="196"/>
      <c r="WXI55" s="196"/>
      <c r="WXJ55" s="196"/>
      <c r="WXK55" s="196"/>
      <c r="WXL55" s="196"/>
      <c r="WXM55" s="196"/>
      <c r="WXN55" s="196"/>
      <c r="WXO55" s="196"/>
      <c r="WXP55" s="196"/>
      <c r="WXQ55" s="196"/>
      <c r="WXR55" s="196"/>
      <c r="WXS55" s="196"/>
      <c r="WXT55" s="196"/>
      <c r="WXU55" s="196"/>
      <c r="WXV55" s="196"/>
      <c r="WXW55" s="196"/>
      <c r="WXX55" s="196"/>
      <c r="WXY55" s="196"/>
      <c r="WXZ55" s="196"/>
      <c r="WYA55" s="196"/>
      <c r="WYB55" s="196"/>
      <c r="WYC55" s="196"/>
      <c r="WYD55" s="196"/>
      <c r="WYE55" s="196"/>
      <c r="WYF55" s="196"/>
      <c r="WYG55" s="196"/>
      <c r="WYH55" s="196"/>
      <c r="WYI55" s="196"/>
      <c r="WYJ55" s="196"/>
      <c r="WYK55" s="196"/>
      <c r="WYL55" s="196"/>
      <c r="WYM55" s="196"/>
      <c r="WYN55" s="196"/>
      <c r="WYO55" s="196"/>
      <c r="WYP55" s="196"/>
      <c r="WYQ55" s="196"/>
      <c r="WYR55" s="196"/>
      <c r="WYS55" s="196"/>
      <c r="WYT55" s="196"/>
      <c r="WYU55" s="196"/>
      <c r="WYV55" s="196"/>
      <c r="WYW55" s="196"/>
      <c r="WYX55" s="196"/>
      <c r="WYY55" s="196"/>
      <c r="WYZ55" s="196"/>
      <c r="WZA55" s="196"/>
      <c r="WZB55" s="196"/>
      <c r="WZC55" s="196"/>
      <c r="WZD55" s="196"/>
      <c r="WZE55" s="196"/>
      <c r="WZF55" s="196"/>
      <c r="WZG55" s="196"/>
      <c r="WZH55" s="196"/>
      <c r="WZI55" s="196"/>
      <c r="WZJ55" s="196"/>
      <c r="WZK55" s="196"/>
      <c r="WZL55" s="196"/>
      <c r="WZM55" s="196"/>
      <c r="WZN55" s="196"/>
      <c r="WZO55" s="196"/>
      <c r="WZP55" s="196"/>
      <c r="WZQ55" s="196"/>
      <c r="WZR55" s="196"/>
      <c r="WZS55" s="196"/>
      <c r="WZT55" s="196"/>
      <c r="WZU55" s="196"/>
      <c r="WZV55" s="196"/>
      <c r="WZW55" s="196"/>
      <c r="WZX55" s="196"/>
      <c r="WZY55" s="196"/>
      <c r="WZZ55" s="196"/>
      <c r="XAA55" s="196"/>
      <c r="XAB55" s="196"/>
      <c r="XAC55" s="196"/>
      <c r="XAD55" s="196"/>
      <c r="XAE55" s="196"/>
      <c r="XAF55" s="196"/>
      <c r="XAG55" s="196"/>
      <c r="XAH55" s="196"/>
      <c r="XAI55" s="196"/>
      <c r="XAJ55" s="196"/>
      <c r="XAK55" s="196"/>
      <c r="XAL55" s="196"/>
      <c r="XAM55" s="196"/>
      <c r="XAN55" s="196"/>
      <c r="XAO55" s="196"/>
      <c r="XAP55" s="196"/>
      <c r="XAQ55" s="196"/>
      <c r="XAR55" s="196"/>
      <c r="XAS55" s="196"/>
      <c r="XAT55" s="196"/>
      <c r="XAU55" s="196"/>
      <c r="XAV55" s="196"/>
      <c r="XAW55" s="196"/>
      <c r="XAX55" s="196"/>
      <c r="XAY55" s="196"/>
      <c r="XAZ55" s="196"/>
      <c r="XBA55" s="196"/>
      <c r="XBB55" s="196"/>
      <c r="XBC55" s="196"/>
      <c r="XBD55" s="196"/>
      <c r="XBE55" s="196"/>
      <c r="XBF55" s="196"/>
      <c r="XBG55" s="196"/>
      <c r="XBH55" s="196"/>
      <c r="XBI55" s="196"/>
      <c r="XBJ55" s="196"/>
      <c r="XBK55" s="196"/>
      <c r="XBL55" s="196"/>
      <c r="XBM55" s="196"/>
      <c r="XBN55" s="196"/>
      <c r="XBO55" s="196"/>
      <c r="XBP55" s="196"/>
      <c r="XBQ55" s="196"/>
      <c r="XBR55" s="196"/>
      <c r="XBS55" s="196"/>
      <c r="XBT55" s="196"/>
      <c r="XBU55" s="196"/>
      <c r="XBV55" s="196"/>
      <c r="XBW55" s="196"/>
      <c r="XBX55" s="196"/>
      <c r="XBY55" s="196"/>
      <c r="XBZ55" s="196"/>
      <c r="XCA55" s="196"/>
      <c r="XCB55" s="196"/>
      <c r="XCC55" s="196"/>
      <c r="XCD55" s="196"/>
      <c r="XCE55" s="196"/>
      <c r="XCF55" s="196"/>
      <c r="XCG55" s="196"/>
      <c r="XCH55" s="196"/>
      <c r="XCI55" s="196"/>
      <c r="XCJ55" s="196"/>
      <c r="XCK55" s="196"/>
      <c r="XCL55" s="196"/>
      <c r="XCM55" s="196"/>
      <c r="XCN55" s="196"/>
      <c r="XCO55" s="196"/>
      <c r="XCP55" s="196"/>
      <c r="XCQ55" s="196"/>
      <c r="XCR55" s="196"/>
      <c r="XCS55" s="196"/>
      <c r="XCT55" s="196"/>
      <c r="XCU55" s="196"/>
      <c r="XCV55" s="196"/>
      <c r="XCW55" s="196"/>
      <c r="XCX55" s="196"/>
      <c r="XCY55" s="196"/>
      <c r="XCZ55" s="196"/>
      <c r="XDA55" s="196"/>
      <c r="XDB55" s="196"/>
      <c r="XDC55" s="196"/>
      <c r="XDD55" s="196"/>
      <c r="XDE55" s="196"/>
      <c r="XDF55" s="196"/>
      <c r="XDG55" s="196"/>
      <c r="XDH55" s="196"/>
      <c r="XDI55" s="196"/>
      <c r="XDJ55" s="196"/>
      <c r="XDK55" s="196"/>
      <c r="XDL55" s="196"/>
      <c r="XDM55" s="196"/>
      <c r="XDN55" s="196"/>
      <c r="XDO55" s="196"/>
      <c r="XDP55" s="196"/>
      <c r="XDQ55" s="196"/>
      <c r="XDR55" s="196"/>
      <c r="XDS55" s="196"/>
      <c r="XDT55" s="196"/>
      <c r="XDU55" s="196"/>
      <c r="XDV55" s="196"/>
      <c r="XDW55" s="196"/>
      <c r="XDX55" s="196"/>
      <c r="XDY55" s="196"/>
      <c r="XDZ55" s="196"/>
      <c r="XEA55" s="196"/>
      <c r="XEB55" s="196"/>
      <c r="XEC55" s="196"/>
      <c r="XED55" s="196"/>
      <c r="XEE55" s="196"/>
      <c r="XEF55" s="196"/>
      <c r="XEG55" s="196"/>
      <c r="XEH55" s="196"/>
      <c r="XEI55" s="196"/>
      <c r="XEJ55" s="196"/>
      <c r="XEK55" s="196"/>
      <c r="XEL55" s="196"/>
      <c r="XEM55" s="196"/>
      <c r="XEN55" s="196"/>
      <c r="XEO55" s="196"/>
      <c r="XEP55" s="196"/>
      <c r="XEQ55" s="196"/>
      <c r="XER55" s="196"/>
      <c r="XES55" s="196"/>
      <c r="XET55" s="196"/>
      <c r="XEU55" s="196"/>
      <c r="XEV55" s="196"/>
      <c r="XEW55" s="196"/>
      <c r="XEX55" s="196"/>
      <c r="XEY55" s="196"/>
      <c r="XEZ55" s="196"/>
      <c r="XFA55" s="196"/>
      <c r="XFB55" s="196"/>
    </row>
    <row r="56" spans="1:16382" x14ac:dyDescent="0.5">
      <c r="A56" s="487"/>
      <c r="B56" s="196"/>
      <c r="C56" s="196"/>
      <c r="D56" s="196"/>
      <c r="E56" s="196"/>
      <c r="F56" s="196"/>
      <c r="G56" s="196"/>
      <c r="H56" s="196"/>
      <c r="I56" s="196"/>
      <c r="J56" s="196"/>
      <c r="K56" s="196"/>
      <c r="L56" s="196"/>
      <c r="M56" s="196"/>
      <c r="N56" s="196"/>
      <c r="O56" s="196"/>
      <c r="P56" s="196"/>
      <c r="Q56" s="196"/>
      <c r="R56" s="196"/>
      <c r="S56" s="196"/>
      <c r="T56" s="196"/>
      <c r="U56" s="196"/>
      <c r="V56" s="196"/>
      <c r="W56" s="196"/>
      <c r="X56" s="196"/>
      <c r="Y56" s="196"/>
      <c r="Z56" s="196"/>
      <c r="AA56" s="196"/>
      <c r="AB56" s="196"/>
      <c r="AC56" s="196"/>
      <c r="AD56" s="196"/>
      <c r="AE56" s="196"/>
      <c r="AF56" s="196"/>
      <c r="AG56" s="196"/>
      <c r="AH56" s="196"/>
      <c r="AI56" s="196"/>
      <c r="AJ56" s="196"/>
      <c r="AK56" s="196"/>
      <c r="AL56" s="196"/>
      <c r="AM56" s="196"/>
      <c r="AN56" s="196"/>
      <c r="AO56" s="196"/>
      <c r="AP56" s="196"/>
      <c r="AQ56" s="196"/>
      <c r="AR56" s="196"/>
      <c r="AS56" s="196"/>
      <c r="AT56" s="196"/>
      <c r="AU56" s="196"/>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6"/>
      <c r="BT56" s="196"/>
      <c r="BU56" s="196"/>
      <c r="BV56" s="196"/>
      <c r="BW56" s="196"/>
      <c r="BX56" s="196"/>
      <c r="BY56" s="196"/>
      <c r="BZ56" s="196"/>
      <c r="CA56" s="196"/>
      <c r="CB56" s="196"/>
      <c r="CC56" s="196"/>
      <c r="CD56" s="196"/>
      <c r="CE56" s="196"/>
      <c r="CF56" s="196"/>
      <c r="CG56" s="196"/>
      <c r="CH56" s="196"/>
      <c r="CI56" s="196"/>
      <c r="CJ56" s="196"/>
      <c r="CK56" s="196"/>
      <c r="CL56" s="196"/>
      <c r="CM56" s="196"/>
      <c r="CN56" s="196"/>
      <c r="CO56" s="196"/>
      <c r="CP56" s="196"/>
      <c r="CQ56" s="196"/>
      <c r="CR56" s="196"/>
      <c r="CS56" s="196"/>
      <c r="CT56" s="196"/>
      <c r="CU56" s="196"/>
      <c r="CV56" s="196"/>
      <c r="CW56" s="196"/>
      <c r="CX56" s="196"/>
      <c r="CY56" s="196"/>
      <c r="CZ56" s="196"/>
      <c r="DA56" s="196"/>
      <c r="DB56" s="196"/>
      <c r="DC56" s="196"/>
      <c r="DD56" s="196"/>
      <c r="DE56" s="196"/>
      <c r="DF56" s="196"/>
      <c r="DG56" s="196"/>
      <c r="DH56" s="196"/>
      <c r="DI56" s="196"/>
      <c r="DJ56" s="196"/>
      <c r="DK56" s="196"/>
      <c r="DL56" s="196"/>
      <c r="DM56" s="196"/>
      <c r="DN56" s="196"/>
      <c r="DO56" s="196"/>
      <c r="DP56" s="196"/>
      <c r="DQ56" s="196"/>
      <c r="DR56" s="196"/>
      <c r="DS56" s="196"/>
      <c r="DT56" s="196"/>
      <c r="DU56" s="196"/>
      <c r="DV56" s="196"/>
      <c r="DW56" s="196"/>
      <c r="DX56" s="196"/>
      <c r="DY56" s="196"/>
      <c r="DZ56" s="196"/>
      <c r="EA56" s="196"/>
      <c r="EB56" s="196"/>
      <c r="EC56" s="196"/>
      <c r="ED56" s="196"/>
      <c r="EE56" s="196"/>
      <c r="EF56" s="196"/>
      <c r="EG56" s="196"/>
      <c r="EH56" s="196"/>
      <c r="EI56" s="196"/>
      <c r="EJ56" s="196"/>
      <c r="EK56" s="196"/>
      <c r="EL56" s="196"/>
      <c r="EM56" s="196"/>
      <c r="EN56" s="196"/>
      <c r="EO56" s="196"/>
      <c r="EP56" s="196"/>
      <c r="EQ56" s="196"/>
      <c r="ER56" s="196"/>
      <c r="ES56" s="196"/>
      <c r="ET56" s="196"/>
      <c r="EU56" s="196"/>
      <c r="EV56" s="196"/>
      <c r="EW56" s="196"/>
      <c r="EX56" s="196"/>
      <c r="EY56" s="196"/>
      <c r="EZ56" s="196"/>
      <c r="FA56" s="196"/>
      <c r="FB56" s="196"/>
      <c r="FC56" s="196"/>
      <c r="FD56" s="196"/>
      <c r="FE56" s="196"/>
      <c r="FF56" s="196"/>
      <c r="FG56" s="196"/>
      <c r="FH56" s="196"/>
      <c r="FI56" s="196"/>
      <c r="FJ56" s="196"/>
      <c r="FK56" s="196"/>
      <c r="FL56" s="196"/>
      <c r="FM56" s="196"/>
      <c r="FN56" s="196"/>
      <c r="FO56" s="196"/>
      <c r="FP56" s="196"/>
      <c r="FQ56" s="196"/>
      <c r="FR56" s="196"/>
      <c r="FS56" s="196"/>
      <c r="FT56" s="196"/>
      <c r="FU56" s="196"/>
      <c r="FV56" s="196"/>
      <c r="FW56" s="196"/>
      <c r="FX56" s="196"/>
      <c r="FY56" s="196"/>
      <c r="FZ56" s="196"/>
      <c r="GA56" s="196"/>
      <c r="GB56" s="196"/>
      <c r="GC56" s="196"/>
      <c r="GD56" s="196"/>
      <c r="GE56" s="196"/>
      <c r="GF56" s="196"/>
      <c r="GG56" s="196"/>
      <c r="GH56" s="196"/>
      <c r="GI56" s="196"/>
      <c r="GJ56" s="196"/>
      <c r="GK56" s="196"/>
      <c r="GL56" s="196"/>
      <c r="GM56" s="196"/>
      <c r="GN56" s="196"/>
      <c r="GO56" s="196"/>
      <c r="GP56" s="196"/>
      <c r="GQ56" s="196"/>
      <c r="GR56" s="196"/>
      <c r="GS56" s="196"/>
      <c r="GT56" s="196"/>
      <c r="GU56" s="196"/>
      <c r="GV56" s="196"/>
      <c r="GW56" s="196"/>
      <c r="GX56" s="196"/>
      <c r="GY56" s="196"/>
      <c r="GZ56" s="196"/>
      <c r="HA56" s="196"/>
      <c r="HB56" s="196"/>
      <c r="HC56" s="196"/>
      <c r="HD56" s="196"/>
      <c r="HE56" s="196"/>
      <c r="HF56" s="196"/>
      <c r="HG56" s="196"/>
      <c r="HH56" s="196"/>
      <c r="HI56" s="196"/>
      <c r="HJ56" s="196"/>
      <c r="HK56" s="196"/>
      <c r="HL56" s="196"/>
      <c r="HM56" s="196"/>
      <c r="HN56" s="196"/>
      <c r="HO56" s="196"/>
      <c r="HP56" s="196"/>
      <c r="HQ56" s="196"/>
      <c r="HR56" s="196"/>
      <c r="HS56" s="196"/>
      <c r="HT56" s="196"/>
      <c r="HU56" s="196"/>
      <c r="HV56" s="196"/>
      <c r="HW56" s="196"/>
      <c r="HX56" s="196"/>
      <c r="HY56" s="196"/>
      <c r="HZ56" s="196"/>
      <c r="IA56" s="196"/>
      <c r="IB56" s="196"/>
      <c r="IC56" s="196"/>
      <c r="ID56" s="196"/>
      <c r="IE56" s="196"/>
      <c r="IF56" s="196"/>
      <c r="IG56" s="196"/>
      <c r="IH56" s="196"/>
      <c r="II56" s="196"/>
      <c r="IJ56" s="196"/>
      <c r="IK56" s="196"/>
      <c r="IL56" s="196"/>
      <c r="IM56" s="196"/>
      <c r="IN56" s="196"/>
      <c r="IO56" s="196"/>
      <c r="IP56" s="196"/>
      <c r="IQ56" s="196"/>
      <c r="IR56" s="196"/>
      <c r="IS56" s="196"/>
      <c r="IT56" s="196"/>
      <c r="IU56" s="196"/>
      <c r="IV56" s="196"/>
      <c r="IW56" s="196"/>
      <c r="IX56" s="196"/>
      <c r="IY56" s="196"/>
      <c r="IZ56" s="196"/>
      <c r="JA56" s="196"/>
      <c r="JB56" s="196"/>
      <c r="JC56" s="196"/>
      <c r="JD56" s="196"/>
      <c r="JE56" s="196"/>
      <c r="JF56" s="196"/>
      <c r="JG56" s="196"/>
      <c r="JH56" s="196"/>
      <c r="JI56" s="196"/>
      <c r="JJ56" s="196"/>
      <c r="JK56" s="196"/>
      <c r="JL56" s="196"/>
      <c r="JM56" s="196"/>
      <c r="JN56" s="196"/>
      <c r="JO56" s="196"/>
      <c r="JP56" s="196"/>
      <c r="JQ56" s="196"/>
      <c r="JR56" s="196"/>
      <c r="JS56" s="196"/>
      <c r="JT56" s="196"/>
      <c r="JU56" s="196"/>
      <c r="JV56" s="196"/>
      <c r="JW56" s="196"/>
      <c r="JX56" s="196"/>
      <c r="JY56" s="196"/>
      <c r="JZ56" s="196"/>
      <c r="KA56" s="196"/>
      <c r="KB56" s="196"/>
      <c r="KC56" s="196"/>
      <c r="KD56" s="196"/>
      <c r="KE56" s="196"/>
      <c r="KF56" s="196"/>
      <c r="KG56" s="196"/>
      <c r="KH56" s="196"/>
      <c r="KI56" s="196"/>
      <c r="KJ56" s="196"/>
      <c r="KK56" s="196"/>
      <c r="KL56" s="196"/>
      <c r="KM56" s="196"/>
      <c r="KN56" s="196"/>
      <c r="KO56" s="196"/>
      <c r="KP56" s="196"/>
      <c r="KQ56" s="196"/>
      <c r="KR56" s="196"/>
      <c r="KS56" s="196"/>
      <c r="KT56" s="196"/>
      <c r="KU56" s="196"/>
      <c r="KV56" s="196"/>
      <c r="KW56" s="196"/>
      <c r="KX56" s="196"/>
      <c r="KY56" s="196"/>
      <c r="KZ56" s="196"/>
      <c r="LA56" s="196"/>
      <c r="LB56" s="196"/>
      <c r="LC56" s="196"/>
      <c r="LD56" s="196"/>
      <c r="LE56" s="196"/>
      <c r="LF56" s="196"/>
      <c r="LG56" s="196"/>
      <c r="LH56" s="196"/>
      <c r="LI56" s="196"/>
      <c r="LJ56" s="196"/>
      <c r="LK56" s="196"/>
      <c r="LL56" s="196"/>
      <c r="LM56" s="196"/>
      <c r="LN56" s="196"/>
      <c r="LO56" s="196"/>
      <c r="LP56" s="196"/>
      <c r="LQ56" s="196"/>
      <c r="LR56" s="196"/>
      <c r="LS56" s="196"/>
      <c r="LT56" s="196"/>
      <c r="LU56" s="196"/>
      <c r="LV56" s="196"/>
      <c r="LW56" s="196"/>
      <c r="LX56" s="196"/>
      <c r="LY56" s="196"/>
      <c r="LZ56" s="196"/>
      <c r="MA56" s="196"/>
      <c r="MB56" s="196"/>
      <c r="MC56" s="196"/>
      <c r="MD56" s="196"/>
      <c r="ME56" s="196"/>
      <c r="MF56" s="196"/>
      <c r="MG56" s="196"/>
      <c r="MH56" s="196"/>
      <c r="MI56" s="196"/>
      <c r="MJ56" s="196"/>
      <c r="MK56" s="196"/>
      <c r="ML56" s="196"/>
      <c r="MM56" s="196"/>
      <c r="MN56" s="196"/>
      <c r="MO56" s="196"/>
      <c r="MP56" s="196"/>
      <c r="MQ56" s="196"/>
      <c r="MR56" s="196"/>
      <c r="MS56" s="196"/>
      <c r="MT56" s="196"/>
      <c r="MU56" s="196"/>
      <c r="MV56" s="196"/>
      <c r="MW56" s="196"/>
      <c r="MX56" s="196"/>
      <c r="MY56" s="196"/>
      <c r="MZ56" s="196"/>
      <c r="NA56" s="196"/>
      <c r="NB56" s="196"/>
      <c r="NC56" s="196"/>
      <c r="ND56" s="196"/>
      <c r="NE56" s="196"/>
      <c r="NF56" s="196"/>
      <c r="NG56" s="196"/>
      <c r="NH56" s="196"/>
      <c r="NI56" s="196"/>
      <c r="NJ56" s="196"/>
      <c r="NK56" s="196"/>
      <c r="NL56" s="196"/>
      <c r="NM56" s="196"/>
      <c r="NN56" s="196"/>
      <c r="NO56" s="196"/>
      <c r="NP56" s="196"/>
      <c r="NQ56" s="196"/>
      <c r="NR56" s="196"/>
      <c r="NS56" s="196"/>
      <c r="NT56" s="196"/>
      <c r="NU56" s="196"/>
      <c r="NV56" s="196"/>
      <c r="NW56" s="196"/>
      <c r="NX56" s="196"/>
      <c r="NY56" s="196"/>
      <c r="NZ56" s="196"/>
      <c r="OA56" s="196"/>
      <c r="OB56" s="196"/>
      <c r="OC56" s="196"/>
      <c r="OD56" s="196"/>
      <c r="OE56" s="196"/>
      <c r="OF56" s="196"/>
      <c r="OG56" s="196"/>
      <c r="OH56" s="196"/>
      <c r="OI56" s="196"/>
      <c r="OJ56" s="196"/>
      <c r="OK56" s="196"/>
      <c r="OL56" s="196"/>
      <c r="OM56" s="196"/>
      <c r="ON56" s="196"/>
      <c r="OO56" s="196"/>
      <c r="OP56" s="196"/>
      <c r="OQ56" s="196"/>
      <c r="OR56" s="196"/>
      <c r="OS56" s="196"/>
      <c r="OT56" s="196"/>
      <c r="OU56" s="196"/>
      <c r="OV56" s="196"/>
      <c r="OW56" s="196"/>
      <c r="OX56" s="196"/>
      <c r="OY56" s="196"/>
      <c r="OZ56" s="196"/>
      <c r="PA56" s="196"/>
      <c r="PB56" s="196"/>
      <c r="PC56" s="196"/>
      <c r="PD56" s="196"/>
      <c r="PE56" s="196"/>
      <c r="PF56" s="196"/>
      <c r="PG56" s="196"/>
      <c r="PH56" s="196"/>
      <c r="PI56" s="196"/>
      <c r="PJ56" s="196"/>
      <c r="PK56" s="196"/>
      <c r="PL56" s="196"/>
      <c r="PM56" s="196"/>
      <c r="PN56" s="196"/>
      <c r="PO56" s="196"/>
      <c r="PP56" s="196"/>
      <c r="PQ56" s="196"/>
      <c r="PR56" s="196"/>
      <c r="PS56" s="196"/>
      <c r="PT56" s="196"/>
      <c r="PU56" s="196"/>
      <c r="PV56" s="196"/>
      <c r="PW56" s="196"/>
      <c r="PX56" s="196"/>
      <c r="PY56" s="196"/>
      <c r="PZ56" s="196"/>
      <c r="QA56" s="196"/>
      <c r="QB56" s="196"/>
      <c r="QC56" s="196"/>
      <c r="QD56" s="196"/>
      <c r="QE56" s="196"/>
      <c r="QF56" s="196"/>
      <c r="QG56" s="196"/>
      <c r="QH56" s="196"/>
      <c r="QI56" s="196"/>
      <c r="QJ56" s="196"/>
      <c r="QK56" s="196"/>
      <c r="QL56" s="196"/>
      <c r="QM56" s="196"/>
      <c r="QN56" s="196"/>
      <c r="QO56" s="196"/>
      <c r="QP56" s="196"/>
      <c r="QQ56" s="196"/>
      <c r="QR56" s="196"/>
      <c r="QS56" s="196"/>
      <c r="QT56" s="196"/>
      <c r="QU56" s="196"/>
      <c r="QV56" s="196"/>
      <c r="QW56" s="196"/>
      <c r="QX56" s="196"/>
      <c r="QY56" s="196"/>
      <c r="QZ56" s="196"/>
      <c r="RA56" s="196"/>
      <c r="RB56" s="196"/>
      <c r="RC56" s="196"/>
      <c r="RD56" s="196"/>
      <c r="RE56" s="196"/>
      <c r="RF56" s="196"/>
      <c r="RG56" s="196"/>
      <c r="RH56" s="196"/>
      <c r="RI56" s="196"/>
      <c r="RJ56" s="196"/>
      <c r="RK56" s="196"/>
      <c r="RL56" s="196"/>
      <c r="RM56" s="196"/>
      <c r="RN56" s="196"/>
      <c r="RO56" s="196"/>
      <c r="RP56" s="196"/>
      <c r="RQ56" s="196"/>
      <c r="RR56" s="196"/>
      <c r="RS56" s="196"/>
      <c r="RT56" s="196"/>
      <c r="RU56" s="196"/>
      <c r="RV56" s="196"/>
      <c r="RW56" s="196"/>
      <c r="RX56" s="196"/>
      <c r="RY56" s="196"/>
      <c r="RZ56" s="196"/>
      <c r="SA56" s="196"/>
      <c r="SB56" s="196"/>
      <c r="SC56" s="196"/>
      <c r="SD56" s="196"/>
      <c r="SE56" s="196"/>
      <c r="SF56" s="196"/>
      <c r="SG56" s="196"/>
      <c r="SH56" s="196"/>
      <c r="SI56" s="196"/>
      <c r="SJ56" s="196"/>
      <c r="SK56" s="196"/>
      <c r="SL56" s="196"/>
      <c r="SM56" s="196"/>
      <c r="SN56" s="196"/>
      <c r="SO56" s="196"/>
      <c r="SP56" s="196"/>
      <c r="SQ56" s="196"/>
      <c r="SR56" s="196"/>
      <c r="SS56" s="196"/>
      <c r="ST56" s="196"/>
      <c r="SU56" s="196"/>
      <c r="SV56" s="196"/>
      <c r="SW56" s="196"/>
      <c r="SX56" s="196"/>
      <c r="SY56" s="196"/>
      <c r="SZ56" s="196"/>
      <c r="TA56" s="196"/>
      <c r="TB56" s="196"/>
      <c r="TC56" s="196"/>
      <c r="TD56" s="196"/>
      <c r="TE56" s="196"/>
      <c r="TF56" s="196"/>
      <c r="TG56" s="196"/>
      <c r="TH56" s="196"/>
      <c r="TI56" s="196"/>
      <c r="TJ56" s="196"/>
      <c r="TK56" s="196"/>
      <c r="TL56" s="196"/>
      <c r="TM56" s="196"/>
      <c r="TN56" s="196"/>
      <c r="TO56" s="196"/>
      <c r="TP56" s="196"/>
      <c r="TQ56" s="196"/>
      <c r="TR56" s="196"/>
      <c r="TS56" s="196"/>
      <c r="TT56" s="196"/>
      <c r="TU56" s="196"/>
      <c r="TV56" s="196"/>
      <c r="TW56" s="196"/>
      <c r="TX56" s="196"/>
      <c r="TY56" s="196"/>
      <c r="TZ56" s="196"/>
      <c r="UA56" s="196"/>
      <c r="UB56" s="196"/>
      <c r="UC56" s="196"/>
      <c r="UD56" s="196"/>
      <c r="UE56" s="196"/>
      <c r="UF56" s="196"/>
      <c r="UG56" s="196"/>
      <c r="UH56" s="196"/>
      <c r="UI56" s="196"/>
      <c r="UJ56" s="196"/>
      <c r="UK56" s="196"/>
      <c r="UL56" s="196"/>
      <c r="UM56" s="196"/>
      <c r="UN56" s="196"/>
      <c r="UO56" s="196"/>
      <c r="UP56" s="196"/>
      <c r="UQ56" s="196"/>
      <c r="UR56" s="196"/>
      <c r="US56" s="196"/>
      <c r="UT56" s="196"/>
      <c r="UU56" s="196"/>
      <c r="UV56" s="196"/>
      <c r="UW56" s="196"/>
      <c r="UX56" s="196"/>
      <c r="UY56" s="196"/>
      <c r="UZ56" s="196"/>
      <c r="VA56" s="196"/>
      <c r="VB56" s="196"/>
      <c r="VC56" s="196"/>
      <c r="VD56" s="196"/>
      <c r="VE56" s="196"/>
      <c r="VF56" s="196"/>
      <c r="VG56" s="196"/>
      <c r="VH56" s="196"/>
      <c r="VI56" s="196"/>
      <c r="VJ56" s="196"/>
      <c r="VK56" s="196"/>
      <c r="VL56" s="196"/>
      <c r="VM56" s="196"/>
      <c r="VN56" s="196"/>
      <c r="VO56" s="196"/>
      <c r="VP56" s="196"/>
      <c r="VQ56" s="196"/>
      <c r="VR56" s="196"/>
      <c r="VS56" s="196"/>
      <c r="VT56" s="196"/>
      <c r="VU56" s="196"/>
      <c r="VV56" s="196"/>
      <c r="VW56" s="196"/>
      <c r="VX56" s="196"/>
      <c r="VY56" s="196"/>
      <c r="VZ56" s="196"/>
      <c r="WA56" s="196"/>
      <c r="WB56" s="196"/>
      <c r="WC56" s="196"/>
      <c r="WD56" s="196"/>
      <c r="WE56" s="196"/>
      <c r="WF56" s="196"/>
      <c r="WG56" s="196"/>
      <c r="WH56" s="196"/>
      <c r="WI56" s="196"/>
      <c r="WJ56" s="196"/>
      <c r="WK56" s="196"/>
      <c r="WL56" s="196"/>
      <c r="WM56" s="196"/>
      <c r="WN56" s="196"/>
      <c r="WO56" s="196"/>
      <c r="WP56" s="196"/>
      <c r="WQ56" s="196"/>
      <c r="WR56" s="196"/>
      <c r="WS56" s="196"/>
      <c r="WT56" s="196"/>
      <c r="WU56" s="196"/>
      <c r="WV56" s="196"/>
      <c r="WW56" s="196"/>
      <c r="WX56" s="196"/>
      <c r="WY56" s="196"/>
      <c r="WZ56" s="196"/>
      <c r="XA56" s="196"/>
      <c r="XB56" s="196"/>
      <c r="XC56" s="196"/>
      <c r="XD56" s="196"/>
      <c r="XE56" s="196"/>
      <c r="XF56" s="196"/>
      <c r="XG56" s="196"/>
      <c r="XH56" s="196"/>
      <c r="XI56" s="196"/>
      <c r="XJ56" s="196"/>
      <c r="XK56" s="196"/>
      <c r="XL56" s="196"/>
      <c r="XM56" s="196"/>
      <c r="XN56" s="196"/>
      <c r="XO56" s="196"/>
      <c r="XP56" s="196"/>
      <c r="XQ56" s="196"/>
      <c r="XR56" s="196"/>
      <c r="XS56" s="196"/>
      <c r="XT56" s="196"/>
      <c r="XU56" s="196"/>
      <c r="XV56" s="196"/>
      <c r="XW56" s="196"/>
      <c r="XX56" s="196"/>
      <c r="XY56" s="196"/>
      <c r="XZ56" s="196"/>
      <c r="YA56" s="196"/>
      <c r="YB56" s="196"/>
      <c r="YC56" s="196"/>
      <c r="YD56" s="196"/>
      <c r="YE56" s="196"/>
      <c r="YF56" s="196"/>
      <c r="YG56" s="196"/>
      <c r="YH56" s="196"/>
      <c r="YI56" s="196"/>
      <c r="YJ56" s="196"/>
      <c r="YK56" s="196"/>
      <c r="YL56" s="196"/>
      <c r="YM56" s="196"/>
      <c r="YN56" s="196"/>
      <c r="YO56" s="196"/>
      <c r="YP56" s="196"/>
      <c r="YQ56" s="196"/>
      <c r="YR56" s="196"/>
      <c r="YS56" s="196"/>
      <c r="YT56" s="196"/>
      <c r="YU56" s="196"/>
      <c r="YV56" s="196"/>
      <c r="YW56" s="196"/>
      <c r="YX56" s="196"/>
      <c r="YY56" s="196"/>
      <c r="YZ56" s="196"/>
      <c r="ZA56" s="196"/>
      <c r="ZB56" s="196"/>
      <c r="ZC56" s="196"/>
      <c r="ZD56" s="196"/>
      <c r="ZE56" s="196"/>
      <c r="ZF56" s="196"/>
      <c r="ZG56" s="196"/>
      <c r="ZH56" s="196"/>
      <c r="ZI56" s="196"/>
      <c r="ZJ56" s="196"/>
      <c r="ZK56" s="196"/>
      <c r="ZL56" s="196"/>
      <c r="ZM56" s="196"/>
      <c r="ZN56" s="196"/>
      <c r="ZO56" s="196"/>
      <c r="ZP56" s="196"/>
      <c r="ZQ56" s="196"/>
      <c r="ZR56" s="196"/>
      <c r="ZS56" s="196"/>
      <c r="ZT56" s="196"/>
      <c r="ZU56" s="196"/>
      <c r="ZV56" s="196"/>
      <c r="ZW56" s="196"/>
      <c r="ZX56" s="196"/>
      <c r="ZY56" s="196"/>
      <c r="ZZ56" s="196"/>
      <c r="AAA56" s="196"/>
      <c r="AAB56" s="196"/>
      <c r="AAC56" s="196"/>
      <c r="AAD56" s="196"/>
      <c r="AAE56" s="196"/>
      <c r="AAF56" s="196"/>
      <c r="AAG56" s="196"/>
      <c r="AAH56" s="196"/>
      <c r="AAI56" s="196"/>
      <c r="AAJ56" s="196"/>
      <c r="AAK56" s="196"/>
      <c r="AAL56" s="196"/>
      <c r="AAM56" s="196"/>
      <c r="AAN56" s="196"/>
      <c r="AAO56" s="196"/>
      <c r="AAP56" s="196"/>
      <c r="AAQ56" s="196"/>
      <c r="AAR56" s="196"/>
      <c r="AAS56" s="196"/>
      <c r="AAT56" s="196"/>
      <c r="AAU56" s="196"/>
      <c r="AAV56" s="196"/>
      <c r="AAW56" s="196"/>
      <c r="AAX56" s="196"/>
      <c r="AAY56" s="196"/>
      <c r="AAZ56" s="196"/>
      <c r="ABA56" s="196"/>
      <c r="ABB56" s="196"/>
      <c r="ABC56" s="196"/>
      <c r="ABD56" s="196"/>
      <c r="ABE56" s="196"/>
      <c r="ABF56" s="196"/>
      <c r="ABG56" s="196"/>
      <c r="ABH56" s="196"/>
      <c r="ABI56" s="196"/>
      <c r="ABJ56" s="196"/>
      <c r="ABK56" s="196"/>
      <c r="ABL56" s="196"/>
      <c r="ABM56" s="196"/>
      <c r="ABN56" s="196"/>
      <c r="ABO56" s="196"/>
      <c r="ABP56" s="196"/>
      <c r="ABQ56" s="196"/>
      <c r="ABR56" s="196"/>
      <c r="ABS56" s="196"/>
      <c r="ABT56" s="196"/>
      <c r="ABU56" s="196"/>
      <c r="ABV56" s="196"/>
      <c r="ABW56" s="196"/>
      <c r="ABX56" s="196"/>
      <c r="ABY56" s="196"/>
      <c r="ABZ56" s="196"/>
      <c r="ACA56" s="196"/>
      <c r="ACB56" s="196"/>
      <c r="ACC56" s="196"/>
      <c r="ACD56" s="196"/>
      <c r="ACE56" s="196"/>
      <c r="ACF56" s="196"/>
      <c r="ACG56" s="196"/>
      <c r="ACH56" s="196"/>
      <c r="ACI56" s="196"/>
      <c r="ACJ56" s="196"/>
      <c r="ACK56" s="196"/>
      <c r="ACL56" s="196"/>
      <c r="ACM56" s="196"/>
      <c r="ACN56" s="196"/>
      <c r="ACO56" s="196"/>
      <c r="ACP56" s="196"/>
      <c r="ACQ56" s="196"/>
      <c r="ACR56" s="196"/>
      <c r="ACS56" s="196"/>
      <c r="ACT56" s="196"/>
      <c r="ACU56" s="196"/>
      <c r="ACV56" s="196"/>
      <c r="ACW56" s="196"/>
      <c r="ACX56" s="196"/>
      <c r="ACY56" s="196"/>
      <c r="ACZ56" s="196"/>
      <c r="ADA56" s="196"/>
      <c r="ADB56" s="196"/>
      <c r="ADC56" s="196"/>
      <c r="ADD56" s="196"/>
      <c r="ADE56" s="196"/>
      <c r="ADF56" s="196"/>
      <c r="ADG56" s="196"/>
      <c r="ADH56" s="196"/>
      <c r="ADI56" s="196"/>
      <c r="ADJ56" s="196"/>
      <c r="ADK56" s="196"/>
      <c r="ADL56" s="196"/>
      <c r="ADM56" s="196"/>
      <c r="ADN56" s="196"/>
      <c r="ADO56" s="196"/>
      <c r="ADP56" s="196"/>
      <c r="ADQ56" s="196"/>
      <c r="ADR56" s="196"/>
      <c r="ADS56" s="196"/>
      <c r="ADT56" s="196"/>
      <c r="ADU56" s="196"/>
      <c r="ADV56" s="196"/>
      <c r="ADW56" s="196"/>
      <c r="ADX56" s="196"/>
      <c r="ADY56" s="196"/>
      <c r="ADZ56" s="196"/>
      <c r="AEA56" s="196"/>
      <c r="AEB56" s="196"/>
      <c r="AEC56" s="196"/>
      <c r="AED56" s="196"/>
      <c r="AEE56" s="196"/>
      <c r="AEF56" s="196"/>
      <c r="AEG56" s="196"/>
      <c r="AEH56" s="196"/>
      <c r="AEI56" s="196"/>
      <c r="AEJ56" s="196"/>
      <c r="AEK56" s="196"/>
      <c r="AEL56" s="196"/>
      <c r="AEM56" s="196"/>
      <c r="AEN56" s="196"/>
      <c r="AEO56" s="196"/>
      <c r="AEP56" s="196"/>
      <c r="AEQ56" s="196"/>
      <c r="AER56" s="196"/>
      <c r="AES56" s="196"/>
      <c r="AET56" s="196"/>
      <c r="AEU56" s="196"/>
      <c r="AEV56" s="196"/>
      <c r="AEW56" s="196"/>
      <c r="AEX56" s="196"/>
      <c r="AEY56" s="196"/>
      <c r="AEZ56" s="196"/>
      <c r="AFA56" s="196"/>
      <c r="AFB56" s="196"/>
      <c r="AFC56" s="196"/>
      <c r="AFD56" s="196"/>
      <c r="AFE56" s="196"/>
      <c r="AFF56" s="196"/>
      <c r="AFG56" s="196"/>
      <c r="AFH56" s="196"/>
      <c r="AFI56" s="196"/>
      <c r="AFJ56" s="196"/>
      <c r="AFK56" s="196"/>
      <c r="AFL56" s="196"/>
      <c r="AFM56" s="196"/>
      <c r="AFN56" s="196"/>
      <c r="AFO56" s="196"/>
      <c r="AFP56" s="196"/>
      <c r="AFQ56" s="196"/>
      <c r="AFR56" s="196"/>
      <c r="AFS56" s="196"/>
      <c r="AFT56" s="196"/>
      <c r="AFU56" s="196"/>
      <c r="AFV56" s="196"/>
      <c r="AFW56" s="196"/>
      <c r="AFX56" s="196"/>
      <c r="AFY56" s="196"/>
      <c r="AFZ56" s="196"/>
      <c r="AGA56" s="196"/>
      <c r="AGB56" s="196"/>
      <c r="AGC56" s="196"/>
      <c r="AGD56" s="196"/>
      <c r="AGE56" s="196"/>
      <c r="AGF56" s="196"/>
      <c r="AGG56" s="196"/>
      <c r="AGH56" s="196"/>
      <c r="AGI56" s="196"/>
      <c r="AGJ56" s="196"/>
      <c r="AGK56" s="196"/>
      <c r="AGL56" s="196"/>
      <c r="AGM56" s="196"/>
      <c r="AGN56" s="196"/>
      <c r="AGO56" s="196"/>
      <c r="AGP56" s="196"/>
      <c r="AGQ56" s="196"/>
      <c r="AGR56" s="196"/>
      <c r="AGS56" s="196"/>
      <c r="AGT56" s="196"/>
      <c r="AGU56" s="196"/>
      <c r="AGV56" s="196"/>
      <c r="AGW56" s="196"/>
      <c r="AGX56" s="196"/>
      <c r="AGY56" s="196"/>
      <c r="AGZ56" s="196"/>
      <c r="AHA56" s="196"/>
      <c r="AHB56" s="196"/>
      <c r="AHC56" s="196"/>
      <c r="AHD56" s="196"/>
      <c r="AHE56" s="196"/>
      <c r="AHF56" s="196"/>
      <c r="AHG56" s="196"/>
      <c r="AHH56" s="196"/>
      <c r="AHI56" s="196"/>
      <c r="AHJ56" s="196"/>
      <c r="AHK56" s="196"/>
      <c r="AHL56" s="196"/>
      <c r="AHM56" s="196"/>
      <c r="AHN56" s="196"/>
      <c r="AHO56" s="196"/>
      <c r="AHP56" s="196"/>
      <c r="AHQ56" s="196"/>
      <c r="AHR56" s="196"/>
      <c r="AHS56" s="196"/>
      <c r="AHT56" s="196"/>
      <c r="AHU56" s="196"/>
      <c r="AHV56" s="196"/>
      <c r="AHW56" s="196"/>
      <c r="AHX56" s="196"/>
      <c r="AHY56" s="196"/>
      <c r="AHZ56" s="196"/>
      <c r="AIA56" s="196"/>
      <c r="AIB56" s="196"/>
      <c r="AIC56" s="196"/>
      <c r="AID56" s="196"/>
      <c r="AIE56" s="196"/>
      <c r="AIF56" s="196"/>
      <c r="AIG56" s="196"/>
      <c r="AIH56" s="196"/>
      <c r="AII56" s="196"/>
      <c r="AIJ56" s="196"/>
      <c r="AIK56" s="196"/>
      <c r="AIL56" s="196"/>
      <c r="AIM56" s="196"/>
      <c r="AIN56" s="196"/>
      <c r="AIO56" s="196"/>
      <c r="AIP56" s="196"/>
      <c r="AIQ56" s="196"/>
      <c r="AIR56" s="196"/>
      <c r="AIS56" s="196"/>
      <c r="AIT56" s="196"/>
      <c r="AIU56" s="196"/>
      <c r="AIV56" s="196"/>
      <c r="AIW56" s="196"/>
      <c r="AIX56" s="196"/>
      <c r="AIY56" s="196"/>
      <c r="AIZ56" s="196"/>
      <c r="AJA56" s="196"/>
      <c r="AJB56" s="196"/>
      <c r="AJC56" s="196"/>
      <c r="AJD56" s="196"/>
      <c r="AJE56" s="196"/>
      <c r="AJF56" s="196"/>
      <c r="AJG56" s="196"/>
      <c r="AJH56" s="196"/>
      <c r="AJI56" s="196"/>
      <c r="AJJ56" s="196"/>
      <c r="AJK56" s="196"/>
      <c r="AJL56" s="196"/>
      <c r="AJM56" s="196"/>
      <c r="AJN56" s="196"/>
      <c r="AJO56" s="196"/>
      <c r="AJP56" s="196"/>
      <c r="AJQ56" s="196"/>
      <c r="AJR56" s="196"/>
      <c r="AJS56" s="196"/>
      <c r="AJT56" s="196"/>
      <c r="AJU56" s="196"/>
      <c r="AJV56" s="196"/>
      <c r="AJW56" s="196"/>
      <c r="AJX56" s="196"/>
      <c r="AJY56" s="196"/>
      <c r="AJZ56" s="196"/>
      <c r="AKA56" s="196"/>
      <c r="AKB56" s="196"/>
      <c r="AKC56" s="196"/>
      <c r="AKD56" s="196"/>
      <c r="AKE56" s="196"/>
      <c r="AKF56" s="196"/>
      <c r="AKG56" s="196"/>
      <c r="AKH56" s="196"/>
      <c r="AKI56" s="196"/>
      <c r="AKJ56" s="196"/>
      <c r="AKK56" s="196"/>
      <c r="AKL56" s="196"/>
      <c r="AKM56" s="196"/>
      <c r="AKN56" s="196"/>
      <c r="AKO56" s="196"/>
      <c r="AKP56" s="196"/>
      <c r="AKQ56" s="196"/>
      <c r="AKR56" s="196"/>
      <c r="AKS56" s="196"/>
      <c r="AKT56" s="196"/>
      <c r="AKU56" s="196"/>
      <c r="AKV56" s="196"/>
      <c r="AKW56" s="196"/>
      <c r="AKX56" s="196"/>
      <c r="AKY56" s="196"/>
      <c r="AKZ56" s="196"/>
      <c r="ALA56" s="196"/>
      <c r="ALB56" s="196"/>
      <c r="ALC56" s="196"/>
      <c r="ALD56" s="196"/>
      <c r="ALE56" s="196"/>
      <c r="ALF56" s="196"/>
      <c r="ALG56" s="196"/>
      <c r="ALH56" s="196"/>
      <c r="ALI56" s="196"/>
      <c r="ALJ56" s="196"/>
      <c r="ALK56" s="196"/>
      <c r="ALL56" s="196"/>
      <c r="ALM56" s="196"/>
      <c r="ALN56" s="196"/>
      <c r="ALO56" s="196"/>
      <c r="ALP56" s="196"/>
      <c r="ALQ56" s="196"/>
      <c r="ALR56" s="196"/>
      <c r="ALS56" s="196"/>
      <c r="ALT56" s="196"/>
      <c r="ALU56" s="196"/>
      <c r="ALV56" s="196"/>
      <c r="ALW56" s="196"/>
      <c r="ALX56" s="196"/>
      <c r="ALY56" s="196"/>
      <c r="ALZ56" s="196"/>
      <c r="AMA56" s="196"/>
      <c r="AMB56" s="196"/>
      <c r="AMC56" s="196"/>
      <c r="AMD56" s="196"/>
      <c r="AME56" s="196"/>
      <c r="AMF56" s="196"/>
      <c r="AMG56" s="196"/>
      <c r="AMH56" s="196"/>
      <c r="AMI56" s="196"/>
      <c r="AMJ56" s="196"/>
      <c r="AMK56" s="196"/>
      <c r="AML56" s="196"/>
      <c r="AMM56" s="196"/>
      <c r="AMN56" s="196"/>
      <c r="AMO56" s="196"/>
      <c r="AMP56" s="196"/>
      <c r="AMQ56" s="196"/>
      <c r="AMR56" s="196"/>
      <c r="AMS56" s="196"/>
      <c r="AMT56" s="196"/>
      <c r="AMU56" s="196"/>
      <c r="AMV56" s="196"/>
      <c r="AMW56" s="196"/>
      <c r="AMX56" s="196"/>
      <c r="AMY56" s="196"/>
      <c r="AMZ56" s="196"/>
      <c r="ANA56" s="196"/>
      <c r="ANB56" s="196"/>
      <c r="ANC56" s="196"/>
      <c r="AND56" s="196"/>
      <c r="ANE56" s="196"/>
      <c r="ANF56" s="196"/>
      <c r="ANG56" s="196"/>
      <c r="ANH56" s="196"/>
      <c r="ANI56" s="196"/>
      <c r="ANJ56" s="196"/>
      <c r="ANK56" s="196"/>
      <c r="ANL56" s="196"/>
      <c r="ANM56" s="196"/>
      <c r="ANN56" s="196"/>
      <c r="ANO56" s="196"/>
      <c r="ANP56" s="196"/>
      <c r="ANQ56" s="196"/>
      <c r="ANR56" s="196"/>
      <c r="ANS56" s="196"/>
      <c r="ANT56" s="196"/>
      <c r="ANU56" s="196"/>
      <c r="ANV56" s="196"/>
      <c r="ANW56" s="196"/>
      <c r="ANX56" s="196"/>
      <c r="ANY56" s="196"/>
      <c r="ANZ56" s="196"/>
      <c r="AOA56" s="196"/>
      <c r="AOB56" s="196"/>
      <c r="AOC56" s="196"/>
      <c r="AOD56" s="196"/>
      <c r="AOE56" s="196"/>
      <c r="AOF56" s="196"/>
      <c r="AOG56" s="196"/>
      <c r="AOH56" s="196"/>
      <c r="AOI56" s="196"/>
      <c r="AOJ56" s="196"/>
      <c r="AOK56" s="196"/>
      <c r="AOL56" s="196"/>
      <c r="AOM56" s="196"/>
      <c r="AON56" s="196"/>
      <c r="AOO56" s="196"/>
      <c r="AOP56" s="196"/>
      <c r="AOQ56" s="196"/>
      <c r="AOR56" s="196"/>
      <c r="AOS56" s="196"/>
      <c r="AOT56" s="196"/>
      <c r="AOU56" s="196"/>
      <c r="AOV56" s="196"/>
      <c r="AOW56" s="196"/>
      <c r="AOX56" s="196"/>
      <c r="AOY56" s="196"/>
      <c r="AOZ56" s="196"/>
      <c r="APA56" s="196"/>
      <c r="APB56" s="196"/>
      <c r="APC56" s="196"/>
      <c r="APD56" s="196"/>
      <c r="APE56" s="196"/>
      <c r="APF56" s="196"/>
      <c r="APG56" s="196"/>
      <c r="APH56" s="196"/>
      <c r="API56" s="196"/>
      <c r="APJ56" s="196"/>
      <c r="APK56" s="196"/>
      <c r="APL56" s="196"/>
      <c r="APM56" s="196"/>
      <c r="APN56" s="196"/>
      <c r="APO56" s="196"/>
      <c r="APP56" s="196"/>
      <c r="APQ56" s="196"/>
      <c r="APR56" s="196"/>
      <c r="APS56" s="196"/>
      <c r="APT56" s="196"/>
      <c r="APU56" s="196"/>
      <c r="APV56" s="196"/>
      <c r="APW56" s="196"/>
      <c r="APX56" s="196"/>
      <c r="APY56" s="196"/>
      <c r="APZ56" s="196"/>
      <c r="AQA56" s="196"/>
      <c r="AQB56" s="196"/>
      <c r="AQC56" s="196"/>
      <c r="AQD56" s="196"/>
      <c r="AQE56" s="196"/>
      <c r="AQF56" s="196"/>
      <c r="AQG56" s="196"/>
      <c r="AQH56" s="196"/>
      <c r="AQI56" s="196"/>
      <c r="AQJ56" s="196"/>
      <c r="AQK56" s="196"/>
      <c r="AQL56" s="196"/>
      <c r="AQM56" s="196"/>
      <c r="AQN56" s="196"/>
      <c r="AQO56" s="196"/>
      <c r="AQP56" s="196"/>
      <c r="AQQ56" s="196"/>
      <c r="AQR56" s="196"/>
      <c r="AQS56" s="196"/>
      <c r="AQT56" s="196"/>
      <c r="AQU56" s="196"/>
      <c r="AQV56" s="196"/>
      <c r="AQW56" s="196"/>
      <c r="AQX56" s="196"/>
      <c r="AQY56" s="196"/>
      <c r="AQZ56" s="196"/>
      <c r="ARA56" s="196"/>
      <c r="ARB56" s="196"/>
      <c r="ARC56" s="196"/>
      <c r="ARD56" s="196"/>
      <c r="ARE56" s="196"/>
      <c r="ARF56" s="196"/>
      <c r="ARG56" s="196"/>
      <c r="ARH56" s="196"/>
      <c r="ARI56" s="196"/>
      <c r="ARJ56" s="196"/>
      <c r="ARK56" s="196"/>
      <c r="ARL56" s="196"/>
      <c r="ARM56" s="196"/>
      <c r="ARN56" s="196"/>
      <c r="ARO56" s="196"/>
      <c r="ARP56" s="196"/>
      <c r="ARQ56" s="196"/>
      <c r="ARR56" s="196"/>
      <c r="ARS56" s="196"/>
      <c r="ART56" s="196"/>
      <c r="ARU56" s="196"/>
      <c r="ARV56" s="196"/>
      <c r="ARW56" s="196"/>
      <c r="ARX56" s="196"/>
      <c r="ARY56" s="196"/>
      <c r="ARZ56" s="196"/>
      <c r="ASA56" s="196"/>
      <c r="ASB56" s="196"/>
      <c r="ASC56" s="196"/>
      <c r="ASD56" s="196"/>
      <c r="ASE56" s="196"/>
      <c r="ASF56" s="196"/>
      <c r="ASG56" s="196"/>
      <c r="ASH56" s="196"/>
      <c r="ASI56" s="196"/>
      <c r="ASJ56" s="196"/>
      <c r="ASK56" s="196"/>
      <c r="ASL56" s="196"/>
      <c r="ASM56" s="196"/>
      <c r="ASN56" s="196"/>
      <c r="ASO56" s="196"/>
      <c r="ASP56" s="196"/>
      <c r="ASQ56" s="196"/>
      <c r="ASR56" s="196"/>
      <c r="ASS56" s="196"/>
      <c r="AST56" s="196"/>
      <c r="ASU56" s="196"/>
      <c r="ASV56" s="196"/>
      <c r="ASW56" s="196"/>
      <c r="ASX56" s="196"/>
      <c r="ASY56" s="196"/>
      <c r="ASZ56" s="196"/>
      <c r="ATA56" s="196"/>
      <c r="ATB56" s="196"/>
      <c r="ATC56" s="196"/>
      <c r="ATD56" s="196"/>
      <c r="ATE56" s="196"/>
      <c r="ATF56" s="196"/>
      <c r="ATG56" s="196"/>
      <c r="ATH56" s="196"/>
      <c r="ATI56" s="196"/>
      <c r="ATJ56" s="196"/>
      <c r="ATK56" s="196"/>
      <c r="ATL56" s="196"/>
      <c r="ATM56" s="196"/>
      <c r="ATN56" s="196"/>
      <c r="ATO56" s="196"/>
      <c r="ATP56" s="196"/>
      <c r="ATQ56" s="196"/>
      <c r="ATR56" s="196"/>
      <c r="ATS56" s="196"/>
      <c r="ATT56" s="196"/>
      <c r="ATU56" s="196"/>
      <c r="ATV56" s="196"/>
      <c r="ATW56" s="196"/>
      <c r="ATX56" s="196"/>
      <c r="ATY56" s="196"/>
      <c r="ATZ56" s="196"/>
      <c r="AUA56" s="196"/>
      <c r="AUB56" s="196"/>
      <c r="AUC56" s="196"/>
      <c r="AUD56" s="196"/>
      <c r="AUE56" s="196"/>
      <c r="AUF56" s="196"/>
      <c r="AUG56" s="196"/>
      <c r="AUH56" s="196"/>
      <c r="AUI56" s="196"/>
      <c r="AUJ56" s="196"/>
      <c r="AUK56" s="196"/>
      <c r="AUL56" s="196"/>
      <c r="AUM56" s="196"/>
      <c r="AUN56" s="196"/>
      <c r="AUO56" s="196"/>
      <c r="AUP56" s="196"/>
      <c r="AUQ56" s="196"/>
      <c r="AUR56" s="196"/>
      <c r="AUS56" s="196"/>
      <c r="AUT56" s="196"/>
      <c r="AUU56" s="196"/>
      <c r="AUV56" s="196"/>
      <c r="AUW56" s="196"/>
      <c r="AUX56" s="196"/>
      <c r="AUY56" s="196"/>
      <c r="AUZ56" s="196"/>
      <c r="AVA56" s="196"/>
      <c r="AVB56" s="196"/>
      <c r="AVC56" s="196"/>
      <c r="AVD56" s="196"/>
      <c r="AVE56" s="196"/>
      <c r="AVF56" s="196"/>
      <c r="AVG56" s="196"/>
      <c r="AVH56" s="196"/>
      <c r="AVI56" s="196"/>
      <c r="AVJ56" s="196"/>
      <c r="AVK56" s="196"/>
      <c r="AVL56" s="196"/>
      <c r="AVM56" s="196"/>
      <c r="AVN56" s="196"/>
      <c r="AVO56" s="196"/>
      <c r="AVP56" s="196"/>
      <c r="AVQ56" s="196"/>
      <c r="AVR56" s="196"/>
      <c r="AVS56" s="196"/>
      <c r="AVT56" s="196"/>
      <c r="AVU56" s="196"/>
      <c r="AVV56" s="196"/>
      <c r="AVW56" s="196"/>
      <c r="AVX56" s="196"/>
      <c r="AVY56" s="196"/>
      <c r="AVZ56" s="196"/>
      <c r="AWA56" s="196"/>
      <c r="AWB56" s="196"/>
      <c r="AWC56" s="196"/>
      <c r="AWD56" s="196"/>
      <c r="AWE56" s="196"/>
      <c r="AWF56" s="196"/>
      <c r="AWG56" s="196"/>
      <c r="AWH56" s="196"/>
      <c r="AWI56" s="196"/>
      <c r="AWJ56" s="196"/>
      <c r="AWK56" s="196"/>
      <c r="AWL56" s="196"/>
      <c r="AWM56" s="196"/>
      <c r="AWN56" s="196"/>
      <c r="AWO56" s="196"/>
      <c r="AWP56" s="196"/>
      <c r="AWQ56" s="196"/>
      <c r="AWR56" s="196"/>
      <c r="AWS56" s="196"/>
      <c r="AWT56" s="196"/>
      <c r="AWU56" s="196"/>
      <c r="AWV56" s="196"/>
      <c r="AWW56" s="196"/>
      <c r="AWX56" s="196"/>
      <c r="AWY56" s="196"/>
      <c r="AWZ56" s="196"/>
      <c r="AXA56" s="196"/>
      <c r="AXB56" s="196"/>
      <c r="AXC56" s="196"/>
      <c r="AXD56" s="196"/>
      <c r="AXE56" s="196"/>
      <c r="AXF56" s="196"/>
      <c r="AXG56" s="196"/>
      <c r="AXH56" s="196"/>
      <c r="AXI56" s="196"/>
      <c r="AXJ56" s="196"/>
      <c r="AXK56" s="196"/>
      <c r="AXL56" s="196"/>
      <c r="AXM56" s="196"/>
      <c r="AXN56" s="196"/>
      <c r="AXO56" s="196"/>
      <c r="AXP56" s="196"/>
      <c r="AXQ56" s="196"/>
      <c r="AXR56" s="196"/>
      <c r="AXS56" s="196"/>
      <c r="AXT56" s="196"/>
      <c r="AXU56" s="196"/>
      <c r="AXV56" s="196"/>
      <c r="AXW56" s="196"/>
      <c r="AXX56" s="196"/>
      <c r="AXY56" s="196"/>
      <c r="AXZ56" s="196"/>
      <c r="AYA56" s="196"/>
      <c r="AYB56" s="196"/>
      <c r="AYC56" s="196"/>
      <c r="AYD56" s="196"/>
      <c r="AYE56" s="196"/>
      <c r="AYF56" s="196"/>
      <c r="AYG56" s="196"/>
      <c r="AYH56" s="196"/>
      <c r="AYI56" s="196"/>
      <c r="AYJ56" s="196"/>
      <c r="AYK56" s="196"/>
      <c r="AYL56" s="196"/>
      <c r="AYM56" s="196"/>
      <c r="AYN56" s="196"/>
      <c r="AYO56" s="196"/>
      <c r="AYP56" s="196"/>
      <c r="AYQ56" s="196"/>
      <c r="AYR56" s="196"/>
      <c r="AYS56" s="196"/>
      <c r="AYT56" s="196"/>
      <c r="AYU56" s="196"/>
      <c r="AYV56" s="196"/>
      <c r="AYW56" s="196"/>
      <c r="AYX56" s="196"/>
      <c r="AYY56" s="196"/>
      <c r="AYZ56" s="196"/>
      <c r="AZA56" s="196"/>
      <c r="AZB56" s="196"/>
      <c r="AZC56" s="196"/>
      <c r="AZD56" s="196"/>
      <c r="AZE56" s="196"/>
      <c r="AZF56" s="196"/>
      <c r="AZG56" s="196"/>
      <c r="AZH56" s="196"/>
      <c r="AZI56" s="196"/>
      <c r="AZJ56" s="196"/>
      <c r="AZK56" s="196"/>
      <c r="AZL56" s="196"/>
      <c r="AZM56" s="196"/>
      <c r="AZN56" s="196"/>
      <c r="AZO56" s="196"/>
      <c r="AZP56" s="196"/>
      <c r="AZQ56" s="196"/>
      <c r="AZR56" s="196"/>
      <c r="AZS56" s="196"/>
      <c r="AZT56" s="196"/>
      <c r="AZU56" s="196"/>
      <c r="AZV56" s="196"/>
      <c r="AZW56" s="196"/>
      <c r="AZX56" s="196"/>
      <c r="AZY56" s="196"/>
      <c r="AZZ56" s="196"/>
      <c r="BAA56" s="196"/>
      <c r="BAB56" s="196"/>
      <c r="BAC56" s="196"/>
      <c r="BAD56" s="196"/>
      <c r="BAE56" s="196"/>
      <c r="BAF56" s="196"/>
      <c r="BAG56" s="196"/>
      <c r="BAH56" s="196"/>
      <c r="BAI56" s="196"/>
      <c r="BAJ56" s="196"/>
      <c r="BAK56" s="196"/>
      <c r="BAL56" s="196"/>
      <c r="BAM56" s="196"/>
      <c r="BAN56" s="196"/>
      <c r="BAO56" s="196"/>
      <c r="BAP56" s="196"/>
      <c r="BAQ56" s="196"/>
      <c r="BAR56" s="196"/>
      <c r="BAS56" s="196"/>
      <c r="BAT56" s="196"/>
      <c r="BAU56" s="196"/>
      <c r="BAV56" s="196"/>
      <c r="BAW56" s="196"/>
      <c r="BAX56" s="196"/>
      <c r="BAY56" s="196"/>
      <c r="BAZ56" s="196"/>
      <c r="BBA56" s="196"/>
      <c r="BBB56" s="196"/>
      <c r="BBC56" s="196"/>
      <c r="BBD56" s="196"/>
      <c r="BBE56" s="196"/>
      <c r="BBF56" s="196"/>
      <c r="BBG56" s="196"/>
      <c r="BBH56" s="196"/>
      <c r="BBI56" s="196"/>
      <c r="BBJ56" s="196"/>
      <c r="BBK56" s="196"/>
      <c r="BBL56" s="196"/>
      <c r="BBM56" s="196"/>
      <c r="BBN56" s="196"/>
      <c r="BBO56" s="196"/>
      <c r="BBP56" s="196"/>
      <c r="BBQ56" s="196"/>
      <c r="BBR56" s="196"/>
      <c r="BBS56" s="196"/>
      <c r="BBT56" s="196"/>
      <c r="BBU56" s="196"/>
      <c r="BBV56" s="196"/>
      <c r="BBW56" s="196"/>
      <c r="BBX56" s="196"/>
      <c r="BBY56" s="196"/>
      <c r="BBZ56" s="196"/>
      <c r="BCA56" s="196"/>
      <c r="BCB56" s="196"/>
      <c r="BCC56" s="196"/>
      <c r="BCD56" s="196"/>
      <c r="BCE56" s="196"/>
      <c r="BCF56" s="196"/>
      <c r="BCG56" s="196"/>
      <c r="BCH56" s="196"/>
      <c r="BCI56" s="196"/>
      <c r="BCJ56" s="196"/>
      <c r="BCK56" s="196"/>
      <c r="BCL56" s="196"/>
      <c r="BCM56" s="196"/>
      <c r="BCN56" s="196"/>
      <c r="BCO56" s="196"/>
      <c r="BCP56" s="196"/>
      <c r="BCQ56" s="196"/>
      <c r="BCR56" s="196"/>
      <c r="BCS56" s="196"/>
      <c r="BCT56" s="196"/>
      <c r="BCU56" s="196"/>
      <c r="BCV56" s="196"/>
      <c r="BCW56" s="196"/>
      <c r="BCX56" s="196"/>
      <c r="BCY56" s="196"/>
      <c r="BCZ56" s="196"/>
      <c r="BDA56" s="196"/>
      <c r="BDB56" s="196"/>
      <c r="BDC56" s="196"/>
      <c r="BDD56" s="196"/>
      <c r="BDE56" s="196"/>
      <c r="BDF56" s="196"/>
      <c r="BDG56" s="196"/>
      <c r="BDH56" s="196"/>
      <c r="BDI56" s="196"/>
      <c r="BDJ56" s="196"/>
      <c r="BDK56" s="196"/>
      <c r="BDL56" s="196"/>
      <c r="BDM56" s="196"/>
      <c r="BDN56" s="196"/>
      <c r="BDO56" s="196"/>
      <c r="BDP56" s="196"/>
      <c r="BDQ56" s="196"/>
      <c r="BDR56" s="196"/>
      <c r="BDS56" s="196"/>
      <c r="BDT56" s="196"/>
      <c r="BDU56" s="196"/>
      <c r="BDV56" s="196"/>
      <c r="BDW56" s="196"/>
      <c r="BDX56" s="196"/>
      <c r="BDY56" s="196"/>
      <c r="BDZ56" s="196"/>
      <c r="BEA56" s="196"/>
      <c r="BEB56" s="196"/>
      <c r="BEC56" s="196"/>
      <c r="BED56" s="196"/>
      <c r="BEE56" s="196"/>
      <c r="BEF56" s="196"/>
      <c r="BEG56" s="196"/>
      <c r="BEH56" s="196"/>
      <c r="BEI56" s="196"/>
      <c r="BEJ56" s="196"/>
      <c r="BEK56" s="196"/>
      <c r="BEL56" s="196"/>
      <c r="BEM56" s="196"/>
      <c r="BEN56" s="196"/>
      <c r="BEO56" s="196"/>
      <c r="BEP56" s="196"/>
      <c r="BEQ56" s="196"/>
      <c r="BER56" s="196"/>
      <c r="BES56" s="196"/>
      <c r="BET56" s="196"/>
      <c r="BEU56" s="196"/>
      <c r="BEV56" s="196"/>
      <c r="BEW56" s="196"/>
      <c r="BEX56" s="196"/>
      <c r="BEY56" s="196"/>
      <c r="BEZ56" s="196"/>
      <c r="BFA56" s="196"/>
      <c r="BFB56" s="196"/>
      <c r="BFC56" s="196"/>
      <c r="BFD56" s="196"/>
      <c r="BFE56" s="196"/>
      <c r="BFF56" s="196"/>
      <c r="BFG56" s="196"/>
      <c r="BFH56" s="196"/>
      <c r="BFI56" s="196"/>
      <c r="BFJ56" s="196"/>
      <c r="BFK56" s="196"/>
      <c r="BFL56" s="196"/>
      <c r="BFM56" s="196"/>
      <c r="BFN56" s="196"/>
      <c r="BFO56" s="196"/>
      <c r="BFP56" s="196"/>
      <c r="BFQ56" s="196"/>
      <c r="BFR56" s="196"/>
      <c r="BFS56" s="196"/>
      <c r="BFT56" s="196"/>
      <c r="BFU56" s="196"/>
      <c r="BFV56" s="196"/>
      <c r="BFW56" s="196"/>
      <c r="BFX56" s="196"/>
      <c r="BFY56" s="196"/>
      <c r="BFZ56" s="196"/>
      <c r="BGA56" s="196"/>
      <c r="BGB56" s="196"/>
      <c r="BGC56" s="196"/>
      <c r="BGD56" s="196"/>
      <c r="BGE56" s="196"/>
      <c r="BGF56" s="196"/>
      <c r="BGG56" s="196"/>
      <c r="BGH56" s="196"/>
      <c r="BGI56" s="196"/>
      <c r="BGJ56" s="196"/>
      <c r="BGK56" s="196"/>
      <c r="BGL56" s="196"/>
      <c r="BGM56" s="196"/>
      <c r="BGN56" s="196"/>
      <c r="BGO56" s="196"/>
      <c r="BGP56" s="196"/>
      <c r="BGQ56" s="196"/>
      <c r="BGR56" s="196"/>
      <c r="BGS56" s="196"/>
      <c r="BGT56" s="196"/>
      <c r="BGU56" s="196"/>
      <c r="BGV56" s="196"/>
      <c r="BGW56" s="196"/>
      <c r="BGX56" s="196"/>
      <c r="BGY56" s="196"/>
      <c r="BGZ56" s="196"/>
      <c r="BHA56" s="196"/>
      <c r="BHB56" s="196"/>
      <c r="BHC56" s="196"/>
      <c r="BHD56" s="196"/>
      <c r="BHE56" s="196"/>
      <c r="BHF56" s="196"/>
      <c r="BHG56" s="196"/>
      <c r="BHH56" s="196"/>
      <c r="BHI56" s="196"/>
      <c r="BHJ56" s="196"/>
      <c r="BHK56" s="196"/>
      <c r="BHL56" s="196"/>
      <c r="BHM56" s="196"/>
      <c r="BHN56" s="196"/>
      <c r="BHO56" s="196"/>
      <c r="BHP56" s="196"/>
      <c r="BHQ56" s="196"/>
      <c r="BHR56" s="196"/>
      <c r="BHS56" s="196"/>
      <c r="BHT56" s="196"/>
      <c r="BHU56" s="196"/>
      <c r="BHV56" s="196"/>
      <c r="BHW56" s="196"/>
      <c r="BHX56" s="196"/>
      <c r="BHY56" s="196"/>
      <c r="BHZ56" s="196"/>
      <c r="BIA56" s="196"/>
      <c r="BIB56" s="196"/>
      <c r="BIC56" s="196"/>
      <c r="BID56" s="196"/>
      <c r="BIE56" s="196"/>
      <c r="BIF56" s="196"/>
      <c r="BIG56" s="196"/>
      <c r="BIH56" s="196"/>
      <c r="BII56" s="196"/>
      <c r="BIJ56" s="196"/>
      <c r="BIK56" s="196"/>
      <c r="BIL56" s="196"/>
      <c r="BIM56" s="196"/>
      <c r="BIN56" s="196"/>
      <c r="BIO56" s="196"/>
      <c r="BIP56" s="196"/>
      <c r="BIQ56" s="196"/>
      <c r="BIR56" s="196"/>
      <c r="BIS56" s="196"/>
      <c r="BIT56" s="196"/>
      <c r="BIU56" s="196"/>
      <c r="BIV56" s="196"/>
      <c r="BIW56" s="196"/>
      <c r="BIX56" s="196"/>
      <c r="BIY56" s="196"/>
      <c r="BIZ56" s="196"/>
      <c r="BJA56" s="196"/>
      <c r="BJB56" s="196"/>
      <c r="BJC56" s="196"/>
      <c r="BJD56" s="196"/>
      <c r="BJE56" s="196"/>
      <c r="BJF56" s="196"/>
      <c r="BJG56" s="196"/>
      <c r="BJH56" s="196"/>
      <c r="BJI56" s="196"/>
      <c r="BJJ56" s="196"/>
      <c r="BJK56" s="196"/>
      <c r="BJL56" s="196"/>
      <c r="BJM56" s="196"/>
      <c r="BJN56" s="196"/>
      <c r="BJO56" s="196"/>
      <c r="BJP56" s="196"/>
      <c r="BJQ56" s="196"/>
      <c r="BJR56" s="196"/>
      <c r="BJS56" s="196"/>
      <c r="BJT56" s="196"/>
      <c r="BJU56" s="196"/>
      <c r="BJV56" s="196"/>
      <c r="BJW56" s="196"/>
      <c r="BJX56" s="196"/>
      <c r="BJY56" s="196"/>
      <c r="BJZ56" s="196"/>
      <c r="BKA56" s="196"/>
      <c r="BKB56" s="196"/>
      <c r="BKC56" s="196"/>
      <c r="BKD56" s="196"/>
      <c r="BKE56" s="196"/>
      <c r="BKF56" s="196"/>
      <c r="BKG56" s="196"/>
      <c r="BKH56" s="196"/>
      <c r="BKI56" s="196"/>
      <c r="BKJ56" s="196"/>
      <c r="BKK56" s="196"/>
      <c r="BKL56" s="196"/>
      <c r="BKM56" s="196"/>
      <c r="BKN56" s="196"/>
      <c r="BKO56" s="196"/>
      <c r="BKP56" s="196"/>
      <c r="BKQ56" s="196"/>
      <c r="BKR56" s="196"/>
      <c r="BKS56" s="196"/>
      <c r="BKT56" s="196"/>
      <c r="BKU56" s="196"/>
      <c r="BKV56" s="196"/>
      <c r="BKW56" s="196"/>
      <c r="BKX56" s="196"/>
      <c r="BKY56" s="196"/>
      <c r="BKZ56" s="196"/>
      <c r="BLA56" s="196"/>
      <c r="BLB56" s="196"/>
      <c r="BLC56" s="196"/>
      <c r="BLD56" s="196"/>
      <c r="BLE56" s="196"/>
      <c r="BLF56" s="196"/>
      <c r="BLG56" s="196"/>
      <c r="BLH56" s="196"/>
      <c r="BLI56" s="196"/>
      <c r="BLJ56" s="196"/>
      <c r="BLK56" s="196"/>
      <c r="BLL56" s="196"/>
      <c r="BLM56" s="196"/>
      <c r="BLN56" s="196"/>
      <c r="BLO56" s="196"/>
      <c r="BLP56" s="196"/>
      <c r="BLQ56" s="196"/>
      <c r="BLR56" s="196"/>
      <c r="BLS56" s="196"/>
      <c r="BLT56" s="196"/>
      <c r="BLU56" s="196"/>
      <c r="BLV56" s="196"/>
      <c r="BLW56" s="196"/>
      <c r="BLX56" s="196"/>
      <c r="BLY56" s="196"/>
      <c r="BLZ56" s="196"/>
      <c r="BMA56" s="196"/>
      <c r="BMB56" s="196"/>
      <c r="BMC56" s="196"/>
      <c r="BMD56" s="196"/>
      <c r="BME56" s="196"/>
      <c r="BMF56" s="196"/>
      <c r="BMG56" s="196"/>
      <c r="BMH56" s="196"/>
      <c r="BMI56" s="196"/>
      <c r="BMJ56" s="196"/>
      <c r="BMK56" s="196"/>
      <c r="BML56" s="196"/>
      <c r="BMM56" s="196"/>
      <c r="BMN56" s="196"/>
      <c r="BMO56" s="196"/>
      <c r="BMP56" s="196"/>
      <c r="BMQ56" s="196"/>
      <c r="BMR56" s="196"/>
      <c r="BMS56" s="196"/>
      <c r="BMT56" s="196"/>
      <c r="BMU56" s="196"/>
      <c r="BMV56" s="196"/>
      <c r="BMW56" s="196"/>
      <c r="BMX56" s="196"/>
      <c r="BMY56" s="196"/>
      <c r="BMZ56" s="196"/>
      <c r="BNA56" s="196"/>
      <c r="BNB56" s="196"/>
      <c r="BNC56" s="196"/>
      <c r="BND56" s="196"/>
      <c r="BNE56" s="196"/>
      <c r="BNF56" s="196"/>
      <c r="BNG56" s="196"/>
      <c r="BNH56" s="196"/>
      <c r="BNI56" s="196"/>
      <c r="BNJ56" s="196"/>
      <c r="BNK56" s="196"/>
      <c r="BNL56" s="196"/>
      <c r="BNM56" s="196"/>
      <c r="BNN56" s="196"/>
      <c r="BNO56" s="196"/>
      <c r="BNP56" s="196"/>
      <c r="BNQ56" s="196"/>
      <c r="BNR56" s="196"/>
      <c r="BNS56" s="196"/>
      <c r="BNT56" s="196"/>
      <c r="BNU56" s="196"/>
      <c r="BNV56" s="196"/>
      <c r="BNW56" s="196"/>
      <c r="BNX56" s="196"/>
      <c r="BNY56" s="196"/>
      <c r="BNZ56" s="196"/>
      <c r="BOA56" s="196"/>
      <c r="BOB56" s="196"/>
      <c r="BOC56" s="196"/>
      <c r="BOD56" s="196"/>
      <c r="BOE56" s="196"/>
      <c r="BOF56" s="196"/>
      <c r="BOG56" s="196"/>
      <c r="BOH56" s="196"/>
      <c r="BOI56" s="196"/>
      <c r="BOJ56" s="196"/>
      <c r="BOK56" s="196"/>
      <c r="BOL56" s="196"/>
      <c r="BOM56" s="196"/>
      <c r="BON56" s="196"/>
      <c r="BOO56" s="196"/>
      <c r="BOP56" s="196"/>
      <c r="BOQ56" s="196"/>
      <c r="BOR56" s="196"/>
      <c r="BOS56" s="196"/>
      <c r="BOT56" s="196"/>
      <c r="BOU56" s="196"/>
      <c r="BOV56" s="196"/>
      <c r="BOW56" s="196"/>
      <c r="BOX56" s="196"/>
      <c r="BOY56" s="196"/>
      <c r="BOZ56" s="196"/>
      <c r="BPA56" s="196"/>
      <c r="BPB56" s="196"/>
      <c r="BPC56" s="196"/>
      <c r="BPD56" s="196"/>
      <c r="BPE56" s="196"/>
      <c r="BPF56" s="196"/>
      <c r="BPG56" s="196"/>
      <c r="BPH56" s="196"/>
      <c r="BPI56" s="196"/>
      <c r="BPJ56" s="196"/>
      <c r="BPK56" s="196"/>
      <c r="BPL56" s="196"/>
      <c r="BPM56" s="196"/>
      <c r="BPN56" s="196"/>
      <c r="BPO56" s="196"/>
      <c r="BPP56" s="196"/>
      <c r="BPQ56" s="196"/>
      <c r="BPR56" s="196"/>
      <c r="BPS56" s="196"/>
      <c r="BPT56" s="196"/>
      <c r="BPU56" s="196"/>
      <c r="BPV56" s="196"/>
      <c r="BPW56" s="196"/>
      <c r="BPX56" s="196"/>
      <c r="BPY56" s="196"/>
      <c r="BPZ56" s="196"/>
      <c r="BQA56" s="196"/>
      <c r="BQB56" s="196"/>
      <c r="BQC56" s="196"/>
      <c r="BQD56" s="196"/>
      <c r="BQE56" s="196"/>
      <c r="BQF56" s="196"/>
      <c r="BQG56" s="196"/>
      <c r="BQH56" s="196"/>
      <c r="BQI56" s="196"/>
      <c r="BQJ56" s="196"/>
      <c r="BQK56" s="196"/>
      <c r="BQL56" s="196"/>
      <c r="BQM56" s="196"/>
      <c r="BQN56" s="196"/>
      <c r="BQO56" s="196"/>
      <c r="BQP56" s="196"/>
      <c r="BQQ56" s="196"/>
      <c r="BQR56" s="196"/>
      <c r="BQS56" s="196"/>
      <c r="BQT56" s="196"/>
      <c r="BQU56" s="196"/>
      <c r="BQV56" s="196"/>
      <c r="BQW56" s="196"/>
      <c r="BQX56" s="196"/>
      <c r="BQY56" s="196"/>
      <c r="BQZ56" s="196"/>
      <c r="BRA56" s="196"/>
      <c r="BRB56" s="196"/>
      <c r="BRC56" s="196"/>
      <c r="BRD56" s="196"/>
      <c r="BRE56" s="196"/>
      <c r="BRF56" s="196"/>
      <c r="BRG56" s="196"/>
      <c r="BRH56" s="196"/>
      <c r="BRI56" s="196"/>
      <c r="BRJ56" s="196"/>
      <c r="BRK56" s="196"/>
      <c r="BRL56" s="196"/>
      <c r="BRM56" s="196"/>
      <c r="BRN56" s="196"/>
      <c r="BRO56" s="196"/>
      <c r="BRP56" s="196"/>
      <c r="BRQ56" s="196"/>
      <c r="BRR56" s="196"/>
      <c r="BRS56" s="196"/>
      <c r="BRT56" s="196"/>
      <c r="BRU56" s="196"/>
      <c r="BRV56" s="196"/>
      <c r="BRW56" s="196"/>
      <c r="BRX56" s="196"/>
      <c r="BRY56" s="196"/>
      <c r="BRZ56" s="196"/>
      <c r="BSA56" s="196"/>
      <c r="BSB56" s="196"/>
      <c r="BSC56" s="196"/>
      <c r="BSD56" s="196"/>
      <c r="BSE56" s="196"/>
      <c r="BSF56" s="196"/>
      <c r="BSG56" s="196"/>
      <c r="BSH56" s="196"/>
      <c r="BSI56" s="196"/>
      <c r="BSJ56" s="196"/>
      <c r="BSK56" s="196"/>
      <c r="BSL56" s="196"/>
      <c r="BSM56" s="196"/>
      <c r="BSN56" s="196"/>
      <c r="BSO56" s="196"/>
      <c r="BSP56" s="196"/>
      <c r="BSQ56" s="196"/>
      <c r="BSR56" s="196"/>
      <c r="BSS56" s="196"/>
      <c r="BST56" s="196"/>
      <c r="BSU56" s="196"/>
      <c r="BSV56" s="196"/>
      <c r="BSW56" s="196"/>
      <c r="BSX56" s="196"/>
      <c r="BSY56" s="196"/>
      <c r="BSZ56" s="196"/>
      <c r="BTA56" s="196"/>
      <c r="BTB56" s="196"/>
      <c r="BTC56" s="196"/>
      <c r="BTD56" s="196"/>
      <c r="BTE56" s="196"/>
      <c r="BTF56" s="196"/>
      <c r="BTG56" s="196"/>
      <c r="BTH56" s="196"/>
      <c r="BTI56" s="196"/>
      <c r="BTJ56" s="196"/>
      <c r="BTK56" s="196"/>
      <c r="BTL56" s="196"/>
      <c r="BTM56" s="196"/>
      <c r="BTN56" s="196"/>
      <c r="BTO56" s="196"/>
      <c r="BTP56" s="196"/>
      <c r="BTQ56" s="196"/>
      <c r="BTR56" s="196"/>
      <c r="BTS56" s="196"/>
      <c r="BTT56" s="196"/>
      <c r="BTU56" s="196"/>
      <c r="BTV56" s="196"/>
      <c r="BTW56" s="196"/>
      <c r="BTX56" s="196"/>
      <c r="BTY56" s="196"/>
      <c r="BTZ56" s="196"/>
      <c r="BUA56" s="196"/>
      <c r="BUB56" s="196"/>
      <c r="BUC56" s="196"/>
      <c r="BUD56" s="196"/>
      <c r="BUE56" s="196"/>
      <c r="BUF56" s="196"/>
      <c r="BUG56" s="196"/>
      <c r="BUH56" s="196"/>
      <c r="BUI56" s="196"/>
      <c r="BUJ56" s="196"/>
      <c r="BUK56" s="196"/>
      <c r="BUL56" s="196"/>
      <c r="BUM56" s="196"/>
      <c r="BUN56" s="196"/>
      <c r="BUO56" s="196"/>
      <c r="BUP56" s="196"/>
      <c r="BUQ56" s="196"/>
      <c r="BUR56" s="196"/>
      <c r="BUS56" s="196"/>
      <c r="BUT56" s="196"/>
      <c r="BUU56" s="196"/>
      <c r="BUV56" s="196"/>
      <c r="BUW56" s="196"/>
      <c r="BUX56" s="196"/>
      <c r="BUY56" s="196"/>
      <c r="BUZ56" s="196"/>
      <c r="BVA56" s="196"/>
      <c r="BVB56" s="196"/>
      <c r="BVC56" s="196"/>
      <c r="BVD56" s="196"/>
      <c r="BVE56" s="196"/>
      <c r="BVF56" s="196"/>
      <c r="BVG56" s="196"/>
      <c r="BVH56" s="196"/>
      <c r="BVI56" s="196"/>
      <c r="BVJ56" s="196"/>
      <c r="BVK56" s="196"/>
      <c r="BVL56" s="196"/>
      <c r="BVM56" s="196"/>
      <c r="BVN56" s="196"/>
      <c r="BVO56" s="196"/>
      <c r="BVP56" s="196"/>
      <c r="BVQ56" s="196"/>
      <c r="BVR56" s="196"/>
      <c r="BVS56" s="196"/>
      <c r="BVT56" s="196"/>
      <c r="BVU56" s="196"/>
      <c r="BVV56" s="196"/>
      <c r="BVW56" s="196"/>
      <c r="BVX56" s="196"/>
      <c r="BVY56" s="196"/>
      <c r="BVZ56" s="196"/>
      <c r="BWA56" s="196"/>
      <c r="BWB56" s="196"/>
      <c r="BWC56" s="196"/>
      <c r="BWD56" s="196"/>
      <c r="BWE56" s="196"/>
      <c r="BWF56" s="196"/>
      <c r="BWG56" s="196"/>
      <c r="BWH56" s="196"/>
      <c r="BWI56" s="196"/>
      <c r="BWJ56" s="196"/>
      <c r="BWK56" s="196"/>
      <c r="BWL56" s="196"/>
      <c r="BWM56" s="196"/>
      <c r="BWN56" s="196"/>
      <c r="BWO56" s="196"/>
      <c r="BWP56" s="196"/>
      <c r="BWQ56" s="196"/>
      <c r="BWR56" s="196"/>
      <c r="BWS56" s="196"/>
      <c r="BWT56" s="196"/>
      <c r="BWU56" s="196"/>
      <c r="BWV56" s="196"/>
      <c r="BWW56" s="196"/>
      <c r="BWX56" s="196"/>
      <c r="BWY56" s="196"/>
      <c r="BWZ56" s="196"/>
      <c r="BXA56" s="196"/>
      <c r="BXB56" s="196"/>
      <c r="BXC56" s="196"/>
      <c r="BXD56" s="196"/>
      <c r="BXE56" s="196"/>
      <c r="BXF56" s="196"/>
      <c r="BXG56" s="196"/>
      <c r="BXH56" s="196"/>
      <c r="BXI56" s="196"/>
      <c r="BXJ56" s="196"/>
      <c r="BXK56" s="196"/>
      <c r="BXL56" s="196"/>
      <c r="BXM56" s="196"/>
      <c r="BXN56" s="196"/>
      <c r="BXO56" s="196"/>
      <c r="BXP56" s="196"/>
      <c r="BXQ56" s="196"/>
      <c r="BXR56" s="196"/>
      <c r="BXS56" s="196"/>
      <c r="BXT56" s="196"/>
      <c r="BXU56" s="196"/>
      <c r="BXV56" s="196"/>
      <c r="BXW56" s="196"/>
      <c r="BXX56" s="196"/>
      <c r="BXY56" s="196"/>
      <c r="BXZ56" s="196"/>
      <c r="BYA56" s="196"/>
      <c r="BYB56" s="196"/>
      <c r="BYC56" s="196"/>
      <c r="BYD56" s="196"/>
      <c r="BYE56" s="196"/>
      <c r="BYF56" s="196"/>
      <c r="BYG56" s="196"/>
      <c r="BYH56" s="196"/>
      <c r="BYI56" s="196"/>
      <c r="BYJ56" s="196"/>
      <c r="BYK56" s="196"/>
      <c r="BYL56" s="196"/>
      <c r="BYM56" s="196"/>
      <c r="BYN56" s="196"/>
      <c r="BYO56" s="196"/>
      <c r="BYP56" s="196"/>
      <c r="BYQ56" s="196"/>
      <c r="BYR56" s="196"/>
      <c r="BYS56" s="196"/>
      <c r="BYT56" s="196"/>
      <c r="BYU56" s="196"/>
      <c r="BYV56" s="196"/>
      <c r="BYW56" s="196"/>
      <c r="BYX56" s="196"/>
      <c r="BYY56" s="196"/>
      <c r="BYZ56" s="196"/>
      <c r="BZA56" s="196"/>
      <c r="BZB56" s="196"/>
      <c r="BZC56" s="196"/>
      <c r="BZD56" s="196"/>
      <c r="BZE56" s="196"/>
      <c r="BZF56" s="196"/>
      <c r="BZG56" s="196"/>
      <c r="BZH56" s="196"/>
      <c r="BZI56" s="196"/>
      <c r="BZJ56" s="196"/>
      <c r="BZK56" s="196"/>
      <c r="BZL56" s="196"/>
      <c r="BZM56" s="196"/>
      <c r="BZN56" s="196"/>
      <c r="BZO56" s="196"/>
      <c r="BZP56" s="196"/>
      <c r="BZQ56" s="196"/>
      <c r="BZR56" s="196"/>
      <c r="BZS56" s="196"/>
      <c r="BZT56" s="196"/>
      <c r="BZU56" s="196"/>
      <c r="BZV56" s="196"/>
      <c r="BZW56" s="196"/>
      <c r="BZX56" s="196"/>
      <c r="BZY56" s="196"/>
      <c r="BZZ56" s="196"/>
      <c r="CAA56" s="196"/>
      <c r="CAB56" s="196"/>
      <c r="CAC56" s="196"/>
      <c r="CAD56" s="196"/>
      <c r="CAE56" s="196"/>
      <c r="CAF56" s="196"/>
      <c r="CAG56" s="196"/>
      <c r="CAH56" s="196"/>
      <c r="CAI56" s="196"/>
      <c r="CAJ56" s="196"/>
      <c r="CAK56" s="196"/>
      <c r="CAL56" s="196"/>
      <c r="CAM56" s="196"/>
      <c r="CAN56" s="196"/>
      <c r="CAO56" s="196"/>
      <c r="CAP56" s="196"/>
      <c r="CAQ56" s="196"/>
      <c r="CAR56" s="196"/>
      <c r="CAS56" s="196"/>
      <c r="CAT56" s="196"/>
      <c r="CAU56" s="196"/>
      <c r="CAV56" s="196"/>
      <c r="CAW56" s="196"/>
      <c r="CAX56" s="196"/>
      <c r="CAY56" s="196"/>
      <c r="CAZ56" s="196"/>
      <c r="CBA56" s="196"/>
      <c r="CBB56" s="196"/>
      <c r="CBC56" s="196"/>
      <c r="CBD56" s="196"/>
      <c r="CBE56" s="196"/>
      <c r="CBF56" s="196"/>
      <c r="CBG56" s="196"/>
      <c r="CBH56" s="196"/>
      <c r="CBI56" s="196"/>
      <c r="CBJ56" s="196"/>
      <c r="CBK56" s="196"/>
      <c r="CBL56" s="196"/>
      <c r="CBM56" s="196"/>
      <c r="CBN56" s="196"/>
      <c r="CBO56" s="196"/>
      <c r="CBP56" s="196"/>
      <c r="CBQ56" s="196"/>
      <c r="CBR56" s="196"/>
      <c r="CBS56" s="196"/>
      <c r="CBT56" s="196"/>
      <c r="CBU56" s="196"/>
      <c r="CBV56" s="196"/>
      <c r="CBW56" s="196"/>
      <c r="CBX56" s="196"/>
      <c r="CBY56" s="196"/>
      <c r="CBZ56" s="196"/>
      <c r="CCA56" s="196"/>
      <c r="CCB56" s="196"/>
      <c r="CCC56" s="196"/>
      <c r="CCD56" s="196"/>
      <c r="CCE56" s="196"/>
      <c r="CCF56" s="196"/>
      <c r="CCG56" s="196"/>
      <c r="CCH56" s="196"/>
      <c r="CCI56" s="196"/>
      <c r="CCJ56" s="196"/>
      <c r="CCK56" s="196"/>
      <c r="CCL56" s="196"/>
      <c r="CCM56" s="196"/>
      <c r="CCN56" s="196"/>
      <c r="CCO56" s="196"/>
      <c r="CCP56" s="196"/>
      <c r="CCQ56" s="196"/>
      <c r="CCR56" s="196"/>
      <c r="CCS56" s="196"/>
      <c r="CCT56" s="196"/>
      <c r="CCU56" s="196"/>
      <c r="CCV56" s="196"/>
      <c r="CCW56" s="196"/>
      <c r="CCX56" s="196"/>
      <c r="CCY56" s="196"/>
      <c r="CCZ56" s="196"/>
      <c r="CDA56" s="196"/>
      <c r="CDB56" s="196"/>
      <c r="CDC56" s="196"/>
      <c r="CDD56" s="196"/>
      <c r="CDE56" s="196"/>
      <c r="CDF56" s="196"/>
      <c r="CDG56" s="196"/>
      <c r="CDH56" s="196"/>
      <c r="CDI56" s="196"/>
      <c r="CDJ56" s="196"/>
      <c r="CDK56" s="196"/>
      <c r="CDL56" s="196"/>
      <c r="CDM56" s="196"/>
      <c r="CDN56" s="196"/>
      <c r="CDO56" s="196"/>
      <c r="CDP56" s="196"/>
      <c r="CDQ56" s="196"/>
      <c r="CDR56" s="196"/>
      <c r="CDS56" s="196"/>
      <c r="CDT56" s="196"/>
      <c r="CDU56" s="196"/>
      <c r="CDV56" s="196"/>
      <c r="CDW56" s="196"/>
      <c r="CDX56" s="196"/>
      <c r="CDY56" s="196"/>
      <c r="CDZ56" s="196"/>
      <c r="CEA56" s="196"/>
      <c r="CEB56" s="196"/>
      <c r="CEC56" s="196"/>
      <c r="CED56" s="196"/>
      <c r="CEE56" s="196"/>
      <c r="CEF56" s="196"/>
      <c r="CEG56" s="196"/>
      <c r="CEH56" s="196"/>
      <c r="CEI56" s="196"/>
      <c r="CEJ56" s="196"/>
      <c r="CEK56" s="196"/>
      <c r="CEL56" s="196"/>
      <c r="CEM56" s="196"/>
      <c r="CEN56" s="196"/>
      <c r="CEO56" s="196"/>
      <c r="CEP56" s="196"/>
      <c r="CEQ56" s="196"/>
      <c r="CER56" s="196"/>
      <c r="CES56" s="196"/>
      <c r="CET56" s="196"/>
      <c r="CEU56" s="196"/>
      <c r="CEV56" s="196"/>
      <c r="CEW56" s="196"/>
      <c r="CEX56" s="196"/>
      <c r="CEY56" s="196"/>
      <c r="CEZ56" s="196"/>
      <c r="CFA56" s="196"/>
      <c r="CFB56" s="196"/>
      <c r="CFC56" s="196"/>
      <c r="CFD56" s="196"/>
      <c r="CFE56" s="196"/>
      <c r="CFF56" s="196"/>
      <c r="CFG56" s="196"/>
      <c r="CFH56" s="196"/>
      <c r="CFI56" s="196"/>
      <c r="CFJ56" s="196"/>
      <c r="CFK56" s="196"/>
      <c r="CFL56" s="196"/>
      <c r="CFM56" s="196"/>
      <c r="CFN56" s="196"/>
      <c r="CFO56" s="196"/>
      <c r="CFP56" s="196"/>
      <c r="CFQ56" s="196"/>
      <c r="CFR56" s="196"/>
      <c r="CFS56" s="196"/>
      <c r="CFT56" s="196"/>
      <c r="CFU56" s="196"/>
      <c r="CFV56" s="196"/>
      <c r="CFW56" s="196"/>
      <c r="CFX56" s="196"/>
      <c r="CFY56" s="196"/>
      <c r="CFZ56" s="196"/>
      <c r="CGA56" s="196"/>
      <c r="CGB56" s="196"/>
      <c r="CGC56" s="196"/>
      <c r="CGD56" s="196"/>
      <c r="CGE56" s="196"/>
      <c r="CGF56" s="196"/>
      <c r="CGG56" s="196"/>
      <c r="CGH56" s="196"/>
      <c r="CGI56" s="196"/>
      <c r="CGJ56" s="196"/>
      <c r="CGK56" s="196"/>
      <c r="CGL56" s="196"/>
      <c r="CGM56" s="196"/>
      <c r="CGN56" s="196"/>
      <c r="CGO56" s="196"/>
      <c r="CGP56" s="196"/>
      <c r="CGQ56" s="196"/>
      <c r="CGR56" s="196"/>
      <c r="CGS56" s="196"/>
      <c r="CGT56" s="196"/>
      <c r="CGU56" s="196"/>
      <c r="CGV56" s="196"/>
      <c r="CGW56" s="196"/>
      <c r="CGX56" s="196"/>
      <c r="CGY56" s="196"/>
      <c r="CGZ56" s="196"/>
      <c r="CHA56" s="196"/>
      <c r="CHB56" s="196"/>
      <c r="CHC56" s="196"/>
      <c r="CHD56" s="196"/>
      <c r="CHE56" s="196"/>
      <c r="CHF56" s="196"/>
      <c r="CHG56" s="196"/>
      <c r="CHH56" s="196"/>
      <c r="CHI56" s="196"/>
      <c r="CHJ56" s="196"/>
      <c r="CHK56" s="196"/>
      <c r="CHL56" s="196"/>
      <c r="CHM56" s="196"/>
      <c r="CHN56" s="196"/>
      <c r="CHO56" s="196"/>
      <c r="CHP56" s="196"/>
      <c r="CHQ56" s="196"/>
      <c r="CHR56" s="196"/>
      <c r="CHS56" s="196"/>
      <c r="CHT56" s="196"/>
      <c r="CHU56" s="196"/>
      <c r="CHV56" s="196"/>
      <c r="CHW56" s="196"/>
      <c r="CHX56" s="196"/>
      <c r="CHY56" s="196"/>
      <c r="CHZ56" s="196"/>
      <c r="CIA56" s="196"/>
      <c r="CIB56" s="196"/>
      <c r="CIC56" s="196"/>
      <c r="CID56" s="196"/>
      <c r="CIE56" s="196"/>
      <c r="CIF56" s="196"/>
      <c r="CIG56" s="196"/>
      <c r="CIH56" s="196"/>
      <c r="CII56" s="196"/>
      <c r="CIJ56" s="196"/>
      <c r="CIK56" s="196"/>
      <c r="CIL56" s="196"/>
      <c r="CIM56" s="196"/>
      <c r="CIN56" s="196"/>
      <c r="CIO56" s="196"/>
      <c r="CIP56" s="196"/>
      <c r="CIQ56" s="196"/>
      <c r="CIR56" s="196"/>
      <c r="CIS56" s="196"/>
      <c r="CIT56" s="196"/>
      <c r="CIU56" s="196"/>
      <c r="CIV56" s="196"/>
      <c r="CIW56" s="196"/>
      <c r="CIX56" s="196"/>
      <c r="CIY56" s="196"/>
      <c r="CIZ56" s="196"/>
      <c r="CJA56" s="196"/>
      <c r="CJB56" s="196"/>
      <c r="CJC56" s="196"/>
      <c r="CJD56" s="196"/>
      <c r="CJE56" s="196"/>
      <c r="CJF56" s="196"/>
      <c r="CJG56" s="196"/>
      <c r="CJH56" s="196"/>
      <c r="CJI56" s="196"/>
      <c r="CJJ56" s="196"/>
      <c r="CJK56" s="196"/>
      <c r="CJL56" s="196"/>
      <c r="CJM56" s="196"/>
      <c r="CJN56" s="196"/>
      <c r="CJO56" s="196"/>
      <c r="CJP56" s="196"/>
      <c r="CJQ56" s="196"/>
      <c r="CJR56" s="196"/>
      <c r="CJS56" s="196"/>
      <c r="CJT56" s="196"/>
      <c r="CJU56" s="196"/>
      <c r="CJV56" s="196"/>
      <c r="CJW56" s="196"/>
      <c r="CJX56" s="196"/>
      <c r="CJY56" s="196"/>
      <c r="CJZ56" s="196"/>
      <c r="CKA56" s="196"/>
      <c r="CKB56" s="196"/>
      <c r="CKC56" s="196"/>
      <c r="CKD56" s="196"/>
      <c r="CKE56" s="196"/>
      <c r="CKF56" s="196"/>
      <c r="CKG56" s="196"/>
      <c r="CKH56" s="196"/>
      <c r="CKI56" s="196"/>
      <c r="CKJ56" s="196"/>
      <c r="CKK56" s="196"/>
      <c r="CKL56" s="196"/>
      <c r="CKM56" s="196"/>
      <c r="CKN56" s="196"/>
      <c r="CKO56" s="196"/>
      <c r="CKP56" s="196"/>
      <c r="CKQ56" s="196"/>
      <c r="CKR56" s="196"/>
      <c r="CKS56" s="196"/>
      <c r="CKT56" s="196"/>
      <c r="CKU56" s="196"/>
      <c r="CKV56" s="196"/>
      <c r="CKW56" s="196"/>
      <c r="CKX56" s="196"/>
      <c r="CKY56" s="196"/>
      <c r="CKZ56" s="196"/>
      <c r="CLA56" s="196"/>
      <c r="CLB56" s="196"/>
      <c r="CLC56" s="196"/>
      <c r="CLD56" s="196"/>
      <c r="CLE56" s="196"/>
      <c r="CLF56" s="196"/>
      <c r="CLG56" s="196"/>
      <c r="CLH56" s="196"/>
      <c r="CLI56" s="196"/>
      <c r="CLJ56" s="196"/>
      <c r="CLK56" s="196"/>
      <c r="CLL56" s="196"/>
      <c r="CLM56" s="196"/>
      <c r="CLN56" s="196"/>
      <c r="CLO56" s="196"/>
      <c r="CLP56" s="196"/>
      <c r="CLQ56" s="196"/>
      <c r="CLR56" s="196"/>
      <c r="CLS56" s="196"/>
      <c r="CLT56" s="196"/>
      <c r="CLU56" s="196"/>
      <c r="CLV56" s="196"/>
      <c r="CLW56" s="196"/>
      <c r="CLX56" s="196"/>
      <c r="CLY56" s="196"/>
      <c r="CLZ56" s="196"/>
      <c r="CMA56" s="196"/>
      <c r="CMB56" s="196"/>
      <c r="CMC56" s="196"/>
      <c r="CMD56" s="196"/>
      <c r="CME56" s="196"/>
      <c r="CMF56" s="196"/>
      <c r="CMG56" s="196"/>
      <c r="CMH56" s="196"/>
      <c r="CMI56" s="196"/>
      <c r="CMJ56" s="196"/>
      <c r="CMK56" s="196"/>
      <c r="CML56" s="196"/>
      <c r="CMM56" s="196"/>
      <c r="CMN56" s="196"/>
      <c r="CMO56" s="196"/>
      <c r="CMP56" s="196"/>
      <c r="CMQ56" s="196"/>
      <c r="CMR56" s="196"/>
      <c r="CMS56" s="196"/>
      <c r="CMT56" s="196"/>
      <c r="CMU56" s="196"/>
      <c r="CMV56" s="196"/>
      <c r="CMW56" s="196"/>
      <c r="CMX56" s="196"/>
      <c r="CMY56" s="196"/>
      <c r="CMZ56" s="196"/>
      <c r="CNA56" s="196"/>
      <c r="CNB56" s="196"/>
      <c r="CNC56" s="196"/>
      <c r="CND56" s="196"/>
      <c r="CNE56" s="196"/>
      <c r="CNF56" s="196"/>
      <c r="CNG56" s="196"/>
      <c r="CNH56" s="196"/>
      <c r="CNI56" s="196"/>
      <c r="CNJ56" s="196"/>
      <c r="CNK56" s="196"/>
      <c r="CNL56" s="196"/>
      <c r="CNM56" s="196"/>
      <c r="CNN56" s="196"/>
      <c r="CNO56" s="196"/>
      <c r="CNP56" s="196"/>
      <c r="CNQ56" s="196"/>
      <c r="CNR56" s="196"/>
      <c r="CNS56" s="196"/>
      <c r="CNT56" s="196"/>
      <c r="CNU56" s="196"/>
      <c r="CNV56" s="196"/>
      <c r="CNW56" s="196"/>
      <c r="CNX56" s="196"/>
      <c r="CNY56" s="196"/>
      <c r="CNZ56" s="196"/>
      <c r="COA56" s="196"/>
      <c r="COB56" s="196"/>
      <c r="COC56" s="196"/>
      <c r="COD56" s="196"/>
      <c r="COE56" s="196"/>
      <c r="COF56" s="196"/>
      <c r="COG56" s="196"/>
      <c r="COH56" s="196"/>
      <c r="COI56" s="196"/>
      <c r="COJ56" s="196"/>
      <c r="COK56" s="196"/>
      <c r="COL56" s="196"/>
      <c r="COM56" s="196"/>
      <c r="CON56" s="196"/>
      <c r="COO56" s="196"/>
      <c r="COP56" s="196"/>
      <c r="COQ56" s="196"/>
      <c r="COR56" s="196"/>
      <c r="COS56" s="196"/>
      <c r="COT56" s="196"/>
      <c r="COU56" s="196"/>
      <c r="COV56" s="196"/>
      <c r="COW56" s="196"/>
      <c r="COX56" s="196"/>
      <c r="COY56" s="196"/>
      <c r="COZ56" s="196"/>
      <c r="CPA56" s="196"/>
      <c r="CPB56" s="196"/>
      <c r="CPC56" s="196"/>
      <c r="CPD56" s="196"/>
      <c r="CPE56" s="196"/>
      <c r="CPF56" s="196"/>
      <c r="CPG56" s="196"/>
      <c r="CPH56" s="196"/>
      <c r="CPI56" s="196"/>
      <c r="CPJ56" s="196"/>
      <c r="CPK56" s="196"/>
      <c r="CPL56" s="196"/>
      <c r="CPM56" s="196"/>
      <c r="CPN56" s="196"/>
      <c r="CPO56" s="196"/>
      <c r="CPP56" s="196"/>
      <c r="CPQ56" s="196"/>
      <c r="CPR56" s="196"/>
      <c r="CPS56" s="196"/>
      <c r="CPT56" s="196"/>
      <c r="CPU56" s="196"/>
      <c r="CPV56" s="196"/>
      <c r="CPW56" s="196"/>
      <c r="CPX56" s="196"/>
      <c r="CPY56" s="196"/>
      <c r="CPZ56" s="196"/>
      <c r="CQA56" s="196"/>
      <c r="CQB56" s="196"/>
      <c r="CQC56" s="196"/>
      <c r="CQD56" s="196"/>
      <c r="CQE56" s="196"/>
      <c r="CQF56" s="196"/>
      <c r="CQG56" s="196"/>
      <c r="CQH56" s="196"/>
      <c r="CQI56" s="196"/>
      <c r="CQJ56" s="196"/>
      <c r="CQK56" s="196"/>
      <c r="CQL56" s="196"/>
      <c r="CQM56" s="196"/>
      <c r="CQN56" s="196"/>
      <c r="CQO56" s="196"/>
      <c r="CQP56" s="196"/>
      <c r="CQQ56" s="196"/>
      <c r="CQR56" s="196"/>
      <c r="CQS56" s="196"/>
      <c r="CQT56" s="196"/>
      <c r="CQU56" s="196"/>
      <c r="CQV56" s="196"/>
      <c r="CQW56" s="196"/>
      <c r="CQX56" s="196"/>
      <c r="CQY56" s="196"/>
      <c r="CQZ56" s="196"/>
      <c r="CRA56" s="196"/>
      <c r="CRB56" s="196"/>
      <c r="CRC56" s="196"/>
      <c r="CRD56" s="196"/>
      <c r="CRE56" s="196"/>
      <c r="CRF56" s="196"/>
      <c r="CRG56" s="196"/>
      <c r="CRH56" s="196"/>
      <c r="CRI56" s="196"/>
      <c r="CRJ56" s="196"/>
      <c r="CRK56" s="196"/>
      <c r="CRL56" s="196"/>
      <c r="CRM56" s="196"/>
      <c r="CRN56" s="196"/>
      <c r="CRO56" s="196"/>
      <c r="CRP56" s="196"/>
      <c r="CRQ56" s="196"/>
      <c r="CRR56" s="196"/>
      <c r="CRS56" s="196"/>
      <c r="CRT56" s="196"/>
      <c r="CRU56" s="196"/>
      <c r="CRV56" s="196"/>
      <c r="CRW56" s="196"/>
      <c r="CRX56" s="196"/>
      <c r="CRY56" s="196"/>
      <c r="CRZ56" s="196"/>
      <c r="CSA56" s="196"/>
      <c r="CSB56" s="196"/>
      <c r="CSC56" s="196"/>
      <c r="CSD56" s="196"/>
      <c r="CSE56" s="196"/>
      <c r="CSF56" s="196"/>
      <c r="CSG56" s="196"/>
      <c r="CSH56" s="196"/>
      <c r="CSI56" s="196"/>
      <c r="CSJ56" s="196"/>
      <c r="CSK56" s="196"/>
      <c r="CSL56" s="196"/>
      <c r="CSM56" s="196"/>
      <c r="CSN56" s="196"/>
      <c r="CSO56" s="196"/>
      <c r="CSP56" s="196"/>
      <c r="CSQ56" s="196"/>
      <c r="CSR56" s="196"/>
      <c r="CSS56" s="196"/>
      <c r="CST56" s="196"/>
      <c r="CSU56" s="196"/>
      <c r="CSV56" s="196"/>
      <c r="CSW56" s="196"/>
      <c r="CSX56" s="196"/>
      <c r="CSY56" s="196"/>
      <c r="CSZ56" s="196"/>
      <c r="CTA56" s="196"/>
      <c r="CTB56" s="196"/>
      <c r="CTC56" s="196"/>
      <c r="CTD56" s="196"/>
      <c r="CTE56" s="196"/>
      <c r="CTF56" s="196"/>
      <c r="CTG56" s="196"/>
      <c r="CTH56" s="196"/>
      <c r="CTI56" s="196"/>
      <c r="CTJ56" s="196"/>
      <c r="CTK56" s="196"/>
      <c r="CTL56" s="196"/>
      <c r="CTM56" s="196"/>
      <c r="CTN56" s="196"/>
      <c r="CTO56" s="196"/>
      <c r="CTP56" s="196"/>
      <c r="CTQ56" s="196"/>
      <c r="CTR56" s="196"/>
      <c r="CTS56" s="196"/>
      <c r="CTT56" s="196"/>
      <c r="CTU56" s="196"/>
      <c r="CTV56" s="196"/>
      <c r="CTW56" s="196"/>
      <c r="CTX56" s="196"/>
      <c r="CTY56" s="196"/>
      <c r="CTZ56" s="196"/>
      <c r="CUA56" s="196"/>
      <c r="CUB56" s="196"/>
      <c r="CUC56" s="196"/>
      <c r="CUD56" s="196"/>
      <c r="CUE56" s="196"/>
      <c r="CUF56" s="196"/>
      <c r="CUG56" s="196"/>
      <c r="CUH56" s="196"/>
      <c r="CUI56" s="196"/>
      <c r="CUJ56" s="196"/>
      <c r="CUK56" s="196"/>
      <c r="CUL56" s="196"/>
      <c r="CUM56" s="196"/>
      <c r="CUN56" s="196"/>
      <c r="CUO56" s="196"/>
      <c r="CUP56" s="196"/>
      <c r="CUQ56" s="196"/>
      <c r="CUR56" s="196"/>
      <c r="CUS56" s="196"/>
      <c r="CUT56" s="196"/>
      <c r="CUU56" s="196"/>
      <c r="CUV56" s="196"/>
      <c r="CUW56" s="196"/>
      <c r="CUX56" s="196"/>
      <c r="CUY56" s="196"/>
      <c r="CUZ56" s="196"/>
      <c r="CVA56" s="196"/>
      <c r="CVB56" s="196"/>
      <c r="CVC56" s="196"/>
      <c r="CVD56" s="196"/>
      <c r="CVE56" s="196"/>
      <c r="CVF56" s="196"/>
      <c r="CVG56" s="196"/>
      <c r="CVH56" s="196"/>
      <c r="CVI56" s="196"/>
      <c r="CVJ56" s="196"/>
      <c r="CVK56" s="196"/>
      <c r="CVL56" s="196"/>
      <c r="CVM56" s="196"/>
      <c r="CVN56" s="196"/>
      <c r="CVO56" s="196"/>
      <c r="CVP56" s="196"/>
      <c r="CVQ56" s="196"/>
      <c r="CVR56" s="196"/>
      <c r="CVS56" s="196"/>
      <c r="CVT56" s="196"/>
      <c r="CVU56" s="196"/>
      <c r="CVV56" s="196"/>
      <c r="CVW56" s="196"/>
      <c r="CVX56" s="196"/>
      <c r="CVY56" s="196"/>
      <c r="CVZ56" s="196"/>
      <c r="CWA56" s="196"/>
      <c r="CWB56" s="196"/>
      <c r="CWC56" s="196"/>
      <c r="CWD56" s="196"/>
      <c r="CWE56" s="196"/>
      <c r="CWF56" s="196"/>
      <c r="CWG56" s="196"/>
      <c r="CWH56" s="196"/>
      <c r="CWI56" s="196"/>
      <c r="CWJ56" s="196"/>
      <c r="CWK56" s="196"/>
      <c r="CWL56" s="196"/>
      <c r="CWM56" s="196"/>
      <c r="CWN56" s="196"/>
      <c r="CWO56" s="196"/>
      <c r="CWP56" s="196"/>
      <c r="CWQ56" s="196"/>
      <c r="CWR56" s="196"/>
      <c r="CWS56" s="196"/>
      <c r="CWT56" s="196"/>
      <c r="CWU56" s="196"/>
      <c r="CWV56" s="196"/>
      <c r="CWW56" s="196"/>
      <c r="CWX56" s="196"/>
      <c r="CWY56" s="196"/>
      <c r="CWZ56" s="196"/>
      <c r="CXA56" s="196"/>
      <c r="CXB56" s="196"/>
      <c r="CXC56" s="196"/>
      <c r="CXD56" s="196"/>
      <c r="CXE56" s="196"/>
      <c r="CXF56" s="196"/>
      <c r="CXG56" s="196"/>
      <c r="CXH56" s="196"/>
      <c r="CXI56" s="196"/>
      <c r="CXJ56" s="196"/>
      <c r="CXK56" s="196"/>
      <c r="CXL56" s="196"/>
      <c r="CXM56" s="196"/>
      <c r="CXN56" s="196"/>
      <c r="CXO56" s="196"/>
      <c r="CXP56" s="196"/>
      <c r="CXQ56" s="196"/>
      <c r="CXR56" s="196"/>
      <c r="CXS56" s="196"/>
      <c r="CXT56" s="196"/>
      <c r="CXU56" s="196"/>
      <c r="CXV56" s="196"/>
      <c r="CXW56" s="196"/>
      <c r="CXX56" s="196"/>
      <c r="CXY56" s="196"/>
      <c r="CXZ56" s="196"/>
      <c r="CYA56" s="196"/>
      <c r="CYB56" s="196"/>
      <c r="CYC56" s="196"/>
      <c r="CYD56" s="196"/>
      <c r="CYE56" s="196"/>
      <c r="CYF56" s="196"/>
      <c r="CYG56" s="196"/>
      <c r="CYH56" s="196"/>
      <c r="CYI56" s="196"/>
      <c r="CYJ56" s="196"/>
      <c r="CYK56" s="196"/>
      <c r="CYL56" s="196"/>
      <c r="CYM56" s="196"/>
      <c r="CYN56" s="196"/>
      <c r="CYO56" s="196"/>
      <c r="CYP56" s="196"/>
      <c r="CYQ56" s="196"/>
      <c r="CYR56" s="196"/>
      <c r="CYS56" s="196"/>
      <c r="CYT56" s="196"/>
      <c r="CYU56" s="196"/>
      <c r="CYV56" s="196"/>
      <c r="CYW56" s="196"/>
      <c r="CYX56" s="196"/>
      <c r="CYY56" s="196"/>
      <c r="CYZ56" s="196"/>
      <c r="CZA56" s="196"/>
      <c r="CZB56" s="196"/>
      <c r="CZC56" s="196"/>
      <c r="CZD56" s="196"/>
      <c r="CZE56" s="196"/>
      <c r="CZF56" s="196"/>
      <c r="CZG56" s="196"/>
      <c r="CZH56" s="196"/>
      <c r="CZI56" s="196"/>
      <c r="CZJ56" s="196"/>
      <c r="CZK56" s="196"/>
      <c r="CZL56" s="196"/>
      <c r="CZM56" s="196"/>
      <c r="CZN56" s="196"/>
      <c r="CZO56" s="196"/>
      <c r="CZP56" s="196"/>
      <c r="CZQ56" s="196"/>
      <c r="CZR56" s="196"/>
      <c r="CZS56" s="196"/>
      <c r="CZT56" s="196"/>
      <c r="CZU56" s="196"/>
      <c r="CZV56" s="196"/>
      <c r="CZW56" s="196"/>
      <c r="CZX56" s="196"/>
      <c r="CZY56" s="196"/>
      <c r="CZZ56" s="196"/>
      <c r="DAA56" s="196"/>
      <c r="DAB56" s="196"/>
      <c r="DAC56" s="196"/>
      <c r="DAD56" s="196"/>
      <c r="DAE56" s="196"/>
      <c r="DAF56" s="196"/>
      <c r="DAG56" s="196"/>
      <c r="DAH56" s="196"/>
      <c r="DAI56" s="196"/>
      <c r="DAJ56" s="196"/>
      <c r="DAK56" s="196"/>
      <c r="DAL56" s="196"/>
      <c r="DAM56" s="196"/>
      <c r="DAN56" s="196"/>
      <c r="DAO56" s="196"/>
      <c r="DAP56" s="196"/>
      <c r="DAQ56" s="196"/>
      <c r="DAR56" s="196"/>
      <c r="DAS56" s="196"/>
      <c r="DAT56" s="196"/>
      <c r="DAU56" s="196"/>
      <c r="DAV56" s="196"/>
      <c r="DAW56" s="196"/>
      <c r="DAX56" s="196"/>
      <c r="DAY56" s="196"/>
      <c r="DAZ56" s="196"/>
      <c r="DBA56" s="196"/>
      <c r="DBB56" s="196"/>
      <c r="DBC56" s="196"/>
      <c r="DBD56" s="196"/>
      <c r="DBE56" s="196"/>
      <c r="DBF56" s="196"/>
      <c r="DBG56" s="196"/>
      <c r="DBH56" s="196"/>
      <c r="DBI56" s="196"/>
      <c r="DBJ56" s="196"/>
      <c r="DBK56" s="196"/>
      <c r="DBL56" s="196"/>
      <c r="DBM56" s="196"/>
      <c r="DBN56" s="196"/>
      <c r="DBO56" s="196"/>
      <c r="DBP56" s="196"/>
      <c r="DBQ56" s="196"/>
      <c r="DBR56" s="196"/>
      <c r="DBS56" s="196"/>
      <c r="DBT56" s="196"/>
      <c r="DBU56" s="196"/>
      <c r="DBV56" s="196"/>
      <c r="DBW56" s="196"/>
      <c r="DBX56" s="196"/>
      <c r="DBY56" s="196"/>
      <c r="DBZ56" s="196"/>
      <c r="DCA56" s="196"/>
      <c r="DCB56" s="196"/>
      <c r="DCC56" s="196"/>
      <c r="DCD56" s="196"/>
      <c r="DCE56" s="196"/>
      <c r="DCF56" s="196"/>
      <c r="DCG56" s="196"/>
      <c r="DCH56" s="196"/>
      <c r="DCI56" s="196"/>
      <c r="DCJ56" s="196"/>
      <c r="DCK56" s="196"/>
      <c r="DCL56" s="196"/>
      <c r="DCM56" s="196"/>
      <c r="DCN56" s="196"/>
      <c r="DCO56" s="196"/>
      <c r="DCP56" s="196"/>
      <c r="DCQ56" s="196"/>
      <c r="DCR56" s="196"/>
      <c r="DCS56" s="196"/>
      <c r="DCT56" s="196"/>
      <c r="DCU56" s="196"/>
      <c r="DCV56" s="196"/>
      <c r="DCW56" s="196"/>
      <c r="DCX56" s="196"/>
      <c r="DCY56" s="196"/>
      <c r="DCZ56" s="196"/>
      <c r="DDA56" s="196"/>
      <c r="DDB56" s="196"/>
      <c r="DDC56" s="196"/>
      <c r="DDD56" s="196"/>
      <c r="DDE56" s="196"/>
      <c r="DDF56" s="196"/>
      <c r="DDG56" s="196"/>
      <c r="DDH56" s="196"/>
      <c r="DDI56" s="196"/>
      <c r="DDJ56" s="196"/>
      <c r="DDK56" s="196"/>
      <c r="DDL56" s="196"/>
      <c r="DDM56" s="196"/>
      <c r="DDN56" s="196"/>
      <c r="DDO56" s="196"/>
      <c r="DDP56" s="196"/>
      <c r="DDQ56" s="196"/>
      <c r="DDR56" s="196"/>
      <c r="DDS56" s="196"/>
      <c r="DDT56" s="196"/>
      <c r="DDU56" s="196"/>
      <c r="DDV56" s="196"/>
      <c r="DDW56" s="196"/>
      <c r="DDX56" s="196"/>
      <c r="DDY56" s="196"/>
      <c r="DDZ56" s="196"/>
      <c r="DEA56" s="196"/>
      <c r="DEB56" s="196"/>
      <c r="DEC56" s="196"/>
      <c r="DED56" s="196"/>
      <c r="DEE56" s="196"/>
      <c r="DEF56" s="196"/>
      <c r="DEG56" s="196"/>
      <c r="DEH56" s="196"/>
      <c r="DEI56" s="196"/>
      <c r="DEJ56" s="196"/>
      <c r="DEK56" s="196"/>
      <c r="DEL56" s="196"/>
      <c r="DEM56" s="196"/>
      <c r="DEN56" s="196"/>
      <c r="DEO56" s="196"/>
      <c r="DEP56" s="196"/>
      <c r="DEQ56" s="196"/>
      <c r="DER56" s="196"/>
      <c r="DES56" s="196"/>
      <c r="DET56" s="196"/>
      <c r="DEU56" s="196"/>
      <c r="DEV56" s="196"/>
      <c r="DEW56" s="196"/>
      <c r="DEX56" s="196"/>
      <c r="DEY56" s="196"/>
      <c r="DEZ56" s="196"/>
      <c r="DFA56" s="196"/>
      <c r="DFB56" s="196"/>
      <c r="DFC56" s="196"/>
      <c r="DFD56" s="196"/>
      <c r="DFE56" s="196"/>
      <c r="DFF56" s="196"/>
      <c r="DFG56" s="196"/>
      <c r="DFH56" s="196"/>
      <c r="DFI56" s="196"/>
      <c r="DFJ56" s="196"/>
      <c r="DFK56" s="196"/>
      <c r="DFL56" s="196"/>
      <c r="DFM56" s="196"/>
      <c r="DFN56" s="196"/>
      <c r="DFO56" s="196"/>
      <c r="DFP56" s="196"/>
      <c r="DFQ56" s="196"/>
      <c r="DFR56" s="196"/>
      <c r="DFS56" s="196"/>
      <c r="DFT56" s="196"/>
      <c r="DFU56" s="196"/>
      <c r="DFV56" s="196"/>
      <c r="DFW56" s="196"/>
      <c r="DFX56" s="196"/>
      <c r="DFY56" s="196"/>
      <c r="DFZ56" s="196"/>
      <c r="DGA56" s="196"/>
      <c r="DGB56" s="196"/>
      <c r="DGC56" s="196"/>
      <c r="DGD56" s="196"/>
      <c r="DGE56" s="196"/>
      <c r="DGF56" s="196"/>
      <c r="DGG56" s="196"/>
      <c r="DGH56" s="196"/>
      <c r="DGI56" s="196"/>
      <c r="DGJ56" s="196"/>
      <c r="DGK56" s="196"/>
      <c r="DGL56" s="196"/>
      <c r="DGM56" s="196"/>
      <c r="DGN56" s="196"/>
      <c r="DGO56" s="196"/>
      <c r="DGP56" s="196"/>
      <c r="DGQ56" s="196"/>
      <c r="DGR56" s="196"/>
      <c r="DGS56" s="196"/>
      <c r="DGT56" s="196"/>
      <c r="DGU56" s="196"/>
      <c r="DGV56" s="196"/>
      <c r="DGW56" s="196"/>
      <c r="DGX56" s="196"/>
      <c r="DGY56" s="196"/>
      <c r="DGZ56" s="196"/>
      <c r="DHA56" s="196"/>
      <c r="DHB56" s="196"/>
      <c r="DHC56" s="196"/>
      <c r="DHD56" s="196"/>
      <c r="DHE56" s="196"/>
      <c r="DHF56" s="196"/>
      <c r="DHG56" s="196"/>
      <c r="DHH56" s="196"/>
      <c r="DHI56" s="196"/>
      <c r="DHJ56" s="196"/>
      <c r="DHK56" s="196"/>
      <c r="DHL56" s="196"/>
      <c r="DHM56" s="196"/>
      <c r="DHN56" s="196"/>
      <c r="DHO56" s="196"/>
      <c r="DHP56" s="196"/>
      <c r="DHQ56" s="196"/>
      <c r="DHR56" s="196"/>
      <c r="DHS56" s="196"/>
      <c r="DHT56" s="196"/>
      <c r="DHU56" s="196"/>
      <c r="DHV56" s="196"/>
      <c r="DHW56" s="196"/>
      <c r="DHX56" s="196"/>
      <c r="DHY56" s="196"/>
      <c r="DHZ56" s="196"/>
      <c r="DIA56" s="196"/>
      <c r="DIB56" s="196"/>
      <c r="DIC56" s="196"/>
      <c r="DID56" s="196"/>
      <c r="DIE56" s="196"/>
      <c r="DIF56" s="196"/>
      <c r="DIG56" s="196"/>
      <c r="DIH56" s="196"/>
      <c r="DII56" s="196"/>
      <c r="DIJ56" s="196"/>
      <c r="DIK56" s="196"/>
      <c r="DIL56" s="196"/>
      <c r="DIM56" s="196"/>
      <c r="DIN56" s="196"/>
      <c r="DIO56" s="196"/>
      <c r="DIP56" s="196"/>
      <c r="DIQ56" s="196"/>
      <c r="DIR56" s="196"/>
      <c r="DIS56" s="196"/>
      <c r="DIT56" s="196"/>
      <c r="DIU56" s="196"/>
      <c r="DIV56" s="196"/>
      <c r="DIW56" s="196"/>
      <c r="DIX56" s="196"/>
      <c r="DIY56" s="196"/>
      <c r="DIZ56" s="196"/>
      <c r="DJA56" s="196"/>
      <c r="DJB56" s="196"/>
      <c r="DJC56" s="196"/>
      <c r="DJD56" s="196"/>
      <c r="DJE56" s="196"/>
      <c r="DJF56" s="196"/>
      <c r="DJG56" s="196"/>
      <c r="DJH56" s="196"/>
      <c r="DJI56" s="196"/>
      <c r="DJJ56" s="196"/>
      <c r="DJK56" s="196"/>
      <c r="DJL56" s="196"/>
      <c r="DJM56" s="196"/>
      <c r="DJN56" s="196"/>
      <c r="DJO56" s="196"/>
      <c r="DJP56" s="196"/>
      <c r="DJQ56" s="196"/>
      <c r="DJR56" s="196"/>
      <c r="DJS56" s="196"/>
      <c r="DJT56" s="196"/>
      <c r="DJU56" s="196"/>
      <c r="DJV56" s="196"/>
      <c r="DJW56" s="196"/>
      <c r="DJX56" s="196"/>
      <c r="DJY56" s="196"/>
      <c r="DJZ56" s="196"/>
      <c r="DKA56" s="196"/>
      <c r="DKB56" s="196"/>
      <c r="DKC56" s="196"/>
      <c r="DKD56" s="196"/>
      <c r="DKE56" s="196"/>
      <c r="DKF56" s="196"/>
      <c r="DKG56" s="196"/>
      <c r="DKH56" s="196"/>
      <c r="DKI56" s="196"/>
      <c r="DKJ56" s="196"/>
      <c r="DKK56" s="196"/>
      <c r="DKL56" s="196"/>
      <c r="DKM56" s="196"/>
      <c r="DKN56" s="196"/>
      <c r="DKO56" s="196"/>
      <c r="DKP56" s="196"/>
      <c r="DKQ56" s="196"/>
      <c r="DKR56" s="196"/>
      <c r="DKS56" s="196"/>
      <c r="DKT56" s="196"/>
      <c r="DKU56" s="196"/>
      <c r="DKV56" s="196"/>
      <c r="DKW56" s="196"/>
      <c r="DKX56" s="196"/>
      <c r="DKY56" s="196"/>
      <c r="DKZ56" s="196"/>
      <c r="DLA56" s="196"/>
      <c r="DLB56" s="196"/>
      <c r="DLC56" s="196"/>
      <c r="DLD56" s="196"/>
      <c r="DLE56" s="196"/>
      <c r="DLF56" s="196"/>
      <c r="DLG56" s="196"/>
      <c r="DLH56" s="196"/>
      <c r="DLI56" s="196"/>
      <c r="DLJ56" s="196"/>
      <c r="DLK56" s="196"/>
      <c r="DLL56" s="196"/>
      <c r="DLM56" s="196"/>
      <c r="DLN56" s="196"/>
      <c r="DLO56" s="196"/>
      <c r="DLP56" s="196"/>
      <c r="DLQ56" s="196"/>
      <c r="DLR56" s="196"/>
      <c r="DLS56" s="196"/>
      <c r="DLT56" s="196"/>
      <c r="DLU56" s="196"/>
      <c r="DLV56" s="196"/>
      <c r="DLW56" s="196"/>
      <c r="DLX56" s="196"/>
      <c r="DLY56" s="196"/>
      <c r="DLZ56" s="196"/>
      <c r="DMA56" s="196"/>
      <c r="DMB56" s="196"/>
      <c r="DMC56" s="196"/>
      <c r="DMD56" s="196"/>
      <c r="DME56" s="196"/>
      <c r="DMF56" s="196"/>
      <c r="DMG56" s="196"/>
      <c r="DMH56" s="196"/>
      <c r="DMI56" s="196"/>
      <c r="DMJ56" s="196"/>
      <c r="DMK56" s="196"/>
      <c r="DML56" s="196"/>
      <c r="DMM56" s="196"/>
      <c r="DMN56" s="196"/>
      <c r="DMO56" s="196"/>
      <c r="DMP56" s="196"/>
      <c r="DMQ56" s="196"/>
      <c r="DMR56" s="196"/>
      <c r="DMS56" s="196"/>
      <c r="DMT56" s="196"/>
      <c r="DMU56" s="196"/>
      <c r="DMV56" s="196"/>
      <c r="DMW56" s="196"/>
      <c r="DMX56" s="196"/>
      <c r="DMY56" s="196"/>
      <c r="DMZ56" s="196"/>
      <c r="DNA56" s="196"/>
      <c r="DNB56" s="196"/>
      <c r="DNC56" s="196"/>
      <c r="DND56" s="196"/>
      <c r="DNE56" s="196"/>
      <c r="DNF56" s="196"/>
      <c r="DNG56" s="196"/>
      <c r="DNH56" s="196"/>
      <c r="DNI56" s="196"/>
      <c r="DNJ56" s="196"/>
      <c r="DNK56" s="196"/>
      <c r="DNL56" s="196"/>
      <c r="DNM56" s="196"/>
      <c r="DNN56" s="196"/>
      <c r="DNO56" s="196"/>
      <c r="DNP56" s="196"/>
      <c r="DNQ56" s="196"/>
      <c r="DNR56" s="196"/>
      <c r="DNS56" s="196"/>
      <c r="DNT56" s="196"/>
      <c r="DNU56" s="196"/>
      <c r="DNV56" s="196"/>
      <c r="DNW56" s="196"/>
      <c r="DNX56" s="196"/>
      <c r="DNY56" s="196"/>
      <c r="DNZ56" s="196"/>
      <c r="DOA56" s="196"/>
      <c r="DOB56" s="196"/>
      <c r="DOC56" s="196"/>
      <c r="DOD56" s="196"/>
      <c r="DOE56" s="196"/>
      <c r="DOF56" s="196"/>
      <c r="DOG56" s="196"/>
      <c r="DOH56" s="196"/>
      <c r="DOI56" s="196"/>
      <c r="DOJ56" s="196"/>
      <c r="DOK56" s="196"/>
      <c r="DOL56" s="196"/>
      <c r="DOM56" s="196"/>
      <c r="DON56" s="196"/>
      <c r="DOO56" s="196"/>
      <c r="DOP56" s="196"/>
      <c r="DOQ56" s="196"/>
      <c r="DOR56" s="196"/>
      <c r="DOS56" s="196"/>
      <c r="DOT56" s="196"/>
      <c r="DOU56" s="196"/>
      <c r="DOV56" s="196"/>
      <c r="DOW56" s="196"/>
      <c r="DOX56" s="196"/>
      <c r="DOY56" s="196"/>
      <c r="DOZ56" s="196"/>
      <c r="DPA56" s="196"/>
      <c r="DPB56" s="196"/>
      <c r="DPC56" s="196"/>
      <c r="DPD56" s="196"/>
      <c r="DPE56" s="196"/>
      <c r="DPF56" s="196"/>
      <c r="DPG56" s="196"/>
      <c r="DPH56" s="196"/>
      <c r="DPI56" s="196"/>
      <c r="DPJ56" s="196"/>
      <c r="DPK56" s="196"/>
      <c r="DPL56" s="196"/>
      <c r="DPM56" s="196"/>
      <c r="DPN56" s="196"/>
      <c r="DPO56" s="196"/>
      <c r="DPP56" s="196"/>
      <c r="DPQ56" s="196"/>
      <c r="DPR56" s="196"/>
      <c r="DPS56" s="196"/>
      <c r="DPT56" s="196"/>
      <c r="DPU56" s="196"/>
      <c r="DPV56" s="196"/>
      <c r="DPW56" s="196"/>
      <c r="DPX56" s="196"/>
      <c r="DPY56" s="196"/>
      <c r="DPZ56" s="196"/>
      <c r="DQA56" s="196"/>
      <c r="DQB56" s="196"/>
      <c r="DQC56" s="196"/>
      <c r="DQD56" s="196"/>
      <c r="DQE56" s="196"/>
      <c r="DQF56" s="196"/>
      <c r="DQG56" s="196"/>
      <c r="DQH56" s="196"/>
      <c r="DQI56" s="196"/>
      <c r="DQJ56" s="196"/>
      <c r="DQK56" s="196"/>
      <c r="DQL56" s="196"/>
      <c r="DQM56" s="196"/>
      <c r="DQN56" s="196"/>
      <c r="DQO56" s="196"/>
      <c r="DQP56" s="196"/>
      <c r="DQQ56" s="196"/>
      <c r="DQR56" s="196"/>
      <c r="DQS56" s="196"/>
      <c r="DQT56" s="196"/>
      <c r="DQU56" s="196"/>
      <c r="DQV56" s="196"/>
      <c r="DQW56" s="196"/>
      <c r="DQX56" s="196"/>
      <c r="DQY56" s="196"/>
      <c r="DQZ56" s="196"/>
      <c r="DRA56" s="196"/>
      <c r="DRB56" s="196"/>
      <c r="DRC56" s="196"/>
      <c r="DRD56" s="196"/>
      <c r="DRE56" s="196"/>
      <c r="DRF56" s="196"/>
      <c r="DRG56" s="196"/>
      <c r="DRH56" s="196"/>
      <c r="DRI56" s="196"/>
      <c r="DRJ56" s="196"/>
      <c r="DRK56" s="196"/>
      <c r="DRL56" s="196"/>
      <c r="DRM56" s="196"/>
      <c r="DRN56" s="196"/>
      <c r="DRO56" s="196"/>
      <c r="DRP56" s="196"/>
      <c r="DRQ56" s="196"/>
      <c r="DRR56" s="196"/>
      <c r="DRS56" s="196"/>
      <c r="DRT56" s="196"/>
      <c r="DRU56" s="196"/>
      <c r="DRV56" s="196"/>
      <c r="DRW56" s="196"/>
      <c r="DRX56" s="196"/>
      <c r="DRY56" s="196"/>
      <c r="DRZ56" s="196"/>
      <c r="DSA56" s="196"/>
      <c r="DSB56" s="196"/>
      <c r="DSC56" s="196"/>
      <c r="DSD56" s="196"/>
      <c r="DSE56" s="196"/>
      <c r="DSF56" s="196"/>
      <c r="DSG56" s="196"/>
      <c r="DSH56" s="196"/>
      <c r="DSI56" s="196"/>
      <c r="DSJ56" s="196"/>
      <c r="DSK56" s="196"/>
      <c r="DSL56" s="196"/>
      <c r="DSM56" s="196"/>
      <c r="DSN56" s="196"/>
      <c r="DSO56" s="196"/>
      <c r="DSP56" s="196"/>
      <c r="DSQ56" s="196"/>
      <c r="DSR56" s="196"/>
      <c r="DSS56" s="196"/>
      <c r="DST56" s="196"/>
      <c r="DSU56" s="196"/>
      <c r="DSV56" s="196"/>
      <c r="DSW56" s="196"/>
      <c r="DSX56" s="196"/>
      <c r="DSY56" s="196"/>
      <c r="DSZ56" s="196"/>
      <c r="DTA56" s="196"/>
      <c r="DTB56" s="196"/>
      <c r="DTC56" s="196"/>
      <c r="DTD56" s="196"/>
      <c r="DTE56" s="196"/>
      <c r="DTF56" s="196"/>
      <c r="DTG56" s="196"/>
      <c r="DTH56" s="196"/>
      <c r="DTI56" s="196"/>
      <c r="DTJ56" s="196"/>
      <c r="DTK56" s="196"/>
      <c r="DTL56" s="196"/>
      <c r="DTM56" s="196"/>
      <c r="DTN56" s="196"/>
      <c r="DTO56" s="196"/>
      <c r="DTP56" s="196"/>
      <c r="DTQ56" s="196"/>
      <c r="DTR56" s="196"/>
      <c r="DTS56" s="196"/>
      <c r="DTT56" s="196"/>
      <c r="DTU56" s="196"/>
      <c r="DTV56" s="196"/>
      <c r="DTW56" s="196"/>
      <c r="DTX56" s="196"/>
      <c r="DTY56" s="196"/>
      <c r="DTZ56" s="196"/>
      <c r="DUA56" s="196"/>
      <c r="DUB56" s="196"/>
      <c r="DUC56" s="196"/>
      <c r="DUD56" s="196"/>
      <c r="DUE56" s="196"/>
      <c r="DUF56" s="196"/>
      <c r="DUG56" s="196"/>
      <c r="DUH56" s="196"/>
      <c r="DUI56" s="196"/>
      <c r="DUJ56" s="196"/>
      <c r="DUK56" s="196"/>
      <c r="DUL56" s="196"/>
      <c r="DUM56" s="196"/>
      <c r="DUN56" s="196"/>
      <c r="DUO56" s="196"/>
      <c r="DUP56" s="196"/>
      <c r="DUQ56" s="196"/>
      <c r="DUR56" s="196"/>
      <c r="DUS56" s="196"/>
      <c r="DUT56" s="196"/>
      <c r="DUU56" s="196"/>
      <c r="DUV56" s="196"/>
      <c r="DUW56" s="196"/>
      <c r="DUX56" s="196"/>
      <c r="DUY56" s="196"/>
      <c r="DUZ56" s="196"/>
      <c r="DVA56" s="196"/>
      <c r="DVB56" s="196"/>
      <c r="DVC56" s="196"/>
      <c r="DVD56" s="196"/>
      <c r="DVE56" s="196"/>
      <c r="DVF56" s="196"/>
      <c r="DVG56" s="196"/>
      <c r="DVH56" s="196"/>
      <c r="DVI56" s="196"/>
      <c r="DVJ56" s="196"/>
      <c r="DVK56" s="196"/>
      <c r="DVL56" s="196"/>
      <c r="DVM56" s="196"/>
      <c r="DVN56" s="196"/>
      <c r="DVO56" s="196"/>
      <c r="DVP56" s="196"/>
      <c r="DVQ56" s="196"/>
      <c r="DVR56" s="196"/>
      <c r="DVS56" s="196"/>
      <c r="DVT56" s="196"/>
      <c r="DVU56" s="196"/>
      <c r="DVV56" s="196"/>
      <c r="DVW56" s="196"/>
      <c r="DVX56" s="196"/>
      <c r="DVY56" s="196"/>
      <c r="DVZ56" s="196"/>
      <c r="DWA56" s="196"/>
      <c r="DWB56" s="196"/>
      <c r="DWC56" s="196"/>
      <c r="DWD56" s="196"/>
      <c r="DWE56" s="196"/>
      <c r="DWF56" s="196"/>
      <c r="DWG56" s="196"/>
      <c r="DWH56" s="196"/>
      <c r="DWI56" s="196"/>
      <c r="DWJ56" s="196"/>
      <c r="DWK56" s="196"/>
      <c r="DWL56" s="196"/>
      <c r="DWM56" s="196"/>
      <c r="DWN56" s="196"/>
      <c r="DWO56" s="196"/>
      <c r="DWP56" s="196"/>
      <c r="DWQ56" s="196"/>
      <c r="DWR56" s="196"/>
      <c r="DWS56" s="196"/>
      <c r="DWT56" s="196"/>
      <c r="DWU56" s="196"/>
      <c r="DWV56" s="196"/>
      <c r="DWW56" s="196"/>
      <c r="DWX56" s="196"/>
      <c r="DWY56" s="196"/>
      <c r="DWZ56" s="196"/>
      <c r="DXA56" s="196"/>
      <c r="DXB56" s="196"/>
      <c r="DXC56" s="196"/>
      <c r="DXD56" s="196"/>
      <c r="DXE56" s="196"/>
      <c r="DXF56" s="196"/>
      <c r="DXG56" s="196"/>
      <c r="DXH56" s="196"/>
      <c r="DXI56" s="196"/>
      <c r="DXJ56" s="196"/>
      <c r="DXK56" s="196"/>
      <c r="DXL56" s="196"/>
      <c r="DXM56" s="196"/>
      <c r="DXN56" s="196"/>
      <c r="DXO56" s="196"/>
      <c r="DXP56" s="196"/>
      <c r="DXQ56" s="196"/>
      <c r="DXR56" s="196"/>
      <c r="DXS56" s="196"/>
      <c r="DXT56" s="196"/>
      <c r="DXU56" s="196"/>
      <c r="DXV56" s="196"/>
      <c r="DXW56" s="196"/>
      <c r="DXX56" s="196"/>
      <c r="DXY56" s="196"/>
      <c r="DXZ56" s="196"/>
      <c r="DYA56" s="196"/>
      <c r="DYB56" s="196"/>
      <c r="DYC56" s="196"/>
      <c r="DYD56" s="196"/>
      <c r="DYE56" s="196"/>
      <c r="DYF56" s="196"/>
      <c r="DYG56" s="196"/>
      <c r="DYH56" s="196"/>
      <c r="DYI56" s="196"/>
      <c r="DYJ56" s="196"/>
      <c r="DYK56" s="196"/>
      <c r="DYL56" s="196"/>
      <c r="DYM56" s="196"/>
      <c r="DYN56" s="196"/>
      <c r="DYO56" s="196"/>
      <c r="DYP56" s="196"/>
      <c r="DYQ56" s="196"/>
      <c r="DYR56" s="196"/>
      <c r="DYS56" s="196"/>
      <c r="DYT56" s="196"/>
      <c r="DYU56" s="196"/>
      <c r="DYV56" s="196"/>
      <c r="DYW56" s="196"/>
      <c r="DYX56" s="196"/>
      <c r="DYY56" s="196"/>
      <c r="DYZ56" s="196"/>
      <c r="DZA56" s="196"/>
      <c r="DZB56" s="196"/>
      <c r="DZC56" s="196"/>
      <c r="DZD56" s="196"/>
      <c r="DZE56" s="196"/>
      <c r="DZF56" s="196"/>
      <c r="DZG56" s="196"/>
      <c r="DZH56" s="196"/>
      <c r="DZI56" s="196"/>
      <c r="DZJ56" s="196"/>
      <c r="DZK56" s="196"/>
      <c r="DZL56" s="196"/>
      <c r="DZM56" s="196"/>
      <c r="DZN56" s="196"/>
      <c r="DZO56" s="196"/>
      <c r="DZP56" s="196"/>
      <c r="DZQ56" s="196"/>
      <c r="DZR56" s="196"/>
      <c r="DZS56" s="196"/>
      <c r="DZT56" s="196"/>
      <c r="DZU56" s="196"/>
      <c r="DZV56" s="196"/>
      <c r="DZW56" s="196"/>
      <c r="DZX56" s="196"/>
      <c r="DZY56" s="196"/>
      <c r="DZZ56" s="196"/>
      <c r="EAA56" s="196"/>
      <c r="EAB56" s="196"/>
      <c r="EAC56" s="196"/>
      <c r="EAD56" s="196"/>
      <c r="EAE56" s="196"/>
      <c r="EAF56" s="196"/>
      <c r="EAG56" s="196"/>
      <c r="EAH56" s="196"/>
      <c r="EAI56" s="196"/>
      <c r="EAJ56" s="196"/>
      <c r="EAK56" s="196"/>
      <c r="EAL56" s="196"/>
      <c r="EAM56" s="196"/>
      <c r="EAN56" s="196"/>
      <c r="EAO56" s="196"/>
      <c r="EAP56" s="196"/>
      <c r="EAQ56" s="196"/>
      <c r="EAR56" s="196"/>
      <c r="EAS56" s="196"/>
      <c r="EAT56" s="196"/>
      <c r="EAU56" s="196"/>
      <c r="EAV56" s="196"/>
      <c r="EAW56" s="196"/>
      <c r="EAX56" s="196"/>
      <c r="EAY56" s="196"/>
      <c r="EAZ56" s="196"/>
      <c r="EBA56" s="196"/>
      <c r="EBB56" s="196"/>
      <c r="EBC56" s="196"/>
      <c r="EBD56" s="196"/>
      <c r="EBE56" s="196"/>
      <c r="EBF56" s="196"/>
      <c r="EBG56" s="196"/>
      <c r="EBH56" s="196"/>
      <c r="EBI56" s="196"/>
      <c r="EBJ56" s="196"/>
      <c r="EBK56" s="196"/>
      <c r="EBL56" s="196"/>
      <c r="EBM56" s="196"/>
      <c r="EBN56" s="196"/>
      <c r="EBO56" s="196"/>
      <c r="EBP56" s="196"/>
      <c r="EBQ56" s="196"/>
      <c r="EBR56" s="196"/>
      <c r="EBS56" s="196"/>
      <c r="EBT56" s="196"/>
      <c r="EBU56" s="196"/>
      <c r="EBV56" s="196"/>
      <c r="EBW56" s="196"/>
      <c r="EBX56" s="196"/>
      <c r="EBY56" s="196"/>
      <c r="EBZ56" s="196"/>
      <c r="ECA56" s="196"/>
      <c r="ECB56" s="196"/>
      <c r="ECC56" s="196"/>
      <c r="ECD56" s="196"/>
      <c r="ECE56" s="196"/>
      <c r="ECF56" s="196"/>
      <c r="ECG56" s="196"/>
      <c r="ECH56" s="196"/>
      <c r="ECI56" s="196"/>
      <c r="ECJ56" s="196"/>
      <c r="ECK56" s="196"/>
      <c r="ECL56" s="196"/>
      <c r="ECM56" s="196"/>
      <c r="ECN56" s="196"/>
      <c r="ECO56" s="196"/>
      <c r="ECP56" s="196"/>
      <c r="ECQ56" s="196"/>
      <c r="ECR56" s="196"/>
      <c r="ECS56" s="196"/>
      <c r="ECT56" s="196"/>
      <c r="ECU56" s="196"/>
      <c r="ECV56" s="196"/>
      <c r="ECW56" s="196"/>
      <c r="ECX56" s="196"/>
      <c r="ECY56" s="196"/>
      <c r="ECZ56" s="196"/>
      <c r="EDA56" s="196"/>
      <c r="EDB56" s="196"/>
      <c r="EDC56" s="196"/>
      <c r="EDD56" s="196"/>
      <c r="EDE56" s="196"/>
      <c r="EDF56" s="196"/>
      <c r="EDG56" s="196"/>
      <c r="EDH56" s="196"/>
      <c r="EDI56" s="196"/>
      <c r="EDJ56" s="196"/>
      <c r="EDK56" s="196"/>
      <c r="EDL56" s="196"/>
      <c r="EDM56" s="196"/>
      <c r="EDN56" s="196"/>
      <c r="EDO56" s="196"/>
      <c r="EDP56" s="196"/>
      <c r="EDQ56" s="196"/>
      <c r="EDR56" s="196"/>
      <c r="EDS56" s="196"/>
      <c r="EDT56" s="196"/>
      <c r="EDU56" s="196"/>
      <c r="EDV56" s="196"/>
      <c r="EDW56" s="196"/>
      <c r="EDX56" s="196"/>
      <c r="EDY56" s="196"/>
      <c r="EDZ56" s="196"/>
      <c r="EEA56" s="196"/>
      <c r="EEB56" s="196"/>
      <c r="EEC56" s="196"/>
      <c r="EED56" s="196"/>
      <c r="EEE56" s="196"/>
      <c r="EEF56" s="196"/>
      <c r="EEG56" s="196"/>
      <c r="EEH56" s="196"/>
      <c r="EEI56" s="196"/>
      <c r="EEJ56" s="196"/>
      <c r="EEK56" s="196"/>
      <c r="EEL56" s="196"/>
      <c r="EEM56" s="196"/>
      <c r="EEN56" s="196"/>
      <c r="EEO56" s="196"/>
      <c r="EEP56" s="196"/>
      <c r="EEQ56" s="196"/>
      <c r="EER56" s="196"/>
      <c r="EES56" s="196"/>
      <c r="EET56" s="196"/>
      <c r="EEU56" s="196"/>
      <c r="EEV56" s="196"/>
      <c r="EEW56" s="196"/>
      <c r="EEX56" s="196"/>
      <c r="EEY56" s="196"/>
      <c r="EEZ56" s="196"/>
      <c r="EFA56" s="196"/>
      <c r="EFB56" s="196"/>
      <c r="EFC56" s="196"/>
      <c r="EFD56" s="196"/>
      <c r="EFE56" s="196"/>
      <c r="EFF56" s="196"/>
      <c r="EFG56" s="196"/>
      <c r="EFH56" s="196"/>
      <c r="EFI56" s="196"/>
      <c r="EFJ56" s="196"/>
      <c r="EFK56" s="196"/>
      <c r="EFL56" s="196"/>
      <c r="EFM56" s="196"/>
      <c r="EFN56" s="196"/>
      <c r="EFO56" s="196"/>
      <c r="EFP56" s="196"/>
      <c r="EFQ56" s="196"/>
      <c r="EFR56" s="196"/>
      <c r="EFS56" s="196"/>
      <c r="EFT56" s="196"/>
      <c r="EFU56" s="196"/>
      <c r="EFV56" s="196"/>
      <c r="EFW56" s="196"/>
      <c r="EFX56" s="196"/>
      <c r="EFY56" s="196"/>
      <c r="EFZ56" s="196"/>
      <c r="EGA56" s="196"/>
      <c r="EGB56" s="196"/>
      <c r="EGC56" s="196"/>
      <c r="EGD56" s="196"/>
      <c r="EGE56" s="196"/>
      <c r="EGF56" s="196"/>
      <c r="EGG56" s="196"/>
      <c r="EGH56" s="196"/>
      <c r="EGI56" s="196"/>
      <c r="EGJ56" s="196"/>
      <c r="EGK56" s="196"/>
      <c r="EGL56" s="196"/>
      <c r="EGM56" s="196"/>
      <c r="EGN56" s="196"/>
      <c r="EGO56" s="196"/>
      <c r="EGP56" s="196"/>
      <c r="EGQ56" s="196"/>
      <c r="EGR56" s="196"/>
      <c r="EGS56" s="196"/>
      <c r="EGT56" s="196"/>
      <c r="EGU56" s="196"/>
      <c r="EGV56" s="196"/>
      <c r="EGW56" s="196"/>
      <c r="EGX56" s="196"/>
      <c r="EGY56" s="196"/>
      <c r="EGZ56" s="196"/>
      <c r="EHA56" s="196"/>
      <c r="EHB56" s="196"/>
      <c r="EHC56" s="196"/>
      <c r="EHD56" s="196"/>
      <c r="EHE56" s="196"/>
      <c r="EHF56" s="196"/>
      <c r="EHG56" s="196"/>
      <c r="EHH56" s="196"/>
      <c r="EHI56" s="196"/>
      <c r="EHJ56" s="196"/>
      <c r="EHK56" s="196"/>
      <c r="EHL56" s="196"/>
      <c r="EHM56" s="196"/>
      <c r="EHN56" s="196"/>
      <c r="EHO56" s="196"/>
      <c r="EHP56" s="196"/>
      <c r="EHQ56" s="196"/>
      <c r="EHR56" s="196"/>
      <c r="EHS56" s="196"/>
      <c r="EHT56" s="196"/>
      <c r="EHU56" s="196"/>
      <c r="EHV56" s="196"/>
      <c r="EHW56" s="196"/>
      <c r="EHX56" s="196"/>
      <c r="EHY56" s="196"/>
      <c r="EHZ56" s="196"/>
      <c r="EIA56" s="196"/>
      <c r="EIB56" s="196"/>
      <c r="EIC56" s="196"/>
      <c r="EID56" s="196"/>
      <c r="EIE56" s="196"/>
      <c r="EIF56" s="196"/>
      <c r="EIG56" s="196"/>
      <c r="EIH56" s="196"/>
      <c r="EII56" s="196"/>
      <c r="EIJ56" s="196"/>
      <c r="EIK56" s="196"/>
      <c r="EIL56" s="196"/>
      <c r="EIM56" s="196"/>
      <c r="EIN56" s="196"/>
      <c r="EIO56" s="196"/>
      <c r="EIP56" s="196"/>
      <c r="EIQ56" s="196"/>
      <c r="EIR56" s="196"/>
      <c r="EIS56" s="196"/>
      <c r="EIT56" s="196"/>
      <c r="EIU56" s="196"/>
      <c r="EIV56" s="196"/>
      <c r="EIW56" s="196"/>
      <c r="EIX56" s="196"/>
      <c r="EIY56" s="196"/>
      <c r="EIZ56" s="196"/>
      <c r="EJA56" s="196"/>
      <c r="EJB56" s="196"/>
      <c r="EJC56" s="196"/>
      <c r="EJD56" s="196"/>
      <c r="EJE56" s="196"/>
      <c r="EJF56" s="196"/>
      <c r="EJG56" s="196"/>
      <c r="EJH56" s="196"/>
      <c r="EJI56" s="196"/>
      <c r="EJJ56" s="196"/>
      <c r="EJK56" s="196"/>
      <c r="EJL56" s="196"/>
      <c r="EJM56" s="196"/>
      <c r="EJN56" s="196"/>
      <c r="EJO56" s="196"/>
      <c r="EJP56" s="196"/>
      <c r="EJQ56" s="196"/>
      <c r="EJR56" s="196"/>
      <c r="EJS56" s="196"/>
      <c r="EJT56" s="196"/>
      <c r="EJU56" s="196"/>
      <c r="EJV56" s="196"/>
      <c r="EJW56" s="196"/>
      <c r="EJX56" s="196"/>
      <c r="EJY56" s="196"/>
      <c r="EJZ56" s="196"/>
      <c r="EKA56" s="196"/>
      <c r="EKB56" s="196"/>
      <c r="EKC56" s="196"/>
      <c r="EKD56" s="196"/>
      <c r="EKE56" s="196"/>
      <c r="EKF56" s="196"/>
      <c r="EKG56" s="196"/>
      <c r="EKH56" s="196"/>
      <c r="EKI56" s="196"/>
      <c r="EKJ56" s="196"/>
      <c r="EKK56" s="196"/>
      <c r="EKL56" s="196"/>
      <c r="EKM56" s="196"/>
      <c r="EKN56" s="196"/>
      <c r="EKO56" s="196"/>
      <c r="EKP56" s="196"/>
      <c r="EKQ56" s="196"/>
      <c r="EKR56" s="196"/>
      <c r="EKS56" s="196"/>
      <c r="EKT56" s="196"/>
      <c r="EKU56" s="196"/>
      <c r="EKV56" s="196"/>
      <c r="EKW56" s="196"/>
      <c r="EKX56" s="196"/>
      <c r="EKY56" s="196"/>
      <c r="EKZ56" s="196"/>
      <c r="ELA56" s="196"/>
      <c r="ELB56" s="196"/>
      <c r="ELC56" s="196"/>
      <c r="ELD56" s="196"/>
      <c r="ELE56" s="196"/>
      <c r="ELF56" s="196"/>
      <c r="ELG56" s="196"/>
      <c r="ELH56" s="196"/>
      <c r="ELI56" s="196"/>
      <c r="ELJ56" s="196"/>
      <c r="ELK56" s="196"/>
      <c r="ELL56" s="196"/>
      <c r="ELM56" s="196"/>
      <c r="ELN56" s="196"/>
      <c r="ELO56" s="196"/>
      <c r="ELP56" s="196"/>
      <c r="ELQ56" s="196"/>
      <c r="ELR56" s="196"/>
      <c r="ELS56" s="196"/>
      <c r="ELT56" s="196"/>
      <c r="ELU56" s="196"/>
      <c r="ELV56" s="196"/>
      <c r="ELW56" s="196"/>
      <c r="ELX56" s="196"/>
      <c r="ELY56" s="196"/>
      <c r="ELZ56" s="196"/>
      <c r="EMA56" s="196"/>
      <c r="EMB56" s="196"/>
      <c r="EMC56" s="196"/>
      <c r="EMD56" s="196"/>
      <c r="EME56" s="196"/>
      <c r="EMF56" s="196"/>
      <c r="EMG56" s="196"/>
      <c r="EMH56" s="196"/>
      <c r="EMI56" s="196"/>
      <c r="EMJ56" s="196"/>
      <c r="EMK56" s="196"/>
      <c r="EML56" s="196"/>
      <c r="EMM56" s="196"/>
      <c r="EMN56" s="196"/>
      <c r="EMO56" s="196"/>
      <c r="EMP56" s="196"/>
      <c r="EMQ56" s="196"/>
      <c r="EMR56" s="196"/>
      <c r="EMS56" s="196"/>
      <c r="EMT56" s="196"/>
      <c r="EMU56" s="196"/>
      <c r="EMV56" s="196"/>
      <c r="EMW56" s="196"/>
      <c r="EMX56" s="196"/>
      <c r="EMY56" s="196"/>
      <c r="EMZ56" s="196"/>
      <c r="ENA56" s="196"/>
      <c r="ENB56" s="196"/>
      <c r="ENC56" s="196"/>
      <c r="END56" s="196"/>
      <c r="ENE56" s="196"/>
      <c r="ENF56" s="196"/>
      <c r="ENG56" s="196"/>
      <c r="ENH56" s="196"/>
      <c r="ENI56" s="196"/>
      <c r="ENJ56" s="196"/>
      <c r="ENK56" s="196"/>
      <c r="ENL56" s="196"/>
      <c r="ENM56" s="196"/>
      <c r="ENN56" s="196"/>
      <c r="ENO56" s="196"/>
      <c r="ENP56" s="196"/>
      <c r="ENQ56" s="196"/>
      <c r="ENR56" s="196"/>
      <c r="ENS56" s="196"/>
      <c r="ENT56" s="196"/>
      <c r="ENU56" s="196"/>
      <c r="ENV56" s="196"/>
      <c r="ENW56" s="196"/>
      <c r="ENX56" s="196"/>
      <c r="ENY56" s="196"/>
      <c r="ENZ56" s="196"/>
      <c r="EOA56" s="196"/>
      <c r="EOB56" s="196"/>
      <c r="EOC56" s="196"/>
      <c r="EOD56" s="196"/>
      <c r="EOE56" s="196"/>
      <c r="EOF56" s="196"/>
      <c r="EOG56" s="196"/>
      <c r="EOH56" s="196"/>
      <c r="EOI56" s="196"/>
      <c r="EOJ56" s="196"/>
      <c r="EOK56" s="196"/>
      <c r="EOL56" s="196"/>
      <c r="EOM56" s="196"/>
      <c r="EON56" s="196"/>
      <c r="EOO56" s="196"/>
      <c r="EOP56" s="196"/>
      <c r="EOQ56" s="196"/>
      <c r="EOR56" s="196"/>
      <c r="EOS56" s="196"/>
      <c r="EOT56" s="196"/>
      <c r="EOU56" s="196"/>
      <c r="EOV56" s="196"/>
      <c r="EOW56" s="196"/>
      <c r="EOX56" s="196"/>
      <c r="EOY56" s="196"/>
      <c r="EOZ56" s="196"/>
      <c r="EPA56" s="196"/>
      <c r="EPB56" s="196"/>
      <c r="EPC56" s="196"/>
      <c r="EPD56" s="196"/>
      <c r="EPE56" s="196"/>
      <c r="EPF56" s="196"/>
      <c r="EPG56" s="196"/>
      <c r="EPH56" s="196"/>
      <c r="EPI56" s="196"/>
      <c r="EPJ56" s="196"/>
      <c r="EPK56" s="196"/>
      <c r="EPL56" s="196"/>
      <c r="EPM56" s="196"/>
      <c r="EPN56" s="196"/>
      <c r="EPO56" s="196"/>
      <c r="EPP56" s="196"/>
      <c r="EPQ56" s="196"/>
      <c r="EPR56" s="196"/>
      <c r="EPS56" s="196"/>
      <c r="EPT56" s="196"/>
      <c r="EPU56" s="196"/>
      <c r="EPV56" s="196"/>
      <c r="EPW56" s="196"/>
      <c r="EPX56" s="196"/>
      <c r="EPY56" s="196"/>
      <c r="EPZ56" s="196"/>
      <c r="EQA56" s="196"/>
      <c r="EQB56" s="196"/>
      <c r="EQC56" s="196"/>
      <c r="EQD56" s="196"/>
      <c r="EQE56" s="196"/>
      <c r="EQF56" s="196"/>
      <c r="EQG56" s="196"/>
      <c r="EQH56" s="196"/>
      <c r="EQI56" s="196"/>
      <c r="EQJ56" s="196"/>
      <c r="EQK56" s="196"/>
      <c r="EQL56" s="196"/>
      <c r="EQM56" s="196"/>
      <c r="EQN56" s="196"/>
      <c r="EQO56" s="196"/>
      <c r="EQP56" s="196"/>
      <c r="EQQ56" s="196"/>
      <c r="EQR56" s="196"/>
      <c r="EQS56" s="196"/>
      <c r="EQT56" s="196"/>
      <c r="EQU56" s="196"/>
      <c r="EQV56" s="196"/>
      <c r="EQW56" s="196"/>
      <c r="EQX56" s="196"/>
      <c r="EQY56" s="196"/>
      <c r="EQZ56" s="196"/>
      <c r="ERA56" s="196"/>
      <c r="ERB56" s="196"/>
      <c r="ERC56" s="196"/>
      <c r="ERD56" s="196"/>
      <c r="ERE56" s="196"/>
      <c r="ERF56" s="196"/>
      <c r="ERG56" s="196"/>
      <c r="ERH56" s="196"/>
      <c r="ERI56" s="196"/>
      <c r="ERJ56" s="196"/>
      <c r="ERK56" s="196"/>
      <c r="ERL56" s="196"/>
      <c r="ERM56" s="196"/>
      <c r="ERN56" s="196"/>
      <c r="ERO56" s="196"/>
      <c r="ERP56" s="196"/>
      <c r="ERQ56" s="196"/>
      <c r="ERR56" s="196"/>
      <c r="ERS56" s="196"/>
      <c r="ERT56" s="196"/>
      <c r="ERU56" s="196"/>
      <c r="ERV56" s="196"/>
      <c r="ERW56" s="196"/>
      <c r="ERX56" s="196"/>
      <c r="ERY56" s="196"/>
      <c r="ERZ56" s="196"/>
      <c r="ESA56" s="196"/>
      <c r="ESB56" s="196"/>
      <c r="ESC56" s="196"/>
      <c r="ESD56" s="196"/>
      <c r="ESE56" s="196"/>
      <c r="ESF56" s="196"/>
      <c r="ESG56" s="196"/>
      <c r="ESH56" s="196"/>
      <c r="ESI56" s="196"/>
      <c r="ESJ56" s="196"/>
      <c r="ESK56" s="196"/>
      <c r="ESL56" s="196"/>
      <c r="ESM56" s="196"/>
      <c r="ESN56" s="196"/>
      <c r="ESO56" s="196"/>
      <c r="ESP56" s="196"/>
      <c r="ESQ56" s="196"/>
      <c r="ESR56" s="196"/>
      <c r="ESS56" s="196"/>
      <c r="EST56" s="196"/>
      <c r="ESU56" s="196"/>
      <c r="ESV56" s="196"/>
      <c r="ESW56" s="196"/>
      <c r="ESX56" s="196"/>
      <c r="ESY56" s="196"/>
      <c r="ESZ56" s="196"/>
      <c r="ETA56" s="196"/>
      <c r="ETB56" s="196"/>
      <c r="ETC56" s="196"/>
      <c r="ETD56" s="196"/>
      <c r="ETE56" s="196"/>
      <c r="ETF56" s="196"/>
      <c r="ETG56" s="196"/>
      <c r="ETH56" s="196"/>
      <c r="ETI56" s="196"/>
      <c r="ETJ56" s="196"/>
      <c r="ETK56" s="196"/>
      <c r="ETL56" s="196"/>
      <c r="ETM56" s="196"/>
      <c r="ETN56" s="196"/>
      <c r="ETO56" s="196"/>
      <c r="ETP56" s="196"/>
      <c r="ETQ56" s="196"/>
      <c r="ETR56" s="196"/>
      <c r="ETS56" s="196"/>
      <c r="ETT56" s="196"/>
      <c r="ETU56" s="196"/>
      <c r="ETV56" s="196"/>
      <c r="ETW56" s="196"/>
      <c r="ETX56" s="196"/>
      <c r="ETY56" s="196"/>
      <c r="ETZ56" s="196"/>
      <c r="EUA56" s="196"/>
      <c r="EUB56" s="196"/>
      <c r="EUC56" s="196"/>
      <c r="EUD56" s="196"/>
      <c r="EUE56" s="196"/>
      <c r="EUF56" s="196"/>
      <c r="EUG56" s="196"/>
      <c r="EUH56" s="196"/>
      <c r="EUI56" s="196"/>
      <c r="EUJ56" s="196"/>
      <c r="EUK56" s="196"/>
      <c r="EUL56" s="196"/>
      <c r="EUM56" s="196"/>
      <c r="EUN56" s="196"/>
      <c r="EUO56" s="196"/>
      <c r="EUP56" s="196"/>
      <c r="EUQ56" s="196"/>
      <c r="EUR56" s="196"/>
      <c r="EUS56" s="196"/>
      <c r="EUT56" s="196"/>
      <c r="EUU56" s="196"/>
      <c r="EUV56" s="196"/>
      <c r="EUW56" s="196"/>
      <c r="EUX56" s="196"/>
      <c r="EUY56" s="196"/>
      <c r="EUZ56" s="196"/>
      <c r="EVA56" s="196"/>
      <c r="EVB56" s="196"/>
      <c r="EVC56" s="196"/>
      <c r="EVD56" s="196"/>
      <c r="EVE56" s="196"/>
      <c r="EVF56" s="196"/>
      <c r="EVG56" s="196"/>
      <c r="EVH56" s="196"/>
      <c r="EVI56" s="196"/>
      <c r="EVJ56" s="196"/>
      <c r="EVK56" s="196"/>
      <c r="EVL56" s="196"/>
      <c r="EVM56" s="196"/>
      <c r="EVN56" s="196"/>
      <c r="EVO56" s="196"/>
      <c r="EVP56" s="196"/>
      <c r="EVQ56" s="196"/>
      <c r="EVR56" s="196"/>
      <c r="EVS56" s="196"/>
      <c r="EVT56" s="196"/>
      <c r="EVU56" s="196"/>
      <c r="EVV56" s="196"/>
      <c r="EVW56" s="196"/>
      <c r="EVX56" s="196"/>
      <c r="EVY56" s="196"/>
      <c r="EVZ56" s="196"/>
      <c r="EWA56" s="196"/>
      <c r="EWB56" s="196"/>
      <c r="EWC56" s="196"/>
      <c r="EWD56" s="196"/>
      <c r="EWE56" s="196"/>
      <c r="EWF56" s="196"/>
      <c r="EWG56" s="196"/>
      <c r="EWH56" s="196"/>
      <c r="EWI56" s="196"/>
      <c r="EWJ56" s="196"/>
      <c r="EWK56" s="196"/>
      <c r="EWL56" s="196"/>
      <c r="EWM56" s="196"/>
      <c r="EWN56" s="196"/>
      <c r="EWO56" s="196"/>
      <c r="EWP56" s="196"/>
      <c r="EWQ56" s="196"/>
      <c r="EWR56" s="196"/>
      <c r="EWS56" s="196"/>
      <c r="EWT56" s="196"/>
      <c r="EWU56" s="196"/>
      <c r="EWV56" s="196"/>
      <c r="EWW56" s="196"/>
      <c r="EWX56" s="196"/>
      <c r="EWY56" s="196"/>
      <c r="EWZ56" s="196"/>
      <c r="EXA56" s="196"/>
      <c r="EXB56" s="196"/>
      <c r="EXC56" s="196"/>
      <c r="EXD56" s="196"/>
      <c r="EXE56" s="196"/>
      <c r="EXF56" s="196"/>
      <c r="EXG56" s="196"/>
      <c r="EXH56" s="196"/>
      <c r="EXI56" s="196"/>
      <c r="EXJ56" s="196"/>
      <c r="EXK56" s="196"/>
      <c r="EXL56" s="196"/>
      <c r="EXM56" s="196"/>
      <c r="EXN56" s="196"/>
      <c r="EXO56" s="196"/>
      <c r="EXP56" s="196"/>
      <c r="EXQ56" s="196"/>
      <c r="EXR56" s="196"/>
      <c r="EXS56" s="196"/>
      <c r="EXT56" s="196"/>
      <c r="EXU56" s="196"/>
      <c r="EXV56" s="196"/>
      <c r="EXW56" s="196"/>
      <c r="EXX56" s="196"/>
      <c r="EXY56" s="196"/>
      <c r="EXZ56" s="196"/>
      <c r="EYA56" s="196"/>
      <c r="EYB56" s="196"/>
      <c r="EYC56" s="196"/>
      <c r="EYD56" s="196"/>
      <c r="EYE56" s="196"/>
      <c r="EYF56" s="196"/>
      <c r="EYG56" s="196"/>
      <c r="EYH56" s="196"/>
      <c r="EYI56" s="196"/>
      <c r="EYJ56" s="196"/>
      <c r="EYK56" s="196"/>
      <c r="EYL56" s="196"/>
      <c r="EYM56" s="196"/>
      <c r="EYN56" s="196"/>
      <c r="EYO56" s="196"/>
      <c r="EYP56" s="196"/>
      <c r="EYQ56" s="196"/>
      <c r="EYR56" s="196"/>
      <c r="EYS56" s="196"/>
      <c r="EYT56" s="196"/>
      <c r="EYU56" s="196"/>
      <c r="EYV56" s="196"/>
      <c r="EYW56" s="196"/>
      <c r="EYX56" s="196"/>
      <c r="EYY56" s="196"/>
      <c r="EYZ56" s="196"/>
      <c r="EZA56" s="196"/>
      <c r="EZB56" s="196"/>
      <c r="EZC56" s="196"/>
      <c r="EZD56" s="196"/>
      <c r="EZE56" s="196"/>
      <c r="EZF56" s="196"/>
      <c r="EZG56" s="196"/>
      <c r="EZH56" s="196"/>
      <c r="EZI56" s="196"/>
      <c r="EZJ56" s="196"/>
      <c r="EZK56" s="196"/>
      <c r="EZL56" s="196"/>
      <c r="EZM56" s="196"/>
      <c r="EZN56" s="196"/>
      <c r="EZO56" s="196"/>
      <c r="EZP56" s="196"/>
      <c r="EZQ56" s="196"/>
      <c r="EZR56" s="196"/>
      <c r="EZS56" s="196"/>
      <c r="EZT56" s="196"/>
      <c r="EZU56" s="196"/>
      <c r="EZV56" s="196"/>
      <c r="EZW56" s="196"/>
      <c r="EZX56" s="196"/>
      <c r="EZY56" s="196"/>
      <c r="EZZ56" s="196"/>
      <c r="FAA56" s="196"/>
      <c r="FAB56" s="196"/>
      <c r="FAC56" s="196"/>
      <c r="FAD56" s="196"/>
      <c r="FAE56" s="196"/>
      <c r="FAF56" s="196"/>
      <c r="FAG56" s="196"/>
      <c r="FAH56" s="196"/>
      <c r="FAI56" s="196"/>
      <c r="FAJ56" s="196"/>
      <c r="FAK56" s="196"/>
      <c r="FAL56" s="196"/>
      <c r="FAM56" s="196"/>
      <c r="FAN56" s="196"/>
      <c r="FAO56" s="196"/>
      <c r="FAP56" s="196"/>
      <c r="FAQ56" s="196"/>
      <c r="FAR56" s="196"/>
      <c r="FAS56" s="196"/>
      <c r="FAT56" s="196"/>
      <c r="FAU56" s="196"/>
      <c r="FAV56" s="196"/>
      <c r="FAW56" s="196"/>
      <c r="FAX56" s="196"/>
      <c r="FAY56" s="196"/>
      <c r="FAZ56" s="196"/>
      <c r="FBA56" s="196"/>
      <c r="FBB56" s="196"/>
      <c r="FBC56" s="196"/>
      <c r="FBD56" s="196"/>
      <c r="FBE56" s="196"/>
      <c r="FBF56" s="196"/>
      <c r="FBG56" s="196"/>
      <c r="FBH56" s="196"/>
      <c r="FBI56" s="196"/>
      <c r="FBJ56" s="196"/>
      <c r="FBK56" s="196"/>
      <c r="FBL56" s="196"/>
      <c r="FBM56" s="196"/>
      <c r="FBN56" s="196"/>
      <c r="FBO56" s="196"/>
      <c r="FBP56" s="196"/>
      <c r="FBQ56" s="196"/>
      <c r="FBR56" s="196"/>
      <c r="FBS56" s="196"/>
      <c r="FBT56" s="196"/>
      <c r="FBU56" s="196"/>
      <c r="FBV56" s="196"/>
      <c r="FBW56" s="196"/>
      <c r="FBX56" s="196"/>
      <c r="FBY56" s="196"/>
      <c r="FBZ56" s="196"/>
      <c r="FCA56" s="196"/>
      <c r="FCB56" s="196"/>
      <c r="FCC56" s="196"/>
      <c r="FCD56" s="196"/>
      <c r="FCE56" s="196"/>
      <c r="FCF56" s="196"/>
      <c r="FCG56" s="196"/>
      <c r="FCH56" s="196"/>
      <c r="FCI56" s="196"/>
      <c r="FCJ56" s="196"/>
      <c r="FCK56" s="196"/>
      <c r="FCL56" s="196"/>
      <c r="FCM56" s="196"/>
      <c r="FCN56" s="196"/>
      <c r="FCO56" s="196"/>
      <c r="FCP56" s="196"/>
      <c r="FCQ56" s="196"/>
      <c r="FCR56" s="196"/>
      <c r="FCS56" s="196"/>
      <c r="FCT56" s="196"/>
      <c r="FCU56" s="196"/>
      <c r="FCV56" s="196"/>
      <c r="FCW56" s="196"/>
      <c r="FCX56" s="196"/>
      <c r="FCY56" s="196"/>
      <c r="FCZ56" s="196"/>
      <c r="FDA56" s="196"/>
      <c r="FDB56" s="196"/>
      <c r="FDC56" s="196"/>
      <c r="FDD56" s="196"/>
      <c r="FDE56" s="196"/>
      <c r="FDF56" s="196"/>
      <c r="FDG56" s="196"/>
      <c r="FDH56" s="196"/>
      <c r="FDI56" s="196"/>
      <c r="FDJ56" s="196"/>
      <c r="FDK56" s="196"/>
      <c r="FDL56" s="196"/>
      <c r="FDM56" s="196"/>
      <c r="FDN56" s="196"/>
      <c r="FDO56" s="196"/>
      <c r="FDP56" s="196"/>
      <c r="FDQ56" s="196"/>
      <c r="FDR56" s="196"/>
      <c r="FDS56" s="196"/>
      <c r="FDT56" s="196"/>
      <c r="FDU56" s="196"/>
      <c r="FDV56" s="196"/>
      <c r="FDW56" s="196"/>
      <c r="FDX56" s="196"/>
      <c r="FDY56" s="196"/>
      <c r="FDZ56" s="196"/>
      <c r="FEA56" s="196"/>
      <c r="FEB56" s="196"/>
      <c r="FEC56" s="196"/>
      <c r="FED56" s="196"/>
      <c r="FEE56" s="196"/>
      <c r="FEF56" s="196"/>
      <c r="FEG56" s="196"/>
      <c r="FEH56" s="196"/>
      <c r="FEI56" s="196"/>
      <c r="FEJ56" s="196"/>
      <c r="FEK56" s="196"/>
      <c r="FEL56" s="196"/>
      <c r="FEM56" s="196"/>
      <c r="FEN56" s="196"/>
      <c r="FEO56" s="196"/>
      <c r="FEP56" s="196"/>
      <c r="FEQ56" s="196"/>
      <c r="FER56" s="196"/>
      <c r="FES56" s="196"/>
      <c r="FET56" s="196"/>
      <c r="FEU56" s="196"/>
      <c r="FEV56" s="196"/>
      <c r="FEW56" s="196"/>
      <c r="FEX56" s="196"/>
      <c r="FEY56" s="196"/>
      <c r="FEZ56" s="196"/>
      <c r="FFA56" s="196"/>
      <c r="FFB56" s="196"/>
      <c r="FFC56" s="196"/>
      <c r="FFD56" s="196"/>
      <c r="FFE56" s="196"/>
      <c r="FFF56" s="196"/>
      <c r="FFG56" s="196"/>
      <c r="FFH56" s="196"/>
      <c r="FFI56" s="196"/>
      <c r="FFJ56" s="196"/>
      <c r="FFK56" s="196"/>
      <c r="FFL56" s="196"/>
      <c r="FFM56" s="196"/>
      <c r="FFN56" s="196"/>
      <c r="FFO56" s="196"/>
      <c r="FFP56" s="196"/>
      <c r="FFQ56" s="196"/>
      <c r="FFR56" s="196"/>
      <c r="FFS56" s="196"/>
      <c r="FFT56" s="196"/>
      <c r="FFU56" s="196"/>
      <c r="FFV56" s="196"/>
      <c r="FFW56" s="196"/>
      <c r="FFX56" s="196"/>
      <c r="FFY56" s="196"/>
      <c r="FFZ56" s="196"/>
      <c r="FGA56" s="196"/>
      <c r="FGB56" s="196"/>
      <c r="FGC56" s="196"/>
      <c r="FGD56" s="196"/>
      <c r="FGE56" s="196"/>
      <c r="FGF56" s="196"/>
      <c r="FGG56" s="196"/>
      <c r="FGH56" s="196"/>
      <c r="FGI56" s="196"/>
      <c r="FGJ56" s="196"/>
      <c r="FGK56" s="196"/>
      <c r="FGL56" s="196"/>
      <c r="FGM56" s="196"/>
      <c r="FGN56" s="196"/>
      <c r="FGO56" s="196"/>
      <c r="FGP56" s="196"/>
      <c r="FGQ56" s="196"/>
      <c r="FGR56" s="196"/>
      <c r="FGS56" s="196"/>
      <c r="FGT56" s="196"/>
      <c r="FGU56" s="196"/>
      <c r="FGV56" s="196"/>
      <c r="FGW56" s="196"/>
      <c r="FGX56" s="196"/>
      <c r="FGY56" s="196"/>
      <c r="FGZ56" s="196"/>
      <c r="FHA56" s="196"/>
      <c r="FHB56" s="196"/>
      <c r="FHC56" s="196"/>
      <c r="FHD56" s="196"/>
      <c r="FHE56" s="196"/>
      <c r="FHF56" s="196"/>
      <c r="FHG56" s="196"/>
      <c r="FHH56" s="196"/>
      <c r="FHI56" s="196"/>
      <c r="FHJ56" s="196"/>
      <c r="FHK56" s="196"/>
      <c r="FHL56" s="196"/>
      <c r="FHM56" s="196"/>
      <c r="FHN56" s="196"/>
      <c r="FHO56" s="196"/>
      <c r="FHP56" s="196"/>
      <c r="FHQ56" s="196"/>
      <c r="FHR56" s="196"/>
      <c r="FHS56" s="196"/>
      <c r="FHT56" s="196"/>
      <c r="FHU56" s="196"/>
      <c r="FHV56" s="196"/>
      <c r="FHW56" s="196"/>
      <c r="FHX56" s="196"/>
      <c r="FHY56" s="196"/>
      <c r="FHZ56" s="196"/>
      <c r="FIA56" s="196"/>
      <c r="FIB56" s="196"/>
      <c r="FIC56" s="196"/>
      <c r="FID56" s="196"/>
      <c r="FIE56" s="196"/>
      <c r="FIF56" s="196"/>
      <c r="FIG56" s="196"/>
      <c r="FIH56" s="196"/>
      <c r="FII56" s="196"/>
      <c r="FIJ56" s="196"/>
      <c r="FIK56" s="196"/>
      <c r="FIL56" s="196"/>
      <c r="FIM56" s="196"/>
      <c r="FIN56" s="196"/>
      <c r="FIO56" s="196"/>
      <c r="FIP56" s="196"/>
      <c r="FIQ56" s="196"/>
      <c r="FIR56" s="196"/>
      <c r="FIS56" s="196"/>
      <c r="FIT56" s="196"/>
      <c r="FIU56" s="196"/>
      <c r="FIV56" s="196"/>
      <c r="FIW56" s="196"/>
      <c r="FIX56" s="196"/>
      <c r="FIY56" s="196"/>
      <c r="FIZ56" s="196"/>
      <c r="FJA56" s="196"/>
      <c r="FJB56" s="196"/>
      <c r="FJC56" s="196"/>
      <c r="FJD56" s="196"/>
      <c r="FJE56" s="196"/>
      <c r="FJF56" s="196"/>
      <c r="FJG56" s="196"/>
      <c r="FJH56" s="196"/>
      <c r="FJI56" s="196"/>
      <c r="FJJ56" s="196"/>
      <c r="FJK56" s="196"/>
      <c r="FJL56" s="196"/>
      <c r="FJM56" s="196"/>
      <c r="FJN56" s="196"/>
      <c r="FJO56" s="196"/>
      <c r="FJP56" s="196"/>
      <c r="FJQ56" s="196"/>
      <c r="FJR56" s="196"/>
      <c r="FJS56" s="196"/>
      <c r="FJT56" s="196"/>
      <c r="FJU56" s="196"/>
      <c r="FJV56" s="196"/>
      <c r="FJW56" s="196"/>
      <c r="FJX56" s="196"/>
      <c r="FJY56" s="196"/>
      <c r="FJZ56" s="196"/>
      <c r="FKA56" s="196"/>
      <c r="FKB56" s="196"/>
      <c r="FKC56" s="196"/>
      <c r="FKD56" s="196"/>
      <c r="FKE56" s="196"/>
      <c r="FKF56" s="196"/>
      <c r="FKG56" s="196"/>
      <c r="FKH56" s="196"/>
      <c r="FKI56" s="196"/>
      <c r="FKJ56" s="196"/>
      <c r="FKK56" s="196"/>
      <c r="FKL56" s="196"/>
      <c r="FKM56" s="196"/>
      <c r="FKN56" s="196"/>
      <c r="FKO56" s="196"/>
      <c r="FKP56" s="196"/>
      <c r="FKQ56" s="196"/>
      <c r="FKR56" s="196"/>
      <c r="FKS56" s="196"/>
      <c r="FKT56" s="196"/>
      <c r="FKU56" s="196"/>
      <c r="FKV56" s="196"/>
      <c r="FKW56" s="196"/>
      <c r="FKX56" s="196"/>
      <c r="FKY56" s="196"/>
      <c r="FKZ56" s="196"/>
      <c r="FLA56" s="196"/>
      <c r="FLB56" s="196"/>
      <c r="FLC56" s="196"/>
      <c r="FLD56" s="196"/>
      <c r="FLE56" s="196"/>
      <c r="FLF56" s="196"/>
      <c r="FLG56" s="196"/>
      <c r="FLH56" s="196"/>
      <c r="FLI56" s="196"/>
      <c r="FLJ56" s="196"/>
      <c r="FLK56" s="196"/>
      <c r="FLL56" s="196"/>
      <c r="FLM56" s="196"/>
      <c r="FLN56" s="196"/>
      <c r="FLO56" s="196"/>
      <c r="FLP56" s="196"/>
      <c r="FLQ56" s="196"/>
      <c r="FLR56" s="196"/>
      <c r="FLS56" s="196"/>
      <c r="FLT56" s="196"/>
      <c r="FLU56" s="196"/>
      <c r="FLV56" s="196"/>
      <c r="FLW56" s="196"/>
      <c r="FLX56" s="196"/>
      <c r="FLY56" s="196"/>
      <c r="FLZ56" s="196"/>
      <c r="FMA56" s="196"/>
      <c r="FMB56" s="196"/>
      <c r="FMC56" s="196"/>
      <c r="FMD56" s="196"/>
      <c r="FME56" s="196"/>
      <c r="FMF56" s="196"/>
      <c r="FMG56" s="196"/>
      <c r="FMH56" s="196"/>
      <c r="FMI56" s="196"/>
      <c r="FMJ56" s="196"/>
      <c r="FMK56" s="196"/>
      <c r="FML56" s="196"/>
      <c r="FMM56" s="196"/>
      <c r="FMN56" s="196"/>
      <c r="FMO56" s="196"/>
      <c r="FMP56" s="196"/>
      <c r="FMQ56" s="196"/>
      <c r="FMR56" s="196"/>
      <c r="FMS56" s="196"/>
      <c r="FMT56" s="196"/>
      <c r="FMU56" s="196"/>
      <c r="FMV56" s="196"/>
      <c r="FMW56" s="196"/>
      <c r="FMX56" s="196"/>
      <c r="FMY56" s="196"/>
      <c r="FMZ56" s="196"/>
      <c r="FNA56" s="196"/>
      <c r="FNB56" s="196"/>
      <c r="FNC56" s="196"/>
      <c r="FND56" s="196"/>
      <c r="FNE56" s="196"/>
      <c r="FNF56" s="196"/>
      <c r="FNG56" s="196"/>
      <c r="FNH56" s="196"/>
      <c r="FNI56" s="196"/>
      <c r="FNJ56" s="196"/>
      <c r="FNK56" s="196"/>
      <c r="FNL56" s="196"/>
      <c r="FNM56" s="196"/>
      <c r="FNN56" s="196"/>
      <c r="FNO56" s="196"/>
      <c r="FNP56" s="196"/>
      <c r="FNQ56" s="196"/>
      <c r="FNR56" s="196"/>
      <c r="FNS56" s="196"/>
      <c r="FNT56" s="196"/>
      <c r="FNU56" s="196"/>
      <c r="FNV56" s="196"/>
      <c r="FNW56" s="196"/>
      <c r="FNX56" s="196"/>
      <c r="FNY56" s="196"/>
      <c r="FNZ56" s="196"/>
      <c r="FOA56" s="196"/>
      <c r="FOB56" s="196"/>
      <c r="FOC56" s="196"/>
      <c r="FOD56" s="196"/>
      <c r="FOE56" s="196"/>
      <c r="FOF56" s="196"/>
      <c r="FOG56" s="196"/>
      <c r="FOH56" s="196"/>
      <c r="FOI56" s="196"/>
      <c r="FOJ56" s="196"/>
      <c r="FOK56" s="196"/>
      <c r="FOL56" s="196"/>
      <c r="FOM56" s="196"/>
      <c r="FON56" s="196"/>
      <c r="FOO56" s="196"/>
      <c r="FOP56" s="196"/>
      <c r="FOQ56" s="196"/>
      <c r="FOR56" s="196"/>
      <c r="FOS56" s="196"/>
      <c r="FOT56" s="196"/>
      <c r="FOU56" s="196"/>
      <c r="FOV56" s="196"/>
      <c r="FOW56" s="196"/>
      <c r="FOX56" s="196"/>
      <c r="FOY56" s="196"/>
      <c r="FOZ56" s="196"/>
      <c r="FPA56" s="196"/>
      <c r="FPB56" s="196"/>
      <c r="FPC56" s="196"/>
      <c r="FPD56" s="196"/>
      <c r="FPE56" s="196"/>
      <c r="FPF56" s="196"/>
      <c r="FPG56" s="196"/>
      <c r="FPH56" s="196"/>
      <c r="FPI56" s="196"/>
      <c r="FPJ56" s="196"/>
      <c r="FPK56" s="196"/>
      <c r="FPL56" s="196"/>
      <c r="FPM56" s="196"/>
      <c r="FPN56" s="196"/>
      <c r="FPO56" s="196"/>
      <c r="FPP56" s="196"/>
      <c r="FPQ56" s="196"/>
      <c r="FPR56" s="196"/>
      <c r="FPS56" s="196"/>
      <c r="FPT56" s="196"/>
      <c r="FPU56" s="196"/>
      <c r="FPV56" s="196"/>
      <c r="FPW56" s="196"/>
      <c r="FPX56" s="196"/>
      <c r="FPY56" s="196"/>
      <c r="FPZ56" s="196"/>
      <c r="FQA56" s="196"/>
      <c r="FQB56" s="196"/>
      <c r="FQC56" s="196"/>
      <c r="FQD56" s="196"/>
      <c r="FQE56" s="196"/>
      <c r="FQF56" s="196"/>
      <c r="FQG56" s="196"/>
      <c r="FQH56" s="196"/>
      <c r="FQI56" s="196"/>
      <c r="FQJ56" s="196"/>
      <c r="FQK56" s="196"/>
      <c r="FQL56" s="196"/>
      <c r="FQM56" s="196"/>
      <c r="FQN56" s="196"/>
      <c r="FQO56" s="196"/>
      <c r="FQP56" s="196"/>
      <c r="FQQ56" s="196"/>
      <c r="FQR56" s="196"/>
      <c r="FQS56" s="196"/>
      <c r="FQT56" s="196"/>
      <c r="FQU56" s="196"/>
      <c r="FQV56" s="196"/>
      <c r="FQW56" s="196"/>
      <c r="FQX56" s="196"/>
      <c r="FQY56" s="196"/>
      <c r="FQZ56" s="196"/>
      <c r="FRA56" s="196"/>
      <c r="FRB56" s="196"/>
      <c r="FRC56" s="196"/>
      <c r="FRD56" s="196"/>
      <c r="FRE56" s="196"/>
      <c r="FRF56" s="196"/>
      <c r="FRG56" s="196"/>
      <c r="FRH56" s="196"/>
      <c r="FRI56" s="196"/>
      <c r="FRJ56" s="196"/>
      <c r="FRK56" s="196"/>
      <c r="FRL56" s="196"/>
      <c r="FRM56" s="196"/>
      <c r="FRN56" s="196"/>
      <c r="FRO56" s="196"/>
      <c r="FRP56" s="196"/>
      <c r="FRQ56" s="196"/>
      <c r="FRR56" s="196"/>
      <c r="FRS56" s="196"/>
      <c r="FRT56" s="196"/>
      <c r="FRU56" s="196"/>
      <c r="FRV56" s="196"/>
      <c r="FRW56" s="196"/>
      <c r="FRX56" s="196"/>
      <c r="FRY56" s="196"/>
      <c r="FRZ56" s="196"/>
      <c r="FSA56" s="196"/>
      <c r="FSB56" s="196"/>
      <c r="FSC56" s="196"/>
      <c r="FSD56" s="196"/>
      <c r="FSE56" s="196"/>
      <c r="FSF56" s="196"/>
      <c r="FSG56" s="196"/>
      <c r="FSH56" s="196"/>
      <c r="FSI56" s="196"/>
      <c r="FSJ56" s="196"/>
      <c r="FSK56" s="196"/>
      <c r="FSL56" s="196"/>
      <c r="FSM56" s="196"/>
      <c r="FSN56" s="196"/>
      <c r="FSO56" s="196"/>
      <c r="FSP56" s="196"/>
      <c r="FSQ56" s="196"/>
      <c r="FSR56" s="196"/>
      <c r="FSS56" s="196"/>
      <c r="FST56" s="196"/>
      <c r="FSU56" s="196"/>
      <c r="FSV56" s="196"/>
      <c r="FSW56" s="196"/>
      <c r="FSX56" s="196"/>
      <c r="FSY56" s="196"/>
      <c r="FSZ56" s="196"/>
      <c r="FTA56" s="196"/>
      <c r="FTB56" s="196"/>
      <c r="FTC56" s="196"/>
      <c r="FTD56" s="196"/>
      <c r="FTE56" s="196"/>
      <c r="FTF56" s="196"/>
      <c r="FTG56" s="196"/>
      <c r="FTH56" s="196"/>
      <c r="FTI56" s="196"/>
      <c r="FTJ56" s="196"/>
      <c r="FTK56" s="196"/>
      <c r="FTL56" s="196"/>
      <c r="FTM56" s="196"/>
      <c r="FTN56" s="196"/>
      <c r="FTO56" s="196"/>
      <c r="FTP56" s="196"/>
      <c r="FTQ56" s="196"/>
      <c r="FTR56" s="196"/>
      <c r="FTS56" s="196"/>
      <c r="FTT56" s="196"/>
      <c r="FTU56" s="196"/>
      <c r="FTV56" s="196"/>
      <c r="FTW56" s="196"/>
      <c r="FTX56" s="196"/>
      <c r="FTY56" s="196"/>
      <c r="FTZ56" s="196"/>
      <c r="FUA56" s="196"/>
      <c r="FUB56" s="196"/>
      <c r="FUC56" s="196"/>
      <c r="FUD56" s="196"/>
      <c r="FUE56" s="196"/>
      <c r="FUF56" s="196"/>
      <c r="FUG56" s="196"/>
      <c r="FUH56" s="196"/>
      <c r="FUI56" s="196"/>
      <c r="FUJ56" s="196"/>
      <c r="FUK56" s="196"/>
      <c r="FUL56" s="196"/>
      <c r="FUM56" s="196"/>
      <c r="FUN56" s="196"/>
      <c r="FUO56" s="196"/>
      <c r="FUP56" s="196"/>
      <c r="FUQ56" s="196"/>
      <c r="FUR56" s="196"/>
      <c r="FUS56" s="196"/>
      <c r="FUT56" s="196"/>
      <c r="FUU56" s="196"/>
      <c r="FUV56" s="196"/>
      <c r="FUW56" s="196"/>
      <c r="FUX56" s="196"/>
      <c r="FUY56" s="196"/>
      <c r="FUZ56" s="196"/>
      <c r="FVA56" s="196"/>
      <c r="FVB56" s="196"/>
      <c r="FVC56" s="196"/>
      <c r="FVD56" s="196"/>
      <c r="FVE56" s="196"/>
      <c r="FVF56" s="196"/>
      <c r="FVG56" s="196"/>
      <c r="FVH56" s="196"/>
      <c r="FVI56" s="196"/>
      <c r="FVJ56" s="196"/>
      <c r="FVK56" s="196"/>
      <c r="FVL56" s="196"/>
      <c r="FVM56" s="196"/>
      <c r="FVN56" s="196"/>
      <c r="FVO56" s="196"/>
      <c r="FVP56" s="196"/>
      <c r="FVQ56" s="196"/>
      <c r="FVR56" s="196"/>
      <c r="FVS56" s="196"/>
      <c r="FVT56" s="196"/>
      <c r="FVU56" s="196"/>
      <c r="FVV56" s="196"/>
      <c r="FVW56" s="196"/>
      <c r="FVX56" s="196"/>
      <c r="FVY56" s="196"/>
      <c r="FVZ56" s="196"/>
      <c r="FWA56" s="196"/>
      <c r="FWB56" s="196"/>
      <c r="FWC56" s="196"/>
      <c r="FWD56" s="196"/>
      <c r="FWE56" s="196"/>
      <c r="FWF56" s="196"/>
      <c r="FWG56" s="196"/>
      <c r="FWH56" s="196"/>
      <c r="FWI56" s="196"/>
      <c r="FWJ56" s="196"/>
      <c r="FWK56" s="196"/>
      <c r="FWL56" s="196"/>
      <c r="FWM56" s="196"/>
      <c r="FWN56" s="196"/>
      <c r="FWO56" s="196"/>
      <c r="FWP56" s="196"/>
      <c r="FWQ56" s="196"/>
      <c r="FWR56" s="196"/>
      <c r="FWS56" s="196"/>
      <c r="FWT56" s="196"/>
      <c r="FWU56" s="196"/>
      <c r="FWV56" s="196"/>
      <c r="FWW56" s="196"/>
      <c r="FWX56" s="196"/>
      <c r="FWY56" s="196"/>
      <c r="FWZ56" s="196"/>
      <c r="FXA56" s="196"/>
      <c r="FXB56" s="196"/>
      <c r="FXC56" s="196"/>
      <c r="FXD56" s="196"/>
      <c r="FXE56" s="196"/>
      <c r="FXF56" s="196"/>
      <c r="FXG56" s="196"/>
      <c r="FXH56" s="196"/>
      <c r="FXI56" s="196"/>
      <c r="FXJ56" s="196"/>
      <c r="FXK56" s="196"/>
      <c r="FXL56" s="196"/>
      <c r="FXM56" s="196"/>
      <c r="FXN56" s="196"/>
      <c r="FXO56" s="196"/>
      <c r="FXP56" s="196"/>
      <c r="FXQ56" s="196"/>
      <c r="FXR56" s="196"/>
      <c r="FXS56" s="196"/>
      <c r="FXT56" s="196"/>
      <c r="FXU56" s="196"/>
      <c r="FXV56" s="196"/>
      <c r="FXW56" s="196"/>
      <c r="FXX56" s="196"/>
      <c r="FXY56" s="196"/>
      <c r="FXZ56" s="196"/>
      <c r="FYA56" s="196"/>
      <c r="FYB56" s="196"/>
      <c r="FYC56" s="196"/>
      <c r="FYD56" s="196"/>
      <c r="FYE56" s="196"/>
      <c r="FYF56" s="196"/>
      <c r="FYG56" s="196"/>
      <c r="FYH56" s="196"/>
      <c r="FYI56" s="196"/>
      <c r="FYJ56" s="196"/>
      <c r="FYK56" s="196"/>
      <c r="FYL56" s="196"/>
      <c r="FYM56" s="196"/>
      <c r="FYN56" s="196"/>
      <c r="FYO56" s="196"/>
      <c r="FYP56" s="196"/>
      <c r="FYQ56" s="196"/>
      <c r="FYR56" s="196"/>
      <c r="FYS56" s="196"/>
      <c r="FYT56" s="196"/>
      <c r="FYU56" s="196"/>
      <c r="FYV56" s="196"/>
      <c r="FYW56" s="196"/>
      <c r="FYX56" s="196"/>
      <c r="FYY56" s="196"/>
      <c r="FYZ56" s="196"/>
      <c r="FZA56" s="196"/>
      <c r="FZB56" s="196"/>
      <c r="FZC56" s="196"/>
      <c r="FZD56" s="196"/>
      <c r="FZE56" s="196"/>
      <c r="FZF56" s="196"/>
      <c r="FZG56" s="196"/>
      <c r="FZH56" s="196"/>
      <c r="FZI56" s="196"/>
      <c r="FZJ56" s="196"/>
      <c r="FZK56" s="196"/>
      <c r="FZL56" s="196"/>
      <c r="FZM56" s="196"/>
      <c r="FZN56" s="196"/>
      <c r="FZO56" s="196"/>
      <c r="FZP56" s="196"/>
      <c r="FZQ56" s="196"/>
      <c r="FZR56" s="196"/>
      <c r="FZS56" s="196"/>
      <c r="FZT56" s="196"/>
      <c r="FZU56" s="196"/>
      <c r="FZV56" s="196"/>
      <c r="FZW56" s="196"/>
      <c r="FZX56" s="196"/>
      <c r="FZY56" s="196"/>
      <c r="FZZ56" s="196"/>
      <c r="GAA56" s="196"/>
      <c r="GAB56" s="196"/>
      <c r="GAC56" s="196"/>
      <c r="GAD56" s="196"/>
      <c r="GAE56" s="196"/>
      <c r="GAF56" s="196"/>
      <c r="GAG56" s="196"/>
      <c r="GAH56" s="196"/>
      <c r="GAI56" s="196"/>
      <c r="GAJ56" s="196"/>
      <c r="GAK56" s="196"/>
      <c r="GAL56" s="196"/>
      <c r="GAM56" s="196"/>
      <c r="GAN56" s="196"/>
      <c r="GAO56" s="196"/>
      <c r="GAP56" s="196"/>
      <c r="GAQ56" s="196"/>
      <c r="GAR56" s="196"/>
      <c r="GAS56" s="196"/>
      <c r="GAT56" s="196"/>
      <c r="GAU56" s="196"/>
      <c r="GAV56" s="196"/>
      <c r="GAW56" s="196"/>
      <c r="GAX56" s="196"/>
      <c r="GAY56" s="196"/>
      <c r="GAZ56" s="196"/>
      <c r="GBA56" s="196"/>
      <c r="GBB56" s="196"/>
      <c r="GBC56" s="196"/>
      <c r="GBD56" s="196"/>
      <c r="GBE56" s="196"/>
      <c r="GBF56" s="196"/>
      <c r="GBG56" s="196"/>
      <c r="GBH56" s="196"/>
      <c r="GBI56" s="196"/>
      <c r="GBJ56" s="196"/>
      <c r="GBK56" s="196"/>
      <c r="GBL56" s="196"/>
      <c r="GBM56" s="196"/>
      <c r="GBN56" s="196"/>
      <c r="GBO56" s="196"/>
      <c r="GBP56" s="196"/>
      <c r="GBQ56" s="196"/>
      <c r="GBR56" s="196"/>
      <c r="GBS56" s="196"/>
      <c r="GBT56" s="196"/>
      <c r="GBU56" s="196"/>
      <c r="GBV56" s="196"/>
      <c r="GBW56" s="196"/>
      <c r="GBX56" s="196"/>
      <c r="GBY56" s="196"/>
      <c r="GBZ56" s="196"/>
      <c r="GCA56" s="196"/>
      <c r="GCB56" s="196"/>
      <c r="GCC56" s="196"/>
      <c r="GCD56" s="196"/>
      <c r="GCE56" s="196"/>
      <c r="GCF56" s="196"/>
      <c r="GCG56" s="196"/>
      <c r="GCH56" s="196"/>
      <c r="GCI56" s="196"/>
      <c r="GCJ56" s="196"/>
      <c r="GCK56" s="196"/>
      <c r="GCL56" s="196"/>
      <c r="GCM56" s="196"/>
      <c r="GCN56" s="196"/>
      <c r="GCO56" s="196"/>
      <c r="GCP56" s="196"/>
      <c r="GCQ56" s="196"/>
      <c r="GCR56" s="196"/>
      <c r="GCS56" s="196"/>
      <c r="GCT56" s="196"/>
      <c r="GCU56" s="196"/>
      <c r="GCV56" s="196"/>
      <c r="GCW56" s="196"/>
      <c r="GCX56" s="196"/>
      <c r="GCY56" s="196"/>
      <c r="GCZ56" s="196"/>
      <c r="GDA56" s="196"/>
      <c r="GDB56" s="196"/>
      <c r="GDC56" s="196"/>
      <c r="GDD56" s="196"/>
      <c r="GDE56" s="196"/>
      <c r="GDF56" s="196"/>
      <c r="GDG56" s="196"/>
      <c r="GDH56" s="196"/>
      <c r="GDI56" s="196"/>
      <c r="GDJ56" s="196"/>
      <c r="GDK56" s="196"/>
      <c r="GDL56" s="196"/>
      <c r="GDM56" s="196"/>
      <c r="GDN56" s="196"/>
      <c r="GDO56" s="196"/>
      <c r="GDP56" s="196"/>
      <c r="GDQ56" s="196"/>
      <c r="GDR56" s="196"/>
      <c r="GDS56" s="196"/>
      <c r="GDT56" s="196"/>
      <c r="GDU56" s="196"/>
      <c r="GDV56" s="196"/>
      <c r="GDW56" s="196"/>
      <c r="GDX56" s="196"/>
      <c r="GDY56" s="196"/>
      <c r="GDZ56" s="196"/>
      <c r="GEA56" s="196"/>
      <c r="GEB56" s="196"/>
      <c r="GEC56" s="196"/>
      <c r="GED56" s="196"/>
      <c r="GEE56" s="196"/>
      <c r="GEF56" s="196"/>
      <c r="GEG56" s="196"/>
      <c r="GEH56" s="196"/>
      <c r="GEI56" s="196"/>
      <c r="GEJ56" s="196"/>
      <c r="GEK56" s="196"/>
      <c r="GEL56" s="196"/>
      <c r="GEM56" s="196"/>
      <c r="GEN56" s="196"/>
      <c r="GEO56" s="196"/>
      <c r="GEP56" s="196"/>
      <c r="GEQ56" s="196"/>
      <c r="GER56" s="196"/>
      <c r="GES56" s="196"/>
      <c r="GET56" s="196"/>
      <c r="GEU56" s="196"/>
      <c r="GEV56" s="196"/>
      <c r="GEW56" s="196"/>
      <c r="GEX56" s="196"/>
      <c r="GEY56" s="196"/>
      <c r="GEZ56" s="196"/>
      <c r="GFA56" s="196"/>
      <c r="GFB56" s="196"/>
      <c r="GFC56" s="196"/>
      <c r="GFD56" s="196"/>
      <c r="GFE56" s="196"/>
      <c r="GFF56" s="196"/>
      <c r="GFG56" s="196"/>
      <c r="GFH56" s="196"/>
      <c r="GFI56" s="196"/>
      <c r="GFJ56" s="196"/>
      <c r="GFK56" s="196"/>
      <c r="GFL56" s="196"/>
      <c r="GFM56" s="196"/>
      <c r="GFN56" s="196"/>
      <c r="GFO56" s="196"/>
      <c r="GFP56" s="196"/>
      <c r="GFQ56" s="196"/>
      <c r="GFR56" s="196"/>
      <c r="GFS56" s="196"/>
      <c r="GFT56" s="196"/>
      <c r="GFU56" s="196"/>
      <c r="GFV56" s="196"/>
      <c r="GFW56" s="196"/>
      <c r="GFX56" s="196"/>
      <c r="GFY56" s="196"/>
      <c r="GFZ56" s="196"/>
      <c r="GGA56" s="196"/>
      <c r="GGB56" s="196"/>
      <c r="GGC56" s="196"/>
      <c r="GGD56" s="196"/>
      <c r="GGE56" s="196"/>
      <c r="GGF56" s="196"/>
      <c r="GGG56" s="196"/>
      <c r="GGH56" s="196"/>
      <c r="GGI56" s="196"/>
      <c r="GGJ56" s="196"/>
      <c r="GGK56" s="196"/>
      <c r="GGL56" s="196"/>
      <c r="GGM56" s="196"/>
      <c r="GGN56" s="196"/>
      <c r="GGO56" s="196"/>
      <c r="GGP56" s="196"/>
      <c r="GGQ56" s="196"/>
      <c r="GGR56" s="196"/>
      <c r="GGS56" s="196"/>
      <c r="GGT56" s="196"/>
      <c r="GGU56" s="196"/>
      <c r="GGV56" s="196"/>
      <c r="GGW56" s="196"/>
      <c r="GGX56" s="196"/>
      <c r="GGY56" s="196"/>
      <c r="GGZ56" s="196"/>
      <c r="GHA56" s="196"/>
      <c r="GHB56" s="196"/>
      <c r="GHC56" s="196"/>
      <c r="GHD56" s="196"/>
      <c r="GHE56" s="196"/>
      <c r="GHF56" s="196"/>
      <c r="GHG56" s="196"/>
      <c r="GHH56" s="196"/>
      <c r="GHI56" s="196"/>
      <c r="GHJ56" s="196"/>
      <c r="GHK56" s="196"/>
      <c r="GHL56" s="196"/>
      <c r="GHM56" s="196"/>
      <c r="GHN56" s="196"/>
      <c r="GHO56" s="196"/>
      <c r="GHP56" s="196"/>
      <c r="GHQ56" s="196"/>
      <c r="GHR56" s="196"/>
      <c r="GHS56" s="196"/>
      <c r="GHT56" s="196"/>
      <c r="GHU56" s="196"/>
      <c r="GHV56" s="196"/>
      <c r="GHW56" s="196"/>
      <c r="GHX56" s="196"/>
      <c r="GHY56" s="196"/>
      <c r="GHZ56" s="196"/>
      <c r="GIA56" s="196"/>
      <c r="GIB56" s="196"/>
      <c r="GIC56" s="196"/>
      <c r="GID56" s="196"/>
      <c r="GIE56" s="196"/>
      <c r="GIF56" s="196"/>
      <c r="GIG56" s="196"/>
      <c r="GIH56" s="196"/>
      <c r="GII56" s="196"/>
      <c r="GIJ56" s="196"/>
      <c r="GIK56" s="196"/>
      <c r="GIL56" s="196"/>
      <c r="GIM56" s="196"/>
      <c r="GIN56" s="196"/>
      <c r="GIO56" s="196"/>
      <c r="GIP56" s="196"/>
      <c r="GIQ56" s="196"/>
      <c r="GIR56" s="196"/>
      <c r="GIS56" s="196"/>
      <c r="GIT56" s="196"/>
      <c r="GIU56" s="196"/>
      <c r="GIV56" s="196"/>
      <c r="GIW56" s="196"/>
      <c r="GIX56" s="196"/>
      <c r="GIY56" s="196"/>
      <c r="GIZ56" s="196"/>
      <c r="GJA56" s="196"/>
      <c r="GJB56" s="196"/>
      <c r="GJC56" s="196"/>
      <c r="GJD56" s="196"/>
      <c r="GJE56" s="196"/>
      <c r="GJF56" s="196"/>
      <c r="GJG56" s="196"/>
      <c r="GJH56" s="196"/>
      <c r="GJI56" s="196"/>
      <c r="GJJ56" s="196"/>
      <c r="GJK56" s="196"/>
      <c r="GJL56" s="196"/>
      <c r="GJM56" s="196"/>
      <c r="GJN56" s="196"/>
      <c r="GJO56" s="196"/>
      <c r="GJP56" s="196"/>
      <c r="GJQ56" s="196"/>
      <c r="GJR56" s="196"/>
      <c r="GJS56" s="196"/>
      <c r="GJT56" s="196"/>
      <c r="GJU56" s="196"/>
      <c r="GJV56" s="196"/>
      <c r="GJW56" s="196"/>
      <c r="GJX56" s="196"/>
      <c r="GJY56" s="196"/>
      <c r="GJZ56" s="196"/>
      <c r="GKA56" s="196"/>
      <c r="GKB56" s="196"/>
      <c r="GKC56" s="196"/>
      <c r="GKD56" s="196"/>
      <c r="GKE56" s="196"/>
      <c r="GKF56" s="196"/>
      <c r="GKG56" s="196"/>
      <c r="GKH56" s="196"/>
      <c r="GKI56" s="196"/>
      <c r="GKJ56" s="196"/>
      <c r="GKK56" s="196"/>
      <c r="GKL56" s="196"/>
      <c r="GKM56" s="196"/>
      <c r="GKN56" s="196"/>
      <c r="GKO56" s="196"/>
      <c r="GKP56" s="196"/>
      <c r="GKQ56" s="196"/>
      <c r="GKR56" s="196"/>
      <c r="GKS56" s="196"/>
      <c r="GKT56" s="196"/>
      <c r="GKU56" s="196"/>
      <c r="GKV56" s="196"/>
      <c r="GKW56" s="196"/>
      <c r="GKX56" s="196"/>
      <c r="GKY56" s="196"/>
      <c r="GKZ56" s="196"/>
      <c r="GLA56" s="196"/>
      <c r="GLB56" s="196"/>
      <c r="GLC56" s="196"/>
      <c r="GLD56" s="196"/>
      <c r="GLE56" s="196"/>
      <c r="GLF56" s="196"/>
      <c r="GLG56" s="196"/>
      <c r="GLH56" s="196"/>
      <c r="GLI56" s="196"/>
      <c r="GLJ56" s="196"/>
      <c r="GLK56" s="196"/>
      <c r="GLL56" s="196"/>
      <c r="GLM56" s="196"/>
      <c r="GLN56" s="196"/>
      <c r="GLO56" s="196"/>
      <c r="GLP56" s="196"/>
      <c r="GLQ56" s="196"/>
      <c r="GLR56" s="196"/>
      <c r="GLS56" s="196"/>
      <c r="GLT56" s="196"/>
      <c r="GLU56" s="196"/>
      <c r="GLV56" s="196"/>
      <c r="GLW56" s="196"/>
      <c r="GLX56" s="196"/>
      <c r="GLY56" s="196"/>
      <c r="GLZ56" s="196"/>
      <c r="GMA56" s="196"/>
      <c r="GMB56" s="196"/>
      <c r="GMC56" s="196"/>
      <c r="GMD56" s="196"/>
      <c r="GME56" s="196"/>
      <c r="GMF56" s="196"/>
      <c r="GMG56" s="196"/>
      <c r="GMH56" s="196"/>
      <c r="GMI56" s="196"/>
      <c r="GMJ56" s="196"/>
      <c r="GMK56" s="196"/>
      <c r="GML56" s="196"/>
      <c r="GMM56" s="196"/>
      <c r="GMN56" s="196"/>
      <c r="GMO56" s="196"/>
      <c r="GMP56" s="196"/>
      <c r="GMQ56" s="196"/>
      <c r="GMR56" s="196"/>
      <c r="GMS56" s="196"/>
      <c r="GMT56" s="196"/>
      <c r="GMU56" s="196"/>
      <c r="GMV56" s="196"/>
      <c r="GMW56" s="196"/>
      <c r="GMX56" s="196"/>
      <c r="GMY56" s="196"/>
      <c r="GMZ56" s="196"/>
      <c r="GNA56" s="196"/>
      <c r="GNB56" s="196"/>
      <c r="GNC56" s="196"/>
      <c r="GND56" s="196"/>
      <c r="GNE56" s="196"/>
      <c r="GNF56" s="196"/>
      <c r="GNG56" s="196"/>
      <c r="GNH56" s="196"/>
      <c r="GNI56" s="196"/>
      <c r="GNJ56" s="196"/>
      <c r="GNK56" s="196"/>
      <c r="GNL56" s="196"/>
      <c r="GNM56" s="196"/>
      <c r="GNN56" s="196"/>
      <c r="GNO56" s="196"/>
      <c r="GNP56" s="196"/>
      <c r="GNQ56" s="196"/>
      <c r="GNR56" s="196"/>
      <c r="GNS56" s="196"/>
      <c r="GNT56" s="196"/>
      <c r="GNU56" s="196"/>
      <c r="GNV56" s="196"/>
      <c r="GNW56" s="196"/>
      <c r="GNX56" s="196"/>
      <c r="GNY56" s="196"/>
      <c r="GNZ56" s="196"/>
      <c r="GOA56" s="196"/>
      <c r="GOB56" s="196"/>
      <c r="GOC56" s="196"/>
      <c r="GOD56" s="196"/>
      <c r="GOE56" s="196"/>
      <c r="GOF56" s="196"/>
      <c r="GOG56" s="196"/>
      <c r="GOH56" s="196"/>
      <c r="GOI56" s="196"/>
      <c r="GOJ56" s="196"/>
      <c r="GOK56" s="196"/>
      <c r="GOL56" s="196"/>
      <c r="GOM56" s="196"/>
      <c r="GON56" s="196"/>
      <c r="GOO56" s="196"/>
      <c r="GOP56" s="196"/>
      <c r="GOQ56" s="196"/>
      <c r="GOR56" s="196"/>
      <c r="GOS56" s="196"/>
      <c r="GOT56" s="196"/>
      <c r="GOU56" s="196"/>
      <c r="GOV56" s="196"/>
      <c r="GOW56" s="196"/>
      <c r="GOX56" s="196"/>
      <c r="GOY56" s="196"/>
      <c r="GOZ56" s="196"/>
      <c r="GPA56" s="196"/>
      <c r="GPB56" s="196"/>
      <c r="GPC56" s="196"/>
      <c r="GPD56" s="196"/>
      <c r="GPE56" s="196"/>
      <c r="GPF56" s="196"/>
      <c r="GPG56" s="196"/>
      <c r="GPH56" s="196"/>
      <c r="GPI56" s="196"/>
      <c r="GPJ56" s="196"/>
      <c r="GPK56" s="196"/>
      <c r="GPL56" s="196"/>
      <c r="GPM56" s="196"/>
      <c r="GPN56" s="196"/>
      <c r="GPO56" s="196"/>
      <c r="GPP56" s="196"/>
      <c r="GPQ56" s="196"/>
      <c r="GPR56" s="196"/>
      <c r="GPS56" s="196"/>
      <c r="GPT56" s="196"/>
      <c r="GPU56" s="196"/>
      <c r="GPV56" s="196"/>
      <c r="GPW56" s="196"/>
      <c r="GPX56" s="196"/>
      <c r="GPY56" s="196"/>
      <c r="GPZ56" s="196"/>
      <c r="GQA56" s="196"/>
      <c r="GQB56" s="196"/>
      <c r="GQC56" s="196"/>
      <c r="GQD56" s="196"/>
      <c r="GQE56" s="196"/>
      <c r="GQF56" s="196"/>
      <c r="GQG56" s="196"/>
      <c r="GQH56" s="196"/>
      <c r="GQI56" s="196"/>
      <c r="GQJ56" s="196"/>
      <c r="GQK56" s="196"/>
      <c r="GQL56" s="196"/>
      <c r="GQM56" s="196"/>
      <c r="GQN56" s="196"/>
      <c r="GQO56" s="196"/>
      <c r="GQP56" s="196"/>
      <c r="GQQ56" s="196"/>
      <c r="GQR56" s="196"/>
      <c r="GQS56" s="196"/>
      <c r="GQT56" s="196"/>
      <c r="GQU56" s="196"/>
      <c r="GQV56" s="196"/>
      <c r="GQW56" s="196"/>
      <c r="GQX56" s="196"/>
      <c r="GQY56" s="196"/>
      <c r="GQZ56" s="196"/>
      <c r="GRA56" s="196"/>
      <c r="GRB56" s="196"/>
      <c r="GRC56" s="196"/>
      <c r="GRD56" s="196"/>
      <c r="GRE56" s="196"/>
      <c r="GRF56" s="196"/>
      <c r="GRG56" s="196"/>
      <c r="GRH56" s="196"/>
      <c r="GRI56" s="196"/>
      <c r="GRJ56" s="196"/>
      <c r="GRK56" s="196"/>
      <c r="GRL56" s="196"/>
      <c r="GRM56" s="196"/>
      <c r="GRN56" s="196"/>
      <c r="GRO56" s="196"/>
      <c r="GRP56" s="196"/>
      <c r="GRQ56" s="196"/>
      <c r="GRR56" s="196"/>
      <c r="GRS56" s="196"/>
      <c r="GRT56" s="196"/>
      <c r="GRU56" s="196"/>
      <c r="GRV56" s="196"/>
      <c r="GRW56" s="196"/>
      <c r="GRX56" s="196"/>
      <c r="GRY56" s="196"/>
      <c r="GRZ56" s="196"/>
      <c r="GSA56" s="196"/>
      <c r="GSB56" s="196"/>
      <c r="GSC56" s="196"/>
      <c r="GSD56" s="196"/>
      <c r="GSE56" s="196"/>
      <c r="GSF56" s="196"/>
      <c r="GSG56" s="196"/>
      <c r="GSH56" s="196"/>
      <c r="GSI56" s="196"/>
      <c r="GSJ56" s="196"/>
      <c r="GSK56" s="196"/>
      <c r="GSL56" s="196"/>
      <c r="GSM56" s="196"/>
      <c r="GSN56" s="196"/>
      <c r="GSO56" s="196"/>
      <c r="GSP56" s="196"/>
      <c r="GSQ56" s="196"/>
      <c r="GSR56" s="196"/>
      <c r="GSS56" s="196"/>
      <c r="GST56" s="196"/>
      <c r="GSU56" s="196"/>
      <c r="GSV56" s="196"/>
      <c r="GSW56" s="196"/>
      <c r="GSX56" s="196"/>
      <c r="GSY56" s="196"/>
      <c r="GSZ56" s="196"/>
      <c r="GTA56" s="196"/>
      <c r="GTB56" s="196"/>
      <c r="GTC56" s="196"/>
      <c r="GTD56" s="196"/>
      <c r="GTE56" s="196"/>
      <c r="GTF56" s="196"/>
      <c r="GTG56" s="196"/>
      <c r="GTH56" s="196"/>
      <c r="GTI56" s="196"/>
      <c r="GTJ56" s="196"/>
      <c r="GTK56" s="196"/>
      <c r="GTL56" s="196"/>
      <c r="GTM56" s="196"/>
      <c r="GTN56" s="196"/>
      <c r="GTO56" s="196"/>
      <c r="GTP56" s="196"/>
      <c r="GTQ56" s="196"/>
      <c r="GTR56" s="196"/>
      <c r="GTS56" s="196"/>
      <c r="GTT56" s="196"/>
      <c r="GTU56" s="196"/>
      <c r="GTV56" s="196"/>
      <c r="GTW56" s="196"/>
      <c r="GTX56" s="196"/>
      <c r="GTY56" s="196"/>
      <c r="GTZ56" s="196"/>
      <c r="GUA56" s="196"/>
      <c r="GUB56" s="196"/>
      <c r="GUC56" s="196"/>
      <c r="GUD56" s="196"/>
      <c r="GUE56" s="196"/>
      <c r="GUF56" s="196"/>
      <c r="GUG56" s="196"/>
      <c r="GUH56" s="196"/>
      <c r="GUI56" s="196"/>
      <c r="GUJ56" s="196"/>
      <c r="GUK56" s="196"/>
      <c r="GUL56" s="196"/>
      <c r="GUM56" s="196"/>
      <c r="GUN56" s="196"/>
      <c r="GUO56" s="196"/>
      <c r="GUP56" s="196"/>
      <c r="GUQ56" s="196"/>
      <c r="GUR56" s="196"/>
      <c r="GUS56" s="196"/>
      <c r="GUT56" s="196"/>
      <c r="GUU56" s="196"/>
      <c r="GUV56" s="196"/>
      <c r="GUW56" s="196"/>
      <c r="GUX56" s="196"/>
      <c r="GUY56" s="196"/>
      <c r="GUZ56" s="196"/>
      <c r="GVA56" s="196"/>
      <c r="GVB56" s="196"/>
      <c r="GVC56" s="196"/>
      <c r="GVD56" s="196"/>
      <c r="GVE56" s="196"/>
      <c r="GVF56" s="196"/>
      <c r="GVG56" s="196"/>
      <c r="GVH56" s="196"/>
      <c r="GVI56" s="196"/>
      <c r="GVJ56" s="196"/>
      <c r="GVK56" s="196"/>
      <c r="GVL56" s="196"/>
      <c r="GVM56" s="196"/>
      <c r="GVN56" s="196"/>
      <c r="GVO56" s="196"/>
      <c r="GVP56" s="196"/>
      <c r="GVQ56" s="196"/>
      <c r="GVR56" s="196"/>
      <c r="GVS56" s="196"/>
      <c r="GVT56" s="196"/>
      <c r="GVU56" s="196"/>
      <c r="GVV56" s="196"/>
      <c r="GVW56" s="196"/>
      <c r="GVX56" s="196"/>
      <c r="GVY56" s="196"/>
      <c r="GVZ56" s="196"/>
      <c r="GWA56" s="196"/>
      <c r="GWB56" s="196"/>
      <c r="GWC56" s="196"/>
      <c r="GWD56" s="196"/>
      <c r="GWE56" s="196"/>
      <c r="GWF56" s="196"/>
      <c r="GWG56" s="196"/>
      <c r="GWH56" s="196"/>
      <c r="GWI56" s="196"/>
      <c r="GWJ56" s="196"/>
      <c r="GWK56" s="196"/>
      <c r="GWL56" s="196"/>
      <c r="GWM56" s="196"/>
      <c r="GWN56" s="196"/>
      <c r="GWO56" s="196"/>
      <c r="GWP56" s="196"/>
      <c r="GWQ56" s="196"/>
      <c r="GWR56" s="196"/>
      <c r="GWS56" s="196"/>
      <c r="GWT56" s="196"/>
      <c r="GWU56" s="196"/>
      <c r="GWV56" s="196"/>
      <c r="GWW56" s="196"/>
      <c r="GWX56" s="196"/>
      <c r="GWY56" s="196"/>
      <c r="GWZ56" s="196"/>
      <c r="GXA56" s="196"/>
      <c r="GXB56" s="196"/>
      <c r="GXC56" s="196"/>
      <c r="GXD56" s="196"/>
      <c r="GXE56" s="196"/>
      <c r="GXF56" s="196"/>
      <c r="GXG56" s="196"/>
      <c r="GXH56" s="196"/>
      <c r="GXI56" s="196"/>
      <c r="GXJ56" s="196"/>
      <c r="GXK56" s="196"/>
      <c r="GXL56" s="196"/>
      <c r="GXM56" s="196"/>
      <c r="GXN56" s="196"/>
      <c r="GXO56" s="196"/>
      <c r="GXP56" s="196"/>
      <c r="GXQ56" s="196"/>
      <c r="GXR56" s="196"/>
      <c r="GXS56" s="196"/>
      <c r="GXT56" s="196"/>
      <c r="GXU56" s="196"/>
      <c r="GXV56" s="196"/>
      <c r="GXW56" s="196"/>
      <c r="GXX56" s="196"/>
      <c r="GXY56" s="196"/>
      <c r="GXZ56" s="196"/>
      <c r="GYA56" s="196"/>
      <c r="GYB56" s="196"/>
      <c r="GYC56" s="196"/>
      <c r="GYD56" s="196"/>
      <c r="GYE56" s="196"/>
      <c r="GYF56" s="196"/>
      <c r="GYG56" s="196"/>
      <c r="GYH56" s="196"/>
      <c r="GYI56" s="196"/>
      <c r="GYJ56" s="196"/>
      <c r="GYK56" s="196"/>
      <c r="GYL56" s="196"/>
      <c r="GYM56" s="196"/>
      <c r="GYN56" s="196"/>
      <c r="GYO56" s="196"/>
      <c r="GYP56" s="196"/>
      <c r="GYQ56" s="196"/>
      <c r="GYR56" s="196"/>
      <c r="GYS56" s="196"/>
      <c r="GYT56" s="196"/>
      <c r="GYU56" s="196"/>
      <c r="GYV56" s="196"/>
      <c r="GYW56" s="196"/>
      <c r="GYX56" s="196"/>
      <c r="GYY56" s="196"/>
      <c r="GYZ56" s="196"/>
      <c r="GZA56" s="196"/>
      <c r="GZB56" s="196"/>
      <c r="GZC56" s="196"/>
      <c r="GZD56" s="196"/>
      <c r="GZE56" s="196"/>
      <c r="GZF56" s="196"/>
      <c r="GZG56" s="196"/>
      <c r="GZH56" s="196"/>
      <c r="GZI56" s="196"/>
      <c r="GZJ56" s="196"/>
      <c r="GZK56" s="196"/>
      <c r="GZL56" s="196"/>
      <c r="GZM56" s="196"/>
      <c r="GZN56" s="196"/>
      <c r="GZO56" s="196"/>
      <c r="GZP56" s="196"/>
      <c r="GZQ56" s="196"/>
      <c r="GZR56" s="196"/>
      <c r="GZS56" s="196"/>
      <c r="GZT56" s="196"/>
      <c r="GZU56" s="196"/>
      <c r="GZV56" s="196"/>
      <c r="GZW56" s="196"/>
      <c r="GZX56" s="196"/>
      <c r="GZY56" s="196"/>
      <c r="GZZ56" s="196"/>
      <c r="HAA56" s="196"/>
      <c r="HAB56" s="196"/>
      <c r="HAC56" s="196"/>
      <c r="HAD56" s="196"/>
      <c r="HAE56" s="196"/>
      <c r="HAF56" s="196"/>
      <c r="HAG56" s="196"/>
      <c r="HAH56" s="196"/>
      <c r="HAI56" s="196"/>
      <c r="HAJ56" s="196"/>
      <c r="HAK56" s="196"/>
      <c r="HAL56" s="196"/>
      <c r="HAM56" s="196"/>
      <c r="HAN56" s="196"/>
      <c r="HAO56" s="196"/>
      <c r="HAP56" s="196"/>
      <c r="HAQ56" s="196"/>
      <c r="HAR56" s="196"/>
      <c r="HAS56" s="196"/>
      <c r="HAT56" s="196"/>
      <c r="HAU56" s="196"/>
      <c r="HAV56" s="196"/>
      <c r="HAW56" s="196"/>
      <c r="HAX56" s="196"/>
      <c r="HAY56" s="196"/>
      <c r="HAZ56" s="196"/>
      <c r="HBA56" s="196"/>
      <c r="HBB56" s="196"/>
      <c r="HBC56" s="196"/>
      <c r="HBD56" s="196"/>
      <c r="HBE56" s="196"/>
      <c r="HBF56" s="196"/>
      <c r="HBG56" s="196"/>
      <c r="HBH56" s="196"/>
      <c r="HBI56" s="196"/>
      <c r="HBJ56" s="196"/>
      <c r="HBK56" s="196"/>
      <c r="HBL56" s="196"/>
      <c r="HBM56" s="196"/>
      <c r="HBN56" s="196"/>
      <c r="HBO56" s="196"/>
      <c r="HBP56" s="196"/>
      <c r="HBQ56" s="196"/>
      <c r="HBR56" s="196"/>
      <c r="HBS56" s="196"/>
      <c r="HBT56" s="196"/>
      <c r="HBU56" s="196"/>
      <c r="HBV56" s="196"/>
      <c r="HBW56" s="196"/>
      <c r="HBX56" s="196"/>
      <c r="HBY56" s="196"/>
      <c r="HBZ56" s="196"/>
      <c r="HCA56" s="196"/>
      <c r="HCB56" s="196"/>
      <c r="HCC56" s="196"/>
      <c r="HCD56" s="196"/>
      <c r="HCE56" s="196"/>
      <c r="HCF56" s="196"/>
      <c r="HCG56" s="196"/>
      <c r="HCH56" s="196"/>
      <c r="HCI56" s="196"/>
      <c r="HCJ56" s="196"/>
      <c r="HCK56" s="196"/>
      <c r="HCL56" s="196"/>
      <c r="HCM56" s="196"/>
      <c r="HCN56" s="196"/>
      <c r="HCO56" s="196"/>
      <c r="HCP56" s="196"/>
      <c r="HCQ56" s="196"/>
      <c r="HCR56" s="196"/>
      <c r="HCS56" s="196"/>
      <c r="HCT56" s="196"/>
      <c r="HCU56" s="196"/>
      <c r="HCV56" s="196"/>
      <c r="HCW56" s="196"/>
      <c r="HCX56" s="196"/>
      <c r="HCY56" s="196"/>
      <c r="HCZ56" s="196"/>
      <c r="HDA56" s="196"/>
      <c r="HDB56" s="196"/>
      <c r="HDC56" s="196"/>
      <c r="HDD56" s="196"/>
      <c r="HDE56" s="196"/>
      <c r="HDF56" s="196"/>
      <c r="HDG56" s="196"/>
      <c r="HDH56" s="196"/>
      <c r="HDI56" s="196"/>
      <c r="HDJ56" s="196"/>
      <c r="HDK56" s="196"/>
      <c r="HDL56" s="196"/>
      <c r="HDM56" s="196"/>
      <c r="HDN56" s="196"/>
      <c r="HDO56" s="196"/>
      <c r="HDP56" s="196"/>
      <c r="HDQ56" s="196"/>
      <c r="HDR56" s="196"/>
      <c r="HDS56" s="196"/>
      <c r="HDT56" s="196"/>
      <c r="HDU56" s="196"/>
      <c r="HDV56" s="196"/>
      <c r="HDW56" s="196"/>
      <c r="HDX56" s="196"/>
      <c r="HDY56" s="196"/>
      <c r="HDZ56" s="196"/>
      <c r="HEA56" s="196"/>
      <c r="HEB56" s="196"/>
      <c r="HEC56" s="196"/>
      <c r="HED56" s="196"/>
      <c r="HEE56" s="196"/>
      <c r="HEF56" s="196"/>
      <c r="HEG56" s="196"/>
      <c r="HEH56" s="196"/>
      <c r="HEI56" s="196"/>
      <c r="HEJ56" s="196"/>
      <c r="HEK56" s="196"/>
      <c r="HEL56" s="196"/>
      <c r="HEM56" s="196"/>
      <c r="HEN56" s="196"/>
      <c r="HEO56" s="196"/>
      <c r="HEP56" s="196"/>
      <c r="HEQ56" s="196"/>
      <c r="HER56" s="196"/>
      <c r="HES56" s="196"/>
      <c r="HET56" s="196"/>
      <c r="HEU56" s="196"/>
      <c r="HEV56" s="196"/>
      <c r="HEW56" s="196"/>
      <c r="HEX56" s="196"/>
      <c r="HEY56" s="196"/>
      <c r="HEZ56" s="196"/>
      <c r="HFA56" s="196"/>
      <c r="HFB56" s="196"/>
      <c r="HFC56" s="196"/>
      <c r="HFD56" s="196"/>
      <c r="HFE56" s="196"/>
      <c r="HFF56" s="196"/>
      <c r="HFG56" s="196"/>
      <c r="HFH56" s="196"/>
      <c r="HFI56" s="196"/>
      <c r="HFJ56" s="196"/>
      <c r="HFK56" s="196"/>
      <c r="HFL56" s="196"/>
      <c r="HFM56" s="196"/>
      <c r="HFN56" s="196"/>
      <c r="HFO56" s="196"/>
      <c r="HFP56" s="196"/>
      <c r="HFQ56" s="196"/>
      <c r="HFR56" s="196"/>
      <c r="HFS56" s="196"/>
      <c r="HFT56" s="196"/>
      <c r="HFU56" s="196"/>
      <c r="HFV56" s="196"/>
      <c r="HFW56" s="196"/>
      <c r="HFX56" s="196"/>
      <c r="HFY56" s="196"/>
      <c r="HFZ56" s="196"/>
      <c r="HGA56" s="196"/>
      <c r="HGB56" s="196"/>
      <c r="HGC56" s="196"/>
      <c r="HGD56" s="196"/>
      <c r="HGE56" s="196"/>
      <c r="HGF56" s="196"/>
      <c r="HGG56" s="196"/>
      <c r="HGH56" s="196"/>
      <c r="HGI56" s="196"/>
      <c r="HGJ56" s="196"/>
      <c r="HGK56" s="196"/>
      <c r="HGL56" s="196"/>
      <c r="HGM56" s="196"/>
      <c r="HGN56" s="196"/>
      <c r="HGO56" s="196"/>
      <c r="HGP56" s="196"/>
      <c r="HGQ56" s="196"/>
      <c r="HGR56" s="196"/>
      <c r="HGS56" s="196"/>
      <c r="HGT56" s="196"/>
      <c r="HGU56" s="196"/>
      <c r="HGV56" s="196"/>
      <c r="HGW56" s="196"/>
      <c r="HGX56" s="196"/>
      <c r="HGY56" s="196"/>
      <c r="HGZ56" s="196"/>
      <c r="HHA56" s="196"/>
      <c r="HHB56" s="196"/>
      <c r="HHC56" s="196"/>
      <c r="HHD56" s="196"/>
      <c r="HHE56" s="196"/>
      <c r="HHF56" s="196"/>
      <c r="HHG56" s="196"/>
      <c r="HHH56" s="196"/>
      <c r="HHI56" s="196"/>
      <c r="HHJ56" s="196"/>
      <c r="HHK56" s="196"/>
      <c r="HHL56" s="196"/>
      <c r="HHM56" s="196"/>
      <c r="HHN56" s="196"/>
      <c r="HHO56" s="196"/>
      <c r="HHP56" s="196"/>
      <c r="HHQ56" s="196"/>
      <c r="HHR56" s="196"/>
      <c r="HHS56" s="196"/>
      <c r="HHT56" s="196"/>
      <c r="HHU56" s="196"/>
      <c r="HHV56" s="196"/>
      <c r="HHW56" s="196"/>
      <c r="HHX56" s="196"/>
      <c r="HHY56" s="196"/>
      <c r="HHZ56" s="196"/>
      <c r="HIA56" s="196"/>
      <c r="HIB56" s="196"/>
      <c r="HIC56" s="196"/>
      <c r="HID56" s="196"/>
      <c r="HIE56" s="196"/>
      <c r="HIF56" s="196"/>
      <c r="HIG56" s="196"/>
      <c r="HIH56" s="196"/>
      <c r="HII56" s="196"/>
      <c r="HIJ56" s="196"/>
      <c r="HIK56" s="196"/>
      <c r="HIL56" s="196"/>
      <c r="HIM56" s="196"/>
      <c r="HIN56" s="196"/>
      <c r="HIO56" s="196"/>
      <c r="HIP56" s="196"/>
      <c r="HIQ56" s="196"/>
      <c r="HIR56" s="196"/>
      <c r="HIS56" s="196"/>
      <c r="HIT56" s="196"/>
      <c r="HIU56" s="196"/>
      <c r="HIV56" s="196"/>
      <c r="HIW56" s="196"/>
      <c r="HIX56" s="196"/>
      <c r="HIY56" s="196"/>
      <c r="HIZ56" s="196"/>
      <c r="HJA56" s="196"/>
      <c r="HJB56" s="196"/>
      <c r="HJC56" s="196"/>
      <c r="HJD56" s="196"/>
      <c r="HJE56" s="196"/>
      <c r="HJF56" s="196"/>
      <c r="HJG56" s="196"/>
      <c r="HJH56" s="196"/>
      <c r="HJI56" s="196"/>
      <c r="HJJ56" s="196"/>
      <c r="HJK56" s="196"/>
      <c r="HJL56" s="196"/>
      <c r="HJM56" s="196"/>
      <c r="HJN56" s="196"/>
      <c r="HJO56" s="196"/>
      <c r="HJP56" s="196"/>
      <c r="HJQ56" s="196"/>
      <c r="HJR56" s="196"/>
      <c r="HJS56" s="196"/>
      <c r="HJT56" s="196"/>
      <c r="HJU56" s="196"/>
      <c r="HJV56" s="196"/>
      <c r="HJW56" s="196"/>
      <c r="HJX56" s="196"/>
      <c r="HJY56" s="196"/>
      <c r="HJZ56" s="196"/>
      <c r="HKA56" s="196"/>
      <c r="HKB56" s="196"/>
      <c r="HKC56" s="196"/>
      <c r="HKD56" s="196"/>
      <c r="HKE56" s="196"/>
      <c r="HKF56" s="196"/>
      <c r="HKG56" s="196"/>
      <c r="HKH56" s="196"/>
      <c r="HKI56" s="196"/>
      <c r="HKJ56" s="196"/>
      <c r="HKK56" s="196"/>
      <c r="HKL56" s="196"/>
      <c r="HKM56" s="196"/>
      <c r="HKN56" s="196"/>
      <c r="HKO56" s="196"/>
      <c r="HKP56" s="196"/>
      <c r="HKQ56" s="196"/>
      <c r="HKR56" s="196"/>
      <c r="HKS56" s="196"/>
      <c r="HKT56" s="196"/>
      <c r="HKU56" s="196"/>
      <c r="HKV56" s="196"/>
      <c r="HKW56" s="196"/>
      <c r="HKX56" s="196"/>
      <c r="HKY56" s="196"/>
      <c r="HKZ56" s="196"/>
      <c r="HLA56" s="196"/>
      <c r="HLB56" s="196"/>
      <c r="HLC56" s="196"/>
      <c r="HLD56" s="196"/>
      <c r="HLE56" s="196"/>
      <c r="HLF56" s="196"/>
      <c r="HLG56" s="196"/>
      <c r="HLH56" s="196"/>
      <c r="HLI56" s="196"/>
      <c r="HLJ56" s="196"/>
      <c r="HLK56" s="196"/>
      <c r="HLL56" s="196"/>
      <c r="HLM56" s="196"/>
      <c r="HLN56" s="196"/>
      <c r="HLO56" s="196"/>
      <c r="HLP56" s="196"/>
      <c r="HLQ56" s="196"/>
      <c r="HLR56" s="196"/>
      <c r="HLS56" s="196"/>
      <c r="HLT56" s="196"/>
      <c r="HLU56" s="196"/>
      <c r="HLV56" s="196"/>
      <c r="HLW56" s="196"/>
      <c r="HLX56" s="196"/>
      <c r="HLY56" s="196"/>
      <c r="HLZ56" s="196"/>
      <c r="HMA56" s="196"/>
      <c r="HMB56" s="196"/>
      <c r="HMC56" s="196"/>
      <c r="HMD56" s="196"/>
      <c r="HME56" s="196"/>
      <c r="HMF56" s="196"/>
      <c r="HMG56" s="196"/>
      <c r="HMH56" s="196"/>
      <c r="HMI56" s="196"/>
      <c r="HMJ56" s="196"/>
      <c r="HMK56" s="196"/>
      <c r="HML56" s="196"/>
      <c r="HMM56" s="196"/>
      <c r="HMN56" s="196"/>
      <c r="HMO56" s="196"/>
      <c r="HMP56" s="196"/>
      <c r="HMQ56" s="196"/>
      <c r="HMR56" s="196"/>
      <c r="HMS56" s="196"/>
      <c r="HMT56" s="196"/>
      <c r="HMU56" s="196"/>
      <c r="HMV56" s="196"/>
      <c r="HMW56" s="196"/>
      <c r="HMX56" s="196"/>
      <c r="HMY56" s="196"/>
      <c r="HMZ56" s="196"/>
      <c r="HNA56" s="196"/>
      <c r="HNB56" s="196"/>
      <c r="HNC56" s="196"/>
      <c r="HND56" s="196"/>
      <c r="HNE56" s="196"/>
      <c r="HNF56" s="196"/>
      <c r="HNG56" s="196"/>
      <c r="HNH56" s="196"/>
      <c r="HNI56" s="196"/>
      <c r="HNJ56" s="196"/>
      <c r="HNK56" s="196"/>
      <c r="HNL56" s="196"/>
      <c r="HNM56" s="196"/>
      <c r="HNN56" s="196"/>
      <c r="HNO56" s="196"/>
      <c r="HNP56" s="196"/>
      <c r="HNQ56" s="196"/>
      <c r="HNR56" s="196"/>
      <c r="HNS56" s="196"/>
      <c r="HNT56" s="196"/>
      <c r="HNU56" s="196"/>
      <c r="HNV56" s="196"/>
      <c r="HNW56" s="196"/>
      <c r="HNX56" s="196"/>
      <c r="HNY56" s="196"/>
      <c r="HNZ56" s="196"/>
      <c r="HOA56" s="196"/>
      <c r="HOB56" s="196"/>
      <c r="HOC56" s="196"/>
      <c r="HOD56" s="196"/>
      <c r="HOE56" s="196"/>
      <c r="HOF56" s="196"/>
      <c r="HOG56" s="196"/>
      <c r="HOH56" s="196"/>
      <c r="HOI56" s="196"/>
      <c r="HOJ56" s="196"/>
      <c r="HOK56" s="196"/>
      <c r="HOL56" s="196"/>
      <c r="HOM56" s="196"/>
      <c r="HON56" s="196"/>
      <c r="HOO56" s="196"/>
      <c r="HOP56" s="196"/>
      <c r="HOQ56" s="196"/>
      <c r="HOR56" s="196"/>
      <c r="HOS56" s="196"/>
      <c r="HOT56" s="196"/>
      <c r="HOU56" s="196"/>
      <c r="HOV56" s="196"/>
      <c r="HOW56" s="196"/>
      <c r="HOX56" s="196"/>
      <c r="HOY56" s="196"/>
      <c r="HOZ56" s="196"/>
      <c r="HPA56" s="196"/>
      <c r="HPB56" s="196"/>
      <c r="HPC56" s="196"/>
      <c r="HPD56" s="196"/>
      <c r="HPE56" s="196"/>
      <c r="HPF56" s="196"/>
      <c r="HPG56" s="196"/>
      <c r="HPH56" s="196"/>
      <c r="HPI56" s="196"/>
      <c r="HPJ56" s="196"/>
      <c r="HPK56" s="196"/>
      <c r="HPL56" s="196"/>
      <c r="HPM56" s="196"/>
      <c r="HPN56" s="196"/>
      <c r="HPO56" s="196"/>
      <c r="HPP56" s="196"/>
      <c r="HPQ56" s="196"/>
      <c r="HPR56" s="196"/>
      <c r="HPS56" s="196"/>
      <c r="HPT56" s="196"/>
      <c r="HPU56" s="196"/>
      <c r="HPV56" s="196"/>
      <c r="HPW56" s="196"/>
      <c r="HPX56" s="196"/>
      <c r="HPY56" s="196"/>
      <c r="HPZ56" s="196"/>
      <c r="HQA56" s="196"/>
      <c r="HQB56" s="196"/>
      <c r="HQC56" s="196"/>
      <c r="HQD56" s="196"/>
      <c r="HQE56" s="196"/>
      <c r="HQF56" s="196"/>
      <c r="HQG56" s="196"/>
      <c r="HQH56" s="196"/>
      <c r="HQI56" s="196"/>
      <c r="HQJ56" s="196"/>
      <c r="HQK56" s="196"/>
      <c r="HQL56" s="196"/>
      <c r="HQM56" s="196"/>
      <c r="HQN56" s="196"/>
      <c r="HQO56" s="196"/>
      <c r="HQP56" s="196"/>
      <c r="HQQ56" s="196"/>
      <c r="HQR56" s="196"/>
      <c r="HQS56" s="196"/>
      <c r="HQT56" s="196"/>
      <c r="HQU56" s="196"/>
      <c r="HQV56" s="196"/>
      <c r="HQW56" s="196"/>
      <c r="HQX56" s="196"/>
      <c r="HQY56" s="196"/>
      <c r="HQZ56" s="196"/>
      <c r="HRA56" s="196"/>
      <c r="HRB56" s="196"/>
      <c r="HRC56" s="196"/>
      <c r="HRD56" s="196"/>
      <c r="HRE56" s="196"/>
      <c r="HRF56" s="196"/>
      <c r="HRG56" s="196"/>
      <c r="HRH56" s="196"/>
      <c r="HRI56" s="196"/>
      <c r="HRJ56" s="196"/>
      <c r="HRK56" s="196"/>
      <c r="HRL56" s="196"/>
      <c r="HRM56" s="196"/>
      <c r="HRN56" s="196"/>
      <c r="HRO56" s="196"/>
      <c r="HRP56" s="196"/>
      <c r="HRQ56" s="196"/>
      <c r="HRR56" s="196"/>
      <c r="HRS56" s="196"/>
      <c r="HRT56" s="196"/>
      <c r="HRU56" s="196"/>
      <c r="HRV56" s="196"/>
      <c r="HRW56" s="196"/>
      <c r="HRX56" s="196"/>
      <c r="HRY56" s="196"/>
      <c r="HRZ56" s="196"/>
      <c r="HSA56" s="196"/>
      <c r="HSB56" s="196"/>
      <c r="HSC56" s="196"/>
      <c r="HSD56" s="196"/>
      <c r="HSE56" s="196"/>
      <c r="HSF56" s="196"/>
      <c r="HSG56" s="196"/>
      <c r="HSH56" s="196"/>
      <c r="HSI56" s="196"/>
      <c r="HSJ56" s="196"/>
      <c r="HSK56" s="196"/>
      <c r="HSL56" s="196"/>
      <c r="HSM56" s="196"/>
      <c r="HSN56" s="196"/>
      <c r="HSO56" s="196"/>
      <c r="HSP56" s="196"/>
      <c r="HSQ56" s="196"/>
      <c r="HSR56" s="196"/>
      <c r="HSS56" s="196"/>
      <c r="HST56" s="196"/>
      <c r="HSU56" s="196"/>
      <c r="HSV56" s="196"/>
      <c r="HSW56" s="196"/>
      <c r="HSX56" s="196"/>
      <c r="HSY56" s="196"/>
      <c r="HSZ56" s="196"/>
      <c r="HTA56" s="196"/>
      <c r="HTB56" s="196"/>
      <c r="HTC56" s="196"/>
      <c r="HTD56" s="196"/>
      <c r="HTE56" s="196"/>
      <c r="HTF56" s="196"/>
      <c r="HTG56" s="196"/>
      <c r="HTH56" s="196"/>
      <c r="HTI56" s="196"/>
      <c r="HTJ56" s="196"/>
      <c r="HTK56" s="196"/>
      <c r="HTL56" s="196"/>
      <c r="HTM56" s="196"/>
      <c r="HTN56" s="196"/>
      <c r="HTO56" s="196"/>
      <c r="HTP56" s="196"/>
      <c r="HTQ56" s="196"/>
      <c r="HTR56" s="196"/>
      <c r="HTS56" s="196"/>
      <c r="HTT56" s="196"/>
      <c r="HTU56" s="196"/>
      <c r="HTV56" s="196"/>
      <c r="HTW56" s="196"/>
      <c r="HTX56" s="196"/>
      <c r="HTY56" s="196"/>
      <c r="HTZ56" s="196"/>
      <c r="HUA56" s="196"/>
      <c r="HUB56" s="196"/>
      <c r="HUC56" s="196"/>
      <c r="HUD56" s="196"/>
      <c r="HUE56" s="196"/>
      <c r="HUF56" s="196"/>
      <c r="HUG56" s="196"/>
      <c r="HUH56" s="196"/>
      <c r="HUI56" s="196"/>
      <c r="HUJ56" s="196"/>
      <c r="HUK56" s="196"/>
      <c r="HUL56" s="196"/>
      <c r="HUM56" s="196"/>
      <c r="HUN56" s="196"/>
      <c r="HUO56" s="196"/>
      <c r="HUP56" s="196"/>
      <c r="HUQ56" s="196"/>
      <c r="HUR56" s="196"/>
      <c r="HUS56" s="196"/>
      <c r="HUT56" s="196"/>
      <c r="HUU56" s="196"/>
      <c r="HUV56" s="196"/>
      <c r="HUW56" s="196"/>
      <c r="HUX56" s="196"/>
      <c r="HUY56" s="196"/>
      <c r="HUZ56" s="196"/>
      <c r="HVA56" s="196"/>
      <c r="HVB56" s="196"/>
      <c r="HVC56" s="196"/>
      <c r="HVD56" s="196"/>
      <c r="HVE56" s="196"/>
      <c r="HVF56" s="196"/>
      <c r="HVG56" s="196"/>
      <c r="HVH56" s="196"/>
      <c r="HVI56" s="196"/>
      <c r="HVJ56" s="196"/>
      <c r="HVK56" s="196"/>
      <c r="HVL56" s="196"/>
      <c r="HVM56" s="196"/>
      <c r="HVN56" s="196"/>
      <c r="HVO56" s="196"/>
      <c r="HVP56" s="196"/>
      <c r="HVQ56" s="196"/>
      <c r="HVR56" s="196"/>
      <c r="HVS56" s="196"/>
      <c r="HVT56" s="196"/>
      <c r="HVU56" s="196"/>
      <c r="HVV56" s="196"/>
      <c r="HVW56" s="196"/>
      <c r="HVX56" s="196"/>
      <c r="HVY56" s="196"/>
      <c r="HVZ56" s="196"/>
      <c r="HWA56" s="196"/>
      <c r="HWB56" s="196"/>
      <c r="HWC56" s="196"/>
      <c r="HWD56" s="196"/>
      <c r="HWE56" s="196"/>
      <c r="HWF56" s="196"/>
      <c r="HWG56" s="196"/>
      <c r="HWH56" s="196"/>
      <c r="HWI56" s="196"/>
      <c r="HWJ56" s="196"/>
      <c r="HWK56" s="196"/>
      <c r="HWL56" s="196"/>
      <c r="HWM56" s="196"/>
      <c r="HWN56" s="196"/>
      <c r="HWO56" s="196"/>
      <c r="HWP56" s="196"/>
      <c r="HWQ56" s="196"/>
      <c r="HWR56" s="196"/>
      <c r="HWS56" s="196"/>
      <c r="HWT56" s="196"/>
      <c r="HWU56" s="196"/>
      <c r="HWV56" s="196"/>
      <c r="HWW56" s="196"/>
      <c r="HWX56" s="196"/>
      <c r="HWY56" s="196"/>
      <c r="HWZ56" s="196"/>
      <c r="HXA56" s="196"/>
      <c r="HXB56" s="196"/>
      <c r="HXC56" s="196"/>
      <c r="HXD56" s="196"/>
      <c r="HXE56" s="196"/>
      <c r="HXF56" s="196"/>
      <c r="HXG56" s="196"/>
      <c r="HXH56" s="196"/>
      <c r="HXI56" s="196"/>
      <c r="HXJ56" s="196"/>
      <c r="HXK56" s="196"/>
      <c r="HXL56" s="196"/>
      <c r="HXM56" s="196"/>
      <c r="HXN56" s="196"/>
      <c r="HXO56" s="196"/>
      <c r="HXP56" s="196"/>
      <c r="HXQ56" s="196"/>
      <c r="HXR56" s="196"/>
      <c r="HXS56" s="196"/>
      <c r="HXT56" s="196"/>
      <c r="HXU56" s="196"/>
      <c r="HXV56" s="196"/>
      <c r="HXW56" s="196"/>
      <c r="HXX56" s="196"/>
      <c r="HXY56" s="196"/>
      <c r="HXZ56" s="196"/>
      <c r="HYA56" s="196"/>
      <c r="HYB56" s="196"/>
      <c r="HYC56" s="196"/>
      <c r="HYD56" s="196"/>
      <c r="HYE56" s="196"/>
      <c r="HYF56" s="196"/>
      <c r="HYG56" s="196"/>
      <c r="HYH56" s="196"/>
      <c r="HYI56" s="196"/>
      <c r="HYJ56" s="196"/>
      <c r="HYK56" s="196"/>
      <c r="HYL56" s="196"/>
      <c r="HYM56" s="196"/>
      <c r="HYN56" s="196"/>
      <c r="HYO56" s="196"/>
      <c r="HYP56" s="196"/>
      <c r="HYQ56" s="196"/>
      <c r="HYR56" s="196"/>
      <c r="HYS56" s="196"/>
      <c r="HYT56" s="196"/>
      <c r="HYU56" s="196"/>
      <c r="HYV56" s="196"/>
      <c r="HYW56" s="196"/>
      <c r="HYX56" s="196"/>
      <c r="HYY56" s="196"/>
      <c r="HYZ56" s="196"/>
      <c r="HZA56" s="196"/>
      <c r="HZB56" s="196"/>
      <c r="HZC56" s="196"/>
      <c r="HZD56" s="196"/>
      <c r="HZE56" s="196"/>
      <c r="HZF56" s="196"/>
      <c r="HZG56" s="196"/>
      <c r="HZH56" s="196"/>
      <c r="HZI56" s="196"/>
      <c r="HZJ56" s="196"/>
      <c r="HZK56" s="196"/>
      <c r="HZL56" s="196"/>
      <c r="HZM56" s="196"/>
      <c r="HZN56" s="196"/>
      <c r="HZO56" s="196"/>
      <c r="HZP56" s="196"/>
      <c r="HZQ56" s="196"/>
      <c r="HZR56" s="196"/>
      <c r="HZS56" s="196"/>
      <c r="HZT56" s="196"/>
      <c r="HZU56" s="196"/>
      <c r="HZV56" s="196"/>
      <c r="HZW56" s="196"/>
      <c r="HZX56" s="196"/>
      <c r="HZY56" s="196"/>
      <c r="HZZ56" s="196"/>
      <c r="IAA56" s="196"/>
      <c r="IAB56" s="196"/>
      <c r="IAC56" s="196"/>
      <c r="IAD56" s="196"/>
      <c r="IAE56" s="196"/>
      <c r="IAF56" s="196"/>
      <c r="IAG56" s="196"/>
      <c r="IAH56" s="196"/>
      <c r="IAI56" s="196"/>
      <c r="IAJ56" s="196"/>
      <c r="IAK56" s="196"/>
      <c r="IAL56" s="196"/>
      <c r="IAM56" s="196"/>
      <c r="IAN56" s="196"/>
      <c r="IAO56" s="196"/>
      <c r="IAP56" s="196"/>
      <c r="IAQ56" s="196"/>
      <c r="IAR56" s="196"/>
      <c r="IAS56" s="196"/>
      <c r="IAT56" s="196"/>
      <c r="IAU56" s="196"/>
      <c r="IAV56" s="196"/>
      <c r="IAW56" s="196"/>
      <c r="IAX56" s="196"/>
      <c r="IAY56" s="196"/>
      <c r="IAZ56" s="196"/>
      <c r="IBA56" s="196"/>
      <c r="IBB56" s="196"/>
      <c r="IBC56" s="196"/>
      <c r="IBD56" s="196"/>
      <c r="IBE56" s="196"/>
      <c r="IBF56" s="196"/>
      <c r="IBG56" s="196"/>
      <c r="IBH56" s="196"/>
      <c r="IBI56" s="196"/>
      <c r="IBJ56" s="196"/>
      <c r="IBK56" s="196"/>
      <c r="IBL56" s="196"/>
      <c r="IBM56" s="196"/>
      <c r="IBN56" s="196"/>
      <c r="IBO56" s="196"/>
      <c r="IBP56" s="196"/>
      <c r="IBQ56" s="196"/>
      <c r="IBR56" s="196"/>
      <c r="IBS56" s="196"/>
      <c r="IBT56" s="196"/>
      <c r="IBU56" s="196"/>
      <c r="IBV56" s="196"/>
      <c r="IBW56" s="196"/>
      <c r="IBX56" s="196"/>
      <c r="IBY56" s="196"/>
      <c r="IBZ56" s="196"/>
      <c r="ICA56" s="196"/>
      <c r="ICB56" s="196"/>
      <c r="ICC56" s="196"/>
      <c r="ICD56" s="196"/>
      <c r="ICE56" s="196"/>
      <c r="ICF56" s="196"/>
      <c r="ICG56" s="196"/>
      <c r="ICH56" s="196"/>
      <c r="ICI56" s="196"/>
      <c r="ICJ56" s="196"/>
      <c r="ICK56" s="196"/>
      <c r="ICL56" s="196"/>
      <c r="ICM56" s="196"/>
      <c r="ICN56" s="196"/>
      <c r="ICO56" s="196"/>
      <c r="ICP56" s="196"/>
      <c r="ICQ56" s="196"/>
      <c r="ICR56" s="196"/>
      <c r="ICS56" s="196"/>
      <c r="ICT56" s="196"/>
      <c r="ICU56" s="196"/>
      <c r="ICV56" s="196"/>
      <c r="ICW56" s="196"/>
      <c r="ICX56" s="196"/>
      <c r="ICY56" s="196"/>
      <c r="ICZ56" s="196"/>
      <c r="IDA56" s="196"/>
      <c r="IDB56" s="196"/>
      <c r="IDC56" s="196"/>
      <c r="IDD56" s="196"/>
      <c r="IDE56" s="196"/>
      <c r="IDF56" s="196"/>
      <c r="IDG56" s="196"/>
      <c r="IDH56" s="196"/>
      <c r="IDI56" s="196"/>
      <c r="IDJ56" s="196"/>
      <c r="IDK56" s="196"/>
      <c r="IDL56" s="196"/>
      <c r="IDM56" s="196"/>
      <c r="IDN56" s="196"/>
      <c r="IDO56" s="196"/>
      <c r="IDP56" s="196"/>
      <c r="IDQ56" s="196"/>
      <c r="IDR56" s="196"/>
      <c r="IDS56" s="196"/>
      <c r="IDT56" s="196"/>
      <c r="IDU56" s="196"/>
      <c r="IDV56" s="196"/>
      <c r="IDW56" s="196"/>
      <c r="IDX56" s="196"/>
      <c r="IDY56" s="196"/>
      <c r="IDZ56" s="196"/>
      <c r="IEA56" s="196"/>
      <c r="IEB56" s="196"/>
      <c r="IEC56" s="196"/>
      <c r="IED56" s="196"/>
      <c r="IEE56" s="196"/>
      <c r="IEF56" s="196"/>
      <c r="IEG56" s="196"/>
      <c r="IEH56" s="196"/>
      <c r="IEI56" s="196"/>
      <c r="IEJ56" s="196"/>
      <c r="IEK56" s="196"/>
      <c r="IEL56" s="196"/>
      <c r="IEM56" s="196"/>
      <c r="IEN56" s="196"/>
      <c r="IEO56" s="196"/>
      <c r="IEP56" s="196"/>
      <c r="IEQ56" s="196"/>
      <c r="IER56" s="196"/>
      <c r="IES56" s="196"/>
      <c r="IET56" s="196"/>
      <c r="IEU56" s="196"/>
      <c r="IEV56" s="196"/>
      <c r="IEW56" s="196"/>
      <c r="IEX56" s="196"/>
      <c r="IEY56" s="196"/>
      <c r="IEZ56" s="196"/>
      <c r="IFA56" s="196"/>
      <c r="IFB56" s="196"/>
      <c r="IFC56" s="196"/>
      <c r="IFD56" s="196"/>
      <c r="IFE56" s="196"/>
      <c r="IFF56" s="196"/>
      <c r="IFG56" s="196"/>
      <c r="IFH56" s="196"/>
      <c r="IFI56" s="196"/>
      <c r="IFJ56" s="196"/>
      <c r="IFK56" s="196"/>
      <c r="IFL56" s="196"/>
      <c r="IFM56" s="196"/>
      <c r="IFN56" s="196"/>
      <c r="IFO56" s="196"/>
      <c r="IFP56" s="196"/>
      <c r="IFQ56" s="196"/>
      <c r="IFR56" s="196"/>
      <c r="IFS56" s="196"/>
      <c r="IFT56" s="196"/>
      <c r="IFU56" s="196"/>
      <c r="IFV56" s="196"/>
      <c r="IFW56" s="196"/>
      <c r="IFX56" s="196"/>
      <c r="IFY56" s="196"/>
      <c r="IFZ56" s="196"/>
      <c r="IGA56" s="196"/>
      <c r="IGB56" s="196"/>
      <c r="IGC56" s="196"/>
      <c r="IGD56" s="196"/>
      <c r="IGE56" s="196"/>
      <c r="IGF56" s="196"/>
      <c r="IGG56" s="196"/>
      <c r="IGH56" s="196"/>
      <c r="IGI56" s="196"/>
      <c r="IGJ56" s="196"/>
      <c r="IGK56" s="196"/>
      <c r="IGL56" s="196"/>
      <c r="IGM56" s="196"/>
      <c r="IGN56" s="196"/>
      <c r="IGO56" s="196"/>
      <c r="IGP56" s="196"/>
      <c r="IGQ56" s="196"/>
      <c r="IGR56" s="196"/>
      <c r="IGS56" s="196"/>
      <c r="IGT56" s="196"/>
      <c r="IGU56" s="196"/>
      <c r="IGV56" s="196"/>
      <c r="IGW56" s="196"/>
      <c r="IGX56" s="196"/>
      <c r="IGY56" s="196"/>
      <c r="IGZ56" s="196"/>
      <c r="IHA56" s="196"/>
      <c r="IHB56" s="196"/>
      <c r="IHC56" s="196"/>
      <c r="IHD56" s="196"/>
      <c r="IHE56" s="196"/>
      <c r="IHF56" s="196"/>
      <c r="IHG56" s="196"/>
      <c r="IHH56" s="196"/>
      <c r="IHI56" s="196"/>
      <c r="IHJ56" s="196"/>
      <c r="IHK56" s="196"/>
      <c r="IHL56" s="196"/>
      <c r="IHM56" s="196"/>
      <c r="IHN56" s="196"/>
      <c r="IHO56" s="196"/>
      <c r="IHP56" s="196"/>
      <c r="IHQ56" s="196"/>
      <c r="IHR56" s="196"/>
      <c r="IHS56" s="196"/>
      <c r="IHT56" s="196"/>
      <c r="IHU56" s="196"/>
      <c r="IHV56" s="196"/>
      <c r="IHW56" s="196"/>
      <c r="IHX56" s="196"/>
      <c r="IHY56" s="196"/>
      <c r="IHZ56" s="196"/>
      <c r="IIA56" s="196"/>
      <c r="IIB56" s="196"/>
      <c r="IIC56" s="196"/>
      <c r="IID56" s="196"/>
      <c r="IIE56" s="196"/>
      <c r="IIF56" s="196"/>
      <c r="IIG56" s="196"/>
      <c r="IIH56" s="196"/>
      <c r="III56" s="196"/>
      <c r="IIJ56" s="196"/>
      <c r="IIK56" s="196"/>
      <c r="IIL56" s="196"/>
      <c r="IIM56" s="196"/>
      <c r="IIN56" s="196"/>
      <c r="IIO56" s="196"/>
      <c r="IIP56" s="196"/>
      <c r="IIQ56" s="196"/>
      <c r="IIR56" s="196"/>
      <c r="IIS56" s="196"/>
      <c r="IIT56" s="196"/>
      <c r="IIU56" s="196"/>
      <c r="IIV56" s="196"/>
      <c r="IIW56" s="196"/>
      <c r="IIX56" s="196"/>
      <c r="IIY56" s="196"/>
      <c r="IIZ56" s="196"/>
      <c r="IJA56" s="196"/>
      <c r="IJB56" s="196"/>
      <c r="IJC56" s="196"/>
      <c r="IJD56" s="196"/>
      <c r="IJE56" s="196"/>
      <c r="IJF56" s="196"/>
      <c r="IJG56" s="196"/>
      <c r="IJH56" s="196"/>
      <c r="IJI56" s="196"/>
      <c r="IJJ56" s="196"/>
      <c r="IJK56" s="196"/>
      <c r="IJL56" s="196"/>
      <c r="IJM56" s="196"/>
      <c r="IJN56" s="196"/>
      <c r="IJO56" s="196"/>
      <c r="IJP56" s="196"/>
      <c r="IJQ56" s="196"/>
      <c r="IJR56" s="196"/>
      <c r="IJS56" s="196"/>
      <c r="IJT56" s="196"/>
      <c r="IJU56" s="196"/>
      <c r="IJV56" s="196"/>
      <c r="IJW56" s="196"/>
      <c r="IJX56" s="196"/>
      <c r="IJY56" s="196"/>
      <c r="IJZ56" s="196"/>
      <c r="IKA56" s="196"/>
      <c r="IKB56" s="196"/>
      <c r="IKC56" s="196"/>
      <c r="IKD56" s="196"/>
      <c r="IKE56" s="196"/>
      <c r="IKF56" s="196"/>
      <c r="IKG56" s="196"/>
      <c r="IKH56" s="196"/>
      <c r="IKI56" s="196"/>
      <c r="IKJ56" s="196"/>
      <c r="IKK56" s="196"/>
      <c r="IKL56" s="196"/>
      <c r="IKM56" s="196"/>
      <c r="IKN56" s="196"/>
      <c r="IKO56" s="196"/>
      <c r="IKP56" s="196"/>
      <c r="IKQ56" s="196"/>
      <c r="IKR56" s="196"/>
      <c r="IKS56" s="196"/>
      <c r="IKT56" s="196"/>
      <c r="IKU56" s="196"/>
      <c r="IKV56" s="196"/>
      <c r="IKW56" s="196"/>
      <c r="IKX56" s="196"/>
      <c r="IKY56" s="196"/>
      <c r="IKZ56" s="196"/>
      <c r="ILA56" s="196"/>
      <c r="ILB56" s="196"/>
      <c r="ILC56" s="196"/>
      <c r="ILD56" s="196"/>
      <c r="ILE56" s="196"/>
      <c r="ILF56" s="196"/>
      <c r="ILG56" s="196"/>
      <c r="ILH56" s="196"/>
      <c r="ILI56" s="196"/>
      <c r="ILJ56" s="196"/>
      <c r="ILK56" s="196"/>
      <c r="ILL56" s="196"/>
      <c r="ILM56" s="196"/>
      <c r="ILN56" s="196"/>
      <c r="ILO56" s="196"/>
      <c r="ILP56" s="196"/>
      <c r="ILQ56" s="196"/>
      <c r="ILR56" s="196"/>
      <c r="ILS56" s="196"/>
      <c r="ILT56" s="196"/>
      <c r="ILU56" s="196"/>
      <c r="ILV56" s="196"/>
      <c r="ILW56" s="196"/>
      <c r="ILX56" s="196"/>
      <c r="ILY56" s="196"/>
      <c r="ILZ56" s="196"/>
      <c r="IMA56" s="196"/>
      <c r="IMB56" s="196"/>
      <c r="IMC56" s="196"/>
      <c r="IMD56" s="196"/>
      <c r="IME56" s="196"/>
      <c r="IMF56" s="196"/>
      <c r="IMG56" s="196"/>
      <c r="IMH56" s="196"/>
      <c r="IMI56" s="196"/>
      <c r="IMJ56" s="196"/>
      <c r="IMK56" s="196"/>
      <c r="IML56" s="196"/>
      <c r="IMM56" s="196"/>
      <c r="IMN56" s="196"/>
      <c r="IMO56" s="196"/>
      <c r="IMP56" s="196"/>
      <c r="IMQ56" s="196"/>
      <c r="IMR56" s="196"/>
      <c r="IMS56" s="196"/>
      <c r="IMT56" s="196"/>
      <c r="IMU56" s="196"/>
      <c r="IMV56" s="196"/>
      <c r="IMW56" s="196"/>
      <c r="IMX56" s="196"/>
      <c r="IMY56" s="196"/>
      <c r="IMZ56" s="196"/>
      <c r="INA56" s="196"/>
      <c r="INB56" s="196"/>
      <c r="INC56" s="196"/>
      <c r="IND56" s="196"/>
      <c r="INE56" s="196"/>
      <c r="INF56" s="196"/>
      <c r="ING56" s="196"/>
      <c r="INH56" s="196"/>
      <c r="INI56" s="196"/>
      <c r="INJ56" s="196"/>
      <c r="INK56" s="196"/>
      <c r="INL56" s="196"/>
      <c r="INM56" s="196"/>
      <c r="INN56" s="196"/>
      <c r="INO56" s="196"/>
      <c r="INP56" s="196"/>
      <c r="INQ56" s="196"/>
      <c r="INR56" s="196"/>
      <c r="INS56" s="196"/>
      <c r="INT56" s="196"/>
      <c r="INU56" s="196"/>
      <c r="INV56" s="196"/>
      <c r="INW56" s="196"/>
      <c r="INX56" s="196"/>
      <c r="INY56" s="196"/>
      <c r="INZ56" s="196"/>
      <c r="IOA56" s="196"/>
      <c r="IOB56" s="196"/>
      <c r="IOC56" s="196"/>
      <c r="IOD56" s="196"/>
      <c r="IOE56" s="196"/>
      <c r="IOF56" s="196"/>
      <c r="IOG56" s="196"/>
      <c r="IOH56" s="196"/>
      <c r="IOI56" s="196"/>
      <c r="IOJ56" s="196"/>
      <c r="IOK56" s="196"/>
      <c r="IOL56" s="196"/>
      <c r="IOM56" s="196"/>
      <c r="ION56" s="196"/>
      <c r="IOO56" s="196"/>
      <c r="IOP56" s="196"/>
      <c r="IOQ56" s="196"/>
      <c r="IOR56" s="196"/>
      <c r="IOS56" s="196"/>
      <c r="IOT56" s="196"/>
      <c r="IOU56" s="196"/>
      <c r="IOV56" s="196"/>
      <c r="IOW56" s="196"/>
      <c r="IOX56" s="196"/>
      <c r="IOY56" s="196"/>
      <c r="IOZ56" s="196"/>
      <c r="IPA56" s="196"/>
      <c r="IPB56" s="196"/>
      <c r="IPC56" s="196"/>
      <c r="IPD56" s="196"/>
      <c r="IPE56" s="196"/>
      <c r="IPF56" s="196"/>
      <c r="IPG56" s="196"/>
      <c r="IPH56" s="196"/>
      <c r="IPI56" s="196"/>
      <c r="IPJ56" s="196"/>
      <c r="IPK56" s="196"/>
      <c r="IPL56" s="196"/>
      <c r="IPM56" s="196"/>
      <c r="IPN56" s="196"/>
      <c r="IPO56" s="196"/>
      <c r="IPP56" s="196"/>
      <c r="IPQ56" s="196"/>
      <c r="IPR56" s="196"/>
      <c r="IPS56" s="196"/>
      <c r="IPT56" s="196"/>
      <c r="IPU56" s="196"/>
      <c r="IPV56" s="196"/>
      <c r="IPW56" s="196"/>
      <c r="IPX56" s="196"/>
      <c r="IPY56" s="196"/>
      <c r="IPZ56" s="196"/>
      <c r="IQA56" s="196"/>
      <c r="IQB56" s="196"/>
      <c r="IQC56" s="196"/>
      <c r="IQD56" s="196"/>
      <c r="IQE56" s="196"/>
      <c r="IQF56" s="196"/>
      <c r="IQG56" s="196"/>
      <c r="IQH56" s="196"/>
      <c r="IQI56" s="196"/>
      <c r="IQJ56" s="196"/>
      <c r="IQK56" s="196"/>
      <c r="IQL56" s="196"/>
      <c r="IQM56" s="196"/>
      <c r="IQN56" s="196"/>
      <c r="IQO56" s="196"/>
      <c r="IQP56" s="196"/>
      <c r="IQQ56" s="196"/>
      <c r="IQR56" s="196"/>
      <c r="IQS56" s="196"/>
      <c r="IQT56" s="196"/>
      <c r="IQU56" s="196"/>
      <c r="IQV56" s="196"/>
      <c r="IQW56" s="196"/>
      <c r="IQX56" s="196"/>
      <c r="IQY56" s="196"/>
      <c r="IQZ56" s="196"/>
      <c r="IRA56" s="196"/>
      <c r="IRB56" s="196"/>
      <c r="IRC56" s="196"/>
      <c r="IRD56" s="196"/>
      <c r="IRE56" s="196"/>
      <c r="IRF56" s="196"/>
      <c r="IRG56" s="196"/>
      <c r="IRH56" s="196"/>
      <c r="IRI56" s="196"/>
      <c r="IRJ56" s="196"/>
      <c r="IRK56" s="196"/>
      <c r="IRL56" s="196"/>
      <c r="IRM56" s="196"/>
      <c r="IRN56" s="196"/>
      <c r="IRO56" s="196"/>
      <c r="IRP56" s="196"/>
      <c r="IRQ56" s="196"/>
      <c r="IRR56" s="196"/>
      <c r="IRS56" s="196"/>
      <c r="IRT56" s="196"/>
      <c r="IRU56" s="196"/>
      <c r="IRV56" s="196"/>
      <c r="IRW56" s="196"/>
      <c r="IRX56" s="196"/>
      <c r="IRY56" s="196"/>
      <c r="IRZ56" s="196"/>
      <c r="ISA56" s="196"/>
      <c r="ISB56" s="196"/>
      <c r="ISC56" s="196"/>
      <c r="ISD56" s="196"/>
      <c r="ISE56" s="196"/>
      <c r="ISF56" s="196"/>
      <c r="ISG56" s="196"/>
      <c r="ISH56" s="196"/>
      <c r="ISI56" s="196"/>
      <c r="ISJ56" s="196"/>
      <c r="ISK56" s="196"/>
      <c r="ISL56" s="196"/>
      <c r="ISM56" s="196"/>
      <c r="ISN56" s="196"/>
      <c r="ISO56" s="196"/>
      <c r="ISP56" s="196"/>
      <c r="ISQ56" s="196"/>
      <c r="ISR56" s="196"/>
      <c r="ISS56" s="196"/>
      <c r="IST56" s="196"/>
      <c r="ISU56" s="196"/>
      <c r="ISV56" s="196"/>
      <c r="ISW56" s="196"/>
      <c r="ISX56" s="196"/>
      <c r="ISY56" s="196"/>
      <c r="ISZ56" s="196"/>
      <c r="ITA56" s="196"/>
      <c r="ITB56" s="196"/>
      <c r="ITC56" s="196"/>
      <c r="ITD56" s="196"/>
      <c r="ITE56" s="196"/>
      <c r="ITF56" s="196"/>
      <c r="ITG56" s="196"/>
      <c r="ITH56" s="196"/>
      <c r="ITI56" s="196"/>
      <c r="ITJ56" s="196"/>
      <c r="ITK56" s="196"/>
      <c r="ITL56" s="196"/>
      <c r="ITM56" s="196"/>
      <c r="ITN56" s="196"/>
      <c r="ITO56" s="196"/>
      <c r="ITP56" s="196"/>
      <c r="ITQ56" s="196"/>
      <c r="ITR56" s="196"/>
      <c r="ITS56" s="196"/>
      <c r="ITT56" s="196"/>
      <c r="ITU56" s="196"/>
      <c r="ITV56" s="196"/>
      <c r="ITW56" s="196"/>
      <c r="ITX56" s="196"/>
      <c r="ITY56" s="196"/>
      <c r="ITZ56" s="196"/>
      <c r="IUA56" s="196"/>
      <c r="IUB56" s="196"/>
      <c r="IUC56" s="196"/>
      <c r="IUD56" s="196"/>
      <c r="IUE56" s="196"/>
      <c r="IUF56" s="196"/>
      <c r="IUG56" s="196"/>
      <c r="IUH56" s="196"/>
      <c r="IUI56" s="196"/>
      <c r="IUJ56" s="196"/>
      <c r="IUK56" s="196"/>
      <c r="IUL56" s="196"/>
      <c r="IUM56" s="196"/>
      <c r="IUN56" s="196"/>
      <c r="IUO56" s="196"/>
      <c r="IUP56" s="196"/>
      <c r="IUQ56" s="196"/>
      <c r="IUR56" s="196"/>
      <c r="IUS56" s="196"/>
      <c r="IUT56" s="196"/>
      <c r="IUU56" s="196"/>
      <c r="IUV56" s="196"/>
      <c r="IUW56" s="196"/>
      <c r="IUX56" s="196"/>
      <c r="IUY56" s="196"/>
      <c r="IUZ56" s="196"/>
      <c r="IVA56" s="196"/>
      <c r="IVB56" s="196"/>
      <c r="IVC56" s="196"/>
      <c r="IVD56" s="196"/>
      <c r="IVE56" s="196"/>
      <c r="IVF56" s="196"/>
      <c r="IVG56" s="196"/>
      <c r="IVH56" s="196"/>
      <c r="IVI56" s="196"/>
      <c r="IVJ56" s="196"/>
      <c r="IVK56" s="196"/>
      <c r="IVL56" s="196"/>
      <c r="IVM56" s="196"/>
      <c r="IVN56" s="196"/>
      <c r="IVO56" s="196"/>
      <c r="IVP56" s="196"/>
      <c r="IVQ56" s="196"/>
      <c r="IVR56" s="196"/>
      <c r="IVS56" s="196"/>
      <c r="IVT56" s="196"/>
      <c r="IVU56" s="196"/>
      <c r="IVV56" s="196"/>
      <c r="IVW56" s="196"/>
      <c r="IVX56" s="196"/>
      <c r="IVY56" s="196"/>
      <c r="IVZ56" s="196"/>
      <c r="IWA56" s="196"/>
      <c r="IWB56" s="196"/>
      <c r="IWC56" s="196"/>
      <c r="IWD56" s="196"/>
      <c r="IWE56" s="196"/>
      <c r="IWF56" s="196"/>
      <c r="IWG56" s="196"/>
      <c r="IWH56" s="196"/>
      <c r="IWI56" s="196"/>
      <c r="IWJ56" s="196"/>
      <c r="IWK56" s="196"/>
      <c r="IWL56" s="196"/>
      <c r="IWM56" s="196"/>
      <c r="IWN56" s="196"/>
      <c r="IWO56" s="196"/>
      <c r="IWP56" s="196"/>
      <c r="IWQ56" s="196"/>
      <c r="IWR56" s="196"/>
      <c r="IWS56" s="196"/>
      <c r="IWT56" s="196"/>
      <c r="IWU56" s="196"/>
      <c r="IWV56" s="196"/>
      <c r="IWW56" s="196"/>
      <c r="IWX56" s="196"/>
      <c r="IWY56" s="196"/>
      <c r="IWZ56" s="196"/>
      <c r="IXA56" s="196"/>
      <c r="IXB56" s="196"/>
      <c r="IXC56" s="196"/>
      <c r="IXD56" s="196"/>
      <c r="IXE56" s="196"/>
      <c r="IXF56" s="196"/>
      <c r="IXG56" s="196"/>
      <c r="IXH56" s="196"/>
      <c r="IXI56" s="196"/>
      <c r="IXJ56" s="196"/>
      <c r="IXK56" s="196"/>
      <c r="IXL56" s="196"/>
      <c r="IXM56" s="196"/>
      <c r="IXN56" s="196"/>
      <c r="IXO56" s="196"/>
      <c r="IXP56" s="196"/>
      <c r="IXQ56" s="196"/>
      <c r="IXR56" s="196"/>
      <c r="IXS56" s="196"/>
      <c r="IXT56" s="196"/>
      <c r="IXU56" s="196"/>
      <c r="IXV56" s="196"/>
      <c r="IXW56" s="196"/>
      <c r="IXX56" s="196"/>
      <c r="IXY56" s="196"/>
      <c r="IXZ56" s="196"/>
      <c r="IYA56" s="196"/>
      <c r="IYB56" s="196"/>
      <c r="IYC56" s="196"/>
      <c r="IYD56" s="196"/>
      <c r="IYE56" s="196"/>
      <c r="IYF56" s="196"/>
      <c r="IYG56" s="196"/>
      <c r="IYH56" s="196"/>
      <c r="IYI56" s="196"/>
      <c r="IYJ56" s="196"/>
      <c r="IYK56" s="196"/>
      <c r="IYL56" s="196"/>
      <c r="IYM56" s="196"/>
      <c r="IYN56" s="196"/>
      <c r="IYO56" s="196"/>
      <c r="IYP56" s="196"/>
      <c r="IYQ56" s="196"/>
      <c r="IYR56" s="196"/>
      <c r="IYS56" s="196"/>
      <c r="IYT56" s="196"/>
      <c r="IYU56" s="196"/>
      <c r="IYV56" s="196"/>
      <c r="IYW56" s="196"/>
      <c r="IYX56" s="196"/>
      <c r="IYY56" s="196"/>
      <c r="IYZ56" s="196"/>
      <c r="IZA56" s="196"/>
      <c r="IZB56" s="196"/>
      <c r="IZC56" s="196"/>
      <c r="IZD56" s="196"/>
      <c r="IZE56" s="196"/>
      <c r="IZF56" s="196"/>
      <c r="IZG56" s="196"/>
      <c r="IZH56" s="196"/>
      <c r="IZI56" s="196"/>
      <c r="IZJ56" s="196"/>
      <c r="IZK56" s="196"/>
      <c r="IZL56" s="196"/>
      <c r="IZM56" s="196"/>
      <c r="IZN56" s="196"/>
      <c r="IZO56" s="196"/>
      <c r="IZP56" s="196"/>
      <c r="IZQ56" s="196"/>
      <c r="IZR56" s="196"/>
      <c r="IZS56" s="196"/>
      <c r="IZT56" s="196"/>
      <c r="IZU56" s="196"/>
      <c r="IZV56" s="196"/>
      <c r="IZW56" s="196"/>
      <c r="IZX56" s="196"/>
      <c r="IZY56" s="196"/>
      <c r="IZZ56" s="196"/>
      <c r="JAA56" s="196"/>
      <c r="JAB56" s="196"/>
      <c r="JAC56" s="196"/>
      <c r="JAD56" s="196"/>
      <c r="JAE56" s="196"/>
      <c r="JAF56" s="196"/>
      <c r="JAG56" s="196"/>
      <c r="JAH56" s="196"/>
      <c r="JAI56" s="196"/>
      <c r="JAJ56" s="196"/>
      <c r="JAK56" s="196"/>
      <c r="JAL56" s="196"/>
      <c r="JAM56" s="196"/>
      <c r="JAN56" s="196"/>
      <c r="JAO56" s="196"/>
      <c r="JAP56" s="196"/>
      <c r="JAQ56" s="196"/>
      <c r="JAR56" s="196"/>
      <c r="JAS56" s="196"/>
      <c r="JAT56" s="196"/>
      <c r="JAU56" s="196"/>
      <c r="JAV56" s="196"/>
      <c r="JAW56" s="196"/>
      <c r="JAX56" s="196"/>
      <c r="JAY56" s="196"/>
      <c r="JAZ56" s="196"/>
      <c r="JBA56" s="196"/>
      <c r="JBB56" s="196"/>
      <c r="JBC56" s="196"/>
      <c r="JBD56" s="196"/>
      <c r="JBE56" s="196"/>
      <c r="JBF56" s="196"/>
      <c r="JBG56" s="196"/>
      <c r="JBH56" s="196"/>
      <c r="JBI56" s="196"/>
      <c r="JBJ56" s="196"/>
      <c r="JBK56" s="196"/>
      <c r="JBL56" s="196"/>
      <c r="JBM56" s="196"/>
      <c r="JBN56" s="196"/>
      <c r="JBO56" s="196"/>
      <c r="JBP56" s="196"/>
      <c r="JBQ56" s="196"/>
      <c r="JBR56" s="196"/>
      <c r="JBS56" s="196"/>
      <c r="JBT56" s="196"/>
      <c r="JBU56" s="196"/>
      <c r="JBV56" s="196"/>
      <c r="JBW56" s="196"/>
      <c r="JBX56" s="196"/>
      <c r="JBY56" s="196"/>
      <c r="JBZ56" s="196"/>
      <c r="JCA56" s="196"/>
      <c r="JCB56" s="196"/>
      <c r="JCC56" s="196"/>
      <c r="JCD56" s="196"/>
      <c r="JCE56" s="196"/>
      <c r="JCF56" s="196"/>
      <c r="JCG56" s="196"/>
      <c r="JCH56" s="196"/>
      <c r="JCI56" s="196"/>
      <c r="JCJ56" s="196"/>
      <c r="JCK56" s="196"/>
      <c r="JCL56" s="196"/>
      <c r="JCM56" s="196"/>
      <c r="JCN56" s="196"/>
      <c r="JCO56" s="196"/>
      <c r="JCP56" s="196"/>
      <c r="JCQ56" s="196"/>
      <c r="JCR56" s="196"/>
      <c r="JCS56" s="196"/>
      <c r="JCT56" s="196"/>
      <c r="JCU56" s="196"/>
      <c r="JCV56" s="196"/>
      <c r="JCW56" s="196"/>
      <c r="JCX56" s="196"/>
      <c r="JCY56" s="196"/>
      <c r="JCZ56" s="196"/>
      <c r="JDA56" s="196"/>
      <c r="JDB56" s="196"/>
      <c r="JDC56" s="196"/>
      <c r="JDD56" s="196"/>
      <c r="JDE56" s="196"/>
      <c r="JDF56" s="196"/>
      <c r="JDG56" s="196"/>
      <c r="JDH56" s="196"/>
      <c r="JDI56" s="196"/>
      <c r="JDJ56" s="196"/>
      <c r="JDK56" s="196"/>
      <c r="JDL56" s="196"/>
      <c r="JDM56" s="196"/>
      <c r="JDN56" s="196"/>
      <c r="JDO56" s="196"/>
      <c r="JDP56" s="196"/>
      <c r="JDQ56" s="196"/>
      <c r="JDR56" s="196"/>
      <c r="JDS56" s="196"/>
      <c r="JDT56" s="196"/>
      <c r="JDU56" s="196"/>
      <c r="JDV56" s="196"/>
      <c r="JDW56" s="196"/>
      <c r="JDX56" s="196"/>
      <c r="JDY56" s="196"/>
      <c r="JDZ56" s="196"/>
      <c r="JEA56" s="196"/>
      <c r="JEB56" s="196"/>
      <c r="JEC56" s="196"/>
      <c r="JED56" s="196"/>
      <c r="JEE56" s="196"/>
      <c r="JEF56" s="196"/>
      <c r="JEG56" s="196"/>
      <c r="JEH56" s="196"/>
      <c r="JEI56" s="196"/>
      <c r="JEJ56" s="196"/>
      <c r="JEK56" s="196"/>
      <c r="JEL56" s="196"/>
      <c r="JEM56" s="196"/>
      <c r="JEN56" s="196"/>
      <c r="JEO56" s="196"/>
      <c r="JEP56" s="196"/>
      <c r="JEQ56" s="196"/>
      <c r="JER56" s="196"/>
      <c r="JES56" s="196"/>
      <c r="JET56" s="196"/>
      <c r="JEU56" s="196"/>
      <c r="JEV56" s="196"/>
      <c r="JEW56" s="196"/>
      <c r="JEX56" s="196"/>
      <c r="JEY56" s="196"/>
      <c r="JEZ56" s="196"/>
      <c r="JFA56" s="196"/>
      <c r="JFB56" s="196"/>
      <c r="JFC56" s="196"/>
      <c r="JFD56" s="196"/>
      <c r="JFE56" s="196"/>
      <c r="JFF56" s="196"/>
      <c r="JFG56" s="196"/>
      <c r="JFH56" s="196"/>
      <c r="JFI56" s="196"/>
      <c r="JFJ56" s="196"/>
      <c r="JFK56" s="196"/>
      <c r="JFL56" s="196"/>
      <c r="JFM56" s="196"/>
      <c r="JFN56" s="196"/>
      <c r="JFO56" s="196"/>
      <c r="JFP56" s="196"/>
      <c r="JFQ56" s="196"/>
      <c r="JFR56" s="196"/>
      <c r="JFS56" s="196"/>
      <c r="JFT56" s="196"/>
      <c r="JFU56" s="196"/>
      <c r="JFV56" s="196"/>
      <c r="JFW56" s="196"/>
      <c r="JFX56" s="196"/>
      <c r="JFY56" s="196"/>
      <c r="JFZ56" s="196"/>
      <c r="JGA56" s="196"/>
      <c r="JGB56" s="196"/>
      <c r="JGC56" s="196"/>
      <c r="JGD56" s="196"/>
      <c r="JGE56" s="196"/>
      <c r="JGF56" s="196"/>
      <c r="JGG56" s="196"/>
      <c r="JGH56" s="196"/>
      <c r="JGI56" s="196"/>
      <c r="JGJ56" s="196"/>
      <c r="JGK56" s="196"/>
      <c r="JGL56" s="196"/>
      <c r="JGM56" s="196"/>
      <c r="JGN56" s="196"/>
      <c r="JGO56" s="196"/>
      <c r="JGP56" s="196"/>
      <c r="JGQ56" s="196"/>
      <c r="JGR56" s="196"/>
      <c r="JGS56" s="196"/>
      <c r="JGT56" s="196"/>
      <c r="JGU56" s="196"/>
      <c r="JGV56" s="196"/>
      <c r="JGW56" s="196"/>
      <c r="JGX56" s="196"/>
      <c r="JGY56" s="196"/>
      <c r="JGZ56" s="196"/>
      <c r="JHA56" s="196"/>
      <c r="JHB56" s="196"/>
      <c r="JHC56" s="196"/>
      <c r="JHD56" s="196"/>
      <c r="JHE56" s="196"/>
      <c r="JHF56" s="196"/>
      <c r="JHG56" s="196"/>
      <c r="JHH56" s="196"/>
      <c r="JHI56" s="196"/>
      <c r="JHJ56" s="196"/>
      <c r="JHK56" s="196"/>
      <c r="JHL56" s="196"/>
      <c r="JHM56" s="196"/>
      <c r="JHN56" s="196"/>
      <c r="JHO56" s="196"/>
      <c r="JHP56" s="196"/>
      <c r="JHQ56" s="196"/>
      <c r="JHR56" s="196"/>
      <c r="JHS56" s="196"/>
      <c r="JHT56" s="196"/>
      <c r="JHU56" s="196"/>
      <c r="JHV56" s="196"/>
      <c r="JHW56" s="196"/>
      <c r="JHX56" s="196"/>
      <c r="JHY56" s="196"/>
      <c r="JHZ56" s="196"/>
      <c r="JIA56" s="196"/>
      <c r="JIB56" s="196"/>
      <c r="JIC56" s="196"/>
      <c r="JID56" s="196"/>
      <c r="JIE56" s="196"/>
      <c r="JIF56" s="196"/>
      <c r="JIG56" s="196"/>
      <c r="JIH56" s="196"/>
      <c r="JII56" s="196"/>
      <c r="JIJ56" s="196"/>
      <c r="JIK56" s="196"/>
      <c r="JIL56" s="196"/>
      <c r="JIM56" s="196"/>
      <c r="JIN56" s="196"/>
      <c r="JIO56" s="196"/>
      <c r="JIP56" s="196"/>
      <c r="JIQ56" s="196"/>
      <c r="JIR56" s="196"/>
      <c r="JIS56" s="196"/>
      <c r="JIT56" s="196"/>
      <c r="JIU56" s="196"/>
      <c r="JIV56" s="196"/>
      <c r="JIW56" s="196"/>
      <c r="JIX56" s="196"/>
      <c r="JIY56" s="196"/>
      <c r="JIZ56" s="196"/>
      <c r="JJA56" s="196"/>
      <c r="JJB56" s="196"/>
      <c r="JJC56" s="196"/>
      <c r="JJD56" s="196"/>
      <c r="JJE56" s="196"/>
      <c r="JJF56" s="196"/>
      <c r="JJG56" s="196"/>
      <c r="JJH56" s="196"/>
      <c r="JJI56" s="196"/>
      <c r="JJJ56" s="196"/>
      <c r="JJK56" s="196"/>
      <c r="JJL56" s="196"/>
      <c r="JJM56" s="196"/>
      <c r="JJN56" s="196"/>
      <c r="JJO56" s="196"/>
      <c r="JJP56" s="196"/>
      <c r="JJQ56" s="196"/>
      <c r="JJR56" s="196"/>
      <c r="JJS56" s="196"/>
      <c r="JJT56" s="196"/>
      <c r="JJU56" s="196"/>
      <c r="JJV56" s="196"/>
      <c r="JJW56" s="196"/>
      <c r="JJX56" s="196"/>
      <c r="JJY56" s="196"/>
      <c r="JJZ56" s="196"/>
      <c r="JKA56" s="196"/>
      <c r="JKB56" s="196"/>
      <c r="JKC56" s="196"/>
      <c r="JKD56" s="196"/>
      <c r="JKE56" s="196"/>
      <c r="JKF56" s="196"/>
      <c r="JKG56" s="196"/>
      <c r="JKH56" s="196"/>
      <c r="JKI56" s="196"/>
      <c r="JKJ56" s="196"/>
      <c r="JKK56" s="196"/>
      <c r="JKL56" s="196"/>
      <c r="JKM56" s="196"/>
      <c r="JKN56" s="196"/>
      <c r="JKO56" s="196"/>
      <c r="JKP56" s="196"/>
      <c r="JKQ56" s="196"/>
      <c r="JKR56" s="196"/>
      <c r="JKS56" s="196"/>
      <c r="JKT56" s="196"/>
      <c r="JKU56" s="196"/>
      <c r="JKV56" s="196"/>
      <c r="JKW56" s="196"/>
      <c r="JKX56" s="196"/>
      <c r="JKY56" s="196"/>
      <c r="JKZ56" s="196"/>
      <c r="JLA56" s="196"/>
      <c r="JLB56" s="196"/>
      <c r="JLC56" s="196"/>
      <c r="JLD56" s="196"/>
      <c r="JLE56" s="196"/>
      <c r="JLF56" s="196"/>
      <c r="JLG56" s="196"/>
      <c r="JLH56" s="196"/>
      <c r="JLI56" s="196"/>
      <c r="JLJ56" s="196"/>
      <c r="JLK56" s="196"/>
      <c r="JLL56" s="196"/>
      <c r="JLM56" s="196"/>
      <c r="JLN56" s="196"/>
      <c r="JLO56" s="196"/>
      <c r="JLP56" s="196"/>
      <c r="JLQ56" s="196"/>
      <c r="JLR56" s="196"/>
      <c r="JLS56" s="196"/>
      <c r="JLT56" s="196"/>
      <c r="JLU56" s="196"/>
      <c r="JLV56" s="196"/>
      <c r="JLW56" s="196"/>
      <c r="JLX56" s="196"/>
      <c r="JLY56" s="196"/>
      <c r="JLZ56" s="196"/>
      <c r="JMA56" s="196"/>
      <c r="JMB56" s="196"/>
      <c r="JMC56" s="196"/>
      <c r="JMD56" s="196"/>
      <c r="JME56" s="196"/>
      <c r="JMF56" s="196"/>
      <c r="JMG56" s="196"/>
      <c r="JMH56" s="196"/>
      <c r="JMI56" s="196"/>
      <c r="JMJ56" s="196"/>
      <c r="JMK56" s="196"/>
      <c r="JML56" s="196"/>
      <c r="JMM56" s="196"/>
      <c r="JMN56" s="196"/>
      <c r="JMO56" s="196"/>
      <c r="JMP56" s="196"/>
      <c r="JMQ56" s="196"/>
      <c r="JMR56" s="196"/>
      <c r="JMS56" s="196"/>
      <c r="JMT56" s="196"/>
      <c r="JMU56" s="196"/>
      <c r="JMV56" s="196"/>
      <c r="JMW56" s="196"/>
      <c r="JMX56" s="196"/>
      <c r="JMY56" s="196"/>
      <c r="JMZ56" s="196"/>
      <c r="JNA56" s="196"/>
      <c r="JNB56" s="196"/>
      <c r="JNC56" s="196"/>
      <c r="JND56" s="196"/>
      <c r="JNE56" s="196"/>
      <c r="JNF56" s="196"/>
      <c r="JNG56" s="196"/>
      <c r="JNH56" s="196"/>
      <c r="JNI56" s="196"/>
      <c r="JNJ56" s="196"/>
      <c r="JNK56" s="196"/>
      <c r="JNL56" s="196"/>
      <c r="JNM56" s="196"/>
      <c r="JNN56" s="196"/>
      <c r="JNO56" s="196"/>
      <c r="JNP56" s="196"/>
      <c r="JNQ56" s="196"/>
      <c r="JNR56" s="196"/>
      <c r="JNS56" s="196"/>
      <c r="JNT56" s="196"/>
      <c r="JNU56" s="196"/>
      <c r="JNV56" s="196"/>
      <c r="JNW56" s="196"/>
      <c r="JNX56" s="196"/>
      <c r="JNY56" s="196"/>
      <c r="JNZ56" s="196"/>
      <c r="JOA56" s="196"/>
      <c r="JOB56" s="196"/>
      <c r="JOC56" s="196"/>
      <c r="JOD56" s="196"/>
      <c r="JOE56" s="196"/>
      <c r="JOF56" s="196"/>
      <c r="JOG56" s="196"/>
      <c r="JOH56" s="196"/>
      <c r="JOI56" s="196"/>
      <c r="JOJ56" s="196"/>
      <c r="JOK56" s="196"/>
      <c r="JOL56" s="196"/>
      <c r="JOM56" s="196"/>
      <c r="JON56" s="196"/>
      <c r="JOO56" s="196"/>
      <c r="JOP56" s="196"/>
      <c r="JOQ56" s="196"/>
      <c r="JOR56" s="196"/>
      <c r="JOS56" s="196"/>
      <c r="JOT56" s="196"/>
      <c r="JOU56" s="196"/>
      <c r="JOV56" s="196"/>
      <c r="JOW56" s="196"/>
      <c r="JOX56" s="196"/>
      <c r="JOY56" s="196"/>
      <c r="JOZ56" s="196"/>
      <c r="JPA56" s="196"/>
      <c r="JPB56" s="196"/>
      <c r="JPC56" s="196"/>
      <c r="JPD56" s="196"/>
      <c r="JPE56" s="196"/>
      <c r="JPF56" s="196"/>
      <c r="JPG56" s="196"/>
      <c r="JPH56" s="196"/>
      <c r="JPI56" s="196"/>
      <c r="JPJ56" s="196"/>
      <c r="JPK56" s="196"/>
      <c r="JPL56" s="196"/>
      <c r="JPM56" s="196"/>
      <c r="JPN56" s="196"/>
      <c r="JPO56" s="196"/>
      <c r="JPP56" s="196"/>
      <c r="JPQ56" s="196"/>
      <c r="JPR56" s="196"/>
      <c r="JPS56" s="196"/>
      <c r="JPT56" s="196"/>
      <c r="JPU56" s="196"/>
      <c r="JPV56" s="196"/>
      <c r="JPW56" s="196"/>
      <c r="JPX56" s="196"/>
      <c r="JPY56" s="196"/>
      <c r="JPZ56" s="196"/>
      <c r="JQA56" s="196"/>
      <c r="JQB56" s="196"/>
      <c r="JQC56" s="196"/>
      <c r="JQD56" s="196"/>
      <c r="JQE56" s="196"/>
      <c r="JQF56" s="196"/>
      <c r="JQG56" s="196"/>
      <c r="JQH56" s="196"/>
      <c r="JQI56" s="196"/>
      <c r="JQJ56" s="196"/>
      <c r="JQK56" s="196"/>
      <c r="JQL56" s="196"/>
      <c r="JQM56" s="196"/>
      <c r="JQN56" s="196"/>
      <c r="JQO56" s="196"/>
      <c r="JQP56" s="196"/>
      <c r="JQQ56" s="196"/>
      <c r="JQR56" s="196"/>
      <c r="JQS56" s="196"/>
      <c r="JQT56" s="196"/>
      <c r="JQU56" s="196"/>
      <c r="JQV56" s="196"/>
      <c r="JQW56" s="196"/>
      <c r="JQX56" s="196"/>
      <c r="JQY56" s="196"/>
      <c r="JQZ56" s="196"/>
      <c r="JRA56" s="196"/>
      <c r="JRB56" s="196"/>
      <c r="JRC56" s="196"/>
      <c r="JRD56" s="196"/>
      <c r="JRE56" s="196"/>
      <c r="JRF56" s="196"/>
      <c r="JRG56" s="196"/>
      <c r="JRH56" s="196"/>
      <c r="JRI56" s="196"/>
      <c r="JRJ56" s="196"/>
      <c r="JRK56" s="196"/>
      <c r="JRL56" s="196"/>
      <c r="JRM56" s="196"/>
      <c r="JRN56" s="196"/>
      <c r="JRO56" s="196"/>
      <c r="JRP56" s="196"/>
      <c r="JRQ56" s="196"/>
      <c r="JRR56" s="196"/>
      <c r="JRS56" s="196"/>
      <c r="JRT56" s="196"/>
      <c r="JRU56" s="196"/>
      <c r="JRV56" s="196"/>
      <c r="JRW56" s="196"/>
      <c r="JRX56" s="196"/>
      <c r="JRY56" s="196"/>
      <c r="JRZ56" s="196"/>
      <c r="JSA56" s="196"/>
      <c r="JSB56" s="196"/>
      <c r="JSC56" s="196"/>
      <c r="JSD56" s="196"/>
      <c r="JSE56" s="196"/>
      <c r="JSF56" s="196"/>
      <c r="JSG56" s="196"/>
      <c r="JSH56" s="196"/>
      <c r="JSI56" s="196"/>
      <c r="JSJ56" s="196"/>
      <c r="JSK56" s="196"/>
      <c r="JSL56" s="196"/>
      <c r="JSM56" s="196"/>
      <c r="JSN56" s="196"/>
      <c r="JSO56" s="196"/>
      <c r="JSP56" s="196"/>
      <c r="JSQ56" s="196"/>
      <c r="JSR56" s="196"/>
      <c r="JSS56" s="196"/>
      <c r="JST56" s="196"/>
      <c r="JSU56" s="196"/>
      <c r="JSV56" s="196"/>
      <c r="JSW56" s="196"/>
      <c r="JSX56" s="196"/>
      <c r="JSY56" s="196"/>
      <c r="JSZ56" s="196"/>
      <c r="JTA56" s="196"/>
      <c r="JTB56" s="196"/>
      <c r="JTC56" s="196"/>
      <c r="JTD56" s="196"/>
      <c r="JTE56" s="196"/>
      <c r="JTF56" s="196"/>
      <c r="JTG56" s="196"/>
      <c r="JTH56" s="196"/>
      <c r="JTI56" s="196"/>
      <c r="JTJ56" s="196"/>
      <c r="JTK56" s="196"/>
      <c r="JTL56" s="196"/>
      <c r="JTM56" s="196"/>
      <c r="JTN56" s="196"/>
      <c r="JTO56" s="196"/>
      <c r="JTP56" s="196"/>
      <c r="JTQ56" s="196"/>
      <c r="JTR56" s="196"/>
      <c r="JTS56" s="196"/>
      <c r="JTT56" s="196"/>
      <c r="JTU56" s="196"/>
      <c r="JTV56" s="196"/>
      <c r="JTW56" s="196"/>
      <c r="JTX56" s="196"/>
      <c r="JTY56" s="196"/>
      <c r="JTZ56" s="196"/>
      <c r="JUA56" s="196"/>
      <c r="JUB56" s="196"/>
      <c r="JUC56" s="196"/>
      <c r="JUD56" s="196"/>
      <c r="JUE56" s="196"/>
      <c r="JUF56" s="196"/>
      <c r="JUG56" s="196"/>
      <c r="JUH56" s="196"/>
      <c r="JUI56" s="196"/>
      <c r="JUJ56" s="196"/>
      <c r="JUK56" s="196"/>
      <c r="JUL56" s="196"/>
      <c r="JUM56" s="196"/>
      <c r="JUN56" s="196"/>
      <c r="JUO56" s="196"/>
      <c r="JUP56" s="196"/>
      <c r="JUQ56" s="196"/>
      <c r="JUR56" s="196"/>
      <c r="JUS56" s="196"/>
      <c r="JUT56" s="196"/>
      <c r="JUU56" s="196"/>
      <c r="JUV56" s="196"/>
      <c r="JUW56" s="196"/>
      <c r="JUX56" s="196"/>
      <c r="JUY56" s="196"/>
      <c r="JUZ56" s="196"/>
      <c r="JVA56" s="196"/>
      <c r="JVB56" s="196"/>
      <c r="JVC56" s="196"/>
      <c r="JVD56" s="196"/>
      <c r="JVE56" s="196"/>
      <c r="JVF56" s="196"/>
      <c r="JVG56" s="196"/>
      <c r="JVH56" s="196"/>
      <c r="JVI56" s="196"/>
      <c r="JVJ56" s="196"/>
      <c r="JVK56" s="196"/>
      <c r="JVL56" s="196"/>
      <c r="JVM56" s="196"/>
      <c r="JVN56" s="196"/>
      <c r="JVO56" s="196"/>
      <c r="JVP56" s="196"/>
      <c r="JVQ56" s="196"/>
      <c r="JVR56" s="196"/>
      <c r="JVS56" s="196"/>
      <c r="JVT56" s="196"/>
      <c r="JVU56" s="196"/>
      <c r="JVV56" s="196"/>
      <c r="JVW56" s="196"/>
      <c r="JVX56" s="196"/>
      <c r="JVY56" s="196"/>
      <c r="JVZ56" s="196"/>
      <c r="JWA56" s="196"/>
      <c r="JWB56" s="196"/>
      <c r="JWC56" s="196"/>
      <c r="JWD56" s="196"/>
      <c r="JWE56" s="196"/>
      <c r="JWF56" s="196"/>
      <c r="JWG56" s="196"/>
      <c r="JWH56" s="196"/>
      <c r="JWI56" s="196"/>
      <c r="JWJ56" s="196"/>
      <c r="JWK56" s="196"/>
      <c r="JWL56" s="196"/>
      <c r="JWM56" s="196"/>
      <c r="JWN56" s="196"/>
      <c r="JWO56" s="196"/>
      <c r="JWP56" s="196"/>
      <c r="JWQ56" s="196"/>
      <c r="JWR56" s="196"/>
      <c r="JWS56" s="196"/>
      <c r="JWT56" s="196"/>
      <c r="JWU56" s="196"/>
      <c r="JWV56" s="196"/>
      <c r="JWW56" s="196"/>
      <c r="JWX56" s="196"/>
      <c r="JWY56" s="196"/>
      <c r="JWZ56" s="196"/>
      <c r="JXA56" s="196"/>
      <c r="JXB56" s="196"/>
      <c r="JXC56" s="196"/>
      <c r="JXD56" s="196"/>
      <c r="JXE56" s="196"/>
      <c r="JXF56" s="196"/>
      <c r="JXG56" s="196"/>
      <c r="JXH56" s="196"/>
      <c r="JXI56" s="196"/>
      <c r="JXJ56" s="196"/>
      <c r="JXK56" s="196"/>
      <c r="JXL56" s="196"/>
      <c r="JXM56" s="196"/>
      <c r="JXN56" s="196"/>
      <c r="JXO56" s="196"/>
      <c r="JXP56" s="196"/>
      <c r="JXQ56" s="196"/>
      <c r="JXR56" s="196"/>
      <c r="JXS56" s="196"/>
      <c r="JXT56" s="196"/>
      <c r="JXU56" s="196"/>
      <c r="JXV56" s="196"/>
      <c r="JXW56" s="196"/>
      <c r="JXX56" s="196"/>
      <c r="JXY56" s="196"/>
      <c r="JXZ56" s="196"/>
      <c r="JYA56" s="196"/>
      <c r="JYB56" s="196"/>
      <c r="JYC56" s="196"/>
      <c r="JYD56" s="196"/>
      <c r="JYE56" s="196"/>
      <c r="JYF56" s="196"/>
      <c r="JYG56" s="196"/>
      <c r="JYH56" s="196"/>
      <c r="JYI56" s="196"/>
      <c r="JYJ56" s="196"/>
      <c r="JYK56" s="196"/>
      <c r="JYL56" s="196"/>
      <c r="JYM56" s="196"/>
      <c r="JYN56" s="196"/>
      <c r="JYO56" s="196"/>
      <c r="JYP56" s="196"/>
      <c r="JYQ56" s="196"/>
      <c r="JYR56" s="196"/>
      <c r="JYS56" s="196"/>
      <c r="JYT56" s="196"/>
      <c r="JYU56" s="196"/>
      <c r="JYV56" s="196"/>
      <c r="JYW56" s="196"/>
      <c r="JYX56" s="196"/>
      <c r="JYY56" s="196"/>
      <c r="JYZ56" s="196"/>
      <c r="JZA56" s="196"/>
      <c r="JZB56" s="196"/>
      <c r="JZC56" s="196"/>
      <c r="JZD56" s="196"/>
      <c r="JZE56" s="196"/>
      <c r="JZF56" s="196"/>
      <c r="JZG56" s="196"/>
      <c r="JZH56" s="196"/>
      <c r="JZI56" s="196"/>
      <c r="JZJ56" s="196"/>
      <c r="JZK56" s="196"/>
      <c r="JZL56" s="196"/>
      <c r="JZM56" s="196"/>
      <c r="JZN56" s="196"/>
      <c r="JZO56" s="196"/>
      <c r="JZP56" s="196"/>
      <c r="JZQ56" s="196"/>
      <c r="JZR56" s="196"/>
      <c r="JZS56" s="196"/>
      <c r="JZT56" s="196"/>
      <c r="JZU56" s="196"/>
      <c r="JZV56" s="196"/>
      <c r="JZW56" s="196"/>
      <c r="JZX56" s="196"/>
      <c r="JZY56" s="196"/>
      <c r="JZZ56" s="196"/>
      <c r="KAA56" s="196"/>
      <c r="KAB56" s="196"/>
      <c r="KAC56" s="196"/>
      <c r="KAD56" s="196"/>
      <c r="KAE56" s="196"/>
      <c r="KAF56" s="196"/>
      <c r="KAG56" s="196"/>
      <c r="KAH56" s="196"/>
      <c r="KAI56" s="196"/>
      <c r="KAJ56" s="196"/>
      <c r="KAK56" s="196"/>
      <c r="KAL56" s="196"/>
      <c r="KAM56" s="196"/>
      <c r="KAN56" s="196"/>
      <c r="KAO56" s="196"/>
      <c r="KAP56" s="196"/>
      <c r="KAQ56" s="196"/>
      <c r="KAR56" s="196"/>
      <c r="KAS56" s="196"/>
      <c r="KAT56" s="196"/>
      <c r="KAU56" s="196"/>
      <c r="KAV56" s="196"/>
      <c r="KAW56" s="196"/>
      <c r="KAX56" s="196"/>
      <c r="KAY56" s="196"/>
      <c r="KAZ56" s="196"/>
      <c r="KBA56" s="196"/>
      <c r="KBB56" s="196"/>
      <c r="KBC56" s="196"/>
      <c r="KBD56" s="196"/>
      <c r="KBE56" s="196"/>
      <c r="KBF56" s="196"/>
      <c r="KBG56" s="196"/>
      <c r="KBH56" s="196"/>
      <c r="KBI56" s="196"/>
      <c r="KBJ56" s="196"/>
      <c r="KBK56" s="196"/>
      <c r="KBL56" s="196"/>
      <c r="KBM56" s="196"/>
      <c r="KBN56" s="196"/>
      <c r="KBO56" s="196"/>
      <c r="KBP56" s="196"/>
      <c r="KBQ56" s="196"/>
      <c r="KBR56" s="196"/>
      <c r="KBS56" s="196"/>
      <c r="KBT56" s="196"/>
      <c r="KBU56" s="196"/>
      <c r="KBV56" s="196"/>
      <c r="KBW56" s="196"/>
      <c r="KBX56" s="196"/>
      <c r="KBY56" s="196"/>
      <c r="KBZ56" s="196"/>
      <c r="KCA56" s="196"/>
      <c r="KCB56" s="196"/>
      <c r="KCC56" s="196"/>
      <c r="KCD56" s="196"/>
      <c r="KCE56" s="196"/>
      <c r="KCF56" s="196"/>
      <c r="KCG56" s="196"/>
      <c r="KCH56" s="196"/>
      <c r="KCI56" s="196"/>
      <c r="KCJ56" s="196"/>
      <c r="KCK56" s="196"/>
      <c r="KCL56" s="196"/>
      <c r="KCM56" s="196"/>
      <c r="KCN56" s="196"/>
      <c r="KCO56" s="196"/>
      <c r="KCP56" s="196"/>
      <c r="KCQ56" s="196"/>
      <c r="KCR56" s="196"/>
      <c r="KCS56" s="196"/>
      <c r="KCT56" s="196"/>
      <c r="KCU56" s="196"/>
      <c r="KCV56" s="196"/>
      <c r="KCW56" s="196"/>
      <c r="KCX56" s="196"/>
      <c r="KCY56" s="196"/>
      <c r="KCZ56" s="196"/>
      <c r="KDA56" s="196"/>
      <c r="KDB56" s="196"/>
      <c r="KDC56" s="196"/>
      <c r="KDD56" s="196"/>
      <c r="KDE56" s="196"/>
      <c r="KDF56" s="196"/>
      <c r="KDG56" s="196"/>
      <c r="KDH56" s="196"/>
      <c r="KDI56" s="196"/>
      <c r="KDJ56" s="196"/>
      <c r="KDK56" s="196"/>
      <c r="KDL56" s="196"/>
      <c r="KDM56" s="196"/>
      <c r="KDN56" s="196"/>
      <c r="KDO56" s="196"/>
      <c r="KDP56" s="196"/>
      <c r="KDQ56" s="196"/>
      <c r="KDR56" s="196"/>
      <c r="KDS56" s="196"/>
      <c r="KDT56" s="196"/>
      <c r="KDU56" s="196"/>
      <c r="KDV56" s="196"/>
      <c r="KDW56" s="196"/>
      <c r="KDX56" s="196"/>
      <c r="KDY56" s="196"/>
      <c r="KDZ56" s="196"/>
      <c r="KEA56" s="196"/>
      <c r="KEB56" s="196"/>
      <c r="KEC56" s="196"/>
      <c r="KED56" s="196"/>
      <c r="KEE56" s="196"/>
      <c r="KEF56" s="196"/>
      <c r="KEG56" s="196"/>
      <c r="KEH56" s="196"/>
      <c r="KEI56" s="196"/>
      <c r="KEJ56" s="196"/>
      <c r="KEK56" s="196"/>
      <c r="KEL56" s="196"/>
      <c r="KEM56" s="196"/>
      <c r="KEN56" s="196"/>
      <c r="KEO56" s="196"/>
      <c r="KEP56" s="196"/>
      <c r="KEQ56" s="196"/>
      <c r="KER56" s="196"/>
      <c r="KES56" s="196"/>
      <c r="KET56" s="196"/>
      <c r="KEU56" s="196"/>
      <c r="KEV56" s="196"/>
      <c r="KEW56" s="196"/>
      <c r="KEX56" s="196"/>
      <c r="KEY56" s="196"/>
      <c r="KEZ56" s="196"/>
      <c r="KFA56" s="196"/>
      <c r="KFB56" s="196"/>
      <c r="KFC56" s="196"/>
      <c r="KFD56" s="196"/>
      <c r="KFE56" s="196"/>
      <c r="KFF56" s="196"/>
      <c r="KFG56" s="196"/>
      <c r="KFH56" s="196"/>
      <c r="KFI56" s="196"/>
      <c r="KFJ56" s="196"/>
      <c r="KFK56" s="196"/>
      <c r="KFL56" s="196"/>
      <c r="KFM56" s="196"/>
      <c r="KFN56" s="196"/>
      <c r="KFO56" s="196"/>
      <c r="KFP56" s="196"/>
      <c r="KFQ56" s="196"/>
      <c r="KFR56" s="196"/>
      <c r="KFS56" s="196"/>
      <c r="KFT56" s="196"/>
      <c r="KFU56" s="196"/>
      <c r="KFV56" s="196"/>
      <c r="KFW56" s="196"/>
      <c r="KFX56" s="196"/>
      <c r="KFY56" s="196"/>
      <c r="KFZ56" s="196"/>
      <c r="KGA56" s="196"/>
      <c r="KGB56" s="196"/>
      <c r="KGC56" s="196"/>
      <c r="KGD56" s="196"/>
      <c r="KGE56" s="196"/>
      <c r="KGF56" s="196"/>
      <c r="KGG56" s="196"/>
      <c r="KGH56" s="196"/>
      <c r="KGI56" s="196"/>
      <c r="KGJ56" s="196"/>
      <c r="KGK56" s="196"/>
      <c r="KGL56" s="196"/>
      <c r="KGM56" s="196"/>
      <c r="KGN56" s="196"/>
      <c r="KGO56" s="196"/>
      <c r="KGP56" s="196"/>
      <c r="KGQ56" s="196"/>
      <c r="KGR56" s="196"/>
      <c r="KGS56" s="196"/>
      <c r="KGT56" s="196"/>
      <c r="KGU56" s="196"/>
      <c r="KGV56" s="196"/>
      <c r="KGW56" s="196"/>
      <c r="KGX56" s="196"/>
      <c r="KGY56" s="196"/>
      <c r="KGZ56" s="196"/>
      <c r="KHA56" s="196"/>
      <c r="KHB56" s="196"/>
      <c r="KHC56" s="196"/>
      <c r="KHD56" s="196"/>
      <c r="KHE56" s="196"/>
      <c r="KHF56" s="196"/>
      <c r="KHG56" s="196"/>
      <c r="KHH56" s="196"/>
      <c r="KHI56" s="196"/>
      <c r="KHJ56" s="196"/>
      <c r="KHK56" s="196"/>
      <c r="KHL56" s="196"/>
      <c r="KHM56" s="196"/>
      <c r="KHN56" s="196"/>
      <c r="KHO56" s="196"/>
      <c r="KHP56" s="196"/>
      <c r="KHQ56" s="196"/>
      <c r="KHR56" s="196"/>
      <c r="KHS56" s="196"/>
      <c r="KHT56" s="196"/>
      <c r="KHU56" s="196"/>
      <c r="KHV56" s="196"/>
      <c r="KHW56" s="196"/>
      <c r="KHX56" s="196"/>
      <c r="KHY56" s="196"/>
      <c r="KHZ56" s="196"/>
      <c r="KIA56" s="196"/>
      <c r="KIB56" s="196"/>
      <c r="KIC56" s="196"/>
      <c r="KID56" s="196"/>
      <c r="KIE56" s="196"/>
      <c r="KIF56" s="196"/>
      <c r="KIG56" s="196"/>
      <c r="KIH56" s="196"/>
      <c r="KII56" s="196"/>
      <c r="KIJ56" s="196"/>
      <c r="KIK56" s="196"/>
      <c r="KIL56" s="196"/>
      <c r="KIM56" s="196"/>
      <c r="KIN56" s="196"/>
      <c r="KIO56" s="196"/>
      <c r="KIP56" s="196"/>
      <c r="KIQ56" s="196"/>
      <c r="KIR56" s="196"/>
      <c r="KIS56" s="196"/>
      <c r="KIT56" s="196"/>
      <c r="KIU56" s="196"/>
      <c r="KIV56" s="196"/>
      <c r="KIW56" s="196"/>
      <c r="KIX56" s="196"/>
      <c r="KIY56" s="196"/>
      <c r="KIZ56" s="196"/>
      <c r="KJA56" s="196"/>
      <c r="KJB56" s="196"/>
      <c r="KJC56" s="196"/>
      <c r="KJD56" s="196"/>
      <c r="KJE56" s="196"/>
      <c r="KJF56" s="196"/>
      <c r="KJG56" s="196"/>
      <c r="KJH56" s="196"/>
      <c r="KJI56" s="196"/>
      <c r="KJJ56" s="196"/>
      <c r="KJK56" s="196"/>
      <c r="KJL56" s="196"/>
      <c r="KJM56" s="196"/>
      <c r="KJN56" s="196"/>
      <c r="KJO56" s="196"/>
      <c r="KJP56" s="196"/>
      <c r="KJQ56" s="196"/>
      <c r="KJR56" s="196"/>
      <c r="KJS56" s="196"/>
      <c r="KJT56" s="196"/>
      <c r="KJU56" s="196"/>
      <c r="KJV56" s="196"/>
      <c r="KJW56" s="196"/>
      <c r="KJX56" s="196"/>
      <c r="KJY56" s="196"/>
      <c r="KJZ56" s="196"/>
      <c r="KKA56" s="196"/>
      <c r="KKB56" s="196"/>
      <c r="KKC56" s="196"/>
      <c r="KKD56" s="196"/>
      <c r="KKE56" s="196"/>
      <c r="KKF56" s="196"/>
      <c r="KKG56" s="196"/>
      <c r="KKH56" s="196"/>
      <c r="KKI56" s="196"/>
      <c r="KKJ56" s="196"/>
      <c r="KKK56" s="196"/>
      <c r="KKL56" s="196"/>
      <c r="KKM56" s="196"/>
      <c r="KKN56" s="196"/>
      <c r="KKO56" s="196"/>
      <c r="KKP56" s="196"/>
      <c r="KKQ56" s="196"/>
      <c r="KKR56" s="196"/>
      <c r="KKS56" s="196"/>
      <c r="KKT56" s="196"/>
      <c r="KKU56" s="196"/>
      <c r="KKV56" s="196"/>
      <c r="KKW56" s="196"/>
      <c r="KKX56" s="196"/>
      <c r="KKY56" s="196"/>
      <c r="KKZ56" s="196"/>
      <c r="KLA56" s="196"/>
      <c r="KLB56" s="196"/>
      <c r="KLC56" s="196"/>
      <c r="KLD56" s="196"/>
      <c r="KLE56" s="196"/>
      <c r="KLF56" s="196"/>
      <c r="KLG56" s="196"/>
      <c r="KLH56" s="196"/>
      <c r="KLI56" s="196"/>
      <c r="KLJ56" s="196"/>
      <c r="KLK56" s="196"/>
      <c r="KLL56" s="196"/>
      <c r="KLM56" s="196"/>
      <c r="KLN56" s="196"/>
      <c r="KLO56" s="196"/>
      <c r="KLP56" s="196"/>
      <c r="KLQ56" s="196"/>
      <c r="KLR56" s="196"/>
      <c r="KLS56" s="196"/>
      <c r="KLT56" s="196"/>
      <c r="KLU56" s="196"/>
      <c r="KLV56" s="196"/>
      <c r="KLW56" s="196"/>
      <c r="KLX56" s="196"/>
      <c r="KLY56" s="196"/>
      <c r="KLZ56" s="196"/>
      <c r="KMA56" s="196"/>
      <c r="KMB56" s="196"/>
      <c r="KMC56" s="196"/>
      <c r="KMD56" s="196"/>
      <c r="KME56" s="196"/>
      <c r="KMF56" s="196"/>
      <c r="KMG56" s="196"/>
      <c r="KMH56" s="196"/>
      <c r="KMI56" s="196"/>
      <c r="KMJ56" s="196"/>
      <c r="KMK56" s="196"/>
      <c r="KML56" s="196"/>
      <c r="KMM56" s="196"/>
      <c r="KMN56" s="196"/>
      <c r="KMO56" s="196"/>
      <c r="KMP56" s="196"/>
      <c r="KMQ56" s="196"/>
      <c r="KMR56" s="196"/>
      <c r="KMS56" s="196"/>
      <c r="KMT56" s="196"/>
      <c r="KMU56" s="196"/>
      <c r="KMV56" s="196"/>
      <c r="KMW56" s="196"/>
      <c r="KMX56" s="196"/>
      <c r="KMY56" s="196"/>
      <c r="KMZ56" s="196"/>
      <c r="KNA56" s="196"/>
      <c r="KNB56" s="196"/>
      <c r="KNC56" s="196"/>
      <c r="KND56" s="196"/>
      <c r="KNE56" s="196"/>
      <c r="KNF56" s="196"/>
      <c r="KNG56" s="196"/>
      <c r="KNH56" s="196"/>
      <c r="KNI56" s="196"/>
      <c r="KNJ56" s="196"/>
      <c r="KNK56" s="196"/>
      <c r="KNL56" s="196"/>
      <c r="KNM56" s="196"/>
      <c r="KNN56" s="196"/>
      <c r="KNO56" s="196"/>
      <c r="KNP56" s="196"/>
      <c r="KNQ56" s="196"/>
      <c r="KNR56" s="196"/>
      <c r="KNS56" s="196"/>
      <c r="KNT56" s="196"/>
      <c r="KNU56" s="196"/>
      <c r="KNV56" s="196"/>
      <c r="KNW56" s="196"/>
      <c r="KNX56" s="196"/>
      <c r="KNY56" s="196"/>
      <c r="KNZ56" s="196"/>
      <c r="KOA56" s="196"/>
      <c r="KOB56" s="196"/>
      <c r="KOC56" s="196"/>
      <c r="KOD56" s="196"/>
      <c r="KOE56" s="196"/>
      <c r="KOF56" s="196"/>
      <c r="KOG56" s="196"/>
      <c r="KOH56" s="196"/>
      <c r="KOI56" s="196"/>
      <c r="KOJ56" s="196"/>
      <c r="KOK56" s="196"/>
      <c r="KOL56" s="196"/>
      <c r="KOM56" s="196"/>
      <c r="KON56" s="196"/>
      <c r="KOO56" s="196"/>
      <c r="KOP56" s="196"/>
      <c r="KOQ56" s="196"/>
      <c r="KOR56" s="196"/>
      <c r="KOS56" s="196"/>
      <c r="KOT56" s="196"/>
      <c r="KOU56" s="196"/>
      <c r="KOV56" s="196"/>
      <c r="KOW56" s="196"/>
      <c r="KOX56" s="196"/>
      <c r="KOY56" s="196"/>
      <c r="KOZ56" s="196"/>
      <c r="KPA56" s="196"/>
      <c r="KPB56" s="196"/>
      <c r="KPC56" s="196"/>
      <c r="KPD56" s="196"/>
      <c r="KPE56" s="196"/>
      <c r="KPF56" s="196"/>
      <c r="KPG56" s="196"/>
      <c r="KPH56" s="196"/>
      <c r="KPI56" s="196"/>
      <c r="KPJ56" s="196"/>
      <c r="KPK56" s="196"/>
      <c r="KPL56" s="196"/>
      <c r="KPM56" s="196"/>
      <c r="KPN56" s="196"/>
      <c r="KPO56" s="196"/>
      <c r="KPP56" s="196"/>
      <c r="KPQ56" s="196"/>
      <c r="KPR56" s="196"/>
      <c r="KPS56" s="196"/>
      <c r="KPT56" s="196"/>
      <c r="KPU56" s="196"/>
      <c r="KPV56" s="196"/>
      <c r="KPW56" s="196"/>
      <c r="KPX56" s="196"/>
      <c r="KPY56" s="196"/>
      <c r="KPZ56" s="196"/>
      <c r="KQA56" s="196"/>
      <c r="KQB56" s="196"/>
      <c r="KQC56" s="196"/>
      <c r="KQD56" s="196"/>
      <c r="KQE56" s="196"/>
      <c r="KQF56" s="196"/>
      <c r="KQG56" s="196"/>
      <c r="KQH56" s="196"/>
      <c r="KQI56" s="196"/>
      <c r="KQJ56" s="196"/>
      <c r="KQK56" s="196"/>
      <c r="KQL56" s="196"/>
      <c r="KQM56" s="196"/>
      <c r="KQN56" s="196"/>
      <c r="KQO56" s="196"/>
      <c r="KQP56" s="196"/>
      <c r="KQQ56" s="196"/>
      <c r="KQR56" s="196"/>
      <c r="KQS56" s="196"/>
      <c r="KQT56" s="196"/>
      <c r="KQU56" s="196"/>
      <c r="KQV56" s="196"/>
      <c r="KQW56" s="196"/>
      <c r="KQX56" s="196"/>
      <c r="KQY56" s="196"/>
      <c r="KQZ56" s="196"/>
      <c r="KRA56" s="196"/>
      <c r="KRB56" s="196"/>
      <c r="KRC56" s="196"/>
      <c r="KRD56" s="196"/>
      <c r="KRE56" s="196"/>
      <c r="KRF56" s="196"/>
      <c r="KRG56" s="196"/>
      <c r="KRH56" s="196"/>
      <c r="KRI56" s="196"/>
      <c r="KRJ56" s="196"/>
      <c r="KRK56" s="196"/>
      <c r="KRL56" s="196"/>
      <c r="KRM56" s="196"/>
      <c r="KRN56" s="196"/>
      <c r="KRO56" s="196"/>
      <c r="KRP56" s="196"/>
      <c r="KRQ56" s="196"/>
      <c r="KRR56" s="196"/>
      <c r="KRS56" s="196"/>
      <c r="KRT56" s="196"/>
      <c r="KRU56" s="196"/>
      <c r="KRV56" s="196"/>
      <c r="KRW56" s="196"/>
      <c r="KRX56" s="196"/>
      <c r="KRY56" s="196"/>
      <c r="KRZ56" s="196"/>
      <c r="KSA56" s="196"/>
      <c r="KSB56" s="196"/>
      <c r="KSC56" s="196"/>
      <c r="KSD56" s="196"/>
      <c r="KSE56" s="196"/>
      <c r="KSF56" s="196"/>
      <c r="KSG56" s="196"/>
      <c r="KSH56" s="196"/>
      <c r="KSI56" s="196"/>
      <c r="KSJ56" s="196"/>
      <c r="KSK56" s="196"/>
      <c r="KSL56" s="196"/>
      <c r="KSM56" s="196"/>
      <c r="KSN56" s="196"/>
      <c r="KSO56" s="196"/>
      <c r="KSP56" s="196"/>
      <c r="KSQ56" s="196"/>
      <c r="KSR56" s="196"/>
      <c r="KSS56" s="196"/>
      <c r="KST56" s="196"/>
      <c r="KSU56" s="196"/>
      <c r="KSV56" s="196"/>
      <c r="KSW56" s="196"/>
      <c r="KSX56" s="196"/>
      <c r="KSY56" s="196"/>
      <c r="KSZ56" s="196"/>
      <c r="KTA56" s="196"/>
      <c r="KTB56" s="196"/>
      <c r="KTC56" s="196"/>
      <c r="KTD56" s="196"/>
      <c r="KTE56" s="196"/>
      <c r="KTF56" s="196"/>
      <c r="KTG56" s="196"/>
      <c r="KTH56" s="196"/>
      <c r="KTI56" s="196"/>
      <c r="KTJ56" s="196"/>
      <c r="KTK56" s="196"/>
      <c r="KTL56" s="196"/>
      <c r="KTM56" s="196"/>
      <c r="KTN56" s="196"/>
      <c r="KTO56" s="196"/>
      <c r="KTP56" s="196"/>
      <c r="KTQ56" s="196"/>
      <c r="KTR56" s="196"/>
      <c r="KTS56" s="196"/>
      <c r="KTT56" s="196"/>
      <c r="KTU56" s="196"/>
      <c r="KTV56" s="196"/>
      <c r="KTW56" s="196"/>
      <c r="KTX56" s="196"/>
      <c r="KTY56" s="196"/>
      <c r="KTZ56" s="196"/>
      <c r="KUA56" s="196"/>
      <c r="KUB56" s="196"/>
      <c r="KUC56" s="196"/>
      <c r="KUD56" s="196"/>
      <c r="KUE56" s="196"/>
      <c r="KUF56" s="196"/>
      <c r="KUG56" s="196"/>
      <c r="KUH56" s="196"/>
      <c r="KUI56" s="196"/>
      <c r="KUJ56" s="196"/>
      <c r="KUK56" s="196"/>
      <c r="KUL56" s="196"/>
      <c r="KUM56" s="196"/>
      <c r="KUN56" s="196"/>
      <c r="KUO56" s="196"/>
      <c r="KUP56" s="196"/>
      <c r="KUQ56" s="196"/>
      <c r="KUR56" s="196"/>
      <c r="KUS56" s="196"/>
      <c r="KUT56" s="196"/>
      <c r="KUU56" s="196"/>
      <c r="KUV56" s="196"/>
      <c r="KUW56" s="196"/>
      <c r="KUX56" s="196"/>
      <c r="KUY56" s="196"/>
      <c r="KUZ56" s="196"/>
      <c r="KVA56" s="196"/>
      <c r="KVB56" s="196"/>
      <c r="KVC56" s="196"/>
      <c r="KVD56" s="196"/>
      <c r="KVE56" s="196"/>
      <c r="KVF56" s="196"/>
      <c r="KVG56" s="196"/>
      <c r="KVH56" s="196"/>
      <c r="KVI56" s="196"/>
      <c r="KVJ56" s="196"/>
      <c r="KVK56" s="196"/>
      <c r="KVL56" s="196"/>
      <c r="KVM56" s="196"/>
      <c r="KVN56" s="196"/>
      <c r="KVO56" s="196"/>
      <c r="KVP56" s="196"/>
      <c r="KVQ56" s="196"/>
      <c r="KVR56" s="196"/>
      <c r="KVS56" s="196"/>
      <c r="KVT56" s="196"/>
      <c r="KVU56" s="196"/>
      <c r="KVV56" s="196"/>
      <c r="KVW56" s="196"/>
      <c r="KVX56" s="196"/>
      <c r="KVY56" s="196"/>
      <c r="KVZ56" s="196"/>
      <c r="KWA56" s="196"/>
      <c r="KWB56" s="196"/>
      <c r="KWC56" s="196"/>
      <c r="KWD56" s="196"/>
      <c r="KWE56" s="196"/>
      <c r="KWF56" s="196"/>
      <c r="KWG56" s="196"/>
      <c r="KWH56" s="196"/>
      <c r="KWI56" s="196"/>
      <c r="KWJ56" s="196"/>
      <c r="KWK56" s="196"/>
      <c r="KWL56" s="196"/>
      <c r="KWM56" s="196"/>
      <c r="KWN56" s="196"/>
      <c r="KWO56" s="196"/>
      <c r="KWP56" s="196"/>
      <c r="KWQ56" s="196"/>
      <c r="KWR56" s="196"/>
      <c r="KWS56" s="196"/>
      <c r="KWT56" s="196"/>
      <c r="KWU56" s="196"/>
      <c r="KWV56" s="196"/>
      <c r="KWW56" s="196"/>
      <c r="KWX56" s="196"/>
      <c r="KWY56" s="196"/>
      <c r="KWZ56" s="196"/>
      <c r="KXA56" s="196"/>
      <c r="KXB56" s="196"/>
      <c r="KXC56" s="196"/>
      <c r="KXD56" s="196"/>
      <c r="KXE56" s="196"/>
      <c r="KXF56" s="196"/>
      <c r="KXG56" s="196"/>
      <c r="KXH56" s="196"/>
      <c r="KXI56" s="196"/>
      <c r="KXJ56" s="196"/>
      <c r="KXK56" s="196"/>
      <c r="KXL56" s="196"/>
      <c r="KXM56" s="196"/>
      <c r="KXN56" s="196"/>
      <c r="KXO56" s="196"/>
      <c r="KXP56" s="196"/>
      <c r="KXQ56" s="196"/>
      <c r="KXR56" s="196"/>
      <c r="KXS56" s="196"/>
      <c r="KXT56" s="196"/>
      <c r="KXU56" s="196"/>
      <c r="KXV56" s="196"/>
      <c r="KXW56" s="196"/>
      <c r="KXX56" s="196"/>
      <c r="KXY56" s="196"/>
      <c r="KXZ56" s="196"/>
      <c r="KYA56" s="196"/>
      <c r="KYB56" s="196"/>
      <c r="KYC56" s="196"/>
      <c r="KYD56" s="196"/>
      <c r="KYE56" s="196"/>
      <c r="KYF56" s="196"/>
      <c r="KYG56" s="196"/>
      <c r="KYH56" s="196"/>
      <c r="KYI56" s="196"/>
      <c r="KYJ56" s="196"/>
      <c r="KYK56" s="196"/>
      <c r="KYL56" s="196"/>
      <c r="KYM56" s="196"/>
      <c r="KYN56" s="196"/>
      <c r="KYO56" s="196"/>
      <c r="KYP56" s="196"/>
      <c r="KYQ56" s="196"/>
      <c r="KYR56" s="196"/>
      <c r="KYS56" s="196"/>
      <c r="KYT56" s="196"/>
      <c r="KYU56" s="196"/>
      <c r="KYV56" s="196"/>
      <c r="KYW56" s="196"/>
      <c r="KYX56" s="196"/>
      <c r="KYY56" s="196"/>
      <c r="KYZ56" s="196"/>
      <c r="KZA56" s="196"/>
      <c r="KZB56" s="196"/>
      <c r="KZC56" s="196"/>
      <c r="KZD56" s="196"/>
      <c r="KZE56" s="196"/>
      <c r="KZF56" s="196"/>
      <c r="KZG56" s="196"/>
      <c r="KZH56" s="196"/>
      <c r="KZI56" s="196"/>
      <c r="KZJ56" s="196"/>
      <c r="KZK56" s="196"/>
      <c r="KZL56" s="196"/>
      <c r="KZM56" s="196"/>
      <c r="KZN56" s="196"/>
      <c r="KZO56" s="196"/>
      <c r="KZP56" s="196"/>
      <c r="KZQ56" s="196"/>
      <c r="KZR56" s="196"/>
      <c r="KZS56" s="196"/>
      <c r="KZT56" s="196"/>
      <c r="KZU56" s="196"/>
      <c r="KZV56" s="196"/>
      <c r="KZW56" s="196"/>
      <c r="KZX56" s="196"/>
      <c r="KZY56" s="196"/>
      <c r="KZZ56" s="196"/>
      <c r="LAA56" s="196"/>
      <c r="LAB56" s="196"/>
      <c r="LAC56" s="196"/>
      <c r="LAD56" s="196"/>
      <c r="LAE56" s="196"/>
      <c r="LAF56" s="196"/>
      <c r="LAG56" s="196"/>
      <c r="LAH56" s="196"/>
      <c r="LAI56" s="196"/>
      <c r="LAJ56" s="196"/>
      <c r="LAK56" s="196"/>
      <c r="LAL56" s="196"/>
      <c r="LAM56" s="196"/>
      <c r="LAN56" s="196"/>
      <c r="LAO56" s="196"/>
      <c r="LAP56" s="196"/>
      <c r="LAQ56" s="196"/>
      <c r="LAR56" s="196"/>
      <c r="LAS56" s="196"/>
      <c r="LAT56" s="196"/>
      <c r="LAU56" s="196"/>
      <c r="LAV56" s="196"/>
      <c r="LAW56" s="196"/>
      <c r="LAX56" s="196"/>
      <c r="LAY56" s="196"/>
      <c r="LAZ56" s="196"/>
      <c r="LBA56" s="196"/>
      <c r="LBB56" s="196"/>
      <c r="LBC56" s="196"/>
      <c r="LBD56" s="196"/>
      <c r="LBE56" s="196"/>
      <c r="LBF56" s="196"/>
      <c r="LBG56" s="196"/>
      <c r="LBH56" s="196"/>
      <c r="LBI56" s="196"/>
      <c r="LBJ56" s="196"/>
      <c r="LBK56" s="196"/>
      <c r="LBL56" s="196"/>
      <c r="LBM56" s="196"/>
      <c r="LBN56" s="196"/>
      <c r="LBO56" s="196"/>
      <c r="LBP56" s="196"/>
      <c r="LBQ56" s="196"/>
      <c r="LBR56" s="196"/>
      <c r="LBS56" s="196"/>
      <c r="LBT56" s="196"/>
      <c r="LBU56" s="196"/>
      <c r="LBV56" s="196"/>
      <c r="LBW56" s="196"/>
      <c r="LBX56" s="196"/>
      <c r="LBY56" s="196"/>
      <c r="LBZ56" s="196"/>
      <c r="LCA56" s="196"/>
      <c r="LCB56" s="196"/>
      <c r="LCC56" s="196"/>
      <c r="LCD56" s="196"/>
      <c r="LCE56" s="196"/>
      <c r="LCF56" s="196"/>
      <c r="LCG56" s="196"/>
      <c r="LCH56" s="196"/>
      <c r="LCI56" s="196"/>
      <c r="LCJ56" s="196"/>
      <c r="LCK56" s="196"/>
      <c r="LCL56" s="196"/>
      <c r="LCM56" s="196"/>
      <c r="LCN56" s="196"/>
      <c r="LCO56" s="196"/>
      <c r="LCP56" s="196"/>
      <c r="LCQ56" s="196"/>
      <c r="LCR56" s="196"/>
      <c r="LCS56" s="196"/>
      <c r="LCT56" s="196"/>
      <c r="LCU56" s="196"/>
      <c r="LCV56" s="196"/>
      <c r="LCW56" s="196"/>
      <c r="LCX56" s="196"/>
      <c r="LCY56" s="196"/>
      <c r="LCZ56" s="196"/>
      <c r="LDA56" s="196"/>
      <c r="LDB56" s="196"/>
      <c r="LDC56" s="196"/>
      <c r="LDD56" s="196"/>
      <c r="LDE56" s="196"/>
      <c r="LDF56" s="196"/>
      <c r="LDG56" s="196"/>
      <c r="LDH56" s="196"/>
      <c r="LDI56" s="196"/>
      <c r="LDJ56" s="196"/>
      <c r="LDK56" s="196"/>
      <c r="LDL56" s="196"/>
      <c r="LDM56" s="196"/>
      <c r="LDN56" s="196"/>
      <c r="LDO56" s="196"/>
      <c r="LDP56" s="196"/>
      <c r="LDQ56" s="196"/>
      <c r="LDR56" s="196"/>
      <c r="LDS56" s="196"/>
      <c r="LDT56" s="196"/>
      <c r="LDU56" s="196"/>
      <c r="LDV56" s="196"/>
      <c r="LDW56" s="196"/>
      <c r="LDX56" s="196"/>
      <c r="LDY56" s="196"/>
      <c r="LDZ56" s="196"/>
      <c r="LEA56" s="196"/>
      <c r="LEB56" s="196"/>
      <c r="LEC56" s="196"/>
      <c r="LED56" s="196"/>
      <c r="LEE56" s="196"/>
      <c r="LEF56" s="196"/>
      <c r="LEG56" s="196"/>
      <c r="LEH56" s="196"/>
      <c r="LEI56" s="196"/>
      <c r="LEJ56" s="196"/>
      <c r="LEK56" s="196"/>
      <c r="LEL56" s="196"/>
      <c r="LEM56" s="196"/>
      <c r="LEN56" s="196"/>
      <c r="LEO56" s="196"/>
      <c r="LEP56" s="196"/>
      <c r="LEQ56" s="196"/>
      <c r="LER56" s="196"/>
      <c r="LES56" s="196"/>
      <c r="LET56" s="196"/>
      <c r="LEU56" s="196"/>
      <c r="LEV56" s="196"/>
      <c r="LEW56" s="196"/>
      <c r="LEX56" s="196"/>
      <c r="LEY56" s="196"/>
      <c r="LEZ56" s="196"/>
      <c r="LFA56" s="196"/>
      <c r="LFB56" s="196"/>
      <c r="LFC56" s="196"/>
      <c r="LFD56" s="196"/>
      <c r="LFE56" s="196"/>
      <c r="LFF56" s="196"/>
      <c r="LFG56" s="196"/>
      <c r="LFH56" s="196"/>
      <c r="LFI56" s="196"/>
      <c r="LFJ56" s="196"/>
      <c r="LFK56" s="196"/>
      <c r="LFL56" s="196"/>
      <c r="LFM56" s="196"/>
      <c r="LFN56" s="196"/>
      <c r="LFO56" s="196"/>
      <c r="LFP56" s="196"/>
      <c r="LFQ56" s="196"/>
      <c r="LFR56" s="196"/>
      <c r="LFS56" s="196"/>
      <c r="LFT56" s="196"/>
      <c r="LFU56" s="196"/>
      <c r="LFV56" s="196"/>
      <c r="LFW56" s="196"/>
      <c r="LFX56" s="196"/>
      <c r="LFY56" s="196"/>
      <c r="LFZ56" s="196"/>
      <c r="LGA56" s="196"/>
      <c r="LGB56" s="196"/>
      <c r="LGC56" s="196"/>
      <c r="LGD56" s="196"/>
      <c r="LGE56" s="196"/>
      <c r="LGF56" s="196"/>
      <c r="LGG56" s="196"/>
      <c r="LGH56" s="196"/>
      <c r="LGI56" s="196"/>
      <c r="LGJ56" s="196"/>
      <c r="LGK56" s="196"/>
      <c r="LGL56" s="196"/>
      <c r="LGM56" s="196"/>
      <c r="LGN56" s="196"/>
      <c r="LGO56" s="196"/>
      <c r="LGP56" s="196"/>
      <c r="LGQ56" s="196"/>
      <c r="LGR56" s="196"/>
      <c r="LGS56" s="196"/>
      <c r="LGT56" s="196"/>
      <c r="LGU56" s="196"/>
      <c r="LGV56" s="196"/>
      <c r="LGW56" s="196"/>
      <c r="LGX56" s="196"/>
      <c r="LGY56" s="196"/>
      <c r="LGZ56" s="196"/>
      <c r="LHA56" s="196"/>
      <c r="LHB56" s="196"/>
      <c r="LHC56" s="196"/>
      <c r="LHD56" s="196"/>
      <c r="LHE56" s="196"/>
      <c r="LHF56" s="196"/>
      <c r="LHG56" s="196"/>
      <c r="LHH56" s="196"/>
      <c r="LHI56" s="196"/>
      <c r="LHJ56" s="196"/>
      <c r="LHK56" s="196"/>
      <c r="LHL56" s="196"/>
      <c r="LHM56" s="196"/>
      <c r="LHN56" s="196"/>
      <c r="LHO56" s="196"/>
      <c r="LHP56" s="196"/>
      <c r="LHQ56" s="196"/>
      <c r="LHR56" s="196"/>
      <c r="LHS56" s="196"/>
      <c r="LHT56" s="196"/>
      <c r="LHU56" s="196"/>
      <c r="LHV56" s="196"/>
      <c r="LHW56" s="196"/>
      <c r="LHX56" s="196"/>
      <c r="LHY56" s="196"/>
      <c r="LHZ56" s="196"/>
      <c r="LIA56" s="196"/>
      <c r="LIB56" s="196"/>
      <c r="LIC56" s="196"/>
      <c r="LID56" s="196"/>
      <c r="LIE56" s="196"/>
      <c r="LIF56" s="196"/>
      <c r="LIG56" s="196"/>
      <c r="LIH56" s="196"/>
      <c r="LII56" s="196"/>
      <c r="LIJ56" s="196"/>
      <c r="LIK56" s="196"/>
      <c r="LIL56" s="196"/>
      <c r="LIM56" s="196"/>
      <c r="LIN56" s="196"/>
      <c r="LIO56" s="196"/>
      <c r="LIP56" s="196"/>
      <c r="LIQ56" s="196"/>
      <c r="LIR56" s="196"/>
      <c r="LIS56" s="196"/>
      <c r="LIT56" s="196"/>
      <c r="LIU56" s="196"/>
      <c r="LIV56" s="196"/>
      <c r="LIW56" s="196"/>
      <c r="LIX56" s="196"/>
      <c r="LIY56" s="196"/>
      <c r="LIZ56" s="196"/>
      <c r="LJA56" s="196"/>
      <c r="LJB56" s="196"/>
      <c r="LJC56" s="196"/>
      <c r="LJD56" s="196"/>
      <c r="LJE56" s="196"/>
      <c r="LJF56" s="196"/>
      <c r="LJG56" s="196"/>
      <c r="LJH56" s="196"/>
      <c r="LJI56" s="196"/>
      <c r="LJJ56" s="196"/>
      <c r="LJK56" s="196"/>
      <c r="LJL56" s="196"/>
      <c r="LJM56" s="196"/>
      <c r="LJN56" s="196"/>
      <c r="LJO56" s="196"/>
      <c r="LJP56" s="196"/>
      <c r="LJQ56" s="196"/>
      <c r="LJR56" s="196"/>
      <c r="LJS56" s="196"/>
      <c r="LJT56" s="196"/>
      <c r="LJU56" s="196"/>
      <c r="LJV56" s="196"/>
      <c r="LJW56" s="196"/>
      <c r="LJX56" s="196"/>
      <c r="LJY56" s="196"/>
      <c r="LJZ56" s="196"/>
      <c r="LKA56" s="196"/>
      <c r="LKB56" s="196"/>
      <c r="LKC56" s="196"/>
      <c r="LKD56" s="196"/>
      <c r="LKE56" s="196"/>
      <c r="LKF56" s="196"/>
      <c r="LKG56" s="196"/>
      <c r="LKH56" s="196"/>
      <c r="LKI56" s="196"/>
      <c r="LKJ56" s="196"/>
      <c r="LKK56" s="196"/>
      <c r="LKL56" s="196"/>
      <c r="LKM56" s="196"/>
      <c r="LKN56" s="196"/>
      <c r="LKO56" s="196"/>
      <c r="LKP56" s="196"/>
      <c r="LKQ56" s="196"/>
      <c r="LKR56" s="196"/>
      <c r="LKS56" s="196"/>
      <c r="LKT56" s="196"/>
      <c r="LKU56" s="196"/>
      <c r="LKV56" s="196"/>
      <c r="LKW56" s="196"/>
      <c r="LKX56" s="196"/>
      <c r="LKY56" s="196"/>
      <c r="LKZ56" s="196"/>
      <c r="LLA56" s="196"/>
      <c r="LLB56" s="196"/>
      <c r="LLC56" s="196"/>
      <c r="LLD56" s="196"/>
      <c r="LLE56" s="196"/>
      <c r="LLF56" s="196"/>
      <c r="LLG56" s="196"/>
      <c r="LLH56" s="196"/>
      <c r="LLI56" s="196"/>
      <c r="LLJ56" s="196"/>
      <c r="LLK56" s="196"/>
      <c r="LLL56" s="196"/>
      <c r="LLM56" s="196"/>
      <c r="LLN56" s="196"/>
      <c r="LLO56" s="196"/>
      <c r="LLP56" s="196"/>
      <c r="LLQ56" s="196"/>
      <c r="LLR56" s="196"/>
      <c r="LLS56" s="196"/>
      <c r="LLT56" s="196"/>
      <c r="LLU56" s="196"/>
      <c r="LLV56" s="196"/>
      <c r="LLW56" s="196"/>
      <c r="LLX56" s="196"/>
      <c r="LLY56" s="196"/>
      <c r="LLZ56" s="196"/>
      <c r="LMA56" s="196"/>
      <c r="LMB56" s="196"/>
      <c r="LMC56" s="196"/>
      <c r="LMD56" s="196"/>
      <c r="LME56" s="196"/>
      <c r="LMF56" s="196"/>
      <c r="LMG56" s="196"/>
      <c r="LMH56" s="196"/>
      <c r="LMI56" s="196"/>
      <c r="LMJ56" s="196"/>
      <c r="LMK56" s="196"/>
      <c r="LML56" s="196"/>
      <c r="LMM56" s="196"/>
      <c r="LMN56" s="196"/>
      <c r="LMO56" s="196"/>
      <c r="LMP56" s="196"/>
      <c r="LMQ56" s="196"/>
      <c r="LMR56" s="196"/>
      <c r="LMS56" s="196"/>
      <c r="LMT56" s="196"/>
      <c r="LMU56" s="196"/>
      <c r="LMV56" s="196"/>
      <c r="LMW56" s="196"/>
      <c r="LMX56" s="196"/>
      <c r="LMY56" s="196"/>
      <c r="LMZ56" s="196"/>
      <c r="LNA56" s="196"/>
      <c r="LNB56" s="196"/>
      <c r="LNC56" s="196"/>
      <c r="LND56" s="196"/>
      <c r="LNE56" s="196"/>
      <c r="LNF56" s="196"/>
      <c r="LNG56" s="196"/>
      <c r="LNH56" s="196"/>
      <c r="LNI56" s="196"/>
      <c r="LNJ56" s="196"/>
      <c r="LNK56" s="196"/>
      <c r="LNL56" s="196"/>
      <c r="LNM56" s="196"/>
      <c r="LNN56" s="196"/>
      <c r="LNO56" s="196"/>
      <c r="LNP56" s="196"/>
      <c r="LNQ56" s="196"/>
      <c r="LNR56" s="196"/>
      <c r="LNS56" s="196"/>
      <c r="LNT56" s="196"/>
      <c r="LNU56" s="196"/>
      <c r="LNV56" s="196"/>
      <c r="LNW56" s="196"/>
      <c r="LNX56" s="196"/>
      <c r="LNY56" s="196"/>
      <c r="LNZ56" s="196"/>
      <c r="LOA56" s="196"/>
      <c r="LOB56" s="196"/>
      <c r="LOC56" s="196"/>
      <c r="LOD56" s="196"/>
      <c r="LOE56" s="196"/>
      <c r="LOF56" s="196"/>
      <c r="LOG56" s="196"/>
      <c r="LOH56" s="196"/>
      <c r="LOI56" s="196"/>
      <c r="LOJ56" s="196"/>
      <c r="LOK56" s="196"/>
      <c r="LOL56" s="196"/>
      <c r="LOM56" s="196"/>
      <c r="LON56" s="196"/>
      <c r="LOO56" s="196"/>
      <c r="LOP56" s="196"/>
      <c r="LOQ56" s="196"/>
      <c r="LOR56" s="196"/>
      <c r="LOS56" s="196"/>
      <c r="LOT56" s="196"/>
      <c r="LOU56" s="196"/>
      <c r="LOV56" s="196"/>
      <c r="LOW56" s="196"/>
      <c r="LOX56" s="196"/>
      <c r="LOY56" s="196"/>
      <c r="LOZ56" s="196"/>
      <c r="LPA56" s="196"/>
      <c r="LPB56" s="196"/>
      <c r="LPC56" s="196"/>
      <c r="LPD56" s="196"/>
      <c r="LPE56" s="196"/>
      <c r="LPF56" s="196"/>
      <c r="LPG56" s="196"/>
      <c r="LPH56" s="196"/>
      <c r="LPI56" s="196"/>
      <c r="LPJ56" s="196"/>
      <c r="LPK56" s="196"/>
      <c r="LPL56" s="196"/>
      <c r="LPM56" s="196"/>
      <c r="LPN56" s="196"/>
      <c r="LPO56" s="196"/>
      <c r="LPP56" s="196"/>
      <c r="LPQ56" s="196"/>
      <c r="LPR56" s="196"/>
      <c r="LPS56" s="196"/>
      <c r="LPT56" s="196"/>
      <c r="LPU56" s="196"/>
      <c r="LPV56" s="196"/>
      <c r="LPW56" s="196"/>
      <c r="LPX56" s="196"/>
      <c r="LPY56" s="196"/>
      <c r="LPZ56" s="196"/>
      <c r="LQA56" s="196"/>
      <c r="LQB56" s="196"/>
      <c r="LQC56" s="196"/>
      <c r="LQD56" s="196"/>
      <c r="LQE56" s="196"/>
      <c r="LQF56" s="196"/>
      <c r="LQG56" s="196"/>
      <c r="LQH56" s="196"/>
      <c r="LQI56" s="196"/>
      <c r="LQJ56" s="196"/>
      <c r="LQK56" s="196"/>
      <c r="LQL56" s="196"/>
      <c r="LQM56" s="196"/>
      <c r="LQN56" s="196"/>
      <c r="LQO56" s="196"/>
      <c r="LQP56" s="196"/>
      <c r="LQQ56" s="196"/>
      <c r="LQR56" s="196"/>
      <c r="LQS56" s="196"/>
      <c r="LQT56" s="196"/>
      <c r="LQU56" s="196"/>
      <c r="LQV56" s="196"/>
      <c r="LQW56" s="196"/>
      <c r="LQX56" s="196"/>
      <c r="LQY56" s="196"/>
      <c r="LQZ56" s="196"/>
      <c r="LRA56" s="196"/>
      <c r="LRB56" s="196"/>
      <c r="LRC56" s="196"/>
      <c r="LRD56" s="196"/>
      <c r="LRE56" s="196"/>
      <c r="LRF56" s="196"/>
      <c r="LRG56" s="196"/>
      <c r="LRH56" s="196"/>
      <c r="LRI56" s="196"/>
      <c r="LRJ56" s="196"/>
      <c r="LRK56" s="196"/>
      <c r="LRL56" s="196"/>
      <c r="LRM56" s="196"/>
      <c r="LRN56" s="196"/>
      <c r="LRO56" s="196"/>
      <c r="LRP56" s="196"/>
      <c r="LRQ56" s="196"/>
      <c r="LRR56" s="196"/>
      <c r="LRS56" s="196"/>
      <c r="LRT56" s="196"/>
      <c r="LRU56" s="196"/>
      <c r="LRV56" s="196"/>
      <c r="LRW56" s="196"/>
      <c r="LRX56" s="196"/>
      <c r="LRY56" s="196"/>
      <c r="LRZ56" s="196"/>
      <c r="LSA56" s="196"/>
      <c r="LSB56" s="196"/>
      <c r="LSC56" s="196"/>
      <c r="LSD56" s="196"/>
      <c r="LSE56" s="196"/>
      <c r="LSF56" s="196"/>
      <c r="LSG56" s="196"/>
      <c r="LSH56" s="196"/>
      <c r="LSI56" s="196"/>
      <c r="LSJ56" s="196"/>
      <c r="LSK56" s="196"/>
      <c r="LSL56" s="196"/>
      <c r="LSM56" s="196"/>
      <c r="LSN56" s="196"/>
      <c r="LSO56" s="196"/>
      <c r="LSP56" s="196"/>
      <c r="LSQ56" s="196"/>
      <c r="LSR56" s="196"/>
      <c r="LSS56" s="196"/>
      <c r="LST56" s="196"/>
      <c r="LSU56" s="196"/>
      <c r="LSV56" s="196"/>
      <c r="LSW56" s="196"/>
      <c r="LSX56" s="196"/>
      <c r="LSY56" s="196"/>
      <c r="LSZ56" s="196"/>
      <c r="LTA56" s="196"/>
      <c r="LTB56" s="196"/>
      <c r="LTC56" s="196"/>
      <c r="LTD56" s="196"/>
      <c r="LTE56" s="196"/>
      <c r="LTF56" s="196"/>
      <c r="LTG56" s="196"/>
      <c r="LTH56" s="196"/>
      <c r="LTI56" s="196"/>
      <c r="LTJ56" s="196"/>
      <c r="LTK56" s="196"/>
      <c r="LTL56" s="196"/>
      <c r="LTM56" s="196"/>
      <c r="LTN56" s="196"/>
      <c r="LTO56" s="196"/>
      <c r="LTP56" s="196"/>
      <c r="LTQ56" s="196"/>
      <c r="LTR56" s="196"/>
      <c r="LTS56" s="196"/>
      <c r="LTT56" s="196"/>
      <c r="LTU56" s="196"/>
      <c r="LTV56" s="196"/>
      <c r="LTW56" s="196"/>
      <c r="LTX56" s="196"/>
      <c r="LTY56" s="196"/>
      <c r="LTZ56" s="196"/>
      <c r="LUA56" s="196"/>
      <c r="LUB56" s="196"/>
      <c r="LUC56" s="196"/>
      <c r="LUD56" s="196"/>
      <c r="LUE56" s="196"/>
      <c r="LUF56" s="196"/>
      <c r="LUG56" s="196"/>
      <c r="LUH56" s="196"/>
      <c r="LUI56" s="196"/>
      <c r="LUJ56" s="196"/>
      <c r="LUK56" s="196"/>
      <c r="LUL56" s="196"/>
      <c r="LUM56" s="196"/>
      <c r="LUN56" s="196"/>
      <c r="LUO56" s="196"/>
      <c r="LUP56" s="196"/>
      <c r="LUQ56" s="196"/>
      <c r="LUR56" s="196"/>
      <c r="LUS56" s="196"/>
      <c r="LUT56" s="196"/>
      <c r="LUU56" s="196"/>
      <c r="LUV56" s="196"/>
      <c r="LUW56" s="196"/>
      <c r="LUX56" s="196"/>
      <c r="LUY56" s="196"/>
      <c r="LUZ56" s="196"/>
      <c r="LVA56" s="196"/>
      <c r="LVB56" s="196"/>
      <c r="LVC56" s="196"/>
      <c r="LVD56" s="196"/>
      <c r="LVE56" s="196"/>
      <c r="LVF56" s="196"/>
      <c r="LVG56" s="196"/>
      <c r="LVH56" s="196"/>
      <c r="LVI56" s="196"/>
      <c r="LVJ56" s="196"/>
      <c r="LVK56" s="196"/>
      <c r="LVL56" s="196"/>
      <c r="LVM56" s="196"/>
      <c r="LVN56" s="196"/>
      <c r="LVO56" s="196"/>
      <c r="LVP56" s="196"/>
      <c r="LVQ56" s="196"/>
      <c r="LVR56" s="196"/>
      <c r="LVS56" s="196"/>
      <c r="LVT56" s="196"/>
      <c r="LVU56" s="196"/>
      <c r="LVV56" s="196"/>
      <c r="LVW56" s="196"/>
      <c r="LVX56" s="196"/>
      <c r="LVY56" s="196"/>
      <c r="LVZ56" s="196"/>
      <c r="LWA56" s="196"/>
      <c r="LWB56" s="196"/>
      <c r="LWC56" s="196"/>
      <c r="LWD56" s="196"/>
      <c r="LWE56" s="196"/>
      <c r="LWF56" s="196"/>
      <c r="LWG56" s="196"/>
      <c r="LWH56" s="196"/>
      <c r="LWI56" s="196"/>
      <c r="LWJ56" s="196"/>
      <c r="LWK56" s="196"/>
      <c r="LWL56" s="196"/>
      <c r="LWM56" s="196"/>
      <c r="LWN56" s="196"/>
      <c r="LWO56" s="196"/>
      <c r="LWP56" s="196"/>
      <c r="LWQ56" s="196"/>
      <c r="LWR56" s="196"/>
      <c r="LWS56" s="196"/>
      <c r="LWT56" s="196"/>
      <c r="LWU56" s="196"/>
      <c r="LWV56" s="196"/>
      <c r="LWW56" s="196"/>
      <c r="LWX56" s="196"/>
      <c r="LWY56" s="196"/>
      <c r="LWZ56" s="196"/>
      <c r="LXA56" s="196"/>
      <c r="LXB56" s="196"/>
      <c r="LXC56" s="196"/>
      <c r="LXD56" s="196"/>
      <c r="LXE56" s="196"/>
      <c r="LXF56" s="196"/>
      <c r="LXG56" s="196"/>
      <c r="LXH56" s="196"/>
      <c r="LXI56" s="196"/>
      <c r="LXJ56" s="196"/>
      <c r="LXK56" s="196"/>
      <c r="LXL56" s="196"/>
      <c r="LXM56" s="196"/>
      <c r="LXN56" s="196"/>
      <c r="LXO56" s="196"/>
      <c r="LXP56" s="196"/>
      <c r="LXQ56" s="196"/>
      <c r="LXR56" s="196"/>
      <c r="LXS56" s="196"/>
      <c r="LXT56" s="196"/>
      <c r="LXU56" s="196"/>
      <c r="LXV56" s="196"/>
      <c r="LXW56" s="196"/>
      <c r="LXX56" s="196"/>
      <c r="LXY56" s="196"/>
      <c r="LXZ56" s="196"/>
      <c r="LYA56" s="196"/>
      <c r="LYB56" s="196"/>
      <c r="LYC56" s="196"/>
      <c r="LYD56" s="196"/>
      <c r="LYE56" s="196"/>
      <c r="LYF56" s="196"/>
      <c r="LYG56" s="196"/>
      <c r="LYH56" s="196"/>
      <c r="LYI56" s="196"/>
      <c r="LYJ56" s="196"/>
      <c r="LYK56" s="196"/>
      <c r="LYL56" s="196"/>
      <c r="LYM56" s="196"/>
      <c r="LYN56" s="196"/>
      <c r="LYO56" s="196"/>
      <c r="LYP56" s="196"/>
      <c r="LYQ56" s="196"/>
      <c r="LYR56" s="196"/>
      <c r="LYS56" s="196"/>
      <c r="LYT56" s="196"/>
      <c r="LYU56" s="196"/>
      <c r="LYV56" s="196"/>
      <c r="LYW56" s="196"/>
      <c r="LYX56" s="196"/>
      <c r="LYY56" s="196"/>
      <c r="LYZ56" s="196"/>
      <c r="LZA56" s="196"/>
      <c r="LZB56" s="196"/>
      <c r="LZC56" s="196"/>
      <c r="LZD56" s="196"/>
      <c r="LZE56" s="196"/>
      <c r="LZF56" s="196"/>
      <c r="LZG56" s="196"/>
      <c r="LZH56" s="196"/>
      <c r="LZI56" s="196"/>
      <c r="LZJ56" s="196"/>
      <c r="LZK56" s="196"/>
      <c r="LZL56" s="196"/>
      <c r="LZM56" s="196"/>
      <c r="LZN56" s="196"/>
      <c r="LZO56" s="196"/>
      <c r="LZP56" s="196"/>
      <c r="LZQ56" s="196"/>
      <c r="LZR56" s="196"/>
      <c r="LZS56" s="196"/>
      <c r="LZT56" s="196"/>
      <c r="LZU56" s="196"/>
      <c r="LZV56" s="196"/>
      <c r="LZW56" s="196"/>
      <c r="LZX56" s="196"/>
      <c r="LZY56" s="196"/>
      <c r="LZZ56" s="196"/>
      <c r="MAA56" s="196"/>
      <c r="MAB56" s="196"/>
      <c r="MAC56" s="196"/>
      <c r="MAD56" s="196"/>
      <c r="MAE56" s="196"/>
      <c r="MAF56" s="196"/>
      <c r="MAG56" s="196"/>
      <c r="MAH56" s="196"/>
      <c r="MAI56" s="196"/>
      <c r="MAJ56" s="196"/>
      <c r="MAK56" s="196"/>
      <c r="MAL56" s="196"/>
      <c r="MAM56" s="196"/>
      <c r="MAN56" s="196"/>
      <c r="MAO56" s="196"/>
      <c r="MAP56" s="196"/>
      <c r="MAQ56" s="196"/>
      <c r="MAR56" s="196"/>
      <c r="MAS56" s="196"/>
      <c r="MAT56" s="196"/>
      <c r="MAU56" s="196"/>
      <c r="MAV56" s="196"/>
      <c r="MAW56" s="196"/>
      <c r="MAX56" s="196"/>
      <c r="MAY56" s="196"/>
      <c r="MAZ56" s="196"/>
      <c r="MBA56" s="196"/>
      <c r="MBB56" s="196"/>
      <c r="MBC56" s="196"/>
      <c r="MBD56" s="196"/>
      <c r="MBE56" s="196"/>
      <c r="MBF56" s="196"/>
      <c r="MBG56" s="196"/>
      <c r="MBH56" s="196"/>
      <c r="MBI56" s="196"/>
      <c r="MBJ56" s="196"/>
      <c r="MBK56" s="196"/>
      <c r="MBL56" s="196"/>
      <c r="MBM56" s="196"/>
      <c r="MBN56" s="196"/>
      <c r="MBO56" s="196"/>
      <c r="MBP56" s="196"/>
      <c r="MBQ56" s="196"/>
      <c r="MBR56" s="196"/>
      <c r="MBS56" s="196"/>
      <c r="MBT56" s="196"/>
      <c r="MBU56" s="196"/>
      <c r="MBV56" s="196"/>
      <c r="MBW56" s="196"/>
      <c r="MBX56" s="196"/>
      <c r="MBY56" s="196"/>
      <c r="MBZ56" s="196"/>
      <c r="MCA56" s="196"/>
      <c r="MCB56" s="196"/>
      <c r="MCC56" s="196"/>
      <c r="MCD56" s="196"/>
      <c r="MCE56" s="196"/>
      <c r="MCF56" s="196"/>
      <c r="MCG56" s="196"/>
      <c r="MCH56" s="196"/>
      <c r="MCI56" s="196"/>
      <c r="MCJ56" s="196"/>
      <c r="MCK56" s="196"/>
      <c r="MCL56" s="196"/>
      <c r="MCM56" s="196"/>
      <c r="MCN56" s="196"/>
      <c r="MCO56" s="196"/>
      <c r="MCP56" s="196"/>
      <c r="MCQ56" s="196"/>
      <c r="MCR56" s="196"/>
      <c r="MCS56" s="196"/>
      <c r="MCT56" s="196"/>
      <c r="MCU56" s="196"/>
      <c r="MCV56" s="196"/>
      <c r="MCW56" s="196"/>
      <c r="MCX56" s="196"/>
      <c r="MCY56" s="196"/>
      <c r="MCZ56" s="196"/>
      <c r="MDA56" s="196"/>
      <c r="MDB56" s="196"/>
      <c r="MDC56" s="196"/>
      <c r="MDD56" s="196"/>
      <c r="MDE56" s="196"/>
      <c r="MDF56" s="196"/>
      <c r="MDG56" s="196"/>
      <c r="MDH56" s="196"/>
      <c r="MDI56" s="196"/>
      <c r="MDJ56" s="196"/>
      <c r="MDK56" s="196"/>
      <c r="MDL56" s="196"/>
      <c r="MDM56" s="196"/>
      <c r="MDN56" s="196"/>
      <c r="MDO56" s="196"/>
      <c r="MDP56" s="196"/>
      <c r="MDQ56" s="196"/>
      <c r="MDR56" s="196"/>
      <c r="MDS56" s="196"/>
      <c r="MDT56" s="196"/>
      <c r="MDU56" s="196"/>
      <c r="MDV56" s="196"/>
      <c r="MDW56" s="196"/>
      <c r="MDX56" s="196"/>
      <c r="MDY56" s="196"/>
      <c r="MDZ56" s="196"/>
      <c r="MEA56" s="196"/>
      <c r="MEB56" s="196"/>
      <c r="MEC56" s="196"/>
      <c r="MED56" s="196"/>
      <c r="MEE56" s="196"/>
      <c r="MEF56" s="196"/>
      <c r="MEG56" s="196"/>
      <c r="MEH56" s="196"/>
      <c r="MEI56" s="196"/>
      <c r="MEJ56" s="196"/>
      <c r="MEK56" s="196"/>
      <c r="MEL56" s="196"/>
      <c r="MEM56" s="196"/>
      <c r="MEN56" s="196"/>
      <c r="MEO56" s="196"/>
      <c r="MEP56" s="196"/>
      <c r="MEQ56" s="196"/>
      <c r="MER56" s="196"/>
      <c r="MES56" s="196"/>
      <c r="MET56" s="196"/>
      <c r="MEU56" s="196"/>
      <c r="MEV56" s="196"/>
      <c r="MEW56" s="196"/>
      <c r="MEX56" s="196"/>
      <c r="MEY56" s="196"/>
      <c r="MEZ56" s="196"/>
      <c r="MFA56" s="196"/>
      <c r="MFB56" s="196"/>
      <c r="MFC56" s="196"/>
      <c r="MFD56" s="196"/>
      <c r="MFE56" s="196"/>
      <c r="MFF56" s="196"/>
      <c r="MFG56" s="196"/>
      <c r="MFH56" s="196"/>
      <c r="MFI56" s="196"/>
      <c r="MFJ56" s="196"/>
      <c r="MFK56" s="196"/>
      <c r="MFL56" s="196"/>
      <c r="MFM56" s="196"/>
      <c r="MFN56" s="196"/>
      <c r="MFO56" s="196"/>
      <c r="MFP56" s="196"/>
      <c r="MFQ56" s="196"/>
      <c r="MFR56" s="196"/>
      <c r="MFS56" s="196"/>
      <c r="MFT56" s="196"/>
      <c r="MFU56" s="196"/>
      <c r="MFV56" s="196"/>
      <c r="MFW56" s="196"/>
      <c r="MFX56" s="196"/>
      <c r="MFY56" s="196"/>
      <c r="MFZ56" s="196"/>
      <c r="MGA56" s="196"/>
      <c r="MGB56" s="196"/>
      <c r="MGC56" s="196"/>
      <c r="MGD56" s="196"/>
      <c r="MGE56" s="196"/>
      <c r="MGF56" s="196"/>
      <c r="MGG56" s="196"/>
      <c r="MGH56" s="196"/>
      <c r="MGI56" s="196"/>
      <c r="MGJ56" s="196"/>
      <c r="MGK56" s="196"/>
      <c r="MGL56" s="196"/>
      <c r="MGM56" s="196"/>
      <c r="MGN56" s="196"/>
      <c r="MGO56" s="196"/>
      <c r="MGP56" s="196"/>
      <c r="MGQ56" s="196"/>
      <c r="MGR56" s="196"/>
      <c r="MGS56" s="196"/>
      <c r="MGT56" s="196"/>
      <c r="MGU56" s="196"/>
      <c r="MGV56" s="196"/>
      <c r="MGW56" s="196"/>
      <c r="MGX56" s="196"/>
      <c r="MGY56" s="196"/>
      <c r="MGZ56" s="196"/>
      <c r="MHA56" s="196"/>
      <c r="MHB56" s="196"/>
      <c r="MHC56" s="196"/>
      <c r="MHD56" s="196"/>
      <c r="MHE56" s="196"/>
      <c r="MHF56" s="196"/>
      <c r="MHG56" s="196"/>
      <c r="MHH56" s="196"/>
      <c r="MHI56" s="196"/>
      <c r="MHJ56" s="196"/>
      <c r="MHK56" s="196"/>
      <c r="MHL56" s="196"/>
      <c r="MHM56" s="196"/>
      <c r="MHN56" s="196"/>
      <c r="MHO56" s="196"/>
      <c r="MHP56" s="196"/>
      <c r="MHQ56" s="196"/>
      <c r="MHR56" s="196"/>
      <c r="MHS56" s="196"/>
      <c r="MHT56" s="196"/>
      <c r="MHU56" s="196"/>
      <c r="MHV56" s="196"/>
      <c r="MHW56" s="196"/>
      <c r="MHX56" s="196"/>
      <c r="MHY56" s="196"/>
      <c r="MHZ56" s="196"/>
      <c r="MIA56" s="196"/>
      <c r="MIB56" s="196"/>
      <c r="MIC56" s="196"/>
      <c r="MID56" s="196"/>
      <c r="MIE56" s="196"/>
      <c r="MIF56" s="196"/>
      <c r="MIG56" s="196"/>
      <c r="MIH56" s="196"/>
      <c r="MII56" s="196"/>
      <c r="MIJ56" s="196"/>
      <c r="MIK56" s="196"/>
      <c r="MIL56" s="196"/>
      <c r="MIM56" s="196"/>
      <c r="MIN56" s="196"/>
      <c r="MIO56" s="196"/>
      <c r="MIP56" s="196"/>
      <c r="MIQ56" s="196"/>
      <c r="MIR56" s="196"/>
      <c r="MIS56" s="196"/>
      <c r="MIT56" s="196"/>
      <c r="MIU56" s="196"/>
      <c r="MIV56" s="196"/>
      <c r="MIW56" s="196"/>
      <c r="MIX56" s="196"/>
      <c r="MIY56" s="196"/>
      <c r="MIZ56" s="196"/>
      <c r="MJA56" s="196"/>
      <c r="MJB56" s="196"/>
      <c r="MJC56" s="196"/>
      <c r="MJD56" s="196"/>
      <c r="MJE56" s="196"/>
      <c r="MJF56" s="196"/>
      <c r="MJG56" s="196"/>
      <c r="MJH56" s="196"/>
      <c r="MJI56" s="196"/>
      <c r="MJJ56" s="196"/>
      <c r="MJK56" s="196"/>
      <c r="MJL56" s="196"/>
      <c r="MJM56" s="196"/>
      <c r="MJN56" s="196"/>
      <c r="MJO56" s="196"/>
      <c r="MJP56" s="196"/>
      <c r="MJQ56" s="196"/>
      <c r="MJR56" s="196"/>
      <c r="MJS56" s="196"/>
      <c r="MJT56" s="196"/>
      <c r="MJU56" s="196"/>
      <c r="MJV56" s="196"/>
      <c r="MJW56" s="196"/>
      <c r="MJX56" s="196"/>
      <c r="MJY56" s="196"/>
      <c r="MJZ56" s="196"/>
      <c r="MKA56" s="196"/>
      <c r="MKB56" s="196"/>
      <c r="MKC56" s="196"/>
      <c r="MKD56" s="196"/>
      <c r="MKE56" s="196"/>
      <c r="MKF56" s="196"/>
      <c r="MKG56" s="196"/>
      <c r="MKH56" s="196"/>
      <c r="MKI56" s="196"/>
      <c r="MKJ56" s="196"/>
      <c r="MKK56" s="196"/>
      <c r="MKL56" s="196"/>
      <c r="MKM56" s="196"/>
      <c r="MKN56" s="196"/>
      <c r="MKO56" s="196"/>
      <c r="MKP56" s="196"/>
      <c r="MKQ56" s="196"/>
      <c r="MKR56" s="196"/>
      <c r="MKS56" s="196"/>
      <c r="MKT56" s="196"/>
      <c r="MKU56" s="196"/>
      <c r="MKV56" s="196"/>
      <c r="MKW56" s="196"/>
      <c r="MKX56" s="196"/>
      <c r="MKY56" s="196"/>
      <c r="MKZ56" s="196"/>
      <c r="MLA56" s="196"/>
      <c r="MLB56" s="196"/>
      <c r="MLC56" s="196"/>
      <c r="MLD56" s="196"/>
      <c r="MLE56" s="196"/>
      <c r="MLF56" s="196"/>
      <c r="MLG56" s="196"/>
      <c r="MLH56" s="196"/>
      <c r="MLI56" s="196"/>
      <c r="MLJ56" s="196"/>
      <c r="MLK56" s="196"/>
      <c r="MLL56" s="196"/>
      <c r="MLM56" s="196"/>
      <c r="MLN56" s="196"/>
      <c r="MLO56" s="196"/>
      <c r="MLP56" s="196"/>
      <c r="MLQ56" s="196"/>
      <c r="MLR56" s="196"/>
      <c r="MLS56" s="196"/>
      <c r="MLT56" s="196"/>
      <c r="MLU56" s="196"/>
      <c r="MLV56" s="196"/>
      <c r="MLW56" s="196"/>
      <c r="MLX56" s="196"/>
      <c r="MLY56" s="196"/>
      <c r="MLZ56" s="196"/>
      <c r="MMA56" s="196"/>
      <c r="MMB56" s="196"/>
      <c r="MMC56" s="196"/>
      <c r="MMD56" s="196"/>
      <c r="MME56" s="196"/>
      <c r="MMF56" s="196"/>
      <c r="MMG56" s="196"/>
      <c r="MMH56" s="196"/>
      <c r="MMI56" s="196"/>
      <c r="MMJ56" s="196"/>
      <c r="MMK56" s="196"/>
      <c r="MML56" s="196"/>
      <c r="MMM56" s="196"/>
      <c r="MMN56" s="196"/>
      <c r="MMO56" s="196"/>
      <c r="MMP56" s="196"/>
      <c r="MMQ56" s="196"/>
      <c r="MMR56" s="196"/>
      <c r="MMS56" s="196"/>
      <c r="MMT56" s="196"/>
      <c r="MMU56" s="196"/>
      <c r="MMV56" s="196"/>
      <c r="MMW56" s="196"/>
      <c r="MMX56" s="196"/>
      <c r="MMY56" s="196"/>
      <c r="MMZ56" s="196"/>
      <c r="MNA56" s="196"/>
      <c r="MNB56" s="196"/>
      <c r="MNC56" s="196"/>
      <c r="MND56" s="196"/>
      <c r="MNE56" s="196"/>
      <c r="MNF56" s="196"/>
      <c r="MNG56" s="196"/>
      <c r="MNH56" s="196"/>
      <c r="MNI56" s="196"/>
      <c r="MNJ56" s="196"/>
      <c r="MNK56" s="196"/>
      <c r="MNL56" s="196"/>
      <c r="MNM56" s="196"/>
      <c r="MNN56" s="196"/>
      <c r="MNO56" s="196"/>
      <c r="MNP56" s="196"/>
      <c r="MNQ56" s="196"/>
      <c r="MNR56" s="196"/>
      <c r="MNS56" s="196"/>
      <c r="MNT56" s="196"/>
      <c r="MNU56" s="196"/>
      <c r="MNV56" s="196"/>
      <c r="MNW56" s="196"/>
      <c r="MNX56" s="196"/>
      <c r="MNY56" s="196"/>
      <c r="MNZ56" s="196"/>
      <c r="MOA56" s="196"/>
      <c r="MOB56" s="196"/>
      <c r="MOC56" s="196"/>
      <c r="MOD56" s="196"/>
      <c r="MOE56" s="196"/>
      <c r="MOF56" s="196"/>
      <c r="MOG56" s="196"/>
      <c r="MOH56" s="196"/>
      <c r="MOI56" s="196"/>
      <c r="MOJ56" s="196"/>
      <c r="MOK56" s="196"/>
      <c r="MOL56" s="196"/>
      <c r="MOM56" s="196"/>
      <c r="MON56" s="196"/>
      <c r="MOO56" s="196"/>
      <c r="MOP56" s="196"/>
      <c r="MOQ56" s="196"/>
      <c r="MOR56" s="196"/>
      <c r="MOS56" s="196"/>
      <c r="MOT56" s="196"/>
      <c r="MOU56" s="196"/>
      <c r="MOV56" s="196"/>
      <c r="MOW56" s="196"/>
      <c r="MOX56" s="196"/>
      <c r="MOY56" s="196"/>
      <c r="MOZ56" s="196"/>
      <c r="MPA56" s="196"/>
      <c r="MPB56" s="196"/>
      <c r="MPC56" s="196"/>
      <c r="MPD56" s="196"/>
      <c r="MPE56" s="196"/>
      <c r="MPF56" s="196"/>
      <c r="MPG56" s="196"/>
      <c r="MPH56" s="196"/>
      <c r="MPI56" s="196"/>
      <c r="MPJ56" s="196"/>
      <c r="MPK56" s="196"/>
      <c r="MPL56" s="196"/>
      <c r="MPM56" s="196"/>
      <c r="MPN56" s="196"/>
      <c r="MPO56" s="196"/>
      <c r="MPP56" s="196"/>
      <c r="MPQ56" s="196"/>
      <c r="MPR56" s="196"/>
      <c r="MPS56" s="196"/>
      <c r="MPT56" s="196"/>
      <c r="MPU56" s="196"/>
      <c r="MPV56" s="196"/>
      <c r="MPW56" s="196"/>
      <c r="MPX56" s="196"/>
      <c r="MPY56" s="196"/>
      <c r="MPZ56" s="196"/>
      <c r="MQA56" s="196"/>
      <c r="MQB56" s="196"/>
      <c r="MQC56" s="196"/>
      <c r="MQD56" s="196"/>
      <c r="MQE56" s="196"/>
      <c r="MQF56" s="196"/>
      <c r="MQG56" s="196"/>
      <c r="MQH56" s="196"/>
      <c r="MQI56" s="196"/>
      <c r="MQJ56" s="196"/>
      <c r="MQK56" s="196"/>
      <c r="MQL56" s="196"/>
      <c r="MQM56" s="196"/>
      <c r="MQN56" s="196"/>
      <c r="MQO56" s="196"/>
      <c r="MQP56" s="196"/>
      <c r="MQQ56" s="196"/>
      <c r="MQR56" s="196"/>
      <c r="MQS56" s="196"/>
      <c r="MQT56" s="196"/>
      <c r="MQU56" s="196"/>
      <c r="MQV56" s="196"/>
      <c r="MQW56" s="196"/>
      <c r="MQX56" s="196"/>
      <c r="MQY56" s="196"/>
      <c r="MQZ56" s="196"/>
      <c r="MRA56" s="196"/>
      <c r="MRB56" s="196"/>
      <c r="MRC56" s="196"/>
      <c r="MRD56" s="196"/>
      <c r="MRE56" s="196"/>
      <c r="MRF56" s="196"/>
      <c r="MRG56" s="196"/>
      <c r="MRH56" s="196"/>
      <c r="MRI56" s="196"/>
      <c r="MRJ56" s="196"/>
      <c r="MRK56" s="196"/>
      <c r="MRL56" s="196"/>
      <c r="MRM56" s="196"/>
      <c r="MRN56" s="196"/>
      <c r="MRO56" s="196"/>
      <c r="MRP56" s="196"/>
      <c r="MRQ56" s="196"/>
      <c r="MRR56" s="196"/>
      <c r="MRS56" s="196"/>
      <c r="MRT56" s="196"/>
      <c r="MRU56" s="196"/>
      <c r="MRV56" s="196"/>
      <c r="MRW56" s="196"/>
      <c r="MRX56" s="196"/>
      <c r="MRY56" s="196"/>
      <c r="MRZ56" s="196"/>
      <c r="MSA56" s="196"/>
      <c r="MSB56" s="196"/>
      <c r="MSC56" s="196"/>
      <c r="MSD56" s="196"/>
      <c r="MSE56" s="196"/>
      <c r="MSF56" s="196"/>
      <c r="MSG56" s="196"/>
      <c r="MSH56" s="196"/>
      <c r="MSI56" s="196"/>
      <c r="MSJ56" s="196"/>
      <c r="MSK56" s="196"/>
      <c r="MSL56" s="196"/>
      <c r="MSM56" s="196"/>
      <c r="MSN56" s="196"/>
      <c r="MSO56" s="196"/>
      <c r="MSP56" s="196"/>
      <c r="MSQ56" s="196"/>
      <c r="MSR56" s="196"/>
      <c r="MSS56" s="196"/>
      <c r="MST56" s="196"/>
      <c r="MSU56" s="196"/>
      <c r="MSV56" s="196"/>
      <c r="MSW56" s="196"/>
      <c r="MSX56" s="196"/>
      <c r="MSY56" s="196"/>
      <c r="MSZ56" s="196"/>
      <c r="MTA56" s="196"/>
      <c r="MTB56" s="196"/>
      <c r="MTC56" s="196"/>
      <c r="MTD56" s="196"/>
      <c r="MTE56" s="196"/>
      <c r="MTF56" s="196"/>
      <c r="MTG56" s="196"/>
      <c r="MTH56" s="196"/>
      <c r="MTI56" s="196"/>
      <c r="MTJ56" s="196"/>
      <c r="MTK56" s="196"/>
      <c r="MTL56" s="196"/>
      <c r="MTM56" s="196"/>
      <c r="MTN56" s="196"/>
      <c r="MTO56" s="196"/>
      <c r="MTP56" s="196"/>
      <c r="MTQ56" s="196"/>
      <c r="MTR56" s="196"/>
      <c r="MTS56" s="196"/>
      <c r="MTT56" s="196"/>
      <c r="MTU56" s="196"/>
      <c r="MTV56" s="196"/>
      <c r="MTW56" s="196"/>
      <c r="MTX56" s="196"/>
      <c r="MTY56" s="196"/>
      <c r="MTZ56" s="196"/>
      <c r="MUA56" s="196"/>
      <c r="MUB56" s="196"/>
      <c r="MUC56" s="196"/>
      <c r="MUD56" s="196"/>
      <c r="MUE56" s="196"/>
      <c r="MUF56" s="196"/>
      <c r="MUG56" s="196"/>
      <c r="MUH56" s="196"/>
      <c r="MUI56" s="196"/>
      <c r="MUJ56" s="196"/>
      <c r="MUK56" s="196"/>
      <c r="MUL56" s="196"/>
      <c r="MUM56" s="196"/>
      <c r="MUN56" s="196"/>
      <c r="MUO56" s="196"/>
      <c r="MUP56" s="196"/>
      <c r="MUQ56" s="196"/>
      <c r="MUR56" s="196"/>
      <c r="MUS56" s="196"/>
      <c r="MUT56" s="196"/>
      <c r="MUU56" s="196"/>
      <c r="MUV56" s="196"/>
      <c r="MUW56" s="196"/>
      <c r="MUX56" s="196"/>
      <c r="MUY56" s="196"/>
      <c r="MUZ56" s="196"/>
      <c r="MVA56" s="196"/>
      <c r="MVB56" s="196"/>
      <c r="MVC56" s="196"/>
      <c r="MVD56" s="196"/>
      <c r="MVE56" s="196"/>
      <c r="MVF56" s="196"/>
      <c r="MVG56" s="196"/>
      <c r="MVH56" s="196"/>
      <c r="MVI56" s="196"/>
      <c r="MVJ56" s="196"/>
      <c r="MVK56" s="196"/>
      <c r="MVL56" s="196"/>
      <c r="MVM56" s="196"/>
      <c r="MVN56" s="196"/>
      <c r="MVO56" s="196"/>
      <c r="MVP56" s="196"/>
      <c r="MVQ56" s="196"/>
      <c r="MVR56" s="196"/>
      <c r="MVS56" s="196"/>
      <c r="MVT56" s="196"/>
      <c r="MVU56" s="196"/>
      <c r="MVV56" s="196"/>
      <c r="MVW56" s="196"/>
      <c r="MVX56" s="196"/>
      <c r="MVY56" s="196"/>
      <c r="MVZ56" s="196"/>
      <c r="MWA56" s="196"/>
      <c r="MWB56" s="196"/>
      <c r="MWC56" s="196"/>
      <c r="MWD56" s="196"/>
      <c r="MWE56" s="196"/>
      <c r="MWF56" s="196"/>
      <c r="MWG56" s="196"/>
      <c r="MWH56" s="196"/>
      <c r="MWI56" s="196"/>
      <c r="MWJ56" s="196"/>
      <c r="MWK56" s="196"/>
      <c r="MWL56" s="196"/>
      <c r="MWM56" s="196"/>
      <c r="MWN56" s="196"/>
      <c r="MWO56" s="196"/>
      <c r="MWP56" s="196"/>
      <c r="MWQ56" s="196"/>
      <c r="MWR56" s="196"/>
      <c r="MWS56" s="196"/>
      <c r="MWT56" s="196"/>
      <c r="MWU56" s="196"/>
      <c r="MWV56" s="196"/>
      <c r="MWW56" s="196"/>
      <c r="MWX56" s="196"/>
      <c r="MWY56" s="196"/>
      <c r="MWZ56" s="196"/>
      <c r="MXA56" s="196"/>
      <c r="MXB56" s="196"/>
      <c r="MXC56" s="196"/>
      <c r="MXD56" s="196"/>
      <c r="MXE56" s="196"/>
      <c r="MXF56" s="196"/>
      <c r="MXG56" s="196"/>
      <c r="MXH56" s="196"/>
      <c r="MXI56" s="196"/>
      <c r="MXJ56" s="196"/>
      <c r="MXK56" s="196"/>
      <c r="MXL56" s="196"/>
      <c r="MXM56" s="196"/>
      <c r="MXN56" s="196"/>
      <c r="MXO56" s="196"/>
      <c r="MXP56" s="196"/>
      <c r="MXQ56" s="196"/>
      <c r="MXR56" s="196"/>
      <c r="MXS56" s="196"/>
      <c r="MXT56" s="196"/>
      <c r="MXU56" s="196"/>
      <c r="MXV56" s="196"/>
      <c r="MXW56" s="196"/>
      <c r="MXX56" s="196"/>
      <c r="MXY56" s="196"/>
      <c r="MXZ56" s="196"/>
      <c r="MYA56" s="196"/>
      <c r="MYB56" s="196"/>
      <c r="MYC56" s="196"/>
      <c r="MYD56" s="196"/>
      <c r="MYE56" s="196"/>
      <c r="MYF56" s="196"/>
      <c r="MYG56" s="196"/>
      <c r="MYH56" s="196"/>
      <c r="MYI56" s="196"/>
      <c r="MYJ56" s="196"/>
      <c r="MYK56" s="196"/>
      <c r="MYL56" s="196"/>
      <c r="MYM56" s="196"/>
      <c r="MYN56" s="196"/>
      <c r="MYO56" s="196"/>
      <c r="MYP56" s="196"/>
      <c r="MYQ56" s="196"/>
      <c r="MYR56" s="196"/>
      <c r="MYS56" s="196"/>
      <c r="MYT56" s="196"/>
      <c r="MYU56" s="196"/>
      <c r="MYV56" s="196"/>
      <c r="MYW56" s="196"/>
      <c r="MYX56" s="196"/>
      <c r="MYY56" s="196"/>
      <c r="MYZ56" s="196"/>
      <c r="MZA56" s="196"/>
      <c r="MZB56" s="196"/>
      <c r="MZC56" s="196"/>
      <c r="MZD56" s="196"/>
      <c r="MZE56" s="196"/>
      <c r="MZF56" s="196"/>
      <c r="MZG56" s="196"/>
      <c r="MZH56" s="196"/>
      <c r="MZI56" s="196"/>
      <c r="MZJ56" s="196"/>
      <c r="MZK56" s="196"/>
      <c r="MZL56" s="196"/>
      <c r="MZM56" s="196"/>
      <c r="MZN56" s="196"/>
      <c r="MZO56" s="196"/>
      <c r="MZP56" s="196"/>
      <c r="MZQ56" s="196"/>
      <c r="MZR56" s="196"/>
      <c r="MZS56" s="196"/>
      <c r="MZT56" s="196"/>
      <c r="MZU56" s="196"/>
      <c r="MZV56" s="196"/>
      <c r="MZW56" s="196"/>
      <c r="MZX56" s="196"/>
      <c r="MZY56" s="196"/>
      <c r="MZZ56" s="196"/>
      <c r="NAA56" s="196"/>
      <c r="NAB56" s="196"/>
      <c r="NAC56" s="196"/>
      <c r="NAD56" s="196"/>
      <c r="NAE56" s="196"/>
      <c r="NAF56" s="196"/>
      <c r="NAG56" s="196"/>
      <c r="NAH56" s="196"/>
      <c r="NAI56" s="196"/>
      <c r="NAJ56" s="196"/>
      <c r="NAK56" s="196"/>
      <c r="NAL56" s="196"/>
      <c r="NAM56" s="196"/>
      <c r="NAN56" s="196"/>
      <c r="NAO56" s="196"/>
      <c r="NAP56" s="196"/>
      <c r="NAQ56" s="196"/>
      <c r="NAR56" s="196"/>
      <c r="NAS56" s="196"/>
      <c r="NAT56" s="196"/>
      <c r="NAU56" s="196"/>
      <c r="NAV56" s="196"/>
      <c r="NAW56" s="196"/>
      <c r="NAX56" s="196"/>
      <c r="NAY56" s="196"/>
      <c r="NAZ56" s="196"/>
      <c r="NBA56" s="196"/>
      <c r="NBB56" s="196"/>
      <c r="NBC56" s="196"/>
      <c r="NBD56" s="196"/>
      <c r="NBE56" s="196"/>
      <c r="NBF56" s="196"/>
      <c r="NBG56" s="196"/>
      <c r="NBH56" s="196"/>
      <c r="NBI56" s="196"/>
      <c r="NBJ56" s="196"/>
      <c r="NBK56" s="196"/>
      <c r="NBL56" s="196"/>
      <c r="NBM56" s="196"/>
      <c r="NBN56" s="196"/>
      <c r="NBO56" s="196"/>
      <c r="NBP56" s="196"/>
      <c r="NBQ56" s="196"/>
      <c r="NBR56" s="196"/>
      <c r="NBS56" s="196"/>
      <c r="NBT56" s="196"/>
      <c r="NBU56" s="196"/>
      <c r="NBV56" s="196"/>
      <c r="NBW56" s="196"/>
      <c r="NBX56" s="196"/>
      <c r="NBY56" s="196"/>
      <c r="NBZ56" s="196"/>
      <c r="NCA56" s="196"/>
      <c r="NCB56" s="196"/>
      <c r="NCC56" s="196"/>
      <c r="NCD56" s="196"/>
      <c r="NCE56" s="196"/>
      <c r="NCF56" s="196"/>
      <c r="NCG56" s="196"/>
      <c r="NCH56" s="196"/>
      <c r="NCI56" s="196"/>
      <c r="NCJ56" s="196"/>
      <c r="NCK56" s="196"/>
      <c r="NCL56" s="196"/>
      <c r="NCM56" s="196"/>
      <c r="NCN56" s="196"/>
      <c r="NCO56" s="196"/>
      <c r="NCP56" s="196"/>
      <c r="NCQ56" s="196"/>
      <c r="NCR56" s="196"/>
      <c r="NCS56" s="196"/>
      <c r="NCT56" s="196"/>
      <c r="NCU56" s="196"/>
      <c r="NCV56" s="196"/>
      <c r="NCW56" s="196"/>
      <c r="NCX56" s="196"/>
      <c r="NCY56" s="196"/>
      <c r="NCZ56" s="196"/>
      <c r="NDA56" s="196"/>
      <c r="NDB56" s="196"/>
      <c r="NDC56" s="196"/>
      <c r="NDD56" s="196"/>
      <c r="NDE56" s="196"/>
      <c r="NDF56" s="196"/>
      <c r="NDG56" s="196"/>
      <c r="NDH56" s="196"/>
      <c r="NDI56" s="196"/>
      <c r="NDJ56" s="196"/>
      <c r="NDK56" s="196"/>
      <c r="NDL56" s="196"/>
      <c r="NDM56" s="196"/>
      <c r="NDN56" s="196"/>
      <c r="NDO56" s="196"/>
      <c r="NDP56" s="196"/>
      <c r="NDQ56" s="196"/>
      <c r="NDR56" s="196"/>
      <c r="NDS56" s="196"/>
      <c r="NDT56" s="196"/>
      <c r="NDU56" s="196"/>
      <c r="NDV56" s="196"/>
      <c r="NDW56" s="196"/>
      <c r="NDX56" s="196"/>
      <c r="NDY56" s="196"/>
      <c r="NDZ56" s="196"/>
      <c r="NEA56" s="196"/>
      <c r="NEB56" s="196"/>
      <c r="NEC56" s="196"/>
      <c r="NED56" s="196"/>
      <c r="NEE56" s="196"/>
      <c r="NEF56" s="196"/>
      <c r="NEG56" s="196"/>
      <c r="NEH56" s="196"/>
      <c r="NEI56" s="196"/>
      <c r="NEJ56" s="196"/>
      <c r="NEK56" s="196"/>
      <c r="NEL56" s="196"/>
      <c r="NEM56" s="196"/>
      <c r="NEN56" s="196"/>
      <c r="NEO56" s="196"/>
      <c r="NEP56" s="196"/>
      <c r="NEQ56" s="196"/>
      <c r="NER56" s="196"/>
      <c r="NES56" s="196"/>
      <c r="NET56" s="196"/>
      <c r="NEU56" s="196"/>
      <c r="NEV56" s="196"/>
      <c r="NEW56" s="196"/>
      <c r="NEX56" s="196"/>
      <c r="NEY56" s="196"/>
      <c r="NEZ56" s="196"/>
      <c r="NFA56" s="196"/>
      <c r="NFB56" s="196"/>
      <c r="NFC56" s="196"/>
      <c r="NFD56" s="196"/>
      <c r="NFE56" s="196"/>
      <c r="NFF56" s="196"/>
      <c r="NFG56" s="196"/>
      <c r="NFH56" s="196"/>
      <c r="NFI56" s="196"/>
      <c r="NFJ56" s="196"/>
      <c r="NFK56" s="196"/>
      <c r="NFL56" s="196"/>
      <c r="NFM56" s="196"/>
      <c r="NFN56" s="196"/>
      <c r="NFO56" s="196"/>
      <c r="NFP56" s="196"/>
      <c r="NFQ56" s="196"/>
      <c r="NFR56" s="196"/>
      <c r="NFS56" s="196"/>
      <c r="NFT56" s="196"/>
      <c r="NFU56" s="196"/>
      <c r="NFV56" s="196"/>
      <c r="NFW56" s="196"/>
      <c r="NFX56" s="196"/>
      <c r="NFY56" s="196"/>
      <c r="NFZ56" s="196"/>
      <c r="NGA56" s="196"/>
      <c r="NGB56" s="196"/>
      <c r="NGC56" s="196"/>
      <c r="NGD56" s="196"/>
      <c r="NGE56" s="196"/>
      <c r="NGF56" s="196"/>
      <c r="NGG56" s="196"/>
      <c r="NGH56" s="196"/>
      <c r="NGI56" s="196"/>
      <c r="NGJ56" s="196"/>
      <c r="NGK56" s="196"/>
      <c r="NGL56" s="196"/>
      <c r="NGM56" s="196"/>
      <c r="NGN56" s="196"/>
      <c r="NGO56" s="196"/>
      <c r="NGP56" s="196"/>
      <c r="NGQ56" s="196"/>
      <c r="NGR56" s="196"/>
      <c r="NGS56" s="196"/>
      <c r="NGT56" s="196"/>
      <c r="NGU56" s="196"/>
      <c r="NGV56" s="196"/>
      <c r="NGW56" s="196"/>
      <c r="NGX56" s="196"/>
      <c r="NGY56" s="196"/>
      <c r="NGZ56" s="196"/>
      <c r="NHA56" s="196"/>
      <c r="NHB56" s="196"/>
      <c r="NHC56" s="196"/>
      <c r="NHD56" s="196"/>
      <c r="NHE56" s="196"/>
      <c r="NHF56" s="196"/>
      <c r="NHG56" s="196"/>
      <c r="NHH56" s="196"/>
      <c r="NHI56" s="196"/>
      <c r="NHJ56" s="196"/>
      <c r="NHK56" s="196"/>
      <c r="NHL56" s="196"/>
      <c r="NHM56" s="196"/>
      <c r="NHN56" s="196"/>
      <c r="NHO56" s="196"/>
      <c r="NHP56" s="196"/>
      <c r="NHQ56" s="196"/>
      <c r="NHR56" s="196"/>
      <c r="NHS56" s="196"/>
      <c r="NHT56" s="196"/>
      <c r="NHU56" s="196"/>
      <c r="NHV56" s="196"/>
      <c r="NHW56" s="196"/>
      <c r="NHX56" s="196"/>
      <c r="NHY56" s="196"/>
      <c r="NHZ56" s="196"/>
      <c r="NIA56" s="196"/>
      <c r="NIB56" s="196"/>
      <c r="NIC56" s="196"/>
      <c r="NID56" s="196"/>
      <c r="NIE56" s="196"/>
      <c r="NIF56" s="196"/>
      <c r="NIG56" s="196"/>
      <c r="NIH56" s="196"/>
      <c r="NII56" s="196"/>
      <c r="NIJ56" s="196"/>
      <c r="NIK56" s="196"/>
      <c r="NIL56" s="196"/>
      <c r="NIM56" s="196"/>
      <c r="NIN56" s="196"/>
      <c r="NIO56" s="196"/>
      <c r="NIP56" s="196"/>
      <c r="NIQ56" s="196"/>
      <c r="NIR56" s="196"/>
      <c r="NIS56" s="196"/>
      <c r="NIT56" s="196"/>
      <c r="NIU56" s="196"/>
      <c r="NIV56" s="196"/>
      <c r="NIW56" s="196"/>
      <c r="NIX56" s="196"/>
      <c r="NIY56" s="196"/>
      <c r="NIZ56" s="196"/>
      <c r="NJA56" s="196"/>
      <c r="NJB56" s="196"/>
      <c r="NJC56" s="196"/>
      <c r="NJD56" s="196"/>
      <c r="NJE56" s="196"/>
      <c r="NJF56" s="196"/>
      <c r="NJG56" s="196"/>
      <c r="NJH56" s="196"/>
      <c r="NJI56" s="196"/>
      <c r="NJJ56" s="196"/>
      <c r="NJK56" s="196"/>
      <c r="NJL56" s="196"/>
      <c r="NJM56" s="196"/>
      <c r="NJN56" s="196"/>
      <c r="NJO56" s="196"/>
      <c r="NJP56" s="196"/>
      <c r="NJQ56" s="196"/>
      <c r="NJR56" s="196"/>
      <c r="NJS56" s="196"/>
      <c r="NJT56" s="196"/>
      <c r="NJU56" s="196"/>
      <c r="NJV56" s="196"/>
      <c r="NJW56" s="196"/>
      <c r="NJX56" s="196"/>
      <c r="NJY56" s="196"/>
      <c r="NJZ56" s="196"/>
      <c r="NKA56" s="196"/>
      <c r="NKB56" s="196"/>
      <c r="NKC56" s="196"/>
      <c r="NKD56" s="196"/>
      <c r="NKE56" s="196"/>
      <c r="NKF56" s="196"/>
      <c r="NKG56" s="196"/>
      <c r="NKH56" s="196"/>
      <c r="NKI56" s="196"/>
      <c r="NKJ56" s="196"/>
      <c r="NKK56" s="196"/>
      <c r="NKL56" s="196"/>
      <c r="NKM56" s="196"/>
      <c r="NKN56" s="196"/>
      <c r="NKO56" s="196"/>
      <c r="NKP56" s="196"/>
      <c r="NKQ56" s="196"/>
      <c r="NKR56" s="196"/>
      <c r="NKS56" s="196"/>
      <c r="NKT56" s="196"/>
      <c r="NKU56" s="196"/>
      <c r="NKV56" s="196"/>
      <c r="NKW56" s="196"/>
      <c r="NKX56" s="196"/>
      <c r="NKY56" s="196"/>
      <c r="NKZ56" s="196"/>
      <c r="NLA56" s="196"/>
      <c r="NLB56" s="196"/>
      <c r="NLC56" s="196"/>
      <c r="NLD56" s="196"/>
      <c r="NLE56" s="196"/>
      <c r="NLF56" s="196"/>
      <c r="NLG56" s="196"/>
      <c r="NLH56" s="196"/>
      <c r="NLI56" s="196"/>
      <c r="NLJ56" s="196"/>
      <c r="NLK56" s="196"/>
      <c r="NLL56" s="196"/>
      <c r="NLM56" s="196"/>
      <c r="NLN56" s="196"/>
      <c r="NLO56" s="196"/>
      <c r="NLP56" s="196"/>
      <c r="NLQ56" s="196"/>
      <c r="NLR56" s="196"/>
      <c r="NLS56" s="196"/>
      <c r="NLT56" s="196"/>
      <c r="NLU56" s="196"/>
      <c r="NLV56" s="196"/>
      <c r="NLW56" s="196"/>
      <c r="NLX56" s="196"/>
      <c r="NLY56" s="196"/>
      <c r="NLZ56" s="196"/>
      <c r="NMA56" s="196"/>
      <c r="NMB56" s="196"/>
      <c r="NMC56" s="196"/>
      <c r="NMD56" s="196"/>
      <c r="NME56" s="196"/>
      <c r="NMF56" s="196"/>
      <c r="NMG56" s="196"/>
      <c r="NMH56" s="196"/>
      <c r="NMI56" s="196"/>
      <c r="NMJ56" s="196"/>
      <c r="NMK56" s="196"/>
      <c r="NML56" s="196"/>
      <c r="NMM56" s="196"/>
      <c r="NMN56" s="196"/>
      <c r="NMO56" s="196"/>
      <c r="NMP56" s="196"/>
      <c r="NMQ56" s="196"/>
      <c r="NMR56" s="196"/>
      <c r="NMS56" s="196"/>
      <c r="NMT56" s="196"/>
      <c r="NMU56" s="196"/>
      <c r="NMV56" s="196"/>
      <c r="NMW56" s="196"/>
      <c r="NMX56" s="196"/>
      <c r="NMY56" s="196"/>
      <c r="NMZ56" s="196"/>
      <c r="NNA56" s="196"/>
      <c r="NNB56" s="196"/>
      <c r="NNC56" s="196"/>
      <c r="NND56" s="196"/>
      <c r="NNE56" s="196"/>
      <c r="NNF56" s="196"/>
      <c r="NNG56" s="196"/>
      <c r="NNH56" s="196"/>
      <c r="NNI56" s="196"/>
      <c r="NNJ56" s="196"/>
      <c r="NNK56" s="196"/>
      <c r="NNL56" s="196"/>
      <c r="NNM56" s="196"/>
      <c r="NNN56" s="196"/>
      <c r="NNO56" s="196"/>
      <c r="NNP56" s="196"/>
      <c r="NNQ56" s="196"/>
      <c r="NNR56" s="196"/>
      <c r="NNS56" s="196"/>
      <c r="NNT56" s="196"/>
      <c r="NNU56" s="196"/>
      <c r="NNV56" s="196"/>
      <c r="NNW56" s="196"/>
      <c r="NNX56" s="196"/>
      <c r="NNY56" s="196"/>
      <c r="NNZ56" s="196"/>
      <c r="NOA56" s="196"/>
      <c r="NOB56" s="196"/>
      <c r="NOC56" s="196"/>
      <c r="NOD56" s="196"/>
      <c r="NOE56" s="196"/>
      <c r="NOF56" s="196"/>
      <c r="NOG56" s="196"/>
      <c r="NOH56" s="196"/>
      <c r="NOI56" s="196"/>
      <c r="NOJ56" s="196"/>
      <c r="NOK56" s="196"/>
      <c r="NOL56" s="196"/>
      <c r="NOM56" s="196"/>
      <c r="NON56" s="196"/>
      <c r="NOO56" s="196"/>
      <c r="NOP56" s="196"/>
      <c r="NOQ56" s="196"/>
      <c r="NOR56" s="196"/>
      <c r="NOS56" s="196"/>
      <c r="NOT56" s="196"/>
      <c r="NOU56" s="196"/>
      <c r="NOV56" s="196"/>
      <c r="NOW56" s="196"/>
      <c r="NOX56" s="196"/>
      <c r="NOY56" s="196"/>
      <c r="NOZ56" s="196"/>
      <c r="NPA56" s="196"/>
      <c r="NPB56" s="196"/>
      <c r="NPC56" s="196"/>
      <c r="NPD56" s="196"/>
      <c r="NPE56" s="196"/>
      <c r="NPF56" s="196"/>
      <c r="NPG56" s="196"/>
      <c r="NPH56" s="196"/>
      <c r="NPI56" s="196"/>
      <c r="NPJ56" s="196"/>
      <c r="NPK56" s="196"/>
      <c r="NPL56" s="196"/>
      <c r="NPM56" s="196"/>
      <c r="NPN56" s="196"/>
      <c r="NPO56" s="196"/>
      <c r="NPP56" s="196"/>
      <c r="NPQ56" s="196"/>
      <c r="NPR56" s="196"/>
      <c r="NPS56" s="196"/>
      <c r="NPT56" s="196"/>
      <c r="NPU56" s="196"/>
      <c r="NPV56" s="196"/>
      <c r="NPW56" s="196"/>
      <c r="NPX56" s="196"/>
      <c r="NPY56" s="196"/>
      <c r="NPZ56" s="196"/>
      <c r="NQA56" s="196"/>
      <c r="NQB56" s="196"/>
      <c r="NQC56" s="196"/>
      <c r="NQD56" s="196"/>
      <c r="NQE56" s="196"/>
      <c r="NQF56" s="196"/>
      <c r="NQG56" s="196"/>
      <c r="NQH56" s="196"/>
      <c r="NQI56" s="196"/>
      <c r="NQJ56" s="196"/>
      <c r="NQK56" s="196"/>
      <c r="NQL56" s="196"/>
      <c r="NQM56" s="196"/>
      <c r="NQN56" s="196"/>
      <c r="NQO56" s="196"/>
      <c r="NQP56" s="196"/>
      <c r="NQQ56" s="196"/>
      <c r="NQR56" s="196"/>
      <c r="NQS56" s="196"/>
      <c r="NQT56" s="196"/>
      <c r="NQU56" s="196"/>
      <c r="NQV56" s="196"/>
      <c r="NQW56" s="196"/>
      <c r="NQX56" s="196"/>
      <c r="NQY56" s="196"/>
      <c r="NQZ56" s="196"/>
      <c r="NRA56" s="196"/>
      <c r="NRB56" s="196"/>
      <c r="NRC56" s="196"/>
      <c r="NRD56" s="196"/>
      <c r="NRE56" s="196"/>
      <c r="NRF56" s="196"/>
      <c r="NRG56" s="196"/>
      <c r="NRH56" s="196"/>
      <c r="NRI56" s="196"/>
      <c r="NRJ56" s="196"/>
      <c r="NRK56" s="196"/>
      <c r="NRL56" s="196"/>
      <c r="NRM56" s="196"/>
      <c r="NRN56" s="196"/>
      <c r="NRO56" s="196"/>
      <c r="NRP56" s="196"/>
      <c r="NRQ56" s="196"/>
      <c r="NRR56" s="196"/>
      <c r="NRS56" s="196"/>
      <c r="NRT56" s="196"/>
      <c r="NRU56" s="196"/>
      <c r="NRV56" s="196"/>
      <c r="NRW56" s="196"/>
      <c r="NRX56" s="196"/>
      <c r="NRY56" s="196"/>
      <c r="NRZ56" s="196"/>
      <c r="NSA56" s="196"/>
      <c r="NSB56" s="196"/>
      <c r="NSC56" s="196"/>
      <c r="NSD56" s="196"/>
      <c r="NSE56" s="196"/>
      <c r="NSF56" s="196"/>
      <c r="NSG56" s="196"/>
      <c r="NSH56" s="196"/>
      <c r="NSI56" s="196"/>
      <c r="NSJ56" s="196"/>
      <c r="NSK56" s="196"/>
      <c r="NSL56" s="196"/>
      <c r="NSM56" s="196"/>
      <c r="NSN56" s="196"/>
      <c r="NSO56" s="196"/>
      <c r="NSP56" s="196"/>
      <c r="NSQ56" s="196"/>
      <c r="NSR56" s="196"/>
      <c r="NSS56" s="196"/>
      <c r="NST56" s="196"/>
      <c r="NSU56" s="196"/>
      <c r="NSV56" s="196"/>
      <c r="NSW56" s="196"/>
      <c r="NSX56" s="196"/>
      <c r="NSY56" s="196"/>
      <c r="NSZ56" s="196"/>
      <c r="NTA56" s="196"/>
      <c r="NTB56" s="196"/>
      <c r="NTC56" s="196"/>
      <c r="NTD56" s="196"/>
      <c r="NTE56" s="196"/>
      <c r="NTF56" s="196"/>
      <c r="NTG56" s="196"/>
      <c r="NTH56" s="196"/>
      <c r="NTI56" s="196"/>
      <c r="NTJ56" s="196"/>
      <c r="NTK56" s="196"/>
      <c r="NTL56" s="196"/>
      <c r="NTM56" s="196"/>
      <c r="NTN56" s="196"/>
      <c r="NTO56" s="196"/>
      <c r="NTP56" s="196"/>
      <c r="NTQ56" s="196"/>
      <c r="NTR56" s="196"/>
      <c r="NTS56" s="196"/>
      <c r="NTT56" s="196"/>
      <c r="NTU56" s="196"/>
      <c r="NTV56" s="196"/>
      <c r="NTW56" s="196"/>
      <c r="NTX56" s="196"/>
      <c r="NTY56" s="196"/>
      <c r="NTZ56" s="196"/>
      <c r="NUA56" s="196"/>
      <c r="NUB56" s="196"/>
      <c r="NUC56" s="196"/>
      <c r="NUD56" s="196"/>
      <c r="NUE56" s="196"/>
      <c r="NUF56" s="196"/>
      <c r="NUG56" s="196"/>
      <c r="NUH56" s="196"/>
      <c r="NUI56" s="196"/>
      <c r="NUJ56" s="196"/>
      <c r="NUK56" s="196"/>
      <c r="NUL56" s="196"/>
      <c r="NUM56" s="196"/>
      <c r="NUN56" s="196"/>
      <c r="NUO56" s="196"/>
      <c r="NUP56" s="196"/>
      <c r="NUQ56" s="196"/>
      <c r="NUR56" s="196"/>
      <c r="NUS56" s="196"/>
      <c r="NUT56" s="196"/>
      <c r="NUU56" s="196"/>
      <c r="NUV56" s="196"/>
      <c r="NUW56" s="196"/>
      <c r="NUX56" s="196"/>
      <c r="NUY56" s="196"/>
      <c r="NUZ56" s="196"/>
      <c r="NVA56" s="196"/>
      <c r="NVB56" s="196"/>
      <c r="NVC56" s="196"/>
      <c r="NVD56" s="196"/>
      <c r="NVE56" s="196"/>
      <c r="NVF56" s="196"/>
      <c r="NVG56" s="196"/>
      <c r="NVH56" s="196"/>
      <c r="NVI56" s="196"/>
      <c r="NVJ56" s="196"/>
      <c r="NVK56" s="196"/>
      <c r="NVL56" s="196"/>
      <c r="NVM56" s="196"/>
      <c r="NVN56" s="196"/>
      <c r="NVO56" s="196"/>
      <c r="NVP56" s="196"/>
      <c r="NVQ56" s="196"/>
      <c r="NVR56" s="196"/>
      <c r="NVS56" s="196"/>
      <c r="NVT56" s="196"/>
      <c r="NVU56" s="196"/>
      <c r="NVV56" s="196"/>
      <c r="NVW56" s="196"/>
      <c r="NVX56" s="196"/>
      <c r="NVY56" s="196"/>
      <c r="NVZ56" s="196"/>
      <c r="NWA56" s="196"/>
      <c r="NWB56" s="196"/>
      <c r="NWC56" s="196"/>
      <c r="NWD56" s="196"/>
      <c r="NWE56" s="196"/>
      <c r="NWF56" s="196"/>
      <c r="NWG56" s="196"/>
      <c r="NWH56" s="196"/>
      <c r="NWI56" s="196"/>
      <c r="NWJ56" s="196"/>
      <c r="NWK56" s="196"/>
      <c r="NWL56" s="196"/>
      <c r="NWM56" s="196"/>
      <c r="NWN56" s="196"/>
      <c r="NWO56" s="196"/>
      <c r="NWP56" s="196"/>
      <c r="NWQ56" s="196"/>
      <c r="NWR56" s="196"/>
      <c r="NWS56" s="196"/>
      <c r="NWT56" s="196"/>
      <c r="NWU56" s="196"/>
      <c r="NWV56" s="196"/>
      <c r="NWW56" s="196"/>
      <c r="NWX56" s="196"/>
      <c r="NWY56" s="196"/>
      <c r="NWZ56" s="196"/>
      <c r="NXA56" s="196"/>
      <c r="NXB56" s="196"/>
      <c r="NXC56" s="196"/>
      <c r="NXD56" s="196"/>
      <c r="NXE56" s="196"/>
      <c r="NXF56" s="196"/>
      <c r="NXG56" s="196"/>
      <c r="NXH56" s="196"/>
      <c r="NXI56" s="196"/>
      <c r="NXJ56" s="196"/>
      <c r="NXK56" s="196"/>
      <c r="NXL56" s="196"/>
      <c r="NXM56" s="196"/>
      <c r="NXN56" s="196"/>
      <c r="NXO56" s="196"/>
      <c r="NXP56" s="196"/>
      <c r="NXQ56" s="196"/>
      <c r="NXR56" s="196"/>
      <c r="NXS56" s="196"/>
      <c r="NXT56" s="196"/>
      <c r="NXU56" s="196"/>
      <c r="NXV56" s="196"/>
      <c r="NXW56" s="196"/>
      <c r="NXX56" s="196"/>
      <c r="NXY56" s="196"/>
      <c r="NXZ56" s="196"/>
      <c r="NYA56" s="196"/>
      <c r="NYB56" s="196"/>
      <c r="NYC56" s="196"/>
      <c r="NYD56" s="196"/>
      <c r="NYE56" s="196"/>
      <c r="NYF56" s="196"/>
      <c r="NYG56" s="196"/>
      <c r="NYH56" s="196"/>
      <c r="NYI56" s="196"/>
      <c r="NYJ56" s="196"/>
      <c r="NYK56" s="196"/>
      <c r="NYL56" s="196"/>
      <c r="NYM56" s="196"/>
      <c r="NYN56" s="196"/>
      <c r="NYO56" s="196"/>
      <c r="NYP56" s="196"/>
      <c r="NYQ56" s="196"/>
      <c r="NYR56" s="196"/>
      <c r="NYS56" s="196"/>
      <c r="NYT56" s="196"/>
      <c r="NYU56" s="196"/>
      <c r="NYV56" s="196"/>
      <c r="NYW56" s="196"/>
      <c r="NYX56" s="196"/>
      <c r="NYY56" s="196"/>
      <c r="NYZ56" s="196"/>
      <c r="NZA56" s="196"/>
      <c r="NZB56" s="196"/>
      <c r="NZC56" s="196"/>
      <c r="NZD56" s="196"/>
      <c r="NZE56" s="196"/>
      <c r="NZF56" s="196"/>
      <c r="NZG56" s="196"/>
      <c r="NZH56" s="196"/>
      <c r="NZI56" s="196"/>
      <c r="NZJ56" s="196"/>
      <c r="NZK56" s="196"/>
      <c r="NZL56" s="196"/>
      <c r="NZM56" s="196"/>
      <c r="NZN56" s="196"/>
      <c r="NZO56" s="196"/>
      <c r="NZP56" s="196"/>
      <c r="NZQ56" s="196"/>
      <c r="NZR56" s="196"/>
      <c r="NZS56" s="196"/>
      <c r="NZT56" s="196"/>
      <c r="NZU56" s="196"/>
      <c r="NZV56" s="196"/>
      <c r="NZW56" s="196"/>
      <c r="NZX56" s="196"/>
      <c r="NZY56" s="196"/>
      <c r="NZZ56" s="196"/>
      <c r="OAA56" s="196"/>
      <c r="OAB56" s="196"/>
      <c r="OAC56" s="196"/>
      <c r="OAD56" s="196"/>
      <c r="OAE56" s="196"/>
      <c r="OAF56" s="196"/>
      <c r="OAG56" s="196"/>
      <c r="OAH56" s="196"/>
      <c r="OAI56" s="196"/>
      <c r="OAJ56" s="196"/>
      <c r="OAK56" s="196"/>
      <c r="OAL56" s="196"/>
      <c r="OAM56" s="196"/>
      <c r="OAN56" s="196"/>
      <c r="OAO56" s="196"/>
      <c r="OAP56" s="196"/>
      <c r="OAQ56" s="196"/>
      <c r="OAR56" s="196"/>
      <c r="OAS56" s="196"/>
      <c r="OAT56" s="196"/>
      <c r="OAU56" s="196"/>
      <c r="OAV56" s="196"/>
      <c r="OAW56" s="196"/>
      <c r="OAX56" s="196"/>
      <c r="OAY56" s="196"/>
      <c r="OAZ56" s="196"/>
      <c r="OBA56" s="196"/>
      <c r="OBB56" s="196"/>
      <c r="OBC56" s="196"/>
      <c r="OBD56" s="196"/>
      <c r="OBE56" s="196"/>
      <c r="OBF56" s="196"/>
      <c r="OBG56" s="196"/>
      <c r="OBH56" s="196"/>
      <c r="OBI56" s="196"/>
      <c r="OBJ56" s="196"/>
      <c r="OBK56" s="196"/>
      <c r="OBL56" s="196"/>
      <c r="OBM56" s="196"/>
      <c r="OBN56" s="196"/>
      <c r="OBO56" s="196"/>
      <c r="OBP56" s="196"/>
      <c r="OBQ56" s="196"/>
      <c r="OBR56" s="196"/>
      <c r="OBS56" s="196"/>
      <c r="OBT56" s="196"/>
      <c r="OBU56" s="196"/>
      <c r="OBV56" s="196"/>
      <c r="OBW56" s="196"/>
      <c r="OBX56" s="196"/>
      <c r="OBY56" s="196"/>
      <c r="OBZ56" s="196"/>
      <c r="OCA56" s="196"/>
      <c r="OCB56" s="196"/>
      <c r="OCC56" s="196"/>
      <c r="OCD56" s="196"/>
      <c r="OCE56" s="196"/>
      <c r="OCF56" s="196"/>
      <c r="OCG56" s="196"/>
      <c r="OCH56" s="196"/>
      <c r="OCI56" s="196"/>
      <c r="OCJ56" s="196"/>
      <c r="OCK56" s="196"/>
      <c r="OCL56" s="196"/>
      <c r="OCM56" s="196"/>
      <c r="OCN56" s="196"/>
      <c r="OCO56" s="196"/>
      <c r="OCP56" s="196"/>
      <c r="OCQ56" s="196"/>
      <c r="OCR56" s="196"/>
      <c r="OCS56" s="196"/>
      <c r="OCT56" s="196"/>
      <c r="OCU56" s="196"/>
      <c r="OCV56" s="196"/>
      <c r="OCW56" s="196"/>
      <c r="OCX56" s="196"/>
      <c r="OCY56" s="196"/>
      <c r="OCZ56" s="196"/>
      <c r="ODA56" s="196"/>
      <c r="ODB56" s="196"/>
      <c r="ODC56" s="196"/>
      <c r="ODD56" s="196"/>
      <c r="ODE56" s="196"/>
      <c r="ODF56" s="196"/>
      <c r="ODG56" s="196"/>
      <c r="ODH56" s="196"/>
      <c r="ODI56" s="196"/>
      <c r="ODJ56" s="196"/>
      <c r="ODK56" s="196"/>
      <c r="ODL56" s="196"/>
      <c r="ODM56" s="196"/>
      <c r="ODN56" s="196"/>
      <c r="ODO56" s="196"/>
      <c r="ODP56" s="196"/>
      <c r="ODQ56" s="196"/>
      <c r="ODR56" s="196"/>
      <c r="ODS56" s="196"/>
      <c r="ODT56" s="196"/>
      <c r="ODU56" s="196"/>
      <c r="ODV56" s="196"/>
      <c r="ODW56" s="196"/>
      <c r="ODX56" s="196"/>
      <c r="ODY56" s="196"/>
      <c r="ODZ56" s="196"/>
      <c r="OEA56" s="196"/>
      <c r="OEB56" s="196"/>
      <c r="OEC56" s="196"/>
      <c r="OED56" s="196"/>
      <c r="OEE56" s="196"/>
      <c r="OEF56" s="196"/>
      <c r="OEG56" s="196"/>
      <c r="OEH56" s="196"/>
      <c r="OEI56" s="196"/>
      <c r="OEJ56" s="196"/>
      <c r="OEK56" s="196"/>
      <c r="OEL56" s="196"/>
      <c r="OEM56" s="196"/>
      <c r="OEN56" s="196"/>
      <c r="OEO56" s="196"/>
      <c r="OEP56" s="196"/>
      <c r="OEQ56" s="196"/>
      <c r="OER56" s="196"/>
      <c r="OES56" s="196"/>
      <c r="OET56" s="196"/>
      <c r="OEU56" s="196"/>
      <c r="OEV56" s="196"/>
      <c r="OEW56" s="196"/>
      <c r="OEX56" s="196"/>
      <c r="OEY56" s="196"/>
      <c r="OEZ56" s="196"/>
      <c r="OFA56" s="196"/>
      <c r="OFB56" s="196"/>
      <c r="OFC56" s="196"/>
      <c r="OFD56" s="196"/>
      <c r="OFE56" s="196"/>
      <c r="OFF56" s="196"/>
      <c r="OFG56" s="196"/>
      <c r="OFH56" s="196"/>
      <c r="OFI56" s="196"/>
      <c r="OFJ56" s="196"/>
      <c r="OFK56" s="196"/>
      <c r="OFL56" s="196"/>
      <c r="OFM56" s="196"/>
      <c r="OFN56" s="196"/>
      <c r="OFO56" s="196"/>
      <c r="OFP56" s="196"/>
      <c r="OFQ56" s="196"/>
      <c r="OFR56" s="196"/>
      <c r="OFS56" s="196"/>
      <c r="OFT56" s="196"/>
      <c r="OFU56" s="196"/>
      <c r="OFV56" s="196"/>
      <c r="OFW56" s="196"/>
      <c r="OFX56" s="196"/>
      <c r="OFY56" s="196"/>
      <c r="OFZ56" s="196"/>
      <c r="OGA56" s="196"/>
      <c r="OGB56" s="196"/>
      <c r="OGC56" s="196"/>
      <c r="OGD56" s="196"/>
      <c r="OGE56" s="196"/>
      <c r="OGF56" s="196"/>
      <c r="OGG56" s="196"/>
      <c r="OGH56" s="196"/>
      <c r="OGI56" s="196"/>
      <c r="OGJ56" s="196"/>
      <c r="OGK56" s="196"/>
      <c r="OGL56" s="196"/>
      <c r="OGM56" s="196"/>
      <c r="OGN56" s="196"/>
      <c r="OGO56" s="196"/>
      <c r="OGP56" s="196"/>
      <c r="OGQ56" s="196"/>
      <c r="OGR56" s="196"/>
      <c r="OGS56" s="196"/>
      <c r="OGT56" s="196"/>
      <c r="OGU56" s="196"/>
      <c r="OGV56" s="196"/>
      <c r="OGW56" s="196"/>
      <c r="OGX56" s="196"/>
      <c r="OGY56" s="196"/>
      <c r="OGZ56" s="196"/>
      <c r="OHA56" s="196"/>
      <c r="OHB56" s="196"/>
      <c r="OHC56" s="196"/>
      <c r="OHD56" s="196"/>
      <c r="OHE56" s="196"/>
      <c r="OHF56" s="196"/>
      <c r="OHG56" s="196"/>
      <c r="OHH56" s="196"/>
      <c r="OHI56" s="196"/>
      <c r="OHJ56" s="196"/>
      <c r="OHK56" s="196"/>
      <c r="OHL56" s="196"/>
      <c r="OHM56" s="196"/>
      <c r="OHN56" s="196"/>
      <c r="OHO56" s="196"/>
      <c r="OHP56" s="196"/>
      <c r="OHQ56" s="196"/>
      <c r="OHR56" s="196"/>
      <c r="OHS56" s="196"/>
      <c r="OHT56" s="196"/>
      <c r="OHU56" s="196"/>
      <c r="OHV56" s="196"/>
      <c r="OHW56" s="196"/>
      <c r="OHX56" s="196"/>
      <c r="OHY56" s="196"/>
      <c r="OHZ56" s="196"/>
      <c r="OIA56" s="196"/>
      <c r="OIB56" s="196"/>
      <c r="OIC56" s="196"/>
      <c r="OID56" s="196"/>
      <c r="OIE56" s="196"/>
      <c r="OIF56" s="196"/>
      <c r="OIG56" s="196"/>
      <c r="OIH56" s="196"/>
      <c r="OII56" s="196"/>
      <c r="OIJ56" s="196"/>
      <c r="OIK56" s="196"/>
      <c r="OIL56" s="196"/>
      <c r="OIM56" s="196"/>
      <c r="OIN56" s="196"/>
      <c r="OIO56" s="196"/>
      <c r="OIP56" s="196"/>
      <c r="OIQ56" s="196"/>
      <c r="OIR56" s="196"/>
      <c r="OIS56" s="196"/>
      <c r="OIT56" s="196"/>
      <c r="OIU56" s="196"/>
      <c r="OIV56" s="196"/>
      <c r="OIW56" s="196"/>
      <c r="OIX56" s="196"/>
      <c r="OIY56" s="196"/>
      <c r="OIZ56" s="196"/>
      <c r="OJA56" s="196"/>
      <c r="OJB56" s="196"/>
      <c r="OJC56" s="196"/>
      <c r="OJD56" s="196"/>
      <c r="OJE56" s="196"/>
      <c r="OJF56" s="196"/>
      <c r="OJG56" s="196"/>
      <c r="OJH56" s="196"/>
      <c r="OJI56" s="196"/>
      <c r="OJJ56" s="196"/>
      <c r="OJK56" s="196"/>
      <c r="OJL56" s="196"/>
      <c r="OJM56" s="196"/>
      <c r="OJN56" s="196"/>
      <c r="OJO56" s="196"/>
      <c r="OJP56" s="196"/>
      <c r="OJQ56" s="196"/>
      <c r="OJR56" s="196"/>
      <c r="OJS56" s="196"/>
      <c r="OJT56" s="196"/>
      <c r="OJU56" s="196"/>
      <c r="OJV56" s="196"/>
      <c r="OJW56" s="196"/>
      <c r="OJX56" s="196"/>
      <c r="OJY56" s="196"/>
      <c r="OJZ56" s="196"/>
      <c r="OKA56" s="196"/>
      <c r="OKB56" s="196"/>
      <c r="OKC56" s="196"/>
      <c r="OKD56" s="196"/>
      <c r="OKE56" s="196"/>
      <c r="OKF56" s="196"/>
      <c r="OKG56" s="196"/>
      <c r="OKH56" s="196"/>
      <c r="OKI56" s="196"/>
      <c r="OKJ56" s="196"/>
      <c r="OKK56" s="196"/>
      <c r="OKL56" s="196"/>
      <c r="OKM56" s="196"/>
      <c r="OKN56" s="196"/>
      <c r="OKO56" s="196"/>
      <c r="OKP56" s="196"/>
      <c r="OKQ56" s="196"/>
      <c r="OKR56" s="196"/>
      <c r="OKS56" s="196"/>
      <c r="OKT56" s="196"/>
      <c r="OKU56" s="196"/>
      <c r="OKV56" s="196"/>
      <c r="OKW56" s="196"/>
      <c r="OKX56" s="196"/>
      <c r="OKY56" s="196"/>
      <c r="OKZ56" s="196"/>
      <c r="OLA56" s="196"/>
      <c r="OLB56" s="196"/>
      <c r="OLC56" s="196"/>
      <c r="OLD56" s="196"/>
      <c r="OLE56" s="196"/>
      <c r="OLF56" s="196"/>
      <c r="OLG56" s="196"/>
      <c r="OLH56" s="196"/>
      <c r="OLI56" s="196"/>
      <c r="OLJ56" s="196"/>
      <c r="OLK56" s="196"/>
      <c r="OLL56" s="196"/>
      <c r="OLM56" s="196"/>
      <c r="OLN56" s="196"/>
      <c r="OLO56" s="196"/>
      <c r="OLP56" s="196"/>
      <c r="OLQ56" s="196"/>
      <c r="OLR56" s="196"/>
      <c r="OLS56" s="196"/>
      <c r="OLT56" s="196"/>
      <c r="OLU56" s="196"/>
      <c r="OLV56" s="196"/>
      <c r="OLW56" s="196"/>
      <c r="OLX56" s="196"/>
      <c r="OLY56" s="196"/>
      <c r="OLZ56" s="196"/>
      <c r="OMA56" s="196"/>
      <c r="OMB56" s="196"/>
      <c r="OMC56" s="196"/>
      <c r="OMD56" s="196"/>
      <c r="OME56" s="196"/>
      <c r="OMF56" s="196"/>
      <c r="OMG56" s="196"/>
      <c r="OMH56" s="196"/>
      <c r="OMI56" s="196"/>
      <c r="OMJ56" s="196"/>
      <c r="OMK56" s="196"/>
      <c r="OML56" s="196"/>
      <c r="OMM56" s="196"/>
      <c r="OMN56" s="196"/>
      <c r="OMO56" s="196"/>
      <c r="OMP56" s="196"/>
      <c r="OMQ56" s="196"/>
      <c r="OMR56" s="196"/>
      <c r="OMS56" s="196"/>
      <c r="OMT56" s="196"/>
      <c r="OMU56" s="196"/>
      <c r="OMV56" s="196"/>
      <c r="OMW56" s="196"/>
      <c r="OMX56" s="196"/>
      <c r="OMY56" s="196"/>
      <c r="OMZ56" s="196"/>
      <c r="ONA56" s="196"/>
      <c r="ONB56" s="196"/>
      <c r="ONC56" s="196"/>
      <c r="OND56" s="196"/>
      <c r="ONE56" s="196"/>
      <c r="ONF56" s="196"/>
      <c r="ONG56" s="196"/>
      <c r="ONH56" s="196"/>
      <c r="ONI56" s="196"/>
      <c r="ONJ56" s="196"/>
      <c r="ONK56" s="196"/>
      <c r="ONL56" s="196"/>
      <c r="ONM56" s="196"/>
      <c r="ONN56" s="196"/>
      <c r="ONO56" s="196"/>
      <c r="ONP56" s="196"/>
      <c r="ONQ56" s="196"/>
      <c r="ONR56" s="196"/>
      <c r="ONS56" s="196"/>
      <c r="ONT56" s="196"/>
      <c r="ONU56" s="196"/>
      <c r="ONV56" s="196"/>
      <c r="ONW56" s="196"/>
      <c r="ONX56" s="196"/>
      <c r="ONY56" s="196"/>
      <c r="ONZ56" s="196"/>
      <c r="OOA56" s="196"/>
      <c r="OOB56" s="196"/>
      <c r="OOC56" s="196"/>
      <c r="OOD56" s="196"/>
      <c r="OOE56" s="196"/>
      <c r="OOF56" s="196"/>
      <c r="OOG56" s="196"/>
      <c r="OOH56" s="196"/>
      <c r="OOI56" s="196"/>
      <c r="OOJ56" s="196"/>
      <c r="OOK56" s="196"/>
      <c r="OOL56" s="196"/>
      <c r="OOM56" s="196"/>
      <c r="OON56" s="196"/>
      <c r="OOO56" s="196"/>
      <c r="OOP56" s="196"/>
      <c r="OOQ56" s="196"/>
      <c r="OOR56" s="196"/>
      <c r="OOS56" s="196"/>
      <c r="OOT56" s="196"/>
      <c r="OOU56" s="196"/>
      <c r="OOV56" s="196"/>
      <c r="OOW56" s="196"/>
      <c r="OOX56" s="196"/>
      <c r="OOY56" s="196"/>
      <c r="OOZ56" s="196"/>
      <c r="OPA56" s="196"/>
      <c r="OPB56" s="196"/>
      <c r="OPC56" s="196"/>
      <c r="OPD56" s="196"/>
      <c r="OPE56" s="196"/>
      <c r="OPF56" s="196"/>
      <c r="OPG56" s="196"/>
      <c r="OPH56" s="196"/>
      <c r="OPI56" s="196"/>
      <c r="OPJ56" s="196"/>
      <c r="OPK56" s="196"/>
      <c r="OPL56" s="196"/>
      <c r="OPM56" s="196"/>
      <c r="OPN56" s="196"/>
      <c r="OPO56" s="196"/>
      <c r="OPP56" s="196"/>
      <c r="OPQ56" s="196"/>
      <c r="OPR56" s="196"/>
      <c r="OPS56" s="196"/>
      <c r="OPT56" s="196"/>
      <c r="OPU56" s="196"/>
      <c r="OPV56" s="196"/>
      <c r="OPW56" s="196"/>
      <c r="OPX56" s="196"/>
      <c r="OPY56" s="196"/>
      <c r="OPZ56" s="196"/>
      <c r="OQA56" s="196"/>
      <c r="OQB56" s="196"/>
      <c r="OQC56" s="196"/>
      <c r="OQD56" s="196"/>
      <c r="OQE56" s="196"/>
      <c r="OQF56" s="196"/>
      <c r="OQG56" s="196"/>
      <c r="OQH56" s="196"/>
      <c r="OQI56" s="196"/>
      <c r="OQJ56" s="196"/>
      <c r="OQK56" s="196"/>
      <c r="OQL56" s="196"/>
      <c r="OQM56" s="196"/>
      <c r="OQN56" s="196"/>
      <c r="OQO56" s="196"/>
      <c r="OQP56" s="196"/>
      <c r="OQQ56" s="196"/>
      <c r="OQR56" s="196"/>
      <c r="OQS56" s="196"/>
      <c r="OQT56" s="196"/>
      <c r="OQU56" s="196"/>
      <c r="OQV56" s="196"/>
      <c r="OQW56" s="196"/>
      <c r="OQX56" s="196"/>
      <c r="OQY56" s="196"/>
      <c r="OQZ56" s="196"/>
      <c r="ORA56" s="196"/>
      <c r="ORB56" s="196"/>
      <c r="ORC56" s="196"/>
      <c r="ORD56" s="196"/>
      <c r="ORE56" s="196"/>
      <c r="ORF56" s="196"/>
      <c r="ORG56" s="196"/>
      <c r="ORH56" s="196"/>
      <c r="ORI56" s="196"/>
      <c r="ORJ56" s="196"/>
      <c r="ORK56" s="196"/>
      <c r="ORL56" s="196"/>
      <c r="ORM56" s="196"/>
      <c r="ORN56" s="196"/>
      <c r="ORO56" s="196"/>
      <c r="ORP56" s="196"/>
      <c r="ORQ56" s="196"/>
      <c r="ORR56" s="196"/>
      <c r="ORS56" s="196"/>
      <c r="ORT56" s="196"/>
      <c r="ORU56" s="196"/>
      <c r="ORV56" s="196"/>
      <c r="ORW56" s="196"/>
      <c r="ORX56" s="196"/>
      <c r="ORY56" s="196"/>
      <c r="ORZ56" s="196"/>
      <c r="OSA56" s="196"/>
      <c r="OSB56" s="196"/>
      <c r="OSC56" s="196"/>
      <c r="OSD56" s="196"/>
      <c r="OSE56" s="196"/>
      <c r="OSF56" s="196"/>
      <c r="OSG56" s="196"/>
      <c r="OSH56" s="196"/>
      <c r="OSI56" s="196"/>
      <c r="OSJ56" s="196"/>
      <c r="OSK56" s="196"/>
      <c r="OSL56" s="196"/>
      <c r="OSM56" s="196"/>
      <c r="OSN56" s="196"/>
      <c r="OSO56" s="196"/>
      <c r="OSP56" s="196"/>
      <c r="OSQ56" s="196"/>
      <c r="OSR56" s="196"/>
      <c r="OSS56" s="196"/>
      <c r="OST56" s="196"/>
      <c r="OSU56" s="196"/>
      <c r="OSV56" s="196"/>
      <c r="OSW56" s="196"/>
      <c r="OSX56" s="196"/>
      <c r="OSY56" s="196"/>
      <c r="OSZ56" s="196"/>
      <c r="OTA56" s="196"/>
      <c r="OTB56" s="196"/>
      <c r="OTC56" s="196"/>
      <c r="OTD56" s="196"/>
      <c r="OTE56" s="196"/>
      <c r="OTF56" s="196"/>
      <c r="OTG56" s="196"/>
      <c r="OTH56" s="196"/>
      <c r="OTI56" s="196"/>
      <c r="OTJ56" s="196"/>
      <c r="OTK56" s="196"/>
      <c r="OTL56" s="196"/>
      <c r="OTM56" s="196"/>
      <c r="OTN56" s="196"/>
      <c r="OTO56" s="196"/>
      <c r="OTP56" s="196"/>
      <c r="OTQ56" s="196"/>
      <c r="OTR56" s="196"/>
      <c r="OTS56" s="196"/>
      <c r="OTT56" s="196"/>
      <c r="OTU56" s="196"/>
      <c r="OTV56" s="196"/>
      <c r="OTW56" s="196"/>
      <c r="OTX56" s="196"/>
      <c r="OTY56" s="196"/>
      <c r="OTZ56" s="196"/>
      <c r="OUA56" s="196"/>
      <c r="OUB56" s="196"/>
      <c r="OUC56" s="196"/>
      <c r="OUD56" s="196"/>
      <c r="OUE56" s="196"/>
      <c r="OUF56" s="196"/>
      <c r="OUG56" s="196"/>
      <c r="OUH56" s="196"/>
      <c r="OUI56" s="196"/>
      <c r="OUJ56" s="196"/>
      <c r="OUK56" s="196"/>
      <c r="OUL56" s="196"/>
      <c r="OUM56" s="196"/>
      <c r="OUN56" s="196"/>
      <c r="OUO56" s="196"/>
      <c r="OUP56" s="196"/>
      <c r="OUQ56" s="196"/>
      <c r="OUR56" s="196"/>
      <c r="OUS56" s="196"/>
      <c r="OUT56" s="196"/>
      <c r="OUU56" s="196"/>
      <c r="OUV56" s="196"/>
      <c r="OUW56" s="196"/>
      <c r="OUX56" s="196"/>
      <c r="OUY56" s="196"/>
      <c r="OUZ56" s="196"/>
      <c r="OVA56" s="196"/>
      <c r="OVB56" s="196"/>
      <c r="OVC56" s="196"/>
      <c r="OVD56" s="196"/>
      <c r="OVE56" s="196"/>
      <c r="OVF56" s="196"/>
      <c r="OVG56" s="196"/>
      <c r="OVH56" s="196"/>
      <c r="OVI56" s="196"/>
      <c r="OVJ56" s="196"/>
      <c r="OVK56" s="196"/>
      <c r="OVL56" s="196"/>
      <c r="OVM56" s="196"/>
      <c r="OVN56" s="196"/>
      <c r="OVO56" s="196"/>
      <c r="OVP56" s="196"/>
      <c r="OVQ56" s="196"/>
      <c r="OVR56" s="196"/>
      <c r="OVS56" s="196"/>
      <c r="OVT56" s="196"/>
      <c r="OVU56" s="196"/>
      <c r="OVV56" s="196"/>
      <c r="OVW56" s="196"/>
      <c r="OVX56" s="196"/>
      <c r="OVY56" s="196"/>
      <c r="OVZ56" s="196"/>
      <c r="OWA56" s="196"/>
      <c r="OWB56" s="196"/>
      <c r="OWC56" s="196"/>
      <c r="OWD56" s="196"/>
      <c r="OWE56" s="196"/>
      <c r="OWF56" s="196"/>
      <c r="OWG56" s="196"/>
      <c r="OWH56" s="196"/>
      <c r="OWI56" s="196"/>
      <c r="OWJ56" s="196"/>
      <c r="OWK56" s="196"/>
      <c r="OWL56" s="196"/>
      <c r="OWM56" s="196"/>
      <c r="OWN56" s="196"/>
      <c r="OWO56" s="196"/>
      <c r="OWP56" s="196"/>
      <c r="OWQ56" s="196"/>
      <c r="OWR56" s="196"/>
      <c r="OWS56" s="196"/>
      <c r="OWT56" s="196"/>
      <c r="OWU56" s="196"/>
      <c r="OWV56" s="196"/>
      <c r="OWW56" s="196"/>
      <c r="OWX56" s="196"/>
      <c r="OWY56" s="196"/>
      <c r="OWZ56" s="196"/>
      <c r="OXA56" s="196"/>
      <c r="OXB56" s="196"/>
      <c r="OXC56" s="196"/>
      <c r="OXD56" s="196"/>
      <c r="OXE56" s="196"/>
      <c r="OXF56" s="196"/>
      <c r="OXG56" s="196"/>
      <c r="OXH56" s="196"/>
      <c r="OXI56" s="196"/>
      <c r="OXJ56" s="196"/>
      <c r="OXK56" s="196"/>
      <c r="OXL56" s="196"/>
      <c r="OXM56" s="196"/>
      <c r="OXN56" s="196"/>
      <c r="OXO56" s="196"/>
      <c r="OXP56" s="196"/>
      <c r="OXQ56" s="196"/>
      <c r="OXR56" s="196"/>
      <c r="OXS56" s="196"/>
      <c r="OXT56" s="196"/>
      <c r="OXU56" s="196"/>
      <c r="OXV56" s="196"/>
      <c r="OXW56" s="196"/>
      <c r="OXX56" s="196"/>
      <c r="OXY56" s="196"/>
      <c r="OXZ56" s="196"/>
      <c r="OYA56" s="196"/>
      <c r="OYB56" s="196"/>
      <c r="OYC56" s="196"/>
      <c r="OYD56" s="196"/>
      <c r="OYE56" s="196"/>
      <c r="OYF56" s="196"/>
      <c r="OYG56" s="196"/>
      <c r="OYH56" s="196"/>
      <c r="OYI56" s="196"/>
      <c r="OYJ56" s="196"/>
      <c r="OYK56" s="196"/>
      <c r="OYL56" s="196"/>
      <c r="OYM56" s="196"/>
      <c r="OYN56" s="196"/>
      <c r="OYO56" s="196"/>
      <c r="OYP56" s="196"/>
      <c r="OYQ56" s="196"/>
      <c r="OYR56" s="196"/>
      <c r="OYS56" s="196"/>
      <c r="OYT56" s="196"/>
      <c r="OYU56" s="196"/>
      <c r="OYV56" s="196"/>
      <c r="OYW56" s="196"/>
      <c r="OYX56" s="196"/>
      <c r="OYY56" s="196"/>
      <c r="OYZ56" s="196"/>
      <c r="OZA56" s="196"/>
      <c r="OZB56" s="196"/>
      <c r="OZC56" s="196"/>
      <c r="OZD56" s="196"/>
      <c r="OZE56" s="196"/>
      <c r="OZF56" s="196"/>
      <c r="OZG56" s="196"/>
      <c r="OZH56" s="196"/>
      <c r="OZI56" s="196"/>
      <c r="OZJ56" s="196"/>
      <c r="OZK56" s="196"/>
      <c r="OZL56" s="196"/>
      <c r="OZM56" s="196"/>
      <c r="OZN56" s="196"/>
      <c r="OZO56" s="196"/>
      <c r="OZP56" s="196"/>
      <c r="OZQ56" s="196"/>
      <c r="OZR56" s="196"/>
      <c r="OZS56" s="196"/>
      <c r="OZT56" s="196"/>
      <c r="OZU56" s="196"/>
      <c r="OZV56" s="196"/>
      <c r="OZW56" s="196"/>
      <c r="OZX56" s="196"/>
      <c r="OZY56" s="196"/>
      <c r="OZZ56" s="196"/>
      <c r="PAA56" s="196"/>
      <c r="PAB56" s="196"/>
      <c r="PAC56" s="196"/>
      <c r="PAD56" s="196"/>
      <c r="PAE56" s="196"/>
      <c r="PAF56" s="196"/>
      <c r="PAG56" s="196"/>
      <c r="PAH56" s="196"/>
      <c r="PAI56" s="196"/>
      <c r="PAJ56" s="196"/>
      <c r="PAK56" s="196"/>
      <c r="PAL56" s="196"/>
      <c r="PAM56" s="196"/>
      <c r="PAN56" s="196"/>
      <c r="PAO56" s="196"/>
      <c r="PAP56" s="196"/>
      <c r="PAQ56" s="196"/>
      <c r="PAR56" s="196"/>
      <c r="PAS56" s="196"/>
      <c r="PAT56" s="196"/>
      <c r="PAU56" s="196"/>
      <c r="PAV56" s="196"/>
      <c r="PAW56" s="196"/>
      <c r="PAX56" s="196"/>
      <c r="PAY56" s="196"/>
      <c r="PAZ56" s="196"/>
      <c r="PBA56" s="196"/>
      <c r="PBB56" s="196"/>
      <c r="PBC56" s="196"/>
      <c r="PBD56" s="196"/>
      <c r="PBE56" s="196"/>
      <c r="PBF56" s="196"/>
      <c r="PBG56" s="196"/>
      <c r="PBH56" s="196"/>
      <c r="PBI56" s="196"/>
      <c r="PBJ56" s="196"/>
      <c r="PBK56" s="196"/>
      <c r="PBL56" s="196"/>
      <c r="PBM56" s="196"/>
      <c r="PBN56" s="196"/>
      <c r="PBO56" s="196"/>
      <c r="PBP56" s="196"/>
      <c r="PBQ56" s="196"/>
      <c r="PBR56" s="196"/>
      <c r="PBS56" s="196"/>
      <c r="PBT56" s="196"/>
      <c r="PBU56" s="196"/>
      <c r="PBV56" s="196"/>
      <c r="PBW56" s="196"/>
      <c r="PBX56" s="196"/>
      <c r="PBY56" s="196"/>
      <c r="PBZ56" s="196"/>
      <c r="PCA56" s="196"/>
      <c r="PCB56" s="196"/>
      <c r="PCC56" s="196"/>
      <c r="PCD56" s="196"/>
      <c r="PCE56" s="196"/>
      <c r="PCF56" s="196"/>
      <c r="PCG56" s="196"/>
      <c r="PCH56" s="196"/>
      <c r="PCI56" s="196"/>
      <c r="PCJ56" s="196"/>
      <c r="PCK56" s="196"/>
      <c r="PCL56" s="196"/>
      <c r="PCM56" s="196"/>
      <c r="PCN56" s="196"/>
      <c r="PCO56" s="196"/>
      <c r="PCP56" s="196"/>
      <c r="PCQ56" s="196"/>
      <c r="PCR56" s="196"/>
      <c r="PCS56" s="196"/>
      <c r="PCT56" s="196"/>
      <c r="PCU56" s="196"/>
      <c r="PCV56" s="196"/>
      <c r="PCW56" s="196"/>
      <c r="PCX56" s="196"/>
      <c r="PCY56" s="196"/>
      <c r="PCZ56" s="196"/>
      <c r="PDA56" s="196"/>
      <c r="PDB56" s="196"/>
      <c r="PDC56" s="196"/>
      <c r="PDD56" s="196"/>
      <c r="PDE56" s="196"/>
      <c r="PDF56" s="196"/>
      <c r="PDG56" s="196"/>
      <c r="PDH56" s="196"/>
      <c r="PDI56" s="196"/>
      <c r="PDJ56" s="196"/>
      <c r="PDK56" s="196"/>
      <c r="PDL56" s="196"/>
      <c r="PDM56" s="196"/>
      <c r="PDN56" s="196"/>
      <c r="PDO56" s="196"/>
      <c r="PDP56" s="196"/>
      <c r="PDQ56" s="196"/>
      <c r="PDR56" s="196"/>
      <c r="PDS56" s="196"/>
      <c r="PDT56" s="196"/>
      <c r="PDU56" s="196"/>
      <c r="PDV56" s="196"/>
      <c r="PDW56" s="196"/>
      <c r="PDX56" s="196"/>
      <c r="PDY56" s="196"/>
      <c r="PDZ56" s="196"/>
      <c r="PEA56" s="196"/>
      <c r="PEB56" s="196"/>
      <c r="PEC56" s="196"/>
      <c r="PED56" s="196"/>
      <c r="PEE56" s="196"/>
      <c r="PEF56" s="196"/>
      <c r="PEG56" s="196"/>
      <c r="PEH56" s="196"/>
      <c r="PEI56" s="196"/>
      <c r="PEJ56" s="196"/>
      <c r="PEK56" s="196"/>
      <c r="PEL56" s="196"/>
      <c r="PEM56" s="196"/>
      <c r="PEN56" s="196"/>
      <c r="PEO56" s="196"/>
      <c r="PEP56" s="196"/>
      <c r="PEQ56" s="196"/>
      <c r="PER56" s="196"/>
      <c r="PES56" s="196"/>
      <c r="PET56" s="196"/>
      <c r="PEU56" s="196"/>
      <c r="PEV56" s="196"/>
      <c r="PEW56" s="196"/>
      <c r="PEX56" s="196"/>
      <c r="PEY56" s="196"/>
      <c r="PEZ56" s="196"/>
      <c r="PFA56" s="196"/>
      <c r="PFB56" s="196"/>
      <c r="PFC56" s="196"/>
      <c r="PFD56" s="196"/>
      <c r="PFE56" s="196"/>
      <c r="PFF56" s="196"/>
      <c r="PFG56" s="196"/>
      <c r="PFH56" s="196"/>
      <c r="PFI56" s="196"/>
      <c r="PFJ56" s="196"/>
      <c r="PFK56" s="196"/>
      <c r="PFL56" s="196"/>
      <c r="PFM56" s="196"/>
      <c r="PFN56" s="196"/>
      <c r="PFO56" s="196"/>
      <c r="PFP56" s="196"/>
      <c r="PFQ56" s="196"/>
      <c r="PFR56" s="196"/>
      <c r="PFS56" s="196"/>
      <c r="PFT56" s="196"/>
      <c r="PFU56" s="196"/>
      <c r="PFV56" s="196"/>
      <c r="PFW56" s="196"/>
      <c r="PFX56" s="196"/>
      <c r="PFY56" s="196"/>
      <c r="PFZ56" s="196"/>
      <c r="PGA56" s="196"/>
      <c r="PGB56" s="196"/>
      <c r="PGC56" s="196"/>
      <c r="PGD56" s="196"/>
      <c r="PGE56" s="196"/>
      <c r="PGF56" s="196"/>
      <c r="PGG56" s="196"/>
      <c r="PGH56" s="196"/>
      <c r="PGI56" s="196"/>
      <c r="PGJ56" s="196"/>
      <c r="PGK56" s="196"/>
      <c r="PGL56" s="196"/>
      <c r="PGM56" s="196"/>
      <c r="PGN56" s="196"/>
      <c r="PGO56" s="196"/>
      <c r="PGP56" s="196"/>
      <c r="PGQ56" s="196"/>
      <c r="PGR56" s="196"/>
      <c r="PGS56" s="196"/>
      <c r="PGT56" s="196"/>
      <c r="PGU56" s="196"/>
      <c r="PGV56" s="196"/>
      <c r="PGW56" s="196"/>
      <c r="PGX56" s="196"/>
      <c r="PGY56" s="196"/>
      <c r="PGZ56" s="196"/>
      <c r="PHA56" s="196"/>
      <c r="PHB56" s="196"/>
      <c r="PHC56" s="196"/>
      <c r="PHD56" s="196"/>
      <c r="PHE56" s="196"/>
      <c r="PHF56" s="196"/>
      <c r="PHG56" s="196"/>
      <c r="PHH56" s="196"/>
      <c r="PHI56" s="196"/>
      <c r="PHJ56" s="196"/>
      <c r="PHK56" s="196"/>
      <c r="PHL56" s="196"/>
      <c r="PHM56" s="196"/>
      <c r="PHN56" s="196"/>
      <c r="PHO56" s="196"/>
      <c r="PHP56" s="196"/>
      <c r="PHQ56" s="196"/>
      <c r="PHR56" s="196"/>
      <c r="PHS56" s="196"/>
      <c r="PHT56" s="196"/>
      <c r="PHU56" s="196"/>
      <c r="PHV56" s="196"/>
      <c r="PHW56" s="196"/>
      <c r="PHX56" s="196"/>
      <c r="PHY56" s="196"/>
      <c r="PHZ56" s="196"/>
      <c r="PIA56" s="196"/>
      <c r="PIB56" s="196"/>
      <c r="PIC56" s="196"/>
      <c r="PID56" s="196"/>
      <c r="PIE56" s="196"/>
      <c r="PIF56" s="196"/>
      <c r="PIG56" s="196"/>
      <c r="PIH56" s="196"/>
      <c r="PII56" s="196"/>
      <c r="PIJ56" s="196"/>
      <c r="PIK56" s="196"/>
      <c r="PIL56" s="196"/>
      <c r="PIM56" s="196"/>
      <c r="PIN56" s="196"/>
      <c r="PIO56" s="196"/>
      <c r="PIP56" s="196"/>
      <c r="PIQ56" s="196"/>
      <c r="PIR56" s="196"/>
      <c r="PIS56" s="196"/>
      <c r="PIT56" s="196"/>
      <c r="PIU56" s="196"/>
      <c r="PIV56" s="196"/>
      <c r="PIW56" s="196"/>
      <c r="PIX56" s="196"/>
      <c r="PIY56" s="196"/>
      <c r="PIZ56" s="196"/>
      <c r="PJA56" s="196"/>
      <c r="PJB56" s="196"/>
      <c r="PJC56" s="196"/>
      <c r="PJD56" s="196"/>
      <c r="PJE56" s="196"/>
      <c r="PJF56" s="196"/>
      <c r="PJG56" s="196"/>
      <c r="PJH56" s="196"/>
      <c r="PJI56" s="196"/>
      <c r="PJJ56" s="196"/>
      <c r="PJK56" s="196"/>
      <c r="PJL56" s="196"/>
      <c r="PJM56" s="196"/>
      <c r="PJN56" s="196"/>
      <c r="PJO56" s="196"/>
      <c r="PJP56" s="196"/>
      <c r="PJQ56" s="196"/>
      <c r="PJR56" s="196"/>
      <c r="PJS56" s="196"/>
      <c r="PJT56" s="196"/>
      <c r="PJU56" s="196"/>
      <c r="PJV56" s="196"/>
      <c r="PJW56" s="196"/>
      <c r="PJX56" s="196"/>
      <c r="PJY56" s="196"/>
      <c r="PJZ56" s="196"/>
      <c r="PKA56" s="196"/>
      <c r="PKB56" s="196"/>
      <c r="PKC56" s="196"/>
      <c r="PKD56" s="196"/>
      <c r="PKE56" s="196"/>
      <c r="PKF56" s="196"/>
      <c r="PKG56" s="196"/>
      <c r="PKH56" s="196"/>
      <c r="PKI56" s="196"/>
      <c r="PKJ56" s="196"/>
      <c r="PKK56" s="196"/>
      <c r="PKL56" s="196"/>
      <c r="PKM56" s="196"/>
      <c r="PKN56" s="196"/>
      <c r="PKO56" s="196"/>
      <c r="PKP56" s="196"/>
      <c r="PKQ56" s="196"/>
      <c r="PKR56" s="196"/>
      <c r="PKS56" s="196"/>
      <c r="PKT56" s="196"/>
      <c r="PKU56" s="196"/>
      <c r="PKV56" s="196"/>
      <c r="PKW56" s="196"/>
      <c r="PKX56" s="196"/>
      <c r="PKY56" s="196"/>
      <c r="PKZ56" s="196"/>
      <c r="PLA56" s="196"/>
      <c r="PLB56" s="196"/>
      <c r="PLC56" s="196"/>
      <c r="PLD56" s="196"/>
      <c r="PLE56" s="196"/>
      <c r="PLF56" s="196"/>
      <c r="PLG56" s="196"/>
      <c r="PLH56" s="196"/>
      <c r="PLI56" s="196"/>
      <c r="PLJ56" s="196"/>
      <c r="PLK56" s="196"/>
      <c r="PLL56" s="196"/>
      <c r="PLM56" s="196"/>
      <c r="PLN56" s="196"/>
      <c r="PLO56" s="196"/>
      <c r="PLP56" s="196"/>
      <c r="PLQ56" s="196"/>
      <c r="PLR56" s="196"/>
      <c r="PLS56" s="196"/>
      <c r="PLT56" s="196"/>
      <c r="PLU56" s="196"/>
      <c r="PLV56" s="196"/>
      <c r="PLW56" s="196"/>
      <c r="PLX56" s="196"/>
      <c r="PLY56" s="196"/>
      <c r="PLZ56" s="196"/>
      <c r="PMA56" s="196"/>
      <c r="PMB56" s="196"/>
      <c r="PMC56" s="196"/>
      <c r="PMD56" s="196"/>
      <c r="PME56" s="196"/>
      <c r="PMF56" s="196"/>
      <c r="PMG56" s="196"/>
      <c r="PMH56" s="196"/>
      <c r="PMI56" s="196"/>
      <c r="PMJ56" s="196"/>
      <c r="PMK56" s="196"/>
      <c r="PML56" s="196"/>
      <c r="PMM56" s="196"/>
      <c r="PMN56" s="196"/>
      <c r="PMO56" s="196"/>
      <c r="PMP56" s="196"/>
      <c r="PMQ56" s="196"/>
      <c r="PMR56" s="196"/>
      <c r="PMS56" s="196"/>
      <c r="PMT56" s="196"/>
      <c r="PMU56" s="196"/>
      <c r="PMV56" s="196"/>
      <c r="PMW56" s="196"/>
      <c r="PMX56" s="196"/>
      <c r="PMY56" s="196"/>
      <c r="PMZ56" s="196"/>
      <c r="PNA56" s="196"/>
      <c r="PNB56" s="196"/>
      <c r="PNC56" s="196"/>
      <c r="PND56" s="196"/>
      <c r="PNE56" s="196"/>
      <c r="PNF56" s="196"/>
      <c r="PNG56" s="196"/>
      <c r="PNH56" s="196"/>
      <c r="PNI56" s="196"/>
      <c r="PNJ56" s="196"/>
      <c r="PNK56" s="196"/>
      <c r="PNL56" s="196"/>
      <c r="PNM56" s="196"/>
      <c r="PNN56" s="196"/>
      <c r="PNO56" s="196"/>
      <c r="PNP56" s="196"/>
      <c r="PNQ56" s="196"/>
      <c r="PNR56" s="196"/>
      <c r="PNS56" s="196"/>
      <c r="PNT56" s="196"/>
      <c r="PNU56" s="196"/>
      <c r="PNV56" s="196"/>
      <c r="PNW56" s="196"/>
      <c r="PNX56" s="196"/>
      <c r="PNY56" s="196"/>
      <c r="PNZ56" s="196"/>
      <c r="POA56" s="196"/>
      <c r="POB56" s="196"/>
      <c r="POC56" s="196"/>
      <c r="POD56" s="196"/>
      <c r="POE56" s="196"/>
      <c r="POF56" s="196"/>
      <c r="POG56" s="196"/>
      <c r="POH56" s="196"/>
      <c r="POI56" s="196"/>
      <c r="POJ56" s="196"/>
      <c r="POK56" s="196"/>
      <c r="POL56" s="196"/>
      <c r="POM56" s="196"/>
      <c r="PON56" s="196"/>
      <c r="POO56" s="196"/>
      <c r="POP56" s="196"/>
      <c r="POQ56" s="196"/>
      <c r="POR56" s="196"/>
      <c r="POS56" s="196"/>
      <c r="POT56" s="196"/>
      <c r="POU56" s="196"/>
      <c r="POV56" s="196"/>
      <c r="POW56" s="196"/>
      <c r="POX56" s="196"/>
      <c r="POY56" s="196"/>
      <c r="POZ56" s="196"/>
      <c r="PPA56" s="196"/>
      <c r="PPB56" s="196"/>
      <c r="PPC56" s="196"/>
      <c r="PPD56" s="196"/>
      <c r="PPE56" s="196"/>
      <c r="PPF56" s="196"/>
      <c r="PPG56" s="196"/>
      <c r="PPH56" s="196"/>
      <c r="PPI56" s="196"/>
      <c r="PPJ56" s="196"/>
      <c r="PPK56" s="196"/>
      <c r="PPL56" s="196"/>
      <c r="PPM56" s="196"/>
      <c r="PPN56" s="196"/>
      <c r="PPO56" s="196"/>
      <c r="PPP56" s="196"/>
      <c r="PPQ56" s="196"/>
      <c r="PPR56" s="196"/>
      <c r="PPS56" s="196"/>
      <c r="PPT56" s="196"/>
      <c r="PPU56" s="196"/>
      <c r="PPV56" s="196"/>
      <c r="PPW56" s="196"/>
      <c r="PPX56" s="196"/>
      <c r="PPY56" s="196"/>
      <c r="PPZ56" s="196"/>
      <c r="PQA56" s="196"/>
      <c r="PQB56" s="196"/>
      <c r="PQC56" s="196"/>
      <c r="PQD56" s="196"/>
      <c r="PQE56" s="196"/>
      <c r="PQF56" s="196"/>
      <c r="PQG56" s="196"/>
      <c r="PQH56" s="196"/>
      <c r="PQI56" s="196"/>
      <c r="PQJ56" s="196"/>
      <c r="PQK56" s="196"/>
      <c r="PQL56" s="196"/>
      <c r="PQM56" s="196"/>
      <c r="PQN56" s="196"/>
      <c r="PQO56" s="196"/>
      <c r="PQP56" s="196"/>
      <c r="PQQ56" s="196"/>
      <c r="PQR56" s="196"/>
      <c r="PQS56" s="196"/>
      <c r="PQT56" s="196"/>
      <c r="PQU56" s="196"/>
      <c r="PQV56" s="196"/>
      <c r="PQW56" s="196"/>
      <c r="PQX56" s="196"/>
      <c r="PQY56" s="196"/>
      <c r="PQZ56" s="196"/>
      <c r="PRA56" s="196"/>
      <c r="PRB56" s="196"/>
      <c r="PRC56" s="196"/>
      <c r="PRD56" s="196"/>
      <c r="PRE56" s="196"/>
      <c r="PRF56" s="196"/>
      <c r="PRG56" s="196"/>
      <c r="PRH56" s="196"/>
      <c r="PRI56" s="196"/>
      <c r="PRJ56" s="196"/>
      <c r="PRK56" s="196"/>
      <c r="PRL56" s="196"/>
      <c r="PRM56" s="196"/>
      <c r="PRN56" s="196"/>
      <c r="PRO56" s="196"/>
      <c r="PRP56" s="196"/>
      <c r="PRQ56" s="196"/>
      <c r="PRR56" s="196"/>
      <c r="PRS56" s="196"/>
      <c r="PRT56" s="196"/>
      <c r="PRU56" s="196"/>
      <c r="PRV56" s="196"/>
      <c r="PRW56" s="196"/>
      <c r="PRX56" s="196"/>
      <c r="PRY56" s="196"/>
      <c r="PRZ56" s="196"/>
      <c r="PSA56" s="196"/>
      <c r="PSB56" s="196"/>
      <c r="PSC56" s="196"/>
      <c r="PSD56" s="196"/>
      <c r="PSE56" s="196"/>
      <c r="PSF56" s="196"/>
      <c r="PSG56" s="196"/>
      <c r="PSH56" s="196"/>
      <c r="PSI56" s="196"/>
      <c r="PSJ56" s="196"/>
      <c r="PSK56" s="196"/>
      <c r="PSL56" s="196"/>
      <c r="PSM56" s="196"/>
      <c r="PSN56" s="196"/>
      <c r="PSO56" s="196"/>
      <c r="PSP56" s="196"/>
      <c r="PSQ56" s="196"/>
      <c r="PSR56" s="196"/>
      <c r="PSS56" s="196"/>
      <c r="PST56" s="196"/>
      <c r="PSU56" s="196"/>
      <c r="PSV56" s="196"/>
      <c r="PSW56" s="196"/>
      <c r="PSX56" s="196"/>
      <c r="PSY56" s="196"/>
      <c r="PSZ56" s="196"/>
      <c r="PTA56" s="196"/>
      <c r="PTB56" s="196"/>
      <c r="PTC56" s="196"/>
      <c r="PTD56" s="196"/>
      <c r="PTE56" s="196"/>
      <c r="PTF56" s="196"/>
      <c r="PTG56" s="196"/>
      <c r="PTH56" s="196"/>
      <c r="PTI56" s="196"/>
      <c r="PTJ56" s="196"/>
      <c r="PTK56" s="196"/>
      <c r="PTL56" s="196"/>
      <c r="PTM56" s="196"/>
      <c r="PTN56" s="196"/>
      <c r="PTO56" s="196"/>
      <c r="PTP56" s="196"/>
      <c r="PTQ56" s="196"/>
      <c r="PTR56" s="196"/>
      <c r="PTS56" s="196"/>
      <c r="PTT56" s="196"/>
      <c r="PTU56" s="196"/>
      <c r="PTV56" s="196"/>
      <c r="PTW56" s="196"/>
      <c r="PTX56" s="196"/>
      <c r="PTY56" s="196"/>
      <c r="PTZ56" s="196"/>
      <c r="PUA56" s="196"/>
      <c r="PUB56" s="196"/>
      <c r="PUC56" s="196"/>
      <c r="PUD56" s="196"/>
      <c r="PUE56" s="196"/>
      <c r="PUF56" s="196"/>
      <c r="PUG56" s="196"/>
      <c r="PUH56" s="196"/>
      <c r="PUI56" s="196"/>
      <c r="PUJ56" s="196"/>
      <c r="PUK56" s="196"/>
      <c r="PUL56" s="196"/>
      <c r="PUM56" s="196"/>
      <c r="PUN56" s="196"/>
      <c r="PUO56" s="196"/>
      <c r="PUP56" s="196"/>
      <c r="PUQ56" s="196"/>
      <c r="PUR56" s="196"/>
      <c r="PUS56" s="196"/>
      <c r="PUT56" s="196"/>
      <c r="PUU56" s="196"/>
      <c r="PUV56" s="196"/>
      <c r="PUW56" s="196"/>
      <c r="PUX56" s="196"/>
      <c r="PUY56" s="196"/>
      <c r="PUZ56" s="196"/>
      <c r="PVA56" s="196"/>
      <c r="PVB56" s="196"/>
      <c r="PVC56" s="196"/>
      <c r="PVD56" s="196"/>
      <c r="PVE56" s="196"/>
      <c r="PVF56" s="196"/>
      <c r="PVG56" s="196"/>
      <c r="PVH56" s="196"/>
      <c r="PVI56" s="196"/>
      <c r="PVJ56" s="196"/>
      <c r="PVK56" s="196"/>
      <c r="PVL56" s="196"/>
      <c r="PVM56" s="196"/>
      <c r="PVN56" s="196"/>
      <c r="PVO56" s="196"/>
      <c r="PVP56" s="196"/>
      <c r="PVQ56" s="196"/>
      <c r="PVR56" s="196"/>
      <c r="PVS56" s="196"/>
      <c r="PVT56" s="196"/>
      <c r="PVU56" s="196"/>
      <c r="PVV56" s="196"/>
      <c r="PVW56" s="196"/>
      <c r="PVX56" s="196"/>
      <c r="PVY56" s="196"/>
      <c r="PVZ56" s="196"/>
      <c r="PWA56" s="196"/>
      <c r="PWB56" s="196"/>
      <c r="PWC56" s="196"/>
      <c r="PWD56" s="196"/>
      <c r="PWE56" s="196"/>
      <c r="PWF56" s="196"/>
      <c r="PWG56" s="196"/>
      <c r="PWH56" s="196"/>
      <c r="PWI56" s="196"/>
      <c r="PWJ56" s="196"/>
      <c r="PWK56" s="196"/>
      <c r="PWL56" s="196"/>
      <c r="PWM56" s="196"/>
      <c r="PWN56" s="196"/>
      <c r="PWO56" s="196"/>
      <c r="PWP56" s="196"/>
      <c r="PWQ56" s="196"/>
      <c r="PWR56" s="196"/>
      <c r="PWS56" s="196"/>
      <c r="PWT56" s="196"/>
      <c r="PWU56" s="196"/>
      <c r="PWV56" s="196"/>
      <c r="PWW56" s="196"/>
      <c r="PWX56" s="196"/>
      <c r="PWY56" s="196"/>
      <c r="PWZ56" s="196"/>
      <c r="PXA56" s="196"/>
      <c r="PXB56" s="196"/>
      <c r="PXC56" s="196"/>
      <c r="PXD56" s="196"/>
      <c r="PXE56" s="196"/>
      <c r="PXF56" s="196"/>
      <c r="PXG56" s="196"/>
      <c r="PXH56" s="196"/>
      <c r="PXI56" s="196"/>
      <c r="PXJ56" s="196"/>
      <c r="PXK56" s="196"/>
      <c r="PXL56" s="196"/>
      <c r="PXM56" s="196"/>
      <c r="PXN56" s="196"/>
      <c r="PXO56" s="196"/>
      <c r="PXP56" s="196"/>
      <c r="PXQ56" s="196"/>
      <c r="PXR56" s="196"/>
      <c r="PXS56" s="196"/>
      <c r="PXT56" s="196"/>
      <c r="PXU56" s="196"/>
      <c r="PXV56" s="196"/>
      <c r="PXW56" s="196"/>
      <c r="PXX56" s="196"/>
      <c r="PXY56" s="196"/>
      <c r="PXZ56" s="196"/>
      <c r="PYA56" s="196"/>
      <c r="PYB56" s="196"/>
      <c r="PYC56" s="196"/>
      <c r="PYD56" s="196"/>
      <c r="PYE56" s="196"/>
      <c r="PYF56" s="196"/>
      <c r="PYG56" s="196"/>
      <c r="PYH56" s="196"/>
      <c r="PYI56" s="196"/>
      <c r="PYJ56" s="196"/>
      <c r="PYK56" s="196"/>
      <c r="PYL56" s="196"/>
      <c r="PYM56" s="196"/>
      <c r="PYN56" s="196"/>
      <c r="PYO56" s="196"/>
      <c r="PYP56" s="196"/>
      <c r="PYQ56" s="196"/>
      <c r="PYR56" s="196"/>
      <c r="PYS56" s="196"/>
      <c r="PYT56" s="196"/>
      <c r="PYU56" s="196"/>
      <c r="PYV56" s="196"/>
      <c r="PYW56" s="196"/>
      <c r="PYX56" s="196"/>
      <c r="PYY56" s="196"/>
      <c r="PYZ56" s="196"/>
      <c r="PZA56" s="196"/>
      <c r="PZB56" s="196"/>
      <c r="PZC56" s="196"/>
      <c r="PZD56" s="196"/>
      <c r="PZE56" s="196"/>
      <c r="PZF56" s="196"/>
      <c r="PZG56" s="196"/>
      <c r="PZH56" s="196"/>
      <c r="PZI56" s="196"/>
      <c r="PZJ56" s="196"/>
      <c r="PZK56" s="196"/>
      <c r="PZL56" s="196"/>
      <c r="PZM56" s="196"/>
      <c r="PZN56" s="196"/>
      <c r="PZO56" s="196"/>
      <c r="PZP56" s="196"/>
      <c r="PZQ56" s="196"/>
      <c r="PZR56" s="196"/>
      <c r="PZS56" s="196"/>
      <c r="PZT56" s="196"/>
      <c r="PZU56" s="196"/>
      <c r="PZV56" s="196"/>
      <c r="PZW56" s="196"/>
      <c r="PZX56" s="196"/>
      <c r="PZY56" s="196"/>
      <c r="PZZ56" s="196"/>
      <c r="QAA56" s="196"/>
      <c r="QAB56" s="196"/>
      <c r="QAC56" s="196"/>
      <c r="QAD56" s="196"/>
      <c r="QAE56" s="196"/>
      <c r="QAF56" s="196"/>
      <c r="QAG56" s="196"/>
      <c r="QAH56" s="196"/>
      <c r="QAI56" s="196"/>
      <c r="QAJ56" s="196"/>
      <c r="QAK56" s="196"/>
      <c r="QAL56" s="196"/>
      <c r="QAM56" s="196"/>
      <c r="QAN56" s="196"/>
      <c r="QAO56" s="196"/>
      <c r="QAP56" s="196"/>
      <c r="QAQ56" s="196"/>
      <c r="QAR56" s="196"/>
      <c r="QAS56" s="196"/>
      <c r="QAT56" s="196"/>
      <c r="QAU56" s="196"/>
      <c r="QAV56" s="196"/>
      <c r="QAW56" s="196"/>
      <c r="QAX56" s="196"/>
      <c r="QAY56" s="196"/>
      <c r="QAZ56" s="196"/>
      <c r="QBA56" s="196"/>
      <c r="QBB56" s="196"/>
      <c r="QBC56" s="196"/>
      <c r="QBD56" s="196"/>
      <c r="QBE56" s="196"/>
      <c r="QBF56" s="196"/>
      <c r="QBG56" s="196"/>
      <c r="QBH56" s="196"/>
      <c r="QBI56" s="196"/>
      <c r="QBJ56" s="196"/>
      <c r="QBK56" s="196"/>
      <c r="QBL56" s="196"/>
      <c r="QBM56" s="196"/>
      <c r="QBN56" s="196"/>
      <c r="QBO56" s="196"/>
      <c r="QBP56" s="196"/>
      <c r="QBQ56" s="196"/>
      <c r="QBR56" s="196"/>
      <c r="QBS56" s="196"/>
      <c r="QBT56" s="196"/>
      <c r="QBU56" s="196"/>
      <c r="QBV56" s="196"/>
      <c r="QBW56" s="196"/>
      <c r="QBX56" s="196"/>
      <c r="QBY56" s="196"/>
      <c r="QBZ56" s="196"/>
      <c r="QCA56" s="196"/>
      <c r="QCB56" s="196"/>
      <c r="QCC56" s="196"/>
      <c r="QCD56" s="196"/>
      <c r="QCE56" s="196"/>
      <c r="QCF56" s="196"/>
      <c r="QCG56" s="196"/>
      <c r="QCH56" s="196"/>
      <c r="QCI56" s="196"/>
      <c r="QCJ56" s="196"/>
      <c r="QCK56" s="196"/>
      <c r="QCL56" s="196"/>
      <c r="QCM56" s="196"/>
      <c r="QCN56" s="196"/>
      <c r="QCO56" s="196"/>
      <c r="QCP56" s="196"/>
      <c r="QCQ56" s="196"/>
      <c r="QCR56" s="196"/>
      <c r="QCS56" s="196"/>
      <c r="QCT56" s="196"/>
      <c r="QCU56" s="196"/>
      <c r="QCV56" s="196"/>
      <c r="QCW56" s="196"/>
      <c r="QCX56" s="196"/>
      <c r="QCY56" s="196"/>
      <c r="QCZ56" s="196"/>
      <c r="QDA56" s="196"/>
      <c r="QDB56" s="196"/>
      <c r="QDC56" s="196"/>
      <c r="QDD56" s="196"/>
      <c r="QDE56" s="196"/>
      <c r="QDF56" s="196"/>
      <c r="QDG56" s="196"/>
      <c r="QDH56" s="196"/>
      <c r="QDI56" s="196"/>
      <c r="QDJ56" s="196"/>
      <c r="QDK56" s="196"/>
      <c r="QDL56" s="196"/>
      <c r="QDM56" s="196"/>
      <c r="QDN56" s="196"/>
      <c r="QDO56" s="196"/>
      <c r="QDP56" s="196"/>
      <c r="QDQ56" s="196"/>
      <c r="QDR56" s="196"/>
      <c r="QDS56" s="196"/>
      <c r="QDT56" s="196"/>
      <c r="QDU56" s="196"/>
      <c r="QDV56" s="196"/>
      <c r="QDW56" s="196"/>
      <c r="QDX56" s="196"/>
      <c r="QDY56" s="196"/>
      <c r="QDZ56" s="196"/>
      <c r="QEA56" s="196"/>
      <c r="QEB56" s="196"/>
      <c r="QEC56" s="196"/>
      <c r="QED56" s="196"/>
      <c r="QEE56" s="196"/>
      <c r="QEF56" s="196"/>
      <c r="QEG56" s="196"/>
      <c r="QEH56" s="196"/>
      <c r="QEI56" s="196"/>
      <c r="QEJ56" s="196"/>
      <c r="QEK56" s="196"/>
      <c r="QEL56" s="196"/>
      <c r="QEM56" s="196"/>
      <c r="QEN56" s="196"/>
      <c r="QEO56" s="196"/>
      <c r="QEP56" s="196"/>
      <c r="QEQ56" s="196"/>
      <c r="QER56" s="196"/>
      <c r="QES56" s="196"/>
      <c r="QET56" s="196"/>
      <c r="QEU56" s="196"/>
      <c r="QEV56" s="196"/>
      <c r="QEW56" s="196"/>
      <c r="QEX56" s="196"/>
      <c r="QEY56" s="196"/>
      <c r="QEZ56" s="196"/>
      <c r="QFA56" s="196"/>
      <c r="QFB56" s="196"/>
      <c r="QFC56" s="196"/>
      <c r="QFD56" s="196"/>
      <c r="QFE56" s="196"/>
      <c r="QFF56" s="196"/>
      <c r="QFG56" s="196"/>
      <c r="QFH56" s="196"/>
      <c r="QFI56" s="196"/>
      <c r="QFJ56" s="196"/>
      <c r="QFK56" s="196"/>
      <c r="QFL56" s="196"/>
      <c r="QFM56" s="196"/>
      <c r="QFN56" s="196"/>
      <c r="QFO56" s="196"/>
      <c r="QFP56" s="196"/>
      <c r="QFQ56" s="196"/>
      <c r="QFR56" s="196"/>
      <c r="QFS56" s="196"/>
      <c r="QFT56" s="196"/>
      <c r="QFU56" s="196"/>
      <c r="QFV56" s="196"/>
      <c r="QFW56" s="196"/>
      <c r="QFX56" s="196"/>
      <c r="QFY56" s="196"/>
      <c r="QFZ56" s="196"/>
      <c r="QGA56" s="196"/>
      <c r="QGB56" s="196"/>
      <c r="QGC56" s="196"/>
      <c r="QGD56" s="196"/>
      <c r="QGE56" s="196"/>
      <c r="QGF56" s="196"/>
      <c r="QGG56" s="196"/>
      <c r="QGH56" s="196"/>
      <c r="QGI56" s="196"/>
      <c r="QGJ56" s="196"/>
      <c r="QGK56" s="196"/>
      <c r="QGL56" s="196"/>
      <c r="QGM56" s="196"/>
      <c r="QGN56" s="196"/>
      <c r="QGO56" s="196"/>
      <c r="QGP56" s="196"/>
      <c r="QGQ56" s="196"/>
      <c r="QGR56" s="196"/>
      <c r="QGS56" s="196"/>
      <c r="QGT56" s="196"/>
      <c r="QGU56" s="196"/>
      <c r="QGV56" s="196"/>
      <c r="QGW56" s="196"/>
      <c r="QGX56" s="196"/>
      <c r="QGY56" s="196"/>
      <c r="QGZ56" s="196"/>
      <c r="QHA56" s="196"/>
      <c r="QHB56" s="196"/>
      <c r="QHC56" s="196"/>
      <c r="QHD56" s="196"/>
      <c r="QHE56" s="196"/>
      <c r="QHF56" s="196"/>
      <c r="QHG56" s="196"/>
      <c r="QHH56" s="196"/>
      <c r="QHI56" s="196"/>
      <c r="QHJ56" s="196"/>
      <c r="QHK56" s="196"/>
      <c r="QHL56" s="196"/>
      <c r="QHM56" s="196"/>
      <c r="QHN56" s="196"/>
      <c r="QHO56" s="196"/>
      <c r="QHP56" s="196"/>
      <c r="QHQ56" s="196"/>
      <c r="QHR56" s="196"/>
      <c r="QHS56" s="196"/>
      <c r="QHT56" s="196"/>
      <c r="QHU56" s="196"/>
      <c r="QHV56" s="196"/>
      <c r="QHW56" s="196"/>
      <c r="QHX56" s="196"/>
      <c r="QHY56" s="196"/>
      <c r="QHZ56" s="196"/>
      <c r="QIA56" s="196"/>
      <c r="QIB56" s="196"/>
      <c r="QIC56" s="196"/>
      <c r="QID56" s="196"/>
      <c r="QIE56" s="196"/>
      <c r="QIF56" s="196"/>
      <c r="QIG56" s="196"/>
      <c r="QIH56" s="196"/>
      <c r="QII56" s="196"/>
      <c r="QIJ56" s="196"/>
      <c r="QIK56" s="196"/>
      <c r="QIL56" s="196"/>
      <c r="QIM56" s="196"/>
      <c r="QIN56" s="196"/>
      <c r="QIO56" s="196"/>
      <c r="QIP56" s="196"/>
      <c r="QIQ56" s="196"/>
      <c r="QIR56" s="196"/>
      <c r="QIS56" s="196"/>
      <c r="QIT56" s="196"/>
      <c r="QIU56" s="196"/>
      <c r="QIV56" s="196"/>
      <c r="QIW56" s="196"/>
      <c r="QIX56" s="196"/>
      <c r="QIY56" s="196"/>
      <c r="QIZ56" s="196"/>
      <c r="QJA56" s="196"/>
      <c r="QJB56" s="196"/>
      <c r="QJC56" s="196"/>
      <c r="QJD56" s="196"/>
      <c r="QJE56" s="196"/>
      <c r="QJF56" s="196"/>
      <c r="QJG56" s="196"/>
      <c r="QJH56" s="196"/>
      <c r="QJI56" s="196"/>
      <c r="QJJ56" s="196"/>
      <c r="QJK56" s="196"/>
      <c r="QJL56" s="196"/>
      <c r="QJM56" s="196"/>
      <c r="QJN56" s="196"/>
      <c r="QJO56" s="196"/>
      <c r="QJP56" s="196"/>
      <c r="QJQ56" s="196"/>
      <c r="QJR56" s="196"/>
      <c r="QJS56" s="196"/>
      <c r="QJT56" s="196"/>
      <c r="QJU56" s="196"/>
      <c r="QJV56" s="196"/>
      <c r="QJW56" s="196"/>
      <c r="QJX56" s="196"/>
      <c r="QJY56" s="196"/>
      <c r="QJZ56" s="196"/>
      <c r="QKA56" s="196"/>
      <c r="QKB56" s="196"/>
      <c r="QKC56" s="196"/>
      <c r="QKD56" s="196"/>
      <c r="QKE56" s="196"/>
      <c r="QKF56" s="196"/>
      <c r="QKG56" s="196"/>
      <c r="QKH56" s="196"/>
      <c r="QKI56" s="196"/>
      <c r="QKJ56" s="196"/>
      <c r="QKK56" s="196"/>
      <c r="QKL56" s="196"/>
      <c r="QKM56" s="196"/>
      <c r="QKN56" s="196"/>
      <c r="QKO56" s="196"/>
      <c r="QKP56" s="196"/>
      <c r="QKQ56" s="196"/>
      <c r="QKR56" s="196"/>
      <c r="QKS56" s="196"/>
      <c r="QKT56" s="196"/>
      <c r="QKU56" s="196"/>
      <c r="QKV56" s="196"/>
      <c r="QKW56" s="196"/>
      <c r="QKX56" s="196"/>
      <c r="QKY56" s="196"/>
      <c r="QKZ56" s="196"/>
      <c r="QLA56" s="196"/>
      <c r="QLB56" s="196"/>
      <c r="QLC56" s="196"/>
      <c r="QLD56" s="196"/>
      <c r="QLE56" s="196"/>
      <c r="QLF56" s="196"/>
      <c r="QLG56" s="196"/>
      <c r="QLH56" s="196"/>
      <c r="QLI56" s="196"/>
      <c r="QLJ56" s="196"/>
      <c r="QLK56" s="196"/>
      <c r="QLL56" s="196"/>
      <c r="QLM56" s="196"/>
      <c r="QLN56" s="196"/>
      <c r="QLO56" s="196"/>
      <c r="QLP56" s="196"/>
      <c r="QLQ56" s="196"/>
      <c r="QLR56" s="196"/>
      <c r="QLS56" s="196"/>
      <c r="QLT56" s="196"/>
      <c r="QLU56" s="196"/>
      <c r="QLV56" s="196"/>
      <c r="QLW56" s="196"/>
      <c r="QLX56" s="196"/>
      <c r="QLY56" s="196"/>
      <c r="QLZ56" s="196"/>
      <c r="QMA56" s="196"/>
      <c r="QMB56" s="196"/>
      <c r="QMC56" s="196"/>
      <c r="QMD56" s="196"/>
      <c r="QME56" s="196"/>
      <c r="QMF56" s="196"/>
      <c r="QMG56" s="196"/>
      <c r="QMH56" s="196"/>
      <c r="QMI56" s="196"/>
      <c r="QMJ56" s="196"/>
      <c r="QMK56" s="196"/>
      <c r="QML56" s="196"/>
      <c r="QMM56" s="196"/>
      <c r="QMN56" s="196"/>
      <c r="QMO56" s="196"/>
      <c r="QMP56" s="196"/>
      <c r="QMQ56" s="196"/>
      <c r="QMR56" s="196"/>
      <c r="QMS56" s="196"/>
      <c r="QMT56" s="196"/>
      <c r="QMU56" s="196"/>
      <c r="QMV56" s="196"/>
      <c r="QMW56" s="196"/>
      <c r="QMX56" s="196"/>
      <c r="QMY56" s="196"/>
      <c r="QMZ56" s="196"/>
      <c r="QNA56" s="196"/>
      <c r="QNB56" s="196"/>
      <c r="QNC56" s="196"/>
      <c r="QND56" s="196"/>
      <c r="QNE56" s="196"/>
      <c r="QNF56" s="196"/>
      <c r="QNG56" s="196"/>
      <c r="QNH56" s="196"/>
      <c r="QNI56" s="196"/>
      <c r="QNJ56" s="196"/>
      <c r="QNK56" s="196"/>
      <c r="QNL56" s="196"/>
      <c r="QNM56" s="196"/>
      <c r="QNN56" s="196"/>
      <c r="QNO56" s="196"/>
      <c r="QNP56" s="196"/>
      <c r="QNQ56" s="196"/>
      <c r="QNR56" s="196"/>
      <c r="QNS56" s="196"/>
      <c r="QNT56" s="196"/>
      <c r="QNU56" s="196"/>
      <c r="QNV56" s="196"/>
      <c r="QNW56" s="196"/>
      <c r="QNX56" s="196"/>
      <c r="QNY56" s="196"/>
      <c r="QNZ56" s="196"/>
      <c r="QOA56" s="196"/>
      <c r="QOB56" s="196"/>
      <c r="QOC56" s="196"/>
      <c r="QOD56" s="196"/>
      <c r="QOE56" s="196"/>
      <c r="QOF56" s="196"/>
      <c r="QOG56" s="196"/>
      <c r="QOH56" s="196"/>
      <c r="QOI56" s="196"/>
      <c r="QOJ56" s="196"/>
      <c r="QOK56" s="196"/>
      <c r="QOL56" s="196"/>
      <c r="QOM56" s="196"/>
      <c r="QON56" s="196"/>
      <c r="QOO56" s="196"/>
      <c r="QOP56" s="196"/>
      <c r="QOQ56" s="196"/>
      <c r="QOR56" s="196"/>
      <c r="QOS56" s="196"/>
      <c r="QOT56" s="196"/>
      <c r="QOU56" s="196"/>
      <c r="QOV56" s="196"/>
      <c r="QOW56" s="196"/>
      <c r="QOX56" s="196"/>
      <c r="QOY56" s="196"/>
      <c r="QOZ56" s="196"/>
      <c r="QPA56" s="196"/>
      <c r="QPB56" s="196"/>
      <c r="QPC56" s="196"/>
      <c r="QPD56" s="196"/>
      <c r="QPE56" s="196"/>
      <c r="QPF56" s="196"/>
      <c r="QPG56" s="196"/>
      <c r="QPH56" s="196"/>
      <c r="QPI56" s="196"/>
      <c r="QPJ56" s="196"/>
      <c r="QPK56" s="196"/>
      <c r="QPL56" s="196"/>
      <c r="QPM56" s="196"/>
      <c r="QPN56" s="196"/>
      <c r="QPO56" s="196"/>
      <c r="QPP56" s="196"/>
      <c r="QPQ56" s="196"/>
      <c r="QPR56" s="196"/>
      <c r="QPS56" s="196"/>
      <c r="QPT56" s="196"/>
      <c r="QPU56" s="196"/>
      <c r="QPV56" s="196"/>
      <c r="QPW56" s="196"/>
      <c r="QPX56" s="196"/>
      <c r="QPY56" s="196"/>
      <c r="QPZ56" s="196"/>
      <c r="QQA56" s="196"/>
      <c r="QQB56" s="196"/>
      <c r="QQC56" s="196"/>
      <c r="QQD56" s="196"/>
      <c r="QQE56" s="196"/>
      <c r="QQF56" s="196"/>
      <c r="QQG56" s="196"/>
      <c r="QQH56" s="196"/>
      <c r="QQI56" s="196"/>
      <c r="QQJ56" s="196"/>
      <c r="QQK56" s="196"/>
      <c r="QQL56" s="196"/>
      <c r="QQM56" s="196"/>
      <c r="QQN56" s="196"/>
      <c r="QQO56" s="196"/>
      <c r="QQP56" s="196"/>
      <c r="QQQ56" s="196"/>
      <c r="QQR56" s="196"/>
      <c r="QQS56" s="196"/>
      <c r="QQT56" s="196"/>
      <c r="QQU56" s="196"/>
      <c r="QQV56" s="196"/>
      <c r="QQW56" s="196"/>
      <c r="QQX56" s="196"/>
      <c r="QQY56" s="196"/>
      <c r="QQZ56" s="196"/>
      <c r="QRA56" s="196"/>
      <c r="QRB56" s="196"/>
      <c r="QRC56" s="196"/>
      <c r="QRD56" s="196"/>
      <c r="QRE56" s="196"/>
      <c r="QRF56" s="196"/>
      <c r="QRG56" s="196"/>
      <c r="QRH56" s="196"/>
      <c r="QRI56" s="196"/>
      <c r="QRJ56" s="196"/>
      <c r="QRK56" s="196"/>
      <c r="QRL56" s="196"/>
      <c r="QRM56" s="196"/>
      <c r="QRN56" s="196"/>
      <c r="QRO56" s="196"/>
      <c r="QRP56" s="196"/>
      <c r="QRQ56" s="196"/>
      <c r="QRR56" s="196"/>
      <c r="QRS56" s="196"/>
      <c r="QRT56" s="196"/>
      <c r="QRU56" s="196"/>
      <c r="QRV56" s="196"/>
      <c r="QRW56" s="196"/>
      <c r="QRX56" s="196"/>
      <c r="QRY56" s="196"/>
      <c r="QRZ56" s="196"/>
      <c r="QSA56" s="196"/>
      <c r="QSB56" s="196"/>
      <c r="QSC56" s="196"/>
      <c r="QSD56" s="196"/>
      <c r="QSE56" s="196"/>
      <c r="QSF56" s="196"/>
      <c r="QSG56" s="196"/>
      <c r="QSH56" s="196"/>
      <c r="QSI56" s="196"/>
      <c r="QSJ56" s="196"/>
      <c r="QSK56" s="196"/>
      <c r="QSL56" s="196"/>
      <c r="QSM56" s="196"/>
      <c r="QSN56" s="196"/>
      <c r="QSO56" s="196"/>
      <c r="QSP56" s="196"/>
      <c r="QSQ56" s="196"/>
      <c r="QSR56" s="196"/>
      <c r="QSS56" s="196"/>
      <c r="QST56" s="196"/>
      <c r="QSU56" s="196"/>
      <c r="QSV56" s="196"/>
      <c r="QSW56" s="196"/>
      <c r="QSX56" s="196"/>
      <c r="QSY56" s="196"/>
      <c r="QSZ56" s="196"/>
      <c r="QTA56" s="196"/>
      <c r="QTB56" s="196"/>
      <c r="QTC56" s="196"/>
      <c r="QTD56" s="196"/>
      <c r="QTE56" s="196"/>
      <c r="QTF56" s="196"/>
      <c r="QTG56" s="196"/>
      <c r="QTH56" s="196"/>
      <c r="QTI56" s="196"/>
      <c r="QTJ56" s="196"/>
      <c r="QTK56" s="196"/>
      <c r="QTL56" s="196"/>
      <c r="QTM56" s="196"/>
      <c r="QTN56" s="196"/>
      <c r="QTO56" s="196"/>
      <c r="QTP56" s="196"/>
      <c r="QTQ56" s="196"/>
      <c r="QTR56" s="196"/>
      <c r="QTS56" s="196"/>
      <c r="QTT56" s="196"/>
      <c r="QTU56" s="196"/>
      <c r="QTV56" s="196"/>
      <c r="QTW56" s="196"/>
      <c r="QTX56" s="196"/>
      <c r="QTY56" s="196"/>
      <c r="QTZ56" s="196"/>
      <c r="QUA56" s="196"/>
      <c r="QUB56" s="196"/>
      <c r="QUC56" s="196"/>
      <c r="QUD56" s="196"/>
      <c r="QUE56" s="196"/>
      <c r="QUF56" s="196"/>
      <c r="QUG56" s="196"/>
      <c r="QUH56" s="196"/>
      <c r="QUI56" s="196"/>
      <c r="QUJ56" s="196"/>
      <c r="QUK56" s="196"/>
      <c r="QUL56" s="196"/>
      <c r="QUM56" s="196"/>
      <c r="QUN56" s="196"/>
      <c r="QUO56" s="196"/>
      <c r="QUP56" s="196"/>
      <c r="QUQ56" s="196"/>
      <c r="QUR56" s="196"/>
      <c r="QUS56" s="196"/>
      <c r="QUT56" s="196"/>
      <c r="QUU56" s="196"/>
      <c r="QUV56" s="196"/>
      <c r="QUW56" s="196"/>
      <c r="QUX56" s="196"/>
      <c r="QUY56" s="196"/>
      <c r="QUZ56" s="196"/>
      <c r="QVA56" s="196"/>
      <c r="QVB56" s="196"/>
      <c r="QVC56" s="196"/>
      <c r="QVD56" s="196"/>
      <c r="QVE56" s="196"/>
      <c r="QVF56" s="196"/>
      <c r="QVG56" s="196"/>
      <c r="QVH56" s="196"/>
      <c r="QVI56" s="196"/>
      <c r="QVJ56" s="196"/>
      <c r="QVK56" s="196"/>
      <c r="QVL56" s="196"/>
      <c r="QVM56" s="196"/>
      <c r="QVN56" s="196"/>
      <c r="QVO56" s="196"/>
      <c r="QVP56" s="196"/>
      <c r="QVQ56" s="196"/>
      <c r="QVR56" s="196"/>
      <c r="QVS56" s="196"/>
      <c r="QVT56" s="196"/>
      <c r="QVU56" s="196"/>
      <c r="QVV56" s="196"/>
      <c r="QVW56" s="196"/>
      <c r="QVX56" s="196"/>
      <c r="QVY56" s="196"/>
      <c r="QVZ56" s="196"/>
      <c r="QWA56" s="196"/>
      <c r="QWB56" s="196"/>
      <c r="QWC56" s="196"/>
      <c r="QWD56" s="196"/>
      <c r="QWE56" s="196"/>
      <c r="QWF56" s="196"/>
      <c r="QWG56" s="196"/>
      <c r="QWH56" s="196"/>
      <c r="QWI56" s="196"/>
      <c r="QWJ56" s="196"/>
      <c r="QWK56" s="196"/>
      <c r="QWL56" s="196"/>
      <c r="QWM56" s="196"/>
      <c r="QWN56" s="196"/>
      <c r="QWO56" s="196"/>
      <c r="QWP56" s="196"/>
      <c r="QWQ56" s="196"/>
      <c r="QWR56" s="196"/>
      <c r="QWS56" s="196"/>
      <c r="QWT56" s="196"/>
      <c r="QWU56" s="196"/>
      <c r="QWV56" s="196"/>
      <c r="QWW56" s="196"/>
      <c r="QWX56" s="196"/>
      <c r="QWY56" s="196"/>
      <c r="QWZ56" s="196"/>
      <c r="QXA56" s="196"/>
      <c r="QXB56" s="196"/>
      <c r="QXC56" s="196"/>
      <c r="QXD56" s="196"/>
      <c r="QXE56" s="196"/>
      <c r="QXF56" s="196"/>
      <c r="QXG56" s="196"/>
      <c r="QXH56" s="196"/>
      <c r="QXI56" s="196"/>
      <c r="QXJ56" s="196"/>
      <c r="QXK56" s="196"/>
      <c r="QXL56" s="196"/>
      <c r="QXM56" s="196"/>
      <c r="QXN56" s="196"/>
      <c r="QXO56" s="196"/>
      <c r="QXP56" s="196"/>
      <c r="QXQ56" s="196"/>
      <c r="QXR56" s="196"/>
      <c r="QXS56" s="196"/>
      <c r="QXT56" s="196"/>
      <c r="QXU56" s="196"/>
      <c r="QXV56" s="196"/>
      <c r="QXW56" s="196"/>
      <c r="QXX56" s="196"/>
      <c r="QXY56" s="196"/>
      <c r="QXZ56" s="196"/>
      <c r="QYA56" s="196"/>
      <c r="QYB56" s="196"/>
      <c r="QYC56" s="196"/>
      <c r="QYD56" s="196"/>
      <c r="QYE56" s="196"/>
      <c r="QYF56" s="196"/>
      <c r="QYG56" s="196"/>
      <c r="QYH56" s="196"/>
      <c r="QYI56" s="196"/>
      <c r="QYJ56" s="196"/>
      <c r="QYK56" s="196"/>
      <c r="QYL56" s="196"/>
      <c r="QYM56" s="196"/>
      <c r="QYN56" s="196"/>
      <c r="QYO56" s="196"/>
      <c r="QYP56" s="196"/>
      <c r="QYQ56" s="196"/>
      <c r="QYR56" s="196"/>
      <c r="QYS56" s="196"/>
      <c r="QYT56" s="196"/>
      <c r="QYU56" s="196"/>
      <c r="QYV56" s="196"/>
      <c r="QYW56" s="196"/>
      <c r="QYX56" s="196"/>
      <c r="QYY56" s="196"/>
      <c r="QYZ56" s="196"/>
      <c r="QZA56" s="196"/>
      <c r="QZB56" s="196"/>
      <c r="QZC56" s="196"/>
      <c r="QZD56" s="196"/>
      <c r="QZE56" s="196"/>
      <c r="QZF56" s="196"/>
      <c r="QZG56" s="196"/>
      <c r="QZH56" s="196"/>
      <c r="QZI56" s="196"/>
      <c r="QZJ56" s="196"/>
      <c r="QZK56" s="196"/>
      <c r="QZL56" s="196"/>
      <c r="QZM56" s="196"/>
      <c r="QZN56" s="196"/>
      <c r="QZO56" s="196"/>
      <c r="QZP56" s="196"/>
      <c r="QZQ56" s="196"/>
      <c r="QZR56" s="196"/>
      <c r="QZS56" s="196"/>
      <c r="QZT56" s="196"/>
      <c r="QZU56" s="196"/>
      <c r="QZV56" s="196"/>
      <c r="QZW56" s="196"/>
      <c r="QZX56" s="196"/>
      <c r="QZY56" s="196"/>
      <c r="QZZ56" s="196"/>
      <c r="RAA56" s="196"/>
      <c r="RAB56" s="196"/>
      <c r="RAC56" s="196"/>
      <c r="RAD56" s="196"/>
      <c r="RAE56" s="196"/>
      <c r="RAF56" s="196"/>
      <c r="RAG56" s="196"/>
      <c r="RAH56" s="196"/>
      <c r="RAI56" s="196"/>
      <c r="RAJ56" s="196"/>
      <c r="RAK56" s="196"/>
      <c r="RAL56" s="196"/>
      <c r="RAM56" s="196"/>
      <c r="RAN56" s="196"/>
      <c r="RAO56" s="196"/>
      <c r="RAP56" s="196"/>
      <c r="RAQ56" s="196"/>
      <c r="RAR56" s="196"/>
      <c r="RAS56" s="196"/>
      <c r="RAT56" s="196"/>
      <c r="RAU56" s="196"/>
      <c r="RAV56" s="196"/>
      <c r="RAW56" s="196"/>
      <c r="RAX56" s="196"/>
      <c r="RAY56" s="196"/>
      <c r="RAZ56" s="196"/>
      <c r="RBA56" s="196"/>
      <c r="RBB56" s="196"/>
      <c r="RBC56" s="196"/>
      <c r="RBD56" s="196"/>
      <c r="RBE56" s="196"/>
      <c r="RBF56" s="196"/>
      <c r="RBG56" s="196"/>
      <c r="RBH56" s="196"/>
      <c r="RBI56" s="196"/>
      <c r="RBJ56" s="196"/>
      <c r="RBK56" s="196"/>
      <c r="RBL56" s="196"/>
      <c r="RBM56" s="196"/>
      <c r="RBN56" s="196"/>
      <c r="RBO56" s="196"/>
      <c r="RBP56" s="196"/>
      <c r="RBQ56" s="196"/>
      <c r="RBR56" s="196"/>
      <c r="RBS56" s="196"/>
      <c r="RBT56" s="196"/>
      <c r="RBU56" s="196"/>
      <c r="RBV56" s="196"/>
      <c r="RBW56" s="196"/>
      <c r="RBX56" s="196"/>
      <c r="RBY56" s="196"/>
      <c r="RBZ56" s="196"/>
      <c r="RCA56" s="196"/>
      <c r="RCB56" s="196"/>
      <c r="RCC56" s="196"/>
      <c r="RCD56" s="196"/>
      <c r="RCE56" s="196"/>
      <c r="RCF56" s="196"/>
      <c r="RCG56" s="196"/>
      <c r="RCH56" s="196"/>
      <c r="RCI56" s="196"/>
      <c r="RCJ56" s="196"/>
      <c r="RCK56" s="196"/>
      <c r="RCL56" s="196"/>
      <c r="RCM56" s="196"/>
      <c r="RCN56" s="196"/>
      <c r="RCO56" s="196"/>
      <c r="RCP56" s="196"/>
      <c r="RCQ56" s="196"/>
      <c r="RCR56" s="196"/>
      <c r="RCS56" s="196"/>
      <c r="RCT56" s="196"/>
      <c r="RCU56" s="196"/>
      <c r="RCV56" s="196"/>
      <c r="RCW56" s="196"/>
      <c r="RCX56" s="196"/>
      <c r="RCY56" s="196"/>
      <c r="RCZ56" s="196"/>
      <c r="RDA56" s="196"/>
      <c r="RDB56" s="196"/>
      <c r="RDC56" s="196"/>
      <c r="RDD56" s="196"/>
      <c r="RDE56" s="196"/>
      <c r="RDF56" s="196"/>
      <c r="RDG56" s="196"/>
      <c r="RDH56" s="196"/>
      <c r="RDI56" s="196"/>
      <c r="RDJ56" s="196"/>
      <c r="RDK56" s="196"/>
      <c r="RDL56" s="196"/>
      <c r="RDM56" s="196"/>
      <c r="RDN56" s="196"/>
      <c r="RDO56" s="196"/>
      <c r="RDP56" s="196"/>
      <c r="RDQ56" s="196"/>
      <c r="RDR56" s="196"/>
      <c r="RDS56" s="196"/>
      <c r="RDT56" s="196"/>
      <c r="RDU56" s="196"/>
      <c r="RDV56" s="196"/>
      <c r="RDW56" s="196"/>
      <c r="RDX56" s="196"/>
      <c r="RDY56" s="196"/>
      <c r="RDZ56" s="196"/>
      <c r="REA56" s="196"/>
      <c r="REB56" s="196"/>
      <c r="REC56" s="196"/>
      <c r="RED56" s="196"/>
      <c r="REE56" s="196"/>
      <c r="REF56" s="196"/>
      <c r="REG56" s="196"/>
      <c r="REH56" s="196"/>
      <c r="REI56" s="196"/>
      <c r="REJ56" s="196"/>
      <c r="REK56" s="196"/>
      <c r="REL56" s="196"/>
      <c r="REM56" s="196"/>
      <c r="REN56" s="196"/>
      <c r="REO56" s="196"/>
      <c r="REP56" s="196"/>
      <c r="REQ56" s="196"/>
      <c r="RER56" s="196"/>
      <c r="RES56" s="196"/>
      <c r="RET56" s="196"/>
      <c r="REU56" s="196"/>
      <c r="REV56" s="196"/>
      <c r="REW56" s="196"/>
      <c r="REX56" s="196"/>
      <c r="REY56" s="196"/>
      <c r="REZ56" s="196"/>
      <c r="RFA56" s="196"/>
      <c r="RFB56" s="196"/>
      <c r="RFC56" s="196"/>
      <c r="RFD56" s="196"/>
      <c r="RFE56" s="196"/>
      <c r="RFF56" s="196"/>
      <c r="RFG56" s="196"/>
      <c r="RFH56" s="196"/>
      <c r="RFI56" s="196"/>
      <c r="RFJ56" s="196"/>
      <c r="RFK56" s="196"/>
      <c r="RFL56" s="196"/>
      <c r="RFM56" s="196"/>
      <c r="RFN56" s="196"/>
      <c r="RFO56" s="196"/>
      <c r="RFP56" s="196"/>
      <c r="RFQ56" s="196"/>
      <c r="RFR56" s="196"/>
      <c r="RFS56" s="196"/>
      <c r="RFT56" s="196"/>
      <c r="RFU56" s="196"/>
      <c r="RFV56" s="196"/>
      <c r="RFW56" s="196"/>
      <c r="RFX56" s="196"/>
      <c r="RFY56" s="196"/>
      <c r="RFZ56" s="196"/>
      <c r="RGA56" s="196"/>
      <c r="RGB56" s="196"/>
      <c r="RGC56" s="196"/>
      <c r="RGD56" s="196"/>
      <c r="RGE56" s="196"/>
      <c r="RGF56" s="196"/>
      <c r="RGG56" s="196"/>
      <c r="RGH56" s="196"/>
      <c r="RGI56" s="196"/>
      <c r="RGJ56" s="196"/>
      <c r="RGK56" s="196"/>
      <c r="RGL56" s="196"/>
      <c r="RGM56" s="196"/>
      <c r="RGN56" s="196"/>
      <c r="RGO56" s="196"/>
      <c r="RGP56" s="196"/>
      <c r="RGQ56" s="196"/>
      <c r="RGR56" s="196"/>
      <c r="RGS56" s="196"/>
      <c r="RGT56" s="196"/>
      <c r="RGU56" s="196"/>
      <c r="RGV56" s="196"/>
      <c r="RGW56" s="196"/>
      <c r="RGX56" s="196"/>
      <c r="RGY56" s="196"/>
      <c r="RGZ56" s="196"/>
      <c r="RHA56" s="196"/>
      <c r="RHB56" s="196"/>
      <c r="RHC56" s="196"/>
      <c r="RHD56" s="196"/>
      <c r="RHE56" s="196"/>
      <c r="RHF56" s="196"/>
      <c r="RHG56" s="196"/>
      <c r="RHH56" s="196"/>
      <c r="RHI56" s="196"/>
      <c r="RHJ56" s="196"/>
      <c r="RHK56" s="196"/>
      <c r="RHL56" s="196"/>
      <c r="RHM56" s="196"/>
      <c r="RHN56" s="196"/>
      <c r="RHO56" s="196"/>
      <c r="RHP56" s="196"/>
      <c r="RHQ56" s="196"/>
      <c r="RHR56" s="196"/>
      <c r="RHS56" s="196"/>
      <c r="RHT56" s="196"/>
      <c r="RHU56" s="196"/>
      <c r="RHV56" s="196"/>
      <c r="RHW56" s="196"/>
      <c r="RHX56" s="196"/>
      <c r="RHY56" s="196"/>
      <c r="RHZ56" s="196"/>
      <c r="RIA56" s="196"/>
      <c r="RIB56" s="196"/>
      <c r="RIC56" s="196"/>
      <c r="RID56" s="196"/>
      <c r="RIE56" s="196"/>
      <c r="RIF56" s="196"/>
      <c r="RIG56" s="196"/>
      <c r="RIH56" s="196"/>
      <c r="RII56" s="196"/>
      <c r="RIJ56" s="196"/>
      <c r="RIK56" s="196"/>
      <c r="RIL56" s="196"/>
      <c r="RIM56" s="196"/>
      <c r="RIN56" s="196"/>
      <c r="RIO56" s="196"/>
      <c r="RIP56" s="196"/>
      <c r="RIQ56" s="196"/>
      <c r="RIR56" s="196"/>
      <c r="RIS56" s="196"/>
      <c r="RIT56" s="196"/>
      <c r="RIU56" s="196"/>
      <c r="RIV56" s="196"/>
      <c r="RIW56" s="196"/>
      <c r="RIX56" s="196"/>
      <c r="RIY56" s="196"/>
      <c r="RIZ56" s="196"/>
      <c r="RJA56" s="196"/>
      <c r="RJB56" s="196"/>
      <c r="RJC56" s="196"/>
      <c r="RJD56" s="196"/>
      <c r="RJE56" s="196"/>
      <c r="RJF56" s="196"/>
      <c r="RJG56" s="196"/>
      <c r="RJH56" s="196"/>
      <c r="RJI56" s="196"/>
      <c r="RJJ56" s="196"/>
      <c r="RJK56" s="196"/>
      <c r="RJL56" s="196"/>
      <c r="RJM56" s="196"/>
      <c r="RJN56" s="196"/>
      <c r="RJO56" s="196"/>
      <c r="RJP56" s="196"/>
      <c r="RJQ56" s="196"/>
      <c r="RJR56" s="196"/>
      <c r="RJS56" s="196"/>
      <c r="RJT56" s="196"/>
      <c r="RJU56" s="196"/>
      <c r="RJV56" s="196"/>
      <c r="RJW56" s="196"/>
      <c r="RJX56" s="196"/>
      <c r="RJY56" s="196"/>
      <c r="RJZ56" s="196"/>
      <c r="RKA56" s="196"/>
      <c r="RKB56" s="196"/>
      <c r="RKC56" s="196"/>
      <c r="RKD56" s="196"/>
      <c r="RKE56" s="196"/>
      <c r="RKF56" s="196"/>
      <c r="RKG56" s="196"/>
      <c r="RKH56" s="196"/>
      <c r="RKI56" s="196"/>
      <c r="RKJ56" s="196"/>
      <c r="RKK56" s="196"/>
      <c r="RKL56" s="196"/>
      <c r="RKM56" s="196"/>
      <c r="RKN56" s="196"/>
      <c r="RKO56" s="196"/>
      <c r="RKP56" s="196"/>
      <c r="RKQ56" s="196"/>
      <c r="RKR56" s="196"/>
      <c r="RKS56" s="196"/>
      <c r="RKT56" s="196"/>
      <c r="RKU56" s="196"/>
      <c r="RKV56" s="196"/>
      <c r="RKW56" s="196"/>
      <c r="RKX56" s="196"/>
      <c r="RKY56" s="196"/>
      <c r="RKZ56" s="196"/>
      <c r="RLA56" s="196"/>
      <c r="RLB56" s="196"/>
      <c r="RLC56" s="196"/>
      <c r="RLD56" s="196"/>
      <c r="RLE56" s="196"/>
      <c r="RLF56" s="196"/>
      <c r="RLG56" s="196"/>
      <c r="RLH56" s="196"/>
      <c r="RLI56" s="196"/>
      <c r="RLJ56" s="196"/>
      <c r="RLK56" s="196"/>
      <c r="RLL56" s="196"/>
      <c r="RLM56" s="196"/>
      <c r="RLN56" s="196"/>
      <c r="RLO56" s="196"/>
      <c r="RLP56" s="196"/>
      <c r="RLQ56" s="196"/>
      <c r="RLR56" s="196"/>
      <c r="RLS56" s="196"/>
      <c r="RLT56" s="196"/>
      <c r="RLU56" s="196"/>
      <c r="RLV56" s="196"/>
      <c r="RLW56" s="196"/>
      <c r="RLX56" s="196"/>
      <c r="RLY56" s="196"/>
      <c r="RLZ56" s="196"/>
      <c r="RMA56" s="196"/>
      <c r="RMB56" s="196"/>
      <c r="RMC56" s="196"/>
      <c r="RMD56" s="196"/>
      <c r="RME56" s="196"/>
      <c r="RMF56" s="196"/>
      <c r="RMG56" s="196"/>
      <c r="RMH56" s="196"/>
      <c r="RMI56" s="196"/>
      <c r="RMJ56" s="196"/>
      <c r="RMK56" s="196"/>
      <c r="RML56" s="196"/>
      <c r="RMM56" s="196"/>
      <c r="RMN56" s="196"/>
      <c r="RMO56" s="196"/>
      <c r="RMP56" s="196"/>
      <c r="RMQ56" s="196"/>
      <c r="RMR56" s="196"/>
      <c r="RMS56" s="196"/>
      <c r="RMT56" s="196"/>
      <c r="RMU56" s="196"/>
      <c r="RMV56" s="196"/>
      <c r="RMW56" s="196"/>
      <c r="RMX56" s="196"/>
      <c r="RMY56" s="196"/>
      <c r="RMZ56" s="196"/>
      <c r="RNA56" s="196"/>
      <c r="RNB56" s="196"/>
      <c r="RNC56" s="196"/>
      <c r="RND56" s="196"/>
      <c r="RNE56" s="196"/>
      <c r="RNF56" s="196"/>
      <c r="RNG56" s="196"/>
      <c r="RNH56" s="196"/>
      <c r="RNI56" s="196"/>
      <c r="RNJ56" s="196"/>
      <c r="RNK56" s="196"/>
      <c r="RNL56" s="196"/>
      <c r="RNM56" s="196"/>
      <c r="RNN56" s="196"/>
      <c r="RNO56" s="196"/>
      <c r="RNP56" s="196"/>
      <c r="RNQ56" s="196"/>
      <c r="RNR56" s="196"/>
      <c r="RNS56" s="196"/>
      <c r="RNT56" s="196"/>
      <c r="RNU56" s="196"/>
      <c r="RNV56" s="196"/>
      <c r="RNW56" s="196"/>
      <c r="RNX56" s="196"/>
      <c r="RNY56" s="196"/>
      <c r="RNZ56" s="196"/>
      <c r="ROA56" s="196"/>
      <c r="ROB56" s="196"/>
      <c r="ROC56" s="196"/>
      <c r="ROD56" s="196"/>
      <c r="ROE56" s="196"/>
      <c r="ROF56" s="196"/>
      <c r="ROG56" s="196"/>
      <c r="ROH56" s="196"/>
      <c r="ROI56" s="196"/>
      <c r="ROJ56" s="196"/>
      <c r="ROK56" s="196"/>
      <c r="ROL56" s="196"/>
      <c r="ROM56" s="196"/>
      <c r="RON56" s="196"/>
      <c r="ROO56" s="196"/>
      <c r="ROP56" s="196"/>
      <c r="ROQ56" s="196"/>
      <c r="ROR56" s="196"/>
      <c r="ROS56" s="196"/>
      <c r="ROT56" s="196"/>
      <c r="ROU56" s="196"/>
      <c r="ROV56" s="196"/>
      <c r="ROW56" s="196"/>
      <c r="ROX56" s="196"/>
      <c r="ROY56" s="196"/>
      <c r="ROZ56" s="196"/>
      <c r="RPA56" s="196"/>
      <c r="RPB56" s="196"/>
      <c r="RPC56" s="196"/>
      <c r="RPD56" s="196"/>
      <c r="RPE56" s="196"/>
      <c r="RPF56" s="196"/>
      <c r="RPG56" s="196"/>
      <c r="RPH56" s="196"/>
      <c r="RPI56" s="196"/>
      <c r="RPJ56" s="196"/>
      <c r="RPK56" s="196"/>
      <c r="RPL56" s="196"/>
      <c r="RPM56" s="196"/>
      <c r="RPN56" s="196"/>
      <c r="RPO56" s="196"/>
      <c r="RPP56" s="196"/>
      <c r="RPQ56" s="196"/>
      <c r="RPR56" s="196"/>
      <c r="RPS56" s="196"/>
      <c r="RPT56" s="196"/>
      <c r="RPU56" s="196"/>
      <c r="RPV56" s="196"/>
      <c r="RPW56" s="196"/>
      <c r="RPX56" s="196"/>
      <c r="RPY56" s="196"/>
      <c r="RPZ56" s="196"/>
      <c r="RQA56" s="196"/>
      <c r="RQB56" s="196"/>
      <c r="RQC56" s="196"/>
      <c r="RQD56" s="196"/>
      <c r="RQE56" s="196"/>
      <c r="RQF56" s="196"/>
      <c r="RQG56" s="196"/>
      <c r="RQH56" s="196"/>
      <c r="RQI56" s="196"/>
      <c r="RQJ56" s="196"/>
      <c r="RQK56" s="196"/>
      <c r="RQL56" s="196"/>
      <c r="RQM56" s="196"/>
      <c r="RQN56" s="196"/>
      <c r="RQO56" s="196"/>
      <c r="RQP56" s="196"/>
      <c r="RQQ56" s="196"/>
      <c r="RQR56" s="196"/>
      <c r="RQS56" s="196"/>
      <c r="RQT56" s="196"/>
      <c r="RQU56" s="196"/>
      <c r="RQV56" s="196"/>
      <c r="RQW56" s="196"/>
      <c r="RQX56" s="196"/>
      <c r="RQY56" s="196"/>
      <c r="RQZ56" s="196"/>
      <c r="RRA56" s="196"/>
      <c r="RRB56" s="196"/>
      <c r="RRC56" s="196"/>
      <c r="RRD56" s="196"/>
      <c r="RRE56" s="196"/>
      <c r="RRF56" s="196"/>
      <c r="RRG56" s="196"/>
      <c r="RRH56" s="196"/>
      <c r="RRI56" s="196"/>
      <c r="RRJ56" s="196"/>
      <c r="RRK56" s="196"/>
      <c r="RRL56" s="196"/>
      <c r="RRM56" s="196"/>
      <c r="RRN56" s="196"/>
      <c r="RRO56" s="196"/>
      <c r="RRP56" s="196"/>
      <c r="RRQ56" s="196"/>
      <c r="RRR56" s="196"/>
      <c r="RRS56" s="196"/>
      <c r="RRT56" s="196"/>
      <c r="RRU56" s="196"/>
      <c r="RRV56" s="196"/>
      <c r="RRW56" s="196"/>
      <c r="RRX56" s="196"/>
      <c r="RRY56" s="196"/>
      <c r="RRZ56" s="196"/>
      <c r="RSA56" s="196"/>
      <c r="RSB56" s="196"/>
      <c r="RSC56" s="196"/>
      <c r="RSD56" s="196"/>
      <c r="RSE56" s="196"/>
      <c r="RSF56" s="196"/>
      <c r="RSG56" s="196"/>
      <c r="RSH56" s="196"/>
      <c r="RSI56" s="196"/>
      <c r="RSJ56" s="196"/>
      <c r="RSK56" s="196"/>
      <c r="RSL56" s="196"/>
      <c r="RSM56" s="196"/>
      <c r="RSN56" s="196"/>
      <c r="RSO56" s="196"/>
      <c r="RSP56" s="196"/>
      <c r="RSQ56" s="196"/>
      <c r="RSR56" s="196"/>
      <c r="RSS56" s="196"/>
      <c r="RST56" s="196"/>
      <c r="RSU56" s="196"/>
      <c r="RSV56" s="196"/>
      <c r="RSW56" s="196"/>
      <c r="RSX56" s="196"/>
      <c r="RSY56" s="196"/>
      <c r="RSZ56" s="196"/>
      <c r="RTA56" s="196"/>
      <c r="RTB56" s="196"/>
      <c r="RTC56" s="196"/>
      <c r="RTD56" s="196"/>
      <c r="RTE56" s="196"/>
      <c r="RTF56" s="196"/>
      <c r="RTG56" s="196"/>
      <c r="RTH56" s="196"/>
      <c r="RTI56" s="196"/>
      <c r="RTJ56" s="196"/>
      <c r="RTK56" s="196"/>
      <c r="RTL56" s="196"/>
      <c r="RTM56" s="196"/>
      <c r="RTN56" s="196"/>
      <c r="RTO56" s="196"/>
      <c r="RTP56" s="196"/>
      <c r="RTQ56" s="196"/>
      <c r="RTR56" s="196"/>
      <c r="RTS56" s="196"/>
      <c r="RTT56" s="196"/>
      <c r="RTU56" s="196"/>
      <c r="RTV56" s="196"/>
      <c r="RTW56" s="196"/>
      <c r="RTX56" s="196"/>
      <c r="RTY56" s="196"/>
      <c r="RTZ56" s="196"/>
      <c r="RUA56" s="196"/>
      <c r="RUB56" s="196"/>
      <c r="RUC56" s="196"/>
      <c r="RUD56" s="196"/>
      <c r="RUE56" s="196"/>
      <c r="RUF56" s="196"/>
      <c r="RUG56" s="196"/>
      <c r="RUH56" s="196"/>
      <c r="RUI56" s="196"/>
      <c r="RUJ56" s="196"/>
      <c r="RUK56" s="196"/>
      <c r="RUL56" s="196"/>
      <c r="RUM56" s="196"/>
      <c r="RUN56" s="196"/>
      <c r="RUO56" s="196"/>
      <c r="RUP56" s="196"/>
      <c r="RUQ56" s="196"/>
      <c r="RUR56" s="196"/>
      <c r="RUS56" s="196"/>
      <c r="RUT56" s="196"/>
      <c r="RUU56" s="196"/>
      <c r="RUV56" s="196"/>
      <c r="RUW56" s="196"/>
      <c r="RUX56" s="196"/>
      <c r="RUY56" s="196"/>
      <c r="RUZ56" s="196"/>
      <c r="RVA56" s="196"/>
      <c r="RVB56" s="196"/>
      <c r="RVC56" s="196"/>
      <c r="RVD56" s="196"/>
      <c r="RVE56" s="196"/>
      <c r="RVF56" s="196"/>
      <c r="RVG56" s="196"/>
      <c r="RVH56" s="196"/>
      <c r="RVI56" s="196"/>
      <c r="RVJ56" s="196"/>
      <c r="RVK56" s="196"/>
      <c r="RVL56" s="196"/>
      <c r="RVM56" s="196"/>
      <c r="RVN56" s="196"/>
      <c r="RVO56" s="196"/>
      <c r="RVP56" s="196"/>
      <c r="RVQ56" s="196"/>
      <c r="RVR56" s="196"/>
      <c r="RVS56" s="196"/>
      <c r="RVT56" s="196"/>
      <c r="RVU56" s="196"/>
      <c r="RVV56" s="196"/>
      <c r="RVW56" s="196"/>
      <c r="RVX56" s="196"/>
      <c r="RVY56" s="196"/>
      <c r="RVZ56" s="196"/>
      <c r="RWA56" s="196"/>
      <c r="RWB56" s="196"/>
      <c r="RWC56" s="196"/>
      <c r="RWD56" s="196"/>
      <c r="RWE56" s="196"/>
      <c r="RWF56" s="196"/>
      <c r="RWG56" s="196"/>
      <c r="RWH56" s="196"/>
      <c r="RWI56" s="196"/>
      <c r="RWJ56" s="196"/>
      <c r="RWK56" s="196"/>
      <c r="RWL56" s="196"/>
      <c r="RWM56" s="196"/>
      <c r="RWN56" s="196"/>
      <c r="RWO56" s="196"/>
      <c r="RWP56" s="196"/>
      <c r="RWQ56" s="196"/>
      <c r="RWR56" s="196"/>
      <c r="RWS56" s="196"/>
      <c r="RWT56" s="196"/>
      <c r="RWU56" s="196"/>
      <c r="RWV56" s="196"/>
      <c r="RWW56" s="196"/>
      <c r="RWX56" s="196"/>
      <c r="RWY56" s="196"/>
      <c r="RWZ56" s="196"/>
      <c r="RXA56" s="196"/>
      <c r="RXB56" s="196"/>
      <c r="RXC56" s="196"/>
      <c r="RXD56" s="196"/>
      <c r="RXE56" s="196"/>
      <c r="RXF56" s="196"/>
      <c r="RXG56" s="196"/>
      <c r="RXH56" s="196"/>
      <c r="RXI56" s="196"/>
      <c r="RXJ56" s="196"/>
      <c r="RXK56" s="196"/>
      <c r="RXL56" s="196"/>
      <c r="RXM56" s="196"/>
      <c r="RXN56" s="196"/>
      <c r="RXO56" s="196"/>
      <c r="RXP56" s="196"/>
      <c r="RXQ56" s="196"/>
      <c r="RXR56" s="196"/>
      <c r="RXS56" s="196"/>
      <c r="RXT56" s="196"/>
      <c r="RXU56" s="196"/>
      <c r="RXV56" s="196"/>
      <c r="RXW56" s="196"/>
      <c r="RXX56" s="196"/>
      <c r="RXY56" s="196"/>
      <c r="RXZ56" s="196"/>
      <c r="RYA56" s="196"/>
      <c r="RYB56" s="196"/>
      <c r="RYC56" s="196"/>
      <c r="RYD56" s="196"/>
      <c r="RYE56" s="196"/>
      <c r="RYF56" s="196"/>
      <c r="RYG56" s="196"/>
      <c r="RYH56" s="196"/>
      <c r="RYI56" s="196"/>
      <c r="RYJ56" s="196"/>
      <c r="RYK56" s="196"/>
      <c r="RYL56" s="196"/>
      <c r="RYM56" s="196"/>
      <c r="RYN56" s="196"/>
      <c r="RYO56" s="196"/>
      <c r="RYP56" s="196"/>
      <c r="RYQ56" s="196"/>
      <c r="RYR56" s="196"/>
      <c r="RYS56" s="196"/>
      <c r="RYT56" s="196"/>
      <c r="RYU56" s="196"/>
      <c r="RYV56" s="196"/>
      <c r="RYW56" s="196"/>
      <c r="RYX56" s="196"/>
      <c r="RYY56" s="196"/>
      <c r="RYZ56" s="196"/>
      <c r="RZA56" s="196"/>
      <c r="RZB56" s="196"/>
      <c r="RZC56" s="196"/>
      <c r="RZD56" s="196"/>
      <c r="RZE56" s="196"/>
      <c r="RZF56" s="196"/>
      <c r="RZG56" s="196"/>
      <c r="RZH56" s="196"/>
      <c r="RZI56" s="196"/>
      <c r="RZJ56" s="196"/>
      <c r="RZK56" s="196"/>
      <c r="RZL56" s="196"/>
      <c r="RZM56" s="196"/>
      <c r="RZN56" s="196"/>
      <c r="RZO56" s="196"/>
      <c r="RZP56" s="196"/>
      <c r="RZQ56" s="196"/>
      <c r="RZR56" s="196"/>
      <c r="RZS56" s="196"/>
      <c r="RZT56" s="196"/>
      <c r="RZU56" s="196"/>
      <c r="RZV56" s="196"/>
      <c r="RZW56" s="196"/>
      <c r="RZX56" s="196"/>
      <c r="RZY56" s="196"/>
      <c r="RZZ56" s="196"/>
      <c r="SAA56" s="196"/>
      <c r="SAB56" s="196"/>
      <c r="SAC56" s="196"/>
      <c r="SAD56" s="196"/>
      <c r="SAE56" s="196"/>
      <c r="SAF56" s="196"/>
      <c r="SAG56" s="196"/>
      <c r="SAH56" s="196"/>
      <c r="SAI56" s="196"/>
      <c r="SAJ56" s="196"/>
      <c r="SAK56" s="196"/>
      <c r="SAL56" s="196"/>
      <c r="SAM56" s="196"/>
      <c r="SAN56" s="196"/>
      <c r="SAO56" s="196"/>
      <c r="SAP56" s="196"/>
      <c r="SAQ56" s="196"/>
      <c r="SAR56" s="196"/>
      <c r="SAS56" s="196"/>
      <c r="SAT56" s="196"/>
      <c r="SAU56" s="196"/>
      <c r="SAV56" s="196"/>
      <c r="SAW56" s="196"/>
      <c r="SAX56" s="196"/>
      <c r="SAY56" s="196"/>
      <c r="SAZ56" s="196"/>
      <c r="SBA56" s="196"/>
      <c r="SBB56" s="196"/>
      <c r="SBC56" s="196"/>
      <c r="SBD56" s="196"/>
      <c r="SBE56" s="196"/>
      <c r="SBF56" s="196"/>
      <c r="SBG56" s="196"/>
      <c r="SBH56" s="196"/>
      <c r="SBI56" s="196"/>
      <c r="SBJ56" s="196"/>
      <c r="SBK56" s="196"/>
      <c r="SBL56" s="196"/>
      <c r="SBM56" s="196"/>
      <c r="SBN56" s="196"/>
      <c r="SBO56" s="196"/>
      <c r="SBP56" s="196"/>
      <c r="SBQ56" s="196"/>
      <c r="SBR56" s="196"/>
      <c r="SBS56" s="196"/>
      <c r="SBT56" s="196"/>
      <c r="SBU56" s="196"/>
      <c r="SBV56" s="196"/>
      <c r="SBW56" s="196"/>
      <c r="SBX56" s="196"/>
      <c r="SBY56" s="196"/>
      <c r="SBZ56" s="196"/>
      <c r="SCA56" s="196"/>
      <c r="SCB56" s="196"/>
      <c r="SCC56" s="196"/>
      <c r="SCD56" s="196"/>
      <c r="SCE56" s="196"/>
      <c r="SCF56" s="196"/>
      <c r="SCG56" s="196"/>
      <c r="SCH56" s="196"/>
      <c r="SCI56" s="196"/>
      <c r="SCJ56" s="196"/>
      <c r="SCK56" s="196"/>
      <c r="SCL56" s="196"/>
      <c r="SCM56" s="196"/>
      <c r="SCN56" s="196"/>
      <c r="SCO56" s="196"/>
      <c r="SCP56" s="196"/>
      <c r="SCQ56" s="196"/>
      <c r="SCR56" s="196"/>
      <c r="SCS56" s="196"/>
      <c r="SCT56" s="196"/>
      <c r="SCU56" s="196"/>
      <c r="SCV56" s="196"/>
      <c r="SCW56" s="196"/>
      <c r="SCX56" s="196"/>
      <c r="SCY56" s="196"/>
      <c r="SCZ56" s="196"/>
      <c r="SDA56" s="196"/>
      <c r="SDB56" s="196"/>
      <c r="SDC56" s="196"/>
      <c r="SDD56" s="196"/>
      <c r="SDE56" s="196"/>
      <c r="SDF56" s="196"/>
      <c r="SDG56" s="196"/>
      <c r="SDH56" s="196"/>
      <c r="SDI56" s="196"/>
      <c r="SDJ56" s="196"/>
      <c r="SDK56" s="196"/>
      <c r="SDL56" s="196"/>
      <c r="SDM56" s="196"/>
      <c r="SDN56" s="196"/>
      <c r="SDO56" s="196"/>
      <c r="SDP56" s="196"/>
      <c r="SDQ56" s="196"/>
      <c r="SDR56" s="196"/>
      <c r="SDS56" s="196"/>
      <c r="SDT56" s="196"/>
      <c r="SDU56" s="196"/>
      <c r="SDV56" s="196"/>
      <c r="SDW56" s="196"/>
      <c r="SDX56" s="196"/>
      <c r="SDY56" s="196"/>
      <c r="SDZ56" s="196"/>
      <c r="SEA56" s="196"/>
      <c r="SEB56" s="196"/>
      <c r="SEC56" s="196"/>
      <c r="SED56" s="196"/>
      <c r="SEE56" s="196"/>
      <c r="SEF56" s="196"/>
      <c r="SEG56" s="196"/>
      <c r="SEH56" s="196"/>
      <c r="SEI56" s="196"/>
      <c r="SEJ56" s="196"/>
      <c r="SEK56" s="196"/>
      <c r="SEL56" s="196"/>
      <c r="SEM56" s="196"/>
      <c r="SEN56" s="196"/>
      <c r="SEO56" s="196"/>
      <c r="SEP56" s="196"/>
      <c r="SEQ56" s="196"/>
      <c r="SER56" s="196"/>
      <c r="SES56" s="196"/>
      <c r="SET56" s="196"/>
      <c r="SEU56" s="196"/>
      <c r="SEV56" s="196"/>
      <c r="SEW56" s="196"/>
      <c r="SEX56" s="196"/>
      <c r="SEY56" s="196"/>
      <c r="SEZ56" s="196"/>
      <c r="SFA56" s="196"/>
      <c r="SFB56" s="196"/>
      <c r="SFC56" s="196"/>
      <c r="SFD56" s="196"/>
      <c r="SFE56" s="196"/>
      <c r="SFF56" s="196"/>
      <c r="SFG56" s="196"/>
      <c r="SFH56" s="196"/>
      <c r="SFI56" s="196"/>
      <c r="SFJ56" s="196"/>
      <c r="SFK56" s="196"/>
      <c r="SFL56" s="196"/>
      <c r="SFM56" s="196"/>
      <c r="SFN56" s="196"/>
      <c r="SFO56" s="196"/>
      <c r="SFP56" s="196"/>
      <c r="SFQ56" s="196"/>
      <c r="SFR56" s="196"/>
      <c r="SFS56" s="196"/>
      <c r="SFT56" s="196"/>
      <c r="SFU56" s="196"/>
      <c r="SFV56" s="196"/>
      <c r="SFW56" s="196"/>
      <c r="SFX56" s="196"/>
      <c r="SFY56" s="196"/>
      <c r="SFZ56" s="196"/>
      <c r="SGA56" s="196"/>
      <c r="SGB56" s="196"/>
      <c r="SGC56" s="196"/>
      <c r="SGD56" s="196"/>
      <c r="SGE56" s="196"/>
      <c r="SGF56" s="196"/>
      <c r="SGG56" s="196"/>
      <c r="SGH56" s="196"/>
      <c r="SGI56" s="196"/>
      <c r="SGJ56" s="196"/>
      <c r="SGK56" s="196"/>
      <c r="SGL56" s="196"/>
      <c r="SGM56" s="196"/>
      <c r="SGN56" s="196"/>
      <c r="SGO56" s="196"/>
      <c r="SGP56" s="196"/>
      <c r="SGQ56" s="196"/>
      <c r="SGR56" s="196"/>
      <c r="SGS56" s="196"/>
      <c r="SGT56" s="196"/>
      <c r="SGU56" s="196"/>
      <c r="SGV56" s="196"/>
      <c r="SGW56" s="196"/>
      <c r="SGX56" s="196"/>
      <c r="SGY56" s="196"/>
      <c r="SGZ56" s="196"/>
      <c r="SHA56" s="196"/>
      <c r="SHB56" s="196"/>
      <c r="SHC56" s="196"/>
      <c r="SHD56" s="196"/>
      <c r="SHE56" s="196"/>
      <c r="SHF56" s="196"/>
      <c r="SHG56" s="196"/>
      <c r="SHH56" s="196"/>
      <c r="SHI56" s="196"/>
      <c r="SHJ56" s="196"/>
      <c r="SHK56" s="196"/>
      <c r="SHL56" s="196"/>
      <c r="SHM56" s="196"/>
      <c r="SHN56" s="196"/>
      <c r="SHO56" s="196"/>
      <c r="SHP56" s="196"/>
      <c r="SHQ56" s="196"/>
      <c r="SHR56" s="196"/>
      <c r="SHS56" s="196"/>
      <c r="SHT56" s="196"/>
      <c r="SHU56" s="196"/>
      <c r="SHV56" s="196"/>
      <c r="SHW56" s="196"/>
      <c r="SHX56" s="196"/>
      <c r="SHY56" s="196"/>
      <c r="SHZ56" s="196"/>
      <c r="SIA56" s="196"/>
      <c r="SIB56" s="196"/>
      <c r="SIC56" s="196"/>
      <c r="SID56" s="196"/>
      <c r="SIE56" s="196"/>
      <c r="SIF56" s="196"/>
      <c r="SIG56" s="196"/>
      <c r="SIH56" s="196"/>
      <c r="SII56" s="196"/>
      <c r="SIJ56" s="196"/>
      <c r="SIK56" s="196"/>
      <c r="SIL56" s="196"/>
      <c r="SIM56" s="196"/>
      <c r="SIN56" s="196"/>
      <c r="SIO56" s="196"/>
      <c r="SIP56" s="196"/>
      <c r="SIQ56" s="196"/>
      <c r="SIR56" s="196"/>
      <c r="SIS56" s="196"/>
      <c r="SIT56" s="196"/>
      <c r="SIU56" s="196"/>
      <c r="SIV56" s="196"/>
      <c r="SIW56" s="196"/>
      <c r="SIX56" s="196"/>
      <c r="SIY56" s="196"/>
      <c r="SIZ56" s="196"/>
      <c r="SJA56" s="196"/>
      <c r="SJB56" s="196"/>
      <c r="SJC56" s="196"/>
      <c r="SJD56" s="196"/>
      <c r="SJE56" s="196"/>
      <c r="SJF56" s="196"/>
      <c r="SJG56" s="196"/>
      <c r="SJH56" s="196"/>
      <c r="SJI56" s="196"/>
      <c r="SJJ56" s="196"/>
      <c r="SJK56" s="196"/>
      <c r="SJL56" s="196"/>
      <c r="SJM56" s="196"/>
      <c r="SJN56" s="196"/>
      <c r="SJO56" s="196"/>
      <c r="SJP56" s="196"/>
      <c r="SJQ56" s="196"/>
      <c r="SJR56" s="196"/>
      <c r="SJS56" s="196"/>
      <c r="SJT56" s="196"/>
      <c r="SJU56" s="196"/>
      <c r="SJV56" s="196"/>
      <c r="SJW56" s="196"/>
      <c r="SJX56" s="196"/>
      <c r="SJY56" s="196"/>
      <c r="SJZ56" s="196"/>
      <c r="SKA56" s="196"/>
      <c r="SKB56" s="196"/>
      <c r="SKC56" s="196"/>
      <c r="SKD56" s="196"/>
      <c r="SKE56" s="196"/>
      <c r="SKF56" s="196"/>
      <c r="SKG56" s="196"/>
      <c r="SKH56" s="196"/>
      <c r="SKI56" s="196"/>
      <c r="SKJ56" s="196"/>
      <c r="SKK56" s="196"/>
      <c r="SKL56" s="196"/>
      <c r="SKM56" s="196"/>
      <c r="SKN56" s="196"/>
      <c r="SKO56" s="196"/>
      <c r="SKP56" s="196"/>
      <c r="SKQ56" s="196"/>
      <c r="SKR56" s="196"/>
      <c r="SKS56" s="196"/>
      <c r="SKT56" s="196"/>
      <c r="SKU56" s="196"/>
      <c r="SKV56" s="196"/>
      <c r="SKW56" s="196"/>
      <c r="SKX56" s="196"/>
      <c r="SKY56" s="196"/>
      <c r="SKZ56" s="196"/>
      <c r="SLA56" s="196"/>
      <c r="SLB56" s="196"/>
      <c r="SLC56" s="196"/>
      <c r="SLD56" s="196"/>
      <c r="SLE56" s="196"/>
      <c r="SLF56" s="196"/>
      <c r="SLG56" s="196"/>
      <c r="SLH56" s="196"/>
      <c r="SLI56" s="196"/>
      <c r="SLJ56" s="196"/>
      <c r="SLK56" s="196"/>
      <c r="SLL56" s="196"/>
      <c r="SLM56" s="196"/>
      <c r="SLN56" s="196"/>
      <c r="SLO56" s="196"/>
      <c r="SLP56" s="196"/>
      <c r="SLQ56" s="196"/>
      <c r="SLR56" s="196"/>
      <c r="SLS56" s="196"/>
      <c r="SLT56" s="196"/>
      <c r="SLU56" s="196"/>
      <c r="SLV56" s="196"/>
      <c r="SLW56" s="196"/>
      <c r="SLX56" s="196"/>
      <c r="SLY56" s="196"/>
      <c r="SLZ56" s="196"/>
      <c r="SMA56" s="196"/>
      <c r="SMB56" s="196"/>
      <c r="SMC56" s="196"/>
      <c r="SMD56" s="196"/>
      <c r="SME56" s="196"/>
      <c r="SMF56" s="196"/>
      <c r="SMG56" s="196"/>
      <c r="SMH56" s="196"/>
      <c r="SMI56" s="196"/>
      <c r="SMJ56" s="196"/>
      <c r="SMK56" s="196"/>
      <c r="SML56" s="196"/>
      <c r="SMM56" s="196"/>
      <c r="SMN56" s="196"/>
      <c r="SMO56" s="196"/>
      <c r="SMP56" s="196"/>
      <c r="SMQ56" s="196"/>
      <c r="SMR56" s="196"/>
      <c r="SMS56" s="196"/>
      <c r="SMT56" s="196"/>
      <c r="SMU56" s="196"/>
      <c r="SMV56" s="196"/>
      <c r="SMW56" s="196"/>
      <c r="SMX56" s="196"/>
      <c r="SMY56" s="196"/>
      <c r="SMZ56" s="196"/>
      <c r="SNA56" s="196"/>
      <c r="SNB56" s="196"/>
      <c r="SNC56" s="196"/>
      <c r="SND56" s="196"/>
      <c r="SNE56" s="196"/>
      <c r="SNF56" s="196"/>
      <c r="SNG56" s="196"/>
      <c r="SNH56" s="196"/>
      <c r="SNI56" s="196"/>
      <c r="SNJ56" s="196"/>
      <c r="SNK56" s="196"/>
      <c r="SNL56" s="196"/>
      <c r="SNM56" s="196"/>
      <c r="SNN56" s="196"/>
      <c r="SNO56" s="196"/>
      <c r="SNP56" s="196"/>
      <c r="SNQ56" s="196"/>
      <c r="SNR56" s="196"/>
      <c r="SNS56" s="196"/>
      <c r="SNT56" s="196"/>
      <c r="SNU56" s="196"/>
      <c r="SNV56" s="196"/>
      <c r="SNW56" s="196"/>
      <c r="SNX56" s="196"/>
      <c r="SNY56" s="196"/>
      <c r="SNZ56" s="196"/>
      <c r="SOA56" s="196"/>
      <c r="SOB56" s="196"/>
      <c r="SOC56" s="196"/>
      <c r="SOD56" s="196"/>
      <c r="SOE56" s="196"/>
      <c r="SOF56" s="196"/>
      <c r="SOG56" s="196"/>
      <c r="SOH56" s="196"/>
      <c r="SOI56" s="196"/>
      <c r="SOJ56" s="196"/>
      <c r="SOK56" s="196"/>
      <c r="SOL56" s="196"/>
      <c r="SOM56" s="196"/>
      <c r="SON56" s="196"/>
      <c r="SOO56" s="196"/>
      <c r="SOP56" s="196"/>
      <c r="SOQ56" s="196"/>
      <c r="SOR56" s="196"/>
      <c r="SOS56" s="196"/>
      <c r="SOT56" s="196"/>
      <c r="SOU56" s="196"/>
      <c r="SOV56" s="196"/>
      <c r="SOW56" s="196"/>
      <c r="SOX56" s="196"/>
      <c r="SOY56" s="196"/>
      <c r="SOZ56" s="196"/>
      <c r="SPA56" s="196"/>
      <c r="SPB56" s="196"/>
      <c r="SPC56" s="196"/>
      <c r="SPD56" s="196"/>
      <c r="SPE56" s="196"/>
      <c r="SPF56" s="196"/>
      <c r="SPG56" s="196"/>
      <c r="SPH56" s="196"/>
      <c r="SPI56" s="196"/>
      <c r="SPJ56" s="196"/>
      <c r="SPK56" s="196"/>
      <c r="SPL56" s="196"/>
      <c r="SPM56" s="196"/>
      <c r="SPN56" s="196"/>
      <c r="SPO56" s="196"/>
      <c r="SPP56" s="196"/>
      <c r="SPQ56" s="196"/>
      <c r="SPR56" s="196"/>
      <c r="SPS56" s="196"/>
      <c r="SPT56" s="196"/>
      <c r="SPU56" s="196"/>
      <c r="SPV56" s="196"/>
      <c r="SPW56" s="196"/>
      <c r="SPX56" s="196"/>
      <c r="SPY56" s="196"/>
      <c r="SPZ56" s="196"/>
      <c r="SQA56" s="196"/>
      <c r="SQB56" s="196"/>
      <c r="SQC56" s="196"/>
      <c r="SQD56" s="196"/>
      <c r="SQE56" s="196"/>
      <c r="SQF56" s="196"/>
      <c r="SQG56" s="196"/>
      <c r="SQH56" s="196"/>
      <c r="SQI56" s="196"/>
      <c r="SQJ56" s="196"/>
      <c r="SQK56" s="196"/>
      <c r="SQL56" s="196"/>
      <c r="SQM56" s="196"/>
      <c r="SQN56" s="196"/>
      <c r="SQO56" s="196"/>
      <c r="SQP56" s="196"/>
      <c r="SQQ56" s="196"/>
      <c r="SQR56" s="196"/>
      <c r="SQS56" s="196"/>
      <c r="SQT56" s="196"/>
      <c r="SQU56" s="196"/>
      <c r="SQV56" s="196"/>
      <c r="SQW56" s="196"/>
      <c r="SQX56" s="196"/>
      <c r="SQY56" s="196"/>
      <c r="SQZ56" s="196"/>
      <c r="SRA56" s="196"/>
      <c r="SRB56" s="196"/>
      <c r="SRC56" s="196"/>
      <c r="SRD56" s="196"/>
      <c r="SRE56" s="196"/>
      <c r="SRF56" s="196"/>
      <c r="SRG56" s="196"/>
      <c r="SRH56" s="196"/>
      <c r="SRI56" s="196"/>
      <c r="SRJ56" s="196"/>
      <c r="SRK56" s="196"/>
      <c r="SRL56" s="196"/>
      <c r="SRM56" s="196"/>
      <c r="SRN56" s="196"/>
      <c r="SRO56" s="196"/>
      <c r="SRP56" s="196"/>
      <c r="SRQ56" s="196"/>
      <c r="SRR56" s="196"/>
      <c r="SRS56" s="196"/>
      <c r="SRT56" s="196"/>
      <c r="SRU56" s="196"/>
      <c r="SRV56" s="196"/>
      <c r="SRW56" s="196"/>
      <c r="SRX56" s="196"/>
      <c r="SRY56" s="196"/>
      <c r="SRZ56" s="196"/>
      <c r="SSA56" s="196"/>
      <c r="SSB56" s="196"/>
      <c r="SSC56" s="196"/>
      <c r="SSD56" s="196"/>
      <c r="SSE56" s="196"/>
      <c r="SSF56" s="196"/>
      <c r="SSG56" s="196"/>
      <c r="SSH56" s="196"/>
      <c r="SSI56" s="196"/>
      <c r="SSJ56" s="196"/>
      <c r="SSK56" s="196"/>
      <c r="SSL56" s="196"/>
      <c r="SSM56" s="196"/>
      <c r="SSN56" s="196"/>
      <c r="SSO56" s="196"/>
      <c r="SSP56" s="196"/>
      <c r="SSQ56" s="196"/>
      <c r="SSR56" s="196"/>
      <c r="SSS56" s="196"/>
      <c r="SST56" s="196"/>
      <c r="SSU56" s="196"/>
      <c r="SSV56" s="196"/>
      <c r="SSW56" s="196"/>
      <c r="SSX56" s="196"/>
      <c r="SSY56" s="196"/>
      <c r="SSZ56" s="196"/>
      <c r="STA56" s="196"/>
      <c r="STB56" s="196"/>
      <c r="STC56" s="196"/>
      <c r="STD56" s="196"/>
      <c r="STE56" s="196"/>
      <c r="STF56" s="196"/>
      <c r="STG56" s="196"/>
      <c r="STH56" s="196"/>
      <c r="STI56" s="196"/>
      <c r="STJ56" s="196"/>
      <c r="STK56" s="196"/>
      <c r="STL56" s="196"/>
      <c r="STM56" s="196"/>
      <c r="STN56" s="196"/>
      <c r="STO56" s="196"/>
      <c r="STP56" s="196"/>
      <c r="STQ56" s="196"/>
      <c r="STR56" s="196"/>
      <c r="STS56" s="196"/>
      <c r="STT56" s="196"/>
      <c r="STU56" s="196"/>
      <c r="STV56" s="196"/>
      <c r="STW56" s="196"/>
      <c r="STX56" s="196"/>
      <c r="STY56" s="196"/>
      <c r="STZ56" s="196"/>
      <c r="SUA56" s="196"/>
      <c r="SUB56" s="196"/>
      <c r="SUC56" s="196"/>
      <c r="SUD56" s="196"/>
      <c r="SUE56" s="196"/>
      <c r="SUF56" s="196"/>
      <c r="SUG56" s="196"/>
      <c r="SUH56" s="196"/>
      <c r="SUI56" s="196"/>
      <c r="SUJ56" s="196"/>
      <c r="SUK56" s="196"/>
      <c r="SUL56" s="196"/>
      <c r="SUM56" s="196"/>
      <c r="SUN56" s="196"/>
      <c r="SUO56" s="196"/>
      <c r="SUP56" s="196"/>
      <c r="SUQ56" s="196"/>
      <c r="SUR56" s="196"/>
      <c r="SUS56" s="196"/>
      <c r="SUT56" s="196"/>
      <c r="SUU56" s="196"/>
      <c r="SUV56" s="196"/>
      <c r="SUW56" s="196"/>
      <c r="SUX56" s="196"/>
      <c r="SUY56" s="196"/>
      <c r="SUZ56" s="196"/>
      <c r="SVA56" s="196"/>
      <c r="SVB56" s="196"/>
      <c r="SVC56" s="196"/>
      <c r="SVD56" s="196"/>
      <c r="SVE56" s="196"/>
      <c r="SVF56" s="196"/>
      <c r="SVG56" s="196"/>
      <c r="SVH56" s="196"/>
      <c r="SVI56" s="196"/>
      <c r="SVJ56" s="196"/>
      <c r="SVK56" s="196"/>
      <c r="SVL56" s="196"/>
      <c r="SVM56" s="196"/>
      <c r="SVN56" s="196"/>
      <c r="SVO56" s="196"/>
      <c r="SVP56" s="196"/>
      <c r="SVQ56" s="196"/>
      <c r="SVR56" s="196"/>
      <c r="SVS56" s="196"/>
      <c r="SVT56" s="196"/>
      <c r="SVU56" s="196"/>
      <c r="SVV56" s="196"/>
      <c r="SVW56" s="196"/>
      <c r="SVX56" s="196"/>
      <c r="SVY56" s="196"/>
      <c r="SVZ56" s="196"/>
      <c r="SWA56" s="196"/>
      <c r="SWB56" s="196"/>
      <c r="SWC56" s="196"/>
      <c r="SWD56" s="196"/>
      <c r="SWE56" s="196"/>
      <c r="SWF56" s="196"/>
      <c r="SWG56" s="196"/>
      <c r="SWH56" s="196"/>
      <c r="SWI56" s="196"/>
      <c r="SWJ56" s="196"/>
      <c r="SWK56" s="196"/>
      <c r="SWL56" s="196"/>
      <c r="SWM56" s="196"/>
      <c r="SWN56" s="196"/>
      <c r="SWO56" s="196"/>
      <c r="SWP56" s="196"/>
      <c r="SWQ56" s="196"/>
      <c r="SWR56" s="196"/>
      <c r="SWS56" s="196"/>
      <c r="SWT56" s="196"/>
      <c r="SWU56" s="196"/>
      <c r="SWV56" s="196"/>
      <c r="SWW56" s="196"/>
      <c r="SWX56" s="196"/>
      <c r="SWY56" s="196"/>
      <c r="SWZ56" s="196"/>
      <c r="SXA56" s="196"/>
      <c r="SXB56" s="196"/>
      <c r="SXC56" s="196"/>
      <c r="SXD56" s="196"/>
      <c r="SXE56" s="196"/>
      <c r="SXF56" s="196"/>
      <c r="SXG56" s="196"/>
      <c r="SXH56" s="196"/>
      <c r="SXI56" s="196"/>
      <c r="SXJ56" s="196"/>
      <c r="SXK56" s="196"/>
      <c r="SXL56" s="196"/>
      <c r="SXM56" s="196"/>
      <c r="SXN56" s="196"/>
      <c r="SXO56" s="196"/>
      <c r="SXP56" s="196"/>
      <c r="SXQ56" s="196"/>
      <c r="SXR56" s="196"/>
      <c r="SXS56" s="196"/>
      <c r="SXT56" s="196"/>
      <c r="SXU56" s="196"/>
      <c r="SXV56" s="196"/>
      <c r="SXW56" s="196"/>
      <c r="SXX56" s="196"/>
      <c r="SXY56" s="196"/>
      <c r="SXZ56" s="196"/>
      <c r="SYA56" s="196"/>
      <c r="SYB56" s="196"/>
      <c r="SYC56" s="196"/>
      <c r="SYD56" s="196"/>
      <c r="SYE56" s="196"/>
      <c r="SYF56" s="196"/>
      <c r="SYG56" s="196"/>
      <c r="SYH56" s="196"/>
      <c r="SYI56" s="196"/>
      <c r="SYJ56" s="196"/>
      <c r="SYK56" s="196"/>
      <c r="SYL56" s="196"/>
      <c r="SYM56" s="196"/>
      <c r="SYN56" s="196"/>
      <c r="SYO56" s="196"/>
      <c r="SYP56" s="196"/>
      <c r="SYQ56" s="196"/>
      <c r="SYR56" s="196"/>
      <c r="SYS56" s="196"/>
      <c r="SYT56" s="196"/>
      <c r="SYU56" s="196"/>
      <c r="SYV56" s="196"/>
      <c r="SYW56" s="196"/>
      <c r="SYX56" s="196"/>
      <c r="SYY56" s="196"/>
      <c r="SYZ56" s="196"/>
      <c r="SZA56" s="196"/>
      <c r="SZB56" s="196"/>
      <c r="SZC56" s="196"/>
      <c r="SZD56" s="196"/>
      <c r="SZE56" s="196"/>
      <c r="SZF56" s="196"/>
      <c r="SZG56" s="196"/>
      <c r="SZH56" s="196"/>
      <c r="SZI56" s="196"/>
      <c r="SZJ56" s="196"/>
      <c r="SZK56" s="196"/>
      <c r="SZL56" s="196"/>
      <c r="SZM56" s="196"/>
      <c r="SZN56" s="196"/>
      <c r="SZO56" s="196"/>
      <c r="SZP56" s="196"/>
      <c r="SZQ56" s="196"/>
      <c r="SZR56" s="196"/>
      <c r="SZS56" s="196"/>
      <c r="SZT56" s="196"/>
      <c r="SZU56" s="196"/>
      <c r="SZV56" s="196"/>
      <c r="SZW56" s="196"/>
      <c r="SZX56" s="196"/>
      <c r="SZY56" s="196"/>
      <c r="SZZ56" s="196"/>
      <c r="TAA56" s="196"/>
      <c r="TAB56" s="196"/>
      <c r="TAC56" s="196"/>
      <c r="TAD56" s="196"/>
      <c r="TAE56" s="196"/>
      <c r="TAF56" s="196"/>
      <c r="TAG56" s="196"/>
      <c r="TAH56" s="196"/>
      <c r="TAI56" s="196"/>
      <c r="TAJ56" s="196"/>
      <c r="TAK56" s="196"/>
      <c r="TAL56" s="196"/>
      <c r="TAM56" s="196"/>
      <c r="TAN56" s="196"/>
      <c r="TAO56" s="196"/>
      <c r="TAP56" s="196"/>
      <c r="TAQ56" s="196"/>
      <c r="TAR56" s="196"/>
      <c r="TAS56" s="196"/>
      <c r="TAT56" s="196"/>
      <c r="TAU56" s="196"/>
      <c r="TAV56" s="196"/>
      <c r="TAW56" s="196"/>
      <c r="TAX56" s="196"/>
      <c r="TAY56" s="196"/>
      <c r="TAZ56" s="196"/>
      <c r="TBA56" s="196"/>
      <c r="TBB56" s="196"/>
      <c r="TBC56" s="196"/>
      <c r="TBD56" s="196"/>
      <c r="TBE56" s="196"/>
      <c r="TBF56" s="196"/>
      <c r="TBG56" s="196"/>
      <c r="TBH56" s="196"/>
      <c r="TBI56" s="196"/>
      <c r="TBJ56" s="196"/>
      <c r="TBK56" s="196"/>
      <c r="TBL56" s="196"/>
      <c r="TBM56" s="196"/>
      <c r="TBN56" s="196"/>
      <c r="TBO56" s="196"/>
      <c r="TBP56" s="196"/>
      <c r="TBQ56" s="196"/>
      <c r="TBR56" s="196"/>
      <c r="TBS56" s="196"/>
      <c r="TBT56" s="196"/>
      <c r="TBU56" s="196"/>
      <c r="TBV56" s="196"/>
      <c r="TBW56" s="196"/>
      <c r="TBX56" s="196"/>
      <c r="TBY56" s="196"/>
      <c r="TBZ56" s="196"/>
      <c r="TCA56" s="196"/>
      <c r="TCB56" s="196"/>
      <c r="TCC56" s="196"/>
      <c r="TCD56" s="196"/>
      <c r="TCE56" s="196"/>
      <c r="TCF56" s="196"/>
      <c r="TCG56" s="196"/>
      <c r="TCH56" s="196"/>
      <c r="TCI56" s="196"/>
      <c r="TCJ56" s="196"/>
      <c r="TCK56" s="196"/>
      <c r="TCL56" s="196"/>
      <c r="TCM56" s="196"/>
      <c r="TCN56" s="196"/>
      <c r="TCO56" s="196"/>
      <c r="TCP56" s="196"/>
      <c r="TCQ56" s="196"/>
      <c r="TCR56" s="196"/>
      <c r="TCS56" s="196"/>
      <c r="TCT56" s="196"/>
      <c r="TCU56" s="196"/>
      <c r="TCV56" s="196"/>
      <c r="TCW56" s="196"/>
      <c r="TCX56" s="196"/>
      <c r="TCY56" s="196"/>
      <c r="TCZ56" s="196"/>
      <c r="TDA56" s="196"/>
      <c r="TDB56" s="196"/>
      <c r="TDC56" s="196"/>
      <c r="TDD56" s="196"/>
      <c r="TDE56" s="196"/>
      <c r="TDF56" s="196"/>
      <c r="TDG56" s="196"/>
      <c r="TDH56" s="196"/>
      <c r="TDI56" s="196"/>
      <c r="TDJ56" s="196"/>
      <c r="TDK56" s="196"/>
      <c r="TDL56" s="196"/>
      <c r="TDM56" s="196"/>
      <c r="TDN56" s="196"/>
      <c r="TDO56" s="196"/>
      <c r="TDP56" s="196"/>
      <c r="TDQ56" s="196"/>
      <c r="TDR56" s="196"/>
      <c r="TDS56" s="196"/>
      <c r="TDT56" s="196"/>
      <c r="TDU56" s="196"/>
      <c r="TDV56" s="196"/>
      <c r="TDW56" s="196"/>
      <c r="TDX56" s="196"/>
      <c r="TDY56" s="196"/>
      <c r="TDZ56" s="196"/>
      <c r="TEA56" s="196"/>
      <c r="TEB56" s="196"/>
      <c r="TEC56" s="196"/>
      <c r="TED56" s="196"/>
      <c r="TEE56" s="196"/>
      <c r="TEF56" s="196"/>
      <c r="TEG56" s="196"/>
      <c r="TEH56" s="196"/>
      <c r="TEI56" s="196"/>
      <c r="TEJ56" s="196"/>
      <c r="TEK56" s="196"/>
      <c r="TEL56" s="196"/>
      <c r="TEM56" s="196"/>
      <c r="TEN56" s="196"/>
      <c r="TEO56" s="196"/>
      <c r="TEP56" s="196"/>
      <c r="TEQ56" s="196"/>
      <c r="TER56" s="196"/>
      <c r="TES56" s="196"/>
      <c r="TET56" s="196"/>
      <c r="TEU56" s="196"/>
      <c r="TEV56" s="196"/>
      <c r="TEW56" s="196"/>
      <c r="TEX56" s="196"/>
      <c r="TEY56" s="196"/>
      <c r="TEZ56" s="196"/>
      <c r="TFA56" s="196"/>
      <c r="TFB56" s="196"/>
      <c r="TFC56" s="196"/>
      <c r="TFD56" s="196"/>
      <c r="TFE56" s="196"/>
      <c r="TFF56" s="196"/>
      <c r="TFG56" s="196"/>
      <c r="TFH56" s="196"/>
      <c r="TFI56" s="196"/>
      <c r="TFJ56" s="196"/>
      <c r="TFK56" s="196"/>
      <c r="TFL56" s="196"/>
      <c r="TFM56" s="196"/>
      <c r="TFN56" s="196"/>
      <c r="TFO56" s="196"/>
      <c r="TFP56" s="196"/>
      <c r="TFQ56" s="196"/>
      <c r="TFR56" s="196"/>
      <c r="TFS56" s="196"/>
      <c r="TFT56" s="196"/>
      <c r="TFU56" s="196"/>
      <c r="TFV56" s="196"/>
      <c r="TFW56" s="196"/>
      <c r="TFX56" s="196"/>
      <c r="TFY56" s="196"/>
      <c r="TFZ56" s="196"/>
      <c r="TGA56" s="196"/>
      <c r="TGB56" s="196"/>
      <c r="TGC56" s="196"/>
      <c r="TGD56" s="196"/>
      <c r="TGE56" s="196"/>
      <c r="TGF56" s="196"/>
      <c r="TGG56" s="196"/>
      <c r="TGH56" s="196"/>
      <c r="TGI56" s="196"/>
      <c r="TGJ56" s="196"/>
      <c r="TGK56" s="196"/>
      <c r="TGL56" s="196"/>
      <c r="TGM56" s="196"/>
      <c r="TGN56" s="196"/>
      <c r="TGO56" s="196"/>
      <c r="TGP56" s="196"/>
      <c r="TGQ56" s="196"/>
      <c r="TGR56" s="196"/>
      <c r="TGS56" s="196"/>
      <c r="TGT56" s="196"/>
      <c r="TGU56" s="196"/>
      <c r="TGV56" s="196"/>
      <c r="TGW56" s="196"/>
      <c r="TGX56" s="196"/>
      <c r="TGY56" s="196"/>
      <c r="TGZ56" s="196"/>
      <c r="THA56" s="196"/>
      <c r="THB56" s="196"/>
      <c r="THC56" s="196"/>
      <c r="THD56" s="196"/>
      <c r="THE56" s="196"/>
      <c r="THF56" s="196"/>
      <c r="THG56" s="196"/>
      <c r="THH56" s="196"/>
      <c r="THI56" s="196"/>
      <c r="THJ56" s="196"/>
      <c r="THK56" s="196"/>
      <c r="THL56" s="196"/>
      <c r="THM56" s="196"/>
      <c r="THN56" s="196"/>
      <c r="THO56" s="196"/>
      <c r="THP56" s="196"/>
      <c r="THQ56" s="196"/>
      <c r="THR56" s="196"/>
      <c r="THS56" s="196"/>
      <c r="THT56" s="196"/>
      <c r="THU56" s="196"/>
      <c r="THV56" s="196"/>
      <c r="THW56" s="196"/>
      <c r="THX56" s="196"/>
      <c r="THY56" s="196"/>
      <c r="THZ56" s="196"/>
      <c r="TIA56" s="196"/>
      <c r="TIB56" s="196"/>
      <c r="TIC56" s="196"/>
      <c r="TID56" s="196"/>
      <c r="TIE56" s="196"/>
      <c r="TIF56" s="196"/>
      <c r="TIG56" s="196"/>
      <c r="TIH56" s="196"/>
      <c r="TII56" s="196"/>
      <c r="TIJ56" s="196"/>
      <c r="TIK56" s="196"/>
      <c r="TIL56" s="196"/>
      <c r="TIM56" s="196"/>
      <c r="TIN56" s="196"/>
      <c r="TIO56" s="196"/>
      <c r="TIP56" s="196"/>
      <c r="TIQ56" s="196"/>
      <c r="TIR56" s="196"/>
      <c r="TIS56" s="196"/>
      <c r="TIT56" s="196"/>
      <c r="TIU56" s="196"/>
      <c r="TIV56" s="196"/>
      <c r="TIW56" s="196"/>
      <c r="TIX56" s="196"/>
      <c r="TIY56" s="196"/>
      <c r="TIZ56" s="196"/>
      <c r="TJA56" s="196"/>
      <c r="TJB56" s="196"/>
      <c r="TJC56" s="196"/>
      <c r="TJD56" s="196"/>
      <c r="TJE56" s="196"/>
      <c r="TJF56" s="196"/>
      <c r="TJG56" s="196"/>
      <c r="TJH56" s="196"/>
      <c r="TJI56" s="196"/>
      <c r="TJJ56" s="196"/>
      <c r="TJK56" s="196"/>
      <c r="TJL56" s="196"/>
      <c r="TJM56" s="196"/>
      <c r="TJN56" s="196"/>
      <c r="TJO56" s="196"/>
      <c r="TJP56" s="196"/>
      <c r="TJQ56" s="196"/>
      <c r="TJR56" s="196"/>
      <c r="TJS56" s="196"/>
      <c r="TJT56" s="196"/>
      <c r="TJU56" s="196"/>
      <c r="TJV56" s="196"/>
      <c r="TJW56" s="196"/>
      <c r="TJX56" s="196"/>
      <c r="TJY56" s="196"/>
      <c r="TJZ56" s="196"/>
      <c r="TKA56" s="196"/>
      <c r="TKB56" s="196"/>
      <c r="TKC56" s="196"/>
      <c r="TKD56" s="196"/>
      <c r="TKE56" s="196"/>
      <c r="TKF56" s="196"/>
      <c r="TKG56" s="196"/>
      <c r="TKH56" s="196"/>
      <c r="TKI56" s="196"/>
      <c r="TKJ56" s="196"/>
      <c r="TKK56" s="196"/>
      <c r="TKL56" s="196"/>
      <c r="TKM56" s="196"/>
      <c r="TKN56" s="196"/>
      <c r="TKO56" s="196"/>
      <c r="TKP56" s="196"/>
      <c r="TKQ56" s="196"/>
      <c r="TKR56" s="196"/>
      <c r="TKS56" s="196"/>
      <c r="TKT56" s="196"/>
      <c r="TKU56" s="196"/>
      <c r="TKV56" s="196"/>
      <c r="TKW56" s="196"/>
      <c r="TKX56" s="196"/>
      <c r="TKY56" s="196"/>
      <c r="TKZ56" s="196"/>
      <c r="TLA56" s="196"/>
      <c r="TLB56" s="196"/>
      <c r="TLC56" s="196"/>
      <c r="TLD56" s="196"/>
      <c r="TLE56" s="196"/>
      <c r="TLF56" s="196"/>
      <c r="TLG56" s="196"/>
      <c r="TLH56" s="196"/>
      <c r="TLI56" s="196"/>
      <c r="TLJ56" s="196"/>
      <c r="TLK56" s="196"/>
      <c r="TLL56" s="196"/>
      <c r="TLM56" s="196"/>
      <c r="TLN56" s="196"/>
      <c r="TLO56" s="196"/>
      <c r="TLP56" s="196"/>
      <c r="TLQ56" s="196"/>
      <c r="TLR56" s="196"/>
      <c r="TLS56" s="196"/>
      <c r="TLT56" s="196"/>
      <c r="TLU56" s="196"/>
      <c r="TLV56" s="196"/>
      <c r="TLW56" s="196"/>
      <c r="TLX56" s="196"/>
      <c r="TLY56" s="196"/>
      <c r="TLZ56" s="196"/>
      <c r="TMA56" s="196"/>
      <c r="TMB56" s="196"/>
      <c r="TMC56" s="196"/>
      <c r="TMD56" s="196"/>
      <c r="TME56" s="196"/>
      <c r="TMF56" s="196"/>
      <c r="TMG56" s="196"/>
      <c r="TMH56" s="196"/>
      <c r="TMI56" s="196"/>
      <c r="TMJ56" s="196"/>
      <c r="TMK56" s="196"/>
      <c r="TML56" s="196"/>
      <c r="TMM56" s="196"/>
      <c r="TMN56" s="196"/>
      <c r="TMO56" s="196"/>
      <c r="TMP56" s="196"/>
      <c r="TMQ56" s="196"/>
      <c r="TMR56" s="196"/>
      <c r="TMS56" s="196"/>
      <c r="TMT56" s="196"/>
      <c r="TMU56" s="196"/>
      <c r="TMV56" s="196"/>
      <c r="TMW56" s="196"/>
      <c r="TMX56" s="196"/>
      <c r="TMY56" s="196"/>
      <c r="TMZ56" s="196"/>
      <c r="TNA56" s="196"/>
      <c r="TNB56" s="196"/>
      <c r="TNC56" s="196"/>
      <c r="TND56" s="196"/>
      <c r="TNE56" s="196"/>
      <c r="TNF56" s="196"/>
      <c r="TNG56" s="196"/>
      <c r="TNH56" s="196"/>
      <c r="TNI56" s="196"/>
      <c r="TNJ56" s="196"/>
      <c r="TNK56" s="196"/>
      <c r="TNL56" s="196"/>
      <c r="TNM56" s="196"/>
      <c r="TNN56" s="196"/>
      <c r="TNO56" s="196"/>
      <c r="TNP56" s="196"/>
      <c r="TNQ56" s="196"/>
      <c r="TNR56" s="196"/>
      <c r="TNS56" s="196"/>
      <c r="TNT56" s="196"/>
      <c r="TNU56" s="196"/>
      <c r="TNV56" s="196"/>
      <c r="TNW56" s="196"/>
      <c r="TNX56" s="196"/>
      <c r="TNY56" s="196"/>
      <c r="TNZ56" s="196"/>
      <c r="TOA56" s="196"/>
      <c r="TOB56" s="196"/>
      <c r="TOC56" s="196"/>
      <c r="TOD56" s="196"/>
      <c r="TOE56" s="196"/>
      <c r="TOF56" s="196"/>
      <c r="TOG56" s="196"/>
      <c r="TOH56" s="196"/>
      <c r="TOI56" s="196"/>
      <c r="TOJ56" s="196"/>
      <c r="TOK56" s="196"/>
      <c r="TOL56" s="196"/>
      <c r="TOM56" s="196"/>
      <c r="TON56" s="196"/>
      <c r="TOO56" s="196"/>
      <c r="TOP56" s="196"/>
      <c r="TOQ56" s="196"/>
      <c r="TOR56" s="196"/>
      <c r="TOS56" s="196"/>
      <c r="TOT56" s="196"/>
      <c r="TOU56" s="196"/>
      <c r="TOV56" s="196"/>
      <c r="TOW56" s="196"/>
      <c r="TOX56" s="196"/>
      <c r="TOY56" s="196"/>
      <c r="TOZ56" s="196"/>
      <c r="TPA56" s="196"/>
      <c r="TPB56" s="196"/>
      <c r="TPC56" s="196"/>
      <c r="TPD56" s="196"/>
      <c r="TPE56" s="196"/>
      <c r="TPF56" s="196"/>
      <c r="TPG56" s="196"/>
      <c r="TPH56" s="196"/>
      <c r="TPI56" s="196"/>
      <c r="TPJ56" s="196"/>
      <c r="TPK56" s="196"/>
      <c r="TPL56" s="196"/>
      <c r="TPM56" s="196"/>
      <c r="TPN56" s="196"/>
      <c r="TPO56" s="196"/>
      <c r="TPP56" s="196"/>
      <c r="TPQ56" s="196"/>
      <c r="TPR56" s="196"/>
      <c r="TPS56" s="196"/>
      <c r="TPT56" s="196"/>
      <c r="TPU56" s="196"/>
      <c r="TPV56" s="196"/>
      <c r="TPW56" s="196"/>
      <c r="TPX56" s="196"/>
      <c r="TPY56" s="196"/>
      <c r="TPZ56" s="196"/>
      <c r="TQA56" s="196"/>
      <c r="TQB56" s="196"/>
      <c r="TQC56" s="196"/>
      <c r="TQD56" s="196"/>
      <c r="TQE56" s="196"/>
      <c r="TQF56" s="196"/>
      <c r="TQG56" s="196"/>
      <c r="TQH56" s="196"/>
      <c r="TQI56" s="196"/>
      <c r="TQJ56" s="196"/>
      <c r="TQK56" s="196"/>
      <c r="TQL56" s="196"/>
      <c r="TQM56" s="196"/>
      <c r="TQN56" s="196"/>
      <c r="TQO56" s="196"/>
      <c r="TQP56" s="196"/>
      <c r="TQQ56" s="196"/>
      <c r="TQR56" s="196"/>
      <c r="TQS56" s="196"/>
      <c r="TQT56" s="196"/>
      <c r="TQU56" s="196"/>
      <c r="TQV56" s="196"/>
      <c r="TQW56" s="196"/>
      <c r="TQX56" s="196"/>
      <c r="TQY56" s="196"/>
      <c r="TQZ56" s="196"/>
      <c r="TRA56" s="196"/>
      <c r="TRB56" s="196"/>
      <c r="TRC56" s="196"/>
      <c r="TRD56" s="196"/>
      <c r="TRE56" s="196"/>
      <c r="TRF56" s="196"/>
      <c r="TRG56" s="196"/>
      <c r="TRH56" s="196"/>
      <c r="TRI56" s="196"/>
      <c r="TRJ56" s="196"/>
      <c r="TRK56" s="196"/>
      <c r="TRL56" s="196"/>
      <c r="TRM56" s="196"/>
      <c r="TRN56" s="196"/>
      <c r="TRO56" s="196"/>
      <c r="TRP56" s="196"/>
      <c r="TRQ56" s="196"/>
      <c r="TRR56" s="196"/>
      <c r="TRS56" s="196"/>
      <c r="TRT56" s="196"/>
      <c r="TRU56" s="196"/>
      <c r="TRV56" s="196"/>
      <c r="TRW56" s="196"/>
      <c r="TRX56" s="196"/>
      <c r="TRY56" s="196"/>
      <c r="TRZ56" s="196"/>
      <c r="TSA56" s="196"/>
      <c r="TSB56" s="196"/>
      <c r="TSC56" s="196"/>
      <c r="TSD56" s="196"/>
      <c r="TSE56" s="196"/>
      <c r="TSF56" s="196"/>
      <c r="TSG56" s="196"/>
      <c r="TSH56" s="196"/>
      <c r="TSI56" s="196"/>
      <c r="TSJ56" s="196"/>
      <c r="TSK56" s="196"/>
      <c r="TSL56" s="196"/>
      <c r="TSM56" s="196"/>
      <c r="TSN56" s="196"/>
      <c r="TSO56" s="196"/>
      <c r="TSP56" s="196"/>
      <c r="TSQ56" s="196"/>
      <c r="TSR56" s="196"/>
      <c r="TSS56" s="196"/>
      <c r="TST56" s="196"/>
      <c r="TSU56" s="196"/>
      <c r="TSV56" s="196"/>
      <c r="TSW56" s="196"/>
      <c r="TSX56" s="196"/>
      <c r="TSY56" s="196"/>
      <c r="TSZ56" s="196"/>
      <c r="TTA56" s="196"/>
      <c r="TTB56" s="196"/>
      <c r="TTC56" s="196"/>
      <c r="TTD56" s="196"/>
      <c r="TTE56" s="196"/>
      <c r="TTF56" s="196"/>
      <c r="TTG56" s="196"/>
      <c r="TTH56" s="196"/>
      <c r="TTI56" s="196"/>
      <c r="TTJ56" s="196"/>
      <c r="TTK56" s="196"/>
      <c r="TTL56" s="196"/>
      <c r="TTM56" s="196"/>
      <c r="TTN56" s="196"/>
      <c r="TTO56" s="196"/>
      <c r="TTP56" s="196"/>
      <c r="TTQ56" s="196"/>
      <c r="TTR56" s="196"/>
      <c r="TTS56" s="196"/>
      <c r="TTT56" s="196"/>
      <c r="TTU56" s="196"/>
      <c r="TTV56" s="196"/>
      <c r="TTW56" s="196"/>
      <c r="TTX56" s="196"/>
      <c r="TTY56" s="196"/>
      <c r="TTZ56" s="196"/>
      <c r="TUA56" s="196"/>
      <c r="TUB56" s="196"/>
      <c r="TUC56" s="196"/>
      <c r="TUD56" s="196"/>
      <c r="TUE56" s="196"/>
      <c r="TUF56" s="196"/>
      <c r="TUG56" s="196"/>
      <c r="TUH56" s="196"/>
      <c r="TUI56" s="196"/>
      <c r="TUJ56" s="196"/>
      <c r="TUK56" s="196"/>
      <c r="TUL56" s="196"/>
      <c r="TUM56" s="196"/>
      <c r="TUN56" s="196"/>
      <c r="TUO56" s="196"/>
      <c r="TUP56" s="196"/>
      <c r="TUQ56" s="196"/>
      <c r="TUR56" s="196"/>
      <c r="TUS56" s="196"/>
      <c r="TUT56" s="196"/>
      <c r="TUU56" s="196"/>
      <c r="TUV56" s="196"/>
      <c r="TUW56" s="196"/>
      <c r="TUX56" s="196"/>
      <c r="TUY56" s="196"/>
      <c r="TUZ56" s="196"/>
      <c r="TVA56" s="196"/>
      <c r="TVB56" s="196"/>
      <c r="TVC56" s="196"/>
      <c r="TVD56" s="196"/>
      <c r="TVE56" s="196"/>
      <c r="TVF56" s="196"/>
      <c r="TVG56" s="196"/>
      <c r="TVH56" s="196"/>
      <c r="TVI56" s="196"/>
      <c r="TVJ56" s="196"/>
      <c r="TVK56" s="196"/>
      <c r="TVL56" s="196"/>
      <c r="TVM56" s="196"/>
      <c r="TVN56" s="196"/>
      <c r="TVO56" s="196"/>
      <c r="TVP56" s="196"/>
      <c r="TVQ56" s="196"/>
      <c r="TVR56" s="196"/>
      <c r="TVS56" s="196"/>
      <c r="TVT56" s="196"/>
      <c r="TVU56" s="196"/>
      <c r="TVV56" s="196"/>
      <c r="TVW56" s="196"/>
      <c r="TVX56" s="196"/>
      <c r="TVY56" s="196"/>
      <c r="TVZ56" s="196"/>
      <c r="TWA56" s="196"/>
      <c r="TWB56" s="196"/>
      <c r="TWC56" s="196"/>
      <c r="TWD56" s="196"/>
      <c r="TWE56" s="196"/>
      <c r="TWF56" s="196"/>
      <c r="TWG56" s="196"/>
      <c r="TWH56" s="196"/>
      <c r="TWI56" s="196"/>
      <c r="TWJ56" s="196"/>
      <c r="TWK56" s="196"/>
      <c r="TWL56" s="196"/>
      <c r="TWM56" s="196"/>
      <c r="TWN56" s="196"/>
      <c r="TWO56" s="196"/>
      <c r="TWP56" s="196"/>
      <c r="TWQ56" s="196"/>
      <c r="TWR56" s="196"/>
      <c r="TWS56" s="196"/>
      <c r="TWT56" s="196"/>
      <c r="TWU56" s="196"/>
      <c r="TWV56" s="196"/>
      <c r="TWW56" s="196"/>
      <c r="TWX56" s="196"/>
      <c r="TWY56" s="196"/>
      <c r="TWZ56" s="196"/>
      <c r="TXA56" s="196"/>
      <c r="TXB56" s="196"/>
      <c r="TXC56" s="196"/>
      <c r="TXD56" s="196"/>
      <c r="TXE56" s="196"/>
      <c r="TXF56" s="196"/>
      <c r="TXG56" s="196"/>
      <c r="TXH56" s="196"/>
      <c r="TXI56" s="196"/>
      <c r="TXJ56" s="196"/>
      <c r="TXK56" s="196"/>
      <c r="TXL56" s="196"/>
      <c r="TXM56" s="196"/>
      <c r="TXN56" s="196"/>
      <c r="TXO56" s="196"/>
      <c r="TXP56" s="196"/>
      <c r="TXQ56" s="196"/>
      <c r="TXR56" s="196"/>
      <c r="TXS56" s="196"/>
      <c r="TXT56" s="196"/>
      <c r="TXU56" s="196"/>
      <c r="TXV56" s="196"/>
      <c r="TXW56" s="196"/>
      <c r="TXX56" s="196"/>
      <c r="TXY56" s="196"/>
      <c r="TXZ56" s="196"/>
      <c r="TYA56" s="196"/>
      <c r="TYB56" s="196"/>
      <c r="TYC56" s="196"/>
      <c r="TYD56" s="196"/>
      <c r="TYE56" s="196"/>
      <c r="TYF56" s="196"/>
      <c r="TYG56" s="196"/>
      <c r="TYH56" s="196"/>
      <c r="TYI56" s="196"/>
      <c r="TYJ56" s="196"/>
      <c r="TYK56" s="196"/>
      <c r="TYL56" s="196"/>
      <c r="TYM56" s="196"/>
      <c r="TYN56" s="196"/>
      <c r="TYO56" s="196"/>
      <c r="TYP56" s="196"/>
      <c r="TYQ56" s="196"/>
      <c r="TYR56" s="196"/>
      <c r="TYS56" s="196"/>
      <c r="TYT56" s="196"/>
      <c r="TYU56" s="196"/>
      <c r="TYV56" s="196"/>
      <c r="TYW56" s="196"/>
      <c r="TYX56" s="196"/>
      <c r="TYY56" s="196"/>
      <c r="TYZ56" s="196"/>
      <c r="TZA56" s="196"/>
      <c r="TZB56" s="196"/>
      <c r="TZC56" s="196"/>
      <c r="TZD56" s="196"/>
      <c r="TZE56" s="196"/>
      <c r="TZF56" s="196"/>
      <c r="TZG56" s="196"/>
      <c r="TZH56" s="196"/>
      <c r="TZI56" s="196"/>
      <c r="TZJ56" s="196"/>
      <c r="TZK56" s="196"/>
      <c r="TZL56" s="196"/>
      <c r="TZM56" s="196"/>
      <c r="TZN56" s="196"/>
      <c r="TZO56" s="196"/>
      <c r="TZP56" s="196"/>
      <c r="TZQ56" s="196"/>
      <c r="TZR56" s="196"/>
      <c r="TZS56" s="196"/>
      <c r="TZT56" s="196"/>
      <c r="TZU56" s="196"/>
      <c r="TZV56" s="196"/>
      <c r="TZW56" s="196"/>
      <c r="TZX56" s="196"/>
      <c r="TZY56" s="196"/>
      <c r="TZZ56" s="196"/>
      <c r="UAA56" s="196"/>
      <c r="UAB56" s="196"/>
      <c r="UAC56" s="196"/>
      <c r="UAD56" s="196"/>
      <c r="UAE56" s="196"/>
      <c r="UAF56" s="196"/>
      <c r="UAG56" s="196"/>
      <c r="UAH56" s="196"/>
      <c r="UAI56" s="196"/>
      <c r="UAJ56" s="196"/>
      <c r="UAK56" s="196"/>
      <c r="UAL56" s="196"/>
      <c r="UAM56" s="196"/>
      <c r="UAN56" s="196"/>
      <c r="UAO56" s="196"/>
      <c r="UAP56" s="196"/>
      <c r="UAQ56" s="196"/>
      <c r="UAR56" s="196"/>
      <c r="UAS56" s="196"/>
      <c r="UAT56" s="196"/>
      <c r="UAU56" s="196"/>
      <c r="UAV56" s="196"/>
      <c r="UAW56" s="196"/>
      <c r="UAX56" s="196"/>
      <c r="UAY56" s="196"/>
      <c r="UAZ56" s="196"/>
      <c r="UBA56" s="196"/>
      <c r="UBB56" s="196"/>
      <c r="UBC56" s="196"/>
      <c r="UBD56" s="196"/>
      <c r="UBE56" s="196"/>
      <c r="UBF56" s="196"/>
      <c r="UBG56" s="196"/>
      <c r="UBH56" s="196"/>
      <c r="UBI56" s="196"/>
      <c r="UBJ56" s="196"/>
      <c r="UBK56" s="196"/>
      <c r="UBL56" s="196"/>
      <c r="UBM56" s="196"/>
      <c r="UBN56" s="196"/>
      <c r="UBO56" s="196"/>
      <c r="UBP56" s="196"/>
      <c r="UBQ56" s="196"/>
      <c r="UBR56" s="196"/>
      <c r="UBS56" s="196"/>
      <c r="UBT56" s="196"/>
      <c r="UBU56" s="196"/>
      <c r="UBV56" s="196"/>
      <c r="UBW56" s="196"/>
      <c r="UBX56" s="196"/>
      <c r="UBY56" s="196"/>
      <c r="UBZ56" s="196"/>
      <c r="UCA56" s="196"/>
      <c r="UCB56" s="196"/>
      <c r="UCC56" s="196"/>
      <c r="UCD56" s="196"/>
      <c r="UCE56" s="196"/>
      <c r="UCF56" s="196"/>
      <c r="UCG56" s="196"/>
      <c r="UCH56" s="196"/>
      <c r="UCI56" s="196"/>
      <c r="UCJ56" s="196"/>
      <c r="UCK56" s="196"/>
      <c r="UCL56" s="196"/>
      <c r="UCM56" s="196"/>
      <c r="UCN56" s="196"/>
      <c r="UCO56" s="196"/>
      <c r="UCP56" s="196"/>
      <c r="UCQ56" s="196"/>
      <c r="UCR56" s="196"/>
      <c r="UCS56" s="196"/>
      <c r="UCT56" s="196"/>
      <c r="UCU56" s="196"/>
      <c r="UCV56" s="196"/>
      <c r="UCW56" s="196"/>
      <c r="UCX56" s="196"/>
      <c r="UCY56" s="196"/>
      <c r="UCZ56" s="196"/>
      <c r="UDA56" s="196"/>
      <c r="UDB56" s="196"/>
      <c r="UDC56" s="196"/>
      <c r="UDD56" s="196"/>
      <c r="UDE56" s="196"/>
      <c r="UDF56" s="196"/>
      <c r="UDG56" s="196"/>
      <c r="UDH56" s="196"/>
      <c r="UDI56" s="196"/>
      <c r="UDJ56" s="196"/>
      <c r="UDK56" s="196"/>
      <c r="UDL56" s="196"/>
      <c r="UDM56" s="196"/>
      <c r="UDN56" s="196"/>
      <c r="UDO56" s="196"/>
      <c r="UDP56" s="196"/>
      <c r="UDQ56" s="196"/>
      <c r="UDR56" s="196"/>
      <c r="UDS56" s="196"/>
      <c r="UDT56" s="196"/>
      <c r="UDU56" s="196"/>
      <c r="UDV56" s="196"/>
      <c r="UDW56" s="196"/>
      <c r="UDX56" s="196"/>
      <c r="UDY56" s="196"/>
      <c r="UDZ56" s="196"/>
      <c r="UEA56" s="196"/>
      <c r="UEB56" s="196"/>
      <c r="UEC56" s="196"/>
      <c r="UED56" s="196"/>
      <c r="UEE56" s="196"/>
      <c r="UEF56" s="196"/>
      <c r="UEG56" s="196"/>
      <c r="UEH56" s="196"/>
      <c r="UEI56" s="196"/>
      <c r="UEJ56" s="196"/>
      <c r="UEK56" s="196"/>
      <c r="UEL56" s="196"/>
      <c r="UEM56" s="196"/>
      <c r="UEN56" s="196"/>
      <c r="UEO56" s="196"/>
      <c r="UEP56" s="196"/>
      <c r="UEQ56" s="196"/>
      <c r="UER56" s="196"/>
      <c r="UES56" s="196"/>
      <c r="UET56" s="196"/>
      <c r="UEU56" s="196"/>
      <c r="UEV56" s="196"/>
      <c r="UEW56" s="196"/>
      <c r="UEX56" s="196"/>
      <c r="UEY56" s="196"/>
      <c r="UEZ56" s="196"/>
      <c r="UFA56" s="196"/>
      <c r="UFB56" s="196"/>
      <c r="UFC56" s="196"/>
      <c r="UFD56" s="196"/>
      <c r="UFE56" s="196"/>
      <c r="UFF56" s="196"/>
      <c r="UFG56" s="196"/>
      <c r="UFH56" s="196"/>
      <c r="UFI56" s="196"/>
      <c r="UFJ56" s="196"/>
      <c r="UFK56" s="196"/>
      <c r="UFL56" s="196"/>
      <c r="UFM56" s="196"/>
      <c r="UFN56" s="196"/>
      <c r="UFO56" s="196"/>
      <c r="UFP56" s="196"/>
      <c r="UFQ56" s="196"/>
      <c r="UFR56" s="196"/>
      <c r="UFS56" s="196"/>
      <c r="UFT56" s="196"/>
      <c r="UFU56" s="196"/>
      <c r="UFV56" s="196"/>
      <c r="UFW56" s="196"/>
      <c r="UFX56" s="196"/>
      <c r="UFY56" s="196"/>
      <c r="UFZ56" s="196"/>
      <c r="UGA56" s="196"/>
      <c r="UGB56" s="196"/>
      <c r="UGC56" s="196"/>
      <c r="UGD56" s="196"/>
      <c r="UGE56" s="196"/>
      <c r="UGF56" s="196"/>
      <c r="UGG56" s="196"/>
      <c r="UGH56" s="196"/>
      <c r="UGI56" s="196"/>
      <c r="UGJ56" s="196"/>
      <c r="UGK56" s="196"/>
      <c r="UGL56" s="196"/>
      <c r="UGM56" s="196"/>
      <c r="UGN56" s="196"/>
      <c r="UGO56" s="196"/>
      <c r="UGP56" s="196"/>
      <c r="UGQ56" s="196"/>
      <c r="UGR56" s="196"/>
      <c r="UGS56" s="196"/>
      <c r="UGT56" s="196"/>
      <c r="UGU56" s="196"/>
      <c r="UGV56" s="196"/>
      <c r="UGW56" s="196"/>
      <c r="UGX56" s="196"/>
      <c r="UGY56" s="196"/>
      <c r="UGZ56" s="196"/>
      <c r="UHA56" s="196"/>
      <c r="UHB56" s="196"/>
      <c r="UHC56" s="196"/>
      <c r="UHD56" s="196"/>
      <c r="UHE56" s="196"/>
      <c r="UHF56" s="196"/>
      <c r="UHG56" s="196"/>
      <c r="UHH56" s="196"/>
      <c r="UHI56" s="196"/>
      <c r="UHJ56" s="196"/>
      <c r="UHK56" s="196"/>
      <c r="UHL56" s="196"/>
      <c r="UHM56" s="196"/>
      <c r="UHN56" s="196"/>
      <c r="UHO56" s="196"/>
      <c r="UHP56" s="196"/>
      <c r="UHQ56" s="196"/>
      <c r="UHR56" s="196"/>
      <c r="UHS56" s="196"/>
      <c r="UHT56" s="196"/>
      <c r="UHU56" s="196"/>
      <c r="UHV56" s="196"/>
      <c r="UHW56" s="196"/>
      <c r="UHX56" s="196"/>
      <c r="UHY56" s="196"/>
      <c r="UHZ56" s="196"/>
      <c r="UIA56" s="196"/>
      <c r="UIB56" s="196"/>
      <c r="UIC56" s="196"/>
      <c r="UID56" s="196"/>
      <c r="UIE56" s="196"/>
      <c r="UIF56" s="196"/>
      <c r="UIG56" s="196"/>
      <c r="UIH56" s="196"/>
      <c r="UII56" s="196"/>
      <c r="UIJ56" s="196"/>
      <c r="UIK56" s="196"/>
      <c r="UIL56" s="196"/>
      <c r="UIM56" s="196"/>
      <c r="UIN56" s="196"/>
      <c r="UIO56" s="196"/>
      <c r="UIP56" s="196"/>
      <c r="UIQ56" s="196"/>
      <c r="UIR56" s="196"/>
      <c r="UIS56" s="196"/>
      <c r="UIT56" s="196"/>
      <c r="UIU56" s="196"/>
      <c r="UIV56" s="196"/>
      <c r="UIW56" s="196"/>
      <c r="UIX56" s="196"/>
      <c r="UIY56" s="196"/>
      <c r="UIZ56" s="196"/>
      <c r="UJA56" s="196"/>
      <c r="UJB56" s="196"/>
      <c r="UJC56" s="196"/>
      <c r="UJD56" s="196"/>
      <c r="UJE56" s="196"/>
      <c r="UJF56" s="196"/>
      <c r="UJG56" s="196"/>
      <c r="UJH56" s="196"/>
      <c r="UJI56" s="196"/>
      <c r="UJJ56" s="196"/>
      <c r="UJK56" s="196"/>
      <c r="UJL56" s="196"/>
      <c r="UJM56" s="196"/>
      <c r="UJN56" s="196"/>
      <c r="UJO56" s="196"/>
      <c r="UJP56" s="196"/>
      <c r="UJQ56" s="196"/>
      <c r="UJR56" s="196"/>
      <c r="UJS56" s="196"/>
      <c r="UJT56" s="196"/>
      <c r="UJU56" s="196"/>
      <c r="UJV56" s="196"/>
      <c r="UJW56" s="196"/>
      <c r="UJX56" s="196"/>
      <c r="UJY56" s="196"/>
      <c r="UJZ56" s="196"/>
      <c r="UKA56" s="196"/>
      <c r="UKB56" s="196"/>
      <c r="UKC56" s="196"/>
      <c r="UKD56" s="196"/>
      <c r="UKE56" s="196"/>
      <c r="UKF56" s="196"/>
      <c r="UKG56" s="196"/>
      <c r="UKH56" s="196"/>
      <c r="UKI56" s="196"/>
      <c r="UKJ56" s="196"/>
      <c r="UKK56" s="196"/>
      <c r="UKL56" s="196"/>
      <c r="UKM56" s="196"/>
      <c r="UKN56" s="196"/>
      <c r="UKO56" s="196"/>
      <c r="UKP56" s="196"/>
      <c r="UKQ56" s="196"/>
      <c r="UKR56" s="196"/>
      <c r="UKS56" s="196"/>
      <c r="UKT56" s="196"/>
      <c r="UKU56" s="196"/>
      <c r="UKV56" s="196"/>
      <c r="UKW56" s="196"/>
      <c r="UKX56" s="196"/>
      <c r="UKY56" s="196"/>
      <c r="UKZ56" s="196"/>
      <c r="ULA56" s="196"/>
      <c r="ULB56" s="196"/>
      <c r="ULC56" s="196"/>
      <c r="ULD56" s="196"/>
      <c r="ULE56" s="196"/>
      <c r="ULF56" s="196"/>
      <c r="ULG56" s="196"/>
      <c r="ULH56" s="196"/>
      <c r="ULI56" s="196"/>
      <c r="ULJ56" s="196"/>
      <c r="ULK56" s="196"/>
      <c r="ULL56" s="196"/>
      <c r="ULM56" s="196"/>
      <c r="ULN56" s="196"/>
      <c r="ULO56" s="196"/>
      <c r="ULP56" s="196"/>
      <c r="ULQ56" s="196"/>
      <c r="ULR56" s="196"/>
      <c r="ULS56" s="196"/>
      <c r="ULT56" s="196"/>
      <c r="ULU56" s="196"/>
      <c r="ULV56" s="196"/>
      <c r="ULW56" s="196"/>
      <c r="ULX56" s="196"/>
      <c r="ULY56" s="196"/>
      <c r="ULZ56" s="196"/>
      <c r="UMA56" s="196"/>
      <c r="UMB56" s="196"/>
      <c r="UMC56" s="196"/>
      <c r="UMD56" s="196"/>
      <c r="UME56" s="196"/>
      <c r="UMF56" s="196"/>
      <c r="UMG56" s="196"/>
      <c r="UMH56" s="196"/>
      <c r="UMI56" s="196"/>
      <c r="UMJ56" s="196"/>
      <c r="UMK56" s="196"/>
      <c r="UML56" s="196"/>
      <c r="UMM56" s="196"/>
      <c r="UMN56" s="196"/>
      <c r="UMO56" s="196"/>
      <c r="UMP56" s="196"/>
      <c r="UMQ56" s="196"/>
      <c r="UMR56" s="196"/>
      <c r="UMS56" s="196"/>
      <c r="UMT56" s="196"/>
      <c r="UMU56" s="196"/>
      <c r="UMV56" s="196"/>
      <c r="UMW56" s="196"/>
      <c r="UMX56" s="196"/>
      <c r="UMY56" s="196"/>
      <c r="UMZ56" s="196"/>
      <c r="UNA56" s="196"/>
      <c r="UNB56" s="196"/>
      <c r="UNC56" s="196"/>
      <c r="UND56" s="196"/>
      <c r="UNE56" s="196"/>
      <c r="UNF56" s="196"/>
      <c r="UNG56" s="196"/>
      <c r="UNH56" s="196"/>
      <c r="UNI56" s="196"/>
      <c r="UNJ56" s="196"/>
      <c r="UNK56" s="196"/>
      <c r="UNL56" s="196"/>
      <c r="UNM56" s="196"/>
      <c r="UNN56" s="196"/>
      <c r="UNO56" s="196"/>
      <c r="UNP56" s="196"/>
      <c r="UNQ56" s="196"/>
      <c r="UNR56" s="196"/>
      <c r="UNS56" s="196"/>
      <c r="UNT56" s="196"/>
      <c r="UNU56" s="196"/>
      <c r="UNV56" s="196"/>
      <c r="UNW56" s="196"/>
      <c r="UNX56" s="196"/>
      <c r="UNY56" s="196"/>
      <c r="UNZ56" s="196"/>
      <c r="UOA56" s="196"/>
      <c r="UOB56" s="196"/>
      <c r="UOC56" s="196"/>
      <c r="UOD56" s="196"/>
      <c r="UOE56" s="196"/>
      <c r="UOF56" s="196"/>
      <c r="UOG56" s="196"/>
      <c r="UOH56" s="196"/>
      <c r="UOI56" s="196"/>
      <c r="UOJ56" s="196"/>
      <c r="UOK56" s="196"/>
      <c r="UOL56" s="196"/>
      <c r="UOM56" s="196"/>
      <c r="UON56" s="196"/>
      <c r="UOO56" s="196"/>
      <c r="UOP56" s="196"/>
      <c r="UOQ56" s="196"/>
      <c r="UOR56" s="196"/>
      <c r="UOS56" s="196"/>
      <c r="UOT56" s="196"/>
      <c r="UOU56" s="196"/>
      <c r="UOV56" s="196"/>
      <c r="UOW56" s="196"/>
      <c r="UOX56" s="196"/>
      <c r="UOY56" s="196"/>
      <c r="UOZ56" s="196"/>
      <c r="UPA56" s="196"/>
      <c r="UPB56" s="196"/>
      <c r="UPC56" s="196"/>
      <c r="UPD56" s="196"/>
      <c r="UPE56" s="196"/>
      <c r="UPF56" s="196"/>
      <c r="UPG56" s="196"/>
      <c r="UPH56" s="196"/>
      <c r="UPI56" s="196"/>
      <c r="UPJ56" s="196"/>
      <c r="UPK56" s="196"/>
      <c r="UPL56" s="196"/>
      <c r="UPM56" s="196"/>
      <c r="UPN56" s="196"/>
      <c r="UPO56" s="196"/>
      <c r="UPP56" s="196"/>
      <c r="UPQ56" s="196"/>
      <c r="UPR56" s="196"/>
      <c r="UPS56" s="196"/>
      <c r="UPT56" s="196"/>
      <c r="UPU56" s="196"/>
      <c r="UPV56" s="196"/>
      <c r="UPW56" s="196"/>
      <c r="UPX56" s="196"/>
      <c r="UPY56" s="196"/>
      <c r="UPZ56" s="196"/>
      <c r="UQA56" s="196"/>
      <c r="UQB56" s="196"/>
      <c r="UQC56" s="196"/>
      <c r="UQD56" s="196"/>
      <c r="UQE56" s="196"/>
      <c r="UQF56" s="196"/>
      <c r="UQG56" s="196"/>
      <c r="UQH56" s="196"/>
      <c r="UQI56" s="196"/>
      <c r="UQJ56" s="196"/>
      <c r="UQK56" s="196"/>
      <c r="UQL56" s="196"/>
      <c r="UQM56" s="196"/>
      <c r="UQN56" s="196"/>
      <c r="UQO56" s="196"/>
      <c r="UQP56" s="196"/>
      <c r="UQQ56" s="196"/>
      <c r="UQR56" s="196"/>
      <c r="UQS56" s="196"/>
      <c r="UQT56" s="196"/>
      <c r="UQU56" s="196"/>
      <c r="UQV56" s="196"/>
      <c r="UQW56" s="196"/>
      <c r="UQX56" s="196"/>
      <c r="UQY56" s="196"/>
      <c r="UQZ56" s="196"/>
      <c r="URA56" s="196"/>
      <c r="URB56" s="196"/>
      <c r="URC56" s="196"/>
      <c r="URD56" s="196"/>
      <c r="URE56" s="196"/>
      <c r="URF56" s="196"/>
      <c r="URG56" s="196"/>
      <c r="URH56" s="196"/>
      <c r="URI56" s="196"/>
      <c r="URJ56" s="196"/>
      <c r="URK56" s="196"/>
      <c r="URL56" s="196"/>
      <c r="URM56" s="196"/>
      <c r="URN56" s="196"/>
      <c r="URO56" s="196"/>
      <c r="URP56" s="196"/>
      <c r="URQ56" s="196"/>
      <c r="URR56" s="196"/>
      <c r="URS56" s="196"/>
      <c r="URT56" s="196"/>
      <c r="URU56" s="196"/>
      <c r="URV56" s="196"/>
      <c r="URW56" s="196"/>
      <c r="URX56" s="196"/>
      <c r="URY56" s="196"/>
      <c r="URZ56" s="196"/>
      <c r="USA56" s="196"/>
      <c r="USB56" s="196"/>
      <c r="USC56" s="196"/>
      <c r="USD56" s="196"/>
      <c r="USE56" s="196"/>
      <c r="USF56" s="196"/>
      <c r="USG56" s="196"/>
      <c r="USH56" s="196"/>
      <c r="USI56" s="196"/>
      <c r="USJ56" s="196"/>
      <c r="USK56" s="196"/>
      <c r="USL56" s="196"/>
      <c r="USM56" s="196"/>
      <c r="USN56" s="196"/>
      <c r="USO56" s="196"/>
      <c r="USP56" s="196"/>
      <c r="USQ56" s="196"/>
      <c r="USR56" s="196"/>
      <c r="USS56" s="196"/>
      <c r="UST56" s="196"/>
      <c r="USU56" s="196"/>
      <c r="USV56" s="196"/>
      <c r="USW56" s="196"/>
      <c r="USX56" s="196"/>
      <c r="USY56" s="196"/>
      <c r="USZ56" s="196"/>
      <c r="UTA56" s="196"/>
      <c r="UTB56" s="196"/>
      <c r="UTC56" s="196"/>
      <c r="UTD56" s="196"/>
      <c r="UTE56" s="196"/>
      <c r="UTF56" s="196"/>
      <c r="UTG56" s="196"/>
      <c r="UTH56" s="196"/>
      <c r="UTI56" s="196"/>
      <c r="UTJ56" s="196"/>
      <c r="UTK56" s="196"/>
      <c r="UTL56" s="196"/>
      <c r="UTM56" s="196"/>
      <c r="UTN56" s="196"/>
      <c r="UTO56" s="196"/>
      <c r="UTP56" s="196"/>
      <c r="UTQ56" s="196"/>
      <c r="UTR56" s="196"/>
      <c r="UTS56" s="196"/>
      <c r="UTT56" s="196"/>
      <c r="UTU56" s="196"/>
      <c r="UTV56" s="196"/>
      <c r="UTW56" s="196"/>
      <c r="UTX56" s="196"/>
      <c r="UTY56" s="196"/>
      <c r="UTZ56" s="196"/>
      <c r="UUA56" s="196"/>
      <c r="UUB56" s="196"/>
      <c r="UUC56" s="196"/>
      <c r="UUD56" s="196"/>
      <c r="UUE56" s="196"/>
      <c r="UUF56" s="196"/>
      <c r="UUG56" s="196"/>
      <c r="UUH56" s="196"/>
      <c r="UUI56" s="196"/>
      <c r="UUJ56" s="196"/>
      <c r="UUK56" s="196"/>
      <c r="UUL56" s="196"/>
      <c r="UUM56" s="196"/>
      <c r="UUN56" s="196"/>
      <c r="UUO56" s="196"/>
      <c r="UUP56" s="196"/>
      <c r="UUQ56" s="196"/>
      <c r="UUR56" s="196"/>
      <c r="UUS56" s="196"/>
      <c r="UUT56" s="196"/>
      <c r="UUU56" s="196"/>
      <c r="UUV56" s="196"/>
      <c r="UUW56" s="196"/>
      <c r="UUX56" s="196"/>
      <c r="UUY56" s="196"/>
      <c r="UUZ56" s="196"/>
      <c r="UVA56" s="196"/>
      <c r="UVB56" s="196"/>
      <c r="UVC56" s="196"/>
      <c r="UVD56" s="196"/>
      <c r="UVE56" s="196"/>
      <c r="UVF56" s="196"/>
      <c r="UVG56" s="196"/>
      <c r="UVH56" s="196"/>
      <c r="UVI56" s="196"/>
      <c r="UVJ56" s="196"/>
      <c r="UVK56" s="196"/>
      <c r="UVL56" s="196"/>
      <c r="UVM56" s="196"/>
      <c r="UVN56" s="196"/>
      <c r="UVO56" s="196"/>
      <c r="UVP56" s="196"/>
      <c r="UVQ56" s="196"/>
      <c r="UVR56" s="196"/>
      <c r="UVS56" s="196"/>
      <c r="UVT56" s="196"/>
      <c r="UVU56" s="196"/>
      <c r="UVV56" s="196"/>
      <c r="UVW56" s="196"/>
      <c r="UVX56" s="196"/>
      <c r="UVY56" s="196"/>
      <c r="UVZ56" s="196"/>
      <c r="UWA56" s="196"/>
      <c r="UWB56" s="196"/>
      <c r="UWC56" s="196"/>
      <c r="UWD56" s="196"/>
      <c r="UWE56" s="196"/>
      <c r="UWF56" s="196"/>
      <c r="UWG56" s="196"/>
      <c r="UWH56" s="196"/>
      <c r="UWI56" s="196"/>
      <c r="UWJ56" s="196"/>
      <c r="UWK56" s="196"/>
      <c r="UWL56" s="196"/>
      <c r="UWM56" s="196"/>
      <c r="UWN56" s="196"/>
      <c r="UWO56" s="196"/>
      <c r="UWP56" s="196"/>
      <c r="UWQ56" s="196"/>
      <c r="UWR56" s="196"/>
      <c r="UWS56" s="196"/>
      <c r="UWT56" s="196"/>
      <c r="UWU56" s="196"/>
      <c r="UWV56" s="196"/>
      <c r="UWW56" s="196"/>
      <c r="UWX56" s="196"/>
      <c r="UWY56" s="196"/>
      <c r="UWZ56" s="196"/>
      <c r="UXA56" s="196"/>
      <c r="UXB56" s="196"/>
      <c r="UXC56" s="196"/>
      <c r="UXD56" s="196"/>
      <c r="UXE56" s="196"/>
      <c r="UXF56" s="196"/>
      <c r="UXG56" s="196"/>
      <c r="UXH56" s="196"/>
      <c r="UXI56" s="196"/>
      <c r="UXJ56" s="196"/>
      <c r="UXK56" s="196"/>
      <c r="UXL56" s="196"/>
      <c r="UXM56" s="196"/>
      <c r="UXN56" s="196"/>
      <c r="UXO56" s="196"/>
      <c r="UXP56" s="196"/>
      <c r="UXQ56" s="196"/>
      <c r="UXR56" s="196"/>
      <c r="UXS56" s="196"/>
      <c r="UXT56" s="196"/>
      <c r="UXU56" s="196"/>
      <c r="UXV56" s="196"/>
      <c r="UXW56" s="196"/>
      <c r="UXX56" s="196"/>
      <c r="UXY56" s="196"/>
      <c r="UXZ56" s="196"/>
      <c r="UYA56" s="196"/>
      <c r="UYB56" s="196"/>
      <c r="UYC56" s="196"/>
      <c r="UYD56" s="196"/>
      <c r="UYE56" s="196"/>
      <c r="UYF56" s="196"/>
      <c r="UYG56" s="196"/>
      <c r="UYH56" s="196"/>
      <c r="UYI56" s="196"/>
      <c r="UYJ56" s="196"/>
      <c r="UYK56" s="196"/>
      <c r="UYL56" s="196"/>
      <c r="UYM56" s="196"/>
      <c r="UYN56" s="196"/>
      <c r="UYO56" s="196"/>
      <c r="UYP56" s="196"/>
      <c r="UYQ56" s="196"/>
      <c r="UYR56" s="196"/>
      <c r="UYS56" s="196"/>
      <c r="UYT56" s="196"/>
      <c r="UYU56" s="196"/>
      <c r="UYV56" s="196"/>
      <c r="UYW56" s="196"/>
      <c r="UYX56" s="196"/>
      <c r="UYY56" s="196"/>
      <c r="UYZ56" s="196"/>
      <c r="UZA56" s="196"/>
      <c r="UZB56" s="196"/>
      <c r="UZC56" s="196"/>
      <c r="UZD56" s="196"/>
      <c r="UZE56" s="196"/>
      <c r="UZF56" s="196"/>
      <c r="UZG56" s="196"/>
      <c r="UZH56" s="196"/>
      <c r="UZI56" s="196"/>
      <c r="UZJ56" s="196"/>
      <c r="UZK56" s="196"/>
      <c r="UZL56" s="196"/>
      <c r="UZM56" s="196"/>
      <c r="UZN56" s="196"/>
      <c r="UZO56" s="196"/>
      <c r="UZP56" s="196"/>
      <c r="UZQ56" s="196"/>
      <c r="UZR56" s="196"/>
      <c r="UZS56" s="196"/>
      <c r="UZT56" s="196"/>
      <c r="UZU56" s="196"/>
      <c r="UZV56" s="196"/>
      <c r="UZW56" s="196"/>
      <c r="UZX56" s="196"/>
      <c r="UZY56" s="196"/>
      <c r="UZZ56" s="196"/>
      <c r="VAA56" s="196"/>
      <c r="VAB56" s="196"/>
      <c r="VAC56" s="196"/>
      <c r="VAD56" s="196"/>
      <c r="VAE56" s="196"/>
      <c r="VAF56" s="196"/>
      <c r="VAG56" s="196"/>
      <c r="VAH56" s="196"/>
      <c r="VAI56" s="196"/>
      <c r="VAJ56" s="196"/>
      <c r="VAK56" s="196"/>
      <c r="VAL56" s="196"/>
      <c r="VAM56" s="196"/>
      <c r="VAN56" s="196"/>
      <c r="VAO56" s="196"/>
      <c r="VAP56" s="196"/>
      <c r="VAQ56" s="196"/>
      <c r="VAR56" s="196"/>
      <c r="VAS56" s="196"/>
      <c r="VAT56" s="196"/>
      <c r="VAU56" s="196"/>
      <c r="VAV56" s="196"/>
      <c r="VAW56" s="196"/>
      <c r="VAX56" s="196"/>
      <c r="VAY56" s="196"/>
      <c r="VAZ56" s="196"/>
      <c r="VBA56" s="196"/>
      <c r="VBB56" s="196"/>
      <c r="VBC56" s="196"/>
      <c r="VBD56" s="196"/>
      <c r="VBE56" s="196"/>
      <c r="VBF56" s="196"/>
      <c r="VBG56" s="196"/>
      <c r="VBH56" s="196"/>
      <c r="VBI56" s="196"/>
      <c r="VBJ56" s="196"/>
      <c r="VBK56" s="196"/>
      <c r="VBL56" s="196"/>
      <c r="VBM56" s="196"/>
      <c r="VBN56" s="196"/>
      <c r="VBO56" s="196"/>
      <c r="VBP56" s="196"/>
      <c r="VBQ56" s="196"/>
      <c r="VBR56" s="196"/>
      <c r="VBS56" s="196"/>
      <c r="VBT56" s="196"/>
      <c r="VBU56" s="196"/>
      <c r="VBV56" s="196"/>
      <c r="VBW56" s="196"/>
      <c r="VBX56" s="196"/>
      <c r="VBY56" s="196"/>
      <c r="VBZ56" s="196"/>
      <c r="VCA56" s="196"/>
      <c r="VCB56" s="196"/>
      <c r="VCC56" s="196"/>
      <c r="VCD56" s="196"/>
      <c r="VCE56" s="196"/>
      <c r="VCF56" s="196"/>
      <c r="VCG56" s="196"/>
      <c r="VCH56" s="196"/>
      <c r="VCI56" s="196"/>
      <c r="VCJ56" s="196"/>
      <c r="VCK56" s="196"/>
      <c r="VCL56" s="196"/>
      <c r="VCM56" s="196"/>
      <c r="VCN56" s="196"/>
      <c r="VCO56" s="196"/>
      <c r="VCP56" s="196"/>
      <c r="VCQ56" s="196"/>
      <c r="VCR56" s="196"/>
      <c r="VCS56" s="196"/>
      <c r="VCT56" s="196"/>
      <c r="VCU56" s="196"/>
      <c r="VCV56" s="196"/>
      <c r="VCW56" s="196"/>
      <c r="VCX56" s="196"/>
      <c r="VCY56" s="196"/>
      <c r="VCZ56" s="196"/>
      <c r="VDA56" s="196"/>
      <c r="VDB56" s="196"/>
      <c r="VDC56" s="196"/>
      <c r="VDD56" s="196"/>
      <c r="VDE56" s="196"/>
      <c r="VDF56" s="196"/>
      <c r="VDG56" s="196"/>
      <c r="VDH56" s="196"/>
      <c r="VDI56" s="196"/>
      <c r="VDJ56" s="196"/>
      <c r="VDK56" s="196"/>
      <c r="VDL56" s="196"/>
      <c r="VDM56" s="196"/>
      <c r="VDN56" s="196"/>
      <c r="VDO56" s="196"/>
      <c r="VDP56" s="196"/>
      <c r="VDQ56" s="196"/>
      <c r="VDR56" s="196"/>
      <c r="VDS56" s="196"/>
      <c r="VDT56" s="196"/>
      <c r="VDU56" s="196"/>
      <c r="VDV56" s="196"/>
      <c r="VDW56" s="196"/>
      <c r="VDX56" s="196"/>
      <c r="VDY56" s="196"/>
      <c r="VDZ56" s="196"/>
      <c r="VEA56" s="196"/>
      <c r="VEB56" s="196"/>
      <c r="VEC56" s="196"/>
      <c r="VED56" s="196"/>
      <c r="VEE56" s="196"/>
      <c r="VEF56" s="196"/>
      <c r="VEG56" s="196"/>
      <c r="VEH56" s="196"/>
      <c r="VEI56" s="196"/>
      <c r="VEJ56" s="196"/>
      <c r="VEK56" s="196"/>
      <c r="VEL56" s="196"/>
      <c r="VEM56" s="196"/>
      <c r="VEN56" s="196"/>
      <c r="VEO56" s="196"/>
      <c r="VEP56" s="196"/>
      <c r="VEQ56" s="196"/>
      <c r="VER56" s="196"/>
      <c r="VES56" s="196"/>
      <c r="VET56" s="196"/>
      <c r="VEU56" s="196"/>
      <c r="VEV56" s="196"/>
      <c r="VEW56" s="196"/>
      <c r="VEX56" s="196"/>
      <c r="VEY56" s="196"/>
      <c r="VEZ56" s="196"/>
      <c r="VFA56" s="196"/>
      <c r="VFB56" s="196"/>
      <c r="VFC56" s="196"/>
      <c r="VFD56" s="196"/>
      <c r="VFE56" s="196"/>
      <c r="VFF56" s="196"/>
      <c r="VFG56" s="196"/>
      <c r="VFH56" s="196"/>
      <c r="VFI56" s="196"/>
      <c r="VFJ56" s="196"/>
      <c r="VFK56" s="196"/>
      <c r="VFL56" s="196"/>
      <c r="VFM56" s="196"/>
      <c r="VFN56" s="196"/>
      <c r="VFO56" s="196"/>
      <c r="VFP56" s="196"/>
      <c r="VFQ56" s="196"/>
      <c r="VFR56" s="196"/>
      <c r="VFS56" s="196"/>
      <c r="VFT56" s="196"/>
      <c r="VFU56" s="196"/>
      <c r="VFV56" s="196"/>
      <c r="VFW56" s="196"/>
      <c r="VFX56" s="196"/>
      <c r="VFY56" s="196"/>
      <c r="VFZ56" s="196"/>
      <c r="VGA56" s="196"/>
      <c r="VGB56" s="196"/>
      <c r="VGC56" s="196"/>
      <c r="VGD56" s="196"/>
      <c r="VGE56" s="196"/>
      <c r="VGF56" s="196"/>
      <c r="VGG56" s="196"/>
      <c r="VGH56" s="196"/>
      <c r="VGI56" s="196"/>
      <c r="VGJ56" s="196"/>
      <c r="VGK56" s="196"/>
      <c r="VGL56" s="196"/>
      <c r="VGM56" s="196"/>
      <c r="VGN56" s="196"/>
      <c r="VGO56" s="196"/>
      <c r="VGP56" s="196"/>
      <c r="VGQ56" s="196"/>
      <c r="VGR56" s="196"/>
      <c r="VGS56" s="196"/>
      <c r="VGT56" s="196"/>
      <c r="VGU56" s="196"/>
      <c r="VGV56" s="196"/>
      <c r="VGW56" s="196"/>
      <c r="VGX56" s="196"/>
      <c r="VGY56" s="196"/>
      <c r="VGZ56" s="196"/>
      <c r="VHA56" s="196"/>
      <c r="VHB56" s="196"/>
      <c r="VHC56" s="196"/>
      <c r="VHD56" s="196"/>
      <c r="VHE56" s="196"/>
      <c r="VHF56" s="196"/>
      <c r="VHG56" s="196"/>
      <c r="VHH56" s="196"/>
      <c r="VHI56" s="196"/>
      <c r="VHJ56" s="196"/>
      <c r="VHK56" s="196"/>
      <c r="VHL56" s="196"/>
      <c r="VHM56" s="196"/>
      <c r="VHN56" s="196"/>
      <c r="VHO56" s="196"/>
      <c r="VHP56" s="196"/>
      <c r="VHQ56" s="196"/>
      <c r="VHR56" s="196"/>
      <c r="VHS56" s="196"/>
      <c r="VHT56" s="196"/>
      <c r="VHU56" s="196"/>
      <c r="VHV56" s="196"/>
      <c r="VHW56" s="196"/>
      <c r="VHX56" s="196"/>
      <c r="VHY56" s="196"/>
      <c r="VHZ56" s="196"/>
      <c r="VIA56" s="196"/>
      <c r="VIB56" s="196"/>
      <c r="VIC56" s="196"/>
      <c r="VID56" s="196"/>
      <c r="VIE56" s="196"/>
      <c r="VIF56" s="196"/>
      <c r="VIG56" s="196"/>
      <c r="VIH56" s="196"/>
      <c r="VII56" s="196"/>
      <c r="VIJ56" s="196"/>
      <c r="VIK56" s="196"/>
      <c r="VIL56" s="196"/>
      <c r="VIM56" s="196"/>
      <c r="VIN56" s="196"/>
      <c r="VIO56" s="196"/>
      <c r="VIP56" s="196"/>
      <c r="VIQ56" s="196"/>
      <c r="VIR56" s="196"/>
      <c r="VIS56" s="196"/>
      <c r="VIT56" s="196"/>
      <c r="VIU56" s="196"/>
      <c r="VIV56" s="196"/>
      <c r="VIW56" s="196"/>
      <c r="VIX56" s="196"/>
      <c r="VIY56" s="196"/>
      <c r="VIZ56" s="196"/>
      <c r="VJA56" s="196"/>
      <c r="VJB56" s="196"/>
      <c r="VJC56" s="196"/>
      <c r="VJD56" s="196"/>
      <c r="VJE56" s="196"/>
      <c r="VJF56" s="196"/>
      <c r="VJG56" s="196"/>
      <c r="VJH56" s="196"/>
      <c r="VJI56" s="196"/>
      <c r="VJJ56" s="196"/>
      <c r="VJK56" s="196"/>
      <c r="VJL56" s="196"/>
      <c r="VJM56" s="196"/>
      <c r="VJN56" s="196"/>
      <c r="VJO56" s="196"/>
      <c r="VJP56" s="196"/>
      <c r="VJQ56" s="196"/>
      <c r="VJR56" s="196"/>
      <c r="VJS56" s="196"/>
      <c r="VJT56" s="196"/>
      <c r="VJU56" s="196"/>
      <c r="VJV56" s="196"/>
      <c r="VJW56" s="196"/>
      <c r="VJX56" s="196"/>
      <c r="VJY56" s="196"/>
      <c r="VJZ56" s="196"/>
      <c r="VKA56" s="196"/>
      <c r="VKB56" s="196"/>
      <c r="VKC56" s="196"/>
      <c r="VKD56" s="196"/>
      <c r="VKE56" s="196"/>
      <c r="VKF56" s="196"/>
      <c r="VKG56" s="196"/>
      <c r="VKH56" s="196"/>
      <c r="VKI56" s="196"/>
      <c r="VKJ56" s="196"/>
      <c r="VKK56" s="196"/>
      <c r="VKL56" s="196"/>
      <c r="VKM56" s="196"/>
      <c r="VKN56" s="196"/>
      <c r="VKO56" s="196"/>
      <c r="VKP56" s="196"/>
      <c r="VKQ56" s="196"/>
      <c r="VKR56" s="196"/>
      <c r="VKS56" s="196"/>
      <c r="VKT56" s="196"/>
      <c r="VKU56" s="196"/>
      <c r="VKV56" s="196"/>
      <c r="VKW56" s="196"/>
      <c r="VKX56" s="196"/>
      <c r="VKY56" s="196"/>
      <c r="VKZ56" s="196"/>
      <c r="VLA56" s="196"/>
      <c r="VLB56" s="196"/>
      <c r="VLC56" s="196"/>
      <c r="VLD56" s="196"/>
      <c r="VLE56" s="196"/>
      <c r="VLF56" s="196"/>
      <c r="VLG56" s="196"/>
      <c r="VLH56" s="196"/>
      <c r="VLI56" s="196"/>
      <c r="VLJ56" s="196"/>
      <c r="VLK56" s="196"/>
      <c r="VLL56" s="196"/>
      <c r="VLM56" s="196"/>
      <c r="VLN56" s="196"/>
      <c r="VLO56" s="196"/>
      <c r="VLP56" s="196"/>
      <c r="VLQ56" s="196"/>
      <c r="VLR56" s="196"/>
      <c r="VLS56" s="196"/>
      <c r="VLT56" s="196"/>
      <c r="VLU56" s="196"/>
      <c r="VLV56" s="196"/>
      <c r="VLW56" s="196"/>
      <c r="VLX56" s="196"/>
      <c r="VLY56" s="196"/>
      <c r="VLZ56" s="196"/>
      <c r="VMA56" s="196"/>
      <c r="VMB56" s="196"/>
      <c r="VMC56" s="196"/>
      <c r="VMD56" s="196"/>
      <c r="VME56" s="196"/>
      <c r="VMF56" s="196"/>
      <c r="VMG56" s="196"/>
      <c r="VMH56" s="196"/>
      <c r="VMI56" s="196"/>
      <c r="VMJ56" s="196"/>
      <c r="VMK56" s="196"/>
      <c r="VML56" s="196"/>
      <c r="VMM56" s="196"/>
      <c r="VMN56" s="196"/>
      <c r="VMO56" s="196"/>
      <c r="VMP56" s="196"/>
      <c r="VMQ56" s="196"/>
      <c r="VMR56" s="196"/>
      <c r="VMS56" s="196"/>
      <c r="VMT56" s="196"/>
      <c r="VMU56" s="196"/>
      <c r="VMV56" s="196"/>
      <c r="VMW56" s="196"/>
      <c r="VMX56" s="196"/>
      <c r="VMY56" s="196"/>
      <c r="VMZ56" s="196"/>
      <c r="VNA56" s="196"/>
      <c r="VNB56" s="196"/>
      <c r="VNC56" s="196"/>
      <c r="VND56" s="196"/>
      <c r="VNE56" s="196"/>
      <c r="VNF56" s="196"/>
      <c r="VNG56" s="196"/>
      <c r="VNH56" s="196"/>
      <c r="VNI56" s="196"/>
      <c r="VNJ56" s="196"/>
      <c r="VNK56" s="196"/>
      <c r="VNL56" s="196"/>
      <c r="VNM56" s="196"/>
      <c r="VNN56" s="196"/>
      <c r="VNO56" s="196"/>
      <c r="VNP56" s="196"/>
      <c r="VNQ56" s="196"/>
      <c r="VNR56" s="196"/>
      <c r="VNS56" s="196"/>
      <c r="VNT56" s="196"/>
      <c r="VNU56" s="196"/>
      <c r="VNV56" s="196"/>
      <c r="VNW56" s="196"/>
      <c r="VNX56" s="196"/>
      <c r="VNY56" s="196"/>
      <c r="VNZ56" s="196"/>
      <c r="VOA56" s="196"/>
      <c r="VOB56" s="196"/>
      <c r="VOC56" s="196"/>
      <c r="VOD56" s="196"/>
      <c r="VOE56" s="196"/>
      <c r="VOF56" s="196"/>
      <c r="VOG56" s="196"/>
      <c r="VOH56" s="196"/>
      <c r="VOI56" s="196"/>
      <c r="VOJ56" s="196"/>
      <c r="VOK56" s="196"/>
      <c r="VOL56" s="196"/>
      <c r="VOM56" s="196"/>
      <c r="VON56" s="196"/>
      <c r="VOO56" s="196"/>
      <c r="VOP56" s="196"/>
      <c r="VOQ56" s="196"/>
      <c r="VOR56" s="196"/>
      <c r="VOS56" s="196"/>
      <c r="VOT56" s="196"/>
      <c r="VOU56" s="196"/>
      <c r="VOV56" s="196"/>
      <c r="VOW56" s="196"/>
      <c r="VOX56" s="196"/>
      <c r="VOY56" s="196"/>
      <c r="VOZ56" s="196"/>
      <c r="VPA56" s="196"/>
      <c r="VPB56" s="196"/>
      <c r="VPC56" s="196"/>
      <c r="VPD56" s="196"/>
      <c r="VPE56" s="196"/>
      <c r="VPF56" s="196"/>
      <c r="VPG56" s="196"/>
      <c r="VPH56" s="196"/>
      <c r="VPI56" s="196"/>
      <c r="VPJ56" s="196"/>
      <c r="VPK56" s="196"/>
      <c r="VPL56" s="196"/>
      <c r="VPM56" s="196"/>
      <c r="VPN56" s="196"/>
      <c r="VPO56" s="196"/>
      <c r="VPP56" s="196"/>
      <c r="VPQ56" s="196"/>
      <c r="VPR56" s="196"/>
      <c r="VPS56" s="196"/>
      <c r="VPT56" s="196"/>
      <c r="VPU56" s="196"/>
      <c r="VPV56" s="196"/>
      <c r="VPW56" s="196"/>
      <c r="VPX56" s="196"/>
      <c r="VPY56" s="196"/>
      <c r="VPZ56" s="196"/>
      <c r="VQA56" s="196"/>
      <c r="VQB56" s="196"/>
      <c r="VQC56" s="196"/>
      <c r="VQD56" s="196"/>
      <c r="VQE56" s="196"/>
      <c r="VQF56" s="196"/>
      <c r="VQG56" s="196"/>
      <c r="VQH56" s="196"/>
      <c r="VQI56" s="196"/>
      <c r="VQJ56" s="196"/>
      <c r="VQK56" s="196"/>
      <c r="VQL56" s="196"/>
      <c r="VQM56" s="196"/>
      <c r="VQN56" s="196"/>
      <c r="VQO56" s="196"/>
      <c r="VQP56" s="196"/>
      <c r="VQQ56" s="196"/>
      <c r="VQR56" s="196"/>
      <c r="VQS56" s="196"/>
      <c r="VQT56" s="196"/>
      <c r="VQU56" s="196"/>
      <c r="VQV56" s="196"/>
      <c r="VQW56" s="196"/>
      <c r="VQX56" s="196"/>
      <c r="VQY56" s="196"/>
      <c r="VQZ56" s="196"/>
      <c r="VRA56" s="196"/>
      <c r="VRB56" s="196"/>
      <c r="VRC56" s="196"/>
      <c r="VRD56" s="196"/>
      <c r="VRE56" s="196"/>
      <c r="VRF56" s="196"/>
      <c r="VRG56" s="196"/>
      <c r="VRH56" s="196"/>
      <c r="VRI56" s="196"/>
      <c r="VRJ56" s="196"/>
      <c r="VRK56" s="196"/>
      <c r="VRL56" s="196"/>
      <c r="VRM56" s="196"/>
      <c r="VRN56" s="196"/>
      <c r="VRO56" s="196"/>
      <c r="VRP56" s="196"/>
      <c r="VRQ56" s="196"/>
      <c r="VRR56" s="196"/>
      <c r="VRS56" s="196"/>
      <c r="VRT56" s="196"/>
      <c r="VRU56" s="196"/>
      <c r="VRV56" s="196"/>
      <c r="VRW56" s="196"/>
      <c r="VRX56" s="196"/>
      <c r="VRY56" s="196"/>
      <c r="VRZ56" s="196"/>
      <c r="VSA56" s="196"/>
      <c r="VSB56" s="196"/>
      <c r="VSC56" s="196"/>
      <c r="VSD56" s="196"/>
      <c r="VSE56" s="196"/>
      <c r="VSF56" s="196"/>
      <c r="VSG56" s="196"/>
      <c r="VSH56" s="196"/>
      <c r="VSI56" s="196"/>
      <c r="VSJ56" s="196"/>
      <c r="VSK56" s="196"/>
      <c r="VSL56" s="196"/>
      <c r="VSM56" s="196"/>
      <c r="VSN56" s="196"/>
      <c r="VSO56" s="196"/>
      <c r="VSP56" s="196"/>
      <c r="VSQ56" s="196"/>
      <c r="VSR56" s="196"/>
      <c r="VSS56" s="196"/>
      <c r="VST56" s="196"/>
      <c r="VSU56" s="196"/>
      <c r="VSV56" s="196"/>
      <c r="VSW56" s="196"/>
      <c r="VSX56" s="196"/>
      <c r="VSY56" s="196"/>
      <c r="VSZ56" s="196"/>
      <c r="VTA56" s="196"/>
      <c r="VTB56" s="196"/>
      <c r="VTC56" s="196"/>
      <c r="VTD56" s="196"/>
      <c r="VTE56" s="196"/>
      <c r="VTF56" s="196"/>
      <c r="VTG56" s="196"/>
      <c r="VTH56" s="196"/>
      <c r="VTI56" s="196"/>
      <c r="VTJ56" s="196"/>
      <c r="VTK56" s="196"/>
      <c r="VTL56" s="196"/>
      <c r="VTM56" s="196"/>
      <c r="VTN56" s="196"/>
      <c r="VTO56" s="196"/>
      <c r="VTP56" s="196"/>
      <c r="VTQ56" s="196"/>
      <c r="VTR56" s="196"/>
      <c r="VTS56" s="196"/>
      <c r="VTT56" s="196"/>
      <c r="VTU56" s="196"/>
      <c r="VTV56" s="196"/>
      <c r="VTW56" s="196"/>
      <c r="VTX56" s="196"/>
      <c r="VTY56" s="196"/>
      <c r="VTZ56" s="196"/>
      <c r="VUA56" s="196"/>
      <c r="VUB56" s="196"/>
      <c r="VUC56" s="196"/>
      <c r="VUD56" s="196"/>
      <c r="VUE56" s="196"/>
      <c r="VUF56" s="196"/>
      <c r="VUG56" s="196"/>
      <c r="VUH56" s="196"/>
      <c r="VUI56" s="196"/>
      <c r="VUJ56" s="196"/>
      <c r="VUK56" s="196"/>
      <c r="VUL56" s="196"/>
      <c r="VUM56" s="196"/>
      <c r="VUN56" s="196"/>
      <c r="VUO56" s="196"/>
      <c r="VUP56" s="196"/>
      <c r="VUQ56" s="196"/>
      <c r="VUR56" s="196"/>
      <c r="VUS56" s="196"/>
      <c r="VUT56" s="196"/>
      <c r="VUU56" s="196"/>
      <c r="VUV56" s="196"/>
      <c r="VUW56" s="196"/>
      <c r="VUX56" s="196"/>
      <c r="VUY56" s="196"/>
      <c r="VUZ56" s="196"/>
      <c r="VVA56" s="196"/>
      <c r="VVB56" s="196"/>
      <c r="VVC56" s="196"/>
      <c r="VVD56" s="196"/>
      <c r="VVE56" s="196"/>
      <c r="VVF56" s="196"/>
      <c r="VVG56" s="196"/>
      <c r="VVH56" s="196"/>
      <c r="VVI56" s="196"/>
      <c r="VVJ56" s="196"/>
      <c r="VVK56" s="196"/>
      <c r="VVL56" s="196"/>
      <c r="VVM56" s="196"/>
      <c r="VVN56" s="196"/>
      <c r="VVO56" s="196"/>
      <c r="VVP56" s="196"/>
      <c r="VVQ56" s="196"/>
      <c r="VVR56" s="196"/>
      <c r="VVS56" s="196"/>
      <c r="VVT56" s="196"/>
      <c r="VVU56" s="196"/>
      <c r="VVV56" s="196"/>
      <c r="VVW56" s="196"/>
      <c r="VVX56" s="196"/>
      <c r="VVY56" s="196"/>
      <c r="VVZ56" s="196"/>
      <c r="VWA56" s="196"/>
      <c r="VWB56" s="196"/>
      <c r="VWC56" s="196"/>
      <c r="VWD56" s="196"/>
      <c r="VWE56" s="196"/>
      <c r="VWF56" s="196"/>
      <c r="VWG56" s="196"/>
      <c r="VWH56" s="196"/>
      <c r="VWI56" s="196"/>
      <c r="VWJ56" s="196"/>
      <c r="VWK56" s="196"/>
      <c r="VWL56" s="196"/>
      <c r="VWM56" s="196"/>
      <c r="VWN56" s="196"/>
      <c r="VWO56" s="196"/>
      <c r="VWP56" s="196"/>
      <c r="VWQ56" s="196"/>
      <c r="VWR56" s="196"/>
      <c r="VWS56" s="196"/>
      <c r="VWT56" s="196"/>
      <c r="VWU56" s="196"/>
      <c r="VWV56" s="196"/>
      <c r="VWW56" s="196"/>
      <c r="VWX56" s="196"/>
      <c r="VWY56" s="196"/>
      <c r="VWZ56" s="196"/>
      <c r="VXA56" s="196"/>
      <c r="VXB56" s="196"/>
      <c r="VXC56" s="196"/>
      <c r="VXD56" s="196"/>
      <c r="VXE56" s="196"/>
      <c r="VXF56" s="196"/>
      <c r="VXG56" s="196"/>
      <c r="VXH56" s="196"/>
      <c r="VXI56" s="196"/>
      <c r="VXJ56" s="196"/>
      <c r="VXK56" s="196"/>
      <c r="VXL56" s="196"/>
      <c r="VXM56" s="196"/>
      <c r="VXN56" s="196"/>
      <c r="VXO56" s="196"/>
      <c r="VXP56" s="196"/>
      <c r="VXQ56" s="196"/>
      <c r="VXR56" s="196"/>
      <c r="VXS56" s="196"/>
      <c r="VXT56" s="196"/>
      <c r="VXU56" s="196"/>
      <c r="VXV56" s="196"/>
      <c r="VXW56" s="196"/>
      <c r="VXX56" s="196"/>
      <c r="VXY56" s="196"/>
      <c r="VXZ56" s="196"/>
      <c r="VYA56" s="196"/>
      <c r="VYB56" s="196"/>
      <c r="VYC56" s="196"/>
      <c r="VYD56" s="196"/>
      <c r="VYE56" s="196"/>
      <c r="VYF56" s="196"/>
      <c r="VYG56" s="196"/>
      <c r="VYH56" s="196"/>
      <c r="VYI56" s="196"/>
      <c r="VYJ56" s="196"/>
      <c r="VYK56" s="196"/>
      <c r="VYL56" s="196"/>
      <c r="VYM56" s="196"/>
      <c r="VYN56" s="196"/>
      <c r="VYO56" s="196"/>
      <c r="VYP56" s="196"/>
      <c r="VYQ56" s="196"/>
      <c r="VYR56" s="196"/>
      <c r="VYS56" s="196"/>
      <c r="VYT56" s="196"/>
      <c r="VYU56" s="196"/>
      <c r="VYV56" s="196"/>
      <c r="VYW56" s="196"/>
      <c r="VYX56" s="196"/>
      <c r="VYY56" s="196"/>
      <c r="VYZ56" s="196"/>
      <c r="VZA56" s="196"/>
      <c r="VZB56" s="196"/>
      <c r="VZC56" s="196"/>
      <c r="VZD56" s="196"/>
      <c r="VZE56" s="196"/>
      <c r="VZF56" s="196"/>
      <c r="VZG56" s="196"/>
      <c r="VZH56" s="196"/>
      <c r="VZI56" s="196"/>
      <c r="VZJ56" s="196"/>
      <c r="VZK56" s="196"/>
      <c r="VZL56" s="196"/>
      <c r="VZM56" s="196"/>
      <c r="VZN56" s="196"/>
      <c r="VZO56" s="196"/>
      <c r="VZP56" s="196"/>
      <c r="VZQ56" s="196"/>
      <c r="VZR56" s="196"/>
      <c r="VZS56" s="196"/>
      <c r="VZT56" s="196"/>
      <c r="VZU56" s="196"/>
      <c r="VZV56" s="196"/>
      <c r="VZW56" s="196"/>
      <c r="VZX56" s="196"/>
      <c r="VZY56" s="196"/>
      <c r="VZZ56" s="196"/>
      <c r="WAA56" s="196"/>
      <c r="WAB56" s="196"/>
      <c r="WAC56" s="196"/>
      <c r="WAD56" s="196"/>
      <c r="WAE56" s="196"/>
      <c r="WAF56" s="196"/>
      <c r="WAG56" s="196"/>
      <c r="WAH56" s="196"/>
      <c r="WAI56" s="196"/>
      <c r="WAJ56" s="196"/>
      <c r="WAK56" s="196"/>
      <c r="WAL56" s="196"/>
      <c r="WAM56" s="196"/>
      <c r="WAN56" s="196"/>
      <c r="WAO56" s="196"/>
      <c r="WAP56" s="196"/>
      <c r="WAQ56" s="196"/>
      <c r="WAR56" s="196"/>
      <c r="WAS56" s="196"/>
      <c r="WAT56" s="196"/>
      <c r="WAU56" s="196"/>
      <c r="WAV56" s="196"/>
      <c r="WAW56" s="196"/>
      <c r="WAX56" s="196"/>
      <c r="WAY56" s="196"/>
      <c r="WAZ56" s="196"/>
      <c r="WBA56" s="196"/>
      <c r="WBB56" s="196"/>
      <c r="WBC56" s="196"/>
      <c r="WBD56" s="196"/>
      <c r="WBE56" s="196"/>
      <c r="WBF56" s="196"/>
      <c r="WBG56" s="196"/>
      <c r="WBH56" s="196"/>
      <c r="WBI56" s="196"/>
      <c r="WBJ56" s="196"/>
      <c r="WBK56" s="196"/>
      <c r="WBL56" s="196"/>
      <c r="WBM56" s="196"/>
      <c r="WBN56" s="196"/>
      <c r="WBO56" s="196"/>
      <c r="WBP56" s="196"/>
      <c r="WBQ56" s="196"/>
      <c r="WBR56" s="196"/>
      <c r="WBS56" s="196"/>
      <c r="WBT56" s="196"/>
      <c r="WBU56" s="196"/>
      <c r="WBV56" s="196"/>
      <c r="WBW56" s="196"/>
      <c r="WBX56" s="196"/>
      <c r="WBY56" s="196"/>
      <c r="WBZ56" s="196"/>
      <c r="WCA56" s="196"/>
      <c r="WCB56" s="196"/>
      <c r="WCC56" s="196"/>
      <c r="WCD56" s="196"/>
      <c r="WCE56" s="196"/>
      <c r="WCF56" s="196"/>
      <c r="WCG56" s="196"/>
      <c r="WCH56" s="196"/>
      <c r="WCI56" s="196"/>
      <c r="WCJ56" s="196"/>
      <c r="WCK56" s="196"/>
      <c r="WCL56" s="196"/>
      <c r="WCM56" s="196"/>
      <c r="WCN56" s="196"/>
      <c r="WCO56" s="196"/>
      <c r="WCP56" s="196"/>
      <c r="WCQ56" s="196"/>
      <c r="WCR56" s="196"/>
      <c r="WCS56" s="196"/>
      <c r="WCT56" s="196"/>
      <c r="WCU56" s="196"/>
      <c r="WCV56" s="196"/>
      <c r="WCW56" s="196"/>
      <c r="WCX56" s="196"/>
      <c r="WCY56" s="196"/>
      <c r="WCZ56" s="196"/>
      <c r="WDA56" s="196"/>
      <c r="WDB56" s="196"/>
      <c r="WDC56" s="196"/>
      <c r="WDD56" s="196"/>
      <c r="WDE56" s="196"/>
      <c r="WDF56" s="196"/>
      <c r="WDG56" s="196"/>
      <c r="WDH56" s="196"/>
      <c r="WDI56" s="196"/>
      <c r="WDJ56" s="196"/>
      <c r="WDK56" s="196"/>
      <c r="WDL56" s="196"/>
      <c r="WDM56" s="196"/>
      <c r="WDN56" s="196"/>
      <c r="WDO56" s="196"/>
      <c r="WDP56" s="196"/>
      <c r="WDQ56" s="196"/>
      <c r="WDR56" s="196"/>
      <c r="WDS56" s="196"/>
      <c r="WDT56" s="196"/>
      <c r="WDU56" s="196"/>
      <c r="WDV56" s="196"/>
      <c r="WDW56" s="196"/>
      <c r="WDX56" s="196"/>
      <c r="WDY56" s="196"/>
      <c r="WDZ56" s="196"/>
      <c r="WEA56" s="196"/>
      <c r="WEB56" s="196"/>
      <c r="WEC56" s="196"/>
      <c r="WED56" s="196"/>
      <c r="WEE56" s="196"/>
      <c r="WEF56" s="196"/>
      <c r="WEG56" s="196"/>
      <c r="WEH56" s="196"/>
      <c r="WEI56" s="196"/>
      <c r="WEJ56" s="196"/>
      <c r="WEK56" s="196"/>
      <c r="WEL56" s="196"/>
      <c r="WEM56" s="196"/>
      <c r="WEN56" s="196"/>
      <c r="WEO56" s="196"/>
      <c r="WEP56" s="196"/>
      <c r="WEQ56" s="196"/>
      <c r="WER56" s="196"/>
      <c r="WES56" s="196"/>
      <c r="WET56" s="196"/>
      <c r="WEU56" s="196"/>
      <c r="WEV56" s="196"/>
      <c r="WEW56" s="196"/>
      <c r="WEX56" s="196"/>
      <c r="WEY56" s="196"/>
      <c r="WEZ56" s="196"/>
      <c r="WFA56" s="196"/>
      <c r="WFB56" s="196"/>
      <c r="WFC56" s="196"/>
      <c r="WFD56" s="196"/>
      <c r="WFE56" s="196"/>
      <c r="WFF56" s="196"/>
      <c r="WFG56" s="196"/>
      <c r="WFH56" s="196"/>
      <c r="WFI56" s="196"/>
      <c r="WFJ56" s="196"/>
      <c r="WFK56" s="196"/>
      <c r="WFL56" s="196"/>
      <c r="WFM56" s="196"/>
      <c r="WFN56" s="196"/>
      <c r="WFO56" s="196"/>
      <c r="WFP56" s="196"/>
      <c r="WFQ56" s="196"/>
      <c r="WFR56" s="196"/>
      <c r="WFS56" s="196"/>
      <c r="WFT56" s="196"/>
      <c r="WFU56" s="196"/>
      <c r="WFV56" s="196"/>
      <c r="WFW56" s="196"/>
      <c r="WFX56" s="196"/>
      <c r="WFY56" s="196"/>
      <c r="WFZ56" s="196"/>
      <c r="WGA56" s="196"/>
      <c r="WGB56" s="196"/>
      <c r="WGC56" s="196"/>
      <c r="WGD56" s="196"/>
      <c r="WGE56" s="196"/>
      <c r="WGF56" s="196"/>
      <c r="WGG56" s="196"/>
      <c r="WGH56" s="196"/>
      <c r="WGI56" s="196"/>
      <c r="WGJ56" s="196"/>
      <c r="WGK56" s="196"/>
      <c r="WGL56" s="196"/>
      <c r="WGM56" s="196"/>
      <c r="WGN56" s="196"/>
      <c r="WGO56" s="196"/>
      <c r="WGP56" s="196"/>
      <c r="WGQ56" s="196"/>
      <c r="WGR56" s="196"/>
      <c r="WGS56" s="196"/>
      <c r="WGT56" s="196"/>
      <c r="WGU56" s="196"/>
      <c r="WGV56" s="196"/>
      <c r="WGW56" s="196"/>
      <c r="WGX56" s="196"/>
      <c r="WGY56" s="196"/>
      <c r="WGZ56" s="196"/>
      <c r="WHA56" s="196"/>
      <c r="WHB56" s="196"/>
      <c r="WHC56" s="196"/>
      <c r="WHD56" s="196"/>
      <c r="WHE56" s="196"/>
      <c r="WHF56" s="196"/>
      <c r="WHG56" s="196"/>
      <c r="WHH56" s="196"/>
      <c r="WHI56" s="196"/>
      <c r="WHJ56" s="196"/>
      <c r="WHK56" s="196"/>
      <c r="WHL56" s="196"/>
      <c r="WHM56" s="196"/>
      <c r="WHN56" s="196"/>
      <c r="WHO56" s="196"/>
      <c r="WHP56" s="196"/>
      <c r="WHQ56" s="196"/>
      <c r="WHR56" s="196"/>
      <c r="WHS56" s="196"/>
      <c r="WHT56" s="196"/>
      <c r="WHU56" s="196"/>
      <c r="WHV56" s="196"/>
      <c r="WHW56" s="196"/>
      <c r="WHX56" s="196"/>
      <c r="WHY56" s="196"/>
      <c r="WHZ56" s="196"/>
      <c r="WIA56" s="196"/>
      <c r="WIB56" s="196"/>
      <c r="WIC56" s="196"/>
      <c r="WID56" s="196"/>
      <c r="WIE56" s="196"/>
      <c r="WIF56" s="196"/>
      <c r="WIG56" s="196"/>
      <c r="WIH56" s="196"/>
      <c r="WII56" s="196"/>
      <c r="WIJ56" s="196"/>
      <c r="WIK56" s="196"/>
      <c r="WIL56" s="196"/>
      <c r="WIM56" s="196"/>
      <c r="WIN56" s="196"/>
      <c r="WIO56" s="196"/>
      <c r="WIP56" s="196"/>
      <c r="WIQ56" s="196"/>
      <c r="WIR56" s="196"/>
      <c r="WIS56" s="196"/>
      <c r="WIT56" s="196"/>
      <c r="WIU56" s="196"/>
      <c r="WIV56" s="196"/>
      <c r="WIW56" s="196"/>
      <c r="WIX56" s="196"/>
      <c r="WIY56" s="196"/>
      <c r="WIZ56" s="196"/>
      <c r="WJA56" s="196"/>
      <c r="WJB56" s="196"/>
      <c r="WJC56" s="196"/>
      <c r="WJD56" s="196"/>
      <c r="WJE56" s="196"/>
      <c r="WJF56" s="196"/>
      <c r="WJG56" s="196"/>
      <c r="WJH56" s="196"/>
      <c r="WJI56" s="196"/>
      <c r="WJJ56" s="196"/>
      <c r="WJK56" s="196"/>
      <c r="WJL56" s="196"/>
      <c r="WJM56" s="196"/>
      <c r="WJN56" s="196"/>
      <c r="WJO56" s="196"/>
      <c r="WJP56" s="196"/>
      <c r="WJQ56" s="196"/>
      <c r="WJR56" s="196"/>
      <c r="WJS56" s="196"/>
      <c r="WJT56" s="196"/>
      <c r="WJU56" s="196"/>
      <c r="WJV56" s="196"/>
      <c r="WJW56" s="196"/>
      <c r="WJX56" s="196"/>
      <c r="WJY56" s="196"/>
      <c r="WJZ56" s="196"/>
      <c r="WKA56" s="196"/>
      <c r="WKB56" s="196"/>
      <c r="WKC56" s="196"/>
      <c r="WKD56" s="196"/>
      <c r="WKE56" s="196"/>
      <c r="WKF56" s="196"/>
      <c r="WKG56" s="196"/>
      <c r="WKH56" s="196"/>
      <c r="WKI56" s="196"/>
      <c r="WKJ56" s="196"/>
      <c r="WKK56" s="196"/>
      <c r="WKL56" s="196"/>
      <c r="WKM56" s="196"/>
      <c r="WKN56" s="196"/>
      <c r="WKO56" s="196"/>
      <c r="WKP56" s="196"/>
      <c r="WKQ56" s="196"/>
      <c r="WKR56" s="196"/>
      <c r="WKS56" s="196"/>
      <c r="WKT56" s="196"/>
      <c r="WKU56" s="196"/>
      <c r="WKV56" s="196"/>
      <c r="WKW56" s="196"/>
      <c r="WKX56" s="196"/>
      <c r="WKY56" s="196"/>
      <c r="WKZ56" s="196"/>
      <c r="WLA56" s="196"/>
      <c r="WLB56" s="196"/>
      <c r="WLC56" s="196"/>
      <c r="WLD56" s="196"/>
      <c r="WLE56" s="196"/>
      <c r="WLF56" s="196"/>
      <c r="WLG56" s="196"/>
      <c r="WLH56" s="196"/>
      <c r="WLI56" s="196"/>
      <c r="WLJ56" s="196"/>
      <c r="WLK56" s="196"/>
      <c r="WLL56" s="196"/>
      <c r="WLM56" s="196"/>
      <c r="WLN56" s="196"/>
      <c r="WLO56" s="196"/>
      <c r="WLP56" s="196"/>
      <c r="WLQ56" s="196"/>
      <c r="WLR56" s="196"/>
      <c r="WLS56" s="196"/>
      <c r="WLT56" s="196"/>
      <c r="WLU56" s="196"/>
      <c r="WLV56" s="196"/>
      <c r="WLW56" s="196"/>
      <c r="WLX56" s="196"/>
      <c r="WLY56" s="196"/>
      <c r="WLZ56" s="196"/>
      <c r="WMA56" s="196"/>
      <c r="WMB56" s="196"/>
      <c r="WMC56" s="196"/>
      <c r="WMD56" s="196"/>
      <c r="WME56" s="196"/>
      <c r="WMF56" s="196"/>
      <c r="WMG56" s="196"/>
      <c r="WMH56" s="196"/>
      <c r="WMI56" s="196"/>
      <c r="WMJ56" s="196"/>
      <c r="WMK56" s="196"/>
      <c r="WML56" s="196"/>
      <c r="WMM56" s="196"/>
      <c r="WMN56" s="196"/>
      <c r="WMO56" s="196"/>
      <c r="WMP56" s="196"/>
      <c r="WMQ56" s="196"/>
      <c r="WMR56" s="196"/>
      <c r="WMS56" s="196"/>
      <c r="WMT56" s="196"/>
      <c r="WMU56" s="196"/>
      <c r="WMV56" s="196"/>
      <c r="WMW56" s="196"/>
      <c r="WMX56" s="196"/>
      <c r="WMY56" s="196"/>
      <c r="WMZ56" s="196"/>
      <c r="WNA56" s="196"/>
      <c r="WNB56" s="196"/>
      <c r="WNC56" s="196"/>
      <c r="WND56" s="196"/>
      <c r="WNE56" s="196"/>
      <c r="WNF56" s="196"/>
      <c r="WNG56" s="196"/>
      <c r="WNH56" s="196"/>
      <c r="WNI56" s="196"/>
      <c r="WNJ56" s="196"/>
      <c r="WNK56" s="196"/>
      <c r="WNL56" s="196"/>
      <c r="WNM56" s="196"/>
      <c r="WNN56" s="196"/>
      <c r="WNO56" s="196"/>
      <c r="WNP56" s="196"/>
      <c r="WNQ56" s="196"/>
      <c r="WNR56" s="196"/>
      <c r="WNS56" s="196"/>
      <c r="WNT56" s="196"/>
      <c r="WNU56" s="196"/>
      <c r="WNV56" s="196"/>
      <c r="WNW56" s="196"/>
      <c r="WNX56" s="196"/>
      <c r="WNY56" s="196"/>
      <c r="WNZ56" s="196"/>
      <c r="WOA56" s="196"/>
      <c r="WOB56" s="196"/>
      <c r="WOC56" s="196"/>
      <c r="WOD56" s="196"/>
      <c r="WOE56" s="196"/>
      <c r="WOF56" s="196"/>
      <c r="WOG56" s="196"/>
      <c r="WOH56" s="196"/>
      <c r="WOI56" s="196"/>
      <c r="WOJ56" s="196"/>
      <c r="WOK56" s="196"/>
      <c r="WOL56" s="196"/>
      <c r="WOM56" s="196"/>
      <c r="WON56" s="196"/>
      <c r="WOO56" s="196"/>
      <c r="WOP56" s="196"/>
      <c r="WOQ56" s="196"/>
      <c r="WOR56" s="196"/>
      <c r="WOS56" s="196"/>
      <c r="WOT56" s="196"/>
      <c r="WOU56" s="196"/>
      <c r="WOV56" s="196"/>
      <c r="WOW56" s="196"/>
      <c r="WOX56" s="196"/>
      <c r="WOY56" s="196"/>
      <c r="WOZ56" s="196"/>
      <c r="WPA56" s="196"/>
      <c r="WPB56" s="196"/>
      <c r="WPC56" s="196"/>
      <c r="WPD56" s="196"/>
      <c r="WPE56" s="196"/>
      <c r="WPF56" s="196"/>
      <c r="WPG56" s="196"/>
      <c r="WPH56" s="196"/>
      <c r="WPI56" s="196"/>
      <c r="WPJ56" s="196"/>
      <c r="WPK56" s="196"/>
      <c r="WPL56" s="196"/>
      <c r="WPM56" s="196"/>
      <c r="WPN56" s="196"/>
      <c r="WPO56" s="196"/>
      <c r="WPP56" s="196"/>
      <c r="WPQ56" s="196"/>
      <c r="WPR56" s="196"/>
      <c r="WPS56" s="196"/>
      <c r="WPT56" s="196"/>
      <c r="WPU56" s="196"/>
      <c r="WPV56" s="196"/>
      <c r="WPW56" s="196"/>
      <c r="WPX56" s="196"/>
      <c r="WPY56" s="196"/>
      <c r="WPZ56" s="196"/>
      <c r="WQA56" s="196"/>
      <c r="WQB56" s="196"/>
      <c r="WQC56" s="196"/>
      <c r="WQD56" s="196"/>
      <c r="WQE56" s="196"/>
      <c r="WQF56" s="196"/>
      <c r="WQG56" s="196"/>
      <c r="WQH56" s="196"/>
      <c r="WQI56" s="196"/>
      <c r="WQJ56" s="196"/>
      <c r="WQK56" s="196"/>
      <c r="WQL56" s="196"/>
      <c r="WQM56" s="196"/>
      <c r="WQN56" s="196"/>
      <c r="WQO56" s="196"/>
      <c r="WQP56" s="196"/>
      <c r="WQQ56" s="196"/>
      <c r="WQR56" s="196"/>
      <c r="WQS56" s="196"/>
      <c r="WQT56" s="196"/>
      <c r="WQU56" s="196"/>
      <c r="WQV56" s="196"/>
      <c r="WQW56" s="196"/>
      <c r="WQX56" s="196"/>
      <c r="WQY56" s="196"/>
      <c r="WQZ56" s="196"/>
      <c r="WRA56" s="196"/>
      <c r="WRB56" s="196"/>
      <c r="WRC56" s="196"/>
      <c r="WRD56" s="196"/>
      <c r="WRE56" s="196"/>
      <c r="WRF56" s="196"/>
      <c r="WRG56" s="196"/>
      <c r="WRH56" s="196"/>
      <c r="WRI56" s="196"/>
      <c r="WRJ56" s="196"/>
      <c r="WRK56" s="196"/>
      <c r="WRL56" s="196"/>
      <c r="WRM56" s="196"/>
      <c r="WRN56" s="196"/>
      <c r="WRO56" s="196"/>
      <c r="WRP56" s="196"/>
      <c r="WRQ56" s="196"/>
      <c r="WRR56" s="196"/>
      <c r="WRS56" s="196"/>
      <c r="WRT56" s="196"/>
      <c r="WRU56" s="196"/>
      <c r="WRV56" s="196"/>
      <c r="WRW56" s="196"/>
      <c r="WRX56" s="196"/>
      <c r="WRY56" s="196"/>
      <c r="WRZ56" s="196"/>
      <c r="WSA56" s="196"/>
      <c r="WSB56" s="196"/>
      <c r="WSC56" s="196"/>
      <c r="WSD56" s="196"/>
      <c r="WSE56" s="196"/>
      <c r="WSF56" s="196"/>
      <c r="WSG56" s="196"/>
      <c r="WSH56" s="196"/>
      <c r="WSI56" s="196"/>
      <c r="WSJ56" s="196"/>
      <c r="WSK56" s="196"/>
      <c r="WSL56" s="196"/>
      <c r="WSM56" s="196"/>
      <c r="WSN56" s="196"/>
      <c r="WSO56" s="196"/>
      <c r="WSP56" s="196"/>
      <c r="WSQ56" s="196"/>
      <c r="WSR56" s="196"/>
      <c r="WSS56" s="196"/>
      <c r="WST56" s="196"/>
      <c r="WSU56" s="196"/>
      <c r="WSV56" s="196"/>
      <c r="WSW56" s="196"/>
      <c r="WSX56" s="196"/>
      <c r="WSY56" s="196"/>
      <c r="WSZ56" s="196"/>
      <c r="WTA56" s="196"/>
      <c r="WTB56" s="196"/>
      <c r="WTC56" s="196"/>
      <c r="WTD56" s="196"/>
      <c r="WTE56" s="196"/>
      <c r="WTF56" s="196"/>
      <c r="WTG56" s="196"/>
      <c r="WTH56" s="196"/>
      <c r="WTI56" s="196"/>
      <c r="WTJ56" s="196"/>
      <c r="WTK56" s="196"/>
      <c r="WTL56" s="196"/>
      <c r="WTM56" s="196"/>
      <c r="WTN56" s="196"/>
      <c r="WTO56" s="196"/>
      <c r="WTP56" s="196"/>
      <c r="WTQ56" s="196"/>
      <c r="WTR56" s="196"/>
      <c r="WTS56" s="196"/>
      <c r="WTT56" s="196"/>
      <c r="WTU56" s="196"/>
      <c r="WTV56" s="196"/>
      <c r="WTW56" s="196"/>
      <c r="WTX56" s="196"/>
      <c r="WTY56" s="196"/>
      <c r="WTZ56" s="196"/>
      <c r="WUA56" s="196"/>
      <c r="WUB56" s="196"/>
      <c r="WUC56" s="196"/>
      <c r="WUD56" s="196"/>
      <c r="WUE56" s="196"/>
      <c r="WUF56" s="196"/>
      <c r="WUG56" s="196"/>
      <c r="WUH56" s="196"/>
      <c r="WUI56" s="196"/>
      <c r="WUJ56" s="196"/>
      <c r="WUK56" s="196"/>
      <c r="WUL56" s="196"/>
      <c r="WUM56" s="196"/>
      <c r="WUN56" s="196"/>
      <c r="WUO56" s="196"/>
      <c r="WUP56" s="196"/>
      <c r="WUQ56" s="196"/>
      <c r="WUR56" s="196"/>
      <c r="WUS56" s="196"/>
      <c r="WUT56" s="196"/>
      <c r="WUU56" s="196"/>
      <c r="WUV56" s="196"/>
      <c r="WUW56" s="196"/>
      <c r="WUX56" s="196"/>
      <c r="WUY56" s="196"/>
      <c r="WUZ56" s="196"/>
      <c r="WVA56" s="196"/>
      <c r="WVB56" s="196"/>
      <c r="WVC56" s="196"/>
      <c r="WVD56" s="196"/>
      <c r="WVE56" s="196"/>
      <c r="WVF56" s="196"/>
      <c r="WVG56" s="196"/>
      <c r="WVH56" s="196"/>
      <c r="WVI56" s="196"/>
      <c r="WVJ56" s="196"/>
      <c r="WVK56" s="196"/>
      <c r="WVL56" s="196"/>
      <c r="WVM56" s="196"/>
      <c r="WVN56" s="196"/>
      <c r="WVO56" s="196"/>
      <c r="WVP56" s="196"/>
      <c r="WVQ56" s="196"/>
      <c r="WVR56" s="196"/>
      <c r="WVS56" s="196"/>
      <c r="WVT56" s="196"/>
      <c r="WVU56" s="196"/>
      <c r="WVV56" s="196"/>
      <c r="WVW56" s="196"/>
      <c r="WVX56" s="196"/>
      <c r="WVY56" s="196"/>
      <c r="WVZ56" s="196"/>
      <c r="WWA56" s="196"/>
      <c r="WWB56" s="196"/>
      <c r="WWC56" s="196"/>
      <c r="WWD56" s="196"/>
      <c r="WWE56" s="196"/>
      <c r="WWF56" s="196"/>
      <c r="WWG56" s="196"/>
      <c r="WWH56" s="196"/>
      <c r="WWI56" s="196"/>
      <c r="WWJ56" s="196"/>
      <c r="WWK56" s="196"/>
      <c r="WWL56" s="196"/>
      <c r="WWM56" s="196"/>
      <c r="WWN56" s="196"/>
      <c r="WWO56" s="196"/>
      <c r="WWP56" s="196"/>
      <c r="WWQ56" s="196"/>
      <c r="WWR56" s="196"/>
      <c r="WWS56" s="196"/>
      <c r="WWT56" s="196"/>
      <c r="WWU56" s="196"/>
      <c r="WWV56" s="196"/>
      <c r="WWW56" s="196"/>
      <c r="WWX56" s="196"/>
      <c r="WWY56" s="196"/>
      <c r="WWZ56" s="196"/>
      <c r="WXA56" s="196"/>
      <c r="WXB56" s="196"/>
      <c r="WXC56" s="196"/>
      <c r="WXD56" s="196"/>
      <c r="WXE56" s="196"/>
      <c r="WXF56" s="196"/>
      <c r="WXG56" s="196"/>
      <c r="WXH56" s="196"/>
      <c r="WXI56" s="196"/>
      <c r="WXJ56" s="196"/>
      <c r="WXK56" s="196"/>
      <c r="WXL56" s="196"/>
      <c r="WXM56" s="196"/>
      <c r="WXN56" s="196"/>
      <c r="WXO56" s="196"/>
      <c r="WXP56" s="196"/>
      <c r="WXQ56" s="196"/>
      <c r="WXR56" s="196"/>
      <c r="WXS56" s="196"/>
      <c r="WXT56" s="196"/>
      <c r="WXU56" s="196"/>
      <c r="WXV56" s="196"/>
      <c r="WXW56" s="196"/>
      <c r="WXX56" s="196"/>
      <c r="WXY56" s="196"/>
      <c r="WXZ56" s="196"/>
      <c r="WYA56" s="196"/>
      <c r="WYB56" s="196"/>
      <c r="WYC56" s="196"/>
      <c r="WYD56" s="196"/>
      <c r="WYE56" s="196"/>
      <c r="WYF56" s="196"/>
      <c r="WYG56" s="196"/>
      <c r="WYH56" s="196"/>
      <c r="WYI56" s="196"/>
      <c r="WYJ56" s="196"/>
      <c r="WYK56" s="196"/>
      <c r="WYL56" s="196"/>
      <c r="WYM56" s="196"/>
      <c r="WYN56" s="196"/>
      <c r="WYO56" s="196"/>
      <c r="WYP56" s="196"/>
      <c r="WYQ56" s="196"/>
      <c r="WYR56" s="196"/>
      <c r="WYS56" s="196"/>
      <c r="WYT56" s="196"/>
      <c r="WYU56" s="196"/>
      <c r="WYV56" s="196"/>
      <c r="WYW56" s="196"/>
      <c r="WYX56" s="196"/>
      <c r="WYY56" s="196"/>
      <c r="WYZ56" s="196"/>
      <c r="WZA56" s="196"/>
      <c r="WZB56" s="196"/>
      <c r="WZC56" s="196"/>
      <c r="WZD56" s="196"/>
      <c r="WZE56" s="196"/>
      <c r="WZF56" s="196"/>
      <c r="WZG56" s="196"/>
      <c r="WZH56" s="196"/>
      <c r="WZI56" s="196"/>
      <c r="WZJ56" s="196"/>
      <c r="WZK56" s="196"/>
      <c r="WZL56" s="196"/>
      <c r="WZM56" s="196"/>
      <c r="WZN56" s="196"/>
      <c r="WZO56" s="196"/>
      <c r="WZP56" s="196"/>
      <c r="WZQ56" s="196"/>
      <c r="WZR56" s="196"/>
      <c r="WZS56" s="196"/>
      <c r="WZT56" s="196"/>
      <c r="WZU56" s="196"/>
      <c r="WZV56" s="196"/>
      <c r="WZW56" s="196"/>
      <c r="WZX56" s="196"/>
      <c r="WZY56" s="196"/>
      <c r="WZZ56" s="196"/>
      <c r="XAA56" s="196"/>
      <c r="XAB56" s="196"/>
      <c r="XAC56" s="196"/>
      <c r="XAD56" s="196"/>
      <c r="XAE56" s="196"/>
      <c r="XAF56" s="196"/>
      <c r="XAG56" s="196"/>
      <c r="XAH56" s="196"/>
      <c r="XAI56" s="196"/>
      <c r="XAJ56" s="196"/>
      <c r="XAK56" s="196"/>
      <c r="XAL56" s="196"/>
      <c r="XAM56" s="196"/>
      <c r="XAN56" s="196"/>
      <c r="XAO56" s="196"/>
      <c r="XAP56" s="196"/>
      <c r="XAQ56" s="196"/>
      <c r="XAR56" s="196"/>
      <c r="XAS56" s="196"/>
      <c r="XAT56" s="196"/>
      <c r="XAU56" s="196"/>
      <c r="XAV56" s="196"/>
      <c r="XAW56" s="196"/>
      <c r="XAX56" s="196"/>
      <c r="XAY56" s="196"/>
      <c r="XAZ56" s="196"/>
      <c r="XBA56" s="196"/>
      <c r="XBB56" s="196"/>
      <c r="XBC56" s="196"/>
      <c r="XBD56" s="196"/>
      <c r="XBE56" s="196"/>
      <c r="XBF56" s="196"/>
      <c r="XBG56" s="196"/>
      <c r="XBH56" s="196"/>
      <c r="XBI56" s="196"/>
      <c r="XBJ56" s="196"/>
      <c r="XBK56" s="196"/>
      <c r="XBL56" s="196"/>
      <c r="XBM56" s="196"/>
      <c r="XBN56" s="196"/>
      <c r="XBO56" s="196"/>
      <c r="XBP56" s="196"/>
      <c r="XBQ56" s="196"/>
      <c r="XBR56" s="196"/>
      <c r="XBS56" s="196"/>
      <c r="XBT56" s="196"/>
      <c r="XBU56" s="196"/>
      <c r="XBV56" s="196"/>
      <c r="XBW56" s="196"/>
      <c r="XBX56" s="196"/>
      <c r="XBY56" s="196"/>
      <c r="XBZ56" s="196"/>
      <c r="XCA56" s="196"/>
      <c r="XCB56" s="196"/>
      <c r="XCC56" s="196"/>
      <c r="XCD56" s="196"/>
      <c r="XCE56" s="196"/>
      <c r="XCF56" s="196"/>
      <c r="XCG56" s="196"/>
      <c r="XCH56" s="196"/>
      <c r="XCI56" s="196"/>
      <c r="XCJ56" s="196"/>
      <c r="XCK56" s="196"/>
      <c r="XCL56" s="196"/>
      <c r="XCM56" s="196"/>
      <c r="XCN56" s="196"/>
      <c r="XCO56" s="196"/>
      <c r="XCP56" s="196"/>
      <c r="XCQ56" s="196"/>
      <c r="XCR56" s="196"/>
      <c r="XCS56" s="196"/>
      <c r="XCT56" s="196"/>
      <c r="XCU56" s="196"/>
      <c r="XCV56" s="196"/>
      <c r="XCW56" s="196"/>
      <c r="XCX56" s="196"/>
      <c r="XCY56" s="196"/>
      <c r="XCZ56" s="196"/>
      <c r="XDA56" s="196"/>
      <c r="XDB56" s="196"/>
      <c r="XDC56" s="196"/>
      <c r="XDD56" s="196"/>
      <c r="XDE56" s="196"/>
      <c r="XDF56" s="196"/>
      <c r="XDG56" s="196"/>
      <c r="XDH56" s="196"/>
      <c r="XDI56" s="196"/>
      <c r="XDJ56" s="196"/>
      <c r="XDK56" s="196"/>
      <c r="XDL56" s="196"/>
      <c r="XDM56" s="196"/>
      <c r="XDN56" s="196"/>
      <c r="XDO56" s="196"/>
      <c r="XDP56" s="196"/>
      <c r="XDQ56" s="196"/>
      <c r="XDR56" s="196"/>
      <c r="XDS56" s="196"/>
      <c r="XDT56" s="196"/>
      <c r="XDU56" s="196"/>
      <c r="XDV56" s="196"/>
      <c r="XDW56" s="196"/>
      <c r="XDX56" s="196"/>
      <c r="XDY56" s="196"/>
      <c r="XDZ56" s="196"/>
      <c r="XEA56" s="196"/>
      <c r="XEB56" s="196"/>
      <c r="XEC56" s="196"/>
      <c r="XED56" s="196"/>
      <c r="XEE56" s="196"/>
      <c r="XEF56" s="196"/>
      <c r="XEG56" s="196"/>
      <c r="XEH56" s="196"/>
      <c r="XEI56" s="196"/>
      <c r="XEJ56" s="196"/>
      <c r="XEK56" s="196"/>
      <c r="XEL56" s="196"/>
      <c r="XEM56" s="196"/>
      <c r="XEN56" s="196"/>
      <c r="XEO56" s="196"/>
      <c r="XEP56" s="196"/>
      <c r="XEQ56" s="196"/>
      <c r="XER56" s="196"/>
      <c r="XES56" s="196"/>
      <c r="XET56" s="196"/>
      <c r="XEU56" s="196"/>
      <c r="XEV56" s="196"/>
      <c r="XEW56" s="196"/>
      <c r="XEX56" s="196"/>
      <c r="XEY56" s="196"/>
      <c r="XEZ56" s="196"/>
      <c r="XFA56" s="196"/>
      <c r="XFB56" s="196"/>
    </row>
    <row r="57" spans="1:16382" x14ac:dyDescent="0.5">
      <c r="A57" s="487"/>
      <c r="B57" s="196"/>
      <c r="C57" s="196"/>
      <c r="D57" s="196"/>
      <c r="E57" s="196"/>
      <c r="F57" s="196"/>
      <c r="G57" s="196"/>
      <c r="H57" s="196"/>
      <c r="I57" s="196"/>
      <c r="J57" s="196"/>
      <c r="K57" s="196"/>
      <c r="L57" s="196"/>
      <c r="M57" s="196"/>
      <c r="N57" s="196"/>
      <c r="O57" s="196"/>
      <c r="P57" s="196"/>
      <c r="Q57" s="196"/>
      <c r="R57" s="196"/>
      <c r="S57" s="196"/>
      <c r="T57" s="196"/>
      <c r="U57" s="196"/>
      <c r="V57" s="196"/>
      <c r="W57" s="196"/>
      <c r="X57" s="196"/>
      <c r="Y57" s="196"/>
      <c r="Z57" s="196"/>
      <c r="AA57" s="196"/>
      <c r="AB57" s="196"/>
      <c r="AC57" s="196"/>
      <c r="AD57" s="196"/>
      <c r="AE57" s="196"/>
      <c r="AF57" s="196"/>
      <c r="AG57" s="196"/>
      <c r="AH57" s="196"/>
      <c r="AI57" s="196"/>
      <c r="AJ57" s="196"/>
      <c r="AK57" s="196"/>
      <c r="AL57" s="196"/>
      <c r="AM57" s="196"/>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6"/>
      <c r="BR57" s="196"/>
      <c r="BS57" s="196"/>
      <c r="BT57" s="196"/>
      <c r="BU57" s="196"/>
      <c r="BV57" s="196"/>
      <c r="BW57" s="196"/>
      <c r="BX57" s="196"/>
      <c r="BY57" s="196"/>
      <c r="BZ57" s="196"/>
      <c r="CA57" s="196"/>
      <c r="CB57" s="196"/>
      <c r="CC57" s="196"/>
      <c r="CD57" s="196"/>
      <c r="CE57" s="196"/>
      <c r="CF57" s="196"/>
      <c r="CG57" s="196"/>
      <c r="CH57" s="196"/>
      <c r="CI57" s="196"/>
      <c r="CJ57" s="196"/>
      <c r="CK57" s="196"/>
      <c r="CL57" s="196"/>
      <c r="CM57" s="196"/>
      <c r="CN57" s="196"/>
      <c r="CO57" s="196"/>
      <c r="CP57" s="196"/>
      <c r="CQ57" s="196"/>
      <c r="CR57" s="196"/>
      <c r="CS57" s="196"/>
      <c r="CT57" s="196"/>
      <c r="CU57" s="196"/>
      <c r="CV57" s="196"/>
      <c r="CW57" s="196"/>
      <c r="CX57" s="196"/>
      <c r="CY57" s="196"/>
      <c r="CZ57" s="196"/>
      <c r="DA57" s="196"/>
      <c r="DB57" s="196"/>
      <c r="DC57" s="196"/>
      <c r="DD57" s="196"/>
      <c r="DE57" s="196"/>
      <c r="DF57" s="196"/>
      <c r="DG57" s="196"/>
      <c r="DH57" s="196"/>
      <c r="DI57" s="196"/>
      <c r="DJ57" s="196"/>
      <c r="DK57" s="196"/>
      <c r="DL57" s="196"/>
      <c r="DM57" s="196"/>
      <c r="DN57" s="196"/>
      <c r="DO57" s="196"/>
      <c r="DP57" s="196"/>
      <c r="DQ57" s="196"/>
      <c r="DR57" s="196"/>
      <c r="DS57" s="196"/>
      <c r="DT57" s="196"/>
      <c r="DU57" s="196"/>
      <c r="DV57" s="196"/>
      <c r="DW57" s="196"/>
      <c r="DX57" s="196"/>
      <c r="DY57" s="196"/>
      <c r="DZ57" s="196"/>
      <c r="EA57" s="196"/>
      <c r="EB57" s="196"/>
      <c r="EC57" s="196"/>
      <c r="ED57" s="196"/>
      <c r="EE57" s="196"/>
      <c r="EF57" s="196"/>
      <c r="EG57" s="196"/>
      <c r="EH57" s="196"/>
      <c r="EI57" s="196"/>
      <c r="EJ57" s="196"/>
      <c r="EK57" s="196"/>
      <c r="EL57" s="196"/>
      <c r="EM57" s="196"/>
      <c r="EN57" s="196"/>
      <c r="EO57" s="196"/>
      <c r="EP57" s="196"/>
      <c r="EQ57" s="196"/>
      <c r="ER57" s="196"/>
      <c r="ES57" s="196"/>
      <c r="ET57" s="196"/>
      <c r="EU57" s="196"/>
      <c r="EV57" s="196"/>
      <c r="EW57" s="196"/>
      <c r="EX57" s="196"/>
      <c r="EY57" s="196"/>
      <c r="EZ57" s="196"/>
      <c r="FA57" s="196"/>
      <c r="FB57" s="196"/>
      <c r="FC57" s="196"/>
      <c r="FD57" s="196"/>
      <c r="FE57" s="196"/>
      <c r="FF57" s="196"/>
      <c r="FG57" s="196"/>
      <c r="FH57" s="196"/>
      <c r="FI57" s="196"/>
      <c r="FJ57" s="196"/>
      <c r="FK57" s="196"/>
      <c r="FL57" s="196"/>
      <c r="FM57" s="196"/>
      <c r="FN57" s="196"/>
      <c r="FO57" s="196"/>
      <c r="FP57" s="196"/>
      <c r="FQ57" s="196"/>
      <c r="FR57" s="196"/>
      <c r="FS57" s="196"/>
      <c r="FT57" s="196"/>
      <c r="FU57" s="196"/>
      <c r="FV57" s="196"/>
      <c r="FW57" s="196"/>
      <c r="FX57" s="196"/>
      <c r="FY57" s="196"/>
      <c r="FZ57" s="196"/>
      <c r="GA57" s="196"/>
      <c r="GB57" s="196"/>
      <c r="GC57" s="196"/>
      <c r="GD57" s="196"/>
      <c r="GE57" s="196"/>
      <c r="GF57" s="196"/>
      <c r="GG57" s="196"/>
      <c r="GH57" s="196"/>
      <c r="GI57" s="196"/>
      <c r="GJ57" s="196"/>
      <c r="GK57" s="196"/>
      <c r="GL57" s="196"/>
      <c r="GM57" s="196"/>
      <c r="GN57" s="196"/>
      <c r="GO57" s="196"/>
      <c r="GP57" s="196"/>
      <c r="GQ57" s="196"/>
      <c r="GR57" s="196"/>
      <c r="GS57" s="196"/>
      <c r="GT57" s="196"/>
      <c r="GU57" s="196"/>
      <c r="GV57" s="196"/>
      <c r="GW57" s="196"/>
      <c r="GX57" s="196"/>
      <c r="GY57" s="196"/>
      <c r="GZ57" s="196"/>
      <c r="HA57" s="196"/>
      <c r="HB57" s="196"/>
      <c r="HC57" s="196"/>
      <c r="HD57" s="196"/>
      <c r="HE57" s="196"/>
      <c r="HF57" s="196"/>
      <c r="HG57" s="196"/>
      <c r="HH57" s="196"/>
      <c r="HI57" s="196"/>
      <c r="HJ57" s="196"/>
      <c r="HK57" s="196"/>
      <c r="HL57" s="196"/>
      <c r="HM57" s="196"/>
      <c r="HN57" s="196"/>
      <c r="HO57" s="196"/>
      <c r="HP57" s="196"/>
      <c r="HQ57" s="196"/>
      <c r="HR57" s="196"/>
      <c r="HS57" s="196"/>
      <c r="HT57" s="196"/>
      <c r="HU57" s="196"/>
      <c r="HV57" s="196"/>
      <c r="HW57" s="196"/>
      <c r="HX57" s="196"/>
      <c r="HY57" s="196"/>
      <c r="HZ57" s="196"/>
      <c r="IA57" s="196"/>
      <c r="IB57" s="196"/>
      <c r="IC57" s="196"/>
      <c r="ID57" s="196"/>
      <c r="IE57" s="196"/>
      <c r="IF57" s="196"/>
      <c r="IG57" s="196"/>
      <c r="IH57" s="196"/>
      <c r="II57" s="196"/>
      <c r="IJ57" s="196"/>
      <c r="IK57" s="196"/>
      <c r="IL57" s="196"/>
      <c r="IM57" s="196"/>
      <c r="IN57" s="196"/>
      <c r="IO57" s="196"/>
      <c r="IP57" s="196"/>
      <c r="IQ57" s="196"/>
      <c r="IR57" s="196"/>
      <c r="IS57" s="196"/>
      <c r="IT57" s="196"/>
      <c r="IU57" s="196"/>
      <c r="IV57" s="196"/>
      <c r="IW57" s="196"/>
      <c r="IX57" s="196"/>
      <c r="IY57" s="196"/>
      <c r="IZ57" s="196"/>
      <c r="JA57" s="196"/>
      <c r="JB57" s="196"/>
      <c r="JC57" s="196"/>
      <c r="JD57" s="196"/>
      <c r="JE57" s="196"/>
      <c r="JF57" s="196"/>
      <c r="JG57" s="196"/>
      <c r="JH57" s="196"/>
      <c r="JI57" s="196"/>
      <c r="JJ57" s="196"/>
      <c r="JK57" s="196"/>
      <c r="JL57" s="196"/>
      <c r="JM57" s="196"/>
      <c r="JN57" s="196"/>
      <c r="JO57" s="196"/>
      <c r="JP57" s="196"/>
      <c r="JQ57" s="196"/>
      <c r="JR57" s="196"/>
      <c r="JS57" s="196"/>
      <c r="JT57" s="196"/>
      <c r="JU57" s="196"/>
      <c r="JV57" s="196"/>
      <c r="JW57" s="196"/>
      <c r="JX57" s="196"/>
      <c r="JY57" s="196"/>
      <c r="JZ57" s="196"/>
      <c r="KA57" s="196"/>
      <c r="KB57" s="196"/>
      <c r="KC57" s="196"/>
      <c r="KD57" s="196"/>
      <c r="KE57" s="196"/>
      <c r="KF57" s="196"/>
      <c r="KG57" s="196"/>
      <c r="KH57" s="196"/>
      <c r="KI57" s="196"/>
      <c r="KJ57" s="196"/>
      <c r="KK57" s="196"/>
      <c r="KL57" s="196"/>
      <c r="KM57" s="196"/>
      <c r="KN57" s="196"/>
      <c r="KO57" s="196"/>
      <c r="KP57" s="196"/>
      <c r="KQ57" s="196"/>
      <c r="KR57" s="196"/>
      <c r="KS57" s="196"/>
      <c r="KT57" s="196"/>
      <c r="KU57" s="196"/>
      <c r="KV57" s="196"/>
      <c r="KW57" s="196"/>
      <c r="KX57" s="196"/>
      <c r="KY57" s="196"/>
      <c r="KZ57" s="196"/>
      <c r="LA57" s="196"/>
      <c r="LB57" s="196"/>
      <c r="LC57" s="196"/>
      <c r="LD57" s="196"/>
      <c r="LE57" s="196"/>
      <c r="LF57" s="196"/>
      <c r="LG57" s="196"/>
      <c r="LH57" s="196"/>
      <c r="LI57" s="196"/>
      <c r="LJ57" s="196"/>
      <c r="LK57" s="196"/>
      <c r="LL57" s="196"/>
      <c r="LM57" s="196"/>
      <c r="LN57" s="196"/>
      <c r="LO57" s="196"/>
      <c r="LP57" s="196"/>
      <c r="LQ57" s="196"/>
      <c r="LR57" s="196"/>
      <c r="LS57" s="196"/>
      <c r="LT57" s="196"/>
      <c r="LU57" s="196"/>
      <c r="LV57" s="196"/>
      <c r="LW57" s="196"/>
      <c r="LX57" s="196"/>
      <c r="LY57" s="196"/>
      <c r="LZ57" s="196"/>
      <c r="MA57" s="196"/>
      <c r="MB57" s="196"/>
      <c r="MC57" s="196"/>
      <c r="MD57" s="196"/>
      <c r="ME57" s="196"/>
      <c r="MF57" s="196"/>
      <c r="MG57" s="196"/>
      <c r="MH57" s="196"/>
      <c r="MI57" s="196"/>
      <c r="MJ57" s="196"/>
      <c r="MK57" s="196"/>
      <c r="ML57" s="196"/>
      <c r="MM57" s="196"/>
      <c r="MN57" s="196"/>
      <c r="MO57" s="196"/>
      <c r="MP57" s="196"/>
      <c r="MQ57" s="196"/>
      <c r="MR57" s="196"/>
      <c r="MS57" s="196"/>
      <c r="MT57" s="196"/>
      <c r="MU57" s="196"/>
      <c r="MV57" s="196"/>
      <c r="MW57" s="196"/>
      <c r="MX57" s="196"/>
      <c r="MY57" s="196"/>
      <c r="MZ57" s="196"/>
      <c r="NA57" s="196"/>
      <c r="NB57" s="196"/>
      <c r="NC57" s="196"/>
      <c r="ND57" s="196"/>
      <c r="NE57" s="196"/>
      <c r="NF57" s="196"/>
      <c r="NG57" s="196"/>
      <c r="NH57" s="196"/>
      <c r="NI57" s="196"/>
      <c r="NJ57" s="196"/>
      <c r="NK57" s="196"/>
      <c r="NL57" s="196"/>
      <c r="NM57" s="196"/>
      <c r="NN57" s="196"/>
      <c r="NO57" s="196"/>
      <c r="NP57" s="196"/>
      <c r="NQ57" s="196"/>
      <c r="NR57" s="196"/>
      <c r="NS57" s="196"/>
      <c r="NT57" s="196"/>
      <c r="NU57" s="196"/>
      <c r="NV57" s="196"/>
      <c r="NW57" s="196"/>
      <c r="NX57" s="196"/>
      <c r="NY57" s="196"/>
      <c r="NZ57" s="196"/>
      <c r="OA57" s="196"/>
      <c r="OB57" s="196"/>
      <c r="OC57" s="196"/>
      <c r="OD57" s="196"/>
      <c r="OE57" s="196"/>
      <c r="OF57" s="196"/>
      <c r="OG57" s="196"/>
      <c r="OH57" s="196"/>
      <c r="OI57" s="196"/>
      <c r="OJ57" s="196"/>
      <c r="OK57" s="196"/>
      <c r="OL57" s="196"/>
      <c r="OM57" s="196"/>
      <c r="ON57" s="196"/>
      <c r="OO57" s="196"/>
      <c r="OP57" s="196"/>
      <c r="OQ57" s="196"/>
      <c r="OR57" s="196"/>
      <c r="OS57" s="196"/>
      <c r="OT57" s="196"/>
      <c r="OU57" s="196"/>
      <c r="OV57" s="196"/>
      <c r="OW57" s="196"/>
      <c r="OX57" s="196"/>
      <c r="OY57" s="196"/>
      <c r="OZ57" s="196"/>
      <c r="PA57" s="196"/>
      <c r="PB57" s="196"/>
      <c r="PC57" s="196"/>
      <c r="PD57" s="196"/>
      <c r="PE57" s="196"/>
      <c r="PF57" s="196"/>
      <c r="PG57" s="196"/>
      <c r="PH57" s="196"/>
      <c r="PI57" s="196"/>
      <c r="PJ57" s="196"/>
      <c r="PK57" s="196"/>
      <c r="PL57" s="196"/>
      <c r="PM57" s="196"/>
      <c r="PN57" s="196"/>
      <c r="PO57" s="196"/>
      <c r="PP57" s="196"/>
      <c r="PQ57" s="196"/>
      <c r="PR57" s="196"/>
      <c r="PS57" s="196"/>
      <c r="PT57" s="196"/>
      <c r="PU57" s="196"/>
      <c r="PV57" s="196"/>
      <c r="PW57" s="196"/>
      <c r="PX57" s="196"/>
      <c r="PY57" s="196"/>
      <c r="PZ57" s="196"/>
      <c r="QA57" s="196"/>
      <c r="QB57" s="196"/>
      <c r="QC57" s="196"/>
      <c r="QD57" s="196"/>
      <c r="QE57" s="196"/>
      <c r="QF57" s="196"/>
      <c r="QG57" s="196"/>
      <c r="QH57" s="196"/>
      <c r="QI57" s="196"/>
      <c r="QJ57" s="196"/>
      <c r="QK57" s="196"/>
      <c r="QL57" s="196"/>
      <c r="QM57" s="196"/>
      <c r="QN57" s="196"/>
      <c r="QO57" s="196"/>
      <c r="QP57" s="196"/>
      <c r="QQ57" s="196"/>
      <c r="QR57" s="196"/>
      <c r="QS57" s="196"/>
      <c r="QT57" s="196"/>
      <c r="QU57" s="196"/>
      <c r="QV57" s="196"/>
      <c r="QW57" s="196"/>
      <c r="QX57" s="196"/>
      <c r="QY57" s="196"/>
      <c r="QZ57" s="196"/>
      <c r="RA57" s="196"/>
      <c r="RB57" s="196"/>
      <c r="RC57" s="196"/>
      <c r="RD57" s="196"/>
      <c r="RE57" s="196"/>
      <c r="RF57" s="196"/>
      <c r="RG57" s="196"/>
      <c r="RH57" s="196"/>
      <c r="RI57" s="196"/>
      <c r="RJ57" s="196"/>
      <c r="RK57" s="196"/>
      <c r="RL57" s="196"/>
      <c r="RM57" s="196"/>
      <c r="RN57" s="196"/>
      <c r="RO57" s="196"/>
      <c r="RP57" s="196"/>
      <c r="RQ57" s="196"/>
      <c r="RR57" s="196"/>
      <c r="RS57" s="196"/>
      <c r="RT57" s="196"/>
      <c r="RU57" s="196"/>
      <c r="RV57" s="196"/>
      <c r="RW57" s="196"/>
      <c r="RX57" s="196"/>
      <c r="RY57" s="196"/>
      <c r="RZ57" s="196"/>
      <c r="SA57" s="196"/>
      <c r="SB57" s="196"/>
      <c r="SC57" s="196"/>
      <c r="SD57" s="196"/>
      <c r="SE57" s="196"/>
      <c r="SF57" s="196"/>
      <c r="SG57" s="196"/>
      <c r="SH57" s="196"/>
      <c r="SI57" s="196"/>
      <c r="SJ57" s="196"/>
      <c r="SK57" s="196"/>
      <c r="SL57" s="196"/>
      <c r="SM57" s="196"/>
      <c r="SN57" s="196"/>
      <c r="SO57" s="196"/>
      <c r="SP57" s="196"/>
      <c r="SQ57" s="196"/>
      <c r="SR57" s="196"/>
      <c r="SS57" s="196"/>
      <c r="ST57" s="196"/>
      <c r="SU57" s="196"/>
      <c r="SV57" s="196"/>
      <c r="SW57" s="196"/>
      <c r="SX57" s="196"/>
      <c r="SY57" s="196"/>
      <c r="SZ57" s="196"/>
      <c r="TA57" s="196"/>
      <c r="TB57" s="196"/>
      <c r="TC57" s="196"/>
      <c r="TD57" s="196"/>
      <c r="TE57" s="196"/>
      <c r="TF57" s="196"/>
      <c r="TG57" s="196"/>
      <c r="TH57" s="196"/>
      <c r="TI57" s="196"/>
      <c r="TJ57" s="196"/>
      <c r="TK57" s="196"/>
      <c r="TL57" s="196"/>
      <c r="TM57" s="196"/>
      <c r="TN57" s="196"/>
      <c r="TO57" s="196"/>
      <c r="TP57" s="196"/>
      <c r="TQ57" s="196"/>
      <c r="TR57" s="196"/>
      <c r="TS57" s="196"/>
      <c r="TT57" s="196"/>
      <c r="TU57" s="196"/>
      <c r="TV57" s="196"/>
      <c r="TW57" s="196"/>
      <c r="TX57" s="196"/>
      <c r="TY57" s="196"/>
      <c r="TZ57" s="196"/>
      <c r="UA57" s="196"/>
      <c r="UB57" s="196"/>
      <c r="UC57" s="196"/>
      <c r="UD57" s="196"/>
      <c r="UE57" s="196"/>
      <c r="UF57" s="196"/>
      <c r="UG57" s="196"/>
      <c r="UH57" s="196"/>
      <c r="UI57" s="196"/>
      <c r="UJ57" s="196"/>
      <c r="UK57" s="196"/>
      <c r="UL57" s="196"/>
      <c r="UM57" s="196"/>
      <c r="UN57" s="196"/>
      <c r="UO57" s="196"/>
      <c r="UP57" s="196"/>
      <c r="UQ57" s="196"/>
      <c r="UR57" s="196"/>
      <c r="US57" s="196"/>
      <c r="UT57" s="196"/>
      <c r="UU57" s="196"/>
      <c r="UV57" s="196"/>
      <c r="UW57" s="196"/>
      <c r="UX57" s="196"/>
      <c r="UY57" s="196"/>
      <c r="UZ57" s="196"/>
      <c r="VA57" s="196"/>
      <c r="VB57" s="196"/>
      <c r="VC57" s="196"/>
      <c r="VD57" s="196"/>
      <c r="VE57" s="196"/>
      <c r="VF57" s="196"/>
      <c r="VG57" s="196"/>
      <c r="VH57" s="196"/>
      <c r="VI57" s="196"/>
      <c r="VJ57" s="196"/>
      <c r="VK57" s="196"/>
      <c r="VL57" s="196"/>
      <c r="VM57" s="196"/>
      <c r="VN57" s="196"/>
      <c r="VO57" s="196"/>
      <c r="VP57" s="196"/>
      <c r="VQ57" s="196"/>
      <c r="VR57" s="196"/>
      <c r="VS57" s="196"/>
      <c r="VT57" s="196"/>
      <c r="VU57" s="196"/>
      <c r="VV57" s="196"/>
      <c r="VW57" s="196"/>
      <c r="VX57" s="196"/>
      <c r="VY57" s="196"/>
      <c r="VZ57" s="196"/>
      <c r="WA57" s="196"/>
      <c r="WB57" s="196"/>
      <c r="WC57" s="196"/>
      <c r="WD57" s="196"/>
      <c r="WE57" s="196"/>
      <c r="WF57" s="196"/>
      <c r="WG57" s="196"/>
      <c r="WH57" s="196"/>
      <c r="WI57" s="196"/>
      <c r="WJ57" s="196"/>
      <c r="WK57" s="196"/>
      <c r="WL57" s="196"/>
      <c r="WM57" s="196"/>
      <c r="WN57" s="196"/>
      <c r="WO57" s="196"/>
      <c r="WP57" s="196"/>
      <c r="WQ57" s="196"/>
      <c r="WR57" s="196"/>
      <c r="WS57" s="196"/>
      <c r="WT57" s="196"/>
      <c r="WU57" s="196"/>
      <c r="WV57" s="196"/>
      <c r="WW57" s="196"/>
      <c r="WX57" s="196"/>
      <c r="WY57" s="196"/>
      <c r="WZ57" s="196"/>
      <c r="XA57" s="196"/>
      <c r="XB57" s="196"/>
      <c r="XC57" s="196"/>
      <c r="XD57" s="196"/>
      <c r="XE57" s="196"/>
      <c r="XF57" s="196"/>
      <c r="XG57" s="196"/>
      <c r="XH57" s="196"/>
      <c r="XI57" s="196"/>
      <c r="XJ57" s="196"/>
      <c r="XK57" s="196"/>
      <c r="XL57" s="196"/>
      <c r="XM57" s="196"/>
      <c r="XN57" s="196"/>
      <c r="XO57" s="196"/>
      <c r="XP57" s="196"/>
      <c r="XQ57" s="196"/>
      <c r="XR57" s="196"/>
      <c r="XS57" s="196"/>
      <c r="XT57" s="196"/>
      <c r="XU57" s="196"/>
      <c r="XV57" s="196"/>
      <c r="XW57" s="196"/>
      <c r="XX57" s="196"/>
      <c r="XY57" s="196"/>
      <c r="XZ57" s="196"/>
      <c r="YA57" s="196"/>
      <c r="YB57" s="196"/>
      <c r="YC57" s="196"/>
      <c r="YD57" s="196"/>
      <c r="YE57" s="196"/>
      <c r="YF57" s="196"/>
      <c r="YG57" s="196"/>
      <c r="YH57" s="196"/>
      <c r="YI57" s="196"/>
      <c r="YJ57" s="196"/>
      <c r="YK57" s="196"/>
      <c r="YL57" s="196"/>
      <c r="YM57" s="196"/>
      <c r="YN57" s="196"/>
      <c r="YO57" s="196"/>
      <c r="YP57" s="196"/>
      <c r="YQ57" s="196"/>
      <c r="YR57" s="196"/>
      <c r="YS57" s="196"/>
      <c r="YT57" s="196"/>
      <c r="YU57" s="196"/>
      <c r="YV57" s="196"/>
      <c r="YW57" s="196"/>
      <c r="YX57" s="196"/>
      <c r="YY57" s="196"/>
      <c r="YZ57" s="196"/>
      <c r="ZA57" s="196"/>
      <c r="ZB57" s="196"/>
      <c r="ZC57" s="196"/>
      <c r="ZD57" s="196"/>
      <c r="ZE57" s="196"/>
      <c r="ZF57" s="196"/>
      <c r="ZG57" s="196"/>
      <c r="ZH57" s="196"/>
      <c r="ZI57" s="196"/>
      <c r="ZJ57" s="196"/>
      <c r="ZK57" s="196"/>
      <c r="ZL57" s="196"/>
      <c r="ZM57" s="196"/>
      <c r="ZN57" s="196"/>
      <c r="ZO57" s="196"/>
      <c r="ZP57" s="196"/>
      <c r="ZQ57" s="196"/>
      <c r="ZR57" s="196"/>
      <c r="ZS57" s="196"/>
      <c r="ZT57" s="196"/>
      <c r="ZU57" s="196"/>
      <c r="ZV57" s="196"/>
      <c r="ZW57" s="196"/>
      <c r="ZX57" s="196"/>
      <c r="ZY57" s="196"/>
      <c r="ZZ57" s="196"/>
      <c r="AAA57" s="196"/>
      <c r="AAB57" s="196"/>
      <c r="AAC57" s="196"/>
      <c r="AAD57" s="196"/>
      <c r="AAE57" s="196"/>
      <c r="AAF57" s="196"/>
      <c r="AAG57" s="196"/>
      <c r="AAH57" s="196"/>
      <c r="AAI57" s="196"/>
      <c r="AAJ57" s="196"/>
      <c r="AAK57" s="196"/>
      <c r="AAL57" s="196"/>
      <c r="AAM57" s="196"/>
      <c r="AAN57" s="196"/>
      <c r="AAO57" s="196"/>
      <c r="AAP57" s="196"/>
      <c r="AAQ57" s="196"/>
      <c r="AAR57" s="196"/>
      <c r="AAS57" s="196"/>
      <c r="AAT57" s="196"/>
      <c r="AAU57" s="196"/>
      <c r="AAV57" s="196"/>
      <c r="AAW57" s="196"/>
      <c r="AAX57" s="196"/>
      <c r="AAY57" s="196"/>
      <c r="AAZ57" s="196"/>
      <c r="ABA57" s="196"/>
      <c r="ABB57" s="196"/>
      <c r="ABC57" s="196"/>
      <c r="ABD57" s="196"/>
      <c r="ABE57" s="196"/>
      <c r="ABF57" s="196"/>
      <c r="ABG57" s="196"/>
      <c r="ABH57" s="196"/>
      <c r="ABI57" s="196"/>
      <c r="ABJ57" s="196"/>
      <c r="ABK57" s="196"/>
      <c r="ABL57" s="196"/>
      <c r="ABM57" s="196"/>
      <c r="ABN57" s="196"/>
      <c r="ABO57" s="196"/>
      <c r="ABP57" s="196"/>
      <c r="ABQ57" s="196"/>
      <c r="ABR57" s="196"/>
      <c r="ABS57" s="196"/>
      <c r="ABT57" s="196"/>
      <c r="ABU57" s="196"/>
      <c r="ABV57" s="196"/>
      <c r="ABW57" s="196"/>
      <c r="ABX57" s="196"/>
      <c r="ABY57" s="196"/>
      <c r="ABZ57" s="196"/>
      <c r="ACA57" s="196"/>
      <c r="ACB57" s="196"/>
      <c r="ACC57" s="196"/>
      <c r="ACD57" s="196"/>
      <c r="ACE57" s="196"/>
      <c r="ACF57" s="196"/>
      <c r="ACG57" s="196"/>
      <c r="ACH57" s="196"/>
      <c r="ACI57" s="196"/>
      <c r="ACJ57" s="196"/>
      <c r="ACK57" s="196"/>
      <c r="ACL57" s="196"/>
      <c r="ACM57" s="196"/>
      <c r="ACN57" s="196"/>
      <c r="ACO57" s="196"/>
      <c r="ACP57" s="196"/>
      <c r="ACQ57" s="196"/>
      <c r="ACR57" s="196"/>
      <c r="ACS57" s="196"/>
      <c r="ACT57" s="196"/>
      <c r="ACU57" s="196"/>
      <c r="ACV57" s="196"/>
      <c r="ACW57" s="196"/>
      <c r="ACX57" s="196"/>
      <c r="ACY57" s="196"/>
      <c r="ACZ57" s="196"/>
      <c r="ADA57" s="196"/>
      <c r="ADB57" s="196"/>
      <c r="ADC57" s="196"/>
      <c r="ADD57" s="196"/>
      <c r="ADE57" s="196"/>
      <c r="ADF57" s="196"/>
      <c r="ADG57" s="196"/>
      <c r="ADH57" s="196"/>
      <c r="ADI57" s="196"/>
      <c r="ADJ57" s="196"/>
      <c r="ADK57" s="196"/>
      <c r="ADL57" s="196"/>
      <c r="ADM57" s="196"/>
      <c r="ADN57" s="196"/>
      <c r="ADO57" s="196"/>
      <c r="ADP57" s="196"/>
      <c r="ADQ57" s="196"/>
      <c r="ADR57" s="196"/>
      <c r="ADS57" s="196"/>
      <c r="ADT57" s="196"/>
      <c r="ADU57" s="196"/>
      <c r="ADV57" s="196"/>
      <c r="ADW57" s="196"/>
      <c r="ADX57" s="196"/>
      <c r="ADY57" s="196"/>
      <c r="ADZ57" s="196"/>
      <c r="AEA57" s="196"/>
      <c r="AEB57" s="196"/>
      <c r="AEC57" s="196"/>
      <c r="AED57" s="196"/>
      <c r="AEE57" s="196"/>
      <c r="AEF57" s="196"/>
      <c r="AEG57" s="196"/>
      <c r="AEH57" s="196"/>
      <c r="AEI57" s="196"/>
      <c r="AEJ57" s="196"/>
      <c r="AEK57" s="196"/>
      <c r="AEL57" s="196"/>
      <c r="AEM57" s="196"/>
      <c r="AEN57" s="196"/>
      <c r="AEO57" s="196"/>
      <c r="AEP57" s="196"/>
      <c r="AEQ57" s="196"/>
      <c r="AER57" s="196"/>
      <c r="AES57" s="196"/>
      <c r="AET57" s="196"/>
      <c r="AEU57" s="196"/>
      <c r="AEV57" s="196"/>
      <c r="AEW57" s="196"/>
      <c r="AEX57" s="196"/>
      <c r="AEY57" s="196"/>
      <c r="AEZ57" s="196"/>
      <c r="AFA57" s="196"/>
      <c r="AFB57" s="196"/>
      <c r="AFC57" s="196"/>
      <c r="AFD57" s="196"/>
      <c r="AFE57" s="196"/>
      <c r="AFF57" s="196"/>
      <c r="AFG57" s="196"/>
      <c r="AFH57" s="196"/>
      <c r="AFI57" s="196"/>
      <c r="AFJ57" s="196"/>
      <c r="AFK57" s="196"/>
      <c r="AFL57" s="196"/>
      <c r="AFM57" s="196"/>
      <c r="AFN57" s="196"/>
      <c r="AFO57" s="196"/>
      <c r="AFP57" s="196"/>
      <c r="AFQ57" s="196"/>
      <c r="AFR57" s="196"/>
      <c r="AFS57" s="196"/>
      <c r="AFT57" s="196"/>
      <c r="AFU57" s="196"/>
      <c r="AFV57" s="196"/>
      <c r="AFW57" s="196"/>
      <c r="AFX57" s="196"/>
      <c r="AFY57" s="196"/>
      <c r="AFZ57" s="196"/>
      <c r="AGA57" s="196"/>
      <c r="AGB57" s="196"/>
      <c r="AGC57" s="196"/>
      <c r="AGD57" s="196"/>
      <c r="AGE57" s="196"/>
      <c r="AGF57" s="196"/>
      <c r="AGG57" s="196"/>
      <c r="AGH57" s="196"/>
      <c r="AGI57" s="196"/>
      <c r="AGJ57" s="196"/>
      <c r="AGK57" s="196"/>
      <c r="AGL57" s="196"/>
      <c r="AGM57" s="196"/>
      <c r="AGN57" s="196"/>
      <c r="AGO57" s="196"/>
      <c r="AGP57" s="196"/>
      <c r="AGQ57" s="196"/>
      <c r="AGR57" s="196"/>
      <c r="AGS57" s="196"/>
      <c r="AGT57" s="196"/>
      <c r="AGU57" s="196"/>
      <c r="AGV57" s="196"/>
      <c r="AGW57" s="196"/>
      <c r="AGX57" s="196"/>
      <c r="AGY57" s="196"/>
      <c r="AGZ57" s="196"/>
      <c r="AHA57" s="196"/>
      <c r="AHB57" s="196"/>
      <c r="AHC57" s="196"/>
      <c r="AHD57" s="196"/>
      <c r="AHE57" s="196"/>
      <c r="AHF57" s="196"/>
      <c r="AHG57" s="196"/>
      <c r="AHH57" s="196"/>
      <c r="AHI57" s="196"/>
      <c r="AHJ57" s="196"/>
      <c r="AHK57" s="196"/>
      <c r="AHL57" s="196"/>
      <c r="AHM57" s="196"/>
      <c r="AHN57" s="196"/>
      <c r="AHO57" s="196"/>
      <c r="AHP57" s="196"/>
      <c r="AHQ57" s="196"/>
      <c r="AHR57" s="196"/>
      <c r="AHS57" s="196"/>
      <c r="AHT57" s="196"/>
      <c r="AHU57" s="196"/>
      <c r="AHV57" s="196"/>
      <c r="AHW57" s="196"/>
      <c r="AHX57" s="196"/>
      <c r="AHY57" s="196"/>
      <c r="AHZ57" s="196"/>
      <c r="AIA57" s="196"/>
      <c r="AIB57" s="196"/>
      <c r="AIC57" s="196"/>
      <c r="AID57" s="196"/>
      <c r="AIE57" s="196"/>
      <c r="AIF57" s="196"/>
      <c r="AIG57" s="196"/>
      <c r="AIH57" s="196"/>
      <c r="AII57" s="196"/>
      <c r="AIJ57" s="196"/>
      <c r="AIK57" s="196"/>
      <c r="AIL57" s="196"/>
      <c r="AIM57" s="196"/>
      <c r="AIN57" s="196"/>
      <c r="AIO57" s="196"/>
      <c r="AIP57" s="196"/>
      <c r="AIQ57" s="196"/>
      <c r="AIR57" s="196"/>
      <c r="AIS57" s="196"/>
      <c r="AIT57" s="196"/>
      <c r="AIU57" s="196"/>
      <c r="AIV57" s="196"/>
      <c r="AIW57" s="196"/>
      <c r="AIX57" s="196"/>
      <c r="AIY57" s="196"/>
      <c r="AIZ57" s="196"/>
      <c r="AJA57" s="196"/>
      <c r="AJB57" s="196"/>
      <c r="AJC57" s="196"/>
      <c r="AJD57" s="196"/>
      <c r="AJE57" s="196"/>
      <c r="AJF57" s="196"/>
      <c r="AJG57" s="196"/>
      <c r="AJH57" s="196"/>
      <c r="AJI57" s="196"/>
      <c r="AJJ57" s="196"/>
      <c r="AJK57" s="196"/>
      <c r="AJL57" s="196"/>
      <c r="AJM57" s="196"/>
      <c r="AJN57" s="196"/>
      <c r="AJO57" s="196"/>
      <c r="AJP57" s="196"/>
      <c r="AJQ57" s="196"/>
      <c r="AJR57" s="196"/>
      <c r="AJS57" s="196"/>
      <c r="AJT57" s="196"/>
      <c r="AJU57" s="196"/>
      <c r="AJV57" s="196"/>
      <c r="AJW57" s="196"/>
      <c r="AJX57" s="196"/>
      <c r="AJY57" s="196"/>
      <c r="AJZ57" s="196"/>
      <c r="AKA57" s="196"/>
      <c r="AKB57" s="196"/>
      <c r="AKC57" s="196"/>
      <c r="AKD57" s="196"/>
      <c r="AKE57" s="196"/>
      <c r="AKF57" s="196"/>
      <c r="AKG57" s="196"/>
      <c r="AKH57" s="196"/>
      <c r="AKI57" s="196"/>
      <c r="AKJ57" s="196"/>
      <c r="AKK57" s="196"/>
      <c r="AKL57" s="196"/>
      <c r="AKM57" s="196"/>
      <c r="AKN57" s="196"/>
      <c r="AKO57" s="196"/>
      <c r="AKP57" s="196"/>
      <c r="AKQ57" s="196"/>
      <c r="AKR57" s="196"/>
      <c r="AKS57" s="196"/>
      <c r="AKT57" s="196"/>
      <c r="AKU57" s="196"/>
      <c r="AKV57" s="196"/>
      <c r="AKW57" s="196"/>
      <c r="AKX57" s="196"/>
      <c r="AKY57" s="196"/>
      <c r="AKZ57" s="196"/>
      <c r="ALA57" s="196"/>
      <c r="ALB57" s="196"/>
      <c r="ALC57" s="196"/>
      <c r="ALD57" s="196"/>
      <c r="ALE57" s="196"/>
      <c r="ALF57" s="196"/>
      <c r="ALG57" s="196"/>
      <c r="ALH57" s="196"/>
      <c r="ALI57" s="196"/>
      <c r="ALJ57" s="196"/>
      <c r="ALK57" s="196"/>
      <c r="ALL57" s="196"/>
      <c r="ALM57" s="196"/>
      <c r="ALN57" s="196"/>
      <c r="ALO57" s="196"/>
      <c r="ALP57" s="196"/>
      <c r="ALQ57" s="196"/>
      <c r="ALR57" s="196"/>
      <c r="ALS57" s="196"/>
      <c r="ALT57" s="196"/>
      <c r="ALU57" s="196"/>
      <c r="ALV57" s="196"/>
      <c r="ALW57" s="196"/>
      <c r="ALX57" s="196"/>
      <c r="ALY57" s="196"/>
      <c r="ALZ57" s="196"/>
      <c r="AMA57" s="196"/>
      <c r="AMB57" s="196"/>
      <c r="AMC57" s="196"/>
      <c r="AMD57" s="196"/>
      <c r="AME57" s="196"/>
      <c r="AMF57" s="196"/>
      <c r="AMG57" s="196"/>
      <c r="AMH57" s="196"/>
      <c r="AMI57" s="196"/>
      <c r="AMJ57" s="196"/>
      <c r="AMK57" s="196"/>
      <c r="AML57" s="196"/>
      <c r="AMM57" s="196"/>
      <c r="AMN57" s="196"/>
      <c r="AMO57" s="196"/>
      <c r="AMP57" s="196"/>
      <c r="AMQ57" s="196"/>
      <c r="AMR57" s="196"/>
      <c r="AMS57" s="196"/>
      <c r="AMT57" s="196"/>
      <c r="AMU57" s="196"/>
      <c r="AMV57" s="196"/>
      <c r="AMW57" s="196"/>
      <c r="AMX57" s="196"/>
      <c r="AMY57" s="196"/>
      <c r="AMZ57" s="196"/>
      <c r="ANA57" s="196"/>
      <c r="ANB57" s="196"/>
      <c r="ANC57" s="196"/>
      <c r="AND57" s="196"/>
      <c r="ANE57" s="196"/>
      <c r="ANF57" s="196"/>
      <c r="ANG57" s="196"/>
      <c r="ANH57" s="196"/>
      <c r="ANI57" s="196"/>
      <c r="ANJ57" s="196"/>
      <c r="ANK57" s="196"/>
      <c r="ANL57" s="196"/>
      <c r="ANM57" s="196"/>
      <c r="ANN57" s="196"/>
      <c r="ANO57" s="196"/>
      <c r="ANP57" s="196"/>
      <c r="ANQ57" s="196"/>
      <c r="ANR57" s="196"/>
      <c r="ANS57" s="196"/>
      <c r="ANT57" s="196"/>
      <c r="ANU57" s="196"/>
      <c r="ANV57" s="196"/>
      <c r="ANW57" s="196"/>
      <c r="ANX57" s="196"/>
      <c r="ANY57" s="196"/>
      <c r="ANZ57" s="196"/>
      <c r="AOA57" s="196"/>
      <c r="AOB57" s="196"/>
      <c r="AOC57" s="196"/>
      <c r="AOD57" s="196"/>
      <c r="AOE57" s="196"/>
      <c r="AOF57" s="196"/>
      <c r="AOG57" s="196"/>
      <c r="AOH57" s="196"/>
      <c r="AOI57" s="196"/>
      <c r="AOJ57" s="196"/>
      <c r="AOK57" s="196"/>
      <c r="AOL57" s="196"/>
      <c r="AOM57" s="196"/>
      <c r="AON57" s="196"/>
      <c r="AOO57" s="196"/>
      <c r="AOP57" s="196"/>
      <c r="AOQ57" s="196"/>
      <c r="AOR57" s="196"/>
      <c r="AOS57" s="196"/>
      <c r="AOT57" s="196"/>
      <c r="AOU57" s="196"/>
      <c r="AOV57" s="196"/>
      <c r="AOW57" s="196"/>
      <c r="AOX57" s="196"/>
      <c r="AOY57" s="196"/>
      <c r="AOZ57" s="196"/>
      <c r="APA57" s="196"/>
      <c r="APB57" s="196"/>
      <c r="APC57" s="196"/>
      <c r="APD57" s="196"/>
      <c r="APE57" s="196"/>
      <c r="APF57" s="196"/>
      <c r="APG57" s="196"/>
      <c r="APH57" s="196"/>
      <c r="API57" s="196"/>
      <c r="APJ57" s="196"/>
      <c r="APK57" s="196"/>
      <c r="APL57" s="196"/>
      <c r="APM57" s="196"/>
      <c r="APN57" s="196"/>
      <c r="APO57" s="196"/>
      <c r="APP57" s="196"/>
      <c r="APQ57" s="196"/>
      <c r="APR57" s="196"/>
      <c r="APS57" s="196"/>
      <c r="APT57" s="196"/>
      <c r="APU57" s="196"/>
      <c r="APV57" s="196"/>
      <c r="APW57" s="196"/>
      <c r="APX57" s="196"/>
      <c r="APY57" s="196"/>
      <c r="APZ57" s="196"/>
      <c r="AQA57" s="196"/>
      <c r="AQB57" s="196"/>
      <c r="AQC57" s="196"/>
      <c r="AQD57" s="196"/>
      <c r="AQE57" s="196"/>
      <c r="AQF57" s="196"/>
      <c r="AQG57" s="196"/>
      <c r="AQH57" s="196"/>
      <c r="AQI57" s="196"/>
      <c r="AQJ57" s="196"/>
      <c r="AQK57" s="196"/>
      <c r="AQL57" s="196"/>
      <c r="AQM57" s="196"/>
      <c r="AQN57" s="196"/>
      <c r="AQO57" s="196"/>
      <c r="AQP57" s="196"/>
      <c r="AQQ57" s="196"/>
      <c r="AQR57" s="196"/>
      <c r="AQS57" s="196"/>
      <c r="AQT57" s="196"/>
      <c r="AQU57" s="196"/>
      <c r="AQV57" s="196"/>
      <c r="AQW57" s="196"/>
      <c r="AQX57" s="196"/>
      <c r="AQY57" s="196"/>
      <c r="AQZ57" s="196"/>
      <c r="ARA57" s="196"/>
      <c r="ARB57" s="196"/>
      <c r="ARC57" s="196"/>
      <c r="ARD57" s="196"/>
      <c r="ARE57" s="196"/>
      <c r="ARF57" s="196"/>
      <c r="ARG57" s="196"/>
      <c r="ARH57" s="196"/>
      <c r="ARI57" s="196"/>
      <c r="ARJ57" s="196"/>
      <c r="ARK57" s="196"/>
      <c r="ARL57" s="196"/>
      <c r="ARM57" s="196"/>
      <c r="ARN57" s="196"/>
      <c r="ARO57" s="196"/>
      <c r="ARP57" s="196"/>
      <c r="ARQ57" s="196"/>
      <c r="ARR57" s="196"/>
      <c r="ARS57" s="196"/>
      <c r="ART57" s="196"/>
      <c r="ARU57" s="196"/>
      <c r="ARV57" s="196"/>
      <c r="ARW57" s="196"/>
      <c r="ARX57" s="196"/>
      <c r="ARY57" s="196"/>
      <c r="ARZ57" s="196"/>
      <c r="ASA57" s="196"/>
      <c r="ASB57" s="196"/>
      <c r="ASC57" s="196"/>
      <c r="ASD57" s="196"/>
      <c r="ASE57" s="196"/>
      <c r="ASF57" s="196"/>
      <c r="ASG57" s="196"/>
      <c r="ASH57" s="196"/>
      <c r="ASI57" s="196"/>
      <c r="ASJ57" s="196"/>
      <c r="ASK57" s="196"/>
      <c r="ASL57" s="196"/>
      <c r="ASM57" s="196"/>
      <c r="ASN57" s="196"/>
      <c r="ASO57" s="196"/>
      <c r="ASP57" s="196"/>
      <c r="ASQ57" s="196"/>
      <c r="ASR57" s="196"/>
      <c r="ASS57" s="196"/>
      <c r="AST57" s="196"/>
      <c r="ASU57" s="196"/>
      <c r="ASV57" s="196"/>
      <c r="ASW57" s="196"/>
      <c r="ASX57" s="196"/>
      <c r="ASY57" s="196"/>
      <c r="ASZ57" s="196"/>
      <c r="ATA57" s="196"/>
      <c r="ATB57" s="196"/>
      <c r="ATC57" s="196"/>
      <c r="ATD57" s="196"/>
      <c r="ATE57" s="196"/>
      <c r="ATF57" s="196"/>
      <c r="ATG57" s="196"/>
      <c r="ATH57" s="196"/>
      <c r="ATI57" s="196"/>
      <c r="ATJ57" s="196"/>
      <c r="ATK57" s="196"/>
      <c r="ATL57" s="196"/>
      <c r="ATM57" s="196"/>
      <c r="ATN57" s="196"/>
      <c r="ATO57" s="196"/>
      <c r="ATP57" s="196"/>
      <c r="ATQ57" s="196"/>
      <c r="ATR57" s="196"/>
      <c r="ATS57" s="196"/>
      <c r="ATT57" s="196"/>
      <c r="ATU57" s="196"/>
      <c r="ATV57" s="196"/>
      <c r="ATW57" s="196"/>
      <c r="ATX57" s="196"/>
      <c r="ATY57" s="196"/>
      <c r="ATZ57" s="196"/>
      <c r="AUA57" s="196"/>
      <c r="AUB57" s="196"/>
      <c r="AUC57" s="196"/>
      <c r="AUD57" s="196"/>
      <c r="AUE57" s="196"/>
      <c r="AUF57" s="196"/>
      <c r="AUG57" s="196"/>
      <c r="AUH57" s="196"/>
      <c r="AUI57" s="196"/>
      <c r="AUJ57" s="196"/>
      <c r="AUK57" s="196"/>
      <c r="AUL57" s="196"/>
      <c r="AUM57" s="196"/>
      <c r="AUN57" s="196"/>
      <c r="AUO57" s="196"/>
      <c r="AUP57" s="196"/>
      <c r="AUQ57" s="196"/>
      <c r="AUR57" s="196"/>
      <c r="AUS57" s="196"/>
      <c r="AUT57" s="196"/>
      <c r="AUU57" s="196"/>
      <c r="AUV57" s="196"/>
      <c r="AUW57" s="196"/>
      <c r="AUX57" s="196"/>
      <c r="AUY57" s="196"/>
      <c r="AUZ57" s="196"/>
      <c r="AVA57" s="196"/>
      <c r="AVB57" s="196"/>
      <c r="AVC57" s="196"/>
      <c r="AVD57" s="196"/>
      <c r="AVE57" s="196"/>
      <c r="AVF57" s="196"/>
      <c r="AVG57" s="196"/>
      <c r="AVH57" s="196"/>
      <c r="AVI57" s="196"/>
      <c r="AVJ57" s="196"/>
      <c r="AVK57" s="196"/>
      <c r="AVL57" s="196"/>
      <c r="AVM57" s="196"/>
      <c r="AVN57" s="196"/>
      <c r="AVO57" s="196"/>
      <c r="AVP57" s="196"/>
      <c r="AVQ57" s="196"/>
      <c r="AVR57" s="196"/>
      <c r="AVS57" s="196"/>
      <c r="AVT57" s="196"/>
      <c r="AVU57" s="196"/>
      <c r="AVV57" s="196"/>
      <c r="AVW57" s="196"/>
      <c r="AVX57" s="196"/>
      <c r="AVY57" s="196"/>
      <c r="AVZ57" s="196"/>
      <c r="AWA57" s="196"/>
      <c r="AWB57" s="196"/>
      <c r="AWC57" s="196"/>
      <c r="AWD57" s="196"/>
      <c r="AWE57" s="196"/>
      <c r="AWF57" s="196"/>
      <c r="AWG57" s="196"/>
      <c r="AWH57" s="196"/>
      <c r="AWI57" s="196"/>
      <c r="AWJ57" s="196"/>
      <c r="AWK57" s="196"/>
      <c r="AWL57" s="196"/>
      <c r="AWM57" s="196"/>
      <c r="AWN57" s="196"/>
      <c r="AWO57" s="196"/>
      <c r="AWP57" s="196"/>
      <c r="AWQ57" s="196"/>
      <c r="AWR57" s="196"/>
      <c r="AWS57" s="196"/>
      <c r="AWT57" s="196"/>
      <c r="AWU57" s="196"/>
      <c r="AWV57" s="196"/>
      <c r="AWW57" s="196"/>
      <c r="AWX57" s="196"/>
      <c r="AWY57" s="196"/>
      <c r="AWZ57" s="196"/>
      <c r="AXA57" s="196"/>
      <c r="AXB57" s="196"/>
      <c r="AXC57" s="196"/>
      <c r="AXD57" s="196"/>
      <c r="AXE57" s="196"/>
      <c r="AXF57" s="196"/>
      <c r="AXG57" s="196"/>
      <c r="AXH57" s="196"/>
      <c r="AXI57" s="196"/>
      <c r="AXJ57" s="196"/>
      <c r="AXK57" s="196"/>
      <c r="AXL57" s="196"/>
      <c r="AXM57" s="196"/>
      <c r="AXN57" s="196"/>
      <c r="AXO57" s="196"/>
      <c r="AXP57" s="196"/>
      <c r="AXQ57" s="196"/>
      <c r="AXR57" s="196"/>
      <c r="AXS57" s="196"/>
      <c r="AXT57" s="196"/>
      <c r="AXU57" s="196"/>
      <c r="AXV57" s="196"/>
      <c r="AXW57" s="196"/>
      <c r="AXX57" s="196"/>
      <c r="AXY57" s="196"/>
      <c r="AXZ57" s="196"/>
      <c r="AYA57" s="196"/>
      <c r="AYB57" s="196"/>
      <c r="AYC57" s="196"/>
      <c r="AYD57" s="196"/>
      <c r="AYE57" s="196"/>
      <c r="AYF57" s="196"/>
      <c r="AYG57" s="196"/>
      <c r="AYH57" s="196"/>
      <c r="AYI57" s="196"/>
      <c r="AYJ57" s="196"/>
      <c r="AYK57" s="196"/>
      <c r="AYL57" s="196"/>
      <c r="AYM57" s="196"/>
      <c r="AYN57" s="196"/>
      <c r="AYO57" s="196"/>
      <c r="AYP57" s="196"/>
      <c r="AYQ57" s="196"/>
      <c r="AYR57" s="196"/>
      <c r="AYS57" s="196"/>
      <c r="AYT57" s="196"/>
      <c r="AYU57" s="196"/>
      <c r="AYV57" s="196"/>
      <c r="AYW57" s="196"/>
      <c r="AYX57" s="196"/>
      <c r="AYY57" s="196"/>
      <c r="AYZ57" s="196"/>
      <c r="AZA57" s="196"/>
      <c r="AZB57" s="196"/>
      <c r="AZC57" s="196"/>
      <c r="AZD57" s="196"/>
      <c r="AZE57" s="196"/>
      <c r="AZF57" s="196"/>
      <c r="AZG57" s="196"/>
      <c r="AZH57" s="196"/>
      <c r="AZI57" s="196"/>
      <c r="AZJ57" s="196"/>
      <c r="AZK57" s="196"/>
      <c r="AZL57" s="196"/>
      <c r="AZM57" s="196"/>
      <c r="AZN57" s="196"/>
      <c r="AZO57" s="196"/>
      <c r="AZP57" s="196"/>
      <c r="AZQ57" s="196"/>
      <c r="AZR57" s="196"/>
      <c r="AZS57" s="196"/>
      <c r="AZT57" s="196"/>
      <c r="AZU57" s="196"/>
      <c r="AZV57" s="196"/>
      <c r="AZW57" s="196"/>
      <c r="AZX57" s="196"/>
      <c r="AZY57" s="196"/>
      <c r="AZZ57" s="196"/>
      <c r="BAA57" s="196"/>
      <c r="BAB57" s="196"/>
      <c r="BAC57" s="196"/>
      <c r="BAD57" s="196"/>
      <c r="BAE57" s="196"/>
      <c r="BAF57" s="196"/>
      <c r="BAG57" s="196"/>
      <c r="BAH57" s="196"/>
      <c r="BAI57" s="196"/>
      <c r="BAJ57" s="196"/>
      <c r="BAK57" s="196"/>
      <c r="BAL57" s="196"/>
      <c r="BAM57" s="196"/>
      <c r="BAN57" s="196"/>
      <c r="BAO57" s="196"/>
      <c r="BAP57" s="196"/>
      <c r="BAQ57" s="196"/>
      <c r="BAR57" s="196"/>
      <c r="BAS57" s="196"/>
      <c r="BAT57" s="196"/>
      <c r="BAU57" s="196"/>
      <c r="BAV57" s="196"/>
      <c r="BAW57" s="196"/>
      <c r="BAX57" s="196"/>
      <c r="BAY57" s="196"/>
      <c r="BAZ57" s="196"/>
      <c r="BBA57" s="196"/>
      <c r="BBB57" s="196"/>
      <c r="BBC57" s="196"/>
      <c r="BBD57" s="196"/>
      <c r="BBE57" s="196"/>
      <c r="BBF57" s="196"/>
      <c r="BBG57" s="196"/>
      <c r="BBH57" s="196"/>
      <c r="BBI57" s="196"/>
      <c r="BBJ57" s="196"/>
      <c r="BBK57" s="196"/>
      <c r="BBL57" s="196"/>
      <c r="BBM57" s="196"/>
      <c r="BBN57" s="196"/>
      <c r="BBO57" s="196"/>
      <c r="BBP57" s="196"/>
      <c r="BBQ57" s="196"/>
      <c r="BBR57" s="196"/>
      <c r="BBS57" s="196"/>
      <c r="BBT57" s="196"/>
      <c r="BBU57" s="196"/>
      <c r="BBV57" s="196"/>
      <c r="BBW57" s="196"/>
      <c r="BBX57" s="196"/>
      <c r="BBY57" s="196"/>
      <c r="BBZ57" s="196"/>
      <c r="BCA57" s="196"/>
      <c r="BCB57" s="196"/>
      <c r="BCC57" s="196"/>
      <c r="BCD57" s="196"/>
      <c r="BCE57" s="196"/>
      <c r="BCF57" s="196"/>
      <c r="BCG57" s="196"/>
      <c r="BCH57" s="196"/>
      <c r="BCI57" s="196"/>
      <c r="BCJ57" s="196"/>
      <c r="BCK57" s="196"/>
      <c r="BCL57" s="196"/>
      <c r="BCM57" s="196"/>
      <c r="BCN57" s="196"/>
      <c r="BCO57" s="196"/>
      <c r="BCP57" s="196"/>
      <c r="BCQ57" s="196"/>
      <c r="BCR57" s="196"/>
      <c r="BCS57" s="196"/>
      <c r="BCT57" s="196"/>
      <c r="BCU57" s="196"/>
      <c r="BCV57" s="196"/>
      <c r="BCW57" s="196"/>
      <c r="BCX57" s="196"/>
      <c r="BCY57" s="196"/>
      <c r="BCZ57" s="196"/>
      <c r="BDA57" s="196"/>
      <c r="BDB57" s="196"/>
      <c r="BDC57" s="196"/>
      <c r="BDD57" s="196"/>
      <c r="BDE57" s="196"/>
      <c r="BDF57" s="196"/>
      <c r="BDG57" s="196"/>
      <c r="BDH57" s="196"/>
      <c r="BDI57" s="196"/>
      <c r="BDJ57" s="196"/>
      <c r="BDK57" s="196"/>
      <c r="BDL57" s="196"/>
      <c r="BDM57" s="196"/>
      <c r="BDN57" s="196"/>
      <c r="BDO57" s="196"/>
      <c r="BDP57" s="196"/>
      <c r="BDQ57" s="196"/>
      <c r="BDR57" s="196"/>
      <c r="BDS57" s="196"/>
      <c r="BDT57" s="196"/>
      <c r="BDU57" s="196"/>
      <c r="BDV57" s="196"/>
      <c r="BDW57" s="196"/>
      <c r="BDX57" s="196"/>
      <c r="BDY57" s="196"/>
      <c r="BDZ57" s="196"/>
      <c r="BEA57" s="196"/>
      <c r="BEB57" s="196"/>
      <c r="BEC57" s="196"/>
      <c r="BED57" s="196"/>
      <c r="BEE57" s="196"/>
      <c r="BEF57" s="196"/>
      <c r="BEG57" s="196"/>
      <c r="BEH57" s="196"/>
      <c r="BEI57" s="196"/>
      <c r="BEJ57" s="196"/>
      <c r="BEK57" s="196"/>
      <c r="BEL57" s="196"/>
      <c r="BEM57" s="196"/>
      <c r="BEN57" s="196"/>
      <c r="BEO57" s="196"/>
      <c r="BEP57" s="196"/>
      <c r="BEQ57" s="196"/>
      <c r="BER57" s="196"/>
      <c r="BES57" s="196"/>
      <c r="BET57" s="196"/>
      <c r="BEU57" s="196"/>
      <c r="BEV57" s="196"/>
      <c r="BEW57" s="196"/>
      <c r="BEX57" s="196"/>
      <c r="BEY57" s="196"/>
      <c r="BEZ57" s="196"/>
      <c r="BFA57" s="196"/>
      <c r="BFB57" s="196"/>
      <c r="BFC57" s="196"/>
      <c r="BFD57" s="196"/>
      <c r="BFE57" s="196"/>
      <c r="BFF57" s="196"/>
      <c r="BFG57" s="196"/>
      <c r="BFH57" s="196"/>
      <c r="BFI57" s="196"/>
      <c r="BFJ57" s="196"/>
      <c r="BFK57" s="196"/>
      <c r="BFL57" s="196"/>
      <c r="BFM57" s="196"/>
      <c r="BFN57" s="196"/>
      <c r="BFO57" s="196"/>
      <c r="BFP57" s="196"/>
      <c r="BFQ57" s="196"/>
      <c r="BFR57" s="196"/>
      <c r="BFS57" s="196"/>
      <c r="BFT57" s="196"/>
      <c r="BFU57" s="196"/>
      <c r="BFV57" s="196"/>
      <c r="BFW57" s="196"/>
      <c r="BFX57" s="196"/>
      <c r="BFY57" s="196"/>
      <c r="BFZ57" s="196"/>
      <c r="BGA57" s="196"/>
      <c r="BGB57" s="196"/>
      <c r="BGC57" s="196"/>
      <c r="BGD57" s="196"/>
      <c r="BGE57" s="196"/>
      <c r="BGF57" s="196"/>
      <c r="BGG57" s="196"/>
      <c r="BGH57" s="196"/>
      <c r="BGI57" s="196"/>
      <c r="BGJ57" s="196"/>
      <c r="BGK57" s="196"/>
      <c r="BGL57" s="196"/>
      <c r="BGM57" s="196"/>
      <c r="BGN57" s="196"/>
      <c r="BGO57" s="196"/>
      <c r="BGP57" s="196"/>
      <c r="BGQ57" s="196"/>
      <c r="BGR57" s="196"/>
      <c r="BGS57" s="196"/>
      <c r="BGT57" s="196"/>
      <c r="BGU57" s="196"/>
      <c r="BGV57" s="196"/>
      <c r="BGW57" s="196"/>
      <c r="BGX57" s="196"/>
      <c r="BGY57" s="196"/>
      <c r="BGZ57" s="196"/>
      <c r="BHA57" s="196"/>
      <c r="BHB57" s="196"/>
      <c r="BHC57" s="196"/>
      <c r="BHD57" s="196"/>
      <c r="BHE57" s="196"/>
      <c r="BHF57" s="196"/>
      <c r="BHG57" s="196"/>
      <c r="BHH57" s="196"/>
      <c r="BHI57" s="196"/>
      <c r="BHJ57" s="196"/>
      <c r="BHK57" s="196"/>
      <c r="BHL57" s="196"/>
      <c r="BHM57" s="196"/>
      <c r="BHN57" s="196"/>
      <c r="BHO57" s="196"/>
      <c r="BHP57" s="196"/>
      <c r="BHQ57" s="196"/>
      <c r="BHR57" s="196"/>
      <c r="BHS57" s="196"/>
      <c r="BHT57" s="196"/>
      <c r="BHU57" s="196"/>
      <c r="BHV57" s="196"/>
      <c r="BHW57" s="196"/>
      <c r="BHX57" s="196"/>
      <c r="BHY57" s="196"/>
      <c r="BHZ57" s="196"/>
      <c r="BIA57" s="196"/>
      <c r="BIB57" s="196"/>
      <c r="BIC57" s="196"/>
      <c r="BID57" s="196"/>
      <c r="BIE57" s="196"/>
      <c r="BIF57" s="196"/>
      <c r="BIG57" s="196"/>
      <c r="BIH57" s="196"/>
      <c r="BII57" s="196"/>
      <c r="BIJ57" s="196"/>
      <c r="BIK57" s="196"/>
      <c r="BIL57" s="196"/>
      <c r="BIM57" s="196"/>
      <c r="BIN57" s="196"/>
      <c r="BIO57" s="196"/>
      <c r="BIP57" s="196"/>
      <c r="BIQ57" s="196"/>
      <c r="BIR57" s="196"/>
      <c r="BIS57" s="196"/>
      <c r="BIT57" s="196"/>
      <c r="BIU57" s="196"/>
      <c r="BIV57" s="196"/>
      <c r="BIW57" s="196"/>
      <c r="BIX57" s="196"/>
      <c r="BIY57" s="196"/>
      <c r="BIZ57" s="196"/>
      <c r="BJA57" s="196"/>
      <c r="BJB57" s="196"/>
      <c r="BJC57" s="196"/>
      <c r="BJD57" s="196"/>
      <c r="BJE57" s="196"/>
      <c r="BJF57" s="196"/>
      <c r="BJG57" s="196"/>
      <c r="BJH57" s="196"/>
      <c r="BJI57" s="196"/>
      <c r="BJJ57" s="196"/>
      <c r="BJK57" s="196"/>
      <c r="BJL57" s="196"/>
      <c r="BJM57" s="196"/>
      <c r="BJN57" s="196"/>
      <c r="BJO57" s="196"/>
      <c r="BJP57" s="196"/>
      <c r="BJQ57" s="196"/>
      <c r="BJR57" s="196"/>
      <c r="BJS57" s="196"/>
      <c r="BJT57" s="196"/>
      <c r="BJU57" s="196"/>
      <c r="BJV57" s="196"/>
      <c r="BJW57" s="196"/>
      <c r="BJX57" s="196"/>
      <c r="BJY57" s="196"/>
      <c r="BJZ57" s="196"/>
      <c r="BKA57" s="196"/>
      <c r="BKB57" s="196"/>
      <c r="BKC57" s="196"/>
      <c r="BKD57" s="196"/>
      <c r="BKE57" s="196"/>
      <c r="BKF57" s="196"/>
      <c r="BKG57" s="196"/>
      <c r="BKH57" s="196"/>
      <c r="BKI57" s="196"/>
      <c r="BKJ57" s="196"/>
      <c r="BKK57" s="196"/>
      <c r="BKL57" s="196"/>
      <c r="BKM57" s="196"/>
      <c r="BKN57" s="196"/>
      <c r="BKO57" s="196"/>
      <c r="BKP57" s="196"/>
      <c r="BKQ57" s="196"/>
      <c r="BKR57" s="196"/>
      <c r="BKS57" s="196"/>
      <c r="BKT57" s="196"/>
      <c r="BKU57" s="196"/>
      <c r="BKV57" s="196"/>
      <c r="BKW57" s="196"/>
      <c r="BKX57" s="196"/>
      <c r="BKY57" s="196"/>
      <c r="BKZ57" s="196"/>
      <c r="BLA57" s="196"/>
      <c r="BLB57" s="196"/>
      <c r="BLC57" s="196"/>
      <c r="BLD57" s="196"/>
      <c r="BLE57" s="196"/>
      <c r="BLF57" s="196"/>
      <c r="BLG57" s="196"/>
      <c r="BLH57" s="196"/>
      <c r="BLI57" s="196"/>
      <c r="BLJ57" s="196"/>
      <c r="BLK57" s="196"/>
      <c r="BLL57" s="196"/>
      <c r="BLM57" s="196"/>
      <c r="BLN57" s="196"/>
      <c r="BLO57" s="196"/>
      <c r="BLP57" s="196"/>
      <c r="BLQ57" s="196"/>
      <c r="BLR57" s="196"/>
      <c r="BLS57" s="196"/>
      <c r="BLT57" s="196"/>
      <c r="BLU57" s="196"/>
      <c r="BLV57" s="196"/>
      <c r="BLW57" s="196"/>
      <c r="BLX57" s="196"/>
      <c r="BLY57" s="196"/>
      <c r="BLZ57" s="196"/>
      <c r="BMA57" s="196"/>
      <c r="BMB57" s="196"/>
      <c r="BMC57" s="196"/>
      <c r="BMD57" s="196"/>
      <c r="BME57" s="196"/>
      <c r="BMF57" s="196"/>
      <c r="BMG57" s="196"/>
      <c r="BMH57" s="196"/>
      <c r="BMI57" s="196"/>
      <c r="BMJ57" s="196"/>
      <c r="BMK57" s="196"/>
      <c r="BML57" s="196"/>
      <c r="BMM57" s="196"/>
      <c r="BMN57" s="196"/>
      <c r="BMO57" s="196"/>
      <c r="BMP57" s="196"/>
      <c r="BMQ57" s="196"/>
      <c r="BMR57" s="196"/>
      <c r="BMS57" s="196"/>
      <c r="BMT57" s="196"/>
      <c r="BMU57" s="196"/>
      <c r="BMV57" s="196"/>
      <c r="BMW57" s="196"/>
      <c r="BMX57" s="196"/>
      <c r="BMY57" s="196"/>
      <c r="BMZ57" s="196"/>
      <c r="BNA57" s="196"/>
      <c r="BNB57" s="196"/>
      <c r="BNC57" s="196"/>
      <c r="BND57" s="196"/>
      <c r="BNE57" s="196"/>
      <c r="BNF57" s="196"/>
      <c r="BNG57" s="196"/>
      <c r="BNH57" s="196"/>
      <c r="BNI57" s="196"/>
      <c r="BNJ57" s="196"/>
      <c r="BNK57" s="196"/>
      <c r="BNL57" s="196"/>
      <c r="BNM57" s="196"/>
      <c r="BNN57" s="196"/>
      <c r="BNO57" s="196"/>
      <c r="BNP57" s="196"/>
      <c r="BNQ57" s="196"/>
      <c r="BNR57" s="196"/>
      <c r="BNS57" s="196"/>
      <c r="BNT57" s="196"/>
      <c r="BNU57" s="196"/>
      <c r="BNV57" s="196"/>
      <c r="BNW57" s="196"/>
      <c r="BNX57" s="196"/>
      <c r="BNY57" s="196"/>
      <c r="BNZ57" s="196"/>
      <c r="BOA57" s="196"/>
      <c r="BOB57" s="196"/>
      <c r="BOC57" s="196"/>
      <c r="BOD57" s="196"/>
      <c r="BOE57" s="196"/>
      <c r="BOF57" s="196"/>
      <c r="BOG57" s="196"/>
      <c r="BOH57" s="196"/>
      <c r="BOI57" s="196"/>
      <c r="BOJ57" s="196"/>
      <c r="BOK57" s="196"/>
      <c r="BOL57" s="196"/>
      <c r="BOM57" s="196"/>
      <c r="BON57" s="196"/>
      <c r="BOO57" s="196"/>
      <c r="BOP57" s="196"/>
      <c r="BOQ57" s="196"/>
      <c r="BOR57" s="196"/>
      <c r="BOS57" s="196"/>
      <c r="BOT57" s="196"/>
      <c r="BOU57" s="196"/>
      <c r="BOV57" s="196"/>
      <c r="BOW57" s="196"/>
      <c r="BOX57" s="196"/>
      <c r="BOY57" s="196"/>
      <c r="BOZ57" s="196"/>
      <c r="BPA57" s="196"/>
      <c r="BPB57" s="196"/>
      <c r="BPC57" s="196"/>
      <c r="BPD57" s="196"/>
      <c r="BPE57" s="196"/>
      <c r="BPF57" s="196"/>
      <c r="BPG57" s="196"/>
      <c r="BPH57" s="196"/>
      <c r="BPI57" s="196"/>
      <c r="BPJ57" s="196"/>
      <c r="BPK57" s="196"/>
      <c r="BPL57" s="196"/>
      <c r="BPM57" s="196"/>
      <c r="BPN57" s="196"/>
      <c r="BPO57" s="196"/>
      <c r="BPP57" s="196"/>
      <c r="BPQ57" s="196"/>
      <c r="BPR57" s="196"/>
      <c r="BPS57" s="196"/>
      <c r="BPT57" s="196"/>
      <c r="BPU57" s="196"/>
      <c r="BPV57" s="196"/>
      <c r="BPW57" s="196"/>
      <c r="BPX57" s="196"/>
      <c r="BPY57" s="196"/>
      <c r="BPZ57" s="196"/>
      <c r="BQA57" s="196"/>
      <c r="BQB57" s="196"/>
      <c r="BQC57" s="196"/>
      <c r="BQD57" s="196"/>
      <c r="BQE57" s="196"/>
      <c r="BQF57" s="196"/>
      <c r="BQG57" s="196"/>
      <c r="BQH57" s="196"/>
      <c r="BQI57" s="196"/>
      <c r="BQJ57" s="196"/>
      <c r="BQK57" s="196"/>
      <c r="BQL57" s="196"/>
      <c r="BQM57" s="196"/>
      <c r="BQN57" s="196"/>
      <c r="BQO57" s="196"/>
      <c r="BQP57" s="196"/>
      <c r="BQQ57" s="196"/>
      <c r="BQR57" s="196"/>
      <c r="BQS57" s="196"/>
      <c r="BQT57" s="196"/>
      <c r="BQU57" s="196"/>
      <c r="BQV57" s="196"/>
      <c r="BQW57" s="196"/>
      <c r="BQX57" s="196"/>
      <c r="BQY57" s="196"/>
      <c r="BQZ57" s="196"/>
      <c r="BRA57" s="196"/>
      <c r="BRB57" s="196"/>
      <c r="BRC57" s="196"/>
      <c r="BRD57" s="196"/>
      <c r="BRE57" s="196"/>
      <c r="BRF57" s="196"/>
      <c r="BRG57" s="196"/>
      <c r="BRH57" s="196"/>
      <c r="BRI57" s="196"/>
      <c r="BRJ57" s="196"/>
      <c r="BRK57" s="196"/>
      <c r="BRL57" s="196"/>
      <c r="BRM57" s="196"/>
      <c r="BRN57" s="196"/>
      <c r="BRO57" s="196"/>
      <c r="BRP57" s="196"/>
      <c r="BRQ57" s="196"/>
      <c r="BRR57" s="196"/>
      <c r="BRS57" s="196"/>
      <c r="BRT57" s="196"/>
      <c r="BRU57" s="196"/>
      <c r="BRV57" s="196"/>
      <c r="BRW57" s="196"/>
      <c r="BRX57" s="196"/>
      <c r="BRY57" s="196"/>
      <c r="BRZ57" s="196"/>
      <c r="BSA57" s="196"/>
      <c r="BSB57" s="196"/>
      <c r="BSC57" s="196"/>
      <c r="BSD57" s="196"/>
      <c r="BSE57" s="196"/>
      <c r="BSF57" s="196"/>
      <c r="BSG57" s="196"/>
      <c r="BSH57" s="196"/>
      <c r="BSI57" s="196"/>
      <c r="BSJ57" s="196"/>
      <c r="BSK57" s="196"/>
      <c r="BSL57" s="196"/>
      <c r="BSM57" s="196"/>
      <c r="BSN57" s="196"/>
      <c r="BSO57" s="196"/>
      <c r="BSP57" s="196"/>
      <c r="BSQ57" s="196"/>
      <c r="BSR57" s="196"/>
      <c r="BSS57" s="196"/>
      <c r="BST57" s="196"/>
      <c r="BSU57" s="196"/>
      <c r="BSV57" s="196"/>
      <c r="BSW57" s="196"/>
      <c r="BSX57" s="196"/>
      <c r="BSY57" s="196"/>
      <c r="BSZ57" s="196"/>
      <c r="BTA57" s="196"/>
      <c r="BTB57" s="196"/>
      <c r="BTC57" s="196"/>
      <c r="BTD57" s="196"/>
      <c r="BTE57" s="196"/>
      <c r="BTF57" s="196"/>
      <c r="BTG57" s="196"/>
      <c r="BTH57" s="196"/>
      <c r="BTI57" s="196"/>
      <c r="BTJ57" s="196"/>
      <c r="BTK57" s="196"/>
      <c r="BTL57" s="196"/>
      <c r="BTM57" s="196"/>
      <c r="BTN57" s="196"/>
      <c r="BTO57" s="196"/>
      <c r="BTP57" s="196"/>
      <c r="BTQ57" s="196"/>
      <c r="BTR57" s="196"/>
      <c r="BTS57" s="196"/>
      <c r="BTT57" s="196"/>
      <c r="BTU57" s="196"/>
      <c r="BTV57" s="196"/>
      <c r="BTW57" s="196"/>
      <c r="BTX57" s="196"/>
      <c r="BTY57" s="196"/>
      <c r="BTZ57" s="196"/>
      <c r="BUA57" s="196"/>
      <c r="BUB57" s="196"/>
      <c r="BUC57" s="196"/>
      <c r="BUD57" s="196"/>
      <c r="BUE57" s="196"/>
      <c r="BUF57" s="196"/>
      <c r="BUG57" s="196"/>
      <c r="BUH57" s="196"/>
      <c r="BUI57" s="196"/>
      <c r="BUJ57" s="196"/>
      <c r="BUK57" s="196"/>
      <c r="BUL57" s="196"/>
      <c r="BUM57" s="196"/>
      <c r="BUN57" s="196"/>
      <c r="BUO57" s="196"/>
      <c r="BUP57" s="196"/>
      <c r="BUQ57" s="196"/>
      <c r="BUR57" s="196"/>
      <c r="BUS57" s="196"/>
      <c r="BUT57" s="196"/>
      <c r="BUU57" s="196"/>
      <c r="BUV57" s="196"/>
      <c r="BUW57" s="196"/>
      <c r="BUX57" s="196"/>
      <c r="BUY57" s="196"/>
      <c r="BUZ57" s="196"/>
      <c r="BVA57" s="196"/>
      <c r="BVB57" s="196"/>
      <c r="BVC57" s="196"/>
      <c r="BVD57" s="196"/>
      <c r="BVE57" s="196"/>
      <c r="BVF57" s="196"/>
      <c r="BVG57" s="196"/>
      <c r="BVH57" s="196"/>
      <c r="BVI57" s="196"/>
      <c r="BVJ57" s="196"/>
      <c r="BVK57" s="196"/>
      <c r="BVL57" s="196"/>
      <c r="BVM57" s="196"/>
      <c r="BVN57" s="196"/>
      <c r="BVO57" s="196"/>
      <c r="BVP57" s="196"/>
      <c r="BVQ57" s="196"/>
      <c r="BVR57" s="196"/>
      <c r="BVS57" s="196"/>
      <c r="BVT57" s="196"/>
      <c r="BVU57" s="196"/>
      <c r="BVV57" s="196"/>
      <c r="BVW57" s="196"/>
      <c r="BVX57" s="196"/>
      <c r="BVY57" s="196"/>
      <c r="BVZ57" s="196"/>
      <c r="BWA57" s="196"/>
      <c r="BWB57" s="196"/>
      <c r="BWC57" s="196"/>
      <c r="BWD57" s="196"/>
      <c r="BWE57" s="196"/>
      <c r="BWF57" s="196"/>
      <c r="BWG57" s="196"/>
      <c r="BWH57" s="196"/>
      <c r="BWI57" s="196"/>
      <c r="BWJ57" s="196"/>
      <c r="BWK57" s="196"/>
      <c r="BWL57" s="196"/>
      <c r="BWM57" s="196"/>
      <c r="BWN57" s="196"/>
      <c r="BWO57" s="196"/>
      <c r="BWP57" s="196"/>
      <c r="BWQ57" s="196"/>
      <c r="BWR57" s="196"/>
      <c r="BWS57" s="196"/>
      <c r="BWT57" s="196"/>
      <c r="BWU57" s="196"/>
      <c r="BWV57" s="196"/>
      <c r="BWW57" s="196"/>
      <c r="BWX57" s="196"/>
      <c r="BWY57" s="196"/>
      <c r="BWZ57" s="196"/>
      <c r="BXA57" s="196"/>
      <c r="BXB57" s="196"/>
      <c r="BXC57" s="196"/>
      <c r="BXD57" s="196"/>
      <c r="BXE57" s="196"/>
      <c r="BXF57" s="196"/>
      <c r="BXG57" s="196"/>
      <c r="BXH57" s="196"/>
      <c r="BXI57" s="196"/>
      <c r="BXJ57" s="196"/>
      <c r="BXK57" s="196"/>
      <c r="BXL57" s="196"/>
      <c r="BXM57" s="196"/>
      <c r="BXN57" s="196"/>
      <c r="BXO57" s="196"/>
      <c r="BXP57" s="196"/>
      <c r="BXQ57" s="196"/>
      <c r="BXR57" s="196"/>
      <c r="BXS57" s="196"/>
      <c r="BXT57" s="196"/>
      <c r="BXU57" s="196"/>
      <c r="BXV57" s="196"/>
      <c r="BXW57" s="196"/>
      <c r="BXX57" s="196"/>
      <c r="BXY57" s="196"/>
      <c r="BXZ57" s="196"/>
      <c r="BYA57" s="196"/>
      <c r="BYB57" s="196"/>
      <c r="BYC57" s="196"/>
      <c r="BYD57" s="196"/>
      <c r="BYE57" s="196"/>
      <c r="BYF57" s="196"/>
      <c r="BYG57" s="196"/>
      <c r="BYH57" s="196"/>
      <c r="BYI57" s="196"/>
      <c r="BYJ57" s="196"/>
      <c r="BYK57" s="196"/>
      <c r="BYL57" s="196"/>
      <c r="BYM57" s="196"/>
      <c r="BYN57" s="196"/>
      <c r="BYO57" s="196"/>
      <c r="BYP57" s="196"/>
      <c r="BYQ57" s="196"/>
      <c r="BYR57" s="196"/>
      <c r="BYS57" s="196"/>
      <c r="BYT57" s="196"/>
      <c r="BYU57" s="196"/>
      <c r="BYV57" s="196"/>
      <c r="BYW57" s="196"/>
      <c r="BYX57" s="196"/>
      <c r="BYY57" s="196"/>
      <c r="BYZ57" s="196"/>
      <c r="BZA57" s="196"/>
      <c r="BZB57" s="196"/>
      <c r="BZC57" s="196"/>
      <c r="BZD57" s="196"/>
      <c r="BZE57" s="196"/>
      <c r="BZF57" s="196"/>
      <c r="BZG57" s="196"/>
      <c r="BZH57" s="196"/>
      <c r="BZI57" s="196"/>
      <c r="BZJ57" s="196"/>
      <c r="BZK57" s="196"/>
      <c r="BZL57" s="196"/>
      <c r="BZM57" s="196"/>
      <c r="BZN57" s="196"/>
      <c r="BZO57" s="196"/>
      <c r="BZP57" s="196"/>
      <c r="BZQ57" s="196"/>
      <c r="BZR57" s="196"/>
      <c r="BZS57" s="196"/>
      <c r="BZT57" s="196"/>
      <c r="BZU57" s="196"/>
      <c r="BZV57" s="196"/>
      <c r="BZW57" s="196"/>
      <c r="BZX57" s="196"/>
      <c r="BZY57" s="196"/>
      <c r="BZZ57" s="196"/>
      <c r="CAA57" s="196"/>
      <c r="CAB57" s="196"/>
      <c r="CAC57" s="196"/>
      <c r="CAD57" s="196"/>
      <c r="CAE57" s="196"/>
      <c r="CAF57" s="196"/>
      <c r="CAG57" s="196"/>
      <c r="CAH57" s="196"/>
      <c r="CAI57" s="196"/>
      <c r="CAJ57" s="196"/>
      <c r="CAK57" s="196"/>
      <c r="CAL57" s="196"/>
      <c r="CAM57" s="196"/>
      <c r="CAN57" s="196"/>
      <c r="CAO57" s="196"/>
      <c r="CAP57" s="196"/>
      <c r="CAQ57" s="196"/>
      <c r="CAR57" s="196"/>
      <c r="CAS57" s="196"/>
      <c r="CAT57" s="196"/>
      <c r="CAU57" s="196"/>
      <c r="CAV57" s="196"/>
      <c r="CAW57" s="196"/>
      <c r="CAX57" s="196"/>
      <c r="CAY57" s="196"/>
      <c r="CAZ57" s="196"/>
      <c r="CBA57" s="196"/>
      <c r="CBB57" s="196"/>
      <c r="CBC57" s="196"/>
      <c r="CBD57" s="196"/>
      <c r="CBE57" s="196"/>
      <c r="CBF57" s="196"/>
      <c r="CBG57" s="196"/>
      <c r="CBH57" s="196"/>
      <c r="CBI57" s="196"/>
      <c r="CBJ57" s="196"/>
      <c r="CBK57" s="196"/>
      <c r="CBL57" s="196"/>
      <c r="CBM57" s="196"/>
      <c r="CBN57" s="196"/>
      <c r="CBO57" s="196"/>
      <c r="CBP57" s="196"/>
      <c r="CBQ57" s="196"/>
      <c r="CBR57" s="196"/>
      <c r="CBS57" s="196"/>
      <c r="CBT57" s="196"/>
      <c r="CBU57" s="196"/>
      <c r="CBV57" s="196"/>
      <c r="CBW57" s="196"/>
      <c r="CBX57" s="196"/>
      <c r="CBY57" s="196"/>
      <c r="CBZ57" s="196"/>
      <c r="CCA57" s="196"/>
      <c r="CCB57" s="196"/>
      <c r="CCC57" s="196"/>
      <c r="CCD57" s="196"/>
      <c r="CCE57" s="196"/>
      <c r="CCF57" s="196"/>
      <c r="CCG57" s="196"/>
      <c r="CCH57" s="196"/>
      <c r="CCI57" s="196"/>
      <c r="CCJ57" s="196"/>
      <c r="CCK57" s="196"/>
      <c r="CCL57" s="196"/>
      <c r="CCM57" s="196"/>
      <c r="CCN57" s="196"/>
      <c r="CCO57" s="196"/>
      <c r="CCP57" s="196"/>
      <c r="CCQ57" s="196"/>
      <c r="CCR57" s="196"/>
      <c r="CCS57" s="196"/>
      <c r="CCT57" s="196"/>
      <c r="CCU57" s="196"/>
      <c r="CCV57" s="196"/>
      <c r="CCW57" s="196"/>
      <c r="CCX57" s="196"/>
      <c r="CCY57" s="196"/>
      <c r="CCZ57" s="196"/>
      <c r="CDA57" s="196"/>
      <c r="CDB57" s="196"/>
      <c r="CDC57" s="196"/>
      <c r="CDD57" s="196"/>
      <c r="CDE57" s="196"/>
      <c r="CDF57" s="196"/>
      <c r="CDG57" s="196"/>
      <c r="CDH57" s="196"/>
      <c r="CDI57" s="196"/>
      <c r="CDJ57" s="196"/>
      <c r="CDK57" s="196"/>
      <c r="CDL57" s="196"/>
      <c r="CDM57" s="196"/>
      <c r="CDN57" s="196"/>
      <c r="CDO57" s="196"/>
      <c r="CDP57" s="196"/>
      <c r="CDQ57" s="196"/>
      <c r="CDR57" s="196"/>
      <c r="CDS57" s="196"/>
      <c r="CDT57" s="196"/>
      <c r="CDU57" s="196"/>
      <c r="CDV57" s="196"/>
      <c r="CDW57" s="196"/>
      <c r="CDX57" s="196"/>
      <c r="CDY57" s="196"/>
      <c r="CDZ57" s="196"/>
      <c r="CEA57" s="196"/>
      <c r="CEB57" s="196"/>
      <c r="CEC57" s="196"/>
      <c r="CED57" s="196"/>
      <c r="CEE57" s="196"/>
      <c r="CEF57" s="196"/>
      <c r="CEG57" s="196"/>
      <c r="CEH57" s="196"/>
      <c r="CEI57" s="196"/>
      <c r="CEJ57" s="196"/>
      <c r="CEK57" s="196"/>
      <c r="CEL57" s="196"/>
      <c r="CEM57" s="196"/>
      <c r="CEN57" s="196"/>
      <c r="CEO57" s="196"/>
      <c r="CEP57" s="196"/>
      <c r="CEQ57" s="196"/>
      <c r="CER57" s="196"/>
      <c r="CES57" s="196"/>
      <c r="CET57" s="196"/>
      <c r="CEU57" s="196"/>
      <c r="CEV57" s="196"/>
      <c r="CEW57" s="196"/>
      <c r="CEX57" s="196"/>
      <c r="CEY57" s="196"/>
      <c r="CEZ57" s="196"/>
      <c r="CFA57" s="196"/>
      <c r="CFB57" s="196"/>
      <c r="CFC57" s="196"/>
      <c r="CFD57" s="196"/>
      <c r="CFE57" s="196"/>
      <c r="CFF57" s="196"/>
      <c r="CFG57" s="196"/>
      <c r="CFH57" s="196"/>
      <c r="CFI57" s="196"/>
      <c r="CFJ57" s="196"/>
      <c r="CFK57" s="196"/>
      <c r="CFL57" s="196"/>
      <c r="CFM57" s="196"/>
      <c r="CFN57" s="196"/>
      <c r="CFO57" s="196"/>
      <c r="CFP57" s="196"/>
      <c r="CFQ57" s="196"/>
      <c r="CFR57" s="196"/>
      <c r="CFS57" s="196"/>
      <c r="CFT57" s="196"/>
      <c r="CFU57" s="196"/>
      <c r="CFV57" s="196"/>
      <c r="CFW57" s="196"/>
      <c r="CFX57" s="196"/>
      <c r="CFY57" s="196"/>
      <c r="CFZ57" s="196"/>
      <c r="CGA57" s="196"/>
      <c r="CGB57" s="196"/>
      <c r="CGC57" s="196"/>
      <c r="CGD57" s="196"/>
      <c r="CGE57" s="196"/>
      <c r="CGF57" s="196"/>
      <c r="CGG57" s="196"/>
      <c r="CGH57" s="196"/>
      <c r="CGI57" s="196"/>
      <c r="CGJ57" s="196"/>
      <c r="CGK57" s="196"/>
      <c r="CGL57" s="196"/>
      <c r="CGM57" s="196"/>
      <c r="CGN57" s="196"/>
      <c r="CGO57" s="196"/>
      <c r="CGP57" s="196"/>
      <c r="CGQ57" s="196"/>
      <c r="CGR57" s="196"/>
      <c r="CGS57" s="196"/>
      <c r="CGT57" s="196"/>
      <c r="CGU57" s="196"/>
      <c r="CGV57" s="196"/>
      <c r="CGW57" s="196"/>
      <c r="CGX57" s="196"/>
      <c r="CGY57" s="196"/>
      <c r="CGZ57" s="196"/>
      <c r="CHA57" s="196"/>
      <c r="CHB57" s="196"/>
      <c r="CHC57" s="196"/>
      <c r="CHD57" s="196"/>
      <c r="CHE57" s="196"/>
      <c r="CHF57" s="196"/>
      <c r="CHG57" s="196"/>
      <c r="CHH57" s="196"/>
      <c r="CHI57" s="196"/>
      <c r="CHJ57" s="196"/>
      <c r="CHK57" s="196"/>
      <c r="CHL57" s="196"/>
      <c r="CHM57" s="196"/>
      <c r="CHN57" s="196"/>
      <c r="CHO57" s="196"/>
      <c r="CHP57" s="196"/>
      <c r="CHQ57" s="196"/>
      <c r="CHR57" s="196"/>
      <c r="CHS57" s="196"/>
      <c r="CHT57" s="196"/>
      <c r="CHU57" s="196"/>
      <c r="CHV57" s="196"/>
      <c r="CHW57" s="196"/>
      <c r="CHX57" s="196"/>
      <c r="CHY57" s="196"/>
      <c r="CHZ57" s="196"/>
      <c r="CIA57" s="196"/>
      <c r="CIB57" s="196"/>
      <c r="CIC57" s="196"/>
      <c r="CID57" s="196"/>
      <c r="CIE57" s="196"/>
      <c r="CIF57" s="196"/>
      <c r="CIG57" s="196"/>
      <c r="CIH57" s="196"/>
      <c r="CII57" s="196"/>
      <c r="CIJ57" s="196"/>
      <c r="CIK57" s="196"/>
      <c r="CIL57" s="196"/>
      <c r="CIM57" s="196"/>
      <c r="CIN57" s="196"/>
      <c r="CIO57" s="196"/>
      <c r="CIP57" s="196"/>
      <c r="CIQ57" s="196"/>
      <c r="CIR57" s="196"/>
      <c r="CIS57" s="196"/>
      <c r="CIT57" s="196"/>
      <c r="CIU57" s="196"/>
      <c r="CIV57" s="196"/>
      <c r="CIW57" s="196"/>
      <c r="CIX57" s="196"/>
      <c r="CIY57" s="196"/>
      <c r="CIZ57" s="196"/>
      <c r="CJA57" s="196"/>
      <c r="CJB57" s="196"/>
      <c r="CJC57" s="196"/>
      <c r="CJD57" s="196"/>
      <c r="CJE57" s="196"/>
      <c r="CJF57" s="196"/>
      <c r="CJG57" s="196"/>
      <c r="CJH57" s="196"/>
      <c r="CJI57" s="196"/>
      <c r="CJJ57" s="196"/>
      <c r="CJK57" s="196"/>
      <c r="CJL57" s="196"/>
      <c r="CJM57" s="196"/>
      <c r="CJN57" s="196"/>
      <c r="CJO57" s="196"/>
      <c r="CJP57" s="196"/>
      <c r="CJQ57" s="196"/>
      <c r="CJR57" s="196"/>
      <c r="CJS57" s="196"/>
      <c r="CJT57" s="196"/>
      <c r="CJU57" s="196"/>
      <c r="CJV57" s="196"/>
      <c r="CJW57" s="196"/>
      <c r="CJX57" s="196"/>
      <c r="CJY57" s="196"/>
      <c r="CJZ57" s="196"/>
      <c r="CKA57" s="196"/>
      <c r="CKB57" s="196"/>
      <c r="CKC57" s="196"/>
      <c r="CKD57" s="196"/>
      <c r="CKE57" s="196"/>
      <c r="CKF57" s="196"/>
      <c r="CKG57" s="196"/>
      <c r="CKH57" s="196"/>
      <c r="CKI57" s="196"/>
      <c r="CKJ57" s="196"/>
      <c r="CKK57" s="196"/>
      <c r="CKL57" s="196"/>
      <c r="CKM57" s="196"/>
      <c r="CKN57" s="196"/>
      <c r="CKO57" s="196"/>
      <c r="CKP57" s="196"/>
      <c r="CKQ57" s="196"/>
      <c r="CKR57" s="196"/>
      <c r="CKS57" s="196"/>
      <c r="CKT57" s="196"/>
      <c r="CKU57" s="196"/>
      <c r="CKV57" s="196"/>
      <c r="CKW57" s="196"/>
      <c r="CKX57" s="196"/>
      <c r="CKY57" s="196"/>
      <c r="CKZ57" s="196"/>
      <c r="CLA57" s="196"/>
      <c r="CLB57" s="196"/>
      <c r="CLC57" s="196"/>
      <c r="CLD57" s="196"/>
      <c r="CLE57" s="196"/>
      <c r="CLF57" s="196"/>
      <c r="CLG57" s="196"/>
      <c r="CLH57" s="196"/>
      <c r="CLI57" s="196"/>
      <c r="CLJ57" s="196"/>
      <c r="CLK57" s="196"/>
      <c r="CLL57" s="196"/>
      <c r="CLM57" s="196"/>
      <c r="CLN57" s="196"/>
      <c r="CLO57" s="196"/>
      <c r="CLP57" s="196"/>
      <c r="CLQ57" s="196"/>
      <c r="CLR57" s="196"/>
      <c r="CLS57" s="196"/>
      <c r="CLT57" s="196"/>
      <c r="CLU57" s="196"/>
      <c r="CLV57" s="196"/>
      <c r="CLW57" s="196"/>
      <c r="CLX57" s="196"/>
      <c r="CLY57" s="196"/>
      <c r="CLZ57" s="196"/>
      <c r="CMA57" s="196"/>
      <c r="CMB57" s="196"/>
      <c r="CMC57" s="196"/>
      <c r="CMD57" s="196"/>
      <c r="CME57" s="196"/>
      <c r="CMF57" s="196"/>
      <c r="CMG57" s="196"/>
      <c r="CMH57" s="196"/>
      <c r="CMI57" s="196"/>
      <c r="CMJ57" s="196"/>
      <c r="CMK57" s="196"/>
      <c r="CML57" s="196"/>
      <c r="CMM57" s="196"/>
      <c r="CMN57" s="196"/>
      <c r="CMO57" s="196"/>
      <c r="CMP57" s="196"/>
      <c r="CMQ57" s="196"/>
      <c r="CMR57" s="196"/>
      <c r="CMS57" s="196"/>
      <c r="CMT57" s="196"/>
      <c r="CMU57" s="196"/>
      <c r="CMV57" s="196"/>
      <c r="CMW57" s="196"/>
      <c r="CMX57" s="196"/>
      <c r="CMY57" s="196"/>
      <c r="CMZ57" s="196"/>
      <c r="CNA57" s="196"/>
      <c r="CNB57" s="196"/>
      <c r="CNC57" s="196"/>
      <c r="CND57" s="196"/>
      <c r="CNE57" s="196"/>
      <c r="CNF57" s="196"/>
      <c r="CNG57" s="196"/>
      <c r="CNH57" s="196"/>
      <c r="CNI57" s="196"/>
      <c r="CNJ57" s="196"/>
      <c r="CNK57" s="196"/>
      <c r="CNL57" s="196"/>
      <c r="CNM57" s="196"/>
      <c r="CNN57" s="196"/>
      <c r="CNO57" s="196"/>
      <c r="CNP57" s="196"/>
      <c r="CNQ57" s="196"/>
      <c r="CNR57" s="196"/>
      <c r="CNS57" s="196"/>
      <c r="CNT57" s="196"/>
      <c r="CNU57" s="196"/>
      <c r="CNV57" s="196"/>
      <c r="CNW57" s="196"/>
      <c r="CNX57" s="196"/>
      <c r="CNY57" s="196"/>
      <c r="CNZ57" s="196"/>
      <c r="COA57" s="196"/>
      <c r="COB57" s="196"/>
      <c r="COC57" s="196"/>
      <c r="COD57" s="196"/>
      <c r="COE57" s="196"/>
      <c r="COF57" s="196"/>
      <c r="COG57" s="196"/>
      <c r="COH57" s="196"/>
      <c r="COI57" s="196"/>
      <c r="COJ57" s="196"/>
      <c r="COK57" s="196"/>
      <c r="COL57" s="196"/>
      <c r="COM57" s="196"/>
      <c r="CON57" s="196"/>
      <c r="COO57" s="196"/>
      <c r="COP57" s="196"/>
      <c r="COQ57" s="196"/>
      <c r="COR57" s="196"/>
      <c r="COS57" s="196"/>
      <c r="COT57" s="196"/>
      <c r="COU57" s="196"/>
      <c r="COV57" s="196"/>
      <c r="COW57" s="196"/>
      <c r="COX57" s="196"/>
      <c r="COY57" s="196"/>
      <c r="COZ57" s="196"/>
      <c r="CPA57" s="196"/>
      <c r="CPB57" s="196"/>
      <c r="CPC57" s="196"/>
      <c r="CPD57" s="196"/>
      <c r="CPE57" s="196"/>
      <c r="CPF57" s="196"/>
      <c r="CPG57" s="196"/>
      <c r="CPH57" s="196"/>
      <c r="CPI57" s="196"/>
      <c r="CPJ57" s="196"/>
      <c r="CPK57" s="196"/>
      <c r="CPL57" s="196"/>
      <c r="CPM57" s="196"/>
      <c r="CPN57" s="196"/>
      <c r="CPO57" s="196"/>
      <c r="CPP57" s="196"/>
      <c r="CPQ57" s="196"/>
      <c r="CPR57" s="196"/>
      <c r="CPS57" s="196"/>
      <c r="CPT57" s="196"/>
      <c r="CPU57" s="196"/>
      <c r="CPV57" s="196"/>
      <c r="CPW57" s="196"/>
      <c r="CPX57" s="196"/>
      <c r="CPY57" s="196"/>
      <c r="CPZ57" s="196"/>
      <c r="CQA57" s="196"/>
      <c r="CQB57" s="196"/>
      <c r="CQC57" s="196"/>
      <c r="CQD57" s="196"/>
      <c r="CQE57" s="196"/>
      <c r="CQF57" s="196"/>
      <c r="CQG57" s="196"/>
      <c r="CQH57" s="196"/>
      <c r="CQI57" s="196"/>
      <c r="CQJ57" s="196"/>
      <c r="CQK57" s="196"/>
      <c r="CQL57" s="196"/>
      <c r="CQM57" s="196"/>
      <c r="CQN57" s="196"/>
      <c r="CQO57" s="196"/>
      <c r="CQP57" s="196"/>
      <c r="CQQ57" s="196"/>
      <c r="CQR57" s="196"/>
      <c r="CQS57" s="196"/>
      <c r="CQT57" s="196"/>
      <c r="CQU57" s="196"/>
      <c r="CQV57" s="196"/>
      <c r="CQW57" s="196"/>
      <c r="CQX57" s="196"/>
      <c r="CQY57" s="196"/>
      <c r="CQZ57" s="196"/>
      <c r="CRA57" s="196"/>
      <c r="CRB57" s="196"/>
      <c r="CRC57" s="196"/>
      <c r="CRD57" s="196"/>
      <c r="CRE57" s="196"/>
      <c r="CRF57" s="196"/>
      <c r="CRG57" s="196"/>
      <c r="CRH57" s="196"/>
      <c r="CRI57" s="196"/>
      <c r="CRJ57" s="196"/>
      <c r="CRK57" s="196"/>
      <c r="CRL57" s="196"/>
      <c r="CRM57" s="196"/>
      <c r="CRN57" s="196"/>
      <c r="CRO57" s="196"/>
      <c r="CRP57" s="196"/>
      <c r="CRQ57" s="196"/>
      <c r="CRR57" s="196"/>
      <c r="CRS57" s="196"/>
      <c r="CRT57" s="196"/>
      <c r="CRU57" s="196"/>
      <c r="CRV57" s="196"/>
      <c r="CRW57" s="196"/>
      <c r="CRX57" s="196"/>
      <c r="CRY57" s="196"/>
      <c r="CRZ57" s="196"/>
      <c r="CSA57" s="196"/>
      <c r="CSB57" s="196"/>
      <c r="CSC57" s="196"/>
      <c r="CSD57" s="196"/>
      <c r="CSE57" s="196"/>
      <c r="CSF57" s="196"/>
      <c r="CSG57" s="196"/>
      <c r="CSH57" s="196"/>
      <c r="CSI57" s="196"/>
      <c r="CSJ57" s="196"/>
      <c r="CSK57" s="196"/>
      <c r="CSL57" s="196"/>
      <c r="CSM57" s="196"/>
      <c r="CSN57" s="196"/>
      <c r="CSO57" s="196"/>
      <c r="CSP57" s="196"/>
      <c r="CSQ57" s="196"/>
      <c r="CSR57" s="196"/>
      <c r="CSS57" s="196"/>
      <c r="CST57" s="196"/>
      <c r="CSU57" s="196"/>
      <c r="CSV57" s="196"/>
      <c r="CSW57" s="196"/>
      <c r="CSX57" s="196"/>
      <c r="CSY57" s="196"/>
      <c r="CSZ57" s="196"/>
      <c r="CTA57" s="196"/>
      <c r="CTB57" s="196"/>
      <c r="CTC57" s="196"/>
      <c r="CTD57" s="196"/>
      <c r="CTE57" s="196"/>
      <c r="CTF57" s="196"/>
      <c r="CTG57" s="196"/>
      <c r="CTH57" s="196"/>
      <c r="CTI57" s="196"/>
      <c r="CTJ57" s="196"/>
      <c r="CTK57" s="196"/>
      <c r="CTL57" s="196"/>
      <c r="CTM57" s="196"/>
      <c r="CTN57" s="196"/>
      <c r="CTO57" s="196"/>
      <c r="CTP57" s="196"/>
      <c r="CTQ57" s="196"/>
      <c r="CTR57" s="196"/>
      <c r="CTS57" s="196"/>
      <c r="CTT57" s="196"/>
      <c r="CTU57" s="196"/>
      <c r="CTV57" s="196"/>
      <c r="CTW57" s="196"/>
      <c r="CTX57" s="196"/>
      <c r="CTY57" s="196"/>
      <c r="CTZ57" s="196"/>
      <c r="CUA57" s="196"/>
      <c r="CUB57" s="196"/>
      <c r="CUC57" s="196"/>
      <c r="CUD57" s="196"/>
      <c r="CUE57" s="196"/>
      <c r="CUF57" s="196"/>
      <c r="CUG57" s="196"/>
      <c r="CUH57" s="196"/>
      <c r="CUI57" s="196"/>
      <c r="CUJ57" s="196"/>
      <c r="CUK57" s="196"/>
      <c r="CUL57" s="196"/>
      <c r="CUM57" s="196"/>
      <c r="CUN57" s="196"/>
      <c r="CUO57" s="196"/>
      <c r="CUP57" s="196"/>
      <c r="CUQ57" s="196"/>
      <c r="CUR57" s="196"/>
      <c r="CUS57" s="196"/>
      <c r="CUT57" s="196"/>
      <c r="CUU57" s="196"/>
      <c r="CUV57" s="196"/>
      <c r="CUW57" s="196"/>
      <c r="CUX57" s="196"/>
      <c r="CUY57" s="196"/>
      <c r="CUZ57" s="196"/>
      <c r="CVA57" s="196"/>
      <c r="CVB57" s="196"/>
      <c r="CVC57" s="196"/>
      <c r="CVD57" s="196"/>
      <c r="CVE57" s="196"/>
      <c r="CVF57" s="196"/>
      <c r="CVG57" s="196"/>
      <c r="CVH57" s="196"/>
      <c r="CVI57" s="196"/>
      <c r="CVJ57" s="196"/>
      <c r="CVK57" s="196"/>
      <c r="CVL57" s="196"/>
      <c r="CVM57" s="196"/>
      <c r="CVN57" s="196"/>
      <c r="CVO57" s="196"/>
      <c r="CVP57" s="196"/>
      <c r="CVQ57" s="196"/>
      <c r="CVR57" s="196"/>
      <c r="CVS57" s="196"/>
      <c r="CVT57" s="196"/>
      <c r="CVU57" s="196"/>
      <c r="CVV57" s="196"/>
      <c r="CVW57" s="196"/>
      <c r="CVX57" s="196"/>
      <c r="CVY57" s="196"/>
      <c r="CVZ57" s="196"/>
      <c r="CWA57" s="196"/>
      <c r="CWB57" s="196"/>
      <c r="CWC57" s="196"/>
      <c r="CWD57" s="196"/>
      <c r="CWE57" s="196"/>
      <c r="CWF57" s="196"/>
      <c r="CWG57" s="196"/>
      <c r="CWH57" s="196"/>
      <c r="CWI57" s="196"/>
      <c r="CWJ57" s="196"/>
      <c r="CWK57" s="196"/>
      <c r="CWL57" s="196"/>
      <c r="CWM57" s="196"/>
      <c r="CWN57" s="196"/>
      <c r="CWO57" s="196"/>
      <c r="CWP57" s="196"/>
      <c r="CWQ57" s="196"/>
      <c r="CWR57" s="196"/>
      <c r="CWS57" s="196"/>
      <c r="CWT57" s="196"/>
      <c r="CWU57" s="196"/>
      <c r="CWV57" s="196"/>
      <c r="CWW57" s="196"/>
      <c r="CWX57" s="196"/>
      <c r="CWY57" s="196"/>
      <c r="CWZ57" s="196"/>
      <c r="CXA57" s="196"/>
      <c r="CXB57" s="196"/>
      <c r="CXC57" s="196"/>
      <c r="CXD57" s="196"/>
      <c r="CXE57" s="196"/>
      <c r="CXF57" s="196"/>
      <c r="CXG57" s="196"/>
      <c r="CXH57" s="196"/>
      <c r="CXI57" s="196"/>
      <c r="CXJ57" s="196"/>
      <c r="CXK57" s="196"/>
      <c r="CXL57" s="196"/>
      <c r="CXM57" s="196"/>
      <c r="CXN57" s="196"/>
      <c r="CXO57" s="196"/>
      <c r="CXP57" s="196"/>
      <c r="CXQ57" s="196"/>
      <c r="CXR57" s="196"/>
      <c r="CXS57" s="196"/>
      <c r="CXT57" s="196"/>
      <c r="CXU57" s="196"/>
      <c r="CXV57" s="196"/>
      <c r="CXW57" s="196"/>
      <c r="CXX57" s="196"/>
      <c r="CXY57" s="196"/>
      <c r="CXZ57" s="196"/>
      <c r="CYA57" s="196"/>
      <c r="CYB57" s="196"/>
      <c r="CYC57" s="196"/>
      <c r="CYD57" s="196"/>
      <c r="CYE57" s="196"/>
      <c r="CYF57" s="196"/>
      <c r="CYG57" s="196"/>
      <c r="CYH57" s="196"/>
      <c r="CYI57" s="196"/>
      <c r="CYJ57" s="196"/>
      <c r="CYK57" s="196"/>
      <c r="CYL57" s="196"/>
      <c r="CYM57" s="196"/>
      <c r="CYN57" s="196"/>
      <c r="CYO57" s="196"/>
      <c r="CYP57" s="196"/>
      <c r="CYQ57" s="196"/>
      <c r="CYR57" s="196"/>
      <c r="CYS57" s="196"/>
      <c r="CYT57" s="196"/>
      <c r="CYU57" s="196"/>
      <c r="CYV57" s="196"/>
      <c r="CYW57" s="196"/>
      <c r="CYX57" s="196"/>
      <c r="CYY57" s="196"/>
      <c r="CYZ57" s="196"/>
      <c r="CZA57" s="196"/>
      <c r="CZB57" s="196"/>
      <c r="CZC57" s="196"/>
      <c r="CZD57" s="196"/>
      <c r="CZE57" s="196"/>
      <c r="CZF57" s="196"/>
      <c r="CZG57" s="196"/>
      <c r="CZH57" s="196"/>
      <c r="CZI57" s="196"/>
      <c r="CZJ57" s="196"/>
      <c r="CZK57" s="196"/>
      <c r="CZL57" s="196"/>
      <c r="CZM57" s="196"/>
      <c r="CZN57" s="196"/>
      <c r="CZO57" s="196"/>
      <c r="CZP57" s="196"/>
      <c r="CZQ57" s="196"/>
      <c r="CZR57" s="196"/>
      <c r="CZS57" s="196"/>
      <c r="CZT57" s="196"/>
      <c r="CZU57" s="196"/>
      <c r="CZV57" s="196"/>
      <c r="CZW57" s="196"/>
      <c r="CZX57" s="196"/>
      <c r="CZY57" s="196"/>
      <c r="CZZ57" s="196"/>
      <c r="DAA57" s="196"/>
      <c r="DAB57" s="196"/>
      <c r="DAC57" s="196"/>
      <c r="DAD57" s="196"/>
      <c r="DAE57" s="196"/>
      <c r="DAF57" s="196"/>
      <c r="DAG57" s="196"/>
      <c r="DAH57" s="196"/>
      <c r="DAI57" s="196"/>
      <c r="DAJ57" s="196"/>
      <c r="DAK57" s="196"/>
      <c r="DAL57" s="196"/>
      <c r="DAM57" s="196"/>
      <c r="DAN57" s="196"/>
      <c r="DAO57" s="196"/>
      <c r="DAP57" s="196"/>
      <c r="DAQ57" s="196"/>
      <c r="DAR57" s="196"/>
      <c r="DAS57" s="196"/>
      <c r="DAT57" s="196"/>
      <c r="DAU57" s="196"/>
      <c r="DAV57" s="196"/>
      <c r="DAW57" s="196"/>
      <c r="DAX57" s="196"/>
      <c r="DAY57" s="196"/>
      <c r="DAZ57" s="196"/>
      <c r="DBA57" s="196"/>
      <c r="DBB57" s="196"/>
      <c r="DBC57" s="196"/>
      <c r="DBD57" s="196"/>
      <c r="DBE57" s="196"/>
      <c r="DBF57" s="196"/>
      <c r="DBG57" s="196"/>
      <c r="DBH57" s="196"/>
      <c r="DBI57" s="196"/>
      <c r="DBJ57" s="196"/>
      <c r="DBK57" s="196"/>
      <c r="DBL57" s="196"/>
      <c r="DBM57" s="196"/>
      <c r="DBN57" s="196"/>
      <c r="DBO57" s="196"/>
      <c r="DBP57" s="196"/>
      <c r="DBQ57" s="196"/>
      <c r="DBR57" s="196"/>
      <c r="DBS57" s="196"/>
      <c r="DBT57" s="196"/>
      <c r="DBU57" s="196"/>
      <c r="DBV57" s="196"/>
      <c r="DBW57" s="196"/>
      <c r="DBX57" s="196"/>
      <c r="DBY57" s="196"/>
      <c r="DBZ57" s="196"/>
      <c r="DCA57" s="196"/>
      <c r="DCB57" s="196"/>
      <c r="DCC57" s="196"/>
      <c r="DCD57" s="196"/>
      <c r="DCE57" s="196"/>
      <c r="DCF57" s="196"/>
      <c r="DCG57" s="196"/>
      <c r="DCH57" s="196"/>
      <c r="DCI57" s="196"/>
      <c r="DCJ57" s="196"/>
      <c r="DCK57" s="196"/>
      <c r="DCL57" s="196"/>
      <c r="DCM57" s="196"/>
      <c r="DCN57" s="196"/>
      <c r="DCO57" s="196"/>
      <c r="DCP57" s="196"/>
      <c r="DCQ57" s="196"/>
      <c r="DCR57" s="196"/>
      <c r="DCS57" s="196"/>
      <c r="DCT57" s="196"/>
      <c r="DCU57" s="196"/>
      <c r="DCV57" s="196"/>
      <c r="DCW57" s="196"/>
      <c r="DCX57" s="196"/>
      <c r="DCY57" s="196"/>
      <c r="DCZ57" s="196"/>
      <c r="DDA57" s="196"/>
      <c r="DDB57" s="196"/>
      <c r="DDC57" s="196"/>
      <c r="DDD57" s="196"/>
      <c r="DDE57" s="196"/>
      <c r="DDF57" s="196"/>
      <c r="DDG57" s="196"/>
      <c r="DDH57" s="196"/>
      <c r="DDI57" s="196"/>
      <c r="DDJ57" s="196"/>
      <c r="DDK57" s="196"/>
      <c r="DDL57" s="196"/>
      <c r="DDM57" s="196"/>
      <c r="DDN57" s="196"/>
      <c r="DDO57" s="196"/>
      <c r="DDP57" s="196"/>
      <c r="DDQ57" s="196"/>
      <c r="DDR57" s="196"/>
      <c r="DDS57" s="196"/>
      <c r="DDT57" s="196"/>
      <c r="DDU57" s="196"/>
      <c r="DDV57" s="196"/>
      <c r="DDW57" s="196"/>
      <c r="DDX57" s="196"/>
      <c r="DDY57" s="196"/>
      <c r="DDZ57" s="196"/>
      <c r="DEA57" s="196"/>
      <c r="DEB57" s="196"/>
      <c r="DEC57" s="196"/>
      <c r="DED57" s="196"/>
      <c r="DEE57" s="196"/>
      <c r="DEF57" s="196"/>
      <c r="DEG57" s="196"/>
      <c r="DEH57" s="196"/>
      <c r="DEI57" s="196"/>
      <c r="DEJ57" s="196"/>
      <c r="DEK57" s="196"/>
      <c r="DEL57" s="196"/>
      <c r="DEM57" s="196"/>
      <c r="DEN57" s="196"/>
      <c r="DEO57" s="196"/>
      <c r="DEP57" s="196"/>
      <c r="DEQ57" s="196"/>
      <c r="DER57" s="196"/>
      <c r="DES57" s="196"/>
      <c r="DET57" s="196"/>
      <c r="DEU57" s="196"/>
      <c r="DEV57" s="196"/>
      <c r="DEW57" s="196"/>
      <c r="DEX57" s="196"/>
      <c r="DEY57" s="196"/>
      <c r="DEZ57" s="196"/>
      <c r="DFA57" s="196"/>
      <c r="DFB57" s="196"/>
      <c r="DFC57" s="196"/>
      <c r="DFD57" s="196"/>
      <c r="DFE57" s="196"/>
      <c r="DFF57" s="196"/>
      <c r="DFG57" s="196"/>
      <c r="DFH57" s="196"/>
      <c r="DFI57" s="196"/>
      <c r="DFJ57" s="196"/>
      <c r="DFK57" s="196"/>
      <c r="DFL57" s="196"/>
      <c r="DFM57" s="196"/>
      <c r="DFN57" s="196"/>
      <c r="DFO57" s="196"/>
      <c r="DFP57" s="196"/>
      <c r="DFQ57" s="196"/>
      <c r="DFR57" s="196"/>
      <c r="DFS57" s="196"/>
      <c r="DFT57" s="196"/>
      <c r="DFU57" s="196"/>
      <c r="DFV57" s="196"/>
      <c r="DFW57" s="196"/>
      <c r="DFX57" s="196"/>
      <c r="DFY57" s="196"/>
      <c r="DFZ57" s="196"/>
      <c r="DGA57" s="196"/>
      <c r="DGB57" s="196"/>
      <c r="DGC57" s="196"/>
      <c r="DGD57" s="196"/>
      <c r="DGE57" s="196"/>
      <c r="DGF57" s="196"/>
      <c r="DGG57" s="196"/>
      <c r="DGH57" s="196"/>
      <c r="DGI57" s="196"/>
      <c r="DGJ57" s="196"/>
      <c r="DGK57" s="196"/>
      <c r="DGL57" s="196"/>
      <c r="DGM57" s="196"/>
      <c r="DGN57" s="196"/>
      <c r="DGO57" s="196"/>
      <c r="DGP57" s="196"/>
      <c r="DGQ57" s="196"/>
      <c r="DGR57" s="196"/>
      <c r="DGS57" s="196"/>
      <c r="DGT57" s="196"/>
      <c r="DGU57" s="196"/>
      <c r="DGV57" s="196"/>
      <c r="DGW57" s="196"/>
      <c r="DGX57" s="196"/>
      <c r="DGY57" s="196"/>
      <c r="DGZ57" s="196"/>
      <c r="DHA57" s="196"/>
      <c r="DHB57" s="196"/>
      <c r="DHC57" s="196"/>
      <c r="DHD57" s="196"/>
      <c r="DHE57" s="196"/>
      <c r="DHF57" s="196"/>
      <c r="DHG57" s="196"/>
      <c r="DHH57" s="196"/>
      <c r="DHI57" s="196"/>
      <c r="DHJ57" s="196"/>
      <c r="DHK57" s="196"/>
      <c r="DHL57" s="196"/>
      <c r="DHM57" s="196"/>
      <c r="DHN57" s="196"/>
      <c r="DHO57" s="196"/>
      <c r="DHP57" s="196"/>
      <c r="DHQ57" s="196"/>
      <c r="DHR57" s="196"/>
      <c r="DHS57" s="196"/>
      <c r="DHT57" s="196"/>
      <c r="DHU57" s="196"/>
      <c r="DHV57" s="196"/>
      <c r="DHW57" s="196"/>
      <c r="DHX57" s="196"/>
      <c r="DHY57" s="196"/>
      <c r="DHZ57" s="196"/>
      <c r="DIA57" s="196"/>
      <c r="DIB57" s="196"/>
      <c r="DIC57" s="196"/>
      <c r="DID57" s="196"/>
      <c r="DIE57" s="196"/>
      <c r="DIF57" s="196"/>
      <c r="DIG57" s="196"/>
      <c r="DIH57" s="196"/>
      <c r="DII57" s="196"/>
      <c r="DIJ57" s="196"/>
      <c r="DIK57" s="196"/>
      <c r="DIL57" s="196"/>
      <c r="DIM57" s="196"/>
      <c r="DIN57" s="196"/>
      <c r="DIO57" s="196"/>
      <c r="DIP57" s="196"/>
      <c r="DIQ57" s="196"/>
      <c r="DIR57" s="196"/>
      <c r="DIS57" s="196"/>
      <c r="DIT57" s="196"/>
      <c r="DIU57" s="196"/>
      <c r="DIV57" s="196"/>
      <c r="DIW57" s="196"/>
      <c r="DIX57" s="196"/>
      <c r="DIY57" s="196"/>
      <c r="DIZ57" s="196"/>
      <c r="DJA57" s="196"/>
      <c r="DJB57" s="196"/>
      <c r="DJC57" s="196"/>
      <c r="DJD57" s="196"/>
      <c r="DJE57" s="196"/>
      <c r="DJF57" s="196"/>
      <c r="DJG57" s="196"/>
      <c r="DJH57" s="196"/>
      <c r="DJI57" s="196"/>
      <c r="DJJ57" s="196"/>
      <c r="DJK57" s="196"/>
      <c r="DJL57" s="196"/>
      <c r="DJM57" s="196"/>
      <c r="DJN57" s="196"/>
      <c r="DJO57" s="196"/>
      <c r="DJP57" s="196"/>
      <c r="DJQ57" s="196"/>
      <c r="DJR57" s="196"/>
      <c r="DJS57" s="196"/>
      <c r="DJT57" s="196"/>
      <c r="DJU57" s="196"/>
      <c r="DJV57" s="196"/>
      <c r="DJW57" s="196"/>
      <c r="DJX57" s="196"/>
      <c r="DJY57" s="196"/>
      <c r="DJZ57" s="196"/>
      <c r="DKA57" s="196"/>
      <c r="DKB57" s="196"/>
      <c r="DKC57" s="196"/>
      <c r="DKD57" s="196"/>
      <c r="DKE57" s="196"/>
      <c r="DKF57" s="196"/>
      <c r="DKG57" s="196"/>
      <c r="DKH57" s="196"/>
      <c r="DKI57" s="196"/>
      <c r="DKJ57" s="196"/>
      <c r="DKK57" s="196"/>
      <c r="DKL57" s="196"/>
      <c r="DKM57" s="196"/>
      <c r="DKN57" s="196"/>
      <c r="DKO57" s="196"/>
      <c r="DKP57" s="196"/>
      <c r="DKQ57" s="196"/>
      <c r="DKR57" s="196"/>
      <c r="DKS57" s="196"/>
      <c r="DKT57" s="196"/>
      <c r="DKU57" s="196"/>
      <c r="DKV57" s="196"/>
      <c r="DKW57" s="196"/>
      <c r="DKX57" s="196"/>
      <c r="DKY57" s="196"/>
      <c r="DKZ57" s="196"/>
      <c r="DLA57" s="196"/>
      <c r="DLB57" s="196"/>
      <c r="DLC57" s="196"/>
      <c r="DLD57" s="196"/>
      <c r="DLE57" s="196"/>
      <c r="DLF57" s="196"/>
      <c r="DLG57" s="196"/>
      <c r="DLH57" s="196"/>
      <c r="DLI57" s="196"/>
      <c r="DLJ57" s="196"/>
      <c r="DLK57" s="196"/>
      <c r="DLL57" s="196"/>
      <c r="DLM57" s="196"/>
      <c r="DLN57" s="196"/>
      <c r="DLO57" s="196"/>
      <c r="DLP57" s="196"/>
      <c r="DLQ57" s="196"/>
      <c r="DLR57" s="196"/>
      <c r="DLS57" s="196"/>
      <c r="DLT57" s="196"/>
      <c r="DLU57" s="196"/>
      <c r="DLV57" s="196"/>
      <c r="DLW57" s="196"/>
      <c r="DLX57" s="196"/>
      <c r="DLY57" s="196"/>
      <c r="DLZ57" s="196"/>
      <c r="DMA57" s="196"/>
      <c r="DMB57" s="196"/>
      <c r="DMC57" s="196"/>
      <c r="DMD57" s="196"/>
      <c r="DME57" s="196"/>
      <c r="DMF57" s="196"/>
      <c r="DMG57" s="196"/>
      <c r="DMH57" s="196"/>
      <c r="DMI57" s="196"/>
      <c r="DMJ57" s="196"/>
      <c r="DMK57" s="196"/>
      <c r="DML57" s="196"/>
      <c r="DMM57" s="196"/>
      <c r="DMN57" s="196"/>
      <c r="DMO57" s="196"/>
      <c r="DMP57" s="196"/>
      <c r="DMQ57" s="196"/>
      <c r="DMR57" s="196"/>
      <c r="DMS57" s="196"/>
      <c r="DMT57" s="196"/>
      <c r="DMU57" s="196"/>
      <c r="DMV57" s="196"/>
      <c r="DMW57" s="196"/>
      <c r="DMX57" s="196"/>
      <c r="DMY57" s="196"/>
      <c r="DMZ57" s="196"/>
      <c r="DNA57" s="196"/>
      <c r="DNB57" s="196"/>
      <c r="DNC57" s="196"/>
      <c r="DND57" s="196"/>
      <c r="DNE57" s="196"/>
      <c r="DNF57" s="196"/>
      <c r="DNG57" s="196"/>
      <c r="DNH57" s="196"/>
      <c r="DNI57" s="196"/>
      <c r="DNJ57" s="196"/>
      <c r="DNK57" s="196"/>
      <c r="DNL57" s="196"/>
      <c r="DNM57" s="196"/>
      <c r="DNN57" s="196"/>
      <c r="DNO57" s="196"/>
      <c r="DNP57" s="196"/>
      <c r="DNQ57" s="196"/>
      <c r="DNR57" s="196"/>
      <c r="DNS57" s="196"/>
      <c r="DNT57" s="196"/>
      <c r="DNU57" s="196"/>
      <c r="DNV57" s="196"/>
      <c r="DNW57" s="196"/>
      <c r="DNX57" s="196"/>
      <c r="DNY57" s="196"/>
      <c r="DNZ57" s="196"/>
      <c r="DOA57" s="196"/>
      <c r="DOB57" s="196"/>
      <c r="DOC57" s="196"/>
      <c r="DOD57" s="196"/>
      <c r="DOE57" s="196"/>
      <c r="DOF57" s="196"/>
      <c r="DOG57" s="196"/>
      <c r="DOH57" s="196"/>
      <c r="DOI57" s="196"/>
      <c r="DOJ57" s="196"/>
      <c r="DOK57" s="196"/>
      <c r="DOL57" s="196"/>
      <c r="DOM57" s="196"/>
      <c r="DON57" s="196"/>
      <c r="DOO57" s="196"/>
      <c r="DOP57" s="196"/>
      <c r="DOQ57" s="196"/>
      <c r="DOR57" s="196"/>
      <c r="DOS57" s="196"/>
      <c r="DOT57" s="196"/>
      <c r="DOU57" s="196"/>
      <c r="DOV57" s="196"/>
      <c r="DOW57" s="196"/>
      <c r="DOX57" s="196"/>
      <c r="DOY57" s="196"/>
      <c r="DOZ57" s="196"/>
      <c r="DPA57" s="196"/>
      <c r="DPB57" s="196"/>
      <c r="DPC57" s="196"/>
      <c r="DPD57" s="196"/>
      <c r="DPE57" s="196"/>
      <c r="DPF57" s="196"/>
      <c r="DPG57" s="196"/>
      <c r="DPH57" s="196"/>
      <c r="DPI57" s="196"/>
      <c r="DPJ57" s="196"/>
      <c r="DPK57" s="196"/>
      <c r="DPL57" s="196"/>
      <c r="DPM57" s="196"/>
      <c r="DPN57" s="196"/>
      <c r="DPO57" s="196"/>
      <c r="DPP57" s="196"/>
      <c r="DPQ57" s="196"/>
      <c r="DPR57" s="196"/>
      <c r="DPS57" s="196"/>
      <c r="DPT57" s="196"/>
      <c r="DPU57" s="196"/>
      <c r="DPV57" s="196"/>
      <c r="DPW57" s="196"/>
      <c r="DPX57" s="196"/>
      <c r="DPY57" s="196"/>
      <c r="DPZ57" s="196"/>
      <c r="DQA57" s="196"/>
      <c r="DQB57" s="196"/>
      <c r="DQC57" s="196"/>
      <c r="DQD57" s="196"/>
      <c r="DQE57" s="196"/>
      <c r="DQF57" s="196"/>
      <c r="DQG57" s="196"/>
      <c r="DQH57" s="196"/>
      <c r="DQI57" s="196"/>
      <c r="DQJ57" s="196"/>
      <c r="DQK57" s="196"/>
      <c r="DQL57" s="196"/>
      <c r="DQM57" s="196"/>
      <c r="DQN57" s="196"/>
      <c r="DQO57" s="196"/>
      <c r="DQP57" s="196"/>
      <c r="DQQ57" s="196"/>
      <c r="DQR57" s="196"/>
      <c r="DQS57" s="196"/>
      <c r="DQT57" s="196"/>
      <c r="DQU57" s="196"/>
      <c r="DQV57" s="196"/>
      <c r="DQW57" s="196"/>
      <c r="DQX57" s="196"/>
      <c r="DQY57" s="196"/>
      <c r="DQZ57" s="196"/>
      <c r="DRA57" s="196"/>
      <c r="DRB57" s="196"/>
      <c r="DRC57" s="196"/>
      <c r="DRD57" s="196"/>
      <c r="DRE57" s="196"/>
      <c r="DRF57" s="196"/>
      <c r="DRG57" s="196"/>
      <c r="DRH57" s="196"/>
      <c r="DRI57" s="196"/>
      <c r="DRJ57" s="196"/>
      <c r="DRK57" s="196"/>
      <c r="DRL57" s="196"/>
      <c r="DRM57" s="196"/>
      <c r="DRN57" s="196"/>
      <c r="DRO57" s="196"/>
      <c r="DRP57" s="196"/>
      <c r="DRQ57" s="196"/>
      <c r="DRR57" s="196"/>
      <c r="DRS57" s="196"/>
      <c r="DRT57" s="196"/>
      <c r="DRU57" s="196"/>
      <c r="DRV57" s="196"/>
      <c r="DRW57" s="196"/>
      <c r="DRX57" s="196"/>
      <c r="DRY57" s="196"/>
      <c r="DRZ57" s="196"/>
      <c r="DSA57" s="196"/>
      <c r="DSB57" s="196"/>
      <c r="DSC57" s="196"/>
      <c r="DSD57" s="196"/>
      <c r="DSE57" s="196"/>
      <c r="DSF57" s="196"/>
      <c r="DSG57" s="196"/>
      <c r="DSH57" s="196"/>
      <c r="DSI57" s="196"/>
      <c r="DSJ57" s="196"/>
      <c r="DSK57" s="196"/>
      <c r="DSL57" s="196"/>
      <c r="DSM57" s="196"/>
      <c r="DSN57" s="196"/>
      <c r="DSO57" s="196"/>
      <c r="DSP57" s="196"/>
      <c r="DSQ57" s="196"/>
      <c r="DSR57" s="196"/>
      <c r="DSS57" s="196"/>
      <c r="DST57" s="196"/>
      <c r="DSU57" s="196"/>
      <c r="DSV57" s="196"/>
      <c r="DSW57" s="196"/>
      <c r="DSX57" s="196"/>
      <c r="DSY57" s="196"/>
      <c r="DSZ57" s="196"/>
      <c r="DTA57" s="196"/>
      <c r="DTB57" s="196"/>
      <c r="DTC57" s="196"/>
      <c r="DTD57" s="196"/>
      <c r="DTE57" s="196"/>
      <c r="DTF57" s="196"/>
      <c r="DTG57" s="196"/>
      <c r="DTH57" s="196"/>
      <c r="DTI57" s="196"/>
      <c r="DTJ57" s="196"/>
      <c r="DTK57" s="196"/>
      <c r="DTL57" s="196"/>
      <c r="DTM57" s="196"/>
      <c r="DTN57" s="196"/>
      <c r="DTO57" s="196"/>
      <c r="DTP57" s="196"/>
      <c r="DTQ57" s="196"/>
      <c r="DTR57" s="196"/>
      <c r="DTS57" s="196"/>
      <c r="DTT57" s="196"/>
      <c r="DTU57" s="196"/>
      <c r="DTV57" s="196"/>
      <c r="DTW57" s="196"/>
      <c r="DTX57" s="196"/>
      <c r="DTY57" s="196"/>
      <c r="DTZ57" s="196"/>
      <c r="DUA57" s="196"/>
      <c r="DUB57" s="196"/>
      <c r="DUC57" s="196"/>
      <c r="DUD57" s="196"/>
      <c r="DUE57" s="196"/>
      <c r="DUF57" s="196"/>
      <c r="DUG57" s="196"/>
      <c r="DUH57" s="196"/>
      <c r="DUI57" s="196"/>
      <c r="DUJ57" s="196"/>
      <c r="DUK57" s="196"/>
      <c r="DUL57" s="196"/>
      <c r="DUM57" s="196"/>
      <c r="DUN57" s="196"/>
      <c r="DUO57" s="196"/>
      <c r="DUP57" s="196"/>
      <c r="DUQ57" s="196"/>
      <c r="DUR57" s="196"/>
      <c r="DUS57" s="196"/>
      <c r="DUT57" s="196"/>
      <c r="DUU57" s="196"/>
      <c r="DUV57" s="196"/>
      <c r="DUW57" s="196"/>
      <c r="DUX57" s="196"/>
      <c r="DUY57" s="196"/>
      <c r="DUZ57" s="196"/>
      <c r="DVA57" s="196"/>
      <c r="DVB57" s="196"/>
      <c r="DVC57" s="196"/>
      <c r="DVD57" s="196"/>
      <c r="DVE57" s="196"/>
      <c r="DVF57" s="196"/>
      <c r="DVG57" s="196"/>
      <c r="DVH57" s="196"/>
      <c r="DVI57" s="196"/>
      <c r="DVJ57" s="196"/>
      <c r="DVK57" s="196"/>
      <c r="DVL57" s="196"/>
      <c r="DVM57" s="196"/>
      <c r="DVN57" s="196"/>
      <c r="DVO57" s="196"/>
      <c r="DVP57" s="196"/>
      <c r="DVQ57" s="196"/>
      <c r="DVR57" s="196"/>
      <c r="DVS57" s="196"/>
      <c r="DVT57" s="196"/>
      <c r="DVU57" s="196"/>
      <c r="DVV57" s="196"/>
      <c r="DVW57" s="196"/>
      <c r="DVX57" s="196"/>
      <c r="DVY57" s="196"/>
      <c r="DVZ57" s="196"/>
      <c r="DWA57" s="196"/>
      <c r="DWB57" s="196"/>
      <c r="DWC57" s="196"/>
      <c r="DWD57" s="196"/>
      <c r="DWE57" s="196"/>
      <c r="DWF57" s="196"/>
      <c r="DWG57" s="196"/>
      <c r="DWH57" s="196"/>
      <c r="DWI57" s="196"/>
      <c r="DWJ57" s="196"/>
      <c r="DWK57" s="196"/>
      <c r="DWL57" s="196"/>
      <c r="DWM57" s="196"/>
      <c r="DWN57" s="196"/>
      <c r="DWO57" s="196"/>
      <c r="DWP57" s="196"/>
      <c r="DWQ57" s="196"/>
      <c r="DWR57" s="196"/>
      <c r="DWS57" s="196"/>
      <c r="DWT57" s="196"/>
      <c r="DWU57" s="196"/>
      <c r="DWV57" s="196"/>
      <c r="DWW57" s="196"/>
      <c r="DWX57" s="196"/>
      <c r="DWY57" s="196"/>
      <c r="DWZ57" s="196"/>
      <c r="DXA57" s="196"/>
      <c r="DXB57" s="196"/>
      <c r="DXC57" s="196"/>
      <c r="DXD57" s="196"/>
      <c r="DXE57" s="196"/>
      <c r="DXF57" s="196"/>
      <c r="DXG57" s="196"/>
      <c r="DXH57" s="196"/>
      <c r="DXI57" s="196"/>
      <c r="DXJ57" s="196"/>
      <c r="DXK57" s="196"/>
      <c r="DXL57" s="196"/>
      <c r="DXM57" s="196"/>
      <c r="DXN57" s="196"/>
      <c r="DXO57" s="196"/>
      <c r="DXP57" s="196"/>
      <c r="DXQ57" s="196"/>
      <c r="DXR57" s="196"/>
      <c r="DXS57" s="196"/>
      <c r="DXT57" s="196"/>
      <c r="DXU57" s="196"/>
      <c r="DXV57" s="196"/>
      <c r="DXW57" s="196"/>
      <c r="DXX57" s="196"/>
      <c r="DXY57" s="196"/>
      <c r="DXZ57" s="196"/>
      <c r="DYA57" s="196"/>
      <c r="DYB57" s="196"/>
      <c r="DYC57" s="196"/>
      <c r="DYD57" s="196"/>
      <c r="DYE57" s="196"/>
      <c r="DYF57" s="196"/>
      <c r="DYG57" s="196"/>
      <c r="DYH57" s="196"/>
      <c r="DYI57" s="196"/>
      <c r="DYJ57" s="196"/>
      <c r="DYK57" s="196"/>
      <c r="DYL57" s="196"/>
      <c r="DYM57" s="196"/>
      <c r="DYN57" s="196"/>
      <c r="DYO57" s="196"/>
      <c r="DYP57" s="196"/>
      <c r="DYQ57" s="196"/>
      <c r="DYR57" s="196"/>
      <c r="DYS57" s="196"/>
      <c r="DYT57" s="196"/>
      <c r="DYU57" s="196"/>
      <c r="DYV57" s="196"/>
      <c r="DYW57" s="196"/>
      <c r="DYX57" s="196"/>
      <c r="DYY57" s="196"/>
      <c r="DYZ57" s="196"/>
      <c r="DZA57" s="196"/>
      <c r="DZB57" s="196"/>
      <c r="DZC57" s="196"/>
      <c r="DZD57" s="196"/>
      <c r="DZE57" s="196"/>
      <c r="DZF57" s="196"/>
      <c r="DZG57" s="196"/>
      <c r="DZH57" s="196"/>
      <c r="DZI57" s="196"/>
      <c r="DZJ57" s="196"/>
      <c r="DZK57" s="196"/>
      <c r="DZL57" s="196"/>
      <c r="DZM57" s="196"/>
      <c r="DZN57" s="196"/>
      <c r="DZO57" s="196"/>
      <c r="DZP57" s="196"/>
      <c r="DZQ57" s="196"/>
      <c r="DZR57" s="196"/>
      <c r="DZS57" s="196"/>
      <c r="DZT57" s="196"/>
      <c r="DZU57" s="196"/>
      <c r="DZV57" s="196"/>
      <c r="DZW57" s="196"/>
      <c r="DZX57" s="196"/>
      <c r="DZY57" s="196"/>
      <c r="DZZ57" s="196"/>
      <c r="EAA57" s="196"/>
      <c r="EAB57" s="196"/>
      <c r="EAC57" s="196"/>
      <c r="EAD57" s="196"/>
      <c r="EAE57" s="196"/>
      <c r="EAF57" s="196"/>
      <c r="EAG57" s="196"/>
      <c r="EAH57" s="196"/>
      <c r="EAI57" s="196"/>
      <c r="EAJ57" s="196"/>
      <c r="EAK57" s="196"/>
      <c r="EAL57" s="196"/>
      <c r="EAM57" s="196"/>
      <c r="EAN57" s="196"/>
      <c r="EAO57" s="196"/>
      <c r="EAP57" s="196"/>
      <c r="EAQ57" s="196"/>
      <c r="EAR57" s="196"/>
      <c r="EAS57" s="196"/>
      <c r="EAT57" s="196"/>
      <c r="EAU57" s="196"/>
      <c r="EAV57" s="196"/>
      <c r="EAW57" s="196"/>
      <c r="EAX57" s="196"/>
      <c r="EAY57" s="196"/>
      <c r="EAZ57" s="196"/>
      <c r="EBA57" s="196"/>
      <c r="EBB57" s="196"/>
      <c r="EBC57" s="196"/>
      <c r="EBD57" s="196"/>
      <c r="EBE57" s="196"/>
      <c r="EBF57" s="196"/>
      <c r="EBG57" s="196"/>
      <c r="EBH57" s="196"/>
      <c r="EBI57" s="196"/>
      <c r="EBJ57" s="196"/>
      <c r="EBK57" s="196"/>
      <c r="EBL57" s="196"/>
      <c r="EBM57" s="196"/>
      <c r="EBN57" s="196"/>
      <c r="EBO57" s="196"/>
      <c r="EBP57" s="196"/>
      <c r="EBQ57" s="196"/>
      <c r="EBR57" s="196"/>
      <c r="EBS57" s="196"/>
      <c r="EBT57" s="196"/>
      <c r="EBU57" s="196"/>
      <c r="EBV57" s="196"/>
      <c r="EBW57" s="196"/>
      <c r="EBX57" s="196"/>
      <c r="EBY57" s="196"/>
      <c r="EBZ57" s="196"/>
      <c r="ECA57" s="196"/>
      <c r="ECB57" s="196"/>
      <c r="ECC57" s="196"/>
      <c r="ECD57" s="196"/>
      <c r="ECE57" s="196"/>
      <c r="ECF57" s="196"/>
      <c r="ECG57" s="196"/>
      <c r="ECH57" s="196"/>
      <c r="ECI57" s="196"/>
      <c r="ECJ57" s="196"/>
      <c r="ECK57" s="196"/>
      <c r="ECL57" s="196"/>
      <c r="ECM57" s="196"/>
      <c r="ECN57" s="196"/>
      <c r="ECO57" s="196"/>
      <c r="ECP57" s="196"/>
      <c r="ECQ57" s="196"/>
      <c r="ECR57" s="196"/>
      <c r="ECS57" s="196"/>
      <c r="ECT57" s="196"/>
      <c r="ECU57" s="196"/>
      <c r="ECV57" s="196"/>
      <c r="ECW57" s="196"/>
      <c r="ECX57" s="196"/>
      <c r="ECY57" s="196"/>
      <c r="ECZ57" s="196"/>
      <c r="EDA57" s="196"/>
      <c r="EDB57" s="196"/>
      <c r="EDC57" s="196"/>
      <c r="EDD57" s="196"/>
      <c r="EDE57" s="196"/>
      <c r="EDF57" s="196"/>
      <c r="EDG57" s="196"/>
      <c r="EDH57" s="196"/>
      <c r="EDI57" s="196"/>
      <c r="EDJ57" s="196"/>
      <c r="EDK57" s="196"/>
      <c r="EDL57" s="196"/>
      <c r="EDM57" s="196"/>
      <c r="EDN57" s="196"/>
      <c r="EDO57" s="196"/>
      <c r="EDP57" s="196"/>
      <c r="EDQ57" s="196"/>
      <c r="EDR57" s="196"/>
      <c r="EDS57" s="196"/>
      <c r="EDT57" s="196"/>
      <c r="EDU57" s="196"/>
      <c r="EDV57" s="196"/>
      <c r="EDW57" s="196"/>
      <c r="EDX57" s="196"/>
      <c r="EDY57" s="196"/>
      <c r="EDZ57" s="196"/>
      <c r="EEA57" s="196"/>
      <c r="EEB57" s="196"/>
      <c r="EEC57" s="196"/>
      <c r="EED57" s="196"/>
      <c r="EEE57" s="196"/>
      <c r="EEF57" s="196"/>
      <c r="EEG57" s="196"/>
      <c r="EEH57" s="196"/>
      <c r="EEI57" s="196"/>
      <c r="EEJ57" s="196"/>
      <c r="EEK57" s="196"/>
      <c r="EEL57" s="196"/>
      <c r="EEM57" s="196"/>
      <c r="EEN57" s="196"/>
      <c r="EEO57" s="196"/>
      <c r="EEP57" s="196"/>
      <c r="EEQ57" s="196"/>
      <c r="EER57" s="196"/>
      <c r="EES57" s="196"/>
      <c r="EET57" s="196"/>
      <c r="EEU57" s="196"/>
      <c r="EEV57" s="196"/>
      <c r="EEW57" s="196"/>
      <c r="EEX57" s="196"/>
      <c r="EEY57" s="196"/>
      <c r="EEZ57" s="196"/>
      <c r="EFA57" s="196"/>
      <c r="EFB57" s="196"/>
      <c r="EFC57" s="196"/>
      <c r="EFD57" s="196"/>
      <c r="EFE57" s="196"/>
      <c r="EFF57" s="196"/>
      <c r="EFG57" s="196"/>
      <c r="EFH57" s="196"/>
      <c r="EFI57" s="196"/>
      <c r="EFJ57" s="196"/>
      <c r="EFK57" s="196"/>
      <c r="EFL57" s="196"/>
      <c r="EFM57" s="196"/>
      <c r="EFN57" s="196"/>
      <c r="EFO57" s="196"/>
      <c r="EFP57" s="196"/>
      <c r="EFQ57" s="196"/>
      <c r="EFR57" s="196"/>
      <c r="EFS57" s="196"/>
      <c r="EFT57" s="196"/>
      <c r="EFU57" s="196"/>
      <c r="EFV57" s="196"/>
      <c r="EFW57" s="196"/>
      <c r="EFX57" s="196"/>
      <c r="EFY57" s="196"/>
      <c r="EFZ57" s="196"/>
      <c r="EGA57" s="196"/>
      <c r="EGB57" s="196"/>
      <c r="EGC57" s="196"/>
      <c r="EGD57" s="196"/>
      <c r="EGE57" s="196"/>
      <c r="EGF57" s="196"/>
      <c r="EGG57" s="196"/>
      <c r="EGH57" s="196"/>
      <c r="EGI57" s="196"/>
      <c r="EGJ57" s="196"/>
      <c r="EGK57" s="196"/>
      <c r="EGL57" s="196"/>
      <c r="EGM57" s="196"/>
      <c r="EGN57" s="196"/>
      <c r="EGO57" s="196"/>
      <c r="EGP57" s="196"/>
      <c r="EGQ57" s="196"/>
      <c r="EGR57" s="196"/>
      <c r="EGS57" s="196"/>
      <c r="EGT57" s="196"/>
      <c r="EGU57" s="196"/>
      <c r="EGV57" s="196"/>
      <c r="EGW57" s="196"/>
      <c r="EGX57" s="196"/>
      <c r="EGY57" s="196"/>
      <c r="EGZ57" s="196"/>
      <c r="EHA57" s="196"/>
      <c r="EHB57" s="196"/>
      <c r="EHC57" s="196"/>
      <c r="EHD57" s="196"/>
      <c r="EHE57" s="196"/>
      <c r="EHF57" s="196"/>
      <c r="EHG57" s="196"/>
      <c r="EHH57" s="196"/>
      <c r="EHI57" s="196"/>
      <c r="EHJ57" s="196"/>
      <c r="EHK57" s="196"/>
      <c r="EHL57" s="196"/>
      <c r="EHM57" s="196"/>
      <c r="EHN57" s="196"/>
      <c r="EHO57" s="196"/>
      <c r="EHP57" s="196"/>
      <c r="EHQ57" s="196"/>
      <c r="EHR57" s="196"/>
      <c r="EHS57" s="196"/>
      <c r="EHT57" s="196"/>
      <c r="EHU57" s="196"/>
      <c r="EHV57" s="196"/>
      <c r="EHW57" s="196"/>
      <c r="EHX57" s="196"/>
      <c r="EHY57" s="196"/>
      <c r="EHZ57" s="196"/>
      <c r="EIA57" s="196"/>
      <c r="EIB57" s="196"/>
      <c r="EIC57" s="196"/>
      <c r="EID57" s="196"/>
      <c r="EIE57" s="196"/>
      <c r="EIF57" s="196"/>
      <c r="EIG57" s="196"/>
      <c r="EIH57" s="196"/>
      <c r="EII57" s="196"/>
      <c r="EIJ57" s="196"/>
      <c r="EIK57" s="196"/>
      <c r="EIL57" s="196"/>
      <c r="EIM57" s="196"/>
      <c r="EIN57" s="196"/>
      <c r="EIO57" s="196"/>
      <c r="EIP57" s="196"/>
      <c r="EIQ57" s="196"/>
      <c r="EIR57" s="196"/>
      <c r="EIS57" s="196"/>
      <c r="EIT57" s="196"/>
      <c r="EIU57" s="196"/>
      <c r="EIV57" s="196"/>
      <c r="EIW57" s="196"/>
      <c r="EIX57" s="196"/>
      <c r="EIY57" s="196"/>
      <c r="EIZ57" s="196"/>
      <c r="EJA57" s="196"/>
      <c r="EJB57" s="196"/>
      <c r="EJC57" s="196"/>
      <c r="EJD57" s="196"/>
      <c r="EJE57" s="196"/>
      <c r="EJF57" s="196"/>
      <c r="EJG57" s="196"/>
      <c r="EJH57" s="196"/>
      <c r="EJI57" s="196"/>
      <c r="EJJ57" s="196"/>
      <c r="EJK57" s="196"/>
      <c r="EJL57" s="196"/>
      <c r="EJM57" s="196"/>
      <c r="EJN57" s="196"/>
      <c r="EJO57" s="196"/>
      <c r="EJP57" s="196"/>
      <c r="EJQ57" s="196"/>
      <c r="EJR57" s="196"/>
      <c r="EJS57" s="196"/>
      <c r="EJT57" s="196"/>
      <c r="EJU57" s="196"/>
      <c r="EJV57" s="196"/>
      <c r="EJW57" s="196"/>
      <c r="EJX57" s="196"/>
      <c r="EJY57" s="196"/>
      <c r="EJZ57" s="196"/>
      <c r="EKA57" s="196"/>
      <c r="EKB57" s="196"/>
      <c r="EKC57" s="196"/>
      <c r="EKD57" s="196"/>
      <c r="EKE57" s="196"/>
      <c r="EKF57" s="196"/>
      <c r="EKG57" s="196"/>
      <c r="EKH57" s="196"/>
      <c r="EKI57" s="196"/>
      <c r="EKJ57" s="196"/>
      <c r="EKK57" s="196"/>
      <c r="EKL57" s="196"/>
      <c r="EKM57" s="196"/>
      <c r="EKN57" s="196"/>
      <c r="EKO57" s="196"/>
      <c r="EKP57" s="196"/>
      <c r="EKQ57" s="196"/>
      <c r="EKR57" s="196"/>
      <c r="EKS57" s="196"/>
      <c r="EKT57" s="196"/>
      <c r="EKU57" s="196"/>
      <c r="EKV57" s="196"/>
      <c r="EKW57" s="196"/>
      <c r="EKX57" s="196"/>
      <c r="EKY57" s="196"/>
      <c r="EKZ57" s="196"/>
      <c r="ELA57" s="196"/>
      <c r="ELB57" s="196"/>
      <c r="ELC57" s="196"/>
      <c r="ELD57" s="196"/>
      <c r="ELE57" s="196"/>
      <c r="ELF57" s="196"/>
      <c r="ELG57" s="196"/>
      <c r="ELH57" s="196"/>
      <c r="ELI57" s="196"/>
      <c r="ELJ57" s="196"/>
      <c r="ELK57" s="196"/>
      <c r="ELL57" s="196"/>
      <c r="ELM57" s="196"/>
      <c r="ELN57" s="196"/>
      <c r="ELO57" s="196"/>
      <c r="ELP57" s="196"/>
      <c r="ELQ57" s="196"/>
      <c r="ELR57" s="196"/>
      <c r="ELS57" s="196"/>
      <c r="ELT57" s="196"/>
      <c r="ELU57" s="196"/>
      <c r="ELV57" s="196"/>
      <c r="ELW57" s="196"/>
      <c r="ELX57" s="196"/>
      <c r="ELY57" s="196"/>
      <c r="ELZ57" s="196"/>
      <c r="EMA57" s="196"/>
      <c r="EMB57" s="196"/>
      <c r="EMC57" s="196"/>
      <c r="EMD57" s="196"/>
      <c r="EME57" s="196"/>
      <c r="EMF57" s="196"/>
      <c r="EMG57" s="196"/>
      <c r="EMH57" s="196"/>
      <c r="EMI57" s="196"/>
      <c r="EMJ57" s="196"/>
      <c r="EMK57" s="196"/>
      <c r="EML57" s="196"/>
      <c r="EMM57" s="196"/>
      <c r="EMN57" s="196"/>
      <c r="EMO57" s="196"/>
      <c r="EMP57" s="196"/>
      <c r="EMQ57" s="196"/>
      <c r="EMR57" s="196"/>
      <c r="EMS57" s="196"/>
      <c r="EMT57" s="196"/>
      <c r="EMU57" s="196"/>
      <c r="EMV57" s="196"/>
      <c r="EMW57" s="196"/>
      <c r="EMX57" s="196"/>
      <c r="EMY57" s="196"/>
      <c r="EMZ57" s="196"/>
      <c r="ENA57" s="196"/>
      <c r="ENB57" s="196"/>
      <c r="ENC57" s="196"/>
      <c r="END57" s="196"/>
      <c r="ENE57" s="196"/>
      <c r="ENF57" s="196"/>
      <c r="ENG57" s="196"/>
      <c r="ENH57" s="196"/>
      <c r="ENI57" s="196"/>
      <c r="ENJ57" s="196"/>
      <c r="ENK57" s="196"/>
      <c r="ENL57" s="196"/>
      <c r="ENM57" s="196"/>
      <c r="ENN57" s="196"/>
      <c r="ENO57" s="196"/>
      <c r="ENP57" s="196"/>
      <c r="ENQ57" s="196"/>
      <c r="ENR57" s="196"/>
      <c r="ENS57" s="196"/>
      <c r="ENT57" s="196"/>
      <c r="ENU57" s="196"/>
      <c r="ENV57" s="196"/>
      <c r="ENW57" s="196"/>
      <c r="ENX57" s="196"/>
      <c r="ENY57" s="196"/>
      <c r="ENZ57" s="196"/>
      <c r="EOA57" s="196"/>
      <c r="EOB57" s="196"/>
      <c r="EOC57" s="196"/>
      <c r="EOD57" s="196"/>
      <c r="EOE57" s="196"/>
      <c r="EOF57" s="196"/>
      <c r="EOG57" s="196"/>
      <c r="EOH57" s="196"/>
      <c r="EOI57" s="196"/>
      <c r="EOJ57" s="196"/>
      <c r="EOK57" s="196"/>
      <c r="EOL57" s="196"/>
      <c r="EOM57" s="196"/>
      <c r="EON57" s="196"/>
      <c r="EOO57" s="196"/>
      <c r="EOP57" s="196"/>
      <c r="EOQ57" s="196"/>
      <c r="EOR57" s="196"/>
      <c r="EOS57" s="196"/>
      <c r="EOT57" s="196"/>
      <c r="EOU57" s="196"/>
      <c r="EOV57" s="196"/>
      <c r="EOW57" s="196"/>
      <c r="EOX57" s="196"/>
      <c r="EOY57" s="196"/>
      <c r="EOZ57" s="196"/>
      <c r="EPA57" s="196"/>
      <c r="EPB57" s="196"/>
      <c r="EPC57" s="196"/>
      <c r="EPD57" s="196"/>
      <c r="EPE57" s="196"/>
      <c r="EPF57" s="196"/>
      <c r="EPG57" s="196"/>
      <c r="EPH57" s="196"/>
      <c r="EPI57" s="196"/>
      <c r="EPJ57" s="196"/>
      <c r="EPK57" s="196"/>
      <c r="EPL57" s="196"/>
      <c r="EPM57" s="196"/>
      <c r="EPN57" s="196"/>
      <c r="EPO57" s="196"/>
      <c r="EPP57" s="196"/>
      <c r="EPQ57" s="196"/>
      <c r="EPR57" s="196"/>
      <c r="EPS57" s="196"/>
      <c r="EPT57" s="196"/>
      <c r="EPU57" s="196"/>
      <c r="EPV57" s="196"/>
      <c r="EPW57" s="196"/>
      <c r="EPX57" s="196"/>
      <c r="EPY57" s="196"/>
      <c r="EPZ57" s="196"/>
      <c r="EQA57" s="196"/>
      <c r="EQB57" s="196"/>
      <c r="EQC57" s="196"/>
      <c r="EQD57" s="196"/>
      <c r="EQE57" s="196"/>
      <c r="EQF57" s="196"/>
      <c r="EQG57" s="196"/>
      <c r="EQH57" s="196"/>
      <c r="EQI57" s="196"/>
      <c r="EQJ57" s="196"/>
      <c r="EQK57" s="196"/>
      <c r="EQL57" s="196"/>
      <c r="EQM57" s="196"/>
      <c r="EQN57" s="196"/>
      <c r="EQO57" s="196"/>
      <c r="EQP57" s="196"/>
      <c r="EQQ57" s="196"/>
      <c r="EQR57" s="196"/>
      <c r="EQS57" s="196"/>
      <c r="EQT57" s="196"/>
      <c r="EQU57" s="196"/>
      <c r="EQV57" s="196"/>
      <c r="EQW57" s="196"/>
      <c r="EQX57" s="196"/>
      <c r="EQY57" s="196"/>
      <c r="EQZ57" s="196"/>
      <c r="ERA57" s="196"/>
      <c r="ERB57" s="196"/>
      <c r="ERC57" s="196"/>
      <c r="ERD57" s="196"/>
      <c r="ERE57" s="196"/>
      <c r="ERF57" s="196"/>
      <c r="ERG57" s="196"/>
      <c r="ERH57" s="196"/>
      <c r="ERI57" s="196"/>
      <c r="ERJ57" s="196"/>
      <c r="ERK57" s="196"/>
      <c r="ERL57" s="196"/>
      <c r="ERM57" s="196"/>
      <c r="ERN57" s="196"/>
      <c r="ERO57" s="196"/>
      <c r="ERP57" s="196"/>
      <c r="ERQ57" s="196"/>
      <c r="ERR57" s="196"/>
      <c r="ERS57" s="196"/>
      <c r="ERT57" s="196"/>
      <c r="ERU57" s="196"/>
      <c r="ERV57" s="196"/>
      <c r="ERW57" s="196"/>
      <c r="ERX57" s="196"/>
      <c r="ERY57" s="196"/>
      <c r="ERZ57" s="196"/>
      <c r="ESA57" s="196"/>
      <c r="ESB57" s="196"/>
      <c r="ESC57" s="196"/>
      <c r="ESD57" s="196"/>
      <c r="ESE57" s="196"/>
      <c r="ESF57" s="196"/>
      <c r="ESG57" s="196"/>
      <c r="ESH57" s="196"/>
      <c r="ESI57" s="196"/>
      <c r="ESJ57" s="196"/>
      <c r="ESK57" s="196"/>
      <c r="ESL57" s="196"/>
      <c r="ESM57" s="196"/>
      <c r="ESN57" s="196"/>
      <c r="ESO57" s="196"/>
      <c r="ESP57" s="196"/>
      <c r="ESQ57" s="196"/>
      <c r="ESR57" s="196"/>
      <c r="ESS57" s="196"/>
      <c r="EST57" s="196"/>
      <c r="ESU57" s="196"/>
      <c r="ESV57" s="196"/>
      <c r="ESW57" s="196"/>
      <c r="ESX57" s="196"/>
      <c r="ESY57" s="196"/>
      <c r="ESZ57" s="196"/>
      <c r="ETA57" s="196"/>
      <c r="ETB57" s="196"/>
      <c r="ETC57" s="196"/>
      <c r="ETD57" s="196"/>
      <c r="ETE57" s="196"/>
      <c r="ETF57" s="196"/>
      <c r="ETG57" s="196"/>
      <c r="ETH57" s="196"/>
      <c r="ETI57" s="196"/>
      <c r="ETJ57" s="196"/>
      <c r="ETK57" s="196"/>
      <c r="ETL57" s="196"/>
      <c r="ETM57" s="196"/>
      <c r="ETN57" s="196"/>
      <c r="ETO57" s="196"/>
      <c r="ETP57" s="196"/>
      <c r="ETQ57" s="196"/>
      <c r="ETR57" s="196"/>
      <c r="ETS57" s="196"/>
      <c r="ETT57" s="196"/>
      <c r="ETU57" s="196"/>
      <c r="ETV57" s="196"/>
      <c r="ETW57" s="196"/>
      <c r="ETX57" s="196"/>
      <c r="ETY57" s="196"/>
      <c r="ETZ57" s="196"/>
      <c r="EUA57" s="196"/>
      <c r="EUB57" s="196"/>
      <c r="EUC57" s="196"/>
      <c r="EUD57" s="196"/>
      <c r="EUE57" s="196"/>
      <c r="EUF57" s="196"/>
      <c r="EUG57" s="196"/>
      <c r="EUH57" s="196"/>
      <c r="EUI57" s="196"/>
      <c r="EUJ57" s="196"/>
      <c r="EUK57" s="196"/>
      <c r="EUL57" s="196"/>
      <c r="EUM57" s="196"/>
      <c r="EUN57" s="196"/>
      <c r="EUO57" s="196"/>
      <c r="EUP57" s="196"/>
      <c r="EUQ57" s="196"/>
      <c r="EUR57" s="196"/>
      <c r="EUS57" s="196"/>
      <c r="EUT57" s="196"/>
      <c r="EUU57" s="196"/>
      <c r="EUV57" s="196"/>
      <c r="EUW57" s="196"/>
      <c r="EUX57" s="196"/>
      <c r="EUY57" s="196"/>
      <c r="EUZ57" s="196"/>
      <c r="EVA57" s="196"/>
      <c r="EVB57" s="196"/>
      <c r="EVC57" s="196"/>
      <c r="EVD57" s="196"/>
      <c r="EVE57" s="196"/>
      <c r="EVF57" s="196"/>
      <c r="EVG57" s="196"/>
      <c r="EVH57" s="196"/>
      <c r="EVI57" s="196"/>
      <c r="EVJ57" s="196"/>
      <c r="EVK57" s="196"/>
      <c r="EVL57" s="196"/>
      <c r="EVM57" s="196"/>
      <c r="EVN57" s="196"/>
      <c r="EVO57" s="196"/>
      <c r="EVP57" s="196"/>
      <c r="EVQ57" s="196"/>
      <c r="EVR57" s="196"/>
      <c r="EVS57" s="196"/>
      <c r="EVT57" s="196"/>
      <c r="EVU57" s="196"/>
      <c r="EVV57" s="196"/>
      <c r="EVW57" s="196"/>
      <c r="EVX57" s="196"/>
      <c r="EVY57" s="196"/>
      <c r="EVZ57" s="196"/>
      <c r="EWA57" s="196"/>
      <c r="EWB57" s="196"/>
      <c r="EWC57" s="196"/>
      <c r="EWD57" s="196"/>
      <c r="EWE57" s="196"/>
      <c r="EWF57" s="196"/>
      <c r="EWG57" s="196"/>
      <c r="EWH57" s="196"/>
      <c r="EWI57" s="196"/>
      <c r="EWJ57" s="196"/>
      <c r="EWK57" s="196"/>
      <c r="EWL57" s="196"/>
      <c r="EWM57" s="196"/>
      <c r="EWN57" s="196"/>
      <c r="EWO57" s="196"/>
      <c r="EWP57" s="196"/>
      <c r="EWQ57" s="196"/>
      <c r="EWR57" s="196"/>
      <c r="EWS57" s="196"/>
      <c r="EWT57" s="196"/>
      <c r="EWU57" s="196"/>
      <c r="EWV57" s="196"/>
      <c r="EWW57" s="196"/>
      <c r="EWX57" s="196"/>
      <c r="EWY57" s="196"/>
      <c r="EWZ57" s="196"/>
      <c r="EXA57" s="196"/>
      <c r="EXB57" s="196"/>
      <c r="EXC57" s="196"/>
      <c r="EXD57" s="196"/>
      <c r="EXE57" s="196"/>
      <c r="EXF57" s="196"/>
      <c r="EXG57" s="196"/>
      <c r="EXH57" s="196"/>
      <c r="EXI57" s="196"/>
      <c r="EXJ57" s="196"/>
      <c r="EXK57" s="196"/>
      <c r="EXL57" s="196"/>
      <c r="EXM57" s="196"/>
      <c r="EXN57" s="196"/>
      <c r="EXO57" s="196"/>
      <c r="EXP57" s="196"/>
      <c r="EXQ57" s="196"/>
      <c r="EXR57" s="196"/>
      <c r="EXS57" s="196"/>
      <c r="EXT57" s="196"/>
      <c r="EXU57" s="196"/>
      <c r="EXV57" s="196"/>
      <c r="EXW57" s="196"/>
      <c r="EXX57" s="196"/>
      <c r="EXY57" s="196"/>
      <c r="EXZ57" s="196"/>
      <c r="EYA57" s="196"/>
      <c r="EYB57" s="196"/>
      <c r="EYC57" s="196"/>
      <c r="EYD57" s="196"/>
      <c r="EYE57" s="196"/>
      <c r="EYF57" s="196"/>
      <c r="EYG57" s="196"/>
      <c r="EYH57" s="196"/>
      <c r="EYI57" s="196"/>
      <c r="EYJ57" s="196"/>
      <c r="EYK57" s="196"/>
      <c r="EYL57" s="196"/>
      <c r="EYM57" s="196"/>
      <c r="EYN57" s="196"/>
      <c r="EYO57" s="196"/>
      <c r="EYP57" s="196"/>
      <c r="EYQ57" s="196"/>
      <c r="EYR57" s="196"/>
      <c r="EYS57" s="196"/>
      <c r="EYT57" s="196"/>
      <c r="EYU57" s="196"/>
      <c r="EYV57" s="196"/>
      <c r="EYW57" s="196"/>
      <c r="EYX57" s="196"/>
      <c r="EYY57" s="196"/>
      <c r="EYZ57" s="196"/>
      <c r="EZA57" s="196"/>
      <c r="EZB57" s="196"/>
      <c r="EZC57" s="196"/>
      <c r="EZD57" s="196"/>
      <c r="EZE57" s="196"/>
      <c r="EZF57" s="196"/>
      <c r="EZG57" s="196"/>
      <c r="EZH57" s="196"/>
      <c r="EZI57" s="196"/>
      <c r="EZJ57" s="196"/>
      <c r="EZK57" s="196"/>
      <c r="EZL57" s="196"/>
      <c r="EZM57" s="196"/>
      <c r="EZN57" s="196"/>
      <c r="EZO57" s="196"/>
      <c r="EZP57" s="196"/>
      <c r="EZQ57" s="196"/>
      <c r="EZR57" s="196"/>
      <c r="EZS57" s="196"/>
      <c r="EZT57" s="196"/>
      <c r="EZU57" s="196"/>
      <c r="EZV57" s="196"/>
      <c r="EZW57" s="196"/>
      <c r="EZX57" s="196"/>
      <c r="EZY57" s="196"/>
      <c r="EZZ57" s="196"/>
      <c r="FAA57" s="196"/>
      <c r="FAB57" s="196"/>
      <c r="FAC57" s="196"/>
      <c r="FAD57" s="196"/>
      <c r="FAE57" s="196"/>
      <c r="FAF57" s="196"/>
      <c r="FAG57" s="196"/>
      <c r="FAH57" s="196"/>
      <c r="FAI57" s="196"/>
      <c r="FAJ57" s="196"/>
      <c r="FAK57" s="196"/>
      <c r="FAL57" s="196"/>
      <c r="FAM57" s="196"/>
      <c r="FAN57" s="196"/>
      <c r="FAO57" s="196"/>
      <c r="FAP57" s="196"/>
      <c r="FAQ57" s="196"/>
      <c r="FAR57" s="196"/>
      <c r="FAS57" s="196"/>
      <c r="FAT57" s="196"/>
      <c r="FAU57" s="196"/>
      <c r="FAV57" s="196"/>
      <c r="FAW57" s="196"/>
      <c r="FAX57" s="196"/>
      <c r="FAY57" s="196"/>
      <c r="FAZ57" s="196"/>
      <c r="FBA57" s="196"/>
      <c r="FBB57" s="196"/>
      <c r="FBC57" s="196"/>
      <c r="FBD57" s="196"/>
      <c r="FBE57" s="196"/>
      <c r="FBF57" s="196"/>
      <c r="FBG57" s="196"/>
      <c r="FBH57" s="196"/>
      <c r="FBI57" s="196"/>
      <c r="FBJ57" s="196"/>
      <c r="FBK57" s="196"/>
      <c r="FBL57" s="196"/>
      <c r="FBM57" s="196"/>
      <c r="FBN57" s="196"/>
      <c r="FBO57" s="196"/>
      <c r="FBP57" s="196"/>
      <c r="FBQ57" s="196"/>
      <c r="FBR57" s="196"/>
      <c r="FBS57" s="196"/>
      <c r="FBT57" s="196"/>
      <c r="FBU57" s="196"/>
      <c r="FBV57" s="196"/>
      <c r="FBW57" s="196"/>
      <c r="FBX57" s="196"/>
      <c r="FBY57" s="196"/>
      <c r="FBZ57" s="196"/>
      <c r="FCA57" s="196"/>
      <c r="FCB57" s="196"/>
      <c r="FCC57" s="196"/>
      <c r="FCD57" s="196"/>
      <c r="FCE57" s="196"/>
      <c r="FCF57" s="196"/>
      <c r="FCG57" s="196"/>
      <c r="FCH57" s="196"/>
      <c r="FCI57" s="196"/>
      <c r="FCJ57" s="196"/>
      <c r="FCK57" s="196"/>
      <c r="FCL57" s="196"/>
      <c r="FCM57" s="196"/>
      <c r="FCN57" s="196"/>
      <c r="FCO57" s="196"/>
      <c r="FCP57" s="196"/>
      <c r="FCQ57" s="196"/>
      <c r="FCR57" s="196"/>
      <c r="FCS57" s="196"/>
      <c r="FCT57" s="196"/>
      <c r="FCU57" s="196"/>
      <c r="FCV57" s="196"/>
      <c r="FCW57" s="196"/>
      <c r="FCX57" s="196"/>
      <c r="FCY57" s="196"/>
      <c r="FCZ57" s="196"/>
      <c r="FDA57" s="196"/>
      <c r="FDB57" s="196"/>
      <c r="FDC57" s="196"/>
      <c r="FDD57" s="196"/>
      <c r="FDE57" s="196"/>
      <c r="FDF57" s="196"/>
      <c r="FDG57" s="196"/>
      <c r="FDH57" s="196"/>
      <c r="FDI57" s="196"/>
      <c r="FDJ57" s="196"/>
      <c r="FDK57" s="196"/>
      <c r="FDL57" s="196"/>
      <c r="FDM57" s="196"/>
      <c r="FDN57" s="196"/>
      <c r="FDO57" s="196"/>
      <c r="FDP57" s="196"/>
      <c r="FDQ57" s="196"/>
      <c r="FDR57" s="196"/>
      <c r="FDS57" s="196"/>
      <c r="FDT57" s="196"/>
      <c r="FDU57" s="196"/>
      <c r="FDV57" s="196"/>
      <c r="FDW57" s="196"/>
      <c r="FDX57" s="196"/>
      <c r="FDY57" s="196"/>
      <c r="FDZ57" s="196"/>
      <c r="FEA57" s="196"/>
      <c r="FEB57" s="196"/>
      <c r="FEC57" s="196"/>
      <c r="FED57" s="196"/>
      <c r="FEE57" s="196"/>
      <c r="FEF57" s="196"/>
      <c r="FEG57" s="196"/>
      <c r="FEH57" s="196"/>
      <c r="FEI57" s="196"/>
      <c r="FEJ57" s="196"/>
      <c r="FEK57" s="196"/>
      <c r="FEL57" s="196"/>
      <c r="FEM57" s="196"/>
      <c r="FEN57" s="196"/>
      <c r="FEO57" s="196"/>
      <c r="FEP57" s="196"/>
      <c r="FEQ57" s="196"/>
      <c r="FER57" s="196"/>
      <c r="FES57" s="196"/>
      <c r="FET57" s="196"/>
      <c r="FEU57" s="196"/>
      <c r="FEV57" s="196"/>
      <c r="FEW57" s="196"/>
      <c r="FEX57" s="196"/>
      <c r="FEY57" s="196"/>
      <c r="FEZ57" s="196"/>
      <c r="FFA57" s="196"/>
      <c r="FFB57" s="196"/>
      <c r="FFC57" s="196"/>
      <c r="FFD57" s="196"/>
      <c r="FFE57" s="196"/>
      <c r="FFF57" s="196"/>
      <c r="FFG57" s="196"/>
      <c r="FFH57" s="196"/>
      <c r="FFI57" s="196"/>
      <c r="FFJ57" s="196"/>
      <c r="FFK57" s="196"/>
      <c r="FFL57" s="196"/>
      <c r="FFM57" s="196"/>
      <c r="FFN57" s="196"/>
      <c r="FFO57" s="196"/>
      <c r="FFP57" s="196"/>
      <c r="FFQ57" s="196"/>
      <c r="FFR57" s="196"/>
      <c r="FFS57" s="196"/>
      <c r="FFT57" s="196"/>
      <c r="FFU57" s="196"/>
      <c r="FFV57" s="196"/>
      <c r="FFW57" s="196"/>
      <c r="FFX57" s="196"/>
      <c r="FFY57" s="196"/>
      <c r="FFZ57" s="196"/>
      <c r="FGA57" s="196"/>
      <c r="FGB57" s="196"/>
      <c r="FGC57" s="196"/>
      <c r="FGD57" s="196"/>
      <c r="FGE57" s="196"/>
      <c r="FGF57" s="196"/>
      <c r="FGG57" s="196"/>
      <c r="FGH57" s="196"/>
      <c r="FGI57" s="196"/>
      <c r="FGJ57" s="196"/>
      <c r="FGK57" s="196"/>
      <c r="FGL57" s="196"/>
      <c r="FGM57" s="196"/>
      <c r="FGN57" s="196"/>
      <c r="FGO57" s="196"/>
      <c r="FGP57" s="196"/>
      <c r="FGQ57" s="196"/>
      <c r="FGR57" s="196"/>
      <c r="FGS57" s="196"/>
      <c r="FGT57" s="196"/>
      <c r="FGU57" s="196"/>
      <c r="FGV57" s="196"/>
      <c r="FGW57" s="196"/>
      <c r="FGX57" s="196"/>
      <c r="FGY57" s="196"/>
      <c r="FGZ57" s="196"/>
      <c r="FHA57" s="196"/>
      <c r="FHB57" s="196"/>
      <c r="FHC57" s="196"/>
      <c r="FHD57" s="196"/>
      <c r="FHE57" s="196"/>
      <c r="FHF57" s="196"/>
      <c r="FHG57" s="196"/>
      <c r="FHH57" s="196"/>
      <c r="FHI57" s="196"/>
      <c r="FHJ57" s="196"/>
      <c r="FHK57" s="196"/>
      <c r="FHL57" s="196"/>
      <c r="FHM57" s="196"/>
      <c r="FHN57" s="196"/>
      <c r="FHO57" s="196"/>
      <c r="FHP57" s="196"/>
      <c r="FHQ57" s="196"/>
      <c r="FHR57" s="196"/>
      <c r="FHS57" s="196"/>
      <c r="FHT57" s="196"/>
      <c r="FHU57" s="196"/>
      <c r="FHV57" s="196"/>
      <c r="FHW57" s="196"/>
      <c r="FHX57" s="196"/>
      <c r="FHY57" s="196"/>
      <c r="FHZ57" s="196"/>
      <c r="FIA57" s="196"/>
      <c r="FIB57" s="196"/>
      <c r="FIC57" s="196"/>
      <c r="FID57" s="196"/>
      <c r="FIE57" s="196"/>
      <c r="FIF57" s="196"/>
      <c r="FIG57" s="196"/>
      <c r="FIH57" s="196"/>
      <c r="FII57" s="196"/>
      <c r="FIJ57" s="196"/>
      <c r="FIK57" s="196"/>
      <c r="FIL57" s="196"/>
      <c r="FIM57" s="196"/>
      <c r="FIN57" s="196"/>
      <c r="FIO57" s="196"/>
      <c r="FIP57" s="196"/>
      <c r="FIQ57" s="196"/>
      <c r="FIR57" s="196"/>
      <c r="FIS57" s="196"/>
      <c r="FIT57" s="196"/>
      <c r="FIU57" s="196"/>
      <c r="FIV57" s="196"/>
      <c r="FIW57" s="196"/>
      <c r="FIX57" s="196"/>
      <c r="FIY57" s="196"/>
      <c r="FIZ57" s="196"/>
      <c r="FJA57" s="196"/>
      <c r="FJB57" s="196"/>
      <c r="FJC57" s="196"/>
      <c r="FJD57" s="196"/>
      <c r="FJE57" s="196"/>
      <c r="FJF57" s="196"/>
      <c r="FJG57" s="196"/>
      <c r="FJH57" s="196"/>
      <c r="FJI57" s="196"/>
      <c r="FJJ57" s="196"/>
      <c r="FJK57" s="196"/>
      <c r="FJL57" s="196"/>
      <c r="FJM57" s="196"/>
      <c r="FJN57" s="196"/>
      <c r="FJO57" s="196"/>
      <c r="FJP57" s="196"/>
      <c r="FJQ57" s="196"/>
      <c r="FJR57" s="196"/>
      <c r="FJS57" s="196"/>
      <c r="FJT57" s="196"/>
      <c r="FJU57" s="196"/>
      <c r="FJV57" s="196"/>
      <c r="FJW57" s="196"/>
      <c r="FJX57" s="196"/>
      <c r="FJY57" s="196"/>
      <c r="FJZ57" s="196"/>
      <c r="FKA57" s="196"/>
      <c r="FKB57" s="196"/>
      <c r="FKC57" s="196"/>
      <c r="FKD57" s="196"/>
      <c r="FKE57" s="196"/>
      <c r="FKF57" s="196"/>
      <c r="FKG57" s="196"/>
      <c r="FKH57" s="196"/>
      <c r="FKI57" s="196"/>
      <c r="FKJ57" s="196"/>
      <c r="FKK57" s="196"/>
      <c r="FKL57" s="196"/>
      <c r="FKM57" s="196"/>
      <c r="FKN57" s="196"/>
      <c r="FKO57" s="196"/>
      <c r="FKP57" s="196"/>
      <c r="FKQ57" s="196"/>
      <c r="FKR57" s="196"/>
      <c r="FKS57" s="196"/>
      <c r="FKT57" s="196"/>
      <c r="FKU57" s="196"/>
      <c r="FKV57" s="196"/>
      <c r="FKW57" s="196"/>
      <c r="FKX57" s="196"/>
      <c r="FKY57" s="196"/>
      <c r="FKZ57" s="196"/>
      <c r="FLA57" s="196"/>
      <c r="FLB57" s="196"/>
      <c r="FLC57" s="196"/>
      <c r="FLD57" s="196"/>
      <c r="FLE57" s="196"/>
      <c r="FLF57" s="196"/>
      <c r="FLG57" s="196"/>
      <c r="FLH57" s="196"/>
      <c r="FLI57" s="196"/>
      <c r="FLJ57" s="196"/>
      <c r="FLK57" s="196"/>
      <c r="FLL57" s="196"/>
      <c r="FLM57" s="196"/>
      <c r="FLN57" s="196"/>
      <c r="FLO57" s="196"/>
      <c r="FLP57" s="196"/>
      <c r="FLQ57" s="196"/>
      <c r="FLR57" s="196"/>
      <c r="FLS57" s="196"/>
      <c r="FLT57" s="196"/>
      <c r="FLU57" s="196"/>
      <c r="FLV57" s="196"/>
      <c r="FLW57" s="196"/>
      <c r="FLX57" s="196"/>
      <c r="FLY57" s="196"/>
      <c r="FLZ57" s="196"/>
      <c r="FMA57" s="196"/>
      <c r="FMB57" s="196"/>
      <c r="FMC57" s="196"/>
      <c r="FMD57" s="196"/>
      <c r="FME57" s="196"/>
      <c r="FMF57" s="196"/>
      <c r="FMG57" s="196"/>
      <c r="FMH57" s="196"/>
      <c r="FMI57" s="196"/>
      <c r="FMJ57" s="196"/>
      <c r="FMK57" s="196"/>
      <c r="FML57" s="196"/>
      <c r="FMM57" s="196"/>
      <c r="FMN57" s="196"/>
      <c r="FMO57" s="196"/>
      <c r="FMP57" s="196"/>
      <c r="FMQ57" s="196"/>
      <c r="FMR57" s="196"/>
      <c r="FMS57" s="196"/>
      <c r="FMT57" s="196"/>
      <c r="FMU57" s="196"/>
      <c r="FMV57" s="196"/>
      <c r="FMW57" s="196"/>
      <c r="FMX57" s="196"/>
      <c r="FMY57" s="196"/>
      <c r="FMZ57" s="196"/>
      <c r="FNA57" s="196"/>
      <c r="FNB57" s="196"/>
      <c r="FNC57" s="196"/>
      <c r="FND57" s="196"/>
      <c r="FNE57" s="196"/>
      <c r="FNF57" s="196"/>
      <c r="FNG57" s="196"/>
      <c r="FNH57" s="196"/>
      <c r="FNI57" s="196"/>
      <c r="FNJ57" s="196"/>
      <c r="FNK57" s="196"/>
      <c r="FNL57" s="196"/>
      <c r="FNM57" s="196"/>
      <c r="FNN57" s="196"/>
      <c r="FNO57" s="196"/>
      <c r="FNP57" s="196"/>
      <c r="FNQ57" s="196"/>
      <c r="FNR57" s="196"/>
      <c r="FNS57" s="196"/>
      <c r="FNT57" s="196"/>
      <c r="FNU57" s="196"/>
      <c r="FNV57" s="196"/>
      <c r="FNW57" s="196"/>
      <c r="FNX57" s="196"/>
      <c r="FNY57" s="196"/>
      <c r="FNZ57" s="196"/>
      <c r="FOA57" s="196"/>
      <c r="FOB57" s="196"/>
      <c r="FOC57" s="196"/>
      <c r="FOD57" s="196"/>
      <c r="FOE57" s="196"/>
      <c r="FOF57" s="196"/>
      <c r="FOG57" s="196"/>
      <c r="FOH57" s="196"/>
      <c r="FOI57" s="196"/>
      <c r="FOJ57" s="196"/>
      <c r="FOK57" s="196"/>
      <c r="FOL57" s="196"/>
      <c r="FOM57" s="196"/>
      <c r="FON57" s="196"/>
      <c r="FOO57" s="196"/>
      <c r="FOP57" s="196"/>
      <c r="FOQ57" s="196"/>
      <c r="FOR57" s="196"/>
      <c r="FOS57" s="196"/>
      <c r="FOT57" s="196"/>
      <c r="FOU57" s="196"/>
      <c r="FOV57" s="196"/>
      <c r="FOW57" s="196"/>
      <c r="FOX57" s="196"/>
      <c r="FOY57" s="196"/>
      <c r="FOZ57" s="196"/>
      <c r="FPA57" s="196"/>
      <c r="FPB57" s="196"/>
      <c r="FPC57" s="196"/>
      <c r="FPD57" s="196"/>
      <c r="FPE57" s="196"/>
      <c r="FPF57" s="196"/>
      <c r="FPG57" s="196"/>
      <c r="FPH57" s="196"/>
      <c r="FPI57" s="196"/>
      <c r="FPJ57" s="196"/>
      <c r="FPK57" s="196"/>
      <c r="FPL57" s="196"/>
      <c r="FPM57" s="196"/>
      <c r="FPN57" s="196"/>
      <c r="FPO57" s="196"/>
      <c r="FPP57" s="196"/>
      <c r="FPQ57" s="196"/>
      <c r="FPR57" s="196"/>
      <c r="FPS57" s="196"/>
      <c r="FPT57" s="196"/>
      <c r="FPU57" s="196"/>
      <c r="FPV57" s="196"/>
      <c r="FPW57" s="196"/>
      <c r="FPX57" s="196"/>
      <c r="FPY57" s="196"/>
      <c r="FPZ57" s="196"/>
      <c r="FQA57" s="196"/>
      <c r="FQB57" s="196"/>
      <c r="FQC57" s="196"/>
      <c r="FQD57" s="196"/>
      <c r="FQE57" s="196"/>
      <c r="FQF57" s="196"/>
      <c r="FQG57" s="196"/>
      <c r="FQH57" s="196"/>
      <c r="FQI57" s="196"/>
      <c r="FQJ57" s="196"/>
      <c r="FQK57" s="196"/>
      <c r="FQL57" s="196"/>
      <c r="FQM57" s="196"/>
      <c r="FQN57" s="196"/>
      <c r="FQO57" s="196"/>
      <c r="FQP57" s="196"/>
      <c r="FQQ57" s="196"/>
      <c r="FQR57" s="196"/>
      <c r="FQS57" s="196"/>
      <c r="FQT57" s="196"/>
      <c r="FQU57" s="196"/>
      <c r="FQV57" s="196"/>
      <c r="FQW57" s="196"/>
      <c r="FQX57" s="196"/>
      <c r="FQY57" s="196"/>
      <c r="FQZ57" s="196"/>
      <c r="FRA57" s="196"/>
      <c r="FRB57" s="196"/>
      <c r="FRC57" s="196"/>
      <c r="FRD57" s="196"/>
      <c r="FRE57" s="196"/>
      <c r="FRF57" s="196"/>
      <c r="FRG57" s="196"/>
      <c r="FRH57" s="196"/>
      <c r="FRI57" s="196"/>
      <c r="FRJ57" s="196"/>
      <c r="FRK57" s="196"/>
      <c r="FRL57" s="196"/>
      <c r="FRM57" s="196"/>
      <c r="FRN57" s="196"/>
      <c r="FRO57" s="196"/>
      <c r="FRP57" s="196"/>
      <c r="FRQ57" s="196"/>
      <c r="FRR57" s="196"/>
      <c r="FRS57" s="196"/>
      <c r="FRT57" s="196"/>
      <c r="FRU57" s="196"/>
      <c r="FRV57" s="196"/>
      <c r="FRW57" s="196"/>
      <c r="FRX57" s="196"/>
      <c r="FRY57" s="196"/>
      <c r="FRZ57" s="196"/>
      <c r="FSA57" s="196"/>
      <c r="FSB57" s="196"/>
      <c r="FSC57" s="196"/>
      <c r="FSD57" s="196"/>
      <c r="FSE57" s="196"/>
      <c r="FSF57" s="196"/>
      <c r="FSG57" s="196"/>
      <c r="FSH57" s="196"/>
      <c r="FSI57" s="196"/>
      <c r="FSJ57" s="196"/>
      <c r="FSK57" s="196"/>
      <c r="FSL57" s="196"/>
      <c r="FSM57" s="196"/>
      <c r="FSN57" s="196"/>
      <c r="FSO57" s="196"/>
      <c r="FSP57" s="196"/>
      <c r="FSQ57" s="196"/>
      <c r="FSR57" s="196"/>
      <c r="FSS57" s="196"/>
      <c r="FST57" s="196"/>
      <c r="FSU57" s="196"/>
      <c r="FSV57" s="196"/>
      <c r="FSW57" s="196"/>
      <c r="FSX57" s="196"/>
      <c r="FSY57" s="196"/>
      <c r="FSZ57" s="196"/>
      <c r="FTA57" s="196"/>
      <c r="FTB57" s="196"/>
      <c r="FTC57" s="196"/>
      <c r="FTD57" s="196"/>
      <c r="FTE57" s="196"/>
      <c r="FTF57" s="196"/>
      <c r="FTG57" s="196"/>
      <c r="FTH57" s="196"/>
      <c r="FTI57" s="196"/>
      <c r="FTJ57" s="196"/>
      <c r="FTK57" s="196"/>
      <c r="FTL57" s="196"/>
      <c r="FTM57" s="196"/>
      <c r="FTN57" s="196"/>
      <c r="FTO57" s="196"/>
      <c r="FTP57" s="196"/>
      <c r="FTQ57" s="196"/>
      <c r="FTR57" s="196"/>
      <c r="FTS57" s="196"/>
      <c r="FTT57" s="196"/>
      <c r="FTU57" s="196"/>
      <c r="FTV57" s="196"/>
      <c r="FTW57" s="196"/>
      <c r="FTX57" s="196"/>
      <c r="FTY57" s="196"/>
      <c r="FTZ57" s="196"/>
      <c r="FUA57" s="196"/>
      <c r="FUB57" s="196"/>
      <c r="FUC57" s="196"/>
      <c r="FUD57" s="196"/>
      <c r="FUE57" s="196"/>
      <c r="FUF57" s="196"/>
      <c r="FUG57" s="196"/>
      <c r="FUH57" s="196"/>
      <c r="FUI57" s="196"/>
      <c r="FUJ57" s="196"/>
      <c r="FUK57" s="196"/>
      <c r="FUL57" s="196"/>
      <c r="FUM57" s="196"/>
      <c r="FUN57" s="196"/>
      <c r="FUO57" s="196"/>
      <c r="FUP57" s="196"/>
      <c r="FUQ57" s="196"/>
      <c r="FUR57" s="196"/>
      <c r="FUS57" s="196"/>
      <c r="FUT57" s="196"/>
      <c r="FUU57" s="196"/>
      <c r="FUV57" s="196"/>
      <c r="FUW57" s="196"/>
      <c r="FUX57" s="196"/>
      <c r="FUY57" s="196"/>
      <c r="FUZ57" s="196"/>
      <c r="FVA57" s="196"/>
      <c r="FVB57" s="196"/>
      <c r="FVC57" s="196"/>
      <c r="FVD57" s="196"/>
      <c r="FVE57" s="196"/>
      <c r="FVF57" s="196"/>
      <c r="FVG57" s="196"/>
      <c r="FVH57" s="196"/>
      <c r="FVI57" s="196"/>
      <c r="FVJ57" s="196"/>
      <c r="FVK57" s="196"/>
      <c r="FVL57" s="196"/>
      <c r="FVM57" s="196"/>
      <c r="FVN57" s="196"/>
      <c r="FVO57" s="196"/>
      <c r="FVP57" s="196"/>
      <c r="FVQ57" s="196"/>
      <c r="FVR57" s="196"/>
      <c r="FVS57" s="196"/>
      <c r="FVT57" s="196"/>
      <c r="FVU57" s="196"/>
      <c r="FVV57" s="196"/>
      <c r="FVW57" s="196"/>
      <c r="FVX57" s="196"/>
      <c r="FVY57" s="196"/>
      <c r="FVZ57" s="196"/>
      <c r="FWA57" s="196"/>
      <c r="FWB57" s="196"/>
      <c r="FWC57" s="196"/>
      <c r="FWD57" s="196"/>
      <c r="FWE57" s="196"/>
      <c r="FWF57" s="196"/>
      <c r="FWG57" s="196"/>
      <c r="FWH57" s="196"/>
      <c r="FWI57" s="196"/>
      <c r="FWJ57" s="196"/>
      <c r="FWK57" s="196"/>
      <c r="FWL57" s="196"/>
      <c r="FWM57" s="196"/>
      <c r="FWN57" s="196"/>
      <c r="FWO57" s="196"/>
      <c r="FWP57" s="196"/>
      <c r="FWQ57" s="196"/>
      <c r="FWR57" s="196"/>
      <c r="FWS57" s="196"/>
      <c r="FWT57" s="196"/>
      <c r="FWU57" s="196"/>
      <c r="FWV57" s="196"/>
      <c r="FWW57" s="196"/>
      <c r="FWX57" s="196"/>
      <c r="FWY57" s="196"/>
      <c r="FWZ57" s="196"/>
      <c r="FXA57" s="196"/>
      <c r="FXB57" s="196"/>
      <c r="FXC57" s="196"/>
      <c r="FXD57" s="196"/>
      <c r="FXE57" s="196"/>
      <c r="FXF57" s="196"/>
      <c r="FXG57" s="196"/>
      <c r="FXH57" s="196"/>
      <c r="FXI57" s="196"/>
      <c r="FXJ57" s="196"/>
      <c r="FXK57" s="196"/>
      <c r="FXL57" s="196"/>
      <c r="FXM57" s="196"/>
      <c r="FXN57" s="196"/>
      <c r="FXO57" s="196"/>
      <c r="FXP57" s="196"/>
      <c r="FXQ57" s="196"/>
      <c r="FXR57" s="196"/>
      <c r="FXS57" s="196"/>
      <c r="FXT57" s="196"/>
      <c r="FXU57" s="196"/>
      <c r="FXV57" s="196"/>
      <c r="FXW57" s="196"/>
      <c r="FXX57" s="196"/>
      <c r="FXY57" s="196"/>
      <c r="FXZ57" s="196"/>
      <c r="FYA57" s="196"/>
      <c r="FYB57" s="196"/>
      <c r="FYC57" s="196"/>
      <c r="FYD57" s="196"/>
      <c r="FYE57" s="196"/>
      <c r="FYF57" s="196"/>
      <c r="FYG57" s="196"/>
      <c r="FYH57" s="196"/>
      <c r="FYI57" s="196"/>
      <c r="FYJ57" s="196"/>
      <c r="FYK57" s="196"/>
      <c r="FYL57" s="196"/>
      <c r="FYM57" s="196"/>
      <c r="FYN57" s="196"/>
      <c r="FYO57" s="196"/>
      <c r="FYP57" s="196"/>
      <c r="FYQ57" s="196"/>
      <c r="FYR57" s="196"/>
      <c r="FYS57" s="196"/>
      <c r="FYT57" s="196"/>
      <c r="FYU57" s="196"/>
      <c r="FYV57" s="196"/>
      <c r="FYW57" s="196"/>
      <c r="FYX57" s="196"/>
      <c r="FYY57" s="196"/>
      <c r="FYZ57" s="196"/>
      <c r="FZA57" s="196"/>
      <c r="FZB57" s="196"/>
      <c r="FZC57" s="196"/>
      <c r="FZD57" s="196"/>
      <c r="FZE57" s="196"/>
      <c r="FZF57" s="196"/>
      <c r="FZG57" s="196"/>
      <c r="FZH57" s="196"/>
      <c r="FZI57" s="196"/>
      <c r="FZJ57" s="196"/>
      <c r="FZK57" s="196"/>
      <c r="FZL57" s="196"/>
      <c r="FZM57" s="196"/>
      <c r="FZN57" s="196"/>
      <c r="FZO57" s="196"/>
      <c r="FZP57" s="196"/>
      <c r="FZQ57" s="196"/>
      <c r="FZR57" s="196"/>
      <c r="FZS57" s="196"/>
      <c r="FZT57" s="196"/>
      <c r="FZU57" s="196"/>
      <c r="FZV57" s="196"/>
      <c r="FZW57" s="196"/>
      <c r="FZX57" s="196"/>
      <c r="FZY57" s="196"/>
      <c r="FZZ57" s="196"/>
      <c r="GAA57" s="196"/>
      <c r="GAB57" s="196"/>
      <c r="GAC57" s="196"/>
      <c r="GAD57" s="196"/>
      <c r="GAE57" s="196"/>
      <c r="GAF57" s="196"/>
      <c r="GAG57" s="196"/>
      <c r="GAH57" s="196"/>
      <c r="GAI57" s="196"/>
      <c r="GAJ57" s="196"/>
      <c r="GAK57" s="196"/>
      <c r="GAL57" s="196"/>
      <c r="GAM57" s="196"/>
      <c r="GAN57" s="196"/>
      <c r="GAO57" s="196"/>
      <c r="GAP57" s="196"/>
      <c r="GAQ57" s="196"/>
      <c r="GAR57" s="196"/>
      <c r="GAS57" s="196"/>
      <c r="GAT57" s="196"/>
      <c r="GAU57" s="196"/>
      <c r="GAV57" s="196"/>
      <c r="GAW57" s="196"/>
      <c r="GAX57" s="196"/>
      <c r="GAY57" s="196"/>
      <c r="GAZ57" s="196"/>
      <c r="GBA57" s="196"/>
      <c r="GBB57" s="196"/>
      <c r="GBC57" s="196"/>
      <c r="GBD57" s="196"/>
      <c r="GBE57" s="196"/>
      <c r="GBF57" s="196"/>
      <c r="GBG57" s="196"/>
      <c r="GBH57" s="196"/>
      <c r="GBI57" s="196"/>
      <c r="GBJ57" s="196"/>
      <c r="GBK57" s="196"/>
      <c r="GBL57" s="196"/>
      <c r="GBM57" s="196"/>
      <c r="GBN57" s="196"/>
      <c r="GBO57" s="196"/>
      <c r="GBP57" s="196"/>
      <c r="GBQ57" s="196"/>
      <c r="GBR57" s="196"/>
      <c r="GBS57" s="196"/>
      <c r="GBT57" s="196"/>
      <c r="GBU57" s="196"/>
      <c r="GBV57" s="196"/>
      <c r="GBW57" s="196"/>
      <c r="GBX57" s="196"/>
      <c r="GBY57" s="196"/>
      <c r="GBZ57" s="196"/>
      <c r="GCA57" s="196"/>
      <c r="GCB57" s="196"/>
      <c r="GCC57" s="196"/>
      <c r="GCD57" s="196"/>
      <c r="GCE57" s="196"/>
      <c r="GCF57" s="196"/>
      <c r="GCG57" s="196"/>
      <c r="GCH57" s="196"/>
      <c r="GCI57" s="196"/>
      <c r="GCJ57" s="196"/>
      <c r="GCK57" s="196"/>
      <c r="GCL57" s="196"/>
      <c r="GCM57" s="196"/>
      <c r="GCN57" s="196"/>
      <c r="GCO57" s="196"/>
      <c r="GCP57" s="196"/>
      <c r="GCQ57" s="196"/>
      <c r="GCR57" s="196"/>
      <c r="GCS57" s="196"/>
      <c r="GCT57" s="196"/>
      <c r="GCU57" s="196"/>
      <c r="GCV57" s="196"/>
      <c r="GCW57" s="196"/>
      <c r="GCX57" s="196"/>
      <c r="GCY57" s="196"/>
      <c r="GCZ57" s="196"/>
      <c r="GDA57" s="196"/>
      <c r="GDB57" s="196"/>
      <c r="GDC57" s="196"/>
      <c r="GDD57" s="196"/>
      <c r="GDE57" s="196"/>
      <c r="GDF57" s="196"/>
      <c r="GDG57" s="196"/>
      <c r="GDH57" s="196"/>
      <c r="GDI57" s="196"/>
      <c r="GDJ57" s="196"/>
      <c r="GDK57" s="196"/>
      <c r="GDL57" s="196"/>
      <c r="GDM57" s="196"/>
      <c r="GDN57" s="196"/>
      <c r="GDO57" s="196"/>
      <c r="GDP57" s="196"/>
      <c r="GDQ57" s="196"/>
      <c r="GDR57" s="196"/>
      <c r="GDS57" s="196"/>
      <c r="GDT57" s="196"/>
      <c r="GDU57" s="196"/>
      <c r="GDV57" s="196"/>
      <c r="GDW57" s="196"/>
      <c r="GDX57" s="196"/>
      <c r="GDY57" s="196"/>
      <c r="GDZ57" s="196"/>
      <c r="GEA57" s="196"/>
      <c r="GEB57" s="196"/>
      <c r="GEC57" s="196"/>
      <c r="GED57" s="196"/>
      <c r="GEE57" s="196"/>
      <c r="GEF57" s="196"/>
      <c r="GEG57" s="196"/>
      <c r="GEH57" s="196"/>
      <c r="GEI57" s="196"/>
      <c r="GEJ57" s="196"/>
      <c r="GEK57" s="196"/>
      <c r="GEL57" s="196"/>
      <c r="GEM57" s="196"/>
      <c r="GEN57" s="196"/>
      <c r="GEO57" s="196"/>
      <c r="GEP57" s="196"/>
      <c r="GEQ57" s="196"/>
      <c r="GER57" s="196"/>
      <c r="GES57" s="196"/>
      <c r="GET57" s="196"/>
      <c r="GEU57" s="196"/>
      <c r="GEV57" s="196"/>
      <c r="GEW57" s="196"/>
      <c r="GEX57" s="196"/>
      <c r="GEY57" s="196"/>
      <c r="GEZ57" s="196"/>
      <c r="GFA57" s="196"/>
      <c r="GFB57" s="196"/>
      <c r="GFC57" s="196"/>
      <c r="GFD57" s="196"/>
      <c r="GFE57" s="196"/>
      <c r="GFF57" s="196"/>
      <c r="GFG57" s="196"/>
      <c r="GFH57" s="196"/>
      <c r="GFI57" s="196"/>
      <c r="GFJ57" s="196"/>
      <c r="GFK57" s="196"/>
      <c r="GFL57" s="196"/>
      <c r="GFM57" s="196"/>
      <c r="GFN57" s="196"/>
      <c r="GFO57" s="196"/>
      <c r="GFP57" s="196"/>
      <c r="GFQ57" s="196"/>
      <c r="GFR57" s="196"/>
      <c r="GFS57" s="196"/>
      <c r="GFT57" s="196"/>
      <c r="GFU57" s="196"/>
      <c r="GFV57" s="196"/>
      <c r="GFW57" s="196"/>
      <c r="GFX57" s="196"/>
      <c r="GFY57" s="196"/>
      <c r="GFZ57" s="196"/>
      <c r="GGA57" s="196"/>
      <c r="GGB57" s="196"/>
      <c r="GGC57" s="196"/>
      <c r="GGD57" s="196"/>
      <c r="GGE57" s="196"/>
      <c r="GGF57" s="196"/>
      <c r="GGG57" s="196"/>
      <c r="GGH57" s="196"/>
      <c r="GGI57" s="196"/>
      <c r="GGJ57" s="196"/>
      <c r="GGK57" s="196"/>
      <c r="GGL57" s="196"/>
      <c r="GGM57" s="196"/>
      <c r="GGN57" s="196"/>
      <c r="GGO57" s="196"/>
      <c r="GGP57" s="196"/>
      <c r="GGQ57" s="196"/>
      <c r="GGR57" s="196"/>
      <c r="GGS57" s="196"/>
      <c r="GGT57" s="196"/>
      <c r="GGU57" s="196"/>
      <c r="GGV57" s="196"/>
      <c r="GGW57" s="196"/>
      <c r="GGX57" s="196"/>
      <c r="GGY57" s="196"/>
      <c r="GGZ57" s="196"/>
      <c r="GHA57" s="196"/>
      <c r="GHB57" s="196"/>
      <c r="GHC57" s="196"/>
      <c r="GHD57" s="196"/>
      <c r="GHE57" s="196"/>
      <c r="GHF57" s="196"/>
      <c r="GHG57" s="196"/>
      <c r="GHH57" s="196"/>
      <c r="GHI57" s="196"/>
      <c r="GHJ57" s="196"/>
      <c r="GHK57" s="196"/>
      <c r="GHL57" s="196"/>
      <c r="GHM57" s="196"/>
      <c r="GHN57" s="196"/>
      <c r="GHO57" s="196"/>
      <c r="GHP57" s="196"/>
      <c r="GHQ57" s="196"/>
      <c r="GHR57" s="196"/>
      <c r="GHS57" s="196"/>
      <c r="GHT57" s="196"/>
      <c r="GHU57" s="196"/>
      <c r="GHV57" s="196"/>
      <c r="GHW57" s="196"/>
      <c r="GHX57" s="196"/>
      <c r="GHY57" s="196"/>
      <c r="GHZ57" s="196"/>
      <c r="GIA57" s="196"/>
      <c r="GIB57" s="196"/>
      <c r="GIC57" s="196"/>
      <c r="GID57" s="196"/>
      <c r="GIE57" s="196"/>
      <c r="GIF57" s="196"/>
      <c r="GIG57" s="196"/>
      <c r="GIH57" s="196"/>
      <c r="GII57" s="196"/>
      <c r="GIJ57" s="196"/>
      <c r="GIK57" s="196"/>
      <c r="GIL57" s="196"/>
      <c r="GIM57" s="196"/>
      <c r="GIN57" s="196"/>
      <c r="GIO57" s="196"/>
      <c r="GIP57" s="196"/>
      <c r="GIQ57" s="196"/>
      <c r="GIR57" s="196"/>
      <c r="GIS57" s="196"/>
      <c r="GIT57" s="196"/>
      <c r="GIU57" s="196"/>
      <c r="GIV57" s="196"/>
      <c r="GIW57" s="196"/>
      <c r="GIX57" s="196"/>
      <c r="GIY57" s="196"/>
      <c r="GIZ57" s="196"/>
      <c r="GJA57" s="196"/>
      <c r="GJB57" s="196"/>
      <c r="GJC57" s="196"/>
      <c r="GJD57" s="196"/>
      <c r="GJE57" s="196"/>
      <c r="GJF57" s="196"/>
      <c r="GJG57" s="196"/>
      <c r="GJH57" s="196"/>
      <c r="GJI57" s="196"/>
      <c r="GJJ57" s="196"/>
      <c r="GJK57" s="196"/>
      <c r="GJL57" s="196"/>
      <c r="GJM57" s="196"/>
      <c r="GJN57" s="196"/>
      <c r="GJO57" s="196"/>
      <c r="GJP57" s="196"/>
      <c r="GJQ57" s="196"/>
      <c r="GJR57" s="196"/>
      <c r="GJS57" s="196"/>
      <c r="GJT57" s="196"/>
      <c r="GJU57" s="196"/>
      <c r="GJV57" s="196"/>
      <c r="GJW57" s="196"/>
      <c r="GJX57" s="196"/>
      <c r="GJY57" s="196"/>
      <c r="GJZ57" s="196"/>
      <c r="GKA57" s="196"/>
      <c r="GKB57" s="196"/>
      <c r="GKC57" s="196"/>
      <c r="GKD57" s="196"/>
      <c r="GKE57" s="196"/>
      <c r="GKF57" s="196"/>
      <c r="GKG57" s="196"/>
      <c r="GKH57" s="196"/>
      <c r="GKI57" s="196"/>
      <c r="GKJ57" s="196"/>
      <c r="GKK57" s="196"/>
      <c r="GKL57" s="196"/>
      <c r="GKM57" s="196"/>
      <c r="GKN57" s="196"/>
      <c r="GKO57" s="196"/>
      <c r="GKP57" s="196"/>
      <c r="GKQ57" s="196"/>
      <c r="GKR57" s="196"/>
      <c r="GKS57" s="196"/>
      <c r="GKT57" s="196"/>
      <c r="GKU57" s="196"/>
      <c r="GKV57" s="196"/>
      <c r="GKW57" s="196"/>
      <c r="GKX57" s="196"/>
      <c r="GKY57" s="196"/>
      <c r="GKZ57" s="196"/>
      <c r="GLA57" s="196"/>
      <c r="GLB57" s="196"/>
      <c r="GLC57" s="196"/>
      <c r="GLD57" s="196"/>
      <c r="GLE57" s="196"/>
      <c r="GLF57" s="196"/>
      <c r="GLG57" s="196"/>
      <c r="GLH57" s="196"/>
      <c r="GLI57" s="196"/>
      <c r="GLJ57" s="196"/>
      <c r="GLK57" s="196"/>
      <c r="GLL57" s="196"/>
      <c r="GLM57" s="196"/>
      <c r="GLN57" s="196"/>
      <c r="GLO57" s="196"/>
      <c r="GLP57" s="196"/>
      <c r="GLQ57" s="196"/>
      <c r="GLR57" s="196"/>
      <c r="GLS57" s="196"/>
      <c r="GLT57" s="196"/>
      <c r="GLU57" s="196"/>
      <c r="GLV57" s="196"/>
      <c r="GLW57" s="196"/>
      <c r="GLX57" s="196"/>
      <c r="GLY57" s="196"/>
      <c r="GLZ57" s="196"/>
      <c r="GMA57" s="196"/>
      <c r="GMB57" s="196"/>
      <c r="GMC57" s="196"/>
      <c r="GMD57" s="196"/>
      <c r="GME57" s="196"/>
      <c r="GMF57" s="196"/>
      <c r="GMG57" s="196"/>
      <c r="GMH57" s="196"/>
      <c r="GMI57" s="196"/>
      <c r="GMJ57" s="196"/>
      <c r="GMK57" s="196"/>
      <c r="GML57" s="196"/>
      <c r="GMM57" s="196"/>
      <c r="GMN57" s="196"/>
      <c r="GMO57" s="196"/>
      <c r="GMP57" s="196"/>
      <c r="GMQ57" s="196"/>
      <c r="GMR57" s="196"/>
      <c r="GMS57" s="196"/>
      <c r="GMT57" s="196"/>
      <c r="GMU57" s="196"/>
      <c r="GMV57" s="196"/>
      <c r="GMW57" s="196"/>
      <c r="GMX57" s="196"/>
      <c r="GMY57" s="196"/>
      <c r="GMZ57" s="196"/>
      <c r="GNA57" s="196"/>
      <c r="GNB57" s="196"/>
      <c r="GNC57" s="196"/>
      <c r="GND57" s="196"/>
      <c r="GNE57" s="196"/>
      <c r="GNF57" s="196"/>
      <c r="GNG57" s="196"/>
      <c r="GNH57" s="196"/>
      <c r="GNI57" s="196"/>
      <c r="GNJ57" s="196"/>
      <c r="GNK57" s="196"/>
      <c r="GNL57" s="196"/>
      <c r="GNM57" s="196"/>
      <c r="GNN57" s="196"/>
      <c r="GNO57" s="196"/>
      <c r="GNP57" s="196"/>
      <c r="GNQ57" s="196"/>
      <c r="GNR57" s="196"/>
      <c r="GNS57" s="196"/>
      <c r="GNT57" s="196"/>
      <c r="GNU57" s="196"/>
      <c r="GNV57" s="196"/>
      <c r="GNW57" s="196"/>
      <c r="GNX57" s="196"/>
      <c r="GNY57" s="196"/>
      <c r="GNZ57" s="196"/>
      <c r="GOA57" s="196"/>
      <c r="GOB57" s="196"/>
      <c r="GOC57" s="196"/>
      <c r="GOD57" s="196"/>
      <c r="GOE57" s="196"/>
      <c r="GOF57" s="196"/>
      <c r="GOG57" s="196"/>
      <c r="GOH57" s="196"/>
      <c r="GOI57" s="196"/>
      <c r="GOJ57" s="196"/>
      <c r="GOK57" s="196"/>
      <c r="GOL57" s="196"/>
      <c r="GOM57" s="196"/>
      <c r="GON57" s="196"/>
      <c r="GOO57" s="196"/>
      <c r="GOP57" s="196"/>
      <c r="GOQ57" s="196"/>
      <c r="GOR57" s="196"/>
      <c r="GOS57" s="196"/>
      <c r="GOT57" s="196"/>
      <c r="GOU57" s="196"/>
      <c r="GOV57" s="196"/>
      <c r="GOW57" s="196"/>
      <c r="GOX57" s="196"/>
      <c r="GOY57" s="196"/>
      <c r="GOZ57" s="196"/>
      <c r="GPA57" s="196"/>
      <c r="GPB57" s="196"/>
      <c r="GPC57" s="196"/>
      <c r="GPD57" s="196"/>
      <c r="GPE57" s="196"/>
      <c r="GPF57" s="196"/>
      <c r="GPG57" s="196"/>
      <c r="GPH57" s="196"/>
      <c r="GPI57" s="196"/>
      <c r="GPJ57" s="196"/>
      <c r="GPK57" s="196"/>
      <c r="GPL57" s="196"/>
      <c r="GPM57" s="196"/>
      <c r="GPN57" s="196"/>
      <c r="GPO57" s="196"/>
      <c r="GPP57" s="196"/>
      <c r="GPQ57" s="196"/>
      <c r="GPR57" s="196"/>
      <c r="GPS57" s="196"/>
      <c r="GPT57" s="196"/>
      <c r="GPU57" s="196"/>
      <c r="GPV57" s="196"/>
      <c r="GPW57" s="196"/>
      <c r="GPX57" s="196"/>
      <c r="GPY57" s="196"/>
      <c r="GPZ57" s="196"/>
      <c r="GQA57" s="196"/>
      <c r="GQB57" s="196"/>
      <c r="GQC57" s="196"/>
      <c r="GQD57" s="196"/>
      <c r="GQE57" s="196"/>
      <c r="GQF57" s="196"/>
      <c r="GQG57" s="196"/>
      <c r="GQH57" s="196"/>
      <c r="GQI57" s="196"/>
      <c r="GQJ57" s="196"/>
      <c r="GQK57" s="196"/>
      <c r="GQL57" s="196"/>
      <c r="GQM57" s="196"/>
      <c r="GQN57" s="196"/>
      <c r="GQO57" s="196"/>
      <c r="GQP57" s="196"/>
      <c r="GQQ57" s="196"/>
      <c r="GQR57" s="196"/>
      <c r="GQS57" s="196"/>
      <c r="GQT57" s="196"/>
      <c r="GQU57" s="196"/>
      <c r="GQV57" s="196"/>
      <c r="GQW57" s="196"/>
      <c r="GQX57" s="196"/>
      <c r="GQY57" s="196"/>
      <c r="GQZ57" s="196"/>
      <c r="GRA57" s="196"/>
      <c r="GRB57" s="196"/>
      <c r="GRC57" s="196"/>
      <c r="GRD57" s="196"/>
      <c r="GRE57" s="196"/>
      <c r="GRF57" s="196"/>
      <c r="GRG57" s="196"/>
      <c r="GRH57" s="196"/>
      <c r="GRI57" s="196"/>
      <c r="GRJ57" s="196"/>
      <c r="GRK57" s="196"/>
      <c r="GRL57" s="196"/>
      <c r="GRM57" s="196"/>
      <c r="GRN57" s="196"/>
      <c r="GRO57" s="196"/>
      <c r="GRP57" s="196"/>
      <c r="GRQ57" s="196"/>
      <c r="GRR57" s="196"/>
      <c r="GRS57" s="196"/>
      <c r="GRT57" s="196"/>
      <c r="GRU57" s="196"/>
      <c r="GRV57" s="196"/>
      <c r="GRW57" s="196"/>
      <c r="GRX57" s="196"/>
      <c r="GRY57" s="196"/>
      <c r="GRZ57" s="196"/>
      <c r="GSA57" s="196"/>
      <c r="GSB57" s="196"/>
      <c r="GSC57" s="196"/>
      <c r="GSD57" s="196"/>
      <c r="GSE57" s="196"/>
      <c r="GSF57" s="196"/>
      <c r="GSG57" s="196"/>
      <c r="GSH57" s="196"/>
      <c r="GSI57" s="196"/>
      <c r="GSJ57" s="196"/>
      <c r="GSK57" s="196"/>
      <c r="GSL57" s="196"/>
      <c r="GSM57" s="196"/>
      <c r="GSN57" s="196"/>
      <c r="GSO57" s="196"/>
      <c r="GSP57" s="196"/>
      <c r="GSQ57" s="196"/>
      <c r="GSR57" s="196"/>
      <c r="GSS57" s="196"/>
      <c r="GST57" s="196"/>
      <c r="GSU57" s="196"/>
      <c r="GSV57" s="196"/>
      <c r="GSW57" s="196"/>
      <c r="GSX57" s="196"/>
      <c r="GSY57" s="196"/>
      <c r="GSZ57" s="196"/>
      <c r="GTA57" s="196"/>
      <c r="GTB57" s="196"/>
      <c r="GTC57" s="196"/>
      <c r="GTD57" s="196"/>
      <c r="GTE57" s="196"/>
      <c r="GTF57" s="196"/>
      <c r="GTG57" s="196"/>
      <c r="GTH57" s="196"/>
      <c r="GTI57" s="196"/>
      <c r="GTJ57" s="196"/>
      <c r="GTK57" s="196"/>
      <c r="GTL57" s="196"/>
      <c r="GTM57" s="196"/>
      <c r="GTN57" s="196"/>
      <c r="GTO57" s="196"/>
      <c r="GTP57" s="196"/>
      <c r="GTQ57" s="196"/>
      <c r="GTR57" s="196"/>
      <c r="GTS57" s="196"/>
      <c r="GTT57" s="196"/>
      <c r="GTU57" s="196"/>
      <c r="GTV57" s="196"/>
      <c r="GTW57" s="196"/>
      <c r="GTX57" s="196"/>
      <c r="GTY57" s="196"/>
      <c r="GTZ57" s="196"/>
      <c r="GUA57" s="196"/>
      <c r="GUB57" s="196"/>
      <c r="GUC57" s="196"/>
      <c r="GUD57" s="196"/>
      <c r="GUE57" s="196"/>
      <c r="GUF57" s="196"/>
      <c r="GUG57" s="196"/>
      <c r="GUH57" s="196"/>
      <c r="GUI57" s="196"/>
      <c r="GUJ57" s="196"/>
      <c r="GUK57" s="196"/>
      <c r="GUL57" s="196"/>
      <c r="GUM57" s="196"/>
      <c r="GUN57" s="196"/>
      <c r="GUO57" s="196"/>
      <c r="GUP57" s="196"/>
      <c r="GUQ57" s="196"/>
      <c r="GUR57" s="196"/>
      <c r="GUS57" s="196"/>
      <c r="GUT57" s="196"/>
      <c r="GUU57" s="196"/>
      <c r="GUV57" s="196"/>
      <c r="GUW57" s="196"/>
      <c r="GUX57" s="196"/>
      <c r="GUY57" s="196"/>
      <c r="GUZ57" s="196"/>
      <c r="GVA57" s="196"/>
      <c r="GVB57" s="196"/>
      <c r="GVC57" s="196"/>
      <c r="GVD57" s="196"/>
      <c r="GVE57" s="196"/>
      <c r="GVF57" s="196"/>
      <c r="GVG57" s="196"/>
      <c r="GVH57" s="196"/>
      <c r="GVI57" s="196"/>
      <c r="GVJ57" s="196"/>
      <c r="GVK57" s="196"/>
      <c r="GVL57" s="196"/>
      <c r="GVM57" s="196"/>
      <c r="GVN57" s="196"/>
      <c r="GVO57" s="196"/>
      <c r="GVP57" s="196"/>
      <c r="GVQ57" s="196"/>
      <c r="GVR57" s="196"/>
      <c r="GVS57" s="196"/>
      <c r="GVT57" s="196"/>
      <c r="GVU57" s="196"/>
      <c r="GVV57" s="196"/>
      <c r="GVW57" s="196"/>
      <c r="GVX57" s="196"/>
      <c r="GVY57" s="196"/>
      <c r="GVZ57" s="196"/>
      <c r="GWA57" s="196"/>
      <c r="GWB57" s="196"/>
      <c r="GWC57" s="196"/>
      <c r="GWD57" s="196"/>
      <c r="GWE57" s="196"/>
      <c r="GWF57" s="196"/>
      <c r="GWG57" s="196"/>
      <c r="GWH57" s="196"/>
      <c r="GWI57" s="196"/>
      <c r="GWJ57" s="196"/>
      <c r="GWK57" s="196"/>
      <c r="GWL57" s="196"/>
      <c r="GWM57" s="196"/>
      <c r="GWN57" s="196"/>
      <c r="GWO57" s="196"/>
      <c r="GWP57" s="196"/>
      <c r="GWQ57" s="196"/>
      <c r="GWR57" s="196"/>
      <c r="GWS57" s="196"/>
      <c r="GWT57" s="196"/>
      <c r="GWU57" s="196"/>
      <c r="GWV57" s="196"/>
      <c r="GWW57" s="196"/>
      <c r="GWX57" s="196"/>
      <c r="GWY57" s="196"/>
      <c r="GWZ57" s="196"/>
      <c r="GXA57" s="196"/>
      <c r="GXB57" s="196"/>
      <c r="GXC57" s="196"/>
      <c r="GXD57" s="196"/>
      <c r="GXE57" s="196"/>
      <c r="GXF57" s="196"/>
      <c r="GXG57" s="196"/>
      <c r="GXH57" s="196"/>
      <c r="GXI57" s="196"/>
      <c r="GXJ57" s="196"/>
      <c r="GXK57" s="196"/>
      <c r="GXL57" s="196"/>
      <c r="GXM57" s="196"/>
      <c r="GXN57" s="196"/>
      <c r="GXO57" s="196"/>
      <c r="GXP57" s="196"/>
      <c r="GXQ57" s="196"/>
      <c r="GXR57" s="196"/>
      <c r="GXS57" s="196"/>
      <c r="GXT57" s="196"/>
      <c r="GXU57" s="196"/>
      <c r="GXV57" s="196"/>
      <c r="GXW57" s="196"/>
      <c r="GXX57" s="196"/>
      <c r="GXY57" s="196"/>
      <c r="GXZ57" s="196"/>
      <c r="GYA57" s="196"/>
      <c r="GYB57" s="196"/>
      <c r="GYC57" s="196"/>
      <c r="GYD57" s="196"/>
      <c r="GYE57" s="196"/>
      <c r="GYF57" s="196"/>
      <c r="GYG57" s="196"/>
      <c r="GYH57" s="196"/>
      <c r="GYI57" s="196"/>
      <c r="GYJ57" s="196"/>
      <c r="GYK57" s="196"/>
      <c r="GYL57" s="196"/>
      <c r="GYM57" s="196"/>
      <c r="GYN57" s="196"/>
      <c r="GYO57" s="196"/>
      <c r="GYP57" s="196"/>
      <c r="GYQ57" s="196"/>
      <c r="GYR57" s="196"/>
      <c r="GYS57" s="196"/>
      <c r="GYT57" s="196"/>
      <c r="GYU57" s="196"/>
      <c r="GYV57" s="196"/>
      <c r="GYW57" s="196"/>
      <c r="GYX57" s="196"/>
      <c r="GYY57" s="196"/>
      <c r="GYZ57" s="196"/>
      <c r="GZA57" s="196"/>
      <c r="GZB57" s="196"/>
      <c r="GZC57" s="196"/>
      <c r="GZD57" s="196"/>
      <c r="GZE57" s="196"/>
      <c r="GZF57" s="196"/>
      <c r="GZG57" s="196"/>
      <c r="GZH57" s="196"/>
      <c r="GZI57" s="196"/>
      <c r="GZJ57" s="196"/>
      <c r="GZK57" s="196"/>
      <c r="GZL57" s="196"/>
      <c r="GZM57" s="196"/>
      <c r="GZN57" s="196"/>
      <c r="GZO57" s="196"/>
      <c r="GZP57" s="196"/>
      <c r="GZQ57" s="196"/>
      <c r="GZR57" s="196"/>
      <c r="GZS57" s="196"/>
      <c r="GZT57" s="196"/>
      <c r="GZU57" s="196"/>
      <c r="GZV57" s="196"/>
      <c r="GZW57" s="196"/>
      <c r="GZX57" s="196"/>
      <c r="GZY57" s="196"/>
      <c r="GZZ57" s="196"/>
      <c r="HAA57" s="196"/>
      <c r="HAB57" s="196"/>
      <c r="HAC57" s="196"/>
      <c r="HAD57" s="196"/>
      <c r="HAE57" s="196"/>
      <c r="HAF57" s="196"/>
      <c r="HAG57" s="196"/>
      <c r="HAH57" s="196"/>
      <c r="HAI57" s="196"/>
      <c r="HAJ57" s="196"/>
      <c r="HAK57" s="196"/>
      <c r="HAL57" s="196"/>
      <c r="HAM57" s="196"/>
      <c r="HAN57" s="196"/>
      <c r="HAO57" s="196"/>
      <c r="HAP57" s="196"/>
      <c r="HAQ57" s="196"/>
      <c r="HAR57" s="196"/>
      <c r="HAS57" s="196"/>
      <c r="HAT57" s="196"/>
      <c r="HAU57" s="196"/>
      <c r="HAV57" s="196"/>
      <c r="HAW57" s="196"/>
      <c r="HAX57" s="196"/>
      <c r="HAY57" s="196"/>
      <c r="HAZ57" s="196"/>
      <c r="HBA57" s="196"/>
      <c r="HBB57" s="196"/>
      <c r="HBC57" s="196"/>
      <c r="HBD57" s="196"/>
      <c r="HBE57" s="196"/>
      <c r="HBF57" s="196"/>
      <c r="HBG57" s="196"/>
      <c r="HBH57" s="196"/>
      <c r="HBI57" s="196"/>
      <c r="HBJ57" s="196"/>
      <c r="HBK57" s="196"/>
      <c r="HBL57" s="196"/>
      <c r="HBM57" s="196"/>
      <c r="HBN57" s="196"/>
      <c r="HBO57" s="196"/>
      <c r="HBP57" s="196"/>
      <c r="HBQ57" s="196"/>
      <c r="HBR57" s="196"/>
      <c r="HBS57" s="196"/>
      <c r="HBT57" s="196"/>
      <c r="HBU57" s="196"/>
      <c r="HBV57" s="196"/>
      <c r="HBW57" s="196"/>
      <c r="HBX57" s="196"/>
      <c r="HBY57" s="196"/>
      <c r="HBZ57" s="196"/>
      <c r="HCA57" s="196"/>
      <c r="HCB57" s="196"/>
      <c r="HCC57" s="196"/>
      <c r="HCD57" s="196"/>
      <c r="HCE57" s="196"/>
      <c r="HCF57" s="196"/>
      <c r="HCG57" s="196"/>
      <c r="HCH57" s="196"/>
      <c r="HCI57" s="196"/>
      <c r="HCJ57" s="196"/>
      <c r="HCK57" s="196"/>
      <c r="HCL57" s="196"/>
      <c r="HCM57" s="196"/>
      <c r="HCN57" s="196"/>
      <c r="HCO57" s="196"/>
      <c r="HCP57" s="196"/>
      <c r="HCQ57" s="196"/>
      <c r="HCR57" s="196"/>
      <c r="HCS57" s="196"/>
      <c r="HCT57" s="196"/>
      <c r="HCU57" s="196"/>
      <c r="HCV57" s="196"/>
      <c r="HCW57" s="196"/>
      <c r="HCX57" s="196"/>
      <c r="HCY57" s="196"/>
      <c r="HCZ57" s="196"/>
      <c r="HDA57" s="196"/>
      <c r="HDB57" s="196"/>
      <c r="HDC57" s="196"/>
      <c r="HDD57" s="196"/>
      <c r="HDE57" s="196"/>
      <c r="HDF57" s="196"/>
      <c r="HDG57" s="196"/>
      <c r="HDH57" s="196"/>
      <c r="HDI57" s="196"/>
      <c r="HDJ57" s="196"/>
      <c r="HDK57" s="196"/>
      <c r="HDL57" s="196"/>
      <c r="HDM57" s="196"/>
      <c r="HDN57" s="196"/>
      <c r="HDO57" s="196"/>
      <c r="HDP57" s="196"/>
      <c r="HDQ57" s="196"/>
      <c r="HDR57" s="196"/>
      <c r="HDS57" s="196"/>
      <c r="HDT57" s="196"/>
      <c r="HDU57" s="196"/>
      <c r="HDV57" s="196"/>
      <c r="HDW57" s="196"/>
      <c r="HDX57" s="196"/>
      <c r="HDY57" s="196"/>
      <c r="HDZ57" s="196"/>
      <c r="HEA57" s="196"/>
      <c r="HEB57" s="196"/>
      <c r="HEC57" s="196"/>
      <c r="HED57" s="196"/>
      <c r="HEE57" s="196"/>
      <c r="HEF57" s="196"/>
      <c r="HEG57" s="196"/>
      <c r="HEH57" s="196"/>
      <c r="HEI57" s="196"/>
      <c r="HEJ57" s="196"/>
      <c r="HEK57" s="196"/>
      <c r="HEL57" s="196"/>
      <c r="HEM57" s="196"/>
      <c r="HEN57" s="196"/>
      <c r="HEO57" s="196"/>
      <c r="HEP57" s="196"/>
      <c r="HEQ57" s="196"/>
      <c r="HER57" s="196"/>
      <c r="HES57" s="196"/>
      <c r="HET57" s="196"/>
      <c r="HEU57" s="196"/>
      <c r="HEV57" s="196"/>
      <c r="HEW57" s="196"/>
      <c r="HEX57" s="196"/>
      <c r="HEY57" s="196"/>
      <c r="HEZ57" s="196"/>
      <c r="HFA57" s="196"/>
      <c r="HFB57" s="196"/>
      <c r="HFC57" s="196"/>
      <c r="HFD57" s="196"/>
      <c r="HFE57" s="196"/>
      <c r="HFF57" s="196"/>
      <c r="HFG57" s="196"/>
      <c r="HFH57" s="196"/>
      <c r="HFI57" s="196"/>
      <c r="HFJ57" s="196"/>
      <c r="HFK57" s="196"/>
      <c r="HFL57" s="196"/>
      <c r="HFM57" s="196"/>
      <c r="HFN57" s="196"/>
      <c r="HFO57" s="196"/>
      <c r="HFP57" s="196"/>
      <c r="HFQ57" s="196"/>
      <c r="HFR57" s="196"/>
      <c r="HFS57" s="196"/>
      <c r="HFT57" s="196"/>
      <c r="HFU57" s="196"/>
      <c r="HFV57" s="196"/>
      <c r="HFW57" s="196"/>
      <c r="HFX57" s="196"/>
      <c r="HFY57" s="196"/>
      <c r="HFZ57" s="196"/>
      <c r="HGA57" s="196"/>
      <c r="HGB57" s="196"/>
      <c r="HGC57" s="196"/>
      <c r="HGD57" s="196"/>
      <c r="HGE57" s="196"/>
      <c r="HGF57" s="196"/>
      <c r="HGG57" s="196"/>
      <c r="HGH57" s="196"/>
      <c r="HGI57" s="196"/>
      <c r="HGJ57" s="196"/>
      <c r="HGK57" s="196"/>
      <c r="HGL57" s="196"/>
      <c r="HGM57" s="196"/>
      <c r="HGN57" s="196"/>
      <c r="HGO57" s="196"/>
      <c r="HGP57" s="196"/>
      <c r="HGQ57" s="196"/>
      <c r="HGR57" s="196"/>
      <c r="HGS57" s="196"/>
      <c r="HGT57" s="196"/>
      <c r="HGU57" s="196"/>
      <c r="HGV57" s="196"/>
      <c r="HGW57" s="196"/>
      <c r="HGX57" s="196"/>
      <c r="HGY57" s="196"/>
      <c r="HGZ57" s="196"/>
      <c r="HHA57" s="196"/>
      <c r="HHB57" s="196"/>
      <c r="HHC57" s="196"/>
      <c r="HHD57" s="196"/>
      <c r="HHE57" s="196"/>
      <c r="HHF57" s="196"/>
      <c r="HHG57" s="196"/>
      <c r="HHH57" s="196"/>
      <c r="HHI57" s="196"/>
      <c r="HHJ57" s="196"/>
      <c r="HHK57" s="196"/>
      <c r="HHL57" s="196"/>
      <c r="HHM57" s="196"/>
      <c r="HHN57" s="196"/>
      <c r="HHO57" s="196"/>
      <c r="HHP57" s="196"/>
      <c r="HHQ57" s="196"/>
      <c r="HHR57" s="196"/>
      <c r="HHS57" s="196"/>
      <c r="HHT57" s="196"/>
      <c r="HHU57" s="196"/>
      <c r="HHV57" s="196"/>
      <c r="HHW57" s="196"/>
      <c r="HHX57" s="196"/>
      <c r="HHY57" s="196"/>
      <c r="HHZ57" s="196"/>
      <c r="HIA57" s="196"/>
      <c r="HIB57" s="196"/>
      <c r="HIC57" s="196"/>
      <c r="HID57" s="196"/>
      <c r="HIE57" s="196"/>
      <c r="HIF57" s="196"/>
      <c r="HIG57" s="196"/>
      <c r="HIH57" s="196"/>
      <c r="HII57" s="196"/>
      <c r="HIJ57" s="196"/>
      <c r="HIK57" s="196"/>
      <c r="HIL57" s="196"/>
      <c r="HIM57" s="196"/>
      <c r="HIN57" s="196"/>
      <c r="HIO57" s="196"/>
      <c r="HIP57" s="196"/>
      <c r="HIQ57" s="196"/>
      <c r="HIR57" s="196"/>
      <c r="HIS57" s="196"/>
      <c r="HIT57" s="196"/>
      <c r="HIU57" s="196"/>
      <c r="HIV57" s="196"/>
      <c r="HIW57" s="196"/>
      <c r="HIX57" s="196"/>
      <c r="HIY57" s="196"/>
      <c r="HIZ57" s="196"/>
      <c r="HJA57" s="196"/>
      <c r="HJB57" s="196"/>
      <c r="HJC57" s="196"/>
      <c r="HJD57" s="196"/>
      <c r="HJE57" s="196"/>
      <c r="HJF57" s="196"/>
      <c r="HJG57" s="196"/>
      <c r="HJH57" s="196"/>
      <c r="HJI57" s="196"/>
      <c r="HJJ57" s="196"/>
      <c r="HJK57" s="196"/>
      <c r="HJL57" s="196"/>
      <c r="HJM57" s="196"/>
      <c r="HJN57" s="196"/>
      <c r="HJO57" s="196"/>
      <c r="HJP57" s="196"/>
      <c r="HJQ57" s="196"/>
      <c r="HJR57" s="196"/>
      <c r="HJS57" s="196"/>
      <c r="HJT57" s="196"/>
      <c r="HJU57" s="196"/>
      <c r="HJV57" s="196"/>
      <c r="HJW57" s="196"/>
      <c r="HJX57" s="196"/>
      <c r="HJY57" s="196"/>
      <c r="HJZ57" s="196"/>
      <c r="HKA57" s="196"/>
      <c r="HKB57" s="196"/>
      <c r="HKC57" s="196"/>
      <c r="HKD57" s="196"/>
      <c r="HKE57" s="196"/>
      <c r="HKF57" s="196"/>
      <c r="HKG57" s="196"/>
      <c r="HKH57" s="196"/>
      <c r="HKI57" s="196"/>
      <c r="HKJ57" s="196"/>
      <c r="HKK57" s="196"/>
      <c r="HKL57" s="196"/>
      <c r="HKM57" s="196"/>
      <c r="HKN57" s="196"/>
      <c r="HKO57" s="196"/>
      <c r="HKP57" s="196"/>
      <c r="HKQ57" s="196"/>
      <c r="HKR57" s="196"/>
      <c r="HKS57" s="196"/>
      <c r="HKT57" s="196"/>
      <c r="HKU57" s="196"/>
      <c r="HKV57" s="196"/>
      <c r="HKW57" s="196"/>
      <c r="HKX57" s="196"/>
      <c r="HKY57" s="196"/>
      <c r="HKZ57" s="196"/>
      <c r="HLA57" s="196"/>
      <c r="HLB57" s="196"/>
      <c r="HLC57" s="196"/>
      <c r="HLD57" s="196"/>
      <c r="HLE57" s="196"/>
      <c r="HLF57" s="196"/>
      <c r="HLG57" s="196"/>
      <c r="HLH57" s="196"/>
      <c r="HLI57" s="196"/>
      <c r="HLJ57" s="196"/>
      <c r="HLK57" s="196"/>
      <c r="HLL57" s="196"/>
      <c r="HLM57" s="196"/>
      <c r="HLN57" s="196"/>
      <c r="HLO57" s="196"/>
      <c r="HLP57" s="196"/>
      <c r="HLQ57" s="196"/>
      <c r="HLR57" s="196"/>
      <c r="HLS57" s="196"/>
      <c r="HLT57" s="196"/>
      <c r="HLU57" s="196"/>
      <c r="HLV57" s="196"/>
      <c r="HLW57" s="196"/>
      <c r="HLX57" s="196"/>
      <c r="HLY57" s="196"/>
      <c r="HLZ57" s="196"/>
      <c r="HMA57" s="196"/>
      <c r="HMB57" s="196"/>
      <c r="HMC57" s="196"/>
      <c r="HMD57" s="196"/>
      <c r="HME57" s="196"/>
      <c r="HMF57" s="196"/>
      <c r="HMG57" s="196"/>
      <c r="HMH57" s="196"/>
      <c r="HMI57" s="196"/>
      <c r="HMJ57" s="196"/>
      <c r="HMK57" s="196"/>
      <c r="HML57" s="196"/>
      <c r="HMM57" s="196"/>
      <c r="HMN57" s="196"/>
      <c r="HMO57" s="196"/>
      <c r="HMP57" s="196"/>
      <c r="HMQ57" s="196"/>
      <c r="HMR57" s="196"/>
      <c r="HMS57" s="196"/>
      <c r="HMT57" s="196"/>
      <c r="HMU57" s="196"/>
      <c r="HMV57" s="196"/>
      <c r="HMW57" s="196"/>
      <c r="HMX57" s="196"/>
      <c r="HMY57" s="196"/>
      <c r="HMZ57" s="196"/>
      <c r="HNA57" s="196"/>
      <c r="HNB57" s="196"/>
      <c r="HNC57" s="196"/>
      <c r="HND57" s="196"/>
      <c r="HNE57" s="196"/>
      <c r="HNF57" s="196"/>
      <c r="HNG57" s="196"/>
      <c r="HNH57" s="196"/>
      <c r="HNI57" s="196"/>
      <c r="HNJ57" s="196"/>
      <c r="HNK57" s="196"/>
      <c r="HNL57" s="196"/>
      <c r="HNM57" s="196"/>
      <c r="HNN57" s="196"/>
      <c r="HNO57" s="196"/>
      <c r="HNP57" s="196"/>
      <c r="HNQ57" s="196"/>
      <c r="HNR57" s="196"/>
      <c r="HNS57" s="196"/>
      <c r="HNT57" s="196"/>
      <c r="HNU57" s="196"/>
      <c r="HNV57" s="196"/>
      <c r="HNW57" s="196"/>
      <c r="HNX57" s="196"/>
      <c r="HNY57" s="196"/>
      <c r="HNZ57" s="196"/>
      <c r="HOA57" s="196"/>
      <c r="HOB57" s="196"/>
      <c r="HOC57" s="196"/>
      <c r="HOD57" s="196"/>
      <c r="HOE57" s="196"/>
      <c r="HOF57" s="196"/>
      <c r="HOG57" s="196"/>
      <c r="HOH57" s="196"/>
      <c r="HOI57" s="196"/>
      <c r="HOJ57" s="196"/>
      <c r="HOK57" s="196"/>
      <c r="HOL57" s="196"/>
      <c r="HOM57" s="196"/>
      <c r="HON57" s="196"/>
      <c r="HOO57" s="196"/>
      <c r="HOP57" s="196"/>
      <c r="HOQ57" s="196"/>
      <c r="HOR57" s="196"/>
      <c r="HOS57" s="196"/>
      <c r="HOT57" s="196"/>
      <c r="HOU57" s="196"/>
      <c r="HOV57" s="196"/>
      <c r="HOW57" s="196"/>
      <c r="HOX57" s="196"/>
      <c r="HOY57" s="196"/>
      <c r="HOZ57" s="196"/>
      <c r="HPA57" s="196"/>
      <c r="HPB57" s="196"/>
      <c r="HPC57" s="196"/>
      <c r="HPD57" s="196"/>
      <c r="HPE57" s="196"/>
      <c r="HPF57" s="196"/>
      <c r="HPG57" s="196"/>
      <c r="HPH57" s="196"/>
      <c r="HPI57" s="196"/>
      <c r="HPJ57" s="196"/>
      <c r="HPK57" s="196"/>
      <c r="HPL57" s="196"/>
      <c r="HPM57" s="196"/>
      <c r="HPN57" s="196"/>
      <c r="HPO57" s="196"/>
      <c r="HPP57" s="196"/>
      <c r="HPQ57" s="196"/>
      <c r="HPR57" s="196"/>
      <c r="HPS57" s="196"/>
      <c r="HPT57" s="196"/>
      <c r="HPU57" s="196"/>
      <c r="HPV57" s="196"/>
      <c r="HPW57" s="196"/>
      <c r="HPX57" s="196"/>
      <c r="HPY57" s="196"/>
      <c r="HPZ57" s="196"/>
      <c r="HQA57" s="196"/>
      <c r="HQB57" s="196"/>
      <c r="HQC57" s="196"/>
      <c r="HQD57" s="196"/>
      <c r="HQE57" s="196"/>
      <c r="HQF57" s="196"/>
      <c r="HQG57" s="196"/>
      <c r="HQH57" s="196"/>
      <c r="HQI57" s="196"/>
      <c r="HQJ57" s="196"/>
      <c r="HQK57" s="196"/>
      <c r="HQL57" s="196"/>
      <c r="HQM57" s="196"/>
      <c r="HQN57" s="196"/>
      <c r="HQO57" s="196"/>
      <c r="HQP57" s="196"/>
      <c r="HQQ57" s="196"/>
      <c r="HQR57" s="196"/>
      <c r="HQS57" s="196"/>
      <c r="HQT57" s="196"/>
      <c r="HQU57" s="196"/>
      <c r="HQV57" s="196"/>
      <c r="HQW57" s="196"/>
      <c r="HQX57" s="196"/>
      <c r="HQY57" s="196"/>
      <c r="HQZ57" s="196"/>
      <c r="HRA57" s="196"/>
      <c r="HRB57" s="196"/>
      <c r="HRC57" s="196"/>
      <c r="HRD57" s="196"/>
      <c r="HRE57" s="196"/>
      <c r="HRF57" s="196"/>
      <c r="HRG57" s="196"/>
      <c r="HRH57" s="196"/>
      <c r="HRI57" s="196"/>
      <c r="HRJ57" s="196"/>
      <c r="HRK57" s="196"/>
      <c r="HRL57" s="196"/>
      <c r="HRM57" s="196"/>
      <c r="HRN57" s="196"/>
      <c r="HRO57" s="196"/>
      <c r="HRP57" s="196"/>
      <c r="HRQ57" s="196"/>
      <c r="HRR57" s="196"/>
      <c r="HRS57" s="196"/>
      <c r="HRT57" s="196"/>
      <c r="HRU57" s="196"/>
      <c r="HRV57" s="196"/>
      <c r="HRW57" s="196"/>
      <c r="HRX57" s="196"/>
      <c r="HRY57" s="196"/>
      <c r="HRZ57" s="196"/>
      <c r="HSA57" s="196"/>
      <c r="HSB57" s="196"/>
      <c r="HSC57" s="196"/>
      <c r="HSD57" s="196"/>
      <c r="HSE57" s="196"/>
      <c r="HSF57" s="196"/>
      <c r="HSG57" s="196"/>
      <c r="HSH57" s="196"/>
      <c r="HSI57" s="196"/>
      <c r="HSJ57" s="196"/>
      <c r="HSK57" s="196"/>
      <c r="HSL57" s="196"/>
      <c r="HSM57" s="196"/>
      <c r="HSN57" s="196"/>
      <c r="HSO57" s="196"/>
      <c r="HSP57" s="196"/>
      <c r="HSQ57" s="196"/>
      <c r="HSR57" s="196"/>
      <c r="HSS57" s="196"/>
      <c r="HST57" s="196"/>
      <c r="HSU57" s="196"/>
      <c r="HSV57" s="196"/>
      <c r="HSW57" s="196"/>
      <c r="HSX57" s="196"/>
      <c r="HSY57" s="196"/>
      <c r="HSZ57" s="196"/>
      <c r="HTA57" s="196"/>
      <c r="HTB57" s="196"/>
      <c r="HTC57" s="196"/>
      <c r="HTD57" s="196"/>
      <c r="HTE57" s="196"/>
      <c r="HTF57" s="196"/>
      <c r="HTG57" s="196"/>
      <c r="HTH57" s="196"/>
      <c r="HTI57" s="196"/>
      <c r="HTJ57" s="196"/>
      <c r="HTK57" s="196"/>
      <c r="HTL57" s="196"/>
      <c r="HTM57" s="196"/>
      <c r="HTN57" s="196"/>
      <c r="HTO57" s="196"/>
      <c r="HTP57" s="196"/>
      <c r="HTQ57" s="196"/>
      <c r="HTR57" s="196"/>
      <c r="HTS57" s="196"/>
      <c r="HTT57" s="196"/>
      <c r="HTU57" s="196"/>
      <c r="HTV57" s="196"/>
      <c r="HTW57" s="196"/>
      <c r="HTX57" s="196"/>
      <c r="HTY57" s="196"/>
      <c r="HTZ57" s="196"/>
      <c r="HUA57" s="196"/>
      <c r="HUB57" s="196"/>
      <c r="HUC57" s="196"/>
      <c r="HUD57" s="196"/>
      <c r="HUE57" s="196"/>
      <c r="HUF57" s="196"/>
      <c r="HUG57" s="196"/>
      <c r="HUH57" s="196"/>
      <c r="HUI57" s="196"/>
      <c r="HUJ57" s="196"/>
      <c r="HUK57" s="196"/>
      <c r="HUL57" s="196"/>
      <c r="HUM57" s="196"/>
      <c r="HUN57" s="196"/>
      <c r="HUO57" s="196"/>
      <c r="HUP57" s="196"/>
      <c r="HUQ57" s="196"/>
      <c r="HUR57" s="196"/>
      <c r="HUS57" s="196"/>
      <c r="HUT57" s="196"/>
      <c r="HUU57" s="196"/>
      <c r="HUV57" s="196"/>
      <c r="HUW57" s="196"/>
      <c r="HUX57" s="196"/>
      <c r="HUY57" s="196"/>
      <c r="HUZ57" s="196"/>
      <c r="HVA57" s="196"/>
      <c r="HVB57" s="196"/>
      <c r="HVC57" s="196"/>
      <c r="HVD57" s="196"/>
      <c r="HVE57" s="196"/>
      <c r="HVF57" s="196"/>
      <c r="HVG57" s="196"/>
      <c r="HVH57" s="196"/>
      <c r="HVI57" s="196"/>
      <c r="HVJ57" s="196"/>
      <c r="HVK57" s="196"/>
      <c r="HVL57" s="196"/>
      <c r="HVM57" s="196"/>
      <c r="HVN57" s="196"/>
      <c r="HVO57" s="196"/>
      <c r="HVP57" s="196"/>
      <c r="HVQ57" s="196"/>
      <c r="HVR57" s="196"/>
      <c r="HVS57" s="196"/>
      <c r="HVT57" s="196"/>
      <c r="HVU57" s="196"/>
      <c r="HVV57" s="196"/>
      <c r="HVW57" s="196"/>
      <c r="HVX57" s="196"/>
      <c r="HVY57" s="196"/>
      <c r="HVZ57" s="196"/>
      <c r="HWA57" s="196"/>
      <c r="HWB57" s="196"/>
      <c r="HWC57" s="196"/>
      <c r="HWD57" s="196"/>
      <c r="HWE57" s="196"/>
      <c r="HWF57" s="196"/>
      <c r="HWG57" s="196"/>
      <c r="HWH57" s="196"/>
      <c r="HWI57" s="196"/>
      <c r="HWJ57" s="196"/>
      <c r="HWK57" s="196"/>
      <c r="HWL57" s="196"/>
      <c r="HWM57" s="196"/>
      <c r="HWN57" s="196"/>
      <c r="HWO57" s="196"/>
      <c r="HWP57" s="196"/>
      <c r="HWQ57" s="196"/>
      <c r="HWR57" s="196"/>
      <c r="HWS57" s="196"/>
      <c r="HWT57" s="196"/>
      <c r="HWU57" s="196"/>
      <c r="HWV57" s="196"/>
      <c r="HWW57" s="196"/>
      <c r="HWX57" s="196"/>
      <c r="HWY57" s="196"/>
      <c r="HWZ57" s="196"/>
      <c r="HXA57" s="196"/>
      <c r="HXB57" s="196"/>
      <c r="HXC57" s="196"/>
      <c r="HXD57" s="196"/>
      <c r="HXE57" s="196"/>
      <c r="HXF57" s="196"/>
      <c r="HXG57" s="196"/>
      <c r="HXH57" s="196"/>
      <c r="HXI57" s="196"/>
      <c r="HXJ57" s="196"/>
      <c r="HXK57" s="196"/>
      <c r="HXL57" s="196"/>
      <c r="HXM57" s="196"/>
      <c r="HXN57" s="196"/>
      <c r="HXO57" s="196"/>
      <c r="HXP57" s="196"/>
      <c r="HXQ57" s="196"/>
      <c r="HXR57" s="196"/>
      <c r="HXS57" s="196"/>
      <c r="HXT57" s="196"/>
      <c r="HXU57" s="196"/>
      <c r="HXV57" s="196"/>
      <c r="HXW57" s="196"/>
      <c r="HXX57" s="196"/>
      <c r="HXY57" s="196"/>
      <c r="HXZ57" s="196"/>
      <c r="HYA57" s="196"/>
      <c r="HYB57" s="196"/>
      <c r="HYC57" s="196"/>
      <c r="HYD57" s="196"/>
      <c r="HYE57" s="196"/>
      <c r="HYF57" s="196"/>
      <c r="HYG57" s="196"/>
      <c r="HYH57" s="196"/>
      <c r="HYI57" s="196"/>
      <c r="HYJ57" s="196"/>
      <c r="HYK57" s="196"/>
      <c r="HYL57" s="196"/>
      <c r="HYM57" s="196"/>
      <c r="HYN57" s="196"/>
      <c r="HYO57" s="196"/>
      <c r="HYP57" s="196"/>
      <c r="HYQ57" s="196"/>
      <c r="HYR57" s="196"/>
      <c r="HYS57" s="196"/>
      <c r="HYT57" s="196"/>
      <c r="HYU57" s="196"/>
      <c r="HYV57" s="196"/>
      <c r="HYW57" s="196"/>
      <c r="HYX57" s="196"/>
      <c r="HYY57" s="196"/>
      <c r="HYZ57" s="196"/>
      <c r="HZA57" s="196"/>
      <c r="HZB57" s="196"/>
      <c r="HZC57" s="196"/>
      <c r="HZD57" s="196"/>
      <c r="HZE57" s="196"/>
      <c r="HZF57" s="196"/>
      <c r="HZG57" s="196"/>
      <c r="HZH57" s="196"/>
      <c r="HZI57" s="196"/>
      <c r="HZJ57" s="196"/>
      <c r="HZK57" s="196"/>
      <c r="HZL57" s="196"/>
      <c r="HZM57" s="196"/>
      <c r="HZN57" s="196"/>
      <c r="HZO57" s="196"/>
      <c r="HZP57" s="196"/>
      <c r="HZQ57" s="196"/>
      <c r="HZR57" s="196"/>
      <c r="HZS57" s="196"/>
      <c r="HZT57" s="196"/>
      <c r="HZU57" s="196"/>
      <c r="HZV57" s="196"/>
      <c r="HZW57" s="196"/>
      <c r="HZX57" s="196"/>
      <c r="HZY57" s="196"/>
      <c r="HZZ57" s="196"/>
      <c r="IAA57" s="196"/>
      <c r="IAB57" s="196"/>
      <c r="IAC57" s="196"/>
      <c r="IAD57" s="196"/>
      <c r="IAE57" s="196"/>
      <c r="IAF57" s="196"/>
      <c r="IAG57" s="196"/>
      <c r="IAH57" s="196"/>
      <c r="IAI57" s="196"/>
      <c r="IAJ57" s="196"/>
      <c r="IAK57" s="196"/>
      <c r="IAL57" s="196"/>
      <c r="IAM57" s="196"/>
      <c r="IAN57" s="196"/>
      <c r="IAO57" s="196"/>
      <c r="IAP57" s="196"/>
      <c r="IAQ57" s="196"/>
      <c r="IAR57" s="196"/>
      <c r="IAS57" s="196"/>
      <c r="IAT57" s="196"/>
      <c r="IAU57" s="196"/>
      <c r="IAV57" s="196"/>
      <c r="IAW57" s="196"/>
      <c r="IAX57" s="196"/>
      <c r="IAY57" s="196"/>
      <c r="IAZ57" s="196"/>
      <c r="IBA57" s="196"/>
      <c r="IBB57" s="196"/>
      <c r="IBC57" s="196"/>
      <c r="IBD57" s="196"/>
      <c r="IBE57" s="196"/>
      <c r="IBF57" s="196"/>
      <c r="IBG57" s="196"/>
      <c r="IBH57" s="196"/>
      <c r="IBI57" s="196"/>
      <c r="IBJ57" s="196"/>
      <c r="IBK57" s="196"/>
      <c r="IBL57" s="196"/>
      <c r="IBM57" s="196"/>
      <c r="IBN57" s="196"/>
      <c r="IBO57" s="196"/>
      <c r="IBP57" s="196"/>
      <c r="IBQ57" s="196"/>
      <c r="IBR57" s="196"/>
      <c r="IBS57" s="196"/>
      <c r="IBT57" s="196"/>
      <c r="IBU57" s="196"/>
      <c r="IBV57" s="196"/>
      <c r="IBW57" s="196"/>
      <c r="IBX57" s="196"/>
      <c r="IBY57" s="196"/>
      <c r="IBZ57" s="196"/>
      <c r="ICA57" s="196"/>
      <c r="ICB57" s="196"/>
      <c r="ICC57" s="196"/>
      <c r="ICD57" s="196"/>
      <c r="ICE57" s="196"/>
      <c r="ICF57" s="196"/>
      <c r="ICG57" s="196"/>
      <c r="ICH57" s="196"/>
      <c r="ICI57" s="196"/>
      <c r="ICJ57" s="196"/>
      <c r="ICK57" s="196"/>
      <c r="ICL57" s="196"/>
      <c r="ICM57" s="196"/>
      <c r="ICN57" s="196"/>
      <c r="ICO57" s="196"/>
      <c r="ICP57" s="196"/>
      <c r="ICQ57" s="196"/>
      <c r="ICR57" s="196"/>
      <c r="ICS57" s="196"/>
      <c r="ICT57" s="196"/>
      <c r="ICU57" s="196"/>
      <c r="ICV57" s="196"/>
      <c r="ICW57" s="196"/>
      <c r="ICX57" s="196"/>
      <c r="ICY57" s="196"/>
      <c r="ICZ57" s="196"/>
      <c r="IDA57" s="196"/>
      <c r="IDB57" s="196"/>
      <c r="IDC57" s="196"/>
      <c r="IDD57" s="196"/>
      <c r="IDE57" s="196"/>
      <c r="IDF57" s="196"/>
      <c r="IDG57" s="196"/>
      <c r="IDH57" s="196"/>
      <c r="IDI57" s="196"/>
      <c r="IDJ57" s="196"/>
      <c r="IDK57" s="196"/>
      <c r="IDL57" s="196"/>
      <c r="IDM57" s="196"/>
      <c r="IDN57" s="196"/>
      <c r="IDO57" s="196"/>
      <c r="IDP57" s="196"/>
      <c r="IDQ57" s="196"/>
      <c r="IDR57" s="196"/>
      <c r="IDS57" s="196"/>
      <c r="IDT57" s="196"/>
      <c r="IDU57" s="196"/>
      <c r="IDV57" s="196"/>
      <c r="IDW57" s="196"/>
      <c r="IDX57" s="196"/>
      <c r="IDY57" s="196"/>
      <c r="IDZ57" s="196"/>
      <c r="IEA57" s="196"/>
      <c r="IEB57" s="196"/>
      <c r="IEC57" s="196"/>
      <c r="IED57" s="196"/>
      <c r="IEE57" s="196"/>
      <c r="IEF57" s="196"/>
      <c r="IEG57" s="196"/>
      <c r="IEH57" s="196"/>
      <c r="IEI57" s="196"/>
      <c r="IEJ57" s="196"/>
      <c r="IEK57" s="196"/>
      <c r="IEL57" s="196"/>
      <c r="IEM57" s="196"/>
      <c r="IEN57" s="196"/>
      <c r="IEO57" s="196"/>
      <c r="IEP57" s="196"/>
      <c r="IEQ57" s="196"/>
      <c r="IER57" s="196"/>
      <c r="IES57" s="196"/>
      <c r="IET57" s="196"/>
      <c r="IEU57" s="196"/>
      <c r="IEV57" s="196"/>
      <c r="IEW57" s="196"/>
      <c r="IEX57" s="196"/>
      <c r="IEY57" s="196"/>
      <c r="IEZ57" s="196"/>
      <c r="IFA57" s="196"/>
      <c r="IFB57" s="196"/>
      <c r="IFC57" s="196"/>
      <c r="IFD57" s="196"/>
      <c r="IFE57" s="196"/>
      <c r="IFF57" s="196"/>
      <c r="IFG57" s="196"/>
      <c r="IFH57" s="196"/>
      <c r="IFI57" s="196"/>
      <c r="IFJ57" s="196"/>
      <c r="IFK57" s="196"/>
      <c r="IFL57" s="196"/>
      <c r="IFM57" s="196"/>
      <c r="IFN57" s="196"/>
      <c r="IFO57" s="196"/>
      <c r="IFP57" s="196"/>
      <c r="IFQ57" s="196"/>
      <c r="IFR57" s="196"/>
      <c r="IFS57" s="196"/>
      <c r="IFT57" s="196"/>
      <c r="IFU57" s="196"/>
      <c r="IFV57" s="196"/>
      <c r="IFW57" s="196"/>
      <c r="IFX57" s="196"/>
      <c r="IFY57" s="196"/>
      <c r="IFZ57" s="196"/>
      <c r="IGA57" s="196"/>
      <c r="IGB57" s="196"/>
      <c r="IGC57" s="196"/>
      <c r="IGD57" s="196"/>
      <c r="IGE57" s="196"/>
      <c r="IGF57" s="196"/>
      <c r="IGG57" s="196"/>
      <c r="IGH57" s="196"/>
      <c r="IGI57" s="196"/>
      <c r="IGJ57" s="196"/>
      <c r="IGK57" s="196"/>
      <c r="IGL57" s="196"/>
      <c r="IGM57" s="196"/>
      <c r="IGN57" s="196"/>
      <c r="IGO57" s="196"/>
      <c r="IGP57" s="196"/>
      <c r="IGQ57" s="196"/>
      <c r="IGR57" s="196"/>
      <c r="IGS57" s="196"/>
      <c r="IGT57" s="196"/>
      <c r="IGU57" s="196"/>
      <c r="IGV57" s="196"/>
      <c r="IGW57" s="196"/>
      <c r="IGX57" s="196"/>
      <c r="IGY57" s="196"/>
      <c r="IGZ57" s="196"/>
      <c r="IHA57" s="196"/>
      <c r="IHB57" s="196"/>
      <c r="IHC57" s="196"/>
      <c r="IHD57" s="196"/>
      <c r="IHE57" s="196"/>
      <c r="IHF57" s="196"/>
      <c r="IHG57" s="196"/>
      <c r="IHH57" s="196"/>
      <c r="IHI57" s="196"/>
      <c r="IHJ57" s="196"/>
      <c r="IHK57" s="196"/>
      <c r="IHL57" s="196"/>
      <c r="IHM57" s="196"/>
      <c r="IHN57" s="196"/>
      <c r="IHO57" s="196"/>
      <c r="IHP57" s="196"/>
      <c r="IHQ57" s="196"/>
      <c r="IHR57" s="196"/>
      <c r="IHS57" s="196"/>
      <c r="IHT57" s="196"/>
      <c r="IHU57" s="196"/>
      <c r="IHV57" s="196"/>
      <c r="IHW57" s="196"/>
      <c r="IHX57" s="196"/>
      <c r="IHY57" s="196"/>
      <c r="IHZ57" s="196"/>
      <c r="IIA57" s="196"/>
      <c r="IIB57" s="196"/>
      <c r="IIC57" s="196"/>
      <c r="IID57" s="196"/>
      <c r="IIE57" s="196"/>
      <c r="IIF57" s="196"/>
      <c r="IIG57" s="196"/>
      <c r="IIH57" s="196"/>
      <c r="III57" s="196"/>
      <c r="IIJ57" s="196"/>
      <c r="IIK57" s="196"/>
      <c r="IIL57" s="196"/>
      <c r="IIM57" s="196"/>
      <c r="IIN57" s="196"/>
      <c r="IIO57" s="196"/>
      <c r="IIP57" s="196"/>
      <c r="IIQ57" s="196"/>
      <c r="IIR57" s="196"/>
      <c r="IIS57" s="196"/>
      <c r="IIT57" s="196"/>
      <c r="IIU57" s="196"/>
      <c r="IIV57" s="196"/>
      <c r="IIW57" s="196"/>
      <c r="IIX57" s="196"/>
      <c r="IIY57" s="196"/>
      <c r="IIZ57" s="196"/>
      <c r="IJA57" s="196"/>
      <c r="IJB57" s="196"/>
      <c r="IJC57" s="196"/>
      <c r="IJD57" s="196"/>
      <c r="IJE57" s="196"/>
      <c r="IJF57" s="196"/>
      <c r="IJG57" s="196"/>
      <c r="IJH57" s="196"/>
      <c r="IJI57" s="196"/>
      <c r="IJJ57" s="196"/>
      <c r="IJK57" s="196"/>
      <c r="IJL57" s="196"/>
      <c r="IJM57" s="196"/>
      <c r="IJN57" s="196"/>
      <c r="IJO57" s="196"/>
      <c r="IJP57" s="196"/>
      <c r="IJQ57" s="196"/>
      <c r="IJR57" s="196"/>
      <c r="IJS57" s="196"/>
      <c r="IJT57" s="196"/>
      <c r="IJU57" s="196"/>
      <c r="IJV57" s="196"/>
      <c r="IJW57" s="196"/>
      <c r="IJX57" s="196"/>
      <c r="IJY57" s="196"/>
      <c r="IJZ57" s="196"/>
      <c r="IKA57" s="196"/>
      <c r="IKB57" s="196"/>
      <c r="IKC57" s="196"/>
      <c r="IKD57" s="196"/>
      <c r="IKE57" s="196"/>
      <c r="IKF57" s="196"/>
      <c r="IKG57" s="196"/>
      <c r="IKH57" s="196"/>
      <c r="IKI57" s="196"/>
      <c r="IKJ57" s="196"/>
      <c r="IKK57" s="196"/>
      <c r="IKL57" s="196"/>
      <c r="IKM57" s="196"/>
      <c r="IKN57" s="196"/>
      <c r="IKO57" s="196"/>
      <c r="IKP57" s="196"/>
      <c r="IKQ57" s="196"/>
      <c r="IKR57" s="196"/>
      <c r="IKS57" s="196"/>
      <c r="IKT57" s="196"/>
      <c r="IKU57" s="196"/>
      <c r="IKV57" s="196"/>
      <c r="IKW57" s="196"/>
      <c r="IKX57" s="196"/>
      <c r="IKY57" s="196"/>
      <c r="IKZ57" s="196"/>
      <c r="ILA57" s="196"/>
      <c r="ILB57" s="196"/>
      <c r="ILC57" s="196"/>
      <c r="ILD57" s="196"/>
      <c r="ILE57" s="196"/>
      <c r="ILF57" s="196"/>
      <c r="ILG57" s="196"/>
      <c r="ILH57" s="196"/>
      <c r="ILI57" s="196"/>
      <c r="ILJ57" s="196"/>
      <c r="ILK57" s="196"/>
      <c r="ILL57" s="196"/>
      <c r="ILM57" s="196"/>
      <c r="ILN57" s="196"/>
      <c r="ILO57" s="196"/>
      <c r="ILP57" s="196"/>
      <c r="ILQ57" s="196"/>
      <c r="ILR57" s="196"/>
      <c r="ILS57" s="196"/>
      <c r="ILT57" s="196"/>
      <c r="ILU57" s="196"/>
      <c r="ILV57" s="196"/>
      <c r="ILW57" s="196"/>
      <c r="ILX57" s="196"/>
      <c r="ILY57" s="196"/>
      <c r="ILZ57" s="196"/>
      <c r="IMA57" s="196"/>
      <c r="IMB57" s="196"/>
      <c r="IMC57" s="196"/>
      <c r="IMD57" s="196"/>
      <c r="IME57" s="196"/>
      <c r="IMF57" s="196"/>
      <c r="IMG57" s="196"/>
      <c r="IMH57" s="196"/>
      <c r="IMI57" s="196"/>
      <c r="IMJ57" s="196"/>
      <c r="IMK57" s="196"/>
      <c r="IML57" s="196"/>
      <c r="IMM57" s="196"/>
      <c r="IMN57" s="196"/>
      <c r="IMO57" s="196"/>
      <c r="IMP57" s="196"/>
      <c r="IMQ57" s="196"/>
      <c r="IMR57" s="196"/>
      <c r="IMS57" s="196"/>
      <c r="IMT57" s="196"/>
      <c r="IMU57" s="196"/>
      <c r="IMV57" s="196"/>
      <c r="IMW57" s="196"/>
      <c r="IMX57" s="196"/>
      <c r="IMY57" s="196"/>
      <c r="IMZ57" s="196"/>
      <c r="INA57" s="196"/>
      <c r="INB57" s="196"/>
      <c r="INC57" s="196"/>
      <c r="IND57" s="196"/>
      <c r="INE57" s="196"/>
      <c r="INF57" s="196"/>
      <c r="ING57" s="196"/>
      <c r="INH57" s="196"/>
      <c r="INI57" s="196"/>
      <c r="INJ57" s="196"/>
      <c r="INK57" s="196"/>
      <c r="INL57" s="196"/>
      <c r="INM57" s="196"/>
      <c r="INN57" s="196"/>
      <c r="INO57" s="196"/>
      <c r="INP57" s="196"/>
      <c r="INQ57" s="196"/>
      <c r="INR57" s="196"/>
      <c r="INS57" s="196"/>
      <c r="INT57" s="196"/>
      <c r="INU57" s="196"/>
      <c r="INV57" s="196"/>
      <c r="INW57" s="196"/>
      <c r="INX57" s="196"/>
      <c r="INY57" s="196"/>
      <c r="INZ57" s="196"/>
      <c r="IOA57" s="196"/>
      <c r="IOB57" s="196"/>
      <c r="IOC57" s="196"/>
      <c r="IOD57" s="196"/>
      <c r="IOE57" s="196"/>
      <c r="IOF57" s="196"/>
      <c r="IOG57" s="196"/>
      <c r="IOH57" s="196"/>
      <c r="IOI57" s="196"/>
      <c r="IOJ57" s="196"/>
      <c r="IOK57" s="196"/>
      <c r="IOL57" s="196"/>
      <c r="IOM57" s="196"/>
      <c r="ION57" s="196"/>
      <c r="IOO57" s="196"/>
      <c r="IOP57" s="196"/>
      <c r="IOQ57" s="196"/>
      <c r="IOR57" s="196"/>
      <c r="IOS57" s="196"/>
      <c r="IOT57" s="196"/>
      <c r="IOU57" s="196"/>
      <c r="IOV57" s="196"/>
      <c r="IOW57" s="196"/>
      <c r="IOX57" s="196"/>
      <c r="IOY57" s="196"/>
      <c r="IOZ57" s="196"/>
      <c r="IPA57" s="196"/>
      <c r="IPB57" s="196"/>
      <c r="IPC57" s="196"/>
      <c r="IPD57" s="196"/>
      <c r="IPE57" s="196"/>
      <c r="IPF57" s="196"/>
      <c r="IPG57" s="196"/>
      <c r="IPH57" s="196"/>
      <c r="IPI57" s="196"/>
      <c r="IPJ57" s="196"/>
      <c r="IPK57" s="196"/>
      <c r="IPL57" s="196"/>
      <c r="IPM57" s="196"/>
      <c r="IPN57" s="196"/>
      <c r="IPO57" s="196"/>
      <c r="IPP57" s="196"/>
      <c r="IPQ57" s="196"/>
      <c r="IPR57" s="196"/>
      <c r="IPS57" s="196"/>
      <c r="IPT57" s="196"/>
      <c r="IPU57" s="196"/>
      <c r="IPV57" s="196"/>
      <c r="IPW57" s="196"/>
      <c r="IPX57" s="196"/>
      <c r="IPY57" s="196"/>
      <c r="IPZ57" s="196"/>
      <c r="IQA57" s="196"/>
      <c r="IQB57" s="196"/>
      <c r="IQC57" s="196"/>
      <c r="IQD57" s="196"/>
      <c r="IQE57" s="196"/>
      <c r="IQF57" s="196"/>
      <c r="IQG57" s="196"/>
      <c r="IQH57" s="196"/>
      <c r="IQI57" s="196"/>
      <c r="IQJ57" s="196"/>
      <c r="IQK57" s="196"/>
      <c r="IQL57" s="196"/>
      <c r="IQM57" s="196"/>
      <c r="IQN57" s="196"/>
      <c r="IQO57" s="196"/>
      <c r="IQP57" s="196"/>
      <c r="IQQ57" s="196"/>
      <c r="IQR57" s="196"/>
      <c r="IQS57" s="196"/>
      <c r="IQT57" s="196"/>
      <c r="IQU57" s="196"/>
      <c r="IQV57" s="196"/>
      <c r="IQW57" s="196"/>
      <c r="IQX57" s="196"/>
      <c r="IQY57" s="196"/>
      <c r="IQZ57" s="196"/>
      <c r="IRA57" s="196"/>
      <c r="IRB57" s="196"/>
      <c r="IRC57" s="196"/>
      <c r="IRD57" s="196"/>
      <c r="IRE57" s="196"/>
      <c r="IRF57" s="196"/>
      <c r="IRG57" s="196"/>
      <c r="IRH57" s="196"/>
      <c r="IRI57" s="196"/>
      <c r="IRJ57" s="196"/>
      <c r="IRK57" s="196"/>
      <c r="IRL57" s="196"/>
      <c r="IRM57" s="196"/>
      <c r="IRN57" s="196"/>
      <c r="IRO57" s="196"/>
      <c r="IRP57" s="196"/>
      <c r="IRQ57" s="196"/>
      <c r="IRR57" s="196"/>
      <c r="IRS57" s="196"/>
      <c r="IRT57" s="196"/>
      <c r="IRU57" s="196"/>
      <c r="IRV57" s="196"/>
      <c r="IRW57" s="196"/>
      <c r="IRX57" s="196"/>
      <c r="IRY57" s="196"/>
      <c r="IRZ57" s="196"/>
      <c r="ISA57" s="196"/>
      <c r="ISB57" s="196"/>
      <c r="ISC57" s="196"/>
      <c r="ISD57" s="196"/>
      <c r="ISE57" s="196"/>
      <c r="ISF57" s="196"/>
      <c r="ISG57" s="196"/>
      <c r="ISH57" s="196"/>
      <c r="ISI57" s="196"/>
      <c r="ISJ57" s="196"/>
      <c r="ISK57" s="196"/>
      <c r="ISL57" s="196"/>
      <c r="ISM57" s="196"/>
      <c r="ISN57" s="196"/>
      <c r="ISO57" s="196"/>
      <c r="ISP57" s="196"/>
      <c r="ISQ57" s="196"/>
      <c r="ISR57" s="196"/>
      <c r="ISS57" s="196"/>
      <c r="IST57" s="196"/>
      <c r="ISU57" s="196"/>
      <c r="ISV57" s="196"/>
      <c r="ISW57" s="196"/>
      <c r="ISX57" s="196"/>
      <c r="ISY57" s="196"/>
      <c r="ISZ57" s="196"/>
      <c r="ITA57" s="196"/>
      <c r="ITB57" s="196"/>
      <c r="ITC57" s="196"/>
      <c r="ITD57" s="196"/>
      <c r="ITE57" s="196"/>
      <c r="ITF57" s="196"/>
      <c r="ITG57" s="196"/>
      <c r="ITH57" s="196"/>
      <c r="ITI57" s="196"/>
      <c r="ITJ57" s="196"/>
      <c r="ITK57" s="196"/>
      <c r="ITL57" s="196"/>
      <c r="ITM57" s="196"/>
      <c r="ITN57" s="196"/>
      <c r="ITO57" s="196"/>
      <c r="ITP57" s="196"/>
      <c r="ITQ57" s="196"/>
      <c r="ITR57" s="196"/>
      <c r="ITS57" s="196"/>
      <c r="ITT57" s="196"/>
      <c r="ITU57" s="196"/>
      <c r="ITV57" s="196"/>
      <c r="ITW57" s="196"/>
      <c r="ITX57" s="196"/>
      <c r="ITY57" s="196"/>
      <c r="ITZ57" s="196"/>
      <c r="IUA57" s="196"/>
      <c r="IUB57" s="196"/>
      <c r="IUC57" s="196"/>
      <c r="IUD57" s="196"/>
      <c r="IUE57" s="196"/>
      <c r="IUF57" s="196"/>
      <c r="IUG57" s="196"/>
      <c r="IUH57" s="196"/>
      <c r="IUI57" s="196"/>
      <c r="IUJ57" s="196"/>
      <c r="IUK57" s="196"/>
      <c r="IUL57" s="196"/>
      <c r="IUM57" s="196"/>
      <c r="IUN57" s="196"/>
      <c r="IUO57" s="196"/>
      <c r="IUP57" s="196"/>
      <c r="IUQ57" s="196"/>
      <c r="IUR57" s="196"/>
      <c r="IUS57" s="196"/>
      <c r="IUT57" s="196"/>
      <c r="IUU57" s="196"/>
      <c r="IUV57" s="196"/>
      <c r="IUW57" s="196"/>
      <c r="IUX57" s="196"/>
      <c r="IUY57" s="196"/>
      <c r="IUZ57" s="196"/>
      <c r="IVA57" s="196"/>
      <c r="IVB57" s="196"/>
      <c r="IVC57" s="196"/>
      <c r="IVD57" s="196"/>
      <c r="IVE57" s="196"/>
      <c r="IVF57" s="196"/>
      <c r="IVG57" s="196"/>
      <c r="IVH57" s="196"/>
      <c r="IVI57" s="196"/>
      <c r="IVJ57" s="196"/>
      <c r="IVK57" s="196"/>
      <c r="IVL57" s="196"/>
      <c r="IVM57" s="196"/>
      <c r="IVN57" s="196"/>
      <c r="IVO57" s="196"/>
      <c r="IVP57" s="196"/>
      <c r="IVQ57" s="196"/>
      <c r="IVR57" s="196"/>
      <c r="IVS57" s="196"/>
      <c r="IVT57" s="196"/>
      <c r="IVU57" s="196"/>
      <c r="IVV57" s="196"/>
      <c r="IVW57" s="196"/>
      <c r="IVX57" s="196"/>
      <c r="IVY57" s="196"/>
      <c r="IVZ57" s="196"/>
      <c r="IWA57" s="196"/>
      <c r="IWB57" s="196"/>
      <c r="IWC57" s="196"/>
      <c r="IWD57" s="196"/>
      <c r="IWE57" s="196"/>
      <c r="IWF57" s="196"/>
      <c r="IWG57" s="196"/>
      <c r="IWH57" s="196"/>
      <c r="IWI57" s="196"/>
      <c r="IWJ57" s="196"/>
      <c r="IWK57" s="196"/>
      <c r="IWL57" s="196"/>
      <c r="IWM57" s="196"/>
      <c r="IWN57" s="196"/>
      <c r="IWO57" s="196"/>
      <c r="IWP57" s="196"/>
      <c r="IWQ57" s="196"/>
      <c r="IWR57" s="196"/>
      <c r="IWS57" s="196"/>
      <c r="IWT57" s="196"/>
      <c r="IWU57" s="196"/>
      <c r="IWV57" s="196"/>
      <c r="IWW57" s="196"/>
      <c r="IWX57" s="196"/>
      <c r="IWY57" s="196"/>
      <c r="IWZ57" s="196"/>
      <c r="IXA57" s="196"/>
      <c r="IXB57" s="196"/>
      <c r="IXC57" s="196"/>
      <c r="IXD57" s="196"/>
      <c r="IXE57" s="196"/>
      <c r="IXF57" s="196"/>
      <c r="IXG57" s="196"/>
      <c r="IXH57" s="196"/>
      <c r="IXI57" s="196"/>
      <c r="IXJ57" s="196"/>
      <c r="IXK57" s="196"/>
      <c r="IXL57" s="196"/>
      <c r="IXM57" s="196"/>
      <c r="IXN57" s="196"/>
      <c r="IXO57" s="196"/>
      <c r="IXP57" s="196"/>
      <c r="IXQ57" s="196"/>
      <c r="IXR57" s="196"/>
      <c r="IXS57" s="196"/>
      <c r="IXT57" s="196"/>
      <c r="IXU57" s="196"/>
      <c r="IXV57" s="196"/>
      <c r="IXW57" s="196"/>
      <c r="IXX57" s="196"/>
      <c r="IXY57" s="196"/>
      <c r="IXZ57" s="196"/>
      <c r="IYA57" s="196"/>
      <c r="IYB57" s="196"/>
      <c r="IYC57" s="196"/>
      <c r="IYD57" s="196"/>
      <c r="IYE57" s="196"/>
      <c r="IYF57" s="196"/>
      <c r="IYG57" s="196"/>
      <c r="IYH57" s="196"/>
      <c r="IYI57" s="196"/>
      <c r="IYJ57" s="196"/>
      <c r="IYK57" s="196"/>
      <c r="IYL57" s="196"/>
      <c r="IYM57" s="196"/>
      <c r="IYN57" s="196"/>
      <c r="IYO57" s="196"/>
      <c r="IYP57" s="196"/>
      <c r="IYQ57" s="196"/>
      <c r="IYR57" s="196"/>
      <c r="IYS57" s="196"/>
      <c r="IYT57" s="196"/>
      <c r="IYU57" s="196"/>
      <c r="IYV57" s="196"/>
      <c r="IYW57" s="196"/>
      <c r="IYX57" s="196"/>
      <c r="IYY57" s="196"/>
      <c r="IYZ57" s="196"/>
      <c r="IZA57" s="196"/>
      <c r="IZB57" s="196"/>
      <c r="IZC57" s="196"/>
      <c r="IZD57" s="196"/>
      <c r="IZE57" s="196"/>
      <c r="IZF57" s="196"/>
      <c r="IZG57" s="196"/>
      <c r="IZH57" s="196"/>
      <c r="IZI57" s="196"/>
      <c r="IZJ57" s="196"/>
      <c r="IZK57" s="196"/>
      <c r="IZL57" s="196"/>
      <c r="IZM57" s="196"/>
      <c r="IZN57" s="196"/>
      <c r="IZO57" s="196"/>
      <c r="IZP57" s="196"/>
      <c r="IZQ57" s="196"/>
      <c r="IZR57" s="196"/>
      <c r="IZS57" s="196"/>
      <c r="IZT57" s="196"/>
      <c r="IZU57" s="196"/>
      <c r="IZV57" s="196"/>
      <c r="IZW57" s="196"/>
      <c r="IZX57" s="196"/>
      <c r="IZY57" s="196"/>
      <c r="IZZ57" s="196"/>
      <c r="JAA57" s="196"/>
      <c r="JAB57" s="196"/>
      <c r="JAC57" s="196"/>
      <c r="JAD57" s="196"/>
      <c r="JAE57" s="196"/>
      <c r="JAF57" s="196"/>
      <c r="JAG57" s="196"/>
      <c r="JAH57" s="196"/>
      <c r="JAI57" s="196"/>
      <c r="JAJ57" s="196"/>
      <c r="JAK57" s="196"/>
      <c r="JAL57" s="196"/>
      <c r="JAM57" s="196"/>
      <c r="JAN57" s="196"/>
      <c r="JAO57" s="196"/>
      <c r="JAP57" s="196"/>
      <c r="JAQ57" s="196"/>
      <c r="JAR57" s="196"/>
      <c r="JAS57" s="196"/>
      <c r="JAT57" s="196"/>
      <c r="JAU57" s="196"/>
      <c r="JAV57" s="196"/>
      <c r="JAW57" s="196"/>
      <c r="JAX57" s="196"/>
      <c r="JAY57" s="196"/>
      <c r="JAZ57" s="196"/>
      <c r="JBA57" s="196"/>
      <c r="JBB57" s="196"/>
      <c r="JBC57" s="196"/>
      <c r="JBD57" s="196"/>
      <c r="JBE57" s="196"/>
      <c r="JBF57" s="196"/>
      <c r="JBG57" s="196"/>
      <c r="JBH57" s="196"/>
      <c r="JBI57" s="196"/>
      <c r="JBJ57" s="196"/>
      <c r="JBK57" s="196"/>
      <c r="JBL57" s="196"/>
      <c r="JBM57" s="196"/>
      <c r="JBN57" s="196"/>
      <c r="JBO57" s="196"/>
      <c r="JBP57" s="196"/>
      <c r="JBQ57" s="196"/>
      <c r="JBR57" s="196"/>
      <c r="JBS57" s="196"/>
      <c r="JBT57" s="196"/>
      <c r="JBU57" s="196"/>
      <c r="JBV57" s="196"/>
      <c r="JBW57" s="196"/>
      <c r="JBX57" s="196"/>
      <c r="JBY57" s="196"/>
      <c r="JBZ57" s="196"/>
      <c r="JCA57" s="196"/>
      <c r="JCB57" s="196"/>
      <c r="JCC57" s="196"/>
      <c r="JCD57" s="196"/>
      <c r="JCE57" s="196"/>
      <c r="JCF57" s="196"/>
      <c r="JCG57" s="196"/>
      <c r="JCH57" s="196"/>
      <c r="JCI57" s="196"/>
      <c r="JCJ57" s="196"/>
      <c r="JCK57" s="196"/>
      <c r="JCL57" s="196"/>
      <c r="JCM57" s="196"/>
      <c r="JCN57" s="196"/>
      <c r="JCO57" s="196"/>
      <c r="JCP57" s="196"/>
      <c r="JCQ57" s="196"/>
      <c r="JCR57" s="196"/>
      <c r="JCS57" s="196"/>
      <c r="JCT57" s="196"/>
      <c r="JCU57" s="196"/>
      <c r="JCV57" s="196"/>
      <c r="JCW57" s="196"/>
      <c r="JCX57" s="196"/>
      <c r="JCY57" s="196"/>
      <c r="JCZ57" s="196"/>
      <c r="JDA57" s="196"/>
      <c r="JDB57" s="196"/>
      <c r="JDC57" s="196"/>
      <c r="JDD57" s="196"/>
      <c r="JDE57" s="196"/>
      <c r="JDF57" s="196"/>
      <c r="JDG57" s="196"/>
      <c r="JDH57" s="196"/>
      <c r="JDI57" s="196"/>
      <c r="JDJ57" s="196"/>
      <c r="JDK57" s="196"/>
      <c r="JDL57" s="196"/>
      <c r="JDM57" s="196"/>
      <c r="JDN57" s="196"/>
      <c r="JDO57" s="196"/>
      <c r="JDP57" s="196"/>
      <c r="JDQ57" s="196"/>
      <c r="JDR57" s="196"/>
      <c r="JDS57" s="196"/>
      <c r="JDT57" s="196"/>
      <c r="JDU57" s="196"/>
      <c r="JDV57" s="196"/>
      <c r="JDW57" s="196"/>
      <c r="JDX57" s="196"/>
      <c r="JDY57" s="196"/>
      <c r="JDZ57" s="196"/>
      <c r="JEA57" s="196"/>
      <c r="JEB57" s="196"/>
      <c r="JEC57" s="196"/>
      <c r="JED57" s="196"/>
      <c r="JEE57" s="196"/>
      <c r="JEF57" s="196"/>
      <c r="JEG57" s="196"/>
      <c r="JEH57" s="196"/>
      <c r="JEI57" s="196"/>
      <c r="JEJ57" s="196"/>
      <c r="JEK57" s="196"/>
      <c r="JEL57" s="196"/>
      <c r="JEM57" s="196"/>
      <c r="JEN57" s="196"/>
      <c r="JEO57" s="196"/>
      <c r="JEP57" s="196"/>
      <c r="JEQ57" s="196"/>
      <c r="JER57" s="196"/>
      <c r="JES57" s="196"/>
      <c r="JET57" s="196"/>
      <c r="JEU57" s="196"/>
      <c r="JEV57" s="196"/>
      <c r="JEW57" s="196"/>
      <c r="JEX57" s="196"/>
      <c r="JEY57" s="196"/>
      <c r="JEZ57" s="196"/>
      <c r="JFA57" s="196"/>
      <c r="JFB57" s="196"/>
      <c r="JFC57" s="196"/>
      <c r="JFD57" s="196"/>
      <c r="JFE57" s="196"/>
      <c r="JFF57" s="196"/>
      <c r="JFG57" s="196"/>
      <c r="JFH57" s="196"/>
      <c r="JFI57" s="196"/>
      <c r="JFJ57" s="196"/>
      <c r="JFK57" s="196"/>
      <c r="JFL57" s="196"/>
      <c r="JFM57" s="196"/>
      <c r="JFN57" s="196"/>
      <c r="JFO57" s="196"/>
      <c r="JFP57" s="196"/>
      <c r="JFQ57" s="196"/>
      <c r="JFR57" s="196"/>
      <c r="JFS57" s="196"/>
      <c r="JFT57" s="196"/>
      <c r="JFU57" s="196"/>
      <c r="JFV57" s="196"/>
      <c r="JFW57" s="196"/>
      <c r="JFX57" s="196"/>
      <c r="JFY57" s="196"/>
      <c r="JFZ57" s="196"/>
      <c r="JGA57" s="196"/>
      <c r="JGB57" s="196"/>
      <c r="JGC57" s="196"/>
      <c r="JGD57" s="196"/>
      <c r="JGE57" s="196"/>
      <c r="JGF57" s="196"/>
      <c r="JGG57" s="196"/>
      <c r="JGH57" s="196"/>
      <c r="JGI57" s="196"/>
      <c r="JGJ57" s="196"/>
      <c r="JGK57" s="196"/>
      <c r="JGL57" s="196"/>
      <c r="JGM57" s="196"/>
      <c r="JGN57" s="196"/>
      <c r="JGO57" s="196"/>
      <c r="JGP57" s="196"/>
      <c r="JGQ57" s="196"/>
      <c r="JGR57" s="196"/>
      <c r="JGS57" s="196"/>
      <c r="JGT57" s="196"/>
      <c r="JGU57" s="196"/>
      <c r="JGV57" s="196"/>
      <c r="JGW57" s="196"/>
      <c r="JGX57" s="196"/>
      <c r="JGY57" s="196"/>
      <c r="JGZ57" s="196"/>
      <c r="JHA57" s="196"/>
      <c r="JHB57" s="196"/>
      <c r="JHC57" s="196"/>
      <c r="JHD57" s="196"/>
      <c r="JHE57" s="196"/>
      <c r="JHF57" s="196"/>
      <c r="JHG57" s="196"/>
      <c r="JHH57" s="196"/>
      <c r="JHI57" s="196"/>
      <c r="JHJ57" s="196"/>
      <c r="JHK57" s="196"/>
      <c r="JHL57" s="196"/>
      <c r="JHM57" s="196"/>
      <c r="JHN57" s="196"/>
      <c r="JHO57" s="196"/>
      <c r="JHP57" s="196"/>
      <c r="JHQ57" s="196"/>
      <c r="JHR57" s="196"/>
      <c r="JHS57" s="196"/>
      <c r="JHT57" s="196"/>
      <c r="JHU57" s="196"/>
      <c r="JHV57" s="196"/>
      <c r="JHW57" s="196"/>
      <c r="JHX57" s="196"/>
      <c r="JHY57" s="196"/>
      <c r="JHZ57" s="196"/>
      <c r="JIA57" s="196"/>
      <c r="JIB57" s="196"/>
      <c r="JIC57" s="196"/>
      <c r="JID57" s="196"/>
      <c r="JIE57" s="196"/>
      <c r="JIF57" s="196"/>
      <c r="JIG57" s="196"/>
      <c r="JIH57" s="196"/>
      <c r="JII57" s="196"/>
      <c r="JIJ57" s="196"/>
      <c r="JIK57" s="196"/>
      <c r="JIL57" s="196"/>
      <c r="JIM57" s="196"/>
      <c r="JIN57" s="196"/>
      <c r="JIO57" s="196"/>
      <c r="JIP57" s="196"/>
      <c r="JIQ57" s="196"/>
      <c r="JIR57" s="196"/>
      <c r="JIS57" s="196"/>
      <c r="JIT57" s="196"/>
      <c r="JIU57" s="196"/>
      <c r="JIV57" s="196"/>
      <c r="JIW57" s="196"/>
      <c r="JIX57" s="196"/>
      <c r="JIY57" s="196"/>
      <c r="JIZ57" s="196"/>
      <c r="JJA57" s="196"/>
      <c r="JJB57" s="196"/>
      <c r="JJC57" s="196"/>
      <c r="JJD57" s="196"/>
      <c r="JJE57" s="196"/>
      <c r="JJF57" s="196"/>
      <c r="JJG57" s="196"/>
      <c r="JJH57" s="196"/>
      <c r="JJI57" s="196"/>
      <c r="JJJ57" s="196"/>
      <c r="JJK57" s="196"/>
      <c r="JJL57" s="196"/>
      <c r="JJM57" s="196"/>
      <c r="JJN57" s="196"/>
      <c r="JJO57" s="196"/>
      <c r="JJP57" s="196"/>
      <c r="JJQ57" s="196"/>
      <c r="JJR57" s="196"/>
      <c r="JJS57" s="196"/>
      <c r="JJT57" s="196"/>
      <c r="JJU57" s="196"/>
      <c r="JJV57" s="196"/>
      <c r="JJW57" s="196"/>
      <c r="JJX57" s="196"/>
      <c r="JJY57" s="196"/>
      <c r="JJZ57" s="196"/>
      <c r="JKA57" s="196"/>
      <c r="JKB57" s="196"/>
      <c r="JKC57" s="196"/>
      <c r="JKD57" s="196"/>
      <c r="JKE57" s="196"/>
      <c r="JKF57" s="196"/>
      <c r="JKG57" s="196"/>
      <c r="JKH57" s="196"/>
      <c r="JKI57" s="196"/>
      <c r="JKJ57" s="196"/>
      <c r="JKK57" s="196"/>
      <c r="JKL57" s="196"/>
      <c r="JKM57" s="196"/>
      <c r="JKN57" s="196"/>
      <c r="JKO57" s="196"/>
      <c r="JKP57" s="196"/>
      <c r="JKQ57" s="196"/>
      <c r="JKR57" s="196"/>
      <c r="JKS57" s="196"/>
      <c r="JKT57" s="196"/>
      <c r="JKU57" s="196"/>
      <c r="JKV57" s="196"/>
      <c r="JKW57" s="196"/>
      <c r="JKX57" s="196"/>
      <c r="JKY57" s="196"/>
      <c r="JKZ57" s="196"/>
      <c r="JLA57" s="196"/>
      <c r="JLB57" s="196"/>
      <c r="JLC57" s="196"/>
      <c r="JLD57" s="196"/>
      <c r="JLE57" s="196"/>
      <c r="JLF57" s="196"/>
      <c r="JLG57" s="196"/>
      <c r="JLH57" s="196"/>
      <c r="JLI57" s="196"/>
      <c r="JLJ57" s="196"/>
      <c r="JLK57" s="196"/>
      <c r="JLL57" s="196"/>
      <c r="JLM57" s="196"/>
      <c r="JLN57" s="196"/>
      <c r="JLO57" s="196"/>
      <c r="JLP57" s="196"/>
      <c r="JLQ57" s="196"/>
      <c r="JLR57" s="196"/>
      <c r="JLS57" s="196"/>
      <c r="JLT57" s="196"/>
      <c r="JLU57" s="196"/>
      <c r="JLV57" s="196"/>
      <c r="JLW57" s="196"/>
      <c r="JLX57" s="196"/>
      <c r="JLY57" s="196"/>
      <c r="JLZ57" s="196"/>
      <c r="JMA57" s="196"/>
      <c r="JMB57" s="196"/>
      <c r="JMC57" s="196"/>
      <c r="JMD57" s="196"/>
      <c r="JME57" s="196"/>
      <c r="JMF57" s="196"/>
      <c r="JMG57" s="196"/>
      <c r="JMH57" s="196"/>
      <c r="JMI57" s="196"/>
      <c r="JMJ57" s="196"/>
      <c r="JMK57" s="196"/>
      <c r="JML57" s="196"/>
      <c r="JMM57" s="196"/>
      <c r="JMN57" s="196"/>
      <c r="JMO57" s="196"/>
      <c r="JMP57" s="196"/>
      <c r="JMQ57" s="196"/>
      <c r="JMR57" s="196"/>
      <c r="JMS57" s="196"/>
      <c r="JMT57" s="196"/>
      <c r="JMU57" s="196"/>
      <c r="JMV57" s="196"/>
      <c r="JMW57" s="196"/>
      <c r="JMX57" s="196"/>
      <c r="JMY57" s="196"/>
      <c r="JMZ57" s="196"/>
      <c r="JNA57" s="196"/>
      <c r="JNB57" s="196"/>
      <c r="JNC57" s="196"/>
      <c r="JND57" s="196"/>
      <c r="JNE57" s="196"/>
      <c r="JNF57" s="196"/>
      <c r="JNG57" s="196"/>
      <c r="JNH57" s="196"/>
      <c r="JNI57" s="196"/>
      <c r="JNJ57" s="196"/>
      <c r="JNK57" s="196"/>
      <c r="JNL57" s="196"/>
      <c r="JNM57" s="196"/>
      <c r="JNN57" s="196"/>
      <c r="JNO57" s="196"/>
      <c r="JNP57" s="196"/>
      <c r="JNQ57" s="196"/>
      <c r="JNR57" s="196"/>
      <c r="JNS57" s="196"/>
      <c r="JNT57" s="196"/>
      <c r="JNU57" s="196"/>
      <c r="JNV57" s="196"/>
      <c r="JNW57" s="196"/>
      <c r="JNX57" s="196"/>
      <c r="JNY57" s="196"/>
      <c r="JNZ57" s="196"/>
      <c r="JOA57" s="196"/>
      <c r="JOB57" s="196"/>
      <c r="JOC57" s="196"/>
      <c r="JOD57" s="196"/>
      <c r="JOE57" s="196"/>
      <c r="JOF57" s="196"/>
      <c r="JOG57" s="196"/>
      <c r="JOH57" s="196"/>
      <c r="JOI57" s="196"/>
      <c r="JOJ57" s="196"/>
      <c r="JOK57" s="196"/>
      <c r="JOL57" s="196"/>
      <c r="JOM57" s="196"/>
      <c r="JON57" s="196"/>
      <c r="JOO57" s="196"/>
      <c r="JOP57" s="196"/>
      <c r="JOQ57" s="196"/>
      <c r="JOR57" s="196"/>
      <c r="JOS57" s="196"/>
      <c r="JOT57" s="196"/>
      <c r="JOU57" s="196"/>
      <c r="JOV57" s="196"/>
      <c r="JOW57" s="196"/>
      <c r="JOX57" s="196"/>
      <c r="JOY57" s="196"/>
      <c r="JOZ57" s="196"/>
      <c r="JPA57" s="196"/>
      <c r="JPB57" s="196"/>
      <c r="JPC57" s="196"/>
      <c r="JPD57" s="196"/>
      <c r="JPE57" s="196"/>
      <c r="JPF57" s="196"/>
      <c r="JPG57" s="196"/>
      <c r="JPH57" s="196"/>
      <c r="JPI57" s="196"/>
      <c r="JPJ57" s="196"/>
      <c r="JPK57" s="196"/>
      <c r="JPL57" s="196"/>
      <c r="JPM57" s="196"/>
      <c r="JPN57" s="196"/>
      <c r="JPO57" s="196"/>
      <c r="JPP57" s="196"/>
      <c r="JPQ57" s="196"/>
      <c r="JPR57" s="196"/>
      <c r="JPS57" s="196"/>
      <c r="JPT57" s="196"/>
      <c r="JPU57" s="196"/>
      <c r="JPV57" s="196"/>
      <c r="JPW57" s="196"/>
      <c r="JPX57" s="196"/>
      <c r="JPY57" s="196"/>
      <c r="JPZ57" s="196"/>
      <c r="JQA57" s="196"/>
      <c r="JQB57" s="196"/>
      <c r="JQC57" s="196"/>
      <c r="JQD57" s="196"/>
      <c r="JQE57" s="196"/>
      <c r="JQF57" s="196"/>
      <c r="JQG57" s="196"/>
      <c r="JQH57" s="196"/>
      <c r="JQI57" s="196"/>
      <c r="JQJ57" s="196"/>
      <c r="JQK57" s="196"/>
      <c r="JQL57" s="196"/>
      <c r="JQM57" s="196"/>
      <c r="JQN57" s="196"/>
      <c r="JQO57" s="196"/>
      <c r="JQP57" s="196"/>
      <c r="JQQ57" s="196"/>
      <c r="JQR57" s="196"/>
      <c r="JQS57" s="196"/>
      <c r="JQT57" s="196"/>
      <c r="JQU57" s="196"/>
      <c r="JQV57" s="196"/>
      <c r="JQW57" s="196"/>
      <c r="JQX57" s="196"/>
      <c r="JQY57" s="196"/>
      <c r="JQZ57" s="196"/>
      <c r="JRA57" s="196"/>
      <c r="JRB57" s="196"/>
      <c r="JRC57" s="196"/>
      <c r="JRD57" s="196"/>
      <c r="JRE57" s="196"/>
      <c r="JRF57" s="196"/>
      <c r="JRG57" s="196"/>
      <c r="JRH57" s="196"/>
      <c r="JRI57" s="196"/>
      <c r="JRJ57" s="196"/>
      <c r="JRK57" s="196"/>
      <c r="JRL57" s="196"/>
      <c r="JRM57" s="196"/>
      <c r="JRN57" s="196"/>
      <c r="JRO57" s="196"/>
      <c r="JRP57" s="196"/>
      <c r="JRQ57" s="196"/>
      <c r="JRR57" s="196"/>
      <c r="JRS57" s="196"/>
      <c r="JRT57" s="196"/>
      <c r="JRU57" s="196"/>
      <c r="JRV57" s="196"/>
      <c r="JRW57" s="196"/>
      <c r="JRX57" s="196"/>
      <c r="JRY57" s="196"/>
      <c r="JRZ57" s="196"/>
      <c r="JSA57" s="196"/>
      <c r="JSB57" s="196"/>
      <c r="JSC57" s="196"/>
      <c r="JSD57" s="196"/>
      <c r="JSE57" s="196"/>
      <c r="JSF57" s="196"/>
      <c r="JSG57" s="196"/>
      <c r="JSH57" s="196"/>
      <c r="JSI57" s="196"/>
      <c r="JSJ57" s="196"/>
      <c r="JSK57" s="196"/>
      <c r="JSL57" s="196"/>
      <c r="JSM57" s="196"/>
      <c r="JSN57" s="196"/>
      <c r="JSO57" s="196"/>
      <c r="JSP57" s="196"/>
      <c r="JSQ57" s="196"/>
      <c r="JSR57" s="196"/>
      <c r="JSS57" s="196"/>
      <c r="JST57" s="196"/>
      <c r="JSU57" s="196"/>
      <c r="JSV57" s="196"/>
      <c r="JSW57" s="196"/>
      <c r="JSX57" s="196"/>
      <c r="JSY57" s="196"/>
      <c r="JSZ57" s="196"/>
      <c r="JTA57" s="196"/>
      <c r="JTB57" s="196"/>
      <c r="JTC57" s="196"/>
      <c r="JTD57" s="196"/>
      <c r="JTE57" s="196"/>
      <c r="JTF57" s="196"/>
      <c r="JTG57" s="196"/>
      <c r="JTH57" s="196"/>
      <c r="JTI57" s="196"/>
      <c r="JTJ57" s="196"/>
      <c r="JTK57" s="196"/>
      <c r="JTL57" s="196"/>
      <c r="JTM57" s="196"/>
      <c r="JTN57" s="196"/>
      <c r="JTO57" s="196"/>
      <c r="JTP57" s="196"/>
      <c r="JTQ57" s="196"/>
      <c r="JTR57" s="196"/>
      <c r="JTS57" s="196"/>
      <c r="JTT57" s="196"/>
      <c r="JTU57" s="196"/>
      <c r="JTV57" s="196"/>
      <c r="JTW57" s="196"/>
      <c r="JTX57" s="196"/>
      <c r="JTY57" s="196"/>
      <c r="JTZ57" s="196"/>
      <c r="JUA57" s="196"/>
      <c r="JUB57" s="196"/>
      <c r="JUC57" s="196"/>
      <c r="JUD57" s="196"/>
      <c r="JUE57" s="196"/>
      <c r="JUF57" s="196"/>
      <c r="JUG57" s="196"/>
      <c r="JUH57" s="196"/>
      <c r="JUI57" s="196"/>
      <c r="JUJ57" s="196"/>
      <c r="JUK57" s="196"/>
      <c r="JUL57" s="196"/>
      <c r="JUM57" s="196"/>
      <c r="JUN57" s="196"/>
      <c r="JUO57" s="196"/>
      <c r="JUP57" s="196"/>
      <c r="JUQ57" s="196"/>
      <c r="JUR57" s="196"/>
      <c r="JUS57" s="196"/>
      <c r="JUT57" s="196"/>
      <c r="JUU57" s="196"/>
      <c r="JUV57" s="196"/>
      <c r="JUW57" s="196"/>
      <c r="JUX57" s="196"/>
      <c r="JUY57" s="196"/>
      <c r="JUZ57" s="196"/>
      <c r="JVA57" s="196"/>
      <c r="JVB57" s="196"/>
      <c r="JVC57" s="196"/>
      <c r="JVD57" s="196"/>
      <c r="JVE57" s="196"/>
      <c r="JVF57" s="196"/>
      <c r="JVG57" s="196"/>
      <c r="JVH57" s="196"/>
      <c r="JVI57" s="196"/>
      <c r="JVJ57" s="196"/>
      <c r="JVK57" s="196"/>
      <c r="JVL57" s="196"/>
      <c r="JVM57" s="196"/>
      <c r="JVN57" s="196"/>
      <c r="JVO57" s="196"/>
      <c r="JVP57" s="196"/>
      <c r="JVQ57" s="196"/>
      <c r="JVR57" s="196"/>
      <c r="JVS57" s="196"/>
      <c r="JVT57" s="196"/>
      <c r="JVU57" s="196"/>
      <c r="JVV57" s="196"/>
      <c r="JVW57" s="196"/>
      <c r="JVX57" s="196"/>
      <c r="JVY57" s="196"/>
      <c r="JVZ57" s="196"/>
      <c r="JWA57" s="196"/>
      <c r="JWB57" s="196"/>
      <c r="JWC57" s="196"/>
      <c r="JWD57" s="196"/>
      <c r="JWE57" s="196"/>
      <c r="JWF57" s="196"/>
      <c r="JWG57" s="196"/>
      <c r="JWH57" s="196"/>
      <c r="JWI57" s="196"/>
      <c r="JWJ57" s="196"/>
      <c r="JWK57" s="196"/>
      <c r="JWL57" s="196"/>
      <c r="JWM57" s="196"/>
      <c r="JWN57" s="196"/>
      <c r="JWO57" s="196"/>
      <c r="JWP57" s="196"/>
      <c r="JWQ57" s="196"/>
      <c r="JWR57" s="196"/>
      <c r="JWS57" s="196"/>
      <c r="JWT57" s="196"/>
      <c r="JWU57" s="196"/>
      <c r="JWV57" s="196"/>
      <c r="JWW57" s="196"/>
      <c r="JWX57" s="196"/>
      <c r="JWY57" s="196"/>
      <c r="JWZ57" s="196"/>
      <c r="JXA57" s="196"/>
      <c r="JXB57" s="196"/>
      <c r="JXC57" s="196"/>
      <c r="JXD57" s="196"/>
      <c r="JXE57" s="196"/>
      <c r="JXF57" s="196"/>
      <c r="JXG57" s="196"/>
      <c r="JXH57" s="196"/>
      <c r="JXI57" s="196"/>
      <c r="JXJ57" s="196"/>
      <c r="JXK57" s="196"/>
      <c r="JXL57" s="196"/>
      <c r="JXM57" s="196"/>
      <c r="JXN57" s="196"/>
      <c r="JXO57" s="196"/>
      <c r="JXP57" s="196"/>
      <c r="JXQ57" s="196"/>
      <c r="JXR57" s="196"/>
      <c r="JXS57" s="196"/>
      <c r="JXT57" s="196"/>
      <c r="JXU57" s="196"/>
      <c r="JXV57" s="196"/>
      <c r="JXW57" s="196"/>
      <c r="JXX57" s="196"/>
      <c r="JXY57" s="196"/>
      <c r="JXZ57" s="196"/>
      <c r="JYA57" s="196"/>
      <c r="JYB57" s="196"/>
      <c r="JYC57" s="196"/>
      <c r="JYD57" s="196"/>
      <c r="JYE57" s="196"/>
      <c r="JYF57" s="196"/>
      <c r="JYG57" s="196"/>
      <c r="JYH57" s="196"/>
      <c r="JYI57" s="196"/>
      <c r="JYJ57" s="196"/>
      <c r="JYK57" s="196"/>
      <c r="JYL57" s="196"/>
      <c r="JYM57" s="196"/>
      <c r="JYN57" s="196"/>
      <c r="JYO57" s="196"/>
      <c r="JYP57" s="196"/>
      <c r="JYQ57" s="196"/>
      <c r="JYR57" s="196"/>
      <c r="JYS57" s="196"/>
      <c r="JYT57" s="196"/>
      <c r="JYU57" s="196"/>
      <c r="JYV57" s="196"/>
      <c r="JYW57" s="196"/>
      <c r="JYX57" s="196"/>
      <c r="JYY57" s="196"/>
      <c r="JYZ57" s="196"/>
      <c r="JZA57" s="196"/>
      <c r="JZB57" s="196"/>
      <c r="JZC57" s="196"/>
      <c r="JZD57" s="196"/>
      <c r="JZE57" s="196"/>
      <c r="JZF57" s="196"/>
      <c r="JZG57" s="196"/>
      <c r="JZH57" s="196"/>
      <c r="JZI57" s="196"/>
      <c r="JZJ57" s="196"/>
      <c r="JZK57" s="196"/>
      <c r="JZL57" s="196"/>
      <c r="JZM57" s="196"/>
      <c r="JZN57" s="196"/>
      <c r="JZO57" s="196"/>
      <c r="JZP57" s="196"/>
      <c r="JZQ57" s="196"/>
      <c r="JZR57" s="196"/>
      <c r="JZS57" s="196"/>
      <c r="JZT57" s="196"/>
      <c r="JZU57" s="196"/>
      <c r="JZV57" s="196"/>
      <c r="JZW57" s="196"/>
      <c r="JZX57" s="196"/>
      <c r="JZY57" s="196"/>
      <c r="JZZ57" s="196"/>
      <c r="KAA57" s="196"/>
      <c r="KAB57" s="196"/>
      <c r="KAC57" s="196"/>
      <c r="KAD57" s="196"/>
      <c r="KAE57" s="196"/>
      <c r="KAF57" s="196"/>
      <c r="KAG57" s="196"/>
      <c r="KAH57" s="196"/>
      <c r="KAI57" s="196"/>
      <c r="KAJ57" s="196"/>
      <c r="KAK57" s="196"/>
      <c r="KAL57" s="196"/>
      <c r="KAM57" s="196"/>
      <c r="KAN57" s="196"/>
      <c r="KAO57" s="196"/>
      <c r="KAP57" s="196"/>
      <c r="KAQ57" s="196"/>
      <c r="KAR57" s="196"/>
      <c r="KAS57" s="196"/>
      <c r="KAT57" s="196"/>
      <c r="KAU57" s="196"/>
      <c r="KAV57" s="196"/>
      <c r="KAW57" s="196"/>
      <c r="KAX57" s="196"/>
      <c r="KAY57" s="196"/>
      <c r="KAZ57" s="196"/>
      <c r="KBA57" s="196"/>
      <c r="KBB57" s="196"/>
      <c r="KBC57" s="196"/>
      <c r="KBD57" s="196"/>
      <c r="KBE57" s="196"/>
      <c r="KBF57" s="196"/>
      <c r="KBG57" s="196"/>
      <c r="KBH57" s="196"/>
      <c r="KBI57" s="196"/>
      <c r="KBJ57" s="196"/>
      <c r="KBK57" s="196"/>
      <c r="KBL57" s="196"/>
      <c r="KBM57" s="196"/>
      <c r="KBN57" s="196"/>
      <c r="KBO57" s="196"/>
      <c r="KBP57" s="196"/>
      <c r="KBQ57" s="196"/>
      <c r="KBR57" s="196"/>
      <c r="KBS57" s="196"/>
      <c r="KBT57" s="196"/>
      <c r="KBU57" s="196"/>
      <c r="KBV57" s="196"/>
      <c r="KBW57" s="196"/>
      <c r="KBX57" s="196"/>
      <c r="KBY57" s="196"/>
      <c r="KBZ57" s="196"/>
      <c r="KCA57" s="196"/>
      <c r="KCB57" s="196"/>
      <c r="KCC57" s="196"/>
      <c r="KCD57" s="196"/>
      <c r="KCE57" s="196"/>
      <c r="KCF57" s="196"/>
      <c r="KCG57" s="196"/>
      <c r="KCH57" s="196"/>
      <c r="KCI57" s="196"/>
      <c r="KCJ57" s="196"/>
      <c r="KCK57" s="196"/>
      <c r="KCL57" s="196"/>
      <c r="KCM57" s="196"/>
      <c r="KCN57" s="196"/>
      <c r="KCO57" s="196"/>
      <c r="KCP57" s="196"/>
      <c r="KCQ57" s="196"/>
      <c r="KCR57" s="196"/>
      <c r="KCS57" s="196"/>
      <c r="KCT57" s="196"/>
      <c r="KCU57" s="196"/>
      <c r="KCV57" s="196"/>
      <c r="KCW57" s="196"/>
      <c r="KCX57" s="196"/>
      <c r="KCY57" s="196"/>
      <c r="KCZ57" s="196"/>
      <c r="KDA57" s="196"/>
      <c r="KDB57" s="196"/>
      <c r="KDC57" s="196"/>
      <c r="KDD57" s="196"/>
      <c r="KDE57" s="196"/>
      <c r="KDF57" s="196"/>
      <c r="KDG57" s="196"/>
      <c r="KDH57" s="196"/>
      <c r="KDI57" s="196"/>
      <c r="KDJ57" s="196"/>
      <c r="KDK57" s="196"/>
      <c r="KDL57" s="196"/>
      <c r="KDM57" s="196"/>
      <c r="KDN57" s="196"/>
      <c r="KDO57" s="196"/>
      <c r="KDP57" s="196"/>
      <c r="KDQ57" s="196"/>
      <c r="KDR57" s="196"/>
      <c r="KDS57" s="196"/>
      <c r="KDT57" s="196"/>
      <c r="KDU57" s="196"/>
      <c r="KDV57" s="196"/>
      <c r="KDW57" s="196"/>
      <c r="KDX57" s="196"/>
      <c r="KDY57" s="196"/>
      <c r="KDZ57" s="196"/>
      <c r="KEA57" s="196"/>
      <c r="KEB57" s="196"/>
      <c r="KEC57" s="196"/>
      <c r="KED57" s="196"/>
      <c r="KEE57" s="196"/>
      <c r="KEF57" s="196"/>
      <c r="KEG57" s="196"/>
      <c r="KEH57" s="196"/>
      <c r="KEI57" s="196"/>
      <c r="KEJ57" s="196"/>
      <c r="KEK57" s="196"/>
      <c r="KEL57" s="196"/>
      <c r="KEM57" s="196"/>
      <c r="KEN57" s="196"/>
      <c r="KEO57" s="196"/>
      <c r="KEP57" s="196"/>
      <c r="KEQ57" s="196"/>
      <c r="KER57" s="196"/>
      <c r="KES57" s="196"/>
      <c r="KET57" s="196"/>
      <c r="KEU57" s="196"/>
      <c r="KEV57" s="196"/>
      <c r="KEW57" s="196"/>
      <c r="KEX57" s="196"/>
      <c r="KEY57" s="196"/>
      <c r="KEZ57" s="196"/>
      <c r="KFA57" s="196"/>
      <c r="KFB57" s="196"/>
      <c r="KFC57" s="196"/>
      <c r="KFD57" s="196"/>
      <c r="KFE57" s="196"/>
      <c r="KFF57" s="196"/>
      <c r="KFG57" s="196"/>
      <c r="KFH57" s="196"/>
      <c r="KFI57" s="196"/>
      <c r="KFJ57" s="196"/>
      <c r="KFK57" s="196"/>
      <c r="KFL57" s="196"/>
      <c r="KFM57" s="196"/>
      <c r="KFN57" s="196"/>
      <c r="KFO57" s="196"/>
      <c r="KFP57" s="196"/>
      <c r="KFQ57" s="196"/>
      <c r="KFR57" s="196"/>
      <c r="KFS57" s="196"/>
      <c r="KFT57" s="196"/>
      <c r="KFU57" s="196"/>
      <c r="KFV57" s="196"/>
      <c r="KFW57" s="196"/>
      <c r="KFX57" s="196"/>
      <c r="KFY57" s="196"/>
      <c r="KFZ57" s="196"/>
      <c r="KGA57" s="196"/>
      <c r="KGB57" s="196"/>
      <c r="KGC57" s="196"/>
      <c r="KGD57" s="196"/>
      <c r="KGE57" s="196"/>
      <c r="KGF57" s="196"/>
      <c r="KGG57" s="196"/>
      <c r="KGH57" s="196"/>
      <c r="KGI57" s="196"/>
      <c r="KGJ57" s="196"/>
      <c r="KGK57" s="196"/>
      <c r="KGL57" s="196"/>
      <c r="KGM57" s="196"/>
      <c r="KGN57" s="196"/>
      <c r="KGO57" s="196"/>
      <c r="KGP57" s="196"/>
      <c r="KGQ57" s="196"/>
      <c r="KGR57" s="196"/>
      <c r="KGS57" s="196"/>
      <c r="KGT57" s="196"/>
      <c r="KGU57" s="196"/>
      <c r="KGV57" s="196"/>
      <c r="KGW57" s="196"/>
      <c r="KGX57" s="196"/>
      <c r="KGY57" s="196"/>
      <c r="KGZ57" s="196"/>
      <c r="KHA57" s="196"/>
      <c r="KHB57" s="196"/>
      <c r="KHC57" s="196"/>
      <c r="KHD57" s="196"/>
      <c r="KHE57" s="196"/>
      <c r="KHF57" s="196"/>
      <c r="KHG57" s="196"/>
      <c r="KHH57" s="196"/>
      <c r="KHI57" s="196"/>
      <c r="KHJ57" s="196"/>
      <c r="KHK57" s="196"/>
      <c r="KHL57" s="196"/>
      <c r="KHM57" s="196"/>
      <c r="KHN57" s="196"/>
      <c r="KHO57" s="196"/>
      <c r="KHP57" s="196"/>
      <c r="KHQ57" s="196"/>
      <c r="KHR57" s="196"/>
      <c r="KHS57" s="196"/>
      <c r="KHT57" s="196"/>
      <c r="KHU57" s="196"/>
      <c r="KHV57" s="196"/>
      <c r="KHW57" s="196"/>
      <c r="KHX57" s="196"/>
      <c r="KHY57" s="196"/>
      <c r="KHZ57" s="196"/>
      <c r="KIA57" s="196"/>
      <c r="KIB57" s="196"/>
      <c r="KIC57" s="196"/>
      <c r="KID57" s="196"/>
      <c r="KIE57" s="196"/>
      <c r="KIF57" s="196"/>
      <c r="KIG57" s="196"/>
      <c r="KIH57" s="196"/>
      <c r="KII57" s="196"/>
      <c r="KIJ57" s="196"/>
      <c r="KIK57" s="196"/>
      <c r="KIL57" s="196"/>
      <c r="KIM57" s="196"/>
      <c r="KIN57" s="196"/>
      <c r="KIO57" s="196"/>
      <c r="KIP57" s="196"/>
      <c r="KIQ57" s="196"/>
      <c r="KIR57" s="196"/>
      <c r="KIS57" s="196"/>
      <c r="KIT57" s="196"/>
      <c r="KIU57" s="196"/>
      <c r="KIV57" s="196"/>
      <c r="KIW57" s="196"/>
      <c r="KIX57" s="196"/>
      <c r="KIY57" s="196"/>
      <c r="KIZ57" s="196"/>
      <c r="KJA57" s="196"/>
      <c r="KJB57" s="196"/>
      <c r="KJC57" s="196"/>
      <c r="KJD57" s="196"/>
      <c r="KJE57" s="196"/>
      <c r="KJF57" s="196"/>
      <c r="KJG57" s="196"/>
      <c r="KJH57" s="196"/>
      <c r="KJI57" s="196"/>
      <c r="KJJ57" s="196"/>
      <c r="KJK57" s="196"/>
      <c r="KJL57" s="196"/>
      <c r="KJM57" s="196"/>
      <c r="KJN57" s="196"/>
      <c r="KJO57" s="196"/>
      <c r="KJP57" s="196"/>
      <c r="KJQ57" s="196"/>
      <c r="KJR57" s="196"/>
      <c r="KJS57" s="196"/>
      <c r="KJT57" s="196"/>
      <c r="KJU57" s="196"/>
      <c r="KJV57" s="196"/>
      <c r="KJW57" s="196"/>
      <c r="KJX57" s="196"/>
      <c r="KJY57" s="196"/>
      <c r="KJZ57" s="196"/>
      <c r="KKA57" s="196"/>
      <c r="KKB57" s="196"/>
      <c r="KKC57" s="196"/>
      <c r="KKD57" s="196"/>
      <c r="KKE57" s="196"/>
      <c r="KKF57" s="196"/>
      <c r="KKG57" s="196"/>
      <c r="KKH57" s="196"/>
      <c r="KKI57" s="196"/>
      <c r="KKJ57" s="196"/>
      <c r="KKK57" s="196"/>
      <c r="KKL57" s="196"/>
      <c r="KKM57" s="196"/>
      <c r="KKN57" s="196"/>
      <c r="KKO57" s="196"/>
      <c r="KKP57" s="196"/>
      <c r="KKQ57" s="196"/>
      <c r="KKR57" s="196"/>
      <c r="KKS57" s="196"/>
      <c r="KKT57" s="196"/>
      <c r="KKU57" s="196"/>
      <c r="KKV57" s="196"/>
      <c r="KKW57" s="196"/>
      <c r="KKX57" s="196"/>
      <c r="KKY57" s="196"/>
      <c r="KKZ57" s="196"/>
      <c r="KLA57" s="196"/>
      <c r="KLB57" s="196"/>
      <c r="KLC57" s="196"/>
      <c r="KLD57" s="196"/>
      <c r="KLE57" s="196"/>
      <c r="KLF57" s="196"/>
      <c r="KLG57" s="196"/>
      <c r="KLH57" s="196"/>
      <c r="KLI57" s="196"/>
      <c r="KLJ57" s="196"/>
      <c r="KLK57" s="196"/>
      <c r="KLL57" s="196"/>
      <c r="KLM57" s="196"/>
      <c r="KLN57" s="196"/>
      <c r="KLO57" s="196"/>
      <c r="KLP57" s="196"/>
      <c r="KLQ57" s="196"/>
      <c r="KLR57" s="196"/>
      <c r="KLS57" s="196"/>
      <c r="KLT57" s="196"/>
      <c r="KLU57" s="196"/>
      <c r="KLV57" s="196"/>
      <c r="KLW57" s="196"/>
      <c r="KLX57" s="196"/>
      <c r="KLY57" s="196"/>
      <c r="KLZ57" s="196"/>
      <c r="KMA57" s="196"/>
      <c r="KMB57" s="196"/>
      <c r="KMC57" s="196"/>
      <c r="KMD57" s="196"/>
      <c r="KME57" s="196"/>
      <c r="KMF57" s="196"/>
      <c r="KMG57" s="196"/>
      <c r="KMH57" s="196"/>
      <c r="KMI57" s="196"/>
      <c r="KMJ57" s="196"/>
      <c r="KMK57" s="196"/>
      <c r="KML57" s="196"/>
      <c r="KMM57" s="196"/>
      <c r="KMN57" s="196"/>
      <c r="KMO57" s="196"/>
      <c r="KMP57" s="196"/>
      <c r="KMQ57" s="196"/>
      <c r="KMR57" s="196"/>
      <c r="KMS57" s="196"/>
      <c r="KMT57" s="196"/>
      <c r="KMU57" s="196"/>
      <c r="KMV57" s="196"/>
      <c r="KMW57" s="196"/>
      <c r="KMX57" s="196"/>
      <c r="KMY57" s="196"/>
      <c r="KMZ57" s="196"/>
      <c r="KNA57" s="196"/>
      <c r="KNB57" s="196"/>
      <c r="KNC57" s="196"/>
      <c r="KND57" s="196"/>
      <c r="KNE57" s="196"/>
      <c r="KNF57" s="196"/>
      <c r="KNG57" s="196"/>
      <c r="KNH57" s="196"/>
      <c r="KNI57" s="196"/>
      <c r="KNJ57" s="196"/>
      <c r="KNK57" s="196"/>
      <c r="KNL57" s="196"/>
      <c r="KNM57" s="196"/>
      <c r="KNN57" s="196"/>
      <c r="KNO57" s="196"/>
      <c r="KNP57" s="196"/>
      <c r="KNQ57" s="196"/>
      <c r="KNR57" s="196"/>
      <c r="KNS57" s="196"/>
      <c r="KNT57" s="196"/>
      <c r="KNU57" s="196"/>
      <c r="KNV57" s="196"/>
      <c r="KNW57" s="196"/>
      <c r="KNX57" s="196"/>
      <c r="KNY57" s="196"/>
      <c r="KNZ57" s="196"/>
      <c r="KOA57" s="196"/>
      <c r="KOB57" s="196"/>
      <c r="KOC57" s="196"/>
      <c r="KOD57" s="196"/>
      <c r="KOE57" s="196"/>
      <c r="KOF57" s="196"/>
      <c r="KOG57" s="196"/>
      <c r="KOH57" s="196"/>
      <c r="KOI57" s="196"/>
      <c r="KOJ57" s="196"/>
      <c r="KOK57" s="196"/>
      <c r="KOL57" s="196"/>
      <c r="KOM57" s="196"/>
      <c r="KON57" s="196"/>
      <c r="KOO57" s="196"/>
      <c r="KOP57" s="196"/>
      <c r="KOQ57" s="196"/>
      <c r="KOR57" s="196"/>
      <c r="KOS57" s="196"/>
      <c r="KOT57" s="196"/>
      <c r="KOU57" s="196"/>
      <c r="KOV57" s="196"/>
      <c r="KOW57" s="196"/>
      <c r="KOX57" s="196"/>
      <c r="KOY57" s="196"/>
      <c r="KOZ57" s="196"/>
      <c r="KPA57" s="196"/>
      <c r="KPB57" s="196"/>
      <c r="KPC57" s="196"/>
      <c r="KPD57" s="196"/>
      <c r="KPE57" s="196"/>
      <c r="KPF57" s="196"/>
      <c r="KPG57" s="196"/>
      <c r="KPH57" s="196"/>
      <c r="KPI57" s="196"/>
      <c r="KPJ57" s="196"/>
      <c r="KPK57" s="196"/>
      <c r="KPL57" s="196"/>
      <c r="KPM57" s="196"/>
      <c r="KPN57" s="196"/>
      <c r="KPO57" s="196"/>
      <c r="KPP57" s="196"/>
      <c r="KPQ57" s="196"/>
      <c r="KPR57" s="196"/>
      <c r="KPS57" s="196"/>
      <c r="KPT57" s="196"/>
      <c r="KPU57" s="196"/>
      <c r="KPV57" s="196"/>
      <c r="KPW57" s="196"/>
      <c r="KPX57" s="196"/>
      <c r="KPY57" s="196"/>
      <c r="KPZ57" s="196"/>
      <c r="KQA57" s="196"/>
      <c r="KQB57" s="196"/>
      <c r="KQC57" s="196"/>
      <c r="KQD57" s="196"/>
      <c r="KQE57" s="196"/>
      <c r="KQF57" s="196"/>
      <c r="KQG57" s="196"/>
      <c r="KQH57" s="196"/>
      <c r="KQI57" s="196"/>
      <c r="KQJ57" s="196"/>
      <c r="KQK57" s="196"/>
      <c r="KQL57" s="196"/>
      <c r="KQM57" s="196"/>
      <c r="KQN57" s="196"/>
      <c r="KQO57" s="196"/>
      <c r="KQP57" s="196"/>
      <c r="KQQ57" s="196"/>
      <c r="KQR57" s="196"/>
      <c r="KQS57" s="196"/>
      <c r="KQT57" s="196"/>
      <c r="KQU57" s="196"/>
      <c r="KQV57" s="196"/>
      <c r="KQW57" s="196"/>
      <c r="KQX57" s="196"/>
      <c r="KQY57" s="196"/>
      <c r="KQZ57" s="196"/>
      <c r="KRA57" s="196"/>
      <c r="KRB57" s="196"/>
      <c r="KRC57" s="196"/>
      <c r="KRD57" s="196"/>
      <c r="KRE57" s="196"/>
      <c r="KRF57" s="196"/>
      <c r="KRG57" s="196"/>
      <c r="KRH57" s="196"/>
      <c r="KRI57" s="196"/>
      <c r="KRJ57" s="196"/>
      <c r="KRK57" s="196"/>
      <c r="KRL57" s="196"/>
      <c r="KRM57" s="196"/>
      <c r="KRN57" s="196"/>
      <c r="KRO57" s="196"/>
      <c r="KRP57" s="196"/>
      <c r="KRQ57" s="196"/>
      <c r="KRR57" s="196"/>
      <c r="KRS57" s="196"/>
      <c r="KRT57" s="196"/>
      <c r="KRU57" s="196"/>
      <c r="KRV57" s="196"/>
      <c r="KRW57" s="196"/>
      <c r="KRX57" s="196"/>
      <c r="KRY57" s="196"/>
      <c r="KRZ57" s="196"/>
      <c r="KSA57" s="196"/>
      <c r="KSB57" s="196"/>
      <c r="KSC57" s="196"/>
      <c r="KSD57" s="196"/>
      <c r="KSE57" s="196"/>
      <c r="KSF57" s="196"/>
      <c r="KSG57" s="196"/>
      <c r="KSH57" s="196"/>
      <c r="KSI57" s="196"/>
      <c r="KSJ57" s="196"/>
      <c r="KSK57" s="196"/>
      <c r="KSL57" s="196"/>
      <c r="KSM57" s="196"/>
      <c r="KSN57" s="196"/>
      <c r="KSO57" s="196"/>
      <c r="KSP57" s="196"/>
      <c r="KSQ57" s="196"/>
      <c r="KSR57" s="196"/>
      <c r="KSS57" s="196"/>
      <c r="KST57" s="196"/>
      <c r="KSU57" s="196"/>
      <c r="KSV57" s="196"/>
      <c r="KSW57" s="196"/>
      <c r="KSX57" s="196"/>
      <c r="KSY57" s="196"/>
      <c r="KSZ57" s="196"/>
      <c r="KTA57" s="196"/>
      <c r="KTB57" s="196"/>
      <c r="KTC57" s="196"/>
      <c r="KTD57" s="196"/>
      <c r="KTE57" s="196"/>
      <c r="KTF57" s="196"/>
      <c r="KTG57" s="196"/>
      <c r="KTH57" s="196"/>
      <c r="KTI57" s="196"/>
      <c r="KTJ57" s="196"/>
      <c r="KTK57" s="196"/>
      <c r="KTL57" s="196"/>
      <c r="KTM57" s="196"/>
      <c r="KTN57" s="196"/>
      <c r="KTO57" s="196"/>
      <c r="KTP57" s="196"/>
      <c r="KTQ57" s="196"/>
      <c r="KTR57" s="196"/>
      <c r="KTS57" s="196"/>
      <c r="KTT57" s="196"/>
      <c r="KTU57" s="196"/>
      <c r="KTV57" s="196"/>
      <c r="KTW57" s="196"/>
      <c r="KTX57" s="196"/>
      <c r="KTY57" s="196"/>
      <c r="KTZ57" s="196"/>
      <c r="KUA57" s="196"/>
      <c r="KUB57" s="196"/>
      <c r="KUC57" s="196"/>
      <c r="KUD57" s="196"/>
      <c r="KUE57" s="196"/>
      <c r="KUF57" s="196"/>
      <c r="KUG57" s="196"/>
      <c r="KUH57" s="196"/>
      <c r="KUI57" s="196"/>
      <c r="KUJ57" s="196"/>
      <c r="KUK57" s="196"/>
      <c r="KUL57" s="196"/>
      <c r="KUM57" s="196"/>
      <c r="KUN57" s="196"/>
      <c r="KUO57" s="196"/>
      <c r="KUP57" s="196"/>
      <c r="KUQ57" s="196"/>
      <c r="KUR57" s="196"/>
      <c r="KUS57" s="196"/>
      <c r="KUT57" s="196"/>
      <c r="KUU57" s="196"/>
      <c r="KUV57" s="196"/>
      <c r="KUW57" s="196"/>
      <c r="KUX57" s="196"/>
      <c r="KUY57" s="196"/>
      <c r="KUZ57" s="196"/>
      <c r="KVA57" s="196"/>
      <c r="KVB57" s="196"/>
      <c r="KVC57" s="196"/>
      <c r="KVD57" s="196"/>
      <c r="KVE57" s="196"/>
      <c r="KVF57" s="196"/>
      <c r="KVG57" s="196"/>
      <c r="KVH57" s="196"/>
      <c r="KVI57" s="196"/>
      <c r="KVJ57" s="196"/>
      <c r="KVK57" s="196"/>
      <c r="KVL57" s="196"/>
      <c r="KVM57" s="196"/>
      <c r="KVN57" s="196"/>
      <c r="KVO57" s="196"/>
      <c r="KVP57" s="196"/>
      <c r="KVQ57" s="196"/>
      <c r="KVR57" s="196"/>
      <c r="KVS57" s="196"/>
      <c r="KVT57" s="196"/>
      <c r="KVU57" s="196"/>
      <c r="KVV57" s="196"/>
      <c r="KVW57" s="196"/>
      <c r="KVX57" s="196"/>
      <c r="KVY57" s="196"/>
      <c r="KVZ57" s="196"/>
      <c r="KWA57" s="196"/>
      <c r="KWB57" s="196"/>
      <c r="KWC57" s="196"/>
      <c r="KWD57" s="196"/>
      <c r="KWE57" s="196"/>
      <c r="KWF57" s="196"/>
      <c r="KWG57" s="196"/>
      <c r="KWH57" s="196"/>
      <c r="KWI57" s="196"/>
      <c r="KWJ57" s="196"/>
      <c r="KWK57" s="196"/>
      <c r="KWL57" s="196"/>
      <c r="KWM57" s="196"/>
      <c r="KWN57" s="196"/>
      <c r="KWO57" s="196"/>
      <c r="KWP57" s="196"/>
      <c r="KWQ57" s="196"/>
      <c r="KWR57" s="196"/>
      <c r="KWS57" s="196"/>
      <c r="KWT57" s="196"/>
      <c r="KWU57" s="196"/>
      <c r="KWV57" s="196"/>
      <c r="KWW57" s="196"/>
      <c r="KWX57" s="196"/>
      <c r="KWY57" s="196"/>
      <c r="KWZ57" s="196"/>
      <c r="KXA57" s="196"/>
      <c r="KXB57" s="196"/>
      <c r="KXC57" s="196"/>
      <c r="KXD57" s="196"/>
      <c r="KXE57" s="196"/>
      <c r="KXF57" s="196"/>
      <c r="KXG57" s="196"/>
      <c r="KXH57" s="196"/>
      <c r="KXI57" s="196"/>
      <c r="KXJ57" s="196"/>
      <c r="KXK57" s="196"/>
      <c r="KXL57" s="196"/>
      <c r="KXM57" s="196"/>
      <c r="KXN57" s="196"/>
      <c r="KXO57" s="196"/>
      <c r="KXP57" s="196"/>
      <c r="KXQ57" s="196"/>
      <c r="KXR57" s="196"/>
      <c r="KXS57" s="196"/>
      <c r="KXT57" s="196"/>
      <c r="KXU57" s="196"/>
      <c r="KXV57" s="196"/>
      <c r="KXW57" s="196"/>
      <c r="KXX57" s="196"/>
      <c r="KXY57" s="196"/>
      <c r="KXZ57" s="196"/>
      <c r="KYA57" s="196"/>
      <c r="KYB57" s="196"/>
      <c r="KYC57" s="196"/>
      <c r="KYD57" s="196"/>
      <c r="KYE57" s="196"/>
      <c r="KYF57" s="196"/>
      <c r="KYG57" s="196"/>
      <c r="KYH57" s="196"/>
      <c r="KYI57" s="196"/>
      <c r="KYJ57" s="196"/>
      <c r="KYK57" s="196"/>
      <c r="KYL57" s="196"/>
      <c r="KYM57" s="196"/>
      <c r="KYN57" s="196"/>
      <c r="KYO57" s="196"/>
      <c r="KYP57" s="196"/>
      <c r="KYQ57" s="196"/>
      <c r="KYR57" s="196"/>
      <c r="KYS57" s="196"/>
      <c r="KYT57" s="196"/>
      <c r="KYU57" s="196"/>
      <c r="KYV57" s="196"/>
      <c r="KYW57" s="196"/>
      <c r="KYX57" s="196"/>
      <c r="KYY57" s="196"/>
      <c r="KYZ57" s="196"/>
      <c r="KZA57" s="196"/>
      <c r="KZB57" s="196"/>
      <c r="KZC57" s="196"/>
      <c r="KZD57" s="196"/>
      <c r="KZE57" s="196"/>
      <c r="KZF57" s="196"/>
      <c r="KZG57" s="196"/>
      <c r="KZH57" s="196"/>
      <c r="KZI57" s="196"/>
      <c r="KZJ57" s="196"/>
      <c r="KZK57" s="196"/>
      <c r="KZL57" s="196"/>
      <c r="KZM57" s="196"/>
      <c r="KZN57" s="196"/>
      <c r="KZO57" s="196"/>
      <c r="KZP57" s="196"/>
      <c r="KZQ57" s="196"/>
      <c r="KZR57" s="196"/>
      <c r="KZS57" s="196"/>
      <c r="KZT57" s="196"/>
      <c r="KZU57" s="196"/>
      <c r="KZV57" s="196"/>
      <c r="KZW57" s="196"/>
      <c r="KZX57" s="196"/>
      <c r="KZY57" s="196"/>
      <c r="KZZ57" s="196"/>
      <c r="LAA57" s="196"/>
      <c r="LAB57" s="196"/>
      <c r="LAC57" s="196"/>
      <c r="LAD57" s="196"/>
      <c r="LAE57" s="196"/>
      <c r="LAF57" s="196"/>
      <c r="LAG57" s="196"/>
      <c r="LAH57" s="196"/>
      <c r="LAI57" s="196"/>
      <c r="LAJ57" s="196"/>
      <c r="LAK57" s="196"/>
      <c r="LAL57" s="196"/>
      <c r="LAM57" s="196"/>
      <c r="LAN57" s="196"/>
      <c r="LAO57" s="196"/>
      <c r="LAP57" s="196"/>
      <c r="LAQ57" s="196"/>
      <c r="LAR57" s="196"/>
      <c r="LAS57" s="196"/>
      <c r="LAT57" s="196"/>
      <c r="LAU57" s="196"/>
      <c r="LAV57" s="196"/>
      <c r="LAW57" s="196"/>
      <c r="LAX57" s="196"/>
      <c r="LAY57" s="196"/>
      <c r="LAZ57" s="196"/>
      <c r="LBA57" s="196"/>
      <c r="LBB57" s="196"/>
      <c r="LBC57" s="196"/>
      <c r="LBD57" s="196"/>
      <c r="LBE57" s="196"/>
      <c r="LBF57" s="196"/>
      <c r="LBG57" s="196"/>
      <c r="LBH57" s="196"/>
      <c r="LBI57" s="196"/>
      <c r="LBJ57" s="196"/>
      <c r="LBK57" s="196"/>
      <c r="LBL57" s="196"/>
      <c r="LBM57" s="196"/>
      <c r="LBN57" s="196"/>
      <c r="LBO57" s="196"/>
      <c r="LBP57" s="196"/>
      <c r="LBQ57" s="196"/>
      <c r="LBR57" s="196"/>
      <c r="LBS57" s="196"/>
      <c r="LBT57" s="196"/>
      <c r="LBU57" s="196"/>
      <c r="LBV57" s="196"/>
      <c r="LBW57" s="196"/>
      <c r="LBX57" s="196"/>
      <c r="LBY57" s="196"/>
      <c r="LBZ57" s="196"/>
      <c r="LCA57" s="196"/>
      <c r="LCB57" s="196"/>
      <c r="LCC57" s="196"/>
      <c r="LCD57" s="196"/>
      <c r="LCE57" s="196"/>
      <c r="LCF57" s="196"/>
      <c r="LCG57" s="196"/>
      <c r="LCH57" s="196"/>
      <c r="LCI57" s="196"/>
      <c r="LCJ57" s="196"/>
      <c r="LCK57" s="196"/>
      <c r="LCL57" s="196"/>
      <c r="LCM57" s="196"/>
      <c r="LCN57" s="196"/>
      <c r="LCO57" s="196"/>
      <c r="LCP57" s="196"/>
      <c r="LCQ57" s="196"/>
      <c r="LCR57" s="196"/>
      <c r="LCS57" s="196"/>
      <c r="LCT57" s="196"/>
      <c r="LCU57" s="196"/>
      <c r="LCV57" s="196"/>
      <c r="LCW57" s="196"/>
      <c r="LCX57" s="196"/>
      <c r="LCY57" s="196"/>
      <c r="LCZ57" s="196"/>
      <c r="LDA57" s="196"/>
      <c r="LDB57" s="196"/>
      <c r="LDC57" s="196"/>
      <c r="LDD57" s="196"/>
      <c r="LDE57" s="196"/>
      <c r="LDF57" s="196"/>
      <c r="LDG57" s="196"/>
      <c r="LDH57" s="196"/>
      <c r="LDI57" s="196"/>
      <c r="LDJ57" s="196"/>
      <c r="LDK57" s="196"/>
      <c r="LDL57" s="196"/>
      <c r="LDM57" s="196"/>
      <c r="LDN57" s="196"/>
      <c r="LDO57" s="196"/>
      <c r="LDP57" s="196"/>
      <c r="LDQ57" s="196"/>
      <c r="LDR57" s="196"/>
      <c r="LDS57" s="196"/>
      <c r="LDT57" s="196"/>
      <c r="LDU57" s="196"/>
      <c r="LDV57" s="196"/>
      <c r="LDW57" s="196"/>
      <c r="LDX57" s="196"/>
      <c r="LDY57" s="196"/>
      <c r="LDZ57" s="196"/>
      <c r="LEA57" s="196"/>
      <c r="LEB57" s="196"/>
      <c r="LEC57" s="196"/>
      <c r="LED57" s="196"/>
      <c r="LEE57" s="196"/>
      <c r="LEF57" s="196"/>
      <c r="LEG57" s="196"/>
      <c r="LEH57" s="196"/>
      <c r="LEI57" s="196"/>
      <c r="LEJ57" s="196"/>
      <c r="LEK57" s="196"/>
      <c r="LEL57" s="196"/>
      <c r="LEM57" s="196"/>
      <c r="LEN57" s="196"/>
      <c r="LEO57" s="196"/>
      <c r="LEP57" s="196"/>
      <c r="LEQ57" s="196"/>
      <c r="LER57" s="196"/>
      <c r="LES57" s="196"/>
      <c r="LET57" s="196"/>
      <c r="LEU57" s="196"/>
      <c r="LEV57" s="196"/>
      <c r="LEW57" s="196"/>
      <c r="LEX57" s="196"/>
      <c r="LEY57" s="196"/>
      <c r="LEZ57" s="196"/>
      <c r="LFA57" s="196"/>
      <c r="LFB57" s="196"/>
      <c r="LFC57" s="196"/>
      <c r="LFD57" s="196"/>
      <c r="LFE57" s="196"/>
      <c r="LFF57" s="196"/>
      <c r="LFG57" s="196"/>
      <c r="LFH57" s="196"/>
      <c r="LFI57" s="196"/>
      <c r="LFJ57" s="196"/>
      <c r="LFK57" s="196"/>
      <c r="LFL57" s="196"/>
      <c r="LFM57" s="196"/>
      <c r="LFN57" s="196"/>
      <c r="LFO57" s="196"/>
      <c r="LFP57" s="196"/>
      <c r="LFQ57" s="196"/>
      <c r="LFR57" s="196"/>
      <c r="LFS57" s="196"/>
      <c r="LFT57" s="196"/>
      <c r="LFU57" s="196"/>
      <c r="LFV57" s="196"/>
      <c r="LFW57" s="196"/>
      <c r="LFX57" s="196"/>
      <c r="LFY57" s="196"/>
      <c r="LFZ57" s="196"/>
      <c r="LGA57" s="196"/>
      <c r="LGB57" s="196"/>
      <c r="LGC57" s="196"/>
      <c r="LGD57" s="196"/>
      <c r="LGE57" s="196"/>
      <c r="LGF57" s="196"/>
      <c r="LGG57" s="196"/>
      <c r="LGH57" s="196"/>
      <c r="LGI57" s="196"/>
      <c r="LGJ57" s="196"/>
      <c r="LGK57" s="196"/>
      <c r="LGL57" s="196"/>
      <c r="LGM57" s="196"/>
      <c r="LGN57" s="196"/>
      <c r="LGO57" s="196"/>
      <c r="LGP57" s="196"/>
      <c r="LGQ57" s="196"/>
      <c r="LGR57" s="196"/>
      <c r="LGS57" s="196"/>
      <c r="LGT57" s="196"/>
      <c r="LGU57" s="196"/>
      <c r="LGV57" s="196"/>
      <c r="LGW57" s="196"/>
      <c r="LGX57" s="196"/>
      <c r="LGY57" s="196"/>
      <c r="LGZ57" s="196"/>
      <c r="LHA57" s="196"/>
      <c r="LHB57" s="196"/>
      <c r="LHC57" s="196"/>
      <c r="LHD57" s="196"/>
      <c r="LHE57" s="196"/>
      <c r="LHF57" s="196"/>
      <c r="LHG57" s="196"/>
      <c r="LHH57" s="196"/>
      <c r="LHI57" s="196"/>
      <c r="LHJ57" s="196"/>
      <c r="LHK57" s="196"/>
      <c r="LHL57" s="196"/>
      <c r="LHM57" s="196"/>
      <c r="LHN57" s="196"/>
      <c r="LHO57" s="196"/>
      <c r="LHP57" s="196"/>
      <c r="LHQ57" s="196"/>
      <c r="LHR57" s="196"/>
      <c r="LHS57" s="196"/>
      <c r="LHT57" s="196"/>
      <c r="LHU57" s="196"/>
      <c r="LHV57" s="196"/>
      <c r="LHW57" s="196"/>
      <c r="LHX57" s="196"/>
      <c r="LHY57" s="196"/>
      <c r="LHZ57" s="196"/>
      <c r="LIA57" s="196"/>
      <c r="LIB57" s="196"/>
      <c r="LIC57" s="196"/>
      <c r="LID57" s="196"/>
      <c r="LIE57" s="196"/>
      <c r="LIF57" s="196"/>
      <c r="LIG57" s="196"/>
      <c r="LIH57" s="196"/>
      <c r="LII57" s="196"/>
      <c r="LIJ57" s="196"/>
      <c r="LIK57" s="196"/>
      <c r="LIL57" s="196"/>
      <c r="LIM57" s="196"/>
      <c r="LIN57" s="196"/>
      <c r="LIO57" s="196"/>
      <c r="LIP57" s="196"/>
      <c r="LIQ57" s="196"/>
      <c r="LIR57" s="196"/>
      <c r="LIS57" s="196"/>
      <c r="LIT57" s="196"/>
      <c r="LIU57" s="196"/>
      <c r="LIV57" s="196"/>
      <c r="LIW57" s="196"/>
      <c r="LIX57" s="196"/>
      <c r="LIY57" s="196"/>
      <c r="LIZ57" s="196"/>
      <c r="LJA57" s="196"/>
      <c r="LJB57" s="196"/>
      <c r="LJC57" s="196"/>
      <c r="LJD57" s="196"/>
      <c r="LJE57" s="196"/>
      <c r="LJF57" s="196"/>
      <c r="LJG57" s="196"/>
      <c r="LJH57" s="196"/>
      <c r="LJI57" s="196"/>
      <c r="LJJ57" s="196"/>
      <c r="LJK57" s="196"/>
      <c r="LJL57" s="196"/>
      <c r="LJM57" s="196"/>
      <c r="LJN57" s="196"/>
      <c r="LJO57" s="196"/>
      <c r="LJP57" s="196"/>
      <c r="LJQ57" s="196"/>
      <c r="LJR57" s="196"/>
      <c r="LJS57" s="196"/>
      <c r="LJT57" s="196"/>
      <c r="LJU57" s="196"/>
      <c r="LJV57" s="196"/>
      <c r="LJW57" s="196"/>
      <c r="LJX57" s="196"/>
      <c r="LJY57" s="196"/>
      <c r="LJZ57" s="196"/>
      <c r="LKA57" s="196"/>
      <c r="LKB57" s="196"/>
      <c r="LKC57" s="196"/>
      <c r="LKD57" s="196"/>
      <c r="LKE57" s="196"/>
      <c r="LKF57" s="196"/>
      <c r="LKG57" s="196"/>
      <c r="LKH57" s="196"/>
      <c r="LKI57" s="196"/>
      <c r="LKJ57" s="196"/>
      <c r="LKK57" s="196"/>
      <c r="LKL57" s="196"/>
      <c r="LKM57" s="196"/>
      <c r="LKN57" s="196"/>
      <c r="LKO57" s="196"/>
      <c r="LKP57" s="196"/>
      <c r="LKQ57" s="196"/>
      <c r="LKR57" s="196"/>
      <c r="LKS57" s="196"/>
      <c r="LKT57" s="196"/>
      <c r="LKU57" s="196"/>
      <c r="LKV57" s="196"/>
      <c r="LKW57" s="196"/>
      <c r="LKX57" s="196"/>
      <c r="LKY57" s="196"/>
      <c r="LKZ57" s="196"/>
      <c r="LLA57" s="196"/>
      <c r="LLB57" s="196"/>
      <c r="LLC57" s="196"/>
      <c r="LLD57" s="196"/>
      <c r="LLE57" s="196"/>
      <c r="LLF57" s="196"/>
      <c r="LLG57" s="196"/>
      <c r="LLH57" s="196"/>
      <c r="LLI57" s="196"/>
      <c r="LLJ57" s="196"/>
      <c r="LLK57" s="196"/>
      <c r="LLL57" s="196"/>
      <c r="LLM57" s="196"/>
      <c r="LLN57" s="196"/>
      <c r="LLO57" s="196"/>
      <c r="LLP57" s="196"/>
      <c r="LLQ57" s="196"/>
      <c r="LLR57" s="196"/>
      <c r="LLS57" s="196"/>
      <c r="LLT57" s="196"/>
      <c r="LLU57" s="196"/>
      <c r="LLV57" s="196"/>
      <c r="LLW57" s="196"/>
      <c r="LLX57" s="196"/>
      <c r="LLY57" s="196"/>
      <c r="LLZ57" s="196"/>
      <c r="LMA57" s="196"/>
      <c r="LMB57" s="196"/>
      <c r="LMC57" s="196"/>
      <c r="LMD57" s="196"/>
      <c r="LME57" s="196"/>
      <c r="LMF57" s="196"/>
      <c r="LMG57" s="196"/>
      <c r="LMH57" s="196"/>
      <c r="LMI57" s="196"/>
      <c r="LMJ57" s="196"/>
      <c r="LMK57" s="196"/>
      <c r="LML57" s="196"/>
      <c r="LMM57" s="196"/>
      <c r="LMN57" s="196"/>
      <c r="LMO57" s="196"/>
      <c r="LMP57" s="196"/>
      <c r="LMQ57" s="196"/>
      <c r="LMR57" s="196"/>
      <c r="LMS57" s="196"/>
      <c r="LMT57" s="196"/>
      <c r="LMU57" s="196"/>
      <c r="LMV57" s="196"/>
      <c r="LMW57" s="196"/>
      <c r="LMX57" s="196"/>
      <c r="LMY57" s="196"/>
      <c r="LMZ57" s="196"/>
      <c r="LNA57" s="196"/>
      <c r="LNB57" s="196"/>
      <c r="LNC57" s="196"/>
      <c r="LND57" s="196"/>
      <c r="LNE57" s="196"/>
      <c r="LNF57" s="196"/>
      <c r="LNG57" s="196"/>
      <c r="LNH57" s="196"/>
      <c r="LNI57" s="196"/>
      <c r="LNJ57" s="196"/>
      <c r="LNK57" s="196"/>
      <c r="LNL57" s="196"/>
      <c r="LNM57" s="196"/>
      <c r="LNN57" s="196"/>
      <c r="LNO57" s="196"/>
      <c r="LNP57" s="196"/>
      <c r="LNQ57" s="196"/>
      <c r="LNR57" s="196"/>
      <c r="LNS57" s="196"/>
      <c r="LNT57" s="196"/>
      <c r="LNU57" s="196"/>
      <c r="LNV57" s="196"/>
      <c r="LNW57" s="196"/>
      <c r="LNX57" s="196"/>
      <c r="LNY57" s="196"/>
      <c r="LNZ57" s="196"/>
      <c r="LOA57" s="196"/>
      <c r="LOB57" s="196"/>
      <c r="LOC57" s="196"/>
      <c r="LOD57" s="196"/>
      <c r="LOE57" s="196"/>
      <c r="LOF57" s="196"/>
      <c r="LOG57" s="196"/>
      <c r="LOH57" s="196"/>
      <c r="LOI57" s="196"/>
      <c r="LOJ57" s="196"/>
      <c r="LOK57" s="196"/>
      <c r="LOL57" s="196"/>
      <c r="LOM57" s="196"/>
      <c r="LON57" s="196"/>
      <c r="LOO57" s="196"/>
      <c r="LOP57" s="196"/>
      <c r="LOQ57" s="196"/>
      <c r="LOR57" s="196"/>
      <c r="LOS57" s="196"/>
      <c r="LOT57" s="196"/>
      <c r="LOU57" s="196"/>
      <c r="LOV57" s="196"/>
      <c r="LOW57" s="196"/>
      <c r="LOX57" s="196"/>
      <c r="LOY57" s="196"/>
      <c r="LOZ57" s="196"/>
      <c r="LPA57" s="196"/>
      <c r="LPB57" s="196"/>
      <c r="LPC57" s="196"/>
      <c r="LPD57" s="196"/>
      <c r="LPE57" s="196"/>
      <c r="LPF57" s="196"/>
      <c r="LPG57" s="196"/>
      <c r="LPH57" s="196"/>
      <c r="LPI57" s="196"/>
      <c r="LPJ57" s="196"/>
      <c r="LPK57" s="196"/>
      <c r="LPL57" s="196"/>
      <c r="LPM57" s="196"/>
      <c r="LPN57" s="196"/>
      <c r="LPO57" s="196"/>
      <c r="LPP57" s="196"/>
      <c r="LPQ57" s="196"/>
      <c r="LPR57" s="196"/>
      <c r="LPS57" s="196"/>
      <c r="LPT57" s="196"/>
      <c r="LPU57" s="196"/>
      <c r="LPV57" s="196"/>
      <c r="LPW57" s="196"/>
      <c r="LPX57" s="196"/>
      <c r="LPY57" s="196"/>
      <c r="LPZ57" s="196"/>
      <c r="LQA57" s="196"/>
      <c r="LQB57" s="196"/>
      <c r="LQC57" s="196"/>
      <c r="LQD57" s="196"/>
      <c r="LQE57" s="196"/>
      <c r="LQF57" s="196"/>
      <c r="LQG57" s="196"/>
      <c r="LQH57" s="196"/>
      <c r="LQI57" s="196"/>
      <c r="LQJ57" s="196"/>
      <c r="LQK57" s="196"/>
      <c r="LQL57" s="196"/>
      <c r="LQM57" s="196"/>
      <c r="LQN57" s="196"/>
      <c r="LQO57" s="196"/>
      <c r="LQP57" s="196"/>
      <c r="LQQ57" s="196"/>
      <c r="LQR57" s="196"/>
      <c r="LQS57" s="196"/>
      <c r="LQT57" s="196"/>
      <c r="LQU57" s="196"/>
      <c r="LQV57" s="196"/>
      <c r="LQW57" s="196"/>
      <c r="LQX57" s="196"/>
      <c r="LQY57" s="196"/>
      <c r="LQZ57" s="196"/>
      <c r="LRA57" s="196"/>
      <c r="LRB57" s="196"/>
      <c r="LRC57" s="196"/>
      <c r="LRD57" s="196"/>
      <c r="LRE57" s="196"/>
      <c r="LRF57" s="196"/>
      <c r="LRG57" s="196"/>
      <c r="LRH57" s="196"/>
      <c r="LRI57" s="196"/>
      <c r="LRJ57" s="196"/>
      <c r="LRK57" s="196"/>
      <c r="LRL57" s="196"/>
      <c r="LRM57" s="196"/>
      <c r="LRN57" s="196"/>
      <c r="LRO57" s="196"/>
      <c r="LRP57" s="196"/>
      <c r="LRQ57" s="196"/>
      <c r="LRR57" s="196"/>
      <c r="LRS57" s="196"/>
      <c r="LRT57" s="196"/>
      <c r="LRU57" s="196"/>
      <c r="LRV57" s="196"/>
      <c r="LRW57" s="196"/>
      <c r="LRX57" s="196"/>
      <c r="LRY57" s="196"/>
      <c r="LRZ57" s="196"/>
      <c r="LSA57" s="196"/>
      <c r="LSB57" s="196"/>
      <c r="LSC57" s="196"/>
      <c r="LSD57" s="196"/>
      <c r="LSE57" s="196"/>
      <c r="LSF57" s="196"/>
      <c r="LSG57" s="196"/>
      <c r="LSH57" s="196"/>
      <c r="LSI57" s="196"/>
      <c r="LSJ57" s="196"/>
      <c r="LSK57" s="196"/>
      <c r="LSL57" s="196"/>
      <c r="LSM57" s="196"/>
      <c r="LSN57" s="196"/>
      <c r="LSO57" s="196"/>
      <c r="LSP57" s="196"/>
      <c r="LSQ57" s="196"/>
      <c r="LSR57" s="196"/>
      <c r="LSS57" s="196"/>
      <c r="LST57" s="196"/>
      <c r="LSU57" s="196"/>
      <c r="LSV57" s="196"/>
      <c r="LSW57" s="196"/>
      <c r="LSX57" s="196"/>
      <c r="LSY57" s="196"/>
      <c r="LSZ57" s="196"/>
      <c r="LTA57" s="196"/>
      <c r="LTB57" s="196"/>
      <c r="LTC57" s="196"/>
      <c r="LTD57" s="196"/>
      <c r="LTE57" s="196"/>
      <c r="LTF57" s="196"/>
      <c r="LTG57" s="196"/>
      <c r="LTH57" s="196"/>
      <c r="LTI57" s="196"/>
      <c r="LTJ57" s="196"/>
      <c r="LTK57" s="196"/>
      <c r="LTL57" s="196"/>
      <c r="LTM57" s="196"/>
      <c r="LTN57" s="196"/>
      <c r="LTO57" s="196"/>
      <c r="LTP57" s="196"/>
      <c r="LTQ57" s="196"/>
      <c r="LTR57" s="196"/>
      <c r="LTS57" s="196"/>
      <c r="LTT57" s="196"/>
      <c r="LTU57" s="196"/>
      <c r="LTV57" s="196"/>
      <c r="LTW57" s="196"/>
      <c r="LTX57" s="196"/>
      <c r="LTY57" s="196"/>
      <c r="LTZ57" s="196"/>
      <c r="LUA57" s="196"/>
      <c r="LUB57" s="196"/>
      <c r="LUC57" s="196"/>
      <c r="LUD57" s="196"/>
      <c r="LUE57" s="196"/>
      <c r="LUF57" s="196"/>
      <c r="LUG57" s="196"/>
      <c r="LUH57" s="196"/>
      <c r="LUI57" s="196"/>
      <c r="LUJ57" s="196"/>
      <c r="LUK57" s="196"/>
      <c r="LUL57" s="196"/>
      <c r="LUM57" s="196"/>
      <c r="LUN57" s="196"/>
      <c r="LUO57" s="196"/>
      <c r="LUP57" s="196"/>
      <c r="LUQ57" s="196"/>
      <c r="LUR57" s="196"/>
      <c r="LUS57" s="196"/>
      <c r="LUT57" s="196"/>
      <c r="LUU57" s="196"/>
      <c r="LUV57" s="196"/>
      <c r="LUW57" s="196"/>
      <c r="LUX57" s="196"/>
      <c r="LUY57" s="196"/>
      <c r="LUZ57" s="196"/>
      <c r="LVA57" s="196"/>
      <c r="LVB57" s="196"/>
      <c r="LVC57" s="196"/>
      <c r="LVD57" s="196"/>
      <c r="LVE57" s="196"/>
      <c r="LVF57" s="196"/>
      <c r="LVG57" s="196"/>
      <c r="LVH57" s="196"/>
      <c r="LVI57" s="196"/>
      <c r="LVJ57" s="196"/>
      <c r="LVK57" s="196"/>
      <c r="LVL57" s="196"/>
      <c r="LVM57" s="196"/>
      <c r="LVN57" s="196"/>
      <c r="LVO57" s="196"/>
      <c r="LVP57" s="196"/>
      <c r="LVQ57" s="196"/>
      <c r="LVR57" s="196"/>
      <c r="LVS57" s="196"/>
      <c r="LVT57" s="196"/>
      <c r="LVU57" s="196"/>
      <c r="LVV57" s="196"/>
      <c r="LVW57" s="196"/>
      <c r="LVX57" s="196"/>
      <c r="LVY57" s="196"/>
      <c r="LVZ57" s="196"/>
      <c r="LWA57" s="196"/>
      <c r="LWB57" s="196"/>
      <c r="LWC57" s="196"/>
      <c r="LWD57" s="196"/>
      <c r="LWE57" s="196"/>
      <c r="LWF57" s="196"/>
      <c r="LWG57" s="196"/>
      <c r="LWH57" s="196"/>
      <c r="LWI57" s="196"/>
      <c r="LWJ57" s="196"/>
      <c r="LWK57" s="196"/>
      <c r="LWL57" s="196"/>
      <c r="LWM57" s="196"/>
      <c r="LWN57" s="196"/>
      <c r="LWO57" s="196"/>
      <c r="LWP57" s="196"/>
      <c r="LWQ57" s="196"/>
      <c r="LWR57" s="196"/>
      <c r="LWS57" s="196"/>
      <c r="LWT57" s="196"/>
      <c r="LWU57" s="196"/>
      <c r="LWV57" s="196"/>
      <c r="LWW57" s="196"/>
      <c r="LWX57" s="196"/>
      <c r="LWY57" s="196"/>
      <c r="LWZ57" s="196"/>
      <c r="LXA57" s="196"/>
      <c r="LXB57" s="196"/>
      <c r="LXC57" s="196"/>
      <c r="LXD57" s="196"/>
      <c r="LXE57" s="196"/>
      <c r="LXF57" s="196"/>
      <c r="LXG57" s="196"/>
      <c r="LXH57" s="196"/>
      <c r="LXI57" s="196"/>
      <c r="LXJ57" s="196"/>
      <c r="LXK57" s="196"/>
      <c r="LXL57" s="196"/>
      <c r="LXM57" s="196"/>
      <c r="LXN57" s="196"/>
      <c r="LXO57" s="196"/>
      <c r="LXP57" s="196"/>
      <c r="LXQ57" s="196"/>
      <c r="LXR57" s="196"/>
      <c r="LXS57" s="196"/>
      <c r="LXT57" s="196"/>
      <c r="LXU57" s="196"/>
      <c r="LXV57" s="196"/>
      <c r="LXW57" s="196"/>
      <c r="LXX57" s="196"/>
      <c r="LXY57" s="196"/>
      <c r="LXZ57" s="196"/>
      <c r="LYA57" s="196"/>
      <c r="LYB57" s="196"/>
      <c r="LYC57" s="196"/>
      <c r="LYD57" s="196"/>
      <c r="LYE57" s="196"/>
      <c r="LYF57" s="196"/>
      <c r="LYG57" s="196"/>
      <c r="LYH57" s="196"/>
      <c r="LYI57" s="196"/>
      <c r="LYJ57" s="196"/>
      <c r="LYK57" s="196"/>
      <c r="LYL57" s="196"/>
      <c r="LYM57" s="196"/>
      <c r="LYN57" s="196"/>
      <c r="LYO57" s="196"/>
      <c r="LYP57" s="196"/>
      <c r="LYQ57" s="196"/>
      <c r="LYR57" s="196"/>
      <c r="LYS57" s="196"/>
      <c r="LYT57" s="196"/>
      <c r="LYU57" s="196"/>
      <c r="LYV57" s="196"/>
      <c r="LYW57" s="196"/>
      <c r="LYX57" s="196"/>
      <c r="LYY57" s="196"/>
      <c r="LYZ57" s="196"/>
      <c r="LZA57" s="196"/>
      <c r="LZB57" s="196"/>
      <c r="LZC57" s="196"/>
      <c r="LZD57" s="196"/>
      <c r="LZE57" s="196"/>
      <c r="LZF57" s="196"/>
      <c r="LZG57" s="196"/>
      <c r="LZH57" s="196"/>
      <c r="LZI57" s="196"/>
      <c r="LZJ57" s="196"/>
      <c r="LZK57" s="196"/>
      <c r="LZL57" s="196"/>
      <c r="LZM57" s="196"/>
      <c r="LZN57" s="196"/>
      <c r="LZO57" s="196"/>
      <c r="LZP57" s="196"/>
      <c r="LZQ57" s="196"/>
      <c r="LZR57" s="196"/>
      <c r="LZS57" s="196"/>
      <c r="LZT57" s="196"/>
      <c r="LZU57" s="196"/>
      <c r="LZV57" s="196"/>
      <c r="LZW57" s="196"/>
      <c r="LZX57" s="196"/>
      <c r="LZY57" s="196"/>
      <c r="LZZ57" s="196"/>
      <c r="MAA57" s="196"/>
      <c r="MAB57" s="196"/>
      <c r="MAC57" s="196"/>
      <c r="MAD57" s="196"/>
      <c r="MAE57" s="196"/>
      <c r="MAF57" s="196"/>
      <c r="MAG57" s="196"/>
      <c r="MAH57" s="196"/>
      <c r="MAI57" s="196"/>
      <c r="MAJ57" s="196"/>
      <c r="MAK57" s="196"/>
      <c r="MAL57" s="196"/>
      <c r="MAM57" s="196"/>
      <c r="MAN57" s="196"/>
      <c r="MAO57" s="196"/>
      <c r="MAP57" s="196"/>
      <c r="MAQ57" s="196"/>
      <c r="MAR57" s="196"/>
      <c r="MAS57" s="196"/>
      <c r="MAT57" s="196"/>
      <c r="MAU57" s="196"/>
      <c r="MAV57" s="196"/>
      <c r="MAW57" s="196"/>
      <c r="MAX57" s="196"/>
      <c r="MAY57" s="196"/>
      <c r="MAZ57" s="196"/>
      <c r="MBA57" s="196"/>
      <c r="MBB57" s="196"/>
      <c r="MBC57" s="196"/>
      <c r="MBD57" s="196"/>
      <c r="MBE57" s="196"/>
      <c r="MBF57" s="196"/>
      <c r="MBG57" s="196"/>
      <c r="MBH57" s="196"/>
      <c r="MBI57" s="196"/>
      <c r="MBJ57" s="196"/>
      <c r="MBK57" s="196"/>
      <c r="MBL57" s="196"/>
      <c r="MBM57" s="196"/>
      <c r="MBN57" s="196"/>
      <c r="MBO57" s="196"/>
      <c r="MBP57" s="196"/>
      <c r="MBQ57" s="196"/>
      <c r="MBR57" s="196"/>
      <c r="MBS57" s="196"/>
      <c r="MBT57" s="196"/>
      <c r="MBU57" s="196"/>
      <c r="MBV57" s="196"/>
      <c r="MBW57" s="196"/>
      <c r="MBX57" s="196"/>
      <c r="MBY57" s="196"/>
      <c r="MBZ57" s="196"/>
      <c r="MCA57" s="196"/>
      <c r="MCB57" s="196"/>
      <c r="MCC57" s="196"/>
      <c r="MCD57" s="196"/>
      <c r="MCE57" s="196"/>
      <c r="MCF57" s="196"/>
      <c r="MCG57" s="196"/>
      <c r="MCH57" s="196"/>
      <c r="MCI57" s="196"/>
      <c r="MCJ57" s="196"/>
      <c r="MCK57" s="196"/>
      <c r="MCL57" s="196"/>
      <c r="MCM57" s="196"/>
      <c r="MCN57" s="196"/>
      <c r="MCO57" s="196"/>
      <c r="MCP57" s="196"/>
      <c r="MCQ57" s="196"/>
      <c r="MCR57" s="196"/>
      <c r="MCS57" s="196"/>
      <c r="MCT57" s="196"/>
      <c r="MCU57" s="196"/>
      <c r="MCV57" s="196"/>
      <c r="MCW57" s="196"/>
      <c r="MCX57" s="196"/>
      <c r="MCY57" s="196"/>
      <c r="MCZ57" s="196"/>
      <c r="MDA57" s="196"/>
      <c r="MDB57" s="196"/>
      <c r="MDC57" s="196"/>
      <c r="MDD57" s="196"/>
      <c r="MDE57" s="196"/>
      <c r="MDF57" s="196"/>
      <c r="MDG57" s="196"/>
      <c r="MDH57" s="196"/>
      <c r="MDI57" s="196"/>
      <c r="MDJ57" s="196"/>
      <c r="MDK57" s="196"/>
      <c r="MDL57" s="196"/>
      <c r="MDM57" s="196"/>
      <c r="MDN57" s="196"/>
      <c r="MDO57" s="196"/>
      <c r="MDP57" s="196"/>
      <c r="MDQ57" s="196"/>
      <c r="MDR57" s="196"/>
      <c r="MDS57" s="196"/>
      <c r="MDT57" s="196"/>
      <c r="MDU57" s="196"/>
      <c r="MDV57" s="196"/>
      <c r="MDW57" s="196"/>
      <c r="MDX57" s="196"/>
      <c r="MDY57" s="196"/>
      <c r="MDZ57" s="196"/>
      <c r="MEA57" s="196"/>
      <c r="MEB57" s="196"/>
      <c r="MEC57" s="196"/>
      <c r="MED57" s="196"/>
      <c r="MEE57" s="196"/>
      <c r="MEF57" s="196"/>
      <c r="MEG57" s="196"/>
      <c r="MEH57" s="196"/>
      <c r="MEI57" s="196"/>
      <c r="MEJ57" s="196"/>
      <c r="MEK57" s="196"/>
      <c r="MEL57" s="196"/>
      <c r="MEM57" s="196"/>
      <c r="MEN57" s="196"/>
      <c r="MEO57" s="196"/>
      <c r="MEP57" s="196"/>
      <c r="MEQ57" s="196"/>
      <c r="MER57" s="196"/>
      <c r="MES57" s="196"/>
      <c r="MET57" s="196"/>
      <c r="MEU57" s="196"/>
      <c r="MEV57" s="196"/>
      <c r="MEW57" s="196"/>
      <c r="MEX57" s="196"/>
      <c r="MEY57" s="196"/>
      <c r="MEZ57" s="196"/>
      <c r="MFA57" s="196"/>
      <c r="MFB57" s="196"/>
      <c r="MFC57" s="196"/>
      <c r="MFD57" s="196"/>
      <c r="MFE57" s="196"/>
      <c r="MFF57" s="196"/>
      <c r="MFG57" s="196"/>
      <c r="MFH57" s="196"/>
      <c r="MFI57" s="196"/>
      <c r="MFJ57" s="196"/>
      <c r="MFK57" s="196"/>
      <c r="MFL57" s="196"/>
      <c r="MFM57" s="196"/>
      <c r="MFN57" s="196"/>
      <c r="MFO57" s="196"/>
      <c r="MFP57" s="196"/>
      <c r="MFQ57" s="196"/>
      <c r="MFR57" s="196"/>
      <c r="MFS57" s="196"/>
      <c r="MFT57" s="196"/>
      <c r="MFU57" s="196"/>
      <c r="MFV57" s="196"/>
      <c r="MFW57" s="196"/>
      <c r="MFX57" s="196"/>
      <c r="MFY57" s="196"/>
      <c r="MFZ57" s="196"/>
      <c r="MGA57" s="196"/>
      <c r="MGB57" s="196"/>
      <c r="MGC57" s="196"/>
      <c r="MGD57" s="196"/>
      <c r="MGE57" s="196"/>
      <c r="MGF57" s="196"/>
      <c r="MGG57" s="196"/>
      <c r="MGH57" s="196"/>
      <c r="MGI57" s="196"/>
      <c r="MGJ57" s="196"/>
      <c r="MGK57" s="196"/>
      <c r="MGL57" s="196"/>
      <c r="MGM57" s="196"/>
      <c r="MGN57" s="196"/>
      <c r="MGO57" s="196"/>
      <c r="MGP57" s="196"/>
      <c r="MGQ57" s="196"/>
      <c r="MGR57" s="196"/>
      <c r="MGS57" s="196"/>
      <c r="MGT57" s="196"/>
      <c r="MGU57" s="196"/>
      <c r="MGV57" s="196"/>
      <c r="MGW57" s="196"/>
      <c r="MGX57" s="196"/>
      <c r="MGY57" s="196"/>
      <c r="MGZ57" s="196"/>
      <c r="MHA57" s="196"/>
      <c r="MHB57" s="196"/>
      <c r="MHC57" s="196"/>
      <c r="MHD57" s="196"/>
      <c r="MHE57" s="196"/>
      <c r="MHF57" s="196"/>
      <c r="MHG57" s="196"/>
      <c r="MHH57" s="196"/>
      <c r="MHI57" s="196"/>
      <c r="MHJ57" s="196"/>
      <c r="MHK57" s="196"/>
      <c r="MHL57" s="196"/>
      <c r="MHM57" s="196"/>
      <c r="MHN57" s="196"/>
      <c r="MHO57" s="196"/>
      <c r="MHP57" s="196"/>
      <c r="MHQ57" s="196"/>
      <c r="MHR57" s="196"/>
      <c r="MHS57" s="196"/>
      <c r="MHT57" s="196"/>
      <c r="MHU57" s="196"/>
      <c r="MHV57" s="196"/>
      <c r="MHW57" s="196"/>
      <c r="MHX57" s="196"/>
      <c r="MHY57" s="196"/>
      <c r="MHZ57" s="196"/>
      <c r="MIA57" s="196"/>
      <c r="MIB57" s="196"/>
      <c r="MIC57" s="196"/>
      <c r="MID57" s="196"/>
      <c r="MIE57" s="196"/>
      <c r="MIF57" s="196"/>
      <c r="MIG57" s="196"/>
      <c r="MIH57" s="196"/>
      <c r="MII57" s="196"/>
      <c r="MIJ57" s="196"/>
      <c r="MIK57" s="196"/>
      <c r="MIL57" s="196"/>
      <c r="MIM57" s="196"/>
      <c r="MIN57" s="196"/>
      <c r="MIO57" s="196"/>
      <c r="MIP57" s="196"/>
      <c r="MIQ57" s="196"/>
      <c r="MIR57" s="196"/>
      <c r="MIS57" s="196"/>
      <c r="MIT57" s="196"/>
      <c r="MIU57" s="196"/>
      <c r="MIV57" s="196"/>
      <c r="MIW57" s="196"/>
      <c r="MIX57" s="196"/>
      <c r="MIY57" s="196"/>
      <c r="MIZ57" s="196"/>
      <c r="MJA57" s="196"/>
      <c r="MJB57" s="196"/>
      <c r="MJC57" s="196"/>
      <c r="MJD57" s="196"/>
      <c r="MJE57" s="196"/>
      <c r="MJF57" s="196"/>
      <c r="MJG57" s="196"/>
      <c r="MJH57" s="196"/>
      <c r="MJI57" s="196"/>
      <c r="MJJ57" s="196"/>
      <c r="MJK57" s="196"/>
      <c r="MJL57" s="196"/>
      <c r="MJM57" s="196"/>
      <c r="MJN57" s="196"/>
      <c r="MJO57" s="196"/>
      <c r="MJP57" s="196"/>
      <c r="MJQ57" s="196"/>
      <c r="MJR57" s="196"/>
      <c r="MJS57" s="196"/>
      <c r="MJT57" s="196"/>
      <c r="MJU57" s="196"/>
      <c r="MJV57" s="196"/>
      <c r="MJW57" s="196"/>
      <c r="MJX57" s="196"/>
      <c r="MJY57" s="196"/>
      <c r="MJZ57" s="196"/>
      <c r="MKA57" s="196"/>
      <c r="MKB57" s="196"/>
      <c r="MKC57" s="196"/>
      <c r="MKD57" s="196"/>
      <c r="MKE57" s="196"/>
      <c r="MKF57" s="196"/>
      <c r="MKG57" s="196"/>
      <c r="MKH57" s="196"/>
      <c r="MKI57" s="196"/>
      <c r="MKJ57" s="196"/>
      <c r="MKK57" s="196"/>
      <c r="MKL57" s="196"/>
      <c r="MKM57" s="196"/>
      <c r="MKN57" s="196"/>
      <c r="MKO57" s="196"/>
      <c r="MKP57" s="196"/>
      <c r="MKQ57" s="196"/>
      <c r="MKR57" s="196"/>
      <c r="MKS57" s="196"/>
      <c r="MKT57" s="196"/>
      <c r="MKU57" s="196"/>
      <c r="MKV57" s="196"/>
      <c r="MKW57" s="196"/>
      <c r="MKX57" s="196"/>
      <c r="MKY57" s="196"/>
      <c r="MKZ57" s="196"/>
      <c r="MLA57" s="196"/>
      <c r="MLB57" s="196"/>
      <c r="MLC57" s="196"/>
      <c r="MLD57" s="196"/>
      <c r="MLE57" s="196"/>
      <c r="MLF57" s="196"/>
      <c r="MLG57" s="196"/>
      <c r="MLH57" s="196"/>
      <c r="MLI57" s="196"/>
      <c r="MLJ57" s="196"/>
      <c r="MLK57" s="196"/>
      <c r="MLL57" s="196"/>
      <c r="MLM57" s="196"/>
      <c r="MLN57" s="196"/>
      <c r="MLO57" s="196"/>
      <c r="MLP57" s="196"/>
      <c r="MLQ57" s="196"/>
      <c r="MLR57" s="196"/>
      <c r="MLS57" s="196"/>
      <c r="MLT57" s="196"/>
      <c r="MLU57" s="196"/>
      <c r="MLV57" s="196"/>
      <c r="MLW57" s="196"/>
      <c r="MLX57" s="196"/>
      <c r="MLY57" s="196"/>
      <c r="MLZ57" s="196"/>
      <c r="MMA57" s="196"/>
      <c r="MMB57" s="196"/>
      <c r="MMC57" s="196"/>
      <c r="MMD57" s="196"/>
      <c r="MME57" s="196"/>
      <c r="MMF57" s="196"/>
      <c r="MMG57" s="196"/>
      <c r="MMH57" s="196"/>
      <c r="MMI57" s="196"/>
      <c r="MMJ57" s="196"/>
      <c r="MMK57" s="196"/>
      <c r="MML57" s="196"/>
      <c r="MMM57" s="196"/>
      <c r="MMN57" s="196"/>
      <c r="MMO57" s="196"/>
      <c r="MMP57" s="196"/>
      <c r="MMQ57" s="196"/>
      <c r="MMR57" s="196"/>
      <c r="MMS57" s="196"/>
      <c r="MMT57" s="196"/>
      <c r="MMU57" s="196"/>
      <c r="MMV57" s="196"/>
      <c r="MMW57" s="196"/>
      <c r="MMX57" s="196"/>
      <c r="MMY57" s="196"/>
      <c r="MMZ57" s="196"/>
      <c r="MNA57" s="196"/>
      <c r="MNB57" s="196"/>
      <c r="MNC57" s="196"/>
      <c r="MND57" s="196"/>
      <c r="MNE57" s="196"/>
      <c r="MNF57" s="196"/>
      <c r="MNG57" s="196"/>
      <c r="MNH57" s="196"/>
      <c r="MNI57" s="196"/>
      <c r="MNJ57" s="196"/>
      <c r="MNK57" s="196"/>
      <c r="MNL57" s="196"/>
      <c r="MNM57" s="196"/>
      <c r="MNN57" s="196"/>
      <c r="MNO57" s="196"/>
      <c r="MNP57" s="196"/>
      <c r="MNQ57" s="196"/>
      <c r="MNR57" s="196"/>
      <c r="MNS57" s="196"/>
      <c r="MNT57" s="196"/>
      <c r="MNU57" s="196"/>
      <c r="MNV57" s="196"/>
      <c r="MNW57" s="196"/>
      <c r="MNX57" s="196"/>
      <c r="MNY57" s="196"/>
      <c r="MNZ57" s="196"/>
      <c r="MOA57" s="196"/>
      <c r="MOB57" s="196"/>
      <c r="MOC57" s="196"/>
      <c r="MOD57" s="196"/>
      <c r="MOE57" s="196"/>
      <c r="MOF57" s="196"/>
      <c r="MOG57" s="196"/>
      <c r="MOH57" s="196"/>
      <c r="MOI57" s="196"/>
      <c r="MOJ57" s="196"/>
      <c r="MOK57" s="196"/>
      <c r="MOL57" s="196"/>
      <c r="MOM57" s="196"/>
      <c r="MON57" s="196"/>
      <c r="MOO57" s="196"/>
      <c r="MOP57" s="196"/>
      <c r="MOQ57" s="196"/>
      <c r="MOR57" s="196"/>
      <c r="MOS57" s="196"/>
      <c r="MOT57" s="196"/>
      <c r="MOU57" s="196"/>
      <c r="MOV57" s="196"/>
      <c r="MOW57" s="196"/>
      <c r="MOX57" s="196"/>
      <c r="MOY57" s="196"/>
      <c r="MOZ57" s="196"/>
      <c r="MPA57" s="196"/>
      <c r="MPB57" s="196"/>
      <c r="MPC57" s="196"/>
      <c r="MPD57" s="196"/>
      <c r="MPE57" s="196"/>
      <c r="MPF57" s="196"/>
      <c r="MPG57" s="196"/>
      <c r="MPH57" s="196"/>
      <c r="MPI57" s="196"/>
      <c r="MPJ57" s="196"/>
      <c r="MPK57" s="196"/>
      <c r="MPL57" s="196"/>
      <c r="MPM57" s="196"/>
      <c r="MPN57" s="196"/>
      <c r="MPO57" s="196"/>
      <c r="MPP57" s="196"/>
      <c r="MPQ57" s="196"/>
      <c r="MPR57" s="196"/>
      <c r="MPS57" s="196"/>
      <c r="MPT57" s="196"/>
      <c r="MPU57" s="196"/>
      <c r="MPV57" s="196"/>
      <c r="MPW57" s="196"/>
      <c r="MPX57" s="196"/>
      <c r="MPY57" s="196"/>
      <c r="MPZ57" s="196"/>
      <c r="MQA57" s="196"/>
      <c r="MQB57" s="196"/>
      <c r="MQC57" s="196"/>
      <c r="MQD57" s="196"/>
      <c r="MQE57" s="196"/>
      <c r="MQF57" s="196"/>
      <c r="MQG57" s="196"/>
      <c r="MQH57" s="196"/>
      <c r="MQI57" s="196"/>
      <c r="MQJ57" s="196"/>
      <c r="MQK57" s="196"/>
      <c r="MQL57" s="196"/>
      <c r="MQM57" s="196"/>
      <c r="MQN57" s="196"/>
      <c r="MQO57" s="196"/>
      <c r="MQP57" s="196"/>
      <c r="MQQ57" s="196"/>
      <c r="MQR57" s="196"/>
      <c r="MQS57" s="196"/>
      <c r="MQT57" s="196"/>
      <c r="MQU57" s="196"/>
      <c r="MQV57" s="196"/>
      <c r="MQW57" s="196"/>
      <c r="MQX57" s="196"/>
      <c r="MQY57" s="196"/>
      <c r="MQZ57" s="196"/>
      <c r="MRA57" s="196"/>
      <c r="MRB57" s="196"/>
      <c r="MRC57" s="196"/>
      <c r="MRD57" s="196"/>
      <c r="MRE57" s="196"/>
      <c r="MRF57" s="196"/>
      <c r="MRG57" s="196"/>
      <c r="MRH57" s="196"/>
      <c r="MRI57" s="196"/>
      <c r="MRJ57" s="196"/>
      <c r="MRK57" s="196"/>
      <c r="MRL57" s="196"/>
      <c r="MRM57" s="196"/>
      <c r="MRN57" s="196"/>
      <c r="MRO57" s="196"/>
      <c r="MRP57" s="196"/>
      <c r="MRQ57" s="196"/>
      <c r="MRR57" s="196"/>
      <c r="MRS57" s="196"/>
      <c r="MRT57" s="196"/>
      <c r="MRU57" s="196"/>
      <c r="MRV57" s="196"/>
      <c r="MRW57" s="196"/>
      <c r="MRX57" s="196"/>
      <c r="MRY57" s="196"/>
      <c r="MRZ57" s="196"/>
      <c r="MSA57" s="196"/>
      <c r="MSB57" s="196"/>
      <c r="MSC57" s="196"/>
      <c r="MSD57" s="196"/>
      <c r="MSE57" s="196"/>
      <c r="MSF57" s="196"/>
      <c r="MSG57" s="196"/>
      <c r="MSH57" s="196"/>
      <c r="MSI57" s="196"/>
      <c r="MSJ57" s="196"/>
      <c r="MSK57" s="196"/>
      <c r="MSL57" s="196"/>
      <c r="MSM57" s="196"/>
      <c r="MSN57" s="196"/>
      <c r="MSO57" s="196"/>
      <c r="MSP57" s="196"/>
      <c r="MSQ57" s="196"/>
      <c r="MSR57" s="196"/>
      <c r="MSS57" s="196"/>
      <c r="MST57" s="196"/>
      <c r="MSU57" s="196"/>
      <c r="MSV57" s="196"/>
      <c r="MSW57" s="196"/>
      <c r="MSX57" s="196"/>
      <c r="MSY57" s="196"/>
      <c r="MSZ57" s="196"/>
      <c r="MTA57" s="196"/>
      <c r="MTB57" s="196"/>
      <c r="MTC57" s="196"/>
      <c r="MTD57" s="196"/>
      <c r="MTE57" s="196"/>
      <c r="MTF57" s="196"/>
      <c r="MTG57" s="196"/>
      <c r="MTH57" s="196"/>
      <c r="MTI57" s="196"/>
      <c r="MTJ57" s="196"/>
      <c r="MTK57" s="196"/>
      <c r="MTL57" s="196"/>
      <c r="MTM57" s="196"/>
      <c r="MTN57" s="196"/>
      <c r="MTO57" s="196"/>
      <c r="MTP57" s="196"/>
      <c r="MTQ57" s="196"/>
      <c r="MTR57" s="196"/>
      <c r="MTS57" s="196"/>
      <c r="MTT57" s="196"/>
      <c r="MTU57" s="196"/>
      <c r="MTV57" s="196"/>
      <c r="MTW57" s="196"/>
      <c r="MTX57" s="196"/>
      <c r="MTY57" s="196"/>
      <c r="MTZ57" s="196"/>
      <c r="MUA57" s="196"/>
      <c r="MUB57" s="196"/>
      <c r="MUC57" s="196"/>
      <c r="MUD57" s="196"/>
      <c r="MUE57" s="196"/>
      <c r="MUF57" s="196"/>
      <c r="MUG57" s="196"/>
      <c r="MUH57" s="196"/>
      <c r="MUI57" s="196"/>
      <c r="MUJ57" s="196"/>
      <c r="MUK57" s="196"/>
      <c r="MUL57" s="196"/>
      <c r="MUM57" s="196"/>
      <c r="MUN57" s="196"/>
      <c r="MUO57" s="196"/>
      <c r="MUP57" s="196"/>
      <c r="MUQ57" s="196"/>
      <c r="MUR57" s="196"/>
      <c r="MUS57" s="196"/>
      <c r="MUT57" s="196"/>
      <c r="MUU57" s="196"/>
      <c r="MUV57" s="196"/>
      <c r="MUW57" s="196"/>
      <c r="MUX57" s="196"/>
      <c r="MUY57" s="196"/>
      <c r="MUZ57" s="196"/>
      <c r="MVA57" s="196"/>
      <c r="MVB57" s="196"/>
      <c r="MVC57" s="196"/>
      <c r="MVD57" s="196"/>
      <c r="MVE57" s="196"/>
      <c r="MVF57" s="196"/>
      <c r="MVG57" s="196"/>
      <c r="MVH57" s="196"/>
      <c r="MVI57" s="196"/>
      <c r="MVJ57" s="196"/>
      <c r="MVK57" s="196"/>
      <c r="MVL57" s="196"/>
      <c r="MVM57" s="196"/>
      <c r="MVN57" s="196"/>
      <c r="MVO57" s="196"/>
      <c r="MVP57" s="196"/>
      <c r="MVQ57" s="196"/>
      <c r="MVR57" s="196"/>
      <c r="MVS57" s="196"/>
      <c r="MVT57" s="196"/>
      <c r="MVU57" s="196"/>
      <c r="MVV57" s="196"/>
      <c r="MVW57" s="196"/>
      <c r="MVX57" s="196"/>
      <c r="MVY57" s="196"/>
      <c r="MVZ57" s="196"/>
      <c r="MWA57" s="196"/>
      <c r="MWB57" s="196"/>
      <c r="MWC57" s="196"/>
      <c r="MWD57" s="196"/>
      <c r="MWE57" s="196"/>
      <c r="MWF57" s="196"/>
      <c r="MWG57" s="196"/>
      <c r="MWH57" s="196"/>
      <c r="MWI57" s="196"/>
      <c r="MWJ57" s="196"/>
      <c r="MWK57" s="196"/>
      <c r="MWL57" s="196"/>
      <c r="MWM57" s="196"/>
      <c r="MWN57" s="196"/>
      <c r="MWO57" s="196"/>
      <c r="MWP57" s="196"/>
      <c r="MWQ57" s="196"/>
      <c r="MWR57" s="196"/>
      <c r="MWS57" s="196"/>
      <c r="MWT57" s="196"/>
      <c r="MWU57" s="196"/>
      <c r="MWV57" s="196"/>
      <c r="MWW57" s="196"/>
      <c r="MWX57" s="196"/>
      <c r="MWY57" s="196"/>
      <c r="MWZ57" s="196"/>
      <c r="MXA57" s="196"/>
      <c r="MXB57" s="196"/>
      <c r="MXC57" s="196"/>
      <c r="MXD57" s="196"/>
      <c r="MXE57" s="196"/>
      <c r="MXF57" s="196"/>
      <c r="MXG57" s="196"/>
      <c r="MXH57" s="196"/>
      <c r="MXI57" s="196"/>
      <c r="MXJ57" s="196"/>
      <c r="MXK57" s="196"/>
      <c r="MXL57" s="196"/>
      <c r="MXM57" s="196"/>
      <c r="MXN57" s="196"/>
      <c r="MXO57" s="196"/>
      <c r="MXP57" s="196"/>
      <c r="MXQ57" s="196"/>
      <c r="MXR57" s="196"/>
      <c r="MXS57" s="196"/>
      <c r="MXT57" s="196"/>
      <c r="MXU57" s="196"/>
      <c r="MXV57" s="196"/>
      <c r="MXW57" s="196"/>
      <c r="MXX57" s="196"/>
      <c r="MXY57" s="196"/>
      <c r="MXZ57" s="196"/>
      <c r="MYA57" s="196"/>
      <c r="MYB57" s="196"/>
      <c r="MYC57" s="196"/>
      <c r="MYD57" s="196"/>
      <c r="MYE57" s="196"/>
      <c r="MYF57" s="196"/>
      <c r="MYG57" s="196"/>
      <c r="MYH57" s="196"/>
      <c r="MYI57" s="196"/>
      <c r="MYJ57" s="196"/>
      <c r="MYK57" s="196"/>
      <c r="MYL57" s="196"/>
      <c r="MYM57" s="196"/>
      <c r="MYN57" s="196"/>
      <c r="MYO57" s="196"/>
      <c r="MYP57" s="196"/>
      <c r="MYQ57" s="196"/>
      <c r="MYR57" s="196"/>
      <c r="MYS57" s="196"/>
      <c r="MYT57" s="196"/>
      <c r="MYU57" s="196"/>
      <c r="MYV57" s="196"/>
      <c r="MYW57" s="196"/>
      <c r="MYX57" s="196"/>
      <c r="MYY57" s="196"/>
      <c r="MYZ57" s="196"/>
      <c r="MZA57" s="196"/>
      <c r="MZB57" s="196"/>
      <c r="MZC57" s="196"/>
      <c r="MZD57" s="196"/>
      <c r="MZE57" s="196"/>
      <c r="MZF57" s="196"/>
      <c r="MZG57" s="196"/>
      <c r="MZH57" s="196"/>
      <c r="MZI57" s="196"/>
      <c r="MZJ57" s="196"/>
      <c r="MZK57" s="196"/>
      <c r="MZL57" s="196"/>
      <c r="MZM57" s="196"/>
      <c r="MZN57" s="196"/>
      <c r="MZO57" s="196"/>
      <c r="MZP57" s="196"/>
      <c r="MZQ57" s="196"/>
      <c r="MZR57" s="196"/>
      <c r="MZS57" s="196"/>
      <c r="MZT57" s="196"/>
      <c r="MZU57" s="196"/>
      <c r="MZV57" s="196"/>
      <c r="MZW57" s="196"/>
      <c r="MZX57" s="196"/>
      <c r="MZY57" s="196"/>
      <c r="MZZ57" s="196"/>
      <c r="NAA57" s="196"/>
      <c r="NAB57" s="196"/>
      <c r="NAC57" s="196"/>
      <c r="NAD57" s="196"/>
      <c r="NAE57" s="196"/>
      <c r="NAF57" s="196"/>
      <c r="NAG57" s="196"/>
      <c r="NAH57" s="196"/>
      <c r="NAI57" s="196"/>
      <c r="NAJ57" s="196"/>
      <c r="NAK57" s="196"/>
      <c r="NAL57" s="196"/>
      <c r="NAM57" s="196"/>
      <c r="NAN57" s="196"/>
      <c r="NAO57" s="196"/>
      <c r="NAP57" s="196"/>
      <c r="NAQ57" s="196"/>
      <c r="NAR57" s="196"/>
      <c r="NAS57" s="196"/>
      <c r="NAT57" s="196"/>
      <c r="NAU57" s="196"/>
      <c r="NAV57" s="196"/>
      <c r="NAW57" s="196"/>
      <c r="NAX57" s="196"/>
      <c r="NAY57" s="196"/>
      <c r="NAZ57" s="196"/>
      <c r="NBA57" s="196"/>
      <c r="NBB57" s="196"/>
      <c r="NBC57" s="196"/>
      <c r="NBD57" s="196"/>
      <c r="NBE57" s="196"/>
      <c r="NBF57" s="196"/>
      <c r="NBG57" s="196"/>
      <c r="NBH57" s="196"/>
      <c r="NBI57" s="196"/>
      <c r="NBJ57" s="196"/>
      <c r="NBK57" s="196"/>
      <c r="NBL57" s="196"/>
      <c r="NBM57" s="196"/>
      <c r="NBN57" s="196"/>
      <c r="NBO57" s="196"/>
      <c r="NBP57" s="196"/>
      <c r="NBQ57" s="196"/>
      <c r="NBR57" s="196"/>
      <c r="NBS57" s="196"/>
      <c r="NBT57" s="196"/>
      <c r="NBU57" s="196"/>
      <c r="NBV57" s="196"/>
      <c r="NBW57" s="196"/>
      <c r="NBX57" s="196"/>
      <c r="NBY57" s="196"/>
      <c r="NBZ57" s="196"/>
      <c r="NCA57" s="196"/>
      <c r="NCB57" s="196"/>
      <c r="NCC57" s="196"/>
      <c r="NCD57" s="196"/>
      <c r="NCE57" s="196"/>
      <c r="NCF57" s="196"/>
      <c r="NCG57" s="196"/>
      <c r="NCH57" s="196"/>
      <c r="NCI57" s="196"/>
      <c r="NCJ57" s="196"/>
      <c r="NCK57" s="196"/>
      <c r="NCL57" s="196"/>
      <c r="NCM57" s="196"/>
      <c r="NCN57" s="196"/>
      <c r="NCO57" s="196"/>
      <c r="NCP57" s="196"/>
      <c r="NCQ57" s="196"/>
      <c r="NCR57" s="196"/>
      <c r="NCS57" s="196"/>
      <c r="NCT57" s="196"/>
      <c r="NCU57" s="196"/>
      <c r="NCV57" s="196"/>
      <c r="NCW57" s="196"/>
      <c r="NCX57" s="196"/>
      <c r="NCY57" s="196"/>
      <c r="NCZ57" s="196"/>
      <c r="NDA57" s="196"/>
      <c r="NDB57" s="196"/>
      <c r="NDC57" s="196"/>
      <c r="NDD57" s="196"/>
      <c r="NDE57" s="196"/>
      <c r="NDF57" s="196"/>
      <c r="NDG57" s="196"/>
      <c r="NDH57" s="196"/>
      <c r="NDI57" s="196"/>
      <c r="NDJ57" s="196"/>
      <c r="NDK57" s="196"/>
      <c r="NDL57" s="196"/>
      <c r="NDM57" s="196"/>
      <c r="NDN57" s="196"/>
      <c r="NDO57" s="196"/>
      <c r="NDP57" s="196"/>
      <c r="NDQ57" s="196"/>
      <c r="NDR57" s="196"/>
      <c r="NDS57" s="196"/>
      <c r="NDT57" s="196"/>
      <c r="NDU57" s="196"/>
      <c r="NDV57" s="196"/>
      <c r="NDW57" s="196"/>
      <c r="NDX57" s="196"/>
      <c r="NDY57" s="196"/>
      <c r="NDZ57" s="196"/>
      <c r="NEA57" s="196"/>
      <c r="NEB57" s="196"/>
      <c r="NEC57" s="196"/>
      <c r="NED57" s="196"/>
      <c r="NEE57" s="196"/>
      <c r="NEF57" s="196"/>
      <c r="NEG57" s="196"/>
      <c r="NEH57" s="196"/>
      <c r="NEI57" s="196"/>
      <c r="NEJ57" s="196"/>
      <c r="NEK57" s="196"/>
      <c r="NEL57" s="196"/>
      <c r="NEM57" s="196"/>
      <c r="NEN57" s="196"/>
      <c r="NEO57" s="196"/>
      <c r="NEP57" s="196"/>
      <c r="NEQ57" s="196"/>
      <c r="NER57" s="196"/>
      <c r="NES57" s="196"/>
      <c r="NET57" s="196"/>
      <c r="NEU57" s="196"/>
      <c r="NEV57" s="196"/>
      <c r="NEW57" s="196"/>
      <c r="NEX57" s="196"/>
      <c r="NEY57" s="196"/>
      <c r="NEZ57" s="196"/>
      <c r="NFA57" s="196"/>
      <c r="NFB57" s="196"/>
      <c r="NFC57" s="196"/>
      <c r="NFD57" s="196"/>
      <c r="NFE57" s="196"/>
      <c r="NFF57" s="196"/>
      <c r="NFG57" s="196"/>
      <c r="NFH57" s="196"/>
      <c r="NFI57" s="196"/>
      <c r="NFJ57" s="196"/>
      <c r="NFK57" s="196"/>
      <c r="NFL57" s="196"/>
      <c r="NFM57" s="196"/>
      <c r="NFN57" s="196"/>
      <c r="NFO57" s="196"/>
      <c r="NFP57" s="196"/>
      <c r="NFQ57" s="196"/>
      <c r="NFR57" s="196"/>
      <c r="NFS57" s="196"/>
      <c r="NFT57" s="196"/>
      <c r="NFU57" s="196"/>
      <c r="NFV57" s="196"/>
      <c r="NFW57" s="196"/>
      <c r="NFX57" s="196"/>
      <c r="NFY57" s="196"/>
      <c r="NFZ57" s="196"/>
      <c r="NGA57" s="196"/>
      <c r="NGB57" s="196"/>
      <c r="NGC57" s="196"/>
      <c r="NGD57" s="196"/>
      <c r="NGE57" s="196"/>
      <c r="NGF57" s="196"/>
      <c r="NGG57" s="196"/>
      <c r="NGH57" s="196"/>
      <c r="NGI57" s="196"/>
      <c r="NGJ57" s="196"/>
      <c r="NGK57" s="196"/>
      <c r="NGL57" s="196"/>
      <c r="NGM57" s="196"/>
      <c r="NGN57" s="196"/>
      <c r="NGO57" s="196"/>
      <c r="NGP57" s="196"/>
      <c r="NGQ57" s="196"/>
      <c r="NGR57" s="196"/>
      <c r="NGS57" s="196"/>
      <c r="NGT57" s="196"/>
      <c r="NGU57" s="196"/>
      <c r="NGV57" s="196"/>
      <c r="NGW57" s="196"/>
      <c r="NGX57" s="196"/>
      <c r="NGY57" s="196"/>
      <c r="NGZ57" s="196"/>
      <c r="NHA57" s="196"/>
      <c r="NHB57" s="196"/>
      <c r="NHC57" s="196"/>
      <c r="NHD57" s="196"/>
      <c r="NHE57" s="196"/>
      <c r="NHF57" s="196"/>
      <c r="NHG57" s="196"/>
      <c r="NHH57" s="196"/>
      <c r="NHI57" s="196"/>
      <c r="NHJ57" s="196"/>
      <c r="NHK57" s="196"/>
      <c r="NHL57" s="196"/>
      <c r="NHM57" s="196"/>
      <c r="NHN57" s="196"/>
      <c r="NHO57" s="196"/>
      <c r="NHP57" s="196"/>
      <c r="NHQ57" s="196"/>
      <c r="NHR57" s="196"/>
      <c r="NHS57" s="196"/>
      <c r="NHT57" s="196"/>
      <c r="NHU57" s="196"/>
      <c r="NHV57" s="196"/>
      <c r="NHW57" s="196"/>
      <c r="NHX57" s="196"/>
      <c r="NHY57" s="196"/>
      <c r="NHZ57" s="196"/>
      <c r="NIA57" s="196"/>
      <c r="NIB57" s="196"/>
      <c r="NIC57" s="196"/>
      <c r="NID57" s="196"/>
      <c r="NIE57" s="196"/>
      <c r="NIF57" s="196"/>
      <c r="NIG57" s="196"/>
      <c r="NIH57" s="196"/>
      <c r="NII57" s="196"/>
      <c r="NIJ57" s="196"/>
      <c r="NIK57" s="196"/>
      <c r="NIL57" s="196"/>
      <c r="NIM57" s="196"/>
      <c r="NIN57" s="196"/>
      <c r="NIO57" s="196"/>
      <c r="NIP57" s="196"/>
      <c r="NIQ57" s="196"/>
      <c r="NIR57" s="196"/>
      <c r="NIS57" s="196"/>
      <c r="NIT57" s="196"/>
      <c r="NIU57" s="196"/>
      <c r="NIV57" s="196"/>
      <c r="NIW57" s="196"/>
      <c r="NIX57" s="196"/>
      <c r="NIY57" s="196"/>
      <c r="NIZ57" s="196"/>
      <c r="NJA57" s="196"/>
      <c r="NJB57" s="196"/>
      <c r="NJC57" s="196"/>
      <c r="NJD57" s="196"/>
      <c r="NJE57" s="196"/>
      <c r="NJF57" s="196"/>
      <c r="NJG57" s="196"/>
      <c r="NJH57" s="196"/>
      <c r="NJI57" s="196"/>
      <c r="NJJ57" s="196"/>
      <c r="NJK57" s="196"/>
      <c r="NJL57" s="196"/>
      <c r="NJM57" s="196"/>
      <c r="NJN57" s="196"/>
      <c r="NJO57" s="196"/>
      <c r="NJP57" s="196"/>
      <c r="NJQ57" s="196"/>
      <c r="NJR57" s="196"/>
      <c r="NJS57" s="196"/>
      <c r="NJT57" s="196"/>
      <c r="NJU57" s="196"/>
      <c r="NJV57" s="196"/>
      <c r="NJW57" s="196"/>
      <c r="NJX57" s="196"/>
      <c r="NJY57" s="196"/>
      <c r="NJZ57" s="196"/>
      <c r="NKA57" s="196"/>
      <c r="NKB57" s="196"/>
      <c r="NKC57" s="196"/>
      <c r="NKD57" s="196"/>
      <c r="NKE57" s="196"/>
      <c r="NKF57" s="196"/>
      <c r="NKG57" s="196"/>
      <c r="NKH57" s="196"/>
      <c r="NKI57" s="196"/>
      <c r="NKJ57" s="196"/>
      <c r="NKK57" s="196"/>
      <c r="NKL57" s="196"/>
      <c r="NKM57" s="196"/>
      <c r="NKN57" s="196"/>
      <c r="NKO57" s="196"/>
      <c r="NKP57" s="196"/>
      <c r="NKQ57" s="196"/>
      <c r="NKR57" s="196"/>
      <c r="NKS57" s="196"/>
      <c r="NKT57" s="196"/>
      <c r="NKU57" s="196"/>
      <c r="NKV57" s="196"/>
      <c r="NKW57" s="196"/>
      <c r="NKX57" s="196"/>
      <c r="NKY57" s="196"/>
      <c r="NKZ57" s="196"/>
      <c r="NLA57" s="196"/>
      <c r="NLB57" s="196"/>
      <c r="NLC57" s="196"/>
      <c r="NLD57" s="196"/>
      <c r="NLE57" s="196"/>
      <c r="NLF57" s="196"/>
      <c r="NLG57" s="196"/>
      <c r="NLH57" s="196"/>
      <c r="NLI57" s="196"/>
      <c r="NLJ57" s="196"/>
      <c r="NLK57" s="196"/>
      <c r="NLL57" s="196"/>
      <c r="NLM57" s="196"/>
      <c r="NLN57" s="196"/>
      <c r="NLO57" s="196"/>
      <c r="NLP57" s="196"/>
      <c r="NLQ57" s="196"/>
      <c r="NLR57" s="196"/>
      <c r="NLS57" s="196"/>
      <c r="NLT57" s="196"/>
      <c r="NLU57" s="196"/>
      <c r="NLV57" s="196"/>
      <c r="NLW57" s="196"/>
      <c r="NLX57" s="196"/>
      <c r="NLY57" s="196"/>
      <c r="NLZ57" s="196"/>
      <c r="NMA57" s="196"/>
      <c r="NMB57" s="196"/>
      <c r="NMC57" s="196"/>
      <c r="NMD57" s="196"/>
      <c r="NME57" s="196"/>
      <c r="NMF57" s="196"/>
      <c r="NMG57" s="196"/>
      <c r="NMH57" s="196"/>
      <c r="NMI57" s="196"/>
      <c r="NMJ57" s="196"/>
      <c r="NMK57" s="196"/>
      <c r="NML57" s="196"/>
      <c r="NMM57" s="196"/>
      <c r="NMN57" s="196"/>
      <c r="NMO57" s="196"/>
      <c r="NMP57" s="196"/>
      <c r="NMQ57" s="196"/>
      <c r="NMR57" s="196"/>
      <c r="NMS57" s="196"/>
      <c r="NMT57" s="196"/>
      <c r="NMU57" s="196"/>
      <c r="NMV57" s="196"/>
      <c r="NMW57" s="196"/>
      <c r="NMX57" s="196"/>
      <c r="NMY57" s="196"/>
      <c r="NMZ57" s="196"/>
      <c r="NNA57" s="196"/>
      <c r="NNB57" s="196"/>
      <c r="NNC57" s="196"/>
      <c r="NND57" s="196"/>
      <c r="NNE57" s="196"/>
      <c r="NNF57" s="196"/>
      <c r="NNG57" s="196"/>
      <c r="NNH57" s="196"/>
      <c r="NNI57" s="196"/>
      <c r="NNJ57" s="196"/>
      <c r="NNK57" s="196"/>
      <c r="NNL57" s="196"/>
      <c r="NNM57" s="196"/>
      <c r="NNN57" s="196"/>
      <c r="NNO57" s="196"/>
      <c r="NNP57" s="196"/>
      <c r="NNQ57" s="196"/>
      <c r="NNR57" s="196"/>
      <c r="NNS57" s="196"/>
      <c r="NNT57" s="196"/>
      <c r="NNU57" s="196"/>
      <c r="NNV57" s="196"/>
      <c r="NNW57" s="196"/>
      <c r="NNX57" s="196"/>
      <c r="NNY57" s="196"/>
      <c r="NNZ57" s="196"/>
      <c r="NOA57" s="196"/>
      <c r="NOB57" s="196"/>
      <c r="NOC57" s="196"/>
      <c r="NOD57" s="196"/>
      <c r="NOE57" s="196"/>
      <c r="NOF57" s="196"/>
      <c r="NOG57" s="196"/>
      <c r="NOH57" s="196"/>
      <c r="NOI57" s="196"/>
      <c r="NOJ57" s="196"/>
      <c r="NOK57" s="196"/>
      <c r="NOL57" s="196"/>
      <c r="NOM57" s="196"/>
      <c r="NON57" s="196"/>
      <c r="NOO57" s="196"/>
      <c r="NOP57" s="196"/>
      <c r="NOQ57" s="196"/>
      <c r="NOR57" s="196"/>
      <c r="NOS57" s="196"/>
      <c r="NOT57" s="196"/>
      <c r="NOU57" s="196"/>
      <c r="NOV57" s="196"/>
      <c r="NOW57" s="196"/>
      <c r="NOX57" s="196"/>
      <c r="NOY57" s="196"/>
      <c r="NOZ57" s="196"/>
      <c r="NPA57" s="196"/>
      <c r="NPB57" s="196"/>
      <c r="NPC57" s="196"/>
      <c r="NPD57" s="196"/>
      <c r="NPE57" s="196"/>
      <c r="NPF57" s="196"/>
      <c r="NPG57" s="196"/>
      <c r="NPH57" s="196"/>
      <c r="NPI57" s="196"/>
      <c r="NPJ57" s="196"/>
      <c r="NPK57" s="196"/>
      <c r="NPL57" s="196"/>
      <c r="NPM57" s="196"/>
      <c r="NPN57" s="196"/>
      <c r="NPO57" s="196"/>
      <c r="NPP57" s="196"/>
      <c r="NPQ57" s="196"/>
      <c r="NPR57" s="196"/>
      <c r="NPS57" s="196"/>
      <c r="NPT57" s="196"/>
      <c r="NPU57" s="196"/>
      <c r="NPV57" s="196"/>
      <c r="NPW57" s="196"/>
      <c r="NPX57" s="196"/>
      <c r="NPY57" s="196"/>
      <c r="NPZ57" s="196"/>
      <c r="NQA57" s="196"/>
      <c r="NQB57" s="196"/>
      <c r="NQC57" s="196"/>
      <c r="NQD57" s="196"/>
      <c r="NQE57" s="196"/>
      <c r="NQF57" s="196"/>
      <c r="NQG57" s="196"/>
      <c r="NQH57" s="196"/>
      <c r="NQI57" s="196"/>
      <c r="NQJ57" s="196"/>
      <c r="NQK57" s="196"/>
      <c r="NQL57" s="196"/>
      <c r="NQM57" s="196"/>
      <c r="NQN57" s="196"/>
      <c r="NQO57" s="196"/>
      <c r="NQP57" s="196"/>
      <c r="NQQ57" s="196"/>
      <c r="NQR57" s="196"/>
      <c r="NQS57" s="196"/>
      <c r="NQT57" s="196"/>
      <c r="NQU57" s="196"/>
      <c r="NQV57" s="196"/>
      <c r="NQW57" s="196"/>
      <c r="NQX57" s="196"/>
      <c r="NQY57" s="196"/>
      <c r="NQZ57" s="196"/>
      <c r="NRA57" s="196"/>
      <c r="NRB57" s="196"/>
      <c r="NRC57" s="196"/>
      <c r="NRD57" s="196"/>
      <c r="NRE57" s="196"/>
      <c r="NRF57" s="196"/>
      <c r="NRG57" s="196"/>
      <c r="NRH57" s="196"/>
      <c r="NRI57" s="196"/>
      <c r="NRJ57" s="196"/>
      <c r="NRK57" s="196"/>
      <c r="NRL57" s="196"/>
      <c r="NRM57" s="196"/>
      <c r="NRN57" s="196"/>
      <c r="NRO57" s="196"/>
      <c r="NRP57" s="196"/>
      <c r="NRQ57" s="196"/>
      <c r="NRR57" s="196"/>
      <c r="NRS57" s="196"/>
      <c r="NRT57" s="196"/>
      <c r="NRU57" s="196"/>
      <c r="NRV57" s="196"/>
      <c r="NRW57" s="196"/>
      <c r="NRX57" s="196"/>
      <c r="NRY57" s="196"/>
      <c r="NRZ57" s="196"/>
      <c r="NSA57" s="196"/>
      <c r="NSB57" s="196"/>
      <c r="NSC57" s="196"/>
      <c r="NSD57" s="196"/>
      <c r="NSE57" s="196"/>
      <c r="NSF57" s="196"/>
      <c r="NSG57" s="196"/>
      <c r="NSH57" s="196"/>
      <c r="NSI57" s="196"/>
      <c r="NSJ57" s="196"/>
      <c r="NSK57" s="196"/>
      <c r="NSL57" s="196"/>
      <c r="NSM57" s="196"/>
      <c r="NSN57" s="196"/>
      <c r="NSO57" s="196"/>
      <c r="NSP57" s="196"/>
      <c r="NSQ57" s="196"/>
      <c r="NSR57" s="196"/>
      <c r="NSS57" s="196"/>
      <c r="NST57" s="196"/>
      <c r="NSU57" s="196"/>
      <c r="NSV57" s="196"/>
      <c r="NSW57" s="196"/>
      <c r="NSX57" s="196"/>
      <c r="NSY57" s="196"/>
      <c r="NSZ57" s="196"/>
      <c r="NTA57" s="196"/>
      <c r="NTB57" s="196"/>
      <c r="NTC57" s="196"/>
      <c r="NTD57" s="196"/>
      <c r="NTE57" s="196"/>
      <c r="NTF57" s="196"/>
      <c r="NTG57" s="196"/>
      <c r="NTH57" s="196"/>
      <c r="NTI57" s="196"/>
      <c r="NTJ57" s="196"/>
      <c r="NTK57" s="196"/>
      <c r="NTL57" s="196"/>
      <c r="NTM57" s="196"/>
      <c r="NTN57" s="196"/>
      <c r="NTO57" s="196"/>
      <c r="NTP57" s="196"/>
      <c r="NTQ57" s="196"/>
      <c r="NTR57" s="196"/>
      <c r="NTS57" s="196"/>
      <c r="NTT57" s="196"/>
      <c r="NTU57" s="196"/>
      <c r="NTV57" s="196"/>
      <c r="NTW57" s="196"/>
      <c r="NTX57" s="196"/>
      <c r="NTY57" s="196"/>
      <c r="NTZ57" s="196"/>
      <c r="NUA57" s="196"/>
      <c r="NUB57" s="196"/>
      <c r="NUC57" s="196"/>
      <c r="NUD57" s="196"/>
      <c r="NUE57" s="196"/>
      <c r="NUF57" s="196"/>
      <c r="NUG57" s="196"/>
      <c r="NUH57" s="196"/>
      <c r="NUI57" s="196"/>
      <c r="NUJ57" s="196"/>
      <c r="NUK57" s="196"/>
      <c r="NUL57" s="196"/>
      <c r="NUM57" s="196"/>
      <c r="NUN57" s="196"/>
      <c r="NUO57" s="196"/>
      <c r="NUP57" s="196"/>
      <c r="NUQ57" s="196"/>
      <c r="NUR57" s="196"/>
      <c r="NUS57" s="196"/>
      <c r="NUT57" s="196"/>
      <c r="NUU57" s="196"/>
      <c r="NUV57" s="196"/>
      <c r="NUW57" s="196"/>
      <c r="NUX57" s="196"/>
      <c r="NUY57" s="196"/>
      <c r="NUZ57" s="196"/>
      <c r="NVA57" s="196"/>
      <c r="NVB57" s="196"/>
      <c r="NVC57" s="196"/>
      <c r="NVD57" s="196"/>
      <c r="NVE57" s="196"/>
      <c r="NVF57" s="196"/>
      <c r="NVG57" s="196"/>
      <c r="NVH57" s="196"/>
      <c r="NVI57" s="196"/>
      <c r="NVJ57" s="196"/>
      <c r="NVK57" s="196"/>
      <c r="NVL57" s="196"/>
      <c r="NVM57" s="196"/>
      <c r="NVN57" s="196"/>
      <c r="NVO57" s="196"/>
      <c r="NVP57" s="196"/>
      <c r="NVQ57" s="196"/>
      <c r="NVR57" s="196"/>
      <c r="NVS57" s="196"/>
      <c r="NVT57" s="196"/>
      <c r="NVU57" s="196"/>
      <c r="NVV57" s="196"/>
      <c r="NVW57" s="196"/>
      <c r="NVX57" s="196"/>
      <c r="NVY57" s="196"/>
      <c r="NVZ57" s="196"/>
      <c r="NWA57" s="196"/>
      <c r="NWB57" s="196"/>
      <c r="NWC57" s="196"/>
      <c r="NWD57" s="196"/>
      <c r="NWE57" s="196"/>
      <c r="NWF57" s="196"/>
      <c r="NWG57" s="196"/>
      <c r="NWH57" s="196"/>
      <c r="NWI57" s="196"/>
      <c r="NWJ57" s="196"/>
      <c r="NWK57" s="196"/>
      <c r="NWL57" s="196"/>
      <c r="NWM57" s="196"/>
      <c r="NWN57" s="196"/>
      <c r="NWO57" s="196"/>
      <c r="NWP57" s="196"/>
      <c r="NWQ57" s="196"/>
      <c r="NWR57" s="196"/>
      <c r="NWS57" s="196"/>
      <c r="NWT57" s="196"/>
      <c r="NWU57" s="196"/>
      <c r="NWV57" s="196"/>
      <c r="NWW57" s="196"/>
      <c r="NWX57" s="196"/>
      <c r="NWY57" s="196"/>
      <c r="NWZ57" s="196"/>
      <c r="NXA57" s="196"/>
      <c r="NXB57" s="196"/>
      <c r="NXC57" s="196"/>
      <c r="NXD57" s="196"/>
      <c r="NXE57" s="196"/>
      <c r="NXF57" s="196"/>
      <c r="NXG57" s="196"/>
      <c r="NXH57" s="196"/>
      <c r="NXI57" s="196"/>
      <c r="NXJ57" s="196"/>
      <c r="NXK57" s="196"/>
      <c r="NXL57" s="196"/>
      <c r="NXM57" s="196"/>
      <c r="NXN57" s="196"/>
      <c r="NXO57" s="196"/>
      <c r="NXP57" s="196"/>
      <c r="NXQ57" s="196"/>
      <c r="NXR57" s="196"/>
      <c r="NXS57" s="196"/>
      <c r="NXT57" s="196"/>
      <c r="NXU57" s="196"/>
      <c r="NXV57" s="196"/>
      <c r="NXW57" s="196"/>
      <c r="NXX57" s="196"/>
      <c r="NXY57" s="196"/>
      <c r="NXZ57" s="196"/>
      <c r="NYA57" s="196"/>
      <c r="NYB57" s="196"/>
      <c r="NYC57" s="196"/>
      <c r="NYD57" s="196"/>
      <c r="NYE57" s="196"/>
      <c r="NYF57" s="196"/>
      <c r="NYG57" s="196"/>
      <c r="NYH57" s="196"/>
      <c r="NYI57" s="196"/>
      <c r="NYJ57" s="196"/>
      <c r="NYK57" s="196"/>
      <c r="NYL57" s="196"/>
      <c r="NYM57" s="196"/>
      <c r="NYN57" s="196"/>
      <c r="NYO57" s="196"/>
      <c r="NYP57" s="196"/>
      <c r="NYQ57" s="196"/>
      <c r="NYR57" s="196"/>
      <c r="NYS57" s="196"/>
      <c r="NYT57" s="196"/>
      <c r="NYU57" s="196"/>
      <c r="NYV57" s="196"/>
      <c r="NYW57" s="196"/>
      <c r="NYX57" s="196"/>
      <c r="NYY57" s="196"/>
      <c r="NYZ57" s="196"/>
      <c r="NZA57" s="196"/>
      <c r="NZB57" s="196"/>
      <c r="NZC57" s="196"/>
      <c r="NZD57" s="196"/>
      <c r="NZE57" s="196"/>
      <c r="NZF57" s="196"/>
      <c r="NZG57" s="196"/>
      <c r="NZH57" s="196"/>
      <c r="NZI57" s="196"/>
      <c r="NZJ57" s="196"/>
      <c r="NZK57" s="196"/>
      <c r="NZL57" s="196"/>
      <c r="NZM57" s="196"/>
      <c r="NZN57" s="196"/>
      <c r="NZO57" s="196"/>
      <c r="NZP57" s="196"/>
      <c r="NZQ57" s="196"/>
      <c r="NZR57" s="196"/>
      <c r="NZS57" s="196"/>
      <c r="NZT57" s="196"/>
      <c r="NZU57" s="196"/>
      <c r="NZV57" s="196"/>
      <c r="NZW57" s="196"/>
      <c r="NZX57" s="196"/>
      <c r="NZY57" s="196"/>
      <c r="NZZ57" s="196"/>
      <c r="OAA57" s="196"/>
      <c r="OAB57" s="196"/>
      <c r="OAC57" s="196"/>
      <c r="OAD57" s="196"/>
      <c r="OAE57" s="196"/>
      <c r="OAF57" s="196"/>
      <c r="OAG57" s="196"/>
      <c r="OAH57" s="196"/>
      <c r="OAI57" s="196"/>
      <c r="OAJ57" s="196"/>
      <c r="OAK57" s="196"/>
      <c r="OAL57" s="196"/>
      <c r="OAM57" s="196"/>
      <c r="OAN57" s="196"/>
      <c r="OAO57" s="196"/>
      <c r="OAP57" s="196"/>
      <c r="OAQ57" s="196"/>
      <c r="OAR57" s="196"/>
      <c r="OAS57" s="196"/>
      <c r="OAT57" s="196"/>
      <c r="OAU57" s="196"/>
      <c r="OAV57" s="196"/>
      <c r="OAW57" s="196"/>
      <c r="OAX57" s="196"/>
      <c r="OAY57" s="196"/>
      <c r="OAZ57" s="196"/>
      <c r="OBA57" s="196"/>
      <c r="OBB57" s="196"/>
      <c r="OBC57" s="196"/>
      <c r="OBD57" s="196"/>
      <c r="OBE57" s="196"/>
      <c r="OBF57" s="196"/>
      <c r="OBG57" s="196"/>
      <c r="OBH57" s="196"/>
      <c r="OBI57" s="196"/>
      <c r="OBJ57" s="196"/>
      <c r="OBK57" s="196"/>
      <c r="OBL57" s="196"/>
      <c r="OBM57" s="196"/>
      <c r="OBN57" s="196"/>
      <c r="OBO57" s="196"/>
      <c r="OBP57" s="196"/>
      <c r="OBQ57" s="196"/>
      <c r="OBR57" s="196"/>
      <c r="OBS57" s="196"/>
      <c r="OBT57" s="196"/>
      <c r="OBU57" s="196"/>
      <c r="OBV57" s="196"/>
      <c r="OBW57" s="196"/>
      <c r="OBX57" s="196"/>
      <c r="OBY57" s="196"/>
      <c r="OBZ57" s="196"/>
      <c r="OCA57" s="196"/>
      <c r="OCB57" s="196"/>
      <c r="OCC57" s="196"/>
      <c r="OCD57" s="196"/>
      <c r="OCE57" s="196"/>
      <c r="OCF57" s="196"/>
      <c r="OCG57" s="196"/>
      <c r="OCH57" s="196"/>
      <c r="OCI57" s="196"/>
      <c r="OCJ57" s="196"/>
      <c r="OCK57" s="196"/>
      <c r="OCL57" s="196"/>
      <c r="OCM57" s="196"/>
      <c r="OCN57" s="196"/>
      <c r="OCO57" s="196"/>
      <c r="OCP57" s="196"/>
      <c r="OCQ57" s="196"/>
      <c r="OCR57" s="196"/>
      <c r="OCS57" s="196"/>
      <c r="OCT57" s="196"/>
      <c r="OCU57" s="196"/>
      <c r="OCV57" s="196"/>
      <c r="OCW57" s="196"/>
      <c r="OCX57" s="196"/>
      <c r="OCY57" s="196"/>
      <c r="OCZ57" s="196"/>
      <c r="ODA57" s="196"/>
      <c r="ODB57" s="196"/>
      <c r="ODC57" s="196"/>
      <c r="ODD57" s="196"/>
      <c r="ODE57" s="196"/>
      <c r="ODF57" s="196"/>
      <c r="ODG57" s="196"/>
      <c r="ODH57" s="196"/>
      <c r="ODI57" s="196"/>
      <c r="ODJ57" s="196"/>
      <c r="ODK57" s="196"/>
      <c r="ODL57" s="196"/>
      <c r="ODM57" s="196"/>
      <c r="ODN57" s="196"/>
      <c r="ODO57" s="196"/>
      <c r="ODP57" s="196"/>
      <c r="ODQ57" s="196"/>
      <c r="ODR57" s="196"/>
      <c r="ODS57" s="196"/>
      <c r="ODT57" s="196"/>
      <c r="ODU57" s="196"/>
      <c r="ODV57" s="196"/>
      <c r="ODW57" s="196"/>
      <c r="ODX57" s="196"/>
      <c r="ODY57" s="196"/>
      <c r="ODZ57" s="196"/>
      <c r="OEA57" s="196"/>
      <c r="OEB57" s="196"/>
      <c r="OEC57" s="196"/>
      <c r="OED57" s="196"/>
      <c r="OEE57" s="196"/>
      <c r="OEF57" s="196"/>
      <c r="OEG57" s="196"/>
      <c r="OEH57" s="196"/>
      <c r="OEI57" s="196"/>
      <c r="OEJ57" s="196"/>
      <c r="OEK57" s="196"/>
      <c r="OEL57" s="196"/>
      <c r="OEM57" s="196"/>
      <c r="OEN57" s="196"/>
      <c r="OEO57" s="196"/>
      <c r="OEP57" s="196"/>
      <c r="OEQ57" s="196"/>
      <c r="OER57" s="196"/>
      <c r="OES57" s="196"/>
      <c r="OET57" s="196"/>
      <c r="OEU57" s="196"/>
      <c r="OEV57" s="196"/>
      <c r="OEW57" s="196"/>
      <c r="OEX57" s="196"/>
      <c r="OEY57" s="196"/>
      <c r="OEZ57" s="196"/>
      <c r="OFA57" s="196"/>
      <c r="OFB57" s="196"/>
      <c r="OFC57" s="196"/>
      <c r="OFD57" s="196"/>
      <c r="OFE57" s="196"/>
      <c r="OFF57" s="196"/>
      <c r="OFG57" s="196"/>
      <c r="OFH57" s="196"/>
      <c r="OFI57" s="196"/>
      <c r="OFJ57" s="196"/>
      <c r="OFK57" s="196"/>
      <c r="OFL57" s="196"/>
      <c r="OFM57" s="196"/>
      <c r="OFN57" s="196"/>
      <c r="OFO57" s="196"/>
      <c r="OFP57" s="196"/>
      <c r="OFQ57" s="196"/>
      <c r="OFR57" s="196"/>
      <c r="OFS57" s="196"/>
      <c r="OFT57" s="196"/>
      <c r="OFU57" s="196"/>
      <c r="OFV57" s="196"/>
      <c r="OFW57" s="196"/>
      <c r="OFX57" s="196"/>
      <c r="OFY57" s="196"/>
      <c r="OFZ57" s="196"/>
      <c r="OGA57" s="196"/>
      <c r="OGB57" s="196"/>
      <c r="OGC57" s="196"/>
      <c r="OGD57" s="196"/>
      <c r="OGE57" s="196"/>
      <c r="OGF57" s="196"/>
      <c r="OGG57" s="196"/>
      <c r="OGH57" s="196"/>
      <c r="OGI57" s="196"/>
      <c r="OGJ57" s="196"/>
      <c r="OGK57" s="196"/>
      <c r="OGL57" s="196"/>
      <c r="OGM57" s="196"/>
      <c r="OGN57" s="196"/>
      <c r="OGO57" s="196"/>
      <c r="OGP57" s="196"/>
      <c r="OGQ57" s="196"/>
      <c r="OGR57" s="196"/>
      <c r="OGS57" s="196"/>
      <c r="OGT57" s="196"/>
      <c r="OGU57" s="196"/>
      <c r="OGV57" s="196"/>
      <c r="OGW57" s="196"/>
      <c r="OGX57" s="196"/>
      <c r="OGY57" s="196"/>
      <c r="OGZ57" s="196"/>
      <c r="OHA57" s="196"/>
      <c r="OHB57" s="196"/>
      <c r="OHC57" s="196"/>
      <c r="OHD57" s="196"/>
      <c r="OHE57" s="196"/>
      <c r="OHF57" s="196"/>
      <c r="OHG57" s="196"/>
      <c r="OHH57" s="196"/>
      <c r="OHI57" s="196"/>
      <c r="OHJ57" s="196"/>
      <c r="OHK57" s="196"/>
      <c r="OHL57" s="196"/>
      <c r="OHM57" s="196"/>
      <c r="OHN57" s="196"/>
      <c r="OHO57" s="196"/>
      <c r="OHP57" s="196"/>
      <c r="OHQ57" s="196"/>
      <c r="OHR57" s="196"/>
      <c r="OHS57" s="196"/>
      <c r="OHT57" s="196"/>
      <c r="OHU57" s="196"/>
      <c r="OHV57" s="196"/>
      <c r="OHW57" s="196"/>
      <c r="OHX57" s="196"/>
      <c r="OHY57" s="196"/>
      <c r="OHZ57" s="196"/>
      <c r="OIA57" s="196"/>
      <c r="OIB57" s="196"/>
      <c r="OIC57" s="196"/>
      <c r="OID57" s="196"/>
      <c r="OIE57" s="196"/>
      <c r="OIF57" s="196"/>
      <c r="OIG57" s="196"/>
      <c r="OIH57" s="196"/>
      <c r="OII57" s="196"/>
      <c r="OIJ57" s="196"/>
      <c r="OIK57" s="196"/>
      <c r="OIL57" s="196"/>
      <c r="OIM57" s="196"/>
      <c r="OIN57" s="196"/>
      <c r="OIO57" s="196"/>
      <c r="OIP57" s="196"/>
      <c r="OIQ57" s="196"/>
      <c r="OIR57" s="196"/>
      <c r="OIS57" s="196"/>
      <c r="OIT57" s="196"/>
      <c r="OIU57" s="196"/>
      <c r="OIV57" s="196"/>
      <c r="OIW57" s="196"/>
      <c r="OIX57" s="196"/>
      <c r="OIY57" s="196"/>
      <c r="OIZ57" s="196"/>
      <c r="OJA57" s="196"/>
      <c r="OJB57" s="196"/>
      <c r="OJC57" s="196"/>
      <c r="OJD57" s="196"/>
      <c r="OJE57" s="196"/>
      <c r="OJF57" s="196"/>
      <c r="OJG57" s="196"/>
      <c r="OJH57" s="196"/>
      <c r="OJI57" s="196"/>
      <c r="OJJ57" s="196"/>
      <c r="OJK57" s="196"/>
      <c r="OJL57" s="196"/>
      <c r="OJM57" s="196"/>
      <c r="OJN57" s="196"/>
      <c r="OJO57" s="196"/>
      <c r="OJP57" s="196"/>
      <c r="OJQ57" s="196"/>
      <c r="OJR57" s="196"/>
      <c r="OJS57" s="196"/>
      <c r="OJT57" s="196"/>
      <c r="OJU57" s="196"/>
      <c r="OJV57" s="196"/>
      <c r="OJW57" s="196"/>
      <c r="OJX57" s="196"/>
      <c r="OJY57" s="196"/>
      <c r="OJZ57" s="196"/>
      <c r="OKA57" s="196"/>
      <c r="OKB57" s="196"/>
      <c r="OKC57" s="196"/>
      <c r="OKD57" s="196"/>
      <c r="OKE57" s="196"/>
      <c r="OKF57" s="196"/>
      <c r="OKG57" s="196"/>
      <c r="OKH57" s="196"/>
      <c r="OKI57" s="196"/>
      <c r="OKJ57" s="196"/>
      <c r="OKK57" s="196"/>
      <c r="OKL57" s="196"/>
      <c r="OKM57" s="196"/>
      <c r="OKN57" s="196"/>
      <c r="OKO57" s="196"/>
      <c r="OKP57" s="196"/>
      <c r="OKQ57" s="196"/>
      <c r="OKR57" s="196"/>
      <c r="OKS57" s="196"/>
      <c r="OKT57" s="196"/>
      <c r="OKU57" s="196"/>
      <c r="OKV57" s="196"/>
      <c r="OKW57" s="196"/>
      <c r="OKX57" s="196"/>
      <c r="OKY57" s="196"/>
      <c r="OKZ57" s="196"/>
      <c r="OLA57" s="196"/>
      <c r="OLB57" s="196"/>
      <c r="OLC57" s="196"/>
      <c r="OLD57" s="196"/>
      <c r="OLE57" s="196"/>
      <c r="OLF57" s="196"/>
      <c r="OLG57" s="196"/>
      <c r="OLH57" s="196"/>
      <c r="OLI57" s="196"/>
      <c r="OLJ57" s="196"/>
      <c r="OLK57" s="196"/>
      <c r="OLL57" s="196"/>
      <c r="OLM57" s="196"/>
      <c r="OLN57" s="196"/>
      <c r="OLO57" s="196"/>
      <c r="OLP57" s="196"/>
      <c r="OLQ57" s="196"/>
      <c r="OLR57" s="196"/>
      <c r="OLS57" s="196"/>
      <c r="OLT57" s="196"/>
      <c r="OLU57" s="196"/>
      <c r="OLV57" s="196"/>
      <c r="OLW57" s="196"/>
      <c r="OLX57" s="196"/>
      <c r="OLY57" s="196"/>
      <c r="OLZ57" s="196"/>
      <c r="OMA57" s="196"/>
      <c r="OMB57" s="196"/>
      <c r="OMC57" s="196"/>
      <c r="OMD57" s="196"/>
      <c r="OME57" s="196"/>
      <c r="OMF57" s="196"/>
      <c r="OMG57" s="196"/>
      <c r="OMH57" s="196"/>
      <c r="OMI57" s="196"/>
      <c r="OMJ57" s="196"/>
      <c r="OMK57" s="196"/>
      <c r="OML57" s="196"/>
      <c r="OMM57" s="196"/>
      <c r="OMN57" s="196"/>
      <c r="OMO57" s="196"/>
      <c r="OMP57" s="196"/>
      <c r="OMQ57" s="196"/>
      <c r="OMR57" s="196"/>
      <c r="OMS57" s="196"/>
      <c r="OMT57" s="196"/>
      <c r="OMU57" s="196"/>
      <c r="OMV57" s="196"/>
      <c r="OMW57" s="196"/>
      <c r="OMX57" s="196"/>
      <c r="OMY57" s="196"/>
      <c r="OMZ57" s="196"/>
      <c r="ONA57" s="196"/>
      <c r="ONB57" s="196"/>
      <c r="ONC57" s="196"/>
      <c r="OND57" s="196"/>
      <c r="ONE57" s="196"/>
      <c r="ONF57" s="196"/>
      <c r="ONG57" s="196"/>
      <c r="ONH57" s="196"/>
      <c r="ONI57" s="196"/>
      <c r="ONJ57" s="196"/>
      <c r="ONK57" s="196"/>
      <c r="ONL57" s="196"/>
      <c r="ONM57" s="196"/>
      <c r="ONN57" s="196"/>
      <c r="ONO57" s="196"/>
      <c r="ONP57" s="196"/>
      <c r="ONQ57" s="196"/>
      <c r="ONR57" s="196"/>
      <c r="ONS57" s="196"/>
      <c r="ONT57" s="196"/>
      <c r="ONU57" s="196"/>
      <c r="ONV57" s="196"/>
      <c r="ONW57" s="196"/>
      <c r="ONX57" s="196"/>
      <c r="ONY57" s="196"/>
      <c r="ONZ57" s="196"/>
      <c r="OOA57" s="196"/>
      <c r="OOB57" s="196"/>
      <c r="OOC57" s="196"/>
      <c r="OOD57" s="196"/>
      <c r="OOE57" s="196"/>
      <c r="OOF57" s="196"/>
      <c r="OOG57" s="196"/>
      <c r="OOH57" s="196"/>
      <c r="OOI57" s="196"/>
      <c r="OOJ57" s="196"/>
      <c r="OOK57" s="196"/>
      <c r="OOL57" s="196"/>
      <c r="OOM57" s="196"/>
      <c r="OON57" s="196"/>
      <c r="OOO57" s="196"/>
      <c r="OOP57" s="196"/>
      <c r="OOQ57" s="196"/>
      <c r="OOR57" s="196"/>
      <c r="OOS57" s="196"/>
      <c r="OOT57" s="196"/>
      <c r="OOU57" s="196"/>
      <c r="OOV57" s="196"/>
      <c r="OOW57" s="196"/>
      <c r="OOX57" s="196"/>
      <c r="OOY57" s="196"/>
      <c r="OOZ57" s="196"/>
      <c r="OPA57" s="196"/>
      <c r="OPB57" s="196"/>
      <c r="OPC57" s="196"/>
      <c r="OPD57" s="196"/>
      <c r="OPE57" s="196"/>
      <c r="OPF57" s="196"/>
      <c r="OPG57" s="196"/>
      <c r="OPH57" s="196"/>
      <c r="OPI57" s="196"/>
      <c r="OPJ57" s="196"/>
      <c r="OPK57" s="196"/>
      <c r="OPL57" s="196"/>
      <c r="OPM57" s="196"/>
      <c r="OPN57" s="196"/>
      <c r="OPO57" s="196"/>
      <c r="OPP57" s="196"/>
      <c r="OPQ57" s="196"/>
      <c r="OPR57" s="196"/>
      <c r="OPS57" s="196"/>
      <c r="OPT57" s="196"/>
      <c r="OPU57" s="196"/>
      <c r="OPV57" s="196"/>
      <c r="OPW57" s="196"/>
      <c r="OPX57" s="196"/>
      <c r="OPY57" s="196"/>
      <c r="OPZ57" s="196"/>
      <c r="OQA57" s="196"/>
      <c r="OQB57" s="196"/>
      <c r="OQC57" s="196"/>
      <c r="OQD57" s="196"/>
      <c r="OQE57" s="196"/>
      <c r="OQF57" s="196"/>
      <c r="OQG57" s="196"/>
      <c r="OQH57" s="196"/>
      <c r="OQI57" s="196"/>
      <c r="OQJ57" s="196"/>
      <c r="OQK57" s="196"/>
      <c r="OQL57" s="196"/>
      <c r="OQM57" s="196"/>
      <c r="OQN57" s="196"/>
      <c r="OQO57" s="196"/>
      <c r="OQP57" s="196"/>
      <c r="OQQ57" s="196"/>
      <c r="OQR57" s="196"/>
      <c r="OQS57" s="196"/>
      <c r="OQT57" s="196"/>
      <c r="OQU57" s="196"/>
      <c r="OQV57" s="196"/>
      <c r="OQW57" s="196"/>
      <c r="OQX57" s="196"/>
      <c r="OQY57" s="196"/>
      <c r="OQZ57" s="196"/>
      <c r="ORA57" s="196"/>
      <c r="ORB57" s="196"/>
      <c r="ORC57" s="196"/>
      <c r="ORD57" s="196"/>
      <c r="ORE57" s="196"/>
      <c r="ORF57" s="196"/>
      <c r="ORG57" s="196"/>
      <c r="ORH57" s="196"/>
      <c r="ORI57" s="196"/>
      <c r="ORJ57" s="196"/>
      <c r="ORK57" s="196"/>
      <c r="ORL57" s="196"/>
      <c r="ORM57" s="196"/>
      <c r="ORN57" s="196"/>
      <c r="ORO57" s="196"/>
      <c r="ORP57" s="196"/>
      <c r="ORQ57" s="196"/>
      <c r="ORR57" s="196"/>
      <c r="ORS57" s="196"/>
      <c r="ORT57" s="196"/>
      <c r="ORU57" s="196"/>
      <c r="ORV57" s="196"/>
      <c r="ORW57" s="196"/>
      <c r="ORX57" s="196"/>
      <c r="ORY57" s="196"/>
      <c r="ORZ57" s="196"/>
      <c r="OSA57" s="196"/>
      <c r="OSB57" s="196"/>
      <c r="OSC57" s="196"/>
      <c r="OSD57" s="196"/>
      <c r="OSE57" s="196"/>
      <c r="OSF57" s="196"/>
      <c r="OSG57" s="196"/>
      <c r="OSH57" s="196"/>
      <c r="OSI57" s="196"/>
      <c r="OSJ57" s="196"/>
      <c r="OSK57" s="196"/>
      <c r="OSL57" s="196"/>
      <c r="OSM57" s="196"/>
      <c r="OSN57" s="196"/>
      <c r="OSO57" s="196"/>
      <c r="OSP57" s="196"/>
      <c r="OSQ57" s="196"/>
      <c r="OSR57" s="196"/>
      <c r="OSS57" s="196"/>
      <c r="OST57" s="196"/>
      <c r="OSU57" s="196"/>
      <c r="OSV57" s="196"/>
      <c r="OSW57" s="196"/>
      <c r="OSX57" s="196"/>
      <c r="OSY57" s="196"/>
      <c r="OSZ57" s="196"/>
      <c r="OTA57" s="196"/>
      <c r="OTB57" s="196"/>
      <c r="OTC57" s="196"/>
      <c r="OTD57" s="196"/>
      <c r="OTE57" s="196"/>
      <c r="OTF57" s="196"/>
      <c r="OTG57" s="196"/>
      <c r="OTH57" s="196"/>
      <c r="OTI57" s="196"/>
      <c r="OTJ57" s="196"/>
      <c r="OTK57" s="196"/>
      <c r="OTL57" s="196"/>
      <c r="OTM57" s="196"/>
      <c r="OTN57" s="196"/>
      <c r="OTO57" s="196"/>
      <c r="OTP57" s="196"/>
      <c r="OTQ57" s="196"/>
      <c r="OTR57" s="196"/>
      <c r="OTS57" s="196"/>
      <c r="OTT57" s="196"/>
      <c r="OTU57" s="196"/>
      <c r="OTV57" s="196"/>
      <c r="OTW57" s="196"/>
      <c r="OTX57" s="196"/>
      <c r="OTY57" s="196"/>
      <c r="OTZ57" s="196"/>
      <c r="OUA57" s="196"/>
      <c r="OUB57" s="196"/>
      <c r="OUC57" s="196"/>
      <c r="OUD57" s="196"/>
      <c r="OUE57" s="196"/>
      <c r="OUF57" s="196"/>
      <c r="OUG57" s="196"/>
      <c r="OUH57" s="196"/>
      <c r="OUI57" s="196"/>
      <c r="OUJ57" s="196"/>
      <c r="OUK57" s="196"/>
      <c r="OUL57" s="196"/>
      <c r="OUM57" s="196"/>
      <c r="OUN57" s="196"/>
      <c r="OUO57" s="196"/>
      <c r="OUP57" s="196"/>
      <c r="OUQ57" s="196"/>
      <c r="OUR57" s="196"/>
      <c r="OUS57" s="196"/>
      <c r="OUT57" s="196"/>
      <c r="OUU57" s="196"/>
      <c r="OUV57" s="196"/>
      <c r="OUW57" s="196"/>
      <c r="OUX57" s="196"/>
      <c r="OUY57" s="196"/>
      <c r="OUZ57" s="196"/>
      <c r="OVA57" s="196"/>
      <c r="OVB57" s="196"/>
      <c r="OVC57" s="196"/>
      <c r="OVD57" s="196"/>
      <c r="OVE57" s="196"/>
      <c r="OVF57" s="196"/>
      <c r="OVG57" s="196"/>
      <c r="OVH57" s="196"/>
      <c r="OVI57" s="196"/>
      <c r="OVJ57" s="196"/>
      <c r="OVK57" s="196"/>
      <c r="OVL57" s="196"/>
      <c r="OVM57" s="196"/>
      <c r="OVN57" s="196"/>
      <c r="OVO57" s="196"/>
      <c r="OVP57" s="196"/>
      <c r="OVQ57" s="196"/>
      <c r="OVR57" s="196"/>
      <c r="OVS57" s="196"/>
      <c r="OVT57" s="196"/>
      <c r="OVU57" s="196"/>
      <c r="OVV57" s="196"/>
      <c r="OVW57" s="196"/>
      <c r="OVX57" s="196"/>
      <c r="OVY57" s="196"/>
      <c r="OVZ57" s="196"/>
      <c r="OWA57" s="196"/>
      <c r="OWB57" s="196"/>
      <c r="OWC57" s="196"/>
      <c r="OWD57" s="196"/>
      <c r="OWE57" s="196"/>
      <c r="OWF57" s="196"/>
      <c r="OWG57" s="196"/>
      <c r="OWH57" s="196"/>
      <c r="OWI57" s="196"/>
      <c r="OWJ57" s="196"/>
      <c r="OWK57" s="196"/>
      <c r="OWL57" s="196"/>
      <c r="OWM57" s="196"/>
      <c r="OWN57" s="196"/>
      <c r="OWO57" s="196"/>
      <c r="OWP57" s="196"/>
      <c r="OWQ57" s="196"/>
      <c r="OWR57" s="196"/>
      <c r="OWS57" s="196"/>
      <c r="OWT57" s="196"/>
      <c r="OWU57" s="196"/>
      <c r="OWV57" s="196"/>
      <c r="OWW57" s="196"/>
      <c r="OWX57" s="196"/>
      <c r="OWY57" s="196"/>
      <c r="OWZ57" s="196"/>
      <c r="OXA57" s="196"/>
      <c r="OXB57" s="196"/>
      <c r="OXC57" s="196"/>
      <c r="OXD57" s="196"/>
      <c r="OXE57" s="196"/>
      <c r="OXF57" s="196"/>
      <c r="OXG57" s="196"/>
      <c r="OXH57" s="196"/>
      <c r="OXI57" s="196"/>
      <c r="OXJ57" s="196"/>
      <c r="OXK57" s="196"/>
      <c r="OXL57" s="196"/>
      <c r="OXM57" s="196"/>
      <c r="OXN57" s="196"/>
      <c r="OXO57" s="196"/>
      <c r="OXP57" s="196"/>
      <c r="OXQ57" s="196"/>
      <c r="OXR57" s="196"/>
      <c r="OXS57" s="196"/>
      <c r="OXT57" s="196"/>
      <c r="OXU57" s="196"/>
      <c r="OXV57" s="196"/>
      <c r="OXW57" s="196"/>
      <c r="OXX57" s="196"/>
      <c r="OXY57" s="196"/>
      <c r="OXZ57" s="196"/>
      <c r="OYA57" s="196"/>
      <c r="OYB57" s="196"/>
      <c r="OYC57" s="196"/>
      <c r="OYD57" s="196"/>
      <c r="OYE57" s="196"/>
      <c r="OYF57" s="196"/>
      <c r="OYG57" s="196"/>
      <c r="OYH57" s="196"/>
      <c r="OYI57" s="196"/>
      <c r="OYJ57" s="196"/>
      <c r="OYK57" s="196"/>
      <c r="OYL57" s="196"/>
      <c r="OYM57" s="196"/>
      <c r="OYN57" s="196"/>
      <c r="OYO57" s="196"/>
      <c r="OYP57" s="196"/>
      <c r="OYQ57" s="196"/>
      <c r="OYR57" s="196"/>
      <c r="OYS57" s="196"/>
      <c r="OYT57" s="196"/>
      <c r="OYU57" s="196"/>
      <c r="OYV57" s="196"/>
      <c r="OYW57" s="196"/>
      <c r="OYX57" s="196"/>
      <c r="OYY57" s="196"/>
      <c r="OYZ57" s="196"/>
      <c r="OZA57" s="196"/>
      <c r="OZB57" s="196"/>
      <c r="OZC57" s="196"/>
      <c r="OZD57" s="196"/>
      <c r="OZE57" s="196"/>
      <c r="OZF57" s="196"/>
      <c r="OZG57" s="196"/>
      <c r="OZH57" s="196"/>
      <c r="OZI57" s="196"/>
      <c r="OZJ57" s="196"/>
      <c r="OZK57" s="196"/>
      <c r="OZL57" s="196"/>
      <c r="OZM57" s="196"/>
      <c r="OZN57" s="196"/>
      <c r="OZO57" s="196"/>
      <c r="OZP57" s="196"/>
      <c r="OZQ57" s="196"/>
      <c r="OZR57" s="196"/>
      <c r="OZS57" s="196"/>
      <c r="OZT57" s="196"/>
      <c r="OZU57" s="196"/>
      <c r="OZV57" s="196"/>
      <c r="OZW57" s="196"/>
      <c r="OZX57" s="196"/>
      <c r="OZY57" s="196"/>
      <c r="OZZ57" s="196"/>
      <c r="PAA57" s="196"/>
      <c r="PAB57" s="196"/>
      <c r="PAC57" s="196"/>
      <c r="PAD57" s="196"/>
      <c r="PAE57" s="196"/>
      <c r="PAF57" s="196"/>
      <c r="PAG57" s="196"/>
      <c r="PAH57" s="196"/>
      <c r="PAI57" s="196"/>
      <c r="PAJ57" s="196"/>
      <c r="PAK57" s="196"/>
      <c r="PAL57" s="196"/>
      <c r="PAM57" s="196"/>
      <c r="PAN57" s="196"/>
      <c r="PAO57" s="196"/>
      <c r="PAP57" s="196"/>
      <c r="PAQ57" s="196"/>
      <c r="PAR57" s="196"/>
      <c r="PAS57" s="196"/>
      <c r="PAT57" s="196"/>
      <c r="PAU57" s="196"/>
      <c r="PAV57" s="196"/>
      <c r="PAW57" s="196"/>
      <c r="PAX57" s="196"/>
      <c r="PAY57" s="196"/>
      <c r="PAZ57" s="196"/>
      <c r="PBA57" s="196"/>
      <c r="PBB57" s="196"/>
      <c r="PBC57" s="196"/>
      <c r="PBD57" s="196"/>
      <c r="PBE57" s="196"/>
      <c r="PBF57" s="196"/>
      <c r="PBG57" s="196"/>
      <c r="PBH57" s="196"/>
      <c r="PBI57" s="196"/>
      <c r="PBJ57" s="196"/>
      <c r="PBK57" s="196"/>
      <c r="PBL57" s="196"/>
      <c r="PBM57" s="196"/>
      <c r="PBN57" s="196"/>
      <c r="PBO57" s="196"/>
      <c r="PBP57" s="196"/>
      <c r="PBQ57" s="196"/>
      <c r="PBR57" s="196"/>
      <c r="PBS57" s="196"/>
      <c r="PBT57" s="196"/>
      <c r="PBU57" s="196"/>
      <c r="PBV57" s="196"/>
      <c r="PBW57" s="196"/>
      <c r="PBX57" s="196"/>
      <c r="PBY57" s="196"/>
      <c r="PBZ57" s="196"/>
      <c r="PCA57" s="196"/>
      <c r="PCB57" s="196"/>
      <c r="PCC57" s="196"/>
      <c r="PCD57" s="196"/>
      <c r="PCE57" s="196"/>
      <c r="PCF57" s="196"/>
      <c r="PCG57" s="196"/>
      <c r="PCH57" s="196"/>
      <c r="PCI57" s="196"/>
      <c r="PCJ57" s="196"/>
      <c r="PCK57" s="196"/>
      <c r="PCL57" s="196"/>
      <c r="PCM57" s="196"/>
      <c r="PCN57" s="196"/>
      <c r="PCO57" s="196"/>
      <c r="PCP57" s="196"/>
      <c r="PCQ57" s="196"/>
      <c r="PCR57" s="196"/>
      <c r="PCS57" s="196"/>
      <c r="PCT57" s="196"/>
      <c r="PCU57" s="196"/>
      <c r="PCV57" s="196"/>
      <c r="PCW57" s="196"/>
      <c r="PCX57" s="196"/>
      <c r="PCY57" s="196"/>
      <c r="PCZ57" s="196"/>
      <c r="PDA57" s="196"/>
      <c r="PDB57" s="196"/>
      <c r="PDC57" s="196"/>
      <c r="PDD57" s="196"/>
      <c r="PDE57" s="196"/>
      <c r="PDF57" s="196"/>
      <c r="PDG57" s="196"/>
      <c r="PDH57" s="196"/>
      <c r="PDI57" s="196"/>
      <c r="PDJ57" s="196"/>
      <c r="PDK57" s="196"/>
      <c r="PDL57" s="196"/>
      <c r="PDM57" s="196"/>
      <c r="PDN57" s="196"/>
      <c r="PDO57" s="196"/>
      <c r="PDP57" s="196"/>
      <c r="PDQ57" s="196"/>
      <c r="PDR57" s="196"/>
      <c r="PDS57" s="196"/>
      <c r="PDT57" s="196"/>
      <c r="PDU57" s="196"/>
      <c r="PDV57" s="196"/>
      <c r="PDW57" s="196"/>
      <c r="PDX57" s="196"/>
      <c r="PDY57" s="196"/>
      <c r="PDZ57" s="196"/>
      <c r="PEA57" s="196"/>
      <c r="PEB57" s="196"/>
      <c r="PEC57" s="196"/>
      <c r="PED57" s="196"/>
      <c r="PEE57" s="196"/>
      <c r="PEF57" s="196"/>
      <c r="PEG57" s="196"/>
      <c r="PEH57" s="196"/>
      <c r="PEI57" s="196"/>
      <c r="PEJ57" s="196"/>
      <c r="PEK57" s="196"/>
      <c r="PEL57" s="196"/>
      <c r="PEM57" s="196"/>
      <c r="PEN57" s="196"/>
      <c r="PEO57" s="196"/>
      <c r="PEP57" s="196"/>
      <c r="PEQ57" s="196"/>
      <c r="PER57" s="196"/>
      <c r="PES57" s="196"/>
      <c r="PET57" s="196"/>
      <c r="PEU57" s="196"/>
      <c r="PEV57" s="196"/>
      <c r="PEW57" s="196"/>
      <c r="PEX57" s="196"/>
      <c r="PEY57" s="196"/>
      <c r="PEZ57" s="196"/>
      <c r="PFA57" s="196"/>
      <c r="PFB57" s="196"/>
      <c r="PFC57" s="196"/>
      <c r="PFD57" s="196"/>
      <c r="PFE57" s="196"/>
      <c r="PFF57" s="196"/>
      <c r="PFG57" s="196"/>
      <c r="PFH57" s="196"/>
      <c r="PFI57" s="196"/>
      <c r="PFJ57" s="196"/>
      <c r="PFK57" s="196"/>
      <c r="PFL57" s="196"/>
      <c r="PFM57" s="196"/>
      <c r="PFN57" s="196"/>
      <c r="PFO57" s="196"/>
      <c r="PFP57" s="196"/>
      <c r="PFQ57" s="196"/>
      <c r="PFR57" s="196"/>
      <c r="PFS57" s="196"/>
      <c r="PFT57" s="196"/>
      <c r="PFU57" s="196"/>
      <c r="PFV57" s="196"/>
      <c r="PFW57" s="196"/>
      <c r="PFX57" s="196"/>
      <c r="PFY57" s="196"/>
      <c r="PFZ57" s="196"/>
      <c r="PGA57" s="196"/>
      <c r="PGB57" s="196"/>
      <c r="PGC57" s="196"/>
      <c r="PGD57" s="196"/>
      <c r="PGE57" s="196"/>
      <c r="PGF57" s="196"/>
      <c r="PGG57" s="196"/>
      <c r="PGH57" s="196"/>
      <c r="PGI57" s="196"/>
      <c r="PGJ57" s="196"/>
      <c r="PGK57" s="196"/>
      <c r="PGL57" s="196"/>
      <c r="PGM57" s="196"/>
      <c r="PGN57" s="196"/>
      <c r="PGO57" s="196"/>
      <c r="PGP57" s="196"/>
      <c r="PGQ57" s="196"/>
      <c r="PGR57" s="196"/>
      <c r="PGS57" s="196"/>
      <c r="PGT57" s="196"/>
      <c r="PGU57" s="196"/>
      <c r="PGV57" s="196"/>
      <c r="PGW57" s="196"/>
      <c r="PGX57" s="196"/>
      <c r="PGY57" s="196"/>
      <c r="PGZ57" s="196"/>
      <c r="PHA57" s="196"/>
      <c r="PHB57" s="196"/>
      <c r="PHC57" s="196"/>
      <c r="PHD57" s="196"/>
      <c r="PHE57" s="196"/>
      <c r="PHF57" s="196"/>
      <c r="PHG57" s="196"/>
      <c r="PHH57" s="196"/>
      <c r="PHI57" s="196"/>
      <c r="PHJ57" s="196"/>
      <c r="PHK57" s="196"/>
      <c r="PHL57" s="196"/>
      <c r="PHM57" s="196"/>
      <c r="PHN57" s="196"/>
      <c r="PHO57" s="196"/>
      <c r="PHP57" s="196"/>
      <c r="PHQ57" s="196"/>
      <c r="PHR57" s="196"/>
      <c r="PHS57" s="196"/>
      <c r="PHT57" s="196"/>
      <c r="PHU57" s="196"/>
      <c r="PHV57" s="196"/>
      <c r="PHW57" s="196"/>
      <c r="PHX57" s="196"/>
      <c r="PHY57" s="196"/>
      <c r="PHZ57" s="196"/>
      <c r="PIA57" s="196"/>
      <c r="PIB57" s="196"/>
      <c r="PIC57" s="196"/>
      <c r="PID57" s="196"/>
      <c r="PIE57" s="196"/>
      <c r="PIF57" s="196"/>
      <c r="PIG57" s="196"/>
      <c r="PIH57" s="196"/>
      <c r="PII57" s="196"/>
      <c r="PIJ57" s="196"/>
      <c r="PIK57" s="196"/>
      <c r="PIL57" s="196"/>
      <c r="PIM57" s="196"/>
      <c r="PIN57" s="196"/>
      <c r="PIO57" s="196"/>
      <c r="PIP57" s="196"/>
      <c r="PIQ57" s="196"/>
      <c r="PIR57" s="196"/>
      <c r="PIS57" s="196"/>
      <c r="PIT57" s="196"/>
      <c r="PIU57" s="196"/>
      <c r="PIV57" s="196"/>
      <c r="PIW57" s="196"/>
      <c r="PIX57" s="196"/>
      <c r="PIY57" s="196"/>
      <c r="PIZ57" s="196"/>
      <c r="PJA57" s="196"/>
      <c r="PJB57" s="196"/>
      <c r="PJC57" s="196"/>
      <c r="PJD57" s="196"/>
      <c r="PJE57" s="196"/>
      <c r="PJF57" s="196"/>
      <c r="PJG57" s="196"/>
      <c r="PJH57" s="196"/>
      <c r="PJI57" s="196"/>
      <c r="PJJ57" s="196"/>
      <c r="PJK57" s="196"/>
      <c r="PJL57" s="196"/>
      <c r="PJM57" s="196"/>
      <c r="PJN57" s="196"/>
      <c r="PJO57" s="196"/>
      <c r="PJP57" s="196"/>
      <c r="PJQ57" s="196"/>
      <c r="PJR57" s="196"/>
      <c r="PJS57" s="196"/>
      <c r="PJT57" s="196"/>
      <c r="PJU57" s="196"/>
      <c r="PJV57" s="196"/>
      <c r="PJW57" s="196"/>
      <c r="PJX57" s="196"/>
      <c r="PJY57" s="196"/>
      <c r="PJZ57" s="196"/>
      <c r="PKA57" s="196"/>
      <c r="PKB57" s="196"/>
      <c r="PKC57" s="196"/>
      <c r="PKD57" s="196"/>
      <c r="PKE57" s="196"/>
      <c r="PKF57" s="196"/>
      <c r="PKG57" s="196"/>
      <c r="PKH57" s="196"/>
      <c r="PKI57" s="196"/>
      <c r="PKJ57" s="196"/>
      <c r="PKK57" s="196"/>
      <c r="PKL57" s="196"/>
      <c r="PKM57" s="196"/>
      <c r="PKN57" s="196"/>
      <c r="PKO57" s="196"/>
      <c r="PKP57" s="196"/>
      <c r="PKQ57" s="196"/>
      <c r="PKR57" s="196"/>
      <c r="PKS57" s="196"/>
      <c r="PKT57" s="196"/>
      <c r="PKU57" s="196"/>
      <c r="PKV57" s="196"/>
      <c r="PKW57" s="196"/>
      <c r="PKX57" s="196"/>
      <c r="PKY57" s="196"/>
      <c r="PKZ57" s="196"/>
      <c r="PLA57" s="196"/>
      <c r="PLB57" s="196"/>
      <c r="PLC57" s="196"/>
      <c r="PLD57" s="196"/>
      <c r="PLE57" s="196"/>
      <c r="PLF57" s="196"/>
      <c r="PLG57" s="196"/>
      <c r="PLH57" s="196"/>
      <c r="PLI57" s="196"/>
      <c r="PLJ57" s="196"/>
      <c r="PLK57" s="196"/>
      <c r="PLL57" s="196"/>
      <c r="PLM57" s="196"/>
      <c r="PLN57" s="196"/>
      <c r="PLO57" s="196"/>
      <c r="PLP57" s="196"/>
      <c r="PLQ57" s="196"/>
      <c r="PLR57" s="196"/>
      <c r="PLS57" s="196"/>
      <c r="PLT57" s="196"/>
      <c r="PLU57" s="196"/>
      <c r="PLV57" s="196"/>
      <c r="PLW57" s="196"/>
      <c r="PLX57" s="196"/>
      <c r="PLY57" s="196"/>
      <c r="PLZ57" s="196"/>
      <c r="PMA57" s="196"/>
      <c r="PMB57" s="196"/>
      <c r="PMC57" s="196"/>
      <c r="PMD57" s="196"/>
      <c r="PME57" s="196"/>
      <c r="PMF57" s="196"/>
      <c r="PMG57" s="196"/>
      <c r="PMH57" s="196"/>
      <c r="PMI57" s="196"/>
      <c r="PMJ57" s="196"/>
      <c r="PMK57" s="196"/>
      <c r="PML57" s="196"/>
      <c r="PMM57" s="196"/>
      <c r="PMN57" s="196"/>
      <c r="PMO57" s="196"/>
      <c r="PMP57" s="196"/>
      <c r="PMQ57" s="196"/>
      <c r="PMR57" s="196"/>
      <c r="PMS57" s="196"/>
      <c r="PMT57" s="196"/>
      <c r="PMU57" s="196"/>
      <c r="PMV57" s="196"/>
      <c r="PMW57" s="196"/>
      <c r="PMX57" s="196"/>
      <c r="PMY57" s="196"/>
      <c r="PMZ57" s="196"/>
      <c r="PNA57" s="196"/>
      <c r="PNB57" s="196"/>
      <c r="PNC57" s="196"/>
      <c r="PND57" s="196"/>
      <c r="PNE57" s="196"/>
      <c r="PNF57" s="196"/>
      <c r="PNG57" s="196"/>
      <c r="PNH57" s="196"/>
      <c r="PNI57" s="196"/>
      <c r="PNJ57" s="196"/>
      <c r="PNK57" s="196"/>
      <c r="PNL57" s="196"/>
      <c r="PNM57" s="196"/>
      <c r="PNN57" s="196"/>
      <c r="PNO57" s="196"/>
      <c r="PNP57" s="196"/>
      <c r="PNQ57" s="196"/>
      <c r="PNR57" s="196"/>
      <c r="PNS57" s="196"/>
      <c r="PNT57" s="196"/>
      <c r="PNU57" s="196"/>
      <c r="PNV57" s="196"/>
      <c r="PNW57" s="196"/>
      <c r="PNX57" s="196"/>
      <c r="PNY57" s="196"/>
      <c r="PNZ57" s="196"/>
      <c r="POA57" s="196"/>
      <c r="POB57" s="196"/>
      <c r="POC57" s="196"/>
      <c r="POD57" s="196"/>
      <c r="POE57" s="196"/>
      <c r="POF57" s="196"/>
      <c r="POG57" s="196"/>
      <c r="POH57" s="196"/>
      <c r="POI57" s="196"/>
      <c r="POJ57" s="196"/>
      <c r="POK57" s="196"/>
      <c r="POL57" s="196"/>
      <c r="POM57" s="196"/>
      <c r="PON57" s="196"/>
      <c r="POO57" s="196"/>
      <c r="POP57" s="196"/>
      <c r="POQ57" s="196"/>
      <c r="POR57" s="196"/>
      <c r="POS57" s="196"/>
      <c r="POT57" s="196"/>
      <c r="POU57" s="196"/>
      <c r="POV57" s="196"/>
      <c r="POW57" s="196"/>
      <c r="POX57" s="196"/>
      <c r="POY57" s="196"/>
      <c r="POZ57" s="196"/>
      <c r="PPA57" s="196"/>
      <c r="PPB57" s="196"/>
      <c r="PPC57" s="196"/>
      <c r="PPD57" s="196"/>
      <c r="PPE57" s="196"/>
      <c r="PPF57" s="196"/>
      <c r="PPG57" s="196"/>
      <c r="PPH57" s="196"/>
      <c r="PPI57" s="196"/>
      <c r="PPJ57" s="196"/>
      <c r="PPK57" s="196"/>
      <c r="PPL57" s="196"/>
      <c r="PPM57" s="196"/>
      <c r="PPN57" s="196"/>
      <c r="PPO57" s="196"/>
      <c r="PPP57" s="196"/>
      <c r="PPQ57" s="196"/>
      <c r="PPR57" s="196"/>
      <c r="PPS57" s="196"/>
      <c r="PPT57" s="196"/>
      <c r="PPU57" s="196"/>
      <c r="PPV57" s="196"/>
      <c r="PPW57" s="196"/>
      <c r="PPX57" s="196"/>
      <c r="PPY57" s="196"/>
      <c r="PPZ57" s="196"/>
      <c r="PQA57" s="196"/>
      <c r="PQB57" s="196"/>
      <c r="PQC57" s="196"/>
      <c r="PQD57" s="196"/>
      <c r="PQE57" s="196"/>
      <c r="PQF57" s="196"/>
      <c r="PQG57" s="196"/>
      <c r="PQH57" s="196"/>
      <c r="PQI57" s="196"/>
      <c r="PQJ57" s="196"/>
      <c r="PQK57" s="196"/>
      <c r="PQL57" s="196"/>
      <c r="PQM57" s="196"/>
      <c r="PQN57" s="196"/>
      <c r="PQO57" s="196"/>
      <c r="PQP57" s="196"/>
      <c r="PQQ57" s="196"/>
      <c r="PQR57" s="196"/>
      <c r="PQS57" s="196"/>
      <c r="PQT57" s="196"/>
      <c r="PQU57" s="196"/>
      <c r="PQV57" s="196"/>
      <c r="PQW57" s="196"/>
      <c r="PQX57" s="196"/>
      <c r="PQY57" s="196"/>
      <c r="PQZ57" s="196"/>
      <c r="PRA57" s="196"/>
      <c r="PRB57" s="196"/>
      <c r="PRC57" s="196"/>
      <c r="PRD57" s="196"/>
      <c r="PRE57" s="196"/>
      <c r="PRF57" s="196"/>
      <c r="PRG57" s="196"/>
      <c r="PRH57" s="196"/>
      <c r="PRI57" s="196"/>
      <c r="PRJ57" s="196"/>
      <c r="PRK57" s="196"/>
      <c r="PRL57" s="196"/>
      <c r="PRM57" s="196"/>
      <c r="PRN57" s="196"/>
      <c r="PRO57" s="196"/>
      <c r="PRP57" s="196"/>
      <c r="PRQ57" s="196"/>
      <c r="PRR57" s="196"/>
      <c r="PRS57" s="196"/>
      <c r="PRT57" s="196"/>
      <c r="PRU57" s="196"/>
      <c r="PRV57" s="196"/>
      <c r="PRW57" s="196"/>
      <c r="PRX57" s="196"/>
      <c r="PRY57" s="196"/>
      <c r="PRZ57" s="196"/>
      <c r="PSA57" s="196"/>
      <c r="PSB57" s="196"/>
      <c r="PSC57" s="196"/>
      <c r="PSD57" s="196"/>
      <c r="PSE57" s="196"/>
      <c r="PSF57" s="196"/>
      <c r="PSG57" s="196"/>
      <c r="PSH57" s="196"/>
      <c r="PSI57" s="196"/>
      <c r="PSJ57" s="196"/>
      <c r="PSK57" s="196"/>
      <c r="PSL57" s="196"/>
      <c r="PSM57" s="196"/>
      <c r="PSN57" s="196"/>
      <c r="PSO57" s="196"/>
      <c r="PSP57" s="196"/>
      <c r="PSQ57" s="196"/>
      <c r="PSR57" s="196"/>
      <c r="PSS57" s="196"/>
      <c r="PST57" s="196"/>
      <c r="PSU57" s="196"/>
      <c r="PSV57" s="196"/>
      <c r="PSW57" s="196"/>
      <c r="PSX57" s="196"/>
      <c r="PSY57" s="196"/>
      <c r="PSZ57" s="196"/>
      <c r="PTA57" s="196"/>
      <c r="PTB57" s="196"/>
      <c r="PTC57" s="196"/>
      <c r="PTD57" s="196"/>
      <c r="PTE57" s="196"/>
      <c r="PTF57" s="196"/>
      <c r="PTG57" s="196"/>
      <c r="PTH57" s="196"/>
      <c r="PTI57" s="196"/>
      <c r="PTJ57" s="196"/>
      <c r="PTK57" s="196"/>
      <c r="PTL57" s="196"/>
      <c r="PTM57" s="196"/>
      <c r="PTN57" s="196"/>
      <c r="PTO57" s="196"/>
      <c r="PTP57" s="196"/>
      <c r="PTQ57" s="196"/>
      <c r="PTR57" s="196"/>
      <c r="PTS57" s="196"/>
      <c r="PTT57" s="196"/>
      <c r="PTU57" s="196"/>
      <c r="PTV57" s="196"/>
      <c r="PTW57" s="196"/>
      <c r="PTX57" s="196"/>
      <c r="PTY57" s="196"/>
      <c r="PTZ57" s="196"/>
      <c r="PUA57" s="196"/>
      <c r="PUB57" s="196"/>
      <c r="PUC57" s="196"/>
      <c r="PUD57" s="196"/>
      <c r="PUE57" s="196"/>
      <c r="PUF57" s="196"/>
      <c r="PUG57" s="196"/>
      <c r="PUH57" s="196"/>
      <c r="PUI57" s="196"/>
      <c r="PUJ57" s="196"/>
      <c r="PUK57" s="196"/>
      <c r="PUL57" s="196"/>
      <c r="PUM57" s="196"/>
      <c r="PUN57" s="196"/>
      <c r="PUO57" s="196"/>
      <c r="PUP57" s="196"/>
      <c r="PUQ57" s="196"/>
      <c r="PUR57" s="196"/>
      <c r="PUS57" s="196"/>
      <c r="PUT57" s="196"/>
      <c r="PUU57" s="196"/>
      <c r="PUV57" s="196"/>
      <c r="PUW57" s="196"/>
      <c r="PUX57" s="196"/>
      <c r="PUY57" s="196"/>
      <c r="PUZ57" s="196"/>
      <c r="PVA57" s="196"/>
      <c r="PVB57" s="196"/>
      <c r="PVC57" s="196"/>
      <c r="PVD57" s="196"/>
      <c r="PVE57" s="196"/>
      <c r="PVF57" s="196"/>
      <c r="PVG57" s="196"/>
      <c r="PVH57" s="196"/>
      <c r="PVI57" s="196"/>
      <c r="PVJ57" s="196"/>
      <c r="PVK57" s="196"/>
      <c r="PVL57" s="196"/>
      <c r="PVM57" s="196"/>
      <c r="PVN57" s="196"/>
      <c r="PVO57" s="196"/>
      <c r="PVP57" s="196"/>
      <c r="PVQ57" s="196"/>
      <c r="PVR57" s="196"/>
      <c r="PVS57" s="196"/>
      <c r="PVT57" s="196"/>
      <c r="PVU57" s="196"/>
      <c r="PVV57" s="196"/>
      <c r="PVW57" s="196"/>
      <c r="PVX57" s="196"/>
      <c r="PVY57" s="196"/>
      <c r="PVZ57" s="196"/>
      <c r="PWA57" s="196"/>
      <c r="PWB57" s="196"/>
      <c r="PWC57" s="196"/>
      <c r="PWD57" s="196"/>
      <c r="PWE57" s="196"/>
      <c r="PWF57" s="196"/>
      <c r="PWG57" s="196"/>
      <c r="PWH57" s="196"/>
      <c r="PWI57" s="196"/>
      <c r="PWJ57" s="196"/>
      <c r="PWK57" s="196"/>
      <c r="PWL57" s="196"/>
      <c r="PWM57" s="196"/>
      <c r="PWN57" s="196"/>
      <c r="PWO57" s="196"/>
      <c r="PWP57" s="196"/>
      <c r="PWQ57" s="196"/>
      <c r="PWR57" s="196"/>
      <c r="PWS57" s="196"/>
      <c r="PWT57" s="196"/>
      <c r="PWU57" s="196"/>
      <c r="PWV57" s="196"/>
      <c r="PWW57" s="196"/>
      <c r="PWX57" s="196"/>
      <c r="PWY57" s="196"/>
      <c r="PWZ57" s="196"/>
      <c r="PXA57" s="196"/>
      <c r="PXB57" s="196"/>
      <c r="PXC57" s="196"/>
      <c r="PXD57" s="196"/>
      <c r="PXE57" s="196"/>
      <c r="PXF57" s="196"/>
      <c r="PXG57" s="196"/>
      <c r="PXH57" s="196"/>
      <c r="PXI57" s="196"/>
      <c r="PXJ57" s="196"/>
      <c r="PXK57" s="196"/>
      <c r="PXL57" s="196"/>
      <c r="PXM57" s="196"/>
      <c r="PXN57" s="196"/>
      <c r="PXO57" s="196"/>
      <c r="PXP57" s="196"/>
      <c r="PXQ57" s="196"/>
      <c r="PXR57" s="196"/>
      <c r="PXS57" s="196"/>
      <c r="PXT57" s="196"/>
      <c r="PXU57" s="196"/>
      <c r="PXV57" s="196"/>
      <c r="PXW57" s="196"/>
      <c r="PXX57" s="196"/>
      <c r="PXY57" s="196"/>
      <c r="PXZ57" s="196"/>
      <c r="PYA57" s="196"/>
      <c r="PYB57" s="196"/>
      <c r="PYC57" s="196"/>
      <c r="PYD57" s="196"/>
      <c r="PYE57" s="196"/>
      <c r="PYF57" s="196"/>
      <c r="PYG57" s="196"/>
      <c r="PYH57" s="196"/>
      <c r="PYI57" s="196"/>
      <c r="PYJ57" s="196"/>
      <c r="PYK57" s="196"/>
      <c r="PYL57" s="196"/>
      <c r="PYM57" s="196"/>
      <c r="PYN57" s="196"/>
      <c r="PYO57" s="196"/>
      <c r="PYP57" s="196"/>
      <c r="PYQ57" s="196"/>
      <c r="PYR57" s="196"/>
      <c r="PYS57" s="196"/>
      <c r="PYT57" s="196"/>
      <c r="PYU57" s="196"/>
      <c r="PYV57" s="196"/>
      <c r="PYW57" s="196"/>
      <c r="PYX57" s="196"/>
      <c r="PYY57" s="196"/>
      <c r="PYZ57" s="196"/>
      <c r="PZA57" s="196"/>
      <c r="PZB57" s="196"/>
      <c r="PZC57" s="196"/>
      <c r="PZD57" s="196"/>
      <c r="PZE57" s="196"/>
      <c r="PZF57" s="196"/>
      <c r="PZG57" s="196"/>
      <c r="PZH57" s="196"/>
      <c r="PZI57" s="196"/>
      <c r="PZJ57" s="196"/>
      <c r="PZK57" s="196"/>
      <c r="PZL57" s="196"/>
      <c r="PZM57" s="196"/>
      <c r="PZN57" s="196"/>
      <c r="PZO57" s="196"/>
      <c r="PZP57" s="196"/>
      <c r="PZQ57" s="196"/>
      <c r="PZR57" s="196"/>
      <c r="PZS57" s="196"/>
      <c r="PZT57" s="196"/>
      <c r="PZU57" s="196"/>
      <c r="PZV57" s="196"/>
      <c r="PZW57" s="196"/>
      <c r="PZX57" s="196"/>
      <c r="PZY57" s="196"/>
      <c r="PZZ57" s="196"/>
      <c r="QAA57" s="196"/>
      <c r="QAB57" s="196"/>
      <c r="QAC57" s="196"/>
      <c r="QAD57" s="196"/>
      <c r="QAE57" s="196"/>
      <c r="QAF57" s="196"/>
      <c r="QAG57" s="196"/>
      <c r="QAH57" s="196"/>
      <c r="QAI57" s="196"/>
      <c r="QAJ57" s="196"/>
      <c r="QAK57" s="196"/>
      <c r="QAL57" s="196"/>
      <c r="QAM57" s="196"/>
      <c r="QAN57" s="196"/>
      <c r="QAO57" s="196"/>
      <c r="QAP57" s="196"/>
      <c r="QAQ57" s="196"/>
      <c r="QAR57" s="196"/>
      <c r="QAS57" s="196"/>
      <c r="QAT57" s="196"/>
      <c r="QAU57" s="196"/>
      <c r="QAV57" s="196"/>
      <c r="QAW57" s="196"/>
      <c r="QAX57" s="196"/>
      <c r="QAY57" s="196"/>
      <c r="QAZ57" s="196"/>
      <c r="QBA57" s="196"/>
      <c r="QBB57" s="196"/>
      <c r="QBC57" s="196"/>
      <c r="QBD57" s="196"/>
      <c r="QBE57" s="196"/>
      <c r="QBF57" s="196"/>
      <c r="QBG57" s="196"/>
      <c r="QBH57" s="196"/>
      <c r="QBI57" s="196"/>
      <c r="QBJ57" s="196"/>
      <c r="QBK57" s="196"/>
      <c r="QBL57" s="196"/>
      <c r="QBM57" s="196"/>
      <c r="QBN57" s="196"/>
      <c r="QBO57" s="196"/>
      <c r="QBP57" s="196"/>
      <c r="QBQ57" s="196"/>
      <c r="QBR57" s="196"/>
      <c r="QBS57" s="196"/>
      <c r="QBT57" s="196"/>
      <c r="QBU57" s="196"/>
      <c r="QBV57" s="196"/>
      <c r="QBW57" s="196"/>
      <c r="QBX57" s="196"/>
      <c r="QBY57" s="196"/>
      <c r="QBZ57" s="196"/>
      <c r="QCA57" s="196"/>
      <c r="QCB57" s="196"/>
      <c r="QCC57" s="196"/>
      <c r="QCD57" s="196"/>
      <c r="QCE57" s="196"/>
      <c r="QCF57" s="196"/>
      <c r="QCG57" s="196"/>
      <c r="QCH57" s="196"/>
      <c r="QCI57" s="196"/>
      <c r="QCJ57" s="196"/>
      <c r="QCK57" s="196"/>
      <c r="QCL57" s="196"/>
      <c r="QCM57" s="196"/>
      <c r="QCN57" s="196"/>
      <c r="QCO57" s="196"/>
      <c r="QCP57" s="196"/>
      <c r="QCQ57" s="196"/>
      <c r="QCR57" s="196"/>
      <c r="QCS57" s="196"/>
      <c r="QCT57" s="196"/>
      <c r="QCU57" s="196"/>
      <c r="QCV57" s="196"/>
      <c r="QCW57" s="196"/>
      <c r="QCX57" s="196"/>
      <c r="QCY57" s="196"/>
      <c r="QCZ57" s="196"/>
      <c r="QDA57" s="196"/>
      <c r="QDB57" s="196"/>
      <c r="QDC57" s="196"/>
      <c r="QDD57" s="196"/>
      <c r="QDE57" s="196"/>
      <c r="QDF57" s="196"/>
      <c r="QDG57" s="196"/>
      <c r="QDH57" s="196"/>
      <c r="QDI57" s="196"/>
      <c r="QDJ57" s="196"/>
      <c r="QDK57" s="196"/>
      <c r="QDL57" s="196"/>
      <c r="QDM57" s="196"/>
      <c r="QDN57" s="196"/>
      <c r="QDO57" s="196"/>
      <c r="QDP57" s="196"/>
      <c r="QDQ57" s="196"/>
      <c r="QDR57" s="196"/>
      <c r="QDS57" s="196"/>
      <c r="QDT57" s="196"/>
      <c r="QDU57" s="196"/>
      <c r="QDV57" s="196"/>
      <c r="QDW57" s="196"/>
      <c r="QDX57" s="196"/>
      <c r="QDY57" s="196"/>
      <c r="QDZ57" s="196"/>
      <c r="QEA57" s="196"/>
      <c r="QEB57" s="196"/>
      <c r="QEC57" s="196"/>
      <c r="QED57" s="196"/>
      <c r="QEE57" s="196"/>
      <c r="QEF57" s="196"/>
      <c r="QEG57" s="196"/>
      <c r="QEH57" s="196"/>
      <c r="QEI57" s="196"/>
      <c r="QEJ57" s="196"/>
      <c r="QEK57" s="196"/>
      <c r="QEL57" s="196"/>
      <c r="QEM57" s="196"/>
      <c r="QEN57" s="196"/>
      <c r="QEO57" s="196"/>
      <c r="QEP57" s="196"/>
      <c r="QEQ57" s="196"/>
      <c r="QER57" s="196"/>
      <c r="QES57" s="196"/>
      <c r="QET57" s="196"/>
      <c r="QEU57" s="196"/>
      <c r="QEV57" s="196"/>
      <c r="QEW57" s="196"/>
      <c r="QEX57" s="196"/>
      <c r="QEY57" s="196"/>
      <c r="QEZ57" s="196"/>
      <c r="QFA57" s="196"/>
      <c r="QFB57" s="196"/>
      <c r="QFC57" s="196"/>
      <c r="QFD57" s="196"/>
      <c r="QFE57" s="196"/>
      <c r="QFF57" s="196"/>
      <c r="QFG57" s="196"/>
      <c r="QFH57" s="196"/>
      <c r="QFI57" s="196"/>
      <c r="QFJ57" s="196"/>
      <c r="QFK57" s="196"/>
      <c r="QFL57" s="196"/>
      <c r="QFM57" s="196"/>
      <c r="QFN57" s="196"/>
      <c r="QFO57" s="196"/>
      <c r="QFP57" s="196"/>
      <c r="QFQ57" s="196"/>
      <c r="QFR57" s="196"/>
      <c r="QFS57" s="196"/>
      <c r="QFT57" s="196"/>
      <c r="QFU57" s="196"/>
      <c r="QFV57" s="196"/>
      <c r="QFW57" s="196"/>
      <c r="QFX57" s="196"/>
      <c r="QFY57" s="196"/>
      <c r="QFZ57" s="196"/>
      <c r="QGA57" s="196"/>
      <c r="QGB57" s="196"/>
      <c r="QGC57" s="196"/>
      <c r="QGD57" s="196"/>
      <c r="QGE57" s="196"/>
      <c r="QGF57" s="196"/>
      <c r="QGG57" s="196"/>
      <c r="QGH57" s="196"/>
      <c r="QGI57" s="196"/>
      <c r="QGJ57" s="196"/>
      <c r="QGK57" s="196"/>
      <c r="QGL57" s="196"/>
      <c r="QGM57" s="196"/>
      <c r="QGN57" s="196"/>
      <c r="QGO57" s="196"/>
      <c r="QGP57" s="196"/>
      <c r="QGQ57" s="196"/>
      <c r="QGR57" s="196"/>
      <c r="QGS57" s="196"/>
      <c r="QGT57" s="196"/>
      <c r="QGU57" s="196"/>
      <c r="QGV57" s="196"/>
      <c r="QGW57" s="196"/>
      <c r="QGX57" s="196"/>
      <c r="QGY57" s="196"/>
      <c r="QGZ57" s="196"/>
      <c r="QHA57" s="196"/>
      <c r="QHB57" s="196"/>
      <c r="QHC57" s="196"/>
      <c r="QHD57" s="196"/>
      <c r="QHE57" s="196"/>
      <c r="QHF57" s="196"/>
      <c r="QHG57" s="196"/>
      <c r="QHH57" s="196"/>
      <c r="QHI57" s="196"/>
      <c r="QHJ57" s="196"/>
      <c r="QHK57" s="196"/>
      <c r="QHL57" s="196"/>
      <c r="QHM57" s="196"/>
      <c r="QHN57" s="196"/>
      <c r="QHO57" s="196"/>
      <c r="QHP57" s="196"/>
      <c r="QHQ57" s="196"/>
      <c r="QHR57" s="196"/>
      <c r="QHS57" s="196"/>
      <c r="QHT57" s="196"/>
      <c r="QHU57" s="196"/>
      <c r="QHV57" s="196"/>
      <c r="QHW57" s="196"/>
      <c r="QHX57" s="196"/>
      <c r="QHY57" s="196"/>
      <c r="QHZ57" s="196"/>
      <c r="QIA57" s="196"/>
      <c r="QIB57" s="196"/>
      <c r="QIC57" s="196"/>
      <c r="QID57" s="196"/>
      <c r="QIE57" s="196"/>
      <c r="QIF57" s="196"/>
      <c r="QIG57" s="196"/>
      <c r="QIH57" s="196"/>
      <c r="QII57" s="196"/>
      <c r="QIJ57" s="196"/>
      <c r="QIK57" s="196"/>
      <c r="QIL57" s="196"/>
      <c r="QIM57" s="196"/>
      <c r="QIN57" s="196"/>
      <c r="QIO57" s="196"/>
      <c r="QIP57" s="196"/>
      <c r="QIQ57" s="196"/>
      <c r="QIR57" s="196"/>
      <c r="QIS57" s="196"/>
      <c r="QIT57" s="196"/>
      <c r="QIU57" s="196"/>
      <c r="QIV57" s="196"/>
      <c r="QIW57" s="196"/>
      <c r="QIX57" s="196"/>
      <c r="QIY57" s="196"/>
      <c r="QIZ57" s="196"/>
      <c r="QJA57" s="196"/>
      <c r="QJB57" s="196"/>
      <c r="QJC57" s="196"/>
      <c r="QJD57" s="196"/>
      <c r="QJE57" s="196"/>
      <c r="QJF57" s="196"/>
      <c r="QJG57" s="196"/>
      <c r="QJH57" s="196"/>
      <c r="QJI57" s="196"/>
      <c r="QJJ57" s="196"/>
      <c r="QJK57" s="196"/>
      <c r="QJL57" s="196"/>
      <c r="QJM57" s="196"/>
      <c r="QJN57" s="196"/>
      <c r="QJO57" s="196"/>
      <c r="QJP57" s="196"/>
      <c r="QJQ57" s="196"/>
      <c r="QJR57" s="196"/>
      <c r="QJS57" s="196"/>
      <c r="QJT57" s="196"/>
      <c r="QJU57" s="196"/>
      <c r="QJV57" s="196"/>
      <c r="QJW57" s="196"/>
      <c r="QJX57" s="196"/>
      <c r="QJY57" s="196"/>
      <c r="QJZ57" s="196"/>
      <c r="QKA57" s="196"/>
      <c r="QKB57" s="196"/>
      <c r="QKC57" s="196"/>
      <c r="QKD57" s="196"/>
      <c r="QKE57" s="196"/>
      <c r="QKF57" s="196"/>
      <c r="QKG57" s="196"/>
      <c r="QKH57" s="196"/>
      <c r="QKI57" s="196"/>
      <c r="QKJ57" s="196"/>
      <c r="QKK57" s="196"/>
      <c r="QKL57" s="196"/>
      <c r="QKM57" s="196"/>
      <c r="QKN57" s="196"/>
      <c r="QKO57" s="196"/>
      <c r="QKP57" s="196"/>
      <c r="QKQ57" s="196"/>
      <c r="QKR57" s="196"/>
      <c r="QKS57" s="196"/>
      <c r="QKT57" s="196"/>
      <c r="QKU57" s="196"/>
      <c r="QKV57" s="196"/>
      <c r="QKW57" s="196"/>
      <c r="QKX57" s="196"/>
      <c r="QKY57" s="196"/>
      <c r="QKZ57" s="196"/>
      <c r="QLA57" s="196"/>
      <c r="QLB57" s="196"/>
      <c r="QLC57" s="196"/>
      <c r="QLD57" s="196"/>
      <c r="QLE57" s="196"/>
      <c r="QLF57" s="196"/>
      <c r="QLG57" s="196"/>
      <c r="QLH57" s="196"/>
      <c r="QLI57" s="196"/>
      <c r="QLJ57" s="196"/>
      <c r="QLK57" s="196"/>
      <c r="QLL57" s="196"/>
      <c r="QLM57" s="196"/>
      <c r="QLN57" s="196"/>
      <c r="QLO57" s="196"/>
      <c r="QLP57" s="196"/>
      <c r="QLQ57" s="196"/>
      <c r="QLR57" s="196"/>
      <c r="QLS57" s="196"/>
      <c r="QLT57" s="196"/>
      <c r="QLU57" s="196"/>
      <c r="QLV57" s="196"/>
      <c r="QLW57" s="196"/>
      <c r="QLX57" s="196"/>
      <c r="QLY57" s="196"/>
      <c r="QLZ57" s="196"/>
      <c r="QMA57" s="196"/>
      <c r="QMB57" s="196"/>
      <c r="QMC57" s="196"/>
      <c r="QMD57" s="196"/>
      <c r="QME57" s="196"/>
      <c r="QMF57" s="196"/>
      <c r="QMG57" s="196"/>
      <c r="QMH57" s="196"/>
      <c r="QMI57" s="196"/>
      <c r="QMJ57" s="196"/>
      <c r="QMK57" s="196"/>
      <c r="QML57" s="196"/>
      <c r="QMM57" s="196"/>
      <c r="QMN57" s="196"/>
      <c r="QMO57" s="196"/>
      <c r="QMP57" s="196"/>
      <c r="QMQ57" s="196"/>
      <c r="QMR57" s="196"/>
      <c r="QMS57" s="196"/>
      <c r="QMT57" s="196"/>
      <c r="QMU57" s="196"/>
      <c r="QMV57" s="196"/>
      <c r="QMW57" s="196"/>
      <c r="QMX57" s="196"/>
      <c r="QMY57" s="196"/>
      <c r="QMZ57" s="196"/>
      <c r="QNA57" s="196"/>
      <c r="QNB57" s="196"/>
      <c r="QNC57" s="196"/>
      <c r="QND57" s="196"/>
      <c r="QNE57" s="196"/>
      <c r="QNF57" s="196"/>
      <c r="QNG57" s="196"/>
      <c r="QNH57" s="196"/>
      <c r="QNI57" s="196"/>
      <c r="QNJ57" s="196"/>
      <c r="QNK57" s="196"/>
      <c r="QNL57" s="196"/>
      <c r="QNM57" s="196"/>
      <c r="QNN57" s="196"/>
      <c r="QNO57" s="196"/>
      <c r="QNP57" s="196"/>
      <c r="QNQ57" s="196"/>
      <c r="QNR57" s="196"/>
      <c r="QNS57" s="196"/>
      <c r="QNT57" s="196"/>
      <c r="QNU57" s="196"/>
      <c r="QNV57" s="196"/>
      <c r="QNW57" s="196"/>
      <c r="QNX57" s="196"/>
      <c r="QNY57" s="196"/>
      <c r="QNZ57" s="196"/>
      <c r="QOA57" s="196"/>
      <c r="QOB57" s="196"/>
      <c r="QOC57" s="196"/>
      <c r="QOD57" s="196"/>
      <c r="QOE57" s="196"/>
      <c r="QOF57" s="196"/>
      <c r="QOG57" s="196"/>
      <c r="QOH57" s="196"/>
      <c r="QOI57" s="196"/>
      <c r="QOJ57" s="196"/>
      <c r="QOK57" s="196"/>
      <c r="QOL57" s="196"/>
      <c r="QOM57" s="196"/>
      <c r="QON57" s="196"/>
      <c r="QOO57" s="196"/>
      <c r="QOP57" s="196"/>
      <c r="QOQ57" s="196"/>
      <c r="QOR57" s="196"/>
      <c r="QOS57" s="196"/>
      <c r="QOT57" s="196"/>
      <c r="QOU57" s="196"/>
      <c r="QOV57" s="196"/>
      <c r="QOW57" s="196"/>
      <c r="QOX57" s="196"/>
      <c r="QOY57" s="196"/>
      <c r="QOZ57" s="196"/>
      <c r="QPA57" s="196"/>
      <c r="QPB57" s="196"/>
      <c r="QPC57" s="196"/>
      <c r="QPD57" s="196"/>
      <c r="QPE57" s="196"/>
      <c r="QPF57" s="196"/>
      <c r="QPG57" s="196"/>
      <c r="QPH57" s="196"/>
      <c r="QPI57" s="196"/>
      <c r="QPJ57" s="196"/>
      <c r="QPK57" s="196"/>
      <c r="QPL57" s="196"/>
      <c r="QPM57" s="196"/>
      <c r="QPN57" s="196"/>
      <c r="QPO57" s="196"/>
      <c r="QPP57" s="196"/>
      <c r="QPQ57" s="196"/>
      <c r="QPR57" s="196"/>
      <c r="QPS57" s="196"/>
      <c r="QPT57" s="196"/>
      <c r="QPU57" s="196"/>
      <c r="QPV57" s="196"/>
      <c r="QPW57" s="196"/>
      <c r="QPX57" s="196"/>
      <c r="QPY57" s="196"/>
      <c r="QPZ57" s="196"/>
      <c r="QQA57" s="196"/>
      <c r="QQB57" s="196"/>
      <c r="QQC57" s="196"/>
      <c r="QQD57" s="196"/>
      <c r="QQE57" s="196"/>
      <c r="QQF57" s="196"/>
      <c r="QQG57" s="196"/>
      <c r="QQH57" s="196"/>
      <c r="QQI57" s="196"/>
      <c r="QQJ57" s="196"/>
      <c r="QQK57" s="196"/>
      <c r="QQL57" s="196"/>
      <c r="QQM57" s="196"/>
      <c r="QQN57" s="196"/>
      <c r="QQO57" s="196"/>
      <c r="QQP57" s="196"/>
      <c r="QQQ57" s="196"/>
      <c r="QQR57" s="196"/>
      <c r="QQS57" s="196"/>
      <c r="QQT57" s="196"/>
      <c r="QQU57" s="196"/>
      <c r="QQV57" s="196"/>
      <c r="QQW57" s="196"/>
      <c r="QQX57" s="196"/>
      <c r="QQY57" s="196"/>
      <c r="QQZ57" s="196"/>
      <c r="QRA57" s="196"/>
      <c r="QRB57" s="196"/>
      <c r="QRC57" s="196"/>
      <c r="QRD57" s="196"/>
      <c r="QRE57" s="196"/>
      <c r="QRF57" s="196"/>
      <c r="QRG57" s="196"/>
      <c r="QRH57" s="196"/>
      <c r="QRI57" s="196"/>
      <c r="QRJ57" s="196"/>
      <c r="QRK57" s="196"/>
      <c r="QRL57" s="196"/>
      <c r="QRM57" s="196"/>
      <c r="QRN57" s="196"/>
      <c r="QRO57" s="196"/>
      <c r="QRP57" s="196"/>
      <c r="QRQ57" s="196"/>
      <c r="QRR57" s="196"/>
      <c r="QRS57" s="196"/>
      <c r="QRT57" s="196"/>
      <c r="QRU57" s="196"/>
      <c r="QRV57" s="196"/>
      <c r="QRW57" s="196"/>
      <c r="QRX57" s="196"/>
      <c r="QRY57" s="196"/>
      <c r="QRZ57" s="196"/>
      <c r="QSA57" s="196"/>
      <c r="QSB57" s="196"/>
      <c r="QSC57" s="196"/>
      <c r="QSD57" s="196"/>
      <c r="QSE57" s="196"/>
      <c r="QSF57" s="196"/>
      <c r="QSG57" s="196"/>
      <c r="QSH57" s="196"/>
      <c r="QSI57" s="196"/>
      <c r="QSJ57" s="196"/>
      <c r="QSK57" s="196"/>
      <c r="QSL57" s="196"/>
      <c r="QSM57" s="196"/>
      <c r="QSN57" s="196"/>
      <c r="QSO57" s="196"/>
      <c r="QSP57" s="196"/>
      <c r="QSQ57" s="196"/>
      <c r="QSR57" s="196"/>
      <c r="QSS57" s="196"/>
      <c r="QST57" s="196"/>
      <c r="QSU57" s="196"/>
      <c r="QSV57" s="196"/>
      <c r="QSW57" s="196"/>
      <c r="QSX57" s="196"/>
      <c r="QSY57" s="196"/>
      <c r="QSZ57" s="196"/>
      <c r="QTA57" s="196"/>
      <c r="QTB57" s="196"/>
      <c r="QTC57" s="196"/>
      <c r="QTD57" s="196"/>
      <c r="QTE57" s="196"/>
      <c r="QTF57" s="196"/>
      <c r="QTG57" s="196"/>
      <c r="QTH57" s="196"/>
      <c r="QTI57" s="196"/>
      <c r="QTJ57" s="196"/>
      <c r="QTK57" s="196"/>
      <c r="QTL57" s="196"/>
      <c r="QTM57" s="196"/>
      <c r="QTN57" s="196"/>
      <c r="QTO57" s="196"/>
      <c r="QTP57" s="196"/>
      <c r="QTQ57" s="196"/>
      <c r="QTR57" s="196"/>
      <c r="QTS57" s="196"/>
      <c r="QTT57" s="196"/>
      <c r="QTU57" s="196"/>
      <c r="QTV57" s="196"/>
      <c r="QTW57" s="196"/>
      <c r="QTX57" s="196"/>
      <c r="QTY57" s="196"/>
      <c r="QTZ57" s="196"/>
      <c r="QUA57" s="196"/>
      <c r="QUB57" s="196"/>
      <c r="QUC57" s="196"/>
      <c r="QUD57" s="196"/>
      <c r="QUE57" s="196"/>
      <c r="QUF57" s="196"/>
      <c r="QUG57" s="196"/>
      <c r="QUH57" s="196"/>
      <c r="QUI57" s="196"/>
      <c r="QUJ57" s="196"/>
      <c r="QUK57" s="196"/>
      <c r="QUL57" s="196"/>
      <c r="QUM57" s="196"/>
      <c r="QUN57" s="196"/>
      <c r="QUO57" s="196"/>
      <c r="QUP57" s="196"/>
      <c r="QUQ57" s="196"/>
      <c r="QUR57" s="196"/>
      <c r="QUS57" s="196"/>
      <c r="QUT57" s="196"/>
      <c r="QUU57" s="196"/>
      <c r="QUV57" s="196"/>
      <c r="QUW57" s="196"/>
      <c r="QUX57" s="196"/>
      <c r="QUY57" s="196"/>
      <c r="QUZ57" s="196"/>
      <c r="QVA57" s="196"/>
      <c r="QVB57" s="196"/>
      <c r="QVC57" s="196"/>
      <c r="QVD57" s="196"/>
      <c r="QVE57" s="196"/>
      <c r="QVF57" s="196"/>
      <c r="QVG57" s="196"/>
      <c r="QVH57" s="196"/>
      <c r="QVI57" s="196"/>
      <c r="QVJ57" s="196"/>
      <c r="QVK57" s="196"/>
      <c r="QVL57" s="196"/>
      <c r="QVM57" s="196"/>
      <c r="QVN57" s="196"/>
      <c r="QVO57" s="196"/>
      <c r="QVP57" s="196"/>
      <c r="QVQ57" s="196"/>
      <c r="QVR57" s="196"/>
      <c r="QVS57" s="196"/>
      <c r="QVT57" s="196"/>
      <c r="QVU57" s="196"/>
      <c r="QVV57" s="196"/>
      <c r="QVW57" s="196"/>
      <c r="QVX57" s="196"/>
      <c r="QVY57" s="196"/>
      <c r="QVZ57" s="196"/>
      <c r="QWA57" s="196"/>
      <c r="QWB57" s="196"/>
      <c r="QWC57" s="196"/>
      <c r="QWD57" s="196"/>
      <c r="QWE57" s="196"/>
      <c r="QWF57" s="196"/>
      <c r="QWG57" s="196"/>
      <c r="QWH57" s="196"/>
      <c r="QWI57" s="196"/>
      <c r="QWJ57" s="196"/>
      <c r="QWK57" s="196"/>
      <c r="QWL57" s="196"/>
      <c r="QWM57" s="196"/>
      <c r="QWN57" s="196"/>
      <c r="QWO57" s="196"/>
      <c r="QWP57" s="196"/>
      <c r="QWQ57" s="196"/>
      <c r="QWR57" s="196"/>
      <c r="QWS57" s="196"/>
      <c r="QWT57" s="196"/>
      <c r="QWU57" s="196"/>
      <c r="QWV57" s="196"/>
      <c r="QWW57" s="196"/>
      <c r="QWX57" s="196"/>
      <c r="QWY57" s="196"/>
      <c r="QWZ57" s="196"/>
      <c r="QXA57" s="196"/>
      <c r="QXB57" s="196"/>
      <c r="QXC57" s="196"/>
      <c r="QXD57" s="196"/>
      <c r="QXE57" s="196"/>
      <c r="QXF57" s="196"/>
      <c r="QXG57" s="196"/>
      <c r="QXH57" s="196"/>
      <c r="QXI57" s="196"/>
      <c r="QXJ57" s="196"/>
      <c r="QXK57" s="196"/>
      <c r="QXL57" s="196"/>
      <c r="QXM57" s="196"/>
      <c r="QXN57" s="196"/>
      <c r="QXO57" s="196"/>
      <c r="QXP57" s="196"/>
      <c r="QXQ57" s="196"/>
      <c r="QXR57" s="196"/>
      <c r="QXS57" s="196"/>
      <c r="QXT57" s="196"/>
      <c r="QXU57" s="196"/>
      <c r="QXV57" s="196"/>
      <c r="QXW57" s="196"/>
      <c r="QXX57" s="196"/>
      <c r="QXY57" s="196"/>
      <c r="QXZ57" s="196"/>
      <c r="QYA57" s="196"/>
      <c r="QYB57" s="196"/>
      <c r="QYC57" s="196"/>
      <c r="QYD57" s="196"/>
      <c r="QYE57" s="196"/>
      <c r="QYF57" s="196"/>
      <c r="QYG57" s="196"/>
      <c r="QYH57" s="196"/>
      <c r="QYI57" s="196"/>
      <c r="QYJ57" s="196"/>
      <c r="QYK57" s="196"/>
      <c r="QYL57" s="196"/>
      <c r="QYM57" s="196"/>
      <c r="QYN57" s="196"/>
      <c r="QYO57" s="196"/>
      <c r="QYP57" s="196"/>
      <c r="QYQ57" s="196"/>
      <c r="QYR57" s="196"/>
      <c r="QYS57" s="196"/>
      <c r="QYT57" s="196"/>
      <c r="QYU57" s="196"/>
      <c r="QYV57" s="196"/>
      <c r="QYW57" s="196"/>
      <c r="QYX57" s="196"/>
      <c r="QYY57" s="196"/>
      <c r="QYZ57" s="196"/>
      <c r="QZA57" s="196"/>
      <c r="QZB57" s="196"/>
      <c r="QZC57" s="196"/>
      <c r="QZD57" s="196"/>
      <c r="QZE57" s="196"/>
      <c r="QZF57" s="196"/>
      <c r="QZG57" s="196"/>
      <c r="QZH57" s="196"/>
      <c r="QZI57" s="196"/>
      <c r="QZJ57" s="196"/>
      <c r="QZK57" s="196"/>
      <c r="QZL57" s="196"/>
      <c r="QZM57" s="196"/>
      <c r="QZN57" s="196"/>
      <c r="QZO57" s="196"/>
      <c r="QZP57" s="196"/>
      <c r="QZQ57" s="196"/>
      <c r="QZR57" s="196"/>
      <c r="QZS57" s="196"/>
      <c r="QZT57" s="196"/>
      <c r="QZU57" s="196"/>
      <c r="QZV57" s="196"/>
      <c r="QZW57" s="196"/>
      <c r="QZX57" s="196"/>
      <c r="QZY57" s="196"/>
      <c r="QZZ57" s="196"/>
      <c r="RAA57" s="196"/>
      <c r="RAB57" s="196"/>
      <c r="RAC57" s="196"/>
      <c r="RAD57" s="196"/>
      <c r="RAE57" s="196"/>
      <c r="RAF57" s="196"/>
      <c r="RAG57" s="196"/>
      <c r="RAH57" s="196"/>
      <c r="RAI57" s="196"/>
      <c r="RAJ57" s="196"/>
      <c r="RAK57" s="196"/>
      <c r="RAL57" s="196"/>
      <c r="RAM57" s="196"/>
      <c r="RAN57" s="196"/>
      <c r="RAO57" s="196"/>
      <c r="RAP57" s="196"/>
      <c r="RAQ57" s="196"/>
      <c r="RAR57" s="196"/>
      <c r="RAS57" s="196"/>
      <c r="RAT57" s="196"/>
      <c r="RAU57" s="196"/>
      <c r="RAV57" s="196"/>
      <c r="RAW57" s="196"/>
      <c r="RAX57" s="196"/>
      <c r="RAY57" s="196"/>
      <c r="RAZ57" s="196"/>
      <c r="RBA57" s="196"/>
      <c r="RBB57" s="196"/>
      <c r="RBC57" s="196"/>
      <c r="RBD57" s="196"/>
      <c r="RBE57" s="196"/>
      <c r="RBF57" s="196"/>
      <c r="RBG57" s="196"/>
      <c r="RBH57" s="196"/>
      <c r="RBI57" s="196"/>
      <c r="RBJ57" s="196"/>
      <c r="RBK57" s="196"/>
      <c r="RBL57" s="196"/>
      <c r="RBM57" s="196"/>
      <c r="RBN57" s="196"/>
      <c r="RBO57" s="196"/>
      <c r="RBP57" s="196"/>
      <c r="RBQ57" s="196"/>
      <c r="RBR57" s="196"/>
      <c r="RBS57" s="196"/>
      <c r="RBT57" s="196"/>
      <c r="RBU57" s="196"/>
      <c r="RBV57" s="196"/>
      <c r="RBW57" s="196"/>
      <c r="RBX57" s="196"/>
      <c r="RBY57" s="196"/>
      <c r="RBZ57" s="196"/>
      <c r="RCA57" s="196"/>
      <c r="RCB57" s="196"/>
      <c r="RCC57" s="196"/>
      <c r="RCD57" s="196"/>
      <c r="RCE57" s="196"/>
      <c r="RCF57" s="196"/>
      <c r="RCG57" s="196"/>
      <c r="RCH57" s="196"/>
      <c r="RCI57" s="196"/>
      <c r="RCJ57" s="196"/>
      <c r="RCK57" s="196"/>
      <c r="RCL57" s="196"/>
      <c r="RCM57" s="196"/>
      <c r="RCN57" s="196"/>
      <c r="RCO57" s="196"/>
      <c r="RCP57" s="196"/>
      <c r="RCQ57" s="196"/>
      <c r="RCR57" s="196"/>
      <c r="RCS57" s="196"/>
      <c r="RCT57" s="196"/>
      <c r="RCU57" s="196"/>
      <c r="RCV57" s="196"/>
      <c r="RCW57" s="196"/>
      <c r="RCX57" s="196"/>
      <c r="RCY57" s="196"/>
      <c r="RCZ57" s="196"/>
      <c r="RDA57" s="196"/>
      <c r="RDB57" s="196"/>
      <c r="RDC57" s="196"/>
      <c r="RDD57" s="196"/>
      <c r="RDE57" s="196"/>
      <c r="RDF57" s="196"/>
      <c r="RDG57" s="196"/>
      <c r="RDH57" s="196"/>
      <c r="RDI57" s="196"/>
      <c r="RDJ57" s="196"/>
      <c r="RDK57" s="196"/>
      <c r="RDL57" s="196"/>
      <c r="RDM57" s="196"/>
      <c r="RDN57" s="196"/>
      <c r="RDO57" s="196"/>
      <c r="RDP57" s="196"/>
      <c r="RDQ57" s="196"/>
      <c r="RDR57" s="196"/>
      <c r="RDS57" s="196"/>
      <c r="RDT57" s="196"/>
      <c r="RDU57" s="196"/>
      <c r="RDV57" s="196"/>
      <c r="RDW57" s="196"/>
      <c r="RDX57" s="196"/>
      <c r="RDY57" s="196"/>
      <c r="RDZ57" s="196"/>
      <c r="REA57" s="196"/>
      <c r="REB57" s="196"/>
      <c r="REC57" s="196"/>
      <c r="RED57" s="196"/>
      <c r="REE57" s="196"/>
      <c r="REF57" s="196"/>
      <c r="REG57" s="196"/>
      <c r="REH57" s="196"/>
      <c r="REI57" s="196"/>
      <c r="REJ57" s="196"/>
      <c r="REK57" s="196"/>
      <c r="REL57" s="196"/>
      <c r="REM57" s="196"/>
      <c r="REN57" s="196"/>
      <c r="REO57" s="196"/>
      <c r="REP57" s="196"/>
      <c r="REQ57" s="196"/>
      <c r="RER57" s="196"/>
      <c r="RES57" s="196"/>
      <c r="RET57" s="196"/>
      <c r="REU57" s="196"/>
      <c r="REV57" s="196"/>
      <c r="REW57" s="196"/>
      <c r="REX57" s="196"/>
      <c r="REY57" s="196"/>
      <c r="REZ57" s="196"/>
      <c r="RFA57" s="196"/>
      <c r="RFB57" s="196"/>
      <c r="RFC57" s="196"/>
      <c r="RFD57" s="196"/>
      <c r="RFE57" s="196"/>
      <c r="RFF57" s="196"/>
      <c r="RFG57" s="196"/>
      <c r="RFH57" s="196"/>
      <c r="RFI57" s="196"/>
      <c r="RFJ57" s="196"/>
      <c r="RFK57" s="196"/>
      <c r="RFL57" s="196"/>
      <c r="RFM57" s="196"/>
      <c r="RFN57" s="196"/>
      <c r="RFO57" s="196"/>
      <c r="RFP57" s="196"/>
      <c r="RFQ57" s="196"/>
      <c r="RFR57" s="196"/>
      <c r="RFS57" s="196"/>
      <c r="RFT57" s="196"/>
      <c r="RFU57" s="196"/>
      <c r="RFV57" s="196"/>
      <c r="RFW57" s="196"/>
      <c r="RFX57" s="196"/>
      <c r="RFY57" s="196"/>
      <c r="RFZ57" s="196"/>
      <c r="RGA57" s="196"/>
      <c r="RGB57" s="196"/>
      <c r="RGC57" s="196"/>
      <c r="RGD57" s="196"/>
      <c r="RGE57" s="196"/>
      <c r="RGF57" s="196"/>
      <c r="RGG57" s="196"/>
      <c r="RGH57" s="196"/>
      <c r="RGI57" s="196"/>
      <c r="RGJ57" s="196"/>
      <c r="RGK57" s="196"/>
      <c r="RGL57" s="196"/>
      <c r="RGM57" s="196"/>
      <c r="RGN57" s="196"/>
      <c r="RGO57" s="196"/>
      <c r="RGP57" s="196"/>
      <c r="RGQ57" s="196"/>
      <c r="RGR57" s="196"/>
      <c r="RGS57" s="196"/>
      <c r="RGT57" s="196"/>
      <c r="RGU57" s="196"/>
      <c r="RGV57" s="196"/>
      <c r="RGW57" s="196"/>
      <c r="RGX57" s="196"/>
      <c r="RGY57" s="196"/>
      <c r="RGZ57" s="196"/>
      <c r="RHA57" s="196"/>
      <c r="RHB57" s="196"/>
      <c r="RHC57" s="196"/>
      <c r="RHD57" s="196"/>
      <c r="RHE57" s="196"/>
      <c r="RHF57" s="196"/>
      <c r="RHG57" s="196"/>
      <c r="RHH57" s="196"/>
      <c r="RHI57" s="196"/>
      <c r="RHJ57" s="196"/>
      <c r="RHK57" s="196"/>
      <c r="RHL57" s="196"/>
      <c r="RHM57" s="196"/>
      <c r="RHN57" s="196"/>
      <c r="RHO57" s="196"/>
      <c r="RHP57" s="196"/>
      <c r="RHQ57" s="196"/>
      <c r="RHR57" s="196"/>
      <c r="RHS57" s="196"/>
      <c r="RHT57" s="196"/>
      <c r="RHU57" s="196"/>
      <c r="RHV57" s="196"/>
      <c r="RHW57" s="196"/>
      <c r="RHX57" s="196"/>
      <c r="RHY57" s="196"/>
      <c r="RHZ57" s="196"/>
      <c r="RIA57" s="196"/>
      <c r="RIB57" s="196"/>
      <c r="RIC57" s="196"/>
      <c r="RID57" s="196"/>
      <c r="RIE57" s="196"/>
      <c r="RIF57" s="196"/>
      <c r="RIG57" s="196"/>
      <c r="RIH57" s="196"/>
      <c r="RII57" s="196"/>
      <c r="RIJ57" s="196"/>
      <c r="RIK57" s="196"/>
      <c r="RIL57" s="196"/>
      <c r="RIM57" s="196"/>
      <c r="RIN57" s="196"/>
      <c r="RIO57" s="196"/>
      <c r="RIP57" s="196"/>
      <c r="RIQ57" s="196"/>
      <c r="RIR57" s="196"/>
      <c r="RIS57" s="196"/>
      <c r="RIT57" s="196"/>
      <c r="RIU57" s="196"/>
      <c r="RIV57" s="196"/>
      <c r="RIW57" s="196"/>
      <c r="RIX57" s="196"/>
      <c r="RIY57" s="196"/>
      <c r="RIZ57" s="196"/>
      <c r="RJA57" s="196"/>
      <c r="RJB57" s="196"/>
      <c r="RJC57" s="196"/>
      <c r="RJD57" s="196"/>
      <c r="RJE57" s="196"/>
      <c r="RJF57" s="196"/>
      <c r="RJG57" s="196"/>
      <c r="RJH57" s="196"/>
      <c r="RJI57" s="196"/>
      <c r="RJJ57" s="196"/>
      <c r="RJK57" s="196"/>
      <c r="RJL57" s="196"/>
      <c r="RJM57" s="196"/>
      <c r="RJN57" s="196"/>
      <c r="RJO57" s="196"/>
      <c r="RJP57" s="196"/>
      <c r="RJQ57" s="196"/>
      <c r="RJR57" s="196"/>
      <c r="RJS57" s="196"/>
      <c r="RJT57" s="196"/>
      <c r="RJU57" s="196"/>
      <c r="RJV57" s="196"/>
      <c r="RJW57" s="196"/>
      <c r="RJX57" s="196"/>
      <c r="RJY57" s="196"/>
      <c r="RJZ57" s="196"/>
      <c r="RKA57" s="196"/>
      <c r="RKB57" s="196"/>
      <c r="RKC57" s="196"/>
      <c r="RKD57" s="196"/>
      <c r="RKE57" s="196"/>
      <c r="RKF57" s="196"/>
      <c r="RKG57" s="196"/>
      <c r="RKH57" s="196"/>
      <c r="RKI57" s="196"/>
      <c r="RKJ57" s="196"/>
      <c r="RKK57" s="196"/>
      <c r="RKL57" s="196"/>
      <c r="RKM57" s="196"/>
      <c r="RKN57" s="196"/>
      <c r="RKO57" s="196"/>
      <c r="RKP57" s="196"/>
      <c r="RKQ57" s="196"/>
      <c r="RKR57" s="196"/>
      <c r="RKS57" s="196"/>
      <c r="RKT57" s="196"/>
      <c r="RKU57" s="196"/>
      <c r="RKV57" s="196"/>
      <c r="RKW57" s="196"/>
      <c r="RKX57" s="196"/>
      <c r="RKY57" s="196"/>
      <c r="RKZ57" s="196"/>
      <c r="RLA57" s="196"/>
      <c r="RLB57" s="196"/>
      <c r="RLC57" s="196"/>
      <c r="RLD57" s="196"/>
      <c r="RLE57" s="196"/>
      <c r="RLF57" s="196"/>
      <c r="RLG57" s="196"/>
      <c r="RLH57" s="196"/>
      <c r="RLI57" s="196"/>
      <c r="RLJ57" s="196"/>
      <c r="RLK57" s="196"/>
      <c r="RLL57" s="196"/>
      <c r="RLM57" s="196"/>
      <c r="RLN57" s="196"/>
      <c r="RLO57" s="196"/>
      <c r="RLP57" s="196"/>
      <c r="RLQ57" s="196"/>
      <c r="RLR57" s="196"/>
      <c r="RLS57" s="196"/>
      <c r="RLT57" s="196"/>
      <c r="RLU57" s="196"/>
      <c r="RLV57" s="196"/>
      <c r="RLW57" s="196"/>
      <c r="RLX57" s="196"/>
      <c r="RLY57" s="196"/>
      <c r="RLZ57" s="196"/>
      <c r="RMA57" s="196"/>
      <c r="RMB57" s="196"/>
      <c r="RMC57" s="196"/>
      <c r="RMD57" s="196"/>
      <c r="RME57" s="196"/>
      <c r="RMF57" s="196"/>
      <c r="RMG57" s="196"/>
      <c r="RMH57" s="196"/>
      <c r="RMI57" s="196"/>
      <c r="RMJ57" s="196"/>
      <c r="RMK57" s="196"/>
      <c r="RML57" s="196"/>
      <c r="RMM57" s="196"/>
      <c r="RMN57" s="196"/>
      <c r="RMO57" s="196"/>
      <c r="RMP57" s="196"/>
      <c r="RMQ57" s="196"/>
      <c r="RMR57" s="196"/>
      <c r="RMS57" s="196"/>
      <c r="RMT57" s="196"/>
      <c r="RMU57" s="196"/>
      <c r="RMV57" s="196"/>
      <c r="RMW57" s="196"/>
      <c r="RMX57" s="196"/>
      <c r="RMY57" s="196"/>
      <c r="RMZ57" s="196"/>
      <c r="RNA57" s="196"/>
      <c r="RNB57" s="196"/>
      <c r="RNC57" s="196"/>
      <c r="RND57" s="196"/>
      <c r="RNE57" s="196"/>
      <c r="RNF57" s="196"/>
      <c r="RNG57" s="196"/>
      <c r="RNH57" s="196"/>
      <c r="RNI57" s="196"/>
      <c r="RNJ57" s="196"/>
      <c r="RNK57" s="196"/>
      <c r="RNL57" s="196"/>
      <c r="RNM57" s="196"/>
      <c r="RNN57" s="196"/>
      <c r="RNO57" s="196"/>
      <c r="RNP57" s="196"/>
      <c r="RNQ57" s="196"/>
      <c r="RNR57" s="196"/>
      <c r="RNS57" s="196"/>
      <c r="RNT57" s="196"/>
      <c r="RNU57" s="196"/>
      <c r="RNV57" s="196"/>
      <c r="RNW57" s="196"/>
      <c r="RNX57" s="196"/>
      <c r="RNY57" s="196"/>
      <c r="RNZ57" s="196"/>
      <c r="ROA57" s="196"/>
      <c r="ROB57" s="196"/>
      <c r="ROC57" s="196"/>
      <c r="ROD57" s="196"/>
      <c r="ROE57" s="196"/>
      <c r="ROF57" s="196"/>
      <c r="ROG57" s="196"/>
      <c r="ROH57" s="196"/>
      <c r="ROI57" s="196"/>
      <c r="ROJ57" s="196"/>
      <c r="ROK57" s="196"/>
      <c r="ROL57" s="196"/>
      <c r="ROM57" s="196"/>
      <c r="RON57" s="196"/>
      <c r="ROO57" s="196"/>
      <c r="ROP57" s="196"/>
      <c r="ROQ57" s="196"/>
      <c r="ROR57" s="196"/>
      <c r="ROS57" s="196"/>
      <c r="ROT57" s="196"/>
      <c r="ROU57" s="196"/>
      <c r="ROV57" s="196"/>
      <c r="ROW57" s="196"/>
      <c r="ROX57" s="196"/>
      <c r="ROY57" s="196"/>
      <c r="ROZ57" s="196"/>
      <c r="RPA57" s="196"/>
      <c r="RPB57" s="196"/>
      <c r="RPC57" s="196"/>
      <c r="RPD57" s="196"/>
      <c r="RPE57" s="196"/>
      <c r="RPF57" s="196"/>
      <c r="RPG57" s="196"/>
      <c r="RPH57" s="196"/>
      <c r="RPI57" s="196"/>
      <c r="RPJ57" s="196"/>
      <c r="RPK57" s="196"/>
      <c r="RPL57" s="196"/>
      <c r="RPM57" s="196"/>
      <c r="RPN57" s="196"/>
      <c r="RPO57" s="196"/>
      <c r="RPP57" s="196"/>
      <c r="RPQ57" s="196"/>
      <c r="RPR57" s="196"/>
      <c r="RPS57" s="196"/>
      <c r="RPT57" s="196"/>
      <c r="RPU57" s="196"/>
      <c r="RPV57" s="196"/>
      <c r="RPW57" s="196"/>
      <c r="RPX57" s="196"/>
      <c r="RPY57" s="196"/>
      <c r="RPZ57" s="196"/>
      <c r="RQA57" s="196"/>
      <c r="RQB57" s="196"/>
      <c r="RQC57" s="196"/>
      <c r="RQD57" s="196"/>
      <c r="RQE57" s="196"/>
      <c r="RQF57" s="196"/>
      <c r="RQG57" s="196"/>
      <c r="RQH57" s="196"/>
      <c r="RQI57" s="196"/>
      <c r="RQJ57" s="196"/>
      <c r="RQK57" s="196"/>
      <c r="RQL57" s="196"/>
      <c r="RQM57" s="196"/>
      <c r="RQN57" s="196"/>
      <c r="RQO57" s="196"/>
      <c r="RQP57" s="196"/>
      <c r="RQQ57" s="196"/>
      <c r="RQR57" s="196"/>
      <c r="RQS57" s="196"/>
      <c r="RQT57" s="196"/>
      <c r="RQU57" s="196"/>
      <c r="RQV57" s="196"/>
      <c r="RQW57" s="196"/>
      <c r="RQX57" s="196"/>
      <c r="RQY57" s="196"/>
      <c r="RQZ57" s="196"/>
      <c r="RRA57" s="196"/>
      <c r="RRB57" s="196"/>
      <c r="RRC57" s="196"/>
      <c r="RRD57" s="196"/>
      <c r="RRE57" s="196"/>
      <c r="RRF57" s="196"/>
      <c r="RRG57" s="196"/>
      <c r="RRH57" s="196"/>
      <c r="RRI57" s="196"/>
      <c r="RRJ57" s="196"/>
      <c r="RRK57" s="196"/>
      <c r="RRL57" s="196"/>
      <c r="RRM57" s="196"/>
      <c r="RRN57" s="196"/>
      <c r="RRO57" s="196"/>
      <c r="RRP57" s="196"/>
      <c r="RRQ57" s="196"/>
      <c r="RRR57" s="196"/>
      <c r="RRS57" s="196"/>
      <c r="RRT57" s="196"/>
      <c r="RRU57" s="196"/>
      <c r="RRV57" s="196"/>
      <c r="RRW57" s="196"/>
      <c r="RRX57" s="196"/>
      <c r="RRY57" s="196"/>
      <c r="RRZ57" s="196"/>
      <c r="RSA57" s="196"/>
      <c r="RSB57" s="196"/>
      <c r="RSC57" s="196"/>
      <c r="RSD57" s="196"/>
      <c r="RSE57" s="196"/>
      <c r="RSF57" s="196"/>
      <c r="RSG57" s="196"/>
      <c r="RSH57" s="196"/>
      <c r="RSI57" s="196"/>
      <c r="RSJ57" s="196"/>
      <c r="RSK57" s="196"/>
      <c r="RSL57" s="196"/>
      <c r="RSM57" s="196"/>
      <c r="RSN57" s="196"/>
      <c r="RSO57" s="196"/>
      <c r="RSP57" s="196"/>
      <c r="RSQ57" s="196"/>
      <c r="RSR57" s="196"/>
      <c r="RSS57" s="196"/>
      <c r="RST57" s="196"/>
      <c r="RSU57" s="196"/>
      <c r="RSV57" s="196"/>
      <c r="RSW57" s="196"/>
      <c r="RSX57" s="196"/>
      <c r="RSY57" s="196"/>
      <c r="RSZ57" s="196"/>
      <c r="RTA57" s="196"/>
      <c r="RTB57" s="196"/>
      <c r="RTC57" s="196"/>
      <c r="RTD57" s="196"/>
      <c r="RTE57" s="196"/>
      <c r="RTF57" s="196"/>
      <c r="RTG57" s="196"/>
      <c r="RTH57" s="196"/>
      <c r="RTI57" s="196"/>
      <c r="RTJ57" s="196"/>
      <c r="RTK57" s="196"/>
      <c r="RTL57" s="196"/>
      <c r="RTM57" s="196"/>
      <c r="RTN57" s="196"/>
      <c r="RTO57" s="196"/>
      <c r="RTP57" s="196"/>
      <c r="RTQ57" s="196"/>
      <c r="RTR57" s="196"/>
      <c r="RTS57" s="196"/>
      <c r="RTT57" s="196"/>
      <c r="RTU57" s="196"/>
      <c r="RTV57" s="196"/>
      <c r="RTW57" s="196"/>
      <c r="RTX57" s="196"/>
      <c r="RTY57" s="196"/>
      <c r="RTZ57" s="196"/>
      <c r="RUA57" s="196"/>
      <c r="RUB57" s="196"/>
      <c r="RUC57" s="196"/>
      <c r="RUD57" s="196"/>
      <c r="RUE57" s="196"/>
      <c r="RUF57" s="196"/>
      <c r="RUG57" s="196"/>
      <c r="RUH57" s="196"/>
      <c r="RUI57" s="196"/>
      <c r="RUJ57" s="196"/>
      <c r="RUK57" s="196"/>
      <c r="RUL57" s="196"/>
      <c r="RUM57" s="196"/>
      <c r="RUN57" s="196"/>
      <c r="RUO57" s="196"/>
      <c r="RUP57" s="196"/>
      <c r="RUQ57" s="196"/>
      <c r="RUR57" s="196"/>
      <c r="RUS57" s="196"/>
      <c r="RUT57" s="196"/>
      <c r="RUU57" s="196"/>
      <c r="RUV57" s="196"/>
      <c r="RUW57" s="196"/>
      <c r="RUX57" s="196"/>
      <c r="RUY57" s="196"/>
      <c r="RUZ57" s="196"/>
      <c r="RVA57" s="196"/>
      <c r="RVB57" s="196"/>
      <c r="RVC57" s="196"/>
      <c r="RVD57" s="196"/>
      <c r="RVE57" s="196"/>
      <c r="RVF57" s="196"/>
      <c r="RVG57" s="196"/>
      <c r="RVH57" s="196"/>
      <c r="RVI57" s="196"/>
      <c r="RVJ57" s="196"/>
      <c r="RVK57" s="196"/>
      <c r="RVL57" s="196"/>
      <c r="RVM57" s="196"/>
      <c r="RVN57" s="196"/>
      <c r="RVO57" s="196"/>
      <c r="RVP57" s="196"/>
      <c r="RVQ57" s="196"/>
      <c r="RVR57" s="196"/>
      <c r="RVS57" s="196"/>
      <c r="RVT57" s="196"/>
      <c r="RVU57" s="196"/>
      <c r="RVV57" s="196"/>
      <c r="RVW57" s="196"/>
      <c r="RVX57" s="196"/>
      <c r="RVY57" s="196"/>
      <c r="RVZ57" s="196"/>
      <c r="RWA57" s="196"/>
      <c r="RWB57" s="196"/>
      <c r="RWC57" s="196"/>
      <c r="RWD57" s="196"/>
      <c r="RWE57" s="196"/>
      <c r="RWF57" s="196"/>
      <c r="RWG57" s="196"/>
      <c r="RWH57" s="196"/>
      <c r="RWI57" s="196"/>
      <c r="RWJ57" s="196"/>
      <c r="RWK57" s="196"/>
      <c r="RWL57" s="196"/>
      <c r="RWM57" s="196"/>
      <c r="RWN57" s="196"/>
      <c r="RWO57" s="196"/>
      <c r="RWP57" s="196"/>
      <c r="RWQ57" s="196"/>
      <c r="RWR57" s="196"/>
      <c r="RWS57" s="196"/>
      <c r="RWT57" s="196"/>
      <c r="RWU57" s="196"/>
      <c r="RWV57" s="196"/>
      <c r="RWW57" s="196"/>
      <c r="RWX57" s="196"/>
      <c r="RWY57" s="196"/>
      <c r="RWZ57" s="196"/>
      <c r="RXA57" s="196"/>
      <c r="RXB57" s="196"/>
      <c r="RXC57" s="196"/>
      <c r="RXD57" s="196"/>
      <c r="RXE57" s="196"/>
      <c r="RXF57" s="196"/>
      <c r="RXG57" s="196"/>
      <c r="RXH57" s="196"/>
      <c r="RXI57" s="196"/>
      <c r="RXJ57" s="196"/>
      <c r="RXK57" s="196"/>
      <c r="RXL57" s="196"/>
      <c r="RXM57" s="196"/>
      <c r="RXN57" s="196"/>
      <c r="RXO57" s="196"/>
      <c r="RXP57" s="196"/>
      <c r="RXQ57" s="196"/>
      <c r="RXR57" s="196"/>
      <c r="RXS57" s="196"/>
      <c r="RXT57" s="196"/>
      <c r="RXU57" s="196"/>
      <c r="RXV57" s="196"/>
      <c r="RXW57" s="196"/>
      <c r="RXX57" s="196"/>
      <c r="RXY57" s="196"/>
      <c r="RXZ57" s="196"/>
      <c r="RYA57" s="196"/>
      <c r="RYB57" s="196"/>
      <c r="RYC57" s="196"/>
      <c r="RYD57" s="196"/>
      <c r="RYE57" s="196"/>
      <c r="RYF57" s="196"/>
      <c r="RYG57" s="196"/>
      <c r="RYH57" s="196"/>
      <c r="RYI57" s="196"/>
      <c r="RYJ57" s="196"/>
      <c r="RYK57" s="196"/>
      <c r="RYL57" s="196"/>
      <c r="RYM57" s="196"/>
      <c r="RYN57" s="196"/>
      <c r="RYO57" s="196"/>
      <c r="RYP57" s="196"/>
      <c r="RYQ57" s="196"/>
      <c r="RYR57" s="196"/>
      <c r="RYS57" s="196"/>
      <c r="RYT57" s="196"/>
      <c r="RYU57" s="196"/>
      <c r="RYV57" s="196"/>
      <c r="RYW57" s="196"/>
      <c r="RYX57" s="196"/>
      <c r="RYY57" s="196"/>
      <c r="RYZ57" s="196"/>
      <c r="RZA57" s="196"/>
      <c r="RZB57" s="196"/>
      <c r="RZC57" s="196"/>
      <c r="RZD57" s="196"/>
      <c r="RZE57" s="196"/>
      <c r="RZF57" s="196"/>
      <c r="RZG57" s="196"/>
      <c r="RZH57" s="196"/>
      <c r="RZI57" s="196"/>
      <c r="RZJ57" s="196"/>
      <c r="RZK57" s="196"/>
      <c r="RZL57" s="196"/>
      <c r="RZM57" s="196"/>
      <c r="RZN57" s="196"/>
      <c r="RZO57" s="196"/>
      <c r="RZP57" s="196"/>
      <c r="RZQ57" s="196"/>
      <c r="RZR57" s="196"/>
      <c r="RZS57" s="196"/>
      <c r="RZT57" s="196"/>
      <c r="RZU57" s="196"/>
      <c r="RZV57" s="196"/>
      <c r="RZW57" s="196"/>
      <c r="RZX57" s="196"/>
      <c r="RZY57" s="196"/>
      <c r="RZZ57" s="196"/>
      <c r="SAA57" s="196"/>
      <c r="SAB57" s="196"/>
      <c r="SAC57" s="196"/>
      <c r="SAD57" s="196"/>
      <c r="SAE57" s="196"/>
      <c r="SAF57" s="196"/>
      <c r="SAG57" s="196"/>
      <c r="SAH57" s="196"/>
      <c r="SAI57" s="196"/>
      <c r="SAJ57" s="196"/>
      <c r="SAK57" s="196"/>
      <c r="SAL57" s="196"/>
      <c r="SAM57" s="196"/>
      <c r="SAN57" s="196"/>
      <c r="SAO57" s="196"/>
      <c r="SAP57" s="196"/>
      <c r="SAQ57" s="196"/>
      <c r="SAR57" s="196"/>
      <c r="SAS57" s="196"/>
      <c r="SAT57" s="196"/>
      <c r="SAU57" s="196"/>
      <c r="SAV57" s="196"/>
      <c r="SAW57" s="196"/>
      <c r="SAX57" s="196"/>
      <c r="SAY57" s="196"/>
      <c r="SAZ57" s="196"/>
      <c r="SBA57" s="196"/>
      <c r="SBB57" s="196"/>
      <c r="SBC57" s="196"/>
      <c r="SBD57" s="196"/>
      <c r="SBE57" s="196"/>
      <c r="SBF57" s="196"/>
      <c r="SBG57" s="196"/>
      <c r="SBH57" s="196"/>
      <c r="SBI57" s="196"/>
      <c r="SBJ57" s="196"/>
      <c r="SBK57" s="196"/>
      <c r="SBL57" s="196"/>
      <c r="SBM57" s="196"/>
      <c r="SBN57" s="196"/>
      <c r="SBO57" s="196"/>
      <c r="SBP57" s="196"/>
      <c r="SBQ57" s="196"/>
      <c r="SBR57" s="196"/>
      <c r="SBS57" s="196"/>
      <c r="SBT57" s="196"/>
      <c r="SBU57" s="196"/>
      <c r="SBV57" s="196"/>
      <c r="SBW57" s="196"/>
      <c r="SBX57" s="196"/>
      <c r="SBY57" s="196"/>
      <c r="SBZ57" s="196"/>
      <c r="SCA57" s="196"/>
      <c r="SCB57" s="196"/>
      <c r="SCC57" s="196"/>
      <c r="SCD57" s="196"/>
      <c r="SCE57" s="196"/>
      <c r="SCF57" s="196"/>
      <c r="SCG57" s="196"/>
      <c r="SCH57" s="196"/>
      <c r="SCI57" s="196"/>
      <c r="SCJ57" s="196"/>
      <c r="SCK57" s="196"/>
      <c r="SCL57" s="196"/>
      <c r="SCM57" s="196"/>
      <c r="SCN57" s="196"/>
      <c r="SCO57" s="196"/>
      <c r="SCP57" s="196"/>
      <c r="SCQ57" s="196"/>
      <c r="SCR57" s="196"/>
      <c r="SCS57" s="196"/>
      <c r="SCT57" s="196"/>
      <c r="SCU57" s="196"/>
      <c r="SCV57" s="196"/>
      <c r="SCW57" s="196"/>
      <c r="SCX57" s="196"/>
      <c r="SCY57" s="196"/>
      <c r="SCZ57" s="196"/>
      <c r="SDA57" s="196"/>
      <c r="SDB57" s="196"/>
      <c r="SDC57" s="196"/>
      <c r="SDD57" s="196"/>
      <c r="SDE57" s="196"/>
      <c r="SDF57" s="196"/>
      <c r="SDG57" s="196"/>
      <c r="SDH57" s="196"/>
      <c r="SDI57" s="196"/>
      <c r="SDJ57" s="196"/>
      <c r="SDK57" s="196"/>
      <c r="SDL57" s="196"/>
      <c r="SDM57" s="196"/>
      <c r="SDN57" s="196"/>
      <c r="SDO57" s="196"/>
      <c r="SDP57" s="196"/>
      <c r="SDQ57" s="196"/>
      <c r="SDR57" s="196"/>
      <c r="SDS57" s="196"/>
      <c r="SDT57" s="196"/>
      <c r="SDU57" s="196"/>
      <c r="SDV57" s="196"/>
      <c r="SDW57" s="196"/>
      <c r="SDX57" s="196"/>
      <c r="SDY57" s="196"/>
      <c r="SDZ57" s="196"/>
      <c r="SEA57" s="196"/>
      <c r="SEB57" s="196"/>
      <c r="SEC57" s="196"/>
      <c r="SED57" s="196"/>
      <c r="SEE57" s="196"/>
      <c r="SEF57" s="196"/>
      <c r="SEG57" s="196"/>
      <c r="SEH57" s="196"/>
      <c r="SEI57" s="196"/>
      <c r="SEJ57" s="196"/>
      <c r="SEK57" s="196"/>
      <c r="SEL57" s="196"/>
      <c r="SEM57" s="196"/>
      <c r="SEN57" s="196"/>
      <c r="SEO57" s="196"/>
      <c r="SEP57" s="196"/>
      <c r="SEQ57" s="196"/>
      <c r="SER57" s="196"/>
      <c r="SES57" s="196"/>
      <c r="SET57" s="196"/>
      <c r="SEU57" s="196"/>
      <c r="SEV57" s="196"/>
      <c r="SEW57" s="196"/>
      <c r="SEX57" s="196"/>
      <c r="SEY57" s="196"/>
      <c r="SEZ57" s="196"/>
      <c r="SFA57" s="196"/>
      <c r="SFB57" s="196"/>
      <c r="SFC57" s="196"/>
      <c r="SFD57" s="196"/>
      <c r="SFE57" s="196"/>
      <c r="SFF57" s="196"/>
      <c r="SFG57" s="196"/>
      <c r="SFH57" s="196"/>
      <c r="SFI57" s="196"/>
      <c r="SFJ57" s="196"/>
      <c r="SFK57" s="196"/>
      <c r="SFL57" s="196"/>
      <c r="SFM57" s="196"/>
      <c r="SFN57" s="196"/>
      <c r="SFO57" s="196"/>
      <c r="SFP57" s="196"/>
      <c r="SFQ57" s="196"/>
      <c r="SFR57" s="196"/>
      <c r="SFS57" s="196"/>
      <c r="SFT57" s="196"/>
      <c r="SFU57" s="196"/>
      <c r="SFV57" s="196"/>
      <c r="SFW57" s="196"/>
      <c r="SFX57" s="196"/>
      <c r="SFY57" s="196"/>
      <c r="SFZ57" s="196"/>
      <c r="SGA57" s="196"/>
      <c r="SGB57" s="196"/>
      <c r="SGC57" s="196"/>
      <c r="SGD57" s="196"/>
      <c r="SGE57" s="196"/>
      <c r="SGF57" s="196"/>
      <c r="SGG57" s="196"/>
      <c r="SGH57" s="196"/>
      <c r="SGI57" s="196"/>
      <c r="SGJ57" s="196"/>
      <c r="SGK57" s="196"/>
      <c r="SGL57" s="196"/>
      <c r="SGM57" s="196"/>
      <c r="SGN57" s="196"/>
      <c r="SGO57" s="196"/>
      <c r="SGP57" s="196"/>
      <c r="SGQ57" s="196"/>
      <c r="SGR57" s="196"/>
      <c r="SGS57" s="196"/>
      <c r="SGT57" s="196"/>
      <c r="SGU57" s="196"/>
      <c r="SGV57" s="196"/>
      <c r="SGW57" s="196"/>
      <c r="SGX57" s="196"/>
      <c r="SGY57" s="196"/>
      <c r="SGZ57" s="196"/>
      <c r="SHA57" s="196"/>
      <c r="SHB57" s="196"/>
      <c r="SHC57" s="196"/>
      <c r="SHD57" s="196"/>
      <c r="SHE57" s="196"/>
      <c r="SHF57" s="196"/>
      <c r="SHG57" s="196"/>
      <c r="SHH57" s="196"/>
      <c r="SHI57" s="196"/>
      <c r="SHJ57" s="196"/>
      <c r="SHK57" s="196"/>
      <c r="SHL57" s="196"/>
      <c r="SHM57" s="196"/>
      <c r="SHN57" s="196"/>
      <c r="SHO57" s="196"/>
      <c r="SHP57" s="196"/>
      <c r="SHQ57" s="196"/>
      <c r="SHR57" s="196"/>
      <c r="SHS57" s="196"/>
      <c r="SHT57" s="196"/>
      <c r="SHU57" s="196"/>
      <c r="SHV57" s="196"/>
      <c r="SHW57" s="196"/>
      <c r="SHX57" s="196"/>
      <c r="SHY57" s="196"/>
      <c r="SHZ57" s="196"/>
      <c r="SIA57" s="196"/>
      <c r="SIB57" s="196"/>
      <c r="SIC57" s="196"/>
      <c r="SID57" s="196"/>
      <c r="SIE57" s="196"/>
      <c r="SIF57" s="196"/>
      <c r="SIG57" s="196"/>
      <c r="SIH57" s="196"/>
      <c r="SII57" s="196"/>
      <c r="SIJ57" s="196"/>
      <c r="SIK57" s="196"/>
      <c r="SIL57" s="196"/>
      <c r="SIM57" s="196"/>
      <c r="SIN57" s="196"/>
      <c r="SIO57" s="196"/>
      <c r="SIP57" s="196"/>
      <c r="SIQ57" s="196"/>
      <c r="SIR57" s="196"/>
      <c r="SIS57" s="196"/>
      <c r="SIT57" s="196"/>
      <c r="SIU57" s="196"/>
      <c r="SIV57" s="196"/>
      <c r="SIW57" s="196"/>
      <c r="SIX57" s="196"/>
      <c r="SIY57" s="196"/>
      <c r="SIZ57" s="196"/>
      <c r="SJA57" s="196"/>
      <c r="SJB57" s="196"/>
      <c r="SJC57" s="196"/>
      <c r="SJD57" s="196"/>
      <c r="SJE57" s="196"/>
      <c r="SJF57" s="196"/>
      <c r="SJG57" s="196"/>
      <c r="SJH57" s="196"/>
      <c r="SJI57" s="196"/>
      <c r="SJJ57" s="196"/>
      <c r="SJK57" s="196"/>
      <c r="SJL57" s="196"/>
      <c r="SJM57" s="196"/>
      <c r="SJN57" s="196"/>
      <c r="SJO57" s="196"/>
      <c r="SJP57" s="196"/>
      <c r="SJQ57" s="196"/>
      <c r="SJR57" s="196"/>
      <c r="SJS57" s="196"/>
      <c r="SJT57" s="196"/>
      <c r="SJU57" s="196"/>
      <c r="SJV57" s="196"/>
      <c r="SJW57" s="196"/>
      <c r="SJX57" s="196"/>
      <c r="SJY57" s="196"/>
      <c r="SJZ57" s="196"/>
      <c r="SKA57" s="196"/>
      <c r="SKB57" s="196"/>
      <c r="SKC57" s="196"/>
      <c r="SKD57" s="196"/>
      <c r="SKE57" s="196"/>
      <c r="SKF57" s="196"/>
      <c r="SKG57" s="196"/>
      <c r="SKH57" s="196"/>
      <c r="SKI57" s="196"/>
      <c r="SKJ57" s="196"/>
      <c r="SKK57" s="196"/>
      <c r="SKL57" s="196"/>
      <c r="SKM57" s="196"/>
      <c r="SKN57" s="196"/>
      <c r="SKO57" s="196"/>
      <c r="SKP57" s="196"/>
      <c r="SKQ57" s="196"/>
      <c r="SKR57" s="196"/>
      <c r="SKS57" s="196"/>
      <c r="SKT57" s="196"/>
      <c r="SKU57" s="196"/>
      <c r="SKV57" s="196"/>
      <c r="SKW57" s="196"/>
      <c r="SKX57" s="196"/>
      <c r="SKY57" s="196"/>
      <c r="SKZ57" s="196"/>
      <c r="SLA57" s="196"/>
      <c r="SLB57" s="196"/>
      <c r="SLC57" s="196"/>
      <c r="SLD57" s="196"/>
      <c r="SLE57" s="196"/>
      <c r="SLF57" s="196"/>
      <c r="SLG57" s="196"/>
      <c r="SLH57" s="196"/>
      <c r="SLI57" s="196"/>
      <c r="SLJ57" s="196"/>
      <c r="SLK57" s="196"/>
      <c r="SLL57" s="196"/>
      <c r="SLM57" s="196"/>
      <c r="SLN57" s="196"/>
      <c r="SLO57" s="196"/>
      <c r="SLP57" s="196"/>
      <c r="SLQ57" s="196"/>
      <c r="SLR57" s="196"/>
      <c r="SLS57" s="196"/>
      <c r="SLT57" s="196"/>
      <c r="SLU57" s="196"/>
      <c r="SLV57" s="196"/>
      <c r="SLW57" s="196"/>
      <c r="SLX57" s="196"/>
      <c r="SLY57" s="196"/>
      <c r="SLZ57" s="196"/>
      <c r="SMA57" s="196"/>
      <c r="SMB57" s="196"/>
      <c r="SMC57" s="196"/>
      <c r="SMD57" s="196"/>
      <c r="SME57" s="196"/>
      <c r="SMF57" s="196"/>
      <c r="SMG57" s="196"/>
      <c r="SMH57" s="196"/>
      <c r="SMI57" s="196"/>
      <c r="SMJ57" s="196"/>
      <c r="SMK57" s="196"/>
      <c r="SML57" s="196"/>
      <c r="SMM57" s="196"/>
      <c r="SMN57" s="196"/>
      <c r="SMO57" s="196"/>
      <c r="SMP57" s="196"/>
      <c r="SMQ57" s="196"/>
      <c r="SMR57" s="196"/>
      <c r="SMS57" s="196"/>
      <c r="SMT57" s="196"/>
      <c r="SMU57" s="196"/>
      <c r="SMV57" s="196"/>
      <c r="SMW57" s="196"/>
      <c r="SMX57" s="196"/>
      <c r="SMY57" s="196"/>
      <c r="SMZ57" s="196"/>
      <c r="SNA57" s="196"/>
      <c r="SNB57" s="196"/>
      <c r="SNC57" s="196"/>
      <c r="SND57" s="196"/>
      <c r="SNE57" s="196"/>
      <c r="SNF57" s="196"/>
      <c r="SNG57" s="196"/>
      <c r="SNH57" s="196"/>
      <c r="SNI57" s="196"/>
      <c r="SNJ57" s="196"/>
      <c r="SNK57" s="196"/>
      <c r="SNL57" s="196"/>
      <c r="SNM57" s="196"/>
      <c r="SNN57" s="196"/>
      <c r="SNO57" s="196"/>
      <c r="SNP57" s="196"/>
      <c r="SNQ57" s="196"/>
      <c r="SNR57" s="196"/>
      <c r="SNS57" s="196"/>
      <c r="SNT57" s="196"/>
      <c r="SNU57" s="196"/>
      <c r="SNV57" s="196"/>
      <c r="SNW57" s="196"/>
      <c r="SNX57" s="196"/>
      <c r="SNY57" s="196"/>
      <c r="SNZ57" s="196"/>
      <c r="SOA57" s="196"/>
      <c r="SOB57" s="196"/>
      <c r="SOC57" s="196"/>
      <c r="SOD57" s="196"/>
      <c r="SOE57" s="196"/>
      <c r="SOF57" s="196"/>
      <c r="SOG57" s="196"/>
      <c r="SOH57" s="196"/>
      <c r="SOI57" s="196"/>
      <c r="SOJ57" s="196"/>
      <c r="SOK57" s="196"/>
      <c r="SOL57" s="196"/>
      <c r="SOM57" s="196"/>
      <c r="SON57" s="196"/>
      <c r="SOO57" s="196"/>
      <c r="SOP57" s="196"/>
      <c r="SOQ57" s="196"/>
      <c r="SOR57" s="196"/>
      <c r="SOS57" s="196"/>
      <c r="SOT57" s="196"/>
      <c r="SOU57" s="196"/>
      <c r="SOV57" s="196"/>
      <c r="SOW57" s="196"/>
      <c r="SOX57" s="196"/>
      <c r="SOY57" s="196"/>
      <c r="SOZ57" s="196"/>
      <c r="SPA57" s="196"/>
      <c r="SPB57" s="196"/>
      <c r="SPC57" s="196"/>
      <c r="SPD57" s="196"/>
      <c r="SPE57" s="196"/>
      <c r="SPF57" s="196"/>
      <c r="SPG57" s="196"/>
      <c r="SPH57" s="196"/>
      <c r="SPI57" s="196"/>
      <c r="SPJ57" s="196"/>
      <c r="SPK57" s="196"/>
      <c r="SPL57" s="196"/>
      <c r="SPM57" s="196"/>
      <c r="SPN57" s="196"/>
      <c r="SPO57" s="196"/>
      <c r="SPP57" s="196"/>
      <c r="SPQ57" s="196"/>
      <c r="SPR57" s="196"/>
      <c r="SPS57" s="196"/>
      <c r="SPT57" s="196"/>
      <c r="SPU57" s="196"/>
      <c r="SPV57" s="196"/>
      <c r="SPW57" s="196"/>
      <c r="SPX57" s="196"/>
      <c r="SPY57" s="196"/>
      <c r="SPZ57" s="196"/>
      <c r="SQA57" s="196"/>
      <c r="SQB57" s="196"/>
      <c r="SQC57" s="196"/>
      <c r="SQD57" s="196"/>
      <c r="SQE57" s="196"/>
      <c r="SQF57" s="196"/>
      <c r="SQG57" s="196"/>
      <c r="SQH57" s="196"/>
      <c r="SQI57" s="196"/>
      <c r="SQJ57" s="196"/>
      <c r="SQK57" s="196"/>
      <c r="SQL57" s="196"/>
      <c r="SQM57" s="196"/>
      <c r="SQN57" s="196"/>
      <c r="SQO57" s="196"/>
      <c r="SQP57" s="196"/>
      <c r="SQQ57" s="196"/>
      <c r="SQR57" s="196"/>
      <c r="SQS57" s="196"/>
      <c r="SQT57" s="196"/>
      <c r="SQU57" s="196"/>
      <c r="SQV57" s="196"/>
      <c r="SQW57" s="196"/>
      <c r="SQX57" s="196"/>
      <c r="SQY57" s="196"/>
      <c r="SQZ57" s="196"/>
      <c r="SRA57" s="196"/>
      <c r="SRB57" s="196"/>
      <c r="SRC57" s="196"/>
      <c r="SRD57" s="196"/>
      <c r="SRE57" s="196"/>
      <c r="SRF57" s="196"/>
      <c r="SRG57" s="196"/>
      <c r="SRH57" s="196"/>
      <c r="SRI57" s="196"/>
      <c r="SRJ57" s="196"/>
      <c r="SRK57" s="196"/>
      <c r="SRL57" s="196"/>
      <c r="SRM57" s="196"/>
      <c r="SRN57" s="196"/>
      <c r="SRO57" s="196"/>
      <c r="SRP57" s="196"/>
      <c r="SRQ57" s="196"/>
      <c r="SRR57" s="196"/>
      <c r="SRS57" s="196"/>
      <c r="SRT57" s="196"/>
      <c r="SRU57" s="196"/>
      <c r="SRV57" s="196"/>
      <c r="SRW57" s="196"/>
      <c r="SRX57" s="196"/>
      <c r="SRY57" s="196"/>
      <c r="SRZ57" s="196"/>
      <c r="SSA57" s="196"/>
      <c r="SSB57" s="196"/>
      <c r="SSC57" s="196"/>
      <c r="SSD57" s="196"/>
      <c r="SSE57" s="196"/>
      <c r="SSF57" s="196"/>
      <c r="SSG57" s="196"/>
      <c r="SSH57" s="196"/>
      <c r="SSI57" s="196"/>
      <c r="SSJ57" s="196"/>
      <c r="SSK57" s="196"/>
      <c r="SSL57" s="196"/>
      <c r="SSM57" s="196"/>
      <c r="SSN57" s="196"/>
      <c r="SSO57" s="196"/>
      <c r="SSP57" s="196"/>
      <c r="SSQ57" s="196"/>
      <c r="SSR57" s="196"/>
      <c r="SSS57" s="196"/>
      <c r="SST57" s="196"/>
      <c r="SSU57" s="196"/>
      <c r="SSV57" s="196"/>
      <c r="SSW57" s="196"/>
      <c r="SSX57" s="196"/>
      <c r="SSY57" s="196"/>
      <c r="SSZ57" s="196"/>
      <c r="STA57" s="196"/>
      <c r="STB57" s="196"/>
      <c r="STC57" s="196"/>
      <c r="STD57" s="196"/>
      <c r="STE57" s="196"/>
      <c r="STF57" s="196"/>
      <c r="STG57" s="196"/>
      <c r="STH57" s="196"/>
      <c r="STI57" s="196"/>
      <c r="STJ57" s="196"/>
      <c r="STK57" s="196"/>
      <c r="STL57" s="196"/>
      <c r="STM57" s="196"/>
      <c r="STN57" s="196"/>
      <c r="STO57" s="196"/>
      <c r="STP57" s="196"/>
      <c r="STQ57" s="196"/>
      <c r="STR57" s="196"/>
      <c r="STS57" s="196"/>
      <c r="STT57" s="196"/>
      <c r="STU57" s="196"/>
      <c r="STV57" s="196"/>
      <c r="STW57" s="196"/>
      <c r="STX57" s="196"/>
      <c r="STY57" s="196"/>
      <c r="STZ57" s="196"/>
      <c r="SUA57" s="196"/>
      <c r="SUB57" s="196"/>
      <c r="SUC57" s="196"/>
      <c r="SUD57" s="196"/>
      <c r="SUE57" s="196"/>
      <c r="SUF57" s="196"/>
      <c r="SUG57" s="196"/>
      <c r="SUH57" s="196"/>
      <c r="SUI57" s="196"/>
      <c r="SUJ57" s="196"/>
      <c r="SUK57" s="196"/>
      <c r="SUL57" s="196"/>
      <c r="SUM57" s="196"/>
      <c r="SUN57" s="196"/>
      <c r="SUO57" s="196"/>
      <c r="SUP57" s="196"/>
      <c r="SUQ57" s="196"/>
      <c r="SUR57" s="196"/>
      <c r="SUS57" s="196"/>
      <c r="SUT57" s="196"/>
      <c r="SUU57" s="196"/>
      <c r="SUV57" s="196"/>
      <c r="SUW57" s="196"/>
      <c r="SUX57" s="196"/>
      <c r="SUY57" s="196"/>
      <c r="SUZ57" s="196"/>
      <c r="SVA57" s="196"/>
      <c r="SVB57" s="196"/>
      <c r="SVC57" s="196"/>
      <c r="SVD57" s="196"/>
      <c r="SVE57" s="196"/>
      <c r="SVF57" s="196"/>
      <c r="SVG57" s="196"/>
      <c r="SVH57" s="196"/>
      <c r="SVI57" s="196"/>
      <c r="SVJ57" s="196"/>
      <c r="SVK57" s="196"/>
      <c r="SVL57" s="196"/>
      <c r="SVM57" s="196"/>
      <c r="SVN57" s="196"/>
      <c r="SVO57" s="196"/>
      <c r="SVP57" s="196"/>
      <c r="SVQ57" s="196"/>
      <c r="SVR57" s="196"/>
      <c r="SVS57" s="196"/>
      <c r="SVT57" s="196"/>
      <c r="SVU57" s="196"/>
      <c r="SVV57" s="196"/>
      <c r="SVW57" s="196"/>
      <c r="SVX57" s="196"/>
      <c r="SVY57" s="196"/>
      <c r="SVZ57" s="196"/>
      <c r="SWA57" s="196"/>
      <c r="SWB57" s="196"/>
      <c r="SWC57" s="196"/>
      <c r="SWD57" s="196"/>
      <c r="SWE57" s="196"/>
      <c r="SWF57" s="196"/>
      <c r="SWG57" s="196"/>
      <c r="SWH57" s="196"/>
      <c r="SWI57" s="196"/>
      <c r="SWJ57" s="196"/>
      <c r="SWK57" s="196"/>
      <c r="SWL57" s="196"/>
      <c r="SWM57" s="196"/>
      <c r="SWN57" s="196"/>
      <c r="SWO57" s="196"/>
      <c r="SWP57" s="196"/>
      <c r="SWQ57" s="196"/>
      <c r="SWR57" s="196"/>
      <c r="SWS57" s="196"/>
      <c r="SWT57" s="196"/>
      <c r="SWU57" s="196"/>
      <c r="SWV57" s="196"/>
      <c r="SWW57" s="196"/>
      <c r="SWX57" s="196"/>
      <c r="SWY57" s="196"/>
      <c r="SWZ57" s="196"/>
      <c r="SXA57" s="196"/>
      <c r="SXB57" s="196"/>
      <c r="SXC57" s="196"/>
      <c r="SXD57" s="196"/>
      <c r="SXE57" s="196"/>
      <c r="SXF57" s="196"/>
      <c r="SXG57" s="196"/>
      <c r="SXH57" s="196"/>
      <c r="SXI57" s="196"/>
      <c r="SXJ57" s="196"/>
      <c r="SXK57" s="196"/>
      <c r="SXL57" s="196"/>
      <c r="SXM57" s="196"/>
      <c r="SXN57" s="196"/>
      <c r="SXO57" s="196"/>
      <c r="SXP57" s="196"/>
      <c r="SXQ57" s="196"/>
      <c r="SXR57" s="196"/>
      <c r="SXS57" s="196"/>
      <c r="SXT57" s="196"/>
      <c r="SXU57" s="196"/>
      <c r="SXV57" s="196"/>
      <c r="SXW57" s="196"/>
      <c r="SXX57" s="196"/>
      <c r="SXY57" s="196"/>
      <c r="SXZ57" s="196"/>
      <c r="SYA57" s="196"/>
      <c r="SYB57" s="196"/>
      <c r="SYC57" s="196"/>
      <c r="SYD57" s="196"/>
      <c r="SYE57" s="196"/>
      <c r="SYF57" s="196"/>
      <c r="SYG57" s="196"/>
      <c r="SYH57" s="196"/>
      <c r="SYI57" s="196"/>
      <c r="SYJ57" s="196"/>
      <c r="SYK57" s="196"/>
      <c r="SYL57" s="196"/>
      <c r="SYM57" s="196"/>
      <c r="SYN57" s="196"/>
      <c r="SYO57" s="196"/>
      <c r="SYP57" s="196"/>
      <c r="SYQ57" s="196"/>
      <c r="SYR57" s="196"/>
      <c r="SYS57" s="196"/>
      <c r="SYT57" s="196"/>
      <c r="SYU57" s="196"/>
      <c r="SYV57" s="196"/>
      <c r="SYW57" s="196"/>
      <c r="SYX57" s="196"/>
      <c r="SYY57" s="196"/>
      <c r="SYZ57" s="196"/>
      <c r="SZA57" s="196"/>
      <c r="SZB57" s="196"/>
      <c r="SZC57" s="196"/>
      <c r="SZD57" s="196"/>
      <c r="SZE57" s="196"/>
      <c r="SZF57" s="196"/>
      <c r="SZG57" s="196"/>
      <c r="SZH57" s="196"/>
      <c r="SZI57" s="196"/>
      <c r="SZJ57" s="196"/>
      <c r="SZK57" s="196"/>
      <c r="SZL57" s="196"/>
      <c r="SZM57" s="196"/>
      <c r="SZN57" s="196"/>
      <c r="SZO57" s="196"/>
      <c r="SZP57" s="196"/>
      <c r="SZQ57" s="196"/>
      <c r="SZR57" s="196"/>
      <c r="SZS57" s="196"/>
      <c r="SZT57" s="196"/>
      <c r="SZU57" s="196"/>
      <c r="SZV57" s="196"/>
      <c r="SZW57" s="196"/>
      <c r="SZX57" s="196"/>
      <c r="SZY57" s="196"/>
      <c r="SZZ57" s="196"/>
      <c r="TAA57" s="196"/>
      <c r="TAB57" s="196"/>
      <c r="TAC57" s="196"/>
      <c r="TAD57" s="196"/>
      <c r="TAE57" s="196"/>
      <c r="TAF57" s="196"/>
      <c r="TAG57" s="196"/>
      <c r="TAH57" s="196"/>
      <c r="TAI57" s="196"/>
      <c r="TAJ57" s="196"/>
      <c r="TAK57" s="196"/>
      <c r="TAL57" s="196"/>
      <c r="TAM57" s="196"/>
      <c r="TAN57" s="196"/>
      <c r="TAO57" s="196"/>
      <c r="TAP57" s="196"/>
      <c r="TAQ57" s="196"/>
      <c r="TAR57" s="196"/>
      <c r="TAS57" s="196"/>
      <c r="TAT57" s="196"/>
      <c r="TAU57" s="196"/>
      <c r="TAV57" s="196"/>
      <c r="TAW57" s="196"/>
      <c r="TAX57" s="196"/>
      <c r="TAY57" s="196"/>
      <c r="TAZ57" s="196"/>
      <c r="TBA57" s="196"/>
      <c r="TBB57" s="196"/>
      <c r="TBC57" s="196"/>
      <c r="TBD57" s="196"/>
      <c r="TBE57" s="196"/>
      <c r="TBF57" s="196"/>
      <c r="TBG57" s="196"/>
      <c r="TBH57" s="196"/>
      <c r="TBI57" s="196"/>
      <c r="TBJ57" s="196"/>
      <c r="TBK57" s="196"/>
      <c r="TBL57" s="196"/>
      <c r="TBM57" s="196"/>
      <c r="TBN57" s="196"/>
      <c r="TBO57" s="196"/>
      <c r="TBP57" s="196"/>
      <c r="TBQ57" s="196"/>
      <c r="TBR57" s="196"/>
      <c r="TBS57" s="196"/>
      <c r="TBT57" s="196"/>
      <c r="TBU57" s="196"/>
      <c r="TBV57" s="196"/>
      <c r="TBW57" s="196"/>
      <c r="TBX57" s="196"/>
      <c r="TBY57" s="196"/>
      <c r="TBZ57" s="196"/>
      <c r="TCA57" s="196"/>
      <c r="TCB57" s="196"/>
      <c r="TCC57" s="196"/>
      <c r="TCD57" s="196"/>
      <c r="TCE57" s="196"/>
      <c r="TCF57" s="196"/>
      <c r="TCG57" s="196"/>
      <c r="TCH57" s="196"/>
      <c r="TCI57" s="196"/>
      <c r="TCJ57" s="196"/>
      <c r="TCK57" s="196"/>
      <c r="TCL57" s="196"/>
      <c r="TCM57" s="196"/>
      <c r="TCN57" s="196"/>
      <c r="TCO57" s="196"/>
      <c r="TCP57" s="196"/>
      <c r="TCQ57" s="196"/>
      <c r="TCR57" s="196"/>
      <c r="TCS57" s="196"/>
      <c r="TCT57" s="196"/>
      <c r="TCU57" s="196"/>
      <c r="TCV57" s="196"/>
      <c r="TCW57" s="196"/>
      <c r="TCX57" s="196"/>
      <c r="TCY57" s="196"/>
      <c r="TCZ57" s="196"/>
      <c r="TDA57" s="196"/>
      <c r="TDB57" s="196"/>
      <c r="TDC57" s="196"/>
      <c r="TDD57" s="196"/>
      <c r="TDE57" s="196"/>
      <c r="TDF57" s="196"/>
      <c r="TDG57" s="196"/>
      <c r="TDH57" s="196"/>
      <c r="TDI57" s="196"/>
      <c r="TDJ57" s="196"/>
      <c r="TDK57" s="196"/>
      <c r="TDL57" s="196"/>
      <c r="TDM57" s="196"/>
      <c r="TDN57" s="196"/>
      <c r="TDO57" s="196"/>
      <c r="TDP57" s="196"/>
      <c r="TDQ57" s="196"/>
      <c r="TDR57" s="196"/>
      <c r="TDS57" s="196"/>
      <c r="TDT57" s="196"/>
      <c r="TDU57" s="196"/>
      <c r="TDV57" s="196"/>
      <c r="TDW57" s="196"/>
      <c r="TDX57" s="196"/>
      <c r="TDY57" s="196"/>
      <c r="TDZ57" s="196"/>
      <c r="TEA57" s="196"/>
      <c r="TEB57" s="196"/>
      <c r="TEC57" s="196"/>
      <c r="TED57" s="196"/>
      <c r="TEE57" s="196"/>
      <c r="TEF57" s="196"/>
      <c r="TEG57" s="196"/>
      <c r="TEH57" s="196"/>
      <c r="TEI57" s="196"/>
      <c r="TEJ57" s="196"/>
      <c r="TEK57" s="196"/>
      <c r="TEL57" s="196"/>
      <c r="TEM57" s="196"/>
      <c r="TEN57" s="196"/>
      <c r="TEO57" s="196"/>
      <c r="TEP57" s="196"/>
      <c r="TEQ57" s="196"/>
      <c r="TER57" s="196"/>
      <c r="TES57" s="196"/>
      <c r="TET57" s="196"/>
      <c r="TEU57" s="196"/>
      <c r="TEV57" s="196"/>
      <c r="TEW57" s="196"/>
      <c r="TEX57" s="196"/>
      <c r="TEY57" s="196"/>
      <c r="TEZ57" s="196"/>
      <c r="TFA57" s="196"/>
      <c r="TFB57" s="196"/>
      <c r="TFC57" s="196"/>
      <c r="TFD57" s="196"/>
      <c r="TFE57" s="196"/>
      <c r="TFF57" s="196"/>
      <c r="TFG57" s="196"/>
      <c r="TFH57" s="196"/>
      <c r="TFI57" s="196"/>
      <c r="TFJ57" s="196"/>
      <c r="TFK57" s="196"/>
      <c r="TFL57" s="196"/>
      <c r="TFM57" s="196"/>
      <c r="TFN57" s="196"/>
      <c r="TFO57" s="196"/>
      <c r="TFP57" s="196"/>
      <c r="TFQ57" s="196"/>
      <c r="TFR57" s="196"/>
      <c r="TFS57" s="196"/>
      <c r="TFT57" s="196"/>
      <c r="TFU57" s="196"/>
      <c r="TFV57" s="196"/>
      <c r="TFW57" s="196"/>
      <c r="TFX57" s="196"/>
      <c r="TFY57" s="196"/>
      <c r="TFZ57" s="196"/>
      <c r="TGA57" s="196"/>
      <c r="TGB57" s="196"/>
      <c r="TGC57" s="196"/>
      <c r="TGD57" s="196"/>
      <c r="TGE57" s="196"/>
      <c r="TGF57" s="196"/>
      <c r="TGG57" s="196"/>
      <c r="TGH57" s="196"/>
      <c r="TGI57" s="196"/>
      <c r="TGJ57" s="196"/>
      <c r="TGK57" s="196"/>
      <c r="TGL57" s="196"/>
      <c r="TGM57" s="196"/>
      <c r="TGN57" s="196"/>
      <c r="TGO57" s="196"/>
      <c r="TGP57" s="196"/>
      <c r="TGQ57" s="196"/>
      <c r="TGR57" s="196"/>
      <c r="TGS57" s="196"/>
      <c r="TGT57" s="196"/>
      <c r="TGU57" s="196"/>
      <c r="TGV57" s="196"/>
      <c r="TGW57" s="196"/>
      <c r="TGX57" s="196"/>
      <c r="TGY57" s="196"/>
      <c r="TGZ57" s="196"/>
      <c r="THA57" s="196"/>
      <c r="THB57" s="196"/>
      <c r="THC57" s="196"/>
      <c r="THD57" s="196"/>
      <c r="THE57" s="196"/>
      <c r="THF57" s="196"/>
      <c r="THG57" s="196"/>
      <c r="THH57" s="196"/>
      <c r="THI57" s="196"/>
      <c r="THJ57" s="196"/>
      <c r="THK57" s="196"/>
      <c r="THL57" s="196"/>
      <c r="THM57" s="196"/>
      <c r="THN57" s="196"/>
      <c r="THO57" s="196"/>
      <c r="THP57" s="196"/>
      <c r="THQ57" s="196"/>
      <c r="THR57" s="196"/>
      <c r="THS57" s="196"/>
      <c r="THT57" s="196"/>
      <c r="THU57" s="196"/>
      <c r="THV57" s="196"/>
      <c r="THW57" s="196"/>
      <c r="THX57" s="196"/>
      <c r="THY57" s="196"/>
      <c r="THZ57" s="196"/>
      <c r="TIA57" s="196"/>
      <c r="TIB57" s="196"/>
      <c r="TIC57" s="196"/>
      <c r="TID57" s="196"/>
      <c r="TIE57" s="196"/>
      <c r="TIF57" s="196"/>
      <c r="TIG57" s="196"/>
      <c r="TIH57" s="196"/>
      <c r="TII57" s="196"/>
      <c r="TIJ57" s="196"/>
      <c r="TIK57" s="196"/>
      <c r="TIL57" s="196"/>
      <c r="TIM57" s="196"/>
      <c r="TIN57" s="196"/>
      <c r="TIO57" s="196"/>
      <c r="TIP57" s="196"/>
      <c r="TIQ57" s="196"/>
      <c r="TIR57" s="196"/>
      <c r="TIS57" s="196"/>
      <c r="TIT57" s="196"/>
      <c r="TIU57" s="196"/>
      <c r="TIV57" s="196"/>
      <c r="TIW57" s="196"/>
      <c r="TIX57" s="196"/>
      <c r="TIY57" s="196"/>
      <c r="TIZ57" s="196"/>
      <c r="TJA57" s="196"/>
      <c r="TJB57" s="196"/>
      <c r="TJC57" s="196"/>
      <c r="TJD57" s="196"/>
      <c r="TJE57" s="196"/>
      <c r="TJF57" s="196"/>
      <c r="TJG57" s="196"/>
      <c r="TJH57" s="196"/>
      <c r="TJI57" s="196"/>
      <c r="TJJ57" s="196"/>
      <c r="TJK57" s="196"/>
      <c r="TJL57" s="196"/>
      <c r="TJM57" s="196"/>
      <c r="TJN57" s="196"/>
      <c r="TJO57" s="196"/>
      <c r="TJP57" s="196"/>
      <c r="TJQ57" s="196"/>
      <c r="TJR57" s="196"/>
      <c r="TJS57" s="196"/>
      <c r="TJT57" s="196"/>
      <c r="TJU57" s="196"/>
      <c r="TJV57" s="196"/>
      <c r="TJW57" s="196"/>
      <c r="TJX57" s="196"/>
      <c r="TJY57" s="196"/>
      <c r="TJZ57" s="196"/>
      <c r="TKA57" s="196"/>
      <c r="TKB57" s="196"/>
      <c r="TKC57" s="196"/>
      <c r="TKD57" s="196"/>
      <c r="TKE57" s="196"/>
      <c r="TKF57" s="196"/>
      <c r="TKG57" s="196"/>
      <c r="TKH57" s="196"/>
      <c r="TKI57" s="196"/>
      <c r="TKJ57" s="196"/>
      <c r="TKK57" s="196"/>
      <c r="TKL57" s="196"/>
      <c r="TKM57" s="196"/>
      <c r="TKN57" s="196"/>
      <c r="TKO57" s="196"/>
      <c r="TKP57" s="196"/>
      <c r="TKQ57" s="196"/>
      <c r="TKR57" s="196"/>
      <c r="TKS57" s="196"/>
      <c r="TKT57" s="196"/>
      <c r="TKU57" s="196"/>
      <c r="TKV57" s="196"/>
      <c r="TKW57" s="196"/>
      <c r="TKX57" s="196"/>
      <c r="TKY57" s="196"/>
      <c r="TKZ57" s="196"/>
      <c r="TLA57" s="196"/>
      <c r="TLB57" s="196"/>
      <c r="TLC57" s="196"/>
      <c r="TLD57" s="196"/>
      <c r="TLE57" s="196"/>
      <c r="TLF57" s="196"/>
      <c r="TLG57" s="196"/>
      <c r="TLH57" s="196"/>
      <c r="TLI57" s="196"/>
      <c r="TLJ57" s="196"/>
      <c r="TLK57" s="196"/>
      <c r="TLL57" s="196"/>
      <c r="TLM57" s="196"/>
      <c r="TLN57" s="196"/>
      <c r="TLO57" s="196"/>
      <c r="TLP57" s="196"/>
      <c r="TLQ57" s="196"/>
      <c r="TLR57" s="196"/>
      <c r="TLS57" s="196"/>
      <c r="TLT57" s="196"/>
      <c r="TLU57" s="196"/>
      <c r="TLV57" s="196"/>
      <c r="TLW57" s="196"/>
      <c r="TLX57" s="196"/>
      <c r="TLY57" s="196"/>
      <c r="TLZ57" s="196"/>
      <c r="TMA57" s="196"/>
      <c r="TMB57" s="196"/>
      <c r="TMC57" s="196"/>
      <c r="TMD57" s="196"/>
      <c r="TME57" s="196"/>
      <c r="TMF57" s="196"/>
      <c r="TMG57" s="196"/>
      <c r="TMH57" s="196"/>
      <c r="TMI57" s="196"/>
      <c r="TMJ57" s="196"/>
      <c r="TMK57" s="196"/>
      <c r="TML57" s="196"/>
      <c r="TMM57" s="196"/>
      <c r="TMN57" s="196"/>
      <c r="TMO57" s="196"/>
      <c r="TMP57" s="196"/>
      <c r="TMQ57" s="196"/>
      <c r="TMR57" s="196"/>
      <c r="TMS57" s="196"/>
      <c r="TMT57" s="196"/>
      <c r="TMU57" s="196"/>
      <c r="TMV57" s="196"/>
      <c r="TMW57" s="196"/>
      <c r="TMX57" s="196"/>
      <c r="TMY57" s="196"/>
      <c r="TMZ57" s="196"/>
      <c r="TNA57" s="196"/>
      <c r="TNB57" s="196"/>
      <c r="TNC57" s="196"/>
      <c r="TND57" s="196"/>
      <c r="TNE57" s="196"/>
      <c r="TNF57" s="196"/>
      <c r="TNG57" s="196"/>
      <c r="TNH57" s="196"/>
      <c r="TNI57" s="196"/>
      <c r="TNJ57" s="196"/>
      <c r="TNK57" s="196"/>
      <c r="TNL57" s="196"/>
      <c r="TNM57" s="196"/>
      <c r="TNN57" s="196"/>
      <c r="TNO57" s="196"/>
      <c r="TNP57" s="196"/>
      <c r="TNQ57" s="196"/>
      <c r="TNR57" s="196"/>
      <c r="TNS57" s="196"/>
      <c r="TNT57" s="196"/>
      <c r="TNU57" s="196"/>
      <c r="TNV57" s="196"/>
      <c r="TNW57" s="196"/>
      <c r="TNX57" s="196"/>
      <c r="TNY57" s="196"/>
      <c r="TNZ57" s="196"/>
      <c r="TOA57" s="196"/>
      <c r="TOB57" s="196"/>
      <c r="TOC57" s="196"/>
      <c r="TOD57" s="196"/>
      <c r="TOE57" s="196"/>
      <c r="TOF57" s="196"/>
      <c r="TOG57" s="196"/>
      <c r="TOH57" s="196"/>
      <c r="TOI57" s="196"/>
      <c r="TOJ57" s="196"/>
      <c r="TOK57" s="196"/>
      <c r="TOL57" s="196"/>
      <c r="TOM57" s="196"/>
      <c r="TON57" s="196"/>
      <c r="TOO57" s="196"/>
      <c r="TOP57" s="196"/>
      <c r="TOQ57" s="196"/>
      <c r="TOR57" s="196"/>
      <c r="TOS57" s="196"/>
      <c r="TOT57" s="196"/>
      <c r="TOU57" s="196"/>
      <c r="TOV57" s="196"/>
      <c r="TOW57" s="196"/>
      <c r="TOX57" s="196"/>
      <c r="TOY57" s="196"/>
      <c r="TOZ57" s="196"/>
      <c r="TPA57" s="196"/>
      <c r="TPB57" s="196"/>
      <c r="TPC57" s="196"/>
      <c r="TPD57" s="196"/>
      <c r="TPE57" s="196"/>
      <c r="TPF57" s="196"/>
      <c r="TPG57" s="196"/>
      <c r="TPH57" s="196"/>
      <c r="TPI57" s="196"/>
      <c r="TPJ57" s="196"/>
      <c r="TPK57" s="196"/>
      <c r="TPL57" s="196"/>
      <c r="TPM57" s="196"/>
      <c r="TPN57" s="196"/>
      <c r="TPO57" s="196"/>
      <c r="TPP57" s="196"/>
      <c r="TPQ57" s="196"/>
      <c r="TPR57" s="196"/>
      <c r="TPS57" s="196"/>
      <c r="TPT57" s="196"/>
      <c r="TPU57" s="196"/>
      <c r="TPV57" s="196"/>
      <c r="TPW57" s="196"/>
      <c r="TPX57" s="196"/>
      <c r="TPY57" s="196"/>
      <c r="TPZ57" s="196"/>
      <c r="TQA57" s="196"/>
      <c r="TQB57" s="196"/>
      <c r="TQC57" s="196"/>
      <c r="TQD57" s="196"/>
      <c r="TQE57" s="196"/>
      <c r="TQF57" s="196"/>
      <c r="TQG57" s="196"/>
      <c r="TQH57" s="196"/>
      <c r="TQI57" s="196"/>
      <c r="TQJ57" s="196"/>
      <c r="TQK57" s="196"/>
      <c r="TQL57" s="196"/>
      <c r="TQM57" s="196"/>
      <c r="TQN57" s="196"/>
      <c r="TQO57" s="196"/>
      <c r="TQP57" s="196"/>
      <c r="TQQ57" s="196"/>
      <c r="TQR57" s="196"/>
      <c r="TQS57" s="196"/>
      <c r="TQT57" s="196"/>
      <c r="TQU57" s="196"/>
      <c r="TQV57" s="196"/>
      <c r="TQW57" s="196"/>
      <c r="TQX57" s="196"/>
      <c r="TQY57" s="196"/>
      <c r="TQZ57" s="196"/>
      <c r="TRA57" s="196"/>
      <c r="TRB57" s="196"/>
      <c r="TRC57" s="196"/>
      <c r="TRD57" s="196"/>
      <c r="TRE57" s="196"/>
      <c r="TRF57" s="196"/>
      <c r="TRG57" s="196"/>
      <c r="TRH57" s="196"/>
      <c r="TRI57" s="196"/>
      <c r="TRJ57" s="196"/>
      <c r="TRK57" s="196"/>
      <c r="TRL57" s="196"/>
      <c r="TRM57" s="196"/>
      <c r="TRN57" s="196"/>
      <c r="TRO57" s="196"/>
      <c r="TRP57" s="196"/>
      <c r="TRQ57" s="196"/>
      <c r="TRR57" s="196"/>
      <c r="TRS57" s="196"/>
      <c r="TRT57" s="196"/>
      <c r="TRU57" s="196"/>
      <c r="TRV57" s="196"/>
      <c r="TRW57" s="196"/>
      <c r="TRX57" s="196"/>
      <c r="TRY57" s="196"/>
      <c r="TRZ57" s="196"/>
      <c r="TSA57" s="196"/>
      <c r="TSB57" s="196"/>
      <c r="TSC57" s="196"/>
      <c r="TSD57" s="196"/>
      <c r="TSE57" s="196"/>
      <c r="TSF57" s="196"/>
      <c r="TSG57" s="196"/>
      <c r="TSH57" s="196"/>
      <c r="TSI57" s="196"/>
      <c r="TSJ57" s="196"/>
      <c r="TSK57" s="196"/>
      <c r="TSL57" s="196"/>
      <c r="TSM57" s="196"/>
      <c r="TSN57" s="196"/>
      <c r="TSO57" s="196"/>
      <c r="TSP57" s="196"/>
      <c r="TSQ57" s="196"/>
      <c r="TSR57" s="196"/>
      <c r="TSS57" s="196"/>
      <c r="TST57" s="196"/>
      <c r="TSU57" s="196"/>
      <c r="TSV57" s="196"/>
      <c r="TSW57" s="196"/>
      <c r="TSX57" s="196"/>
      <c r="TSY57" s="196"/>
      <c r="TSZ57" s="196"/>
      <c r="TTA57" s="196"/>
      <c r="TTB57" s="196"/>
      <c r="TTC57" s="196"/>
      <c r="TTD57" s="196"/>
      <c r="TTE57" s="196"/>
      <c r="TTF57" s="196"/>
      <c r="TTG57" s="196"/>
      <c r="TTH57" s="196"/>
      <c r="TTI57" s="196"/>
      <c r="TTJ57" s="196"/>
      <c r="TTK57" s="196"/>
      <c r="TTL57" s="196"/>
      <c r="TTM57" s="196"/>
      <c r="TTN57" s="196"/>
      <c r="TTO57" s="196"/>
      <c r="TTP57" s="196"/>
      <c r="TTQ57" s="196"/>
      <c r="TTR57" s="196"/>
      <c r="TTS57" s="196"/>
      <c r="TTT57" s="196"/>
      <c r="TTU57" s="196"/>
      <c r="TTV57" s="196"/>
      <c r="TTW57" s="196"/>
      <c r="TTX57" s="196"/>
      <c r="TTY57" s="196"/>
      <c r="TTZ57" s="196"/>
      <c r="TUA57" s="196"/>
      <c r="TUB57" s="196"/>
      <c r="TUC57" s="196"/>
      <c r="TUD57" s="196"/>
      <c r="TUE57" s="196"/>
      <c r="TUF57" s="196"/>
      <c r="TUG57" s="196"/>
      <c r="TUH57" s="196"/>
      <c r="TUI57" s="196"/>
      <c r="TUJ57" s="196"/>
      <c r="TUK57" s="196"/>
      <c r="TUL57" s="196"/>
      <c r="TUM57" s="196"/>
      <c r="TUN57" s="196"/>
      <c r="TUO57" s="196"/>
      <c r="TUP57" s="196"/>
      <c r="TUQ57" s="196"/>
      <c r="TUR57" s="196"/>
      <c r="TUS57" s="196"/>
      <c r="TUT57" s="196"/>
      <c r="TUU57" s="196"/>
      <c r="TUV57" s="196"/>
      <c r="TUW57" s="196"/>
      <c r="TUX57" s="196"/>
      <c r="TUY57" s="196"/>
      <c r="TUZ57" s="196"/>
      <c r="TVA57" s="196"/>
      <c r="TVB57" s="196"/>
      <c r="TVC57" s="196"/>
      <c r="TVD57" s="196"/>
      <c r="TVE57" s="196"/>
      <c r="TVF57" s="196"/>
      <c r="TVG57" s="196"/>
      <c r="TVH57" s="196"/>
      <c r="TVI57" s="196"/>
      <c r="TVJ57" s="196"/>
      <c r="TVK57" s="196"/>
      <c r="TVL57" s="196"/>
      <c r="TVM57" s="196"/>
      <c r="TVN57" s="196"/>
      <c r="TVO57" s="196"/>
      <c r="TVP57" s="196"/>
      <c r="TVQ57" s="196"/>
      <c r="TVR57" s="196"/>
      <c r="TVS57" s="196"/>
      <c r="TVT57" s="196"/>
      <c r="TVU57" s="196"/>
      <c r="TVV57" s="196"/>
      <c r="TVW57" s="196"/>
      <c r="TVX57" s="196"/>
      <c r="TVY57" s="196"/>
      <c r="TVZ57" s="196"/>
      <c r="TWA57" s="196"/>
      <c r="TWB57" s="196"/>
      <c r="TWC57" s="196"/>
      <c r="TWD57" s="196"/>
      <c r="TWE57" s="196"/>
      <c r="TWF57" s="196"/>
      <c r="TWG57" s="196"/>
      <c r="TWH57" s="196"/>
      <c r="TWI57" s="196"/>
      <c r="TWJ57" s="196"/>
      <c r="TWK57" s="196"/>
      <c r="TWL57" s="196"/>
      <c r="TWM57" s="196"/>
      <c r="TWN57" s="196"/>
      <c r="TWO57" s="196"/>
      <c r="TWP57" s="196"/>
      <c r="TWQ57" s="196"/>
      <c r="TWR57" s="196"/>
      <c r="TWS57" s="196"/>
      <c r="TWT57" s="196"/>
      <c r="TWU57" s="196"/>
      <c r="TWV57" s="196"/>
      <c r="TWW57" s="196"/>
      <c r="TWX57" s="196"/>
      <c r="TWY57" s="196"/>
      <c r="TWZ57" s="196"/>
      <c r="TXA57" s="196"/>
      <c r="TXB57" s="196"/>
      <c r="TXC57" s="196"/>
      <c r="TXD57" s="196"/>
      <c r="TXE57" s="196"/>
      <c r="TXF57" s="196"/>
      <c r="TXG57" s="196"/>
      <c r="TXH57" s="196"/>
      <c r="TXI57" s="196"/>
      <c r="TXJ57" s="196"/>
      <c r="TXK57" s="196"/>
      <c r="TXL57" s="196"/>
      <c r="TXM57" s="196"/>
      <c r="TXN57" s="196"/>
      <c r="TXO57" s="196"/>
      <c r="TXP57" s="196"/>
      <c r="TXQ57" s="196"/>
      <c r="TXR57" s="196"/>
      <c r="TXS57" s="196"/>
      <c r="TXT57" s="196"/>
      <c r="TXU57" s="196"/>
      <c r="TXV57" s="196"/>
      <c r="TXW57" s="196"/>
      <c r="TXX57" s="196"/>
      <c r="TXY57" s="196"/>
      <c r="TXZ57" s="196"/>
      <c r="TYA57" s="196"/>
      <c r="TYB57" s="196"/>
      <c r="TYC57" s="196"/>
      <c r="TYD57" s="196"/>
      <c r="TYE57" s="196"/>
      <c r="TYF57" s="196"/>
      <c r="TYG57" s="196"/>
      <c r="TYH57" s="196"/>
      <c r="TYI57" s="196"/>
      <c r="TYJ57" s="196"/>
      <c r="TYK57" s="196"/>
      <c r="TYL57" s="196"/>
      <c r="TYM57" s="196"/>
      <c r="TYN57" s="196"/>
      <c r="TYO57" s="196"/>
      <c r="TYP57" s="196"/>
      <c r="TYQ57" s="196"/>
      <c r="TYR57" s="196"/>
      <c r="TYS57" s="196"/>
      <c r="TYT57" s="196"/>
      <c r="TYU57" s="196"/>
      <c r="TYV57" s="196"/>
      <c r="TYW57" s="196"/>
      <c r="TYX57" s="196"/>
      <c r="TYY57" s="196"/>
      <c r="TYZ57" s="196"/>
      <c r="TZA57" s="196"/>
      <c r="TZB57" s="196"/>
      <c r="TZC57" s="196"/>
      <c r="TZD57" s="196"/>
      <c r="TZE57" s="196"/>
      <c r="TZF57" s="196"/>
      <c r="TZG57" s="196"/>
      <c r="TZH57" s="196"/>
      <c r="TZI57" s="196"/>
      <c r="TZJ57" s="196"/>
      <c r="TZK57" s="196"/>
      <c r="TZL57" s="196"/>
      <c r="TZM57" s="196"/>
      <c r="TZN57" s="196"/>
      <c r="TZO57" s="196"/>
      <c r="TZP57" s="196"/>
      <c r="TZQ57" s="196"/>
      <c r="TZR57" s="196"/>
      <c r="TZS57" s="196"/>
      <c r="TZT57" s="196"/>
      <c r="TZU57" s="196"/>
      <c r="TZV57" s="196"/>
      <c r="TZW57" s="196"/>
      <c r="TZX57" s="196"/>
      <c r="TZY57" s="196"/>
      <c r="TZZ57" s="196"/>
      <c r="UAA57" s="196"/>
      <c r="UAB57" s="196"/>
      <c r="UAC57" s="196"/>
      <c r="UAD57" s="196"/>
      <c r="UAE57" s="196"/>
      <c r="UAF57" s="196"/>
      <c r="UAG57" s="196"/>
      <c r="UAH57" s="196"/>
      <c r="UAI57" s="196"/>
      <c r="UAJ57" s="196"/>
      <c r="UAK57" s="196"/>
      <c r="UAL57" s="196"/>
      <c r="UAM57" s="196"/>
      <c r="UAN57" s="196"/>
      <c r="UAO57" s="196"/>
      <c r="UAP57" s="196"/>
      <c r="UAQ57" s="196"/>
      <c r="UAR57" s="196"/>
      <c r="UAS57" s="196"/>
      <c r="UAT57" s="196"/>
      <c r="UAU57" s="196"/>
      <c r="UAV57" s="196"/>
      <c r="UAW57" s="196"/>
      <c r="UAX57" s="196"/>
      <c r="UAY57" s="196"/>
      <c r="UAZ57" s="196"/>
      <c r="UBA57" s="196"/>
      <c r="UBB57" s="196"/>
      <c r="UBC57" s="196"/>
      <c r="UBD57" s="196"/>
      <c r="UBE57" s="196"/>
      <c r="UBF57" s="196"/>
      <c r="UBG57" s="196"/>
      <c r="UBH57" s="196"/>
      <c r="UBI57" s="196"/>
      <c r="UBJ57" s="196"/>
      <c r="UBK57" s="196"/>
      <c r="UBL57" s="196"/>
      <c r="UBM57" s="196"/>
      <c r="UBN57" s="196"/>
      <c r="UBO57" s="196"/>
      <c r="UBP57" s="196"/>
      <c r="UBQ57" s="196"/>
      <c r="UBR57" s="196"/>
      <c r="UBS57" s="196"/>
      <c r="UBT57" s="196"/>
      <c r="UBU57" s="196"/>
      <c r="UBV57" s="196"/>
      <c r="UBW57" s="196"/>
      <c r="UBX57" s="196"/>
      <c r="UBY57" s="196"/>
      <c r="UBZ57" s="196"/>
      <c r="UCA57" s="196"/>
      <c r="UCB57" s="196"/>
      <c r="UCC57" s="196"/>
      <c r="UCD57" s="196"/>
      <c r="UCE57" s="196"/>
      <c r="UCF57" s="196"/>
      <c r="UCG57" s="196"/>
      <c r="UCH57" s="196"/>
      <c r="UCI57" s="196"/>
      <c r="UCJ57" s="196"/>
      <c r="UCK57" s="196"/>
      <c r="UCL57" s="196"/>
      <c r="UCM57" s="196"/>
      <c r="UCN57" s="196"/>
      <c r="UCO57" s="196"/>
      <c r="UCP57" s="196"/>
      <c r="UCQ57" s="196"/>
      <c r="UCR57" s="196"/>
      <c r="UCS57" s="196"/>
      <c r="UCT57" s="196"/>
      <c r="UCU57" s="196"/>
      <c r="UCV57" s="196"/>
      <c r="UCW57" s="196"/>
      <c r="UCX57" s="196"/>
      <c r="UCY57" s="196"/>
      <c r="UCZ57" s="196"/>
      <c r="UDA57" s="196"/>
      <c r="UDB57" s="196"/>
      <c r="UDC57" s="196"/>
      <c r="UDD57" s="196"/>
      <c r="UDE57" s="196"/>
      <c r="UDF57" s="196"/>
      <c r="UDG57" s="196"/>
      <c r="UDH57" s="196"/>
      <c r="UDI57" s="196"/>
      <c r="UDJ57" s="196"/>
      <c r="UDK57" s="196"/>
      <c r="UDL57" s="196"/>
      <c r="UDM57" s="196"/>
      <c r="UDN57" s="196"/>
      <c r="UDO57" s="196"/>
      <c r="UDP57" s="196"/>
      <c r="UDQ57" s="196"/>
      <c r="UDR57" s="196"/>
      <c r="UDS57" s="196"/>
      <c r="UDT57" s="196"/>
      <c r="UDU57" s="196"/>
      <c r="UDV57" s="196"/>
      <c r="UDW57" s="196"/>
      <c r="UDX57" s="196"/>
      <c r="UDY57" s="196"/>
      <c r="UDZ57" s="196"/>
      <c r="UEA57" s="196"/>
      <c r="UEB57" s="196"/>
      <c r="UEC57" s="196"/>
      <c r="UED57" s="196"/>
      <c r="UEE57" s="196"/>
      <c r="UEF57" s="196"/>
      <c r="UEG57" s="196"/>
      <c r="UEH57" s="196"/>
      <c r="UEI57" s="196"/>
      <c r="UEJ57" s="196"/>
      <c r="UEK57" s="196"/>
      <c r="UEL57" s="196"/>
      <c r="UEM57" s="196"/>
      <c r="UEN57" s="196"/>
      <c r="UEO57" s="196"/>
      <c r="UEP57" s="196"/>
      <c r="UEQ57" s="196"/>
      <c r="UER57" s="196"/>
      <c r="UES57" s="196"/>
      <c r="UET57" s="196"/>
      <c r="UEU57" s="196"/>
      <c r="UEV57" s="196"/>
      <c r="UEW57" s="196"/>
      <c r="UEX57" s="196"/>
      <c r="UEY57" s="196"/>
      <c r="UEZ57" s="196"/>
      <c r="UFA57" s="196"/>
      <c r="UFB57" s="196"/>
      <c r="UFC57" s="196"/>
      <c r="UFD57" s="196"/>
      <c r="UFE57" s="196"/>
      <c r="UFF57" s="196"/>
      <c r="UFG57" s="196"/>
      <c r="UFH57" s="196"/>
      <c r="UFI57" s="196"/>
      <c r="UFJ57" s="196"/>
      <c r="UFK57" s="196"/>
      <c r="UFL57" s="196"/>
      <c r="UFM57" s="196"/>
      <c r="UFN57" s="196"/>
      <c r="UFO57" s="196"/>
      <c r="UFP57" s="196"/>
      <c r="UFQ57" s="196"/>
      <c r="UFR57" s="196"/>
      <c r="UFS57" s="196"/>
      <c r="UFT57" s="196"/>
      <c r="UFU57" s="196"/>
      <c r="UFV57" s="196"/>
      <c r="UFW57" s="196"/>
      <c r="UFX57" s="196"/>
      <c r="UFY57" s="196"/>
      <c r="UFZ57" s="196"/>
      <c r="UGA57" s="196"/>
      <c r="UGB57" s="196"/>
      <c r="UGC57" s="196"/>
      <c r="UGD57" s="196"/>
      <c r="UGE57" s="196"/>
      <c r="UGF57" s="196"/>
      <c r="UGG57" s="196"/>
      <c r="UGH57" s="196"/>
      <c r="UGI57" s="196"/>
      <c r="UGJ57" s="196"/>
      <c r="UGK57" s="196"/>
      <c r="UGL57" s="196"/>
      <c r="UGM57" s="196"/>
      <c r="UGN57" s="196"/>
      <c r="UGO57" s="196"/>
      <c r="UGP57" s="196"/>
      <c r="UGQ57" s="196"/>
      <c r="UGR57" s="196"/>
      <c r="UGS57" s="196"/>
      <c r="UGT57" s="196"/>
      <c r="UGU57" s="196"/>
      <c r="UGV57" s="196"/>
      <c r="UGW57" s="196"/>
      <c r="UGX57" s="196"/>
      <c r="UGY57" s="196"/>
      <c r="UGZ57" s="196"/>
      <c r="UHA57" s="196"/>
      <c r="UHB57" s="196"/>
      <c r="UHC57" s="196"/>
      <c r="UHD57" s="196"/>
      <c r="UHE57" s="196"/>
      <c r="UHF57" s="196"/>
      <c r="UHG57" s="196"/>
      <c r="UHH57" s="196"/>
      <c r="UHI57" s="196"/>
      <c r="UHJ57" s="196"/>
      <c r="UHK57" s="196"/>
      <c r="UHL57" s="196"/>
      <c r="UHM57" s="196"/>
      <c r="UHN57" s="196"/>
      <c r="UHO57" s="196"/>
      <c r="UHP57" s="196"/>
      <c r="UHQ57" s="196"/>
      <c r="UHR57" s="196"/>
      <c r="UHS57" s="196"/>
      <c r="UHT57" s="196"/>
      <c r="UHU57" s="196"/>
      <c r="UHV57" s="196"/>
      <c r="UHW57" s="196"/>
      <c r="UHX57" s="196"/>
      <c r="UHY57" s="196"/>
      <c r="UHZ57" s="196"/>
      <c r="UIA57" s="196"/>
      <c r="UIB57" s="196"/>
      <c r="UIC57" s="196"/>
      <c r="UID57" s="196"/>
      <c r="UIE57" s="196"/>
      <c r="UIF57" s="196"/>
      <c r="UIG57" s="196"/>
      <c r="UIH57" s="196"/>
      <c r="UII57" s="196"/>
      <c r="UIJ57" s="196"/>
      <c r="UIK57" s="196"/>
      <c r="UIL57" s="196"/>
      <c r="UIM57" s="196"/>
      <c r="UIN57" s="196"/>
      <c r="UIO57" s="196"/>
      <c r="UIP57" s="196"/>
      <c r="UIQ57" s="196"/>
      <c r="UIR57" s="196"/>
      <c r="UIS57" s="196"/>
      <c r="UIT57" s="196"/>
      <c r="UIU57" s="196"/>
      <c r="UIV57" s="196"/>
      <c r="UIW57" s="196"/>
      <c r="UIX57" s="196"/>
      <c r="UIY57" s="196"/>
      <c r="UIZ57" s="196"/>
      <c r="UJA57" s="196"/>
      <c r="UJB57" s="196"/>
      <c r="UJC57" s="196"/>
      <c r="UJD57" s="196"/>
      <c r="UJE57" s="196"/>
      <c r="UJF57" s="196"/>
      <c r="UJG57" s="196"/>
      <c r="UJH57" s="196"/>
      <c r="UJI57" s="196"/>
      <c r="UJJ57" s="196"/>
      <c r="UJK57" s="196"/>
      <c r="UJL57" s="196"/>
      <c r="UJM57" s="196"/>
      <c r="UJN57" s="196"/>
      <c r="UJO57" s="196"/>
      <c r="UJP57" s="196"/>
      <c r="UJQ57" s="196"/>
      <c r="UJR57" s="196"/>
      <c r="UJS57" s="196"/>
      <c r="UJT57" s="196"/>
      <c r="UJU57" s="196"/>
      <c r="UJV57" s="196"/>
      <c r="UJW57" s="196"/>
      <c r="UJX57" s="196"/>
      <c r="UJY57" s="196"/>
      <c r="UJZ57" s="196"/>
      <c r="UKA57" s="196"/>
      <c r="UKB57" s="196"/>
      <c r="UKC57" s="196"/>
      <c r="UKD57" s="196"/>
      <c r="UKE57" s="196"/>
      <c r="UKF57" s="196"/>
      <c r="UKG57" s="196"/>
      <c r="UKH57" s="196"/>
      <c r="UKI57" s="196"/>
      <c r="UKJ57" s="196"/>
      <c r="UKK57" s="196"/>
      <c r="UKL57" s="196"/>
      <c r="UKM57" s="196"/>
      <c r="UKN57" s="196"/>
      <c r="UKO57" s="196"/>
      <c r="UKP57" s="196"/>
      <c r="UKQ57" s="196"/>
      <c r="UKR57" s="196"/>
      <c r="UKS57" s="196"/>
      <c r="UKT57" s="196"/>
      <c r="UKU57" s="196"/>
      <c r="UKV57" s="196"/>
      <c r="UKW57" s="196"/>
      <c r="UKX57" s="196"/>
      <c r="UKY57" s="196"/>
      <c r="UKZ57" s="196"/>
      <c r="ULA57" s="196"/>
      <c r="ULB57" s="196"/>
      <c r="ULC57" s="196"/>
      <c r="ULD57" s="196"/>
      <c r="ULE57" s="196"/>
      <c r="ULF57" s="196"/>
      <c r="ULG57" s="196"/>
      <c r="ULH57" s="196"/>
      <c r="ULI57" s="196"/>
      <c r="ULJ57" s="196"/>
      <c r="ULK57" s="196"/>
      <c r="ULL57" s="196"/>
      <c r="ULM57" s="196"/>
      <c r="ULN57" s="196"/>
      <c r="ULO57" s="196"/>
      <c r="ULP57" s="196"/>
      <c r="ULQ57" s="196"/>
      <c r="ULR57" s="196"/>
      <c r="ULS57" s="196"/>
      <c r="ULT57" s="196"/>
      <c r="ULU57" s="196"/>
      <c r="ULV57" s="196"/>
      <c r="ULW57" s="196"/>
      <c r="ULX57" s="196"/>
      <c r="ULY57" s="196"/>
      <c r="ULZ57" s="196"/>
      <c r="UMA57" s="196"/>
      <c r="UMB57" s="196"/>
      <c r="UMC57" s="196"/>
      <c r="UMD57" s="196"/>
      <c r="UME57" s="196"/>
      <c r="UMF57" s="196"/>
      <c r="UMG57" s="196"/>
      <c r="UMH57" s="196"/>
      <c r="UMI57" s="196"/>
      <c r="UMJ57" s="196"/>
      <c r="UMK57" s="196"/>
      <c r="UML57" s="196"/>
      <c r="UMM57" s="196"/>
      <c r="UMN57" s="196"/>
      <c r="UMO57" s="196"/>
      <c r="UMP57" s="196"/>
      <c r="UMQ57" s="196"/>
      <c r="UMR57" s="196"/>
      <c r="UMS57" s="196"/>
      <c r="UMT57" s="196"/>
      <c r="UMU57" s="196"/>
      <c r="UMV57" s="196"/>
      <c r="UMW57" s="196"/>
      <c r="UMX57" s="196"/>
      <c r="UMY57" s="196"/>
      <c r="UMZ57" s="196"/>
      <c r="UNA57" s="196"/>
      <c r="UNB57" s="196"/>
      <c r="UNC57" s="196"/>
      <c r="UND57" s="196"/>
      <c r="UNE57" s="196"/>
      <c r="UNF57" s="196"/>
      <c r="UNG57" s="196"/>
      <c r="UNH57" s="196"/>
      <c r="UNI57" s="196"/>
      <c r="UNJ57" s="196"/>
      <c r="UNK57" s="196"/>
      <c r="UNL57" s="196"/>
      <c r="UNM57" s="196"/>
      <c r="UNN57" s="196"/>
      <c r="UNO57" s="196"/>
      <c r="UNP57" s="196"/>
      <c r="UNQ57" s="196"/>
      <c r="UNR57" s="196"/>
      <c r="UNS57" s="196"/>
      <c r="UNT57" s="196"/>
      <c r="UNU57" s="196"/>
      <c r="UNV57" s="196"/>
      <c r="UNW57" s="196"/>
      <c r="UNX57" s="196"/>
      <c r="UNY57" s="196"/>
      <c r="UNZ57" s="196"/>
      <c r="UOA57" s="196"/>
      <c r="UOB57" s="196"/>
      <c r="UOC57" s="196"/>
      <c r="UOD57" s="196"/>
      <c r="UOE57" s="196"/>
      <c r="UOF57" s="196"/>
      <c r="UOG57" s="196"/>
      <c r="UOH57" s="196"/>
      <c r="UOI57" s="196"/>
      <c r="UOJ57" s="196"/>
      <c r="UOK57" s="196"/>
      <c r="UOL57" s="196"/>
      <c r="UOM57" s="196"/>
      <c r="UON57" s="196"/>
      <c r="UOO57" s="196"/>
      <c r="UOP57" s="196"/>
      <c r="UOQ57" s="196"/>
      <c r="UOR57" s="196"/>
      <c r="UOS57" s="196"/>
      <c r="UOT57" s="196"/>
      <c r="UOU57" s="196"/>
      <c r="UOV57" s="196"/>
      <c r="UOW57" s="196"/>
      <c r="UOX57" s="196"/>
      <c r="UOY57" s="196"/>
      <c r="UOZ57" s="196"/>
      <c r="UPA57" s="196"/>
      <c r="UPB57" s="196"/>
      <c r="UPC57" s="196"/>
      <c r="UPD57" s="196"/>
      <c r="UPE57" s="196"/>
      <c r="UPF57" s="196"/>
      <c r="UPG57" s="196"/>
      <c r="UPH57" s="196"/>
      <c r="UPI57" s="196"/>
      <c r="UPJ57" s="196"/>
      <c r="UPK57" s="196"/>
      <c r="UPL57" s="196"/>
      <c r="UPM57" s="196"/>
      <c r="UPN57" s="196"/>
      <c r="UPO57" s="196"/>
      <c r="UPP57" s="196"/>
      <c r="UPQ57" s="196"/>
      <c r="UPR57" s="196"/>
      <c r="UPS57" s="196"/>
      <c r="UPT57" s="196"/>
      <c r="UPU57" s="196"/>
      <c r="UPV57" s="196"/>
      <c r="UPW57" s="196"/>
      <c r="UPX57" s="196"/>
      <c r="UPY57" s="196"/>
      <c r="UPZ57" s="196"/>
      <c r="UQA57" s="196"/>
      <c r="UQB57" s="196"/>
      <c r="UQC57" s="196"/>
      <c r="UQD57" s="196"/>
      <c r="UQE57" s="196"/>
      <c r="UQF57" s="196"/>
      <c r="UQG57" s="196"/>
      <c r="UQH57" s="196"/>
      <c r="UQI57" s="196"/>
      <c r="UQJ57" s="196"/>
      <c r="UQK57" s="196"/>
      <c r="UQL57" s="196"/>
      <c r="UQM57" s="196"/>
      <c r="UQN57" s="196"/>
      <c r="UQO57" s="196"/>
      <c r="UQP57" s="196"/>
      <c r="UQQ57" s="196"/>
      <c r="UQR57" s="196"/>
      <c r="UQS57" s="196"/>
      <c r="UQT57" s="196"/>
      <c r="UQU57" s="196"/>
      <c r="UQV57" s="196"/>
      <c r="UQW57" s="196"/>
      <c r="UQX57" s="196"/>
      <c r="UQY57" s="196"/>
      <c r="UQZ57" s="196"/>
      <c r="URA57" s="196"/>
      <c r="URB57" s="196"/>
      <c r="URC57" s="196"/>
      <c r="URD57" s="196"/>
      <c r="URE57" s="196"/>
      <c r="URF57" s="196"/>
      <c r="URG57" s="196"/>
      <c r="URH57" s="196"/>
      <c r="URI57" s="196"/>
      <c r="URJ57" s="196"/>
      <c r="URK57" s="196"/>
      <c r="URL57" s="196"/>
      <c r="URM57" s="196"/>
      <c r="URN57" s="196"/>
      <c r="URO57" s="196"/>
      <c r="URP57" s="196"/>
      <c r="URQ57" s="196"/>
      <c r="URR57" s="196"/>
      <c r="URS57" s="196"/>
      <c r="URT57" s="196"/>
      <c r="URU57" s="196"/>
      <c r="URV57" s="196"/>
      <c r="URW57" s="196"/>
      <c r="URX57" s="196"/>
      <c r="URY57" s="196"/>
      <c r="URZ57" s="196"/>
      <c r="USA57" s="196"/>
      <c r="USB57" s="196"/>
      <c r="USC57" s="196"/>
      <c r="USD57" s="196"/>
      <c r="USE57" s="196"/>
      <c r="USF57" s="196"/>
      <c r="USG57" s="196"/>
      <c r="USH57" s="196"/>
      <c r="USI57" s="196"/>
      <c r="USJ57" s="196"/>
      <c r="USK57" s="196"/>
      <c r="USL57" s="196"/>
      <c r="USM57" s="196"/>
      <c r="USN57" s="196"/>
      <c r="USO57" s="196"/>
      <c r="USP57" s="196"/>
      <c r="USQ57" s="196"/>
      <c r="USR57" s="196"/>
      <c r="USS57" s="196"/>
      <c r="UST57" s="196"/>
      <c r="USU57" s="196"/>
      <c r="USV57" s="196"/>
      <c r="USW57" s="196"/>
      <c r="USX57" s="196"/>
      <c r="USY57" s="196"/>
      <c r="USZ57" s="196"/>
      <c r="UTA57" s="196"/>
      <c r="UTB57" s="196"/>
      <c r="UTC57" s="196"/>
      <c r="UTD57" s="196"/>
      <c r="UTE57" s="196"/>
      <c r="UTF57" s="196"/>
      <c r="UTG57" s="196"/>
      <c r="UTH57" s="196"/>
      <c r="UTI57" s="196"/>
      <c r="UTJ57" s="196"/>
      <c r="UTK57" s="196"/>
      <c r="UTL57" s="196"/>
      <c r="UTM57" s="196"/>
      <c r="UTN57" s="196"/>
      <c r="UTO57" s="196"/>
      <c r="UTP57" s="196"/>
      <c r="UTQ57" s="196"/>
      <c r="UTR57" s="196"/>
      <c r="UTS57" s="196"/>
      <c r="UTT57" s="196"/>
      <c r="UTU57" s="196"/>
      <c r="UTV57" s="196"/>
      <c r="UTW57" s="196"/>
      <c r="UTX57" s="196"/>
      <c r="UTY57" s="196"/>
      <c r="UTZ57" s="196"/>
      <c r="UUA57" s="196"/>
      <c r="UUB57" s="196"/>
      <c r="UUC57" s="196"/>
      <c r="UUD57" s="196"/>
      <c r="UUE57" s="196"/>
      <c r="UUF57" s="196"/>
      <c r="UUG57" s="196"/>
      <c r="UUH57" s="196"/>
      <c r="UUI57" s="196"/>
      <c r="UUJ57" s="196"/>
      <c r="UUK57" s="196"/>
      <c r="UUL57" s="196"/>
      <c r="UUM57" s="196"/>
      <c r="UUN57" s="196"/>
      <c r="UUO57" s="196"/>
      <c r="UUP57" s="196"/>
      <c r="UUQ57" s="196"/>
      <c r="UUR57" s="196"/>
      <c r="UUS57" s="196"/>
      <c r="UUT57" s="196"/>
      <c r="UUU57" s="196"/>
      <c r="UUV57" s="196"/>
      <c r="UUW57" s="196"/>
      <c r="UUX57" s="196"/>
      <c r="UUY57" s="196"/>
      <c r="UUZ57" s="196"/>
      <c r="UVA57" s="196"/>
      <c r="UVB57" s="196"/>
      <c r="UVC57" s="196"/>
      <c r="UVD57" s="196"/>
      <c r="UVE57" s="196"/>
      <c r="UVF57" s="196"/>
      <c r="UVG57" s="196"/>
      <c r="UVH57" s="196"/>
      <c r="UVI57" s="196"/>
      <c r="UVJ57" s="196"/>
      <c r="UVK57" s="196"/>
      <c r="UVL57" s="196"/>
      <c r="UVM57" s="196"/>
      <c r="UVN57" s="196"/>
      <c r="UVO57" s="196"/>
      <c r="UVP57" s="196"/>
      <c r="UVQ57" s="196"/>
      <c r="UVR57" s="196"/>
      <c r="UVS57" s="196"/>
      <c r="UVT57" s="196"/>
      <c r="UVU57" s="196"/>
      <c r="UVV57" s="196"/>
      <c r="UVW57" s="196"/>
      <c r="UVX57" s="196"/>
      <c r="UVY57" s="196"/>
      <c r="UVZ57" s="196"/>
      <c r="UWA57" s="196"/>
      <c r="UWB57" s="196"/>
      <c r="UWC57" s="196"/>
      <c r="UWD57" s="196"/>
      <c r="UWE57" s="196"/>
      <c r="UWF57" s="196"/>
      <c r="UWG57" s="196"/>
      <c r="UWH57" s="196"/>
      <c r="UWI57" s="196"/>
      <c r="UWJ57" s="196"/>
      <c r="UWK57" s="196"/>
      <c r="UWL57" s="196"/>
      <c r="UWM57" s="196"/>
      <c r="UWN57" s="196"/>
      <c r="UWO57" s="196"/>
      <c r="UWP57" s="196"/>
      <c r="UWQ57" s="196"/>
      <c r="UWR57" s="196"/>
      <c r="UWS57" s="196"/>
      <c r="UWT57" s="196"/>
      <c r="UWU57" s="196"/>
      <c r="UWV57" s="196"/>
      <c r="UWW57" s="196"/>
      <c r="UWX57" s="196"/>
      <c r="UWY57" s="196"/>
      <c r="UWZ57" s="196"/>
      <c r="UXA57" s="196"/>
      <c r="UXB57" s="196"/>
      <c r="UXC57" s="196"/>
      <c r="UXD57" s="196"/>
      <c r="UXE57" s="196"/>
      <c r="UXF57" s="196"/>
      <c r="UXG57" s="196"/>
      <c r="UXH57" s="196"/>
      <c r="UXI57" s="196"/>
      <c r="UXJ57" s="196"/>
      <c r="UXK57" s="196"/>
      <c r="UXL57" s="196"/>
      <c r="UXM57" s="196"/>
      <c r="UXN57" s="196"/>
      <c r="UXO57" s="196"/>
      <c r="UXP57" s="196"/>
      <c r="UXQ57" s="196"/>
      <c r="UXR57" s="196"/>
      <c r="UXS57" s="196"/>
      <c r="UXT57" s="196"/>
      <c r="UXU57" s="196"/>
      <c r="UXV57" s="196"/>
      <c r="UXW57" s="196"/>
      <c r="UXX57" s="196"/>
      <c r="UXY57" s="196"/>
      <c r="UXZ57" s="196"/>
      <c r="UYA57" s="196"/>
      <c r="UYB57" s="196"/>
      <c r="UYC57" s="196"/>
      <c r="UYD57" s="196"/>
      <c r="UYE57" s="196"/>
      <c r="UYF57" s="196"/>
      <c r="UYG57" s="196"/>
      <c r="UYH57" s="196"/>
      <c r="UYI57" s="196"/>
      <c r="UYJ57" s="196"/>
      <c r="UYK57" s="196"/>
      <c r="UYL57" s="196"/>
      <c r="UYM57" s="196"/>
      <c r="UYN57" s="196"/>
      <c r="UYO57" s="196"/>
      <c r="UYP57" s="196"/>
      <c r="UYQ57" s="196"/>
      <c r="UYR57" s="196"/>
      <c r="UYS57" s="196"/>
      <c r="UYT57" s="196"/>
      <c r="UYU57" s="196"/>
      <c r="UYV57" s="196"/>
      <c r="UYW57" s="196"/>
      <c r="UYX57" s="196"/>
      <c r="UYY57" s="196"/>
      <c r="UYZ57" s="196"/>
      <c r="UZA57" s="196"/>
      <c r="UZB57" s="196"/>
      <c r="UZC57" s="196"/>
      <c r="UZD57" s="196"/>
      <c r="UZE57" s="196"/>
      <c r="UZF57" s="196"/>
      <c r="UZG57" s="196"/>
      <c r="UZH57" s="196"/>
      <c r="UZI57" s="196"/>
      <c r="UZJ57" s="196"/>
      <c r="UZK57" s="196"/>
      <c r="UZL57" s="196"/>
      <c r="UZM57" s="196"/>
      <c r="UZN57" s="196"/>
      <c r="UZO57" s="196"/>
      <c r="UZP57" s="196"/>
      <c r="UZQ57" s="196"/>
      <c r="UZR57" s="196"/>
      <c r="UZS57" s="196"/>
      <c r="UZT57" s="196"/>
      <c r="UZU57" s="196"/>
      <c r="UZV57" s="196"/>
      <c r="UZW57" s="196"/>
      <c r="UZX57" s="196"/>
      <c r="UZY57" s="196"/>
      <c r="UZZ57" s="196"/>
      <c r="VAA57" s="196"/>
      <c r="VAB57" s="196"/>
      <c r="VAC57" s="196"/>
      <c r="VAD57" s="196"/>
      <c r="VAE57" s="196"/>
      <c r="VAF57" s="196"/>
      <c r="VAG57" s="196"/>
      <c r="VAH57" s="196"/>
      <c r="VAI57" s="196"/>
      <c r="VAJ57" s="196"/>
      <c r="VAK57" s="196"/>
      <c r="VAL57" s="196"/>
      <c r="VAM57" s="196"/>
      <c r="VAN57" s="196"/>
      <c r="VAO57" s="196"/>
      <c r="VAP57" s="196"/>
      <c r="VAQ57" s="196"/>
      <c r="VAR57" s="196"/>
      <c r="VAS57" s="196"/>
      <c r="VAT57" s="196"/>
      <c r="VAU57" s="196"/>
      <c r="VAV57" s="196"/>
      <c r="VAW57" s="196"/>
      <c r="VAX57" s="196"/>
      <c r="VAY57" s="196"/>
      <c r="VAZ57" s="196"/>
      <c r="VBA57" s="196"/>
      <c r="VBB57" s="196"/>
      <c r="VBC57" s="196"/>
      <c r="VBD57" s="196"/>
      <c r="VBE57" s="196"/>
      <c r="VBF57" s="196"/>
      <c r="VBG57" s="196"/>
      <c r="VBH57" s="196"/>
      <c r="VBI57" s="196"/>
      <c r="VBJ57" s="196"/>
      <c r="VBK57" s="196"/>
      <c r="VBL57" s="196"/>
      <c r="VBM57" s="196"/>
      <c r="VBN57" s="196"/>
      <c r="VBO57" s="196"/>
      <c r="VBP57" s="196"/>
      <c r="VBQ57" s="196"/>
      <c r="VBR57" s="196"/>
      <c r="VBS57" s="196"/>
      <c r="VBT57" s="196"/>
      <c r="VBU57" s="196"/>
      <c r="VBV57" s="196"/>
      <c r="VBW57" s="196"/>
      <c r="VBX57" s="196"/>
      <c r="VBY57" s="196"/>
      <c r="VBZ57" s="196"/>
      <c r="VCA57" s="196"/>
      <c r="VCB57" s="196"/>
      <c r="VCC57" s="196"/>
      <c r="VCD57" s="196"/>
      <c r="VCE57" s="196"/>
      <c r="VCF57" s="196"/>
      <c r="VCG57" s="196"/>
      <c r="VCH57" s="196"/>
      <c r="VCI57" s="196"/>
      <c r="VCJ57" s="196"/>
      <c r="VCK57" s="196"/>
      <c r="VCL57" s="196"/>
      <c r="VCM57" s="196"/>
      <c r="VCN57" s="196"/>
      <c r="VCO57" s="196"/>
      <c r="VCP57" s="196"/>
      <c r="VCQ57" s="196"/>
      <c r="VCR57" s="196"/>
      <c r="VCS57" s="196"/>
      <c r="VCT57" s="196"/>
      <c r="VCU57" s="196"/>
      <c r="VCV57" s="196"/>
      <c r="VCW57" s="196"/>
      <c r="VCX57" s="196"/>
      <c r="VCY57" s="196"/>
      <c r="VCZ57" s="196"/>
      <c r="VDA57" s="196"/>
      <c r="VDB57" s="196"/>
      <c r="VDC57" s="196"/>
      <c r="VDD57" s="196"/>
      <c r="VDE57" s="196"/>
      <c r="VDF57" s="196"/>
      <c r="VDG57" s="196"/>
      <c r="VDH57" s="196"/>
      <c r="VDI57" s="196"/>
      <c r="VDJ57" s="196"/>
      <c r="VDK57" s="196"/>
      <c r="VDL57" s="196"/>
      <c r="VDM57" s="196"/>
      <c r="VDN57" s="196"/>
      <c r="VDO57" s="196"/>
      <c r="VDP57" s="196"/>
      <c r="VDQ57" s="196"/>
      <c r="VDR57" s="196"/>
      <c r="VDS57" s="196"/>
      <c r="VDT57" s="196"/>
      <c r="VDU57" s="196"/>
      <c r="VDV57" s="196"/>
      <c r="VDW57" s="196"/>
      <c r="VDX57" s="196"/>
      <c r="VDY57" s="196"/>
      <c r="VDZ57" s="196"/>
      <c r="VEA57" s="196"/>
      <c r="VEB57" s="196"/>
      <c r="VEC57" s="196"/>
      <c r="VED57" s="196"/>
      <c r="VEE57" s="196"/>
      <c r="VEF57" s="196"/>
      <c r="VEG57" s="196"/>
      <c r="VEH57" s="196"/>
      <c r="VEI57" s="196"/>
      <c r="VEJ57" s="196"/>
      <c r="VEK57" s="196"/>
      <c r="VEL57" s="196"/>
      <c r="VEM57" s="196"/>
      <c r="VEN57" s="196"/>
      <c r="VEO57" s="196"/>
      <c r="VEP57" s="196"/>
      <c r="VEQ57" s="196"/>
      <c r="VER57" s="196"/>
      <c r="VES57" s="196"/>
      <c r="VET57" s="196"/>
      <c r="VEU57" s="196"/>
      <c r="VEV57" s="196"/>
      <c r="VEW57" s="196"/>
      <c r="VEX57" s="196"/>
      <c r="VEY57" s="196"/>
      <c r="VEZ57" s="196"/>
      <c r="VFA57" s="196"/>
      <c r="VFB57" s="196"/>
      <c r="VFC57" s="196"/>
      <c r="VFD57" s="196"/>
      <c r="VFE57" s="196"/>
      <c r="VFF57" s="196"/>
      <c r="VFG57" s="196"/>
      <c r="VFH57" s="196"/>
      <c r="VFI57" s="196"/>
      <c r="VFJ57" s="196"/>
      <c r="VFK57" s="196"/>
      <c r="VFL57" s="196"/>
      <c r="VFM57" s="196"/>
      <c r="VFN57" s="196"/>
      <c r="VFO57" s="196"/>
      <c r="VFP57" s="196"/>
      <c r="VFQ57" s="196"/>
      <c r="VFR57" s="196"/>
      <c r="VFS57" s="196"/>
      <c r="VFT57" s="196"/>
      <c r="VFU57" s="196"/>
      <c r="VFV57" s="196"/>
      <c r="VFW57" s="196"/>
      <c r="VFX57" s="196"/>
      <c r="VFY57" s="196"/>
      <c r="VFZ57" s="196"/>
      <c r="VGA57" s="196"/>
      <c r="VGB57" s="196"/>
      <c r="VGC57" s="196"/>
      <c r="VGD57" s="196"/>
      <c r="VGE57" s="196"/>
      <c r="VGF57" s="196"/>
      <c r="VGG57" s="196"/>
      <c r="VGH57" s="196"/>
      <c r="VGI57" s="196"/>
      <c r="VGJ57" s="196"/>
      <c r="VGK57" s="196"/>
      <c r="VGL57" s="196"/>
      <c r="VGM57" s="196"/>
      <c r="VGN57" s="196"/>
      <c r="VGO57" s="196"/>
      <c r="VGP57" s="196"/>
      <c r="VGQ57" s="196"/>
      <c r="VGR57" s="196"/>
      <c r="VGS57" s="196"/>
      <c r="VGT57" s="196"/>
      <c r="VGU57" s="196"/>
      <c r="VGV57" s="196"/>
      <c r="VGW57" s="196"/>
      <c r="VGX57" s="196"/>
      <c r="VGY57" s="196"/>
      <c r="VGZ57" s="196"/>
      <c r="VHA57" s="196"/>
      <c r="VHB57" s="196"/>
      <c r="VHC57" s="196"/>
      <c r="VHD57" s="196"/>
      <c r="VHE57" s="196"/>
      <c r="VHF57" s="196"/>
      <c r="VHG57" s="196"/>
      <c r="VHH57" s="196"/>
      <c r="VHI57" s="196"/>
      <c r="VHJ57" s="196"/>
      <c r="VHK57" s="196"/>
      <c r="VHL57" s="196"/>
      <c r="VHM57" s="196"/>
      <c r="VHN57" s="196"/>
      <c r="VHO57" s="196"/>
      <c r="VHP57" s="196"/>
      <c r="VHQ57" s="196"/>
      <c r="VHR57" s="196"/>
      <c r="VHS57" s="196"/>
      <c r="VHT57" s="196"/>
      <c r="VHU57" s="196"/>
      <c r="VHV57" s="196"/>
      <c r="VHW57" s="196"/>
      <c r="VHX57" s="196"/>
      <c r="VHY57" s="196"/>
      <c r="VHZ57" s="196"/>
      <c r="VIA57" s="196"/>
      <c r="VIB57" s="196"/>
      <c r="VIC57" s="196"/>
      <c r="VID57" s="196"/>
      <c r="VIE57" s="196"/>
      <c r="VIF57" s="196"/>
      <c r="VIG57" s="196"/>
      <c r="VIH57" s="196"/>
      <c r="VII57" s="196"/>
      <c r="VIJ57" s="196"/>
      <c r="VIK57" s="196"/>
      <c r="VIL57" s="196"/>
      <c r="VIM57" s="196"/>
      <c r="VIN57" s="196"/>
      <c r="VIO57" s="196"/>
      <c r="VIP57" s="196"/>
      <c r="VIQ57" s="196"/>
      <c r="VIR57" s="196"/>
      <c r="VIS57" s="196"/>
      <c r="VIT57" s="196"/>
      <c r="VIU57" s="196"/>
      <c r="VIV57" s="196"/>
      <c r="VIW57" s="196"/>
      <c r="VIX57" s="196"/>
      <c r="VIY57" s="196"/>
      <c r="VIZ57" s="196"/>
      <c r="VJA57" s="196"/>
      <c r="VJB57" s="196"/>
      <c r="VJC57" s="196"/>
      <c r="VJD57" s="196"/>
      <c r="VJE57" s="196"/>
      <c r="VJF57" s="196"/>
      <c r="VJG57" s="196"/>
      <c r="VJH57" s="196"/>
      <c r="VJI57" s="196"/>
      <c r="VJJ57" s="196"/>
      <c r="VJK57" s="196"/>
      <c r="VJL57" s="196"/>
      <c r="VJM57" s="196"/>
      <c r="VJN57" s="196"/>
      <c r="VJO57" s="196"/>
      <c r="VJP57" s="196"/>
      <c r="VJQ57" s="196"/>
      <c r="VJR57" s="196"/>
      <c r="VJS57" s="196"/>
      <c r="VJT57" s="196"/>
      <c r="VJU57" s="196"/>
      <c r="VJV57" s="196"/>
      <c r="VJW57" s="196"/>
      <c r="VJX57" s="196"/>
      <c r="VJY57" s="196"/>
      <c r="VJZ57" s="196"/>
      <c r="VKA57" s="196"/>
      <c r="VKB57" s="196"/>
      <c r="VKC57" s="196"/>
      <c r="VKD57" s="196"/>
      <c r="VKE57" s="196"/>
      <c r="VKF57" s="196"/>
      <c r="VKG57" s="196"/>
      <c r="VKH57" s="196"/>
      <c r="VKI57" s="196"/>
      <c r="VKJ57" s="196"/>
      <c r="VKK57" s="196"/>
      <c r="VKL57" s="196"/>
      <c r="VKM57" s="196"/>
      <c r="VKN57" s="196"/>
      <c r="VKO57" s="196"/>
      <c r="VKP57" s="196"/>
      <c r="VKQ57" s="196"/>
      <c r="VKR57" s="196"/>
      <c r="VKS57" s="196"/>
      <c r="VKT57" s="196"/>
      <c r="VKU57" s="196"/>
      <c r="VKV57" s="196"/>
      <c r="VKW57" s="196"/>
      <c r="VKX57" s="196"/>
      <c r="VKY57" s="196"/>
      <c r="VKZ57" s="196"/>
      <c r="VLA57" s="196"/>
      <c r="VLB57" s="196"/>
      <c r="VLC57" s="196"/>
      <c r="VLD57" s="196"/>
      <c r="VLE57" s="196"/>
      <c r="VLF57" s="196"/>
      <c r="VLG57" s="196"/>
      <c r="VLH57" s="196"/>
      <c r="VLI57" s="196"/>
      <c r="VLJ57" s="196"/>
      <c r="VLK57" s="196"/>
      <c r="VLL57" s="196"/>
      <c r="VLM57" s="196"/>
      <c r="VLN57" s="196"/>
      <c r="VLO57" s="196"/>
      <c r="VLP57" s="196"/>
      <c r="VLQ57" s="196"/>
      <c r="VLR57" s="196"/>
      <c r="VLS57" s="196"/>
      <c r="VLT57" s="196"/>
      <c r="VLU57" s="196"/>
      <c r="VLV57" s="196"/>
      <c r="VLW57" s="196"/>
      <c r="VLX57" s="196"/>
      <c r="VLY57" s="196"/>
      <c r="VLZ57" s="196"/>
      <c r="VMA57" s="196"/>
      <c r="VMB57" s="196"/>
      <c r="VMC57" s="196"/>
      <c r="VMD57" s="196"/>
      <c r="VME57" s="196"/>
      <c r="VMF57" s="196"/>
      <c r="VMG57" s="196"/>
      <c r="VMH57" s="196"/>
      <c r="VMI57" s="196"/>
      <c r="VMJ57" s="196"/>
      <c r="VMK57" s="196"/>
      <c r="VML57" s="196"/>
      <c r="VMM57" s="196"/>
      <c r="VMN57" s="196"/>
      <c r="VMO57" s="196"/>
      <c r="VMP57" s="196"/>
      <c r="VMQ57" s="196"/>
      <c r="VMR57" s="196"/>
      <c r="VMS57" s="196"/>
      <c r="VMT57" s="196"/>
      <c r="VMU57" s="196"/>
      <c r="VMV57" s="196"/>
      <c r="VMW57" s="196"/>
      <c r="VMX57" s="196"/>
      <c r="VMY57" s="196"/>
      <c r="VMZ57" s="196"/>
      <c r="VNA57" s="196"/>
      <c r="VNB57" s="196"/>
      <c r="VNC57" s="196"/>
      <c r="VND57" s="196"/>
      <c r="VNE57" s="196"/>
      <c r="VNF57" s="196"/>
      <c r="VNG57" s="196"/>
      <c r="VNH57" s="196"/>
      <c r="VNI57" s="196"/>
      <c r="VNJ57" s="196"/>
      <c r="VNK57" s="196"/>
      <c r="VNL57" s="196"/>
      <c r="VNM57" s="196"/>
      <c r="VNN57" s="196"/>
      <c r="VNO57" s="196"/>
      <c r="VNP57" s="196"/>
      <c r="VNQ57" s="196"/>
      <c r="VNR57" s="196"/>
      <c r="VNS57" s="196"/>
      <c r="VNT57" s="196"/>
      <c r="VNU57" s="196"/>
      <c r="VNV57" s="196"/>
      <c r="VNW57" s="196"/>
      <c r="VNX57" s="196"/>
      <c r="VNY57" s="196"/>
      <c r="VNZ57" s="196"/>
      <c r="VOA57" s="196"/>
      <c r="VOB57" s="196"/>
      <c r="VOC57" s="196"/>
      <c r="VOD57" s="196"/>
      <c r="VOE57" s="196"/>
      <c r="VOF57" s="196"/>
      <c r="VOG57" s="196"/>
      <c r="VOH57" s="196"/>
      <c r="VOI57" s="196"/>
      <c r="VOJ57" s="196"/>
      <c r="VOK57" s="196"/>
      <c r="VOL57" s="196"/>
      <c r="VOM57" s="196"/>
      <c r="VON57" s="196"/>
      <c r="VOO57" s="196"/>
      <c r="VOP57" s="196"/>
      <c r="VOQ57" s="196"/>
      <c r="VOR57" s="196"/>
      <c r="VOS57" s="196"/>
      <c r="VOT57" s="196"/>
      <c r="VOU57" s="196"/>
      <c r="VOV57" s="196"/>
      <c r="VOW57" s="196"/>
      <c r="VOX57" s="196"/>
      <c r="VOY57" s="196"/>
      <c r="VOZ57" s="196"/>
      <c r="VPA57" s="196"/>
      <c r="VPB57" s="196"/>
      <c r="VPC57" s="196"/>
      <c r="VPD57" s="196"/>
      <c r="VPE57" s="196"/>
      <c r="VPF57" s="196"/>
      <c r="VPG57" s="196"/>
      <c r="VPH57" s="196"/>
      <c r="VPI57" s="196"/>
      <c r="VPJ57" s="196"/>
      <c r="VPK57" s="196"/>
      <c r="VPL57" s="196"/>
      <c r="VPM57" s="196"/>
      <c r="VPN57" s="196"/>
      <c r="VPO57" s="196"/>
      <c r="VPP57" s="196"/>
      <c r="VPQ57" s="196"/>
      <c r="VPR57" s="196"/>
      <c r="VPS57" s="196"/>
      <c r="VPT57" s="196"/>
      <c r="VPU57" s="196"/>
      <c r="VPV57" s="196"/>
      <c r="VPW57" s="196"/>
      <c r="VPX57" s="196"/>
      <c r="VPY57" s="196"/>
      <c r="VPZ57" s="196"/>
      <c r="VQA57" s="196"/>
      <c r="VQB57" s="196"/>
      <c r="VQC57" s="196"/>
      <c r="VQD57" s="196"/>
      <c r="VQE57" s="196"/>
      <c r="VQF57" s="196"/>
      <c r="VQG57" s="196"/>
      <c r="VQH57" s="196"/>
      <c r="VQI57" s="196"/>
      <c r="VQJ57" s="196"/>
      <c r="VQK57" s="196"/>
      <c r="VQL57" s="196"/>
      <c r="VQM57" s="196"/>
      <c r="VQN57" s="196"/>
      <c r="VQO57" s="196"/>
      <c r="VQP57" s="196"/>
      <c r="VQQ57" s="196"/>
      <c r="VQR57" s="196"/>
      <c r="VQS57" s="196"/>
      <c r="VQT57" s="196"/>
      <c r="VQU57" s="196"/>
      <c r="VQV57" s="196"/>
      <c r="VQW57" s="196"/>
      <c r="VQX57" s="196"/>
      <c r="VQY57" s="196"/>
      <c r="VQZ57" s="196"/>
      <c r="VRA57" s="196"/>
      <c r="VRB57" s="196"/>
      <c r="VRC57" s="196"/>
      <c r="VRD57" s="196"/>
      <c r="VRE57" s="196"/>
      <c r="VRF57" s="196"/>
      <c r="VRG57" s="196"/>
      <c r="VRH57" s="196"/>
      <c r="VRI57" s="196"/>
      <c r="VRJ57" s="196"/>
      <c r="VRK57" s="196"/>
      <c r="VRL57" s="196"/>
      <c r="VRM57" s="196"/>
      <c r="VRN57" s="196"/>
      <c r="VRO57" s="196"/>
      <c r="VRP57" s="196"/>
      <c r="VRQ57" s="196"/>
      <c r="VRR57" s="196"/>
      <c r="VRS57" s="196"/>
      <c r="VRT57" s="196"/>
      <c r="VRU57" s="196"/>
      <c r="VRV57" s="196"/>
      <c r="VRW57" s="196"/>
      <c r="VRX57" s="196"/>
      <c r="VRY57" s="196"/>
      <c r="VRZ57" s="196"/>
      <c r="VSA57" s="196"/>
      <c r="VSB57" s="196"/>
      <c r="VSC57" s="196"/>
      <c r="VSD57" s="196"/>
      <c r="VSE57" s="196"/>
      <c r="VSF57" s="196"/>
      <c r="VSG57" s="196"/>
      <c r="VSH57" s="196"/>
      <c r="VSI57" s="196"/>
      <c r="VSJ57" s="196"/>
      <c r="VSK57" s="196"/>
      <c r="VSL57" s="196"/>
      <c r="VSM57" s="196"/>
      <c r="VSN57" s="196"/>
      <c r="VSO57" s="196"/>
      <c r="VSP57" s="196"/>
      <c r="VSQ57" s="196"/>
      <c r="VSR57" s="196"/>
      <c r="VSS57" s="196"/>
      <c r="VST57" s="196"/>
      <c r="VSU57" s="196"/>
      <c r="VSV57" s="196"/>
      <c r="VSW57" s="196"/>
      <c r="VSX57" s="196"/>
      <c r="VSY57" s="196"/>
      <c r="VSZ57" s="196"/>
      <c r="VTA57" s="196"/>
      <c r="VTB57" s="196"/>
      <c r="VTC57" s="196"/>
      <c r="VTD57" s="196"/>
      <c r="VTE57" s="196"/>
      <c r="VTF57" s="196"/>
      <c r="VTG57" s="196"/>
      <c r="VTH57" s="196"/>
      <c r="VTI57" s="196"/>
      <c r="VTJ57" s="196"/>
      <c r="VTK57" s="196"/>
      <c r="VTL57" s="196"/>
      <c r="VTM57" s="196"/>
      <c r="VTN57" s="196"/>
      <c r="VTO57" s="196"/>
      <c r="VTP57" s="196"/>
      <c r="VTQ57" s="196"/>
      <c r="VTR57" s="196"/>
      <c r="VTS57" s="196"/>
      <c r="VTT57" s="196"/>
      <c r="VTU57" s="196"/>
      <c r="VTV57" s="196"/>
      <c r="VTW57" s="196"/>
      <c r="VTX57" s="196"/>
      <c r="VTY57" s="196"/>
      <c r="VTZ57" s="196"/>
      <c r="VUA57" s="196"/>
      <c r="VUB57" s="196"/>
      <c r="VUC57" s="196"/>
      <c r="VUD57" s="196"/>
      <c r="VUE57" s="196"/>
      <c r="VUF57" s="196"/>
      <c r="VUG57" s="196"/>
      <c r="VUH57" s="196"/>
      <c r="VUI57" s="196"/>
      <c r="VUJ57" s="196"/>
      <c r="VUK57" s="196"/>
      <c r="VUL57" s="196"/>
      <c r="VUM57" s="196"/>
      <c r="VUN57" s="196"/>
      <c r="VUO57" s="196"/>
      <c r="VUP57" s="196"/>
      <c r="VUQ57" s="196"/>
      <c r="VUR57" s="196"/>
      <c r="VUS57" s="196"/>
      <c r="VUT57" s="196"/>
      <c r="VUU57" s="196"/>
      <c r="VUV57" s="196"/>
      <c r="VUW57" s="196"/>
      <c r="VUX57" s="196"/>
      <c r="VUY57" s="196"/>
      <c r="VUZ57" s="196"/>
      <c r="VVA57" s="196"/>
      <c r="VVB57" s="196"/>
      <c r="VVC57" s="196"/>
      <c r="VVD57" s="196"/>
      <c r="VVE57" s="196"/>
      <c r="VVF57" s="196"/>
      <c r="VVG57" s="196"/>
      <c r="VVH57" s="196"/>
      <c r="VVI57" s="196"/>
      <c r="VVJ57" s="196"/>
      <c r="VVK57" s="196"/>
      <c r="VVL57" s="196"/>
      <c r="VVM57" s="196"/>
      <c r="VVN57" s="196"/>
      <c r="VVO57" s="196"/>
      <c r="VVP57" s="196"/>
      <c r="VVQ57" s="196"/>
      <c r="VVR57" s="196"/>
      <c r="VVS57" s="196"/>
      <c r="VVT57" s="196"/>
      <c r="VVU57" s="196"/>
      <c r="VVV57" s="196"/>
      <c r="VVW57" s="196"/>
      <c r="VVX57" s="196"/>
      <c r="VVY57" s="196"/>
      <c r="VVZ57" s="196"/>
      <c r="VWA57" s="196"/>
      <c r="VWB57" s="196"/>
      <c r="VWC57" s="196"/>
      <c r="VWD57" s="196"/>
      <c r="VWE57" s="196"/>
      <c r="VWF57" s="196"/>
      <c r="VWG57" s="196"/>
      <c r="VWH57" s="196"/>
      <c r="VWI57" s="196"/>
      <c r="VWJ57" s="196"/>
      <c r="VWK57" s="196"/>
      <c r="VWL57" s="196"/>
      <c r="VWM57" s="196"/>
      <c r="VWN57" s="196"/>
      <c r="VWO57" s="196"/>
      <c r="VWP57" s="196"/>
      <c r="VWQ57" s="196"/>
      <c r="VWR57" s="196"/>
      <c r="VWS57" s="196"/>
      <c r="VWT57" s="196"/>
      <c r="VWU57" s="196"/>
      <c r="VWV57" s="196"/>
      <c r="VWW57" s="196"/>
      <c r="VWX57" s="196"/>
      <c r="VWY57" s="196"/>
      <c r="VWZ57" s="196"/>
      <c r="VXA57" s="196"/>
      <c r="VXB57" s="196"/>
      <c r="VXC57" s="196"/>
      <c r="VXD57" s="196"/>
      <c r="VXE57" s="196"/>
      <c r="VXF57" s="196"/>
      <c r="VXG57" s="196"/>
      <c r="VXH57" s="196"/>
      <c r="VXI57" s="196"/>
      <c r="VXJ57" s="196"/>
      <c r="VXK57" s="196"/>
      <c r="VXL57" s="196"/>
      <c r="VXM57" s="196"/>
      <c r="VXN57" s="196"/>
      <c r="VXO57" s="196"/>
      <c r="VXP57" s="196"/>
      <c r="VXQ57" s="196"/>
      <c r="VXR57" s="196"/>
      <c r="VXS57" s="196"/>
      <c r="VXT57" s="196"/>
      <c r="VXU57" s="196"/>
      <c r="VXV57" s="196"/>
      <c r="VXW57" s="196"/>
      <c r="VXX57" s="196"/>
      <c r="VXY57" s="196"/>
      <c r="VXZ57" s="196"/>
      <c r="VYA57" s="196"/>
      <c r="VYB57" s="196"/>
      <c r="VYC57" s="196"/>
      <c r="VYD57" s="196"/>
      <c r="VYE57" s="196"/>
      <c r="VYF57" s="196"/>
      <c r="VYG57" s="196"/>
      <c r="VYH57" s="196"/>
      <c r="VYI57" s="196"/>
      <c r="VYJ57" s="196"/>
      <c r="VYK57" s="196"/>
      <c r="VYL57" s="196"/>
      <c r="VYM57" s="196"/>
      <c r="VYN57" s="196"/>
      <c r="VYO57" s="196"/>
      <c r="VYP57" s="196"/>
      <c r="VYQ57" s="196"/>
      <c r="VYR57" s="196"/>
      <c r="VYS57" s="196"/>
      <c r="VYT57" s="196"/>
      <c r="VYU57" s="196"/>
      <c r="VYV57" s="196"/>
      <c r="VYW57" s="196"/>
      <c r="VYX57" s="196"/>
      <c r="VYY57" s="196"/>
      <c r="VYZ57" s="196"/>
      <c r="VZA57" s="196"/>
      <c r="VZB57" s="196"/>
      <c r="VZC57" s="196"/>
      <c r="VZD57" s="196"/>
      <c r="VZE57" s="196"/>
      <c r="VZF57" s="196"/>
      <c r="VZG57" s="196"/>
      <c r="VZH57" s="196"/>
      <c r="VZI57" s="196"/>
      <c r="VZJ57" s="196"/>
      <c r="VZK57" s="196"/>
      <c r="VZL57" s="196"/>
      <c r="VZM57" s="196"/>
      <c r="VZN57" s="196"/>
      <c r="VZO57" s="196"/>
      <c r="VZP57" s="196"/>
      <c r="VZQ57" s="196"/>
      <c r="VZR57" s="196"/>
      <c r="VZS57" s="196"/>
      <c r="VZT57" s="196"/>
      <c r="VZU57" s="196"/>
      <c r="VZV57" s="196"/>
      <c r="VZW57" s="196"/>
      <c r="VZX57" s="196"/>
      <c r="VZY57" s="196"/>
      <c r="VZZ57" s="196"/>
      <c r="WAA57" s="196"/>
      <c r="WAB57" s="196"/>
      <c r="WAC57" s="196"/>
      <c r="WAD57" s="196"/>
      <c r="WAE57" s="196"/>
      <c r="WAF57" s="196"/>
      <c r="WAG57" s="196"/>
      <c r="WAH57" s="196"/>
      <c r="WAI57" s="196"/>
      <c r="WAJ57" s="196"/>
      <c r="WAK57" s="196"/>
      <c r="WAL57" s="196"/>
      <c r="WAM57" s="196"/>
      <c r="WAN57" s="196"/>
      <c r="WAO57" s="196"/>
      <c r="WAP57" s="196"/>
      <c r="WAQ57" s="196"/>
      <c r="WAR57" s="196"/>
      <c r="WAS57" s="196"/>
      <c r="WAT57" s="196"/>
      <c r="WAU57" s="196"/>
      <c r="WAV57" s="196"/>
      <c r="WAW57" s="196"/>
      <c r="WAX57" s="196"/>
      <c r="WAY57" s="196"/>
      <c r="WAZ57" s="196"/>
      <c r="WBA57" s="196"/>
      <c r="WBB57" s="196"/>
      <c r="WBC57" s="196"/>
      <c r="WBD57" s="196"/>
      <c r="WBE57" s="196"/>
      <c r="WBF57" s="196"/>
      <c r="WBG57" s="196"/>
      <c r="WBH57" s="196"/>
      <c r="WBI57" s="196"/>
      <c r="WBJ57" s="196"/>
      <c r="WBK57" s="196"/>
      <c r="WBL57" s="196"/>
      <c r="WBM57" s="196"/>
      <c r="WBN57" s="196"/>
      <c r="WBO57" s="196"/>
      <c r="WBP57" s="196"/>
      <c r="WBQ57" s="196"/>
      <c r="WBR57" s="196"/>
      <c r="WBS57" s="196"/>
      <c r="WBT57" s="196"/>
      <c r="WBU57" s="196"/>
      <c r="WBV57" s="196"/>
      <c r="WBW57" s="196"/>
      <c r="WBX57" s="196"/>
      <c r="WBY57" s="196"/>
      <c r="WBZ57" s="196"/>
      <c r="WCA57" s="196"/>
      <c r="WCB57" s="196"/>
      <c r="WCC57" s="196"/>
      <c r="WCD57" s="196"/>
      <c r="WCE57" s="196"/>
      <c r="WCF57" s="196"/>
      <c r="WCG57" s="196"/>
      <c r="WCH57" s="196"/>
      <c r="WCI57" s="196"/>
      <c r="WCJ57" s="196"/>
      <c r="WCK57" s="196"/>
      <c r="WCL57" s="196"/>
      <c r="WCM57" s="196"/>
      <c r="WCN57" s="196"/>
      <c r="WCO57" s="196"/>
      <c r="WCP57" s="196"/>
      <c r="WCQ57" s="196"/>
      <c r="WCR57" s="196"/>
      <c r="WCS57" s="196"/>
      <c r="WCT57" s="196"/>
      <c r="WCU57" s="196"/>
      <c r="WCV57" s="196"/>
      <c r="WCW57" s="196"/>
      <c r="WCX57" s="196"/>
      <c r="WCY57" s="196"/>
      <c r="WCZ57" s="196"/>
      <c r="WDA57" s="196"/>
      <c r="WDB57" s="196"/>
      <c r="WDC57" s="196"/>
      <c r="WDD57" s="196"/>
      <c r="WDE57" s="196"/>
      <c r="WDF57" s="196"/>
      <c r="WDG57" s="196"/>
      <c r="WDH57" s="196"/>
      <c r="WDI57" s="196"/>
      <c r="WDJ57" s="196"/>
      <c r="WDK57" s="196"/>
      <c r="WDL57" s="196"/>
      <c r="WDM57" s="196"/>
      <c r="WDN57" s="196"/>
      <c r="WDO57" s="196"/>
      <c r="WDP57" s="196"/>
      <c r="WDQ57" s="196"/>
      <c r="WDR57" s="196"/>
      <c r="WDS57" s="196"/>
      <c r="WDT57" s="196"/>
      <c r="WDU57" s="196"/>
      <c r="WDV57" s="196"/>
      <c r="WDW57" s="196"/>
      <c r="WDX57" s="196"/>
      <c r="WDY57" s="196"/>
      <c r="WDZ57" s="196"/>
      <c r="WEA57" s="196"/>
      <c r="WEB57" s="196"/>
      <c r="WEC57" s="196"/>
      <c r="WED57" s="196"/>
      <c r="WEE57" s="196"/>
      <c r="WEF57" s="196"/>
      <c r="WEG57" s="196"/>
      <c r="WEH57" s="196"/>
      <c r="WEI57" s="196"/>
      <c r="WEJ57" s="196"/>
      <c r="WEK57" s="196"/>
      <c r="WEL57" s="196"/>
      <c r="WEM57" s="196"/>
      <c r="WEN57" s="196"/>
      <c r="WEO57" s="196"/>
      <c r="WEP57" s="196"/>
      <c r="WEQ57" s="196"/>
      <c r="WER57" s="196"/>
      <c r="WES57" s="196"/>
      <c r="WET57" s="196"/>
      <c r="WEU57" s="196"/>
      <c r="WEV57" s="196"/>
      <c r="WEW57" s="196"/>
      <c r="WEX57" s="196"/>
      <c r="WEY57" s="196"/>
      <c r="WEZ57" s="196"/>
      <c r="WFA57" s="196"/>
      <c r="WFB57" s="196"/>
      <c r="WFC57" s="196"/>
      <c r="WFD57" s="196"/>
      <c r="WFE57" s="196"/>
      <c r="WFF57" s="196"/>
      <c r="WFG57" s="196"/>
      <c r="WFH57" s="196"/>
      <c r="WFI57" s="196"/>
      <c r="WFJ57" s="196"/>
      <c r="WFK57" s="196"/>
      <c r="WFL57" s="196"/>
      <c r="WFM57" s="196"/>
      <c r="WFN57" s="196"/>
      <c r="WFO57" s="196"/>
      <c r="WFP57" s="196"/>
      <c r="WFQ57" s="196"/>
      <c r="WFR57" s="196"/>
      <c r="WFS57" s="196"/>
      <c r="WFT57" s="196"/>
      <c r="WFU57" s="196"/>
      <c r="WFV57" s="196"/>
      <c r="WFW57" s="196"/>
      <c r="WFX57" s="196"/>
      <c r="WFY57" s="196"/>
      <c r="WFZ57" s="196"/>
      <c r="WGA57" s="196"/>
      <c r="WGB57" s="196"/>
      <c r="WGC57" s="196"/>
      <c r="WGD57" s="196"/>
      <c r="WGE57" s="196"/>
      <c r="WGF57" s="196"/>
      <c r="WGG57" s="196"/>
      <c r="WGH57" s="196"/>
      <c r="WGI57" s="196"/>
      <c r="WGJ57" s="196"/>
      <c r="WGK57" s="196"/>
      <c r="WGL57" s="196"/>
      <c r="WGM57" s="196"/>
      <c r="WGN57" s="196"/>
      <c r="WGO57" s="196"/>
      <c r="WGP57" s="196"/>
      <c r="WGQ57" s="196"/>
      <c r="WGR57" s="196"/>
      <c r="WGS57" s="196"/>
      <c r="WGT57" s="196"/>
      <c r="WGU57" s="196"/>
      <c r="WGV57" s="196"/>
      <c r="WGW57" s="196"/>
      <c r="WGX57" s="196"/>
      <c r="WGY57" s="196"/>
      <c r="WGZ57" s="196"/>
      <c r="WHA57" s="196"/>
      <c r="WHB57" s="196"/>
      <c r="WHC57" s="196"/>
      <c r="WHD57" s="196"/>
      <c r="WHE57" s="196"/>
      <c r="WHF57" s="196"/>
      <c r="WHG57" s="196"/>
      <c r="WHH57" s="196"/>
      <c r="WHI57" s="196"/>
      <c r="WHJ57" s="196"/>
      <c r="WHK57" s="196"/>
      <c r="WHL57" s="196"/>
      <c r="WHM57" s="196"/>
      <c r="WHN57" s="196"/>
      <c r="WHO57" s="196"/>
      <c r="WHP57" s="196"/>
      <c r="WHQ57" s="196"/>
      <c r="WHR57" s="196"/>
      <c r="WHS57" s="196"/>
      <c r="WHT57" s="196"/>
      <c r="WHU57" s="196"/>
      <c r="WHV57" s="196"/>
      <c r="WHW57" s="196"/>
      <c r="WHX57" s="196"/>
      <c r="WHY57" s="196"/>
      <c r="WHZ57" s="196"/>
      <c r="WIA57" s="196"/>
      <c r="WIB57" s="196"/>
      <c r="WIC57" s="196"/>
      <c r="WID57" s="196"/>
      <c r="WIE57" s="196"/>
      <c r="WIF57" s="196"/>
      <c r="WIG57" s="196"/>
      <c r="WIH57" s="196"/>
      <c r="WII57" s="196"/>
      <c r="WIJ57" s="196"/>
      <c r="WIK57" s="196"/>
      <c r="WIL57" s="196"/>
      <c r="WIM57" s="196"/>
      <c r="WIN57" s="196"/>
      <c r="WIO57" s="196"/>
      <c r="WIP57" s="196"/>
      <c r="WIQ57" s="196"/>
      <c r="WIR57" s="196"/>
      <c r="WIS57" s="196"/>
      <c r="WIT57" s="196"/>
      <c r="WIU57" s="196"/>
      <c r="WIV57" s="196"/>
      <c r="WIW57" s="196"/>
      <c r="WIX57" s="196"/>
      <c r="WIY57" s="196"/>
      <c r="WIZ57" s="196"/>
      <c r="WJA57" s="196"/>
      <c r="WJB57" s="196"/>
      <c r="WJC57" s="196"/>
      <c r="WJD57" s="196"/>
      <c r="WJE57" s="196"/>
      <c r="WJF57" s="196"/>
      <c r="WJG57" s="196"/>
      <c r="WJH57" s="196"/>
      <c r="WJI57" s="196"/>
      <c r="WJJ57" s="196"/>
      <c r="WJK57" s="196"/>
      <c r="WJL57" s="196"/>
      <c r="WJM57" s="196"/>
      <c r="WJN57" s="196"/>
      <c r="WJO57" s="196"/>
      <c r="WJP57" s="196"/>
      <c r="WJQ57" s="196"/>
      <c r="WJR57" s="196"/>
      <c r="WJS57" s="196"/>
      <c r="WJT57" s="196"/>
      <c r="WJU57" s="196"/>
      <c r="WJV57" s="196"/>
      <c r="WJW57" s="196"/>
      <c r="WJX57" s="196"/>
      <c r="WJY57" s="196"/>
      <c r="WJZ57" s="196"/>
      <c r="WKA57" s="196"/>
      <c r="WKB57" s="196"/>
      <c r="WKC57" s="196"/>
      <c r="WKD57" s="196"/>
      <c r="WKE57" s="196"/>
      <c r="WKF57" s="196"/>
      <c r="WKG57" s="196"/>
      <c r="WKH57" s="196"/>
      <c r="WKI57" s="196"/>
      <c r="WKJ57" s="196"/>
      <c r="WKK57" s="196"/>
      <c r="WKL57" s="196"/>
      <c r="WKM57" s="196"/>
      <c r="WKN57" s="196"/>
      <c r="WKO57" s="196"/>
      <c r="WKP57" s="196"/>
      <c r="WKQ57" s="196"/>
      <c r="WKR57" s="196"/>
      <c r="WKS57" s="196"/>
      <c r="WKT57" s="196"/>
      <c r="WKU57" s="196"/>
      <c r="WKV57" s="196"/>
      <c r="WKW57" s="196"/>
      <c r="WKX57" s="196"/>
      <c r="WKY57" s="196"/>
      <c r="WKZ57" s="196"/>
      <c r="WLA57" s="196"/>
      <c r="WLB57" s="196"/>
      <c r="WLC57" s="196"/>
      <c r="WLD57" s="196"/>
      <c r="WLE57" s="196"/>
      <c r="WLF57" s="196"/>
      <c r="WLG57" s="196"/>
      <c r="WLH57" s="196"/>
      <c r="WLI57" s="196"/>
      <c r="WLJ57" s="196"/>
      <c r="WLK57" s="196"/>
      <c r="WLL57" s="196"/>
      <c r="WLM57" s="196"/>
      <c r="WLN57" s="196"/>
      <c r="WLO57" s="196"/>
      <c r="WLP57" s="196"/>
      <c r="WLQ57" s="196"/>
      <c r="WLR57" s="196"/>
      <c r="WLS57" s="196"/>
      <c r="WLT57" s="196"/>
      <c r="WLU57" s="196"/>
      <c r="WLV57" s="196"/>
      <c r="WLW57" s="196"/>
      <c r="WLX57" s="196"/>
      <c r="WLY57" s="196"/>
      <c r="WLZ57" s="196"/>
      <c r="WMA57" s="196"/>
      <c r="WMB57" s="196"/>
      <c r="WMC57" s="196"/>
      <c r="WMD57" s="196"/>
      <c r="WME57" s="196"/>
      <c r="WMF57" s="196"/>
      <c r="WMG57" s="196"/>
      <c r="WMH57" s="196"/>
      <c r="WMI57" s="196"/>
      <c r="WMJ57" s="196"/>
      <c r="WMK57" s="196"/>
      <c r="WML57" s="196"/>
      <c r="WMM57" s="196"/>
      <c r="WMN57" s="196"/>
      <c r="WMO57" s="196"/>
      <c r="WMP57" s="196"/>
      <c r="WMQ57" s="196"/>
      <c r="WMR57" s="196"/>
      <c r="WMS57" s="196"/>
      <c r="WMT57" s="196"/>
      <c r="WMU57" s="196"/>
      <c r="WMV57" s="196"/>
      <c r="WMW57" s="196"/>
      <c r="WMX57" s="196"/>
      <c r="WMY57" s="196"/>
      <c r="WMZ57" s="196"/>
      <c r="WNA57" s="196"/>
      <c r="WNB57" s="196"/>
      <c r="WNC57" s="196"/>
      <c r="WND57" s="196"/>
      <c r="WNE57" s="196"/>
      <c r="WNF57" s="196"/>
      <c r="WNG57" s="196"/>
      <c r="WNH57" s="196"/>
      <c r="WNI57" s="196"/>
      <c r="WNJ57" s="196"/>
      <c r="WNK57" s="196"/>
      <c r="WNL57" s="196"/>
      <c r="WNM57" s="196"/>
      <c r="WNN57" s="196"/>
      <c r="WNO57" s="196"/>
      <c r="WNP57" s="196"/>
      <c r="WNQ57" s="196"/>
      <c r="WNR57" s="196"/>
      <c r="WNS57" s="196"/>
      <c r="WNT57" s="196"/>
      <c r="WNU57" s="196"/>
      <c r="WNV57" s="196"/>
      <c r="WNW57" s="196"/>
      <c r="WNX57" s="196"/>
      <c r="WNY57" s="196"/>
      <c r="WNZ57" s="196"/>
      <c r="WOA57" s="196"/>
      <c r="WOB57" s="196"/>
      <c r="WOC57" s="196"/>
      <c r="WOD57" s="196"/>
      <c r="WOE57" s="196"/>
      <c r="WOF57" s="196"/>
      <c r="WOG57" s="196"/>
      <c r="WOH57" s="196"/>
      <c r="WOI57" s="196"/>
      <c r="WOJ57" s="196"/>
      <c r="WOK57" s="196"/>
      <c r="WOL57" s="196"/>
      <c r="WOM57" s="196"/>
      <c r="WON57" s="196"/>
      <c r="WOO57" s="196"/>
      <c r="WOP57" s="196"/>
      <c r="WOQ57" s="196"/>
      <c r="WOR57" s="196"/>
      <c r="WOS57" s="196"/>
      <c r="WOT57" s="196"/>
      <c r="WOU57" s="196"/>
      <c r="WOV57" s="196"/>
      <c r="WOW57" s="196"/>
      <c r="WOX57" s="196"/>
      <c r="WOY57" s="196"/>
      <c r="WOZ57" s="196"/>
      <c r="WPA57" s="196"/>
      <c r="WPB57" s="196"/>
      <c r="WPC57" s="196"/>
      <c r="WPD57" s="196"/>
      <c r="WPE57" s="196"/>
      <c r="WPF57" s="196"/>
      <c r="WPG57" s="196"/>
      <c r="WPH57" s="196"/>
      <c r="WPI57" s="196"/>
      <c r="WPJ57" s="196"/>
      <c r="WPK57" s="196"/>
      <c r="WPL57" s="196"/>
      <c r="WPM57" s="196"/>
      <c r="WPN57" s="196"/>
      <c r="WPO57" s="196"/>
      <c r="WPP57" s="196"/>
      <c r="WPQ57" s="196"/>
      <c r="WPR57" s="196"/>
      <c r="WPS57" s="196"/>
      <c r="WPT57" s="196"/>
      <c r="WPU57" s="196"/>
      <c r="WPV57" s="196"/>
      <c r="WPW57" s="196"/>
      <c r="WPX57" s="196"/>
      <c r="WPY57" s="196"/>
      <c r="WPZ57" s="196"/>
      <c r="WQA57" s="196"/>
      <c r="WQB57" s="196"/>
      <c r="WQC57" s="196"/>
      <c r="WQD57" s="196"/>
      <c r="WQE57" s="196"/>
      <c r="WQF57" s="196"/>
      <c r="WQG57" s="196"/>
      <c r="WQH57" s="196"/>
      <c r="WQI57" s="196"/>
      <c r="WQJ57" s="196"/>
      <c r="WQK57" s="196"/>
      <c r="WQL57" s="196"/>
      <c r="WQM57" s="196"/>
      <c r="WQN57" s="196"/>
      <c r="WQO57" s="196"/>
      <c r="WQP57" s="196"/>
      <c r="WQQ57" s="196"/>
      <c r="WQR57" s="196"/>
      <c r="WQS57" s="196"/>
      <c r="WQT57" s="196"/>
      <c r="WQU57" s="196"/>
      <c r="WQV57" s="196"/>
      <c r="WQW57" s="196"/>
      <c r="WQX57" s="196"/>
      <c r="WQY57" s="196"/>
      <c r="WQZ57" s="196"/>
      <c r="WRA57" s="196"/>
      <c r="WRB57" s="196"/>
      <c r="WRC57" s="196"/>
      <c r="WRD57" s="196"/>
      <c r="WRE57" s="196"/>
      <c r="WRF57" s="196"/>
      <c r="WRG57" s="196"/>
      <c r="WRH57" s="196"/>
      <c r="WRI57" s="196"/>
      <c r="WRJ57" s="196"/>
      <c r="WRK57" s="196"/>
      <c r="WRL57" s="196"/>
      <c r="WRM57" s="196"/>
      <c r="WRN57" s="196"/>
      <c r="WRO57" s="196"/>
      <c r="WRP57" s="196"/>
      <c r="WRQ57" s="196"/>
      <c r="WRR57" s="196"/>
      <c r="WRS57" s="196"/>
      <c r="WRT57" s="196"/>
      <c r="WRU57" s="196"/>
      <c r="WRV57" s="196"/>
      <c r="WRW57" s="196"/>
      <c r="WRX57" s="196"/>
      <c r="WRY57" s="196"/>
      <c r="WRZ57" s="196"/>
      <c r="WSA57" s="196"/>
      <c r="WSB57" s="196"/>
      <c r="WSC57" s="196"/>
      <c r="WSD57" s="196"/>
      <c r="WSE57" s="196"/>
      <c r="WSF57" s="196"/>
      <c r="WSG57" s="196"/>
      <c r="WSH57" s="196"/>
      <c r="WSI57" s="196"/>
      <c r="WSJ57" s="196"/>
      <c r="WSK57" s="196"/>
      <c r="WSL57" s="196"/>
      <c r="WSM57" s="196"/>
      <c r="WSN57" s="196"/>
      <c r="WSO57" s="196"/>
      <c r="WSP57" s="196"/>
      <c r="WSQ57" s="196"/>
      <c r="WSR57" s="196"/>
      <c r="WSS57" s="196"/>
      <c r="WST57" s="196"/>
      <c r="WSU57" s="196"/>
      <c r="WSV57" s="196"/>
      <c r="WSW57" s="196"/>
      <c r="WSX57" s="196"/>
      <c r="WSY57" s="196"/>
      <c r="WSZ57" s="196"/>
      <c r="WTA57" s="196"/>
      <c r="WTB57" s="196"/>
      <c r="WTC57" s="196"/>
      <c r="WTD57" s="196"/>
      <c r="WTE57" s="196"/>
      <c r="WTF57" s="196"/>
      <c r="WTG57" s="196"/>
      <c r="WTH57" s="196"/>
      <c r="WTI57" s="196"/>
      <c r="WTJ57" s="196"/>
      <c r="WTK57" s="196"/>
      <c r="WTL57" s="196"/>
      <c r="WTM57" s="196"/>
      <c r="WTN57" s="196"/>
      <c r="WTO57" s="196"/>
      <c r="WTP57" s="196"/>
      <c r="WTQ57" s="196"/>
      <c r="WTR57" s="196"/>
      <c r="WTS57" s="196"/>
      <c r="WTT57" s="196"/>
      <c r="WTU57" s="196"/>
      <c r="WTV57" s="196"/>
      <c r="WTW57" s="196"/>
      <c r="WTX57" s="196"/>
      <c r="WTY57" s="196"/>
      <c r="WTZ57" s="196"/>
      <c r="WUA57" s="196"/>
      <c r="WUB57" s="196"/>
      <c r="WUC57" s="196"/>
      <c r="WUD57" s="196"/>
      <c r="WUE57" s="196"/>
      <c r="WUF57" s="196"/>
      <c r="WUG57" s="196"/>
      <c r="WUH57" s="196"/>
      <c r="WUI57" s="196"/>
      <c r="WUJ57" s="196"/>
      <c r="WUK57" s="196"/>
      <c r="WUL57" s="196"/>
      <c r="WUM57" s="196"/>
      <c r="WUN57" s="196"/>
      <c r="WUO57" s="196"/>
      <c r="WUP57" s="196"/>
      <c r="WUQ57" s="196"/>
      <c r="WUR57" s="196"/>
      <c r="WUS57" s="196"/>
      <c r="WUT57" s="196"/>
      <c r="WUU57" s="196"/>
      <c r="WUV57" s="196"/>
      <c r="WUW57" s="196"/>
      <c r="WUX57" s="196"/>
      <c r="WUY57" s="196"/>
      <c r="WUZ57" s="196"/>
      <c r="WVA57" s="196"/>
      <c r="WVB57" s="196"/>
      <c r="WVC57" s="196"/>
      <c r="WVD57" s="196"/>
      <c r="WVE57" s="196"/>
      <c r="WVF57" s="196"/>
      <c r="WVG57" s="196"/>
      <c r="WVH57" s="196"/>
      <c r="WVI57" s="196"/>
      <c r="WVJ57" s="196"/>
      <c r="WVK57" s="196"/>
      <c r="WVL57" s="196"/>
      <c r="WVM57" s="196"/>
      <c r="WVN57" s="196"/>
      <c r="WVO57" s="196"/>
      <c r="WVP57" s="196"/>
      <c r="WVQ57" s="196"/>
      <c r="WVR57" s="196"/>
      <c r="WVS57" s="196"/>
      <c r="WVT57" s="196"/>
      <c r="WVU57" s="196"/>
      <c r="WVV57" s="196"/>
      <c r="WVW57" s="196"/>
      <c r="WVX57" s="196"/>
      <c r="WVY57" s="196"/>
      <c r="WVZ57" s="196"/>
      <c r="WWA57" s="196"/>
      <c r="WWB57" s="196"/>
      <c r="WWC57" s="196"/>
      <c r="WWD57" s="196"/>
      <c r="WWE57" s="196"/>
      <c r="WWF57" s="196"/>
      <c r="WWG57" s="196"/>
      <c r="WWH57" s="196"/>
      <c r="WWI57" s="196"/>
      <c r="WWJ57" s="196"/>
      <c r="WWK57" s="196"/>
      <c r="WWL57" s="196"/>
      <c r="WWM57" s="196"/>
      <c r="WWN57" s="196"/>
      <c r="WWO57" s="196"/>
      <c r="WWP57" s="196"/>
      <c r="WWQ57" s="196"/>
      <c r="WWR57" s="196"/>
      <c r="WWS57" s="196"/>
      <c r="WWT57" s="196"/>
      <c r="WWU57" s="196"/>
      <c r="WWV57" s="196"/>
      <c r="WWW57" s="196"/>
      <c r="WWX57" s="196"/>
      <c r="WWY57" s="196"/>
      <c r="WWZ57" s="196"/>
      <c r="WXA57" s="196"/>
      <c r="WXB57" s="196"/>
      <c r="WXC57" s="196"/>
      <c r="WXD57" s="196"/>
      <c r="WXE57" s="196"/>
      <c r="WXF57" s="196"/>
      <c r="WXG57" s="196"/>
      <c r="WXH57" s="196"/>
      <c r="WXI57" s="196"/>
      <c r="WXJ57" s="196"/>
      <c r="WXK57" s="196"/>
      <c r="WXL57" s="196"/>
      <c r="WXM57" s="196"/>
      <c r="WXN57" s="196"/>
      <c r="WXO57" s="196"/>
      <c r="WXP57" s="196"/>
      <c r="WXQ57" s="196"/>
      <c r="WXR57" s="196"/>
      <c r="WXS57" s="196"/>
      <c r="WXT57" s="196"/>
      <c r="WXU57" s="196"/>
      <c r="WXV57" s="196"/>
      <c r="WXW57" s="196"/>
      <c r="WXX57" s="196"/>
      <c r="WXY57" s="196"/>
      <c r="WXZ57" s="196"/>
      <c r="WYA57" s="196"/>
      <c r="WYB57" s="196"/>
      <c r="WYC57" s="196"/>
      <c r="WYD57" s="196"/>
      <c r="WYE57" s="196"/>
      <c r="WYF57" s="196"/>
      <c r="WYG57" s="196"/>
      <c r="WYH57" s="196"/>
      <c r="WYI57" s="196"/>
      <c r="WYJ57" s="196"/>
      <c r="WYK57" s="196"/>
      <c r="WYL57" s="196"/>
      <c r="WYM57" s="196"/>
      <c r="WYN57" s="196"/>
      <c r="WYO57" s="196"/>
      <c r="WYP57" s="196"/>
      <c r="WYQ57" s="196"/>
      <c r="WYR57" s="196"/>
      <c r="WYS57" s="196"/>
      <c r="WYT57" s="196"/>
      <c r="WYU57" s="196"/>
      <c r="WYV57" s="196"/>
      <c r="WYW57" s="196"/>
      <c r="WYX57" s="196"/>
      <c r="WYY57" s="196"/>
      <c r="WYZ57" s="196"/>
      <c r="WZA57" s="196"/>
      <c r="WZB57" s="196"/>
      <c r="WZC57" s="196"/>
      <c r="WZD57" s="196"/>
      <c r="WZE57" s="196"/>
      <c r="WZF57" s="196"/>
      <c r="WZG57" s="196"/>
      <c r="WZH57" s="196"/>
      <c r="WZI57" s="196"/>
      <c r="WZJ57" s="196"/>
      <c r="WZK57" s="196"/>
      <c r="WZL57" s="196"/>
      <c r="WZM57" s="196"/>
      <c r="WZN57" s="196"/>
      <c r="WZO57" s="196"/>
      <c r="WZP57" s="196"/>
      <c r="WZQ57" s="196"/>
      <c r="WZR57" s="196"/>
      <c r="WZS57" s="196"/>
      <c r="WZT57" s="196"/>
      <c r="WZU57" s="196"/>
      <c r="WZV57" s="196"/>
      <c r="WZW57" s="196"/>
      <c r="WZX57" s="196"/>
      <c r="WZY57" s="196"/>
      <c r="WZZ57" s="196"/>
      <c r="XAA57" s="196"/>
      <c r="XAB57" s="196"/>
      <c r="XAC57" s="196"/>
      <c r="XAD57" s="196"/>
      <c r="XAE57" s="196"/>
      <c r="XAF57" s="196"/>
      <c r="XAG57" s="196"/>
      <c r="XAH57" s="196"/>
      <c r="XAI57" s="196"/>
      <c r="XAJ57" s="196"/>
      <c r="XAK57" s="196"/>
      <c r="XAL57" s="196"/>
      <c r="XAM57" s="196"/>
      <c r="XAN57" s="196"/>
      <c r="XAO57" s="196"/>
      <c r="XAP57" s="196"/>
      <c r="XAQ57" s="196"/>
      <c r="XAR57" s="196"/>
      <c r="XAS57" s="196"/>
      <c r="XAT57" s="196"/>
      <c r="XAU57" s="196"/>
      <c r="XAV57" s="196"/>
      <c r="XAW57" s="196"/>
      <c r="XAX57" s="196"/>
      <c r="XAY57" s="196"/>
      <c r="XAZ57" s="196"/>
      <c r="XBA57" s="196"/>
      <c r="XBB57" s="196"/>
      <c r="XBC57" s="196"/>
      <c r="XBD57" s="196"/>
      <c r="XBE57" s="196"/>
      <c r="XBF57" s="196"/>
      <c r="XBG57" s="196"/>
      <c r="XBH57" s="196"/>
      <c r="XBI57" s="196"/>
      <c r="XBJ57" s="196"/>
      <c r="XBK57" s="196"/>
      <c r="XBL57" s="196"/>
      <c r="XBM57" s="196"/>
      <c r="XBN57" s="196"/>
      <c r="XBO57" s="196"/>
      <c r="XBP57" s="196"/>
      <c r="XBQ57" s="196"/>
      <c r="XBR57" s="196"/>
      <c r="XBS57" s="196"/>
      <c r="XBT57" s="196"/>
      <c r="XBU57" s="196"/>
      <c r="XBV57" s="196"/>
      <c r="XBW57" s="196"/>
      <c r="XBX57" s="196"/>
      <c r="XBY57" s="196"/>
      <c r="XBZ57" s="196"/>
      <c r="XCA57" s="196"/>
      <c r="XCB57" s="196"/>
      <c r="XCC57" s="196"/>
      <c r="XCD57" s="196"/>
      <c r="XCE57" s="196"/>
      <c r="XCF57" s="196"/>
      <c r="XCG57" s="196"/>
      <c r="XCH57" s="196"/>
      <c r="XCI57" s="196"/>
      <c r="XCJ57" s="196"/>
      <c r="XCK57" s="196"/>
      <c r="XCL57" s="196"/>
      <c r="XCM57" s="196"/>
      <c r="XCN57" s="196"/>
      <c r="XCO57" s="196"/>
      <c r="XCP57" s="196"/>
      <c r="XCQ57" s="196"/>
      <c r="XCR57" s="196"/>
      <c r="XCS57" s="196"/>
      <c r="XCT57" s="196"/>
      <c r="XCU57" s="196"/>
      <c r="XCV57" s="196"/>
      <c r="XCW57" s="196"/>
      <c r="XCX57" s="196"/>
      <c r="XCY57" s="196"/>
      <c r="XCZ57" s="196"/>
      <c r="XDA57" s="196"/>
      <c r="XDB57" s="196"/>
      <c r="XDC57" s="196"/>
      <c r="XDD57" s="196"/>
      <c r="XDE57" s="196"/>
      <c r="XDF57" s="196"/>
      <c r="XDG57" s="196"/>
      <c r="XDH57" s="196"/>
      <c r="XDI57" s="196"/>
      <c r="XDJ57" s="196"/>
      <c r="XDK57" s="196"/>
      <c r="XDL57" s="196"/>
      <c r="XDM57" s="196"/>
      <c r="XDN57" s="196"/>
      <c r="XDO57" s="196"/>
      <c r="XDP57" s="196"/>
      <c r="XDQ57" s="196"/>
      <c r="XDR57" s="196"/>
      <c r="XDS57" s="196"/>
      <c r="XDT57" s="196"/>
      <c r="XDU57" s="196"/>
      <c r="XDV57" s="196"/>
      <c r="XDW57" s="196"/>
      <c r="XDX57" s="196"/>
      <c r="XDY57" s="196"/>
      <c r="XDZ57" s="196"/>
      <c r="XEA57" s="196"/>
      <c r="XEB57" s="196"/>
      <c r="XEC57" s="196"/>
      <c r="XED57" s="196"/>
      <c r="XEE57" s="196"/>
      <c r="XEF57" s="196"/>
      <c r="XEG57" s="196"/>
      <c r="XEH57" s="196"/>
      <c r="XEI57" s="196"/>
      <c r="XEJ57" s="196"/>
      <c r="XEK57" s="196"/>
      <c r="XEL57" s="196"/>
      <c r="XEM57" s="196"/>
      <c r="XEN57" s="196"/>
      <c r="XEO57" s="196"/>
      <c r="XEP57" s="196"/>
      <c r="XEQ57" s="196"/>
      <c r="XER57" s="196"/>
      <c r="XES57" s="196"/>
      <c r="XET57" s="196"/>
      <c r="XEU57" s="196"/>
      <c r="XEV57" s="196"/>
      <c r="XEW57" s="196"/>
      <c r="XEX57" s="196"/>
      <c r="XEY57" s="196"/>
      <c r="XEZ57" s="196"/>
      <c r="XFA57" s="196"/>
      <c r="XFB57" s="196"/>
    </row>
    <row r="58" spans="1:16382" ht="17.5" thickBot="1" x14ac:dyDescent="0.55000000000000004">
      <c r="A58" s="488"/>
      <c r="B58" s="196"/>
      <c r="C58" s="196"/>
      <c r="D58" s="196"/>
      <c r="E58" s="196"/>
      <c r="F58" s="196"/>
      <c r="G58" s="196"/>
      <c r="H58" s="196"/>
      <c r="I58" s="196"/>
      <c r="J58" s="196"/>
      <c r="K58" s="196"/>
      <c r="L58" s="196"/>
      <c r="M58" s="196"/>
      <c r="N58" s="196"/>
      <c r="O58" s="196"/>
      <c r="P58" s="196"/>
      <c r="Q58" s="196"/>
      <c r="R58" s="196"/>
      <c r="S58" s="196"/>
      <c r="T58" s="196"/>
      <c r="U58" s="196"/>
      <c r="V58" s="196"/>
      <c r="W58" s="196"/>
      <c r="X58" s="196"/>
      <c r="Y58" s="196"/>
      <c r="Z58" s="196"/>
      <c r="AA58" s="196"/>
      <c r="AB58" s="196"/>
      <c r="AC58" s="196"/>
      <c r="AD58" s="196"/>
      <c r="AE58" s="196"/>
      <c r="AF58" s="196"/>
      <c r="AG58" s="196"/>
      <c r="AH58" s="196"/>
      <c r="AI58" s="196"/>
      <c r="AJ58" s="196"/>
      <c r="AK58" s="196"/>
      <c r="AL58" s="196"/>
      <c r="AM58" s="196"/>
      <c r="AN58" s="196"/>
      <c r="AO58" s="196"/>
      <c r="AP58" s="196"/>
      <c r="AQ58" s="196"/>
      <c r="AR58" s="196"/>
      <c r="AS58" s="196"/>
      <c r="AT58" s="196"/>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c r="BS58" s="196"/>
      <c r="BT58" s="196"/>
      <c r="BU58" s="196"/>
      <c r="BV58" s="196"/>
      <c r="BW58" s="196"/>
      <c r="BX58" s="196"/>
      <c r="BY58" s="196"/>
      <c r="BZ58" s="196"/>
      <c r="CA58" s="196"/>
      <c r="CB58" s="196"/>
      <c r="CC58" s="196"/>
      <c r="CD58" s="196"/>
      <c r="CE58" s="196"/>
      <c r="CF58" s="196"/>
      <c r="CG58" s="196"/>
      <c r="CH58" s="196"/>
      <c r="CI58" s="196"/>
      <c r="CJ58" s="196"/>
      <c r="CK58" s="196"/>
      <c r="CL58" s="196"/>
      <c r="CM58" s="196"/>
      <c r="CN58" s="196"/>
      <c r="CO58" s="196"/>
      <c r="CP58" s="196"/>
      <c r="CQ58" s="196"/>
      <c r="CR58" s="196"/>
      <c r="CS58" s="196"/>
      <c r="CT58" s="196"/>
      <c r="CU58" s="196"/>
      <c r="CV58" s="196"/>
      <c r="CW58" s="196"/>
      <c r="CX58" s="196"/>
      <c r="CY58" s="196"/>
      <c r="CZ58" s="196"/>
      <c r="DA58" s="196"/>
      <c r="DB58" s="196"/>
      <c r="DC58" s="196"/>
      <c r="DD58" s="196"/>
      <c r="DE58" s="196"/>
      <c r="DF58" s="196"/>
      <c r="DG58" s="196"/>
      <c r="DH58" s="196"/>
      <c r="DI58" s="196"/>
      <c r="DJ58" s="196"/>
      <c r="DK58" s="196"/>
      <c r="DL58" s="196"/>
      <c r="DM58" s="196"/>
      <c r="DN58" s="196"/>
      <c r="DO58" s="196"/>
      <c r="DP58" s="196"/>
      <c r="DQ58" s="196"/>
      <c r="DR58" s="196"/>
      <c r="DS58" s="196"/>
      <c r="DT58" s="196"/>
      <c r="DU58" s="196"/>
      <c r="DV58" s="196"/>
      <c r="DW58" s="196"/>
      <c r="DX58" s="196"/>
      <c r="DY58" s="196"/>
      <c r="DZ58" s="196"/>
      <c r="EA58" s="196"/>
      <c r="EB58" s="196"/>
      <c r="EC58" s="196"/>
      <c r="ED58" s="196"/>
      <c r="EE58" s="196"/>
      <c r="EF58" s="196"/>
      <c r="EG58" s="196"/>
      <c r="EH58" s="196"/>
      <c r="EI58" s="196"/>
      <c r="EJ58" s="196"/>
      <c r="EK58" s="196"/>
      <c r="EL58" s="196"/>
      <c r="EM58" s="196"/>
      <c r="EN58" s="196"/>
      <c r="EO58" s="196"/>
      <c r="EP58" s="196"/>
      <c r="EQ58" s="196"/>
      <c r="ER58" s="196"/>
      <c r="ES58" s="196"/>
      <c r="ET58" s="196"/>
      <c r="EU58" s="196"/>
      <c r="EV58" s="196"/>
      <c r="EW58" s="196"/>
      <c r="EX58" s="196"/>
      <c r="EY58" s="196"/>
      <c r="EZ58" s="196"/>
      <c r="FA58" s="196"/>
      <c r="FB58" s="196"/>
      <c r="FC58" s="196"/>
      <c r="FD58" s="196"/>
      <c r="FE58" s="196"/>
      <c r="FF58" s="196"/>
      <c r="FG58" s="196"/>
      <c r="FH58" s="196"/>
      <c r="FI58" s="196"/>
      <c r="FJ58" s="196"/>
      <c r="FK58" s="196"/>
      <c r="FL58" s="196"/>
      <c r="FM58" s="196"/>
      <c r="FN58" s="196"/>
      <c r="FO58" s="196"/>
      <c r="FP58" s="196"/>
      <c r="FQ58" s="196"/>
      <c r="FR58" s="196"/>
      <c r="FS58" s="196"/>
      <c r="FT58" s="196"/>
      <c r="FU58" s="196"/>
      <c r="FV58" s="196"/>
      <c r="FW58" s="196"/>
      <c r="FX58" s="196"/>
      <c r="FY58" s="196"/>
      <c r="FZ58" s="196"/>
      <c r="GA58" s="196"/>
      <c r="GB58" s="196"/>
      <c r="GC58" s="196"/>
      <c r="GD58" s="196"/>
      <c r="GE58" s="196"/>
      <c r="GF58" s="196"/>
      <c r="GG58" s="196"/>
      <c r="GH58" s="196"/>
      <c r="GI58" s="196"/>
      <c r="GJ58" s="196"/>
      <c r="GK58" s="196"/>
      <c r="GL58" s="196"/>
      <c r="GM58" s="196"/>
      <c r="GN58" s="196"/>
      <c r="GO58" s="196"/>
      <c r="GP58" s="196"/>
      <c r="GQ58" s="196"/>
      <c r="GR58" s="196"/>
      <c r="GS58" s="196"/>
      <c r="GT58" s="196"/>
      <c r="GU58" s="196"/>
      <c r="GV58" s="196"/>
      <c r="GW58" s="196"/>
      <c r="GX58" s="196"/>
      <c r="GY58" s="196"/>
      <c r="GZ58" s="196"/>
      <c r="HA58" s="196"/>
      <c r="HB58" s="196"/>
      <c r="HC58" s="196"/>
      <c r="HD58" s="196"/>
      <c r="HE58" s="196"/>
      <c r="HF58" s="196"/>
      <c r="HG58" s="196"/>
      <c r="HH58" s="196"/>
      <c r="HI58" s="196"/>
      <c r="HJ58" s="196"/>
      <c r="HK58" s="196"/>
      <c r="HL58" s="196"/>
      <c r="HM58" s="196"/>
      <c r="HN58" s="196"/>
      <c r="HO58" s="196"/>
      <c r="HP58" s="196"/>
      <c r="HQ58" s="196"/>
      <c r="HR58" s="196"/>
      <c r="HS58" s="196"/>
      <c r="HT58" s="196"/>
      <c r="HU58" s="196"/>
      <c r="HV58" s="196"/>
      <c r="HW58" s="196"/>
      <c r="HX58" s="196"/>
      <c r="HY58" s="196"/>
      <c r="HZ58" s="196"/>
      <c r="IA58" s="196"/>
      <c r="IB58" s="196"/>
      <c r="IC58" s="196"/>
      <c r="ID58" s="196"/>
      <c r="IE58" s="196"/>
      <c r="IF58" s="196"/>
      <c r="IG58" s="196"/>
      <c r="IH58" s="196"/>
      <c r="II58" s="196"/>
      <c r="IJ58" s="196"/>
      <c r="IK58" s="196"/>
      <c r="IL58" s="196"/>
      <c r="IM58" s="196"/>
      <c r="IN58" s="196"/>
      <c r="IO58" s="196"/>
      <c r="IP58" s="196"/>
      <c r="IQ58" s="196"/>
      <c r="IR58" s="196"/>
      <c r="IS58" s="196"/>
      <c r="IT58" s="196"/>
      <c r="IU58" s="196"/>
      <c r="IV58" s="196"/>
      <c r="IW58" s="196"/>
      <c r="IX58" s="196"/>
      <c r="IY58" s="196"/>
      <c r="IZ58" s="196"/>
      <c r="JA58" s="196"/>
      <c r="JB58" s="196"/>
      <c r="JC58" s="196"/>
      <c r="JD58" s="196"/>
      <c r="JE58" s="196"/>
      <c r="JF58" s="196"/>
      <c r="JG58" s="196"/>
      <c r="JH58" s="196"/>
      <c r="JI58" s="196"/>
      <c r="JJ58" s="196"/>
      <c r="JK58" s="196"/>
      <c r="JL58" s="196"/>
      <c r="JM58" s="196"/>
      <c r="JN58" s="196"/>
      <c r="JO58" s="196"/>
      <c r="JP58" s="196"/>
      <c r="JQ58" s="196"/>
      <c r="JR58" s="196"/>
      <c r="JS58" s="196"/>
      <c r="JT58" s="196"/>
      <c r="JU58" s="196"/>
      <c r="JV58" s="196"/>
      <c r="JW58" s="196"/>
      <c r="JX58" s="196"/>
      <c r="JY58" s="196"/>
      <c r="JZ58" s="196"/>
      <c r="KA58" s="196"/>
      <c r="KB58" s="196"/>
      <c r="KC58" s="196"/>
      <c r="KD58" s="196"/>
      <c r="KE58" s="196"/>
      <c r="KF58" s="196"/>
      <c r="KG58" s="196"/>
      <c r="KH58" s="196"/>
      <c r="KI58" s="196"/>
      <c r="KJ58" s="196"/>
      <c r="KK58" s="196"/>
      <c r="KL58" s="196"/>
      <c r="KM58" s="196"/>
      <c r="KN58" s="196"/>
      <c r="KO58" s="196"/>
      <c r="KP58" s="196"/>
      <c r="KQ58" s="196"/>
      <c r="KR58" s="196"/>
      <c r="KS58" s="196"/>
      <c r="KT58" s="196"/>
      <c r="KU58" s="196"/>
      <c r="KV58" s="196"/>
      <c r="KW58" s="196"/>
      <c r="KX58" s="196"/>
      <c r="KY58" s="196"/>
      <c r="KZ58" s="196"/>
      <c r="LA58" s="196"/>
      <c r="LB58" s="196"/>
      <c r="LC58" s="196"/>
      <c r="LD58" s="196"/>
      <c r="LE58" s="196"/>
      <c r="LF58" s="196"/>
      <c r="LG58" s="196"/>
      <c r="LH58" s="196"/>
      <c r="LI58" s="196"/>
      <c r="LJ58" s="196"/>
      <c r="LK58" s="196"/>
      <c r="LL58" s="196"/>
      <c r="LM58" s="196"/>
      <c r="LN58" s="196"/>
      <c r="LO58" s="196"/>
      <c r="LP58" s="196"/>
      <c r="LQ58" s="196"/>
      <c r="LR58" s="196"/>
      <c r="LS58" s="196"/>
      <c r="LT58" s="196"/>
      <c r="LU58" s="196"/>
      <c r="LV58" s="196"/>
      <c r="LW58" s="196"/>
      <c r="LX58" s="196"/>
      <c r="LY58" s="196"/>
      <c r="LZ58" s="196"/>
      <c r="MA58" s="196"/>
      <c r="MB58" s="196"/>
      <c r="MC58" s="196"/>
      <c r="MD58" s="196"/>
      <c r="ME58" s="196"/>
      <c r="MF58" s="196"/>
      <c r="MG58" s="196"/>
      <c r="MH58" s="196"/>
      <c r="MI58" s="196"/>
      <c r="MJ58" s="196"/>
      <c r="MK58" s="196"/>
      <c r="ML58" s="196"/>
      <c r="MM58" s="196"/>
      <c r="MN58" s="196"/>
      <c r="MO58" s="196"/>
      <c r="MP58" s="196"/>
      <c r="MQ58" s="196"/>
      <c r="MR58" s="196"/>
      <c r="MS58" s="196"/>
      <c r="MT58" s="196"/>
      <c r="MU58" s="196"/>
      <c r="MV58" s="196"/>
      <c r="MW58" s="196"/>
      <c r="MX58" s="196"/>
      <c r="MY58" s="196"/>
      <c r="MZ58" s="196"/>
      <c r="NA58" s="196"/>
      <c r="NB58" s="196"/>
      <c r="NC58" s="196"/>
      <c r="ND58" s="196"/>
      <c r="NE58" s="196"/>
      <c r="NF58" s="196"/>
      <c r="NG58" s="196"/>
      <c r="NH58" s="196"/>
      <c r="NI58" s="196"/>
      <c r="NJ58" s="196"/>
      <c r="NK58" s="196"/>
      <c r="NL58" s="196"/>
      <c r="NM58" s="196"/>
      <c r="NN58" s="196"/>
      <c r="NO58" s="196"/>
      <c r="NP58" s="196"/>
      <c r="NQ58" s="196"/>
      <c r="NR58" s="196"/>
      <c r="NS58" s="196"/>
      <c r="NT58" s="196"/>
      <c r="NU58" s="196"/>
      <c r="NV58" s="196"/>
      <c r="NW58" s="196"/>
      <c r="NX58" s="196"/>
      <c r="NY58" s="196"/>
      <c r="NZ58" s="196"/>
      <c r="OA58" s="196"/>
      <c r="OB58" s="196"/>
      <c r="OC58" s="196"/>
      <c r="OD58" s="196"/>
      <c r="OE58" s="196"/>
      <c r="OF58" s="196"/>
      <c r="OG58" s="196"/>
      <c r="OH58" s="196"/>
      <c r="OI58" s="196"/>
      <c r="OJ58" s="196"/>
      <c r="OK58" s="196"/>
      <c r="OL58" s="196"/>
      <c r="OM58" s="196"/>
      <c r="ON58" s="196"/>
      <c r="OO58" s="196"/>
      <c r="OP58" s="196"/>
      <c r="OQ58" s="196"/>
      <c r="OR58" s="196"/>
      <c r="OS58" s="196"/>
      <c r="OT58" s="196"/>
      <c r="OU58" s="196"/>
      <c r="OV58" s="196"/>
      <c r="OW58" s="196"/>
      <c r="OX58" s="196"/>
      <c r="OY58" s="196"/>
      <c r="OZ58" s="196"/>
      <c r="PA58" s="196"/>
      <c r="PB58" s="196"/>
      <c r="PC58" s="196"/>
      <c r="PD58" s="196"/>
      <c r="PE58" s="196"/>
      <c r="PF58" s="196"/>
      <c r="PG58" s="196"/>
      <c r="PH58" s="196"/>
      <c r="PI58" s="196"/>
      <c r="PJ58" s="196"/>
      <c r="PK58" s="196"/>
      <c r="PL58" s="196"/>
      <c r="PM58" s="196"/>
      <c r="PN58" s="196"/>
      <c r="PO58" s="196"/>
      <c r="PP58" s="196"/>
      <c r="PQ58" s="196"/>
      <c r="PR58" s="196"/>
      <c r="PS58" s="196"/>
      <c r="PT58" s="196"/>
      <c r="PU58" s="196"/>
      <c r="PV58" s="196"/>
      <c r="PW58" s="196"/>
      <c r="PX58" s="196"/>
      <c r="PY58" s="196"/>
      <c r="PZ58" s="196"/>
      <c r="QA58" s="196"/>
      <c r="QB58" s="196"/>
      <c r="QC58" s="196"/>
      <c r="QD58" s="196"/>
      <c r="QE58" s="196"/>
      <c r="QF58" s="196"/>
      <c r="QG58" s="196"/>
      <c r="QH58" s="196"/>
      <c r="QI58" s="196"/>
      <c r="QJ58" s="196"/>
      <c r="QK58" s="196"/>
      <c r="QL58" s="196"/>
      <c r="QM58" s="196"/>
      <c r="QN58" s="196"/>
      <c r="QO58" s="196"/>
      <c r="QP58" s="196"/>
      <c r="QQ58" s="196"/>
      <c r="QR58" s="196"/>
      <c r="QS58" s="196"/>
      <c r="QT58" s="196"/>
      <c r="QU58" s="196"/>
      <c r="QV58" s="196"/>
      <c r="QW58" s="196"/>
      <c r="QX58" s="196"/>
      <c r="QY58" s="196"/>
      <c r="QZ58" s="196"/>
      <c r="RA58" s="196"/>
      <c r="RB58" s="196"/>
      <c r="RC58" s="196"/>
      <c r="RD58" s="196"/>
      <c r="RE58" s="196"/>
      <c r="RF58" s="196"/>
      <c r="RG58" s="196"/>
      <c r="RH58" s="196"/>
      <c r="RI58" s="196"/>
      <c r="RJ58" s="196"/>
      <c r="RK58" s="196"/>
      <c r="RL58" s="196"/>
      <c r="RM58" s="196"/>
      <c r="RN58" s="196"/>
      <c r="RO58" s="196"/>
      <c r="RP58" s="196"/>
      <c r="RQ58" s="196"/>
      <c r="RR58" s="196"/>
      <c r="RS58" s="196"/>
      <c r="RT58" s="196"/>
      <c r="RU58" s="196"/>
      <c r="RV58" s="196"/>
      <c r="RW58" s="196"/>
      <c r="RX58" s="196"/>
      <c r="RY58" s="196"/>
      <c r="RZ58" s="196"/>
      <c r="SA58" s="196"/>
      <c r="SB58" s="196"/>
      <c r="SC58" s="196"/>
      <c r="SD58" s="196"/>
      <c r="SE58" s="196"/>
      <c r="SF58" s="196"/>
      <c r="SG58" s="196"/>
      <c r="SH58" s="196"/>
      <c r="SI58" s="196"/>
      <c r="SJ58" s="196"/>
      <c r="SK58" s="196"/>
      <c r="SL58" s="196"/>
      <c r="SM58" s="196"/>
      <c r="SN58" s="196"/>
      <c r="SO58" s="196"/>
      <c r="SP58" s="196"/>
      <c r="SQ58" s="196"/>
      <c r="SR58" s="196"/>
      <c r="SS58" s="196"/>
      <c r="ST58" s="196"/>
      <c r="SU58" s="196"/>
      <c r="SV58" s="196"/>
      <c r="SW58" s="196"/>
      <c r="SX58" s="196"/>
      <c r="SY58" s="196"/>
      <c r="SZ58" s="196"/>
      <c r="TA58" s="196"/>
      <c r="TB58" s="196"/>
      <c r="TC58" s="196"/>
      <c r="TD58" s="196"/>
      <c r="TE58" s="196"/>
      <c r="TF58" s="196"/>
      <c r="TG58" s="196"/>
      <c r="TH58" s="196"/>
      <c r="TI58" s="196"/>
      <c r="TJ58" s="196"/>
      <c r="TK58" s="196"/>
      <c r="TL58" s="196"/>
      <c r="TM58" s="196"/>
      <c r="TN58" s="196"/>
      <c r="TO58" s="196"/>
      <c r="TP58" s="196"/>
      <c r="TQ58" s="196"/>
      <c r="TR58" s="196"/>
      <c r="TS58" s="196"/>
      <c r="TT58" s="196"/>
      <c r="TU58" s="196"/>
      <c r="TV58" s="196"/>
      <c r="TW58" s="196"/>
      <c r="TX58" s="196"/>
      <c r="TY58" s="196"/>
      <c r="TZ58" s="196"/>
      <c r="UA58" s="196"/>
      <c r="UB58" s="196"/>
      <c r="UC58" s="196"/>
      <c r="UD58" s="196"/>
      <c r="UE58" s="196"/>
      <c r="UF58" s="196"/>
      <c r="UG58" s="196"/>
      <c r="UH58" s="196"/>
      <c r="UI58" s="196"/>
      <c r="UJ58" s="196"/>
      <c r="UK58" s="196"/>
      <c r="UL58" s="196"/>
      <c r="UM58" s="196"/>
      <c r="UN58" s="196"/>
      <c r="UO58" s="196"/>
      <c r="UP58" s="196"/>
      <c r="UQ58" s="196"/>
      <c r="UR58" s="196"/>
      <c r="US58" s="196"/>
      <c r="UT58" s="196"/>
      <c r="UU58" s="196"/>
      <c r="UV58" s="196"/>
      <c r="UW58" s="196"/>
      <c r="UX58" s="196"/>
      <c r="UY58" s="196"/>
      <c r="UZ58" s="196"/>
      <c r="VA58" s="196"/>
      <c r="VB58" s="196"/>
      <c r="VC58" s="196"/>
      <c r="VD58" s="196"/>
      <c r="VE58" s="196"/>
      <c r="VF58" s="196"/>
      <c r="VG58" s="196"/>
      <c r="VH58" s="196"/>
      <c r="VI58" s="196"/>
      <c r="VJ58" s="196"/>
      <c r="VK58" s="196"/>
      <c r="VL58" s="196"/>
      <c r="VM58" s="196"/>
      <c r="VN58" s="196"/>
      <c r="VO58" s="196"/>
      <c r="VP58" s="196"/>
      <c r="VQ58" s="196"/>
      <c r="VR58" s="196"/>
      <c r="VS58" s="196"/>
      <c r="VT58" s="196"/>
      <c r="VU58" s="196"/>
      <c r="VV58" s="196"/>
      <c r="VW58" s="196"/>
      <c r="VX58" s="196"/>
      <c r="VY58" s="196"/>
      <c r="VZ58" s="196"/>
      <c r="WA58" s="196"/>
      <c r="WB58" s="196"/>
      <c r="WC58" s="196"/>
      <c r="WD58" s="196"/>
      <c r="WE58" s="196"/>
      <c r="WF58" s="196"/>
      <c r="WG58" s="196"/>
      <c r="WH58" s="196"/>
      <c r="WI58" s="196"/>
      <c r="WJ58" s="196"/>
      <c r="WK58" s="196"/>
      <c r="WL58" s="196"/>
      <c r="WM58" s="196"/>
      <c r="WN58" s="196"/>
      <c r="WO58" s="196"/>
      <c r="WP58" s="196"/>
      <c r="WQ58" s="196"/>
      <c r="WR58" s="196"/>
      <c r="WS58" s="196"/>
      <c r="WT58" s="196"/>
      <c r="WU58" s="196"/>
      <c r="WV58" s="196"/>
      <c r="WW58" s="196"/>
      <c r="WX58" s="196"/>
      <c r="WY58" s="196"/>
      <c r="WZ58" s="196"/>
      <c r="XA58" s="196"/>
      <c r="XB58" s="196"/>
      <c r="XC58" s="196"/>
      <c r="XD58" s="196"/>
      <c r="XE58" s="196"/>
      <c r="XF58" s="196"/>
      <c r="XG58" s="196"/>
      <c r="XH58" s="196"/>
      <c r="XI58" s="196"/>
      <c r="XJ58" s="196"/>
      <c r="XK58" s="196"/>
      <c r="XL58" s="196"/>
      <c r="XM58" s="196"/>
      <c r="XN58" s="196"/>
      <c r="XO58" s="196"/>
      <c r="XP58" s="196"/>
      <c r="XQ58" s="196"/>
      <c r="XR58" s="196"/>
      <c r="XS58" s="196"/>
      <c r="XT58" s="196"/>
      <c r="XU58" s="196"/>
      <c r="XV58" s="196"/>
      <c r="XW58" s="196"/>
      <c r="XX58" s="196"/>
      <c r="XY58" s="196"/>
      <c r="XZ58" s="196"/>
      <c r="YA58" s="196"/>
      <c r="YB58" s="196"/>
      <c r="YC58" s="196"/>
      <c r="YD58" s="196"/>
      <c r="YE58" s="196"/>
      <c r="YF58" s="196"/>
      <c r="YG58" s="196"/>
      <c r="YH58" s="196"/>
      <c r="YI58" s="196"/>
      <c r="YJ58" s="196"/>
      <c r="YK58" s="196"/>
      <c r="YL58" s="196"/>
      <c r="YM58" s="196"/>
      <c r="YN58" s="196"/>
      <c r="YO58" s="196"/>
      <c r="YP58" s="196"/>
      <c r="YQ58" s="196"/>
      <c r="YR58" s="196"/>
      <c r="YS58" s="196"/>
      <c r="YT58" s="196"/>
      <c r="YU58" s="196"/>
      <c r="YV58" s="196"/>
      <c r="YW58" s="196"/>
      <c r="YX58" s="196"/>
      <c r="YY58" s="196"/>
      <c r="YZ58" s="196"/>
      <c r="ZA58" s="196"/>
      <c r="ZB58" s="196"/>
      <c r="ZC58" s="196"/>
      <c r="ZD58" s="196"/>
      <c r="ZE58" s="196"/>
      <c r="ZF58" s="196"/>
      <c r="ZG58" s="196"/>
      <c r="ZH58" s="196"/>
      <c r="ZI58" s="196"/>
      <c r="ZJ58" s="196"/>
      <c r="ZK58" s="196"/>
      <c r="ZL58" s="196"/>
      <c r="ZM58" s="196"/>
      <c r="ZN58" s="196"/>
      <c r="ZO58" s="196"/>
      <c r="ZP58" s="196"/>
      <c r="ZQ58" s="196"/>
      <c r="ZR58" s="196"/>
      <c r="ZS58" s="196"/>
      <c r="ZT58" s="196"/>
      <c r="ZU58" s="196"/>
      <c r="ZV58" s="196"/>
      <c r="ZW58" s="196"/>
      <c r="ZX58" s="196"/>
      <c r="ZY58" s="196"/>
      <c r="ZZ58" s="196"/>
      <c r="AAA58" s="196"/>
      <c r="AAB58" s="196"/>
      <c r="AAC58" s="196"/>
      <c r="AAD58" s="196"/>
      <c r="AAE58" s="196"/>
      <c r="AAF58" s="196"/>
      <c r="AAG58" s="196"/>
      <c r="AAH58" s="196"/>
      <c r="AAI58" s="196"/>
      <c r="AAJ58" s="196"/>
      <c r="AAK58" s="196"/>
      <c r="AAL58" s="196"/>
      <c r="AAM58" s="196"/>
      <c r="AAN58" s="196"/>
      <c r="AAO58" s="196"/>
      <c r="AAP58" s="196"/>
      <c r="AAQ58" s="196"/>
      <c r="AAR58" s="196"/>
      <c r="AAS58" s="196"/>
      <c r="AAT58" s="196"/>
      <c r="AAU58" s="196"/>
      <c r="AAV58" s="196"/>
      <c r="AAW58" s="196"/>
      <c r="AAX58" s="196"/>
      <c r="AAY58" s="196"/>
      <c r="AAZ58" s="196"/>
      <c r="ABA58" s="196"/>
      <c r="ABB58" s="196"/>
      <c r="ABC58" s="196"/>
      <c r="ABD58" s="196"/>
      <c r="ABE58" s="196"/>
      <c r="ABF58" s="196"/>
      <c r="ABG58" s="196"/>
      <c r="ABH58" s="196"/>
      <c r="ABI58" s="196"/>
      <c r="ABJ58" s="196"/>
      <c r="ABK58" s="196"/>
      <c r="ABL58" s="196"/>
      <c r="ABM58" s="196"/>
      <c r="ABN58" s="196"/>
      <c r="ABO58" s="196"/>
      <c r="ABP58" s="196"/>
      <c r="ABQ58" s="196"/>
      <c r="ABR58" s="196"/>
      <c r="ABS58" s="196"/>
      <c r="ABT58" s="196"/>
      <c r="ABU58" s="196"/>
      <c r="ABV58" s="196"/>
      <c r="ABW58" s="196"/>
      <c r="ABX58" s="196"/>
      <c r="ABY58" s="196"/>
      <c r="ABZ58" s="196"/>
      <c r="ACA58" s="196"/>
      <c r="ACB58" s="196"/>
      <c r="ACC58" s="196"/>
      <c r="ACD58" s="196"/>
      <c r="ACE58" s="196"/>
      <c r="ACF58" s="196"/>
      <c r="ACG58" s="196"/>
      <c r="ACH58" s="196"/>
      <c r="ACI58" s="196"/>
      <c r="ACJ58" s="196"/>
      <c r="ACK58" s="196"/>
      <c r="ACL58" s="196"/>
      <c r="ACM58" s="196"/>
      <c r="ACN58" s="196"/>
      <c r="ACO58" s="196"/>
      <c r="ACP58" s="196"/>
      <c r="ACQ58" s="196"/>
      <c r="ACR58" s="196"/>
      <c r="ACS58" s="196"/>
      <c r="ACT58" s="196"/>
      <c r="ACU58" s="196"/>
      <c r="ACV58" s="196"/>
      <c r="ACW58" s="196"/>
      <c r="ACX58" s="196"/>
      <c r="ACY58" s="196"/>
      <c r="ACZ58" s="196"/>
      <c r="ADA58" s="196"/>
      <c r="ADB58" s="196"/>
      <c r="ADC58" s="196"/>
      <c r="ADD58" s="196"/>
      <c r="ADE58" s="196"/>
      <c r="ADF58" s="196"/>
      <c r="ADG58" s="196"/>
      <c r="ADH58" s="196"/>
      <c r="ADI58" s="196"/>
      <c r="ADJ58" s="196"/>
      <c r="ADK58" s="196"/>
      <c r="ADL58" s="196"/>
      <c r="ADM58" s="196"/>
      <c r="ADN58" s="196"/>
      <c r="ADO58" s="196"/>
      <c r="ADP58" s="196"/>
      <c r="ADQ58" s="196"/>
      <c r="ADR58" s="196"/>
      <c r="ADS58" s="196"/>
      <c r="ADT58" s="196"/>
      <c r="ADU58" s="196"/>
      <c r="ADV58" s="196"/>
      <c r="ADW58" s="196"/>
      <c r="ADX58" s="196"/>
      <c r="ADY58" s="196"/>
      <c r="ADZ58" s="196"/>
      <c r="AEA58" s="196"/>
      <c r="AEB58" s="196"/>
      <c r="AEC58" s="196"/>
      <c r="AED58" s="196"/>
      <c r="AEE58" s="196"/>
      <c r="AEF58" s="196"/>
      <c r="AEG58" s="196"/>
      <c r="AEH58" s="196"/>
      <c r="AEI58" s="196"/>
      <c r="AEJ58" s="196"/>
      <c r="AEK58" s="196"/>
      <c r="AEL58" s="196"/>
      <c r="AEM58" s="196"/>
      <c r="AEN58" s="196"/>
      <c r="AEO58" s="196"/>
      <c r="AEP58" s="196"/>
      <c r="AEQ58" s="196"/>
      <c r="AER58" s="196"/>
      <c r="AES58" s="196"/>
      <c r="AET58" s="196"/>
      <c r="AEU58" s="196"/>
      <c r="AEV58" s="196"/>
      <c r="AEW58" s="196"/>
      <c r="AEX58" s="196"/>
      <c r="AEY58" s="196"/>
      <c r="AEZ58" s="196"/>
      <c r="AFA58" s="196"/>
      <c r="AFB58" s="196"/>
      <c r="AFC58" s="196"/>
      <c r="AFD58" s="196"/>
      <c r="AFE58" s="196"/>
      <c r="AFF58" s="196"/>
      <c r="AFG58" s="196"/>
      <c r="AFH58" s="196"/>
      <c r="AFI58" s="196"/>
      <c r="AFJ58" s="196"/>
      <c r="AFK58" s="196"/>
      <c r="AFL58" s="196"/>
      <c r="AFM58" s="196"/>
      <c r="AFN58" s="196"/>
      <c r="AFO58" s="196"/>
      <c r="AFP58" s="196"/>
      <c r="AFQ58" s="196"/>
      <c r="AFR58" s="196"/>
      <c r="AFS58" s="196"/>
      <c r="AFT58" s="196"/>
      <c r="AFU58" s="196"/>
      <c r="AFV58" s="196"/>
      <c r="AFW58" s="196"/>
      <c r="AFX58" s="196"/>
      <c r="AFY58" s="196"/>
      <c r="AFZ58" s="196"/>
      <c r="AGA58" s="196"/>
      <c r="AGB58" s="196"/>
      <c r="AGC58" s="196"/>
      <c r="AGD58" s="196"/>
      <c r="AGE58" s="196"/>
      <c r="AGF58" s="196"/>
      <c r="AGG58" s="196"/>
      <c r="AGH58" s="196"/>
      <c r="AGI58" s="196"/>
      <c r="AGJ58" s="196"/>
      <c r="AGK58" s="196"/>
      <c r="AGL58" s="196"/>
      <c r="AGM58" s="196"/>
      <c r="AGN58" s="196"/>
      <c r="AGO58" s="196"/>
      <c r="AGP58" s="196"/>
      <c r="AGQ58" s="196"/>
      <c r="AGR58" s="196"/>
      <c r="AGS58" s="196"/>
      <c r="AGT58" s="196"/>
      <c r="AGU58" s="196"/>
      <c r="AGV58" s="196"/>
      <c r="AGW58" s="196"/>
      <c r="AGX58" s="196"/>
      <c r="AGY58" s="196"/>
      <c r="AGZ58" s="196"/>
      <c r="AHA58" s="196"/>
      <c r="AHB58" s="196"/>
      <c r="AHC58" s="196"/>
      <c r="AHD58" s="196"/>
      <c r="AHE58" s="196"/>
      <c r="AHF58" s="196"/>
      <c r="AHG58" s="196"/>
      <c r="AHH58" s="196"/>
      <c r="AHI58" s="196"/>
      <c r="AHJ58" s="196"/>
      <c r="AHK58" s="196"/>
      <c r="AHL58" s="196"/>
      <c r="AHM58" s="196"/>
      <c r="AHN58" s="196"/>
      <c r="AHO58" s="196"/>
      <c r="AHP58" s="196"/>
      <c r="AHQ58" s="196"/>
      <c r="AHR58" s="196"/>
      <c r="AHS58" s="196"/>
      <c r="AHT58" s="196"/>
      <c r="AHU58" s="196"/>
      <c r="AHV58" s="196"/>
      <c r="AHW58" s="196"/>
      <c r="AHX58" s="196"/>
      <c r="AHY58" s="196"/>
      <c r="AHZ58" s="196"/>
      <c r="AIA58" s="196"/>
      <c r="AIB58" s="196"/>
      <c r="AIC58" s="196"/>
      <c r="AID58" s="196"/>
      <c r="AIE58" s="196"/>
      <c r="AIF58" s="196"/>
      <c r="AIG58" s="196"/>
      <c r="AIH58" s="196"/>
      <c r="AII58" s="196"/>
      <c r="AIJ58" s="196"/>
      <c r="AIK58" s="196"/>
      <c r="AIL58" s="196"/>
      <c r="AIM58" s="196"/>
      <c r="AIN58" s="196"/>
      <c r="AIO58" s="196"/>
      <c r="AIP58" s="196"/>
      <c r="AIQ58" s="196"/>
      <c r="AIR58" s="196"/>
      <c r="AIS58" s="196"/>
      <c r="AIT58" s="196"/>
      <c r="AIU58" s="196"/>
      <c r="AIV58" s="196"/>
      <c r="AIW58" s="196"/>
      <c r="AIX58" s="196"/>
      <c r="AIY58" s="196"/>
      <c r="AIZ58" s="196"/>
      <c r="AJA58" s="196"/>
      <c r="AJB58" s="196"/>
      <c r="AJC58" s="196"/>
      <c r="AJD58" s="196"/>
      <c r="AJE58" s="196"/>
      <c r="AJF58" s="196"/>
      <c r="AJG58" s="196"/>
      <c r="AJH58" s="196"/>
      <c r="AJI58" s="196"/>
      <c r="AJJ58" s="196"/>
      <c r="AJK58" s="196"/>
      <c r="AJL58" s="196"/>
      <c r="AJM58" s="196"/>
      <c r="AJN58" s="196"/>
      <c r="AJO58" s="196"/>
      <c r="AJP58" s="196"/>
      <c r="AJQ58" s="196"/>
      <c r="AJR58" s="196"/>
      <c r="AJS58" s="196"/>
      <c r="AJT58" s="196"/>
      <c r="AJU58" s="196"/>
      <c r="AJV58" s="196"/>
      <c r="AJW58" s="196"/>
      <c r="AJX58" s="196"/>
      <c r="AJY58" s="196"/>
      <c r="AJZ58" s="196"/>
      <c r="AKA58" s="196"/>
      <c r="AKB58" s="196"/>
      <c r="AKC58" s="196"/>
      <c r="AKD58" s="196"/>
      <c r="AKE58" s="196"/>
      <c r="AKF58" s="196"/>
      <c r="AKG58" s="196"/>
      <c r="AKH58" s="196"/>
      <c r="AKI58" s="196"/>
      <c r="AKJ58" s="196"/>
      <c r="AKK58" s="196"/>
      <c r="AKL58" s="196"/>
      <c r="AKM58" s="196"/>
      <c r="AKN58" s="196"/>
      <c r="AKO58" s="196"/>
      <c r="AKP58" s="196"/>
      <c r="AKQ58" s="196"/>
      <c r="AKR58" s="196"/>
      <c r="AKS58" s="196"/>
      <c r="AKT58" s="196"/>
      <c r="AKU58" s="196"/>
      <c r="AKV58" s="196"/>
      <c r="AKW58" s="196"/>
      <c r="AKX58" s="196"/>
      <c r="AKY58" s="196"/>
      <c r="AKZ58" s="196"/>
      <c r="ALA58" s="196"/>
      <c r="ALB58" s="196"/>
      <c r="ALC58" s="196"/>
      <c r="ALD58" s="196"/>
      <c r="ALE58" s="196"/>
      <c r="ALF58" s="196"/>
      <c r="ALG58" s="196"/>
      <c r="ALH58" s="196"/>
      <c r="ALI58" s="196"/>
      <c r="ALJ58" s="196"/>
      <c r="ALK58" s="196"/>
      <c r="ALL58" s="196"/>
      <c r="ALM58" s="196"/>
      <c r="ALN58" s="196"/>
      <c r="ALO58" s="196"/>
      <c r="ALP58" s="196"/>
      <c r="ALQ58" s="196"/>
      <c r="ALR58" s="196"/>
      <c r="ALS58" s="196"/>
      <c r="ALT58" s="196"/>
      <c r="ALU58" s="196"/>
      <c r="ALV58" s="196"/>
      <c r="ALW58" s="196"/>
      <c r="ALX58" s="196"/>
      <c r="ALY58" s="196"/>
      <c r="ALZ58" s="196"/>
      <c r="AMA58" s="196"/>
      <c r="AMB58" s="196"/>
      <c r="AMC58" s="196"/>
      <c r="AMD58" s="196"/>
      <c r="AME58" s="196"/>
      <c r="AMF58" s="196"/>
      <c r="AMG58" s="196"/>
      <c r="AMH58" s="196"/>
      <c r="AMI58" s="196"/>
      <c r="AMJ58" s="196"/>
      <c r="AMK58" s="196"/>
      <c r="AML58" s="196"/>
      <c r="AMM58" s="196"/>
      <c r="AMN58" s="196"/>
      <c r="AMO58" s="196"/>
      <c r="AMP58" s="196"/>
      <c r="AMQ58" s="196"/>
      <c r="AMR58" s="196"/>
      <c r="AMS58" s="196"/>
      <c r="AMT58" s="196"/>
      <c r="AMU58" s="196"/>
      <c r="AMV58" s="196"/>
      <c r="AMW58" s="196"/>
      <c r="AMX58" s="196"/>
      <c r="AMY58" s="196"/>
      <c r="AMZ58" s="196"/>
      <c r="ANA58" s="196"/>
      <c r="ANB58" s="196"/>
      <c r="ANC58" s="196"/>
      <c r="AND58" s="196"/>
      <c r="ANE58" s="196"/>
      <c r="ANF58" s="196"/>
      <c r="ANG58" s="196"/>
      <c r="ANH58" s="196"/>
      <c r="ANI58" s="196"/>
      <c r="ANJ58" s="196"/>
      <c r="ANK58" s="196"/>
      <c r="ANL58" s="196"/>
      <c r="ANM58" s="196"/>
      <c r="ANN58" s="196"/>
      <c r="ANO58" s="196"/>
      <c r="ANP58" s="196"/>
      <c r="ANQ58" s="196"/>
      <c r="ANR58" s="196"/>
      <c r="ANS58" s="196"/>
      <c r="ANT58" s="196"/>
      <c r="ANU58" s="196"/>
      <c r="ANV58" s="196"/>
      <c r="ANW58" s="196"/>
      <c r="ANX58" s="196"/>
      <c r="ANY58" s="196"/>
      <c r="ANZ58" s="196"/>
      <c r="AOA58" s="196"/>
      <c r="AOB58" s="196"/>
      <c r="AOC58" s="196"/>
      <c r="AOD58" s="196"/>
      <c r="AOE58" s="196"/>
      <c r="AOF58" s="196"/>
      <c r="AOG58" s="196"/>
      <c r="AOH58" s="196"/>
      <c r="AOI58" s="196"/>
      <c r="AOJ58" s="196"/>
      <c r="AOK58" s="196"/>
      <c r="AOL58" s="196"/>
      <c r="AOM58" s="196"/>
      <c r="AON58" s="196"/>
      <c r="AOO58" s="196"/>
      <c r="AOP58" s="196"/>
      <c r="AOQ58" s="196"/>
      <c r="AOR58" s="196"/>
      <c r="AOS58" s="196"/>
      <c r="AOT58" s="196"/>
      <c r="AOU58" s="196"/>
      <c r="AOV58" s="196"/>
      <c r="AOW58" s="196"/>
      <c r="AOX58" s="196"/>
      <c r="AOY58" s="196"/>
      <c r="AOZ58" s="196"/>
      <c r="APA58" s="196"/>
      <c r="APB58" s="196"/>
      <c r="APC58" s="196"/>
      <c r="APD58" s="196"/>
      <c r="APE58" s="196"/>
      <c r="APF58" s="196"/>
      <c r="APG58" s="196"/>
      <c r="APH58" s="196"/>
      <c r="API58" s="196"/>
      <c r="APJ58" s="196"/>
      <c r="APK58" s="196"/>
      <c r="APL58" s="196"/>
      <c r="APM58" s="196"/>
      <c r="APN58" s="196"/>
      <c r="APO58" s="196"/>
      <c r="APP58" s="196"/>
      <c r="APQ58" s="196"/>
      <c r="APR58" s="196"/>
      <c r="APS58" s="196"/>
      <c r="APT58" s="196"/>
      <c r="APU58" s="196"/>
      <c r="APV58" s="196"/>
      <c r="APW58" s="196"/>
      <c r="APX58" s="196"/>
      <c r="APY58" s="196"/>
      <c r="APZ58" s="196"/>
      <c r="AQA58" s="196"/>
      <c r="AQB58" s="196"/>
      <c r="AQC58" s="196"/>
      <c r="AQD58" s="196"/>
      <c r="AQE58" s="196"/>
      <c r="AQF58" s="196"/>
      <c r="AQG58" s="196"/>
      <c r="AQH58" s="196"/>
      <c r="AQI58" s="196"/>
      <c r="AQJ58" s="196"/>
      <c r="AQK58" s="196"/>
      <c r="AQL58" s="196"/>
      <c r="AQM58" s="196"/>
      <c r="AQN58" s="196"/>
      <c r="AQO58" s="196"/>
      <c r="AQP58" s="196"/>
      <c r="AQQ58" s="196"/>
      <c r="AQR58" s="196"/>
      <c r="AQS58" s="196"/>
      <c r="AQT58" s="196"/>
      <c r="AQU58" s="196"/>
      <c r="AQV58" s="196"/>
      <c r="AQW58" s="196"/>
      <c r="AQX58" s="196"/>
      <c r="AQY58" s="196"/>
      <c r="AQZ58" s="196"/>
      <c r="ARA58" s="196"/>
      <c r="ARB58" s="196"/>
      <c r="ARC58" s="196"/>
      <c r="ARD58" s="196"/>
      <c r="ARE58" s="196"/>
      <c r="ARF58" s="196"/>
      <c r="ARG58" s="196"/>
      <c r="ARH58" s="196"/>
      <c r="ARI58" s="196"/>
      <c r="ARJ58" s="196"/>
      <c r="ARK58" s="196"/>
      <c r="ARL58" s="196"/>
      <c r="ARM58" s="196"/>
      <c r="ARN58" s="196"/>
      <c r="ARO58" s="196"/>
      <c r="ARP58" s="196"/>
      <c r="ARQ58" s="196"/>
      <c r="ARR58" s="196"/>
      <c r="ARS58" s="196"/>
      <c r="ART58" s="196"/>
      <c r="ARU58" s="196"/>
      <c r="ARV58" s="196"/>
      <c r="ARW58" s="196"/>
      <c r="ARX58" s="196"/>
      <c r="ARY58" s="196"/>
      <c r="ARZ58" s="196"/>
      <c r="ASA58" s="196"/>
      <c r="ASB58" s="196"/>
      <c r="ASC58" s="196"/>
      <c r="ASD58" s="196"/>
      <c r="ASE58" s="196"/>
      <c r="ASF58" s="196"/>
      <c r="ASG58" s="196"/>
      <c r="ASH58" s="196"/>
      <c r="ASI58" s="196"/>
      <c r="ASJ58" s="196"/>
      <c r="ASK58" s="196"/>
      <c r="ASL58" s="196"/>
      <c r="ASM58" s="196"/>
      <c r="ASN58" s="196"/>
      <c r="ASO58" s="196"/>
      <c r="ASP58" s="196"/>
      <c r="ASQ58" s="196"/>
      <c r="ASR58" s="196"/>
      <c r="ASS58" s="196"/>
      <c r="AST58" s="196"/>
      <c r="ASU58" s="196"/>
      <c r="ASV58" s="196"/>
      <c r="ASW58" s="196"/>
      <c r="ASX58" s="196"/>
      <c r="ASY58" s="196"/>
      <c r="ASZ58" s="196"/>
      <c r="ATA58" s="196"/>
      <c r="ATB58" s="196"/>
      <c r="ATC58" s="196"/>
      <c r="ATD58" s="196"/>
      <c r="ATE58" s="196"/>
      <c r="ATF58" s="196"/>
      <c r="ATG58" s="196"/>
      <c r="ATH58" s="196"/>
      <c r="ATI58" s="196"/>
      <c r="ATJ58" s="196"/>
      <c r="ATK58" s="196"/>
      <c r="ATL58" s="196"/>
      <c r="ATM58" s="196"/>
      <c r="ATN58" s="196"/>
      <c r="ATO58" s="196"/>
      <c r="ATP58" s="196"/>
      <c r="ATQ58" s="196"/>
      <c r="ATR58" s="196"/>
      <c r="ATS58" s="196"/>
      <c r="ATT58" s="196"/>
      <c r="ATU58" s="196"/>
      <c r="ATV58" s="196"/>
      <c r="ATW58" s="196"/>
      <c r="ATX58" s="196"/>
      <c r="ATY58" s="196"/>
      <c r="ATZ58" s="196"/>
      <c r="AUA58" s="196"/>
      <c r="AUB58" s="196"/>
      <c r="AUC58" s="196"/>
      <c r="AUD58" s="196"/>
      <c r="AUE58" s="196"/>
      <c r="AUF58" s="196"/>
      <c r="AUG58" s="196"/>
      <c r="AUH58" s="196"/>
      <c r="AUI58" s="196"/>
      <c r="AUJ58" s="196"/>
      <c r="AUK58" s="196"/>
      <c r="AUL58" s="196"/>
      <c r="AUM58" s="196"/>
      <c r="AUN58" s="196"/>
      <c r="AUO58" s="196"/>
      <c r="AUP58" s="196"/>
      <c r="AUQ58" s="196"/>
      <c r="AUR58" s="196"/>
      <c r="AUS58" s="196"/>
      <c r="AUT58" s="196"/>
      <c r="AUU58" s="196"/>
      <c r="AUV58" s="196"/>
      <c r="AUW58" s="196"/>
      <c r="AUX58" s="196"/>
      <c r="AUY58" s="196"/>
      <c r="AUZ58" s="196"/>
      <c r="AVA58" s="196"/>
      <c r="AVB58" s="196"/>
      <c r="AVC58" s="196"/>
      <c r="AVD58" s="196"/>
      <c r="AVE58" s="196"/>
      <c r="AVF58" s="196"/>
      <c r="AVG58" s="196"/>
      <c r="AVH58" s="196"/>
      <c r="AVI58" s="196"/>
      <c r="AVJ58" s="196"/>
      <c r="AVK58" s="196"/>
      <c r="AVL58" s="196"/>
      <c r="AVM58" s="196"/>
      <c r="AVN58" s="196"/>
      <c r="AVO58" s="196"/>
      <c r="AVP58" s="196"/>
      <c r="AVQ58" s="196"/>
      <c r="AVR58" s="196"/>
      <c r="AVS58" s="196"/>
      <c r="AVT58" s="196"/>
      <c r="AVU58" s="196"/>
      <c r="AVV58" s="196"/>
      <c r="AVW58" s="196"/>
      <c r="AVX58" s="196"/>
      <c r="AVY58" s="196"/>
      <c r="AVZ58" s="196"/>
      <c r="AWA58" s="196"/>
      <c r="AWB58" s="196"/>
      <c r="AWC58" s="196"/>
      <c r="AWD58" s="196"/>
      <c r="AWE58" s="196"/>
      <c r="AWF58" s="196"/>
      <c r="AWG58" s="196"/>
      <c r="AWH58" s="196"/>
      <c r="AWI58" s="196"/>
      <c r="AWJ58" s="196"/>
      <c r="AWK58" s="196"/>
      <c r="AWL58" s="196"/>
      <c r="AWM58" s="196"/>
      <c r="AWN58" s="196"/>
      <c r="AWO58" s="196"/>
      <c r="AWP58" s="196"/>
      <c r="AWQ58" s="196"/>
      <c r="AWR58" s="196"/>
      <c r="AWS58" s="196"/>
      <c r="AWT58" s="196"/>
      <c r="AWU58" s="196"/>
      <c r="AWV58" s="196"/>
      <c r="AWW58" s="196"/>
      <c r="AWX58" s="196"/>
      <c r="AWY58" s="196"/>
      <c r="AWZ58" s="196"/>
      <c r="AXA58" s="196"/>
      <c r="AXB58" s="196"/>
      <c r="AXC58" s="196"/>
      <c r="AXD58" s="196"/>
      <c r="AXE58" s="196"/>
      <c r="AXF58" s="196"/>
      <c r="AXG58" s="196"/>
      <c r="AXH58" s="196"/>
      <c r="AXI58" s="196"/>
      <c r="AXJ58" s="196"/>
      <c r="AXK58" s="196"/>
      <c r="AXL58" s="196"/>
      <c r="AXM58" s="196"/>
      <c r="AXN58" s="196"/>
      <c r="AXO58" s="196"/>
      <c r="AXP58" s="196"/>
      <c r="AXQ58" s="196"/>
      <c r="AXR58" s="196"/>
      <c r="AXS58" s="196"/>
      <c r="AXT58" s="196"/>
      <c r="AXU58" s="196"/>
      <c r="AXV58" s="196"/>
      <c r="AXW58" s="196"/>
      <c r="AXX58" s="196"/>
      <c r="AXY58" s="196"/>
      <c r="AXZ58" s="196"/>
      <c r="AYA58" s="196"/>
      <c r="AYB58" s="196"/>
      <c r="AYC58" s="196"/>
      <c r="AYD58" s="196"/>
      <c r="AYE58" s="196"/>
      <c r="AYF58" s="196"/>
      <c r="AYG58" s="196"/>
      <c r="AYH58" s="196"/>
      <c r="AYI58" s="196"/>
      <c r="AYJ58" s="196"/>
      <c r="AYK58" s="196"/>
      <c r="AYL58" s="196"/>
      <c r="AYM58" s="196"/>
      <c r="AYN58" s="196"/>
      <c r="AYO58" s="196"/>
      <c r="AYP58" s="196"/>
      <c r="AYQ58" s="196"/>
      <c r="AYR58" s="196"/>
      <c r="AYS58" s="196"/>
      <c r="AYT58" s="196"/>
      <c r="AYU58" s="196"/>
      <c r="AYV58" s="196"/>
      <c r="AYW58" s="196"/>
      <c r="AYX58" s="196"/>
      <c r="AYY58" s="196"/>
      <c r="AYZ58" s="196"/>
      <c r="AZA58" s="196"/>
      <c r="AZB58" s="196"/>
      <c r="AZC58" s="196"/>
      <c r="AZD58" s="196"/>
      <c r="AZE58" s="196"/>
      <c r="AZF58" s="196"/>
      <c r="AZG58" s="196"/>
      <c r="AZH58" s="196"/>
      <c r="AZI58" s="196"/>
      <c r="AZJ58" s="196"/>
      <c r="AZK58" s="196"/>
      <c r="AZL58" s="196"/>
      <c r="AZM58" s="196"/>
      <c r="AZN58" s="196"/>
      <c r="AZO58" s="196"/>
      <c r="AZP58" s="196"/>
      <c r="AZQ58" s="196"/>
      <c r="AZR58" s="196"/>
      <c r="AZS58" s="196"/>
      <c r="AZT58" s="196"/>
      <c r="AZU58" s="196"/>
      <c r="AZV58" s="196"/>
      <c r="AZW58" s="196"/>
      <c r="AZX58" s="196"/>
      <c r="AZY58" s="196"/>
      <c r="AZZ58" s="196"/>
      <c r="BAA58" s="196"/>
      <c r="BAB58" s="196"/>
      <c r="BAC58" s="196"/>
      <c r="BAD58" s="196"/>
      <c r="BAE58" s="196"/>
      <c r="BAF58" s="196"/>
      <c r="BAG58" s="196"/>
      <c r="BAH58" s="196"/>
      <c r="BAI58" s="196"/>
      <c r="BAJ58" s="196"/>
      <c r="BAK58" s="196"/>
      <c r="BAL58" s="196"/>
      <c r="BAM58" s="196"/>
      <c r="BAN58" s="196"/>
      <c r="BAO58" s="196"/>
      <c r="BAP58" s="196"/>
      <c r="BAQ58" s="196"/>
      <c r="BAR58" s="196"/>
      <c r="BAS58" s="196"/>
      <c r="BAT58" s="196"/>
      <c r="BAU58" s="196"/>
      <c r="BAV58" s="196"/>
      <c r="BAW58" s="196"/>
      <c r="BAX58" s="196"/>
      <c r="BAY58" s="196"/>
      <c r="BAZ58" s="196"/>
      <c r="BBA58" s="196"/>
      <c r="BBB58" s="196"/>
      <c r="BBC58" s="196"/>
      <c r="BBD58" s="196"/>
      <c r="BBE58" s="196"/>
      <c r="BBF58" s="196"/>
      <c r="BBG58" s="196"/>
      <c r="BBH58" s="196"/>
      <c r="BBI58" s="196"/>
      <c r="BBJ58" s="196"/>
      <c r="BBK58" s="196"/>
      <c r="BBL58" s="196"/>
      <c r="BBM58" s="196"/>
      <c r="BBN58" s="196"/>
      <c r="BBO58" s="196"/>
      <c r="BBP58" s="196"/>
      <c r="BBQ58" s="196"/>
      <c r="BBR58" s="196"/>
      <c r="BBS58" s="196"/>
      <c r="BBT58" s="196"/>
      <c r="BBU58" s="196"/>
      <c r="BBV58" s="196"/>
      <c r="BBW58" s="196"/>
      <c r="BBX58" s="196"/>
      <c r="BBY58" s="196"/>
      <c r="BBZ58" s="196"/>
      <c r="BCA58" s="196"/>
      <c r="BCB58" s="196"/>
      <c r="BCC58" s="196"/>
      <c r="BCD58" s="196"/>
      <c r="BCE58" s="196"/>
      <c r="BCF58" s="196"/>
      <c r="BCG58" s="196"/>
      <c r="BCH58" s="196"/>
      <c r="BCI58" s="196"/>
      <c r="BCJ58" s="196"/>
      <c r="BCK58" s="196"/>
      <c r="BCL58" s="196"/>
      <c r="BCM58" s="196"/>
      <c r="BCN58" s="196"/>
      <c r="BCO58" s="196"/>
      <c r="BCP58" s="196"/>
      <c r="BCQ58" s="196"/>
      <c r="BCR58" s="196"/>
      <c r="BCS58" s="196"/>
      <c r="BCT58" s="196"/>
      <c r="BCU58" s="196"/>
      <c r="BCV58" s="196"/>
      <c r="BCW58" s="196"/>
      <c r="BCX58" s="196"/>
      <c r="BCY58" s="196"/>
      <c r="BCZ58" s="196"/>
      <c r="BDA58" s="196"/>
      <c r="BDB58" s="196"/>
      <c r="BDC58" s="196"/>
      <c r="BDD58" s="196"/>
      <c r="BDE58" s="196"/>
      <c r="BDF58" s="196"/>
      <c r="BDG58" s="196"/>
      <c r="BDH58" s="196"/>
      <c r="BDI58" s="196"/>
      <c r="BDJ58" s="196"/>
      <c r="BDK58" s="196"/>
      <c r="BDL58" s="196"/>
      <c r="BDM58" s="196"/>
      <c r="BDN58" s="196"/>
      <c r="BDO58" s="196"/>
      <c r="BDP58" s="196"/>
      <c r="BDQ58" s="196"/>
      <c r="BDR58" s="196"/>
      <c r="BDS58" s="196"/>
      <c r="BDT58" s="196"/>
      <c r="BDU58" s="196"/>
      <c r="BDV58" s="196"/>
      <c r="BDW58" s="196"/>
      <c r="BDX58" s="196"/>
      <c r="BDY58" s="196"/>
      <c r="BDZ58" s="196"/>
      <c r="BEA58" s="196"/>
      <c r="BEB58" s="196"/>
      <c r="BEC58" s="196"/>
      <c r="BED58" s="196"/>
      <c r="BEE58" s="196"/>
      <c r="BEF58" s="196"/>
      <c r="BEG58" s="196"/>
      <c r="BEH58" s="196"/>
      <c r="BEI58" s="196"/>
      <c r="BEJ58" s="196"/>
      <c r="BEK58" s="196"/>
      <c r="BEL58" s="196"/>
      <c r="BEM58" s="196"/>
      <c r="BEN58" s="196"/>
      <c r="BEO58" s="196"/>
      <c r="BEP58" s="196"/>
      <c r="BEQ58" s="196"/>
      <c r="BER58" s="196"/>
      <c r="BES58" s="196"/>
      <c r="BET58" s="196"/>
      <c r="BEU58" s="196"/>
      <c r="BEV58" s="196"/>
      <c r="BEW58" s="196"/>
      <c r="BEX58" s="196"/>
      <c r="BEY58" s="196"/>
      <c r="BEZ58" s="196"/>
      <c r="BFA58" s="196"/>
      <c r="BFB58" s="196"/>
      <c r="BFC58" s="196"/>
      <c r="BFD58" s="196"/>
      <c r="BFE58" s="196"/>
      <c r="BFF58" s="196"/>
      <c r="BFG58" s="196"/>
      <c r="BFH58" s="196"/>
      <c r="BFI58" s="196"/>
      <c r="BFJ58" s="196"/>
      <c r="BFK58" s="196"/>
      <c r="BFL58" s="196"/>
      <c r="BFM58" s="196"/>
      <c r="BFN58" s="196"/>
      <c r="BFO58" s="196"/>
      <c r="BFP58" s="196"/>
      <c r="BFQ58" s="196"/>
      <c r="BFR58" s="196"/>
      <c r="BFS58" s="196"/>
      <c r="BFT58" s="196"/>
      <c r="BFU58" s="196"/>
      <c r="BFV58" s="196"/>
      <c r="BFW58" s="196"/>
      <c r="BFX58" s="196"/>
      <c r="BFY58" s="196"/>
      <c r="BFZ58" s="196"/>
      <c r="BGA58" s="196"/>
      <c r="BGB58" s="196"/>
      <c r="BGC58" s="196"/>
      <c r="BGD58" s="196"/>
      <c r="BGE58" s="196"/>
      <c r="BGF58" s="196"/>
      <c r="BGG58" s="196"/>
      <c r="BGH58" s="196"/>
      <c r="BGI58" s="196"/>
      <c r="BGJ58" s="196"/>
      <c r="BGK58" s="196"/>
      <c r="BGL58" s="196"/>
      <c r="BGM58" s="196"/>
      <c r="BGN58" s="196"/>
      <c r="BGO58" s="196"/>
      <c r="BGP58" s="196"/>
      <c r="BGQ58" s="196"/>
      <c r="BGR58" s="196"/>
      <c r="BGS58" s="196"/>
      <c r="BGT58" s="196"/>
      <c r="BGU58" s="196"/>
      <c r="BGV58" s="196"/>
      <c r="BGW58" s="196"/>
      <c r="BGX58" s="196"/>
      <c r="BGY58" s="196"/>
      <c r="BGZ58" s="196"/>
      <c r="BHA58" s="196"/>
      <c r="BHB58" s="196"/>
      <c r="BHC58" s="196"/>
      <c r="BHD58" s="196"/>
      <c r="BHE58" s="196"/>
      <c r="BHF58" s="196"/>
      <c r="BHG58" s="196"/>
      <c r="BHH58" s="196"/>
      <c r="BHI58" s="196"/>
      <c r="BHJ58" s="196"/>
      <c r="BHK58" s="196"/>
      <c r="BHL58" s="196"/>
      <c r="BHM58" s="196"/>
      <c r="BHN58" s="196"/>
      <c r="BHO58" s="196"/>
      <c r="BHP58" s="196"/>
      <c r="BHQ58" s="196"/>
      <c r="BHR58" s="196"/>
      <c r="BHS58" s="196"/>
      <c r="BHT58" s="196"/>
      <c r="BHU58" s="196"/>
      <c r="BHV58" s="196"/>
      <c r="BHW58" s="196"/>
      <c r="BHX58" s="196"/>
      <c r="BHY58" s="196"/>
      <c r="BHZ58" s="196"/>
      <c r="BIA58" s="196"/>
      <c r="BIB58" s="196"/>
      <c r="BIC58" s="196"/>
      <c r="BID58" s="196"/>
      <c r="BIE58" s="196"/>
      <c r="BIF58" s="196"/>
      <c r="BIG58" s="196"/>
      <c r="BIH58" s="196"/>
      <c r="BII58" s="196"/>
      <c r="BIJ58" s="196"/>
      <c r="BIK58" s="196"/>
      <c r="BIL58" s="196"/>
      <c r="BIM58" s="196"/>
      <c r="BIN58" s="196"/>
      <c r="BIO58" s="196"/>
      <c r="BIP58" s="196"/>
      <c r="BIQ58" s="196"/>
      <c r="BIR58" s="196"/>
      <c r="BIS58" s="196"/>
      <c r="BIT58" s="196"/>
      <c r="BIU58" s="196"/>
      <c r="BIV58" s="196"/>
      <c r="BIW58" s="196"/>
      <c r="BIX58" s="196"/>
      <c r="BIY58" s="196"/>
      <c r="BIZ58" s="196"/>
      <c r="BJA58" s="196"/>
      <c r="BJB58" s="196"/>
      <c r="BJC58" s="196"/>
      <c r="BJD58" s="196"/>
      <c r="BJE58" s="196"/>
      <c r="BJF58" s="196"/>
      <c r="BJG58" s="196"/>
      <c r="BJH58" s="196"/>
      <c r="BJI58" s="196"/>
      <c r="BJJ58" s="196"/>
      <c r="BJK58" s="196"/>
      <c r="BJL58" s="196"/>
      <c r="BJM58" s="196"/>
      <c r="BJN58" s="196"/>
      <c r="BJO58" s="196"/>
      <c r="BJP58" s="196"/>
      <c r="BJQ58" s="196"/>
      <c r="BJR58" s="196"/>
      <c r="BJS58" s="196"/>
      <c r="BJT58" s="196"/>
      <c r="BJU58" s="196"/>
      <c r="BJV58" s="196"/>
      <c r="BJW58" s="196"/>
      <c r="BJX58" s="196"/>
      <c r="BJY58" s="196"/>
      <c r="BJZ58" s="196"/>
      <c r="BKA58" s="196"/>
      <c r="BKB58" s="196"/>
      <c r="BKC58" s="196"/>
      <c r="BKD58" s="196"/>
      <c r="BKE58" s="196"/>
      <c r="BKF58" s="196"/>
      <c r="BKG58" s="196"/>
      <c r="BKH58" s="196"/>
      <c r="BKI58" s="196"/>
      <c r="BKJ58" s="196"/>
      <c r="BKK58" s="196"/>
      <c r="BKL58" s="196"/>
      <c r="BKM58" s="196"/>
      <c r="BKN58" s="196"/>
      <c r="BKO58" s="196"/>
      <c r="BKP58" s="196"/>
      <c r="BKQ58" s="196"/>
      <c r="BKR58" s="196"/>
      <c r="BKS58" s="196"/>
      <c r="BKT58" s="196"/>
      <c r="BKU58" s="196"/>
      <c r="BKV58" s="196"/>
      <c r="BKW58" s="196"/>
      <c r="BKX58" s="196"/>
      <c r="BKY58" s="196"/>
      <c r="BKZ58" s="196"/>
      <c r="BLA58" s="196"/>
      <c r="BLB58" s="196"/>
      <c r="BLC58" s="196"/>
      <c r="BLD58" s="196"/>
      <c r="BLE58" s="196"/>
      <c r="BLF58" s="196"/>
      <c r="BLG58" s="196"/>
      <c r="BLH58" s="196"/>
      <c r="BLI58" s="196"/>
      <c r="BLJ58" s="196"/>
      <c r="BLK58" s="196"/>
      <c r="BLL58" s="196"/>
      <c r="BLM58" s="196"/>
      <c r="BLN58" s="196"/>
      <c r="BLO58" s="196"/>
      <c r="BLP58" s="196"/>
      <c r="BLQ58" s="196"/>
      <c r="BLR58" s="196"/>
      <c r="BLS58" s="196"/>
      <c r="BLT58" s="196"/>
      <c r="BLU58" s="196"/>
      <c r="BLV58" s="196"/>
      <c r="BLW58" s="196"/>
      <c r="BLX58" s="196"/>
      <c r="BLY58" s="196"/>
      <c r="BLZ58" s="196"/>
      <c r="BMA58" s="196"/>
      <c r="BMB58" s="196"/>
      <c r="BMC58" s="196"/>
      <c r="BMD58" s="196"/>
      <c r="BME58" s="196"/>
      <c r="BMF58" s="196"/>
      <c r="BMG58" s="196"/>
      <c r="BMH58" s="196"/>
      <c r="BMI58" s="196"/>
      <c r="BMJ58" s="196"/>
      <c r="BMK58" s="196"/>
      <c r="BML58" s="196"/>
      <c r="BMM58" s="196"/>
      <c r="BMN58" s="196"/>
      <c r="BMO58" s="196"/>
      <c r="BMP58" s="196"/>
      <c r="BMQ58" s="196"/>
      <c r="BMR58" s="196"/>
      <c r="BMS58" s="196"/>
      <c r="BMT58" s="196"/>
      <c r="BMU58" s="196"/>
      <c r="BMV58" s="196"/>
      <c r="BMW58" s="196"/>
      <c r="BMX58" s="196"/>
      <c r="BMY58" s="196"/>
      <c r="BMZ58" s="196"/>
      <c r="BNA58" s="196"/>
      <c r="BNB58" s="196"/>
      <c r="BNC58" s="196"/>
      <c r="BND58" s="196"/>
      <c r="BNE58" s="196"/>
      <c r="BNF58" s="196"/>
      <c r="BNG58" s="196"/>
      <c r="BNH58" s="196"/>
      <c r="BNI58" s="196"/>
      <c r="BNJ58" s="196"/>
      <c r="BNK58" s="196"/>
      <c r="BNL58" s="196"/>
      <c r="BNM58" s="196"/>
      <c r="BNN58" s="196"/>
      <c r="BNO58" s="196"/>
      <c r="BNP58" s="196"/>
      <c r="BNQ58" s="196"/>
      <c r="BNR58" s="196"/>
      <c r="BNS58" s="196"/>
      <c r="BNT58" s="196"/>
      <c r="BNU58" s="196"/>
      <c r="BNV58" s="196"/>
      <c r="BNW58" s="196"/>
      <c r="BNX58" s="196"/>
      <c r="BNY58" s="196"/>
      <c r="BNZ58" s="196"/>
      <c r="BOA58" s="196"/>
      <c r="BOB58" s="196"/>
      <c r="BOC58" s="196"/>
      <c r="BOD58" s="196"/>
      <c r="BOE58" s="196"/>
      <c r="BOF58" s="196"/>
      <c r="BOG58" s="196"/>
      <c r="BOH58" s="196"/>
      <c r="BOI58" s="196"/>
      <c r="BOJ58" s="196"/>
      <c r="BOK58" s="196"/>
      <c r="BOL58" s="196"/>
      <c r="BOM58" s="196"/>
      <c r="BON58" s="196"/>
      <c r="BOO58" s="196"/>
      <c r="BOP58" s="196"/>
      <c r="BOQ58" s="196"/>
      <c r="BOR58" s="196"/>
      <c r="BOS58" s="196"/>
      <c r="BOT58" s="196"/>
      <c r="BOU58" s="196"/>
      <c r="BOV58" s="196"/>
      <c r="BOW58" s="196"/>
      <c r="BOX58" s="196"/>
      <c r="BOY58" s="196"/>
      <c r="BOZ58" s="196"/>
      <c r="BPA58" s="196"/>
      <c r="BPB58" s="196"/>
      <c r="BPC58" s="196"/>
      <c r="BPD58" s="196"/>
      <c r="BPE58" s="196"/>
      <c r="BPF58" s="196"/>
      <c r="BPG58" s="196"/>
      <c r="BPH58" s="196"/>
      <c r="BPI58" s="196"/>
      <c r="BPJ58" s="196"/>
      <c r="BPK58" s="196"/>
      <c r="BPL58" s="196"/>
      <c r="BPM58" s="196"/>
      <c r="BPN58" s="196"/>
      <c r="BPO58" s="196"/>
      <c r="BPP58" s="196"/>
      <c r="BPQ58" s="196"/>
      <c r="BPR58" s="196"/>
      <c r="BPS58" s="196"/>
      <c r="BPT58" s="196"/>
      <c r="BPU58" s="196"/>
      <c r="BPV58" s="196"/>
      <c r="BPW58" s="196"/>
      <c r="BPX58" s="196"/>
      <c r="BPY58" s="196"/>
      <c r="BPZ58" s="196"/>
      <c r="BQA58" s="196"/>
      <c r="BQB58" s="196"/>
      <c r="BQC58" s="196"/>
      <c r="BQD58" s="196"/>
      <c r="BQE58" s="196"/>
      <c r="BQF58" s="196"/>
      <c r="BQG58" s="196"/>
      <c r="BQH58" s="196"/>
      <c r="BQI58" s="196"/>
      <c r="BQJ58" s="196"/>
      <c r="BQK58" s="196"/>
      <c r="BQL58" s="196"/>
      <c r="BQM58" s="196"/>
      <c r="BQN58" s="196"/>
      <c r="BQO58" s="196"/>
      <c r="BQP58" s="196"/>
      <c r="BQQ58" s="196"/>
      <c r="BQR58" s="196"/>
      <c r="BQS58" s="196"/>
      <c r="BQT58" s="196"/>
      <c r="BQU58" s="196"/>
      <c r="BQV58" s="196"/>
      <c r="BQW58" s="196"/>
      <c r="BQX58" s="196"/>
      <c r="BQY58" s="196"/>
      <c r="BQZ58" s="196"/>
      <c r="BRA58" s="196"/>
      <c r="BRB58" s="196"/>
      <c r="BRC58" s="196"/>
      <c r="BRD58" s="196"/>
      <c r="BRE58" s="196"/>
      <c r="BRF58" s="196"/>
      <c r="BRG58" s="196"/>
      <c r="BRH58" s="196"/>
      <c r="BRI58" s="196"/>
      <c r="BRJ58" s="196"/>
      <c r="BRK58" s="196"/>
      <c r="BRL58" s="196"/>
      <c r="BRM58" s="196"/>
      <c r="BRN58" s="196"/>
      <c r="BRO58" s="196"/>
      <c r="BRP58" s="196"/>
      <c r="BRQ58" s="196"/>
      <c r="BRR58" s="196"/>
      <c r="BRS58" s="196"/>
      <c r="BRT58" s="196"/>
      <c r="BRU58" s="196"/>
      <c r="BRV58" s="196"/>
      <c r="BRW58" s="196"/>
      <c r="BRX58" s="196"/>
      <c r="BRY58" s="196"/>
      <c r="BRZ58" s="196"/>
      <c r="BSA58" s="196"/>
      <c r="BSB58" s="196"/>
      <c r="BSC58" s="196"/>
      <c r="BSD58" s="196"/>
      <c r="BSE58" s="196"/>
      <c r="BSF58" s="196"/>
      <c r="BSG58" s="196"/>
      <c r="BSH58" s="196"/>
      <c r="BSI58" s="196"/>
      <c r="BSJ58" s="196"/>
      <c r="BSK58" s="196"/>
      <c r="BSL58" s="196"/>
      <c r="BSM58" s="196"/>
      <c r="BSN58" s="196"/>
      <c r="BSO58" s="196"/>
      <c r="BSP58" s="196"/>
      <c r="BSQ58" s="196"/>
      <c r="BSR58" s="196"/>
      <c r="BSS58" s="196"/>
      <c r="BST58" s="196"/>
      <c r="BSU58" s="196"/>
      <c r="BSV58" s="196"/>
      <c r="BSW58" s="196"/>
      <c r="BSX58" s="196"/>
      <c r="BSY58" s="196"/>
      <c r="BSZ58" s="196"/>
      <c r="BTA58" s="196"/>
      <c r="BTB58" s="196"/>
      <c r="BTC58" s="196"/>
      <c r="BTD58" s="196"/>
      <c r="BTE58" s="196"/>
      <c r="BTF58" s="196"/>
      <c r="BTG58" s="196"/>
      <c r="BTH58" s="196"/>
      <c r="BTI58" s="196"/>
      <c r="BTJ58" s="196"/>
      <c r="BTK58" s="196"/>
      <c r="BTL58" s="196"/>
      <c r="BTM58" s="196"/>
      <c r="BTN58" s="196"/>
      <c r="BTO58" s="196"/>
      <c r="BTP58" s="196"/>
      <c r="BTQ58" s="196"/>
      <c r="BTR58" s="196"/>
      <c r="BTS58" s="196"/>
      <c r="BTT58" s="196"/>
      <c r="BTU58" s="196"/>
      <c r="BTV58" s="196"/>
      <c r="BTW58" s="196"/>
      <c r="BTX58" s="196"/>
      <c r="BTY58" s="196"/>
      <c r="BTZ58" s="196"/>
      <c r="BUA58" s="196"/>
      <c r="BUB58" s="196"/>
      <c r="BUC58" s="196"/>
      <c r="BUD58" s="196"/>
      <c r="BUE58" s="196"/>
      <c r="BUF58" s="196"/>
      <c r="BUG58" s="196"/>
      <c r="BUH58" s="196"/>
      <c r="BUI58" s="196"/>
      <c r="BUJ58" s="196"/>
      <c r="BUK58" s="196"/>
      <c r="BUL58" s="196"/>
      <c r="BUM58" s="196"/>
      <c r="BUN58" s="196"/>
      <c r="BUO58" s="196"/>
      <c r="BUP58" s="196"/>
      <c r="BUQ58" s="196"/>
      <c r="BUR58" s="196"/>
      <c r="BUS58" s="196"/>
      <c r="BUT58" s="196"/>
      <c r="BUU58" s="196"/>
      <c r="BUV58" s="196"/>
      <c r="BUW58" s="196"/>
      <c r="BUX58" s="196"/>
      <c r="BUY58" s="196"/>
      <c r="BUZ58" s="196"/>
      <c r="BVA58" s="196"/>
      <c r="BVB58" s="196"/>
      <c r="BVC58" s="196"/>
      <c r="BVD58" s="196"/>
      <c r="BVE58" s="196"/>
      <c r="BVF58" s="196"/>
      <c r="BVG58" s="196"/>
      <c r="BVH58" s="196"/>
      <c r="BVI58" s="196"/>
      <c r="BVJ58" s="196"/>
      <c r="BVK58" s="196"/>
      <c r="BVL58" s="196"/>
      <c r="BVM58" s="196"/>
      <c r="BVN58" s="196"/>
      <c r="BVO58" s="196"/>
      <c r="BVP58" s="196"/>
      <c r="BVQ58" s="196"/>
      <c r="BVR58" s="196"/>
      <c r="BVS58" s="196"/>
      <c r="BVT58" s="196"/>
      <c r="BVU58" s="196"/>
      <c r="BVV58" s="196"/>
      <c r="BVW58" s="196"/>
      <c r="BVX58" s="196"/>
      <c r="BVY58" s="196"/>
      <c r="BVZ58" s="196"/>
      <c r="BWA58" s="196"/>
      <c r="BWB58" s="196"/>
      <c r="BWC58" s="196"/>
      <c r="BWD58" s="196"/>
      <c r="BWE58" s="196"/>
      <c r="BWF58" s="196"/>
      <c r="BWG58" s="196"/>
      <c r="BWH58" s="196"/>
      <c r="BWI58" s="196"/>
      <c r="BWJ58" s="196"/>
      <c r="BWK58" s="196"/>
      <c r="BWL58" s="196"/>
      <c r="BWM58" s="196"/>
      <c r="BWN58" s="196"/>
      <c r="BWO58" s="196"/>
      <c r="BWP58" s="196"/>
      <c r="BWQ58" s="196"/>
      <c r="BWR58" s="196"/>
      <c r="BWS58" s="196"/>
      <c r="BWT58" s="196"/>
      <c r="BWU58" s="196"/>
      <c r="BWV58" s="196"/>
      <c r="BWW58" s="196"/>
      <c r="BWX58" s="196"/>
      <c r="BWY58" s="196"/>
      <c r="BWZ58" s="196"/>
      <c r="BXA58" s="196"/>
      <c r="BXB58" s="196"/>
      <c r="BXC58" s="196"/>
      <c r="BXD58" s="196"/>
      <c r="BXE58" s="196"/>
      <c r="BXF58" s="196"/>
      <c r="BXG58" s="196"/>
      <c r="BXH58" s="196"/>
      <c r="BXI58" s="196"/>
      <c r="BXJ58" s="196"/>
      <c r="BXK58" s="196"/>
      <c r="BXL58" s="196"/>
      <c r="BXM58" s="196"/>
      <c r="BXN58" s="196"/>
      <c r="BXO58" s="196"/>
      <c r="BXP58" s="196"/>
      <c r="BXQ58" s="196"/>
      <c r="BXR58" s="196"/>
      <c r="BXS58" s="196"/>
      <c r="BXT58" s="196"/>
      <c r="BXU58" s="196"/>
      <c r="BXV58" s="196"/>
      <c r="BXW58" s="196"/>
      <c r="BXX58" s="196"/>
      <c r="BXY58" s="196"/>
      <c r="BXZ58" s="196"/>
      <c r="BYA58" s="196"/>
      <c r="BYB58" s="196"/>
      <c r="BYC58" s="196"/>
      <c r="BYD58" s="196"/>
      <c r="BYE58" s="196"/>
      <c r="BYF58" s="196"/>
      <c r="BYG58" s="196"/>
      <c r="BYH58" s="196"/>
      <c r="BYI58" s="196"/>
      <c r="BYJ58" s="196"/>
      <c r="BYK58" s="196"/>
      <c r="BYL58" s="196"/>
      <c r="BYM58" s="196"/>
      <c r="BYN58" s="196"/>
      <c r="BYO58" s="196"/>
      <c r="BYP58" s="196"/>
      <c r="BYQ58" s="196"/>
      <c r="BYR58" s="196"/>
      <c r="BYS58" s="196"/>
      <c r="BYT58" s="196"/>
      <c r="BYU58" s="196"/>
      <c r="BYV58" s="196"/>
      <c r="BYW58" s="196"/>
      <c r="BYX58" s="196"/>
      <c r="BYY58" s="196"/>
      <c r="BYZ58" s="196"/>
      <c r="BZA58" s="196"/>
      <c r="BZB58" s="196"/>
      <c r="BZC58" s="196"/>
      <c r="BZD58" s="196"/>
      <c r="BZE58" s="196"/>
      <c r="BZF58" s="196"/>
      <c r="BZG58" s="196"/>
      <c r="BZH58" s="196"/>
      <c r="BZI58" s="196"/>
      <c r="BZJ58" s="196"/>
      <c r="BZK58" s="196"/>
      <c r="BZL58" s="196"/>
      <c r="BZM58" s="196"/>
      <c r="BZN58" s="196"/>
      <c r="BZO58" s="196"/>
      <c r="BZP58" s="196"/>
      <c r="BZQ58" s="196"/>
      <c r="BZR58" s="196"/>
      <c r="BZS58" s="196"/>
      <c r="BZT58" s="196"/>
      <c r="BZU58" s="196"/>
      <c r="BZV58" s="196"/>
      <c r="BZW58" s="196"/>
      <c r="BZX58" s="196"/>
      <c r="BZY58" s="196"/>
      <c r="BZZ58" s="196"/>
      <c r="CAA58" s="196"/>
      <c r="CAB58" s="196"/>
      <c r="CAC58" s="196"/>
      <c r="CAD58" s="196"/>
      <c r="CAE58" s="196"/>
      <c r="CAF58" s="196"/>
      <c r="CAG58" s="196"/>
      <c r="CAH58" s="196"/>
      <c r="CAI58" s="196"/>
      <c r="CAJ58" s="196"/>
      <c r="CAK58" s="196"/>
      <c r="CAL58" s="196"/>
      <c r="CAM58" s="196"/>
      <c r="CAN58" s="196"/>
      <c r="CAO58" s="196"/>
      <c r="CAP58" s="196"/>
      <c r="CAQ58" s="196"/>
      <c r="CAR58" s="196"/>
      <c r="CAS58" s="196"/>
      <c r="CAT58" s="196"/>
      <c r="CAU58" s="196"/>
      <c r="CAV58" s="196"/>
      <c r="CAW58" s="196"/>
      <c r="CAX58" s="196"/>
      <c r="CAY58" s="196"/>
      <c r="CAZ58" s="196"/>
      <c r="CBA58" s="196"/>
      <c r="CBB58" s="196"/>
      <c r="CBC58" s="196"/>
      <c r="CBD58" s="196"/>
      <c r="CBE58" s="196"/>
      <c r="CBF58" s="196"/>
      <c r="CBG58" s="196"/>
      <c r="CBH58" s="196"/>
      <c r="CBI58" s="196"/>
      <c r="CBJ58" s="196"/>
      <c r="CBK58" s="196"/>
      <c r="CBL58" s="196"/>
      <c r="CBM58" s="196"/>
      <c r="CBN58" s="196"/>
      <c r="CBO58" s="196"/>
      <c r="CBP58" s="196"/>
      <c r="CBQ58" s="196"/>
      <c r="CBR58" s="196"/>
      <c r="CBS58" s="196"/>
      <c r="CBT58" s="196"/>
      <c r="CBU58" s="196"/>
      <c r="CBV58" s="196"/>
      <c r="CBW58" s="196"/>
      <c r="CBX58" s="196"/>
      <c r="CBY58" s="196"/>
      <c r="CBZ58" s="196"/>
      <c r="CCA58" s="196"/>
      <c r="CCB58" s="196"/>
      <c r="CCC58" s="196"/>
      <c r="CCD58" s="196"/>
      <c r="CCE58" s="196"/>
      <c r="CCF58" s="196"/>
      <c r="CCG58" s="196"/>
      <c r="CCH58" s="196"/>
      <c r="CCI58" s="196"/>
      <c r="CCJ58" s="196"/>
      <c r="CCK58" s="196"/>
      <c r="CCL58" s="196"/>
      <c r="CCM58" s="196"/>
      <c r="CCN58" s="196"/>
      <c r="CCO58" s="196"/>
      <c r="CCP58" s="196"/>
      <c r="CCQ58" s="196"/>
      <c r="CCR58" s="196"/>
      <c r="CCS58" s="196"/>
      <c r="CCT58" s="196"/>
      <c r="CCU58" s="196"/>
      <c r="CCV58" s="196"/>
      <c r="CCW58" s="196"/>
      <c r="CCX58" s="196"/>
      <c r="CCY58" s="196"/>
      <c r="CCZ58" s="196"/>
      <c r="CDA58" s="196"/>
      <c r="CDB58" s="196"/>
      <c r="CDC58" s="196"/>
      <c r="CDD58" s="196"/>
      <c r="CDE58" s="196"/>
      <c r="CDF58" s="196"/>
      <c r="CDG58" s="196"/>
      <c r="CDH58" s="196"/>
      <c r="CDI58" s="196"/>
      <c r="CDJ58" s="196"/>
      <c r="CDK58" s="196"/>
      <c r="CDL58" s="196"/>
      <c r="CDM58" s="196"/>
      <c r="CDN58" s="196"/>
      <c r="CDO58" s="196"/>
      <c r="CDP58" s="196"/>
      <c r="CDQ58" s="196"/>
      <c r="CDR58" s="196"/>
      <c r="CDS58" s="196"/>
      <c r="CDT58" s="196"/>
      <c r="CDU58" s="196"/>
      <c r="CDV58" s="196"/>
      <c r="CDW58" s="196"/>
      <c r="CDX58" s="196"/>
      <c r="CDY58" s="196"/>
      <c r="CDZ58" s="196"/>
      <c r="CEA58" s="196"/>
      <c r="CEB58" s="196"/>
      <c r="CEC58" s="196"/>
      <c r="CED58" s="196"/>
      <c r="CEE58" s="196"/>
      <c r="CEF58" s="196"/>
      <c r="CEG58" s="196"/>
      <c r="CEH58" s="196"/>
      <c r="CEI58" s="196"/>
      <c r="CEJ58" s="196"/>
      <c r="CEK58" s="196"/>
      <c r="CEL58" s="196"/>
      <c r="CEM58" s="196"/>
      <c r="CEN58" s="196"/>
      <c r="CEO58" s="196"/>
      <c r="CEP58" s="196"/>
      <c r="CEQ58" s="196"/>
      <c r="CER58" s="196"/>
      <c r="CES58" s="196"/>
      <c r="CET58" s="196"/>
      <c r="CEU58" s="196"/>
      <c r="CEV58" s="196"/>
      <c r="CEW58" s="196"/>
      <c r="CEX58" s="196"/>
      <c r="CEY58" s="196"/>
      <c r="CEZ58" s="196"/>
      <c r="CFA58" s="196"/>
      <c r="CFB58" s="196"/>
      <c r="CFC58" s="196"/>
      <c r="CFD58" s="196"/>
      <c r="CFE58" s="196"/>
      <c r="CFF58" s="196"/>
      <c r="CFG58" s="196"/>
      <c r="CFH58" s="196"/>
      <c r="CFI58" s="196"/>
      <c r="CFJ58" s="196"/>
      <c r="CFK58" s="196"/>
      <c r="CFL58" s="196"/>
      <c r="CFM58" s="196"/>
      <c r="CFN58" s="196"/>
      <c r="CFO58" s="196"/>
      <c r="CFP58" s="196"/>
      <c r="CFQ58" s="196"/>
      <c r="CFR58" s="196"/>
      <c r="CFS58" s="196"/>
      <c r="CFT58" s="196"/>
      <c r="CFU58" s="196"/>
      <c r="CFV58" s="196"/>
      <c r="CFW58" s="196"/>
      <c r="CFX58" s="196"/>
      <c r="CFY58" s="196"/>
      <c r="CFZ58" s="196"/>
      <c r="CGA58" s="196"/>
      <c r="CGB58" s="196"/>
      <c r="CGC58" s="196"/>
      <c r="CGD58" s="196"/>
      <c r="CGE58" s="196"/>
      <c r="CGF58" s="196"/>
      <c r="CGG58" s="196"/>
      <c r="CGH58" s="196"/>
      <c r="CGI58" s="196"/>
      <c r="CGJ58" s="196"/>
      <c r="CGK58" s="196"/>
      <c r="CGL58" s="196"/>
      <c r="CGM58" s="196"/>
      <c r="CGN58" s="196"/>
      <c r="CGO58" s="196"/>
      <c r="CGP58" s="196"/>
      <c r="CGQ58" s="196"/>
      <c r="CGR58" s="196"/>
      <c r="CGS58" s="196"/>
      <c r="CGT58" s="196"/>
      <c r="CGU58" s="196"/>
      <c r="CGV58" s="196"/>
      <c r="CGW58" s="196"/>
      <c r="CGX58" s="196"/>
      <c r="CGY58" s="196"/>
      <c r="CGZ58" s="196"/>
      <c r="CHA58" s="196"/>
      <c r="CHB58" s="196"/>
      <c r="CHC58" s="196"/>
      <c r="CHD58" s="196"/>
      <c r="CHE58" s="196"/>
      <c r="CHF58" s="196"/>
      <c r="CHG58" s="196"/>
      <c r="CHH58" s="196"/>
      <c r="CHI58" s="196"/>
      <c r="CHJ58" s="196"/>
      <c r="CHK58" s="196"/>
      <c r="CHL58" s="196"/>
      <c r="CHM58" s="196"/>
      <c r="CHN58" s="196"/>
      <c r="CHO58" s="196"/>
      <c r="CHP58" s="196"/>
      <c r="CHQ58" s="196"/>
      <c r="CHR58" s="196"/>
      <c r="CHS58" s="196"/>
      <c r="CHT58" s="196"/>
      <c r="CHU58" s="196"/>
      <c r="CHV58" s="196"/>
      <c r="CHW58" s="196"/>
      <c r="CHX58" s="196"/>
      <c r="CHY58" s="196"/>
      <c r="CHZ58" s="196"/>
      <c r="CIA58" s="196"/>
      <c r="CIB58" s="196"/>
      <c r="CIC58" s="196"/>
      <c r="CID58" s="196"/>
      <c r="CIE58" s="196"/>
      <c r="CIF58" s="196"/>
      <c r="CIG58" s="196"/>
      <c r="CIH58" s="196"/>
      <c r="CII58" s="196"/>
      <c r="CIJ58" s="196"/>
      <c r="CIK58" s="196"/>
      <c r="CIL58" s="196"/>
      <c r="CIM58" s="196"/>
      <c r="CIN58" s="196"/>
      <c r="CIO58" s="196"/>
      <c r="CIP58" s="196"/>
      <c r="CIQ58" s="196"/>
      <c r="CIR58" s="196"/>
      <c r="CIS58" s="196"/>
      <c r="CIT58" s="196"/>
      <c r="CIU58" s="196"/>
      <c r="CIV58" s="196"/>
      <c r="CIW58" s="196"/>
      <c r="CIX58" s="196"/>
      <c r="CIY58" s="196"/>
      <c r="CIZ58" s="196"/>
      <c r="CJA58" s="196"/>
      <c r="CJB58" s="196"/>
      <c r="CJC58" s="196"/>
      <c r="CJD58" s="196"/>
      <c r="CJE58" s="196"/>
      <c r="CJF58" s="196"/>
      <c r="CJG58" s="196"/>
      <c r="CJH58" s="196"/>
      <c r="CJI58" s="196"/>
      <c r="CJJ58" s="196"/>
      <c r="CJK58" s="196"/>
      <c r="CJL58" s="196"/>
      <c r="CJM58" s="196"/>
      <c r="CJN58" s="196"/>
      <c r="CJO58" s="196"/>
      <c r="CJP58" s="196"/>
      <c r="CJQ58" s="196"/>
      <c r="CJR58" s="196"/>
      <c r="CJS58" s="196"/>
      <c r="CJT58" s="196"/>
      <c r="CJU58" s="196"/>
      <c r="CJV58" s="196"/>
      <c r="CJW58" s="196"/>
      <c r="CJX58" s="196"/>
      <c r="CJY58" s="196"/>
      <c r="CJZ58" s="196"/>
      <c r="CKA58" s="196"/>
      <c r="CKB58" s="196"/>
      <c r="CKC58" s="196"/>
      <c r="CKD58" s="196"/>
      <c r="CKE58" s="196"/>
      <c r="CKF58" s="196"/>
      <c r="CKG58" s="196"/>
      <c r="CKH58" s="196"/>
      <c r="CKI58" s="196"/>
      <c r="CKJ58" s="196"/>
      <c r="CKK58" s="196"/>
      <c r="CKL58" s="196"/>
      <c r="CKM58" s="196"/>
      <c r="CKN58" s="196"/>
      <c r="CKO58" s="196"/>
      <c r="CKP58" s="196"/>
      <c r="CKQ58" s="196"/>
      <c r="CKR58" s="196"/>
      <c r="CKS58" s="196"/>
      <c r="CKT58" s="196"/>
      <c r="CKU58" s="196"/>
      <c r="CKV58" s="196"/>
      <c r="CKW58" s="196"/>
      <c r="CKX58" s="196"/>
      <c r="CKY58" s="196"/>
      <c r="CKZ58" s="196"/>
      <c r="CLA58" s="196"/>
      <c r="CLB58" s="196"/>
      <c r="CLC58" s="196"/>
      <c r="CLD58" s="196"/>
      <c r="CLE58" s="196"/>
      <c r="CLF58" s="196"/>
      <c r="CLG58" s="196"/>
      <c r="CLH58" s="196"/>
      <c r="CLI58" s="196"/>
      <c r="CLJ58" s="196"/>
      <c r="CLK58" s="196"/>
      <c r="CLL58" s="196"/>
      <c r="CLM58" s="196"/>
      <c r="CLN58" s="196"/>
      <c r="CLO58" s="196"/>
      <c r="CLP58" s="196"/>
      <c r="CLQ58" s="196"/>
      <c r="CLR58" s="196"/>
      <c r="CLS58" s="196"/>
      <c r="CLT58" s="196"/>
      <c r="CLU58" s="196"/>
      <c r="CLV58" s="196"/>
      <c r="CLW58" s="196"/>
      <c r="CLX58" s="196"/>
      <c r="CLY58" s="196"/>
      <c r="CLZ58" s="196"/>
      <c r="CMA58" s="196"/>
      <c r="CMB58" s="196"/>
      <c r="CMC58" s="196"/>
      <c r="CMD58" s="196"/>
      <c r="CME58" s="196"/>
      <c r="CMF58" s="196"/>
      <c r="CMG58" s="196"/>
      <c r="CMH58" s="196"/>
      <c r="CMI58" s="196"/>
      <c r="CMJ58" s="196"/>
      <c r="CMK58" s="196"/>
      <c r="CML58" s="196"/>
      <c r="CMM58" s="196"/>
      <c r="CMN58" s="196"/>
      <c r="CMO58" s="196"/>
      <c r="CMP58" s="196"/>
      <c r="CMQ58" s="196"/>
      <c r="CMR58" s="196"/>
      <c r="CMS58" s="196"/>
      <c r="CMT58" s="196"/>
      <c r="CMU58" s="196"/>
      <c r="CMV58" s="196"/>
      <c r="CMW58" s="196"/>
      <c r="CMX58" s="196"/>
      <c r="CMY58" s="196"/>
      <c r="CMZ58" s="196"/>
      <c r="CNA58" s="196"/>
      <c r="CNB58" s="196"/>
      <c r="CNC58" s="196"/>
      <c r="CND58" s="196"/>
      <c r="CNE58" s="196"/>
      <c r="CNF58" s="196"/>
      <c r="CNG58" s="196"/>
      <c r="CNH58" s="196"/>
      <c r="CNI58" s="196"/>
      <c r="CNJ58" s="196"/>
      <c r="CNK58" s="196"/>
      <c r="CNL58" s="196"/>
      <c r="CNM58" s="196"/>
      <c r="CNN58" s="196"/>
      <c r="CNO58" s="196"/>
      <c r="CNP58" s="196"/>
      <c r="CNQ58" s="196"/>
      <c r="CNR58" s="196"/>
      <c r="CNS58" s="196"/>
      <c r="CNT58" s="196"/>
      <c r="CNU58" s="196"/>
      <c r="CNV58" s="196"/>
      <c r="CNW58" s="196"/>
      <c r="CNX58" s="196"/>
      <c r="CNY58" s="196"/>
      <c r="CNZ58" s="196"/>
      <c r="COA58" s="196"/>
      <c r="COB58" s="196"/>
      <c r="COC58" s="196"/>
      <c r="COD58" s="196"/>
      <c r="COE58" s="196"/>
      <c r="COF58" s="196"/>
      <c r="COG58" s="196"/>
      <c r="COH58" s="196"/>
      <c r="COI58" s="196"/>
      <c r="COJ58" s="196"/>
      <c r="COK58" s="196"/>
      <c r="COL58" s="196"/>
      <c r="COM58" s="196"/>
      <c r="CON58" s="196"/>
      <c r="COO58" s="196"/>
      <c r="COP58" s="196"/>
      <c r="COQ58" s="196"/>
      <c r="COR58" s="196"/>
      <c r="COS58" s="196"/>
      <c r="COT58" s="196"/>
      <c r="COU58" s="196"/>
      <c r="COV58" s="196"/>
      <c r="COW58" s="196"/>
      <c r="COX58" s="196"/>
      <c r="COY58" s="196"/>
      <c r="COZ58" s="196"/>
      <c r="CPA58" s="196"/>
      <c r="CPB58" s="196"/>
      <c r="CPC58" s="196"/>
      <c r="CPD58" s="196"/>
      <c r="CPE58" s="196"/>
      <c r="CPF58" s="196"/>
      <c r="CPG58" s="196"/>
      <c r="CPH58" s="196"/>
      <c r="CPI58" s="196"/>
      <c r="CPJ58" s="196"/>
      <c r="CPK58" s="196"/>
      <c r="CPL58" s="196"/>
      <c r="CPM58" s="196"/>
      <c r="CPN58" s="196"/>
      <c r="CPO58" s="196"/>
      <c r="CPP58" s="196"/>
      <c r="CPQ58" s="196"/>
      <c r="CPR58" s="196"/>
      <c r="CPS58" s="196"/>
      <c r="CPT58" s="196"/>
      <c r="CPU58" s="196"/>
      <c r="CPV58" s="196"/>
      <c r="CPW58" s="196"/>
      <c r="CPX58" s="196"/>
      <c r="CPY58" s="196"/>
      <c r="CPZ58" s="196"/>
      <c r="CQA58" s="196"/>
      <c r="CQB58" s="196"/>
      <c r="CQC58" s="196"/>
      <c r="CQD58" s="196"/>
      <c r="CQE58" s="196"/>
      <c r="CQF58" s="196"/>
      <c r="CQG58" s="196"/>
      <c r="CQH58" s="196"/>
      <c r="CQI58" s="196"/>
      <c r="CQJ58" s="196"/>
      <c r="CQK58" s="196"/>
      <c r="CQL58" s="196"/>
      <c r="CQM58" s="196"/>
      <c r="CQN58" s="196"/>
      <c r="CQO58" s="196"/>
      <c r="CQP58" s="196"/>
      <c r="CQQ58" s="196"/>
      <c r="CQR58" s="196"/>
      <c r="CQS58" s="196"/>
      <c r="CQT58" s="196"/>
      <c r="CQU58" s="196"/>
      <c r="CQV58" s="196"/>
      <c r="CQW58" s="196"/>
      <c r="CQX58" s="196"/>
      <c r="CQY58" s="196"/>
      <c r="CQZ58" s="196"/>
      <c r="CRA58" s="196"/>
      <c r="CRB58" s="196"/>
      <c r="CRC58" s="196"/>
      <c r="CRD58" s="196"/>
      <c r="CRE58" s="196"/>
      <c r="CRF58" s="196"/>
      <c r="CRG58" s="196"/>
      <c r="CRH58" s="196"/>
      <c r="CRI58" s="196"/>
      <c r="CRJ58" s="196"/>
      <c r="CRK58" s="196"/>
      <c r="CRL58" s="196"/>
      <c r="CRM58" s="196"/>
      <c r="CRN58" s="196"/>
      <c r="CRO58" s="196"/>
      <c r="CRP58" s="196"/>
      <c r="CRQ58" s="196"/>
      <c r="CRR58" s="196"/>
      <c r="CRS58" s="196"/>
      <c r="CRT58" s="196"/>
      <c r="CRU58" s="196"/>
      <c r="CRV58" s="196"/>
      <c r="CRW58" s="196"/>
      <c r="CRX58" s="196"/>
      <c r="CRY58" s="196"/>
      <c r="CRZ58" s="196"/>
      <c r="CSA58" s="196"/>
      <c r="CSB58" s="196"/>
      <c r="CSC58" s="196"/>
      <c r="CSD58" s="196"/>
      <c r="CSE58" s="196"/>
      <c r="CSF58" s="196"/>
      <c r="CSG58" s="196"/>
      <c r="CSH58" s="196"/>
      <c r="CSI58" s="196"/>
      <c r="CSJ58" s="196"/>
      <c r="CSK58" s="196"/>
      <c r="CSL58" s="196"/>
      <c r="CSM58" s="196"/>
      <c r="CSN58" s="196"/>
      <c r="CSO58" s="196"/>
      <c r="CSP58" s="196"/>
      <c r="CSQ58" s="196"/>
      <c r="CSR58" s="196"/>
      <c r="CSS58" s="196"/>
      <c r="CST58" s="196"/>
      <c r="CSU58" s="196"/>
      <c r="CSV58" s="196"/>
      <c r="CSW58" s="196"/>
      <c r="CSX58" s="196"/>
      <c r="CSY58" s="196"/>
      <c r="CSZ58" s="196"/>
      <c r="CTA58" s="196"/>
      <c r="CTB58" s="196"/>
      <c r="CTC58" s="196"/>
      <c r="CTD58" s="196"/>
      <c r="CTE58" s="196"/>
      <c r="CTF58" s="196"/>
      <c r="CTG58" s="196"/>
      <c r="CTH58" s="196"/>
      <c r="CTI58" s="196"/>
      <c r="CTJ58" s="196"/>
      <c r="CTK58" s="196"/>
      <c r="CTL58" s="196"/>
      <c r="CTM58" s="196"/>
      <c r="CTN58" s="196"/>
      <c r="CTO58" s="196"/>
      <c r="CTP58" s="196"/>
      <c r="CTQ58" s="196"/>
      <c r="CTR58" s="196"/>
      <c r="CTS58" s="196"/>
      <c r="CTT58" s="196"/>
      <c r="CTU58" s="196"/>
      <c r="CTV58" s="196"/>
      <c r="CTW58" s="196"/>
      <c r="CTX58" s="196"/>
      <c r="CTY58" s="196"/>
      <c r="CTZ58" s="196"/>
      <c r="CUA58" s="196"/>
      <c r="CUB58" s="196"/>
      <c r="CUC58" s="196"/>
      <c r="CUD58" s="196"/>
      <c r="CUE58" s="196"/>
      <c r="CUF58" s="196"/>
      <c r="CUG58" s="196"/>
      <c r="CUH58" s="196"/>
      <c r="CUI58" s="196"/>
      <c r="CUJ58" s="196"/>
      <c r="CUK58" s="196"/>
      <c r="CUL58" s="196"/>
      <c r="CUM58" s="196"/>
      <c r="CUN58" s="196"/>
      <c r="CUO58" s="196"/>
      <c r="CUP58" s="196"/>
      <c r="CUQ58" s="196"/>
      <c r="CUR58" s="196"/>
      <c r="CUS58" s="196"/>
      <c r="CUT58" s="196"/>
      <c r="CUU58" s="196"/>
      <c r="CUV58" s="196"/>
      <c r="CUW58" s="196"/>
      <c r="CUX58" s="196"/>
      <c r="CUY58" s="196"/>
      <c r="CUZ58" s="196"/>
      <c r="CVA58" s="196"/>
      <c r="CVB58" s="196"/>
      <c r="CVC58" s="196"/>
      <c r="CVD58" s="196"/>
      <c r="CVE58" s="196"/>
      <c r="CVF58" s="196"/>
      <c r="CVG58" s="196"/>
      <c r="CVH58" s="196"/>
      <c r="CVI58" s="196"/>
      <c r="CVJ58" s="196"/>
      <c r="CVK58" s="196"/>
      <c r="CVL58" s="196"/>
      <c r="CVM58" s="196"/>
      <c r="CVN58" s="196"/>
      <c r="CVO58" s="196"/>
      <c r="CVP58" s="196"/>
      <c r="CVQ58" s="196"/>
      <c r="CVR58" s="196"/>
      <c r="CVS58" s="196"/>
      <c r="CVT58" s="196"/>
      <c r="CVU58" s="196"/>
      <c r="CVV58" s="196"/>
      <c r="CVW58" s="196"/>
      <c r="CVX58" s="196"/>
      <c r="CVY58" s="196"/>
      <c r="CVZ58" s="196"/>
      <c r="CWA58" s="196"/>
      <c r="CWB58" s="196"/>
      <c r="CWC58" s="196"/>
      <c r="CWD58" s="196"/>
      <c r="CWE58" s="196"/>
      <c r="CWF58" s="196"/>
      <c r="CWG58" s="196"/>
      <c r="CWH58" s="196"/>
      <c r="CWI58" s="196"/>
      <c r="CWJ58" s="196"/>
      <c r="CWK58" s="196"/>
      <c r="CWL58" s="196"/>
      <c r="CWM58" s="196"/>
      <c r="CWN58" s="196"/>
      <c r="CWO58" s="196"/>
      <c r="CWP58" s="196"/>
      <c r="CWQ58" s="196"/>
      <c r="CWR58" s="196"/>
      <c r="CWS58" s="196"/>
      <c r="CWT58" s="196"/>
      <c r="CWU58" s="196"/>
      <c r="CWV58" s="196"/>
      <c r="CWW58" s="196"/>
      <c r="CWX58" s="196"/>
      <c r="CWY58" s="196"/>
      <c r="CWZ58" s="196"/>
      <c r="CXA58" s="196"/>
      <c r="CXB58" s="196"/>
      <c r="CXC58" s="196"/>
      <c r="CXD58" s="196"/>
      <c r="CXE58" s="196"/>
      <c r="CXF58" s="196"/>
      <c r="CXG58" s="196"/>
      <c r="CXH58" s="196"/>
      <c r="CXI58" s="196"/>
      <c r="CXJ58" s="196"/>
      <c r="CXK58" s="196"/>
      <c r="CXL58" s="196"/>
      <c r="CXM58" s="196"/>
      <c r="CXN58" s="196"/>
      <c r="CXO58" s="196"/>
      <c r="CXP58" s="196"/>
      <c r="CXQ58" s="196"/>
      <c r="CXR58" s="196"/>
      <c r="CXS58" s="196"/>
      <c r="CXT58" s="196"/>
      <c r="CXU58" s="196"/>
      <c r="CXV58" s="196"/>
      <c r="CXW58" s="196"/>
      <c r="CXX58" s="196"/>
      <c r="CXY58" s="196"/>
      <c r="CXZ58" s="196"/>
      <c r="CYA58" s="196"/>
      <c r="CYB58" s="196"/>
      <c r="CYC58" s="196"/>
      <c r="CYD58" s="196"/>
      <c r="CYE58" s="196"/>
      <c r="CYF58" s="196"/>
      <c r="CYG58" s="196"/>
      <c r="CYH58" s="196"/>
      <c r="CYI58" s="196"/>
      <c r="CYJ58" s="196"/>
      <c r="CYK58" s="196"/>
      <c r="CYL58" s="196"/>
      <c r="CYM58" s="196"/>
      <c r="CYN58" s="196"/>
      <c r="CYO58" s="196"/>
      <c r="CYP58" s="196"/>
      <c r="CYQ58" s="196"/>
      <c r="CYR58" s="196"/>
      <c r="CYS58" s="196"/>
      <c r="CYT58" s="196"/>
      <c r="CYU58" s="196"/>
      <c r="CYV58" s="196"/>
      <c r="CYW58" s="196"/>
      <c r="CYX58" s="196"/>
      <c r="CYY58" s="196"/>
      <c r="CYZ58" s="196"/>
      <c r="CZA58" s="196"/>
      <c r="CZB58" s="196"/>
      <c r="CZC58" s="196"/>
      <c r="CZD58" s="196"/>
      <c r="CZE58" s="196"/>
      <c r="CZF58" s="196"/>
      <c r="CZG58" s="196"/>
      <c r="CZH58" s="196"/>
      <c r="CZI58" s="196"/>
      <c r="CZJ58" s="196"/>
      <c r="CZK58" s="196"/>
      <c r="CZL58" s="196"/>
      <c r="CZM58" s="196"/>
      <c r="CZN58" s="196"/>
      <c r="CZO58" s="196"/>
      <c r="CZP58" s="196"/>
      <c r="CZQ58" s="196"/>
      <c r="CZR58" s="196"/>
      <c r="CZS58" s="196"/>
      <c r="CZT58" s="196"/>
      <c r="CZU58" s="196"/>
      <c r="CZV58" s="196"/>
      <c r="CZW58" s="196"/>
      <c r="CZX58" s="196"/>
      <c r="CZY58" s="196"/>
      <c r="CZZ58" s="196"/>
      <c r="DAA58" s="196"/>
      <c r="DAB58" s="196"/>
      <c r="DAC58" s="196"/>
      <c r="DAD58" s="196"/>
      <c r="DAE58" s="196"/>
      <c r="DAF58" s="196"/>
      <c r="DAG58" s="196"/>
      <c r="DAH58" s="196"/>
      <c r="DAI58" s="196"/>
      <c r="DAJ58" s="196"/>
      <c r="DAK58" s="196"/>
      <c r="DAL58" s="196"/>
      <c r="DAM58" s="196"/>
      <c r="DAN58" s="196"/>
      <c r="DAO58" s="196"/>
      <c r="DAP58" s="196"/>
      <c r="DAQ58" s="196"/>
      <c r="DAR58" s="196"/>
      <c r="DAS58" s="196"/>
      <c r="DAT58" s="196"/>
      <c r="DAU58" s="196"/>
      <c r="DAV58" s="196"/>
      <c r="DAW58" s="196"/>
      <c r="DAX58" s="196"/>
      <c r="DAY58" s="196"/>
      <c r="DAZ58" s="196"/>
      <c r="DBA58" s="196"/>
      <c r="DBB58" s="196"/>
      <c r="DBC58" s="196"/>
      <c r="DBD58" s="196"/>
      <c r="DBE58" s="196"/>
      <c r="DBF58" s="196"/>
      <c r="DBG58" s="196"/>
      <c r="DBH58" s="196"/>
      <c r="DBI58" s="196"/>
      <c r="DBJ58" s="196"/>
      <c r="DBK58" s="196"/>
      <c r="DBL58" s="196"/>
      <c r="DBM58" s="196"/>
      <c r="DBN58" s="196"/>
      <c r="DBO58" s="196"/>
      <c r="DBP58" s="196"/>
      <c r="DBQ58" s="196"/>
      <c r="DBR58" s="196"/>
      <c r="DBS58" s="196"/>
      <c r="DBT58" s="196"/>
      <c r="DBU58" s="196"/>
      <c r="DBV58" s="196"/>
      <c r="DBW58" s="196"/>
      <c r="DBX58" s="196"/>
      <c r="DBY58" s="196"/>
      <c r="DBZ58" s="196"/>
      <c r="DCA58" s="196"/>
      <c r="DCB58" s="196"/>
      <c r="DCC58" s="196"/>
      <c r="DCD58" s="196"/>
      <c r="DCE58" s="196"/>
      <c r="DCF58" s="196"/>
      <c r="DCG58" s="196"/>
      <c r="DCH58" s="196"/>
      <c r="DCI58" s="196"/>
      <c r="DCJ58" s="196"/>
      <c r="DCK58" s="196"/>
      <c r="DCL58" s="196"/>
      <c r="DCM58" s="196"/>
      <c r="DCN58" s="196"/>
      <c r="DCO58" s="196"/>
      <c r="DCP58" s="196"/>
      <c r="DCQ58" s="196"/>
      <c r="DCR58" s="196"/>
      <c r="DCS58" s="196"/>
      <c r="DCT58" s="196"/>
      <c r="DCU58" s="196"/>
      <c r="DCV58" s="196"/>
      <c r="DCW58" s="196"/>
      <c r="DCX58" s="196"/>
      <c r="DCY58" s="196"/>
      <c r="DCZ58" s="196"/>
      <c r="DDA58" s="196"/>
      <c r="DDB58" s="196"/>
      <c r="DDC58" s="196"/>
      <c r="DDD58" s="196"/>
      <c r="DDE58" s="196"/>
      <c r="DDF58" s="196"/>
      <c r="DDG58" s="196"/>
      <c r="DDH58" s="196"/>
      <c r="DDI58" s="196"/>
      <c r="DDJ58" s="196"/>
      <c r="DDK58" s="196"/>
      <c r="DDL58" s="196"/>
      <c r="DDM58" s="196"/>
      <c r="DDN58" s="196"/>
      <c r="DDO58" s="196"/>
      <c r="DDP58" s="196"/>
      <c r="DDQ58" s="196"/>
      <c r="DDR58" s="196"/>
      <c r="DDS58" s="196"/>
      <c r="DDT58" s="196"/>
      <c r="DDU58" s="196"/>
      <c r="DDV58" s="196"/>
      <c r="DDW58" s="196"/>
      <c r="DDX58" s="196"/>
      <c r="DDY58" s="196"/>
      <c r="DDZ58" s="196"/>
      <c r="DEA58" s="196"/>
      <c r="DEB58" s="196"/>
      <c r="DEC58" s="196"/>
      <c r="DED58" s="196"/>
      <c r="DEE58" s="196"/>
      <c r="DEF58" s="196"/>
      <c r="DEG58" s="196"/>
      <c r="DEH58" s="196"/>
      <c r="DEI58" s="196"/>
      <c r="DEJ58" s="196"/>
      <c r="DEK58" s="196"/>
      <c r="DEL58" s="196"/>
      <c r="DEM58" s="196"/>
      <c r="DEN58" s="196"/>
      <c r="DEO58" s="196"/>
      <c r="DEP58" s="196"/>
      <c r="DEQ58" s="196"/>
      <c r="DER58" s="196"/>
      <c r="DES58" s="196"/>
      <c r="DET58" s="196"/>
      <c r="DEU58" s="196"/>
      <c r="DEV58" s="196"/>
      <c r="DEW58" s="196"/>
      <c r="DEX58" s="196"/>
      <c r="DEY58" s="196"/>
      <c r="DEZ58" s="196"/>
      <c r="DFA58" s="196"/>
      <c r="DFB58" s="196"/>
      <c r="DFC58" s="196"/>
      <c r="DFD58" s="196"/>
      <c r="DFE58" s="196"/>
      <c r="DFF58" s="196"/>
      <c r="DFG58" s="196"/>
      <c r="DFH58" s="196"/>
      <c r="DFI58" s="196"/>
      <c r="DFJ58" s="196"/>
      <c r="DFK58" s="196"/>
      <c r="DFL58" s="196"/>
      <c r="DFM58" s="196"/>
      <c r="DFN58" s="196"/>
      <c r="DFO58" s="196"/>
      <c r="DFP58" s="196"/>
      <c r="DFQ58" s="196"/>
      <c r="DFR58" s="196"/>
      <c r="DFS58" s="196"/>
      <c r="DFT58" s="196"/>
      <c r="DFU58" s="196"/>
      <c r="DFV58" s="196"/>
      <c r="DFW58" s="196"/>
      <c r="DFX58" s="196"/>
      <c r="DFY58" s="196"/>
      <c r="DFZ58" s="196"/>
      <c r="DGA58" s="196"/>
      <c r="DGB58" s="196"/>
      <c r="DGC58" s="196"/>
      <c r="DGD58" s="196"/>
      <c r="DGE58" s="196"/>
      <c r="DGF58" s="196"/>
      <c r="DGG58" s="196"/>
      <c r="DGH58" s="196"/>
      <c r="DGI58" s="196"/>
      <c r="DGJ58" s="196"/>
      <c r="DGK58" s="196"/>
      <c r="DGL58" s="196"/>
      <c r="DGM58" s="196"/>
      <c r="DGN58" s="196"/>
      <c r="DGO58" s="196"/>
      <c r="DGP58" s="196"/>
      <c r="DGQ58" s="196"/>
      <c r="DGR58" s="196"/>
      <c r="DGS58" s="196"/>
      <c r="DGT58" s="196"/>
      <c r="DGU58" s="196"/>
      <c r="DGV58" s="196"/>
      <c r="DGW58" s="196"/>
      <c r="DGX58" s="196"/>
      <c r="DGY58" s="196"/>
      <c r="DGZ58" s="196"/>
      <c r="DHA58" s="196"/>
      <c r="DHB58" s="196"/>
      <c r="DHC58" s="196"/>
      <c r="DHD58" s="196"/>
      <c r="DHE58" s="196"/>
      <c r="DHF58" s="196"/>
      <c r="DHG58" s="196"/>
      <c r="DHH58" s="196"/>
      <c r="DHI58" s="196"/>
      <c r="DHJ58" s="196"/>
      <c r="DHK58" s="196"/>
      <c r="DHL58" s="196"/>
      <c r="DHM58" s="196"/>
      <c r="DHN58" s="196"/>
      <c r="DHO58" s="196"/>
      <c r="DHP58" s="196"/>
      <c r="DHQ58" s="196"/>
      <c r="DHR58" s="196"/>
      <c r="DHS58" s="196"/>
      <c r="DHT58" s="196"/>
      <c r="DHU58" s="196"/>
      <c r="DHV58" s="196"/>
      <c r="DHW58" s="196"/>
      <c r="DHX58" s="196"/>
      <c r="DHY58" s="196"/>
      <c r="DHZ58" s="196"/>
      <c r="DIA58" s="196"/>
      <c r="DIB58" s="196"/>
      <c r="DIC58" s="196"/>
      <c r="DID58" s="196"/>
      <c r="DIE58" s="196"/>
      <c r="DIF58" s="196"/>
      <c r="DIG58" s="196"/>
      <c r="DIH58" s="196"/>
      <c r="DII58" s="196"/>
      <c r="DIJ58" s="196"/>
      <c r="DIK58" s="196"/>
      <c r="DIL58" s="196"/>
      <c r="DIM58" s="196"/>
      <c r="DIN58" s="196"/>
      <c r="DIO58" s="196"/>
      <c r="DIP58" s="196"/>
      <c r="DIQ58" s="196"/>
      <c r="DIR58" s="196"/>
      <c r="DIS58" s="196"/>
      <c r="DIT58" s="196"/>
      <c r="DIU58" s="196"/>
      <c r="DIV58" s="196"/>
      <c r="DIW58" s="196"/>
      <c r="DIX58" s="196"/>
      <c r="DIY58" s="196"/>
      <c r="DIZ58" s="196"/>
      <c r="DJA58" s="196"/>
      <c r="DJB58" s="196"/>
      <c r="DJC58" s="196"/>
      <c r="DJD58" s="196"/>
      <c r="DJE58" s="196"/>
      <c r="DJF58" s="196"/>
      <c r="DJG58" s="196"/>
      <c r="DJH58" s="196"/>
      <c r="DJI58" s="196"/>
      <c r="DJJ58" s="196"/>
      <c r="DJK58" s="196"/>
      <c r="DJL58" s="196"/>
      <c r="DJM58" s="196"/>
      <c r="DJN58" s="196"/>
      <c r="DJO58" s="196"/>
      <c r="DJP58" s="196"/>
      <c r="DJQ58" s="196"/>
      <c r="DJR58" s="196"/>
      <c r="DJS58" s="196"/>
      <c r="DJT58" s="196"/>
      <c r="DJU58" s="196"/>
      <c r="DJV58" s="196"/>
      <c r="DJW58" s="196"/>
      <c r="DJX58" s="196"/>
      <c r="DJY58" s="196"/>
      <c r="DJZ58" s="196"/>
      <c r="DKA58" s="196"/>
      <c r="DKB58" s="196"/>
      <c r="DKC58" s="196"/>
      <c r="DKD58" s="196"/>
      <c r="DKE58" s="196"/>
      <c r="DKF58" s="196"/>
      <c r="DKG58" s="196"/>
      <c r="DKH58" s="196"/>
      <c r="DKI58" s="196"/>
      <c r="DKJ58" s="196"/>
      <c r="DKK58" s="196"/>
      <c r="DKL58" s="196"/>
      <c r="DKM58" s="196"/>
      <c r="DKN58" s="196"/>
      <c r="DKO58" s="196"/>
      <c r="DKP58" s="196"/>
      <c r="DKQ58" s="196"/>
      <c r="DKR58" s="196"/>
      <c r="DKS58" s="196"/>
      <c r="DKT58" s="196"/>
      <c r="DKU58" s="196"/>
      <c r="DKV58" s="196"/>
      <c r="DKW58" s="196"/>
      <c r="DKX58" s="196"/>
      <c r="DKY58" s="196"/>
      <c r="DKZ58" s="196"/>
      <c r="DLA58" s="196"/>
      <c r="DLB58" s="196"/>
      <c r="DLC58" s="196"/>
      <c r="DLD58" s="196"/>
      <c r="DLE58" s="196"/>
      <c r="DLF58" s="196"/>
      <c r="DLG58" s="196"/>
      <c r="DLH58" s="196"/>
      <c r="DLI58" s="196"/>
      <c r="DLJ58" s="196"/>
      <c r="DLK58" s="196"/>
      <c r="DLL58" s="196"/>
      <c r="DLM58" s="196"/>
      <c r="DLN58" s="196"/>
      <c r="DLO58" s="196"/>
      <c r="DLP58" s="196"/>
      <c r="DLQ58" s="196"/>
      <c r="DLR58" s="196"/>
      <c r="DLS58" s="196"/>
      <c r="DLT58" s="196"/>
      <c r="DLU58" s="196"/>
      <c r="DLV58" s="196"/>
      <c r="DLW58" s="196"/>
      <c r="DLX58" s="196"/>
      <c r="DLY58" s="196"/>
      <c r="DLZ58" s="196"/>
      <c r="DMA58" s="196"/>
      <c r="DMB58" s="196"/>
      <c r="DMC58" s="196"/>
      <c r="DMD58" s="196"/>
      <c r="DME58" s="196"/>
      <c r="DMF58" s="196"/>
      <c r="DMG58" s="196"/>
      <c r="DMH58" s="196"/>
      <c r="DMI58" s="196"/>
      <c r="DMJ58" s="196"/>
      <c r="DMK58" s="196"/>
      <c r="DML58" s="196"/>
      <c r="DMM58" s="196"/>
      <c r="DMN58" s="196"/>
      <c r="DMO58" s="196"/>
      <c r="DMP58" s="196"/>
      <c r="DMQ58" s="196"/>
      <c r="DMR58" s="196"/>
      <c r="DMS58" s="196"/>
      <c r="DMT58" s="196"/>
      <c r="DMU58" s="196"/>
      <c r="DMV58" s="196"/>
      <c r="DMW58" s="196"/>
      <c r="DMX58" s="196"/>
      <c r="DMY58" s="196"/>
      <c r="DMZ58" s="196"/>
      <c r="DNA58" s="196"/>
      <c r="DNB58" s="196"/>
      <c r="DNC58" s="196"/>
      <c r="DND58" s="196"/>
      <c r="DNE58" s="196"/>
      <c r="DNF58" s="196"/>
      <c r="DNG58" s="196"/>
      <c r="DNH58" s="196"/>
      <c r="DNI58" s="196"/>
      <c r="DNJ58" s="196"/>
      <c r="DNK58" s="196"/>
      <c r="DNL58" s="196"/>
      <c r="DNM58" s="196"/>
      <c r="DNN58" s="196"/>
      <c r="DNO58" s="196"/>
      <c r="DNP58" s="196"/>
      <c r="DNQ58" s="196"/>
      <c r="DNR58" s="196"/>
      <c r="DNS58" s="196"/>
      <c r="DNT58" s="196"/>
      <c r="DNU58" s="196"/>
      <c r="DNV58" s="196"/>
      <c r="DNW58" s="196"/>
      <c r="DNX58" s="196"/>
      <c r="DNY58" s="196"/>
      <c r="DNZ58" s="196"/>
      <c r="DOA58" s="196"/>
      <c r="DOB58" s="196"/>
      <c r="DOC58" s="196"/>
      <c r="DOD58" s="196"/>
      <c r="DOE58" s="196"/>
      <c r="DOF58" s="196"/>
      <c r="DOG58" s="196"/>
      <c r="DOH58" s="196"/>
      <c r="DOI58" s="196"/>
      <c r="DOJ58" s="196"/>
      <c r="DOK58" s="196"/>
      <c r="DOL58" s="196"/>
      <c r="DOM58" s="196"/>
      <c r="DON58" s="196"/>
      <c r="DOO58" s="196"/>
      <c r="DOP58" s="196"/>
      <c r="DOQ58" s="196"/>
      <c r="DOR58" s="196"/>
      <c r="DOS58" s="196"/>
      <c r="DOT58" s="196"/>
      <c r="DOU58" s="196"/>
      <c r="DOV58" s="196"/>
      <c r="DOW58" s="196"/>
      <c r="DOX58" s="196"/>
      <c r="DOY58" s="196"/>
      <c r="DOZ58" s="196"/>
      <c r="DPA58" s="196"/>
      <c r="DPB58" s="196"/>
      <c r="DPC58" s="196"/>
      <c r="DPD58" s="196"/>
      <c r="DPE58" s="196"/>
      <c r="DPF58" s="196"/>
      <c r="DPG58" s="196"/>
      <c r="DPH58" s="196"/>
      <c r="DPI58" s="196"/>
      <c r="DPJ58" s="196"/>
      <c r="DPK58" s="196"/>
      <c r="DPL58" s="196"/>
      <c r="DPM58" s="196"/>
      <c r="DPN58" s="196"/>
      <c r="DPO58" s="196"/>
      <c r="DPP58" s="196"/>
      <c r="DPQ58" s="196"/>
      <c r="DPR58" s="196"/>
      <c r="DPS58" s="196"/>
      <c r="DPT58" s="196"/>
      <c r="DPU58" s="196"/>
      <c r="DPV58" s="196"/>
      <c r="DPW58" s="196"/>
      <c r="DPX58" s="196"/>
      <c r="DPY58" s="196"/>
      <c r="DPZ58" s="196"/>
      <c r="DQA58" s="196"/>
      <c r="DQB58" s="196"/>
      <c r="DQC58" s="196"/>
      <c r="DQD58" s="196"/>
      <c r="DQE58" s="196"/>
      <c r="DQF58" s="196"/>
      <c r="DQG58" s="196"/>
      <c r="DQH58" s="196"/>
      <c r="DQI58" s="196"/>
      <c r="DQJ58" s="196"/>
      <c r="DQK58" s="196"/>
      <c r="DQL58" s="196"/>
      <c r="DQM58" s="196"/>
      <c r="DQN58" s="196"/>
      <c r="DQO58" s="196"/>
      <c r="DQP58" s="196"/>
      <c r="DQQ58" s="196"/>
      <c r="DQR58" s="196"/>
      <c r="DQS58" s="196"/>
      <c r="DQT58" s="196"/>
      <c r="DQU58" s="196"/>
      <c r="DQV58" s="196"/>
      <c r="DQW58" s="196"/>
      <c r="DQX58" s="196"/>
      <c r="DQY58" s="196"/>
      <c r="DQZ58" s="196"/>
      <c r="DRA58" s="196"/>
      <c r="DRB58" s="196"/>
      <c r="DRC58" s="196"/>
      <c r="DRD58" s="196"/>
      <c r="DRE58" s="196"/>
      <c r="DRF58" s="196"/>
      <c r="DRG58" s="196"/>
      <c r="DRH58" s="196"/>
      <c r="DRI58" s="196"/>
      <c r="DRJ58" s="196"/>
      <c r="DRK58" s="196"/>
      <c r="DRL58" s="196"/>
      <c r="DRM58" s="196"/>
      <c r="DRN58" s="196"/>
      <c r="DRO58" s="196"/>
      <c r="DRP58" s="196"/>
      <c r="DRQ58" s="196"/>
      <c r="DRR58" s="196"/>
      <c r="DRS58" s="196"/>
      <c r="DRT58" s="196"/>
      <c r="DRU58" s="196"/>
      <c r="DRV58" s="196"/>
      <c r="DRW58" s="196"/>
      <c r="DRX58" s="196"/>
      <c r="DRY58" s="196"/>
      <c r="DRZ58" s="196"/>
      <c r="DSA58" s="196"/>
      <c r="DSB58" s="196"/>
      <c r="DSC58" s="196"/>
      <c r="DSD58" s="196"/>
      <c r="DSE58" s="196"/>
      <c r="DSF58" s="196"/>
      <c r="DSG58" s="196"/>
      <c r="DSH58" s="196"/>
      <c r="DSI58" s="196"/>
      <c r="DSJ58" s="196"/>
      <c r="DSK58" s="196"/>
      <c r="DSL58" s="196"/>
      <c r="DSM58" s="196"/>
      <c r="DSN58" s="196"/>
      <c r="DSO58" s="196"/>
      <c r="DSP58" s="196"/>
      <c r="DSQ58" s="196"/>
      <c r="DSR58" s="196"/>
      <c r="DSS58" s="196"/>
      <c r="DST58" s="196"/>
      <c r="DSU58" s="196"/>
      <c r="DSV58" s="196"/>
      <c r="DSW58" s="196"/>
      <c r="DSX58" s="196"/>
      <c r="DSY58" s="196"/>
      <c r="DSZ58" s="196"/>
      <c r="DTA58" s="196"/>
      <c r="DTB58" s="196"/>
      <c r="DTC58" s="196"/>
      <c r="DTD58" s="196"/>
      <c r="DTE58" s="196"/>
      <c r="DTF58" s="196"/>
      <c r="DTG58" s="196"/>
      <c r="DTH58" s="196"/>
      <c r="DTI58" s="196"/>
      <c r="DTJ58" s="196"/>
      <c r="DTK58" s="196"/>
      <c r="DTL58" s="196"/>
      <c r="DTM58" s="196"/>
      <c r="DTN58" s="196"/>
      <c r="DTO58" s="196"/>
      <c r="DTP58" s="196"/>
      <c r="DTQ58" s="196"/>
      <c r="DTR58" s="196"/>
      <c r="DTS58" s="196"/>
      <c r="DTT58" s="196"/>
      <c r="DTU58" s="196"/>
      <c r="DTV58" s="196"/>
      <c r="DTW58" s="196"/>
      <c r="DTX58" s="196"/>
      <c r="DTY58" s="196"/>
      <c r="DTZ58" s="196"/>
      <c r="DUA58" s="196"/>
      <c r="DUB58" s="196"/>
      <c r="DUC58" s="196"/>
      <c r="DUD58" s="196"/>
      <c r="DUE58" s="196"/>
      <c r="DUF58" s="196"/>
      <c r="DUG58" s="196"/>
      <c r="DUH58" s="196"/>
      <c r="DUI58" s="196"/>
      <c r="DUJ58" s="196"/>
      <c r="DUK58" s="196"/>
      <c r="DUL58" s="196"/>
      <c r="DUM58" s="196"/>
      <c r="DUN58" s="196"/>
      <c r="DUO58" s="196"/>
      <c r="DUP58" s="196"/>
      <c r="DUQ58" s="196"/>
      <c r="DUR58" s="196"/>
      <c r="DUS58" s="196"/>
      <c r="DUT58" s="196"/>
      <c r="DUU58" s="196"/>
      <c r="DUV58" s="196"/>
      <c r="DUW58" s="196"/>
      <c r="DUX58" s="196"/>
      <c r="DUY58" s="196"/>
      <c r="DUZ58" s="196"/>
      <c r="DVA58" s="196"/>
      <c r="DVB58" s="196"/>
      <c r="DVC58" s="196"/>
      <c r="DVD58" s="196"/>
      <c r="DVE58" s="196"/>
      <c r="DVF58" s="196"/>
      <c r="DVG58" s="196"/>
      <c r="DVH58" s="196"/>
      <c r="DVI58" s="196"/>
      <c r="DVJ58" s="196"/>
      <c r="DVK58" s="196"/>
      <c r="DVL58" s="196"/>
      <c r="DVM58" s="196"/>
      <c r="DVN58" s="196"/>
      <c r="DVO58" s="196"/>
      <c r="DVP58" s="196"/>
      <c r="DVQ58" s="196"/>
      <c r="DVR58" s="196"/>
      <c r="DVS58" s="196"/>
      <c r="DVT58" s="196"/>
      <c r="DVU58" s="196"/>
      <c r="DVV58" s="196"/>
      <c r="DVW58" s="196"/>
      <c r="DVX58" s="196"/>
      <c r="DVY58" s="196"/>
      <c r="DVZ58" s="196"/>
      <c r="DWA58" s="196"/>
      <c r="DWB58" s="196"/>
      <c r="DWC58" s="196"/>
      <c r="DWD58" s="196"/>
      <c r="DWE58" s="196"/>
      <c r="DWF58" s="196"/>
      <c r="DWG58" s="196"/>
      <c r="DWH58" s="196"/>
      <c r="DWI58" s="196"/>
      <c r="DWJ58" s="196"/>
      <c r="DWK58" s="196"/>
      <c r="DWL58" s="196"/>
      <c r="DWM58" s="196"/>
      <c r="DWN58" s="196"/>
      <c r="DWO58" s="196"/>
      <c r="DWP58" s="196"/>
      <c r="DWQ58" s="196"/>
      <c r="DWR58" s="196"/>
      <c r="DWS58" s="196"/>
      <c r="DWT58" s="196"/>
      <c r="DWU58" s="196"/>
      <c r="DWV58" s="196"/>
      <c r="DWW58" s="196"/>
      <c r="DWX58" s="196"/>
      <c r="DWY58" s="196"/>
      <c r="DWZ58" s="196"/>
      <c r="DXA58" s="196"/>
      <c r="DXB58" s="196"/>
      <c r="DXC58" s="196"/>
      <c r="DXD58" s="196"/>
      <c r="DXE58" s="196"/>
      <c r="DXF58" s="196"/>
      <c r="DXG58" s="196"/>
      <c r="DXH58" s="196"/>
      <c r="DXI58" s="196"/>
      <c r="DXJ58" s="196"/>
      <c r="DXK58" s="196"/>
      <c r="DXL58" s="196"/>
      <c r="DXM58" s="196"/>
      <c r="DXN58" s="196"/>
      <c r="DXO58" s="196"/>
      <c r="DXP58" s="196"/>
      <c r="DXQ58" s="196"/>
      <c r="DXR58" s="196"/>
      <c r="DXS58" s="196"/>
      <c r="DXT58" s="196"/>
      <c r="DXU58" s="196"/>
      <c r="DXV58" s="196"/>
      <c r="DXW58" s="196"/>
      <c r="DXX58" s="196"/>
      <c r="DXY58" s="196"/>
      <c r="DXZ58" s="196"/>
      <c r="DYA58" s="196"/>
      <c r="DYB58" s="196"/>
      <c r="DYC58" s="196"/>
      <c r="DYD58" s="196"/>
      <c r="DYE58" s="196"/>
      <c r="DYF58" s="196"/>
      <c r="DYG58" s="196"/>
      <c r="DYH58" s="196"/>
      <c r="DYI58" s="196"/>
      <c r="DYJ58" s="196"/>
      <c r="DYK58" s="196"/>
      <c r="DYL58" s="196"/>
      <c r="DYM58" s="196"/>
      <c r="DYN58" s="196"/>
      <c r="DYO58" s="196"/>
      <c r="DYP58" s="196"/>
      <c r="DYQ58" s="196"/>
      <c r="DYR58" s="196"/>
      <c r="DYS58" s="196"/>
      <c r="DYT58" s="196"/>
      <c r="DYU58" s="196"/>
      <c r="DYV58" s="196"/>
      <c r="DYW58" s="196"/>
      <c r="DYX58" s="196"/>
      <c r="DYY58" s="196"/>
      <c r="DYZ58" s="196"/>
      <c r="DZA58" s="196"/>
      <c r="DZB58" s="196"/>
      <c r="DZC58" s="196"/>
      <c r="DZD58" s="196"/>
      <c r="DZE58" s="196"/>
      <c r="DZF58" s="196"/>
      <c r="DZG58" s="196"/>
      <c r="DZH58" s="196"/>
      <c r="DZI58" s="196"/>
      <c r="DZJ58" s="196"/>
      <c r="DZK58" s="196"/>
      <c r="DZL58" s="196"/>
      <c r="DZM58" s="196"/>
      <c r="DZN58" s="196"/>
      <c r="DZO58" s="196"/>
      <c r="DZP58" s="196"/>
      <c r="DZQ58" s="196"/>
      <c r="DZR58" s="196"/>
      <c r="DZS58" s="196"/>
      <c r="DZT58" s="196"/>
      <c r="DZU58" s="196"/>
      <c r="DZV58" s="196"/>
      <c r="DZW58" s="196"/>
      <c r="DZX58" s="196"/>
      <c r="DZY58" s="196"/>
      <c r="DZZ58" s="196"/>
      <c r="EAA58" s="196"/>
      <c r="EAB58" s="196"/>
      <c r="EAC58" s="196"/>
      <c r="EAD58" s="196"/>
      <c r="EAE58" s="196"/>
      <c r="EAF58" s="196"/>
      <c r="EAG58" s="196"/>
      <c r="EAH58" s="196"/>
      <c r="EAI58" s="196"/>
      <c r="EAJ58" s="196"/>
      <c r="EAK58" s="196"/>
      <c r="EAL58" s="196"/>
      <c r="EAM58" s="196"/>
      <c r="EAN58" s="196"/>
      <c r="EAO58" s="196"/>
      <c r="EAP58" s="196"/>
      <c r="EAQ58" s="196"/>
      <c r="EAR58" s="196"/>
      <c r="EAS58" s="196"/>
      <c r="EAT58" s="196"/>
      <c r="EAU58" s="196"/>
      <c r="EAV58" s="196"/>
      <c r="EAW58" s="196"/>
      <c r="EAX58" s="196"/>
      <c r="EAY58" s="196"/>
      <c r="EAZ58" s="196"/>
      <c r="EBA58" s="196"/>
      <c r="EBB58" s="196"/>
      <c r="EBC58" s="196"/>
      <c r="EBD58" s="196"/>
      <c r="EBE58" s="196"/>
      <c r="EBF58" s="196"/>
      <c r="EBG58" s="196"/>
      <c r="EBH58" s="196"/>
      <c r="EBI58" s="196"/>
      <c r="EBJ58" s="196"/>
      <c r="EBK58" s="196"/>
      <c r="EBL58" s="196"/>
      <c r="EBM58" s="196"/>
      <c r="EBN58" s="196"/>
      <c r="EBO58" s="196"/>
      <c r="EBP58" s="196"/>
      <c r="EBQ58" s="196"/>
      <c r="EBR58" s="196"/>
      <c r="EBS58" s="196"/>
      <c r="EBT58" s="196"/>
      <c r="EBU58" s="196"/>
      <c r="EBV58" s="196"/>
      <c r="EBW58" s="196"/>
      <c r="EBX58" s="196"/>
      <c r="EBY58" s="196"/>
      <c r="EBZ58" s="196"/>
      <c r="ECA58" s="196"/>
      <c r="ECB58" s="196"/>
      <c r="ECC58" s="196"/>
      <c r="ECD58" s="196"/>
      <c r="ECE58" s="196"/>
      <c r="ECF58" s="196"/>
      <c r="ECG58" s="196"/>
      <c r="ECH58" s="196"/>
      <c r="ECI58" s="196"/>
      <c r="ECJ58" s="196"/>
      <c r="ECK58" s="196"/>
      <c r="ECL58" s="196"/>
      <c r="ECM58" s="196"/>
      <c r="ECN58" s="196"/>
      <c r="ECO58" s="196"/>
      <c r="ECP58" s="196"/>
      <c r="ECQ58" s="196"/>
      <c r="ECR58" s="196"/>
      <c r="ECS58" s="196"/>
      <c r="ECT58" s="196"/>
      <c r="ECU58" s="196"/>
      <c r="ECV58" s="196"/>
      <c r="ECW58" s="196"/>
      <c r="ECX58" s="196"/>
      <c r="ECY58" s="196"/>
      <c r="ECZ58" s="196"/>
      <c r="EDA58" s="196"/>
      <c r="EDB58" s="196"/>
      <c r="EDC58" s="196"/>
      <c r="EDD58" s="196"/>
      <c r="EDE58" s="196"/>
      <c r="EDF58" s="196"/>
      <c r="EDG58" s="196"/>
      <c r="EDH58" s="196"/>
      <c r="EDI58" s="196"/>
      <c r="EDJ58" s="196"/>
      <c r="EDK58" s="196"/>
      <c r="EDL58" s="196"/>
      <c r="EDM58" s="196"/>
      <c r="EDN58" s="196"/>
      <c r="EDO58" s="196"/>
      <c r="EDP58" s="196"/>
      <c r="EDQ58" s="196"/>
      <c r="EDR58" s="196"/>
      <c r="EDS58" s="196"/>
      <c r="EDT58" s="196"/>
      <c r="EDU58" s="196"/>
      <c r="EDV58" s="196"/>
      <c r="EDW58" s="196"/>
      <c r="EDX58" s="196"/>
      <c r="EDY58" s="196"/>
      <c r="EDZ58" s="196"/>
      <c r="EEA58" s="196"/>
      <c r="EEB58" s="196"/>
      <c r="EEC58" s="196"/>
      <c r="EED58" s="196"/>
      <c r="EEE58" s="196"/>
      <c r="EEF58" s="196"/>
      <c r="EEG58" s="196"/>
      <c r="EEH58" s="196"/>
      <c r="EEI58" s="196"/>
      <c r="EEJ58" s="196"/>
      <c r="EEK58" s="196"/>
      <c r="EEL58" s="196"/>
      <c r="EEM58" s="196"/>
      <c r="EEN58" s="196"/>
      <c r="EEO58" s="196"/>
      <c r="EEP58" s="196"/>
      <c r="EEQ58" s="196"/>
      <c r="EER58" s="196"/>
      <c r="EES58" s="196"/>
      <c r="EET58" s="196"/>
      <c r="EEU58" s="196"/>
      <c r="EEV58" s="196"/>
      <c r="EEW58" s="196"/>
      <c r="EEX58" s="196"/>
      <c r="EEY58" s="196"/>
      <c r="EEZ58" s="196"/>
      <c r="EFA58" s="196"/>
      <c r="EFB58" s="196"/>
      <c r="EFC58" s="196"/>
      <c r="EFD58" s="196"/>
      <c r="EFE58" s="196"/>
      <c r="EFF58" s="196"/>
      <c r="EFG58" s="196"/>
      <c r="EFH58" s="196"/>
      <c r="EFI58" s="196"/>
      <c r="EFJ58" s="196"/>
      <c r="EFK58" s="196"/>
      <c r="EFL58" s="196"/>
      <c r="EFM58" s="196"/>
      <c r="EFN58" s="196"/>
      <c r="EFO58" s="196"/>
      <c r="EFP58" s="196"/>
      <c r="EFQ58" s="196"/>
      <c r="EFR58" s="196"/>
      <c r="EFS58" s="196"/>
      <c r="EFT58" s="196"/>
      <c r="EFU58" s="196"/>
      <c r="EFV58" s="196"/>
      <c r="EFW58" s="196"/>
      <c r="EFX58" s="196"/>
      <c r="EFY58" s="196"/>
      <c r="EFZ58" s="196"/>
      <c r="EGA58" s="196"/>
      <c r="EGB58" s="196"/>
      <c r="EGC58" s="196"/>
      <c r="EGD58" s="196"/>
      <c r="EGE58" s="196"/>
      <c r="EGF58" s="196"/>
      <c r="EGG58" s="196"/>
      <c r="EGH58" s="196"/>
      <c r="EGI58" s="196"/>
      <c r="EGJ58" s="196"/>
      <c r="EGK58" s="196"/>
      <c r="EGL58" s="196"/>
      <c r="EGM58" s="196"/>
      <c r="EGN58" s="196"/>
      <c r="EGO58" s="196"/>
      <c r="EGP58" s="196"/>
      <c r="EGQ58" s="196"/>
      <c r="EGR58" s="196"/>
      <c r="EGS58" s="196"/>
      <c r="EGT58" s="196"/>
      <c r="EGU58" s="196"/>
      <c r="EGV58" s="196"/>
      <c r="EGW58" s="196"/>
      <c r="EGX58" s="196"/>
      <c r="EGY58" s="196"/>
      <c r="EGZ58" s="196"/>
      <c r="EHA58" s="196"/>
      <c r="EHB58" s="196"/>
      <c r="EHC58" s="196"/>
      <c r="EHD58" s="196"/>
      <c r="EHE58" s="196"/>
      <c r="EHF58" s="196"/>
      <c r="EHG58" s="196"/>
      <c r="EHH58" s="196"/>
      <c r="EHI58" s="196"/>
      <c r="EHJ58" s="196"/>
      <c r="EHK58" s="196"/>
      <c r="EHL58" s="196"/>
      <c r="EHM58" s="196"/>
      <c r="EHN58" s="196"/>
      <c r="EHO58" s="196"/>
      <c r="EHP58" s="196"/>
      <c r="EHQ58" s="196"/>
      <c r="EHR58" s="196"/>
      <c r="EHS58" s="196"/>
      <c r="EHT58" s="196"/>
      <c r="EHU58" s="196"/>
      <c r="EHV58" s="196"/>
      <c r="EHW58" s="196"/>
      <c r="EHX58" s="196"/>
      <c r="EHY58" s="196"/>
      <c r="EHZ58" s="196"/>
      <c r="EIA58" s="196"/>
      <c r="EIB58" s="196"/>
      <c r="EIC58" s="196"/>
      <c r="EID58" s="196"/>
      <c r="EIE58" s="196"/>
      <c r="EIF58" s="196"/>
      <c r="EIG58" s="196"/>
      <c r="EIH58" s="196"/>
      <c r="EII58" s="196"/>
      <c r="EIJ58" s="196"/>
      <c r="EIK58" s="196"/>
      <c r="EIL58" s="196"/>
      <c r="EIM58" s="196"/>
      <c r="EIN58" s="196"/>
      <c r="EIO58" s="196"/>
      <c r="EIP58" s="196"/>
      <c r="EIQ58" s="196"/>
      <c r="EIR58" s="196"/>
      <c r="EIS58" s="196"/>
      <c r="EIT58" s="196"/>
      <c r="EIU58" s="196"/>
      <c r="EIV58" s="196"/>
      <c r="EIW58" s="196"/>
      <c r="EIX58" s="196"/>
      <c r="EIY58" s="196"/>
      <c r="EIZ58" s="196"/>
      <c r="EJA58" s="196"/>
      <c r="EJB58" s="196"/>
      <c r="EJC58" s="196"/>
      <c r="EJD58" s="196"/>
      <c r="EJE58" s="196"/>
      <c r="EJF58" s="196"/>
      <c r="EJG58" s="196"/>
      <c r="EJH58" s="196"/>
      <c r="EJI58" s="196"/>
      <c r="EJJ58" s="196"/>
      <c r="EJK58" s="196"/>
      <c r="EJL58" s="196"/>
      <c r="EJM58" s="196"/>
      <c r="EJN58" s="196"/>
      <c r="EJO58" s="196"/>
      <c r="EJP58" s="196"/>
      <c r="EJQ58" s="196"/>
      <c r="EJR58" s="196"/>
      <c r="EJS58" s="196"/>
      <c r="EJT58" s="196"/>
      <c r="EJU58" s="196"/>
      <c r="EJV58" s="196"/>
      <c r="EJW58" s="196"/>
      <c r="EJX58" s="196"/>
      <c r="EJY58" s="196"/>
      <c r="EJZ58" s="196"/>
      <c r="EKA58" s="196"/>
      <c r="EKB58" s="196"/>
      <c r="EKC58" s="196"/>
      <c r="EKD58" s="196"/>
      <c r="EKE58" s="196"/>
      <c r="EKF58" s="196"/>
      <c r="EKG58" s="196"/>
      <c r="EKH58" s="196"/>
      <c r="EKI58" s="196"/>
      <c r="EKJ58" s="196"/>
      <c r="EKK58" s="196"/>
      <c r="EKL58" s="196"/>
      <c r="EKM58" s="196"/>
      <c r="EKN58" s="196"/>
      <c r="EKO58" s="196"/>
      <c r="EKP58" s="196"/>
      <c r="EKQ58" s="196"/>
      <c r="EKR58" s="196"/>
      <c r="EKS58" s="196"/>
      <c r="EKT58" s="196"/>
      <c r="EKU58" s="196"/>
      <c r="EKV58" s="196"/>
      <c r="EKW58" s="196"/>
      <c r="EKX58" s="196"/>
      <c r="EKY58" s="196"/>
      <c r="EKZ58" s="196"/>
      <c r="ELA58" s="196"/>
      <c r="ELB58" s="196"/>
      <c r="ELC58" s="196"/>
      <c r="ELD58" s="196"/>
      <c r="ELE58" s="196"/>
      <c r="ELF58" s="196"/>
      <c r="ELG58" s="196"/>
      <c r="ELH58" s="196"/>
      <c r="ELI58" s="196"/>
      <c r="ELJ58" s="196"/>
      <c r="ELK58" s="196"/>
      <c r="ELL58" s="196"/>
      <c r="ELM58" s="196"/>
      <c r="ELN58" s="196"/>
      <c r="ELO58" s="196"/>
      <c r="ELP58" s="196"/>
      <c r="ELQ58" s="196"/>
      <c r="ELR58" s="196"/>
      <c r="ELS58" s="196"/>
      <c r="ELT58" s="196"/>
      <c r="ELU58" s="196"/>
      <c r="ELV58" s="196"/>
      <c r="ELW58" s="196"/>
      <c r="ELX58" s="196"/>
      <c r="ELY58" s="196"/>
      <c r="ELZ58" s="196"/>
      <c r="EMA58" s="196"/>
      <c r="EMB58" s="196"/>
      <c r="EMC58" s="196"/>
      <c r="EMD58" s="196"/>
      <c r="EME58" s="196"/>
      <c r="EMF58" s="196"/>
      <c r="EMG58" s="196"/>
      <c r="EMH58" s="196"/>
      <c r="EMI58" s="196"/>
      <c r="EMJ58" s="196"/>
      <c r="EMK58" s="196"/>
      <c r="EML58" s="196"/>
      <c r="EMM58" s="196"/>
      <c r="EMN58" s="196"/>
      <c r="EMO58" s="196"/>
      <c r="EMP58" s="196"/>
      <c r="EMQ58" s="196"/>
      <c r="EMR58" s="196"/>
      <c r="EMS58" s="196"/>
      <c r="EMT58" s="196"/>
      <c r="EMU58" s="196"/>
      <c r="EMV58" s="196"/>
      <c r="EMW58" s="196"/>
      <c r="EMX58" s="196"/>
      <c r="EMY58" s="196"/>
      <c r="EMZ58" s="196"/>
      <c r="ENA58" s="196"/>
      <c r="ENB58" s="196"/>
      <c r="ENC58" s="196"/>
      <c r="END58" s="196"/>
      <c r="ENE58" s="196"/>
      <c r="ENF58" s="196"/>
      <c r="ENG58" s="196"/>
      <c r="ENH58" s="196"/>
      <c r="ENI58" s="196"/>
      <c r="ENJ58" s="196"/>
      <c r="ENK58" s="196"/>
      <c r="ENL58" s="196"/>
      <c r="ENM58" s="196"/>
      <c r="ENN58" s="196"/>
      <c r="ENO58" s="196"/>
      <c r="ENP58" s="196"/>
      <c r="ENQ58" s="196"/>
      <c r="ENR58" s="196"/>
      <c r="ENS58" s="196"/>
      <c r="ENT58" s="196"/>
      <c r="ENU58" s="196"/>
      <c r="ENV58" s="196"/>
      <c r="ENW58" s="196"/>
      <c r="ENX58" s="196"/>
      <c r="ENY58" s="196"/>
      <c r="ENZ58" s="196"/>
      <c r="EOA58" s="196"/>
      <c r="EOB58" s="196"/>
      <c r="EOC58" s="196"/>
      <c r="EOD58" s="196"/>
      <c r="EOE58" s="196"/>
      <c r="EOF58" s="196"/>
      <c r="EOG58" s="196"/>
      <c r="EOH58" s="196"/>
      <c r="EOI58" s="196"/>
      <c r="EOJ58" s="196"/>
      <c r="EOK58" s="196"/>
      <c r="EOL58" s="196"/>
      <c r="EOM58" s="196"/>
      <c r="EON58" s="196"/>
      <c r="EOO58" s="196"/>
      <c r="EOP58" s="196"/>
      <c r="EOQ58" s="196"/>
      <c r="EOR58" s="196"/>
      <c r="EOS58" s="196"/>
      <c r="EOT58" s="196"/>
      <c r="EOU58" s="196"/>
      <c r="EOV58" s="196"/>
      <c r="EOW58" s="196"/>
      <c r="EOX58" s="196"/>
      <c r="EOY58" s="196"/>
      <c r="EOZ58" s="196"/>
      <c r="EPA58" s="196"/>
      <c r="EPB58" s="196"/>
      <c r="EPC58" s="196"/>
      <c r="EPD58" s="196"/>
      <c r="EPE58" s="196"/>
      <c r="EPF58" s="196"/>
      <c r="EPG58" s="196"/>
      <c r="EPH58" s="196"/>
      <c r="EPI58" s="196"/>
      <c r="EPJ58" s="196"/>
      <c r="EPK58" s="196"/>
      <c r="EPL58" s="196"/>
      <c r="EPM58" s="196"/>
      <c r="EPN58" s="196"/>
      <c r="EPO58" s="196"/>
      <c r="EPP58" s="196"/>
      <c r="EPQ58" s="196"/>
      <c r="EPR58" s="196"/>
      <c r="EPS58" s="196"/>
      <c r="EPT58" s="196"/>
      <c r="EPU58" s="196"/>
      <c r="EPV58" s="196"/>
      <c r="EPW58" s="196"/>
      <c r="EPX58" s="196"/>
      <c r="EPY58" s="196"/>
      <c r="EPZ58" s="196"/>
      <c r="EQA58" s="196"/>
      <c r="EQB58" s="196"/>
      <c r="EQC58" s="196"/>
      <c r="EQD58" s="196"/>
      <c r="EQE58" s="196"/>
      <c r="EQF58" s="196"/>
      <c r="EQG58" s="196"/>
      <c r="EQH58" s="196"/>
      <c r="EQI58" s="196"/>
      <c r="EQJ58" s="196"/>
      <c r="EQK58" s="196"/>
      <c r="EQL58" s="196"/>
      <c r="EQM58" s="196"/>
      <c r="EQN58" s="196"/>
      <c r="EQO58" s="196"/>
      <c r="EQP58" s="196"/>
      <c r="EQQ58" s="196"/>
      <c r="EQR58" s="196"/>
      <c r="EQS58" s="196"/>
      <c r="EQT58" s="196"/>
      <c r="EQU58" s="196"/>
      <c r="EQV58" s="196"/>
      <c r="EQW58" s="196"/>
      <c r="EQX58" s="196"/>
      <c r="EQY58" s="196"/>
      <c r="EQZ58" s="196"/>
      <c r="ERA58" s="196"/>
      <c r="ERB58" s="196"/>
      <c r="ERC58" s="196"/>
      <c r="ERD58" s="196"/>
      <c r="ERE58" s="196"/>
      <c r="ERF58" s="196"/>
      <c r="ERG58" s="196"/>
      <c r="ERH58" s="196"/>
      <c r="ERI58" s="196"/>
      <c r="ERJ58" s="196"/>
      <c r="ERK58" s="196"/>
      <c r="ERL58" s="196"/>
      <c r="ERM58" s="196"/>
      <c r="ERN58" s="196"/>
      <c r="ERO58" s="196"/>
      <c r="ERP58" s="196"/>
      <c r="ERQ58" s="196"/>
      <c r="ERR58" s="196"/>
      <c r="ERS58" s="196"/>
      <c r="ERT58" s="196"/>
      <c r="ERU58" s="196"/>
      <c r="ERV58" s="196"/>
      <c r="ERW58" s="196"/>
      <c r="ERX58" s="196"/>
      <c r="ERY58" s="196"/>
      <c r="ERZ58" s="196"/>
      <c r="ESA58" s="196"/>
      <c r="ESB58" s="196"/>
      <c r="ESC58" s="196"/>
      <c r="ESD58" s="196"/>
      <c r="ESE58" s="196"/>
      <c r="ESF58" s="196"/>
      <c r="ESG58" s="196"/>
      <c r="ESH58" s="196"/>
      <c r="ESI58" s="196"/>
      <c r="ESJ58" s="196"/>
      <c r="ESK58" s="196"/>
      <c r="ESL58" s="196"/>
      <c r="ESM58" s="196"/>
      <c r="ESN58" s="196"/>
      <c r="ESO58" s="196"/>
      <c r="ESP58" s="196"/>
      <c r="ESQ58" s="196"/>
      <c r="ESR58" s="196"/>
      <c r="ESS58" s="196"/>
      <c r="EST58" s="196"/>
      <c r="ESU58" s="196"/>
      <c r="ESV58" s="196"/>
      <c r="ESW58" s="196"/>
      <c r="ESX58" s="196"/>
      <c r="ESY58" s="196"/>
      <c r="ESZ58" s="196"/>
      <c r="ETA58" s="196"/>
      <c r="ETB58" s="196"/>
      <c r="ETC58" s="196"/>
      <c r="ETD58" s="196"/>
      <c r="ETE58" s="196"/>
      <c r="ETF58" s="196"/>
      <c r="ETG58" s="196"/>
      <c r="ETH58" s="196"/>
      <c r="ETI58" s="196"/>
      <c r="ETJ58" s="196"/>
      <c r="ETK58" s="196"/>
      <c r="ETL58" s="196"/>
      <c r="ETM58" s="196"/>
      <c r="ETN58" s="196"/>
      <c r="ETO58" s="196"/>
      <c r="ETP58" s="196"/>
      <c r="ETQ58" s="196"/>
      <c r="ETR58" s="196"/>
      <c r="ETS58" s="196"/>
      <c r="ETT58" s="196"/>
      <c r="ETU58" s="196"/>
      <c r="ETV58" s="196"/>
      <c r="ETW58" s="196"/>
      <c r="ETX58" s="196"/>
      <c r="ETY58" s="196"/>
      <c r="ETZ58" s="196"/>
      <c r="EUA58" s="196"/>
      <c r="EUB58" s="196"/>
      <c r="EUC58" s="196"/>
      <c r="EUD58" s="196"/>
      <c r="EUE58" s="196"/>
      <c r="EUF58" s="196"/>
      <c r="EUG58" s="196"/>
      <c r="EUH58" s="196"/>
      <c r="EUI58" s="196"/>
      <c r="EUJ58" s="196"/>
      <c r="EUK58" s="196"/>
      <c r="EUL58" s="196"/>
      <c r="EUM58" s="196"/>
      <c r="EUN58" s="196"/>
      <c r="EUO58" s="196"/>
      <c r="EUP58" s="196"/>
      <c r="EUQ58" s="196"/>
      <c r="EUR58" s="196"/>
      <c r="EUS58" s="196"/>
      <c r="EUT58" s="196"/>
      <c r="EUU58" s="196"/>
      <c r="EUV58" s="196"/>
      <c r="EUW58" s="196"/>
      <c r="EUX58" s="196"/>
      <c r="EUY58" s="196"/>
      <c r="EUZ58" s="196"/>
      <c r="EVA58" s="196"/>
      <c r="EVB58" s="196"/>
      <c r="EVC58" s="196"/>
      <c r="EVD58" s="196"/>
      <c r="EVE58" s="196"/>
      <c r="EVF58" s="196"/>
      <c r="EVG58" s="196"/>
      <c r="EVH58" s="196"/>
      <c r="EVI58" s="196"/>
      <c r="EVJ58" s="196"/>
      <c r="EVK58" s="196"/>
      <c r="EVL58" s="196"/>
      <c r="EVM58" s="196"/>
      <c r="EVN58" s="196"/>
      <c r="EVO58" s="196"/>
      <c r="EVP58" s="196"/>
      <c r="EVQ58" s="196"/>
      <c r="EVR58" s="196"/>
      <c r="EVS58" s="196"/>
      <c r="EVT58" s="196"/>
      <c r="EVU58" s="196"/>
      <c r="EVV58" s="196"/>
      <c r="EVW58" s="196"/>
      <c r="EVX58" s="196"/>
      <c r="EVY58" s="196"/>
      <c r="EVZ58" s="196"/>
      <c r="EWA58" s="196"/>
      <c r="EWB58" s="196"/>
      <c r="EWC58" s="196"/>
      <c r="EWD58" s="196"/>
      <c r="EWE58" s="196"/>
      <c r="EWF58" s="196"/>
      <c r="EWG58" s="196"/>
      <c r="EWH58" s="196"/>
      <c r="EWI58" s="196"/>
      <c r="EWJ58" s="196"/>
      <c r="EWK58" s="196"/>
      <c r="EWL58" s="196"/>
      <c r="EWM58" s="196"/>
      <c r="EWN58" s="196"/>
      <c r="EWO58" s="196"/>
      <c r="EWP58" s="196"/>
      <c r="EWQ58" s="196"/>
      <c r="EWR58" s="196"/>
      <c r="EWS58" s="196"/>
      <c r="EWT58" s="196"/>
      <c r="EWU58" s="196"/>
      <c r="EWV58" s="196"/>
      <c r="EWW58" s="196"/>
      <c r="EWX58" s="196"/>
      <c r="EWY58" s="196"/>
      <c r="EWZ58" s="196"/>
      <c r="EXA58" s="196"/>
      <c r="EXB58" s="196"/>
      <c r="EXC58" s="196"/>
      <c r="EXD58" s="196"/>
      <c r="EXE58" s="196"/>
      <c r="EXF58" s="196"/>
      <c r="EXG58" s="196"/>
      <c r="EXH58" s="196"/>
      <c r="EXI58" s="196"/>
      <c r="EXJ58" s="196"/>
      <c r="EXK58" s="196"/>
      <c r="EXL58" s="196"/>
      <c r="EXM58" s="196"/>
      <c r="EXN58" s="196"/>
      <c r="EXO58" s="196"/>
      <c r="EXP58" s="196"/>
      <c r="EXQ58" s="196"/>
      <c r="EXR58" s="196"/>
      <c r="EXS58" s="196"/>
      <c r="EXT58" s="196"/>
      <c r="EXU58" s="196"/>
      <c r="EXV58" s="196"/>
      <c r="EXW58" s="196"/>
      <c r="EXX58" s="196"/>
      <c r="EXY58" s="196"/>
      <c r="EXZ58" s="196"/>
      <c r="EYA58" s="196"/>
      <c r="EYB58" s="196"/>
      <c r="EYC58" s="196"/>
      <c r="EYD58" s="196"/>
      <c r="EYE58" s="196"/>
      <c r="EYF58" s="196"/>
      <c r="EYG58" s="196"/>
      <c r="EYH58" s="196"/>
      <c r="EYI58" s="196"/>
      <c r="EYJ58" s="196"/>
      <c r="EYK58" s="196"/>
      <c r="EYL58" s="196"/>
      <c r="EYM58" s="196"/>
      <c r="EYN58" s="196"/>
      <c r="EYO58" s="196"/>
      <c r="EYP58" s="196"/>
      <c r="EYQ58" s="196"/>
      <c r="EYR58" s="196"/>
      <c r="EYS58" s="196"/>
      <c r="EYT58" s="196"/>
      <c r="EYU58" s="196"/>
      <c r="EYV58" s="196"/>
      <c r="EYW58" s="196"/>
      <c r="EYX58" s="196"/>
      <c r="EYY58" s="196"/>
      <c r="EYZ58" s="196"/>
      <c r="EZA58" s="196"/>
      <c r="EZB58" s="196"/>
      <c r="EZC58" s="196"/>
      <c r="EZD58" s="196"/>
      <c r="EZE58" s="196"/>
      <c r="EZF58" s="196"/>
      <c r="EZG58" s="196"/>
      <c r="EZH58" s="196"/>
      <c r="EZI58" s="196"/>
      <c r="EZJ58" s="196"/>
      <c r="EZK58" s="196"/>
      <c r="EZL58" s="196"/>
      <c r="EZM58" s="196"/>
      <c r="EZN58" s="196"/>
      <c r="EZO58" s="196"/>
      <c r="EZP58" s="196"/>
      <c r="EZQ58" s="196"/>
      <c r="EZR58" s="196"/>
      <c r="EZS58" s="196"/>
      <c r="EZT58" s="196"/>
      <c r="EZU58" s="196"/>
      <c r="EZV58" s="196"/>
      <c r="EZW58" s="196"/>
      <c r="EZX58" s="196"/>
      <c r="EZY58" s="196"/>
      <c r="EZZ58" s="196"/>
      <c r="FAA58" s="196"/>
      <c r="FAB58" s="196"/>
      <c r="FAC58" s="196"/>
      <c r="FAD58" s="196"/>
      <c r="FAE58" s="196"/>
      <c r="FAF58" s="196"/>
      <c r="FAG58" s="196"/>
      <c r="FAH58" s="196"/>
      <c r="FAI58" s="196"/>
      <c r="FAJ58" s="196"/>
      <c r="FAK58" s="196"/>
      <c r="FAL58" s="196"/>
      <c r="FAM58" s="196"/>
      <c r="FAN58" s="196"/>
      <c r="FAO58" s="196"/>
      <c r="FAP58" s="196"/>
      <c r="FAQ58" s="196"/>
      <c r="FAR58" s="196"/>
      <c r="FAS58" s="196"/>
      <c r="FAT58" s="196"/>
      <c r="FAU58" s="196"/>
      <c r="FAV58" s="196"/>
      <c r="FAW58" s="196"/>
      <c r="FAX58" s="196"/>
      <c r="FAY58" s="196"/>
      <c r="FAZ58" s="196"/>
      <c r="FBA58" s="196"/>
      <c r="FBB58" s="196"/>
      <c r="FBC58" s="196"/>
      <c r="FBD58" s="196"/>
      <c r="FBE58" s="196"/>
      <c r="FBF58" s="196"/>
      <c r="FBG58" s="196"/>
      <c r="FBH58" s="196"/>
      <c r="FBI58" s="196"/>
      <c r="FBJ58" s="196"/>
      <c r="FBK58" s="196"/>
      <c r="FBL58" s="196"/>
      <c r="FBM58" s="196"/>
      <c r="FBN58" s="196"/>
      <c r="FBO58" s="196"/>
      <c r="FBP58" s="196"/>
      <c r="FBQ58" s="196"/>
      <c r="FBR58" s="196"/>
      <c r="FBS58" s="196"/>
      <c r="FBT58" s="196"/>
      <c r="FBU58" s="196"/>
      <c r="FBV58" s="196"/>
      <c r="FBW58" s="196"/>
      <c r="FBX58" s="196"/>
      <c r="FBY58" s="196"/>
      <c r="FBZ58" s="196"/>
      <c r="FCA58" s="196"/>
      <c r="FCB58" s="196"/>
      <c r="FCC58" s="196"/>
      <c r="FCD58" s="196"/>
      <c r="FCE58" s="196"/>
      <c r="FCF58" s="196"/>
      <c r="FCG58" s="196"/>
      <c r="FCH58" s="196"/>
      <c r="FCI58" s="196"/>
      <c r="FCJ58" s="196"/>
      <c r="FCK58" s="196"/>
      <c r="FCL58" s="196"/>
      <c r="FCM58" s="196"/>
      <c r="FCN58" s="196"/>
      <c r="FCO58" s="196"/>
      <c r="FCP58" s="196"/>
      <c r="FCQ58" s="196"/>
      <c r="FCR58" s="196"/>
      <c r="FCS58" s="196"/>
      <c r="FCT58" s="196"/>
      <c r="FCU58" s="196"/>
      <c r="FCV58" s="196"/>
      <c r="FCW58" s="196"/>
      <c r="FCX58" s="196"/>
      <c r="FCY58" s="196"/>
      <c r="FCZ58" s="196"/>
      <c r="FDA58" s="196"/>
      <c r="FDB58" s="196"/>
      <c r="FDC58" s="196"/>
      <c r="FDD58" s="196"/>
      <c r="FDE58" s="196"/>
      <c r="FDF58" s="196"/>
      <c r="FDG58" s="196"/>
      <c r="FDH58" s="196"/>
      <c r="FDI58" s="196"/>
      <c r="FDJ58" s="196"/>
      <c r="FDK58" s="196"/>
      <c r="FDL58" s="196"/>
      <c r="FDM58" s="196"/>
      <c r="FDN58" s="196"/>
      <c r="FDO58" s="196"/>
      <c r="FDP58" s="196"/>
      <c r="FDQ58" s="196"/>
      <c r="FDR58" s="196"/>
      <c r="FDS58" s="196"/>
      <c r="FDT58" s="196"/>
      <c r="FDU58" s="196"/>
      <c r="FDV58" s="196"/>
      <c r="FDW58" s="196"/>
      <c r="FDX58" s="196"/>
      <c r="FDY58" s="196"/>
      <c r="FDZ58" s="196"/>
      <c r="FEA58" s="196"/>
      <c r="FEB58" s="196"/>
      <c r="FEC58" s="196"/>
      <c r="FED58" s="196"/>
      <c r="FEE58" s="196"/>
      <c r="FEF58" s="196"/>
      <c r="FEG58" s="196"/>
      <c r="FEH58" s="196"/>
      <c r="FEI58" s="196"/>
      <c r="FEJ58" s="196"/>
      <c r="FEK58" s="196"/>
      <c r="FEL58" s="196"/>
      <c r="FEM58" s="196"/>
      <c r="FEN58" s="196"/>
      <c r="FEO58" s="196"/>
      <c r="FEP58" s="196"/>
      <c r="FEQ58" s="196"/>
      <c r="FER58" s="196"/>
      <c r="FES58" s="196"/>
      <c r="FET58" s="196"/>
      <c r="FEU58" s="196"/>
      <c r="FEV58" s="196"/>
      <c r="FEW58" s="196"/>
      <c r="FEX58" s="196"/>
      <c r="FEY58" s="196"/>
      <c r="FEZ58" s="196"/>
      <c r="FFA58" s="196"/>
      <c r="FFB58" s="196"/>
      <c r="FFC58" s="196"/>
      <c r="FFD58" s="196"/>
      <c r="FFE58" s="196"/>
      <c r="FFF58" s="196"/>
      <c r="FFG58" s="196"/>
      <c r="FFH58" s="196"/>
      <c r="FFI58" s="196"/>
      <c r="FFJ58" s="196"/>
      <c r="FFK58" s="196"/>
      <c r="FFL58" s="196"/>
      <c r="FFM58" s="196"/>
      <c r="FFN58" s="196"/>
      <c r="FFO58" s="196"/>
      <c r="FFP58" s="196"/>
      <c r="FFQ58" s="196"/>
      <c r="FFR58" s="196"/>
      <c r="FFS58" s="196"/>
      <c r="FFT58" s="196"/>
      <c r="FFU58" s="196"/>
      <c r="FFV58" s="196"/>
      <c r="FFW58" s="196"/>
      <c r="FFX58" s="196"/>
      <c r="FFY58" s="196"/>
      <c r="FFZ58" s="196"/>
      <c r="FGA58" s="196"/>
      <c r="FGB58" s="196"/>
      <c r="FGC58" s="196"/>
      <c r="FGD58" s="196"/>
      <c r="FGE58" s="196"/>
      <c r="FGF58" s="196"/>
      <c r="FGG58" s="196"/>
      <c r="FGH58" s="196"/>
      <c r="FGI58" s="196"/>
      <c r="FGJ58" s="196"/>
      <c r="FGK58" s="196"/>
      <c r="FGL58" s="196"/>
      <c r="FGM58" s="196"/>
      <c r="FGN58" s="196"/>
      <c r="FGO58" s="196"/>
      <c r="FGP58" s="196"/>
      <c r="FGQ58" s="196"/>
      <c r="FGR58" s="196"/>
      <c r="FGS58" s="196"/>
      <c r="FGT58" s="196"/>
      <c r="FGU58" s="196"/>
      <c r="FGV58" s="196"/>
      <c r="FGW58" s="196"/>
      <c r="FGX58" s="196"/>
      <c r="FGY58" s="196"/>
      <c r="FGZ58" s="196"/>
      <c r="FHA58" s="196"/>
      <c r="FHB58" s="196"/>
      <c r="FHC58" s="196"/>
      <c r="FHD58" s="196"/>
      <c r="FHE58" s="196"/>
      <c r="FHF58" s="196"/>
      <c r="FHG58" s="196"/>
      <c r="FHH58" s="196"/>
      <c r="FHI58" s="196"/>
      <c r="FHJ58" s="196"/>
      <c r="FHK58" s="196"/>
      <c r="FHL58" s="196"/>
      <c r="FHM58" s="196"/>
      <c r="FHN58" s="196"/>
      <c r="FHO58" s="196"/>
      <c r="FHP58" s="196"/>
      <c r="FHQ58" s="196"/>
      <c r="FHR58" s="196"/>
      <c r="FHS58" s="196"/>
      <c r="FHT58" s="196"/>
      <c r="FHU58" s="196"/>
      <c r="FHV58" s="196"/>
      <c r="FHW58" s="196"/>
      <c r="FHX58" s="196"/>
      <c r="FHY58" s="196"/>
      <c r="FHZ58" s="196"/>
      <c r="FIA58" s="196"/>
      <c r="FIB58" s="196"/>
      <c r="FIC58" s="196"/>
      <c r="FID58" s="196"/>
      <c r="FIE58" s="196"/>
      <c r="FIF58" s="196"/>
      <c r="FIG58" s="196"/>
      <c r="FIH58" s="196"/>
      <c r="FII58" s="196"/>
      <c r="FIJ58" s="196"/>
      <c r="FIK58" s="196"/>
      <c r="FIL58" s="196"/>
      <c r="FIM58" s="196"/>
      <c r="FIN58" s="196"/>
      <c r="FIO58" s="196"/>
      <c r="FIP58" s="196"/>
      <c r="FIQ58" s="196"/>
      <c r="FIR58" s="196"/>
      <c r="FIS58" s="196"/>
      <c r="FIT58" s="196"/>
      <c r="FIU58" s="196"/>
      <c r="FIV58" s="196"/>
      <c r="FIW58" s="196"/>
      <c r="FIX58" s="196"/>
      <c r="FIY58" s="196"/>
      <c r="FIZ58" s="196"/>
      <c r="FJA58" s="196"/>
      <c r="FJB58" s="196"/>
      <c r="FJC58" s="196"/>
      <c r="FJD58" s="196"/>
      <c r="FJE58" s="196"/>
      <c r="FJF58" s="196"/>
      <c r="FJG58" s="196"/>
      <c r="FJH58" s="196"/>
      <c r="FJI58" s="196"/>
      <c r="FJJ58" s="196"/>
      <c r="FJK58" s="196"/>
      <c r="FJL58" s="196"/>
      <c r="FJM58" s="196"/>
      <c r="FJN58" s="196"/>
      <c r="FJO58" s="196"/>
      <c r="FJP58" s="196"/>
      <c r="FJQ58" s="196"/>
      <c r="FJR58" s="196"/>
      <c r="FJS58" s="196"/>
      <c r="FJT58" s="196"/>
      <c r="FJU58" s="196"/>
      <c r="FJV58" s="196"/>
      <c r="FJW58" s="196"/>
      <c r="FJX58" s="196"/>
      <c r="FJY58" s="196"/>
      <c r="FJZ58" s="196"/>
      <c r="FKA58" s="196"/>
      <c r="FKB58" s="196"/>
      <c r="FKC58" s="196"/>
      <c r="FKD58" s="196"/>
      <c r="FKE58" s="196"/>
      <c r="FKF58" s="196"/>
      <c r="FKG58" s="196"/>
      <c r="FKH58" s="196"/>
      <c r="FKI58" s="196"/>
      <c r="FKJ58" s="196"/>
      <c r="FKK58" s="196"/>
      <c r="FKL58" s="196"/>
      <c r="FKM58" s="196"/>
      <c r="FKN58" s="196"/>
      <c r="FKO58" s="196"/>
      <c r="FKP58" s="196"/>
      <c r="FKQ58" s="196"/>
      <c r="FKR58" s="196"/>
      <c r="FKS58" s="196"/>
      <c r="FKT58" s="196"/>
      <c r="FKU58" s="196"/>
      <c r="FKV58" s="196"/>
      <c r="FKW58" s="196"/>
      <c r="FKX58" s="196"/>
      <c r="FKY58" s="196"/>
      <c r="FKZ58" s="196"/>
      <c r="FLA58" s="196"/>
      <c r="FLB58" s="196"/>
      <c r="FLC58" s="196"/>
      <c r="FLD58" s="196"/>
      <c r="FLE58" s="196"/>
      <c r="FLF58" s="196"/>
      <c r="FLG58" s="196"/>
      <c r="FLH58" s="196"/>
      <c r="FLI58" s="196"/>
      <c r="FLJ58" s="196"/>
      <c r="FLK58" s="196"/>
      <c r="FLL58" s="196"/>
      <c r="FLM58" s="196"/>
      <c r="FLN58" s="196"/>
      <c r="FLO58" s="196"/>
      <c r="FLP58" s="196"/>
      <c r="FLQ58" s="196"/>
      <c r="FLR58" s="196"/>
      <c r="FLS58" s="196"/>
      <c r="FLT58" s="196"/>
      <c r="FLU58" s="196"/>
      <c r="FLV58" s="196"/>
      <c r="FLW58" s="196"/>
      <c r="FLX58" s="196"/>
      <c r="FLY58" s="196"/>
      <c r="FLZ58" s="196"/>
      <c r="FMA58" s="196"/>
      <c r="FMB58" s="196"/>
      <c r="FMC58" s="196"/>
      <c r="FMD58" s="196"/>
      <c r="FME58" s="196"/>
      <c r="FMF58" s="196"/>
      <c r="FMG58" s="196"/>
      <c r="FMH58" s="196"/>
      <c r="FMI58" s="196"/>
      <c r="FMJ58" s="196"/>
      <c r="FMK58" s="196"/>
      <c r="FML58" s="196"/>
      <c r="FMM58" s="196"/>
      <c r="FMN58" s="196"/>
      <c r="FMO58" s="196"/>
      <c r="FMP58" s="196"/>
      <c r="FMQ58" s="196"/>
      <c r="FMR58" s="196"/>
      <c r="FMS58" s="196"/>
      <c r="FMT58" s="196"/>
      <c r="FMU58" s="196"/>
      <c r="FMV58" s="196"/>
      <c r="FMW58" s="196"/>
      <c r="FMX58" s="196"/>
      <c r="FMY58" s="196"/>
      <c r="FMZ58" s="196"/>
      <c r="FNA58" s="196"/>
      <c r="FNB58" s="196"/>
      <c r="FNC58" s="196"/>
      <c r="FND58" s="196"/>
      <c r="FNE58" s="196"/>
      <c r="FNF58" s="196"/>
      <c r="FNG58" s="196"/>
      <c r="FNH58" s="196"/>
      <c r="FNI58" s="196"/>
      <c r="FNJ58" s="196"/>
      <c r="FNK58" s="196"/>
      <c r="FNL58" s="196"/>
      <c r="FNM58" s="196"/>
      <c r="FNN58" s="196"/>
      <c r="FNO58" s="196"/>
      <c r="FNP58" s="196"/>
      <c r="FNQ58" s="196"/>
      <c r="FNR58" s="196"/>
      <c r="FNS58" s="196"/>
      <c r="FNT58" s="196"/>
      <c r="FNU58" s="196"/>
      <c r="FNV58" s="196"/>
      <c r="FNW58" s="196"/>
      <c r="FNX58" s="196"/>
      <c r="FNY58" s="196"/>
      <c r="FNZ58" s="196"/>
      <c r="FOA58" s="196"/>
      <c r="FOB58" s="196"/>
      <c r="FOC58" s="196"/>
      <c r="FOD58" s="196"/>
      <c r="FOE58" s="196"/>
      <c r="FOF58" s="196"/>
      <c r="FOG58" s="196"/>
      <c r="FOH58" s="196"/>
      <c r="FOI58" s="196"/>
      <c r="FOJ58" s="196"/>
      <c r="FOK58" s="196"/>
      <c r="FOL58" s="196"/>
      <c r="FOM58" s="196"/>
      <c r="FON58" s="196"/>
      <c r="FOO58" s="196"/>
      <c r="FOP58" s="196"/>
      <c r="FOQ58" s="196"/>
      <c r="FOR58" s="196"/>
      <c r="FOS58" s="196"/>
      <c r="FOT58" s="196"/>
      <c r="FOU58" s="196"/>
      <c r="FOV58" s="196"/>
      <c r="FOW58" s="196"/>
      <c r="FOX58" s="196"/>
      <c r="FOY58" s="196"/>
      <c r="FOZ58" s="196"/>
      <c r="FPA58" s="196"/>
      <c r="FPB58" s="196"/>
      <c r="FPC58" s="196"/>
      <c r="FPD58" s="196"/>
      <c r="FPE58" s="196"/>
      <c r="FPF58" s="196"/>
      <c r="FPG58" s="196"/>
      <c r="FPH58" s="196"/>
      <c r="FPI58" s="196"/>
      <c r="FPJ58" s="196"/>
      <c r="FPK58" s="196"/>
      <c r="FPL58" s="196"/>
      <c r="FPM58" s="196"/>
      <c r="FPN58" s="196"/>
      <c r="FPO58" s="196"/>
      <c r="FPP58" s="196"/>
      <c r="FPQ58" s="196"/>
      <c r="FPR58" s="196"/>
      <c r="FPS58" s="196"/>
      <c r="FPT58" s="196"/>
      <c r="FPU58" s="196"/>
      <c r="FPV58" s="196"/>
      <c r="FPW58" s="196"/>
      <c r="FPX58" s="196"/>
      <c r="FPY58" s="196"/>
      <c r="FPZ58" s="196"/>
      <c r="FQA58" s="196"/>
      <c r="FQB58" s="196"/>
      <c r="FQC58" s="196"/>
      <c r="FQD58" s="196"/>
      <c r="FQE58" s="196"/>
      <c r="FQF58" s="196"/>
      <c r="FQG58" s="196"/>
      <c r="FQH58" s="196"/>
      <c r="FQI58" s="196"/>
      <c r="FQJ58" s="196"/>
      <c r="FQK58" s="196"/>
      <c r="FQL58" s="196"/>
      <c r="FQM58" s="196"/>
      <c r="FQN58" s="196"/>
      <c r="FQO58" s="196"/>
      <c r="FQP58" s="196"/>
      <c r="FQQ58" s="196"/>
      <c r="FQR58" s="196"/>
      <c r="FQS58" s="196"/>
      <c r="FQT58" s="196"/>
      <c r="FQU58" s="196"/>
      <c r="FQV58" s="196"/>
      <c r="FQW58" s="196"/>
      <c r="FQX58" s="196"/>
      <c r="FQY58" s="196"/>
      <c r="FQZ58" s="196"/>
      <c r="FRA58" s="196"/>
      <c r="FRB58" s="196"/>
      <c r="FRC58" s="196"/>
      <c r="FRD58" s="196"/>
      <c r="FRE58" s="196"/>
      <c r="FRF58" s="196"/>
      <c r="FRG58" s="196"/>
      <c r="FRH58" s="196"/>
      <c r="FRI58" s="196"/>
      <c r="FRJ58" s="196"/>
      <c r="FRK58" s="196"/>
      <c r="FRL58" s="196"/>
      <c r="FRM58" s="196"/>
      <c r="FRN58" s="196"/>
      <c r="FRO58" s="196"/>
      <c r="FRP58" s="196"/>
      <c r="FRQ58" s="196"/>
      <c r="FRR58" s="196"/>
      <c r="FRS58" s="196"/>
      <c r="FRT58" s="196"/>
      <c r="FRU58" s="196"/>
      <c r="FRV58" s="196"/>
      <c r="FRW58" s="196"/>
      <c r="FRX58" s="196"/>
      <c r="FRY58" s="196"/>
      <c r="FRZ58" s="196"/>
      <c r="FSA58" s="196"/>
      <c r="FSB58" s="196"/>
      <c r="FSC58" s="196"/>
      <c r="FSD58" s="196"/>
      <c r="FSE58" s="196"/>
      <c r="FSF58" s="196"/>
      <c r="FSG58" s="196"/>
      <c r="FSH58" s="196"/>
      <c r="FSI58" s="196"/>
      <c r="FSJ58" s="196"/>
      <c r="FSK58" s="196"/>
      <c r="FSL58" s="196"/>
      <c r="FSM58" s="196"/>
      <c r="FSN58" s="196"/>
      <c r="FSO58" s="196"/>
      <c r="FSP58" s="196"/>
      <c r="FSQ58" s="196"/>
      <c r="FSR58" s="196"/>
      <c r="FSS58" s="196"/>
      <c r="FST58" s="196"/>
      <c r="FSU58" s="196"/>
      <c r="FSV58" s="196"/>
      <c r="FSW58" s="196"/>
      <c r="FSX58" s="196"/>
      <c r="FSY58" s="196"/>
      <c r="FSZ58" s="196"/>
      <c r="FTA58" s="196"/>
      <c r="FTB58" s="196"/>
      <c r="FTC58" s="196"/>
      <c r="FTD58" s="196"/>
      <c r="FTE58" s="196"/>
      <c r="FTF58" s="196"/>
      <c r="FTG58" s="196"/>
      <c r="FTH58" s="196"/>
      <c r="FTI58" s="196"/>
      <c r="FTJ58" s="196"/>
      <c r="FTK58" s="196"/>
      <c r="FTL58" s="196"/>
      <c r="FTM58" s="196"/>
      <c r="FTN58" s="196"/>
      <c r="FTO58" s="196"/>
      <c r="FTP58" s="196"/>
      <c r="FTQ58" s="196"/>
      <c r="FTR58" s="196"/>
      <c r="FTS58" s="196"/>
      <c r="FTT58" s="196"/>
      <c r="FTU58" s="196"/>
      <c r="FTV58" s="196"/>
      <c r="FTW58" s="196"/>
      <c r="FTX58" s="196"/>
      <c r="FTY58" s="196"/>
      <c r="FTZ58" s="196"/>
      <c r="FUA58" s="196"/>
      <c r="FUB58" s="196"/>
      <c r="FUC58" s="196"/>
      <c r="FUD58" s="196"/>
      <c r="FUE58" s="196"/>
      <c r="FUF58" s="196"/>
      <c r="FUG58" s="196"/>
      <c r="FUH58" s="196"/>
      <c r="FUI58" s="196"/>
      <c r="FUJ58" s="196"/>
      <c r="FUK58" s="196"/>
      <c r="FUL58" s="196"/>
      <c r="FUM58" s="196"/>
      <c r="FUN58" s="196"/>
      <c r="FUO58" s="196"/>
      <c r="FUP58" s="196"/>
      <c r="FUQ58" s="196"/>
      <c r="FUR58" s="196"/>
      <c r="FUS58" s="196"/>
      <c r="FUT58" s="196"/>
      <c r="FUU58" s="196"/>
      <c r="FUV58" s="196"/>
      <c r="FUW58" s="196"/>
      <c r="FUX58" s="196"/>
      <c r="FUY58" s="196"/>
      <c r="FUZ58" s="196"/>
      <c r="FVA58" s="196"/>
      <c r="FVB58" s="196"/>
      <c r="FVC58" s="196"/>
      <c r="FVD58" s="196"/>
      <c r="FVE58" s="196"/>
      <c r="FVF58" s="196"/>
      <c r="FVG58" s="196"/>
      <c r="FVH58" s="196"/>
      <c r="FVI58" s="196"/>
      <c r="FVJ58" s="196"/>
      <c r="FVK58" s="196"/>
      <c r="FVL58" s="196"/>
      <c r="FVM58" s="196"/>
      <c r="FVN58" s="196"/>
      <c r="FVO58" s="196"/>
      <c r="FVP58" s="196"/>
      <c r="FVQ58" s="196"/>
      <c r="FVR58" s="196"/>
      <c r="FVS58" s="196"/>
      <c r="FVT58" s="196"/>
      <c r="FVU58" s="196"/>
      <c r="FVV58" s="196"/>
      <c r="FVW58" s="196"/>
      <c r="FVX58" s="196"/>
      <c r="FVY58" s="196"/>
      <c r="FVZ58" s="196"/>
      <c r="FWA58" s="196"/>
      <c r="FWB58" s="196"/>
      <c r="FWC58" s="196"/>
      <c r="FWD58" s="196"/>
      <c r="FWE58" s="196"/>
      <c r="FWF58" s="196"/>
      <c r="FWG58" s="196"/>
      <c r="FWH58" s="196"/>
      <c r="FWI58" s="196"/>
      <c r="FWJ58" s="196"/>
      <c r="FWK58" s="196"/>
      <c r="FWL58" s="196"/>
      <c r="FWM58" s="196"/>
      <c r="FWN58" s="196"/>
      <c r="FWO58" s="196"/>
      <c r="FWP58" s="196"/>
      <c r="FWQ58" s="196"/>
      <c r="FWR58" s="196"/>
      <c r="FWS58" s="196"/>
      <c r="FWT58" s="196"/>
      <c r="FWU58" s="196"/>
      <c r="FWV58" s="196"/>
      <c r="FWW58" s="196"/>
      <c r="FWX58" s="196"/>
      <c r="FWY58" s="196"/>
      <c r="FWZ58" s="196"/>
      <c r="FXA58" s="196"/>
      <c r="FXB58" s="196"/>
      <c r="FXC58" s="196"/>
      <c r="FXD58" s="196"/>
      <c r="FXE58" s="196"/>
      <c r="FXF58" s="196"/>
      <c r="FXG58" s="196"/>
      <c r="FXH58" s="196"/>
      <c r="FXI58" s="196"/>
      <c r="FXJ58" s="196"/>
      <c r="FXK58" s="196"/>
      <c r="FXL58" s="196"/>
      <c r="FXM58" s="196"/>
      <c r="FXN58" s="196"/>
      <c r="FXO58" s="196"/>
      <c r="FXP58" s="196"/>
      <c r="FXQ58" s="196"/>
      <c r="FXR58" s="196"/>
      <c r="FXS58" s="196"/>
      <c r="FXT58" s="196"/>
      <c r="FXU58" s="196"/>
      <c r="FXV58" s="196"/>
      <c r="FXW58" s="196"/>
      <c r="FXX58" s="196"/>
      <c r="FXY58" s="196"/>
      <c r="FXZ58" s="196"/>
      <c r="FYA58" s="196"/>
      <c r="FYB58" s="196"/>
      <c r="FYC58" s="196"/>
      <c r="FYD58" s="196"/>
      <c r="FYE58" s="196"/>
      <c r="FYF58" s="196"/>
      <c r="FYG58" s="196"/>
      <c r="FYH58" s="196"/>
      <c r="FYI58" s="196"/>
      <c r="FYJ58" s="196"/>
      <c r="FYK58" s="196"/>
      <c r="FYL58" s="196"/>
      <c r="FYM58" s="196"/>
      <c r="FYN58" s="196"/>
      <c r="FYO58" s="196"/>
      <c r="FYP58" s="196"/>
      <c r="FYQ58" s="196"/>
      <c r="FYR58" s="196"/>
      <c r="FYS58" s="196"/>
      <c r="FYT58" s="196"/>
      <c r="FYU58" s="196"/>
      <c r="FYV58" s="196"/>
      <c r="FYW58" s="196"/>
      <c r="FYX58" s="196"/>
      <c r="FYY58" s="196"/>
      <c r="FYZ58" s="196"/>
      <c r="FZA58" s="196"/>
      <c r="FZB58" s="196"/>
      <c r="FZC58" s="196"/>
      <c r="FZD58" s="196"/>
      <c r="FZE58" s="196"/>
      <c r="FZF58" s="196"/>
      <c r="FZG58" s="196"/>
      <c r="FZH58" s="196"/>
      <c r="FZI58" s="196"/>
      <c r="FZJ58" s="196"/>
      <c r="FZK58" s="196"/>
      <c r="FZL58" s="196"/>
      <c r="FZM58" s="196"/>
      <c r="FZN58" s="196"/>
      <c r="FZO58" s="196"/>
      <c r="FZP58" s="196"/>
      <c r="FZQ58" s="196"/>
      <c r="FZR58" s="196"/>
      <c r="FZS58" s="196"/>
      <c r="FZT58" s="196"/>
      <c r="FZU58" s="196"/>
      <c r="FZV58" s="196"/>
      <c r="FZW58" s="196"/>
      <c r="FZX58" s="196"/>
      <c r="FZY58" s="196"/>
      <c r="FZZ58" s="196"/>
      <c r="GAA58" s="196"/>
      <c r="GAB58" s="196"/>
      <c r="GAC58" s="196"/>
      <c r="GAD58" s="196"/>
      <c r="GAE58" s="196"/>
      <c r="GAF58" s="196"/>
      <c r="GAG58" s="196"/>
      <c r="GAH58" s="196"/>
      <c r="GAI58" s="196"/>
      <c r="GAJ58" s="196"/>
      <c r="GAK58" s="196"/>
      <c r="GAL58" s="196"/>
      <c r="GAM58" s="196"/>
      <c r="GAN58" s="196"/>
      <c r="GAO58" s="196"/>
      <c r="GAP58" s="196"/>
      <c r="GAQ58" s="196"/>
      <c r="GAR58" s="196"/>
      <c r="GAS58" s="196"/>
      <c r="GAT58" s="196"/>
      <c r="GAU58" s="196"/>
      <c r="GAV58" s="196"/>
      <c r="GAW58" s="196"/>
      <c r="GAX58" s="196"/>
      <c r="GAY58" s="196"/>
      <c r="GAZ58" s="196"/>
      <c r="GBA58" s="196"/>
      <c r="GBB58" s="196"/>
      <c r="GBC58" s="196"/>
      <c r="GBD58" s="196"/>
      <c r="GBE58" s="196"/>
      <c r="GBF58" s="196"/>
      <c r="GBG58" s="196"/>
      <c r="GBH58" s="196"/>
      <c r="GBI58" s="196"/>
      <c r="GBJ58" s="196"/>
      <c r="GBK58" s="196"/>
      <c r="GBL58" s="196"/>
      <c r="GBM58" s="196"/>
      <c r="GBN58" s="196"/>
      <c r="GBO58" s="196"/>
      <c r="GBP58" s="196"/>
      <c r="GBQ58" s="196"/>
      <c r="GBR58" s="196"/>
      <c r="GBS58" s="196"/>
      <c r="GBT58" s="196"/>
      <c r="GBU58" s="196"/>
      <c r="GBV58" s="196"/>
      <c r="GBW58" s="196"/>
      <c r="GBX58" s="196"/>
      <c r="GBY58" s="196"/>
      <c r="GBZ58" s="196"/>
      <c r="GCA58" s="196"/>
      <c r="GCB58" s="196"/>
      <c r="GCC58" s="196"/>
      <c r="GCD58" s="196"/>
      <c r="GCE58" s="196"/>
      <c r="GCF58" s="196"/>
      <c r="GCG58" s="196"/>
      <c r="GCH58" s="196"/>
      <c r="GCI58" s="196"/>
      <c r="GCJ58" s="196"/>
      <c r="GCK58" s="196"/>
      <c r="GCL58" s="196"/>
      <c r="GCM58" s="196"/>
      <c r="GCN58" s="196"/>
      <c r="GCO58" s="196"/>
      <c r="GCP58" s="196"/>
      <c r="GCQ58" s="196"/>
      <c r="GCR58" s="196"/>
      <c r="GCS58" s="196"/>
      <c r="GCT58" s="196"/>
      <c r="GCU58" s="196"/>
      <c r="GCV58" s="196"/>
      <c r="GCW58" s="196"/>
      <c r="GCX58" s="196"/>
      <c r="GCY58" s="196"/>
      <c r="GCZ58" s="196"/>
      <c r="GDA58" s="196"/>
      <c r="GDB58" s="196"/>
      <c r="GDC58" s="196"/>
      <c r="GDD58" s="196"/>
      <c r="GDE58" s="196"/>
      <c r="GDF58" s="196"/>
      <c r="GDG58" s="196"/>
      <c r="GDH58" s="196"/>
      <c r="GDI58" s="196"/>
      <c r="GDJ58" s="196"/>
      <c r="GDK58" s="196"/>
      <c r="GDL58" s="196"/>
      <c r="GDM58" s="196"/>
      <c r="GDN58" s="196"/>
      <c r="GDO58" s="196"/>
      <c r="GDP58" s="196"/>
      <c r="GDQ58" s="196"/>
      <c r="GDR58" s="196"/>
      <c r="GDS58" s="196"/>
      <c r="GDT58" s="196"/>
      <c r="GDU58" s="196"/>
      <c r="GDV58" s="196"/>
      <c r="GDW58" s="196"/>
      <c r="GDX58" s="196"/>
      <c r="GDY58" s="196"/>
      <c r="GDZ58" s="196"/>
      <c r="GEA58" s="196"/>
      <c r="GEB58" s="196"/>
      <c r="GEC58" s="196"/>
      <c r="GED58" s="196"/>
      <c r="GEE58" s="196"/>
      <c r="GEF58" s="196"/>
      <c r="GEG58" s="196"/>
      <c r="GEH58" s="196"/>
      <c r="GEI58" s="196"/>
      <c r="GEJ58" s="196"/>
      <c r="GEK58" s="196"/>
      <c r="GEL58" s="196"/>
      <c r="GEM58" s="196"/>
      <c r="GEN58" s="196"/>
      <c r="GEO58" s="196"/>
      <c r="GEP58" s="196"/>
      <c r="GEQ58" s="196"/>
      <c r="GER58" s="196"/>
      <c r="GES58" s="196"/>
      <c r="GET58" s="196"/>
      <c r="GEU58" s="196"/>
      <c r="GEV58" s="196"/>
      <c r="GEW58" s="196"/>
      <c r="GEX58" s="196"/>
      <c r="GEY58" s="196"/>
      <c r="GEZ58" s="196"/>
      <c r="GFA58" s="196"/>
      <c r="GFB58" s="196"/>
      <c r="GFC58" s="196"/>
      <c r="GFD58" s="196"/>
      <c r="GFE58" s="196"/>
      <c r="GFF58" s="196"/>
      <c r="GFG58" s="196"/>
      <c r="GFH58" s="196"/>
      <c r="GFI58" s="196"/>
      <c r="GFJ58" s="196"/>
      <c r="GFK58" s="196"/>
      <c r="GFL58" s="196"/>
      <c r="GFM58" s="196"/>
      <c r="GFN58" s="196"/>
      <c r="GFO58" s="196"/>
      <c r="GFP58" s="196"/>
      <c r="GFQ58" s="196"/>
      <c r="GFR58" s="196"/>
      <c r="GFS58" s="196"/>
      <c r="GFT58" s="196"/>
      <c r="GFU58" s="196"/>
      <c r="GFV58" s="196"/>
      <c r="GFW58" s="196"/>
      <c r="GFX58" s="196"/>
      <c r="GFY58" s="196"/>
      <c r="GFZ58" s="196"/>
      <c r="GGA58" s="196"/>
      <c r="GGB58" s="196"/>
      <c r="GGC58" s="196"/>
      <c r="GGD58" s="196"/>
      <c r="GGE58" s="196"/>
      <c r="GGF58" s="196"/>
      <c r="GGG58" s="196"/>
      <c r="GGH58" s="196"/>
      <c r="GGI58" s="196"/>
      <c r="GGJ58" s="196"/>
      <c r="GGK58" s="196"/>
      <c r="GGL58" s="196"/>
      <c r="GGM58" s="196"/>
      <c r="GGN58" s="196"/>
      <c r="GGO58" s="196"/>
      <c r="GGP58" s="196"/>
      <c r="GGQ58" s="196"/>
      <c r="GGR58" s="196"/>
      <c r="GGS58" s="196"/>
      <c r="GGT58" s="196"/>
      <c r="GGU58" s="196"/>
      <c r="GGV58" s="196"/>
      <c r="GGW58" s="196"/>
      <c r="GGX58" s="196"/>
      <c r="GGY58" s="196"/>
      <c r="GGZ58" s="196"/>
      <c r="GHA58" s="196"/>
      <c r="GHB58" s="196"/>
      <c r="GHC58" s="196"/>
      <c r="GHD58" s="196"/>
      <c r="GHE58" s="196"/>
      <c r="GHF58" s="196"/>
      <c r="GHG58" s="196"/>
      <c r="GHH58" s="196"/>
      <c r="GHI58" s="196"/>
      <c r="GHJ58" s="196"/>
      <c r="GHK58" s="196"/>
      <c r="GHL58" s="196"/>
      <c r="GHM58" s="196"/>
      <c r="GHN58" s="196"/>
      <c r="GHO58" s="196"/>
      <c r="GHP58" s="196"/>
      <c r="GHQ58" s="196"/>
      <c r="GHR58" s="196"/>
      <c r="GHS58" s="196"/>
      <c r="GHT58" s="196"/>
      <c r="GHU58" s="196"/>
      <c r="GHV58" s="196"/>
      <c r="GHW58" s="196"/>
      <c r="GHX58" s="196"/>
      <c r="GHY58" s="196"/>
      <c r="GHZ58" s="196"/>
      <c r="GIA58" s="196"/>
      <c r="GIB58" s="196"/>
      <c r="GIC58" s="196"/>
      <c r="GID58" s="196"/>
      <c r="GIE58" s="196"/>
      <c r="GIF58" s="196"/>
      <c r="GIG58" s="196"/>
      <c r="GIH58" s="196"/>
      <c r="GII58" s="196"/>
      <c r="GIJ58" s="196"/>
      <c r="GIK58" s="196"/>
      <c r="GIL58" s="196"/>
      <c r="GIM58" s="196"/>
      <c r="GIN58" s="196"/>
      <c r="GIO58" s="196"/>
      <c r="GIP58" s="196"/>
      <c r="GIQ58" s="196"/>
      <c r="GIR58" s="196"/>
      <c r="GIS58" s="196"/>
      <c r="GIT58" s="196"/>
      <c r="GIU58" s="196"/>
      <c r="GIV58" s="196"/>
      <c r="GIW58" s="196"/>
      <c r="GIX58" s="196"/>
      <c r="GIY58" s="196"/>
      <c r="GIZ58" s="196"/>
      <c r="GJA58" s="196"/>
      <c r="GJB58" s="196"/>
      <c r="GJC58" s="196"/>
      <c r="GJD58" s="196"/>
      <c r="GJE58" s="196"/>
      <c r="GJF58" s="196"/>
      <c r="GJG58" s="196"/>
      <c r="GJH58" s="196"/>
      <c r="GJI58" s="196"/>
      <c r="GJJ58" s="196"/>
      <c r="GJK58" s="196"/>
      <c r="GJL58" s="196"/>
      <c r="GJM58" s="196"/>
      <c r="GJN58" s="196"/>
      <c r="GJO58" s="196"/>
      <c r="GJP58" s="196"/>
      <c r="GJQ58" s="196"/>
      <c r="GJR58" s="196"/>
      <c r="GJS58" s="196"/>
      <c r="GJT58" s="196"/>
      <c r="GJU58" s="196"/>
      <c r="GJV58" s="196"/>
      <c r="GJW58" s="196"/>
      <c r="GJX58" s="196"/>
      <c r="GJY58" s="196"/>
      <c r="GJZ58" s="196"/>
      <c r="GKA58" s="196"/>
      <c r="GKB58" s="196"/>
      <c r="GKC58" s="196"/>
      <c r="GKD58" s="196"/>
      <c r="GKE58" s="196"/>
      <c r="GKF58" s="196"/>
      <c r="GKG58" s="196"/>
      <c r="GKH58" s="196"/>
      <c r="GKI58" s="196"/>
      <c r="GKJ58" s="196"/>
      <c r="GKK58" s="196"/>
      <c r="GKL58" s="196"/>
      <c r="GKM58" s="196"/>
      <c r="GKN58" s="196"/>
      <c r="GKO58" s="196"/>
      <c r="GKP58" s="196"/>
      <c r="GKQ58" s="196"/>
      <c r="GKR58" s="196"/>
      <c r="GKS58" s="196"/>
      <c r="GKT58" s="196"/>
      <c r="GKU58" s="196"/>
      <c r="GKV58" s="196"/>
      <c r="GKW58" s="196"/>
      <c r="GKX58" s="196"/>
      <c r="GKY58" s="196"/>
      <c r="GKZ58" s="196"/>
      <c r="GLA58" s="196"/>
      <c r="GLB58" s="196"/>
      <c r="GLC58" s="196"/>
      <c r="GLD58" s="196"/>
      <c r="GLE58" s="196"/>
      <c r="GLF58" s="196"/>
      <c r="GLG58" s="196"/>
      <c r="GLH58" s="196"/>
      <c r="GLI58" s="196"/>
      <c r="GLJ58" s="196"/>
      <c r="GLK58" s="196"/>
      <c r="GLL58" s="196"/>
      <c r="GLM58" s="196"/>
      <c r="GLN58" s="196"/>
      <c r="GLO58" s="196"/>
      <c r="GLP58" s="196"/>
      <c r="GLQ58" s="196"/>
      <c r="GLR58" s="196"/>
      <c r="GLS58" s="196"/>
      <c r="GLT58" s="196"/>
      <c r="GLU58" s="196"/>
      <c r="GLV58" s="196"/>
      <c r="GLW58" s="196"/>
      <c r="GLX58" s="196"/>
      <c r="GLY58" s="196"/>
      <c r="GLZ58" s="196"/>
      <c r="GMA58" s="196"/>
      <c r="GMB58" s="196"/>
      <c r="GMC58" s="196"/>
      <c r="GMD58" s="196"/>
      <c r="GME58" s="196"/>
      <c r="GMF58" s="196"/>
      <c r="GMG58" s="196"/>
      <c r="GMH58" s="196"/>
      <c r="GMI58" s="196"/>
      <c r="GMJ58" s="196"/>
      <c r="GMK58" s="196"/>
      <c r="GML58" s="196"/>
      <c r="GMM58" s="196"/>
      <c r="GMN58" s="196"/>
      <c r="GMO58" s="196"/>
      <c r="GMP58" s="196"/>
      <c r="GMQ58" s="196"/>
      <c r="GMR58" s="196"/>
      <c r="GMS58" s="196"/>
      <c r="GMT58" s="196"/>
      <c r="GMU58" s="196"/>
      <c r="GMV58" s="196"/>
      <c r="GMW58" s="196"/>
      <c r="GMX58" s="196"/>
      <c r="GMY58" s="196"/>
      <c r="GMZ58" s="196"/>
      <c r="GNA58" s="196"/>
      <c r="GNB58" s="196"/>
      <c r="GNC58" s="196"/>
      <c r="GND58" s="196"/>
      <c r="GNE58" s="196"/>
      <c r="GNF58" s="196"/>
      <c r="GNG58" s="196"/>
      <c r="GNH58" s="196"/>
      <c r="GNI58" s="196"/>
      <c r="GNJ58" s="196"/>
      <c r="GNK58" s="196"/>
      <c r="GNL58" s="196"/>
      <c r="GNM58" s="196"/>
      <c r="GNN58" s="196"/>
      <c r="GNO58" s="196"/>
      <c r="GNP58" s="196"/>
      <c r="GNQ58" s="196"/>
      <c r="GNR58" s="196"/>
      <c r="GNS58" s="196"/>
      <c r="GNT58" s="196"/>
      <c r="GNU58" s="196"/>
      <c r="GNV58" s="196"/>
      <c r="GNW58" s="196"/>
      <c r="GNX58" s="196"/>
      <c r="GNY58" s="196"/>
      <c r="GNZ58" s="196"/>
      <c r="GOA58" s="196"/>
      <c r="GOB58" s="196"/>
      <c r="GOC58" s="196"/>
      <c r="GOD58" s="196"/>
      <c r="GOE58" s="196"/>
      <c r="GOF58" s="196"/>
      <c r="GOG58" s="196"/>
      <c r="GOH58" s="196"/>
      <c r="GOI58" s="196"/>
      <c r="GOJ58" s="196"/>
      <c r="GOK58" s="196"/>
      <c r="GOL58" s="196"/>
      <c r="GOM58" s="196"/>
      <c r="GON58" s="196"/>
      <c r="GOO58" s="196"/>
      <c r="GOP58" s="196"/>
      <c r="GOQ58" s="196"/>
      <c r="GOR58" s="196"/>
      <c r="GOS58" s="196"/>
      <c r="GOT58" s="196"/>
      <c r="GOU58" s="196"/>
      <c r="GOV58" s="196"/>
      <c r="GOW58" s="196"/>
      <c r="GOX58" s="196"/>
      <c r="GOY58" s="196"/>
      <c r="GOZ58" s="196"/>
      <c r="GPA58" s="196"/>
      <c r="GPB58" s="196"/>
      <c r="GPC58" s="196"/>
      <c r="GPD58" s="196"/>
      <c r="GPE58" s="196"/>
      <c r="GPF58" s="196"/>
      <c r="GPG58" s="196"/>
      <c r="GPH58" s="196"/>
      <c r="GPI58" s="196"/>
      <c r="GPJ58" s="196"/>
      <c r="GPK58" s="196"/>
      <c r="GPL58" s="196"/>
      <c r="GPM58" s="196"/>
      <c r="GPN58" s="196"/>
      <c r="GPO58" s="196"/>
      <c r="GPP58" s="196"/>
      <c r="GPQ58" s="196"/>
      <c r="GPR58" s="196"/>
      <c r="GPS58" s="196"/>
      <c r="GPT58" s="196"/>
      <c r="GPU58" s="196"/>
      <c r="GPV58" s="196"/>
      <c r="GPW58" s="196"/>
      <c r="GPX58" s="196"/>
      <c r="GPY58" s="196"/>
      <c r="GPZ58" s="196"/>
      <c r="GQA58" s="196"/>
      <c r="GQB58" s="196"/>
      <c r="GQC58" s="196"/>
      <c r="GQD58" s="196"/>
      <c r="GQE58" s="196"/>
      <c r="GQF58" s="196"/>
      <c r="GQG58" s="196"/>
      <c r="GQH58" s="196"/>
      <c r="GQI58" s="196"/>
      <c r="GQJ58" s="196"/>
      <c r="GQK58" s="196"/>
      <c r="GQL58" s="196"/>
      <c r="GQM58" s="196"/>
      <c r="GQN58" s="196"/>
      <c r="GQO58" s="196"/>
      <c r="GQP58" s="196"/>
      <c r="GQQ58" s="196"/>
      <c r="GQR58" s="196"/>
      <c r="GQS58" s="196"/>
      <c r="GQT58" s="196"/>
      <c r="GQU58" s="196"/>
      <c r="GQV58" s="196"/>
      <c r="GQW58" s="196"/>
      <c r="GQX58" s="196"/>
      <c r="GQY58" s="196"/>
      <c r="GQZ58" s="196"/>
      <c r="GRA58" s="196"/>
      <c r="GRB58" s="196"/>
      <c r="GRC58" s="196"/>
      <c r="GRD58" s="196"/>
      <c r="GRE58" s="196"/>
      <c r="GRF58" s="196"/>
      <c r="GRG58" s="196"/>
      <c r="GRH58" s="196"/>
      <c r="GRI58" s="196"/>
      <c r="GRJ58" s="196"/>
      <c r="GRK58" s="196"/>
      <c r="GRL58" s="196"/>
      <c r="GRM58" s="196"/>
      <c r="GRN58" s="196"/>
      <c r="GRO58" s="196"/>
      <c r="GRP58" s="196"/>
      <c r="GRQ58" s="196"/>
      <c r="GRR58" s="196"/>
      <c r="GRS58" s="196"/>
      <c r="GRT58" s="196"/>
      <c r="GRU58" s="196"/>
      <c r="GRV58" s="196"/>
      <c r="GRW58" s="196"/>
      <c r="GRX58" s="196"/>
      <c r="GRY58" s="196"/>
      <c r="GRZ58" s="196"/>
      <c r="GSA58" s="196"/>
      <c r="GSB58" s="196"/>
      <c r="GSC58" s="196"/>
      <c r="GSD58" s="196"/>
      <c r="GSE58" s="196"/>
      <c r="GSF58" s="196"/>
      <c r="GSG58" s="196"/>
      <c r="GSH58" s="196"/>
      <c r="GSI58" s="196"/>
      <c r="GSJ58" s="196"/>
      <c r="GSK58" s="196"/>
      <c r="GSL58" s="196"/>
      <c r="GSM58" s="196"/>
      <c r="GSN58" s="196"/>
      <c r="GSO58" s="196"/>
      <c r="GSP58" s="196"/>
      <c r="GSQ58" s="196"/>
      <c r="GSR58" s="196"/>
      <c r="GSS58" s="196"/>
      <c r="GST58" s="196"/>
      <c r="GSU58" s="196"/>
      <c r="GSV58" s="196"/>
      <c r="GSW58" s="196"/>
      <c r="GSX58" s="196"/>
      <c r="GSY58" s="196"/>
      <c r="GSZ58" s="196"/>
      <c r="GTA58" s="196"/>
      <c r="GTB58" s="196"/>
      <c r="GTC58" s="196"/>
      <c r="GTD58" s="196"/>
      <c r="GTE58" s="196"/>
      <c r="GTF58" s="196"/>
      <c r="GTG58" s="196"/>
      <c r="GTH58" s="196"/>
      <c r="GTI58" s="196"/>
      <c r="GTJ58" s="196"/>
      <c r="GTK58" s="196"/>
      <c r="GTL58" s="196"/>
      <c r="GTM58" s="196"/>
      <c r="GTN58" s="196"/>
      <c r="GTO58" s="196"/>
      <c r="GTP58" s="196"/>
      <c r="GTQ58" s="196"/>
      <c r="GTR58" s="196"/>
      <c r="GTS58" s="196"/>
      <c r="GTT58" s="196"/>
      <c r="GTU58" s="196"/>
      <c r="GTV58" s="196"/>
      <c r="GTW58" s="196"/>
      <c r="GTX58" s="196"/>
      <c r="GTY58" s="196"/>
      <c r="GTZ58" s="196"/>
      <c r="GUA58" s="196"/>
      <c r="GUB58" s="196"/>
      <c r="GUC58" s="196"/>
      <c r="GUD58" s="196"/>
      <c r="GUE58" s="196"/>
      <c r="GUF58" s="196"/>
      <c r="GUG58" s="196"/>
      <c r="GUH58" s="196"/>
      <c r="GUI58" s="196"/>
      <c r="GUJ58" s="196"/>
      <c r="GUK58" s="196"/>
      <c r="GUL58" s="196"/>
      <c r="GUM58" s="196"/>
      <c r="GUN58" s="196"/>
      <c r="GUO58" s="196"/>
      <c r="GUP58" s="196"/>
      <c r="GUQ58" s="196"/>
      <c r="GUR58" s="196"/>
      <c r="GUS58" s="196"/>
      <c r="GUT58" s="196"/>
      <c r="GUU58" s="196"/>
      <c r="GUV58" s="196"/>
      <c r="GUW58" s="196"/>
      <c r="GUX58" s="196"/>
      <c r="GUY58" s="196"/>
      <c r="GUZ58" s="196"/>
      <c r="GVA58" s="196"/>
      <c r="GVB58" s="196"/>
      <c r="GVC58" s="196"/>
      <c r="GVD58" s="196"/>
      <c r="GVE58" s="196"/>
      <c r="GVF58" s="196"/>
      <c r="GVG58" s="196"/>
      <c r="GVH58" s="196"/>
      <c r="GVI58" s="196"/>
      <c r="GVJ58" s="196"/>
      <c r="GVK58" s="196"/>
      <c r="GVL58" s="196"/>
      <c r="GVM58" s="196"/>
      <c r="GVN58" s="196"/>
      <c r="GVO58" s="196"/>
      <c r="GVP58" s="196"/>
      <c r="GVQ58" s="196"/>
      <c r="GVR58" s="196"/>
      <c r="GVS58" s="196"/>
      <c r="GVT58" s="196"/>
      <c r="GVU58" s="196"/>
      <c r="GVV58" s="196"/>
      <c r="GVW58" s="196"/>
      <c r="GVX58" s="196"/>
      <c r="GVY58" s="196"/>
      <c r="GVZ58" s="196"/>
      <c r="GWA58" s="196"/>
      <c r="GWB58" s="196"/>
      <c r="GWC58" s="196"/>
      <c r="GWD58" s="196"/>
      <c r="GWE58" s="196"/>
      <c r="GWF58" s="196"/>
      <c r="GWG58" s="196"/>
      <c r="GWH58" s="196"/>
      <c r="GWI58" s="196"/>
      <c r="GWJ58" s="196"/>
      <c r="GWK58" s="196"/>
      <c r="GWL58" s="196"/>
      <c r="GWM58" s="196"/>
      <c r="GWN58" s="196"/>
      <c r="GWO58" s="196"/>
      <c r="GWP58" s="196"/>
      <c r="GWQ58" s="196"/>
      <c r="GWR58" s="196"/>
      <c r="GWS58" s="196"/>
      <c r="GWT58" s="196"/>
      <c r="GWU58" s="196"/>
      <c r="GWV58" s="196"/>
      <c r="GWW58" s="196"/>
      <c r="GWX58" s="196"/>
      <c r="GWY58" s="196"/>
      <c r="GWZ58" s="196"/>
      <c r="GXA58" s="196"/>
      <c r="GXB58" s="196"/>
      <c r="GXC58" s="196"/>
      <c r="GXD58" s="196"/>
      <c r="GXE58" s="196"/>
      <c r="GXF58" s="196"/>
      <c r="GXG58" s="196"/>
      <c r="GXH58" s="196"/>
      <c r="GXI58" s="196"/>
      <c r="GXJ58" s="196"/>
      <c r="GXK58" s="196"/>
      <c r="GXL58" s="196"/>
      <c r="GXM58" s="196"/>
      <c r="GXN58" s="196"/>
      <c r="GXO58" s="196"/>
      <c r="GXP58" s="196"/>
      <c r="GXQ58" s="196"/>
      <c r="GXR58" s="196"/>
      <c r="GXS58" s="196"/>
      <c r="GXT58" s="196"/>
      <c r="GXU58" s="196"/>
      <c r="GXV58" s="196"/>
      <c r="GXW58" s="196"/>
      <c r="GXX58" s="196"/>
      <c r="GXY58" s="196"/>
      <c r="GXZ58" s="196"/>
      <c r="GYA58" s="196"/>
      <c r="GYB58" s="196"/>
      <c r="GYC58" s="196"/>
      <c r="GYD58" s="196"/>
      <c r="GYE58" s="196"/>
      <c r="GYF58" s="196"/>
      <c r="GYG58" s="196"/>
      <c r="GYH58" s="196"/>
      <c r="GYI58" s="196"/>
      <c r="GYJ58" s="196"/>
      <c r="GYK58" s="196"/>
      <c r="GYL58" s="196"/>
      <c r="GYM58" s="196"/>
      <c r="GYN58" s="196"/>
      <c r="GYO58" s="196"/>
      <c r="GYP58" s="196"/>
      <c r="GYQ58" s="196"/>
      <c r="GYR58" s="196"/>
      <c r="GYS58" s="196"/>
      <c r="GYT58" s="196"/>
      <c r="GYU58" s="196"/>
      <c r="GYV58" s="196"/>
      <c r="GYW58" s="196"/>
      <c r="GYX58" s="196"/>
      <c r="GYY58" s="196"/>
      <c r="GYZ58" s="196"/>
      <c r="GZA58" s="196"/>
      <c r="GZB58" s="196"/>
      <c r="GZC58" s="196"/>
      <c r="GZD58" s="196"/>
      <c r="GZE58" s="196"/>
      <c r="GZF58" s="196"/>
      <c r="GZG58" s="196"/>
      <c r="GZH58" s="196"/>
      <c r="GZI58" s="196"/>
      <c r="GZJ58" s="196"/>
      <c r="GZK58" s="196"/>
      <c r="GZL58" s="196"/>
      <c r="GZM58" s="196"/>
      <c r="GZN58" s="196"/>
      <c r="GZO58" s="196"/>
      <c r="GZP58" s="196"/>
      <c r="GZQ58" s="196"/>
      <c r="GZR58" s="196"/>
      <c r="GZS58" s="196"/>
      <c r="GZT58" s="196"/>
      <c r="GZU58" s="196"/>
      <c r="GZV58" s="196"/>
      <c r="GZW58" s="196"/>
      <c r="GZX58" s="196"/>
      <c r="GZY58" s="196"/>
      <c r="GZZ58" s="196"/>
      <c r="HAA58" s="196"/>
      <c r="HAB58" s="196"/>
      <c r="HAC58" s="196"/>
      <c r="HAD58" s="196"/>
      <c r="HAE58" s="196"/>
      <c r="HAF58" s="196"/>
      <c r="HAG58" s="196"/>
      <c r="HAH58" s="196"/>
      <c r="HAI58" s="196"/>
      <c r="HAJ58" s="196"/>
      <c r="HAK58" s="196"/>
      <c r="HAL58" s="196"/>
      <c r="HAM58" s="196"/>
      <c r="HAN58" s="196"/>
      <c r="HAO58" s="196"/>
      <c r="HAP58" s="196"/>
      <c r="HAQ58" s="196"/>
      <c r="HAR58" s="196"/>
      <c r="HAS58" s="196"/>
      <c r="HAT58" s="196"/>
      <c r="HAU58" s="196"/>
      <c r="HAV58" s="196"/>
      <c r="HAW58" s="196"/>
      <c r="HAX58" s="196"/>
      <c r="HAY58" s="196"/>
      <c r="HAZ58" s="196"/>
      <c r="HBA58" s="196"/>
      <c r="HBB58" s="196"/>
      <c r="HBC58" s="196"/>
      <c r="HBD58" s="196"/>
      <c r="HBE58" s="196"/>
      <c r="HBF58" s="196"/>
      <c r="HBG58" s="196"/>
      <c r="HBH58" s="196"/>
      <c r="HBI58" s="196"/>
      <c r="HBJ58" s="196"/>
      <c r="HBK58" s="196"/>
      <c r="HBL58" s="196"/>
      <c r="HBM58" s="196"/>
      <c r="HBN58" s="196"/>
      <c r="HBO58" s="196"/>
      <c r="HBP58" s="196"/>
      <c r="HBQ58" s="196"/>
      <c r="HBR58" s="196"/>
      <c r="HBS58" s="196"/>
      <c r="HBT58" s="196"/>
      <c r="HBU58" s="196"/>
      <c r="HBV58" s="196"/>
      <c r="HBW58" s="196"/>
      <c r="HBX58" s="196"/>
      <c r="HBY58" s="196"/>
      <c r="HBZ58" s="196"/>
      <c r="HCA58" s="196"/>
      <c r="HCB58" s="196"/>
      <c r="HCC58" s="196"/>
      <c r="HCD58" s="196"/>
      <c r="HCE58" s="196"/>
      <c r="HCF58" s="196"/>
      <c r="HCG58" s="196"/>
      <c r="HCH58" s="196"/>
      <c r="HCI58" s="196"/>
      <c r="HCJ58" s="196"/>
      <c r="HCK58" s="196"/>
      <c r="HCL58" s="196"/>
      <c r="HCM58" s="196"/>
      <c r="HCN58" s="196"/>
      <c r="HCO58" s="196"/>
      <c r="HCP58" s="196"/>
      <c r="HCQ58" s="196"/>
      <c r="HCR58" s="196"/>
      <c r="HCS58" s="196"/>
      <c r="HCT58" s="196"/>
      <c r="HCU58" s="196"/>
      <c r="HCV58" s="196"/>
      <c r="HCW58" s="196"/>
      <c r="HCX58" s="196"/>
      <c r="HCY58" s="196"/>
      <c r="HCZ58" s="196"/>
      <c r="HDA58" s="196"/>
      <c r="HDB58" s="196"/>
      <c r="HDC58" s="196"/>
      <c r="HDD58" s="196"/>
      <c r="HDE58" s="196"/>
      <c r="HDF58" s="196"/>
      <c r="HDG58" s="196"/>
      <c r="HDH58" s="196"/>
      <c r="HDI58" s="196"/>
      <c r="HDJ58" s="196"/>
      <c r="HDK58" s="196"/>
      <c r="HDL58" s="196"/>
      <c r="HDM58" s="196"/>
      <c r="HDN58" s="196"/>
      <c r="HDO58" s="196"/>
      <c r="HDP58" s="196"/>
      <c r="HDQ58" s="196"/>
      <c r="HDR58" s="196"/>
      <c r="HDS58" s="196"/>
      <c r="HDT58" s="196"/>
      <c r="HDU58" s="196"/>
      <c r="HDV58" s="196"/>
      <c r="HDW58" s="196"/>
      <c r="HDX58" s="196"/>
      <c r="HDY58" s="196"/>
      <c r="HDZ58" s="196"/>
      <c r="HEA58" s="196"/>
      <c r="HEB58" s="196"/>
      <c r="HEC58" s="196"/>
      <c r="HED58" s="196"/>
      <c r="HEE58" s="196"/>
      <c r="HEF58" s="196"/>
      <c r="HEG58" s="196"/>
      <c r="HEH58" s="196"/>
      <c r="HEI58" s="196"/>
      <c r="HEJ58" s="196"/>
      <c r="HEK58" s="196"/>
      <c r="HEL58" s="196"/>
      <c r="HEM58" s="196"/>
      <c r="HEN58" s="196"/>
      <c r="HEO58" s="196"/>
      <c r="HEP58" s="196"/>
      <c r="HEQ58" s="196"/>
      <c r="HER58" s="196"/>
      <c r="HES58" s="196"/>
      <c r="HET58" s="196"/>
      <c r="HEU58" s="196"/>
      <c r="HEV58" s="196"/>
      <c r="HEW58" s="196"/>
      <c r="HEX58" s="196"/>
      <c r="HEY58" s="196"/>
      <c r="HEZ58" s="196"/>
      <c r="HFA58" s="196"/>
      <c r="HFB58" s="196"/>
      <c r="HFC58" s="196"/>
      <c r="HFD58" s="196"/>
      <c r="HFE58" s="196"/>
      <c r="HFF58" s="196"/>
      <c r="HFG58" s="196"/>
      <c r="HFH58" s="196"/>
      <c r="HFI58" s="196"/>
      <c r="HFJ58" s="196"/>
      <c r="HFK58" s="196"/>
      <c r="HFL58" s="196"/>
      <c r="HFM58" s="196"/>
      <c r="HFN58" s="196"/>
      <c r="HFO58" s="196"/>
      <c r="HFP58" s="196"/>
      <c r="HFQ58" s="196"/>
      <c r="HFR58" s="196"/>
      <c r="HFS58" s="196"/>
      <c r="HFT58" s="196"/>
      <c r="HFU58" s="196"/>
      <c r="HFV58" s="196"/>
      <c r="HFW58" s="196"/>
      <c r="HFX58" s="196"/>
      <c r="HFY58" s="196"/>
      <c r="HFZ58" s="196"/>
      <c r="HGA58" s="196"/>
      <c r="HGB58" s="196"/>
      <c r="HGC58" s="196"/>
      <c r="HGD58" s="196"/>
      <c r="HGE58" s="196"/>
      <c r="HGF58" s="196"/>
      <c r="HGG58" s="196"/>
      <c r="HGH58" s="196"/>
      <c r="HGI58" s="196"/>
      <c r="HGJ58" s="196"/>
      <c r="HGK58" s="196"/>
      <c r="HGL58" s="196"/>
      <c r="HGM58" s="196"/>
      <c r="HGN58" s="196"/>
      <c r="HGO58" s="196"/>
      <c r="HGP58" s="196"/>
      <c r="HGQ58" s="196"/>
      <c r="HGR58" s="196"/>
      <c r="HGS58" s="196"/>
      <c r="HGT58" s="196"/>
      <c r="HGU58" s="196"/>
      <c r="HGV58" s="196"/>
      <c r="HGW58" s="196"/>
      <c r="HGX58" s="196"/>
      <c r="HGY58" s="196"/>
      <c r="HGZ58" s="196"/>
      <c r="HHA58" s="196"/>
      <c r="HHB58" s="196"/>
      <c r="HHC58" s="196"/>
      <c r="HHD58" s="196"/>
      <c r="HHE58" s="196"/>
      <c r="HHF58" s="196"/>
      <c r="HHG58" s="196"/>
      <c r="HHH58" s="196"/>
      <c r="HHI58" s="196"/>
      <c r="HHJ58" s="196"/>
      <c r="HHK58" s="196"/>
      <c r="HHL58" s="196"/>
      <c r="HHM58" s="196"/>
      <c r="HHN58" s="196"/>
      <c r="HHO58" s="196"/>
      <c r="HHP58" s="196"/>
      <c r="HHQ58" s="196"/>
      <c r="HHR58" s="196"/>
      <c r="HHS58" s="196"/>
      <c r="HHT58" s="196"/>
      <c r="HHU58" s="196"/>
      <c r="HHV58" s="196"/>
      <c r="HHW58" s="196"/>
      <c r="HHX58" s="196"/>
      <c r="HHY58" s="196"/>
      <c r="HHZ58" s="196"/>
      <c r="HIA58" s="196"/>
      <c r="HIB58" s="196"/>
      <c r="HIC58" s="196"/>
      <c r="HID58" s="196"/>
      <c r="HIE58" s="196"/>
      <c r="HIF58" s="196"/>
      <c r="HIG58" s="196"/>
      <c r="HIH58" s="196"/>
      <c r="HII58" s="196"/>
      <c r="HIJ58" s="196"/>
      <c r="HIK58" s="196"/>
      <c r="HIL58" s="196"/>
      <c r="HIM58" s="196"/>
      <c r="HIN58" s="196"/>
      <c r="HIO58" s="196"/>
      <c r="HIP58" s="196"/>
      <c r="HIQ58" s="196"/>
      <c r="HIR58" s="196"/>
      <c r="HIS58" s="196"/>
      <c r="HIT58" s="196"/>
      <c r="HIU58" s="196"/>
      <c r="HIV58" s="196"/>
      <c r="HIW58" s="196"/>
      <c r="HIX58" s="196"/>
      <c r="HIY58" s="196"/>
      <c r="HIZ58" s="196"/>
      <c r="HJA58" s="196"/>
      <c r="HJB58" s="196"/>
      <c r="HJC58" s="196"/>
      <c r="HJD58" s="196"/>
      <c r="HJE58" s="196"/>
      <c r="HJF58" s="196"/>
      <c r="HJG58" s="196"/>
      <c r="HJH58" s="196"/>
      <c r="HJI58" s="196"/>
      <c r="HJJ58" s="196"/>
      <c r="HJK58" s="196"/>
      <c r="HJL58" s="196"/>
      <c r="HJM58" s="196"/>
      <c r="HJN58" s="196"/>
      <c r="HJO58" s="196"/>
      <c r="HJP58" s="196"/>
      <c r="HJQ58" s="196"/>
      <c r="HJR58" s="196"/>
      <c r="HJS58" s="196"/>
      <c r="HJT58" s="196"/>
      <c r="HJU58" s="196"/>
      <c r="HJV58" s="196"/>
      <c r="HJW58" s="196"/>
      <c r="HJX58" s="196"/>
      <c r="HJY58" s="196"/>
      <c r="HJZ58" s="196"/>
      <c r="HKA58" s="196"/>
      <c r="HKB58" s="196"/>
      <c r="HKC58" s="196"/>
      <c r="HKD58" s="196"/>
      <c r="HKE58" s="196"/>
      <c r="HKF58" s="196"/>
      <c r="HKG58" s="196"/>
      <c r="HKH58" s="196"/>
      <c r="HKI58" s="196"/>
      <c r="HKJ58" s="196"/>
      <c r="HKK58" s="196"/>
      <c r="HKL58" s="196"/>
      <c r="HKM58" s="196"/>
      <c r="HKN58" s="196"/>
      <c r="HKO58" s="196"/>
      <c r="HKP58" s="196"/>
      <c r="HKQ58" s="196"/>
      <c r="HKR58" s="196"/>
      <c r="HKS58" s="196"/>
      <c r="HKT58" s="196"/>
      <c r="HKU58" s="196"/>
      <c r="HKV58" s="196"/>
      <c r="HKW58" s="196"/>
      <c r="HKX58" s="196"/>
      <c r="HKY58" s="196"/>
      <c r="HKZ58" s="196"/>
      <c r="HLA58" s="196"/>
      <c r="HLB58" s="196"/>
      <c r="HLC58" s="196"/>
      <c r="HLD58" s="196"/>
      <c r="HLE58" s="196"/>
      <c r="HLF58" s="196"/>
      <c r="HLG58" s="196"/>
      <c r="HLH58" s="196"/>
      <c r="HLI58" s="196"/>
      <c r="HLJ58" s="196"/>
      <c r="HLK58" s="196"/>
      <c r="HLL58" s="196"/>
      <c r="HLM58" s="196"/>
      <c r="HLN58" s="196"/>
      <c r="HLO58" s="196"/>
      <c r="HLP58" s="196"/>
      <c r="HLQ58" s="196"/>
      <c r="HLR58" s="196"/>
      <c r="HLS58" s="196"/>
      <c r="HLT58" s="196"/>
      <c r="HLU58" s="196"/>
      <c r="HLV58" s="196"/>
      <c r="HLW58" s="196"/>
      <c r="HLX58" s="196"/>
      <c r="HLY58" s="196"/>
      <c r="HLZ58" s="196"/>
      <c r="HMA58" s="196"/>
      <c r="HMB58" s="196"/>
      <c r="HMC58" s="196"/>
      <c r="HMD58" s="196"/>
      <c r="HME58" s="196"/>
      <c r="HMF58" s="196"/>
      <c r="HMG58" s="196"/>
      <c r="HMH58" s="196"/>
      <c r="HMI58" s="196"/>
      <c r="HMJ58" s="196"/>
      <c r="HMK58" s="196"/>
      <c r="HML58" s="196"/>
      <c r="HMM58" s="196"/>
      <c r="HMN58" s="196"/>
      <c r="HMO58" s="196"/>
      <c r="HMP58" s="196"/>
      <c r="HMQ58" s="196"/>
      <c r="HMR58" s="196"/>
      <c r="HMS58" s="196"/>
      <c r="HMT58" s="196"/>
      <c r="HMU58" s="196"/>
      <c r="HMV58" s="196"/>
      <c r="HMW58" s="196"/>
      <c r="HMX58" s="196"/>
      <c r="HMY58" s="196"/>
      <c r="HMZ58" s="196"/>
      <c r="HNA58" s="196"/>
      <c r="HNB58" s="196"/>
      <c r="HNC58" s="196"/>
      <c r="HND58" s="196"/>
      <c r="HNE58" s="196"/>
      <c r="HNF58" s="196"/>
      <c r="HNG58" s="196"/>
      <c r="HNH58" s="196"/>
      <c r="HNI58" s="196"/>
      <c r="HNJ58" s="196"/>
      <c r="HNK58" s="196"/>
      <c r="HNL58" s="196"/>
      <c r="HNM58" s="196"/>
      <c r="HNN58" s="196"/>
      <c r="HNO58" s="196"/>
      <c r="HNP58" s="196"/>
      <c r="HNQ58" s="196"/>
      <c r="HNR58" s="196"/>
      <c r="HNS58" s="196"/>
      <c r="HNT58" s="196"/>
      <c r="HNU58" s="196"/>
      <c r="HNV58" s="196"/>
      <c r="HNW58" s="196"/>
      <c r="HNX58" s="196"/>
      <c r="HNY58" s="196"/>
      <c r="HNZ58" s="196"/>
      <c r="HOA58" s="196"/>
      <c r="HOB58" s="196"/>
      <c r="HOC58" s="196"/>
      <c r="HOD58" s="196"/>
      <c r="HOE58" s="196"/>
      <c r="HOF58" s="196"/>
      <c r="HOG58" s="196"/>
      <c r="HOH58" s="196"/>
      <c r="HOI58" s="196"/>
      <c r="HOJ58" s="196"/>
      <c r="HOK58" s="196"/>
      <c r="HOL58" s="196"/>
      <c r="HOM58" s="196"/>
      <c r="HON58" s="196"/>
      <c r="HOO58" s="196"/>
      <c r="HOP58" s="196"/>
      <c r="HOQ58" s="196"/>
      <c r="HOR58" s="196"/>
      <c r="HOS58" s="196"/>
      <c r="HOT58" s="196"/>
      <c r="HOU58" s="196"/>
      <c r="HOV58" s="196"/>
      <c r="HOW58" s="196"/>
      <c r="HOX58" s="196"/>
      <c r="HOY58" s="196"/>
      <c r="HOZ58" s="196"/>
      <c r="HPA58" s="196"/>
      <c r="HPB58" s="196"/>
      <c r="HPC58" s="196"/>
      <c r="HPD58" s="196"/>
      <c r="HPE58" s="196"/>
      <c r="HPF58" s="196"/>
      <c r="HPG58" s="196"/>
      <c r="HPH58" s="196"/>
      <c r="HPI58" s="196"/>
      <c r="HPJ58" s="196"/>
      <c r="HPK58" s="196"/>
      <c r="HPL58" s="196"/>
      <c r="HPM58" s="196"/>
      <c r="HPN58" s="196"/>
      <c r="HPO58" s="196"/>
      <c r="HPP58" s="196"/>
      <c r="HPQ58" s="196"/>
      <c r="HPR58" s="196"/>
      <c r="HPS58" s="196"/>
      <c r="HPT58" s="196"/>
      <c r="HPU58" s="196"/>
      <c r="HPV58" s="196"/>
      <c r="HPW58" s="196"/>
      <c r="HPX58" s="196"/>
      <c r="HPY58" s="196"/>
      <c r="HPZ58" s="196"/>
      <c r="HQA58" s="196"/>
      <c r="HQB58" s="196"/>
      <c r="HQC58" s="196"/>
      <c r="HQD58" s="196"/>
      <c r="HQE58" s="196"/>
      <c r="HQF58" s="196"/>
      <c r="HQG58" s="196"/>
      <c r="HQH58" s="196"/>
      <c r="HQI58" s="196"/>
      <c r="HQJ58" s="196"/>
      <c r="HQK58" s="196"/>
      <c r="HQL58" s="196"/>
      <c r="HQM58" s="196"/>
      <c r="HQN58" s="196"/>
      <c r="HQO58" s="196"/>
      <c r="HQP58" s="196"/>
      <c r="HQQ58" s="196"/>
      <c r="HQR58" s="196"/>
      <c r="HQS58" s="196"/>
      <c r="HQT58" s="196"/>
      <c r="HQU58" s="196"/>
      <c r="HQV58" s="196"/>
      <c r="HQW58" s="196"/>
      <c r="HQX58" s="196"/>
      <c r="HQY58" s="196"/>
      <c r="HQZ58" s="196"/>
      <c r="HRA58" s="196"/>
      <c r="HRB58" s="196"/>
      <c r="HRC58" s="196"/>
      <c r="HRD58" s="196"/>
      <c r="HRE58" s="196"/>
      <c r="HRF58" s="196"/>
      <c r="HRG58" s="196"/>
      <c r="HRH58" s="196"/>
      <c r="HRI58" s="196"/>
      <c r="HRJ58" s="196"/>
      <c r="HRK58" s="196"/>
      <c r="HRL58" s="196"/>
      <c r="HRM58" s="196"/>
      <c r="HRN58" s="196"/>
      <c r="HRO58" s="196"/>
      <c r="HRP58" s="196"/>
      <c r="HRQ58" s="196"/>
      <c r="HRR58" s="196"/>
      <c r="HRS58" s="196"/>
      <c r="HRT58" s="196"/>
      <c r="HRU58" s="196"/>
      <c r="HRV58" s="196"/>
      <c r="HRW58" s="196"/>
      <c r="HRX58" s="196"/>
      <c r="HRY58" s="196"/>
      <c r="HRZ58" s="196"/>
      <c r="HSA58" s="196"/>
      <c r="HSB58" s="196"/>
      <c r="HSC58" s="196"/>
      <c r="HSD58" s="196"/>
      <c r="HSE58" s="196"/>
      <c r="HSF58" s="196"/>
      <c r="HSG58" s="196"/>
      <c r="HSH58" s="196"/>
      <c r="HSI58" s="196"/>
      <c r="HSJ58" s="196"/>
      <c r="HSK58" s="196"/>
      <c r="HSL58" s="196"/>
      <c r="HSM58" s="196"/>
      <c r="HSN58" s="196"/>
      <c r="HSO58" s="196"/>
      <c r="HSP58" s="196"/>
      <c r="HSQ58" s="196"/>
      <c r="HSR58" s="196"/>
      <c r="HSS58" s="196"/>
      <c r="HST58" s="196"/>
      <c r="HSU58" s="196"/>
      <c r="HSV58" s="196"/>
      <c r="HSW58" s="196"/>
      <c r="HSX58" s="196"/>
      <c r="HSY58" s="196"/>
      <c r="HSZ58" s="196"/>
      <c r="HTA58" s="196"/>
      <c r="HTB58" s="196"/>
      <c r="HTC58" s="196"/>
      <c r="HTD58" s="196"/>
      <c r="HTE58" s="196"/>
      <c r="HTF58" s="196"/>
      <c r="HTG58" s="196"/>
      <c r="HTH58" s="196"/>
      <c r="HTI58" s="196"/>
      <c r="HTJ58" s="196"/>
      <c r="HTK58" s="196"/>
      <c r="HTL58" s="196"/>
      <c r="HTM58" s="196"/>
      <c r="HTN58" s="196"/>
      <c r="HTO58" s="196"/>
      <c r="HTP58" s="196"/>
      <c r="HTQ58" s="196"/>
      <c r="HTR58" s="196"/>
      <c r="HTS58" s="196"/>
      <c r="HTT58" s="196"/>
      <c r="HTU58" s="196"/>
      <c r="HTV58" s="196"/>
      <c r="HTW58" s="196"/>
      <c r="HTX58" s="196"/>
      <c r="HTY58" s="196"/>
      <c r="HTZ58" s="196"/>
      <c r="HUA58" s="196"/>
      <c r="HUB58" s="196"/>
      <c r="HUC58" s="196"/>
      <c r="HUD58" s="196"/>
      <c r="HUE58" s="196"/>
      <c r="HUF58" s="196"/>
      <c r="HUG58" s="196"/>
      <c r="HUH58" s="196"/>
      <c r="HUI58" s="196"/>
      <c r="HUJ58" s="196"/>
      <c r="HUK58" s="196"/>
      <c r="HUL58" s="196"/>
      <c r="HUM58" s="196"/>
      <c r="HUN58" s="196"/>
      <c r="HUO58" s="196"/>
      <c r="HUP58" s="196"/>
      <c r="HUQ58" s="196"/>
      <c r="HUR58" s="196"/>
      <c r="HUS58" s="196"/>
      <c r="HUT58" s="196"/>
      <c r="HUU58" s="196"/>
      <c r="HUV58" s="196"/>
      <c r="HUW58" s="196"/>
      <c r="HUX58" s="196"/>
      <c r="HUY58" s="196"/>
      <c r="HUZ58" s="196"/>
      <c r="HVA58" s="196"/>
      <c r="HVB58" s="196"/>
      <c r="HVC58" s="196"/>
      <c r="HVD58" s="196"/>
      <c r="HVE58" s="196"/>
      <c r="HVF58" s="196"/>
      <c r="HVG58" s="196"/>
      <c r="HVH58" s="196"/>
      <c r="HVI58" s="196"/>
      <c r="HVJ58" s="196"/>
      <c r="HVK58" s="196"/>
      <c r="HVL58" s="196"/>
      <c r="HVM58" s="196"/>
      <c r="HVN58" s="196"/>
      <c r="HVO58" s="196"/>
      <c r="HVP58" s="196"/>
      <c r="HVQ58" s="196"/>
      <c r="HVR58" s="196"/>
      <c r="HVS58" s="196"/>
      <c r="HVT58" s="196"/>
      <c r="HVU58" s="196"/>
      <c r="HVV58" s="196"/>
      <c r="HVW58" s="196"/>
      <c r="HVX58" s="196"/>
      <c r="HVY58" s="196"/>
      <c r="HVZ58" s="196"/>
      <c r="HWA58" s="196"/>
      <c r="HWB58" s="196"/>
      <c r="HWC58" s="196"/>
      <c r="HWD58" s="196"/>
      <c r="HWE58" s="196"/>
      <c r="HWF58" s="196"/>
      <c r="HWG58" s="196"/>
      <c r="HWH58" s="196"/>
      <c r="HWI58" s="196"/>
      <c r="HWJ58" s="196"/>
      <c r="HWK58" s="196"/>
      <c r="HWL58" s="196"/>
      <c r="HWM58" s="196"/>
      <c r="HWN58" s="196"/>
      <c r="HWO58" s="196"/>
      <c r="HWP58" s="196"/>
      <c r="HWQ58" s="196"/>
      <c r="HWR58" s="196"/>
      <c r="HWS58" s="196"/>
      <c r="HWT58" s="196"/>
      <c r="HWU58" s="196"/>
      <c r="HWV58" s="196"/>
      <c r="HWW58" s="196"/>
      <c r="HWX58" s="196"/>
      <c r="HWY58" s="196"/>
      <c r="HWZ58" s="196"/>
      <c r="HXA58" s="196"/>
      <c r="HXB58" s="196"/>
      <c r="HXC58" s="196"/>
      <c r="HXD58" s="196"/>
      <c r="HXE58" s="196"/>
      <c r="HXF58" s="196"/>
      <c r="HXG58" s="196"/>
      <c r="HXH58" s="196"/>
      <c r="HXI58" s="196"/>
      <c r="HXJ58" s="196"/>
      <c r="HXK58" s="196"/>
      <c r="HXL58" s="196"/>
      <c r="HXM58" s="196"/>
      <c r="HXN58" s="196"/>
      <c r="HXO58" s="196"/>
      <c r="HXP58" s="196"/>
      <c r="HXQ58" s="196"/>
      <c r="HXR58" s="196"/>
      <c r="HXS58" s="196"/>
      <c r="HXT58" s="196"/>
      <c r="HXU58" s="196"/>
      <c r="HXV58" s="196"/>
      <c r="HXW58" s="196"/>
      <c r="HXX58" s="196"/>
      <c r="HXY58" s="196"/>
      <c r="HXZ58" s="196"/>
      <c r="HYA58" s="196"/>
      <c r="HYB58" s="196"/>
      <c r="HYC58" s="196"/>
      <c r="HYD58" s="196"/>
      <c r="HYE58" s="196"/>
      <c r="HYF58" s="196"/>
      <c r="HYG58" s="196"/>
      <c r="HYH58" s="196"/>
      <c r="HYI58" s="196"/>
      <c r="HYJ58" s="196"/>
      <c r="HYK58" s="196"/>
      <c r="HYL58" s="196"/>
      <c r="HYM58" s="196"/>
      <c r="HYN58" s="196"/>
      <c r="HYO58" s="196"/>
      <c r="HYP58" s="196"/>
      <c r="HYQ58" s="196"/>
      <c r="HYR58" s="196"/>
      <c r="HYS58" s="196"/>
      <c r="HYT58" s="196"/>
      <c r="HYU58" s="196"/>
      <c r="HYV58" s="196"/>
      <c r="HYW58" s="196"/>
      <c r="HYX58" s="196"/>
      <c r="HYY58" s="196"/>
      <c r="HYZ58" s="196"/>
      <c r="HZA58" s="196"/>
      <c r="HZB58" s="196"/>
      <c r="HZC58" s="196"/>
      <c r="HZD58" s="196"/>
      <c r="HZE58" s="196"/>
      <c r="HZF58" s="196"/>
      <c r="HZG58" s="196"/>
      <c r="HZH58" s="196"/>
      <c r="HZI58" s="196"/>
      <c r="HZJ58" s="196"/>
      <c r="HZK58" s="196"/>
      <c r="HZL58" s="196"/>
      <c r="HZM58" s="196"/>
      <c r="HZN58" s="196"/>
      <c r="HZO58" s="196"/>
      <c r="HZP58" s="196"/>
      <c r="HZQ58" s="196"/>
      <c r="HZR58" s="196"/>
      <c r="HZS58" s="196"/>
      <c r="HZT58" s="196"/>
      <c r="HZU58" s="196"/>
      <c r="HZV58" s="196"/>
      <c r="HZW58" s="196"/>
      <c r="HZX58" s="196"/>
      <c r="HZY58" s="196"/>
      <c r="HZZ58" s="196"/>
      <c r="IAA58" s="196"/>
      <c r="IAB58" s="196"/>
      <c r="IAC58" s="196"/>
      <c r="IAD58" s="196"/>
      <c r="IAE58" s="196"/>
      <c r="IAF58" s="196"/>
      <c r="IAG58" s="196"/>
      <c r="IAH58" s="196"/>
      <c r="IAI58" s="196"/>
      <c r="IAJ58" s="196"/>
      <c r="IAK58" s="196"/>
      <c r="IAL58" s="196"/>
      <c r="IAM58" s="196"/>
      <c r="IAN58" s="196"/>
      <c r="IAO58" s="196"/>
      <c r="IAP58" s="196"/>
      <c r="IAQ58" s="196"/>
      <c r="IAR58" s="196"/>
      <c r="IAS58" s="196"/>
      <c r="IAT58" s="196"/>
      <c r="IAU58" s="196"/>
      <c r="IAV58" s="196"/>
      <c r="IAW58" s="196"/>
      <c r="IAX58" s="196"/>
      <c r="IAY58" s="196"/>
      <c r="IAZ58" s="196"/>
      <c r="IBA58" s="196"/>
      <c r="IBB58" s="196"/>
      <c r="IBC58" s="196"/>
      <c r="IBD58" s="196"/>
      <c r="IBE58" s="196"/>
      <c r="IBF58" s="196"/>
      <c r="IBG58" s="196"/>
      <c r="IBH58" s="196"/>
      <c r="IBI58" s="196"/>
      <c r="IBJ58" s="196"/>
      <c r="IBK58" s="196"/>
      <c r="IBL58" s="196"/>
      <c r="IBM58" s="196"/>
      <c r="IBN58" s="196"/>
      <c r="IBO58" s="196"/>
      <c r="IBP58" s="196"/>
      <c r="IBQ58" s="196"/>
      <c r="IBR58" s="196"/>
      <c r="IBS58" s="196"/>
      <c r="IBT58" s="196"/>
      <c r="IBU58" s="196"/>
      <c r="IBV58" s="196"/>
      <c r="IBW58" s="196"/>
      <c r="IBX58" s="196"/>
      <c r="IBY58" s="196"/>
      <c r="IBZ58" s="196"/>
      <c r="ICA58" s="196"/>
      <c r="ICB58" s="196"/>
      <c r="ICC58" s="196"/>
      <c r="ICD58" s="196"/>
      <c r="ICE58" s="196"/>
      <c r="ICF58" s="196"/>
      <c r="ICG58" s="196"/>
      <c r="ICH58" s="196"/>
      <c r="ICI58" s="196"/>
      <c r="ICJ58" s="196"/>
      <c r="ICK58" s="196"/>
      <c r="ICL58" s="196"/>
      <c r="ICM58" s="196"/>
      <c r="ICN58" s="196"/>
      <c r="ICO58" s="196"/>
      <c r="ICP58" s="196"/>
      <c r="ICQ58" s="196"/>
      <c r="ICR58" s="196"/>
      <c r="ICS58" s="196"/>
      <c r="ICT58" s="196"/>
      <c r="ICU58" s="196"/>
      <c r="ICV58" s="196"/>
      <c r="ICW58" s="196"/>
      <c r="ICX58" s="196"/>
      <c r="ICY58" s="196"/>
      <c r="ICZ58" s="196"/>
      <c r="IDA58" s="196"/>
      <c r="IDB58" s="196"/>
      <c r="IDC58" s="196"/>
      <c r="IDD58" s="196"/>
      <c r="IDE58" s="196"/>
      <c r="IDF58" s="196"/>
      <c r="IDG58" s="196"/>
      <c r="IDH58" s="196"/>
      <c r="IDI58" s="196"/>
      <c r="IDJ58" s="196"/>
      <c r="IDK58" s="196"/>
      <c r="IDL58" s="196"/>
      <c r="IDM58" s="196"/>
      <c r="IDN58" s="196"/>
      <c r="IDO58" s="196"/>
      <c r="IDP58" s="196"/>
      <c r="IDQ58" s="196"/>
      <c r="IDR58" s="196"/>
      <c r="IDS58" s="196"/>
      <c r="IDT58" s="196"/>
      <c r="IDU58" s="196"/>
      <c r="IDV58" s="196"/>
      <c r="IDW58" s="196"/>
      <c r="IDX58" s="196"/>
      <c r="IDY58" s="196"/>
      <c r="IDZ58" s="196"/>
      <c r="IEA58" s="196"/>
      <c r="IEB58" s="196"/>
      <c r="IEC58" s="196"/>
      <c r="IED58" s="196"/>
      <c r="IEE58" s="196"/>
      <c r="IEF58" s="196"/>
      <c r="IEG58" s="196"/>
      <c r="IEH58" s="196"/>
      <c r="IEI58" s="196"/>
      <c r="IEJ58" s="196"/>
      <c r="IEK58" s="196"/>
      <c r="IEL58" s="196"/>
      <c r="IEM58" s="196"/>
      <c r="IEN58" s="196"/>
      <c r="IEO58" s="196"/>
      <c r="IEP58" s="196"/>
      <c r="IEQ58" s="196"/>
      <c r="IER58" s="196"/>
      <c r="IES58" s="196"/>
      <c r="IET58" s="196"/>
      <c r="IEU58" s="196"/>
      <c r="IEV58" s="196"/>
      <c r="IEW58" s="196"/>
      <c r="IEX58" s="196"/>
      <c r="IEY58" s="196"/>
      <c r="IEZ58" s="196"/>
      <c r="IFA58" s="196"/>
      <c r="IFB58" s="196"/>
      <c r="IFC58" s="196"/>
      <c r="IFD58" s="196"/>
      <c r="IFE58" s="196"/>
      <c r="IFF58" s="196"/>
      <c r="IFG58" s="196"/>
      <c r="IFH58" s="196"/>
      <c r="IFI58" s="196"/>
      <c r="IFJ58" s="196"/>
      <c r="IFK58" s="196"/>
      <c r="IFL58" s="196"/>
      <c r="IFM58" s="196"/>
      <c r="IFN58" s="196"/>
      <c r="IFO58" s="196"/>
      <c r="IFP58" s="196"/>
      <c r="IFQ58" s="196"/>
      <c r="IFR58" s="196"/>
      <c r="IFS58" s="196"/>
      <c r="IFT58" s="196"/>
      <c r="IFU58" s="196"/>
      <c r="IFV58" s="196"/>
      <c r="IFW58" s="196"/>
      <c r="IFX58" s="196"/>
      <c r="IFY58" s="196"/>
      <c r="IFZ58" s="196"/>
      <c r="IGA58" s="196"/>
      <c r="IGB58" s="196"/>
      <c r="IGC58" s="196"/>
      <c r="IGD58" s="196"/>
      <c r="IGE58" s="196"/>
      <c r="IGF58" s="196"/>
      <c r="IGG58" s="196"/>
      <c r="IGH58" s="196"/>
      <c r="IGI58" s="196"/>
      <c r="IGJ58" s="196"/>
      <c r="IGK58" s="196"/>
      <c r="IGL58" s="196"/>
      <c r="IGM58" s="196"/>
      <c r="IGN58" s="196"/>
      <c r="IGO58" s="196"/>
      <c r="IGP58" s="196"/>
      <c r="IGQ58" s="196"/>
      <c r="IGR58" s="196"/>
      <c r="IGS58" s="196"/>
      <c r="IGT58" s="196"/>
      <c r="IGU58" s="196"/>
      <c r="IGV58" s="196"/>
      <c r="IGW58" s="196"/>
      <c r="IGX58" s="196"/>
      <c r="IGY58" s="196"/>
      <c r="IGZ58" s="196"/>
      <c r="IHA58" s="196"/>
      <c r="IHB58" s="196"/>
      <c r="IHC58" s="196"/>
      <c r="IHD58" s="196"/>
      <c r="IHE58" s="196"/>
      <c r="IHF58" s="196"/>
      <c r="IHG58" s="196"/>
      <c r="IHH58" s="196"/>
      <c r="IHI58" s="196"/>
      <c r="IHJ58" s="196"/>
      <c r="IHK58" s="196"/>
      <c r="IHL58" s="196"/>
      <c r="IHM58" s="196"/>
      <c r="IHN58" s="196"/>
      <c r="IHO58" s="196"/>
      <c r="IHP58" s="196"/>
      <c r="IHQ58" s="196"/>
      <c r="IHR58" s="196"/>
      <c r="IHS58" s="196"/>
      <c r="IHT58" s="196"/>
      <c r="IHU58" s="196"/>
      <c r="IHV58" s="196"/>
      <c r="IHW58" s="196"/>
      <c r="IHX58" s="196"/>
      <c r="IHY58" s="196"/>
      <c r="IHZ58" s="196"/>
      <c r="IIA58" s="196"/>
      <c r="IIB58" s="196"/>
      <c r="IIC58" s="196"/>
      <c r="IID58" s="196"/>
      <c r="IIE58" s="196"/>
      <c r="IIF58" s="196"/>
      <c r="IIG58" s="196"/>
      <c r="IIH58" s="196"/>
      <c r="III58" s="196"/>
      <c r="IIJ58" s="196"/>
      <c r="IIK58" s="196"/>
      <c r="IIL58" s="196"/>
      <c r="IIM58" s="196"/>
      <c r="IIN58" s="196"/>
      <c r="IIO58" s="196"/>
      <c r="IIP58" s="196"/>
      <c r="IIQ58" s="196"/>
      <c r="IIR58" s="196"/>
      <c r="IIS58" s="196"/>
      <c r="IIT58" s="196"/>
      <c r="IIU58" s="196"/>
      <c r="IIV58" s="196"/>
      <c r="IIW58" s="196"/>
      <c r="IIX58" s="196"/>
      <c r="IIY58" s="196"/>
      <c r="IIZ58" s="196"/>
      <c r="IJA58" s="196"/>
      <c r="IJB58" s="196"/>
      <c r="IJC58" s="196"/>
      <c r="IJD58" s="196"/>
      <c r="IJE58" s="196"/>
      <c r="IJF58" s="196"/>
      <c r="IJG58" s="196"/>
      <c r="IJH58" s="196"/>
      <c r="IJI58" s="196"/>
      <c r="IJJ58" s="196"/>
      <c r="IJK58" s="196"/>
      <c r="IJL58" s="196"/>
      <c r="IJM58" s="196"/>
      <c r="IJN58" s="196"/>
      <c r="IJO58" s="196"/>
      <c r="IJP58" s="196"/>
      <c r="IJQ58" s="196"/>
      <c r="IJR58" s="196"/>
      <c r="IJS58" s="196"/>
      <c r="IJT58" s="196"/>
      <c r="IJU58" s="196"/>
      <c r="IJV58" s="196"/>
      <c r="IJW58" s="196"/>
      <c r="IJX58" s="196"/>
      <c r="IJY58" s="196"/>
      <c r="IJZ58" s="196"/>
      <c r="IKA58" s="196"/>
      <c r="IKB58" s="196"/>
      <c r="IKC58" s="196"/>
      <c r="IKD58" s="196"/>
      <c r="IKE58" s="196"/>
      <c r="IKF58" s="196"/>
      <c r="IKG58" s="196"/>
      <c r="IKH58" s="196"/>
      <c r="IKI58" s="196"/>
      <c r="IKJ58" s="196"/>
      <c r="IKK58" s="196"/>
      <c r="IKL58" s="196"/>
      <c r="IKM58" s="196"/>
      <c r="IKN58" s="196"/>
      <c r="IKO58" s="196"/>
      <c r="IKP58" s="196"/>
      <c r="IKQ58" s="196"/>
      <c r="IKR58" s="196"/>
      <c r="IKS58" s="196"/>
      <c r="IKT58" s="196"/>
      <c r="IKU58" s="196"/>
      <c r="IKV58" s="196"/>
      <c r="IKW58" s="196"/>
      <c r="IKX58" s="196"/>
      <c r="IKY58" s="196"/>
      <c r="IKZ58" s="196"/>
      <c r="ILA58" s="196"/>
      <c r="ILB58" s="196"/>
      <c r="ILC58" s="196"/>
      <c r="ILD58" s="196"/>
      <c r="ILE58" s="196"/>
      <c r="ILF58" s="196"/>
      <c r="ILG58" s="196"/>
      <c r="ILH58" s="196"/>
      <c r="ILI58" s="196"/>
      <c r="ILJ58" s="196"/>
      <c r="ILK58" s="196"/>
      <c r="ILL58" s="196"/>
      <c r="ILM58" s="196"/>
      <c r="ILN58" s="196"/>
      <c r="ILO58" s="196"/>
      <c r="ILP58" s="196"/>
      <c r="ILQ58" s="196"/>
      <c r="ILR58" s="196"/>
      <c r="ILS58" s="196"/>
      <c r="ILT58" s="196"/>
      <c r="ILU58" s="196"/>
      <c r="ILV58" s="196"/>
      <c r="ILW58" s="196"/>
      <c r="ILX58" s="196"/>
      <c r="ILY58" s="196"/>
      <c r="ILZ58" s="196"/>
      <c r="IMA58" s="196"/>
      <c r="IMB58" s="196"/>
      <c r="IMC58" s="196"/>
      <c r="IMD58" s="196"/>
      <c r="IME58" s="196"/>
      <c r="IMF58" s="196"/>
      <c r="IMG58" s="196"/>
      <c r="IMH58" s="196"/>
      <c r="IMI58" s="196"/>
      <c r="IMJ58" s="196"/>
      <c r="IMK58" s="196"/>
      <c r="IML58" s="196"/>
      <c r="IMM58" s="196"/>
      <c r="IMN58" s="196"/>
      <c r="IMO58" s="196"/>
      <c r="IMP58" s="196"/>
      <c r="IMQ58" s="196"/>
      <c r="IMR58" s="196"/>
      <c r="IMS58" s="196"/>
      <c r="IMT58" s="196"/>
      <c r="IMU58" s="196"/>
      <c r="IMV58" s="196"/>
      <c r="IMW58" s="196"/>
      <c r="IMX58" s="196"/>
      <c r="IMY58" s="196"/>
      <c r="IMZ58" s="196"/>
      <c r="INA58" s="196"/>
      <c r="INB58" s="196"/>
      <c r="INC58" s="196"/>
      <c r="IND58" s="196"/>
      <c r="INE58" s="196"/>
      <c r="INF58" s="196"/>
      <c r="ING58" s="196"/>
      <c r="INH58" s="196"/>
      <c r="INI58" s="196"/>
      <c r="INJ58" s="196"/>
      <c r="INK58" s="196"/>
      <c r="INL58" s="196"/>
      <c r="INM58" s="196"/>
      <c r="INN58" s="196"/>
      <c r="INO58" s="196"/>
      <c r="INP58" s="196"/>
      <c r="INQ58" s="196"/>
      <c r="INR58" s="196"/>
      <c r="INS58" s="196"/>
      <c r="INT58" s="196"/>
      <c r="INU58" s="196"/>
      <c r="INV58" s="196"/>
      <c r="INW58" s="196"/>
      <c r="INX58" s="196"/>
      <c r="INY58" s="196"/>
      <c r="INZ58" s="196"/>
      <c r="IOA58" s="196"/>
      <c r="IOB58" s="196"/>
      <c r="IOC58" s="196"/>
      <c r="IOD58" s="196"/>
      <c r="IOE58" s="196"/>
      <c r="IOF58" s="196"/>
      <c r="IOG58" s="196"/>
      <c r="IOH58" s="196"/>
      <c r="IOI58" s="196"/>
      <c r="IOJ58" s="196"/>
      <c r="IOK58" s="196"/>
      <c r="IOL58" s="196"/>
      <c r="IOM58" s="196"/>
      <c r="ION58" s="196"/>
      <c r="IOO58" s="196"/>
      <c r="IOP58" s="196"/>
      <c r="IOQ58" s="196"/>
      <c r="IOR58" s="196"/>
      <c r="IOS58" s="196"/>
      <c r="IOT58" s="196"/>
      <c r="IOU58" s="196"/>
      <c r="IOV58" s="196"/>
      <c r="IOW58" s="196"/>
      <c r="IOX58" s="196"/>
      <c r="IOY58" s="196"/>
      <c r="IOZ58" s="196"/>
      <c r="IPA58" s="196"/>
      <c r="IPB58" s="196"/>
      <c r="IPC58" s="196"/>
      <c r="IPD58" s="196"/>
      <c r="IPE58" s="196"/>
      <c r="IPF58" s="196"/>
      <c r="IPG58" s="196"/>
      <c r="IPH58" s="196"/>
      <c r="IPI58" s="196"/>
      <c r="IPJ58" s="196"/>
      <c r="IPK58" s="196"/>
      <c r="IPL58" s="196"/>
      <c r="IPM58" s="196"/>
      <c r="IPN58" s="196"/>
      <c r="IPO58" s="196"/>
      <c r="IPP58" s="196"/>
      <c r="IPQ58" s="196"/>
      <c r="IPR58" s="196"/>
      <c r="IPS58" s="196"/>
      <c r="IPT58" s="196"/>
      <c r="IPU58" s="196"/>
      <c r="IPV58" s="196"/>
      <c r="IPW58" s="196"/>
      <c r="IPX58" s="196"/>
      <c r="IPY58" s="196"/>
      <c r="IPZ58" s="196"/>
      <c r="IQA58" s="196"/>
      <c r="IQB58" s="196"/>
      <c r="IQC58" s="196"/>
      <c r="IQD58" s="196"/>
      <c r="IQE58" s="196"/>
      <c r="IQF58" s="196"/>
      <c r="IQG58" s="196"/>
      <c r="IQH58" s="196"/>
      <c r="IQI58" s="196"/>
      <c r="IQJ58" s="196"/>
      <c r="IQK58" s="196"/>
      <c r="IQL58" s="196"/>
      <c r="IQM58" s="196"/>
      <c r="IQN58" s="196"/>
      <c r="IQO58" s="196"/>
      <c r="IQP58" s="196"/>
      <c r="IQQ58" s="196"/>
      <c r="IQR58" s="196"/>
      <c r="IQS58" s="196"/>
      <c r="IQT58" s="196"/>
      <c r="IQU58" s="196"/>
      <c r="IQV58" s="196"/>
      <c r="IQW58" s="196"/>
      <c r="IQX58" s="196"/>
      <c r="IQY58" s="196"/>
      <c r="IQZ58" s="196"/>
      <c r="IRA58" s="196"/>
      <c r="IRB58" s="196"/>
      <c r="IRC58" s="196"/>
      <c r="IRD58" s="196"/>
      <c r="IRE58" s="196"/>
      <c r="IRF58" s="196"/>
      <c r="IRG58" s="196"/>
      <c r="IRH58" s="196"/>
      <c r="IRI58" s="196"/>
      <c r="IRJ58" s="196"/>
      <c r="IRK58" s="196"/>
      <c r="IRL58" s="196"/>
      <c r="IRM58" s="196"/>
      <c r="IRN58" s="196"/>
      <c r="IRO58" s="196"/>
      <c r="IRP58" s="196"/>
      <c r="IRQ58" s="196"/>
      <c r="IRR58" s="196"/>
      <c r="IRS58" s="196"/>
      <c r="IRT58" s="196"/>
      <c r="IRU58" s="196"/>
      <c r="IRV58" s="196"/>
      <c r="IRW58" s="196"/>
      <c r="IRX58" s="196"/>
      <c r="IRY58" s="196"/>
      <c r="IRZ58" s="196"/>
      <c r="ISA58" s="196"/>
      <c r="ISB58" s="196"/>
      <c r="ISC58" s="196"/>
      <c r="ISD58" s="196"/>
      <c r="ISE58" s="196"/>
      <c r="ISF58" s="196"/>
      <c r="ISG58" s="196"/>
      <c r="ISH58" s="196"/>
      <c r="ISI58" s="196"/>
      <c r="ISJ58" s="196"/>
      <c r="ISK58" s="196"/>
      <c r="ISL58" s="196"/>
      <c r="ISM58" s="196"/>
      <c r="ISN58" s="196"/>
      <c r="ISO58" s="196"/>
      <c r="ISP58" s="196"/>
      <c r="ISQ58" s="196"/>
      <c r="ISR58" s="196"/>
      <c r="ISS58" s="196"/>
      <c r="IST58" s="196"/>
      <c r="ISU58" s="196"/>
      <c r="ISV58" s="196"/>
      <c r="ISW58" s="196"/>
      <c r="ISX58" s="196"/>
      <c r="ISY58" s="196"/>
      <c r="ISZ58" s="196"/>
      <c r="ITA58" s="196"/>
      <c r="ITB58" s="196"/>
      <c r="ITC58" s="196"/>
      <c r="ITD58" s="196"/>
      <c r="ITE58" s="196"/>
      <c r="ITF58" s="196"/>
      <c r="ITG58" s="196"/>
      <c r="ITH58" s="196"/>
      <c r="ITI58" s="196"/>
      <c r="ITJ58" s="196"/>
      <c r="ITK58" s="196"/>
      <c r="ITL58" s="196"/>
      <c r="ITM58" s="196"/>
      <c r="ITN58" s="196"/>
      <c r="ITO58" s="196"/>
      <c r="ITP58" s="196"/>
      <c r="ITQ58" s="196"/>
      <c r="ITR58" s="196"/>
      <c r="ITS58" s="196"/>
      <c r="ITT58" s="196"/>
      <c r="ITU58" s="196"/>
      <c r="ITV58" s="196"/>
      <c r="ITW58" s="196"/>
      <c r="ITX58" s="196"/>
      <c r="ITY58" s="196"/>
      <c r="ITZ58" s="196"/>
      <c r="IUA58" s="196"/>
      <c r="IUB58" s="196"/>
      <c r="IUC58" s="196"/>
      <c r="IUD58" s="196"/>
      <c r="IUE58" s="196"/>
      <c r="IUF58" s="196"/>
      <c r="IUG58" s="196"/>
      <c r="IUH58" s="196"/>
      <c r="IUI58" s="196"/>
      <c r="IUJ58" s="196"/>
      <c r="IUK58" s="196"/>
      <c r="IUL58" s="196"/>
      <c r="IUM58" s="196"/>
      <c r="IUN58" s="196"/>
      <c r="IUO58" s="196"/>
      <c r="IUP58" s="196"/>
      <c r="IUQ58" s="196"/>
      <c r="IUR58" s="196"/>
      <c r="IUS58" s="196"/>
      <c r="IUT58" s="196"/>
      <c r="IUU58" s="196"/>
      <c r="IUV58" s="196"/>
      <c r="IUW58" s="196"/>
      <c r="IUX58" s="196"/>
      <c r="IUY58" s="196"/>
      <c r="IUZ58" s="196"/>
      <c r="IVA58" s="196"/>
      <c r="IVB58" s="196"/>
      <c r="IVC58" s="196"/>
      <c r="IVD58" s="196"/>
      <c r="IVE58" s="196"/>
      <c r="IVF58" s="196"/>
      <c r="IVG58" s="196"/>
      <c r="IVH58" s="196"/>
      <c r="IVI58" s="196"/>
      <c r="IVJ58" s="196"/>
      <c r="IVK58" s="196"/>
      <c r="IVL58" s="196"/>
      <c r="IVM58" s="196"/>
      <c r="IVN58" s="196"/>
      <c r="IVO58" s="196"/>
      <c r="IVP58" s="196"/>
      <c r="IVQ58" s="196"/>
      <c r="IVR58" s="196"/>
      <c r="IVS58" s="196"/>
      <c r="IVT58" s="196"/>
      <c r="IVU58" s="196"/>
      <c r="IVV58" s="196"/>
      <c r="IVW58" s="196"/>
      <c r="IVX58" s="196"/>
      <c r="IVY58" s="196"/>
      <c r="IVZ58" s="196"/>
      <c r="IWA58" s="196"/>
      <c r="IWB58" s="196"/>
      <c r="IWC58" s="196"/>
      <c r="IWD58" s="196"/>
      <c r="IWE58" s="196"/>
      <c r="IWF58" s="196"/>
      <c r="IWG58" s="196"/>
      <c r="IWH58" s="196"/>
      <c r="IWI58" s="196"/>
      <c r="IWJ58" s="196"/>
      <c r="IWK58" s="196"/>
      <c r="IWL58" s="196"/>
      <c r="IWM58" s="196"/>
      <c r="IWN58" s="196"/>
      <c r="IWO58" s="196"/>
      <c r="IWP58" s="196"/>
      <c r="IWQ58" s="196"/>
      <c r="IWR58" s="196"/>
      <c r="IWS58" s="196"/>
      <c r="IWT58" s="196"/>
      <c r="IWU58" s="196"/>
      <c r="IWV58" s="196"/>
      <c r="IWW58" s="196"/>
      <c r="IWX58" s="196"/>
      <c r="IWY58" s="196"/>
      <c r="IWZ58" s="196"/>
      <c r="IXA58" s="196"/>
      <c r="IXB58" s="196"/>
      <c r="IXC58" s="196"/>
      <c r="IXD58" s="196"/>
      <c r="IXE58" s="196"/>
      <c r="IXF58" s="196"/>
      <c r="IXG58" s="196"/>
      <c r="IXH58" s="196"/>
      <c r="IXI58" s="196"/>
      <c r="IXJ58" s="196"/>
      <c r="IXK58" s="196"/>
      <c r="IXL58" s="196"/>
      <c r="IXM58" s="196"/>
      <c r="IXN58" s="196"/>
      <c r="IXO58" s="196"/>
      <c r="IXP58" s="196"/>
      <c r="IXQ58" s="196"/>
      <c r="IXR58" s="196"/>
      <c r="IXS58" s="196"/>
      <c r="IXT58" s="196"/>
      <c r="IXU58" s="196"/>
      <c r="IXV58" s="196"/>
      <c r="IXW58" s="196"/>
      <c r="IXX58" s="196"/>
      <c r="IXY58" s="196"/>
      <c r="IXZ58" s="196"/>
      <c r="IYA58" s="196"/>
      <c r="IYB58" s="196"/>
      <c r="IYC58" s="196"/>
      <c r="IYD58" s="196"/>
      <c r="IYE58" s="196"/>
      <c r="IYF58" s="196"/>
      <c r="IYG58" s="196"/>
      <c r="IYH58" s="196"/>
      <c r="IYI58" s="196"/>
      <c r="IYJ58" s="196"/>
      <c r="IYK58" s="196"/>
      <c r="IYL58" s="196"/>
      <c r="IYM58" s="196"/>
      <c r="IYN58" s="196"/>
      <c r="IYO58" s="196"/>
      <c r="IYP58" s="196"/>
      <c r="IYQ58" s="196"/>
      <c r="IYR58" s="196"/>
      <c r="IYS58" s="196"/>
      <c r="IYT58" s="196"/>
      <c r="IYU58" s="196"/>
      <c r="IYV58" s="196"/>
      <c r="IYW58" s="196"/>
      <c r="IYX58" s="196"/>
      <c r="IYY58" s="196"/>
      <c r="IYZ58" s="196"/>
      <c r="IZA58" s="196"/>
      <c r="IZB58" s="196"/>
      <c r="IZC58" s="196"/>
      <c r="IZD58" s="196"/>
      <c r="IZE58" s="196"/>
      <c r="IZF58" s="196"/>
      <c r="IZG58" s="196"/>
      <c r="IZH58" s="196"/>
      <c r="IZI58" s="196"/>
      <c r="IZJ58" s="196"/>
      <c r="IZK58" s="196"/>
      <c r="IZL58" s="196"/>
      <c r="IZM58" s="196"/>
      <c r="IZN58" s="196"/>
      <c r="IZO58" s="196"/>
      <c r="IZP58" s="196"/>
      <c r="IZQ58" s="196"/>
      <c r="IZR58" s="196"/>
      <c r="IZS58" s="196"/>
      <c r="IZT58" s="196"/>
      <c r="IZU58" s="196"/>
      <c r="IZV58" s="196"/>
      <c r="IZW58" s="196"/>
      <c r="IZX58" s="196"/>
      <c r="IZY58" s="196"/>
      <c r="IZZ58" s="196"/>
      <c r="JAA58" s="196"/>
      <c r="JAB58" s="196"/>
      <c r="JAC58" s="196"/>
      <c r="JAD58" s="196"/>
      <c r="JAE58" s="196"/>
      <c r="JAF58" s="196"/>
      <c r="JAG58" s="196"/>
      <c r="JAH58" s="196"/>
      <c r="JAI58" s="196"/>
      <c r="JAJ58" s="196"/>
      <c r="JAK58" s="196"/>
      <c r="JAL58" s="196"/>
      <c r="JAM58" s="196"/>
      <c r="JAN58" s="196"/>
      <c r="JAO58" s="196"/>
      <c r="JAP58" s="196"/>
      <c r="JAQ58" s="196"/>
      <c r="JAR58" s="196"/>
      <c r="JAS58" s="196"/>
      <c r="JAT58" s="196"/>
      <c r="JAU58" s="196"/>
      <c r="JAV58" s="196"/>
      <c r="JAW58" s="196"/>
      <c r="JAX58" s="196"/>
      <c r="JAY58" s="196"/>
      <c r="JAZ58" s="196"/>
      <c r="JBA58" s="196"/>
      <c r="JBB58" s="196"/>
      <c r="JBC58" s="196"/>
      <c r="JBD58" s="196"/>
      <c r="JBE58" s="196"/>
      <c r="JBF58" s="196"/>
      <c r="JBG58" s="196"/>
      <c r="JBH58" s="196"/>
      <c r="JBI58" s="196"/>
      <c r="JBJ58" s="196"/>
      <c r="JBK58" s="196"/>
      <c r="JBL58" s="196"/>
      <c r="JBM58" s="196"/>
      <c r="JBN58" s="196"/>
      <c r="JBO58" s="196"/>
      <c r="JBP58" s="196"/>
      <c r="JBQ58" s="196"/>
      <c r="JBR58" s="196"/>
      <c r="JBS58" s="196"/>
      <c r="JBT58" s="196"/>
      <c r="JBU58" s="196"/>
      <c r="JBV58" s="196"/>
      <c r="JBW58" s="196"/>
      <c r="JBX58" s="196"/>
      <c r="JBY58" s="196"/>
      <c r="JBZ58" s="196"/>
      <c r="JCA58" s="196"/>
      <c r="JCB58" s="196"/>
      <c r="JCC58" s="196"/>
      <c r="JCD58" s="196"/>
      <c r="JCE58" s="196"/>
      <c r="JCF58" s="196"/>
      <c r="JCG58" s="196"/>
      <c r="JCH58" s="196"/>
      <c r="JCI58" s="196"/>
      <c r="JCJ58" s="196"/>
      <c r="JCK58" s="196"/>
      <c r="JCL58" s="196"/>
      <c r="JCM58" s="196"/>
      <c r="JCN58" s="196"/>
      <c r="JCO58" s="196"/>
      <c r="JCP58" s="196"/>
      <c r="JCQ58" s="196"/>
      <c r="JCR58" s="196"/>
      <c r="JCS58" s="196"/>
      <c r="JCT58" s="196"/>
      <c r="JCU58" s="196"/>
      <c r="JCV58" s="196"/>
      <c r="JCW58" s="196"/>
      <c r="JCX58" s="196"/>
      <c r="JCY58" s="196"/>
      <c r="JCZ58" s="196"/>
      <c r="JDA58" s="196"/>
      <c r="JDB58" s="196"/>
      <c r="JDC58" s="196"/>
      <c r="JDD58" s="196"/>
      <c r="JDE58" s="196"/>
      <c r="JDF58" s="196"/>
      <c r="JDG58" s="196"/>
      <c r="JDH58" s="196"/>
      <c r="JDI58" s="196"/>
      <c r="JDJ58" s="196"/>
      <c r="JDK58" s="196"/>
      <c r="JDL58" s="196"/>
      <c r="JDM58" s="196"/>
      <c r="JDN58" s="196"/>
      <c r="JDO58" s="196"/>
      <c r="JDP58" s="196"/>
      <c r="JDQ58" s="196"/>
      <c r="JDR58" s="196"/>
      <c r="JDS58" s="196"/>
      <c r="JDT58" s="196"/>
      <c r="JDU58" s="196"/>
      <c r="JDV58" s="196"/>
      <c r="JDW58" s="196"/>
      <c r="JDX58" s="196"/>
      <c r="JDY58" s="196"/>
      <c r="JDZ58" s="196"/>
      <c r="JEA58" s="196"/>
      <c r="JEB58" s="196"/>
      <c r="JEC58" s="196"/>
      <c r="JED58" s="196"/>
      <c r="JEE58" s="196"/>
      <c r="JEF58" s="196"/>
      <c r="JEG58" s="196"/>
      <c r="JEH58" s="196"/>
      <c r="JEI58" s="196"/>
      <c r="JEJ58" s="196"/>
      <c r="JEK58" s="196"/>
      <c r="JEL58" s="196"/>
      <c r="JEM58" s="196"/>
      <c r="JEN58" s="196"/>
      <c r="JEO58" s="196"/>
      <c r="JEP58" s="196"/>
      <c r="JEQ58" s="196"/>
      <c r="JER58" s="196"/>
      <c r="JES58" s="196"/>
      <c r="JET58" s="196"/>
      <c r="JEU58" s="196"/>
      <c r="JEV58" s="196"/>
      <c r="JEW58" s="196"/>
      <c r="JEX58" s="196"/>
      <c r="JEY58" s="196"/>
      <c r="JEZ58" s="196"/>
      <c r="JFA58" s="196"/>
      <c r="JFB58" s="196"/>
      <c r="JFC58" s="196"/>
      <c r="JFD58" s="196"/>
      <c r="JFE58" s="196"/>
      <c r="JFF58" s="196"/>
      <c r="JFG58" s="196"/>
      <c r="JFH58" s="196"/>
      <c r="JFI58" s="196"/>
      <c r="JFJ58" s="196"/>
      <c r="JFK58" s="196"/>
      <c r="JFL58" s="196"/>
      <c r="JFM58" s="196"/>
      <c r="JFN58" s="196"/>
      <c r="JFO58" s="196"/>
      <c r="JFP58" s="196"/>
      <c r="JFQ58" s="196"/>
      <c r="JFR58" s="196"/>
      <c r="JFS58" s="196"/>
      <c r="JFT58" s="196"/>
      <c r="JFU58" s="196"/>
      <c r="JFV58" s="196"/>
      <c r="JFW58" s="196"/>
      <c r="JFX58" s="196"/>
      <c r="JFY58" s="196"/>
      <c r="JFZ58" s="196"/>
      <c r="JGA58" s="196"/>
      <c r="JGB58" s="196"/>
      <c r="JGC58" s="196"/>
      <c r="JGD58" s="196"/>
      <c r="JGE58" s="196"/>
      <c r="JGF58" s="196"/>
      <c r="JGG58" s="196"/>
      <c r="JGH58" s="196"/>
      <c r="JGI58" s="196"/>
      <c r="JGJ58" s="196"/>
      <c r="JGK58" s="196"/>
      <c r="JGL58" s="196"/>
      <c r="JGM58" s="196"/>
      <c r="JGN58" s="196"/>
      <c r="JGO58" s="196"/>
      <c r="JGP58" s="196"/>
      <c r="JGQ58" s="196"/>
      <c r="JGR58" s="196"/>
      <c r="JGS58" s="196"/>
      <c r="JGT58" s="196"/>
      <c r="JGU58" s="196"/>
      <c r="JGV58" s="196"/>
      <c r="JGW58" s="196"/>
      <c r="JGX58" s="196"/>
      <c r="JGY58" s="196"/>
      <c r="JGZ58" s="196"/>
      <c r="JHA58" s="196"/>
      <c r="JHB58" s="196"/>
      <c r="JHC58" s="196"/>
      <c r="JHD58" s="196"/>
      <c r="JHE58" s="196"/>
      <c r="JHF58" s="196"/>
      <c r="JHG58" s="196"/>
      <c r="JHH58" s="196"/>
      <c r="JHI58" s="196"/>
      <c r="JHJ58" s="196"/>
      <c r="JHK58" s="196"/>
      <c r="JHL58" s="196"/>
      <c r="JHM58" s="196"/>
      <c r="JHN58" s="196"/>
      <c r="JHO58" s="196"/>
      <c r="JHP58" s="196"/>
      <c r="JHQ58" s="196"/>
      <c r="JHR58" s="196"/>
      <c r="JHS58" s="196"/>
      <c r="JHT58" s="196"/>
      <c r="JHU58" s="196"/>
      <c r="JHV58" s="196"/>
      <c r="JHW58" s="196"/>
      <c r="JHX58" s="196"/>
      <c r="JHY58" s="196"/>
      <c r="JHZ58" s="196"/>
      <c r="JIA58" s="196"/>
      <c r="JIB58" s="196"/>
      <c r="JIC58" s="196"/>
      <c r="JID58" s="196"/>
      <c r="JIE58" s="196"/>
      <c r="JIF58" s="196"/>
      <c r="JIG58" s="196"/>
      <c r="JIH58" s="196"/>
      <c r="JII58" s="196"/>
      <c r="JIJ58" s="196"/>
      <c r="JIK58" s="196"/>
      <c r="JIL58" s="196"/>
      <c r="JIM58" s="196"/>
      <c r="JIN58" s="196"/>
      <c r="JIO58" s="196"/>
      <c r="JIP58" s="196"/>
      <c r="JIQ58" s="196"/>
      <c r="JIR58" s="196"/>
      <c r="JIS58" s="196"/>
      <c r="JIT58" s="196"/>
      <c r="JIU58" s="196"/>
      <c r="JIV58" s="196"/>
      <c r="JIW58" s="196"/>
      <c r="JIX58" s="196"/>
      <c r="JIY58" s="196"/>
      <c r="JIZ58" s="196"/>
      <c r="JJA58" s="196"/>
      <c r="JJB58" s="196"/>
      <c r="JJC58" s="196"/>
      <c r="JJD58" s="196"/>
      <c r="JJE58" s="196"/>
      <c r="JJF58" s="196"/>
      <c r="JJG58" s="196"/>
      <c r="JJH58" s="196"/>
      <c r="JJI58" s="196"/>
      <c r="JJJ58" s="196"/>
      <c r="JJK58" s="196"/>
      <c r="JJL58" s="196"/>
      <c r="JJM58" s="196"/>
      <c r="JJN58" s="196"/>
      <c r="JJO58" s="196"/>
      <c r="JJP58" s="196"/>
      <c r="JJQ58" s="196"/>
      <c r="JJR58" s="196"/>
      <c r="JJS58" s="196"/>
      <c r="JJT58" s="196"/>
      <c r="JJU58" s="196"/>
      <c r="JJV58" s="196"/>
      <c r="JJW58" s="196"/>
      <c r="JJX58" s="196"/>
      <c r="JJY58" s="196"/>
      <c r="JJZ58" s="196"/>
      <c r="JKA58" s="196"/>
      <c r="JKB58" s="196"/>
      <c r="JKC58" s="196"/>
      <c r="JKD58" s="196"/>
      <c r="JKE58" s="196"/>
      <c r="JKF58" s="196"/>
      <c r="JKG58" s="196"/>
      <c r="JKH58" s="196"/>
      <c r="JKI58" s="196"/>
      <c r="JKJ58" s="196"/>
      <c r="JKK58" s="196"/>
      <c r="JKL58" s="196"/>
      <c r="JKM58" s="196"/>
      <c r="JKN58" s="196"/>
      <c r="JKO58" s="196"/>
      <c r="JKP58" s="196"/>
      <c r="JKQ58" s="196"/>
      <c r="JKR58" s="196"/>
      <c r="JKS58" s="196"/>
      <c r="JKT58" s="196"/>
      <c r="JKU58" s="196"/>
      <c r="JKV58" s="196"/>
      <c r="JKW58" s="196"/>
      <c r="JKX58" s="196"/>
      <c r="JKY58" s="196"/>
      <c r="JKZ58" s="196"/>
      <c r="JLA58" s="196"/>
      <c r="JLB58" s="196"/>
      <c r="JLC58" s="196"/>
      <c r="JLD58" s="196"/>
      <c r="JLE58" s="196"/>
      <c r="JLF58" s="196"/>
      <c r="JLG58" s="196"/>
      <c r="JLH58" s="196"/>
      <c r="JLI58" s="196"/>
      <c r="JLJ58" s="196"/>
      <c r="JLK58" s="196"/>
      <c r="JLL58" s="196"/>
      <c r="JLM58" s="196"/>
      <c r="JLN58" s="196"/>
      <c r="JLO58" s="196"/>
      <c r="JLP58" s="196"/>
      <c r="JLQ58" s="196"/>
      <c r="JLR58" s="196"/>
      <c r="JLS58" s="196"/>
      <c r="JLT58" s="196"/>
      <c r="JLU58" s="196"/>
      <c r="JLV58" s="196"/>
      <c r="JLW58" s="196"/>
      <c r="JLX58" s="196"/>
      <c r="JLY58" s="196"/>
      <c r="JLZ58" s="196"/>
      <c r="JMA58" s="196"/>
      <c r="JMB58" s="196"/>
      <c r="JMC58" s="196"/>
      <c r="JMD58" s="196"/>
      <c r="JME58" s="196"/>
      <c r="JMF58" s="196"/>
      <c r="JMG58" s="196"/>
      <c r="JMH58" s="196"/>
      <c r="JMI58" s="196"/>
      <c r="JMJ58" s="196"/>
      <c r="JMK58" s="196"/>
      <c r="JML58" s="196"/>
      <c r="JMM58" s="196"/>
      <c r="JMN58" s="196"/>
      <c r="JMO58" s="196"/>
      <c r="JMP58" s="196"/>
      <c r="JMQ58" s="196"/>
      <c r="JMR58" s="196"/>
      <c r="JMS58" s="196"/>
      <c r="JMT58" s="196"/>
      <c r="JMU58" s="196"/>
      <c r="JMV58" s="196"/>
      <c r="JMW58" s="196"/>
      <c r="JMX58" s="196"/>
      <c r="JMY58" s="196"/>
      <c r="JMZ58" s="196"/>
      <c r="JNA58" s="196"/>
      <c r="JNB58" s="196"/>
      <c r="JNC58" s="196"/>
      <c r="JND58" s="196"/>
      <c r="JNE58" s="196"/>
      <c r="JNF58" s="196"/>
      <c r="JNG58" s="196"/>
      <c r="JNH58" s="196"/>
      <c r="JNI58" s="196"/>
      <c r="JNJ58" s="196"/>
      <c r="JNK58" s="196"/>
      <c r="JNL58" s="196"/>
      <c r="JNM58" s="196"/>
      <c r="JNN58" s="196"/>
      <c r="JNO58" s="196"/>
      <c r="JNP58" s="196"/>
      <c r="JNQ58" s="196"/>
      <c r="JNR58" s="196"/>
      <c r="JNS58" s="196"/>
      <c r="JNT58" s="196"/>
      <c r="JNU58" s="196"/>
      <c r="JNV58" s="196"/>
      <c r="JNW58" s="196"/>
      <c r="JNX58" s="196"/>
      <c r="JNY58" s="196"/>
      <c r="JNZ58" s="196"/>
      <c r="JOA58" s="196"/>
      <c r="JOB58" s="196"/>
      <c r="JOC58" s="196"/>
      <c r="JOD58" s="196"/>
      <c r="JOE58" s="196"/>
      <c r="JOF58" s="196"/>
      <c r="JOG58" s="196"/>
      <c r="JOH58" s="196"/>
      <c r="JOI58" s="196"/>
      <c r="JOJ58" s="196"/>
      <c r="JOK58" s="196"/>
      <c r="JOL58" s="196"/>
      <c r="JOM58" s="196"/>
      <c r="JON58" s="196"/>
      <c r="JOO58" s="196"/>
      <c r="JOP58" s="196"/>
      <c r="JOQ58" s="196"/>
      <c r="JOR58" s="196"/>
      <c r="JOS58" s="196"/>
      <c r="JOT58" s="196"/>
      <c r="JOU58" s="196"/>
      <c r="JOV58" s="196"/>
      <c r="JOW58" s="196"/>
      <c r="JOX58" s="196"/>
      <c r="JOY58" s="196"/>
      <c r="JOZ58" s="196"/>
      <c r="JPA58" s="196"/>
      <c r="JPB58" s="196"/>
      <c r="JPC58" s="196"/>
      <c r="JPD58" s="196"/>
      <c r="JPE58" s="196"/>
      <c r="JPF58" s="196"/>
      <c r="JPG58" s="196"/>
      <c r="JPH58" s="196"/>
      <c r="JPI58" s="196"/>
      <c r="JPJ58" s="196"/>
      <c r="JPK58" s="196"/>
      <c r="JPL58" s="196"/>
      <c r="JPM58" s="196"/>
      <c r="JPN58" s="196"/>
      <c r="JPO58" s="196"/>
      <c r="JPP58" s="196"/>
      <c r="JPQ58" s="196"/>
      <c r="JPR58" s="196"/>
      <c r="JPS58" s="196"/>
      <c r="JPT58" s="196"/>
      <c r="JPU58" s="196"/>
      <c r="JPV58" s="196"/>
      <c r="JPW58" s="196"/>
      <c r="JPX58" s="196"/>
      <c r="JPY58" s="196"/>
      <c r="JPZ58" s="196"/>
      <c r="JQA58" s="196"/>
      <c r="JQB58" s="196"/>
      <c r="JQC58" s="196"/>
      <c r="JQD58" s="196"/>
      <c r="JQE58" s="196"/>
      <c r="JQF58" s="196"/>
      <c r="JQG58" s="196"/>
      <c r="JQH58" s="196"/>
      <c r="JQI58" s="196"/>
      <c r="JQJ58" s="196"/>
      <c r="JQK58" s="196"/>
      <c r="JQL58" s="196"/>
      <c r="JQM58" s="196"/>
      <c r="JQN58" s="196"/>
      <c r="JQO58" s="196"/>
      <c r="JQP58" s="196"/>
      <c r="JQQ58" s="196"/>
      <c r="JQR58" s="196"/>
      <c r="JQS58" s="196"/>
      <c r="JQT58" s="196"/>
      <c r="JQU58" s="196"/>
      <c r="JQV58" s="196"/>
      <c r="JQW58" s="196"/>
      <c r="JQX58" s="196"/>
      <c r="JQY58" s="196"/>
      <c r="JQZ58" s="196"/>
      <c r="JRA58" s="196"/>
      <c r="JRB58" s="196"/>
      <c r="JRC58" s="196"/>
      <c r="JRD58" s="196"/>
      <c r="JRE58" s="196"/>
      <c r="JRF58" s="196"/>
      <c r="JRG58" s="196"/>
      <c r="JRH58" s="196"/>
      <c r="JRI58" s="196"/>
      <c r="JRJ58" s="196"/>
      <c r="JRK58" s="196"/>
      <c r="JRL58" s="196"/>
      <c r="JRM58" s="196"/>
      <c r="JRN58" s="196"/>
      <c r="JRO58" s="196"/>
      <c r="JRP58" s="196"/>
      <c r="JRQ58" s="196"/>
      <c r="JRR58" s="196"/>
      <c r="JRS58" s="196"/>
      <c r="JRT58" s="196"/>
      <c r="JRU58" s="196"/>
      <c r="JRV58" s="196"/>
      <c r="JRW58" s="196"/>
      <c r="JRX58" s="196"/>
      <c r="JRY58" s="196"/>
      <c r="JRZ58" s="196"/>
      <c r="JSA58" s="196"/>
      <c r="JSB58" s="196"/>
      <c r="JSC58" s="196"/>
      <c r="JSD58" s="196"/>
      <c r="JSE58" s="196"/>
      <c r="JSF58" s="196"/>
      <c r="JSG58" s="196"/>
      <c r="JSH58" s="196"/>
      <c r="JSI58" s="196"/>
      <c r="JSJ58" s="196"/>
      <c r="JSK58" s="196"/>
      <c r="JSL58" s="196"/>
      <c r="JSM58" s="196"/>
      <c r="JSN58" s="196"/>
      <c r="JSO58" s="196"/>
      <c r="JSP58" s="196"/>
      <c r="JSQ58" s="196"/>
      <c r="JSR58" s="196"/>
      <c r="JSS58" s="196"/>
      <c r="JST58" s="196"/>
      <c r="JSU58" s="196"/>
      <c r="JSV58" s="196"/>
      <c r="JSW58" s="196"/>
      <c r="JSX58" s="196"/>
      <c r="JSY58" s="196"/>
      <c r="JSZ58" s="196"/>
      <c r="JTA58" s="196"/>
      <c r="JTB58" s="196"/>
      <c r="JTC58" s="196"/>
      <c r="JTD58" s="196"/>
      <c r="JTE58" s="196"/>
      <c r="JTF58" s="196"/>
      <c r="JTG58" s="196"/>
      <c r="JTH58" s="196"/>
      <c r="JTI58" s="196"/>
      <c r="JTJ58" s="196"/>
      <c r="JTK58" s="196"/>
      <c r="JTL58" s="196"/>
      <c r="JTM58" s="196"/>
      <c r="JTN58" s="196"/>
      <c r="JTO58" s="196"/>
      <c r="JTP58" s="196"/>
      <c r="JTQ58" s="196"/>
      <c r="JTR58" s="196"/>
      <c r="JTS58" s="196"/>
      <c r="JTT58" s="196"/>
      <c r="JTU58" s="196"/>
      <c r="JTV58" s="196"/>
      <c r="JTW58" s="196"/>
      <c r="JTX58" s="196"/>
      <c r="JTY58" s="196"/>
      <c r="JTZ58" s="196"/>
      <c r="JUA58" s="196"/>
      <c r="JUB58" s="196"/>
      <c r="JUC58" s="196"/>
      <c r="JUD58" s="196"/>
      <c r="JUE58" s="196"/>
      <c r="JUF58" s="196"/>
      <c r="JUG58" s="196"/>
      <c r="JUH58" s="196"/>
      <c r="JUI58" s="196"/>
      <c r="JUJ58" s="196"/>
      <c r="JUK58" s="196"/>
      <c r="JUL58" s="196"/>
      <c r="JUM58" s="196"/>
      <c r="JUN58" s="196"/>
      <c r="JUO58" s="196"/>
      <c r="JUP58" s="196"/>
      <c r="JUQ58" s="196"/>
      <c r="JUR58" s="196"/>
      <c r="JUS58" s="196"/>
      <c r="JUT58" s="196"/>
      <c r="JUU58" s="196"/>
      <c r="JUV58" s="196"/>
      <c r="JUW58" s="196"/>
      <c r="JUX58" s="196"/>
      <c r="JUY58" s="196"/>
      <c r="JUZ58" s="196"/>
      <c r="JVA58" s="196"/>
      <c r="JVB58" s="196"/>
      <c r="JVC58" s="196"/>
      <c r="JVD58" s="196"/>
      <c r="JVE58" s="196"/>
      <c r="JVF58" s="196"/>
      <c r="JVG58" s="196"/>
      <c r="JVH58" s="196"/>
      <c r="JVI58" s="196"/>
      <c r="JVJ58" s="196"/>
      <c r="JVK58" s="196"/>
      <c r="JVL58" s="196"/>
      <c r="JVM58" s="196"/>
      <c r="JVN58" s="196"/>
      <c r="JVO58" s="196"/>
      <c r="JVP58" s="196"/>
      <c r="JVQ58" s="196"/>
      <c r="JVR58" s="196"/>
      <c r="JVS58" s="196"/>
      <c r="JVT58" s="196"/>
      <c r="JVU58" s="196"/>
      <c r="JVV58" s="196"/>
      <c r="JVW58" s="196"/>
      <c r="JVX58" s="196"/>
      <c r="JVY58" s="196"/>
      <c r="JVZ58" s="196"/>
      <c r="JWA58" s="196"/>
      <c r="JWB58" s="196"/>
      <c r="JWC58" s="196"/>
      <c r="JWD58" s="196"/>
      <c r="JWE58" s="196"/>
      <c r="JWF58" s="196"/>
      <c r="JWG58" s="196"/>
      <c r="JWH58" s="196"/>
      <c r="JWI58" s="196"/>
      <c r="JWJ58" s="196"/>
      <c r="JWK58" s="196"/>
      <c r="JWL58" s="196"/>
      <c r="JWM58" s="196"/>
      <c r="JWN58" s="196"/>
      <c r="JWO58" s="196"/>
      <c r="JWP58" s="196"/>
      <c r="JWQ58" s="196"/>
      <c r="JWR58" s="196"/>
      <c r="JWS58" s="196"/>
      <c r="JWT58" s="196"/>
      <c r="JWU58" s="196"/>
      <c r="JWV58" s="196"/>
      <c r="JWW58" s="196"/>
      <c r="JWX58" s="196"/>
      <c r="JWY58" s="196"/>
      <c r="JWZ58" s="196"/>
      <c r="JXA58" s="196"/>
      <c r="JXB58" s="196"/>
      <c r="JXC58" s="196"/>
      <c r="JXD58" s="196"/>
      <c r="JXE58" s="196"/>
      <c r="JXF58" s="196"/>
      <c r="JXG58" s="196"/>
      <c r="JXH58" s="196"/>
      <c r="JXI58" s="196"/>
      <c r="JXJ58" s="196"/>
      <c r="JXK58" s="196"/>
      <c r="JXL58" s="196"/>
      <c r="JXM58" s="196"/>
      <c r="JXN58" s="196"/>
      <c r="JXO58" s="196"/>
      <c r="JXP58" s="196"/>
      <c r="JXQ58" s="196"/>
      <c r="JXR58" s="196"/>
      <c r="JXS58" s="196"/>
      <c r="JXT58" s="196"/>
      <c r="JXU58" s="196"/>
      <c r="JXV58" s="196"/>
      <c r="JXW58" s="196"/>
      <c r="JXX58" s="196"/>
      <c r="JXY58" s="196"/>
      <c r="JXZ58" s="196"/>
      <c r="JYA58" s="196"/>
      <c r="JYB58" s="196"/>
      <c r="JYC58" s="196"/>
      <c r="JYD58" s="196"/>
      <c r="JYE58" s="196"/>
      <c r="JYF58" s="196"/>
      <c r="JYG58" s="196"/>
      <c r="JYH58" s="196"/>
      <c r="JYI58" s="196"/>
      <c r="JYJ58" s="196"/>
      <c r="JYK58" s="196"/>
      <c r="JYL58" s="196"/>
      <c r="JYM58" s="196"/>
      <c r="JYN58" s="196"/>
      <c r="JYO58" s="196"/>
      <c r="JYP58" s="196"/>
      <c r="JYQ58" s="196"/>
      <c r="JYR58" s="196"/>
      <c r="JYS58" s="196"/>
      <c r="JYT58" s="196"/>
      <c r="JYU58" s="196"/>
      <c r="JYV58" s="196"/>
      <c r="JYW58" s="196"/>
      <c r="JYX58" s="196"/>
      <c r="JYY58" s="196"/>
      <c r="JYZ58" s="196"/>
      <c r="JZA58" s="196"/>
      <c r="JZB58" s="196"/>
      <c r="JZC58" s="196"/>
      <c r="JZD58" s="196"/>
      <c r="JZE58" s="196"/>
      <c r="JZF58" s="196"/>
      <c r="JZG58" s="196"/>
      <c r="JZH58" s="196"/>
      <c r="JZI58" s="196"/>
      <c r="JZJ58" s="196"/>
      <c r="JZK58" s="196"/>
      <c r="JZL58" s="196"/>
      <c r="JZM58" s="196"/>
      <c r="JZN58" s="196"/>
      <c r="JZO58" s="196"/>
      <c r="JZP58" s="196"/>
      <c r="JZQ58" s="196"/>
      <c r="JZR58" s="196"/>
      <c r="JZS58" s="196"/>
      <c r="JZT58" s="196"/>
      <c r="JZU58" s="196"/>
      <c r="JZV58" s="196"/>
      <c r="JZW58" s="196"/>
      <c r="JZX58" s="196"/>
      <c r="JZY58" s="196"/>
      <c r="JZZ58" s="196"/>
      <c r="KAA58" s="196"/>
      <c r="KAB58" s="196"/>
      <c r="KAC58" s="196"/>
      <c r="KAD58" s="196"/>
      <c r="KAE58" s="196"/>
      <c r="KAF58" s="196"/>
      <c r="KAG58" s="196"/>
      <c r="KAH58" s="196"/>
      <c r="KAI58" s="196"/>
      <c r="KAJ58" s="196"/>
      <c r="KAK58" s="196"/>
      <c r="KAL58" s="196"/>
      <c r="KAM58" s="196"/>
      <c r="KAN58" s="196"/>
      <c r="KAO58" s="196"/>
      <c r="KAP58" s="196"/>
      <c r="KAQ58" s="196"/>
      <c r="KAR58" s="196"/>
      <c r="KAS58" s="196"/>
      <c r="KAT58" s="196"/>
      <c r="KAU58" s="196"/>
      <c r="KAV58" s="196"/>
      <c r="KAW58" s="196"/>
      <c r="KAX58" s="196"/>
      <c r="KAY58" s="196"/>
      <c r="KAZ58" s="196"/>
      <c r="KBA58" s="196"/>
      <c r="KBB58" s="196"/>
      <c r="KBC58" s="196"/>
      <c r="KBD58" s="196"/>
      <c r="KBE58" s="196"/>
      <c r="KBF58" s="196"/>
      <c r="KBG58" s="196"/>
      <c r="KBH58" s="196"/>
      <c r="KBI58" s="196"/>
      <c r="KBJ58" s="196"/>
      <c r="KBK58" s="196"/>
      <c r="KBL58" s="196"/>
      <c r="KBM58" s="196"/>
      <c r="KBN58" s="196"/>
      <c r="KBO58" s="196"/>
      <c r="KBP58" s="196"/>
      <c r="KBQ58" s="196"/>
      <c r="KBR58" s="196"/>
      <c r="KBS58" s="196"/>
      <c r="KBT58" s="196"/>
      <c r="KBU58" s="196"/>
      <c r="KBV58" s="196"/>
      <c r="KBW58" s="196"/>
      <c r="KBX58" s="196"/>
      <c r="KBY58" s="196"/>
      <c r="KBZ58" s="196"/>
      <c r="KCA58" s="196"/>
      <c r="KCB58" s="196"/>
      <c r="KCC58" s="196"/>
      <c r="KCD58" s="196"/>
      <c r="KCE58" s="196"/>
      <c r="KCF58" s="196"/>
      <c r="KCG58" s="196"/>
      <c r="KCH58" s="196"/>
      <c r="KCI58" s="196"/>
      <c r="KCJ58" s="196"/>
      <c r="KCK58" s="196"/>
      <c r="KCL58" s="196"/>
      <c r="KCM58" s="196"/>
      <c r="KCN58" s="196"/>
      <c r="KCO58" s="196"/>
      <c r="KCP58" s="196"/>
      <c r="KCQ58" s="196"/>
      <c r="KCR58" s="196"/>
      <c r="KCS58" s="196"/>
      <c r="KCT58" s="196"/>
      <c r="KCU58" s="196"/>
      <c r="KCV58" s="196"/>
      <c r="KCW58" s="196"/>
      <c r="KCX58" s="196"/>
      <c r="KCY58" s="196"/>
      <c r="KCZ58" s="196"/>
      <c r="KDA58" s="196"/>
      <c r="KDB58" s="196"/>
      <c r="KDC58" s="196"/>
      <c r="KDD58" s="196"/>
      <c r="KDE58" s="196"/>
      <c r="KDF58" s="196"/>
      <c r="KDG58" s="196"/>
      <c r="KDH58" s="196"/>
      <c r="KDI58" s="196"/>
      <c r="KDJ58" s="196"/>
      <c r="KDK58" s="196"/>
      <c r="KDL58" s="196"/>
      <c r="KDM58" s="196"/>
      <c r="KDN58" s="196"/>
      <c r="KDO58" s="196"/>
      <c r="KDP58" s="196"/>
      <c r="KDQ58" s="196"/>
      <c r="KDR58" s="196"/>
      <c r="KDS58" s="196"/>
      <c r="KDT58" s="196"/>
      <c r="KDU58" s="196"/>
      <c r="KDV58" s="196"/>
      <c r="KDW58" s="196"/>
      <c r="KDX58" s="196"/>
      <c r="KDY58" s="196"/>
      <c r="KDZ58" s="196"/>
      <c r="KEA58" s="196"/>
      <c r="KEB58" s="196"/>
      <c r="KEC58" s="196"/>
      <c r="KED58" s="196"/>
      <c r="KEE58" s="196"/>
      <c r="KEF58" s="196"/>
      <c r="KEG58" s="196"/>
      <c r="KEH58" s="196"/>
      <c r="KEI58" s="196"/>
      <c r="KEJ58" s="196"/>
      <c r="KEK58" s="196"/>
      <c r="KEL58" s="196"/>
      <c r="KEM58" s="196"/>
      <c r="KEN58" s="196"/>
      <c r="KEO58" s="196"/>
      <c r="KEP58" s="196"/>
      <c r="KEQ58" s="196"/>
      <c r="KER58" s="196"/>
      <c r="KES58" s="196"/>
      <c r="KET58" s="196"/>
      <c r="KEU58" s="196"/>
      <c r="KEV58" s="196"/>
      <c r="KEW58" s="196"/>
      <c r="KEX58" s="196"/>
      <c r="KEY58" s="196"/>
      <c r="KEZ58" s="196"/>
      <c r="KFA58" s="196"/>
      <c r="KFB58" s="196"/>
      <c r="KFC58" s="196"/>
      <c r="KFD58" s="196"/>
      <c r="KFE58" s="196"/>
      <c r="KFF58" s="196"/>
      <c r="KFG58" s="196"/>
      <c r="KFH58" s="196"/>
      <c r="KFI58" s="196"/>
      <c r="KFJ58" s="196"/>
      <c r="KFK58" s="196"/>
      <c r="KFL58" s="196"/>
      <c r="KFM58" s="196"/>
      <c r="KFN58" s="196"/>
      <c r="KFO58" s="196"/>
      <c r="KFP58" s="196"/>
      <c r="KFQ58" s="196"/>
      <c r="KFR58" s="196"/>
      <c r="KFS58" s="196"/>
      <c r="KFT58" s="196"/>
      <c r="KFU58" s="196"/>
      <c r="KFV58" s="196"/>
      <c r="KFW58" s="196"/>
      <c r="KFX58" s="196"/>
      <c r="KFY58" s="196"/>
      <c r="KFZ58" s="196"/>
      <c r="KGA58" s="196"/>
      <c r="KGB58" s="196"/>
      <c r="KGC58" s="196"/>
      <c r="KGD58" s="196"/>
      <c r="KGE58" s="196"/>
      <c r="KGF58" s="196"/>
      <c r="KGG58" s="196"/>
      <c r="KGH58" s="196"/>
      <c r="KGI58" s="196"/>
      <c r="KGJ58" s="196"/>
      <c r="KGK58" s="196"/>
      <c r="KGL58" s="196"/>
      <c r="KGM58" s="196"/>
      <c r="KGN58" s="196"/>
      <c r="KGO58" s="196"/>
      <c r="KGP58" s="196"/>
      <c r="KGQ58" s="196"/>
      <c r="KGR58" s="196"/>
      <c r="KGS58" s="196"/>
      <c r="KGT58" s="196"/>
      <c r="KGU58" s="196"/>
      <c r="KGV58" s="196"/>
      <c r="KGW58" s="196"/>
      <c r="KGX58" s="196"/>
      <c r="KGY58" s="196"/>
      <c r="KGZ58" s="196"/>
      <c r="KHA58" s="196"/>
      <c r="KHB58" s="196"/>
      <c r="KHC58" s="196"/>
      <c r="KHD58" s="196"/>
      <c r="KHE58" s="196"/>
      <c r="KHF58" s="196"/>
      <c r="KHG58" s="196"/>
      <c r="KHH58" s="196"/>
      <c r="KHI58" s="196"/>
      <c r="KHJ58" s="196"/>
      <c r="KHK58" s="196"/>
      <c r="KHL58" s="196"/>
      <c r="KHM58" s="196"/>
      <c r="KHN58" s="196"/>
      <c r="KHO58" s="196"/>
      <c r="KHP58" s="196"/>
      <c r="KHQ58" s="196"/>
      <c r="KHR58" s="196"/>
      <c r="KHS58" s="196"/>
      <c r="KHT58" s="196"/>
      <c r="KHU58" s="196"/>
      <c r="KHV58" s="196"/>
      <c r="KHW58" s="196"/>
      <c r="KHX58" s="196"/>
      <c r="KHY58" s="196"/>
      <c r="KHZ58" s="196"/>
      <c r="KIA58" s="196"/>
      <c r="KIB58" s="196"/>
      <c r="KIC58" s="196"/>
      <c r="KID58" s="196"/>
      <c r="KIE58" s="196"/>
      <c r="KIF58" s="196"/>
      <c r="KIG58" s="196"/>
      <c r="KIH58" s="196"/>
      <c r="KII58" s="196"/>
      <c r="KIJ58" s="196"/>
      <c r="KIK58" s="196"/>
      <c r="KIL58" s="196"/>
      <c r="KIM58" s="196"/>
      <c r="KIN58" s="196"/>
      <c r="KIO58" s="196"/>
      <c r="KIP58" s="196"/>
      <c r="KIQ58" s="196"/>
      <c r="KIR58" s="196"/>
      <c r="KIS58" s="196"/>
      <c r="KIT58" s="196"/>
      <c r="KIU58" s="196"/>
      <c r="KIV58" s="196"/>
      <c r="KIW58" s="196"/>
      <c r="KIX58" s="196"/>
      <c r="KIY58" s="196"/>
      <c r="KIZ58" s="196"/>
      <c r="KJA58" s="196"/>
      <c r="KJB58" s="196"/>
      <c r="KJC58" s="196"/>
      <c r="KJD58" s="196"/>
      <c r="KJE58" s="196"/>
      <c r="KJF58" s="196"/>
      <c r="KJG58" s="196"/>
      <c r="KJH58" s="196"/>
      <c r="KJI58" s="196"/>
      <c r="KJJ58" s="196"/>
      <c r="KJK58" s="196"/>
      <c r="KJL58" s="196"/>
      <c r="KJM58" s="196"/>
      <c r="KJN58" s="196"/>
      <c r="KJO58" s="196"/>
      <c r="KJP58" s="196"/>
      <c r="KJQ58" s="196"/>
      <c r="KJR58" s="196"/>
      <c r="KJS58" s="196"/>
      <c r="KJT58" s="196"/>
      <c r="KJU58" s="196"/>
      <c r="KJV58" s="196"/>
      <c r="KJW58" s="196"/>
      <c r="KJX58" s="196"/>
      <c r="KJY58" s="196"/>
      <c r="KJZ58" s="196"/>
      <c r="KKA58" s="196"/>
      <c r="KKB58" s="196"/>
      <c r="KKC58" s="196"/>
      <c r="KKD58" s="196"/>
      <c r="KKE58" s="196"/>
      <c r="KKF58" s="196"/>
      <c r="KKG58" s="196"/>
      <c r="KKH58" s="196"/>
      <c r="KKI58" s="196"/>
      <c r="KKJ58" s="196"/>
      <c r="KKK58" s="196"/>
      <c r="KKL58" s="196"/>
      <c r="KKM58" s="196"/>
      <c r="KKN58" s="196"/>
      <c r="KKO58" s="196"/>
      <c r="KKP58" s="196"/>
      <c r="KKQ58" s="196"/>
      <c r="KKR58" s="196"/>
      <c r="KKS58" s="196"/>
      <c r="KKT58" s="196"/>
      <c r="KKU58" s="196"/>
      <c r="KKV58" s="196"/>
      <c r="KKW58" s="196"/>
      <c r="KKX58" s="196"/>
      <c r="KKY58" s="196"/>
      <c r="KKZ58" s="196"/>
      <c r="KLA58" s="196"/>
      <c r="KLB58" s="196"/>
      <c r="KLC58" s="196"/>
      <c r="KLD58" s="196"/>
      <c r="KLE58" s="196"/>
      <c r="KLF58" s="196"/>
      <c r="KLG58" s="196"/>
      <c r="KLH58" s="196"/>
      <c r="KLI58" s="196"/>
      <c r="KLJ58" s="196"/>
      <c r="KLK58" s="196"/>
      <c r="KLL58" s="196"/>
      <c r="KLM58" s="196"/>
      <c r="KLN58" s="196"/>
      <c r="KLO58" s="196"/>
      <c r="KLP58" s="196"/>
      <c r="KLQ58" s="196"/>
      <c r="KLR58" s="196"/>
      <c r="KLS58" s="196"/>
      <c r="KLT58" s="196"/>
      <c r="KLU58" s="196"/>
      <c r="KLV58" s="196"/>
      <c r="KLW58" s="196"/>
      <c r="KLX58" s="196"/>
      <c r="KLY58" s="196"/>
      <c r="KLZ58" s="196"/>
      <c r="KMA58" s="196"/>
      <c r="KMB58" s="196"/>
      <c r="KMC58" s="196"/>
      <c r="KMD58" s="196"/>
      <c r="KME58" s="196"/>
      <c r="KMF58" s="196"/>
      <c r="KMG58" s="196"/>
      <c r="KMH58" s="196"/>
      <c r="KMI58" s="196"/>
      <c r="KMJ58" s="196"/>
      <c r="KMK58" s="196"/>
      <c r="KML58" s="196"/>
      <c r="KMM58" s="196"/>
      <c r="KMN58" s="196"/>
      <c r="KMO58" s="196"/>
      <c r="KMP58" s="196"/>
      <c r="KMQ58" s="196"/>
      <c r="KMR58" s="196"/>
      <c r="KMS58" s="196"/>
      <c r="KMT58" s="196"/>
      <c r="KMU58" s="196"/>
      <c r="KMV58" s="196"/>
      <c r="KMW58" s="196"/>
      <c r="KMX58" s="196"/>
      <c r="KMY58" s="196"/>
      <c r="KMZ58" s="196"/>
      <c r="KNA58" s="196"/>
      <c r="KNB58" s="196"/>
      <c r="KNC58" s="196"/>
      <c r="KND58" s="196"/>
      <c r="KNE58" s="196"/>
      <c r="KNF58" s="196"/>
      <c r="KNG58" s="196"/>
      <c r="KNH58" s="196"/>
      <c r="KNI58" s="196"/>
      <c r="KNJ58" s="196"/>
      <c r="KNK58" s="196"/>
      <c r="KNL58" s="196"/>
      <c r="KNM58" s="196"/>
      <c r="KNN58" s="196"/>
      <c r="KNO58" s="196"/>
      <c r="KNP58" s="196"/>
      <c r="KNQ58" s="196"/>
      <c r="KNR58" s="196"/>
      <c r="KNS58" s="196"/>
      <c r="KNT58" s="196"/>
      <c r="KNU58" s="196"/>
      <c r="KNV58" s="196"/>
      <c r="KNW58" s="196"/>
      <c r="KNX58" s="196"/>
      <c r="KNY58" s="196"/>
      <c r="KNZ58" s="196"/>
      <c r="KOA58" s="196"/>
      <c r="KOB58" s="196"/>
      <c r="KOC58" s="196"/>
      <c r="KOD58" s="196"/>
      <c r="KOE58" s="196"/>
      <c r="KOF58" s="196"/>
      <c r="KOG58" s="196"/>
      <c r="KOH58" s="196"/>
      <c r="KOI58" s="196"/>
      <c r="KOJ58" s="196"/>
      <c r="KOK58" s="196"/>
      <c r="KOL58" s="196"/>
      <c r="KOM58" s="196"/>
      <c r="KON58" s="196"/>
      <c r="KOO58" s="196"/>
      <c r="KOP58" s="196"/>
      <c r="KOQ58" s="196"/>
      <c r="KOR58" s="196"/>
      <c r="KOS58" s="196"/>
      <c r="KOT58" s="196"/>
      <c r="KOU58" s="196"/>
      <c r="KOV58" s="196"/>
      <c r="KOW58" s="196"/>
      <c r="KOX58" s="196"/>
      <c r="KOY58" s="196"/>
      <c r="KOZ58" s="196"/>
      <c r="KPA58" s="196"/>
      <c r="KPB58" s="196"/>
      <c r="KPC58" s="196"/>
      <c r="KPD58" s="196"/>
      <c r="KPE58" s="196"/>
      <c r="KPF58" s="196"/>
      <c r="KPG58" s="196"/>
      <c r="KPH58" s="196"/>
      <c r="KPI58" s="196"/>
      <c r="KPJ58" s="196"/>
      <c r="KPK58" s="196"/>
      <c r="KPL58" s="196"/>
      <c r="KPM58" s="196"/>
      <c r="KPN58" s="196"/>
      <c r="KPO58" s="196"/>
      <c r="KPP58" s="196"/>
      <c r="KPQ58" s="196"/>
      <c r="KPR58" s="196"/>
      <c r="KPS58" s="196"/>
      <c r="KPT58" s="196"/>
      <c r="KPU58" s="196"/>
      <c r="KPV58" s="196"/>
      <c r="KPW58" s="196"/>
      <c r="KPX58" s="196"/>
      <c r="KPY58" s="196"/>
      <c r="KPZ58" s="196"/>
      <c r="KQA58" s="196"/>
      <c r="KQB58" s="196"/>
      <c r="KQC58" s="196"/>
      <c r="KQD58" s="196"/>
      <c r="KQE58" s="196"/>
      <c r="KQF58" s="196"/>
      <c r="KQG58" s="196"/>
      <c r="KQH58" s="196"/>
      <c r="KQI58" s="196"/>
      <c r="KQJ58" s="196"/>
      <c r="KQK58" s="196"/>
      <c r="KQL58" s="196"/>
      <c r="KQM58" s="196"/>
      <c r="KQN58" s="196"/>
      <c r="KQO58" s="196"/>
      <c r="KQP58" s="196"/>
      <c r="KQQ58" s="196"/>
      <c r="KQR58" s="196"/>
      <c r="KQS58" s="196"/>
      <c r="KQT58" s="196"/>
      <c r="KQU58" s="196"/>
      <c r="KQV58" s="196"/>
      <c r="KQW58" s="196"/>
      <c r="KQX58" s="196"/>
      <c r="KQY58" s="196"/>
      <c r="KQZ58" s="196"/>
      <c r="KRA58" s="196"/>
      <c r="KRB58" s="196"/>
      <c r="KRC58" s="196"/>
      <c r="KRD58" s="196"/>
      <c r="KRE58" s="196"/>
      <c r="KRF58" s="196"/>
      <c r="KRG58" s="196"/>
      <c r="KRH58" s="196"/>
      <c r="KRI58" s="196"/>
      <c r="KRJ58" s="196"/>
      <c r="KRK58" s="196"/>
      <c r="KRL58" s="196"/>
      <c r="KRM58" s="196"/>
      <c r="KRN58" s="196"/>
      <c r="KRO58" s="196"/>
      <c r="KRP58" s="196"/>
      <c r="KRQ58" s="196"/>
      <c r="KRR58" s="196"/>
      <c r="KRS58" s="196"/>
      <c r="KRT58" s="196"/>
      <c r="KRU58" s="196"/>
      <c r="KRV58" s="196"/>
      <c r="KRW58" s="196"/>
      <c r="KRX58" s="196"/>
      <c r="KRY58" s="196"/>
      <c r="KRZ58" s="196"/>
      <c r="KSA58" s="196"/>
      <c r="KSB58" s="196"/>
      <c r="KSC58" s="196"/>
      <c r="KSD58" s="196"/>
      <c r="KSE58" s="196"/>
      <c r="KSF58" s="196"/>
      <c r="KSG58" s="196"/>
      <c r="KSH58" s="196"/>
      <c r="KSI58" s="196"/>
      <c r="KSJ58" s="196"/>
      <c r="KSK58" s="196"/>
      <c r="KSL58" s="196"/>
      <c r="KSM58" s="196"/>
      <c r="KSN58" s="196"/>
      <c r="KSO58" s="196"/>
      <c r="KSP58" s="196"/>
      <c r="KSQ58" s="196"/>
      <c r="KSR58" s="196"/>
      <c r="KSS58" s="196"/>
      <c r="KST58" s="196"/>
      <c r="KSU58" s="196"/>
      <c r="KSV58" s="196"/>
      <c r="KSW58" s="196"/>
      <c r="KSX58" s="196"/>
      <c r="KSY58" s="196"/>
      <c r="KSZ58" s="196"/>
      <c r="KTA58" s="196"/>
      <c r="KTB58" s="196"/>
      <c r="KTC58" s="196"/>
      <c r="KTD58" s="196"/>
      <c r="KTE58" s="196"/>
      <c r="KTF58" s="196"/>
      <c r="KTG58" s="196"/>
      <c r="KTH58" s="196"/>
      <c r="KTI58" s="196"/>
      <c r="KTJ58" s="196"/>
      <c r="KTK58" s="196"/>
      <c r="KTL58" s="196"/>
      <c r="KTM58" s="196"/>
      <c r="KTN58" s="196"/>
      <c r="KTO58" s="196"/>
      <c r="KTP58" s="196"/>
      <c r="KTQ58" s="196"/>
      <c r="KTR58" s="196"/>
      <c r="KTS58" s="196"/>
      <c r="KTT58" s="196"/>
      <c r="KTU58" s="196"/>
      <c r="KTV58" s="196"/>
      <c r="KTW58" s="196"/>
      <c r="KTX58" s="196"/>
      <c r="KTY58" s="196"/>
      <c r="KTZ58" s="196"/>
      <c r="KUA58" s="196"/>
      <c r="KUB58" s="196"/>
      <c r="KUC58" s="196"/>
      <c r="KUD58" s="196"/>
      <c r="KUE58" s="196"/>
      <c r="KUF58" s="196"/>
      <c r="KUG58" s="196"/>
      <c r="KUH58" s="196"/>
      <c r="KUI58" s="196"/>
      <c r="KUJ58" s="196"/>
      <c r="KUK58" s="196"/>
      <c r="KUL58" s="196"/>
      <c r="KUM58" s="196"/>
      <c r="KUN58" s="196"/>
      <c r="KUO58" s="196"/>
      <c r="KUP58" s="196"/>
      <c r="KUQ58" s="196"/>
      <c r="KUR58" s="196"/>
      <c r="KUS58" s="196"/>
      <c r="KUT58" s="196"/>
      <c r="KUU58" s="196"/>
      <c r="KUV58" s="196"/>
      <c r="KUW58" s="196"/>
      <c r="KUX58" s="196"/>
      <c r="KUY58" s="196"/>
      <c r="KUZ58" s="196"/>
      <c r="KVA58" s="196"/>
      <c r="KVB58" s="196"/>
      <c r="KVC58" s="196"/>
      <c r="KVD58" s="196"/>
      <c r="KVE58" s="196"/>
      <c r="KVF58" s="196"/>
      <c r="KVG58" s="196"/>
      <c r="KVH58" s="196"/>
      <c r="KVI58" s="196"/>
      <c r="KVJ58" s="196"/>
      <c r="KVK58" s="196"/>
      <c r="KVL58" s="196"/>
      <c r="KVM58" s="196"/>
      <c r="KVN58" s="196"/>
      <c r="KVO58" s="196"/>
      <c r="KVP58" s="196"/>
      <c r="KVQ58" s="196"/>
      <c r="KVR58" s="196"/>
      <c r="KVS58" s="196"/>
      <c r="KVT58" s="196"/>
      <c r="KVU58" s="196"/>
      <c r="KVV58" s="196"/>
      <c r="KVW58" s="196"/>
      <c r="KVX58" s="196"/>
      <c r="KVY58" s="196"/>
      <c r="KVZ58" s="196"/>
      <c r="KWA58" s="196"/>
      <c r="KWB58" s="196"/>
      <c r="KWC58" s="196"/>
      <c r="KWD58" s="196"/>
      <c r="KWE58" s="196"/>
      <c r="KWF58" s="196"/>
      <c r="KWG58" s="196"/>
      <c r="KWH58" s="196"/>
      <c r="KWI58" s="196"/>
      <c r="KWJ58" s="196"/>
      <c r="KWK58" s="196"/>
      <c r="KWL58" s="196"/>
      <c r="KWM58" s="196"/>
      <c r="KWN58" s="196"/>
      <c r="KWO58" s="196"/>
      <c r="KWP58" s="196"/>
      <c r="KWQ58" s="196"/>
      <c r="KWR58" s="196"/>
      <c r="KWS58" s="196"/>
      <c r="KWT58" s="196"/>
      <c r="KWU58" s="196"/>
      <c r="KWV58" s="196"/>
      <c r="KWW58" s="196"/>
      <c r="KWX58" s="196"/>
      <c r="KWY58" s="196"/>
      <c r="KWZ58" s="196"/>
      <c r="KXA58" s="196"/>
      <c r="KXB58" s="196"/>
      <c r="KXC58" s="196"/>
      <c r="KXD58" s="196"/>
      <c r="KXE58" s="196"/>
      <c r="KXF58" s="196"/>
      <c r="KXG58" s="196"/>
      <c r="KXH58" s="196"/>
      <c r="KXI58" s="196"/>
      <c r="KXJ58" s="196"/>
      <c r="KXK58" s="196"/>
      <c r="KXL58" s="196"/>
      <c r="KXM58" s="196"/>
      <c r="KXN58" s="196"/>
      <c r="KXO58" s="196"/>
      <c r="KXP58" s="196"/>
      <c r="KXQ58" s="196"/>
      <c r="KXR58" s="196"/>
      <c r="KXS58" s="196"/>
      <c r="KXT58" s="196"/>
      <c r="KXU58" s="196"/>
      <c r="KXV58" s="196"/>
      <c r="KXW58" s="196"/>
      <c r="KXX58" s="196"/>
      <c r="KXY58" s="196"/>
      <c r="KXZ58" s="196"/>
      <c r="KYA58" s="196"/>
      <c r="KYB58" s="196"/>
      <c r="KYC58" s="196"/>
      <c r="KYD58" s="196"/>
      <c r="KYE58" s="196"/>
      <c r="KYF58" s="196"/>
      <c r="KYG58" s="196"/>
      <c r="KYH58" s="196"/>
      <c r="KYI58" s="196"/>
      <c r="KYJ58" s="196"/>
      <c r="KYK58" s="196"/>
      <c r="KYL58" s="196"/>
      <c r="KYM58" s="196"/>
      <c r="KYN58" s="196"/>
      <c r="KYO58" s="196"/>
      <c r="KYP58" s="196"/>
      <c r="KYQ58" s="196"/>
      <c r="KYR58" s="196"/>
      <c r="KYS58" s="196"/>
      <c r="KYT58" s="196"/>
      <c r="KYU58" s="196"/>
      <c r="KYV58" s="196"/>
      <c r="KYW58" s="196"/>
      <c r="KYX58" s="196"/>
      <c r="KYY58" s="196"/>
      <c r="KYZ58" s="196"/>
      <c r="KZA58" s="196"/>
      <c r="KZB58" s="196"/>
      <c r="KZC58" s="196"/>
      <c r="KZD58" s="196"/>
      <c r="KZE58" s="196"/>
      <c r="KZF58" s="196"/>
      <c r="KZG58" s="196"/>
      <c r="KZH58" s="196"/>
      <c r="KZI58" s="196"/>
      <c r="KZJ58" s="196"/>
      <c r="KZK58" s="196"/>
      <c r="KZL58" s="196"/>
      <c r="KZM58" s="196"/>
      <c r="KZN58" s="196"/>
      <c r="KZO58" s="196"/>
      <c r="KZP58" s="196"/>
      <c r="KZQ58" s="196"/>
      <c r="KZR58" s="196"/>
      <c r="KZS58" s="196"/>
      <c r="KZT58" s="196"/>
      <c r="KZU58" s="196"/>
      <c r="KZV58" s="196"/>
      <c r="KZW58" s="196"/>
      <c r="KZX58" s="196"/>
      <c r="KZY58" s="196"/>
      <c r="KZZ58" s="196"/>
      <c r="LAA58" s="196"/>
      <c r="LAB58" s="196"/>
      <c r="LAC58" s="196"/>
      <c r="LAD58" s="196"/>
      <c r="LAE58" s="196"/>
      <c r="LAF58" s="196"/>
      <c r="LAG58" s="196"/>
      <c r="LAH58" s="196"/>
      <c r="LAI58" s="196"/>
      <c r="LAJ58" s="196"/>
      <c r="LAK58" s="196"/>
      <c r="LAL58" s="196"/>
      <c r="LAM58" s="196"/>
      <c r="LAN58" s="196"/>
      <c r="LAO58" s="196"/>
      <c r="LAP58" s="196"/>
      <c r="LAQ58" s="196"/>
      <c r="LAR58" s="196"/>
      <c r="LAS58" s="196"/>
      <c r="LAT58" s="196"/>
      <c r="LAU58" s="196"/>
      <c r="LAV58" s="196"/>
      <c r="LAW58" s="196"/>
      <c r="LAX58" s="196"/>
      <c r="LAY58" s="196"/>
      <c r="LAZ58" s="196"/>
      <c r="LBA58" s="196"/>
      <c r="LBB58" s="196"/>
      <c r="LBC58" s="196"/>
      <c r="LBD58" s="196"/>
      <c r="LBE58" s="196"/>
      <c r="LBF58" s="196"/>
      <c r="LBG58" s="196"/>
      <c r="LBH58" s="196"/>
      <c r="LBI58" s="196"/>
      <c r="LBJ58" s="196"/>
      <c r="LBK58" s="196"/>
      <c r="LBL58" s="196"/>
      <c r="LBM58" s="196"/>
      <c r="LBN58" s="196"/>
      <c r="LBO58" s="196"/>
      <c r="LBP58" s="196"/>
      <c r="LBQ58" s="196"/>
      <c r="LBR58" s="196"/>
      <c r="LBS58" s="196"/>
      <c r="LBT58" s="196"/>
      <c r="LBU58" s="196"/>
      <c r="LBV58" s="196"/>
      <c r="LBW58" s="196"/>
      <c r="LBX58" s="196"/>
      <c r="LBY58" s="196"/>
      <c r="LBZ58" s="196"/>
      <c r="LCA58" s="196"/>
      <c r="LCB58" s="196"/>
      <c r="LCC58" s="196"/>
      <c r="LCD58" s="196"/>
      <c r="LCE58" s="196"/>
      <c r="LCF58" s="196"/>
      <c r="LCG58" s="196"/>
      <c r="LCH58" s="196"/>
      <c r="LCI58" s="196"/>
      <c r="LCJ58" s="196"/>
      <c r="LCK58" s="196"/>
      <c r="LCL58" s="196"/>
      <c r="LCM58" s="196"/>
      <c r="LCN58" s="196"/>
      <c r="LCO58" s="196"/>
      <c r="LCP58" s="196"/>
      <c r="LCQ58" s="196"/>
      <c r="LCR58" s="196"/>
      <c r="LCS58" s="196"/>
      <c r="LCT58" s="196"/>
      <c r="LCU58" s="196"/>
      <c r="LCV58" s="196"/>
      <c r="LCW58" s="196"/>
      <c r="LCX58" s="196"/>
      <c r="LCY58" s="196"/>
      <c r="LCZ58" s="196"/>
      <c r="LDA58" s="196"/>
      <c r="LDB58" s="196"/>
      <c r="LDC58" s="196"/>
      <c r="LDD58" s="196"/>
      <c r="LDE58" s="196"/>
      <c r="LDF58" s="196"/>
      <c r="LDG58" s="196"/>
      <c r="LDH58" s="196"/>
      <c r="LDI58" s="196"/>
      <c r="LDJ58" s="196"/>
      <c r="LDK58" s="196"/>
      <c r="LDL58" s="196"/>
      <c r="LDM58" s="196"/>
      <c r="LDN58" s="196"/>
      <c r="LDO58" s="196"/>
      <c r="LDP58" s="196"/>
      <c r="LDQ58" s="196"/>
      <c r="LDR58" s="196"/>
      <c r="LDS58" s="196"/>
      <c r="LDT58" s="196"/>
      <c r="LDU58" s="196"/>
      <c r="LDV58" s="196"/>
      <c r="LDW58" s="196"/>
      <c r="LDX58" s="196"/>
      <c r="LDY58" s="196"/>
      <c r="LDZ58" s="196"/>
      <c r="LEA58" s="196"/>
      <c r="LEB58" s="196"/>
      <c r="LEC58" s="196"/>
      <c r="LED58" s="196"/>
      <c r="LEE58" s="196"/>
      <c r="LEF58" s="196"/>
      <c r="LEG58" s="196"/>
      <c r="LEH58" s="196"/>
      <c r="LEI58" s="196"/>
      <c r="LEJ58" s="196"/>
      <c r="LEK58" s="196"/>
      <c r="LEL58" s="196"/>
      <c r="LEM58" s="196"/>
      <c r="LEN58" s="196"/>
      <c r="LEO58" s="196"/>
      <c r="LEP58" s="196"/>
      <c r="LEQ58" s="196"/>
      <c r="LER58" s="196"/>
      <c r="LES58" s="196"/>
      <c r="LET58" s="196"/>
      <c r="LEU58" s="196"/>
      <c r="LEV58" s="196"/>
      <c r="LEW58" s="196"/>
      <c r="LEX58" s="196"/>
      <c r="LEY58" s="196"/>
      <c r="LEZ58" s="196"/>
      <c r="LFA58" s="196"/>
      <c r="LFB58" s="196"/>
      <c r="LFC58" s="196"/>
      <c r="LFD58" s="196"/>
      <c r="LFE58" s="196"/>
      <c r="LFF58" s="196"/>
      <c r="LFG58" s="196"/>
      <c r="LFH58" s="196"/>
      <c r="LFI58" s="196"/>
      <c r="LFJ58" s="196"/>
      <c r="LFK58" s="196"/>
      <c r="LFL58" s="196"/>
      <c r="LFM58" s="196"/>
      <c r="LFN58" s="196"/>
      <c r="LFO58" s="196"/>
      <c r="LFP58" s="196"/>
      <c r="LFQ58" s="196"/>
      <c r="LFR58" s="196"/>
      <c r="LFS58" s="196"/>
      <c r="LFT58" s="196"/>
      <c r="LFU58" s="196"/>
      <c r="LFV58" s="196"/>
      <c r="LFW58" s="196"/>
      <c r="LFX58" s="196"/>
      <c r="LFY58" s="196"/>
      <c r="LFZ58" s="196"/>
      <c r="LGA58" s="196"/>
      <c r="LGB58" s="196"/>
      <c r="LGC58" s="196"/>
      <c r="LGD58" s="196"/>
      <c r="LGE58" s="196"/>
      <c r="LGF58" s="196"/>
      <c r="LGG58" s="196"/>
      <c r="LGH58" s="196"/>
      <c r="LGI58" s="196"/>
      <c r="LGJ58" s="196"/>
      <c r="LGK58" s="196"/>
      <c r="LGL58" s="196"/>
      <c r="LGM58" s="196"/>
      <c r="LGN58" s="196"/>
      <c r="LGO58" s="196"/>
      <c r="LGP58" s="196"/>
      <c r="LGQ58" s="196"/>
      <c r="LGR58" s="196"/>
      <c r="LGS58" s="196"/>
      <c r="LGT58" s="196"/>
      <c r="LGU58" s="196"/>
      <c r="LGV58" s="196"/>
      <c r="LGW58" s="196"/>
      <c r="LGX58" s="196"/>
      <c r="LGY58" s="196"/>
      <c r="LGZ58" s="196"/>
      <c r="LHA58" s="196"/>
      <c r="LHB58" s="196"/>
      <c r="LHC58" s="196"/>
      <c r="LHD58" s="196"/>
      <c r="LHE58" s="196"/>
      <c r="LHF58" s="196"/>
      <c r="LHG58" s="196"/>
      <c r="LHH58" s="196"/>
      <c r="LHI58" s="196"/>
      <c r="LHJ58" s="196"/>
      <c r="LHK58" s="196"/>
      <c r="LHL58" s="196"/>
      <c r="LHM58" s="196"/>
      <c r="LHN58" s="196"/>
      <c r="LHO58" s="196"/>
      <c r="LHP58" s="196"/>
      <c r="LHQ58" s="196"/>
      <c r="LHR58" s="196"/>
      <c r="LHS58" s="196"/>
      <c r="LHT58" s="196"/>
      <c r="LHU58" s="196"/>
      <c r="LHV58" s="196"/>
      <c r="LHW58" s="196"/>
      <c r="LHX58" s="196"/>
      <c r="LHY58" s="196"/>
      <c r="LHZ58" s="196"/>
      <c r="LIA58" s="196"/>
      <c r="LIB58" s="196"/>
      <c r="LIC58" s="196"/>
      <c r="LID58" s="196"/>
      <c r="LIE58" s="196"/>
      <c r="LIF58" s="196"/>
      <c r="LIG58" s="196"/>
      <c r="LIH58" s="196"/>
      <c r="LII58" s="196"/>
      <c r="LIJ58" s="196"/>
      <c r="LIK58" s="196"/>
      <c r="LIL58" s="196"/>
      <c r="LIM58" s="196"/>
      <c r="LIN58" s="196"/>
      <c r="LIO58" s="196"/>
      <c r="LIP58" s="196"/>
      <c r="LIQ58" s="196"/>
      <c r="LIR58" s="196"/>
      <c r="LIS58" s="196"/>
      <c r="LIT58" s="196"/>
      <c r="LIU58" s="196"/>
      <c r="LIV58" s="196"/>
      <c r="LIW58" s="196"/>
      <c r="LIX58" s="196"/>
      <c r="LIY58" s="196"/>
      <c r="LIZ58" s="196"/>
      <c r="LJA58" s="196"/>
      <c r="LJB58" s="196"/>
      <c r="LJC58" s="196"/>
      <c r="LJD58" s="196"/>
      <c r="LJE58" s="196"/>
      <c r="LJF58" s="196"/>
      <c r="LJG58" s="196"/>
      <c r="LJH58" s="196"/>
      <c r="LJI58" s="196"/>
      <c r="LJJ58" s="196"/>
      <c r="LJK58" s="196"/>
      <c r="LJL58" s="196"/>
      <c r="LJM58" s="196"/>
      <c r="LJN58" s="196"/>
      <c r="LJO58" s="196"/>
      <c r="LJP58" s="196"/>
      <c r="LJQ58" s="196"/>
      <c r="LJR58" s="196"/>
      <c r="LJS58" s="196"/>
      <c r="LJT58" s="196"/>
      <c r="LJU58" s="196"/>
      <c r="LJV58" s="196"/>
      <c r="LJW58" s="196"/>
      <c r="LJX58" s="196"/>
      <c r="LJY58" s="196"/>
      <c r="LJZ58" s="196"/>
      <c r="LKA58" s="196"/>
      <c r="LKB58" s="196"/>
      <c r="LKC58" s="196"/>
      <c r="LKD58" s="196"/>
      <c r="LKE58" s="196"/>
      <c r="LKF58" s="196"/>
      <c r="LKG58" s="196"/>
      <c r="LKH58" s="196"/>
      <c r="LKI58" s="196"/>
      <c r="LKJ58" s="196"/>
      <c r="LKK58" s="196"/>
      <c r="LKL58" s="196"/>
      <c r="LKM58" s="196"/>
      <c r="LKN58" s="196"/>
      <c r="LKO58" s="196"/>
      <c r="LKP58" s="196"/>
      <c r="LKQ58" s="196"/>
      <c r="LKR58" s="196"/>
      <c r="LKS58" s="196"/>
      <c r="LKT58" s="196"/>
      <c r="LKU58" s="196"/>
      <c r="LKV58" s="196"/>
      <c r="LKW58" s="196"/>
      <c r="LKX58" s="196"/>
      <c r="LKY58" s="196"/>
      <c r="LKZ58" s="196"/>
      <c r="LLA58" s="196"/>
      <c r="LLB58" s="196"/>
      <c r="LLC58" s="196"/>
      <c r="LLD58" s="196"/>
      <c r="LLE58" s="196"/>
      <c r="LLF58" s="196"/>
      <c r="LLG58" s="196"/>
      <c r="LLH58" s="196"/>
      <c r="LLI58" s="196"/>
      <c r="LLJ58" s="196"/>
      <c r="LLK58" s="196"/>
      <c r="LLL58" s="196"/>
      <c r="LLM58" s="196"/>
      <c r="LLN58" s="196"/>
      <c r="LLO58" s="196"/>
      <c r="LLP58" s="196"/>
      <c r="LLQ58" s="196"/>
      <c r="LLR58" s="196"/>
      <c r="LLS58" s="196"/>
      <c r="LLT58" s="196"/>
      <c r="LLU58" s="196"/>
      <c r="LLV58" s="196"/>
      <c r="LLW58" s="196"/>
      <c r="LLX58" s="196"/>
      <c r="LLY58" s="196"/>
      <c r="LLZ58" s="196"/>
      <c r="LMA58" s="196"/>
      <c r="LMB58" s="196"/>
      <c r="LMC58" s="196"/>
      <c r="LMD58" s="196"/>
      <c r="LME58" s="196"/>
      <c r="LMF58" s="196"/>
      <c r="LMG58" s="196"/>
      <c r="LMH58" s="196"/>
      <c r="LMI58" s="196"/>
      <c r="LMJ58" s="196"/>
      <c r="LMK58" s="196"/>
      <c r="LML58" s="196"/>
      <c r="LMM58" s="196"/>
      <c r="LMN58" s="196"/>
      <c r="LMO58" s="196"/>
      <c r="LMP58" s="196"/>
      <c r="LMQ58" s="196"/>
      <c r="LMR58" s="196"/>
      <c r="LMS58" s="196"/>
      <c r="LMT58" s="196"/>
      <c r="LMU58" s="196"/>
      <c r="LMV58" s="196"/>
      <c r="LMW58" s="196"/>
      <c r="LMX58" s="196"/>
      <c r="LMY58" s="196"/>
      <c r="LMZ58" s="196"/>
      <c r="LNA58" s="196"/>
      <c r="LNB58" s="196"/>
      <c r="LNC58" s="196"/>
      <c r="LND58" s="196"/>
      <c r="LNE58" s="196"/>
      <c r="LNF58" s="196"/>
      <c r="LNG58" s="196"/>
      <c r="LNH58" s="196"/>
      <c r="LNI58" s="196"/>
      <c r="LNJ58" s="196"/>
      <c r="LNK58" s="196"/>
      <c r="LNL58" s="196"/>
      <c r="LNM58" s="196"/>
      <c r="LNN58" s="196"/>
      <c r="LNO58" s="196"/>
      <c r="LNP58" s="196"/>
      <c r="LNQ58" s="196"/>
      <c r="LNR58" s="196"/>
      <c r="LNS58" s="196"/>
      <c r="LNT58" s="196"/>
      <c r="LNU58" s="196"/>
      <c r="LNV58" s="196"/>
      <c r="LNW58" s="196"/>
      <c r="LNX58" s="196"/>
      <c r="LNY58" s="196"/>
      <c r="LNZ58" s="196"/>
      <c r="LOA58" s="196"/>
      <c r="LOB58" s="196"/>
      <c r="LOC58" s="196"/>
      <c r="LOD58" s="196"/>
      <c r="LOE58" s="196"/>
      <c r="LOF58" s="196"/>
      <c r="LOG58" s="196"/>
      <c r="LOH58" s="196"/>
      <c r="LOI58" s="196"/>
      <c r="LOJ58" s="196"/>
      <c r="LOK58" s="196"/>
      <c r="LOL58" s="196"/>
      <c r="LOM58" s="196"/>
      <c r="LON58" s="196"/>
      <c r="LOO58" s="196"/>
      <c r="LOP58" s="196"/>
      <c r="LOQ58" s="196"/>
      <c r="LOR58" s="196"/>
      <c r="LOS58" s="196"/>
      <c r="LOT58" s="196"/>
      <c r="LOU58" s="196"/>
      <c r="LOV58" s="196"/>
      <c r="LOW58" s="196"/>
      <c r="LOX58" s="196"/>
      <c r="LOY58" s="196"/>
      <c r="LOZ58" s="196"/>
      <c r="LPA58" s="196"/>
      <c r="LPB58" s="196"/>
      <c r="LPC58" s="196"/>
      <c r="LPD58" s="196"/>
      <c r="LPE58" s="196"/>
      <c r="LPF58" s="196"/>
      <c r="LPG58" s="196"/>
      <c r="LPH58" s="196"/>
      <c r="LPI58" s="196"/>
      <c r="LPJ58" s="196"/>
      <c r="LPK58" s="196"/>
      <c r="LPL58" s="196"/>
      <c r="LPM58" s="196"/>
      <c r="LPN58" s="196"/>
      <c r="LPO58" s="196"/>
      <c r="LPP58" s="196"/>
      <c r="LPQ58" s="196"/>
      <c r="LPR58" s="196"/>
      <c r="LPS58" s="196"/>
      <c r="LPT58" s="196"/>
      <c r="LPU58" s="196"/>
      <c r="LPV58" s="196"/>
      <c r="LPW58" s="196"/>
      <c r="LPX58" s="196"/>
      <c r="LPY58" s="196"/>
      <c r="LPZ58" s="196"/>
      <c r="LQA58" s="196"/>
      <c r="LQB58" s="196"/>
      <c r="LQC58" s="196"/>
      <c r="LQD58" s="196"/>
      <c r="LQE58" s="196"/>
      <c r="LQF58" s="196"/>
      <c r="LQG58" s="196"/>
      <c r="LQH58" s="196"/>
      <c r="LQI58" s="196"/>
      <c r="LQJ58" s="196"/>
      <c r="LQK58" s="196"/>
      <c r="LQL58" s="196"/>
      <c r="LQM58" s="196"/>
      <c r="LQN58" s="196"/>
      <c r="LQO58" s="196"/>
      <c r="LQP58" s="196"/>
      <c r="LQQ58" s="196"/>
      <c r="LQR58" s="196"/>
      <c r="LQS58" s="196"/>
      <c r="LQT58" s="196"/>
      <c r="LQU58" s="196"/>
      <c r="LQV58" s="196"/>
      <c r="LQW58" s="196"/>
      <c r="LQX58" s="196"/>
      <c r="LQY58" s="196"/>
      <c r="LQZ58" s="196"/>
      <c r="LRA58" s="196"/>
      <c r="LRB58" s="196"/>
      <c r="LRC58" s="196"/>
      <c r="LRD58" s="196"/>
      <c r="LRE58" s="196"/>
      <c r="LRF58" s="196"/>
      <c r="LRG58" s="196"/>
      <c r="LRH58" s="196"/>
      <c r="LRI58" s="196"/>
      <c r="LRJ58" s="196"/>
      <c r="LRK58" s="196"/>
      <c r="LRL58" s="196"/>
      <c r="LRM58" s="196"/>
      <c r="LRN58" s="196"/>
      <c r="LRO58" s="196"/>
      <c r="LRP58" s="196"/>
      <c r="LRQ58" s="196"/>
      <c r="LRR58" s="196"/>
      <c r="LRS58" s="196"/>
      <c r="LRT58" s="196"/>
      <c r="LRU58" s="196"/>
      <c r="LRV58" s="196"/>
      <c r="LRW58" s="196"/>
      <c r="LRX58" s="196"/>
      <c r="LRY58" s="196"/>
      <c r="LRZ58" s="196"/>
      <c r="LSA58" s="196"/>
      <c r="LSB58" s="196"/>
      <c r="LSC58" s="196"/>
      <c r="LSD58" s="196"/>
      <c r="LSE58" s="196"/>
      <c r="LSF58" s="196"/>
      <c r="LSG58" s="196"/>
      <c r="LSH58" s="196"/>
      <c r="LSI58" s="196"/>
      <c r="LSJ58" s="196"/>
      <c r="LSK58" s="196"/>
      <c r="LSL58" s="196"/>
      <c r="LSM58" s="196"/>
      <c r="LSN58" s="196"/>
      <c r="LSO58" s="196"/>
      <c r="LSP58" s="196"/>
      <c r="LSQ58" s="196"/>
      <c r="LSR58" s="196"/>
      <c r="LSS58" s="196"/>
      <c r="LST58" s="196"/>
      <c r="LSU58" s="196"/>
      <c r="LSV58" s="196"/>
      <c r="LSW58" s="196"/>
      <c r="LSX58" s="196"/>
      <c r="LSY58" s="196"/>
      <c r="LSZ58" s="196"/>
      <c r="LTA58" s="196"/>
      <c r="LTB58" s="196"/>
      <c r="LTC58" s="196"/>
      <c r="LTD58" s="196"/>
      <c r="LTE58" s="196"/>
      <c r="LTF58" s="196"/>
      <c r="LTG58" s="196"/>
      <c r="LTH58" s="196"/>
      <c r="LTI58" s="196"/>
      <c r="LTJ58" s="196"/>
      <c r="LTK58" s="196"/>
      <c r="LTL58" s="196"/>
      <c r="LTM58" s="196"/>
      <c r="LTN58" s="196"/>
      <c r="LTO58" s="196"/>
      <c r="LTP58" s="196"/>
      <c r="LTQ58" s="196"/>
      <c r="LTR58" s="196"/>
      <c r="LTS58" s="196"/>
      <c r="LTT58" s="196"/>
      <c r="LTU58" s="196"/>
      <c r="LTV58" s="196"/>
      <c r="LTW58" s="196"/>
      <c r="LTX58" s="196"/>
      <c r="LTY58" s="196"/>
      <c r="LTZ58" s="196"/>
      <c r="LUA58" s="196"/>
      <c r="LUB58" s="196"/>
      <c r="LUC58" s="196"/>
      <c r="LUD58" s="196"/>
      <c r="LUE58" s="196"/>
      <c r="LUF58" s="196"/>
      <c r="LUG58" s="196"/>
      <c r="LUH58" s="196"/>
      <c r="LUI58" s="196"/>
      <c r="LUJ58" s="196"/>
      <c r="LUK58" s="196"/>
      <c r="LUL58" s="196"/>
      <c r="LUM58" s="196"/>
      <c r="LUN58" s="196"/>
      <c r="LUO58" s="196"/>
      <c r="LUP58" s="196"/>
      <c r="LUQ58" s="196"/>
      <c r="LUR58" s="196"/>
      <c r="LUS58" s="196"/>
      <c r="LUT58" s="196"/>
      <c r="LUU58" s="196"/>
      <c r="LUV58" s="196"/>
      <c r="LUW58" s="196"/>
      <c r="LUX58" s="196"/>
      <c r="LUY58" s="196"/>
      <c r="LUZ58" s="196"/>
      <c r="LVA58" s="196"/>
      <c r="LVB58" s="196"/>
      <c r="LVC58" s="196"/>
      <c r="LVD58" s="196"/>
      <c r="LVE58" s="196"/>
      <c r="LVF58" s="196"/>
      <c r="LVG58" s="196"/>
      <c r="LVH58" s="196"/>
      <c r="LVI58" s="196"/>
      <c r="LVJ58" s="196"/>
      <c r="LVK58" s="196"/>
      <c r="LVL58" s="196"/>
      <c r="LVM58" s="196"/>
      <c r="LVN58" s="196"/>
      <c r="LVO58" s="196"/>
      <c r="LVP58" s="196"/>
      <c r="LVQ58" s="196"/>
      <c r="LVR58" s="196"/>
      <c r="LVS58" s="196"/>
      <c r="LVT58" s="196"/>
      <c r="LVU58" s="196"/>
      <c r="LVV58" s="196"/>
      <c r="LVW58" s="196"/>
      <c r="LVX58" s="196"/>
      <c r="LVY58" s="196"/>
      <c r="LVZ58" s="196"/>
      <c r="LWA58" s="196"/>
      <c r="LWB58" s="196"/>
      <c r="LWC58" s="196"/>
      <c r="LWD58" s="196"/>
      <c r="LWE58" s="196"/>
      <c r="LWF58" s="196"/>
      <c r="LWG58" s="196"/>
      <c r="LWH58" s="196"/>
      <c r="LWI58" s="196"/>
      <c r="LWJ58" s="196"/>
      <c r="LWK58" s="196"/>
      <c r="LWL58" s="196"/>
      <c r="LWM58" s="196"/>
      <c r="LWN58" s="196"/>
      <c r="LWO58" s="196"/>
      <c r="LWP58" s="196"/>
      <c r="LWQ58" s="196"/>
      <c r="LWR58" s="196"/>
      <c r="LWS58" s="196"/>
      <c r="LWT58" s="196"/>
      <c r="LWU58" s="196"/>
      <c r="LWV58" s="196"/>
      <c r="LWW58" s="196"/>
      <c r="LWX58" s="196"/>
      <c r="LWY58" s="196"/>
      <c r="LWZ58" s="196"/>
      <c r="LXA58" s="196"/>
      <c r="LXB58" s="196"/>
      <c r="LXC58" s="196"/>
      <c r="LXD58" s="196"/>
      <c r="LXE58" s="196"/>
      <c r="LXF58" s="196"/>
      <c r="LXG58" s="196"/>
      <c r="LXH58" s="196"/>
      <c r="LXI58" s="196"/>
      <c r="LXJ58" s="196"/>
      <c r="LXK58" s="196"/>
      <c r="LXL58" s="196"/>
      <c r="LXM58" s="196"/>
      <c r="LXN58" s="196"/>
      <c r="LXO58" s="196"/>
      <c r="LXP58" s="196"/>
      <c r="LXQ58" s="196"/>
      <c r="LXR58" s="196"/>
      <c r="LXS58" s="196"/>
      <c r="LXT58" s="196"/>
      <c r="LXU58" s="196"/>
      <c r="LXV58" s="196"/>
      <c r="LXW58" s="196"/>
      <c r="LXX58" s="196"/>
      <c r="LXY58" s="196"/>
      <c r="LXZ58" s="196"/>
      <c r="LYA58" s="196"/>
      <c r="LYB58" s="196"/>
      <c r="LYC58" s="196"/>
      <c r="LYD58" s="196"/>
      <c r="LYE58" s="196"/>
      <c r="LYF58" s="196"/>
      <c r="LYG58" s="196"/>
      <c r="LYH58" s="196"/>
      <c r="LYI58" s="196"/>
      <c r="LYJ58" s="196"/>
      <c r="LYK58" s="196"/>
      <c r="LYL58" s="196"/>
      <c r="LYM58" s="196"/>
      <c r="LYN58" s="196"/>
      <c r="LYO58" s="196"/>
      <c r="LYP58" s="196"/>
      <c r="LYQ58" s="196"/>
      <c r="LYR58" s="196"/>
      <c r="LYS58" s="196"/>
      <c r="LYT58" s="196"/>
      <c r="LYU58" s="196"/>
      <c r="LYV58" s="196"/>
      <c r="LYW58" s="196"/>
      <c r="LYX58" s="196"/>
      <c r="LYY58" s="196"/>
      <c r="LYZ58" s="196"/>
      <c r="LZA58" s="196"/>
      <c r="LZB58" s="196"/>
      <c r="LZC58" s="196"/>
      <c r="LZD58" s="196"/>
      <c r="LZE58" s="196"/>
      <c r="LZF58" s="196"/>
      <c r="LZG58" s="196"/>
      <c r="LZH58" s="196"/>
      <c r="LZI58" s="196"/>
      <c r="LZJ58" s="196"/>
      <c r="LZK58" s="196"/>
      <c r="LZL58" s="196"/>
      <c r="LZM58" s="196"/>
      <c r="LZN58" s="196"/>
      <c r="LZO58" s="196"/>
      <c r="LZP58" s="196"/>
      <c r="LZQ58" s="196"/>
      <c r="LZR58" s="196"/>
      <c r="LZS58" s="196"/>
      <c r="LZT58" s="196"/>
      <c r="LZU58" s="196"/>
      <c r="LZV58" s="196"/>
      <c r="LZW58" s="196"/>
      <c r="LZX58" s="196"/>
      <c r="LZY58" s="196"/>
      <c r="LZZ58" s="196"/>
      <c r="MAA58" s="196"/>
      <c r="MAB58" s="196"/>
      <c r="MAC58" s="196"/>
      <c r="MAD58" s="196"/>
      <c r="MAE58" s="196"/>
      <c r="MAF58" s="196"/>
      <c r="MAG58" s="196"/>
      <c r="MAH58" s="196"/>
      <c r="MAI58" s="196"/>
      <c r="MAJ58" s="196"/>
      <c r="MAK58" s="196"/>
      <c r="MAL58" s="196"/>
      <c r="MAM58" s="196"/>
      <c r="MAN58" s="196"/>
      <c r="MAO58" s="196"/>
      <c r="MAP58" s="196"/>
      <c r="MAQ58" s="196"/>
      <c r="MAR58" s="196"/>
      <c r="MAS58" s="196"/>
      <c r="MAT58" s="196"/>
      <c r="MAU58" s="196"/>
      <c r="MAV58" s="196"/>
      <c r="MAW58" s="196"/>
      <c r="MAX58" s="196"/>
      <c r="MAY58" s="196"/>
      <c r="MAZ58" s="196"/>
      <c r="MBA58" s="196"/>
      <c r="MBB58" s="196"/>
      <c r="MBC58" s="196"/>
      <c r="MBD58" s="196"/>
      <c r="MBE58" s="196"/>
      <c r="MBF58" s="196"/>
      <c r="MBG58" s="196"/>
      <c r="MBH58" s="196"/>
      <c r="MBI58" s="196"/>
      <c r="MBJ58" s="196"/>
      <c r="MBK58" s="196"/>
      <c r="MBL58" s="196"/>
      <c r="MBM58" s="196"/>
      <c r="MBN58" s="196"/>
      <c r="MBO58" s="196"/>
      <c r="MBP58" s="196"/>
      <c r="MBQ58" s="196"/>
      <c r="MBR58" s="196"/>
      <c r="MBS58" s="196"/>
      <c r="MBT58" s="196"/>
      <c r="MBU58" s="196"/>
      <c r="MBV58" s="196"/>
      <c r="MBW58" s="196"/>
      <c r="MBX58" s="196"/>
      <c r="MBY58" s="196"/>
      <c r="MBZ58" s="196"/>
      <c r="MCA58" s="196"/>
      <c r="MCB58" s="196"/>
      <c r="MCC58" s="196"/>
      <c r="MCD58" s="196"/>
      <c r="MCE58" s="196"/>
      <c r="MCF58" s="196"/>
      <c r="MCG58" s="196"/>
      <c r="MCH58" s="196"/>
      <c r="MCI58" s="196"/>
      <c r="MCJ58" s="196"/>
      <c r="MCK58" s="196"/>
      <c r="MCL58" s="196"/>
      <c r="MCM58" s="196"/>
      <c r="MCN58" s="196"/>
      <c r="MCO58" s="196"/>
      <c r="MCP58" s="196"/>
      <c r="MCQ58" s="196"/>
      <c r="MCR58" s="196"/>
      <c r="MCS58" s="196"/>
      <c r="MCT58" s="196"/>
      <c r="MCU58" s="196"/>
      <c r="MCV58" s="196"/>
      <c r="MCW58" s="196"/>
      <c r="MCX58" s="196"/>
      <c r="MCY58" s="196"/>
      <c r="MCZ58" s="196"/>
      <c r="MDA58" s="196"/>
      <c r="MDB58" s="196"/>
      <c r="MDC58" s="196"/>
      <c r="MDD58" s="196"/>
      <c r="MDE58" s="196"/>
      <c r="MDF58" s="196"/>
      <c r="MDG58" s="196"/>
      <c r="MDH58" s="196"/>
      <c r="MDI58" s="196"/>
      <c r="MDJ58" s="196"/>
      <c r="MDK58" s="196"/>
      <c r="MDL58" s="196"/>
      <c r="MDM58" s="196"/>
      <c r="MDN58" s="196"/>
      <c r="MDO58" s="196"/>
      <c r="MDP58" s="196"/>
      <c r="MDQ58" s="196"/>
      <c r="MDR58" s="196"/>
      <c r="MDS58" s="196"/>
      <c r="MDT58" s="196"/>
      <c r="MDU58" s="196"/>
      <c r="MDV58" s="196"/>
      <c r="MDW58" s="196"/>
      <c r="MDX58" s="196"/>
      <c r="MDY58" s="196"/>
      <c r="MDZ58" s="196"/>
      <c r="MEA58" s="196"/>
      <c r="MEB58" s="196"/>
      <c r="MEC58" s="196"/>
      <c r="MED58" s="196"/>
      <c r="MEE58" s="196"/>
      <c r="MEF58" s="196"/>
      <c r="MEG58" s="196"/>
      <c r="MEH58" s="196"/>
      <c r="MEI58" s="196"/>
      <c r="MEJ58" s="196"/>
      <c r="MEK58" s="196"/>
      <c r="MEL58" s="196"/>
      <c r="MEM58" s="196"/>
      <c r="MEN58" s="196"/>
      <c r="MEO58" s="196"/>
      <c r="MEP58" s="196"/>
      <c r="MEQ58" s="196"/>
      <c r="MER58" s="196"/>
      <c r="MES58" s="196"/>
      <c r="MET58" s="196"/>
      <c r="MEU58" s="196"/>
      <c r="MEV58" s="196"/>
      <c r="MEW58" s="196"/>
      <c r="MEX58" s="196"/>
      <c r="MEY58" s="196"/>
      <c r="MEZ58" s="196"/>
      <c r="MFA58" s="196"/>
      <c r="MFB58" s="196"/>
      <c r="MFC58" s="196"/>
      <c r="MFD58" s="196"/>
      <c r="MFE58" s="196"/>
      <c r="MFF58" s="196"/>
      <c r="MFG58" s="196"/>
      <c r="MFH58" s="196"/>
      <c r="MFI58" s="196"/>
      <c r="MFJ58" s="196"/>
      <c r="MFK58" s="196"/>
      <c r="MFL58" s="196"/>
      <c r="MFM58" s="196"/>
      <c r="MFN58" s="196"/>
      <c r="MFO58" s="196"/>
      <c r="MFP58" s="196"/>
      <c r="MFQ58" s="196"/>
      <c r="MFR58" s="196"/>
      <c r="MFS58" s="196"/>
      <c r="MFT58" s="196"/>
      <c r="MFU58" s="196"/>
      <c r="MFV58" s="196"/>
      <c r="MFW58" s="196"/>
      <c r="MFX58" s="196"/>
      <c r="MFY58" s="196"/>
      <c r="MFZ58" s="196"/>
      <c r="MGA58" s="196"/>
      <c r="MGB58" s="196"/>
      <c r="MGC58" s="196"/>
      <c r="MGD58" s="196"/>
      <c r="MGE58" s="196"/>
      <c r="MGF58" s="196"/>
      <c r="MGG58" s="196"/>
      <c r="MGH58" s="196"/>
      <c r="MGI58" s="196"/>
      <c r="MGJ58" s="196"/>
      <c r="MGK58" s="196"/>
      <c r="MGL58" s="196"/>
      <c r="MGM58" s="196"/>
      <c r="MGN58" s="196"/>
      <c r="MGO58" s="196"/>
      <c r="MGP58" s="196"/>
      <c r="MGQ58" s="196"/>
      <c r="MGR58" s="196"/>
      <c r="MGS58" s="196"/>
      <c r="MGT58" s="196"/>
      <c r="MGU58" s="196"/>
      <c r="MGV58" s="196"/>
      <c r="MGW58" s="196"/>
      <c r="MGX58" s="196"/>
      <c r="MGY58" s="196"/>
      <c r="MGZ58" s="196"/>
      <c r="MHA58" s="196"/>
      <c r="MHB58" s="196"/>
      <c r="MHC58" s="196"/>
      <c r="MHD58" s="196"/>
      <c r="MHE58" s="196"/>
      <c r="MHF58" s="196"/>
      <c r="MHG58" s="196"/>
      <c r="MHH58" s="196"/>
      <c r="MHI58" s="196"/>
      <c r="MHJ58" s="196"/>
      <c r="MHK58" s="196"/>
      <c r="MHL58" s="196"/>
      <c r="MHM58" s="196"/>
      <c r="MHN58" s="196"/>
      <c r="MHO58" s="196"/>
      <c r="MHP58" s="196"/>
      <c r="MHQ58" s="196"/>
      <c r="MHR58" s="196"/>
      <c r="MHS58" s="196"/>
      <c r="MHT58" s="196"/>
      <c r="MHU58" s="196"/>
      <c r="MHV58" s="196"/>
      <c r="MHW58" s="196"/>
      <c r="MHX58" s="196"/>
      <c r="MHY58" s="196"/>
      <c r="MHZ58" s="196"/>
      <c r="MIA58" s="196"/>
      <c r="MIB58" s="196"/>
      <c r="MIC58" s="196"/>
      <c r="MID58" s="196"/>
      <c r="MIE58" s="196"/>
      <c r="MIF58" s="196"/>
      <c r="MIG58" s="196"/>
      <c r="MIH58" s="196"/>
      <c r="MII58" s="196"/>
      <c r="MIJ58" s="196"/>
      <c r="MIK58" s="196"/>
      <c r="MIL58" s="196"/>
      <c r="MIM58" s="196"/>
      <c r="MIN58" s="196"/>
      <c r="MIO58" s="196"/>
      <c r="MIP58" s="196"/>
      <c r="MIQ58" s="196"/>
      <c r="MIR58" s="196"/>
      <c r="MIS58" s="196"/>
      <c r="MIT58" s="196"/>
      <c r="MIU58" s="196"/>
      <c r="MIV58" s="196"/>
      <c r="MIW58" s="196"/>
      <c r="MIX58" s="196"/>
      <c r="MIY58" s="196"/>
      <c r="MIZ58" s="196"/>
      <c r="MJA58" s="196"/>
      <c r="MJB58" s="196"/>
      <c r="MJC58" s="196"/>
      <c r="MJD58" s="196"/>
      <c r="MJE58" s="196"/>
      <c r="MJF58" s="196"/>
      <c r="MJG58" s="196"/>
      <c r="MJH58" s="196"/>
      <c r="MJI58" s="196"/>
      <c r="MJJ58" s="196"/>
      <c r="MJK58" s="196"/>
      <c r="MJL58" s="196"/>
      <c r="MJM58" s="196"/>
      <c r="MJN58" s="196"/>
      <c r="MJO58" s="196"/>
      <c r="MJP58" s="196"/>
      <c r="MJQ58" s="196"/>
      <c r="MJR58" s="196"/>
      <c r="MJS58" s="196"/>
      <c r="MJT58" s="196"/>
      <c r="MJU58" s="196"/>
      <c r="MJV58" s="196"/>
      <c r="MJW58" s="196"/>
      <c r="MJX58" s="196"/>
      <c r="MJY58" s="196"/>
      <c r="MJZ58" s="196"/>
      <c r="MKA58" s="196"/>
      <c r="MKB58" s="196"/>
      <c r="MKC58" s="196"/>
      <c r="MKD58" s="196"/>
      <c r="MKE58" s="196"/>
      <c r="MKF58" s="196"/>
      <c r="MKG58" s="196"/>
      <c r="MKH58" s="196"/>
      <c r="MKI58" s="196"/>
      <c r="MKJ58" s="196"/>
      <c r="MKK58" s="196"/>
      <c r="MKL58" s="196"/>
      <c r="MKM58" s="196"/>
      <c r="MKN58" s="196"/>
      <c r="MKO58" s="196"/>
      <c r="MKP58" s="196"/>
      <c r="MKQ58" s="196"/>
      <c r="MKR58" s="196"/>
      <c r="MKS58" s="196"/>
      <c r="MKT58" s="196"/>
      <c r="MKU58" s="196"/>
      <c r="MKV58" s="196"/>
      <c r="MKW58" s="196"/>
      <c r="MKX58" s="196"/>
      <c r="MKY58" s="196"/>
      <c r="MKZ58" s="196"/>
      <c r="MLA58" s="196"/>
      <c r="MLB58" s="196"/>
      <c r="MLC58" s="196"/>
      <c r="MLD58" s="196"/>
      <c r="MLE58" s="196"/>
      <c r="MLF58" s="196"/>
      <c r="MLG58" s="196"/>
      <c r="MLH58" s="196"/>
      <c r="MLI58" s="196"/>
      <c r="MLJ58" s="196"/>
      <c r="MLK58" s="196"/>
      <c r="MLL58" s="196"/>
      <c r="MLM58" s="196"/>
      <c r="MLN58" s="196"/>
      <c r="MLO58" s="196"/>
      <c r="MLP58" s="196"/>
      <c r="MLQ58" s="196"/>
      <c r="MLR58" s="196"/>
      <c r="MLS58" s="196"/>
      <c r="MLT58" s="196"/>
      <c r="MLU58" s="196"/>
      <c r="MLV58" s="196"/>
      <c r="MLW58" s="196"/>
      <c r="MLX58" s="196"/>
      <c r="MLY58" s="196"/>
      <c r="MLZ58" s="196"/>
      <c r="MMA58" s="196"/>
      <c r="MMB58" s="196"/>
      <c r="MMC58" s="196"/>
      <c r="MMD58" s="196"/>
      <c r="MME58" s="196"/>
      <c r="MMF58" s="196"/>
      <c r="MMG58" s="196"/>
      <c r="MMH58" s="196"/>
      <c r="MMI58" s="196"/>
      <c r="MMJ58" s="196"/>
      <c r="MMK58" s="196"/>
      <c r="MML58" s="196"/>
      <c r="MMM58" s="196"/>
      <c r="MMN58" s="196"/>
      <c r="MMO58" s="196"/>
      <c r="MMP58" s="196"/>
      <c r="MMQ58" s="196"/>
      <c r="MMR58" s="196"/>
      <c r="MMS58" s="196"/>
      <c r="MMT58" s="196"/>
      <c r="MMU58" s="196"/>
      <c r="MMV58" s="196"/>
      <c r="MMW58" s="196"/>
      <c r="MMX58" s="196"/>
      <c r="MMY58" s="196"/>
      <c r="MMZ58" s="196"/>
      <c r="MNA58" s="196"/>
      <c r="MNB58" s="196"/>
      <c r="MNC58" s="196"/>
      <c r="MND58" s="196"/>
      <c r="MNE58" s="196"/>
      <c r="MNF58" s="196"/>
      <c r="MNG58" s="196"/>
      <c r="MNH58" s="196"/>
      <c r="MNI58" s="196"/>
      <c r="MNJ58" s="196"/>
      <c r="MNK58" s="196"/>
      <c r="MNL58" s="196"/>
      <c r="MNM58" s="196"/>
      <c r="MNN58" s="196"/>
      <c r="MNO58" s="196"/>
      <c r="MNP58" s="196"/>
      <c r="MNQ58" s="196"/>
      <c r="MNR58" s="196"/>
      <c r="MNS58" s="196"/>
      <c r="MNT58" s="196"/>
      <c r="MNU58" s="196"/>
      <c r="MNV58" s="196"/>
      <c r="MNW58" s="196"/>
      <c r="MNX58" s="196"/>
      <c r="MNY58" s="196"/>
      <c r="MNZ58" s="196"/>
      <c r="MOA58" s="196"/>
      <c r="MOB58" s="196"/>
      <c r="MOC58" s="196"/>
      <c r="MOD58" s="196"/>
      <c r="MOE58" s="196"/>
      <c r="MOF58" s="196"/>
      <c r="MOG58" s="196"/>
      <c r="MOH58" s="196"/>
      <c r="MOI58" s="196"/>
      <c r="MOJ58" s="196"/>
      <c r="MOK58" s="196"/>
      <c r="MOL58" s="196"/>
      <c r="MOM58" s="196"/>
      <c r="MON58" s="196"/>
      <c r="MOO58" s="196"/>
      <c r="MOP58" s="196"/>
      <c r="MOQ58" s="196"/>
      <c r="MOR58" s="196"/>
      <c r="MOS58" s="196"/>
      <c r="MOT58" s="196"/>
      <c r="MOU58" s="196"/>
      <c r="MOV58" s="196"/>
      <c r="MOW58" s="196"/>
      <c r="MOX58" s="196"/>
      <c r="MOY58" s="196"/>
      <c r="MOZ58" s="196"/>
      <c r="MPA58" s="196"/>
      <c r="MPB58" s="196"/>
      <c r="MPC58" s="196"/>
      <c r="MPD58" s="196"/>
      <c r="MPE58" s="196"/>
      <c r="MPF58" s="196"/>
      <c r="MPG58" s="196"/>
      <c r="MPH58" s="196"/>
      <c r="MPI58" s="196"/>
      <c r="MPJ58" s="196"/>
      <c r="MPK58" s="196"/>
      <c r="MPL58" s="196"/>
      <c r="MPM58" s="196"/>
      <c r="MPN58" s="196"/>
      <c r="MPO58" s="196"/>
      <c r="MPP58" s="196"/>
      <c r="MPQ58" s="196"/>
      <c r="MPR58" s="196"/>
      <c r="MPS58" s="196"/>
      <c r="MPT58" s="196"/>
      <c r="MPU58" s="196"/>
      <c r="MPV58" s="196"/>
      <c r="MPW58" s="196"/>
      <c r="MPX58" s="196"/>
      <c r="MPY58" s="196"/>
      <c r="MPZ58" s="196"/>
      <c r="MQA58" s="196"/>
      <c r="MQB58" s="196"/>
      <c r="MQC58" s="196"/>
      <c r="MQD58" s="196"/>
      <c r="MQE58" s="196"/>
      <c r="MQF58" s="196"/>
      <c r="MQG58" s="196"/>
      <c r="MQH58" s="196"/>
      <c r="MQI58" s="196"/>
      <c r="MQJ58" s="196"/>
      <c r="MQK58" s="196"/>
      <c r="MQL58" s="196"/>
      <c r="MQM58" s="196"/>
      <c r="MQN58" s="196"/>
      <c r="MQO58" s="196"/>
      <c r="MQP58" s="196"/>
      <c r="MQQ58" s="196"/>
      <c r="MQR58" s="196"/>
      <c r="MQS58" s="196"/>
      <c r="MQT58" s="196"/>
      <c r="MQU58" s="196"/>
      <c r="MQV58" s="196"/>
      <c r="MQW58" s="196"/>
      <c r="MQX58" s="196"/>
      <c r="MQY58" s="196"/>
      <c r="MQZ58" s="196"/>
      <c r="MRA58" s="196"/>
      <c r="MRB58" s="196"/>
      <c r="MRC58" s="196"/>
      <c r="MRD58" s="196"/>
      <c r="MRE58" s="196"/>
      <c r="MRF58" s="196"/>
      <c r="MRG58" s="196"/>
      <c r="MRH58" s="196"/>
      <c r="MRI58" s="196"/>
      <c r="MRJ58" s="196"/>
      <c r="MRK58" s="196"/>
      <c r="MRL58" s="196"/>
      <c r="MRM58" s="196"/>
      <c r="MRN58" s="196"/>
      <c r="MRO58" s="196"/>
      <c r="MRP58" s="196"/>
      <c r="MRQ58" s="196"/>
      <c r="MRR58" s="196"/>
      <c r="MRS58" s="196"/>
      <c r="MRT58" s="196"/>
      <c r="MRU58" s="196"/>
      <c r="MRV58" s="196"/>
      <c r="MRW58" s="196"/>
      <c r="MRX58" s="196"/>
      <c r="MRY58" s="196"/>
      <c r="MRZ58" s="196"/>
      <c r="MSA58" s="196"/>
      <c r="MSB58" s="196"/>
      <c r="MSC58" s="196"/>
      <c r="MSD58" s="196"/>
      <c r="MSE58" s="196"/>
      <c r="MSF58" s="196"/>
      <c r="MSG58" s="196"/>
      <c r="MSH58" s="196"/>
      <c r="MSI58" s="196"/>
      <c r="MSJ58" s="196"/>
      <c r="MSK58" s="196"/>
      <c r="MSL58" s="196"/>
      <c r="MSM58" s="196"/>
      <c r="MSN58" s="196"/>
      <c r="MSO58" s="196"/>
      <c r="MSP58" s="196"/>
      <c r="MSQ58" s="196"/>
      <c r="MSR58" s="196"/>
      <c r="MSS58" s="196"/>
      <c r="MST58" s="196"/>
      <c r="MSU58" s="196"/>
      <c r="MSV58" s="196"/>
      <c r="MSW58" s="196"/>
      <c r="MSX58" s="196"/>
      <c r="MSY58" s="196"/>
      <c r="MSZ58" s="196"/>
      <c r="MTA58" s="196"/>
      <c r="MTB58" s="196"/>
      <c r="MTC58" s="196"/>
      <c r="MTD58" s="196"/>
      <c r="MTE58" s="196"/>
      <c r="MTF58" s="196"/>
      <c r="MTG58" s="196"/>
      <c r="MTH58" s="196"/>
      <c r="MTI58" s="196"/>
      <c r="MTJ58" s="196"/>
      <c r="MTK58" s="196"/>
      <c r="MTL58" s="196"/>
      <c r="MTM58" s="196"/>
      <c r="MTN58" s="196"/>
      <c r="MTO58" s="196"/>
      <c r="MTP58" s="196"/>
      <c r="MTQ58" s="196"/>
      <c r="MTR58" s="196"/>
      <c r="MTS58" s="196"/>
      <c r="MTT58" s="196"/>
      <c r="MTU58" s="196"/>
      <c r="MTV58" s="196"/>
      <c r="MTW58" s="196"/>
      <c r="MTX58" s="196"/>
      <c r="MTY58" s="196"/>
      <c r="MTZ58" s="196"/>
      <c r="MUA58" s="196"/>
      <c r="MUB58" s="196"/>
      <c r="MUC58" s="196"/>
      <c r="MUD58" s="196"/>
      <c r="MUE58" s="196"/>
      <c r="MUF58" s="196"/>
      <c r="MUG58" s="196"/>
      <c r="MUH58" s="196"/>
      <c r="MUI58" s="196"/>
      <c r="MUJ58" s="196"/>
      <c r="MUK58" s="196"/>
      <c r="MUL58" s="196"/>
      <c r="MUM58" s="196"/>
      <c r="MUN58" s="196"/>
      <c r="MUO58" s="196"/>
      <c r="MUP58" s="196"/>
      <c r="MUQ58" s="196"/>
      <c r="MUR58" s="196"/>
      <c r="MUS58" s="196"/>
      <c r="MUT58" s="196"/>
      <c r="MUU58" s="196"/>
      <c r="MUV58" s="196"/>
      <c r="MUW58" s="196"/>
      <c r="MUX58" s="196"/>
      <c r="MUY58" s="196"/>
      <c r="MUZ58" s="196"/>
      <c r="MVA58" s="196"/>
      <c r="MVB58" s="196"/>
      <c r="MVC58" s="196"/>
      <c r="MVD58" s="196"/>
      <c r="MVE58" s="196"/>
      <c r="MVF58" s="196"/>
      <c r="MVG58" s="196"/>
      <c r="MVH58" s="196"/>
      <c r="MVI58" s="196"/>
      <c r="MVJ58" s="196"/>
      <c r="MVK58" s="196"/>
      <c r="MVL58" s="196"/>
      <c r="MVM58" s="196"/>
      <c r="MVN58" s="196"/>
      <c r="MVO58" s="196"/>
      <c r="MVP58" s="196"/>
      <c r="MVQ58" s="196"/>
      <c r="MVR58" s="196"/>
      <c r="MVS58" s="196"/>
      <c r="MVT58" s="196"/>
      <c r="MVU58" s="196"/>
      <c r="MVV58" s="196"/>
      <c r="MVW58" s="196"/>
      <c r="MVX58" s="196"/>
      <c r="MVY58" s="196"/>
      <c r="MVZ58" s="196"/>
      <c r="MWA58" s="196"/>
      <c r="MWB58" s="196"/>
      <c r="MWC58" s="196"/>
      <c r="MWD58" s="196"/>
      <c r="MWE58" s="196"/>
      <c r="MWF58" s="196"/>
      <c r="MWG58" s="196"/>
      <c r="MWH58" s="196"/>
      <c r="MWI58" s="196"/>
      <c r="MWJ58" s="196"/>
      <c r="MWK58" s="196"/>
      <c r="MWL58" s="196"/>
      <c r="MWM58" s="196"/>
      <c r="MWN58" s="196"/>
      <c r="MWO58" s="196"/>
      <c r="MWP58" s="196"/>
      <c r="MWQ58" s="196"/>
      <c r="MWR58" s="196"/>
      <c r="MWS58" s="196"/>
      <c r="MWT58" s="196"/>
      <c r="MWU58" s="196"/>
      <c r="MWV58" s="196"/>
      <c r="MWW58" s="196"/>
      <c r="MWX58" s="196"/>
      <c r="MWY58" s="196"/>
      <c r="MWZ58" s="196"/>
      <c r="MXA58" s="196"/>
      <c r="MXB58" s="196"/>
      <c r="MXC58" s="196"/>
      <c r="MXD58" s="196"/>
      <c r="MXE58" s="196"/>
      <c r="MXF58" s="196"/>
      <c r="MXG58" s="196"/>
      <c r="MXH58" s="196"/>
      <c r="MXI58" s="196"/>
      <c r="MXJ58" s="196"/>
      <c r="MXK58" s="196"/>
      <c r="MXL58" s="196"/>
      <c r="MXM58" s="196"/>
      <c r="MXN58" s="196"/>
      <c r="MXO58" s="196"/>
      <c r="MXP58" s="196"/>
      <c r="MXQ58" s="196"/>
      <c r="MXR58" s="196"/>
      <c r="MXS58" s="196"/>
      <c r="MXT58" s="196"/>
      <c r="MXU58" s="196"/>
      <c r="MXV58" s="196"/>
      <c r="MXW58" s="196"/>
      <c r="MXX58" s="196"/>
      <c r="MXY58" s="196"/>
      <c r="MXZ58" s="196"/>
      <c r="MYA58" s="196"/>
      <c r="MYB58" s="196"/>
      <c r="MYC58" s="196"/>
      <c r="MYD58" s="196"/>
      <c r="MYE58" s="196"/>
      <c r="MYF58" s="196"/>
      <c r="MYG58" s="196"/>
      <c r="MYH58" s="196"/>
      <c r="MYI58" s="196"/>
      <c r="MYJ58" s="196"/>
      <c r="MYK58" s="196"/>
      <c r="MYL58" s="196"/>
      <c r="MYM58" s="196"/>
      <c r="MYN58" s="196"/>
      <c r="MYO58" s="196"/>
      <c r="MYP58" s="196"/>
      <c r="MYQ58" s="196"/>
      <c r="MYR58" s="196"/>
      <c r="MYS58" s="196"/>
      <c r="MYT58" s="196"/>
      <c r="MYU58" s="196"/>
      <c r="MYV58" s="196"/>
      <c r="MYW58" s="196"/>
      <c r="MYX58" s="196"/>
      <c r="MYY58" s="196"/>
      <c r="MYZ58" s="196"/>
      <c r="MZA58" s="196"/>
      <c r="MZB58" s="196"/>
      <c r="MZC58" s="196"/>
      <c r="MZD58" s="196"/>
      <c r="MZE58" s="196"/>
      <c r="MZF58" s="196"/>
      <c r="MZG58" s="196"/>
      <c r="MZH58" s="196"/>
      <c r="MZI58" s="196"/>
      <c r="MZJ58" s="196"/>
      <c r="MZK58" s="196"/>
      <c r="MZL58" s="196"/>
      <c r="MZM58" s="196"/>
      <c r="MZN58" s="196"/>
      <c r="MZO58" s="196"/>
      <c r="MZP58" s="196"/>
      <c r="MZQ58" s="196"/>
      <c r="MZR58" s="196"/>
      <c r="MZS58" s="196"/>
      <c r="MZT58" s="196"/>
      <c r="MZU58" s="196"/>
      <c r="MZV58" s="196"/>
      <c r="MZW58" s="196"/>
      <c r="MZX58" s="196"/>
      <c r="MZY58" s="196"/>
      <c r="MZZ58" s="196"/>
      <c r="NAA58" s="196"/>
      <c r="NAB58" s="196"/>
      <c r="NAC58" s="196"/>
      <c r="NAD58" s="196"/>
      <c r="NAE58" s="196"/>
      <c r="NAF58" s="196"/>
      <c r="NAG58" s="196"/>
      <c r="NAH58" s="196"/>
      <c r="NAI58" s="196"/>
      <c r="NAJ58" s="196"/>
      <c r="NAK58" s="196"/>
      <c r="NAL58" s="196"/>
      <c r="NAM58" s="196"/>
      <c r="NAN58" s="196"/>
      <c r="NAO58" s="196"/>
      <c r="NAP58" s="196"/>
      <c r="NAQ58" s="196"/>
      <c r="NAR58" s="196"/>
      <c r="NAS58" s="196"/>
      <c r="NAT58" s="196"/>
      <c r="NAU58" s="196"/>
      <c r="NAV58" s="196"/>
      <c r="NAW58" s="196"/>
      <c r="NAX58" s="196"/>
      <c r="NAY58" s="196"/>
      <c r="NAZ58" s="196"/>
      <c r="NBA58" s="196"/>
      <c r="NBB58" s="196"/>
      <c r="NBC58" s="196"/>
      <c r="NBD58" s="196"/>
      <c r="NBE58" s="196"/>
      <c r="NBF58" s="196"/>
      <c r="NBG58" s="196"/>
      <c r="NBH58" s="196"/>
      <c r="NBI58" s="196"/>
      <c r="NBJ58" s="196"/>
      <c r="NBK58" s="196"/>
      <c r="NBL58" s="196"/>
      <c r="NBM58" s="196"/>
      <c r="NBN58" s="196"/>
      <c r="NBO58" s="196"/>
      <c r="NBP58" s="196"/>
      <c r="NBQ58" s="196"/>
      <c r="NBR58" s="196"/>
      <c r="NBS58" s="196"/>
      <c r="NBT58" s="196"/>
      <c r="NBU58" s="196"/>
      <c r="NBV58" s="196"/>
      <c r="NBW58" s="196"/>
      <c r="NBX58" s="196"/>
      <c r="NBY58" s="196"/>
      <c r="NBZ58" s="196"/>
      <c r="NCA58" s="196"/>
      <c r="NCB58" s="196"/>
      <c r="NCC58" s="196"/>
      <c r="NCD58" s="196"/>
      <c r="NCE58" s="196"/>
      <c r="NCF58" s="196"/>
      <c r="NCG58" s="196"/>
      <c r="NCH58" s="196"/>
      <c r="NCI58" s="196"/>
      <c r="NCJ58" s="196"/>
      <c r="NCK58" s="196"/>
      <c r="NCL58" s="196"/>
      <c r="NCM58" s="196"/>
      <c r="NCN58" s="196"/>
      <c r="NCO58" s="196"/>
      <c r="NCP58" s="196"/>
      <c r="NCQ58" s="196"/>
      <c r="NCR58" s="196"/>
      <c r="NCS58" s="196"/>
      <c r="NCT58" s="196"/>
      <c r="NCU58" s="196"/>
      <c r="NCV58" s="196"/>
      <c r="NCW58" s="196"/>
      <c r="NCX58" s="196"/>
      <c r="NCY58" s="196"/>
      <c r="NCZ58" s="196"/>
      <c r="NDA58" s="196"/>
      <c r="NDB58" s="196"/>
      <c r="NDC58" s="196"/>
      <c r="NDD58" s="196"/>
      <c r="NDE58" s="196"/>
      <c r="NDF58" s="196"/>
      <c r="NDG58" s="196"/>
      <c r="NDH58" s="196"/>
      <c r="NDI58" s="196"/>
      <c r="NDJ58" s="196"/>
      <c r="NDK58" s="196"/>
      <c r="NDL58" s="196"/>
      <c r="NDM58" s="196"/>
      <c r="NDN58" s="196"/>
      <c r="NDO58" s="196"/>
      <c r="NDP58" s="196"/>
      <c r="NDQ58" s="196"/>
      <c r="NDR58" s="196"/>
      <c r="NDS58" s="196"/>
      <c r="NDT58" s="196"/>
      <c r="NDU58" s="196"/>
      <c r="NDV58" s="196"/>
      <c r="NDW58" s="196"/>
      <c r="NDX58" s="196"/>
      <c r="NDY58" s="196"/>
      <c r="NDZ58" s="196"/>
      <c r="NEA58" s="196"/>
      <c r="NEB58" s="196"/>
      <c r="NEC58" s="196"/>
      <c r="NED58" s="196"/>
      <c r="NEE58" s="196"/>
      <c r="NEF58" s="196"/>
      <c r="NEG58" s="196"/>
      <c r="NEH58" s="196"/>
      <c r="NEI58" s="196"/>
      <c r="NEJ58" s="196"/>
      <c r="NEK58" s="196"/>
      <c r="NEL58" s="196"/>
      <c r="NEM58" s="196"/>
      <c r="NEN58" s="196"/>
      <c r="NEO58" s="196"/>
      <c r="NEP58" s="196"/>
      <c r="NEQ58" s="196"/>
      <c r="NER58" s="196"/>
      <c r="NES58" s="196"/>
      <c r="NET58" s="196"/>
      <c r="NEU58" s="196"/>
      <c r="NEV58" s="196"/>
      <c r="NEW58" s="196"/>
      <c r="NEX58" s="196"/>
      <c r="NEY58" s="196"/>
      <c r="NEZ58" s="196"/>
      <c r="NFA58" s="196"/>
      <c r="NFB58" s="196"/>
      <c r="NFC58" s="196"/>
      <c r="NFD58" s="196"/>
      <c r="NFE58" s="196"/>
      <c r="NFF58" s="196"/>
      <c r="NFG58" s="196"/>
      <c r="NFH58" s="196"/>
      <c r="NFI58" s="196"/>
      <c r="NFJ58" s="196"/>
      <c r="NFK58" s="196"/>
      <c r="NFL58" s="196"/>
      <c r="NFM58" s="196"/>
      <c r="NFN58" s="196"/>
      <c r="NFO58" s="196"/>
      <c r="NFP58" s="196"/>
      <c r="NFQ58" s="196"/>
      <c r="NFR58" s="196"/>
      <c r="NFS58" s="196"/>
      <c r="NFT58" s="196"/>
      <c r="NFU58" s="196"/>
      <c r="NFV58" s="196"/>
      <c r="NFW58" s="196"/>
      <c r="NFX58" s="196"/>
      <c r="NFY58" s="196"/>
      <c r="NFZ58" s="196"/>
      <c r="NGA58" s="196"/>
      <c r="NGB58" s="196"/>
      <c r="NGC58" s="196"/>
      <c r="NGD58" s="196"/>
      <c r="NGE58" s="196"/>
      <c r="NGF58" s="196"/>
      <c r="NGG58" s="196"/>
      <c r="NGH58" s="196"/>
      <c r="NGI58" s="196"/>
      <c r="NGJ58" s="196"/>
      <c r="NGK58" s="196"/>
      <c r="NGL58" s="196"/>
      <c r="NGM58" s="196"/>
      <c r="NGN58" s="196"/>
      <c r="NGO58" s="196"/>
      <c r="NGP58" s="196"/>
      <c r="NGQ58" s="196"/>
      <c r="NGR58" s="196"/>
      <c r="NGS58" s="196"/>
      <c r="NGT58" s="196"/>
      <c r="NGU58" s="196"/>
      <c r="NGV58" s="196"/>
      <c r="NGW58" s="196"/>
      <c r="NGX58" s="196"/>
      <c r="NGY58" s="196"/>
      <c r="NGZ58" s="196"/>
      <c r="NHA58" s="196"/>
      <c r="NHB58" s="196"/>
      <c r="NHC58" s="196"/>
      <c r="NHD58" s="196"/>
      <c r="NHE58" s="196"/>
      <c r="NHF58" s="196"/>
      <c r="NHG58" s="196"/>
      <c r="NHH58" s="196"/>
      <c r="NHI58" s="196"/>
      <c r="NHJ58" s="196"/>
      <c r="NHK58" s="196"/>
      <c r="NHL58" s="196"/>
      <c r="NHM58" s="196"/>
      <c r="NHN58" s="196"/>
      <c r="NHO58" s="196"/>
      <c r="NHP58" s="196"/>
      <c r="NHQ58" s="196"/>
      <c r="NHR58" s="196"/>
      <c r="NHS58" s="196"/>
      <c r="NHT58" s="196"/>
      <c r="NHU58" s="196"/>
      <c r="NHV58" s="196"/>
      <c r="NHW58" s="196"/>
      <c r="NHX58" s="196"/>
      <c r="NHY58" s="196"/>
      <c r="NHZ58" s="196"/>
      <c r="NIA58" s="196"/>
      <c r="NIB58" s="196"/>
      <c r="NIC58" s="196"/>
      <c r="NID58" s="196"/>
      <c r="NIE58" s="196"/>
      <c r="NIF58" s="196"/>
      <c r="NIG58" s="196"/>
      <c r="NIH58" s="196"/>
      <c r="NII58" s="196"/>
      <c r="NIJ58" s="196"/>
      <c r="NIK58" s="196"/>
      <c r="NIL58" s="196"/>
      <c r="NIM58" s="196"/>
      <c r="NIN58" s="196"/>
      <c r="NIO58" s="196"/>
      <c r="NIP58" s="196"/>
      <c r="NIQ58" s="196"/>
      <c r="NIR58" s="196"/>
      <c r="NIS58" s="196"/>
      <c r="NIT58" s="196"/>
      <c r="NIU58" s="196"/>
      <c r="NIV58" s="196"/>
      <c r="NIW58" s="196"/>
      <c r="NIX58" s="196"/>
      <c r="NIY58" s="196"/>
      <c r="NIZ58" s="196"/>
      <c r="NJA58" s="196"/>
      <c r="NJB58" s="196"/>
      <c r="NJC58" s="196"/>
      <c r="NJD58" s="196"/>
      <c r="NJE58" s="196"/>
      <c r="NJF58" s="196"/>
      <c r="NJG58" s="196"/>
      <c r="NJH58" s="196"/>
      <c r="NJI58" s="196"/>
      <c r="NJJ58" s="196"/>
      <c r="NJK58" s="196"/>
      <c r="NJL58" s="196"/>
      <c r="NJM58" s="196"/>
      <c r="NJN58" s="196"/>
      <c r="NJO58" s="196"/>
      <c r="NJP58" s="196"/>
      <c r="NJQ58" s="196"/>
      <c r="NJR58" s="196"/>
      <c r="NJS58" s="196"/>
      <c r="NJT58" s="196"/>
      <c r="NJU58" s="196"/>
      <c r="NJV58" s="196"/>
      <c r="NJW58" s="196"/>
      <c r="NJX58" s="196"/>
      <c r="NJY58" s="196"/>
      <c r="NJZ58" s="196"/>
      <c r="NKA58" s="196"/>
      <c r="NKB58" s="196"/>
      <c r="NKC58" s="196"/>
      <c r="NKD58" s="196"/>
      <c r="NKE58" s="196"/>
      <c r="NKF58" s="196"/>
      <c r="NKG58" s="196"/>
      <c r="NKH58" s="196"/>
      <c r="NKI58" s="196"/>
      <c r="NKJ58" s="196"/>
      <c r="NKK58" s="196"/>
      <c r="NKL58" s="196"/>
      <c r="NKM58" s="196"/>
      <c r="NKN58" s="196"/>
      <c r="NKO58" s="196"/>
      <c r="NKP58" s="196"/>
      <c r="NKQ58" s="196"/>
      <c r="NKR58" s="196"/>
      <c r="NKS58" s="196"/>
      <c r="NKT58" s="196"/>
      <c r="NKU58" s="196"/>
      <c r="NKV58" s="196"/>
      <c r="NKW58" s="196"/>
      <c r="NKX58" s="196"/>
      <c r="NKY58" s="196"/>
      <c r="NKZ58" s="196"/>
      <c r="NLA58" s="196"/>
      <c r="NLB58" s="196"/>
      <c r="NLC58" s="196"/>
      <c r="NLD58" s="196"/>
      <c r="NLE58" s="196"/>
      <c r="NLF58" s="196"/>
      <c r="NLG58" s="196"/>
      <c r="NLH58" s="196"/>
      <c r="NLI58" s="196"/>
      <c r="NLJ58" s="196"/>
      <c r="NLK58" s="196"/>
      <c r="NLL58" s="196"/>
      <c r="NLM58" s="196"/>
      <c r="NLN58" s="196"/>
      <c r="NLO58" s="196"/>
      <c r="NLP58" s="196"/>
      <c r="NLQ58" s="196"/>
      <c r="NLR58" s="196"/>
      <c r="NLS58" s="196"/>
      <c r="NLT58" s="196"/>
      <c r="NLU58" s="196"/>
      <c r="NLV58" s="196"/>
      <c r="NLW58" s="196"/>
      <c r="NLX58" s="196"/>
      <c r="NLY58" s="196"/>
      <c r="NLZ58" s="196"/>
      <c r="NMA58" s="196"/>
      <c r="NMB58" s="196"/>
      <c r="NMC58" s="196"/>
      <c r="NMD58" s="196"/>
      <c r="NME58" s="196"/>
      <c r="NMF58" s="196"/>
      <c r="NMG58" s="196"/>
      <c r="NMH58" s="196"/>
      <c r="NMI58" s="196"/>
      <c r="NMJ58" s="196"/>
      <c r="NMK58" s="196"/>
      <c r="NML58" s="196"/>
      <c r="NMM58" s="196"/>
      <c r="NMN58" s="196"/>
      <c r="NMO58" s="196"/>
      <c r="NMP58" s="196"/>
      <c r="NMQ58" s="196"/>
      <c r="NMR58" s="196"/>
      <c r="NMS58" s="196"/>
      <c r="NMT58" s="196"/>
      <c r="NMU58" s="196"/>
      <c r="NMV58" s="196"/>
      <c r="NMW58" s="196"/>
      <c r="NMX58" s="196"/>
      <c r="NMY58" s="196"/>
      <c r="NMZ58" s="196"/>
      <c r="NNA58" s="196"/>
      <c r="NNB58" s="196"/>
      <c r="NNC58" s="196"/>
      <c r="NND58" s="196"/>
      <c r="NNE58" s="196"/>
      <c r="NNF58" s="196"/>
      <c r="NNG58" s="196"/>
      <c r="NNH58" s="196"/>
      <c r="NNI58" s="196"/>
      <c r="NNJ58" s="196"/>
      <c r="NNK58" s="196"/>
      <c r="NNL58" s="196"/>
      <c r="NNM58" s="196"/>
      <c r="NNN58" s="196"/>
      <c r="NNO58" s="196"/>
      <c r="NNP58" s="196"/>
      <c r="NNQ58" s="196"/>
      <c r="NNR58" s="196"/>
      <c r="NNS58" s="196"/>
      <c r="NNT58" s="196"/>
      <c r="NNU58" s="196"/>
      <c r="NNV58" s="196"/>
      <c r="NNW58" s="196"/>
      <c r="NNX58" s="196"/>
      <c r="NNY58" s="196"/>
      <c r="NNZ58" s="196"/>
      <c r="NOA58" s="196"/>
      <c r="NOB58" s="196"/>
      <c r="NOC58" s="196"/>
      <c r="NOD58" s="196"/>
      <c r="NOE58" s="196"/>
      <c r="NOF58" s="196"/>
      <c r="NOG58" s="196"/>
      <c r="NOH58" s="196"/>
      <c r="NOI58" s="196"/>
      <c r="NOJ58" s="196"/>
      <c r="NOK58" s="196"/>
      <c r="NOL58" s="196"/>
      <c r="NOM58" s="196"/>
      <c r="NON58" s="196"/>
      <c r="NOO58" s="196"/>
      <c r="NOP58" s="196"/>
      <c r="NOQ58" s="196"/>
      <c r="NOR58" s="196"/>
      <c r="NOS58" s="196"/>
      <c r="NOT58" s="196"/>
      <c r="NOU58" s="196"/>
      <c r="NOV58" s="196"/>
      <c r="NOW58" s="196"/>
      <c r="NOX58" s="196"/>
      <c r="NOY58" s="196"/>
      <c r="NOZ58" s="196"/>
      <c r="NPA58" s="196"/>
      <c r="NPB58" s="196"/>
      <c r="NPC58" s="196"/>
      <c r="NPD58" s="196"/>
      <c r="NPE58" s="196"/>
      <c r="NPF58" s="196"/>
      <c r="NPG58" s="196"/>
      <c r="NPH58" s="196"/>
      <c r="NPI58" s="196"/>
      <c r="NPJ58" s="196"/>
      <c r="NPK58" s="196"/>
      <c r="NPL58" s="196"/>
      <c r="NPM58" s="196"/>
      <c r="NPN58" s="196"/>
      <c r="NPO58" s="196"/>
      <c r="NPP58" s="196"/>
      <c r="NPQ58" s="196"/>
      <c r="NPR58" s="196"/>
      <c r="NPS58" s="196"/>
      <c r="NPT58" s="196"/>
      <c r="NPU58" s="196"/>
      <c r="NPV58" s="196"/>
      <c r="NPW58" s="196"/>
      <c r="NPX58" s="196"/>
      <c r="NPY58" s="196"/>
      <c r="NPZ58" s="196"/>
      <c r="NQA58" s="196"/>
      <c r="NQB58" s="196"/>
      <c r="NQC58" s="196"/>
      <c r="NQD58" s="196"/>
      <c r="NQE58" s="196"/>
      <c r="NQF58" s="196"/>
      <c r="NQG58" s="196"/>
      <c r="NQH58" s="196"/>
      <c r="NQI58" s="196"/>
      <c r="NQJ58" s="196"/>
      <c r="NQK58" s="196"/>
      <c r="NQL58" s="196"/>
      <c r="NQM58" s="196"/>
      <c r="NQN58" s="196"/>
      <c r="NQO58" s="196"/>
      <c r="NQP58" s="196"/>
      <c r="NQQ58" s="196"/>
      <c r="NQR58" s="196"/>
      <c r="NQS58" s="196"/>
      <c r="NQT58" s="196"/>
      <c r="NQU58" s="196"/>
      <c r="NQV58" s="196"/>
      <c r="NQW58" s="196"/>
      <c r="NQX58" s="196"/>
      <c r="NQY58" s="196"/>
      <c r="NQZ58" s="196"/>
      <c r="NRA58" s="196"/>
      <c r="NRB58" s="196"/>
      <c r="NRC58" s="196"/>
      <c r="NRD58" s="196"/>
      <c r="NRE58" s="196"/>
      <c r="NRF58" s="196"/>
      <c r="NRG58" s="196"/>
      <c r="NRH58" s="196"/>
      <c r="NRI58" s="196"/>
      <c r="NRJ58" s="196"/>
      <c r="NRK58" s="196"/>
      <c r="NRL58" s="196"/>
      <c r="NRM58" s="196"/>
      <c r="NRN58" s="196"/>
      <c r="NRO58" s="196"/>
      <c r="NRP58" s="196"/>
      <c r="NRQ58" s="196"/>
      <c r="NRR58" s="196"/>
      <c r="NRS58" s="196"/>
      <c r="NRT58" s="196"/>
      <c r="NRU58" s="196"/>
      <c r="NRV58" s="196"/>
      <c r="NRW58" s="196"/>
      <c r="NRX58" s="196"/>
      <c r="NRY58" s="196"/>
      <c r="NRZ58" s="196"/>
      <c r="NSA58" s="196"/>
      <c r="NSB58" s="196"/>
      <c r="NSC58" s="196"/>
      <c r="NSD58" s="196"/>
      <c r="NSE58" s="196"/>
      <c r="NSF58" s="196"/>
      <c r="NSG58" s="196"/>
      <c r="NSH58" s="196"/>
      <c r="NSI58" s="196"/>
      <c r="NSJ58" s="196"/>
      <c r="NSK58" s="196"/>
      <c r="NSL58" s="196"/>
      <c r="NSM58" s="196"/>
      <c r="NSN58" s="196"/>
      <c r="NSO58" s="196"/>
      <c r="NSP58" s="196"/>
      <c r="NSQ58" s="196"/>
      <c r="NSR58" s="196"/>
      <c r="NSS58" s="196"/>
      <c r="NST58" s="196"/>
      <c r="NSU58" s="196"/>
      <c r="NSV58" s="196"/>
      <c r="NSW58" s="196"/>
      <c r="NSX58" s="196"/>
      <c r="NSY58" s="196"/>
      <c r="NSZ58" s="196"/>
      <c r="NTA58" s="196"/>
      <c r="NTB58" s="196"/>
      <c r="NTC58" s="196"/>
      <c r="NTD58" s="196"/>
      <c r="NTE58" s="196"/>
      <c r="NTF58" s="196"/>
      <c r="NTG58" s="196"/>
      <c r="NTH58" s="196"/>
      <c r="NTI58" s="196"/>
      <c r="NTJ58" s="196"/>
      <c r="NTK58" s="196"/>
      <c r="NTL58" s="196"/>
      <c r="NTM58" s="196"/>
      <c r="NTN58" s="196"/>
      <c r="NTO58" s="196"/>
      <c r="NTP58" s="196"/>
      <c r="NTQ58" s="196"/>
      <c r="NTR58" s="196"/>
      <c r="NTS58" s="196"/>
      <c r="NTT58" s="196"/>
      <c r="NTU58" s="196"/>
      <c r="NTV58" s="196"/>
      <c r="NTW58" s="196"/>
      <c r="NTX58" s="196"/>
      <c r="NTY58" s="196"/>
      <c r="NTZ58" s="196"/>
      <c r="NUA58" s="196"/>
      <c r="NUB58" s="196"/>
      <c r="NUC58" s="196"/>
      <c r="NUD58" s="196"/>
      <c r="NUE58" s="196"/>
      <c r="NUF58" s="196"/>
      <c r="NUG58" s="196"/>
      <c r="NUH58" s="196"/>
      <c r="NUI58" s="196"/>
      <c r="NUJ58" s="196"/>
      <c r="NUK58" s="196"/>
      <c r="NUL58" s="196"/>
      <c r="NUM58" s="196"/>
      <c r="NUN58" s="196"/>
      <c r="NUO58" s="196"/>
      <c r="NUP58" s="196"/>
      <c r="NUQ58" s="196"/>
      <c r="NUR58" s="196"/>
      <c r="NUS58" s="196"/>
      <c r="NUT58" s="196"/>
      <c r="NUU58" s="196"/>
      <c r="NUV58" s="196"/>
      <c r="NUW58" s="196"/>
      <c r="NUX58" s="196"/>
      <c r="NUY58" s="196"/>
      <c r="NUZ58" s="196"/>
      <c r="NVA58" s="196"/>
      <c r="NVB58" s="196"/>
      <c r="NVC58" s="196"/>
      <c r="NVD58" s="196"/>
      <c r="NVE58" s="196"/>
      <c r="NVF58" s="196"/>
      <c r="NVG58" s="196"/>
      <c r="NVH58" s="196"/>
      <c r="NVI58" s="196"/>
      <c r="NVJ58" s="196"/>
      <c r="NVK58" s="196"/>
      <c r="NVL58" s="196"/>
      <c r="NVM58" s="196"/>
      <c r="NVN58" s="196"/>
      <c r="NVO58" s="196"/>
      <c r="NVP58" s="196"/>
      <c r="NVQ58" s="196"/>
      <c r="NVR58" s="196"/>
      <c r="NVS58" s="196"/>
      <c r="NVT58" s="196"/>
      <c r="NVU58" s="196"/>
      <c r="NVV58" s="196"/>
      <c r="NVW58" s="196"/>
      <c r="NVX58" s="196"/>
      <c r="NVY58" s="196"/>
      <c r="NVZ58" s="196"/>
      <c r="NWA58" s="196"/>
      <c r="NWB58" s="196"/>
      <c r="NWC58" s="196"/>
      <c r="NWD58" s="196"/>
      <c r="NWE58" s="196"/>
      <c r="NWF58" s="196"/>
      <c r="NWG58" s="196"/>
      <c r="NWH58" s="196"/>
      <c r="NWI58" s="196"/>
      <c r="NWJ58" s="196"/>
      <c r="NWK58" s="196"/>
      <c r="NWL58" s="196"/>
      <c r="NWM58" s="196"/>
      <c r="NWN58" s="196"/>
      <c r="NWO58" s="196"/>
      <c r="NWP58" s="196"/>
      <c r="NWQ58" s="196"/>
      <c r="NWR58" s="196"/>
      <c r="NWS58" s="196"/>
      <c r="NWT58" s="196"/>
      <c r="NWU58" s="196"/>
      <c r="NWV58" s="196"/>
      <c r="NWW58" s="196"/>
      <c r="NWX58" s="196"/>
      <c r="NWY58" s="196"/>
      <c r="NWZ58" s="196"/>
      <c r="NXA58" s="196"/>
      <c r="NXB58" s="196"/>
      <c r="NXC58" s="196"/>
      <c r="NXD58" s="196"/>
      <c r="NXE58" s="196"/>
      <c r="NXF58" s="196"/>
      <c r="NXG58" s="196"/>
      <c r="NXH58" s="196"/>
      <c r="NXI58" s="196"/>
      <c r="NXJ58" s="196"/>
      <c r="NXK58" s="196"/>
      <c r="NXL58" s="196"/>
      <c r="NXM58" s="196"/>
      <c r="NXN58" s="196"/>
      <c r="NXO58" s="196"/>
      <c r="NXP58" s="196"/>
      <c r="NXQ58" s="196"/>
      <c r="NXR58" s="196"/>
      <c r="NXS58" s="196"/>
      <c r="NXT58" s="196"/>
      <c r="NXU58" s="196"/>
      <c r="NXV58" s="196"/>
      <c r="NXW58" s="196"/>
      <c r="NXX58" s="196"/>
      <c r="NXY58" s="196"/>
      <c r="NXZ58" s="196"/>
      <c r="NYA58" s="196"/>
      <c r="NYB58" s="196"/>
      <c r="NYC58" s="196"/>
      <c r="NYD58" s="196"/>
      <c r="NYE58" s="196"/>
      <c r="NYF58" s="196"/>
      <c r="NYG58" s="196"/>
      <c r="NYH58" s="196"/>
      <c r="NYI58" s="196"/>
      <c r="NYJ58" s="196"/>
      <c r="NYK58" s="196"/>
      <c r="NYL58" s="196"/>
      <c r="NYM58" s="196"/>
      <c r="NYN58" s="196"/>
      <c r="NYO58" s="196"/>
      <c r="NYP58" s="196"/>
      <c r="NYQ58" s="196"/>
      <c r="NYR58" s="196"/>
      <c r="NYS58" s="196"/>
      <c r="NYT58" s="196"/>
      <c r="NYU58" s="196"/>
      <c r="NYV58" s="196"/>
      <c r="NYW58" s="196"/>
      <c r="NYX58" s="196"/>
      <c r="NYY58" s="196"/>
      <c r="NYZ58" s="196"/>
      <c r="NZA58" s="196"/>
      <c r="NZB58" s="196"/>
      <c r="NZC58" s="196"/>
      <c r="NZD58" s="196"/>
      <c r="NZE58" s="196"/>
      <c r="NZF58" s="196"/>
      <c r="NZG58" s="196"/>
      <c r="NZH58" s="196"/>
      <c r="NZI58" s="196"/>
      <c r="NZJ58" s="196"/>
      <c r="NZK58" s="196"/>
      <c r="NZL58" s="196"/>
      <c r="NZM58" s="196"/>
      <c r="NZN58" s="196"/>
      <c r="NZO58" s="196"/>
      <c r="NZP58" s="196"/>
      <c r="NZQ58" s="196"/>
      <c r="NZR58" s="196"/>
      <c r="NZS58" s="196"/>
      <c r="NZT58" s="196"/>
      <c r="NZU58" s="196"/>
      <c r="NZV58" s="196"/>
      <c r="NZW58" s="196"/>
      <c r="NZX58" s="196"/>
      <c r="NZY58" s="196"/>
      <c r="NZZ58" s="196"/>
      <c r="OAA58" s="196"/>
      <c r="OAB58" s="196"/>
      <c r="OAC58" s="196"/>
      <c r="OAD58" s="196"/>
      <c r="OAE58" s="196"/>
      <c r="OAF58" s="196"/>
      <c r="OAG58" s="196"/>
      <c r="OAH58" s="196"/>
      <c r="OAI58" s="196"/>
      <c r="OAJ58" s="196"/>
      <c r="OAK58" s="196"/>
      <c r="OAL58" s="196"/>
      <c r="OAM58" s="196"/>
      <c r="OAN58" s="196"/>
      <c r="OAO58" s="196"/>
      <c r="OAP58" s="196"/>
      <c r="OAQ58" s="196"/>
      <c r="OAR58" s="196"/>
      <c r="OAS58" s="196"/>
      <c r="OAT58" s="196"/>
      <c r="OAU58" s="196"/>
      <c r="OAV58" s="196"/>
      <c r="OAW58" s="196"/>
      <c r="OAX58" s="196"/>
      <c r="OAY58" s="196"/>
      <c r="OAZ58" s="196"/>
      <c r="OBA58" s="196"/>
      <c r="OBB58" s="196"/>
      <c r="OBC58" s="196"/>
      <c r="OBD58" s="196"/>
      <c r="OBE58" s="196"/>
      <c r="OBF58" s="196"/>
      <c r="OBG58" s="196"/>
      <c r="OBH58" s="196"/>
      <c r="OBI58" s="196"/>
      <c r="OBJ58" s="196"/>
      <c r="OBK58" s="196"/>
      <c r="OBL58" s="196"/>
      <c r="OBM58" s="196"/>
      <c r="OBN58" s="196"/>
      <c r="OBO58" s="196"/>
      <c r="OBP58" s="196"/>
      <c r="OBQ58" s="196"/>
      <c r="OBR58" s="196"/>
      <c r="OBS58" s="196"/>
      <c r="OBT58" s="196"/>
      <c r="OBU58" s="196"/>
      <c r="OBV58" s="196"/>
      <c r="OBW58" s="196"/>
      <c r="OBX58" s="196"/>
      <c r="OBY58" s="196"/>
      <c r="OBZ58" s="196"/>
      <c r="OCA58" s="196"/>
      <c r="OCB58" s="196"/>
      <c r="OCC58" s="196"/>
      <c r="OCD58" s="196"/>
      <c r="OCE58" s="196"/>
      <c r="OCF58" s="196"/>
      <c r="OCG58" s="196"/>
      <c r="OCH58" s="196"/>
      <c r="OCI58" s="196"/>
      <c r="OCJ58" s="196"/>
      <c r="OCK58" s="196"/>
      <c r="OCL58" s="196"/>
      <c r="OCM58" s="196"/>
      <c r="OCN58" s="196"/>
      <c r="OCO58" s="196"/>
      <c r="OCP58" s="196"/>
      <c r="OCQ58" s="196"/>
      <c r="OCR58" s="196"/>
      <c r="OCS58" s="196"/>
      <c r="OCT58" s="196"/>
      <c r="OCU58" s="196"/>
      <c r="OCV58" s="196"/>
      <c r="OCW58" s="196"/>
      <c r="OCX58" s="196"/>
      <c r="OCY58" s="196"/>
      <c r="OCZ58" s="196"/>
      <c r="ODA58" s="196"/>
      <c r="ODB58" s="196"/>
      <c r="ODC58" s="196"/>
      <c r="ODD58" s="196"/>
      <c r="ODE58" s="196"/>
      <c r="ODF58" s="196"/>
      <c r="ODG58" s="196"/>
      <c r="ODH58" s="196"/>
      <c r="ODI58" s="196"/>
      <c r="ODJ58" s="196"/>
      <c r="ODK58" s="196"/>
      <c r="ODL58" s="196"/>
      <c r="ODM58" s="196"/>
      <c r="ODN58" s="196"/>
      <c r="ODO58" s="196"/>
      <c r="ODP58" s="196"/>
      <c r="ODQ58" s="196"/>
      <c r="ODR58" s="196"/>
      <c r="ODS58" s="196"/>
      <c r="ODT58" s="196"/>
      <c r="ODU58" s="196"/>
      <c r="ODV58" s="196"/>
      <c r="ODW58" s="196"/>
      <c r="ODX58" s="196"/>
      <c r="ODY58" s="196"/>
      <c r="ODZ58" s="196"/>
      <c r="OEA58" s="196"/>
      <c r="OEB58" s="196"/>
      <c r="OEC58" s="196"/>
      <c r="OED58" s="196"/>
      <c r="OEE58" s="196"/>
      <c r="OEF58" s="196"/>
      <c r="OEG58" s="196"/>
      <c r="OEH58" s="196"/>
      <c r="OEI58" s="196"/>
      <c r="OEJ58" s="196"/>
      <c r="OEK58" s="196"/>
      <c r="OEL58" s="196"/>
      <c r="OEM58" s="196"/>
      <c r="OEN58" s="196"/>
      <c r="OEO58" s="196"/>
      <c r="OEP58" s="196"/>
      <c r="OEQ58" s="196"/>
      <c r="OER58" s="196"/>
      <c r="OES58" s="196"/>
      <c r="OET58" s="196"/>
      <c r="OEU58" s="196"/>
      <c r="OEV58" s="196"/>
      <c r="OEW58" s="196"/>
      <c r="OEX58" s="196"/>
      <c r="OEY58" s="196"/>
      <c r="OEZ58" s="196"/>
      <c r="OFA58" s="196"/>
      <c r="OFB58" s="196"/>
      <c r="OFC58" s="196"/>
      <c r="OFD58" s="196"/>
      <c r="OFE58" s="196"/>
      <c r="OFF58" s="196"/>
      <c r="OFG58" s="196"/>
      <c r="OFH58" s="196"/>
      <c r="OFI58" s="196"/>
      <c r="OFJ58" s="196"/>
      <c r="OFK58" s="196"/>
      <c r="OFL58" s="196"/>
      <c r="OFM58" s="196"/>
      <c r="OFN58" s="196"/>
      <c r="OFO58" s="196"/>
      <c r="OFP58" s="196"/>
      <c r="OFQ58" s="196"/>
      <c r="OFR58" s="196"/>
      <c r="OFS58" s="196"/>
      <c r="OFT58" s="196"/>
      <c r="OFU58" s="196"/>
      <c r="OFV58" s="196"/>
      <c r="OFW58" s="196"/>
      <c r="OFX58" s="196"/>
      <c r="OFY58" s="196"/>
      <c r="OFZ58" s="196"/>
      <c r="OGA58" s="196"/>
      <c r="OGB58" s="196"/>
      <c r="OGC58" s="196"/>
      <c r="OGD58" s="196"/>
      <c r="OGE58" s="196"/>
      <c r="OGF58" s="196"/>
      <c r="OGG58" s="196"/>
      <c r="OGH58" s="196"/>
      <c r="OGI58" s="196"/>
      <c r="OGJ58" s="196"/>
      <c r="OGK58" s="196"/>
      <c r="OGL58" s="196"/>
      <c r="OGM58" s="196"/>
      <c r="OGN58" s="196"/>
      <c r="OGO58" s="196"/>
      <c r="OGP58" s="196"/>
      <c r="OGQ58" s="196"/>
      <c r="OGR58" s="196"/>
      <c r="OGS58" s="196"/>
      <c r="OGT58" s="196"/>
      <c r="OGU58" s="196"/>
      <c r="OGV58" s="196"/>
      <c r="OGW58" s="196"/>
      <c r="OGX58" s="196"/>
      <c r="OGY58" s="196"/>
      <c r="OGZ58" s="196"/>
      <c r="OHA58" s="196"/>
      <c r="OHB58" s="196"/>
      <c r="OHC58" s="196"/>
      <c r="OHD58" s="196"/>
      <c r="OHE58" s="196"/>
      <c r="OHF58" s="196"/>
      <c r="OHG58" s="196"/>
      <c r="OHH58" s="196"/>
      <c r="OHI58" s="196"/>
      <c r="OHJ58" s="196"/>
      <c r="OHK58" s="196"/>
      <c r="OHL58" s="196"/>
      <c r="OHM58" s="196"/>
      <c r="OHN58" s="196"/>
      <c r="OHO58" s="196"/>
      <c r="OHP58" s="196"/>
      <c r="OHQ58" s="196"/>
      <c r="OHR58" s="196"/>
      <c r="OHS58" s="196"/>
      <c r="OHT58" s="196"/>
      <c r="OHU58" s="196"/>
      <c r="OHV58" s="196"/>
      <c r="OHW58" s="196"/>
      <c r="OHX58" s="196"/>
      <c r="OHY58" s="196"/>
      <c r="OHZ58" s="196"/>
      <c r="OIA58" s="196"/>
      <c r="OIB58" s="196"/>
      <c r="OIC58" s="196"/>
      <c r="OID58" s="196"/>
      <c r="OIE58" s="196"/>
      <c r="OIF58" s="196"/>
      <c r="OIG58" s="196"/>
      <c r="OIH58" s="196"/>
      <c r="OII58" s="196"/>
      <c r="OIJ58" s="196"/>
      <c r="OIK58" s="196"/>
      <c r="OIL58" s="196"/>
      <c r="OIM58" s="196"/>
      <c r="OIN58" s="196"/>
      <c r="OIO58" s="196"/>
      <c r="OIP58" s="196"/>
      <c r="OIQ58" s="196"/>
      <c r="OIR58" s="196"/>
      <c r="OIS58" s="196"/>
      <c r="OIT58" s="196"/>
      <c r="OIU58" s="196"/>
      <c r="OIV58" s="196"/>
      <c r="OIW58" s="196"/>
      <c r="OIX58" s="196"/>
      <c r="OIY58" s="196"/>
      <c r="OIZ58" s="196"/>
      <c r="OJA58" s="196"/>
      <c r="OJB58" s="196"/>
      <c r="OJC58" s="196"/>
      <c r="OJD58" s="196"/>
      <c r="OJE58" s="196"/>
      <c r="OJF58" s="196"/>
      <c r="OJG58" s="196"/>
      <c r="OJH58" s="196"/>
      <c r="OJI58" s="196"/>
      <c r="OJJ58" s="196"/>
      <c r="OJK58" s="196"/>
      <c r="OJL58" s="196"/>
      <c r="OJM58" s="196"/>
      <c r="OJN58" s="196"/>
      <c r="OJO58" s="196"/>
      <c r="OJP58" s="196"/>
      <c r="OJQ58" s="196"/>
      <c r="OJR58" s="196"/>
      <c r="OJS58" s="196"/>
      <c r="OJT58" s="196"/>
      <c r="OJU58" s="196"/>
      <c r="OJV58" s="196"/>
      <c r="OJW58" s="196"/>
      <c r="OJX58" s="196"/>
      <c r="OJY58" s="196"/>
      <c r="OJZ58" s="196"/>
      <c r="OKA58" s="196"/>
      <c r="OKB58" s="196"/>
      <c r="OKC58" s="196"/>
      <c r="OKD58" s="196"/>
      <c r="OKE58" s="196"/>
      <c r="OKF58" s="196"/>
      <c r="OKG58" s="196"/>
      <c r="OKH58" s="196"/>
      <c r="OKI58" s="196"/>
      <c r="OKJ58" s="196"/>
      <c r="OKK58" s="196"/>
      <c r="OKL58" s="196"/>
      <c r="OKM58" s="196"/>
      <c r="OKN58" s="196"/>
      <c r="OKO58" s="196"/>
      <c r="OKP58" s="196"/>
      <c r="OKQ58" s="196"/>
      <c r="OKR58" s="196"/>
      <c r="OKS58" s="196"/>
      <c r="OKT58" s="196"/>
      <c r="OKU58" s="196"/>
      <c r="OKV58" s="196"/>
      <c r="OKW58" s="196"/>
      <c r="OKX58" s="196"/>
      <c r="OKY58" s="196"/>
      <c r="OKZ58" s="196"/>
      <c r="OLA58" s="196"/>
      <c r="OLB58" s="196"/>
      <c r="OLC58" s="196"/>
      <c r="OLD58" s="196"/>
      <c r="OLE58" s="196"/>
      <c r="OLF58" s="196"/>
      <c r="OLG58" s="196"/>
      <c r="OLH58" s="196"/>
      <c r="OLI58" s="196"/>
      <c r="OLJ58" s="196"/>
      <c r="OLK58" s="196"/>
      <c r="OLL58" s="196"/>
      <c r="OLM58" s="196"/>
      <c r="OLN58" s="196"/>
      <c r="OLO58" s="196"/>
      <c r="OLP58" s="196"/>
      <c r="OLQ58" s="196"/>
      <c r="OLR58" s="196"/>
      <c r="OLS58" s="196"/>
      <c r="OLT58" s="196"/>
      <c r="OLU58" s="196"/>
      <c r="OLV58" s="196"/>
      <c r="OLW58" s="196"/>
      <c r="OLX58" s="196"/>
      <c r="OLY58" s="196"/>
      <c r="OLZ58" s="196"/>
      <c r="OMA58" s="196"/>
      <c r="OMB58" s="196"/>
      <c r="OMC58" s="196"/>
      <c r="OMD58" s="196"/>
      <c r="OME58" s="196"/>
      <c r="OMF58" s="196"/>
      <c r="OMG58" s="196"/>
      <c r="OMH58" s="196"/>
      <c r="OMI58" s="196"/>
      <c r="OMJ58" s="196"/>
      <c r="OMK58" s="196"/>
      <c r="OML58" s="196"/>
      <c r="OMM58" s="196"/>
      <c r="OMN58" s="196"/>
      <c r="OMO58" s="196"/>
      <c r="OMP58" s="196"/>
      <c r="OMQ58" s="196"/>
      <c r="OMR58" s="196"/>
      <c r="OMS58" s="196"/>
      <c r="OMT58" s="196"/>
      <c r="OMU58" s="196"/>
      <c r="OMV58" s="196"/>
      <c r="OMW58" s="196"/>
      <c r="OMX58" s="196"/>
      <c r="OMY58" s="196"/>
      <c r="OMZ58" s="196"/>
      <c r="ONA58" s="196"/>
      <c r="ONB58" s="196"/>
      <c r="ONC58" s="196"/>
      <c r="OND58" s="196"/>
      <c r="ONE58" s="196"/>
      <c r="ONF58" s="196"/>
      <c r="ONG58" s="196"/>
      <c r="ONH58" s="196"/>
      <c r="ONI58" s="196"/>
      <c r="ONJ58" s="196"/>
      <c r="ONK58" s="196"/>
      <c r="ONL58" s="196"/>
      <c r="ONM58" s="196"/>
      <c r="ONN58" s="196"/>
      <c r="ONO58" s="196"/>
      <c r="ONP58" s="196"/>
      <c r="ONQ58" s="196"/>
      <c r="ONR58" s="196"/>
      <c r="ONS58" s="196"/>
      <c r="ONT58" s="196"/>
      <c r="ONU58" s="196"/>
      <c r="ONV58" s="196"/>
      <c r="ONW58" s="196"/>
      <c r="ONX58" s="196"/>
      <c r="ONY58" s="196"/>
      <c r="ONZ58" s="196"/>
      <c r="OOA58" s="196"/>
      <c r="OOB58" s="196"/>
      <c r="OOC58" s="196"/>
      <c r="OOD58" s="196"/>
      <c r="OOE58" s="196"/>
      <c r="OOF58" s="196"/>
      <c r="OOG58" s="196"/>
      <c r="OOH58" s="196"/>
      <c r="OOI58" s="196"/>
      <c r="OOJ58" s="196"/>
      <c r="OOK58" s="196"/>
      <c r="OOL58" s="196"/>
      <c r="OOM58" s="196"/>
      <c r="OON58" s="196"/>
      <c r="OOO58" s="196"/>
      <c r="OOP58" s="196"/>
      <c r="OOQ58" s="196"/>
      <c r="OOR58" s="196"/>
      <c r="OOS58" s="196"/>
      <c r="OOT58" s="196"/>
      <c r="OOU58" s="196"/>
      <c r="OOV58" s="196"/>
      <c r="OOW58" s="196"/>
      <c r="OOX58" s="196"/>
      <c r="OOY58" s="196"/>
      <c r="OOZ58" s="196"/>
      <c r="OPA58" s="196"/>
      <c r="OPB58" s="196"/>
      <c r="OPC58" s="196"/>
      <c r="OPD58" s="196"/>
      <c r="OPE58" s="196"/>
      <c r="OPF58" s="196"/>
      <c r="OPG58" s="196"/>
      <c r="OPH58" s="196"/>
      <c r="OPI58" s="196"/>
      <c r="OPJ58" s="196"/>
      <c r="OPK58" s="196"/>
      <c r="OPL58" s="196"/>
      <c r="OPM58" s="196"/>
      <c r="OPN58" s="196"/>
      <c r="OPO58" s="196"/>
      <c r="OPP58" s="196"/>
      <c r="OPQ58" s="196"/>
      <c r="OPR58" s="196"/>
      <c r="OPS58" s="196"/>
      <c r="OPT58" s="196"/>
      <c r="OPU58" s="196"/>
      <c r="OPV58" s="196"/>
      <c r="OPW58" s="196"/>
      <c r="OPX58" s="196"/>
      <c r="OPY58" s="196"/>
      <c r="OPZ58" s="196"/>
      <c r="OQA58" s="196"/>
      <c r="OQB58" s="196"/>
      <c r="OQC58" s="196"/>
      <c r="OQD58" s="196"/>
      <c r="OQE58" s="196"/>
      <c r="OQF58" s="196"/>
      <c r="OQG58" s="196"/>
      <c r="OQH58" s="196"/>
      <c r="OQI58" s="196"/>
      <c r="OQJ58" s="196"/>
      <c r="OQK58" s="196"/>
      <c r="OQL58" s="196"/>
      <c r="OQM58" s="196"/>
      <c r="OQN58" s="196"/>
      <c r="OQO58" s="196"/>
      <c r="OQP58" s="196"/>
      <c r="OQQ58" s="196"/>
      <c r="OQR58" s="196"/>
      <c r="OQS58" s="196"/>
      <c r="OQT58" s="196"/>
      <c r="OQU58" s="196"/>
      <c r="OQV58" s="196"/>
      <c r="OQW58" s="196"/>
      <c r="OQX58" s="196"/>
      <c r="OQY58" s="196"/>
      <c r="OQZ58" s="196"/>
      <c r="ORA58" s="196"/>
      <c r="ORB58" s="196"/>
      <c r="ORC58" s="196"/>
      <c r="ORD58" s="196"/>
      <c r="ORE58" s="196"/>
      <c r="ORF58" s="196"/>
      <c r="ORG58" s="196"/>
      <c r="ORH58" s="196"/>
      <c r="ORI58" s="196"/>
      <c r="ORJ58" s="196"/>
      <c r="ORK58" s="196"/>
      <c r="ORL58" s="196"/>
      <c r="ORM58" s="196"/>
      <c r="ORN58" s="196"/>
      <c r="ORO58" s="196"/>
      <c r="ORP58" s="196"/>
      <c r="ORQ58" s="196"/>
      <c r="ORR58" s="196"/>
      <c r="ORS58" s="196"/>
      <c r="ORT58" s="196"/>
      <c r="ORU58" s="196"/>
      <c r="ORV58" s="196"/>
      <c r="ORW58" s="196"/>
      <c r="ORX58" s="196"/>
      <c r="ORY58" s="196"/>
      <c r="ORZ58" s="196"/>
      <c r="OSA58" s="196"/>
      <c r="OSB58" s="196"/>
      <c r="OSC58" s="196"/>
      <c r="OSD58" s="196"/>
      <c r="OSE58" s="196"/>
      <c r="OSF58" s="196"/>
      <c r="OSG58" s="196"/>
      <c r="OSH58" s="196"/>
      <c r="OSI58" s="196"/>
      <c r="OSJ58" s="196"/>
      <c r="OSK58" s="196"/>
      <c r="OSL58" s="196"/>
      <c r="OSM58" s="196"/>
      <c r="OSN58" s="196"/>
      <c r="OSO58" s="196"/>
      <c r="OSP58" s="196"/>
      <c r="OSQ58" s="196"/>
      <c r="OSR58" s="196"/>
      <c r="OSS58" s="196"/>
      <c r="OST58" s="196"/>
      <c r="OSU58" s="196"/>
      <c r="OSV58" s="196"/>
      <c r="OSW58" s="196"/>
      <c r="OSX58" s="196"/>
      <c r="OSY58" s="196"/>
      <c r="OSZ58" s="196"/>
      <c r="OTA58" s="196"/>
      <c r="OTB58" s="196"/>
      <c r="OTC58" s="196"/>
      <c r="OTD58" s="196"/>
      <c r="OTE58" s="196"/>
      <c r="OTF58" s="196"/>
      <c r="OTG58" s="196"/>
      <c r="OTH58" s="196"/>
      <c r="OTI58" s="196"/>
      <c r="OTJ58" s="196"/>
      <c r="OTK58" s="196"/>
      <c r="OTL58" s="196"/>
      <c r="OTM58" s="196"/>
      <c r="OTN58" s="196"/>
      <c r="OTO58" s="196"/>
      <c r="OTP58" s="196"/>
      <c r="OTQ58" s="196"/>
      <c r="OTR58" s="196"/>
      <c r="OTS58" s="196"/>
      <c r="OTT58" s="196"/>
      <c r="OTU58" s="196"/>
      <c r="OTV58" s="196"/>
      <c r="OTW58" s="196"/>
      <c r="OTX58" s="196"/>
      <c r="OTY58" s="196"/>
      <c r="OTZ58" s="196"/>
      <c r="OUA58" s="196"/>
      <c r="OUB58" s="196"/>
      <c r="OUC58" s="196"/>
      <c r="OUD58" s="196"/>
      <c r="OUE58" s="196"/>
      <c r="OUF58" s="196"/>
      <c r="OUG58" s="196"/>
      <c r="OUH58" s="196"/>
      <c r="OUI58" s="196"/>
      <c r="OUJ58" s="196"/>
      <c r="OUK58" s="196"/>
      <c r="OUL58" s="196"/>
      <c r="OUM58" s="196"/>
      <c r="OUN58" s="196"/>
      <c r="OUO58" s="196"/>
      <c r="OUP58" s="196"/>
      <c r="OUQ58" s="196"/>
      <c r="OUR58" s="196"/>
      <c r="OUS58" s="196"/>
      <c r="OUT58" s="196"/>
      <c r="OUU58" s="196"/>
      <c r="OUV58" s="196"/>
      <c r="OUW58" s="196"/>
      <c r="OUX58" s="196"/>
      <c r="OUY58" s="196"/>
      <c r="OUZ58" s="196"/>
      <c r="OVA58" s="196"/>
      <c r="OVB58" s="196"/>
      <c r="OVC58" s="196"/>
      <c r="OVD58" s="196"/>
      <c r="OVE58" s="196"/>
      <c r="OVF58" s="196"/>
      <c r="OVG58" s="196"/>
      <c r="OVH58" s="196"/>
      <c r="OVI58" s="196"/>
      <c r="OVJ58" s="196"/>
      <c r="OVK58" s="196"/>
      <c r="OVL58" s="196"/>
      <c r="OVM58" s="196"/>
      <c r="OVN58" s="196"/>
      <c r="OVO58" s="196"/>
      <c r="OVP58" s="196"/>
      <c r="OVQ58" s="196"/>
      <c r="OVR58" s="196"/>
      <c r="OVS58" s="196"/>
      <c r="OVT58" s="196"/>
      <c r="OVU58" s="196"/>
      <c r="OVV58" s="196"/>
      <c r="OVW58" s="196"/>
      <c r="OVX58" s="196"/>
      <c r="OVY58" s="196"/>
      <c r="OVZ58" s="196"/>
      <c r="OWA58" s="196"/>
      <c r="OWB58" s="196"/>
      <c r="OWC58" s="196"/>
      <c r="OWD58" s="196"/>
      <c r="OWE58" s="196"/>
      <c r="OWF58" s="196"/>
      <c r="OWG58" s="196"/>
      <c r="OWH58" s="196"/>
      <c r="OWI58" s="196"/>
      <c r="OWJ58" s="196"/>
      <c r="OWK58" s="196"/>
      <c r="OWL58" s="196"/>
      <c r="OWM58" s="196"/>
      <c r="OWN58" s="196"/>
      <c r="OWO58" s="196"/>
      <c r="OWP58" s="196"/>
      <c r="OWQ58" s="196"/>
      <c r="OWR58" s="196"/>
      <c r="OWS58" s="196"/>
      <c r="OWT58" s="196"/>
      <c r="OWU58" s="196"/>
      <c r="OWV58" s="196"/>
      <c r="OWW58" s="196"/>
      <c r="OWX58" s="196"/>
      <c r="OWY58" s="196"/>
      <c r="OWZ58" s="196"/>
      <c r="OXA58" s="196"/>
      <c r="OXB58" s="196"/>
      <c r="OXC58" s="196"/>
      <c r="OXD58" s="196"/>
      <c r="OXE58" s="196"/>
      <c r="OXF58" s="196"/>
      <c r="OXG58" s="196"/>
      <c r="OXH58" s="196"/>
      <c r="OXI58" s="196"/>
      <c r="OXJ58" s="196"/>
      <c r="OXK58" s="196"/>
      <c r="OXL58" s="196"/>
      <c r="OXM58" s="196"/>
      <c r="OXN58" s="196"/>
      <c r="OXO58" s="196"/>
      <c r="OXP58" s="196"/>
      <c r="OXQ58" s="196"/>
      <c r="OXR58" s="196"/>
      <c r="OXS58" s="196"/>
      <c r="OXT58" s="196"/>
      <c r="OXU58" s="196"/>
      <c r="OXV58" s="196"/>
      <c r="OXW58" s="196"/>
      <c r="OXX58" s="196"/>
      <c r="OXY58" s="196"/>
      <c r="OXZ58" s="196"/>
      <c r="OYA58" s="196"/>
      <c r="OYB58" s="196"/>
      <c r="OYC58" s="196"/>
      <c r="OYD58" s="196"/>
      <c r="OYE58" s="196"/>
      <c r="OYF58" s="196"/>
      <c r="OYG58" s="196"/>
      <c r="OYH58" s="196"/>
      <c r="OYI58" s="196"/>
      <c r="OYJ58" s="196"/>
      <c r="OYK58" s="196"/>
      <c r="OYL58" s="196"/>
      <c r="OYM58" s="196"/>
      <c r="OYN58" s="196"/>
      <c r="OYO58" s="196"/>
      <c r="OYP58" s="196"/>
      <c r="OYQ58" s="196"/>
      <c r="OYR58" s="196"/>
      <c r="OYS58" s="196"/>
      <c r="OYT58" s="196"/>
      <c r="OYU58" s="196"/>
      <c r="OYV58" s="196"/>
      <c r="OYW58" s="196"/>
      <c r="OYX58" s="196"/>
      <c r="OYY58" s="196"/>
      <c r="OYZ58" s="196"/>
      <c r="OZA58" s="196"/>
      <c r="OZB58" s="196"/>
      <c r="OZC58" s="196"/>
      <c r="OZD58" s="196"/>
      <c r="OZE58" s="196"/>
      <c r="OZF58" s="196"/>
      <c r="OZG58" s="196"/>
      <c r="OZH58" s="196"/>
      <c r="OZI58" s="196"/>
      <c r="OZJ58" s="196"/>
      <c r="OZK58" s="196"/>
      <c r="OZL58" s="196"/>
      <c r="OZM58" s="196"/>
      <c r="OZN58" s="196"/>
      <c r="OZO58" s="196"/>
      <c r="OZP58" s="196"/>
      <c r="OZQ58" s="196"/>
      <c r="OZR58" s="196"/>
      <c r="OZS58" s="196"/>
      <c r="OZT58" s="196"/>
      <c r="OZU58" s="196"/>
      <c r="OZV58" s="196"/>
      <c r="OZW58" s="196"/>
      <c r="OZX58" s="196"/>
      <c r="OZY58" s="196"/>
      <c r="OZZ58" s="196"/>
      <c r="PAA58" s="196"/>
      <c r="PAB58" s="196"/>
      <c r="PAC58" s="196"/>
      <c r="PAD58" s="196"/>
      <c r="PAE58" s="196"/>
      <c r="PAF58" s="196"/>
      <c r="PAG58" s="196"/>
      <c r="PAH58" s="196"/>
      <c r="PAI58" s="196"/>
      <c r="PAJ58" s="196"/>
      <c r="PAK58" s="196"/>
      <c r="PAL58" s="196"/>
      <c r="PAM58" s="196"/>
      <c r="PAN58" s="196"/>
      <c r="PAO58" s="196"/>
      <c r="PAP58" s="196"/>
      <c r="PAQ58" s="196"/>
      <c r="PAR58" s="196"/>
      <c r="PAS58" s="196"/>
      <c r="PAT58" s="196"/>
      <c r="PAU58" s="196"/>
      <c r="PAV58" s="196"/>
      <c r="PAW58" s="196"/>
      <c r="PAX58" s="196"/>
      <c r="PAY58" s="196"/>
      <c r="PAZ58" s="196"/>
      <c r="PBA58" s="196"/>
      <c r="PBB58" s="196"/>
      <c r="PBC58" s="196"/>
      <c r="PBD58" s="196"/>
      <c r="PBE58" s="196"/>
      <c r="PBF58" s="196"/>
      <c r="PBG58" s="196"/>
      <c r="PBH58" s="196"/>
      <c r="PBI58" s="196"/>
      <c r="PBJ58" s="196"/>
      <c r="PBK58" s="196"/>
      <c r="PBL58" s="196"/>
      <c r="PBM58" s="196"/>
      <c r="PBN58" s="196"/>
      <c r="PBO58" s="196"/>
      <c r="PBP58" s="196"/>
      <c r="PBQ58" s="196"/>
      <c r="PBR58" s="196"/>
      <c r="PBS58" s="196"/>
      <c r="PBT58" s="196"/>
      <c r="PBU58" s="196"/>
      <c r="PBV58" s="196"/>
      <c r="PBW58" s="196"/>
      <c r="PBX58" s="196"/>
      <c r="PBY58" s="196"/>
      <c r="PBZ58" s="196"/>
      <c r="PCA58" s="196"/>
      <c r="PCB58" s="196"/>
      <c r="PCC58" s="196"/>
      <c r="PCD58" s="196"/>
      <c r="PCE58" s="196"/>
      <c r="PCF58" s="196"/>
      <c r="PCG58" s="196"/>
      <c r="PCH58" s="196"/>
      <c r="PCI58" s="196"/>
      <c r="PCJ58" s="196"/>
      <c r="PCK58" s="196"/>
      <c r="PCL58" s="196"/>
      <c r="PCM58" s="196"/>
      <c r="PCN58" s="196"/>
      <c r="PCO58" s="196"/>
      <c r="PCP58" s="196"/>
      <c r="PCQ58" s="196"/>
      <c r="PCR58" s="196"/>
      <c r="PCS58" s="196"/>
      <c r="PCT58" s="196"/>
      <c r="PCU58" s="196"/>
      <c r="PCV58" s="196"/>
      <c r="PCW58" s="196"/>
      <c r="PCX58" s="196"/>
      <c r="PCY58" s="196"/>
      <c r="PCZ58" s="196"/>
      <c r="PDA58" s="196"/>
      <c r="PDB58" s="196"/>
      <c r="PDC58" s="196"/>
      <c r="PDD58" s="196"/>
      <c r="PDE58" s="196"/>
      <c r="PDF58" s="196"/>
      <c r="PDG58" s="196"/>
      <c r="PDH58" s="196"/>
      <c r="PDI58" s="196"/>
      <c r="PDJ58" s="196"/>
      <c r="PDK58" s="196"/>
      <c r="PDL58" s="196"/>
      <c r="PDM58" s="196"/>
      <c r="PDN58" s="196"/>
      <c r="PDO58" s="196"/>
      <c r="PDP58" s="196"/>
      <c r="PDQ58" s="196"/>
      <c r="PDR58" s="196"/>
      <c r="PDS58" s="196"/>
      <c r="PDT58" s="196"/>
      <c r="PDU58" s="196"/>
      <c r="PDV58" s="196"/>
      <c r="PDW58" s="196"/>
      <c r="PDX58" s="196"/>
      <c r="PDY58" s="196"/>
      <c r="PDZ58" s="196"/>
      <c r="PEA58" s="196"/>
      <c r="PEB58" s="196"/>
      <c r="PEC58" s="196"/>
      <c r="PED58" s="196"/>
      <c r="PEE58" s="196"/>
      <c r="PEF58" s="196"/>
      <c r="PEG58" s="196"/>
      <c r="PEH58" s="196"/>
      <c r="PEI58" s="196"/>
      <c r="PEJ58" s="196"/>
      <c r="PEK58" s="196"/>
      <c r="PEL58" s="196"/>
      <c r="PEM58" s="196"/>
      <c r="PEN58" s="196"/>
      <c r="PEO58" s="196"/>
      <c r="PEP58" s="196"/>
      <c r="PEQ58" s="196"/>
      <c r="PER58" s="196"/>
      <c r="PES58" s="196"/>
      <c r="PET58" s="196"/>
      <c r="PEU58" s="196"/>
      <c r="PEV58" s="196"/>
      <c r="PEW58" s="196"/>
      <c r="PEX58" s="196"/>
      <c r="PEY58" s="196"/>
      <c r="PEZ58" s="196"/>
      <c r="PFA58" s="196"/>
      <c r="PFB58" s="196"/>
      <c r="PFC58" s="196"/>
      <c r="PFD58" s="196"/>
      <c r="PFE58" s="196"/>
      <c r="PFF58" s="196"/>
      <c r="PFG58" s="196"/>
      <c r="PFH58" s="196"/>
      <c r="PFI58" s="196"/>
      <c r="PFJ58" s="196"/>
      <c r="PFK58" s="196"/>
      <c r="PFL58" s="196"/>
      <c r="PFM58" s="196"/>
      <c r="PFN58" s="196"/>
      <c r="PFO58" s="196"/>
      <c r="PFP58" s="196"/>
      <c r="PFQ58" s="196"/>
      <c r="PFR58" s="196"/>
      <c r="PFS58" s="196"/>
      <c r="PFT58" s="196"/>
      <c r="PFU58" s="196"/>
      <c r="PFV58" s="196"/>
      <c r="PFW58" s="196"/>
      <c r="PFX58" s="196"/>
      <c r="PFY58" s="196"/>
      <c r="PFZ58" s="196"/>
      <c r="PGA58" s="196"/>
      <c r="PGB58" s="196"/>
      <c r="PGC58" s="196"/>
      <c r="PGD58" s="196"/>
      <c r="PGE58" s="196"/>
      <c r="PGF58" s="196"/>
      <c r="PGG58" s="196"/>
      <c r="PGH58" s="196"/>
      <c r="PGI58" s="196"/>
      <c r="PGJ58" s="196"/>
      <c r="PGK58" s="196"/>
      <c r="PGL58" s="196"/>
      <c r="PGM58" s="196"/>
      <c r="PGN58" s="196"/>
      <c r="PGO58" s="196"/>
      <c r="PGP58" s="196"/>
      <c r="PGQ58" s="196"/>
      <c r="PGR58" s="196"/>
      <c r="PGS58" s="196"/>
      <c r="PGT58" s="196"/>
      <c r="PGU58" s="196"/>
      <c r="PGV58" s="196"/>
      <c r="PGW58" s="196"/>
      <c r="PGX58" s="196"/>
      <c r="PGY58" s="196"/>
      <c r="PGZ58" s="196"/>
      <c r="PHA58" s="196"/>
      <c r="PHB58" s="196"/>
      <c r="PHC58" s="196"/>
      <c r="PHD58" s="196"/>
      <c r="PHE58" s="196"/>
      <c r="PHF58" s="196"/>
      <c r="PHG58" s="196"/>
      <c r="PHH58" s="196"/>
      <c r="PHI58" s="196"/>
      <c r="PHJ58" s="196"/>
      <c r="PHK58" s="196"/>
      <c r="PHL58" s="196"/>
      <c r="PHM58" s="196"/>
      <c r="PHN58" s="196"/>
      <c r="PHO58" s="196"/>
      <c r="PHP58" s="196"/>
      <c r="PHQ58" s="196"/>
      <c r="PHR58" s="196"/>
      <c r="PHS58" s="196"/>
      <c r="PHT58" s="196"/>
      <c r="PHU58" s="196"/>
      <c r="PHV58" s="196"/>
      <c r="PHW58" s="196"/>
      <c r="PHX58" s="196"/>
      <c r="PHY58" s="196"/>
      <c r="PHZ58" s="196"/>
      <c r="PIA58" s="196"/>
      <c r="PIB58" s="196"/>
      <c r="PIC58" s="196"/>
      <c r="PID58" s="196"/>
      <c r="PIE58" s="196"/>
      <c r="PIF58" s="196"/>
      <c r="PIG58" s="196"/>
      <c r="PIH58" s="196"/>
      <c r="PII58" s="196"/>
      <c r="PIJ58" s="196"/>
      <c r="PIK58" s="196"/>
      <c r="PIL58" s="196"/>
      <c r="PIM58" s="196"/>
      <c r="PIN58" s="196"/>
      <c r="PIO58" s="196"/>
      <c r="PIP58" s="196"/>
      <c r="PIQ58" s="196"/>
      <c r="PIR58" s="196"/>
      <c r="PIS58" s="196"/>
      <c r="PIT58" s="196"/>
      <c r="PIU58" s="196"/>
      <c r="PIV58" s="196"/>
      <c r="PIW58" s="196"/>
      <c r="PIX58" s="196"/>
      <c r="PIY58" s="196"/>
      <c r="PIZ58" s="196"/>
      <c r="PJA58" s="196"/>
      <c r="PJB58" s="196"/>
      <c r="PJC58" s="196"/>
      <c r="PJD58" s="196"/>
      <c r="PJE58" s="196"/>
      <c r="PJF58" s="196"/>
      <c r="PJG58" s="196"/>
      <c r="PJH58" s="196"/>
      <c r="PJI58" s="196"/>
      <c r="PJJ58" s="196"/>
      <c r="PJK58" s="196"/>
      <c r="PJL58" s="196"/>
      <c r="PJM58" s="196"/>
      <c r="PJN58" s="196"/>
      <c r="PJO58" s="196"/>
      <c r="PJP58" s="196"/>
      <c r="PJQ58" s="196"/>
      <c r="PJR58" s="196"/>
      <c r="PJS58" s="196"/>
      <c r="PJT58" s="196"/>
      <c r="PJU58" s="196"/>
      <c r="PJV58" s="196"/>
      <c r="PJW58" s="196"/>
      <c r="PJX58" s="196"/>
      <c r="PJY58" s="196"/>
      <c r="PJZ58" s="196"/>
      <c r="PKA58" s="196"/>
      <c r="PKB58" s="196"/>
      <c r="PKC58" s="196"/>
      <c r="PKD58" s="196"/>
      <c r="PKE58" s="196"/>
      <c r="PKF58" s="196"/>
      <c r="PKG58" s="196"/>
      <c r="PKH58" s="196"/>
      <c r="PKI58" s="196"/>
      <c r="PKJ58" s="196"/>
      <c r="PKK58" s="196"/>
      <c r="PKL58" s="196"/>
      <c r="PKM58" s="196"/>
      <c r="PKN58" s="196"/>
      <c r="PKO58" s="196"/>
      <c r="PKP58" s="196"/>
      <c r="PKQ58" s="196"/>
      <c r="PKR58" s="196"/>
      <c r="PKS58" s="196"/>
      <c r="PKT58" s="196"/>
      <c r="PKU58" s="196"/>
      <c r="PKV58" s="196"/>
      <c r="PKW58" s="196"/>
      <c r="PKX58" s="196"/>
      <c r="PKY58" s="196"/>
      <c r="PKZ58" s="196"/>
      <c r="PLA58" s="196"/>
      <c r="PLB58" s="196"/>
      <c r="PLC58" s="196"/>
      <c r="PLD58" s="196"/>
      <c r="PLE58" s="196"/>
      <c r="PLF58" s="196"/>
      <c r="PLG58" s="196"/>
      <c r="PLH58" s="196"/>
      <c r="PLI58" s="196"/>
      <c r="PLJ58" s="196"/>
      <c r="PLK58" s="196"/>
      <c r="PLL58" s="196"/>
      <c r="PLM58" s="196"/>
      <c r="PLN58" s="196"/>
      <c r="PLO58" s="196"/>
      <c r="PLP58" s="196"/>
      <c r="PLQ58" s="196"/>
      <c r="PLR58" s="196"/>
      <c r="PLS58" s="196"/>
      <c r="PLT58" s="196"/>
      <c r="PLU58" s="196"/>
      <c r="PLV58" s="196"/>
      <c r="PLW58" s="196"/>
      <c r="PLX58" s="196"/>
      <c r="PLY58" s="196"/>
      <c r="PLZ58" s="196"/>
      <c r="PMA58" s="196"/>
      <c r="PMB58" s="196"/>
      <c r="PMC58" s="196"/>
      <c r="PMD58" s="196"/>
      <c r="PME58" s="196"/>
      <c r="PMF58" s="196"/>
      <c r="PMG58" s="196"/>
      <c r="PMH58" s="196"/>
      <c r="PMI58" s="196"/>
      <c r="PMJ58" s="196"/>
      <c r="PMK58" s="196"/>
      <c r="PML58" s="196"/>
      <c r="PMM58" s="196"/>
      <c r="PMN58" s="196"/>
      <c r="PMO58" s="196"/>
      <c r="PMP58" s="196"/>
      <c r="PMQ58" s="196"/>
      <c r="PMR58" s="196"/>
      <c r="PMS58" s="196"/>
      <c r="PMT58" s="196"/>
      <c r="PMU58" s="196"/>
      <c r="PMV58" s="196"/>
      <c r="PMW58" s="196"/>
      <c r="PMX58" s="196"/>
      <c r="PMY58" s="196"/>
      <c r="PMZ58" s="196"/>
      <c r="PNA58" s="196"/>
      <c r="PNB58" s="196"/>
      <c r="PNC58" s="196"/>
      <c r="PND58" s="196"/>
      <c r="PNE58" s="196"/>
      <c r="PNF58" s="196"/>
      <c r="PNG58" s="196"/>
      <c r="PNH58" s="196"/>
      <c r="PNI58" s="196"/>
      <c r="PNJ58" s="196"/>
      <c r="PNK58" s="196"/>
      <c r="PNL58" s="196"/>
      <c r="PNM58" s="196"/>
      <c r="PNN58" s="196"/>
      <c r="PNO58" s="196"/>
      <c r="PNP58" s="196"/>
      <c r="PNQ58" s="196"/>
      <c r="PNR58" s="196"/>
      <c r="PNS58" s="196"/>
      <c r="PNT58" s="196"/>
      <c r="PNU58" s="196"/>
      <c r="PNV58" s="196"/>
      <c r="PNW58" s="196"/>
      <c r="PNX58" s="196"/>
      <c r="PNY58" s="196"/>
      <c r="PNZ58" s="196"/>
      <c r="POA58" s="196"/>
      <c r="POB58" s="196"/>
      <c r="POC58" s="196"/>
      <c r="POD58" s="196"/>
      <c r="POE58" s="196"/>
      <c r="POF58" s="196"/>
      <c r="POG58" s="196"/>
      <c r="POH58" s="196"/>
      <c r="POI58" s="196"/>
      <c r="POJ58" s="196"/>
      <c r="POK58" s="196"/>
      <c r="POL58" s="196"/>
      <c r="POM58" s="196"/>
      <c r="PON58" s="196"/>
      <c r="POO58" s="196"/>
      <c r="POP58" s="196"/>
      <c r="POQ58" s="196"/>
      <c r="POR58" s="196"/>
      <c r="POS58" s="196"/>
      <c r="POT58" s="196"/>
      <c r="POU58" s="196"/>
      <c r="POV58" s="196"/>
      <c r="POW58" s="196"/>
      <c r="POX58" s="196"/>
      <c r="POY58" s="196"/>
      <c r="POZ58" s="196"/>
      <c r="PPA58" s="196"/>
      <c r="PPB58" s="196"/>
      <c r="PPC58" s="196"/>
      <c r="PPD58" s="196"/>
      <c r="PPE58" s="196"/>
      <c r="PPF58" s="196"/>
      <c r="PPG58" s="196"/>
      <c r="PPH58" s="196"/>
      <c r="PPI58" s="196"/>
      <c r="PPJ58" s="196"/>
      <c r="PPK58" s="196"/>
      <c r="PPL58" s="196"/>
      <c r="PPM58" s="196"/>
      <c r="PPN58" s="196"/>
      <c r="PPO58" s="196"/>
      <c r="PPP58" s="196"/>
      <c r="PPQ58" s="196"/>
      <c r="PPR58" s="196"/>
      <c r="PPS58" s="196"/>
      <c r="PPT58" s="196"/>
      <c r="PPU58" s="196"/>
      <c r="PPV58" s="196"/>
      <c r="PPW58" s="196"/>
      <c r="PPX58" s="196"/>
      <c r="PPY58" s="196"/>
      <c r="PPZ58" s="196"/>
      <c r="PQA58" s="196"/>
      <c r="PQB58" s="196"/>
      <c r="PQC58" s="196"/>
      <c r="PQD58" s="196"/>
      <c r="PQE58" s="196"/>
      <c r="PQF58" s="196"/>
      <c r="PQG58" s="196"/>
      <c r="PQH58" s="196"/>
      <c r="PQI58" s="196"/>
      <c r="PQJ58" s="196"/>
      <c r="PQK58" s="196"/>
      <c r="PQL58" s="196"/>
      <c r="PQM58" s="196"/>
      <c r="PQN58" s="196"/>
      <c r="PQO58" s="196"/>
      <c r="PQP58" s="196"/>
      <c r="PQQ58" s="196"/>
      <c r="PQR58" s="196"/>
      <c r="PQS58" s="196"/>
      <c r="PQT58" s="196"/>
      <c r="PQU58" s="196"/>
      <c r="PQV58" s="196"/>
      <c r="PQW58" s="196"/>
      <c r="PQX58" s="196"/>
      <c r="PQY58" s="196"/>
      <c r="PQZ58" s="196"/>
      <c r="PRA58" s="196"/>
      <c r="PRB58" s="196"/>
      <c r="PRC58" s="196"/>
      <c r="PRD58" s="196"/>
      <c r="PRE58" s="196"/>
      <c r="PRF58" s="196"/>
      <c r="PRG58" s="196"/>
      <c r="PRH58" s="196"/>
      <c r="PRI58" s="196"/>
      <c r="PRJ58" s="196"/>
      <c r="PRK58" s="196"/>
      <c r="PRL58" s="196"/>
      <c r="PRM58" s="196"/>
      <c r="PRN58" s="196"/>
      <c r="PRO58" s="196"/>
      <c r="PRP58" s="196"/>
      <c r="PRQ58" s="196"/>
      <c r="PRR58" s="196"/>
      <c r="PRS58" s="196"/>
      <c r="PRT58" s="196"/>
      <c r="PRU58" s="196"/>
      <c r="PRV58" s="196"/>
      <c r="PRW58" s="196"/>
      <c r="PRX58" s="196"/>
      <c r="PRY58" s="196"/>
      <c r="PRZ58" s="196"/>
      <c r="PSA58" s="196"/>
      <c r="PSB58" s="196"/>
      <c r="PSC58" s="196"/>
      <c r="PSD58" s="196"/>
      <c r="PSE58" s="196"/>
      <c r="PSF58" s="196"/>
      <c r="PSG58" s="196"/>
      <c r="PSH58" s="196"/>
      <c r="PSI58" s="196"/>
      <c r="PSJ58" s="196"/>
      <c r="PSK58" s="196"/>
      <c r="PSL58" s="196"/>
      <c r="PSM58" s="196"/>
      <c r="PSN58" s="196"/>
      <c r="PSO58" s="196"/>
      <c r="PSP58" s="196"/>
      <c r="PSQ58" s="196"/>
      <c r="PSR58" s="196"/>
      <c r="PSS58" s="196"/>
      <c r="PST58" s="196"/>
      <c r="PSU58" s="196"/>
      <c r="PSV58" s="196"/>
      <c r="PSW58" s="196"/>
      <c r="PSX58" s="196"/>
      <c r="PSY58" s="196"/>
      <c r="PSZ58" s="196"/>
      <c r="PTA58" s="196"/>
      <c r="PTB58" s="196"/>
      <c r="PTC58" s="196"/>
      <c r="PTD58" s="196"/>
      <c r="PTE58" s="196"/>
      <c r="PTF58" s="196"/>
      <c r="PTG58" s="196"/>
      <c r="PTH58" s="196"/>
      <c r="PTI58" s="196"/>
      <c r="PTJ58" s="196"/>
      <c r="PTK58" s="196"/>
      <c r="PTL58" s="196"/>
      <c r="PTM58" s="196"/>
      <c r="PTN58" s="196"/>
      <c r="PTO58" s="196"/>
      <c r="PTP58" s="196"/>
      <c r="PTQ58" s="196"/>
      <c r="PTR58" s="196"/>
      <c r="PTS58" s="196"/>
      <c r="PTT58" s="196"/>
      <c r="PTU58" s="196"/>
      <c r="PTV58" s="196"/>
      <c r="PTW58" s="196"/>
      <c r="PTX58" s="196"/>
      <c r="PTY58" s="196"/>
      <c r="PTZ58" s="196"/>
      <c r="PUA58" s="196"/>
      <c r="PUB58" s="196"/>
      <c r="PUC58" s="196"/>
      <c r="PUD58" s="196"/>
      <c r="PUE58" s="196"/>
      <c r="PUF58" s="196"/>
      <c r="PUG58" s="196"/>
      <c r="PUH58" s="196"/>
      <c r="PUI58" s="196"/>
      <c r="PUJ58" s="196"/>
      <c r="PUK58" s="196"/>
      <c r="PUL58" s="196"/>
      <c r="PUM58" s="196"/>
      <c r="PUN58" s="196"/>
      <c r="PUO58" s="196"/>
      <c r="PUP58" s="196"/>
      <c r="PUQ58" s="196"/>
      <c r="PUR58" s="196"/>
      <c r="PUS58" s="196"/>
      <c r="PUT58" s="196"/>
      <c r="PUU58" s="196"/>
      <c r="PUV58" s="196"/>
      <c r="PUW58" s="196"/>
      <c r="PUX58" s="196"/>
      <c r="PUY58" s="196"/>
      <c r="PUZ58" s="196"/>
      <c r="PVA58" s="196"/>
      <c r="PVB58" s="196"/>
      <c r="PVC58" s="196"/>
      <c r="PVD58" s="196"/>
      <c r="PVE58" s="196"/>
      <c r="PVF58" s="196"/>
      <c r="PVG58" s="196"/>
      <c r="PVH58" s="196"/>
      <c r="PVI58" s="196"/>
      <c r="PVJ58" s="196"/>
      <c r="PVK58" s="196"/>
      <c r="PVL58" s="196"/>
      <c r="PVM58" s="196"/>
      <c r="PVN58" s="196"/>
      <c r="PVO58" s="196"/>
      <c r="PVP58" s="196"/>
      <c r="PVQ58" s="196"/>
      <c r="PVR58" s="196"/>
      <c r="PVS58" s="196"/>
      <c r="PVT58" s="196"/>
      <c r="PVU58" s="196"/>
      <c r="PVV58" s="196"/>
      <c r="PVW58" s="196"/>
      <c r="PVX58" s="196"/>
      <c r="PVY58" s="196"/>
      <c r="PVZ58" s="196"/>
      <c r="PWA58" s="196"/>
      <c r="PWB58" s="196"/>
      <c r="PWC58" s="196"/>
      <c r="PWD58" s="196"/>
      <c r="PWE58" s="196"/>
      <c r="PWF58" s="196"/>
      <c r="PWG58" s="196"/>
      <c r="PWH58" s="196"/>
      <c r="PWI58" s="196"/>
      <c r="PWJ58" s="196"/>
      <c r="PWK58" s="196"/>
      <c r="PWL58" s="196"/>
      <c r="PWM58" s="196"/>
      <c r="PWN58" s="196"/>
      <c r="PWO58" s="196"/>
      <c r="PWP58" s="196"/>
      <c r="PWQ58" s="196"/>
      <c r="PWR58" s="196"/>
      <c r="PWS58" s="196"/>
      <c r="PWT58" s="196"/>
      <c r="PWU58" s="196"/>
      <c r="PWV58" s="196"/>
      <c r="PWW58" s="196"/>
      <c r="PWX58" s="196"/>
      <c r="PWY58" s="196"/>
      <c r="PWZ58" s="196"/>
      <c r="PXA58" s="196"/>
      <c r="PXB58" s="196"/>
      <c r="PXC58" s="196"/>
      <c r="PXD58" s="196"/>
      <c r="PXE58" s="196"/>
      <c r="PXF58" s="196"/>
      <c r="PXG58" s="196"/>
      <c r="PXH58" s="196"/>
      <c r="PXI58" s="196"/>
      <c r="PXJ58" s="196"/>
      <c r="PXK58" s="196"/>
      <c r="PXL58" s="196"/>
      <c r="PXM58" s="196"/>
      <c r="PXN58" s="196"/>
      <c r="PXO58" s="196"/>
      <c r="PXP58" s="196"/>
      <c r="PXQ58" s="196"/>
      <c r="PXR58" s="196"/>
      <c r="PXS58" s="196"/>
      <c r="PXT58" s="196"/>
      <c r="PXU58" s="196"/>
      <c r="PXV58" s="196"/>
      <c r="PXW58" s="196"/>
      <c r="PXX58" s="196"/>
      <c r="PXY58" s="196"/>
      <c r="PXZ58" s="196"/>
      <c r="PYA58" s="196"/>
      <c r="PYB58" s="196"/>
      <c r="PYC58" s="196"/>
      <c r="PYD58" s="196"/>
      <c r="PYE58" s="196"/>
      <c r="PYF58" s="196"/>
      <c r="PYG58" s="196"/>
      <c r="PYH58" s="196"/>
      <c r="PYI58" s="196"/>
      <c r="PYJ58" s="196"/>
      <c r="PYK58" s="196"/>
      <c r="PYL58" s="196"/>
      <c r="PYM58" s="196"/>
      <c r="PYN58" s="196"/>
      <c r="PYO58" s="196"/>
      <c r="PYP58" s="196"/>
      <c r="PYQ58" s="196"/>
      <c r="PYR58" s="196"/>
      <c r="PYS58" s="196"/>
      <c r="PYT58" s="196"/>
      <c r="PYU58" s="196"/>
      <c r="PYV58" s="196"/>
      <c r="PYW58" s="196"/>
      <c r="PYX58" s="196"/>
      <c r="PYY58" s="196"/>
      <c r="PYZ58" s="196"/>
      <c r="PZA58" s="196"/>
      <c r="PZB58" s="196"/>
      <c r="PZC58" s="196"/>
      <c r="PZD58" s="196"/>
      <c r="PZE58" s="196"/>
      <c r="PZF58" s="196"/>
      <c r="PZG58" s="196"/>
      <c r="PZH58" s="196"/>
      <c r="PZI58" s="196"/>
      <c r="PZJ58" s="196"/>
      <c r="PZK58" s="196"/>
      <c r="PZL58" s="196"/>
      <c r="PZM58" s="196"/>
      <c r="PZN58" s="196"/>
      <c r="PZO58" s="196"/>
      <c r="PZP58" s="196"/>
      <c r="PZQ58" s="196"/>
      <c r="PZR58" s="196"/>
      <c r="PZS58" s="196"/>
      <c r="PZT58" s="196"/>
      <c r="PZU58" s="196"/>
      <c r="PZV58" s="196"/>
      <c r="PZW58" s="196"/>
      <c r="PZX58" s="196"/>
      <c r="PZY58" s="196"/>
      <c r="PZZ58" s="196"/>
      <c r="QAA58" s="196"/>
      <c r="QAB58" s="196"/>
      <c r="QAC58" s="196"/>
      <c r="QAD58" s="196"/>
      <c r="QAE58" s="196"/>
      <c r="QAF58" s="196"/>
      <c r="QAG58" s="196"/>
      <c r="QAH58" s="196"/>
      <c r="QAI58" s="196"/>
      <c r="QAJ58" s="196"/>
      <c r="QAK58" s="196"/>
      <c r="QAL58" s="196"/>
      <c r="QAM58" s="196"/>
      <c r="QAN58" s="196"/>
      <c r="QAO58" s="196"/>
      <c r="QAP58" s="196"/>
      <c r="QAQ58" s="196"/>
      <c r="QAR58" s="196"/>
      <c r="QAS58" s="196"/>
      <c r="QAT58" s="196"/>
      <c r="QAU58" s="196"/>
      <c r="QAV58" s="196"/>
      <c r="QAW58" s="196"/>
      <c r="QAX58" s="196"/>
      <c r="QAY58" s="196"/>
      <c r="QAZ58" s="196"/>
      <c r="QBA58" s="196"/>
      <c r="QBB58" s="196"/>
      <c r="QBC58" s="196"/>
      <c r="QBD58" s="196"/>
      <c r="QBE58" s="196"/>
      <c r="QBF58" s="196"/>
      <c r="QBG58" s="196"/>
      <c r="QBH58" s="196"/>
      <c r="QBI58" s="196"/>
      <c r="QBJ58" s="196"/>
      <c r="QBK58" s="196"/>
      <c r="QBL58" s="196"/>
      <c r="QBM58" s="196"/>
      <c r="QBN58" s="196"/>
      <c r="QBO58" s="196"/>
      <c r="QBP58" s="196"/>
      <c r="QBQ58" s="196"/>
      <c r="QBR58" s="196"/>
      <c r="QBS58" s="196"/>
      <c r="QBT58" s="196"/>
      <c r="QBU58" s="196"/>
      <c r="QBV58" s="196"/>
      <c r="QBW58" s="196"/>
      <c r="QBX58" s="196"/>
      <c r="QBY58" s="196"/>
      <c r="QBZ58" s="196"/>
      <c r="QCA58" s="196"/>
      <c r="QCB58" s="196"/>
      <c r="QCC58" s="196"/>
      <c r="QCD58" s="196"/>
      <c r="QCE58" s="196"/>
      <c r="QCF58" s="196"/>
      <c r="QCG58" s="196"/>
      <c r="QCH58" s="196"/>
      <c r="QCI58" s="196"/>
      <c r="QCJ58" s="196"/>
      <c r="QCK58" s="196"/>
      <c r="QCL58" s="196"/>
      <c r="QCM58" s="196"/>
      <c r="QCN58" s="196"/>
      <c r="QCO58" s="196"/>
      <c r="QCP58" s="196"/>
      <c r="QCQ58" s="196"/>
      <c r="QCR58" s="196"/>
      <c r="QCS58" s="196"/>
      <c r="QCT58" s="196"/>
      <c r="QCU58" s="196"/>
      <c r="QCV58" s="196"/>
      <c r="QCW58" s="196"/>
      <c r="QCX58" s="196"/>
      <c r="QCY58" s="196"/>
      <c r="QCZ58" s="196"/>
      <c r="QDA58" s="196"/>
      <c r="QDB58" s="196"/>
      <c r="QDC58" s="196"/>
      <c r="QDD58" s="196"/>
      <c r="QDE58" s="196"/>
      <c r="QDF58" s="196"/>
      <c r="QDG58" s="196"/>
      <c r="QDH58" s="196"/>
      <c r="QDI58" s="196"/>
      <c r="QDJ58" s="196"/>
      <c r="QDK58" s="196"/>
      <c r="QDL58" s="196"/>
      <c r="QDM58" s="196"/>
      <c r="QDN58" s="196"/>
      <c r="QDO58" s="196"/>
      <c r="QDP58" s="196"/>
      <c r="QDQ58" s="196"/>
      <c r="QDR58" s="196"/>
      <c r="QDS58" s="196"/>
      <c r="QDT58" s="196"/>
      <c r="QDU58" s="196"/>
      <c r="QDV58" s="196"/>
      <c r="QDW58" s="196"/>
      <c r="QDX58" s="196"/>
      <c r="QDY58" s="196"/>
      <c r="QDZ58" s="196"/>
      <c r="QEA58" s="196"/>
      <c r="QEB58" s="196"/>
      <c r="QEC58" s="196"/>
      <c r="QED58" s="196"/>
      <c r="QEE58" s="196"/>
      <c r="QEF58" s="196"/>
      <c r="QEG58" s="196"/>
      <c r="QEH58" s="196"/>
      <c r="QEI58" s="196"/>
      <c r="QEJ58" s="196"/>
      <c r="QEK58" s="196"/>
      <c r="QEL58" s="196"/>
      <c r="QEM58" s="196"/>
      <c r="QEN58" s="196"/>
      <c r="QEO58" s="196"/>
      <c r="QEP58" s="196"/>
      <c r="QEQ58" s="196"/>
      <c r="QER58" s="196"/>
      <c r="QES58" s="196"/>
      <c r="QET58" s="196"/>
      <c r="QEU58" s="196"/>
      <c r="QEV58" s="196"/>
      <c r="QEW58" s="196"/>
      <c r="QEX58" s="196"/>
      <c r="QEY58" s="196"/>
      <c r="QEZ58" s="196"/>
      <c r="QFA58" s="196"/>
      <c r="QFB58" s="196"/>
      <c r="QFC58" s="196"/>
      <c r="QFD58" s="196"/>
      <c r="QFE58" s="196"/>
      <c r="QFF58" s="196"/>
      <c r="QFG58" s="196"/>
      <c r="QFH58" s="196"/>
      <c r="QFI58" s="196"/>
      <c r="QFJ58" s="196"/>
      <c r="QFK58" s="196"/>
      <c r="QFL58" s="196"/>
      <c r="QFM58" s="196"/>
      <c r="QFN58" s="196"/>
      <c r="QFO58" s="196"/>
      <c r="QFP58" s="196"/>
      <c r="QFQ58" s="196"/>
      <c r="QFR58" s="196"/>
      <c r="QFS58" s="196"/>
      <c r="QFT58" s="196"/>
      <c r="QFU58" s="196"/>
      <c r="QFV58" s="196"/>
      <c r="QFW58" s="196"/>
      <c r="QFX58" s="196"/>
      <c r="QFY58" s="196"/>
      <c r="QFZ58" s="196"/>
      <c r="QGA58" s="196"/>
      <c r="QGB58" s="196"/>
      <c r="QGC58" s="196"/>
      <c r="QGD58" s="196"/>
      <c r="QGE58" s="196"/>
      <c r="QGF58" s="196"/>
      <c r="QGG58" s="196"/>
      <c r="QGH58" s="196"/>
      <c r="QGI58" s="196"/>
      <c r="QGJ58" s="196"/>
      <c r="QGK58" s="196"/>
      <c r="QGL58" s="196"/>
      <c r="QGM58" s="196"/>
      <c r="QGN58" s="196"/>
      <c r="QGO58" s="196"/>
      <c r="QGP58" s="196"/>
      <c r="QGQ58" s="196"/>
      <c r="QGR58" s="196"/>
      <c r="QGS58" s="196"/>
      <c r="QGT58" s="196"/>
      <c r="QGU58" s="196"/>
      <c r="QGV58" s="196"/>
      <c r="QGW58" s="196"/>
      <c r="QGX58" s="196"/>
      <c r="QGY58" s="196"/>
      <c r="QGZ58" s="196"/>
      <c r="QHA58" s="196"/>
      <c r="QHB58" s="196"/>
      <c r="QHC58" s="196"/>
      <c r="QHD58" s="196"/>
      <c r="QHE58" s="196"/>
      <c r="QHF58" s="196"/>
      <c r="QHG58" s="196"/>
      <c r="QHH58" s="196"/>
      <c r="QHI58" s="196"/>
      <c r="QHJ58" s="196"/>
      <c r="QHK58" s="196"/>
      <c r="QHL58" s="196"/>
      <c r="QHM58" s="196"/>
      <c r="QHN58" s="196"/>
      <c r="QHO58" s="196"/>
      <c r="QHP58" s="196"/>
      <c r="QHQ58" s="196"/>
      <c r="QHR58" s="196"/>
      <c r="QHS58" s="196"/>
      <c r="QHT58" s="196"/>
      <c r="QHU58" s="196"/>
      <c r="QHV58" s="196"/>
      <c r="QHW58" s="196"/>
      <c r="QHX58" s="196"/>
      <c r="QHY58" s="196"/>
      <c r="QHZ58" s="196"/>
      <c r="QIA58" s="196"/>
      <c r="QIB58" s="196"/>
      <c r="QIC58" s="196"/>
      <c r="QID58" s="196"/>
      <c r="QIE58" s="196"/>
      <c r="QIF58" s="196"/>
      <c r="QIG58" s="196"/>
      <c r="QIH58" s="196"/>
      <c r="QII58" s="196"/>
      <c r="QIJ58" s="196"/>
      <c r="QIK58" s="196"/>
      <c r="QIL58" s="196"/>
      <c r="QIM58" s="196"/>
      <c r="QIN58" s="196"/>
      <c r="QIO58" s="196"/>
      <c r="QIP58" s="196"/>
      <c r="QIQ58" s="196"/>
      <c r="QIR58" s="196"/>
      <c r="QIS58" s="196"/>
      <c r="QIT58" s="196"/>
      <c r="QIU58" s="196"/>
      <c r="QIV58" s="196"/>
      <c r="QIW58" s="196"/>
      <c r="QIX58" s="196"/>
      <c r="QIY58" s="196"/>
      <c r="QIZ58" s="196"/>
      <c r="QJA58" s="196"/>
      <c r="QJB58" s="196"/>
      <c r="QJC58" s="196"/>
      <c r="QJD58" s="196"/>
      <c r="QJE58" s="196"/>
      <c r="QJF58" s="196"/>
      <c r="QJG58" s="196"/>
      <c r="QJH58" s="196"/>
      <c r="QJI58" s="196"/>
      <c r="QJJ58" s="196"/>
      <c r="QJK58" s="196"/>
      <c r="QJL58" s="196"/>
      <c r="QJM58" s="196"/>
      <c r="QJN58" s="196"/>
      <c r="QJO58" s="196"/>
      <c r="QJP58" s="196"/>
      <c r="QJQ58" s="196"/>
      <c r="QJR58" s="196"/>
      <c r="QJS58" s="196"/>
      <c r="QJT58" s="196"/>
      <c r="QJU58" s="196"/>
      <c r="QJV58" s="196"/>
      <c r="QJW58" s="196"/>
      <c r="QJX58" s="196"/>
      <c r="QJY58" s="196"/>
      <c r="QJZ58" s="196"/>
      <c r="QKA58" s="196"/>
      <c r="QKB58" s="196"/>
      <c r="QKC58" s="196"/>
      <c r="QKD58" s="196"/>
      <c r="QKE58" s="196"/>
      <c r="QKF58" s="196"/>
      <c r="QKG58" s="196"/>
      <c r="QKH58" s="196"/>
      <c r="QKI58" s="196"/>
      <c r="QKJ58" s="196"/>
      <c r="QKK58" s="196"/>
      <c r="QKL58" s="196"/>
      <c r="QKM58" s="196"/>
      <c r="QKN58" s="196"/>
      <c r="QKO58" s="196"/>
      <c r="QKP58" s="196"/>
      <c r="QKQ58" s="196"/>
      <c r="QKR58" s="196"/>
      <c r="QKS58" s="196"/>
      <c r="QKT58" s="196"/>
      <c r="QKU58" s="196"/>
      <c r="QKV58" s="196"/>
      <c r="QKW58" s="196"/>
      <c r="QKX58" s="196"/>
      <c r="QKY58" s="196"/>
      <c r="QKZ58" s="196"/>
      <c r="QLA58" s="196"/>
      <c r="QLB58" s="196"/>
      <c r="QLC58" s="196"/>
      <c r="QLD58" s="196"/>
      <c r="QLE58" s="196"/>
      <c r="QLF58" s="196"/>
      <c r="QLG58" s="196"/>
      <c r="QLH58" s="196"/>
      <c r="QLI58" s="196"/>
      <c r="QLJ58" s="196"/>
      <c r="QLK58" s="196"/>
      <c r="QLL58" s="196"/>
      <c r="QLM58" s="196"/>
      <c r="QLN58" s="196"/>
      <c r="QLO58" s="196"/>
      <c r="QLP58" s="196"/>
      <c r="QLQ58" s="196"/>
      <c r="QLR58" s="196"/>
      <c r="QLS58" s="196"/>
      <c r="QLT58" s="196"/>
      <c r="QLU58" s="196"/>
      <c r="QLV58" s="196"/>
      <c r="QLW58" s="196"/>
      <c r="QLX58" s="196"/>
      <c r="QLY58" s="196"/>
      <c r="QLZ58" s="196"/>
      <c r="QMA58" s="196"/>
      <c r="QMB58" s="196"/>
      <c r="QMC58" s="196"/>
      <c r="QMD58" s="196"/>
      <c r="QME58" s="196"/>
      <c r="QMF58" s="196"/>
      <c r="QMG58" s="196"/>
      <c r="QMH58" s="196"/>
      <c r="QMI58" s="196"/>
      <c r="QMJ58" s="196"/>
      <c r="QMK58" s="196"/>
      <c r="QML58" s="196"/>
      <c r="QMM58" s="196"/>
      <c r="QMN58" s="196"/>
      <c r="QMO58" s="196"/>
      <c r="QMP58" s="196"/>
      <c r="QMQ58" s="196"/>
      <c r="QMR58" s="196"/>
      <c r="QMS58" s="196"/>
      <c r="QMT58" s="196"/>
      <c r="QMU58" s="196"/>
      <c r="QMV58" s="196"/>
      <c r="QMW58" s="196"/>
      <c r="QMX58" s="196"/>
      <c r="QMY58" s="196"/>
      <c r="QMZ58" s="196"/>
      <c r="QNA58" s="196"/>
      <c r="QNB58" s="196"/>
      <c r="QNC58" s="196"/>
      <c r="QND58" s="196"/>
      <c r="QNE58" s="196"/>
      <c r="QNF58" s="196"/>
      <c r="QNG58" s="196"/>
      <c r="QNH58" s="196"/>
      <c r="QNI58" s="196"/>
      <c r="QNJ58" s="196"/>
      <c r="QNK58" s="196"/>
      <c r="QNL58" s="196"/>
      <c r="QNM58" s="196"/>
      <c r="QNN58" s="196"/>
      <c r="QNO58" s="196"/>
      <c r="QNP58" s="196"/>
      <c r="QNQ58" s="196"/>
      <c r="QNR58" s="196"/>
      <c r="QNS58" s="196"/>
      <c r="QNT58" s="196"/>
      <c r="QNU58" s="196"/>
      <c r="QNV58" s="196"/>
      <c r="QNW58" s="196"/>
      <c r="QNX58" s="196"/>
      <c r="QNY58" s="196"/>
      <c r="QNZ58" s="196"/>
      <c r="QOA58" s="196"/>
      <c r="QOB58" s="196"/>
      <c r="QOC58" s="196"/>
      <c r="QOD58" s="196"/>
      <c r="QOE58" s="196"/>
      <c r="QOF58" s="196"/>
      <c r="QOG58" s="196"/>
      <c r="QOH58" s="196"/>
      <c r="QOI58" s="196"/>
      <c r="QOJ58" s="196"/>
      <c r="QOK58" s="196"/>
      <c r="QOL58" s="196"/>
      <c r="QOM58" s="196"/>
      <c r="QON58" s="196"/>
      <c r="QOO58" s="196"/>
      <c r="QOP58" s="196"/>
      <c r="QOQ58" s="196"/>
      <c r="QOR58" s="196"/>
      <c r="QOS58" s="196"/>
      <c r="QOT58" s="196"/>
      <c r="QOU58" s="196"/>
      <c r="QOV58" s="196"/>
      <c r="QOW58" s="196"/>
      <c r="QOX58" s="196"/>
      <c r="QOY58" s="196"/>
      <c r="QOZ58" s="196"/>
      <c r="QPA58" s="196"/>
      <c r="QPB58" s="196"/>
      <c r="QPC58" s="196"/>
      <c r="QPD58" s="196"/>
      <c r="QPE58" s="196"/>
      <c r="QPF58" s="196"/>
      <c r="QPG58" s="196"/>
      <c r="QPH58" s="196"/>
      <c r="QPI58" s="196"/>
      <c r="QPJ58" s="196"/>
      <c r="QPK58" s="196"/>
      <c r="QPL58" s="196"/>
      <c r="QPM58" s="196"/>
      <c r="QPN58" s="196"/>
      <c r="QPO58" s="196"/>
      <c r="QPP58" s="196"/>
      <c r="QPQ58" s="196"/>
      <c r="QPR58" s="196"/>
      <c r="QPS58" s="196"/>
      <c r="QPT58" s="196"/>
      <c r="QPU58" s="196"/>
      <c r="QPV58" s="196"/>
      <c r="QPW58" s="196"/>
      <c r="QPX58" s="196"/>
      <c r="QPY58" s="196"/>
      <c r="QPZ58" s="196"/>
      <c r="QQA58" s="196"/>
      <c r="QQB58" s="196"/>
      <c r="QQC58" s="196"/>
      <c r="QQD58" s="196"/>
      <c r="QQE58" s="196"/>
      <c r="QQF58" s="196"/>
      <c r="QQG58" s="196"/>
      <c r="QQH58" s="196"/>
      <c r="QQI58" s="196"/>
      <c r="QQJ58" s="196"/>
      <c r="QQK58" s="196"/>
      <c r="QQL58" s="196"/>
      <c r="QQM58" s="196"/>
      <c r="QQN58" s="196"/>
      <c r="QQO58" s="196"/>
      <c r="QQP58" s="196"/>
      <c r="QQQ58" s="196"/>
      <c r="QQR58" s="196"/>
      <c r="QQS58" s="196"/>
      <c r="QQT58" s="196"/>
      <c r="QQU58" s="196"/>
      <c r="QQV58" s="196"/>
      <c r="QQW58" s="196"/>
      <c r="QQX58" s="196"/>
      <c r="QQY58" s="196"/>
      <c r="QQZ58" s="196"/>
      <c r="QRA58" s="196"/>
      <c r="QRB58" s="196"/>
      <c r="QRC58" s="196"/>
      <c r="QRD58" s="196"/>
      <c r="QRE58" s="196"/>
      <c r="QRF58" s="196"/>
      <c r="QRG58" s="196"/>
      <c r="QRH58" s="196"/>
      <c r="QRI58" s="196"/>
      <c r="QRJ58" s="196"/>
      <c r="QRK58" s="196"/>
      <c r="QRL58" s="196"/>
      <c r="QRM58" s="196"/>
      <c r="QRN58" s="196"/>
      <c r="QRO58" s="196"/>
      <c r="QRP58" s="196"/>
      <c r="QRQ58" s="196"/>
      <c r="QRR58" s="196"/>
      <c r="QRS58" s="196"/>
      <c r="QRT58" s="196"/>
      <c r="QRU58" s="196"/>
      <c r="QRV58" s="196"/>
      <c r="QRW58" s="196"/>
      <c r="QRX58" s="196"/>
      <c r="QRY58" s="196"/>
      <c r="QRZ58" s="196"/>
      <c r="QSA58" s="196"/>
      <c r="QSB58" s="196"/>
      <c r="QSC58" s="196"/>
      <c r="QSD58" s="196"/>
      <c r="QSE58" s="196"/>
      <c r="QSF58" s="196"/>
      <c r="QSG58" s="196"/>
      <c r="QSH58" s="196"/>
      <c r="QSI58" s="196"/>
      <c r="QSJ58" s="196"/>
      <c r="QSK58" s="196"/>
      <c r="QSL58" s="196"/>
      <c r="QSM58" s="196"/>
      <c r="QSN58" s="196"/>
      <c r="QSO58" s="196"/>
      <c r="QSP58" s="196"/>
      <c r="QSQ58" s="196"/>
      <c r="QSR58" s="196"/>
      <c r="QSS58" s="196"/>
      <c r="QST58" s="196"/>
      <c r="QSU58" s="196"/>
      <c r="QSV58" s="196"/>
      <c r="QSW58" s="196"/>
      <c r="QSX58" s="196"/>
      <c r="QSY58" s="196"/>
      <c r="QSZ58" s="196"/>
      <c r="QTA58" s="196"/>
      <c r="QTB58" s="196"/>
      <c r="QTC58" s="196"/>
      <c r="QTD58" s="196"/>
      <c r="QTE58" s="196"/>
      <c r="QTF58" s="196"/>
      <c r="QTG58" s="196"/>
      <c r="QTH58" s="196"/>
      <c r="QTI58" s="196"/>
      <c r="QTJ58" s="196"/>
      <c r="QTK58" s="196"/>
      <c r="QTL58" s="196"/>
      <c r="QTM58" s="196"/>
      <c r="QTN58" s="196"/>
      <c r="QTO58" s="196"/>
      <c r="QTP58" s="196"/>
      <c r="QTQ58" s="196"/>
      <c r="QTR58" s="196"/>
      <c r="QTS58" s="196"/>
      <c r="QTT58" s="196"/>
      <c r="QTU58" s="196"/>
      <c r="QTV58" s="196"/>
      <c r="QTW58" s="196"/>
      <c r="QTX58" s="196"/>
      <c r="QTY58" s="196"/>
      <c r="QTZ58" s="196"/>
      <c r="QUA58" s="196"/>
      <c r="QUB58" s="196"/>
      <c r="QUC58" s="196"/>
      <c r="QUD58" s="196"/>
      <c r="QUE58" s="196"/>
      <c r="QUF58" s="196"/>
      <c r="QUG58" s="196"/>
      <c r="QUH58" s="196"/>
      <c r="QUI58" s="196"/>
      <c r="QUJ58" s="196"/>
      <c r="QUK58" s="196"/>
      <c r="QUL58" s="196"/>
      <c r="QUM58" s="196"/>
      <c r="QUN58" s="196"/>
      <c r="QUO58" s="196"/>
      <c r="QUP58" s="196"/>
      <c r="QUQ58" s="196"/>
      <c r="QUR58" s="196"/>
      <c r="QUS58" s="196"/>
      <c r="QUT58" s="196"/>
      <c r="QUU58" s="196"/>
      <c r="QUV58" s="196"/>
      <c r="QUW58" s="196"/>
      <c r="QUX58" s="196"/>
      <c r="QUY58" s="196"/>
      <c r="QUZ58" s="196"/>
      <c r="QVA58" s="196"/>
      <c r="QVB58" s="196"/>
      <c r="QVC58" s="196"/>
      <c r="QVD58" s="196"/>
      <c r="QVE58" s="196"/>
      <c r="QVF58" s="196"/>
      <c r="QVG58" s="196"/>
      <c r="QVH58" s="196"/>
      <c r="QVI58" s="196"/>
      <c r="QVJ58" s="196"/>
      <c r="QVK58" s="196"/>
      <c r="QVL58" s="196"/>
      <c r="QVM58" s="196"/>
      <c r="QVN58" s="196"/>
      <c r="QVO58" s="196"/>
      <c r="QVP58" s="196"/>
      <c r="QVQ58" s="196"/>
      <c r="QVR58" s="196"/>
      <c r="QVS58" s="196"/>
      <c r="QVT58" s="196"/>
      <c r="QVU58" s="196"/>
      <c r="QVV58" s="196"/>
      <c r="QVW58" s="196"/>
      <c r="QVX58" s="196"/>
      <c r="QVY58" s="196"/>
      <c r="QVZ58" s="196"/>
      <c r="QWA58" s="196"/>
      <c r="QWB58" s="196"/>
      <c r="QWC58" s="196"/>
      <c r="QWD58" s="196"/>
      <c r="QWE58" s="196"/>
      <c r="QWF58" s="196"/>
      <c r="QWG58" s="196"/>
      <c r="QWH58" s="196"/>
      <c r="QWI58" s="196"/>
      <c r="QWJ58" s="196"/>
      <c r="QWK58" s="196"/>
      <c r="QWL58" s="196"/>
      <c r="QWM58" s="196"/>
      <c r="QWN58" s="196"/>
      <c r="QWO58" s="196"/>
      <c r="QWP58" s="196"/>
      <c r="QWQ58" s="196"/>
      <c r="QWR58" s="196"/>
      <c r="QWS58" s="196"/>
      <c r="QWT58" s="196"/>
      <c r="QWU58" s="196"/>
      <c r="QWV58" s="196"/>
      <c r="QWW58" s="196"/>
      <c r="QWX58" s="196"/>
      <c r="QWY58" s="196"/>
      <c r="QWZ58" s="196"/>
      <c r="QXA58" s="196"/>
      <c r="QXB58" s="196"/>
      <c r="QXC58" s="196"/>
      <c r="QXD58" s="196"/>
      <c r="QXE58" s="196"/>
      <c r="QXF58" s="196"/>
      <c r="QXG58" s="196"/>
      <c r="QXH58" s="196"/>
      <c r="QXI58" s="196"/>
      <c r="QXJ58" s="196"/>
      <c r="QXK58" s="196"/>
      <c r="QXL58" s="196"/>
      <c r="QXM58" s="196"/>
      <c r="QXN58" s="196"/>
      <c r="QXO58" s="196"/>
      <c r="QXP58" s="196"/>
      <c r="QXQ58" s="196"/>
      <c r="QXR58" s="196"/>
      <c r="QXS58" s="196"/>
      <c r="QXT58" s="196"/>
      <c r="QXU58" s="196"/>
      <c r="QXV58" s="196"/>
      <c r="QXW58" s="196"/>
      <c r="QXX58" s="196"/>
      <c r="QXY58" s="196"/>
      <c r="QXZ58" s="196"/>
      <c r="QYA58" s="196"/>
      <c r="QYB58" s="196"/>
      <c r="QYC58" s="196"/>
      <c r="QYD58" s="196"/>
      <c r="QYE58" s="196"/>
      <c r="QYF58" s="196"/>
      <c r="QYG58" s="196"/>
      <c r="QYH58" s="196"/>
      <c r="QYI58" s="196"/>
      <c r="QYJ58" s="196"/>
      <c r="QYK58" s="196"/>
      <c r="QYL58" s="196"/>
      <c r="QYM58" s="196"/>
      <c r="QYN58" s="196"/>
      <c r="QYO58" s="196"/>
      <c r="QYP58" s="196"/>
      <c r="QYQ58" s="196"/>
      <c r="QYR58" s="196"/>
      <c r="QYS58" s="196"/>
      <c r="QYT58" s="196"/>
      <c r="QYU58" s="196"/>
      <c r="QYV58" s="196"/>
      <c r="QYW58" s="196"/>
      <c r="QYX58" s="196"/>
      <c r="QYY58" s="196"/>
      <c r="QYZ58" s="196"/>
      <c r="QZA58" s="196"/>
      <c r="QZB58" s="196"/>
      <c r="QZC58" s="196"/>
      <c r="QZD58" s="196"/>
      <c r="QZE58" s="196"/>
      <c r="QZF58" s="196"/>
      <c r="QZG58" s="196"/>
      <c r="QZH58" s="196"/>
      <c r="QZI58" s="196"/>
      <c r="QZJ58" s="196"/>
      <c r="QZK58" s="196"/>
      <c r="QZL58" s="196"/>
      <c r="QZM58" s="196"/>
      <c r="QZN58" s="196"/>
      <c r="QZO58" s="196"/>
      <c r="QZP58" s="196"/>
      <c r="QZQ58" s="196"/>
      <c r="QZR58" s="196"/>
      <c r="QZS58" s="196"/>
      <c r="QZT58" s="196"/>
      <c r="QZU58" s="196"/>
      <c r="QZV58" s="196"/>
      <c r="QZW58" s="196"/>
      <c r="QZX58" s="196"/>
      <c r="QZY58" s="196"/>
      <c r="QZZ58" s="196"/>
      <c r="RAA58" s="196"/>
      <c r="RAB58" s="196"/>
      <c r="RAC58" s="196"/>
      <c r="RAD58" s="196"/>
      <c r="RAE58" s="196"/>
      <c r="RAF58" s="196"/>
      <c r="RAG58" s="196"/>
      <c r="RAH58" s="196"/>
      <c r="RAI58" s="196"/>
      <c r="RAJ58" s="196"/>
      <c r="RAK58" s="196"/>
      <c r="RAL58" s="196"/>
      <c r="RAM58" s="196"/>
      <c r="RAN58" s="196"/>
      <c r="RAO58" s="196"/>
      <c r="RAP58" s="196"/>
      <c r="RAQ58" s="196"/>
      <c r="RAR58" s="196"/>
      <c r="RAS58" s="196"/>
      <c r="RAT58" s="196"/>
      <c r="RAU58" s="196"/>
      <c r="RAV58" s="196"/>
      <c r="RAW58" s="196"/>
      <c r="RAX58" s="196"/>
      <c r="RAY58" s="196"/>
      <c r="RAZ58" s="196"/>
      <c r="RBA58" s="196"/>
      <c r="RBB58" s="196"/>
      <c r="RBC58" s="196"/>
      <c r="RBD58" s="196"/>
      <c r="RBE58" s="196"/>
      <c r="RBF58" s="196"/>
      <c r="RBG58" s="196"/>
      <c r="RBH58" s="196"/>
      <c r="RBI58" s="196"/>
      <c r="RBJ58" s="196"/>
      <c r="RBK58" s="196"/>
      <c r="RBL58" s="196"/>
      <c r="RBM58" s="196"/>
      <c r="RBN58" s="196"/>
      <c r="RBO58" s="196"/>
      <c r="RBP58" s="196"/>
      <c r="RBQ58" s="196"/>
      <c r="RBR58" s="196"/>
      <c r="RBS58" s="196"/>
      <c r="RBT58" s="196"/>
      <c r="RBU58" s="196"/>
      <c r="RBV58" s="196"/>
      <c r="RBW58" s="196"/>
      <c r="RBX58" s="196"/>
      <c r="RBY58" s="196"/>
      <c r="RBZ58" s="196"/>
      <c r="RCA58" s="196"/>
      <c r="RCB58" s="196"/>
      <c r="RCC58" s="196"/>
      <c r="RCD58" s="196"/>
      <c r="RCE58" s="196"/>
      <c r="RCF58" s="196"/>
      <c r="RCG58" s="196"/>
      <c r="RCH58" s="196"/>
      <c r="RCI58" s="196"/>
      <c r="RCJ58" s="196"/>
      <c r="RCK58" s="196"/>
      <c r="RCL58" s="196"/>
      <c r="RCM58" s="196"/>
      <c r="RCN58" s="196"/>
      <c r="RCO58" s="196"/>
      <c r="RCP58" s="196"/>
      <c r="RCQ58" s="196"/>
      <c r="RCR58" s="196"/>
      <c r="RCS58" s="196"/>
      <c r="RCT58" s="196"/>
      <c r="RCU58" s="196"/>
      <c r="RCV58" s="196"/>
      <c r="RCW58" s="196"/>
      <c r="RCX58" s="196"/>
      <c r="RCY58" s="196"/>
      <c r="RCZ58" s="196"/>
      <c r="RDA58" s="196"/>
      <c r="RDB58" s="196"/>
      <c r="RDC58" s="196"/>
      <c r="RDD58" s="196"/>
      <c r="RDE58" s="196"/>
      <c r="RDF58" s="196"/>
      <c r="RDG58" s="196"/>
      <c r="RDH58" s="196"/>
      <c r="RDI58" s="196"/>
      <c r="RDJ58" s="196"/>
      <c r="RDK58" s="196"/>
      <c r="RDL58" s="196"/>
      <c r="RDM58" s="196"/>
      <c r="RDN58" s="196"/>
      <c r="RDO58" s="196"/>
      <c r="RDP58" s="196"/>
      <c r="RDQ58" s="196"/>
      <c r="RDR58" s="196"/>
      <c r="RDS58" s="196"/>
      <c r="RDT58" s="196"/>
      <c r="RDU58" s="196"/>
      <c r="RDV58" s="196"/>
      <c r="RDW58" s="196"/>
      <c r="RDX58" s="196"/>
      <c r="RDY58" s="196"/>
      <c r="RDZ58" s="196"/>
      <c r="REA58" s="196"/>
      <c r="REB58" s="196"/>
      <c r="REC58" s="196"/>
      <c r="RED58" s="196"/>
      <c r="REE58" s="196"/>
      <c r="REF58" s="196"/>
      <c r="REG58" s="196"/>
      <c r="REH58" s="196"/>
      <c r="REI58" s="196"/>
      <c r="REJ58" s="196"/>
      <c r="REK58" s="196"/>
      <c r="REL58" s="196"/>
      <c r="REM58" s="196"/>
      <c r="REN58" s="196"/>
      <c r="REO58" s="196"/>
      <c r="REP58" s="196"/>
      <c r="REQ58" s="196"/>
      <c r="RER58" s="196"/>
      <c r="RES58" s="196"/>
      <c r="RET58" s="196"/>
      <c r="REU58" s="196"/>
      <c r="REV58" s="196"/>
      <c r="REW58" s="196"/>
      <c r="REX58" s="196"/>
      <c r="REY58" s="196"/>
      <c r="REZ58" s="196"/>
      <c r="RFA58" s="196"/>
      <c r="RFB58" s="196"/>
      <c r="RFC58" s="196"/>
      <c r="RFD58" s="196"/>
      <c r="RFE58" s="196"/>
      <c r="RFF58" s="196"/>
      <c r="RFG58" s="196"/>
      <c r="RFH58" s="196"/>
      <c r="RFI58" s="196"/>
      <c r="RFJ58" s="196"/>
      <c r="RFK58" s="196"/>
      <c r="RFL58" s="196"/>
      <c r="RFM58" s="196"/>
      <c r="RFN58" s="196"/>
      <c r="RFO58" s="196"/>
      <c r="RFP58" s="196"/>
      <c r="RFQ58" s="196"/>
      <c r="RFR58" s="196"/>
      <c r="RFS58" s="196"/>
      <c r="RFT58" s="196"/>
      <c r="RFU58" s="196"/>
      <c r="RFV58" s="196"/>
      <c r="RFW58" s="196"/>
      <c r="RFX58" s="196"/>
      <c r="RFY58" s="196"/>
      <c r="RFZ58" s="196"/>
      <c r="RGA58" s="196"/>
      <c r="RGB58" s="196"/>
      <c r="RGC58" s="196"/>
      <c r="RGD58" s="196"/>
      <c r="RGE58" s="196"/>
      <c r="RGF58" s="196"/>
      <c r="RGG58" s="196"/>
      <c r="RGH58" s="196"/>
      <c r="RGI58" s="196"/>
      <c r="RGJ58" s="196"/>
      <c r="RGK58" s="196"/>
      <c r="RGL58" s="196"/>
      <c r="RGM58" s="196"/>
      <c r="RGN58" s="196"/>
      <c r="RGO58" s="196"/>
      <c r="RGP58" s="196"/>
      <c r="RGQ58" s="196"/>
      <c r="RGR58" s="196"/>
      <c r="RGS58" s="196"/>
      <c r="RGT58" s="196"/>
      <c r="RGU58" s="196"/>
      <c r="RGV58" s="196"/>
      <c r="RGW58" s="196"/>
      <c r="RGX58" s="196"/>
      <c r="RGY58" s="196"/>
      <c r="RGZ58" s="196"/>
      <c r="RHA58" s="196"/>
      <c r="RHB58" s="196"/>
      <c r="RHC58" s="196"/>
      <c r="RHD58" s="196"/>
      <c r="RHE58" s="196"/>
      <c r="RHF58" s="196"/>
      <c r="RHG58" s="196"/>
      <c r="RHH58" s="196"/>
      <c r="RHI58" s="196"/>
      <c r="RHJ58" s="196"/>
      <c r="RHK58" s="196"/>
      <c r="RHL58" s="196"/>
      <c r="RHM58" s="196"/>
      <c r="RHN58" s="196"/>
      <c r="RHO58" s="196"/>
      <c r="RHP58" s="196"/>
      <c r="RHQ58" s="196"/>
      <c r="RHR58" s="196"/>
      <c r="RHS58" s="196"/>
      <c r="RHT58" s="196"/>
      <c r="RHU58" s="196"/>
      <c r="RHV58" s="196"/>
      <c r="RHW58" s="196"/>
      <c r="RHX58" s="196"/>
      <c r="RHY58" s="196"/>
      <c r="RHZ58" s="196"/>
      <c r="RIA58" s="196"/>
      <c r="RIB58" s="196"/>
      <c r="RIC58" s="196"/>
      <c r="RID58" s="196"/>
      <c r="RIE58" s="196"/>
      <c r="RIF58" s="196"/>
      <c r="RIG58" s="196"/>
      <c r="RIH58" s="196"/>
      <c r="RII58" s="196"/>
      <c r="RIJ58" s="196"/>
      <c r="RIK58" s="196"/>
      <c r="RIL58" s="196"/>
      <c r="RIM58" s="196"/>
      <c r="RIN58" s="196"/>
      <c r="RIO58" s="196"/>
      <c r="RIP58" s="196"/>
      <c r="RIQ58" s="196"/>
      <c r="RIR58" s="196"/>
      <c r="RIS58" s="196"/>
      <c r="RIT58" s="196"/>
      <c r="RIU58" s="196"/>
      <c r="RIV58" s="196"/>
      <c r="RIW58" s="196"/>
      <c r="RIX58" s="196"/>
      <c r="RIY58" s="196"/>
      <c r="RIZ58" s="196"/>
      <c r="RJA58" s="196"/>
      <c r="RJB58" s="196"/>
      <c r="RJC58" s="196"/>
      <c r="RJD58" s="196"/>
      <c r="RJE58" s="196"/>
      <c r="RJF58" s="196"/>
      <c r="RJG58" s="196"/>
      <c r="RJH58" s="196"/>
      <c r="RJI58" s="196"/>
      <c r="RJJ58" s="196"/>
      <c r="RJK58" s="196"/>
      <c r="RJL58" s="196"/>
      <c r="RJM58" s="196"/>
      <c r="RJN58" s="196"/>
      <c r="RJO58" s="196"/>
      <c r="RJP58" s="196"/>
      <c r="RJQ58" s="196"/>
      <c r="RJR58" s="196"/>
      <c r="RJS58" s="196"/>
      <c r="RJT58" s="196"/>
      <c r="RJU58" s="196"/>
      <c r="RJV58" s="196"/>
      <c r="RJW58" s="196"/>
      <c r="RJX58" s="196"/>
      <c r="RJY58" s="196"/>
      <c r="RJZ58" s="196"/>
      <c r="RKA58" s="196"/>
      <c r="RKB58" s="196"/>
      <c r="RKC58" s="196"/>
      <c r="RKD58" s="196"/>
      <c r="RKE58" s="196"/>
      <c r="RKF58" s="196"/>
      <c r="RKG58" s="196"/>
      <c r="RKH58" s="196"/>
      <c r="RKI58" s="196"/>
      <c r="RKJ58" s="196"/>
      <c r="RKK58" s="196"/>
      <c r="RKL58" s="196"/>
      <c r="RKM58" s="196"/>
      <c r="RKN58" s="196"/>
      <c r="RKO58" s="196"/>
      <c r="RKP58" s="196"/>
      <c r="RKQ58" s="196"/>
      <c r="RKR58" s="196"/>
      <c r="RKS58" s="196"/>
      <c r="RKT58" s="196"/>
      <c r="RKU58" s="196"/>
      <c r="RKV58" s="196"/>
      <c r="RKW58" s="196"/>
      <c r="RKX58" s="196"/>
      <c r="RKY58" s="196"/>
      <c r="RKZ58" s="196"/>
      <c r="RLA58" s="196"/>
      <c r="RLB58" s="196"/>
      <c r="RLC58" s="196"/>
      <c r="RLD58" s="196"/>
      <c r="RLE58" s="196"/>
      <c r="RLF58" s="196"/>
      <c r="RLG58" s="196"/>
      <c r="RLH58" s="196"/>
      <c r="RLI58" s="196"/>
      <c r="RLJ58" s="196"/>
      <c r="RLK58" s="196"/>
      <c r="RLL58" s="196"/>
      <c r="RLM58" s="196"/>
      <c r="RLN58" s="196"/>
      <c r="RLO58" s="196"/>
      <c r="RLP58" s="196"/>
      <c r="RLQ58" s="196"/>
      <c r="RLR58" s="196"/>
      <c r="RLS58" s="196"/>
      <c r="RLT58" s="196"/>
      <c r="RLU58" s="196"/>
      <c r="RLV58" s="196"/>
      <c r="RLW58" s="196"/>
      <c r="RLX58" s="196"/>
      <c r="RLY58" s="196"/>
      <c r="RLZ58" s="196"/>
      <c r="RMA58" s="196"/>
      <c r="RMB58" s="196"/>
      <c r="RMC58" s="196"/>
      <c r="RMD58" s="196"/>
      <c r="RME58" s="196"/>
      <c r="RMF58" s="196"/>
      <c r="RMG58" s="196"/>
      <c r="RMH58" s="196"/>
      <c r="RMI58" s="196"/>
      <c r="RMJ58" s="196"/>
      <c r="RMK58" s="196"/>
      <c r="RML58" s="196"/>
      <c r="RMM58" s="196"/>
      <c r="RMN58" s="196"/>
      <c r="RMO58" s="196"/>
      <c r="RMP58" s="196"/>
      <c r="RMQ58" s="196"/>
      <c r="RMR58" s="196"/>
      <c r="RMS58" s="196"/>
      <c r="RMT58" s="196"/>
      <c r="RMU58" s="196"/>
      <c r="RMV58" s="196"/>
      <c r="RMW58" s="196"/>
      <c r="RMX58" s="196"/>
      <c r="RMY58" s="196"/>
      <c r="RMZ58" s="196"/>
      <c r="RNA58" s="196"/>
      <c r="RNB58" s="196"/>
      <c r="RNC58" s="196"/>
      <c r="RND58" s="196"/>
      <c r="RNE58" s="196"/>
      <c r="RNF58" s="196"/>
      <c r="RNG58" s="196"/>
      <c r="RNH58" s="196"/>
      <c r="RNI58" s="196"/>
      <c r="RNJ58" s="196"/>
      <c r="RNK58" s="196"/>
      <c r="RNL58" s="196"/>
      <c r="RNM58" s="196"/>
      <c r="RNN58" s="196"/>
      <c r="RNO58" s="196"/>
      <c r="RNP58" s="196"/>
      <c r="RNQ58" s="196"/>
      <c r="RNR58" s="196"/>
      <c r="RNS58" s="196"/>
      <c r="RNT58" s="196"/>
      <c r="RNU58" s="196"/>
      <c r="RNV58" s="196"/>
      <c r="RNW58" s="196"/>
      <c r="RNX58" s="196"/>
      <c r="RNY58" s="196"/>
      <c r="RNZ58" s="196"/>
      <c r="ROA58" s="196"/>
      <c r="ROB58" s="196"/>
      <c r="ROC58" s="196"/>
      <c r="ROD58" s="196"/>
      <c r="ROE58" s="196"/>
      <c r="ROF58" s="196"/>
      <c r="ROG58" s="196"/>
      <c r="ROH58" s="196"/>
      <c r="ROI58" s="196"/>
      <c r="ROJ58" s="196"/>
      <c r="ROK58" s="196"/>
      <c r="ROL58" s="196"/>
      <c r="ROM58" s="196"/>
      <c r="RON58" s="196"/>
      <c r="ROO58" s="196"/>
      <c r="ROP58" s="196"/>
      <c r="ROQ58" s="196"/>
      <c r="ROR58" s="196"/>
      <c r="ROS58" s="196"/>
      <c r="ROT58" s="196"/>
      <c r="ROU58" s="196"/>
      <c r="ROV58" s="196"/>
      <c r="ROW58" s="196"/>
      <c r="ROX58" s="196"/>
      <c r="ROY58" s="196"/>
      <c r="ROZ58" s="196"/>
      <c r="RPA58" s="196"/>
      <c r="RPB58" s="196"/>
      <c r="RPC58" s="196"/>
      <c r="RPD58" s="196"/>
      <c r="RPE58" s="196"/>
      <c r="RPF58" s="196"/>
      <c r="RPG58" s="196"/>
      <c r="RPH58" s="196"/>
      <c r="RPI58" s="196"/>
      <c r="RPJ58" s="196"/>
      <c r="RPK58" s="196"/>
      <c r="RPL58" s="196"/>
      <c r="RPM58" s="196"/>
      <c r="RPN58" s="196"/>
      <c r="RPO58" s="196"/>
      <c r="RPP58" s="196"/>
      <c r="RPQ58" s="196"/>
      <c r="RPR58" s="196"/>
      <c r="RPS58" s="196"/>
      <c r="RPT58" s="196"/>
      <c r="RPU58" s="196"/>
      <c r="RPV58" s="196"/>
      <c r="RPW58" s="196"/>
      <c r="RPX58" s="196"/>
      <c r="RPY58" s="196"/>
      <c r="RPZ58" s="196"/>
      <c r="RQA58" s="196"/>
      <c r="RQB58" s="196"/>
      <c r="RQC58" s="196"/>
      <c r="RQD58" s="196"/>
      <c r="RQE58" s="196"/>
      <c r="RQF58" s="196"/>
      <c r="RQG58" s="196"/>
      <c r="RQH58" s="196"/>
      <c r="RQI58" s="196"/>
      <c r="RQJ58" s="196"/>
      <c r="RQK58" s="196"/>
      <c r="RQL58" s="196"/>
      <c r="RQM58" s="196"/>
      <c r="RQN58" s="196"/>
      <c r="RQO58" s="196"/>
      <c r="RQP58" s="196"/>
      <c r="RQQ58" s="196"/>
      <c r="RQR58" s="196"/>
      <c r="RQS58" s="196"/>
      <c r="RQT58" s="196"/>
      <c r="RQU58" s="196"/>
      <c r="RQV58" s="196"/>
      <c r="RQW58" s="196"/>
      <c r="RQX58" s="196"/>
      <c r="RQY58" s="196"/>
      <c r="RQZ58" s="196"/>
      <c r="RRA58" s="196"/>
      <c r="RRB58" s="196"/>
      <c r="RRC58" s="196"/>
      <c r="RRD58" s="196"/>
      <c r="RRE58" s="196"/>
      <c r="RRF58" s="196"/>
      <c r="RRG58" s="196"/>
      <c r="RRH58" s="196"/>
      <c r="RRI58" s="196"/>
      <c r="RRJ58" s="196"/>
      <c r="RRK58" s="196"/>
      <c r="RRL58" s="196"/>
      <c r="RRM58" s="196"/>
      <c r="RRN58" s="196"/>
      <c r="RRO58" s="196"/>
      <c r="RRP58" s="196"/>
      <c r="RRQ58" s="196"/>
      <c r="RRR58" s="196"/>
      <c r="RRS58" s="196"/>
      <c r="RRT58" s="196"/>
      <c r="RRU58" s="196"/>
      <c r="RRV58" s="196"/>
      <c r="RRW58" s="196"/>
      <c r="RRX58" s="196"/>
      <c r="RRY58" s="196"/>
      <c r="RRZ58" s="196"/>
      <c r="RSA58" s="196"/>
      <c r="RSB58" s="196"/>
      <c r="RSC58" s="196"/>
      <c r="RSD58" s="196"/>
      <c r="RSE58" s="196"/>
      <c r="RSF58" s="196"/>
      <c r="RSG58" s="196"/>
      <c r="RSH58" s="196"/>
      <c r="RSI58" s="196"/>
      <c r="RSJ58" s="196"/>
      <c r="RSK58" s="196"/>
      <c r="RSL58" s="196"/>
      <c r="RSM58" s="196"/>
      <c r="RSN58" s="196"/>
      <c r="RSO58" s="196"/>
      <c r="RSP58" s="196"/>
      <c r="RSQ58" s="196"/>
      <c r="RSR58" s="196"/>
      <c r="RSS58" s="196"/>
      <c r="RST58" s="196"/>
      <c r="RSU58" s="196"/>
      <c r="RSV58" s="196"/>
      <c r="RSW58" s="196"/>
      <c r="RSX58" s="196"/>
      <c r="RSY58" s="196"/>
      <c r="RSZ58" s="196"/>
      <c r="RTA58" s="196"/>
      <c r="RTB58" s="196"/>
      <c r="RTC58" s="196"/>
      <c r="RTD58" s="196"/>
      <c r="RTE58" s="196"/>
      <c r="RTF58" s="196"/>
      <c r="RTG58" s="196"/>
      <c r="RTH58" s="196"/>
      <c r="RTI58" s="196"/>
      <c r="RTJ58" s="196"/>
      <c r="RTK58" s="196"/>
      <c r="RTL58" s="196"/>
      <c r="RTM58" s="196"/>
      <c r="RTN58" s="196"/>
      <c r="RTO58" s="196"/>
      <c r="RTP58" s="196"/>
      <c r="RTQ58" s="196"/>
      <c r="RTR58" s="196"/>
      <c r="RTS58" s="196"/>
      <c r="RTT58" s="196"/>
      <c r="RTU58" s="196"/>
      <c r="RTV58" s="196"/>
      <c r="RTW58" s="196"/>
      <c r="RTX58" s="196"/>
      <c r="RTY58" s="196"/>
      <c r="RTZ58" s="196"/>
      <c r="RUA58" s="196"/>
      <c r="RUB58" s="196"/>
      <c r="RUC58" s="196"/>
      <c r="RUD58" s="196"/>
      <c r="RUE58" s="196"/>
      <c r="RUF58" s="196"/>
      <c r="RUG58" s="196"/>
      <c r="RUH58" s="196"/>
      <c r="RUI58" s="196"/>
      <c r="RUJ58" s="196"/>
      <c r="RUK58" s="196"/>
      <c r="RUL58" s="196"/>
      <c r="RUM58" s="196"/>
      <c r="RUN58" s="196"/>
      <c r="RUO58" s="196"/>
      <c r="RUP58" s="196"/>
      <c r="RUQ58" s="196"/>
      <c r="RUR58" s="196"/>
      <c r="RUS58" s="196"/>
      <c r="RUT58" s="196"/>
      <c r="RUU58" s="196"/>
      <c r="RUV58" s="196"/>
      <c r="RUW58" s="196"/>
      <c r="RUX58" s="196"/>
      <c r="RUY58" s="196"/>
      <c r="RUZ58" s="196"/>
      <c r="RVA58" s="196"/>
      <c r="RVB58" s="196"/>
      <c r="RVC58" s="196"/>
      <c r="RVD58" s="196"/>
      <c r="RVE58" s="196"/>
      <c r="RVF58" s="196"/>
      <c r="RVG58" s="196"/>
      <c r="RVH58" s="196"/>
      <c r="RVI58" s="196"/>
      <c r="RVJ58" s="196"/>
      <c r="RVK58" s="196"/>
      <c r="RVL58" s="196"/>
      <c r="RVM58" s="196"/>
      <c r="RVN58" s="196"/>
      <c r="RVO58" s="196"/>
      <c r="RVP58" s="196"/>
      <c r="RVQ58" s="196"/>
      <c r="RVR58" s="196"/>
      <c r="RVS58" s="196"/>
      <c r="RVT58" s="196"/>
      <c r="RVU58" s="196"/>
      <c r="RVV58" s="196"/>
      <c r="RVW58" s="196"/>
      <c r="RVX58" s="196"/>
      <c r="RVY58" s="196"/>
      <c r="RVZ58" s="196"/>
      <c r="RWA58" s="196"/>
      <c r="RWB58" s="196"/>
      <c r="RWC58" s="196"/>
      <c r="RWD58" s="196"/>
      <c r="RWE58" s="196"/>
      <c r="RWF58" s="196"/>
      <c r="RWG58" s="196"/>
      <c r="RWH58" s="196"/>
      <c r="RWI58" s="196"/>
      <c r="RWJ58" s="196"/>
      <c r="RWK58" s="196"/>
      <c r="RWL58" s="196"/>
      <c r="RWM58" s="196"/>
      <c r="RWN58" s="196"/>
      <c r="RWO58" s="196"/>
      <c r="RWP58" s="196"/>
      <c r="RWQ58" s="196"/>
      <c r="RWR58" s="196"/>
      <c r="RWS58" s="196"/>
      <c r="RWT58" s="196"/>
      <c r="RWU58" s="196"/>
      <c r="RWV58" s="196"/>
      <c r="RWW58" s="196"/>
      <c r="RWX58" s="196"/>
      <c r="RWY58" s="196"/>
      <c r="RWZ58" s="196"/>
      <c r="RXA58" s="196"/>
      <c r="RXB58" s="196"/>
      <c r="RXC58" s="196"/>
      <c r="RXD58" s="196"/>
      <c r="RXE58" s="196"/>
      <c r="RXF58" s="196"/>
      <c r="RXG58" s="196"/>
      <c r="RXH58" s="196"/>
      <c r="RXI58" s="196"/>
      <c r="RXJ58" s="196"/>
      <c r="RXK58" s="196"/>
      <c r="RXL58" s="196"/>
      <c r="RXM58" s="196"/>
      <c r="RXN58" s="196"/>
      <c r="RXO58" s="196"/>
      <c r="RXP58" s="196"/>
      <c r="RXQ58" s="196"/>
      <c r="RXR58" s="196"/>
      <c r="RXS58" s="196"/>
      <c r="RXT58" s="196"/>
      <c r="RXU58" s="196"/>
      <c r="RXV58" s="196"/>
      <c r="RXW58" s="196"/>
      <c r="RXX58" s="196"/>
      <c r="RXY58" s="196"/>
      <c r="RXZ58" s="196"/>
      <c r="RYA58" s="196"/>
      <c r="RYB58" s="196"/>
      <c r="RYC58" s="196"/>
      <c r="RYD58" s="196"/>
      <c r="RYE58" s="196"/>
      <c r="RYF58" s="196"/>
      <c r="RYG58" s="196"/>
      <c r="RYH58" s="196"/>
      <c r="RYI58" s="196"/>
      <c r="RYJ58" s="196"/>
      <c r="RYK58" s="196"/>
      <c r="RYL58" s="196"/>
      <c r="RYM58" s="196"/>
      <c r="RYN58" s="196"/>
      <c r="RYO58" s="196"/>
      <c r="RYP58" s="196"/>
      <c r="RYQ58" s="196"/>
      <c r="RYR58" s="196"/>
      <c r="RYS58" s="196"/>
      <c r="RYT58" s="196"/>
      <c r="RYU58" s="196"/>
      <c r="RYV58" s="196"/>
      <c r="RYW58" s="196"/>
      <c r="RYX58" s="196"/>
      <c r="RYY58" s="196"/>
      <c r="RYZ58" s="196"/>
      <c r="RZA58" s="196"/>
      <c r="RZB58" s="196"/>
      <c r="RZC58" s="196"/>
      <c r="RZD58" s="196"/>
      <c r="RZE58" s="196"/>
      <c r="RZF58" s="196"/>
      <c r="RZG58" s="196"/>
      <c r="RZH58" s="196"/>
      <c r="RZI58" s="196"/>
      <c r="RZJ58" s="196"/>
      <c r="RZK58" s="196"/>
      <c r="RZL58" s="196"/>
      <c r="RZM58" s="196"/>
      <c r="RZN58" s="196"/>
      <c r="RZO58" s="196"/>
      <c r="RZP58" s="196"/>
      <c r="RZQ58" s="196"/>
      <c r="RZR58" s="196"/>
      <c r="RZS58" s="196"/>
      <c r="RZT58" s="196"/>
      <c r="RZU58" s="196"/>
      <c r="RZV58" s="196"/>
      <c r="RZW58" s="196"/>
      <c r="RZX58" s="196"/>
      <c r="RZY58" s="196"/>
      <c r="RZZ58" s="196"/>
      <c r="SAA58" s="196"/>
      <c r="SAB58" s="196"/>
      <c r="SAC58" s="196"/>
      <c r="SAD58" s="196"/>
      <c r="SAE58" s="196"/>
      <c r="SAF58" s="196"/>
      <c r="SAG58" s="196"/>
      <c r="SAH58" s="196"/>
      <c r="SAI58" s="196"/>
      <c r="SAJ58" s="196"/>
      <c r="SAK58" s="196"/>
      <c r="SAL58" s="196"/>
      <c r="SAM58" s="196"/>
      <c r="SAN58" s="196"/>
      <c r="SAO58" s="196"/>
      <c r="SAP58" s="196"/>
      <c r="SAQ58" s="196"/>
      <c r="SAR58" s="196"/>
      <c r="SAS58" s="196"/>
      <c r="SAT58" s="196"/>
      <c r="SAU58" s="196"/>
      <c r="SAV58" s="196"/>
      <c r="SAW58" s="196"/>
      <c r="SAX58" s="196"/>
      <c r="SAY58" s="196"/>
      <c r="SAZ58" s="196"/>
      <c r="SBA58" s="196"/>
      <c r="SBB58" s="196"/>
      <c r="SBC58" s="196"/>
      <c r="SBD58" s="196"/>
      <c r="SBE58" s="196"/>
      <c r="SBF58" s="196"/>
      <c r="SBG58" s="196"/>
      <c r="SBH58" s="196"/>
      <c r="SBI58" s="196"/>
      <c r="SBJ58" s="196"/>
      <c r="SBK58" s="196"/>
      <c r="SBL58" s="196"/>
      <c r="SBM58" s="196"/>
      <c r="SBN58" s="196"/>
      <c r="SBO58" s="196"/>
      <c r="SBP58" s="196"/>
      <c r="SBQ58" s="196"/>
      <c r="SBR58" s="196"/>
      <c r="SBS58" s="196"/>
      <c r="SBT58" s="196"/>
      <c r="SBU58" s="196"/>
      <c r="SBV58" s="196"/>
      <c r="SBW58" s="196"/>
      <c r="SBX58" s="196"/>
      <c r="SBY58" s="196"/>
      <c r="SBZ58" s="196"/>
      <c r="SCA58" s="196"/>
      <c r="SCB58" s="196"/>
      <c r="SCC58" s="196"/>
      <c r="SCD58" s="196"/>
      <c r="SCE58" s="196"/>
      <c r="SCF58" s="196"/>
      <c r="SCG58" s="196"/>
      <c r="SCH58" s="196"/>
      <c r="SCI58" s="196"/>
      <c r="SCJ58" s="196"/>
      <c r="SCK58" s="196"/>
      <c r="SCL58" s="196"/>
      <c r="SCM58" s="196"/>
      <c r="SCN58" s="196"/>
      <c r="SCO58" s="196"/>
      <c r="SCP58" s="196"/>
      <c r="SCQ58" s="196"/>
      <c r="SCR58" s="196"/>
      <c r="SCS58" s="196"/>
      <c r="SCT58" s="196"/>
      <c r="SCU58" s="196"/>
      <c r="SCV58" s="196"/>
      <c r="SCW58" s="196"/>
      <c r="SCX58" s="196"/>
      <c r="SCY58" s="196"/>
      <c r="SCZ58" s="196"/>
      <c r="SDA58" s="196"/>
      <c r="SDB58" s="196"/>
      <c r="SDC58" s="196"/>
      <c r="SDD58" s="196"/>
      <c r="SDE58" s="196"/>
      <c r="SDF58" s="196"/>
      <c r="SDG58" s="196"/>
      <c r="SDH58" s="196"/>
      <c r="SDI58" s="196"/>
      <c r="SDJ58" s="196"/>
      <c r="SDK58" s="196"/>
      <c r="SDL58" s="196"/>
      <c r="SDM58" s="196"/>
      <c r="SDN58" s="196"/>
      <c r="SDO58" s="196"/>
      <c r="SDP58" s="196"/>
      <c r="SDQ58" s="196"/>
      <c r="SDR58" s="196"/>
      <c r="SDS58" s="196"/>
      <c r="SDT58" s="196"/>
      <c r="SDU58" s="196"/>
      <c r="SDV58" s="196"/>
      <c r="SDW58" s="196"/>
      <c r="SDX58" s="196"/>
      <c r="SDY58" s="196"/>
      <c r="SDZ58" s="196"/>
      <c r="SEA58" s="196"/>
      <c r="SEB58" s="196"/>
      <c r="SEC58" s="196"/>
      <c r="SED58" s="196"/>
      <c r="SEE58" s="196"/>
      <c r="SEF58" s="196"/>
      <c r="SEG58" s="196"/>
      <c r="SEH58" s="196"/>
      <c r="SEI58" s="196"/>
      <c r="SEJ58" s="196"/>
      <c r="SEK58" s="196"/>
      <c r="SEL58" s="196"/>
      <c r="SEM58" s="196"/>
      <c r="SEN58" s="196"/>
      <c r="SEO58" s="196"/>
      <c r="SEP58" s="196"/>
      <c r="SEQ58" s="196"/>
      <c r="SER58" s="196"/>
      <c r="SES58" s="196"/>
      <c r="SET58" s="196"/>
      <c r="SEU58" s="196"/>
      <c r="SEV58" s="196"/>
      <c r="SEW58" s="196"/>
      <c r="SEX58" s="196"/>
      <c r="SEY58" s="196"/>
      <c r="SEZ58" s="196"/>
      <c r="SFA58" s="196"/>
      <c r="SFB58" s="196"/>
      <c r="SFC58" s="196"/>
      <c r="SFD58" s="196"/>
      <c r="SFE58" s="196"/>
      <c r="SFF58" s="196"/>
      <c r="SFG58" s="196"/>
      <c r="SFH58" s="196"/>
      <c r="SFI58" s="196"/>
      <c r="SFJ58" s="196"/>
      <c r="SFK58" s="196"/>
      <c r="SFL58" s="196"/>
      <c r="SFM58" s="196"/>
      <c r="SFN58" s="196"/>
      <c r="SFO58" s="196"/>
      <c r="SFP58" s="196"/>
      <c r="SFQ58" s="196"/>
      <c r="SFR58" s="196"/>
      <c r="SFS58" s="196"/>
      <c r="SFT58" s="196"/>
      <c r="SFU58" s="196"/>
      <c r="SFV58" s="196"/>
      <c r="SFW58" s="196"/>
      <c r="SFX58" s="196"/>
      <c r="SFY58" s="196"/>
      <c r="SFZ58" s="196"/>
      <c r="SGA58" s="196"/>
      <c r="SGB58" s="196"/>
      <c r="SGC58" s="196"/>
      <c r="SGD58" s="196"/>
      <c r="SGE58" s="196"/>
      <c r="SGF58" s="196"/>
      <c r="SGG58" s="196"/>
      <c r="SGH58" s="196"/>
      <c r="SGI58" s="196"/>
      <c r="SGJ58" s="196"/>
      <c r="SGK58" s="196"/>
      <c r="SGL58" s="196"/>
      <c r="SGM58" s="196"/>
      <c r="SGN58" s="196"/>
      <c r="SGO58" s="196"/>
      <c r="SGP58" s="196"/>
      <c r="SGQ58" s="196"/>
      <c r="SGR58" s="196"/>
      <c r="SGS58" s="196"/>
      <c r="SGT58" s="196"/>
      <c r="SGU58" s="196"/>
      <c r="SGV58" s="196"/>
      <c r="SGW58" s="196"/>
      <c r="SGX58" s="196"/>
      <c r="SGY58" s="196"/>
      <c r="SGZ58" s="196"/>
      <c r="SHA58" s="196"/>
      <c r="SHB58" s="196"/>
      <c r="SHC58" s="196"/>
      <c r="SHD58" s="196"/>
      <c r="SHE58" s="196"/>
      <c r="SHF58" s="196"/>
      <c r="SHG58" s="196"/>
      <c r="SHH58" s="196"/>
      <c r="SHI58" s="196"/>
      <c r="SHJ58" s="196"/>
      <c r="SHK58" s="196"/>
      <c r="SHL58" s="196"/>
      <c r="SHM58" s="196"/>
      <c r="SHN58" s="196"/>
      <c r="SHO58" s="196"/>
      <c r="SHP58" s="196"/>
      <c r="SHQ58" s="196"/>
      <c r="SHR58" s="196"/>
      <c r="SHS58" s="196"/>
      <c r="SHT58" s="196"/>
      <c r="SHU58" s="196"/>
      <c r="SHV58" s="196"/>
      <c r="SHW58" s="196"/>
      <c r="SHX58" s="196"/>
      <c r="SHY58" s="196"/>
      <c r="SHZ58" s="196"/>
      <c r="SIA58" s="196"/>
      <c r="SIB58" s="196"/>
      <c r="SIC58" s="196"/>
      <c r="SID58" s="196"/>
      <c r="SIE58" s="196"/>
      <c r="SIF58" s="196"/>
      <c r="SIG58" s="196"/>
      <c r="SIH58" s="196"/>
      <c r="SII58" s="196"/>
      <c r="SIJ58" s="196"/>
      <c r="SIK58" s="196"/>
      <c r="SIL58" s="196"/>
      <c r="SIM58" s="196"/>
      <c r="SIN58" s="196"/>
      <c r="SIO58" s="196"/>
      <c r="SIP58" s="196"/>
      <c r="SIQ58" s="196"/>
      <c r="SIR58" s="196"/>
      <c r="SIS58" s="196"/>
      <c r="SIT58" s="196"/>
      <c r="SIU58" s="196"/>
      <c r="SIV58" s="196"/>
      <c r="SIW58" s="196"/>
      <c r="SIX58" s="196"/>
      <c r="SIY58" s="196"/>
      <c r="SIZ58" s="196"/>
      <c r="SJA58" s="196"/>
      <c r="SJB58" s="196"/>
      <c r="SJC58" s="196"/>
      <c r="SJD58" s="196"/>
      <c r="SJE58" s="196"/>
      <c r="SJF58" s="196"/>
      <c r="SJG58" s="196"/>
      <c r="SJH58" s="196"/>
      <c r="SJI58" s="196"/>
      <c r="SJJ58" s="196"/>
      <c r="SJK58" s="196"/>
      <c r="SJL58" s="196"/>
      <c r="SJM58" s="196"/>
      <c r="SJN58" s="196"/>
      <c r="SJO58" s="196"/>
      <c r="SJP58" s="196"/>
      <c r="SJQ58" s="196"/>
      <c r="SJR58" s="196"/>
      <c r="SJS58" s="196"/>
      <c r="SJT58" s="196"/>
      <c r="SJU58" s="196"/>
      <c r="SJV58" s="196"/>
      <c r="SJW58" s="196"/>
      <c r="SJX58" s="196"/>
      <c r="SJY58" s="196"/>
      <c r="SJZ58" s="196"/>
      <c r="SKA58" s="196"/>
      <c r="SKB58" s="196"/>
      <c r="SKC58" s="196"/>
      <c r="SKD58" s="196"/>
      <c r="SKE58" s="196"/>
      <c r="SKF58" s="196"/>
      <c r="SKG58" s="196"/>
      <c r="SKH58" s="196"/>
      <c r="SKI58" s="196"/>
      <c r="SKJ58" s="196"/>
      <c r="SKK58" s="196"/>
      <c r="SKL58" s="196"/>
      <c r="SKM58" s="196"/>
      <c r="SKN58" s="196"/>
      <c r="SKO58" s="196"/>
      <c r="SKP58" s="196"/>
      <c r="SKQ58" s="196"/>
      <c r="SKR58" s="196"/>
      <c r="SKS58" s="196"/>
      <c r="SKT58" s="196"/>
      <c r="SKU58" s="196"/>
      <c r="SKV58" s="196"/>
      <c r="SKW58" s="196"/>
      <c r="SKX58" s="196"/>
      <c r="SKY58" s="196"/>
      <c r="SKZ58" s="196"/>
      <c r="SLA58" s="196"/>
      <c r="SLB58" s="196"/>
      <c r="SLC58" s="196"/>
      <c r="SLD58" s="196"/>
      <c r="SLE58" s="196"/>
      <c r="SLF58" s="196"/>
      <c r="SLG58" s="196"/>
      <c r="SLH58" s="196"/>
      <c r="SLI58" s="196"/>
      <c r="SLJ58" s="196"/>
      <c r="SLK58" s="196"/>
      <c r="SLL58" s="196"/>
      <c r="SLM58" s="196"/>
      <c r="SLN58" s="196"/>
      <c r="SLO58" s="196"/>
      <c r="SLP58" s="196"/>
      <c r="SLQ58" s="196"/>
      <c r="SLR58" s="196"/>
      <c r="SLS58" s="196"/>
      <c r="SLT58" s="196"/>
      <c r="SLU58" s="196"/>
      <c r="SLV58" s="196"/>
      <c r="SLW58" s="196"/>
      <c r="SLX58" s="196"/>
      <c r="SLY58" s="196"/>
      <c r="SLZ58" s="196"/>
      <c r="SMA58" s="196"/>
      <c r="SMB58" s="196"/>
      <c r="SMC58" s="196"/>
      <c r="SMD58" s="196"/>
      <c r="SME58" s="196"/>
      <c r="SMF58" s="196"/>
      <c r="SMG58" s="196"/>
      <c r="SMH58" s="196"/>
      <c r="SMI58" s="196"/>
      <c r="SMJ58" s="196"/>
      <c r="SMK58" s="196"/>
      <c r="SML58" s="196"/>
      <c r="SMM58" s="196"/>
      <c r="SMN58" s="196"/>
      <c r="SMO58" s="196"/>
      <c r="SMP58" s="196"/>
      <c r="SMQ58" s="196"/>
      <c r="SMR58" s="196"/>
      <c r="SMS58" s="196"/>
      <c r="SMT58" s="196"/>
      <c r="SMU58" s="196"/>
      <c r="SMV58" s="196"/>
      <c r="SMW58" s="196"/>
      <c r="SMX58" s="196"/>
      <c r="SMY58" s="196"/>
      <c r="SMZ58" s="196"/>
      <c r="SNA58" s="196"/>
      <c r="SNB58" s="196"/>
      <c r="SNC58" s="196"/>
      <c r="SND58" s="196"/>
      <c r="SNE58" s="196"/>
      <c r="SNF58" s="196"/>
      <c r="SNG58" s="196"/>
      <c r="SNH58" s="196"/>
      <c r="SNI58" s="196"/>
      <c r="SNJ58" s="196"/>
      <c r="SNK58" s="196"/>
      <c r="SNL58" s="196"/>
      <c r="SNM58" s="196"/>
      <c r="SNN58" s="196"/>
      <c r="SNO58" s="196"/>
      <c r="SNP58" s="196"/>
      <c r="SNQ58" s="196"/>
      <c r="SNR58" s="196"/>
      <c r="SNS58" s="196"/>
      <c r="SNT58" s="196"/>
      <c r="SNU58" s="196"/>
      <c r="SNV58" s="196"/>
      <c r="SNW58" s="196"/>
      <c r="SNX58" s="196"/>
      <c r="SNY58" s="196"/>
      <c r="SNZ58" s="196"/>
      <c r="SOA58" s="196"/>
      <c r="SOB58" s="196"/>
      <c r="SOC58" s="196"/>
      <c r="SOD58" s="196"/>
      <c r="SOE58" s="196"/>
      <c r="SOF58" s="196"/>
      <c r="SOG58" s="196"/>
      <c r="SOH58" s="196"/>
      <c r="SOI58" s="196"/>
      <c r="SOJ58" s="196"/>
      <c r="SOK58" s="196"/>
      <c r="SOL58" s="196"/>
      <c r="SOM58" s="196"/>
      <c r="SON58" s="196"/>
      <c r="SOO58" s="196"/>
      <c r="SOP58" s="196"/>
      <c r="SOQ58" s="196"/>
      <c r="SOR58" s="196"/>
      <c r="SOS58" s="196"/>
      <c r="SOT58" s="196"/>
      <c r="SOU58" s="196"/>
      <c r="SOV58" s="196"/>
      <c r="SOW58" s="196"/>
      <c r="SOX58" s="196"/>
      <c r="SOY58" s="196"/>
      <c r="SOZ58" s="196"/>
      <c r="SPA58" s="196"/>
      <c r="SPB58" s="196"/>
      <c r="SPC58" s="196"/>
      <c r="SPD58" s="196"/>
      <c r="SPE58" s="196"/>
      <c r="SPF58" s="196"/>
      <c r="SPG58" s="196"/>
      <c r="SPH58" s="196"/>
      <c r="SPI58" s="196"/>
      <c r="SPJ58" s="196"/>
      <c r="SPK58" s="196"/>
      <c r="SPL58" s="196"/>
      <c r="SPM58" s="196"/>
      <c r="SPN58" s="196"/>
      <c r="SPO58" s="196"/>
      <c r="SPP58" s="196"/>
      <c r="SPQ58" s="196"/>
      <c r="SPR58" s="196"/>
      <c r="SPS58" s="196"/>
      <c r="SPT58" s="196"/>
      <c r="SPU58" s="196"/>
      <c r="SPV58" s="196"/>
      <c r="SPW58" s="196"/>
      <c r="SPX58" s="196"/>
      <c r="SPY58" s="196"/>
      <c r="SPZ58" s="196"/>
      <c r="SQA58" s="196"/>
      <c r="SQB58" s="196"/>
      <c r="SQC58" s="196"/>
      <c r="SQD58" s="196"/>
      <c r="SQE58" s="196"/>
      <c r="SQF58" s="196"/>
      <c r="SQG58" s="196"/>
      <c r="SQH58" s="196"/>
      <c r="SQI58" s="196"/>
      <c r="SQJ58" s="196"/>
      <c r="SQK58" s="196"/>
      <c r="SQL58" s="196"/>
      <c r="SQM58" s="196"/>
      <c r="SQN58" s="196"/>
      <c r="SQO58" s="196"/>
      <c r="SQP58" s="196"/>
      <c r="SQQ58" s="196"/>
      <c r="SQR58" s="196"/>
      <c r="SQS58" s="196"/>
      <c r="SQT58" s="196"/>
      <c r="SQU58" s="196"/>
      <c r="SQV58" s="196"/>
      <c r="SQW58" s="196"/>
      <c r="SQX58" s="196"/>
      <c r="SQY58" s="196"/>
      <c r="SQZ58" s="196"/>
      <c r="SRA58" s="196"/>
      <c r="SRB58" s="196"/>
      <c r="SRC58" s="196"/>
      <c r="SRD58" s="196"/>
      <c r="SRE58" s="196"/>
      <c r="SRF58" s="196"/>
      <c r="SRG58" s="196"/>
      <c r="SRH58" s="196"/>
      <c r="SRI58" s="196"/>
      <c r="SRJ58" s="196"/>
      <c r="SRK58" s="196"/>
      <c r="SRL58" s="196"/>
      <c r="SRM58" s="196"/>
      <c r="SRN58" s="196"/>
      <c r="SRO58" s="196"/>
      <c r="SRP58" s="196"/>
      <c r="SRQ58" s="196"/>
      <c r="SRR58" s="196"/>
      <c r="SRS58" s="196"/>
      <c r="SRT58" s="196"/>
      <c r="SRU58" s="196"/>
      <c r="SRV58" s="196"/>
      <c r="SRW58" s="196"/>
      <c r="SRX58" s="196"/>
      <c r="SRY58" s="196"/>
      <c r="SRZ58" s="196"/>
      <c r="SSA58" s="196"/>
      <c r="SSB58" s="196"/>
      <c r="SSC58" s="196"/>
      <c r="SSD58" s="196"/>
      <c r="SSE58" s="196"/>
      <c r="SSF58" s="196"/>
      <c r="SSG58" s="196"/>
      <c r="SSH58" s="196"/>
      <c r="SSI58" s="196"/>
      <c r="SSJ58" s="196"/>
      <c r="SSK58" s="196"/>
      <c r="SSL58" s="196"/>
      <c r="SSM58" s="196"/>
      <c r="SSN58" s="196"/>
      <c r="SSO58" s="196"/>
      <c r="SSP58" s="196"/>
      <c r="SSQ58" s="196"/>
      <c r="SSR58" s="196"/>
      <c r="SSS58" s="196"/>
      <c r="SST58" s="196"/>
      <c r="SSU58" s="196"/>
      <c r="SSV58" s="196"/>
      <c r="SSW58" s="196"/>
      <c r="SSX58" s="196"/>
      <c r="SSY58" s="196"/>
      <c r="SSZ58" s="196"/>
      <c r="STA58" s="196"/>
      <c r="STB58" s="196"/>
      <c r="STC58" s="196"/>
      <c r="STD58" s="196"/>
      <c r="STE58" s="196"/>
      <c r="STF58" s="196"/>
      <c r="STG58" s="196"/>
      <c r="STH58" s="196"/>
      <c r="STI58" s="196"/>
      <c r="STJ58" s="196"/>
      <c r="STK58" s="196"/>
      <c r="STL58" s="196"/>
      <c r="STM58" s="196"/>
      <c r="STN58" s="196"/>
      <c r="STO58" s="196"/>
      <c r="STP58" s="196"/>
      <c r="STQ58" s="196"/>
      <c r="STR58" s="196"/>
      <c r="STS58" s="196"/>
      <c r="STT58" s="196"/>
      <c r="STU58" s="196"/>
      <c r="STV58" s="196"/>
      <c r="STW58" s="196"/>
      <c r="STX58" s="196"/>
      <c r="STY58" s="196"/>
      <c r="STZ58" s="196"/>
      <c r="SUA58" s="196"/>
      <c r="SUB58" s="196"/>
      <c r="SUC58" s="196"/>
      <c r="SUD58" s="196"/>
      <c r="SUE58" s="196"/>
      <c r="SUF58" s="196"/>
      <c r="SUG58" s="196"/>
      <c r="SUH58" s="196"/>
      <c r="SUI58" s="196"/>
      <c r="SUJ58" s="196"/>
      <c r="SUK58" s="196"/>
      <c r="SUL58" s="196"/>
      <c r="SUM58" s="196"/>
      <c r="SUN58" s="196"/>
      <c r="SUO58" s="196"/>
      <c r="SUP58" s="196"/>
      <c r="SUQ58" s="196"/>
      <c r="SUR58" s="196"/>
      <c r="SUS58" s="196"/>
      <c r="SUT58" s="196"/>
      <c r="SUU58" s="196"/>
      <c r="SUV58" s="196"/>
      <c r="SUW58" s="196"/>
      <c r="SUX58" s="196"/>
      <c r="SUY58" s="196"/>
      <c r="SUZ58" s="196"/>
      <c r="SVA58" s="196"/>
      <c r="SVB58" s="196"/>
      <c r="SVC58" s="196"/>
      <c r="SVD58" s="196"/>
      <c r="SVE58" s="196"/>
      <c r="SVF58" s="196"/>
      <c r="SVG58" s="196"/>
      <c r="SVH58" s="196"/>
      <c r="SVI58" s="196"/>
      <c r="SVJ58" s="196"/>
      <c r="SVK58" s="196"/>
      <c r="SVL58" s="196"/>
      <c r="SVM58" s="196"/>
      <c r="SVN58" s="196"/>
      <c r="SVO58" s="196"/>
      <c r="SVP58" s="196"/>
      <c r="SVQ58" s="196"/>
      <c r="SVR58" s="196"/>
      <c r="SVS58" s="196"/>
      <c r="SVT58" s="196"/>
      <c r="SVU58" s="196"/>
      <c r="SVV58" s="196"/>
      <c r="SVW58" s="196"/>
      <c r="SVX58" s="196"/>
      <c r="SVY58" s="196"/>
      <c r="SVZ58" s="196"/>
      <c r="SWA58" s="196"/>
      <c r="SWB58" s="196"/>
      <c r="SWC58" s="196"/>
      <c r="SWD58" s="196"/>
      <c r="SWE58" s="196"/>
      <c r="SWF58" s="196"/>
      <c r="SWG58" s="196"/>
      <c r="SWH58" s="196"/>
      <c r="SWI58" s="196"/>
      <c r="SWJ58" s="196"/>
      <c r="SWK58" s="196"/>
      <c r="SWL58" s="196"/>
      <c r="SWM58" s="196"/>
      <c r="SWN58" s="196"/>
      <c r="SWO58" s="196"/>
      <c r="SWP58" s="196"/>
      <c r="SWQ58" s="196"/>
      <c r="SWR58" s="196"/>
      <c r="SWS58" s="196"/>
      <c r="SWT58" s="196"/>
      <c r="SWU58" s="196"/>
      <c r="SWV58" s="196"/>
      <c r="SWW58" s="196"/>
      <c r="SWX58" s="196"/>
      <c r="SWY58" s="196"/>
      <c r="SWZ58" s="196"/>
      <c r="SXA58" s="196"/>
      <c r="SXB58" s="196"/>
      <c r="SXC58" s="196"/>
      <c r="SXD58" s="196"/>
      <c r="SXE58" s="196"/>
      <c r="SXF58" s="196"/>
      <c r="SXG58" s="196"/>
      <c r="SXH58" s="196"/>
      <c r="SXI58" s="196"/>
      <c r="SXJ58" s="196"/>
      <c r="SXK58" s="196"/>
      <c r="SXL58" s="196"/>
      <c r="SXM58" s="196"/>
      <c r="SXN58" s="196"/>
      <c r="SXO58" s="196"/>
      <c r="SXP58" s="196"/>
      <c r="SXQ58" s="196"/>
      <c r="SXR58" s="196"/>
      <c r="SXS58" s="196"/>
      <c r="SXT58" s="196"/>
      <c r="SXU58" s="196"/>
      <c r="SXV58" s="196"/>
      <c r="SXW58" s="196"/>
      <c r="SXX58" s="196"/>
      <c r="SXY58" s="196"/>
      <c r="SXZ58" s="196"/>
      <c r="SYA58" s="196"/>
      <c r="SYB58" s="196"/>
      <c r="SYC58" s="196"/>
      <c r="SYD58" s="196"/>
      <c r="SYE58" s="196"/>
      <c r="SYF58" s="196"/>
      <c r="SYG58" s="196"/>
      <c r="SYH58" s="196"/>
      <c r="SYI58" s="196"/>
      <c r="SYJ58" s="196"/>
      <c r="SYK58" s="196"/>
      <c r="SYL58" s="196"/>
      <c r="SYM58" s="196"/>
      <c r="SYN58" s="196"/>
      <c r="SYO58" s="196"/>
      <c r="SYP58" s="196"/>
      <c r="SYQ58" s="196"/>
      <c r="SYR58" s="196"/>
      <c r="SYS58" s="196"/>
      <c r="SYT58" s="196"/>
      <c r="SYU58" s="196"/>
      <c r="SYV58" s="196"/>
      <c r="SYW58" s="196"/>
      <c r="SYX58" s="196"/>
      <c r="SYY58" s="196"/>
      <c r="SYZ58" s="196"/>
      <c r="SZA58" s="196"/>
      <c r="SZB58" s="196"/>
      <c r="SZC58" s="196"/>
      <c r="SZD58" s="196"/>
      <c r="SZE58" s="196"/>
      <c r="SZF58" s="196"/>
      <c r="SZG58" s="196"/>
      <c r="SZH58" s="196"/>
      <c r="SZI58" s="196"/>
      <c r="SZJ58" s="196"/>
      <c r="SZK58" s="196"/>
      <c r="SZL58" s="196"/>
      <c r="SZM58" s="196"/>
      <c r="SZN58" s="196"/>
      <c r="SZO58" s="196"/>
      <c r="SZP58" s="196"/>
      <c r="SZQ58" s="196"/>
      <c r="SZR58" s="196"/>
      <c r="SZS58" s="196"/>
      <c r="SZT58" s="196"/>
      <c r="SZU58" s="196"/>
      <c r="SZV58" s="196"/>
      <c r="SZW58" s="196"/>
      <c r="SZX58" s="196"/>
      <c r="SZY58" s="196"/>
      <c r="SZZ58" s="196"/>
      <c r="TAA58" s="196"/>
      <c r="TAB58" s="196"/>
      <c r="TAC58" s="196"/>
      <c r="TAD58" s="196"/>
      <c r="TAE58" s="196"/>
      <c r="TAF58" s="196"/>
      <c r="TAG58" s="196"/>
      <c r="TAH58" s="196"/>
      <c r="TAI58" s="196"/>
      <c r="TAJ58" s="196"/>
      <c r="TAK58" s="196"/>
      <c r="TAL58" s="196"/>
      <c r="TAM58" s="196"/>
      <c r="TAN58" s="196"/>
      <c r="TAO58" s="196"/>
      <c r="TAP58" s="196"/>
      <c r="TAQ58" s="196"/>
      <c r="TAR58" s="196"/>
      <c r="TAS58" s="196"/>
      <c r="TAT58" s="196"/>
      <c r="TAU58" s="196"/>
      <c r="TAV58" s="196"/>
      <c r="TAW58" s="196"/>
      <c r="TAX58" s="196"/>
      <c r="TAY58" s="196"/>
      <c r="TAZ58" s="196"/>
      <c r="TBA58" s="196"/>
      <c r="TBB58" s="196"/>
      <c r="TBC58" s="196"/>
      <c r="TBD58" s="196"/>
      <c r="TBE58" s="196"/>
      <c r="TBF58" s="196"/>
      <c r="TBG58" s="196"/>
      <c r="TBH58" s="196"/>
      <c r="TBI58" s="196"/>
      <c r="TBJ58" s="196"/>
      <c r="TBK58" s="196"/>
      <c r="TBL58" s="196"/>
      <c r="TBM58" s="196"/>
      <c r="TBN58" s="196"/>
      <c r="TBO58" s="196"/>
      <c r="TBP58" s="196"/>
      <c r="TBQ58" s="196"/>
      <c r="TBR58" s="196"/>
      <c r="TBS58" s="196"/>
      <c r="TBT58" s="196"/>
      <c r="TBU58" s="196"/>
      <c r="TBV58" s="196"/>
      <c r="TBW58" s="196"/>
      <c r="TBX58" s="196"/>
      <c r="TBY58" s="196"/>
      <c r="TBZ58" s="196"/>
      <c r="TCA58" s="196"/>
      <c r="TCB58" s="196"/>
      <c r="TCC58" s="196"/>
      <c r="TCD58" s="196"/>
      <c r="TCE58" s="196"/>
      <c r="TCF58" s="196"/>
      <c r="TCG58" s="196"/>
      <c r="TCH58" s="196"/>
      <c r="TCI58" s="196"/>
      <c r="TCJ58" s="196"/>
      <c r="TCK58" s="196"/>
      <c r="TCL58" s="196"/>
      <c r="TCM58" s="196"/>
      <c r="TCN58" s="196"/>
      <c r="TCO58" s="196"/>
      <c r="TCP58" s="196"/>
      <c r="TCQ58" s="196"/>
      <c r="TCR58" s="196"/>
      <c r="TCS58" s="196"/>
      <c r="TCT58" s="196"/>
      <c r="TCU58" s="196"/>
      <c r="TCV58" s="196"/>
      <c r="TCW58" s="196"/>
      <c r="TCX58" s="196"/>
      <c r="TCY58" s="196"/>
      <c r="TCZ58" s="196"/>
      <c r="TDA58" s="196"/>
      <c r="TDB58" s="196"/>
      <c r="TDC58" s="196"/>
      <c r="TDD58" s="196"/>
      <c r="TDE58" s="196"/>
      <c r="TDF58" s="196"/>
      <c r="TDG58" s="196"/>
      <c r="TDH58" s="196"/>
      <c r="TDI58" s="196"/>
      <c r="TDJ58" s="196"/>
      <c r="TDK58" s="196"/>
      <c r="TDL58" s="196"/>
      <c r="TDM58" s="196"/>
      <c r="TDN58" s="196"/>
      <c r="TDO58" s="196"/>
      <c r="TDP58" s="196"/>
      <c r="TDQ58" s="196"/>
      <c r="TDR58" s="196"/>
      <c r="TDS58" s="196"/>
      <c r="TDT58" s="196"/>
      <c r="TDU58" s="196"/>
      <c r="TDV58" s="196"/>
      <c r="TDW58" s="196"/>
      <c r="TDX58" s="196"/>
      <c r="TDY58" s="196"/>
      <c r="TDZ58" s="196"/>
      <c r="TEA58" s="196"/>
      <c r="TEB58" s="196"/>
      <c r="TEC58" s="196"/>
      <c r="TED58" s="196"/>
      <c r="TEE58" s="196"/>
      <c r="TEF58" s="196"/>
      <c r="TEG58" s="196"/>
      <c r="TEH58" s="196"/>
      <c r="TEI58" s="196"/>
      <c r="TEJ58" s="196"/>
      <c r="TEK58" s="196"/>
      <c r="TEL58" s="196"/>
      <c r="TEM58" s="196"/>
      <c r="TEN58" s="196"/>
      <c r="TEO58" s="196"/>
      <c r="TEP58" s="196"/>
      <c r="TEQ58" s="196"/>
      <c r="TER58" s="196"/>
      <c r="TES58" s="196"/>
      <c r="TET58" s="196"/>
      <c r="TEU58" s="196"/>
      <c r="TEV58" s="196"/>
      <c r="TEW58" s="196"/>
      <c r="TEX58" s="196"/>
      <c r="TEY58" s="196"/>
      <c r="TEZ58" s="196"/>
      <c r="TFA58" s="196"/>
      <c r="TFB58" s="196"/>
      <c r="TFC58" s="196"/>
      <c r="TFD58" s="196"/>
      <c r="TFE58" s="196"/>
      <c r="TFF58" s="196"/>
      <c r="TFG58" s="196"/>
      <c r="TFH58" s="196"/>
      <c r="TFI58" s="196"/>
      <c r="TFJ58" s="196"/>
      <c r="TFK58" s="196"/>
      <c r="TFL58" s="196"/>
      <c r="TFM58" s="196"/>
      <c r="TFN58" s="196"/>
      <c r="TFO58" s="196"/>
      <c r="TFP58" s="196"/>
      <c r="TFQ58" s="196"/>
      <c r="TFR58" s="196"/>
      <c r="TFS58" s="196"/>
      <c r="TFT58" s="196"/>
      <c r="TFU58" s="196"/>
      <c r="TFV58" s="196"/>
      <c r="TFW58" s="196"/>
      <c r="TFX58" s="196"/>
      <c r="TFY58" s="196"/>
      <c r="TFZ58" s="196"/>
      <c r="TGA58" s="196"/>
      <c r="TGB58" s="196"/>
      <c r="TGC58" s="196"/>
      <c r="TGD58" s="196"/>
      <c r="TGE58" s="196"/>
      <c r="TGF58" s="196"/>
      <c r="TGG58" s="196"/>
      <c r="TGH58" s="196"/>
      <c r="TGI58" s="196"/>
      <c r="TGJ58" s="196"/>
      <c r="TGK58" s="196"/>
      <c r="TGL58" s="196"/>
      <c r="TGM58" s="196"/>
      <c r="TGN58" s="196"/>
      <c r="TGO58" s="196"/>
      <c r="TGP58" s="196"/>
      <c r="TGQ58" s="196"/>
      <c r="TGR58" s="196"/>
      <c r="TGS58" s="196"/>
      <c r="TGT58" s="196"/>
      <c r="TGU58" s="196"/>
      <c r="TGV58" s="196"/>
      <c r="TGW58" s="196"/>
      <c r="TGX58" s="196"/>
      <c r="TGY58" s="196"/>
      <c r="TGZ58" s="196"/>
      <c r="THA58" s="196"/>
      <c r="THB58" s="196"/>
      <c r="THC58" s="196"/>
      <c r="THD58" s="196"/>
      <c r="THE58" s="196"/>
      <c r="THF58" s="196"/>
      <c r="THG58" s="196"/>
      <c r="THH58" s="196"/>
      <c r="THI58" s="196"/>
      <c r="THJ58" s="196"/>
      <c r="THK58" s="196"/>
      <c r="THL58" s="196"/>
      <c r="THM58" s="196"/>
      <c r="THN58" s="196"/>
      <c r="THO58" s="196"/>
      <c r="THP58" s="196"/>
      <c r="THQ58" s="196"/>
      <c r="THR58" s="196"/>
      <c r="THS58" s="196"/>
      <c r="THT58" s="196"/>
      <c r="THU58" s="196"/>
      <c r="THV58" s="196"/>
      <c r="THW58" s="196"/>
      <c r="THX58" s="196"/>
      <c r="THY58" s="196"/>
      <c r="THZ58" s="196"/>
      <c r="TIA58" s="196"/>
      <c r="TIB58" s="196"/>
      <c r="TIC58" s="196"/>
      <c r="TID58" s="196"/>
      <c r="TIE58" s="196"/>
      <c r="TIF58" s="196"/>
      <c r="TIG58" s="196"/>
      <c r="TIH58" s="196"/>
      <c r="TII58" s="196"/>
      <c r="TIJ58" s="196"/>
      <c r="TIK58" s="196"/>
      <c r="TIL58" s="196"/>
      <c r="TIM58" s="196"/>
      <c r="TIN58" s="196"/>
      <c r="TIO58" s="196"/>
      <c r="TIP58" s="196"/>
      <c r="TIQ58" s="196"/>
      <c r="TIR58" s="196"/>
      <c r="TIS58" s="196"/>
      <c r="TIT58" s="196"/>
      <c r="TIU58" s="196"/>
      <c r="TIV58" s="196"/>
      <c r="TIW58" s="196"/>
      <c r="TIX58" s="196"/>
      <c r="TIY58" s="196"/>
      <c r="TIZ58" s="196"/>
      <c r="TJA58" s="196"/>
      <c r="TJB58" s="196"/>
      <c r="TJC58" s="196"/>
      <c r="TJD58" s="196"/>
      <c r="TJE58" s="196"/>
      <c r="TJF58" s="196"/>
      <c r="TJG58" s="196"/>
      <c r="TJH58" s="196"/>
      <c r="TJI58" s="196"/>
      <c r="TJJ58" s="196"/>
      <c r="TJK58" s="196"/>
      <c r="TJL58" s="196"/>
      <c r="TJM58" s="196"/>
      <c r="TJN58" s="196"/>
      <c r="TJO58" s="196"/>
      <c r="TJP58" s="196"/>
      <c r="TJQ58" s="196"/>
      <c r="TJR58" s="196"/>
      <c r="TJS58" s="196"/>
      <c r="TJT58" s="196"/>
      <c r="TJU58" s="196"/>
      <c r="TJV58" s="196"/>
      <c r="TJW58" s="196"/>
      <c r="TJX58" s="196"/>
      <c r="TJY58" s="196"/>
      <c r="TJZ58" s="196"/>
      <c r="TKA58" s="196"/>
      <c r="TKB58" s="196"/>
      <c r="TKC58" s="196"/>
      <c r="TKD58" s="196"/>
      <c r="TKE58" s="196"/>
      <c r="TKF58" s="196"/>
      <c r="TKG58" s="196"/>
      <c r="TKH58" s="196"/>
      <c r="TKI58" s="196"/>
      <c r="TKJ58" s="196"/>
      <c r="TKK58" s="196"/>
      <c r="TKL58" s="196"/>
      <c r="TKM58" s="196"/>
      <c r="TKN58" s="196"/>
      <c r="TKO58" s="196"/>
      <c r="TKP58" s="196"/>
      <c r="TKQ58" s="196"/>
      <c r="TKR58" s="196"/>
      <c r="TKS58" s="196"/>
      <c r="TKT58" s="196"/>
      <c r="TKU58" s="196"/>
      <c r="TKV58" s="196"/>
      <c r="TKW58" s="196"/>
      <c r="TKX58" s="196"/>
      <c r="TKY58" s="196"/>
      <c r="TKZ58" s="196"/>
      <c r="TLA58" s="196"/>
      <c r="TLB58" s="196"/>
      <c r="TLC58" s="196"/>
      <c r="TLD58" s="196"/>
      <c r="TLE58" s="196"/>
      <c r="TLF58" s="196"/>
      <c r="TLG58" s="196"/>
      <c r="TLH58" s="196"/>
      <c r="TLI58" s="196"/>
      <c r="TLJ58" s="196"/>
      <c r="TLK58" s="196"/>
      <c r="TLL58" s="196"/>
      <c r="TLM58" s="196"/>
      <c r="TLN58" s="196"/>
      <c r="TLO58" s="196"/>
      <c r="TLP58" s="196"/>
      <c r="TLQ58" s="196"/>
      <c r="TLR58" s="196"/>
      <c r="TLS58" s="196"/>
      <c r="TLT58" s="196"/>
      <c r="TLU58" s="196"/>
      <c r="TLV58" s="196"/>
      <c r="TLW58" s="196"/>
      <c r="TLX58" s="196"/>
      <c r="TLY58" s="196"/>
      <c r="TLZ58" s="196"/>
      <c r="TMA58" s="196"/>
      <c r="TMB58" s="196"/>
      <c r="TMC58" s="196"/>
      <c r="TMD58" s="196"/>
      <c r="TME58" s="196"/>
      <c r="TMF58" s="196"/>
      <c r="TMG58" s="196"/>
      <c r="TMH58" s="196"/>
      <c r="TMI58" s="196"/>
      <c r="TMJ58" s="196"/>
      <c r="TMK58" s="196"/>
      <c r="TML58" s="196"/>
      <c r="TMM58" s="196"/>
      <c r="TMN58" s="196"/>
      <c r="TMO58" s="196"/>
      <c r="TMP58" s="196"/>
      <c r="TMQ58" s="196"/>
      <c r="TMR58" s="196"/>
      <c r="TMS58" s="196"/>
      <c r="TMT58" s="196"/>
      <c r="TMU58" s="196"/>
      <c r="TMV58" s="196"/>
      <c r="TMW58" s="196"/>
      <c r="TMX58" s="196"/>
      <c r="TMY58" s="196"/>
      <c r="TMZ58" s="196"/>
      <c r="TNA58" s="196"/>
      <c r="TNB58" s="196"/>
      <c r="TNC58" s="196"/>
      <c r="TND58" s="196"/>
      <c r="TNE58" s="196"/>
      <c r="TNF58" s="196"/>
      <c r="TNG58" s="196"/>
      <c r="TNH58" s="196"/>
      <c r="TNI58" s="196"/>
      <c r="TNJ58" s="196"/>
      <c r="TNK58" s="196"/>
      <c r="TNL58" s="196"/>
      <c r="TNM58" s="196"/>
      <c r="TNN58" s="196"/>
      <c r="TNO58" s="196"/>
      <c r="TNP58" s="196"/>
      <c r="TNQ58" s="196"/>
      <c r="TNR58" s="196"/>
      <c r="TNS58" s="196"/>
      <c r="TNT58" s="196"/>
      <c r="TNU58" s="196"/>
      <c r="TNV58" s="196"/>
      <c r="TNW58" s="196"/>
      <c r="TNX58" s="196"/>
      <c r="TNY58" s="196"/>
      <c r="TNZ58" s="196"/>
      <c r="TOA58" s="196"/>
      <c r="TOB58" s="196"/>
      <c r="TOC58" s="196"/>
      <c r="TOD58" s="196"/>
      <c r="TOE58" s="196"/>
      <c r="TOF58" s="196"/>
      <c r="TOG58" s="196"/>
      <c r="TOH58" s="196"/>
      <c r="TOI58" s="196"/>
      <c r="TOJ58" s="196"/>
      <c r="TOK58" s="196"/>
      <c r="TOL58" s="196"/>
      <c r="TOM58" s="196"/>
      <c r="TON58" s="196"/>
      <c r="TOO58" s="196"/>
      <c r="TOP58" s="196"/>
      <c r="TOQ58" s="196"/>
      <c r="TOR58" s="196"/>
      <c r="TOS58" s="196"/>
      <c r="TOT58" s="196"/>
      <c r="TOU58" s="196"/>
      <c r="TOV58" s="196"/>
      <c r="TOW58" s="196"/>
      <c r="TOX58" s="196"/>
      <c r="TOY58" s="196"/>
      <c r="TOZ58" s="196"/>
      <c r="TPA58" s="196"/>
      <c r="TPB58" s="196"/>
      <c r="TPC58" s="196"/>
      <c r="TPD58" s="196"/>
      <c r="TPE58" s="196"/>
      <c r="TPF58" s="196"/>
      <c r="TPG58" s="196"/>
      <c r="TPH58" s="196"/>
      <c r="TPI58" s="196"/>
      <c r="TPJ58" s="196"/>
      <c r="TPK58" s="196"/>
      <c r="TPL58" s="196"/>
      <c r="TPM58" s="196"/>
      <c r="TPN58" s="196"/>
      <c r="TPO58" s="196"/>
      <c r="TPP58" s="196"/>
      <c r="TPQ58" s="196"/>
      <c r="TPR58" s="196"/>
      <c r="TPS58" s="196"/>
      <c r="TPT58" s="196"/>
      <c r="TPU58" s="196"/>
      <c r="TPV58" s="196"/>
      <c r="TPW58" s="196"/>
      <c r="TPX58" s="196"/>
      <c r="TPY58" s="196"/>
      <c r="TPZ58" s="196"/>
      <c r="TQA58" s="196"/>
      <c r="TQB58" s="196"/>
      <c r="TQC58" s="196"/>
      <c r="TQD58" s="196"/>
      <c r="TQE58" s="196"/>
      <c r="TQF58" s="196"/>
      <c r="TQG58" s="196"/>
      <c r="TQH58" s="196"/>
      <c r="TQI58" s="196"/>
      <c r="TQJ58" s="196"/>
      <c r="TQK58" s="196"/>
      <c r="TQL58" s="196"/>
      <c r="TQM58" s="196"/>
      <c r="TQN58" s="196"/>
      <c r="TQO58" s="196"/>
      <c r="TQP58" s="196"/>
      <c r="TQQ58" s="196"/>
      <c r="TQR58" s="196"/>
      <c r="TQS58" s="196"/>
      <c r="TQT58" s="196"/>
      <c r="TQU58" s="196"/>
      <c r="TQV58" s="196"/>
      <c r="TQW58" s="196"/>
      <c r="TQX58" s="196"/>
      <c r="TQY58" s="196"/>
      <c r="TQZ58" s="196"/>
      <c r="TRA58" s="196"/>
      <c r="TRB58" s="196"/>
      <c r="TRC58" s="196"/>
      <c r="TRD58" s="196"/>
      <c r="TRE58" s="196"/>
      <c r="TRF58" s="196"/>
      <c r="TRG58" s="196"/>
      <c r="TRH58" s="196"/>
      <c r="TRI58" s="196"/>
      <c r="TRJ58" s="196"/>
      <c r="TRK58" s="196"/>
      <c r="TRL58" s="196"/>
      <c r="TRM58" s="196"/>
      <c r="TRN58" s="196"/>
      <c r="TRO58" s="196"/>
      <c r="TRP58" s="196"/>
      <c r="TRQ58" s="196"/>
      <c r="TRR58" s="196"/>
      <c r="TRS58" s="196"/>
      <c r="TRT58" s="196"/>
      <c r="TRU58" s="196"/>
      <c r="TRV58" s="196"/>
      <c r="TRW58" s="196"/>
      <c r="TRX58" s="196"/>
      <c r="TRY58" s="196"/>
      <c r="TRZ58" s="196"/>
      <c r="TSA58" s="196"/>
      <c r="TSB58" s="196"/>
      <c r="TSC58" s="196"/>
      <c r="TSD58" s="196"/>
      <c r="TSE58" s="196"/>
      <c r="TSF58" s="196"/>
      <c r="TSG58" s="196"/>
      <c r="TSH58" s="196"/>
      <c r="TSI58" s="196"/>
      <c r="TSJ58" s="196"/>
      <c r="TSK58" s="196"/>
      <c r="TSL58" s="196"/>
      <c r="TSM58" s="196"/>
      <c r="TSN58" s="196"/>
      <c r="TSO58" s="196"/>
      <c r="TSP58" s="196"/>
      <c r="TSQ58" s="196"/>
      <c r="TSR58" s="196"/>
      <c r="TSS58" s="196"/>
      <c r="TST58" s="196"/>
      <c r="TSU58" s="196"/>
      <c r="TSV58" s="196"/>
      <c r="TSW58" s="196"/>
      <c r="TSX58" s="196"/>
      <c r="TSY58" s="196"/>
      <c r="TSZ58" s="196"/>
      <c r="TTA58" s="196"/>
      <c r="TTB58" s="196"/>
      <c r="TTC58" s="196"/>
      <c r="TTD58" s="196"/>
      <c r="TTE58" s="196"/>
      <c r="TTF58" s="196"/>
      <c r="TTG58" s="196"/>
      <c r="TTH58" s="196"/>
      <c r="TTI58" s="196"/>
      <c r="TTJ58" s="196"/>
      <c r="TTK58" s="196"/>
      <c r="TTL58" s="196"/>
      <c r="TTM58" s="196"/>
      <c r="TTN58" s="196"/>
      <c r="TTO58" s="196"/>
      <c r="TTP58" s="196"/>
      <c r="TTQ58" s="196"/>
      <c r="TTR58" s="196"/>
      <c r="TTS58" s="196"/>
      <c r="TTT58" s="196"/>
      <c r="TTU58" s="196"/>
      <c r="TTV58" s="196"/>
      <c r="TTW58" s="196"/>
      <c r="TTX58" s="196"/>
      <c r="TTY58" s="196"/>
      <c r="TTZ58" s="196"/>
      <c r="TUA58" s="196"/>
      <c r="TUB58" s="196"/>
      <c r="TUC58" s="196"/>
      <c r="TUD58" s="196"/>
      <c r="TUE58" s="196"/>
      <c r="TUF58" s="196"/>
      <c r="TUG58" s="196"/>
      <c r="TUH58" s="196"/>
      <c r="TUI58" s="196"/>
      <c r="TUJ58" s="196"/>
      <c r="TUK58" s="196"/>
      <c r="TUL58" s="196"/>
      <c r="TUM58" s="196"/>
      <c r="TUN58" s="196"/>
      <c r="TUO58" s="196"/>
      <c r="TUP58" s="196"/>
      <c r="TUQ58" s="196"/>
      <c r="TUR58" s="196"/>
      <c r="TUS58" s="196"/>
      <c r="TUT58" s="196"/>
      <c r="TUU58" s="196"/>
      <c r="TUV58" s="196"/>
      <c r="TUW58" s="196"/>
      <c r="TUX58" s="196"/>
      <c r="TUY58" s="196"/>
      <c r="TUZ58" s="196"/>
      <c r="TVA58" s="196"/>
      <c r="TVB58" s="196"/>
      <c r="TVC58" s="196"/>
      <c r="TVD58" s="196"/>
      <c r="TVE58" s="196"/>
      <c r="TVF58" s="196"/>
      <c r="TVG58" s="196"/>
      <c r="TVH58" s="196"/>
      <c r="TVI58" s="196"/>
      <c r="TVJ58" s="196"/>
      <c r="TVK58" s="196"/>
      <c r="TVL58" s="196"/>
      <c r="TVM58" s="196"/>
      <c r="TVN58" s="196"/>
      <c r="TVO58" s="196"/>
      <c r="TVP58" s="196"/>
      <c r="TVQ58" s="196"/>
      <c r="TVR58" s="196"/>
      <c r="TVS58" s="196"/>
      <c r="TVT58" s="196"/>
      <c r="TVU58" s="196"/>
      <c r="TVV58" s="196"/>
      <c r="TVW58" s="196"/>
      <c r="TVX58" s="196"/>
      <c r="TVY58" s="196"/>
      <c r="TVZ58" s="196"/>
      <c r="TWA58" s="196"/>
      <c r="TWB58" s="196"/>
      <c r="TWC58" s="196"/>
      <c r="TWD58" s="196"/>
      <c r="TWE58" s="196"/>
      <c r="TWF58" s="196"/>
      <c r="TWG58" s="196"/>
      <c r="TWH58" s="196"/>
      <c r="TWI58" s="196"/>
      <c r="TWJ58" s="196"/>
      <c r="TWK58" s="196"/>
      <c r="TWL58" s="196"/>
      <c r="TWM58" s="196"/>
      <c r="TWN58" s="196"/>
      <c r="TWO58" s="196"/>
      <c r="TWP58" s="196"/>
      <c r="TWQ58" s="196"/>
      <c r="TWR58" s="196"/>
      <c r="TWS58" s="196"/>
      <c r="TWT58" s="196"/>
      <c r="TWU58" s="196"/>
      <c r="TWV58" s="196"/>
      <c r="TWW58" s="196"/>
      <c r="TWX58" s="196"/>
      <c r="TWY58" s="196"/>
      <c r="TWZ58" s="196"/>
      <c r="TXA58" s="196"/>
      <c r="TXB58" s="196"/>
      <c r="TXC58" s="196"/>
      <c r="TXD58" s="196"/>
      <c r="TXE58" s="196"/>
      <c r="TXF58" s="196"/>
      <c r="TXG58" s="196"/>
      <c r="TXH58" s="196"/>
      <c r="TXI58" s="196"/>
      <c r="TXJ58" s="196"/>
      <c r="TXK58" s="196"/>
      <c r="TXL58" s="196"/>
      <c r="TXM58" s="196"/>
      <c r="TXN58" s="196"/>
      <c r="TXO58" s="196"/>
      <c r="TXP58" s="196"/>
      <c r="TXQ58" s="196"/>
      <c r="TXR58" s="196"/>
      <c r="TXS58" s="196"/>
      <c r="TXT58" s="196"/>
      <c r="TXU58" s="196"/>
      <c r="TXV58" s="196"/>
      <c r="TXW58" s="196"/>
      <c r="TXX58" s="196"/>
      <c r="TXY58" s="196"/>
      <c r="TXZ58" s="196"/>
      <c r="TYA58" s="196"/>
      <c r="TYB58" s="196"/>
      <c r="TYC58" s="196"/>
      <c r="TYD58" s="196"/>
      <c r="TYE58" s="196"/>
      <c r="TYF58" s="196"/>
      <c r="TYG58" s="196"/>
      <c r="TYH58" s="196"/>
      <c r="TYI58" s="196"/>
      <c r="TYJ58" s="196"/>
      <c r="TYK58" s="196"/>
      <c r="TYL58" s="196"/>
      <c r="TYM58" s="196"/>
      <c r="TYN58" s="196"/>
      <c r="TYO58" s="196"/>
      <c r="TYP58" s="196"/>
      <c r="TYQ58" s="196"/>
      <c r="TYR58" s="196"/>
      <c r="TYS58" s="196"/>
      <c r="TYT58" s="196"/>
      <c r="TYU58" s="196"/>
      <c r="TYV58" s="196"/>
      <c r="TYW58" s="196"/>
      <c r="TYX58" s="196"/>
      <c r="TYY58" s="196"/>
      <c r="TYZ58" s="196"/>
      <c r="TZA58" s="196"/>
      <c r="TZB58" s="196"/>
      <c r="TZC58" s="196"/>
      <c r="TZD58" s="196"/>
      <c r="TZE58" s="196"/>
      <c r="TZF58" s="196"/>
      <c r="TZG58" s="196"/>
      <c r="TZH58" s="196"/>
      <c r="TZI58" s="196"/>
      <c r="TZJ58" s="196"/>
      <c r="TZK58" s="196"/>
      <c r="TZL58" s="196"/>
      <c r="TZM58" s="196"/>
      <c r="TZN58" s="196"/>
      <c r="TZO58" s="196"/>
      <c r="TZP58" s="196"/>
      <c r="TZQ58" s="196"/>
      <c r="TZR58" s="196"/>
      <c r="TZS58" s="196"/>
      <c r="TZT58" s="196"/>
      <c r="TZU58" s="196"/>
      <c r="TZV58" s="196"/>
      <c r="TZW58" s="196"/>
      <c r="TZX58" s="196"/>
      <c r="TZY58" s="196"/>
      <c r="TZZ58" s="196"/>
      <c r="UAA58" s="196"/>
      <c r="UAB58" s="196"/>
      <c r="UAC58" s="196"/>
      <c r="UAD58" s="196"/>
      <c r="UAE58" s="196"/>
      <c r="UAF58" s="196"/>
      <c r="UAG58" s="196"/>
      <c r="UAH58" s="196"/>
      <c r="UAI58" s="196"/>
      <c r="UAJ58" s="196"/>
      <c r="UAK58" s="196"/>
      <c r="UAL58" s="196"/>
      <c r="UAM58" s="196"/>
      <c r="UAN58" s="196"/>
      <c r="UAO58" s="196"/>
      <c r="UAP58" s="196"/>
      <c r="UAQ58" s="196"/>
      <c r="UAR58" s="196"/>
      <c r="UAS58" s="196"/>
      <c r="UAT58" s="196"/>
      <c r="UAU58" s="196"/>
      <c r="UAV58" s="196"/>
      <c r="UAW58" s="196"/>
      <c r="UAX58" s="196"/>
      <c r="UAY58" s="196"/>
      <c r="UAZ58" s="196"/>
      <c r="UBA58" s="196"/>
      <c r="UBB58" s="196"/>
      <c r="UBC58" s="196"/>
      <c r="UBD58" s="196"/>
      <c r="UBE58" s="196"/>
      <c r="UBF58" s="196"/>
      <c r="UBG58" s="196"/>
      <c r="UBH58" s="196"/>
      <c r="UBI58" s="196"/>
      <c r="UBJ58" s="196"/>
      <c r="UBK58" s="196"/>
      <c r="UBL58" s="196"/>
      <c r="UBM58" s="196"/>
      <c r="UBN58" s="196"/>
      <c r="UBO58" s="196"/>
      <c r="UBP58" s="196"/>
      <c r="UBQ58" s="196"/>
      <c r="UBR58" s="196"/>
      <c r="UBS58" s="196"/>
      <c r="UBT58" s="196"/>
      <c r="UBU58" s="196"/>
      <c r="UBV58" s="196"/>
      <c r="UBW58" s="196"/>
      <c r="UBX58" s="196"/>
      <c r="UBY58" s="196"/>
      <c r="UBZ58" s="196"/>
      <c r="UCA58" s="196"/>
      <c r="UCB58" s="196"/>
      <c r="UCC58" s="196"/>
      <c r="UCD58" s="196"/>
      <c r="UCE58" s="196"/>
      <c r="UCF58" s="196"/>
      <c r="UCG58" s="196"/>
      <c r="UCH58" s="196"/>
      <c r="UCI58" s="196"/>
      <c r="UCJ58" s="196"/>
      <c r="UCK58" s="196"/>
      <c r="UCL58" s="196"/>
      <c r="UCM58" s="196"/>
      <c r="UCN58" s="196"/>
      <c r="UCO58" s="196"/>
      <c r="UCP58" s="196"/>
      <c r="UCQ58" s="196"/>
      <c r="UCR58" s="196"/>
      <c r="UCS58" s="196"/>
      <c r="UCT58" s="196"/>
      <c r="UCU58" s="196"/>
      <c r="UCV58" s="196"/>
      <c r="UCW58" s="196"/>
      <c r="UCX58" s="196"/>
      <c r="UCY58" s="196"/>
      <c r="UCZ58" s="196"/>
      <c r="UDA58" s="196"/>
      <c r="UDB58" s="196"/>
      <c r="UDC58" s="196"/>
      <c r="UDD58" s="196"/>
      <c r="UDE58" s="196"/>
      <c r="UDF58" s="196"/>
      <c r="UDG58" s="196"/>
      <c r="UDH58" s="196"/>
      <c r="UDI58" s="196"/>
      <c r="UDJ58" s="196"/>
      <c r="UDK58" s="196"/>
      <c r="UDL58" s="196"/>
      <c r="UDM58" s="196"/>
      <c r="UDN58" s="196"/>
      <c r="UDO58" s="196"/>
      <c r="UDP58" s="196"/>
      <c r="UDQ58" s="196"/>
      <c r="UDR58" s="196"/>
      <c r="UDS58" s="196"/>
      <c r="UDT58" s="196"/>
      <c r="UDU58" s="196"/>
      <c r="UDV58" s="196"/>
      <c r="UDW58" s="196"/>
      <c r="UDX58" s="196"/>
      <c r="UDY58" s="196"/>
      <c r="UDZ58" s="196"/>
      <c r="UEA58" s="196"/>
      <c r="UEB58" s="196"/>
      <c r="UEC58" s="196"/>
      <c r="UED58" s="196"/>
      <c r="UEE58" s="196"/>
      <c r="UEF58" s="196"/>
      <c r="UEG58" s="196"/>
      <c r="UEH58" s="196"/>
      <c r="UEI58" s="196"/>
      <c r="UEJ58" s="196"/>
      <c r="UEK58" s="196"/>
      <c r="UEL58" s="196"/>
      <c r="UEM58" s="196"/>
      <c r="UEN58" s="196"/>
      <c r="UEO58" s="196"/>
      <c r="UEP58" s="196"/>
      <c r="UEQ58" s="196"/>
      <c r="UER58" s="196"/>
      <c r="UES58" s="196"/>
      <c r="UET58" s="196"/>
      <c r="UEU58" s="196"/>
      <c r="UEV58" s="196"/>
      <c r="UEW58" s="196"/>
      <c r="UEX58" s="196"/>
      <c r="UEY58" s="196"/>
      <c r="UEZ58" s="196"/>
      <c r="UFA58" s="196"/>
      <c r="UFB58" s="196"/>
      <c r="UFC58" s="196"/>
      <c r="UFD58" s="196"/>
      <c r="UFE58" s="196"/>
      <c r="UFF58" s="196"/>
      <c r="UFG58" s="196"/>
      <c r="UFH58" s="196"/>
      <c r="UFI58" s="196"/>
      <c r="UFJ58" s="196"/>
      <c r="UFK58" s="196"/>
      <c r="UFL58" s="196"/>
      <c r="UFM58" s="196"/>
      <c r="UFN58" s="196"/>
      <c r="UFO58" s="196"/>
      <c r="UFP58" s="196"/>
      <c r="UFQ58" s="196"/>
      <c r="UFR58" s="196"/>
      <c r="UFS58" s="196"/>
      <c r="UFT58" s="196"/>
      <c r="UFU58" s="196"/>
      <c r="UFV58" s="196"/>
      <c r="UFW58" s="196"/>
      <c r="UFX58" s="196"/>
      <c r="UFY58" s="196"/>
      <c r="UFZ58" s="196"/>
      <c r="UGA58" s="196"/>
      <c r="UGB58" s="196"/>
      <c r="UGC58" s="196"/>
      <c r="UGD58" s="196"/>
      <c r="UGE58" s="196"/>
      <c r="UGF58" s="196"/>
      <c r="UGG58" s="196"/>
      <c r="UGH58" s="196"/>
      <c r="UGI58" s="196"/>
      <c r="UGJ58" s="196"/>
      <c r="UGK58" s="196"/>
      <c r="UGL58" s="196"/>
      <c r="UGM58" s="196"/>
      <c r="UGN58" s="196"/>
      <c r="UGO58" s="196"/>
      <c r="UGP58" s="196"/>
      <c r="UGQ58" s="196"/>
      <c r="UGR58" s="196"/>
      <c r="UGS58" s="196"/>
      <c r="UGT58" s="196"/>
      <c r="UGU58" s="196"/>
      <c r="UGV58" s="196"/>
      <c r="UGW58" s="196"/>
      <c r="UGX58" s="196"/>
      <c r="UGY58" s="196"/>
      <c r="UGZ58" s="196"/>
      <c r="UHA58" s="196"/>
      <c r="UHB58" s="196"/>
      <c r="UHC58" s="196"/>
      <c r="UHD58" s="196"/>
      <c r="UHE58" s="196"/>
      <c r="UHF58" s="196"/>
      <c r="UHG58" s="196"/>
      <c r="UHH58" s="196"/>
      <c r="UHI58" s="196"/>
      <c r="UHJ58" s="196"/>
      <c r="UHK58" s="196"/>
      <c r="UHL58" s="196"/>
      <c r="UHM58" s="196"/>
      <c r="UHN58" s="196"/>
      <c r="UHO58" s="196"/>
      <c r="UHP58" s="196"/>
      <c r="UHQ58" s="196"/>
      <c r="UHR58" s="196"/>
      <c r="UHS58" s="196"/>
      <c r="UHT58" s="196"/>
      <c r="UHU58" s="196"/>
      <c r="UHV58" s="196"/>
      <c r="UHW58" s="196"/>
      <c r="UHX58" s="196"/>
      <c r="UHY58" s="196"/>
      <c r="UHZ58" s="196"/>
      <c r="UIA58" s="196"/>
      <c r="UIB58" s="196"/>
      <c r="UIC58" s="196"/>
      <c r="UID58" s="196"/>
      <c r="UIE58" s="196"/>
      <c r="UIF58" s="196"/>
      <c r="UIG58" s="196"/>
      <c r="UIH58" s="196"/>
      <c r="UII58" s="196"/>
      <c r="UIJ58" s="196"/>
      <c r="UIK58" s="196"/>
      <c r="UIL58" s="196"/>
      <c r="UIM58" s="196"/>
      <c r="UIN58" s="196"/>
      <c r="UIO58" s="196"/>
      <c r="UIP58" s="196"/>
      <c r="UIQ58" s="196"/>
      <c r="UIR58" s="196"/>
      <c r="UIS58" s="196"/>
      <c r="UIT58" s="196"/>
      <c r="UIU58" s="196"/>
      <c r="UIV58" s="196"/>
      <c r="UIW58" s="196"/>
      <c r="UIX58" s="196"/>
      <c r="UIY58" s="196"/>
      <c r="UIZ58" s="196"/>
      <c r="UJA58" s="196"/>
      <c r="UJB58" s="196"/>
      <c r="UJC58" s="196"/>
      <c r="UJD58" s="196"/>
      <c r="UJE58" s="196"/>
      <c r="UJF58" s="196"/>
      <c r="UJG58" s="196"/>
      <c r="UJH58" s="196"/>
      <c r="UJI58" s="196"/>
      <c r="UJJ58" s="196"/>
      <c r="UJK58" s="196"/>
      <c r="UJL58" s="196"/>
      <c r="UJM58" s="196"/>
      <c r="UJN58" s="196"/>
      <c r="UJO58" s="196"/>
      <c r="UJP58" s="196"/>
      <c r="UJQ58" s="196"/>
      <c r="UJR58" s="196"/>
      <c r="UJS58" s="196"/>
      <c r="UJT58" s="196"/>
      <c r="UJU58" s="196"/>
      <c r="UJV58" s="196"/>
      <c r="UJW58" s="196"/>
      <c r="UJX58" s="196"/>
      <c r="UJY58" s="196"/>
      <c r="UJZ58" s="196"/>
      <c r="UKA58" s="196"/>
      <c r="UKB58" s="196"/>
      <c r="UKC58" s="196"/>
      <c r="UKD58" s="196"/>
      <c r="UKE58" s="196"/>
      <c r="UKF58" s="196"/>
      <c r="UKG58" s="196"/>
      <c r="UKH58" s="196"/>
      <c r="UKI58" s="196"/>
      <c r="UKJ58" s="196"/>
      <c r="UKK58" s="196"/>
      <c r="UKL58" s="196"/>
      <c r="UKM58" s="196"/>
      <c r="UKN58" s="196"/>
      <c r="UKO58" s="196"/>
      <c r="UKP58" s="196"/>
      <c r="UKQ58" s="196"/>
      <c r="UKR58" s="196"/>
      <c r="UKS58" s="196"/>
      <c r="UKT58" s="196"/>
      <c r="UKU58" s="196"/>
      <c r="UKV58" s="196"/>
      <c r="UKW58" s="196"/>
      <c r="UKX58" s="196"/>
      <c r="UKY58" s="196"/>
      <c r="UKZ58" s="196"/>
      <c r="ULA58" s="196"/>
      <c r="ULB58" s="196"/>
      <c r="ULC58" s="196"/>
      <c r="ULD58" s="196"/>
      <c r="ULE58" s="196"/>
      <c r="ULF58" s="196"/>
      <c r="ULG58" s="196"/>
      <c r="ULH58" s="196"/>
      <c r="ULI58" s="196"/>
      <c r="ULJ58" s="196"/>
      <c r="ULK58" s="196"/>
      <c r="ULL58" s="196"/>
      <c r="ULM58" s="196"/>
      <c r="ULN58" s="196"/>
      <c r="ULO58" s="196"/>
      <c r="ULP58" s="196"/>
      <c r="ULQ58" s="196"/>
      <c r="ULR58" s="196"/>
      <c r="ULS58" s="196"/>
      <c r="ULT58" s="196"/>
      <c r="ULU58" s="196"/>
      <c r="ULV58" s="196"/>
      <c r="ULW58" s="196"/>
      <c r="ULX58" s="196"/>
      <c r="ULY58" s="196"/>
      <c r="ULZ58" s="196"/>
      <c r="UMA58" s="196"/>
      <c r="UMB58" s="196"/>
      <c r="UMC58" s="196"/>
      <c r="UMD58" s="196"/>
      <c r="UME58" s="196"/>
      <c r="UMF58" s="196"/>
      <c r="UMG58" s="196"/>
      <c r="UMH58" s="196"/>
      <c r="UMI58" s="196"/>
      <c r="UMJ58" s="196"/>
      <c r="UMK58" s="196"/>
      <c r="UML58" s="196"/>
      <c r="UMM58" s="196"/>
      <c r="UMN58" s="196"/>
      <c r="UMO58" s="196"/>
      <c r="UMP58" s="196"/>
      <c r="UMQ58" s="196"/>
      <c r="UMR58" s="196"/>
      <c r="UMS58" s="196"/>
      <c r="UMT58" s="196"/>
      <c r="UMU58" s="196"/>
      <c r="UMV58" s="196"/>
      <c r="UMW58" s="196"/>
      <c r="UMX58" s="196"/>
      <c r="UMY58" s="196"/>
      <c r="UMZ58" s="196"/>
      <c r="UNA58" s="196"/>
      <c r="UNB58" s="196"/>
      <c r="UNC58" s="196"/>
      <c r="UND58" s="196"/>
      <c r="UNE58" s="196"/>
      <c r="UNF58" s="196"/>
      <c r="UNG58" s="196"/>
      <c r="UNH58" s="196"/>
      <c r="UNI58" s="196"/>
      <c r="UNJ58" s="196"/>
      <c r="UNK58" s="196"/>
      <c r="UNL58" s="196"/>
      <c r="UNM58" s="196"/>
      <c r="UNN58" s="196"/>
      <c r="UNO58" s="196"/>
      <c r="UNP58" s="196"/>
      <c r="UNQ58" s="196"/>
      <c r="UNR58" s="196"/>
      <c r="UNS58" s="196"/>
      <c r="UNT58" s="196"/>
      <c r="UNU58" s="196"/>
      <c r="UNV58" s="196"/>
      <c r="UNW58" s="196"/>
      <c r="UNX58" s="196"/>
      <c r="UNY58" s="196"/>
      <c r="UNZ58" s="196"/>
      <c r="UOA58" s="196"/>
      <c r="UOB58" s="196"/>
      <c r="UOC58" s="196"/>
      <c r="UOD58" s="196"/>
      <c r="UOE58" s="196"/>
      <c r="UOF58" s="196"/>
      <c r="UOG58" s="196"/>
      <c r="UOH58" s="196"/>
      <c r="UOI58" s="196"/>
      <c r="UOJ58" s="196"/>
      <c r="UOK58" s="196"/>
      <c r="UOL58" s="196"/>
      <c r="UOM58" s="196"/>
      <c r="UON58" s="196"/>
      <c r="UOO58" s="196"/>
      <c r="UOP58" s="196"/>
      <c r="UOQ58" s="196"/>
      <c r="UOR58" s="196"/>
      <c r="UOS58" s="196"/>
      <c r="UOT58" s="196"/>
      <c r="UOU58" s="196"/>
      <c r="UOV58" s="196"/>
      <c r="UOW58" s="196"/>
      <c r="UOX58" s="196"/>
      <c r="UOY58" s="196"/>
      <c r="UOZ58" s="196"/>
      <c r="UPA58" s="196"/>
      <c r="UPB58" s="196"/>
      <c r="UPC58" s="196"/>
      <c r="UPD58" s="196"/>
      <c r="UPE58" s="196"/>
      <c r="UPF58" s="196"/>
      <c r="UPG58" s="196"/>
      <c r="UPH58" s="196"/>
      <c r="UPI58" s="196"/>
      <c r="UPJ58" s="196"/>
      <c r="UPK58" s="196"/>
      <c r="UPL58" s="196"/>
      <c r="UPM58" s="196"/>
      <c r="UPN58" s="196"/>
      <c r="UPO58" s="196"/>
      <c r="UPP58" s="196"/>
      <c r="UPQ58" s="196"/>
      <c r="UPR58" s="196"/>
      <c r="UPS58" s="196"/>
      <c r="UPT58" s="196"/>
      <c r="UPU58" s="196"/>
      <c r="UPV58" s="196"/>
      <c r="UPW58" s="196"/>
      <c r="UPX58" s="196"/>
      <c r="UPY58" s="196"/>
      <c r="UPZ58" s="196"/>
      <c r="UQA58" s="196"/>
      <c r="UQB58" s="196"/>
      <c r="UQC58" s="196"/>
      <c r="UQD58" s="196"/>
      <c r="UQE58" s="196"/>
      <c r="UQF58" s="196"/>
      <c r="UQG58" s="196"/>
      <c r="UQH58" s="196"/>
      <c r="UQI58" s="196"/>
      <c r="UQJ58" s="196"/>
      <c r="UQK58" s="196"/>
      <c r="UQL58" s="196"/>
      <c r="UQM58" s="196"/>
      <c r="UQN58" s="196"/>
      <c r="UQO58" s="196"/>
      <c r="UQP58" s="196"/>
      <c r="UQQ58" s="196"/>
      <c r="UQR58" s="196"/>
      <c r="UQS58" s="196"/>
      <c r="UQT58" s="196"/>
      <c r="UQU58" s="196"/>
      <c r="UQV58" s="196"/>
      <c r="UQW58" s="196"/>
      <c r="UQX58" s="196"/>
      <c r="UQY58" s="196"/>
      <c r="UQZ58" s="196"/>
      <c r="URA58" s="196"/>
      <c r="URB58" s="196"/>
      <c r="URC58" s="196"/>
      <c r="URD58" s="196"/>
      <c r="URE58" s="196"/>
      <c r="URF58" s="196"/>
      <c r="URG58" s="196"/>
      <c r="URH58" s="196"/>
      <c r="URI58" s="196"/>
      <c r="URJ58" s="196"/>
      <c r="URK58" s="196"/>
      <c r="URL58" s="196"/>
      <c r="URM58" s="196"/>
      <c r="URN58" s="196"/>
      <c r="URO58" s="196"/>
      <c r="URP58" s="196"/>
      <c r="URQ58" s="196"/>
      <c r="URR58" s="196"/>
      <c r="URS58" s="196"/>
      <c r="URT58" s="196"/>
      <c r="URU58" s="196"/>
      <c r="URV58" s="196"/>
      <c r="URW58" s="196"/>
      <c r="URX58" s="196"/>
      <c r="URY58" s="196"/>
      <c r="URZ58" s="196"/>
      <c r="USA58" s="196"/>
      <c r="USB58" s="196"/>
      <c r="USC58" s="196"/>
      <c r="USD58" s="196"/>
      <c r="USE58" s="196"/>
      <c r="USF58" s="196"/>
      <c r="USG58" s="196"/>
      <c r="USH58" s="196"/>
      <c r="USI58" s="196"/>
      <c r="USJ58" s="196"/>
      <c r="USK58" s="196"/>
      <c r="USL58" s="196"/>
      <c r="USM58" s="196"/>
      <c r="USN58" s="196"/>
      <c r="USO58" s="196"/>
      <c r="USP58" s="196"/>
      <c r="USQ58" s="196"/>
      <c r="USR58" s="196"/>
      <c r="USS58" s="196"/>
      <c r="UST58" s="196"/>
      <c r="USU58" s="196"/>
      <c r="USV58" s="196"/>
      <c r="USW58" s="196"/>
      <c r="USX58" s="196"/>
      <c r="USY58" s="196"/>
      <c r="USZ58" s="196"/>
      <c r="UTA58" s="196"/>
      <c r="UTB58" s="196"/>
      <c r="UTC58" s="196"/>
      <c r="UTD58" s="196"/>
      <c r="UTE58" s="196"/>
      <c r="UTF58" s="196"/>
      <c r="UTG58" s="196"/>
      <c r="UTH58" s="196"/>
      <c r="UTI58" s="196"/>
      <c r="UTJ58" s="196"/>
      <c r="UTK58" s="196"/>
      <c r="UTL58" s="196"/>
      <c r="UTM58" s="196"/>
      <c r="UTN58" s="196"/>
      <c r="UTO58" s="196"/>
      <c r="UTP58" s="196"/>
      <c r="UTQ58" s="196"/>
      <c r="UTR58" s="196"/>
      <c r="UTS58" s="196"/>
      <c r="UTT58" s="196"/>
      <c r="UTU58" s="196"/>
      <c r="UTV58" s="196"/>
      <c r="UTW58" s="196"/>
      <c r="UTX58" s="196"/>
      <c r="UTY58" s="196"/>
      <c r="UTZ58" s="196"/>
      <c r="UUA58" s="196"/>
      <c r="UUB58" s="196"/>
      <c r="UUC58" s="196"/>
      <c r="UUD58" s="196"/>
      <c r="UUE58" s="196"/>
      <c r="UUF58" s="196"/>
      <c r="UUG58" s="196"/>
      <c r="UUH58" s="196"/>
      <c r="UUI58" s="196"/>
      <c r="UUJ58" s="196"/>
      <c r="UUK58" s="196"/>
      <c r="UUL58" s="196"/>
      <c r="UUM58" s="196"/>
      <c r="UUN58" s="196"/>
      <c r="UUO58" s="196"/>
      <c r="UUP58" s="196"/>
      <c r="UUQ58" s="196"/>
      <c r="UUR58" s="196"/>
      <c r="UUS58" s="196"/>
      <c r="UUT58" s="196"/>
      <c r="UUU58" s="196"/>
      <c r="UUV58" s="196"/>
      <c r="UUW58" s="196"/>
      <c r="UUX58" s="196"/>
      <c r="UUY58" s="196"/>
      <c r="UUZ58" s="196"/>
      <c r="UVA58" s="196"/>
      <c r="UVB58" s="196"/>
      <c r="UVC58" s="196"/>
      <c r="UVD58" s="196"/>
      <c r="UVE58" s="196"/>
      <c r="UVF58" s="196"/>
      <c r="UVG58" s="196"/>
      <c r="UVH58" s="196"/>
      <c r="UVI58" s="196"/>
      <c r="UVJ58" s="196"/>
      <c r="UVK58" s="196"/>
      <c r="UVL58" s="196"/>
      <c r="UVM58" s="196"/>
      <c r="UVN58" s="196"/>
      <c r="UVO58" s="196"/>
      <c r="UVP58" s="196"/>
      <c r="UVQ58" s="196"/>
      <c r="UVR58" s="196"/>
      <c r="UVS58" s="196"/>
      <c r="UVT58" s="196"/>
      <c r="UVU58" s="196"/>
      <c r="UVV58" s="196"/>
      <c r="UVW58" s="196"/>
      <c r="UVX58" s="196"/>
      <c r="UVY58" s="196"/>
      <c r="UVZ58" s="196"/>
      <c r="UWA58" s="196"/>
      <c r="UWB58" s="196"/>
      <c r="UWC58" s="196"/>
      <c r="UWD58" s="196"/>
      <c r="UWE58" s="196"/>
      <c r="UWF58" s="196"/>
      <c r="UWG58" s="196"/>
      <c r="UWH58" s="196"/>
      <c r="UWI58" s="196"/>
      <c r="UWJ58" s="196"/>
      <c r="UWK58" s="196"/>
      <c r="UWL58" s="196"/>
      <c r="UWM58" s="196"/>
      <c r="UWN58" s="196"/>
      <c r="UWO58" s="196"/>
      <c r="UWP58" s="196"/>
      <c r="UWQ58" s="196"/>
      <c r="UWR58" s="196"/>
      <c r="UWS58" s="196"/>
      <c r="UWT58" s="196"/>
      <c r="UWU58" s="196"/>
      <c r="UWV58" s="196"/>
      <c r="UWW58" s="196"/>
      <c r="UWX58" s="196"/>
      <c r="UWY58" s="196"/>
      <c r="UWZ58" s="196"/>
      <c r="UXA58" s="196"/>
      <c r="UXB58" s="196"/>
      <c r="UXC58" s="196"/>
      <c r="UXD58" s="196"/>
      <c r="UXE58" s="196"/>
      <c r="UXF58" s="196"/>
      <c r="UXG58" s="196"/>
      <c r="UXH58" s="196"/>
      <c r="UXI58" s="196"/>
      <c r="UXJ58" s="196"/>
      <c r="UXK58" s="196"/>
      <c r="UXL58" s="196"/>
      <c r="UXM58" s="196"/>
      <c r="UXN58" s="196"/>
      <c r="UXO58" s="196"/>
      <c r="UXP58" s="196"/>
      <c r="UXQ58" s="196"/>
      <c r="UXR58" s="196"/>
      <c r="UXS58" s="196"/>
      <c r="UXT58" s="196"/>
      <c r="UXU58" s="196"/>
      <c r="UXV58" s="196"/>
      <c r="UXW58" s="196"/>
      <c r="UXX58" s="196"/>
      <c r="UXY58" s="196"/>
      <c r="UXZ58" s="196"/>
      <c r="UYA58" s="196"/>
      <c r="UYB58" s="196"/>
      <c r="UYC58" s="196"/>
      <c r="UYD58" s="196"/>
      <c r="UYE58" s="196"/>
      <c r="UYF58" s="196"/>
      <c r="UYG58" s="196"/>
      <c r="UYH58" s="196"/>
      <c r="UYI58" s="196"/>
      <c r="UYJ58" s="196"/>
      <c r="UYK58" s="196"/>
      <c r="UYL58" s="196"/>
      <c r="UYM58" s="196"/>
      <c r="UYN58" s="196"/>
      <c r="UYO58" s="196"/>
      <c r="UYP58" s="196"/>
      <c r="UYQ58" s="196"/>
      <c r="UYR58" s="196"/>
      <c r="UYS58" s="196"/>
      <c r="UYT58" s="196"/>
      <c r="UYU58" s="196"/>
      <c r="UYV58" s="196"/>
      <c r="UYW58" s="196"/>
      <c r="UYX58" s="196"/>
      <c r="UYY58" s="196"/>
      <c r="UYZ58" s="196"/>
      <c r="UZA58" s="196"/>
      <c r="UZB58" s="196"/>
      <c r="UZC58" s="196"/>
      <c r="UZD58" s="196"/>
      <c r="UZE58" s="196"/>
      <c r="UZF58" s="196"/>
      <c r="UZG58" s="196"/>
      <c r="UZH58" s="196"/>
      <c r="UZI58" s="196"/>
      <c r="UZJ58" s="196"/>
      <c r="UZK58" s="196"/>
      <c r="UZL58" s="196"/>
      <c r="UZM58" s="196"/>
      <c r="UZN58" s="196"/>
      <c r="UZO58" s="196"/>
      <c r="UZP58" s="196"/>
      <c r="UZQ58" s="196"/>
      <c r="UZR58" s="196"/>
      <c r="UZS58" s="196"/>
      <c r="UZT58" s="196"/>
      <c r="UZU58" s="196"/>
      <c r="UZV58" s="196"/>
      <c r="UZW58" s="196"/>
      <c r="UZX58" s="196"/>
      <c r="UZY58" s="196"/>
      <c r="UZZ58" s="196"/>
      <c r="VAA58" s="196"/>
      <c r="VAB58" s="196"/>
      <c r="VAC58" s="196"/>
      <c r="VAD58" s="196"/>
      <c r="VAE58" s="196"/>
      <c r="VAF58" s="196"/>
      <c r="VAG58" s="196"/>
      <c r="VAH58" s="196"/>
      <c r="VAI58" s="196"/>
      <c r="VAJ58" s="196"/>
      <c r="VAK58" s="196"/>
      <c r="VAL58" s="196"/>
      <c r="VAM58" s="196"/>
      <c r="VAN58" s="196"/>
      <c r="VAO58" s="196"/>
      <c r="VAP58" s="196"/>
      <c r="VAQ58" s="196"/>
      <c r="VAR58" s="196"/>
      <c r="VAS58" s="196"/>
      <c r="VAT58" s="196"/>
      <c r="VAU58" s="196"/>
      <c r="VAV58" s="196"/>
      <c r="VAW58" s="196"/>
      <c r="VAX58" s="196"/>
      <c r="VAY58" s="196"/>
      <c r="VAZ58" s="196"/>
      <c r="VBA58" s="196"/>
      <c r="VBB58" s="196"/>
      <c r="VBC58" s="196"/>
      <c r="VBD58" s="196"/>
      <c r="VBE58" s="196"/>
      <c r="VBF58" s="196"/>
      <c r="VBG58" s="196"/>
      <c r="VBH58" s="196"/>
      <c r="VBI58" s="196"/>
      <c r="VBJ58" s="196"/>
      <c r="VBK58" s="196"/>
      <c r="VBL58" s="196"/>
      <c r="VBM58" s="196"/>
      <c r="VBN58" s="196"/>
      <c r="VBO58" s="196"/>
      <c r="VBP58" s="196"/>
      <c r="VBQ58" s="196"/>
      <c r="VBR58" s="196"/>
      <c r="VBS58" s="196"/>
      <c r="VBT58" s="196"/>
      <c r="VBU58" s="196"/>
      <c r="VBV58" s="196"/>
      <c r="VBW58" s="196"/>
      <c r="VBX58" s="196"/>
      <c r="VBY58" s="196"/>
      <c r="VBZ58" s="196"/>
      <c r="VCA58" s="196"/>
      <c r="VCB58" s="196"/>
      <c r="VCC58" s="196"/>
      <c r="VCD58" s="196"/>
      <c r="VCE58" s="196"/>
      <c r="VCF58" s="196"/>
      <c r="VCG58" s="196"/>
      <c r="VCH58" s="196"/>
      <c r="VCI58" s="196"/>
      <c r="VCJ58" s="196"/>
      <c r="VCK58" s="196"/>
      <c r="VCL58" s="196"/>
      <c r="VCM58" s="196"/>
      <c r="VCN58" s="196"/>
      <c r="VCO58" s="196"/>
      <c r="VCP58" s="196"/>
      <c r="VCQ58" s="196"/>
      <c r="VCR58" s="196"/>
      <c r="VCS58" s="196"/>
      <c r="VCT58" s="196"/>
      <c r="VCU58" s="196"/>
      <c r="VCV58" s="196"/>
      <c r="VCW58" s="196"/>
      <c r="VCX58" s="196"/>
      <c r="VCY58" s="196"/>
      <c r="VCZ58" s="196"/>
      <c r="VDA58" s="196"/>
      <c r="VDB58" s="196"/>
      <c r="VDC58" s="196"/>
      <c r="VDD58" s="196"/>
      <c r="VDE58" s="196"/>
      <c r="VDF58" s="196"/>
      <c r="VDG58" s="196"/>
      <c r="VDH58" s="196"/>
      <c r="VDI58" s="196"/>
      <c r="VDJ58" s="196"/>
      <c r="VDK58" s="196"/>
      <c r="VDL58" s="196"/>
      <c r="VDM58" s="196"/>
      <c r="VDN58" s="196"/>
      <c r="VDO58" s="196"/>
      <c r="VDP58" s="196"/>
      <c r="VDQ58" s="196"/>
      <c r="VDR58" s="196"/>
      <c r="VDS58" s="196"/>
      <c r="VDT58" s="196"/>
      <c r="VDU58" s="196"/>
      <c r="VDV58" s="196"/>
      <c r="VDW58" s="196"/>
      <c r="VDX58" s="196"/>
      <c r="VDY58" s="196"/>
      <c r="VDZ58" s="196"/>
      <c r="VEA58" s="196"/>
      <c r="VEB58" s="196"/>
      <c r="VEC58" s="196"/>
      <c r="VED58" s="196"/>
      <c r="VEE58" s="196"/>
      <c r="VEF58" s="196"/>
      <c r="VEG58" s="196"/>
      <c r="VEH58" s="196"/>
      <c r="VEI58" s="196"/>
      <c r="VEJ58" s="196"/>
      <c r="VEK58" s="196"/>
      <c r="VEL58" s="196"/>
      <c r="VEM58" s="196"/>
      <c r="VEN58" s="196"/>
      <c r="VEO58" s="196"/>
      <c r="VEP58" s="196"/>
      <c r="VEQ58" s="196"/>
      <c r="VER58" s="196"/>
      <c r="VES58" s="196"/>
      <c r="VET58" s="196"/>
      <c r="VEU58" s="196"/>
      <c r="VEV58" s="196"/>
      <c r="VEW58" s="196"/>
      <c r="VEX58" s="196"/>
      <c r="VEY58" s="196"/>
      <c r="VEZ58" s="196"/>
      <c r="VFA58" s="196"/>
      <c r="VFB58" s="196"/>
      <c r="VFC58" s="196"/>
      <c r="VFD58" s="196"/>
      <c r="VFE58" s="196"/>
      <c r="VFF58" s="196"/>
      <c r="VFG58" s="196"/>
      <c r="VFH58" s="196"/>
      <c r="VFI58" s="196"/>
      <c r="VFJ58" s="196"/>
      <c r="VFK58" s="196"/>
      <c r="VFL58" s="196"/>
      <c r="VFM58" s="196"/>
      <c r="VFN58" s="196"/>
      <c r="VFO58" s="196"/>
      <c r="VFP58" s="196"/>
      <c r="VFQ58" s="196"/>
      <c r="VFR58" s="196"/>
      <c r="VFS58" s="196"/>
      <c r="VFT58" s="196"/>
      <c r="VFU58" s="196"/>
      <c r="VFV58" s="196"/>
      <c r="VFW58" s="196"/>
      <c r="VFX58" s="196"/>
      <c r="VFY58" s="196"/>
      <c r="VFZ58" s="196"/>
      <c r="VGA58" s="196"/>
      <c r="VGB58" s="196"/>
      <c r="VGC58" s="196"/>
      <c r="VGD58" s="196"/>
      <c r="VGE58" s="196"/>
      <c r="VGF58" s="196"/>
      <c r="VGG58" s="196"/>
      <c r="VGH58" s="196"/>
      <c r="VGI58" s="196"/>
      <c r="VGJ58" s="196"/>
      <c r="VGK58" s="196"/>
      <c r="VGL58" s="196"/>
      <c r="VGM58" s="196"/>
      <c r="VGN58" s="196"/>
      <c r="VGO58" s="196"/>
      <c r="VGP58" s="196"/>
      <c r="VGQ58" s="196"/>
      <c r="VGR58" s="196"/>
      <c r="VGS58" s="196"/>
      <c r="VGT58" s="196"/>
      <c r="VGU58" s="196"/>
      <c r="VGV58" s="196"/>
      <c r="VGW58" s="196"/>
      <c r="VGX58" s="196"/>
      <c r="VGY58" s="196"/>
      <c r="VGZ58" s="196"/>
      <c r="VHA58" s="196"/>
      <c r="VHB58" s="196"/>
      <c r="VHC58" s="196"/>
      <c r="VHD58" s="196"/>
      <c r="VHE58" s="196"/>
      <c r="VHF58" s="196"/>
      <c r="VHG58" s="196"/>
      <c r="VHH58" s="196"/>
      <c r="VHI58" s="196"/>
      <c r="VHJ58" s="196"/>
      <c r="VHK58" s="196"/>
      <c r="VHL58" s="196"/>
      <c r="VHM58" s="196"/>
      <c r="VHN58" s="196"/>
      <c r="VHO58" s="196"/>
      <c r="VHP58" s="196"/>
      <c r="VHQ58" s="196"/>
      <c r="VHR58" s="196"/>
      <c r="VHS58" s="196"/>
      <c r="VHT58" s="196"/>
      <c r="VHU58" s="196"/>
      <c r="VHV58" s="196"/>
      <c r="VHW58" s="196"/>
      <c r="VHX58" s="196"/>
      <c r="VHY58" s="196"/>
      <c r="VHZ58" s="196"/>
      <c r="VIA58" s="196"/>
      <c r="VIB58" s="196"/>
      <c r="VIC58" s="196"/>
      <c r="VID58" s="196"/>
      <c r="VIE58" s="196"/>
      <c r="VIF58" s="196"/>
      <c r="VIG58" s="196"/>
      <c r="VIH58" s="196"/>
      <c r="VII58" s="196"/>
      <c r="VIJ58" s="196"/>
      <c r="VIK58" s="196"/>
      <c r="VIL58" s="196"/>
      <c r="VIM58" s="196"/>
      <c r="VIN58" s="196"/>
      <c r="VIO58" s="196"/>
      <c r="VIP58" s="196"/>
      <c r="VIQ58" s="196"/>
      <c r="VIR58" s="196"/>
      <c r="VIS58" s="196"/>
      <c r="VIT58" s="196"/>
      <c r="VIU58" s="196"/>
      <c r="VIV58" s="196"/>
      <c r="VIW58" s="196"/>
      <c r="VIX58" s="196"/>
      <c r="VIY58" s="196"/>
      <c r="VIZ58" s="196"/>
      <c r="VJA58" s="196"/>
      <c r="VJB58" s="196"/>
      <c r="VJC58" s="196"/>
      <c r="VJD58" s="196"/>
      <c r="VJE58" s="196"/>
      <c r="VJF58" s="196"/>
      <c r="VJG58" s="196"/>
      <c r="VJH58" s="196"/>
      <c r="VJI58" s="196"/>
      <c r="VJJ58" s="196"/>
      <c r="VJK58" s="196"/>
      <c r="VJL58" s="196"/>
      <c r="VJM58" s="196"/>
      <c r="VJN58" s="196"/>
      <c r="VJO58" s="196"/>
      <c r="VJP58" s="196"/>
      <c r="VJQ58" s="196"/>
      <c r="VJR58" s="196"/>
      <c r="VJS58" s="196"/>
      <c r="VJT58" s="196"/>
      <c r="VJU58" s="196"/>
      <c r="VJV58" s="196"/>
      <c r="VJW58" s="196"/>
      <c r="VJX58" s="196"/>
      <c r="VJY58" s="196"/>
      <c r="VJZ58" s="196"/>
      <c r="VKA58" s="196"/>
      <c r="VKB58" s="196"/>
      <c r="VKC58" s="196"/>
      <c r="VKD58" s="196"/>
      <c r="VKE58" s="196"/>
      <c r="VKF58" s="196"/>
      <c r="VKG58" s="196"/>
      <c r="VKH58" s="196"/>
      <c r="VKI58" s="196"/>
      <c r="VKJ58" s="196"/>
      <c r="VKK58" s="196"/>
      <c r="VKL58" s="196"/>
      <c r="VKM58" s="196"/>
      <c r="VKN58" s="196"/>
      <c r="VKO58" s="196"/>
      <c r="VKP58" s="196"/>
      <c r="VKQ58" s="196"/>
      <c r="VKR58" s="196"/>
      <c r="VKS58" s="196"/>
      <c r="VKT58" s="196"/>
      <c r="VKU58" s="196"/>
      <c r="VKV58" s="196"/>
      <c r="VKW58" s="196"/>
      <c r="VKX58" s="196"/>
      <c r="VKY58" s="196"/>
      <c r="VKZ58" s="196"/>
      <c r="VLA58" s="196"/>
      <c r="VLB58" s="196"/>
      <c r="VLC58" s="196"/>
      <c r="VLD58" s="196"/>
      <c r="VLE58" s="196"/>
      <c r="VLF58" s="196"/>
      <c r="VLG58" s="196"/>
      <c r="VLH58" s="196"/>
      <c r="VLI58" s="196"/>
      <c r="VLJ58" s="196"/>
      <c r="VLK58" s="196"/>
      <c r="VLL58" s="196"/>
      <c r="VLM58" s="196"/>
      <c r="VLN58" s="196"/>
      <c r="VLO58" s="196"/>
      <c r="VLP58" s="196"/>
      <c r="VLQ58" s="196"/>
      <c r="VLR58" s="196"/>
      <c r="VLS58" s="196"/>
      <c r="VLT58" s="196"/>
      <c r="VLU58" s="196"/>
      <c r="VLV58" s="196"/>
      <c r="VLW58" s="196"/>
      <c r="VLX58" s="196"/>
      <c r="VLY58" s="196"/>
      <c r="VLZ58" s="196"/>
      <c r="VMA58" s="196"/>
      <c r="VMB58" s="196"/>
      <c r="VMC58" s="196"/>
      <c r="VMD58" s="196"/>
      <c r="VME58" s="196"/>
      <c r="VMF58" s="196"/>
      <c r="VMG58" s="196"/>
      <c r="VMH58" s="196"/>
      <c r="VMI58" s="196"/>
      <c r="VMJ58" s="196"/>
      <c r="VMK58" s="196"/>
      <c r="VML58" s="196"/>
      <c r="VMM58" s="196"/>
      <c r="VMN58" s="196"/>
      <c r="VMO58" s="196"/>
      <c r="VMP58" s="196"/>
      <c r="VMQ58" s="196"/>
      <c r="VMR58" s="196"/>
      <c r="VMS58" s="196"/>
      <c r="VMT58" s="196"/>
      <c r="VMU58" s="196"/>
      <c r="VMV58" s="196"/>
      <c r="VMW58" s="196"/>
      <c r="VMX58" s="196"/>
      <c r="VMY58" s="196"/>
      <c r="VMZ58" s="196"/>
      <c r="VNA58" s="196"/>
      <c r="VNB58" s="196"/>
      <c r="VNC58" s="196"/>
      <c r="VND58" s="196"/>
      <c r="VNE58" s="196"/>
      <c r="VNF58" s="196"/>
      <c r="VNG58" s="196"/>
      <c r="VNH58" s="196"/>
      <c r="VNI58" s="196"/>
      <c r="VNJ58" s="196"/>
      <c r="VNK58" s="196"/>
      <c r="VNL58" s="196"/>
      <c r="VNM58" s="196"/>
      <c r="VNN58" s="196"/>
      <c r="VNO58" s="196"/>
      <c r="VNP58" s="196"/>
      <c r="VNQ58" s="196"/>
      <c r="VNR58" s="196"/>
      <c r="VNS58" s="196"/>
      <c r="VNT58" s="196"/>
      <c r="VNU58" s="196"/>
      <c r="VNV58" s="196"/>
      <c r="VNW58" s="196"/>
      <c r="VNX58" s="196"/>
      <c r="VNY58" s="196"/>
      <c r="VNZ58" s="196"/>
      <c r="VOA58" s="196"/>
      <c r="VOB58" s="196"/>
      <c r="VOC58" s="196"/>
      <c r="VOD58" s="196"/>
      <c r="VOE58" s="196"/>
      <c r="VOF58" s="196"/>
      <c r="VOG58" s="196"/>
      <c r="VOH58" s="196"/>
      <c r="VOI58" s="196"/>
      <c r="VOJ58" s="196"/>
      <c r="VOK58" s="196"/>
      <c r="VOL58" s="196"/>
      <c r="VOM58" s="196"/>
      <c r="VON58" s="196"/>
      <c r="VOO58" s="196"/>
      <c r="VOP58" s="196"/>
      <c r="VOQ58" s="196"/>
      <c r="VOR58" s="196"/>
      <c r="VOS58" s="196"/>
      <c r="VOT58" s="196"/>
      <c r="VOU58" s="196"/>
      <c r="VOV58" s="196"/>
      <c r="VOW58" s="196"/>
      <c r="VOX58" s="196"/>
      <c r="VOY58" s="196"/>
      <c r="VOZ58" s="196"/>
      <c r="VPA58" s="196"/>
      <c r="VPB58" s="196"/>
      <c r="VPC58" s="196"/>
      <c r="VPD58" s="196"/>
      <c r="VPE58" s="196"/>
      <c r="VPF58" s="196"/>
      <c r="VPG58" s="196"/>
      <c r="VPH58" s="196"/>
      <c r="VPI58" s="196"/>
      <c r="VPJ58" s="196"/>
      <c r="VPK58" s="196"/>
      <c r="VPL58" s="196"/>
      <c r="VPM58" s="196"/>
      <c r="VPN58" s="196"/>
      <c r="VPO58" s="196"/>
      <c r="VPP58" s="196"/>
      <c r="VPQ58" s="196"/>
      <c r="VPR58" s="196"/>
      <c r="VPS58" s="196"/>
      <c r="VPT58" s="196"/>
      <c r="VPU58" s="196"/>
      <c r="VPV58" s="196"/>
      <c r="VPW58" s="196"/>
      <c r="VPX58" s="196"/>
      <c r="VPY58" s="196"/>
      <c r="VPZ58" s="196"/>
      <c r="VQA58" s="196"/>
      <c r="VQB58" s="196"/>
      <c r="VQC58" s="196"/>
      <c r="VQD58" s="196"/>
      <c r="VQE58" s="196"/>
      <c r="VQF58" s="196"/>
      <c r="VQG58" s="196"/>
      <c r="VQH58" s="196"/>
      <c r="VQI58" s="196"/>
      <c r="VQJ58" s="196"/>
      <c r="VQK58" s="196"/>
      <c r="VQL58" s="196"/>
      <c r="VQM58" s="196"/>
      <c r="VQN58" s="196"/>
      <c r="VQO58" s="196"/>
      <c r="VQP58" s="196"/>
      <c r="VQQ58" s="196"/>
      <c r="VQR58" s="196"/>
      <c r="VQS58" s="196"/>
      <c r="VQT58" s="196"/>
      <c r="VQU58" s="196"/>
      <c r="VQV58" s="196"/>
      <c r="VQW58" s="196"/>
      <c r="VQX58" s="196"/>
      <c r="VQY58" s="196"/>
      <c r="VQZ58" s="196"/>
      <c r="VRA58" s="196"/>
      <c r="VRB58" s="196"/>
      <c r="VRC58" s="196"/>
      <c r="VRD58" s="196"/>
      <c r="VRE58" s="196"/>
      <c r="VRF58" s="196"/>
      <c r="VRG58" s="196"/>
      <c r="VRH58" s="196"/>
      <c r="VRI58" s="196"/>
      <c r="VRJ58" s="196"/>
      <c r="VRK58" s="196"/>
      <c r="VRL58" s="196"/>
      <c r="VRM58" s="196"/>
      <c r="VRN58" s="196"/>
      <c r="VRO58" s="196"/>
      <c r="VRP58" s="196"/>
      <c r="VRQ58" s="196"/>
      <c r="VRR58" s="196"/>
      <c r="VRS58" s="196"/>
      <c r="VRT58" s="196"/>
      <c r="VRU58" s="196"/>
      <c r="VRV58" s="196"/>
      <c r="VRW58" s="196"/>
      <c r="VRX58" s="196"/>
      <c r="VRY58" s="196"/>
      <c r="VRZ58" s="196"/>
      <c r="VSA58" s="196"/>
      <c r="VSB58" s="196"/>
      <c r="VSC58" s="196"/>
      <c r="VSD58" s="196"/>
      <c r="VSE58" s="196"/>
      <c r="VSF58" s="196"/>
      <c r="VSG58" s="196"/>
      <c r="VSH58" s="196"/>
      <c r="VSI58" s="196"/>
      <c r="VSJ58" s="196"/>
      <c r="VSK58" s="196"/>
      <c r="VSL58" s="196"/>
      <c r="VSM58" s="196"/>
      <c r="VSN58" s="196"/>
      <c r="VSO58" s="196"/>
      <c r="VSP58" s="196"/>
      <c r="VSQ58" s="196"/>
      <c r="VSR58" s="196"/>
      <c r="VSS58" s="196"/>
      <c r="VST58" s="196"/>
      <c r="VSU58" s="196"/>
      <c r="VSV58" s="196"/>
      <c r="VSW58" s="196"/>
      <c r="VSX58" s="196"/>
      <c r="VSY58" s="196"/>
      <c r="VSZ58" s="196"/>
      <c r="VTA58" s="196"/>
      <c r="VTB58" s="196"/>
      <c r="VTC58" s="196"/>
      <c r="VTD58" s="196"/>
      <c r="VTE58" s="196"/>
      <c r="VTF58" s="196"/>
      <c r="VTG58" s="196"/>
      <c r="VTH58" s="196"/>
      <c r="VTI58" s="196"/>
      <c r="VTJ58" s="196"/>
      <c r="VTK58" s="196"/>
      <c r="VTL58" s="196"/>
      <c r="VTM58" s="196"/>
      <c r="VTN58" s="196"/>
      <c r="VTO58" s="196"/>
      <c r="VTP58" s="196"/>
      <c r="VTQ58" s="196"/>
      <c r="VTR58" s="196"/>
      <c r="VTS58" s="196"/>
      <c r="VTT58" s="196"/>
      <c r="VTU58" s="196"/>
      <c r="VTV58" s="196"/>
      <c r="VTW58" s="196"/>
      <c r="VTX58" s="196"/>
      <c r="VTY58" s="196"/>
      <c r="VTZ58" s="196"/>
      <c r="VUA58" s="196"/>
      <c r="VUB58" s="196"/>
      <c r="VUC58" s="196"/>
      <c r="VUD58" s="196"/>
      <c r="VUE58" s="196"/>
      <c r="VUF58" s="196"/>
      <c r="VUG58" s="196"/>
      <c r="VUH58" s="196"/>
      <c r="VUI58" s="196"/>
      <c r="VUJ58" s="196"/>
      <c r="VUK58" s="196"/>
      <c r="VUL58" s="196"/>
      <c r="VUM58" s="196"/>
      <c r="VUN58" s="196"/>
      <c r="VUO58" s="196"/>
      <c r="VUP58" s="196"/>
      <c r="VUQ58" s="196"/>
      <c r="VUR58" s="196"/>
      <c r="VUS58" s="196"/>
      <c r="VUT58" s="196"/>
      <c r="VUU58" s="196"/>
      <c r="VUV58" s="196"/>
      <c r="VUW58" s="196"/>
      <c r="VUX58" s="196"/>
      <c r="VUY58" s="196"/>
      <c r="VUZ58" s="196"/>
      <c r="VVA58" s="196"/>
      <c r="VVB58" s="196"/>
      <c r="VVC58" s="196"/>
      <c r="VVD58" s="196"/>
      <c r="VVE58" s="196"/>
      <c r="VVF58" s="196"/>
      <c r="VVG58" s="196"/>
      <c r="VVH58" s="196"/>
      <c r="VVI58" s="196"/>
      <c r="VVJ58" s="196"/>
      <c r="VVK58" s="196"/>
      <c r="VVL58" s="196"/>
      <c r="VVM58" s="196"/>
      <c r="VVN58" s="196"/>
      <c r="VVO58" s="196"/>
      <c r="VVP58" s="196"/>
      <c r="VVQ58" s="196"/>
      <c r="VVR58" s="196"/>
      <c r="VVS58" s="196"/>
      <c r="VVT58" s="196"/>
      <c r="VVU58" s="196"/>
      <c r="VVV58" s="196"/>
      <c r="VVW58" s="196"/>
      <c r="VVX58" s="196"/>
      <c r="VVY58" s="196"/>
      <c r="VVZ58" s="196"/>
      <c r="VWA58" s="196"/>
      <c r="VWB58" s="196"/>
      <c r="VWC58" s="196"/>
      <c r="VWD58" s="196"/>
      <c r="VWE58" s="196"/>
      <c r="VWF58" s="196"/>
      <c r="VWG58" s="196"/>
      <c r="VWH58" s="196"/>
      <c r="VWI58" s="196"/>
      <c r="VWJ58" s="196"/>
      <c r="VWK58" s="196"/>
      <c r="VWL58" s="196"/>
      <c r="VWM58" s="196"/>
      <c r="VWN58" s="196"/>
      <c r="VWO58" s="196"/>
      <c r="VWP58" s="196"/>
      <c r="VWQ58" s="196"/>
      <c r="VWR58" s="196"/>
      <c r="VWS58" s="196"/>
      <c r="VWT58" s="196"/>
      <c r="VWU58" s="196"/>
      <c r="VWV58" s="196"/>
      <c r="VWW58" s="196"/>
      <c r="VWX58" s="196"/>
      <c r="VWY58" s="196"/>
      <c r="VWZ58" s="196"/>
      <c r="VXA58" s="196"/>
      <c r="VXB58" s="196"/>
      <c r="VXC58" s="196"/>
      <c r="VXD58" s="196"/>
      <c r="VXE58" s="196"/>
      <c r="VXF58" s="196"/>
      <c r="VXG58" s="196"/>
      <c r="VXH58" s="196"/>
      <c r="VXI58" s="196"/>
      <c r="VXJ58" s="196"/>
      <c r="VXK58" s="196"/>
      <c r="VXL58" s="196"/>
      <c r="VXM58" s="196"/>
      <c r="VXN58" s="196"/>
      <c r="VXO58" s="196"/>
      <c r="VXP58" s="196"/>
      <c r="VXQ58" s="196"/>
      <c r="VXR58" s="196"/>
      <c r="VXS58" s="196"/>
      <c r="VXT58" s="196"/>
      <c r="VXU58" s="196"/>
      <c r="VXV58" s="196"/>
      <c r="VXW58" s="196"/>
      <c r="VXX58" s="196"/>
      <c r="VXY58" s="196"/>
      <c r="VXZ58" s="196"/>
      <c r="VYA58" s="196"/>
      <c r="VYB58" s="196"/>
      <c r="VYC58" s="196"/>
      <c r="VYD58" s="196"/>
      <c r="VYE58" s="196"/>
      <c r="VYF58" s="196"/>
      <c r="VYG58" s="196"/>
      <c r="VYH58" s="196"/>
      <c r="VYI58" s="196"/>
      <c r="VYJ58" s="196"/>
      <c r="VYK58" s="196"/>
      <c r="VYL58" s="196"/>
      <c r="VYM58" s="196"/>
      <c r="VYN58" s="196"/>
      <c r="VYO58" s="196"/>
      <c r="VYP58" s="196"/>
      <c r="VYQ58" s="196"/>
      <c r="VYR58" s="196"/>
      <c r="VYS58" s="196"/>
      <c r="VYT58" s="196"/>
      <c r="VYU58" s="196"/>
      <c r="VYV58" s="196"/>
      <c r="VYW58" s="196"/>
      <c r="VYX58" s="196"/>
      <c r="VYY58" s="196"/>
      <c r="VYZ58" s="196"/>
      <c r="VZA58" s="196"/>
      <c r="VZB58" s="196"/>
      <c r="VZC58" s="196"/>
      <c r="VZD58" s="196"/>
      <c r="VZE58" s="196"/>
      <c r="VZF58" s="196"/>
      <c r="VZG58" s="196"/>
      <c r="VZH58" s="196"/>
      <c r="VZI58" s="196"/>
      <c r="VZJ58" s="196"/>
      <c r="VZK58" s="196"/>
      <c r="VZL58" s="196"/>
      <c r="VZM58" s="196"/>
      <c r="VZN58" s="196"/>
      <c r="VZO58" s="196"/>
      <c r="VZP58" s="196"/>
      <c r="VZQ58" s="196"/>
      <c r="VZR58" s="196"/>
      <c r="VZS58" s="196"/>
      <c r="VZT58" s="196"/>
      <c r="VZU58" s="196"/>
      <c r="VZV58" s="196"/>
      <c r="VZW58" s="196"/>
      <c r="VZX58" s="196"/>
      <c r="VZY58" s="196"/>
      <c r="VZZ58" s="196"/>
      <c r="WAA58" s="196"/>
      <c r="WAB58" s="196"/>
      <c r="WAC58" s="196"/>
      <c r="WAD58" s="196"/>
      <c r="WAE58" s="196"/>
      <c r="WAF58" s="196"/>
      <c r="WAG58" s="196"/>
      <c r="WAH58" s="196"/>
      <c r="WAI58" s="196"/>
      <c r="WAJ58" s="196"/>
      <c r="WAK58" s="196"/>
      <c r="WAL58" s="196"/>
      <c r="WAM58" s="196"/>
      <c r="WAN58" s="196"/>
      <c r="WAO58" s="196"/>
      <c r="WAP58" s="196"/>
      <c r="WAQ58" s="196"/>
      <c r="WAR58" s="196"/>
      <c r="WAS58" s="196"/>
      <c r="WAT58" s="196"/>
      <c r="WAU58" s="196"/>
      <c r="WAV58" s="196"/>
      <c r="WAW58" s="196"/>
      <c r="WAX58" s="196"/>
      <c r="WAY58" s="196"/>
      <c r="WAZ58" s="196"/>
      <c r="WBA58" s="196"/>
      <c r="WBB58" s="196"/>
      <c r="WBC58" s="196"/>
      <c r="WBD58" s="196"/>
      <c r="WBE58" s="196"/>
      <c r="WBF58" s="196"/>
      <c r="WBG58" s="196"/>
      <c r="WBH58" s="196"/>
      <c r="WBI58" s="196"/>
      <c r="WBJ58" s="196"/>
      <c r="WBK58" s="196"/>
      <c r="WBL58" s="196"/>
      <c r="WBM58" s="196"/>
      <c r="WBN58" s="196"/>
      <c r="WBO58" s="196"/>
      <c r="WBP58" s="196"/>
      <c r="WBQ58" s="196"/>
      <c r="WBR58" s="196"/>
      <c r="WBS58" s="196"/>
      <c r="WBT58" s="196"/>
      <c r="WBU58" s="196"/>
      <c r="WBV58" s="196"/>
      <c r="WBW58" s="196"/>
      <c r="WBX58" s="196"/>
      <c r="WBY58" s="196"/>
      <c r="WBZ58" s="196"/>
      <c r="WCA58" s="196"/>
      <c r="WCB58" s="196"/>
      <c r="WCC58" s="196"/>
      <c r="WCD58" s="196"/>
      <c r="WCE58" s="196"/>
      <c r="WCF58" s="196"/>
      <c r="WCG58" s="196"/>
      <c r="WCH58" s="196"/>
      <c r="WCI58" s="196"/>
      <c r="WCJ58" s="196"/>
      <c r="WCK58" s="196"/>
      <c r="WCL58" s="196"/>
      <c r="WCM58" s="196"/>
      <c r="WCN58" s="196"/>
      <c r="WCO58" s="196"/>
      <c r="WCP58" s="196"/>
      <c r="WCQ58" s="196"/>
      <c r="WCR58" s="196"/>
      <c r="WCS58" s="196"/>
      <c r="WCT58" s="196"/>
      <c r="WCU58" s="196"/>
      <c r="WCV58" s="196"/>
      <c r="WCW58" s="196"/>
      <c r="WCX58" s="196"/>
      <c r="WCY58" s="196"/>
      <c r="WCZ58" s="196"/>
      <c r="WDA58" s="196"/>
      <c r="WDB58" s="196"/>
      <c r="WDC58" s="196"/>
      <c r="WDD58" s="196"/>
      <c r="WDE58" s="196"/>
      <c r="WDF58" s="196"/>
      <c r="WDG58" s="196"/>
      <c r="WDH58" s="196"/>
      <c r="WDI58" s="196"/>
      <c r="WDJ58" s="196"/>
      <c r="WDK58" s="196"/>
      <c r="WDL58" s="196"/>
      <c r="WDM58" s="196"/>
      <c r="WDN58" s="196"/>
      <c r="WDO58" s="196"/>
      <c r="WDP58" s="196"/>
      <c r="WDQ58" s="196"/>
      <c r="WDR58" s="196"/>
      <c r="WDS58" s="196"/>
      <c r="WDT58" s="196"/>
      <c r="WDU58" s="196"/>
      <c r="WDV58" s="196"/>
      <c r="WDW58" s="196"/>
      <c r="WDX58" s="196"/>
      <c r="WDY58" s="196"/>
      <c r="WDZ58" s="196"/>
      <c r="WEA58" s="196"/>
      <c r="WEB58" s="196"/>
      <c r="WEC58" s="196"/>
      <c r="WED58" s="196"/>
      <c r="WEE58" s="196"/>
      <c r="WEF58" s="196"/>
      <c r="WEG58" s="196"/>
      <c r="WEH58" s="196"/>
      <c r="WEI58" s="196"/>
      <c r="WEJ58" s="196"/>
      <c r="WEK58" s="196"/>
      <c r="WEL58" s="196"/>
      <c r="WEM58" s="196"/>
      <c r="WEN58" s="196"/>
      <c r="WEO58" s="196"/>
      <c r="WEP58" s="196"/>
      <c r="WEQ58" s="196"/>
      <c r="WER58" s="196"/>
      <c r="WES58" s="196"/>
      <c r="WET58" s="196"/>
      <c r="WEU58" s="196"/>
      <c r="WEV58" s="196"/>
      <c r="WEW58" s="196"/>
      <c r="WEX58" s="196"/>
      <c r="WEY58" s="196"/>
      <c r="WEZ58" s="196"/>
      <c r="WFA58" s="196"/>
      <c r="WFB58" s="196"/>
      <c r="WFC58" s="196"/>
      <c r="WFD58" s="196"/>
      <c r="WFE58" s="196"/>
      <c r="WFF58" s="196"/>
      <c r="WFG58" s="196"/>
      <c r="WFH58" s="196"/>
      <c r="WFI58" s="196"/>
      <c r="WFJ58" s="196"/>
      <c r="WFK58" s="196"/>
      <c r="WFL58" s="196"/>
      <c r="WFM58" s="196"/>
      <c r="WFN58" s="196"/>
      <c r="WFO58" s="196"/>
      <c r="WFP58" s="196"/>
      <c r="WFQ58" s="196"/>
      <c r="WFR58" s="196"/>
      <c r="WFS58" s="196"/>
      <c r="WFT58" s="196"/>
      <c r="WFU58" s="196"/>
      <c r="WFV58" s="196"/>
      <c r="WFW58" s="196"/>
      <c r="WFX58" s="196"/>
      <c r="WFY58" s="196"/>
      <c r="WFZ58" s="196"/>
      <c r="WGA58" s="196"/>
      <c r="WGB58" s="196"/>
      <c r="WGC58" s="196"/>
      <c r="WGD58" s="196"/>
      <c r="WGE58" s="196"/>
      <c r="WGF58" s="196"/>
      <c r="WGG58" s="196"/>
      <c r="WGH58" s="196"/>
      <c r="WGI58" s="196"/>
      <c r="WGJ58" s="196"/>
      <c r="WGK58" s="196"/>
      <c r="WGL58" s="196"/>
      <c r="WGM58" s="196"/>
      <c r="WGN58" s="196"/>
      <c r="WGO58" s="196"/>
      <c r="WGP58" s="196"/>
      <c r="WGQ58" s="196"/>
      <c r="WGR58" s="196"/>
      <c r="WGS58" s="196"/>
      <c r="WGT58" s="196"/>
      <c r="WGU58" s="196"/>
      <c r="WGV58" s="196"/>
      <c r="WGW58" s="196"/>
      <c r="WGX58" s="196"/>
      <c r="WGY58" s="196"/>
      <c r="WGZ58" s="196"/>
      <c r="WHA58" s="196"/>
      <c r="WHB58" s="196"/>
      <c r="WHC58" s="196"/>
      <c r="WHD58" s="196"/>
      <c r="WHE58" s="196"/>
      <c r="WHF58" s="196"/>
      <c r="WHG58" s="196"/>
      <c r="WHH58" s="196"/>
      <c r="WHI58" s="196"/>
      <c r="WHJ58" s="196"/>
      <c r="WHK58" s="196"/>
      <c r="WHL58" s="196"/>
      <c r="WHM58" s="196"/>
      <c r="WHN58" s="196"/>
      <c r="WHO58" s="196"/>
      <c r="WHP58" s="196"/>
      <c r="WHQ58" s="196"/>
      <c r="WHR58" s="196"/>
      <c r="WHS58" s="196"/>
      <c r="WHT58" s="196"/>
      <c r="WHU58" s="196"/>
      <c r="WHV58" s="196"/>
      <c r="WHW58" s="196"/>
      <c r="WHX58" s="196"/>
      <c r="WHY58" s="196"/>
      <c r="WHZ58" s="196"/>
      <c r="WIA58" s="196"/>
      <c r="WIB58" s="196"/>
      <c r="WIC58" s="196"/>
      <c r="WID58" s="196"/>
      <c r="WIE58" s="196"/>
      <c r="WIF58" s="196"/>
      <c r="WIG58" s="196"/>
      <c r="WIH58" s="196"/>
      <c r="WII58" s="196"/>
      <c r="WIJ58" s="196"/>
      <c r="WIK58" s="196"/>
      <c r="WIL58" s="196"/>
      <c r="WIM58" s="196"/>
      <c r="WIN58" s="196"/>
      <c r="WIO58" s="196"/>
      <c r="WIP58" s="196"/>
      <c r="WIQ58" s="196"/>
      <c r="WIR58" s="196"/>
      <c r="WIS58" s="196"/>
      <c r="WIT58" s="196"/>
      <c r="WIU58" s="196"/>
      <c r="WIV58" s="196"/>
      <c r="WIW58" s="196"/>
      <c r="WIX58" s="196"/>
      <c r="WIY58" s="196"/>
      <c r="WIZ58" s="196"/>
      <c r="WJA58" s="196"/>
      <c r="WJB58" s="196"/>
      <c r="WJC58" s="196"/>
      <c r="WJD58" s="196"/>
      <c r="WJE58" s="196"/>
      <c r="WJF58" s="196"/>
      <c r="WJG58" s="196"/>
      <c r="WJH58" s="196"/>
      <c r="WJI58" s="196"/>
      <c r="WJJ58" s="196"/>
      <c r="WJK58" s="196"/>
      <c r="WJL58" s="196"/>
      <c r="WJM58" s="196"/>
      <c r="WJN58" s="196"/>
      <c r="WJO58" s="196"/>
      <c r="WJP58" s="196"/>
      <c r="WJQ58" s="196"/>
      <c r="WJR58" s="196"/>
      <c r="WJS58" s="196"/>
      <c r="WJT58" s="196"/>
      <c r="WJU58" s="196"/>
      <c r="WJV58" s="196"/>
      <c r="WJW58" s="196"/>
      <c r="WJX58" s="196"/>
      <c r="WJY58" s="196"/>
      <c r="WJZ58" s="196"/>
      <c r="WKA58" s="196"/>
      <c r="WKB58" s="196"/>
      <c r="WKC58" s="196"/>
      <c r="WKD58" s="196"/>
      <c r="WKE58" s="196"/>
      <c r="WKF58" s="196"/>
      <c r="WKG58" s="196"/>
      <c r="WKH58" s="196"/>
      <c r="WKI58" s="196"/>
      <c r="WKJ58" s="196"/>
      <c r="WKK58" s="196"/>
      <c r="WKL58" s="196"/>
      <c r="WKM58" s="196"/>
      <c r="WKN58" s="196"/>
      <c r="WKO58" s="196"/>
      <c r="WKP58" s="196"/>
      <c r="WKQ58" s="196"/>
      <c r="WKR58" s="196"/>
      <c r="WKS58" s="196"/>
      <c r="WKT58" s="196"/>
      <c r="WKU58" s="196"/>
      <c r="WKV58" s="196"/>
      <c r="WKW58" s="196"/>
      <c r="WKX58" s="196"/>
      <c r="WKY58" s="196"/>
      <c r="WKZ58" s="196"/>
      <c r="WLA58" s="196"/>
      <c r="WLB58" s="196"/>
      <c r="WLC58" s="196"/>
      <c r="WLD58" s="196"/>
      <c r="WLE58" s="196"/>
      <c r="WLF58" s="196"/>
      <c r="WLG58" s="196"/>
      <c r="WLH58" s="196"/>
      <c r="WLI58" s="196"/>
      <c r="WLJ58" s="196"/>
      <c r="WLK58" s="196"/>
      <c r="WLL58" s="196"/>
      <c r="WLM58" s="196"/>
      <c r="WLN58" s="196"/>
      <c r="WLO58" s="196"/>
      <c r="WLP58" s="196"/>
      <c r="WLQ58" s="196"/>
      <c r="WLR58" s="196"/>
      <c r="WLS58" s="196"/>
      <c r="WLT58" s="196"/>
      <c r="WLU58" s="196"/>
      <c r="WLV58" s="196"/>
      <c r="WLW58" s="196"/>
      <c r="WLX58" s="196"/>
      <c r="WLY58" s="196"/>
      <c r="WLZ58" s="196"/>
      <c r="WMA58" s="196"/>
      <c r="WMB58" s="196"/>
      <c r="WMC58" s="196"/>
      <c r="WMD58" s="196"/>
      <c r="WME58" s="196"/>
      <c r="WMF58" s="196"/>
      <c r="WMG58" s="196"/>
      <c r="WMH58" s="196"/>
      <c r="WMI58" s="196"/>
      <c r="WMJ58" s="196"/>
      <c r="WMK58" s="196"/>
      <c r="WML58" s="196"/>
      <c r="WMM58" s="196"/>
      <c r="WMN58" s="196"/>
      <c r="WMO58" s="196"/>
      <c r="WMP58" s="196"/>
      <c r="WMQ58" s="196"/>
      <c r="WMR58" s="196"/>
      <c r="WMS58" s="196"/>
      <c r="WMT58" s="196"/>
      <c r="WMU58" s="196"/>
      <c r="WMV58" s="196"/>
      <c r="WMW58" s="196"/>
      <c r="WMX58" s="196"/>
      <c r="WMY58" s="196"/>
      <c r="WMZ58" s="196"/>
      <c r="WNA58" s="196"/>
      <c r="WNB58" s="196"/>
      <c r="WNC58" s="196"/>
      <c r="WND58" s="196"/>
      <c r="WNE58" s="196"/>
      <c r="WNF58" s="196"/>
      <c r="WNG58" s="196"/>
      <c r="WNH58" s="196"/>
      <c r="WNI58" s="196"/>
      <c r="WNJ58" s="196"/>
      <c r="WNK58" s="196"/>
      <c r="WNL58" s="196"/>
      <c r="WNM58" s="196"/>
      <c r="WNN58" s="196"/>
      <c r="WNO58" s="196"/>
      <c r="WNP58" s="196"/>
      <c r="WNQ58" s="196"/>
      <c r="WNR58" s="196"/>
      <c r="WNS58" s="196"/>
      <c r="WNT58" s="196"/>
      <c r="WNU58" s="196"/>
      <c r="WNV58" s="196"/>
      <c r="WNW58" s="196"/>
      <c r="WNX58" s="196"/>
      <c r="WNY58" s="196"/>
      <c r="WNZ58" s="196"/>
      <c r="WOA58" s="196"/>
      <c r="WOB58" s="196"/>
      <c r="WOC58" s="196"/>
      <c r="WOD58" s="196"/>
      <c r="WOE58" s="196"/>
      <c r="WOF58" s="196"/>
      <c r="WOG58" s="196"/>
      <c r="WOH58" s="196"/>
      <c r="WOI58" s="196"/>
      <c r="WOJ58" s="196"/>
      <c r="WOK58" s="196"/>
      <c r="WOL58" s="196"/>
      <c r="WOM58" s="196"/>
      <c r="WON58" s="196"/>
      <c r="WOO58" s="196"/>
      <c r="WOP58" s="196"/>
      <c r="WOQ58" s="196"/>
      <c r="WOR58" s="196"/>
      <c r="WOS58" s="196"/>
      <c r="WOT58" s="196"/>
      <c r="WOU58" s="196"/>
      <c r="WOV58" s="196"/>
      <c r="WOW58" s="196"/>
      <c r="WOX58" s="196"/>
      <c r="WOY58" s="196"/>
      <c r="WOZ58" s="196"/>
      <c r="WPA58" s="196"/>
      <c r="WPB58" s="196"/>
      <c r="WPC58" s="196"/>
      <c r="WPD58" s="196"/>
      <c r="WPE58" s="196"/>
      <c r="WPF58" s="196"/>
      <c r="WPG58" s="196"/>
      <c r="WPH58" s="196"/>
      <c r="WPI58" s="196"/>
      <c r="WPJ58" s="196"/>
      <c r="WPK58" s="196"/>
      <c r="WPL58" s="196"/>
      <c r="WPM58" s="196"/>
      <c r="WPN58" s="196"/>
      <c r="WPO58" s="196"/>
      <c r="WPP58" s="196"/>
      <c r="WPQ58" s="196"/>
      <c r="WPR58" s="196"/>
      <c r="WPS58" s="196"/>
      <c r="WPT58" s="196"/>
      <c r="WPU58" s="196"/>
      <c r="WPV58" s="196"/>
      <c r="WPW58" s="196"/>
      <c r="WPX58" s="196"/>
      <c r="WPY58" s="196"/>
      <c r="WPZ58" s="196"/>
      <c r="WQA58" s="196"/>
      <c r="WQB58" s="196"/>
      <c r="WQC58" s="196"/>
      <c r="WQD58" s="196"/>
      <c r="WQE58" s="196"/>
      <c r="WQF58" s="196"/>
      <c r="WQG58" s="196"/>
      <c r="WQH58" s="196"/>
      <c r="WQI58" s="196"/>
      <c r="WQJ58" s="196"/>
      <c r="WQK58" s="196"/>
      <c r="WQL58" s="196"/>
      <c r="WQM58" s="196"/>
      <c r="WQN58" s="196"/>
      <c r="WQO58" s="196"/>
      <c r="WQP58" s="196"/>
      <c r="WQQ58" s="196"/>
      <c r="WQR58" s="196"/>
      <c r="WQS58" s="196"/>
      <c r="WQT58" s="196"/>
      <c r="WQU58" s="196"/>
      <c r="WQV58" s="196"/>
      <c r="WQW58" s="196"/>
      <c r="WQX58" s="196"/>
      <c r="WQY58" s="196"/>
      <c r="WQZ58" s="196"/>
      <c r="WRA58" s="196"/>
      <c r="WRB58" s="196"/>
      <c r="WRC58" s="196"/>
      <c r="WRD58" s="196"/>
      <c r="WRE58" s="196"/>
      <c r="WRF58" s="196"/>
      <c r="WRG58" s="196"/>
      <c r="WRH58" s="196"/>
      <c r="WRI58" s="196"/>
      <c r="WRJ58" s="196"/>
      <c r="WRK58" s="196"/>
      <c r="WRL58" s="196"/>
      <c r="WRM58" s="196"/>
      <c r="WRN58" s="196"/>
      <c r="WRO58" s="196"/>
      <c r="WRP58" s="196"/>
      <c r="WRQ58" s="196"/>
      <c r="WRR58" s="196"/>
      <c r="WRS58" s="196"/>
      <c r="WRT58" s="196"/>
      <c r="WRU58" s="196"/>
      <c r="WRV58" s="196"/>
      <c r="WRW58" s="196"/>
      <c r="WRX58" s="196"/>
      <c r="WRY58" s="196"/>
      <c r="WRZ58" s="196"/>
      <c r="WSA58" s="196"/>
      <c r="WSB58" s="196"/>
      <c r="WSC58" s="196"/>
      <c r="WSD58" s="196"/>
      <c r="WSE58" s="196"/>
      <c r="WSF58" s="196"/>
      <c r="WSG58" s="196"/>
      <c r="WSH58" s="196"/>
      <c r="WSI58" s="196"/>
      <c r="WSJ58" s="196"/>
      <c r="WSK58" s="196"/>
      <c r="WSL58" s="196"/>
      <c r="WSM58" s="196"/>
      <c r="WSN58" s="196"/>
      <c r="WSO58" s="196"/>
      <c r="WSP58" s="196"/>
      <c r="WSQ58" s="196"/>
      <c r="WSR58" s="196"/>
      <c r="WSS58" s="196"/>
      <c r="WST58" s="196"/>
      <c r="WSU58" s="196"/>
      <c r="WSV58" s="196"/>
      <c r="WSW58" s="196"/>
      <c r="WSX58" s="196"/>
      <c r="WSY58" s="196"/>
      <c r="WSZ58" s="196"/>
      <c r="WTA58" s="196"/>
      <c r="WTB58" s="196"/>
      <c r="WTC58" s="196"/>
      <c r="WTD58" s="196"/>
      <c r="WTE58" s="196"/>
      <c r="WTF58" s="196"/>
      <c r="WTG58" s="196"/>
      <c r="WTH58" s="196"/>
      <c r="WTI58" s="196"/>
      <c r="WTJ58" s="196"/>
      <c r="WTK58" s="196"/>
      <c r="WTL58" s="196"/>
      <c r="WTM58" s="196"/>
      <c r="WTN58" s="196"/>
      <c r="WTO58" s="196"/>
      <c r="WTP58" s="196"/>
      <c r="WTQ58" s="196"/>
      <c r="WTR58" s="196"/>
      <c r="WTS58" s="196"/>
      <c r="WTT58" s="196"/>
      <c r="WTU58" s="196"/>
      <c r="WTV58" s="196"/>
      <c r="WTW58" s="196"/>
      <c r="WTX58" s="196"/>
      <c r="WTY58" s="196"/>
      <c r="WTZ58" s="196"/>
      <c r="WUA58" s="196"/>
      <c r="WUB58" s="196"/>
      <c r="WUC58" s="196"/>
      <c r="WUD58" s="196"/>
      <c r="WUE58" s="196"/>
      <c r="WUF58" s="196"/>
      <c r="WUG58" s="196"/>
      <c r="WUH58" s="196"/>
      <c r="WUI58" s="196"/>
      <c r="WUJ58" s="196"/>
      <c r="WUK58" s="196"/>
      <c r="WUL58" s="196"/>
      <c r="WUM58" s="196"/>
      <c r="WUN58" s="196"/>
      <c r="WUO58" s="196"/>
      <c r="WUP58" s="196"/>
      <c r="WUQ58" s="196"/>
      <c r="WUR58" s="196"/>
      <c r="WUS58" s="196"/>
      <c r="WUT58" s="196"/>
      <c r="WUU58" s="196"/>
      <c r="WUV58" s="196"/>
      <c r="WUW58" s="196"/>
      <c r="WUX58" s="196"/>
      <c r="WUY58" s="196"/>
      <c r="WUZ58" s="196"/>
      <c r="WVA58" s="196"/>
      <c r="WVB58" s="196"/>
      <c r="WVC58" s="196"/>
      <c r="WVD58" s="196"/>
      <c r="WVE58" s="196"/>
      <c r="WVF58" s="196"/>
      <c r="WVG58" s="196"/>
      <c r="WVH58" s="196"/>
      <c r="WVI58" s="196"/>
      <c r="WVJ58" s="196"/>
      <c r="WVK58" s="196"/>
      <c r="WVL58" s="196"/>
      <c r="WVM58" s="196"/>
      <c r="WVN58" s="196"/>
      <c r="WVO58" s="196"/>
      <c r="WVP58" s="196"/>
      <c r="WVQ58" s="196"/>
      <c r="WVR58" s="196"/>
      <c r="WVS58" s="196"/>
      <c r="WVT58" s="196"/>
      <c r="WVU58" s="196"/>
      <c r="WVV58" s="196"/>
      <c r="WVW58" s="196"/>
      <c r="WVX58" s="196"/>
      <c r="WVY58" s="196"/>
      <c r="WVZ58" s="196"/>
      <c r="WWA58" s="196"/>
      <c r="WWB58" s="196"/>
      <c r="WWC58" s="196"/>
      <c r="WWD58" s="196"/>
      <c r="WWE58" s="196"/>
      <c r="WWF58" s="196"/>
      <c r="WWG58" s="196"/>
      <c r="WWH58" s="196"/>
      <c r="WWI58" s="196"/>
      <c r="WWJ58" s="196"/>
      <c r="WWK58" s="196"/>
      <c r="WWL58" s="196"/>
      <c r="WWM58" s="196"/>
      <c r="WWN58" s="196"/>
      <c r="WWO58" s="196"/>
      <c r="WWP58" s="196"/>
      <c r="WWQ58" s="196"/>
      <c r="WWR58" s="196"/>
      <c r="WWS58" s="196"/>
      <c r="WWT58" s="196"/>
      <c r="WWU58" s="196"/>
      <c r="WWV58" s="196"/>
      <c r="WWW58" s="196"/>
      <c r="WWX58" s="196"/>
      <c r="WWY58" s="196"/>
      <c r="WWZ58" s="196"/>
      <c r="WXA58" s="196"/>
      <c r="WXB58" s="196"/>
      <c r="WXC58" s="196"/>
      <c r="WXD58" s="196"/>
      <c r="WXE58" s="196"/>
      <c r="WXF58" s="196"/>
      <c r="WXG58" s="196"/>
      <c r="WXH58" s="196"/>
      <c r="WXI58" s="196"/>
      <c r="WXJ58" s="196"/>
      <c r="WXK58" s="196"/>
      <c r="WXL58" s="196"/>
      <c r="WXM58" s="196"/>
      <c r="WXN58" s="196"/>
      <c r="WXO58" s="196"/>
      <c r="WXP58" s="196"/>
      <c r="WXQ58" s="196"/>
      <c r="WXR58" s="196"/>
      <c r="WXS58" s="196"/>
      <c r="WXT58" s="196"/>
      <c r="WXU58" s="196"/>
      <c r="WXV58" s="196"/>
      <c r="WXW58" s="196"/>
      <c r="WXX58" s="196"/>
      <c r="WXY58" s="196"/>
      <c r="WXZ58" s="196"/>
      <c r="WYA58" s="196"/>
      <c r="WYB58" s="196"/>
      <c r="WYC58" s="196"/>
      <c r="WYD58" s="196"/>
      <c r="WYE58" s="196"/>
      <c r="WYF58" s="196"/>
      <c r="WYG58" s="196"/>
      <c r="WYH58" s="196"/>
      <c r="WYI58" s="196"/>
      <c r="WYJ58" s="196"/>
      <c r="WYK58" s="196"/>
      <c r="WYL58" s="196"/>
      <c r="WYM58" s="196"/>
      <c r="WYN58" s="196"/>
      <c r="WYO58" s="196"/>
      <c r="WYP58" s="196"/>
      <c r="WYQ58" s="196"/>
      <c r="WYR58" s="196"/>
      <c r="WYS58" s="196"/>
      <c r="WYT58" s="196"/>
      <c r="WYU58" s="196"/>
      <c r="WYV58" s="196"/>
      <c r="WYW58" s="196"/>
      <c r="WYX58" s="196"/>
      <c r="WYY58" s="196"/>
      <c r="WYZ58" s="196"/>
      <c r="WZA58" s="196"/>
      <c r="WZB58" s="196"/>
      <c r="WZC58" s="196"/>
      <c r="WZD58" s="196"/>
      <c r="WZE58" s="196"/>
      <c r="WZF58" s="196"/>
      <c r="WZG58" s="196"/>
      <c r="WZH58" s="196"/>
      <c r="WZI58" s="196"/>
      <c r="WZJ58" s="196"/>
      <c r="WZK58" s="196"/>
      <c r="WZL58" s="196"/>
      <c r="WZM58" s="196"/>
      <c r="WZN58" s="196"/>
      <c r="WZO58" s="196"/>
      <c r="WZP58" s="196"/>
      <c r="WZQ58" s="196"/>
      <c r="WZR58" s="196"/>
      <c r="WZS58" s="196"/>
      <c r="WZT58" s="196"/>
      <c r="WZU58" s="196"/>
      <c r="WZV58" s="196"/>
      <c r="WZW58" s="196"/>
      <c r="WZX58" s="196"/>
      <c r="WZY58" s="196"/>
      <c r="WZZ58" s="196"/>
      <c r="XAA58" s="196"/>
      <c r="XAB58" s="196"/>
      <c r="XAC58" s="196"/>
      <c r="XAD58" s="196"/>
      <c r="XAE58" s="196"/>
      <c r="XAF58" s="196"/>
      <c r="XAG58" s="196"/>
      <c r="XAH58" s="196"/>
      <c r="XAI58" s="196"/>
      <c r="XAJ58" s="196"/>
      <c r="XAK58" s="196"/>
      <c r="XAL58" s="196"/>
      <c r="XAM58" s="196"/>
      <c r="XAN58" s="196"/>
      <c r="XAO58" s="196"/>
      <c r="XAP58" s="196"/>
      <c r="XAQ58" s="196"/>
      <c r="XAR58" s="196"/>
      <c r="XAS58" s="196"/>
      <c r="XAT58" s="196"/>
      <c r="XAU58" s="196"/>
      <c r="XAV58" s="196"/>
      <c r="XAW58" s="196"/>
      <c r="XAX58" s="196"/>
      <c r="XAY58" s="196"/>
      <c r="XAZ58" s="196"/>
      <c r="XBA58" s="196"/>
      <c r="XBB58" s="196"/>
      <c r="XBC58" s="196"/>
      <c r="XBD58" s="196"/>
      <c r="XBE58" s="196"/>
      <c r="XBF58" s="196"/>
      <c r="XBG58" s="196"/>
      <c r="XBH58" s="196"/>
      <c r="XBI58" s="196"/>
      <c r="XBJ58" s="196"/>
      <c r="XBK58" s="196"/>
      <c r="XBL58" s="196"/>
      <c r="XBM58" s="196"/>
      <c r="XBN58" s="196"/>
      <c r="XBO58" s="196"/>
      <c r="XBP58" s="196"/>
      <c r="XBQ58" s="196"/>
      <c r="XBR58" s="196"/>
      <c r="XBS58" s="196"/>
      <c r="XBT58" s="196"/>
      <c r="XBU58" s="196"/>
      <c r="XBV58" s="196"/>
      <c r="XBW58" s="196"/>
      <c r="XBX58" s="196"/>
      <c r="XBY58" s="196"/>
      <c r="XBZ58" s="196"/>
      <c r="XCA58" s="196"/>
      <c r="XCB58" s="196"/>
      <c r="XCC58" s="196"/>
      <c r="XCD58" s="196"/>
      <c r="XCE58" s="196"/>
      <c r="XCF58" s="196"/>
      <c r="XCG58" s="196"/>
      <c r="XCH58" s="196"/>
      <c r="XCI58" s="196"/>
      <c r="XCJ58" s="196"/>
      <c r="XCK58" s="196"/>
      <c r="XCL58" s="196"/>
      <c r="XCM58" s="196"/>
      <c r="XCN58" s="196"/>
      <c r="XCO58" s="196"/>
      <c r="XCP58" s="196"/>
      <c r="XCQ58" s="196"/>
      <c r="XCR58" s="196"/>
      <c r="XCS58" s="196"/>
      <c r="XCT58" s="196"/>
      <c r="XCU58" s="196"/>
      <c r="XCV58" s="196"/>
      <c r="XCW58" s="196"/>
      <c r="XCX58" s="196"/>
      <c r="XCY58" s="196"/>
      <c r="XCZ58" s="196"/>
      <c r="XDA58" s="196"/>
      <c r="XDB58" s="196"/>
      <c r="XDC58" s="196"/>
      <c r="XDD58" s="196"/>
      <c r="XDE58" s="196"/>
      <c r="XDF58" s="196"/>
      <c r="XDG58" s="196"/>
      <c r="XDH58" s="196"/>
      <c r="XDI58" s="196"/>
      <c r="XDJ58" s="196"/>
      <c r="XDK58" s="196"/>
      <c r="XDL58" s="196"/>
      <c r="XDM58" s="196"/>
      <c r="XDN58" s="196"/>
      <c r="XDO58" s="196"/>
      <c r="XDP58" s="196"/>
      <c r="XDQ58" s="196"/>
      <c r="XDR58" s="196"/>
      <c r="XDS58" s="196"/>
      <c r="XDT58" s="196"/>
      <c r="XDU58" s="196"/>
      <c r="XDV58" s="196"/>
      <c r="XDW58" s="196"/>
      <c r="XDX58" s="196"/>
      <c r="XDY58" s="196"/>
      <c r="XDZ58" s="196"/>
      <c r="XEA58" s="196"/>
      <c r="XEB58" s="196"/>
      <c r="XEC58" s="196"/>
      <c r="XED58" s="196"/>
      <c r="XEE58" s="196"/>
      <c r="XEF58" s="196"/>
      <c r="XEG58" s="196"/>
      <c r="XEH58" s="196"/>
      <c r="XEI58" s="196"/>
      <c r="XEJ58" s="196"/>
      <c r="XEK58" s="196"/>
      <c r="XEL58" s="196"/>
      <c r="XEM58" s="196"/>
      <c r="XEN58" s="196"/>
      <c r="XEO58" s="196"/>
      <c r="XEP58" s="196"/>
      <c r="XEQ58" s="196"/>
      <c r="XER58" s="196"/>
      <c r="XES58" s="196"/>
      <c r="XET58" s="196"/>
      <c r="XEU58" s="196"/>
      <c r="XEV58" s="196"/>
      <c r="XEW58" s="196"/>
      <c r="XEX58" s="196"/>
      <c r="XEY58" s="196"/>
      <c r="XEZ58" s="196"/>
      <c r="XFA58" s="196"/>
      <c r="XFB58" s="196"/>
    </row>
    <row r="59" spans="1:16382" ht="17.5" thickBot="1" x14ac:dyDescent="0.55000000000000004"/>
    <row r="60" spans="1:16382" x14ac:dyDescent="0.5">
      <c r="A60" s="493" t="s">
        <v>799</v>
      </c>
      <c r="B60" s="494"/>
      <c r="C60" s="494"/>
      <c r="D60" s="494"/>
      <c r="E60" s="494"/>
      <c r="F60" s="495"/>
    </row>
    <row r="61" spans="1:16382" x14ac:dyDescent="0.5">
      <c r="A61" s="245"/>
      <c r="B61" s="244" t="s">
        <v>767</v>
      </c>
      <c r="C61" s="244" t="s">
        <v>774</v>
      </c>
      <c r="D61" s="244"/>
      <c r="E61" s="244" t="s">
        <v>796</v>
      </c>
      <c r="F61" s="246" t="s">
        <v>798</v>
      </c>
    </row>
    <row r="62" spans="1:16382" x14ac:dyDescent="0.5">
      <c r="A62" s="81" t="str">
        <f>CONCATENATE("Mogelijke opbrengsten digitale zorg ", 'A1 Algemene resultaten'!B49)</f>
        <v>Mogelijke opbrengsten digitale zorg 2028</v>
      </c>
      <c r="B62" s="240">
        <f>MROUND('A1 Algemene resultaten'!$M$13,10)</f>
        <v>800</v>
      </c>
      <c r="C62" s="71">
        <f>MROUND('A1 Algemene resultaten'!H61-B62,10)</f>
        <v>1100</v>
      </c>
      <c r="D62" s="93"/>
      <c r="E62" s="93"/>
      <c r="F62" s="94"/>
    </row>
    <row r="63" spans="1:16382" x14ac:dyDescent="0.5">
      <c r="A63" s="70" t="s">
        <v>7</v>
      </c>
      <c r="B63" s="93"/>
      <c r="C63" s="93"/>
      <c r="D63" s="71">
        <f>B62+C62</f>
        <v>1900</v>
      </c>
      <c r="E63" s="98">
        <f>MROUND(SUMIFS(uitkomst_gegevensuitwisseling[Extra opbrengsten bij behalen ambitie gegevensuitwisseling (€)],uitkomst_gegevensuitwisseling[Veld],A63,uitkomst_gegevensuitwisseling[Uitgangssituatie/effect beleid],"Effect beleid")/1000000,10)</f>
        <v>0</v>
      </c>
      <c r="F63" s="94"/>
    </row>
    <row r="64" spans="1:16382" x14ac:dyDescent="0.5">
      <c r="A64" s="70" t="s">
        <v>11</v>
      </c>
      <c r="B64" s="93"/>
      <c r="C64" s="93"/>
      <c r="D64" s="71">
        <f>MROUND(D63+E63,10)</f>
        <v>1900</v>
      </c>
      <c r="E64" s="98">
        <f>MROUND(SUMIFS(uitkomst_gegevensuitwisseling[Extra opbrengsten bij behalen ambitie gegevensuitwisseling (€)],uitkomst_gegevensuitwisseling[Veld],A64,uitkomst_gegevensuitwisseling[Uitgangssituatie/effect beleid],"Effect beleid")/1000000,10)</f>
        <v>0</v>
      </c>
      <c r="F64" s="94"/>
    </row>
    <row r="65" spans="1:6" x14ac:dyDescent="0.5">
      <c r="A65" s="70" t="s">
        <v>9</v>
      </c>
      <c r="B65" s="93"/>
      <c r="C65" s="93"/>
      <c r="D65" s="71">
        <f>MROUND(D64+E64,10)</f>
        <v>1900</v>
      </c>
      <c r="E65" s="98">
        <f>MROUND(SUMIFS(uitkomst_gegevensuitwisseling[Extra opbrengsten bij behalen ambitie gegevensuitwisseling (€)],uitkomst_gegevensuitwisseling[Veld],A65,uitkomst_gegevensuitwisseling[Uitgangssituatie/effect beleid],"Effect beleid")/1000000,10)</f>
        <v>0</v>
      </c>
      <c r="F65" s="94"/>
    </row>
    <row r="66" spans="1:6" x14ac:dyDescent="0.5">
      <c r="A66" s="70" t="s">
        <v>12</v>
      </c>
      <c r="B66" s="93"/>
      <c r="C66" s="93"/>
      <c r="D66" s="71">
        <f>MROUND(D65+E65,10)</f>
        <v>1900</v>
      </c>
      <c r="E66" s="98">
        <f>MROUND(SUMIFS(uitkomst_gegevensuitwisseling[Extra opbrengsten bij behalen ambitie gegevensuitwisseling (€)],uitkomst_gegevensuitwisseling[Veld],A66,uitkomst_gegevensuitwisseling[Uitgangssituatie/effect beleid],"Effect beleid")/1000000,10)</f>
        <v>30</v>
      </c>
      <c r="F66" s="94"/>
    </row>
    <row r="67" spans="1:6" x14ac:dyDescent="0.5">
      <c r="A67" s="70" t="s">
        <v>8</v>
      </c>
      <c r="B67" s="93"/>
      <c r="C67" s="93"/>
      <c r="D67" s="71">
        <f>MROUND(D66+E66,10)</f>
        <v>1930</v>
      </c>
      <c r="E67" s="98">
        <f>MROUND(SUMIFS(uitkomst_gegevensuitwisseling[Extra opbrengsten bij behalen ambitie gegevensuitwisseling (€)],uitkomst_gegevensuitwisseling[Veld],A67,uitkomst_gegevensuitwisseling[Uitgangssituatie/effect beleid],"Effect beleid")/1000000,10)</f>
        <v>50</v>
      </c>
      <c r="F67" s="94"/>
    </row>
    <row r="68" spans="1:6" x14ac:dyDescent="0.5">
      <c r="A68" s="70" t="s">
        <v>10</v>
      </c>
      <c r="B68" s="93"/>
      <c r="C68" s="93"/>
      <c r="D68" s="71">
        <f>MROUND(D67+E67,10)</f>
        <v>1980</v>
      </c>
      <c r="E68" s="98">
        <f>MROUND(SUMIFS(uitkomst_gegevensuitwisseling[Extra opbrengsten bij behalen ambitie gegevensuitwisseling (€)],uitkomst_gegevensuitwisseling[Veld],A68,uitkomst_gegevensuitwisseling[Uitgangssituatie/effect beleid],"Effect beleid")/1000000,10)</f>
        <v>20</v>
      </c>
      <c r="F68" s="94"/>
    </row>
    <row r="69" spans="1:6" ht="17.5" thickBot="1" x14ac:dyDescent="0.55000000000000004">
      <c r="A69" s="70" t="str">
        <f>CONCATENATE("Mogelijke opbrengsten digitale zorg (incl. gegevensuitwisseling) ", 'A1 Algemene resultaten'!B49)</f>
        <v>Mogelijke opbrengsten digitale zorg (incl. gegevensuitwisseling) 2028</v>
      </c>
      <c r="B69" s="71">
        <f>B62</f>
        <v>800</v>
      </c>
      <c r="C69" s="71">
        <f>C62+E63+E64+E65+E66+E67+E68</f>
        <v>1200</v>
      </c>
      <c r="D69" s="93"/>
      <c r="E69" s="93"/>
      <c r="F69" s="94"/>
    </row>
    <row r="70" spans="1:6" ht="17.5" thickBot="1" x14ac:dyDescent="0.55000000000000004">
      <c r="A70" s="74" t="s">
        <v>797</v>
      </c>
      <c r="B70" s="96"/>
      <c r="C70" s="97"/>
      <c r="D70" s="97"/>
      <c r="E70" s="99">
        <f>SUM(E63:E68)</f>
        <v>100</v>
      </c>
      <c r="F70" s="100">
        <f>(C69-C62)/C62</f>
        <v>9.0909090909090912E-2</v>
      </c>
    </row>
    <row r="72" spans="1:6" s="300" customFormat="1" x14ac:dyDescent="0.5"/>
    <row r="74" spans="1:6" ht="34" x14ac:dyDescent="0.5">
      <c r="A74" s="11" t="s">
        <v>5</v>
      </c>
      <c r="B74" s="11" t="s">
        <v>751</v>
      </c>
      <c r="C74" s="386" t="s">
        <v>1031</v>
      </c>
      <c r="D74" s="386" t="s">
        <v>1087</v>
      </c>
      <c r="E74" s="386" t="s">
        <v>1044</v>
      </c>
      <c r="F74" s="386" t="s">
        <v>1043</v>
      </c>
    </row>
    <row r="75" spans="1:6" x14ac:dyDescent="0.5">
      <c r="A75" t="str">
        <f>INDEX(Technologieën[Veld],MATCH(Tabel16[[#This Row],[Digitale zorgtoepassing]],Technologieën[Digitale zorgtoepassing],0))</f>
        <v>Digitale hulpmiddelen - Verpleging</v>
      </c>
      <c r="B75" t="s">
        <v>26</v>
      </c>
      <c r="C75" s="21">
        <f>(INDEX(Uitkomsten_per_tech[Gemiddelde totale jaarlijkse arbeidsbesparing (€)],MATCH(B75,Uitkomsten_per_tech[Digitale zorgtoepassing],0))+INDEX(Uitkomsten_per_tech[Gemiddelde overige jaarlijkse kostenbesparing (€)],MATCH(B75,Uitkomsten_per_tech[Digitale zorgtoepassing],0)))/1000000</f>
        <v>907.27769324413543</v>
      </c>
      <c r="D75" s="21">
        <f>(SUMIFS(uitkomst_tech[Arbeidsbesparing (€)],uitkomst_tech[Digitale zorgtoepassing],B75,uitkomst_tech[Uitgangssituatie/effect beleid],"Effect beleid",uitkomst_tech[Jaar],"2028")+SUMIFS(uitkomst_tech[Overige besparingen (€)],uitkomst_tech[Digitale zorgtoepassing],B75,uitkomst_tech[Uitgangssituatie/effect beleid],"Effect beleid",uitkomst_tech[Jaar],"2028"))/1000000</f>
        <v>750.06336591653894</v>
      </c>
      <c r="E75" s="21" t="s">
        <v>1045</v>
      </c>
      <c r="F75" s="61">
        <f>MROUND(SUMIFS(uitkomst_tech[Patiëntaantallen],uitkomst_tech[Digitale zorgtoepassing],Tabel16[[#This Row],[Digitale zorgtoepassing]],uitkomst_tech[Uitgangssituatie/effect beleid],"Uitgangssituatie",uitkomst_tech[Jaar],"2028"),10000)</f>
        <v>110000</v>
      </c>
    </row>
    <row r="76" spans="1:6" x14ac:dyDescent="0.5">
      <c r="A76" t="str">
        <f>INDEX(Technologieën[Veld],MATCH(Tabel16[[#This Row],[Digitale zorgtoepassing]],Technologieën[Digitale zorgtoepassing],0))</f>
        <v>Software - Behandeling</v>
      </c>
      <c r="B76" t="s">
        <v>609</v>
      </c>
      <c r="C76" s="21">
        <f>(INDEX(Uitkomsten_per_tech[Gemiddelde totale jaarlijkse arbeidsbesparing (€)],MATCH(B76,Uitkomsten_per_tech[Digitale zorgtoepassing],0))+INDEX(Uitkomsten_per_tech[Gemiddelde overige jaarlijkse kostenbesparing (€)],MATCH(B76,Uitkomsten_per_tech[Digitale zorgtoepassing],0)))/1000000</f>
        <v>393.71600767113318</v>
      </c>
      <c r="D76" s="21">
        <f>(SUMIFS(uitkomst_tech[Arbeidsbesparing (€)],uitkomst_tech[Digitale zorgtoepassing],B76,uitkomst_tech[Uitgangssituatie/effect beleid],"Effect beleid",uitkomst_tech[Jaar],"2028")+SUMIFS(uitkomst_tech[Overige besparingen (€)],uitkomst_tech[Digitale zorgtoepassing],B76,uitkomst_tech[Uitgangssituatie/effect beleid],"Effect beleid",uitkomst_tech[Jaar],"2028"))/1000000</f>
        <v>189.60542821151174</v>
      </c>
      <c r="E76" s="21" t="s">
        <v>1045</v>
      </c>
      <c r="F76" s="61">
        <f>MROUND(SUMIFS(uitkomst_tech[Patiëntaantallen],uitkomst_tech[Digitale zorgtoepassing],Tabel16[[#This Row],[Digitale zorgtoepassing]],uitkomst_tech[Uitgangssituatie/effect beleid],"Uitgangssituatie",uitkomst_tech[Jaar],"2028"),10000)</f>
        <v>210000</v>
      </c>
    </row>
    <row r="77" spans="1:6" x14ac:dyDescent="0.5">
      <c r="A77" t="str">
        <f>INDEX(Technologieën[Veld],MATCH(Tabel16[[#This Row],[Digitale zorgtoepassing]],Technologieën[Digitale zorgtoepassing],0))</f>
        <v>Software - Behandeling</v>
      </c>
      <c r="B77" t="s">
        <v>101</v>
      </c>
      <c r="C77" s="21">
        <f>(INDEX(Uitkomsten_per_tech[Gemiddelde totale jaarlijkse arbeidsbesparing (€)],MATCH(B77,Uitkomsten_per_tech[Digitale zorgtoepassing],0))+INDEX(Uitkomsten_per_tech[Gemiddelde overige jaarlijkse kostenbesparing (€)],MATCH(B77,Uitkomsten_per_tech[Digitale zorgtoepassing],0)))/1000000</f>
        <v>278.42453287707724</v>
      </c>
      <c r="D77" s="21">
        <f>(SUMIFS(uitkomst_tech[Arbeidsbesparing (€)],uitkomst_tech[Digitale zorgtoepassing],B77,uitkomst_tech[Uitgangssituatie/effect beleid],"Effect beleid",uitkomst_tech[Jaar],"2028")+SUMIFS(uitkomst_tech[Overige besparingen (€)],uitkomst_tech[Digitale zorgtoepassing],B77,uitkomst_tech[Uitgangssituatie/effect beleid],"Effect beleid",uitkomst_tech[Jaar],"2028"))/1000000</f>
        <v>153.23606147206809</v>
      </c>
      <c r="E77" s="21" t="s">
        <v>1045</v>
      </c>
      <c r="F77" s="61">
        <f>MROUND(SUMIFS(uitkomst_tech[Patiëntaantallen],uitkomst_tech[Digitale zorgtoepassing],Tabel16[[#This Row],[Digitale zorgtoepassing]],uitkomst_tech[Uitgangssituatie/effect beleid],"Uitgangssituatie",uitkomst_tech[Jaar],"2028"),10000)</f>
        <v>130000</v>
      </c>
    </row>
    <row r="78" spans="1:6" x14ac:dyDescent="0.5">
      <c r="A78" t="str">
        <f>INDEX(Technologieën[Veld],MATCH(Tabel16[[#This Row],[Digitale zorgtoepassing]],Technologieën[Digitale zorgtoepassing],0))</f>
        <v>Sensoren - Verpleging</v>
      </c>
      <c r="B78" t="s">
        <v>36</v>
      </c>
      <c r="C78" s="21">
        <f>(INDEX(Uitkomsten_per_tech[Gemiddelde totale jaarlijkse arbeidsbesparing (€)],MATCH(B78,Uitkomsten_per_tech[Digitale zorgtoepassing],0))+INDEX(Uitkomsten_per_tech[Gemiddelde overige jaarlijkse kostenbesparing (€)],MATCH(B78,Uitkomsten_per_tech[Digitale zorgtoepassing],0)))/1000000</f>
        <v>260.23981356802597</v>
      </c>
      <c r="D78" s="21">
        <f>(SUMIFS(uitkomst_tech[Arbeidsbesparing (€)],uitkomst_tech[Digitale zorgtoepassing],B78,uitkomst_tech[Uitgangssituatie/effect beleid],"Effect beleid",uitkomst_tech[Jaar],"2028")+SUMIFS(uitkomst_tech[Overige besparingen (€)],uitkomst_tech[Digitale zorgtoepassing],B78,uitkomst_tech[Uitgangssituatie/effect beleid],"Effect beleid",uitkomst_tech[Jaar],"2028"))/1000000</f>
        <v>101.38086373909761</v>
      </c>
      <c r="E78" s="21" t="s">
        <v>1046</v>
      </c>
      <c r="F78" s="61">
        <f>MROUND(SUMIFS(uitkomst_tech[Patiëntaantallen],uitkomst_tech[Digitale zorgtoepassing],Tabel16[[#This Row],[Digitale zorgtoepassing]],uitkomst_tech[Uitgangssituatie/effect beleid],"Uitgangssituatie",uitkomst_tech[Jaar],"2028"),10000)</f>
        <v>30000</v>
      </c>
    </row>
    <row r="79" spans="1:6" x14ac:dyDescent="0.5">
      <c r="A79" t="str">
        <f>INDEX(Technologieën[Veld],MATCH(Tabel16[[#This Row],[Digitale zorgtoepassing]],Technologieën[Digitale zorgtoepassing],0))</f>
        <v>Digitale hulpmiddelen - Verpleging</v>
      </c>
      <c r="B79" t="s">
        <v>48</v>
      </c>
      <c r="C79" s="21">
        <f>(INDEX(Uitkomsten_per_tech[Gemiddelde totale jaarlijkse arbeidsbesparing (€)],MATCH(B79,Uitkomsten_per_tech[Digitale zorgtoepassing],0))+INDEX(Uitkomsten_per_tech[Gemiddelde overige jaarlijkse kostenbesparing (€)],MATCH(B79,Uitkomsten_per_tech[Digitale zorgtoepassing],0)))/1000000</f>
        <v>182.83804158281518</v>
      </c>
      <c r="D79" s="21">
        <f>(SUMIFS(uitkomst_tech[Arbeidsbesparing (€)],uitkomst_tech[Digitale zorgtoepassing],B79,uitkomst_tech[Uitgangssituatie/effect beleid],"Effect beleid",uitkomst_tech[Jaar],"2028")+SUMIFS(uitkomst_tech[Overige besparingen (€)],uitkomst_tech[Digitale zorgtoepassing],B79,uitkomst_tech[Uitgangssituatie/effect beleid],"Effect beleid",uitkomst_tech[Jaar],"2028"))/1000000</f>
        <v>139.15580772593964</v>
      </c>
      <c r="E79" s="21" t="s">
        <v>1045</v>
      </c>
      <c r="F79" s="61">
        <f>MROUND(SUMIFS(uitkomst_tech[Patiëntaantallen],uitkomst_tech[Digitale zorgtoepassing],Tabel16[[#This Row],[Digitale zorgtoepassing]],uitkomst_tech[Uitgangssituatie/effect beleid],"Uitgangssituatie",uitkomst_tech[Jaar],"2028"),10000)</f>
        <v>70000</v>
      </c>
    </row>
    <row r="80" spans="1:6" x14ac:dyDescent="0.5">
      <c r="A80" t="str">
        <f>INDEX(Technologieën[Veld],MATCH(Tabel16[[#This Row],[Digitale zorgtoepassing]],Technologieën[Digitale zorgtoepassing],0))</f>
        <v>Sensoren - Behandeling</v>
      </c>
      <c r="B80" t="s">
        <v>53</v>
      </c>
      <c r="C80" s="21">
        <f>(INDEX(Uitkomsten_per_tech[Gemiddelde totale jaarlijkse arbeidsbesparing (€)],MATCH(B80,Uitkomsten_per_tech[Digitale zorgtoepassing],0))+INDEX(Uitkomsten_per_tech[Gemiddelde overige jaarlijkse kostenbesparing (€)],MATCH(B80,Uitkomsten_per_tech[Digitale zorgtoepassing],0)))/1000000</f>
        <v>150.90600024125774</v>
      </c>
      <c r="D80" s="21">
        <f>(SUMIFS(uitkomst_tech[Arbeidsbesparing (€)],uitkomst_tech[Digitale zorgtoepassing],B80,uitkomst_tech[Uitgangssituatie/effect beleid],"Effect beleid",uitkomst_tech[Jaar],"2028")+SUMIFS(uitkomst_tech[Overige besparingen (€)],uitkomst_tech[Digitale zorgtoepassing],B80,uitkomst_tech[Uitgangssituatie/effect beleid],"Effect beleid",uitkomst_tech[Jaar],"2028"))/1000000</f>
        <v>26.676302990408669</v>
      </c>
      <c r="E80" s="21" t="s">
        <v>1053</v>
      </c>
      <c r="F80" s="61">
        <f>MROUND(SUMIFS(uitkomst_tech[Patiëntaantallen],uitkomst_tech[Digitale zorgtoepassing],Tabel16[[#This Row],[Digitale zorgtoepassing]],uitkomst_tech[Uitgangssituatie/effect beleid],"Uitgangssituatie",uitkomst_tech[Jaar],"2028"),10000)</f>
        <v>50000</v>
      </c>
    </row>
    <row r="81" spans="1:6" x14ac:dyDescent="0.5">
      <c r="A81" t="str">
        <f>INDEX(Technologieën[Veld],MATCH(Tabel16[[#This Row],[Digitale zorgtoepassing]],Technologieën[Digitale zorgtoepassing],0))</f>
        <v>Sensoren - Verpleging</v>
      </c>
      <c r="B81" t="s">
        <v>61</v>
      </c>
      <c r="C81" s="21">
        <f>(INDEX(Uitkomsten_per_tech[Gemiddelde totale jaarlijkse arbeidsbesparing (€)],MATCH(B81,Uitkomsten_per_tech[Digitale zorgtoepassing],0))+INDEX(Uitkomsten_per_tech[Gemiddelde overige jaarlijkse kostenbesparing (€)],MATCH(B81,Uitkomsten_per_tech[Digitale zorgtoepassing],0)))/1000000</f>
        <v>110.05267015584687</v>
      </c>
      <c r="D81" s="21">
        <f>(SUMIFS(uitkomst_tech[Arbeidsbesparing (€)],uitkomst_tech[Digitale zorgtoepassing],B81,uitkomst_tech[Uitgangssituatie/effect beleid],"Effect beleid",uitkomst_tech[Jaar],"2028")+SUMIFS(uitkomst_tech[Overige besparingen (€)],uitkomst_tech[Digitale zorgtoepassing],B81,uitkomst_tech[Uitgangssituatie/effect beleid],"Effect beleid",uitkomst_tech[Jaar],"2028"))/1000000</f>
        <v>84.233298110829594</v>
      </c>
      <c r="E81" s="21" t="s">
        <v>1046</v>
      </c>
      <c r="F81" s="61">
        <f>MROUND(SUMIFS(uitkomst_tech[Patiëntaantallen],uitkomst_tech[Digitale zorgtoepassing],Tabel16[[#This Row],[Digitale zorgtoepassing]],uitkomst_tech[Uitgangssituatie/effect beleid],"Uitgangssituatie",uitkomst_tech[Jaar],"2028"),10000)</f>
        <v>80000</v>
      </c>
    </row>
    <row r="82" spans="1:6" x14ac:dyDescent="0.5">
      <c r="A82" t="str">
        <f>INDEX(Technologieën[Veld],MATCH(Tabel16[[#This Row],[Digitale zorgtoepassing]],Technologieën[Digitale zorgtoepassing],0))</f>
        <v>Sensoren - Verpleging</v>
      </c>
      <c r="B82" t="s">
        <v>42</v>
      </c>
      <c r="C82" s="21">
        <f>(INDEX(Uitkomsten_per_tech[Gemiddelde totale jaarlijkse arbeidsbesparing (€)],MATCH(B82,Uitkomsten_per_tech[Digitale zorgtoepassing],0))+INDEX(Uitkomsten_per_tech[Gemiddelde overige jaarlijkse kostenbesparing (€)],MATCH(B82,Uitkomsten_per_tech[Digitale zorgtoepassing],0)))/1000000</f>
        <v>107.77711435974639</v>
      </c>
      <c r="D82" s="21">
        <f>(SUMIFS(uitkomst_tech[Arbeidsbesparing (€)],uitkomst_tech[Digitale zorgtoepassing],B82,uitkomst_tech[Uitgangssituatie/effect beleid],"Effect beleid",uitkomst_tech[Jaar],"2028")+SUMIFS(uitkomst_tech[Overige besparingen (€)],uitkomst_tech[Digitale zorgtoepassing],B82,uitkomst_tech[Uitgangssituatie/effect beleid],"Effect beleid",uitkomst_tech[Jaar],"2028"))/1000000</f>
        <v>92.877017903497872</v>
      </c>
      <c r="E82" s="21" t="s">
        <v>1046</v>
      </c>
      <c r="F82" s="61">
        <f>MROUND(SUMIFS(uitkomst_tech[Patiëntaantallen],uitkomst_tech[Digitale zorgtoepassing],Tabel16[[#This Row],[Digitale zorgtoepassing]],uitkomst_tech[Uitgangssituatie/effect beleid],"Uitgangssituatie",uitkomst_tech[Jaar],"2028"),10000)</f>
        <v>30000</v>
      </c>
    </row>
    <row r="83" spans="1:6" x14ac:dyDescent="0.5">
      <c r="A83" t="str">
        <f>INDEX(Technologieën[Veld],MATCH(Tabel16[[#This Row],[Digitale zorgtoepassing]],Technologieën[Digitale zorgtoepassing],0))</f>
        <v>Digitale hulpmiddelen - Verpleging</v>
      </c>
      <c r="B83" t="s">
        <v>19</v>
      </c>
      <c r="C83" s="21">
        <f>(INDEX(Uitkomsten_per_tech[Gemiddelde totale jaarlijkse arbeidsbesparing (€)],MATCH(B83,Uitkomsten_per_tech[Digitale zorgtoepassing],0))+INDEX(Uitkomsten_per_tech[Gemiddelde overige jaarlijkse kostenbesparing (€)],MATCH(B83,Uitkomsten_per_tech[Digitale zorgtoepassing],0)))/1000000</f>
        <v>88.916039321312411</v>
      </c>
      <c r="D83" s="21">
        <f>(SUMIFS(uitkomst_tech[Arbeidsbesparing (€)],uitkomst_tech[Digitale zorgtoepassing],B83,uitkomst_tech[Uitgangssituatie/effect beleid],"Effect beleid",uitkomst_tech[Jaar],"2028")+SUMIFS(uitkomst_tech[Overige besparingen (€)],uitkomst_tech[Digitale zorgtoepassing],B83,uitkomst_tech[Uitgangssituatie/effect beleid],"Effect beleid",uitkomst_tech[Jaar],"2028"))/1000000</f>
        <v>52.724511378603751</v>
      </c>
      <c r="E83" s="21" t="s">
        <v>1045</v>
      </c>
      <c r="F83" s="61">
        <f>MROUND(SUMIFS(uitkomst_tech[Patiëntaantallen],uitkomst_tech[Digitale zorgtoepassing],Tabel16[[#This Row],[Digitale zorgtoepassing]],uitkomst_tech[Uitgangssituatie/effect beleid],"Uitgangssituatie",uitkomst_tech[Jaar],"2028"),10000)</f>
        <v>30000</v>
      </c>
    </row>
    <row r="84" spans="1:6" x14ac:dyDescent="0.5">
      <c r="A84" t="str">
        <f>INDEX(Technologieën[Veld],MATCH(Tabel16[[#This Row],[Digitale zorgtoepassing]],Technologieën[Digitale zorgtoepassing],0))</f>
        <v>Digitale hulpmiddelen - Verpleging</v>
      </c>
      <c r="B84" t="s">
        <v>85</v>
      </c>
      <c r="C84" s="21">
        <f>(INDEX(Uitkomsten_per_tech[Gemiddelde totale jaarlijkse arbeidsbesparing (€)],MATCH(B84,Uitkomsten_per_tech[Digitale zorgtoepassing],0))+INDEX(Uitkomsten_per_tech[Gemiddelde overige jaarlijkse kostenbesparing (€)],MATCH(B84,Uitkomsten_per_tech[Digitale zorgtoepassing],0)))/1000000</f>
        <v>83.032645105506944</v>
      </c>
      <c r="D84" s="21">
        <f>(SUMIFS(uitkomst_tech[Arbeidsbesparing (€)],uitkomst_tech[Digitale zorgtoepassing],B84,uitkomst_tech[Uitgangssituatie/effect beleid],"Effect beleid",uitkomst_tech[Jaar],"2028")+SUMIFS(uitkomst_tech[Overige besparingen (€)],uitkomst_tech[Digitale zorgtoepassing],B84,uitkomst_tech[Uitgangssituatie/effect beleid],"Effect beleid",uitkomst_tech[Jaar],"2028"))/1000000</f>
        <v>75.497144586505343</v>
      </c>
      <c r="E84" s="21" t="s">
        <v>1045</v>
      </c>
      <c r="F84" s="61">
        <f>MROUND(SUMIFS(uitkomst_tech[Patiëntaantallen],uitkomst_tech[Digitale zorgtoepassing],Tabel16[[#This Row],[Digitale zorgtoepassing]],uitkomst_tech[Uitgangssituatie/effect beleid],"Uitgangssituatie",uitkomst_tech[Jaar],"2028"),10000)</f>
        <v>80000</v>
      </c>
    </row>
    <row r="85" spans="1:6" x14ac:dyDescent="0.5">
      <c r="A85" t="str">
        <f>INDEX(Technologieën[Veld],MATCH(Tabel16[[#This Row],[Digitale zorgtoepassing]],Technologieën[Digitale zorgtoepassing],0))</f>
        <v>Software - Behandeling</v>
      </c>
      <c r="B85" t="s">
        <v>588</v>
      </c>
      <c r="C85" s="21">
        <f>(INDEX(Uitkomsten_per_tech[Gemiddelde totale jaarlijkse arbeidsbesparing (€)],MATCH(B85,Uitkomsten_per_tech[Digitale zorgtoepassing],0))+INDEX(Uitkomsten_per_tech[Gemiddelde overige jaarlijkse kostenbesparing (€)],MATCH(B85,Uitkomsten_per_tech[Digitale zorgtoepassing],0)))/1000000</f>
        <v>46.218698275862074</v>
      </c>
      <c r="D85" s="21">
        <f>(SUMIFS(uitkomst_tech[Arbeidsbesparing (€)],uitkomst_tech[Digitale zorgtoepassing],B85,uitkomst_tech[Uitgangssituatie/effect beleid],"Effect beleid",uitkomst_tech[Jaar],"2028")+SUMIFS(uitkomst_tech[Overige besparingen (€)],uitkomst_tech[Digitale zorgtoepassing],B85,uitkomst_tech[Uitgangssituatie/effect beleid],"Effect beleid",uitkomst_tech[Jaar],"2028"))/1000000</f>
        <v>5.7550934395982631</v>
      </c>
      <c r="E85" s="21" t="s">
        <v>1045</v>
      </c>
      <c r="F85" s="61">
        <f>MROUND(SUMIFS(uitkomst_tech[Patiëntaantallen],uitkomst_tech[Digitale zorgtoepassing],Tabel16[[#This Row],[Digitale zorgtoepassing]],uitkomst_tech[Uitgangssituatie/effect beleid],"Uitgangssituatie",uitkomst_tech[Jaar],"2028"),10000)</f>
        <v>10000</v>
      </c>
    </row>
    <row r="86" spans="1:6" x14ac:dyDescent="0.5">
      <c r="A86" t="str">
        <f>INDEX(Technologieën[Veld],MATCH(Tabel16[[#This Row],[Digitale zorgtoepassing]],Technologieën[Digitale zorgtoepassing],0))</f>
        <v>Sensoren - Verpleging</v>
      </c>
      <c r="B86" t="s">
        <v>46</v>
      </c>
      <c r="C86" s="21">
        <f>(INDEX(Uitkomsten_per_tech[Gemiddelde totale jaarlijkse arbeidsbesparing (€)],MATCH(B86,Uitkomsten_per_tech[Digitale zorgtoepassing],0))+INDEX(Uitkomsten_per_tech[Gemiddelde overige jaarlijkse kostenbesparing (€)],MATCH(B86,Uitkomsten_per_tech[Digitale zorgtoepassing],0)))/1000000</f>
        <v>45.543325458084958</v>
      </c>
      <c r="D86" s="21">
        <f>(SUMIFS(uitkomst_tech[Arbeidsbesparing (€)],uitkomst_tech[Digitale zorgtoepassing],B86,uitkomst_tech[Uitgangssituatie/effect beleid],"Effect beleid",uitkomst_tech[Jaar],"2028")+SUMIFS(uitkomst_tech[Overige besparingen (€)],uitkomst_tech[Digitale zorgtoepassing],B86,uitkomst_tech[Uitgangssituatie/effect beleid],"Effect beleid",uitkomst_tech[Jaar],"2028"))/1000000</f>
        <v>28.489087722745577</v>
      </c>
      <c r="E86" s="21" t="s">
        <v>1046</v>
      </c>
      <c r="F86" s="61">
        <f>MROUND(SUMIFS(uitkomst_tech[Patiëntaantallen],uitkomst_tech[Digitale zorgtoepassing],Tabel16[[#This Row],[Digitale zorgtoepassing]],uitkomst_tech[Uitgangssituatie/effect beleid],"Uitgangssituatie",uitkomst_tech[Jaar],"2028"),10000)</f>
        <v>50000</v>
      </c>
    </row>
    <row r="87" spans="1:6" x14ac:dyDescent="0.5">
      <c r="A87" t="str">
        <f>INDEX(Technologieën[Veld],MATCH(Tabel16[[#This Row],[Digitale zorgtoepassing]],Technologieën[Digitale zorgtoepassing],0))</f>
        <v>Sensoren - Behandeling</v>
      </c>
      <c r="B87" t="s">
        <v>88</v>
      </c>
      <c r="C87" s="21">
        <f>(INDEX(Uitkomsten_per_tech[Gemiddelde totale jaarlijkse arbeidsbesparing (€)],MATCH(B87,Uitkomsten_per_tech[Digitale zorgtoepassing],0))+INDEX(Uitkomsten_per_tech[Gemiddelde overige jaarlijkse kostenbesparing (€)],MATCH(B87,Uitkomsten_per_tech[Digitale zorgtoepassing],0)))/1000000</f>
        <v>37.871841992643674</v>
      </c>
      <c r="D87" s="21">
        <f>(SUMIFS(uitkomst_tech[Arbeidsbesparing (€)],uitkomst_tech[Digitale zorgtoepassing],B87,uitkomst_tech[Uitgangssituatie/effect beleid],"Effect beleid",uitkomst_tech[Jaar],"2028")+SUMIFS(uitkomst_tech[Overige besparingen (€)],uitkomst_tech[Digitale zorgtoepassing],B87,uitkomst_tech[Uitgangssituatie/effect beleid],"Effect beleid",uitkomst_tech[Jaar],"2028"))/1000000</f>
        <v>37.245253616098573</v>
      </c>
      <c r="E87" s="21" t="s">
        <v>1045</v>
      </c>
      <c r="F87" s="61">
        <f>MROUND(SUMIFS(uitkomst_tech[Patiëntaantallen],uitkomst_tech[Digitale zorgtoepassing],Tabel16[[#This Row],[Digitale zorgtoepassing]],uitkomst_tech[Uitgangssituatie/effect beleid],"Uitgangssituatie",uitkomst_tech[Jaar],"2028"),10000)</f>
        <v>110000</v>
      </c>
    </row>
    <row r="88" spans="1:6" x14ac:dyDescent="0.5">
      <c r="A88" t="str">
        <f>INDEX(Technologieën[Veld],MATCH(Tabel16[[#This Row],[Digitale zorgtoepassing]],Technologieën[Digitale zorgtoepassing],0))</f>
        <v>Software - Behandeling</v>
      </c>
      <c r="B88" t="s">
        <v>585</v>
      </c>
      <c r="C88" s="21">
        <f>(INDEX(Uitkomsten_per_tech[Gemiddelde totale jaarlijkse arbeidsbesparing (€)],MATCH(B88,Uitkomsten_per_tech[Digitale zorgtoepassing],0))+INDEX(Uitkomsten_per_tech[Gemiddelde overige jaarlijkse kostenbesparing (€)],MATCH(B88,Uitkomsten_per_tech[Digitale zorgtoepassing],0)))/1000000</f>
        <v>34.783311781609193</v>
      </c>
      <c r="D88" s="21">
        <f>(SUMIFS(uitkomst_tech[Arbeidsbesparing (€)],uitkomst_tech[Digitale zorgtoepassing],B88,uitkomst_tech[Uitgangssituatie/effect beleid],"Effect beleid",uitkomst_tech[Jaar],"2028")+SUMIFS(uitkomst_tech[Overige besparingen (€)],uitkomst_tech[Digitale zorgtoepassing],B88,uitkomst_tech[Uitgangssituatie/effect beleid],"Effect beleid",uitkomst_tech[Jaar],"2028"))/1000000</f>
        <v>13.77597772777672</v>
      </c>
      <c r="E88" s="21" t="s">
        <v>1054</v>
      </c>
      <c r="F88" s="61">
        <f>MROUND(SUMIFS(uitkomst_tech[Patiëntaantallen],uitkomst_tech[Digitale zorgtoepassing],Tabel16[[#This Row],[Digitale zorgtoepassing]],uitkomst_tech[Uitgangssituatie/effect beleid],"Uitgangssituatie",uitkomst_tech[Jaar],"2028"),10000)</f>
        <v>1140000</v>
      </c>
    </row>
    <row r="89" spans="1:6" x14ac:dyDescent="0.5">
      <c r="A89" t="str">
        <f>INDEX(Technologieën[Veld],MATCH(Tabel16[[#This Row],[Digitale zorgtoepassing]],Technologieën[Digitale zorgtoepassing],0))</f>
        <v>Digitale hulpmiddelen - Verpleging</v>
      </c>
      <c r="B89" t="s">
        <v>32</v>
      </c>
      <c r="C89" s="21">
        <f>(INDEX(Uitkomsten_per_tech[Gemiddelde totale jaarlijkse arbeidsbesparing (€)],MATCH(B89,Uitkomsten_per_tech[Digitale zorgtoepassing],0))+INDEX(Uitkomsten_per_tech[Gemiddelde overige jaarlijkse kostenbesparing (€)],MATCH(B89,Uitkomsten_per_tech[Digitale zorgtoepassing],0)))/1000000</f>
        <v>31.582855938688347</v>
      </c>
      <c r="D89" s="21">
        <f>(SUMIFS(uitkomst_tech[Arbeidsbesparing (€)],uitkomst_tech[Digitale zorgtoepassing],B89,uitkomst_tech[Uitgangssituatie/effect beleid],"Effect beleid",uitkomst_tech[Jaar],"2028")+SUMIFS(uitkomst_tech[Overige besparingen (€)],uitkomst_tech[Digitale zorgtoepassing],B89,uitkomst_tech[Uitgangssituatie/effect beleid],"Effect beleid",uitkomst_tech[Jaar],"2028"))/1000000</f>
        <v>27.557509849042859</v>
      </c>
      <c r="E89" s="21" t="s">
        <v>1045</v>
      </c>
      <c r="F89" s="61">
        <f>MROUND(SUMIFS(uitkomst_tech[Patiëntaantallen],uitkomst_tech[Digitale zorgtoepassing],Tabel16[[#This Row],[Digitale zorgtoepassing]],uitkomst_tech[Uitgangssituatie/effect beleid],"Uitgangssituatie",uitkomst_tech[Jaar],"2028"),10000)</f>
        <v>10000</v>
      </c>
    </row>
    <row r="90" spans="1:6" x14ac:dyDescent="0.5">
      <c r="A90" t="str">
        <f>INDEX(Technologieën[Veld],MATCH(Tabel16[[#This Row],[Digitale zorgtoepassing]],Technologieën[Digitale zorgtoepassing],0))</f>
        <v>Digitale hulpmiddelen - Diagnose</v>
      </c>
      <c r="B90" t="s">
        <v>82</v>
      </c>
      <c r="C90" s="21">
        <f>(INDEX(Uitkomsten_per_tech[Gemiddelde totale jaarlijkse arbeidsbesparing (€)],MATCH(B90,Uitkomsten_per_tech[Digitale zorgtoepassing],0))+INDEX(Uitkomsten_per_tech[Gemiddelde overige jaarlijkse kostenbesparing (€)],MATCH(B90,Uitkomsten_per_tech[Digitale zorgtoepassing],0)))/1000000</f>
        <v>29.971788</v>
      </c>
      <c r="D90" s="21">
        <f>(SUMIFS(uitkomst_tech[Arbeidsbesparing (€)],uitkomst_tech[Digitale zorgtoepassing],B90,uitkomst_tech[Uitgangssituatie/effect beleid],"Effect beleid",uitkomst_tech[Jaar],"2028")+SUMIFS(uitkomst_tech[Overige besparingen (€)],uitkomst_tech[Digitale zorgtoepassing],B90,uitkomst_tech[Uitgangssituatie/effect beleid],"Effect beleid",uitkomst_tech[Jaar],"2028"))/1000000</f>
        <v>26.151778186457655</v>
      </c>
      <c r="E90" s="21" t="s">
        <v>1047</v>
      </c>
      <c r="F90" s="61">
        <f>MROUND(SUMIFS(uitkomst_tech[Patiëntaantallen],uitkomst_tech[Digitale zorgtoepassing],Tabel16[[#This Row],[Digitale zorgtoepassing]],uitkomst_tech[Uitgangssituatie/effect beleid],"Uitgangssituatie",uitkomst_tech[Jaar],"2028"),10000)</f>
        <v>190000</v>
      </c>
    </row>
    <row r="91" spans="1:6" x14ac:dyDescent="0.5">
      <c r="A91" t="str">
        <f>INDEX(Technologieën[Veld],MATCH(Tabel16[[#This Row],[Digitale zorgtoepassing]],Technologieën[Digitale zorgtoepassing],0))</f>
        <v>Digitale hulpmiddelen - Verpleging</v>
      </c>
      <c r="B91" t="s">
        <v>58</v>
      </c>
      <c r="C91" s="21">
        <f>(INDEX(Uitkomsten_per_tech[Gemiddelde totale jaarlijkse arbeidsbesparing (€)],MATCH(B91,Uitkomsten_per_tech[Digitale zorgtoepassing],0))+INDEX(Uitkomsten_per_tech[Gemiddelde overige jaarlijkse kostenbesparing (€)],MATCH(B91,Uitkomsten_per_tech[Digitale zorgtoepassing],0)))/1000000</f>
        <v>29.931084139646593</v>
      </c>
      <c r="D91" s="21">
        <f>(SUMIFS(uitkomst_tech[Arbeidsbesparing (€)],uitkomst_tech[Digitale zorgtoepassing],B91,uitkomst_tech[Uitgangssituatie/effect beleid],"Effect beleid",uitkomst_tech[Jaar],"2028")+SUMIFS(uitkomst_tech[Overige besparingen (€)],uitkomst_tech[Digitale zorgtoepassing],B91,uitkomst_tech[Uitgangssituatie/effect beleid],"Effect beleid",uitkomst_tech[Jaar],"2028"))/1000000</f>
        <v>27.214734446318218</v>
      </c>
      <c r="E91" s="21" t="s">
        <v>1045</v>
      </c>
      <c r="F91" s="61">
        <f>MROUND(SUMIFS(uitkomst_tech[Patiëntaantallen],uitkomst_tech[Digitale zorgtoepassing],Tabel16[[#This Row],[Digitale zorgtoepassing]],uitkomst_tech[Uitgangssituatie/effect beleid],"Uitgangssituatie",uitkomst_tech[Jaar],"2028"),10000)</f>
        <v>140000</v>
      </c>
    </row>
    <row r="92" spans="1:6" x14ac:dyDescent="0.5">
      <c r="A92" t="str">
        <f>INDEX(Technologieën[Veld],MATCH(Tabel16[[#This Row],[Digitale zorgtoepassing]],Technologieën[Digitale zorgtoepassing],0))</f>
        <v>Software - Diagnose</v>
      </c>
      <c r="B92" t="s">
        <v>472</v>
      </c>
      <c r="C92" s="21">
        <f>(INDEX(Uitkomsten_per_tech[Gemiddelde totale jaarlijkse arbeidsbesparing (€)],MATCH(B92,Uitkomsten_per_tech[Digitale zorgtoepassing],0))+INDEX(Uitkomsten_per_tech[Gemiddelde overige jaarlijkse kostenbesparing (€)],MATCH(B92,Uitkomsten_per_tech[Digitale zorgtoepassing],0)))/1000000</f>
        <v>22.801192528735637</v>
      </c>
      <c r="D92" s="21">
        <f>(SUMIFS(uitkomst_tech[Arbeidsbesparing (€)],uitkomst_tech[Digitale zorgtoepassing],B92,uitkomst_tech[Uitgangssituatie/effect beleid],"Effect beleid",uitkomst_tech[Jaar],"2028")+SUMIFS(uitkomst_tech[Overige besparingen (€)],uitkomst_tech[Digitale zorgtoepassing],B92,uitkomst_tech[Uitgangssituatie/effect beleid],"Effect beleid",uitkomst_tech[Jaar],"2028"))/1000000</f>
        <v>2.1880679608658404</v>
      </c>
      <c r="E92" s="21" t="s">
        <v>1049</v>
      </c>
      <c r="F92" s="61">
        <f>MROUND(SUMIFS(uitkomst_tech[Patiëntaantallen],uitkomst_tech[Digitale zorgtoepassing],Tabel16[[#This Row],[Digitale zorgtoepassing]],uitkomst_tech[Uitgangssituatie/effect beleid],"Uitgangssituatie",uitkomst_tech[Jaar],"2028"),10000)</f>
        <v>100000</v>
      </c>
    </row>
    <row r="93" spans="1:6" x14ac:dyDescent="0.5">
      <c r="A93" t="str">
        <f>INDEX(Technologieën[Veld],MATCH(Tabel16[[#This Row],[Digitale zorgtoepassing]],Technologieën[Digitale zorgtoepassing],0))</f>
        <v>Digitale hulpmiddelen - Diagnose</v>
      </c>
      <c r="B93" t="s">
        <v>78</v>
      </c>
      <c r="C93" s="21">
        <f>(INDEX(Uitkomsten_per_tech[Gemiddelde totale jaarlijkse arbeidsbesparing (€)],MATCH(B93,Uitkomsten_per_tech[Digitale zorgtoepassing],0))+INDEX(Uitkomsten_per_tech[Gemiddelde overige jaarlijkse kostenbesparing (€)],MATCH(B93,Uitkomsten_per_tech[Digitale zorgtoepassing],0)))/1000000</f>
        <v>15.453643297573439</v>
      </c>
      <c r="D93" s="21">
        <f>(SUMIFS(uitkomst_tech[Arbeidsbesparing (€)],uitkomst_tech[Digitale zorgtoepassing],B93,uitkomst_tech[Uitgangssituatie/effect beleid],"Effect beleid",uitkomst_tech[Jaar],"2028")+SUMIFS(uitkomst_tech[Overige besparingen (€)],uitkomst_tech[Digitale zorgtoepassing],B93,uitkomst_tech[Uitgangssituatie/effect beleid],"Effect beleid",uitkomst_tech[Jaar],"2028"))/1000000</f>
        <v>11.761579793603007</v>
      </c>
      <c r="E93" s="21" t="s">
        <v>1048</v>
      </c>
      <c r="F93" s="61">
        <f>MROUND(SUMIFS(uitkomst_tech[Patiëntaantallen],uitkomst_tech[Digitale zorgtoepassing],Tabel16[[#This Row],[Digitale zorgtoepassing]],uitkomst_tech[Uitgangssituatie/effect beleid],"Uitgangssituatie",uitkomst_tech[Jaar],"2028"),10000)</f>
        <v>3230000</v>
      </c>
    </row>
    <row r="94" spans="1:6" x14ac:dyDescent="0.5">
      <c r="A94" t="str">
        <f>INDEX(Technologieën[Veld],MATCH(Tabel16[[#This Row],[Digitale zorgtoepassing]],Technologieën[Digitale zorgtoepassing],0))</f>
        <v>Sensoren - Behandeling</v>
      </c>
      <c r="B94" t="s">
        <v>593</v>
      </c>
      <c r="C94" s="21">
        <f>(INDEX(Uitkomsten_per_tech[Gemiddelde totale jaarlijkse arbeidsbesparing (€)],MATCH(B94,Uitkomsten_per_tech[Digitale zorgtoepassing],0))+INDEX(Uitkomsten_per_tech[Gemiddelde overige jaarlijkse kostenbesparing (€)],MATCH(B94,Uitkomsten_per_tech[Digitale zorgtoepassing],0)))/1000000</f>
        <v>14.992814399999999</v>
      </c>
      <c r="D94" s="21">
        <f>(SUMIFS(uitkomst_tech[Arbeidsbesparing (€)],uitkomst_tech[Digitale zorgtoepassing],B94,uitkomst_tech[Uitgangssituatie/effect beleid],"Effect beleid",uitkomst_tech[Jaar],"2028")+SUMIFS(uitkomst_tech[Overige besparingen (€)],uitkomst_tech[Digitale zorgtoepassing],B94,uitkomst_tech[Uitgangssituatie/effect beleid],"Effect beleid",uitkomst_tech[Jaar],"2028"))/1000000</f>
        <v>10.440184950658514</v>
      </c>
      <c r="E94" s="21" t="s">
        <v>1045</v>
      </c>
      <c r="F94" s="61">
        <f>MROUND(SUMIFS(uitkomst_tech[Patiëntaantallen],uitkomst_tech[Digitale zorgtoepassing],Tabel16[[#This Row],[Digitale zorgtoepassing]],uitkomst_tech[Uitgangssituatie/effect beleid],"Uitgangssituatie",uitkomst_tech[Jaar],"2028"),10000)</f>
        <v>10000</v>
      </c>
    </row>
    <row r="95" spans="1:6" x14ac:dyDescent="0.5">
      <c r="A95" t="str">
        <f>INDEX(Technologieën[Veld],MATCH(Tabel16[[#This Row],[Digitale zorgtoepassing]],Technologieën[Digitale zorgtoepassing],0))</f>
        <v>Software - Behandeling</v>
      </c>
      <c r="B95" t="s">
        <v>578</v>
      </c>
      <c r="C95" s="21">
        <f>(INDEX(Uitkomsten_per_tech[Gemiddelde totale jaarlijkse arbeidsbesparing (€)],MATCH(B95,Uitkomsten_per_tech[Digitale zorgtoepassing],0))+INDEX(Uitkomsten_per_tech[Gemiddelde overige jaarlijkse kostenbesparing (€)],MATCH(B95,Uitkomsten_per_tech[Digitale zorgtoepassing],0)))/1000000</f>
        <v>13.88118227586207</v>
      </c>
      <c r="D95" s="21">
        <f>(SUMIFS(uitkomst_tech[Arbeidsbesparing (€)],uitkomst_tech[Digitale zorgtoepassing],B95,uitkomst_tech[Uitgangssituatie/effect beleid],"Effect beleid",uitkomst_tech[Jaar],"2028")+SUMIFS(uitkomst_tech[Overige besparingen (€)],uitkomst_tech[Digitale zorgtoepassing],B95,uitkomst_tech[Uitgangssituatie/effect beleid],"Effect beleid",uitkomst_tech[Jaar],"2028"))/1000000</f>
        <v>8.6832091327281908</v>
      </c>
      <c r="E95" s="21" t="s">
        <v>1045</v>
      </c>
      <c r="F95" s="61">
        <f>MROUND(SUMIFS(uitkomst_tech[Patiëntaantallen],uitkomst_tech[Digitale zorgtoepassing],Tabel16[[#This Row],[Digitale zorgtoepassing]],uitkomst_tech[Uitgangssituatie/effect beleid],"Uitgangssituatie",uitkomst_tech[Jaar],"2028"),10000)</f>
        <v>20000</v>
      </c>
    </row>
    <row r="96" spans="1:6" x14ac:dyDescent="0.5">
      <c r="A96" t="str">
        <f>INDEX(Technologieën[Veld],MATCH(Tabel16[[#This Row],[Digitale zorgtoepassing]],Technologieën[Digitale zorgtoepassing],0))</f>
        <v>Software - Diagnose</v>
      </c>
      <c r="B96" t="s">
        <v>139</v>
      </c>
      <c r="C96" s="21">
        <f>(INDEX(Uitkomsten_per_tech[Gemiddelde totale jaarlijkse arbeidsbesparing (€)],MATCH(B96,Uitkomsten_per_tech[Digitale zorgtoepassing],0))+INDEX(Uitkomsten_per_tech[Gemiddelde overige jaarlijkse kostenbesparing (€)],MATCH(B96,Uitkomsten_per_tech[Digitale zorgtoepassing],0)))/1000000</f>
        <v>11.761767154022991</v>
      </c>
      <c r="D96" s="21">
        <f>(SUMIFS(uitkomst_tech[Arbeidsbesparing (€)],uitkomst_tech[Digitale zorgtoepassing],B96,uitkomst_tech[Uitgangssituatie/effect beleid],"Effect beleid",uitkomst_tech[Jaar],"2028")+SUMIFS(uitkomst_tech[Overige besparingen (€)],uitkomst_tech[Digitale zorgtoepassing],B96,uitkomst_tech[Uitgangssituatie/effect beleid],"Effect beleid",uitkomst_tech[Jaar],"2028"))/1000000</f>
        <v>11.625980232236707</v>
      </c>
      <c r="E96" s="21" t="s">
        <v>1051</v>
      </c>
      <c r="F96" s="61">
        <v>2800000</v>
      </c>
    </row>
    <row r="97" spans="1:6" x14ac:dyDescent="0.5">
      <c r="A97" t="str">
        <f>INDEX(Technologieën[Veld],MATCH(Tabel16[[#This Row],[Digitale zorgtoepassing]],Technologieën[Digitale zorgtoepassing],0))</f>
        <v>Software - Diagnose</v>
      </c>
      <c r="B97" t="s">
        <v>474</v>
      </c>
      <c r="C97" s="21">
        <f>(INDEX(Uitkomsten_per_tech[Gemiddelde totale jaarlijkse arbeidsbesparing (€)],MATCH(B97,Uitkomsten_per_tech[Digitale zorgtoepassing],0))+INDEX(Uitkomsten_per_tech[Gemiddelde overige jaarlijkse kostenbesparing (€)],MATCH(B97,Uitkomsten_per_tech[Digitale zorgtoepassing],0)))/1000000</f>
        <v>8.045787506368967</v>
      </c>
      <c r="D97" s="21">
        <f>(SUMIFS(uitkomst_tech[Arbeidsbesparing (€)],uitkomst_tech[Digitale zorgtoepassing],B97,uitkomst_tech[Uitgangssituatie/effect beleid],"Effect beleid",uitkomst_tech[Jaar],"2028")+SUMIFS(uitkomst_tech[Overige besparingen (€)],uitkomst_tech[Digitale zorgtoepassing],B97,uitkomst_tech[Uitgangssituatie/effect beleid],"Effect beleid",uitkomst_tech[Jaar],"2028"))/1000000</f>
        <v>7.5476567516236157</v>
      </c>
      <c r="E97" s="21" t="s">
        <v>1050</v>
      </c>
      <c r="F97" s="61">
        <f>MROUND(SUMIFS(uitkomst_tech[Patiëntaantallen],uitkomst_tech[Digitale zorgtoepassing],Tabel16[[#This Row],[Digitale zorgtoepassing]],uitkomst_tech[Uitgangssituatie/effect beleid],"Uitgangssituatie",uitkomst_tech[Jaar],"2028"),10000)</f>
        <v>860000</v>
      </c>
    </row>
    <row r="98" spans="1:6" x14ac:dyDescent="0.5">
      <c r="A98" t="str">
        <f>INDEX(Technologieën[Veld],MATCH(Tabel16[[#This Row],[Digitale zorgtoepassing]],Technologieën[Digitale zorgtoepassing],0))</f>
        <v>Software - Diagnose</v>
      </c>
      <c r="B98" t="s">
        <v>473</v>
      </c>
      <c r="C98" s="21">
        <f>(INDEX(Uitkomsten_per_tech[Gemiddelde totale jaarlijkse arbeidsbesparing (€)],MATCH(B98,Uitkomsten_per_tech[Digitale zorgtoepassing],0))+INDEX(Uitkomsten_per_tech[Gemiddelde overige jaarlijkse kostenbesparing (€)],MATCH(B98,Uitkomsten_per_tech[Digitale zorgtoepassing],0)))/1000000</f>
        <v>7.8597047151502251</v>
      </c>
      <c r="D98" s="21">
        <f>(SUMIFS(uitkomst_tech[Arbeidsbesparing (€)],uitkomst_tech[Digitale zorgtoepassing],B98,uitkomst_tech[Uitgangssituatie/effect beleid],"Effect beleid",uitkomst_tech[Jaar],"2028")+SUMIFS(uitkomst_tech[Overige besparingen (€)],uitkomst_tech[Digitale zorgtoepassing],B98,uitkomst_tech[Uitgangssituatie/effect beleid],"Effect beleid",uitkomst_tech[Jaar],"2028"))/1000000</f>
        <v>2.6180060544117514</v>
      </c>
      <c r="E98" s="21" t="s">
        <v>1049</v>
      </c>
      <c r="F98" s="61">
        <f>MROUND(SUMIFS(uitkomst_tech[Patiëntaantallen],uitkomst_tech[Digitale zorgtoepassing],Tabel16[[#This Row],[Digitale zorgtoepassing]],uitkomst_tech[Uitgangssituatie/effect beleid],"Uitgangssituatie",uitkomst_tech[Jaar],"2028"),10000)</f>
        <v>220000</v>
      </c>
    </row>
    <row r="99" spans="1:6" x14ac:dyDescent="0.5">
      <c r="A99" t="str">
        <f>INDEX(Technologieën[Veld],MATCH(Tabel16[[#This Row],[Digitale zorgtoepassing]],Technologieën[Digitale zorgtoepassing],0))</f>
        <v>Software - Diagnose</v>
      </c>
      <c r="B99" t="s">
        <v>76</v>
      </c>
      <c r="C99" s="21">
        <f>(INDEX(Uitkomsten_per_tech[Gemiddelde totale jaarlijkse arbeidsbesparing (€)],MATCH(B99,Uitkomsten_per_tech[Digitale zorgtoepassing],0))+INDEX(Uitkomsten_per_tech[Gemiddelde overige jaarlijkse kostenbesparing (€)],MATCH(B99,Uitkomsten_per_tech[Digitale zorgtoepassing],0)))/1000000</f>
        <v>7.3267922528735658</v>
      </c>
      <c r="D99" s="21">
        <f>(SUMIFS(uitkomst_tech[Arbeidsbesparing (€)],uitkomst_tech[Digitale zorgtoepassing],B99,uitkomst_tech[Uitgangssituatie/effect beleid],"Effect beleid",uitkomst_tech[Jaar],"2028")+SUMIFS(uitkomst_tech[Overige besparingen (€)],uitkomst_tech[Digitale zorgtoepassing],B99,uitkomst_tech[Uitgangssituatie/effect beleid],"Effect beleid",uitkomst_tech[Jaar],"2028"))/1000000</f>
        <v>6.6618604449805279</v>
      </c>
      <c r="E99" s="21" t="s">
        <v>1049</v>
      </c>
      <c r="F99" s="61">
        <f>MROUND(SUMIFS(uitkomst_tech[Patiëntaantallen],uitkomst_tech[Digitale zorgtoepassing],Tabel16[[#This Row],[Digitale zorgtoepassing]],uitkomst_tech[Uitgangssituatie/effect beleid],"Uitgangssituatie",uitkomst_tech[Jaar],"2028"),10000)</f>
        <v>110000</v>
      </c>
    </row>
    <row r="100" spans="1:6" x14ac:dyDescent="0.5">
      <c r="A100" t="str">
        <f>INDEX(Technologieën[Veld],MATCH(Tabel16[[#This Row],[Digitale zorgtoepassing]],Technologieën[Digitale zorgtoepassing],0))</f>
        <v>Digitale hulpmiddelen - Verpleging</v>
      </c>
      <c r="B100" t="s">
        <v>105</v>
      </c>
      <c r="C100" s="21">
        <f>(INDEX(Uitkomsten_per_tech[Gemiddelde totale jaarlijkse arbeidsbesparing (€)],MATCH(B100,Uitkomsten_per_tech[Digitale zorgtoepassing],0))+INDEX(Uitkomsten_per_tech[Gemiddelde overige jaarlijkse kostenbesparing (€)],MATCH(B100,Uitkomsten_per_tech[Digitale zorgtoepassing],0)))/1000000</f>
        <v>5.3120425807531042</v>
      </c>
      <c r="D100" s="21">
        <f>(SUMIFS(uitkomst_tech[Arbeidsbesparing (€)],uitkomst_tech[Digitale zorgtoepassing],B100,uitkomst_tech[Uitgangssituatie/effect beleid],"Effect beleid",uitkomst_tech[Jaar],"2028")+SUMIFS(uitkomst_tech[Overige besparingen (€)],uitkomst_tech[Digitale zorgtoepassing],B100,uitkomst_tech[Uitgangssituatie/effect beleid],"Effect beleid",uitkomst_tech[Jaar],"2028"))/1000000</f>
        <v>0.32523410770973771</v>
      </c>
      <c r="E100" s="21" t="s">
        <v>846</v>
      </c>
      <c r="F100" s="61"/>
    </row>
    <row r="101" spans="1:6" x14ac:dyDescent="0.5">
      <c r="A101" t="str">
        <f>INDEX(Technologieën[Veld],MATCH(Tabel16[[#This Row],[Digitale zorgtoepassing]],Technologieën[Digitale zorgtoepassing],0))</f>
        <v>Software - Diagnose</v>
      </c>
      <c r="B101" t="s">
        <v>66</v>
      </c>
      <c r="C101" s="21">
        <f>(INDEX(Uitkomsten_per_tech[Gemiddelde totale jaarlijkse arbeidsbesparing (€)],MATCH(B101,Uitkomsten_per_tech[Digitale zorgtoepassing],0))+INDEX(Uitkomsten_per_tech[Gemiddelde overige jaarlijkse kostenbesparing (€)],MATCH(B101,Uitkomsten_per_tech[Digitale zorgtoepassing],0)))/1000000</f>
        <v>4.7718990893947568</v>
      </c>
      <c r="D101" s="21">
        <f>(SUMIFS(uitkomst_tech[Arbeidsbesparing (€)],uitkomst_tech[Digitale zorgtoepassing],B101,uitkomst_tech[Uitgangssituatie/effect beleid],"Effect beleid",uitkomst_tech[Jaar],"2028")+SUMIFS(uitkomst_tech[Overige besparingen (€)],uitkomst_tech[Digitale zorgtoepassing],B101,uitkomst_tech[Uitgangssituatie/effect beleid],"Effect beleid",uitkomst_tech[Jaar],"2028"))/1000000</f>
        <v>0.40354508798332989</v>
      </c>
      <c r="E101" s="21" t="s">
        <v>1045</v>
      </c>
      <c r="F101" s="61">
        <f>MROUND(SUMIFS(uitkomst_tech[Patiëntaantallen],uitkomst_tech[Digitale zorgtoepassing],Tabel16[[#This Row],[Digitale zorgtoepassing]],uitkomst_tech[Uitgangssituatie/effect beleid],"Uitgangssituatie",uitkomst_tech[Jaar],"2028"),10000)</f>
        <v>10000</v>
      </c>
    </row>
    <row r="102" spans="1:6" x14ac:dyDescent="0.5">
      <c r="A102" t="str">
        <f>INDEX(Technologieën[Veld],MATCH(Tabel16[[#This Row],[Digitale zorgtoepassing]],Technologieën[Digitale zorgtoepassing],0))</f>
        <v>Software - Diagnose</v>
      </c>
      <c r="B102" t="s">
        <v>475</v>
      </c>
      <c r="C102" s="21">
        <f>(INDEX(Uitkomsten_per_tech[Gemiddelde totale jaarlijkse arbeidsbesparing (€)],MATCH(B102,Uitkomsten_per_tech[Digitale zorgtoepassing],0))+INDEX(Uitkomsten_per_tech[Gemiddelde overige jaarlijkse kostenbesparing (€)],MATCH(B102,Uitkomsten_per_tech[Digitale zorgtoepassing],0)))/1000000</f>
        <v>1.6974221104725415</v>
      </c>
      <c r="D102" s="21">
        <f>(SUMIFS(uitkomst_tech[Arbeidsbesparing (€)],uitkomst_tech[Digitale zorgtoepassing],B102,uitkomst_tech[Uitgangssituatie/effect beleid],"Effect beleid",uitkomst_tech[Jaar],"2028")+SUMIFS(uitkomst_tech[Overige besparingen (€)],uitkomst_tech[Digitale zorgtoepassing],B102,uitkomst_tech[Uitgangssituatie/effect beleid],"Effect beleid",uitkomst_tech[Jaar],"2028"))/1000000</f>
        <v>0.17379383942848445</v>
      </c>
      <c r="E102" s="21" t="s">
        <v>1049</v>
      </c>
      <c r="F102" s="61">
        <f>MROUND(SUMIFS(uitkomst_tech[Patiëntaantallen],uitkomst_tech[Digitale zorgtoepassing],Tabel16[[#This Row],[Digitale zorgtoepassing]],uitkomst_tech[Uitgangssituatie/effect beleid],"Uitgangssituatie",uitkomst_tech[Jaar],"2028"),10000)</f>
        <v>690000</v>
      </c>
    </row>
    <row r="103" spans="1:6" x14ac:dyDescent="0.5">
      <c r="A103" t="str">
        <f>INDEX(Technologieën[Veld],MATCH(Tabel16[[#This Row],[Digitale zorgtoepassing]],Technologieën[Digitale zorgtoepassing],0))</f>
        <v>Software - Behandeling</v>
      </c>
      <c r="B103" t="s">
        <v>716</v>
      </c>
      <c r="C103" s="21">
        <f>(INDEX(Uitkomsten_per_tech[Gemiddelde totale jaarlijkse arbeidsbesparing (€)],MATCH(B103,Uitkomsten_per_tech[Digitale zorgtoepassing],0))+INDEX(Uitkomsten_per_tech[Gemiddelde overige jaarlijkse kostenbesparing (€)],MATCH(B103,Uitkomsten_per_tech[Digitale zorgtoepassing],0)))/1000000</f>
        <v>1.6275381200000003</v>
      </c>
      <c r="D103" s="21">
        <f>(SUMIFS(uitkomst_tech[Arbeidsbesparing (€)],uitkomst_tech[Digitale zorgtoepassing],B103,uitkomst_tech[Uitgangssituatie/effect beleid],"Effect beleid",uitkomst_tech[Jaar],"2028")+SUMIFS(uitkomst_tech[Overige besparingen (€)],uitkomst_tech[Digitale zorgtoepassing],B103,uitkomst_tech[Uitgangssituatie/effect beleid],"Effect beleid",uitkomst_tech[Jaar],"2028"))/1000000</f>
        <v>0.13763598129962273</v>
      </c>
      <c r="E103" s="21" t="s">
        <v>684</v>
      </c>
      <c r="F103" s="61">
        <f>MROUND(SUMIFS(uitkomst_tech[Patiëntaantallen],uitkomst_tech[Digitale zorgtoepassing],Tabel16[[#This Row],[Digitale zorgtoepassing]],uitkomst_tech[Uitgangssituatie/effect beleid],"Uitgangssituatie",uitkomst_tech[Jaar],"2028"),10000)</f>
        <v>10000</v>
      </c>
    </row>
    <row r="104" spans="1:6" x14ac:dyDescent="0.5">
      <c r="A104" t="str">
        <f>INDEX(Technologieën[Veld],MATCH(Tabel16[[#This Row],[Digitale zorgtoepassing]],Technologieën[Digitale zorgtoepassing],0))</f>
        <v>Software - Diagnose</v>
      </c>
      <c r="B104" t="s">
        <v>56</v>
      </c>
      <c r="C104" s="21">
        <f>(INDEX(Uitkomsten_per_tech[Gemiddelde totale jaarlijkse arbeidsbesparing (€)],MATCH(B104,Uitkomsten_per_tech[Digitale zorgtoepassing],0))+INDEX(Uitkomsten_per_tech[Gemiddelde overige jaarlijkse kostenbesparing (€)],MATCH(B104,Uitkomsten_per_tech[Digitale zorgtoepassing],0)))/1000000</f>
        <v>1.1423563218390806</v>
      </c>
      <c r="D104" s="21">
        <f>(SUMIFS(uitkomst_tech[Arbeidsbesparing (€)],uitkomst_tech[Digitale zorgtoepassing],B104,uitkomst_tech[Uitgangssituatie/effect beleid],"Effect beleid",uitkomst_tech[Jaar],"2028")+SUMIFS(uitkomst_tech[Overige besparingen (€)],uitkomst_tech[Digitale zorgtoepassing],B104,uitkomst_tech[Uitgangssituatie/effect beleid],"Effect beleid",uitkomst_tech[Jaar],"2028"))/1000000</f>
        <v>0.86943349042791207</v>
      </c>
      <c r="E104" s="21" t="s">
        <v>1049</v>
      </c>
      <c r="F104" s="61">
        <f>MROUND(SUMIFS(uitkomst_tech[Patiëntaantallen],uitkomst_tech[Digitale zorgtoepassing],Tabel16[[#This Row],[Digitale zorgtoepassing]],uitkomst_tech[Uitgangssituatie/effect beleid],"Uitgangssituatie",uitkomst_tech[Jaar],"2028"),10000)</f>
        <v>760000</v>
      </c>
    </row>
    <row r="105" spans="1:6" x14ac:dyDescent="0.5">
      <c r="A105" t="str">
        <f>INDEX(Technologieën[Veld],MATCH(Tabel16[[#This Row],[Digitale zorgtoepassing]],Technologieën[Digitale zorgtoepassing],0))</f>
        <v>Software - Diagnose</v>
      </c>
      <c r="B105" t="s">
        <v>725</v>
      </c>
      <c r="C105" s="21">
        <f>(INDEX(Uitkomsten_per_tech[Gemiddelde totale jaarlijkse arbeidsbesparing (€)],MATCH(B105,Uitkomsten_per_tech[Digitale zorgtoepassing],0))+INDEX(Uitkomsten_per_tech[Gemiddelde overige jaarlijkse kostenbesparing (€)],MATCH(B105,Uitkomsten_per_tech[Digitale zorgtoepassing],0)))/1000000</f>
        <v>0.9155190177492819</v>
      </c>
      <c r="D105" s="21">
        <f>(SUMIFS(uitkomst_tech[Arbeidsbesparing (€)],uitkomst_tech[Digitale zorgtoepassing],B105,uitkomst_tech[Uitgangssituatie/effect beleid],"Effect beleid",uitkomst_tech[Jaar],"2028")+SUMIFS(uitkomst_tech[Overige besparingen (€)],uitkomst_tech[Digitale zorgtoepassing],B105,uitkomst_tech[Uitgangssituatie/effect beleid],"Effect beleid",uitkomst_tech[Jaar],"2028"))/1000000</f>
        <v>0.57269207608710015</v>
      </c>
      <c r="E105" s="21" t="s">
        <v>1052</v>
      </c>
      <c r="F105" s="61">
        <f>MROUND(SUMIFS(uitkomst_tech[Patiëntaantallen],uitkomst_tech[Digitale zorgtoepassing],Tabel16[[#This Row],[Digitale zorgtoepassing]],uitkomst_tech[Uitgangssituatie/effect beleid],"Uitgangssituatie",uitkomst_tech[Jaar],"2028"),10000)</f>
        <v>1240000</v>
      </c>
    </row>
    <row r="106" spans="1:6" x14ac:dyDescent="0.5">
      <c r="A106" t="str">
        <f>INDEX(Technologieën[Veld],MATCH(Tabel16[[#This Row],[Digitale zorgtoepassing]],Technologieën[Digitale zorgtoepassing],0))</f>
        <v>Software - Diagnose</v>
      </c>
      <c r="B106" t="s">
        <v>720</v>
      </c>
      <c r="C106" s="21">
        <f>(INDEX(Uitkomsten_per_tech[Gemiddelde totale jaarlijkse arbeidsbesparing (€)],MATCH(B106,Uitkomsten_per_tech[Digitale zorgtoepassing],0))+INDEX(Uitkomsten_per_tech[Gemiddelde overige jaarlijkse kostenbesparing (€)],MATCH(B106,Uitkomsten_per_tech[Digitale zorgtoepassing],0)))/1000000</f>
        <v>0.62360830519636024</v>
      </c>
      <c r="D106" s="21">
        <f>(SUMIFS(uitkomst_tech[Arbeidsbesparing (€)],uitkomst_tech[Digitale zorgtoepassing],B106,uitkomst_tech[Uitgangssituatie/effect beleid],"Effect beleid",uitkomst_tech[Jaar],"2028")+SUMIFS(uitkomst_tech[Overige besparingen (€)],uitkomst_tech[Digitale zorgtoepassing],B106,uitkomst_tech[Uitgangssituatie/effect beleid],"Effect beleid",uitkomst_tech[Jaar],"2028"))/1000000</f>
        <v>0.39009078789651569</v>
      </c>
      <c r="E106" s="21" t="s">
        <v>1052</v>
      </c>
      <c r="F106" s="61">
        <f>MROUND(SUMIFS(uitkomst_tech[Patiëntaantallen],uitkomst_tech[Digitale zorgtoepassing],Tabel16[[#This Row],[Digitale zorgtoepassing]],uitkomst_tech[Uitgangssituatie/effect beleid],"Uitgangssituatie",uitkomst_tech[Jaar],"2028"),10000)</f>
        <v>900000</v>
      </c>
    </row>
  </sheetData>
  <sheetProtection algorithmName="SHA-512" hashValue="lDE9Awyp3t1oJUdSv64WedCeqiVeTXGORD8bNcGWLoxiDZUtiRh9xDIMebaX5TftFzEQ7sezyUrNclTVU5KrFw==" saltValue="GOY4P1qnPc88iVLpJQx2TA==" spinCount="100000" sheet="1" objects="1" scenarios="1" selectLockedCells="1" selectUnlockedCells="1"/>
  <mergeCells count="11">
    <mergeCell ref="A1:C2"/>
    <mergeCell ref="A60:F60"/>
    <mergeCell ref="A40:XFD40"/>
    <mergeCell ref="A53:XFB53"/>
    <mergeCell ref="A42:A45"/>
    <mergeCell ref="A55:A58"/>
    <mergeCell ref="A4:XFB4"/>
    <mergeCell ref="A24:XFB24"/>
    <mergeCell ref="A26:A29"/>
    <mergeCell ref="F6:H6"/>
    <mergeCell ref="A6:D6"/>
  </mergeCells>
  <phoneticPr fontId="4"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4C044-D7B4-46EC-8D28-C88B19997F44}">
  <sheetPr codeName="Blad5">
    <tabColor theme="5"/>
  </sheetPr>
  <dimension ref="A1:L27"/>
  <sheetViews>
    <sheetView workbookViewId="0"/>
  </sheetViews>
  <sheetFormatPr defaultRowHeight="17" x14ac:dyDescent="0.5"/>
  <cols>
    <col min="1" max="1" width="27.69140625" bestFit="1" customWidth="1"/>
    <col min="2" max="2" width="30" bestFit="1" customWidth="1"/>
    <col min="3" max="3" width="50.69140625" customWidth="1"/>
    <col min="5" max="5" width="15.53515625" bestFit="1" customWidth="1"/>
    <col min="11" max="11" width="11" customWidth="1"/>
  </cols>
  <sheetData>
    <row r="1" spans="1:5" s="11" customFormat="1" x14ac:dyDescent="0.5">
      <c r="A1" s="27" t="s">
        <v>819</v>
      </c>
    </row>
    <row r="2" spans="1:5" s="164" customFormat="1" x14ac:dyDescent="0.5">
      <c r="A2" s="198" t="s">
        <v>820</v>
      </c>
      <c r="B2" s="198" t="s">
        <v>821</v>
      </c>
      <c r="C2" s="198" t="s">
        <v>822</v>
      </c>
      <c r="D2" s="198" t="s">
        <v>413</v>
      </c>
      <c r="E2" s="198" t="s">
        <v>823</v>
      </c>
    </row>
    <row r="3" spans="1:5" x14ac:dyDescent="0.5">
      <c r="A3" t="s">
        <v>7</v>
      </c>
      <c r="B3" s="36">
        <v>2023</v>
      </c>
      <c r="C3" t="s">
        <v>763</v>
      </c>
      <c r="D3">
        <v>0</v>
      </c>
      <c r="E3" t="s">
        <v>391</v>
      </c>
    </row>
    <row r="4" spans="1:5" ht="51" x14ac:dyDescent="0.5">
      <c r="A4" t="s">
        <v>8</v>
      </c>
      <c r="B4" s="36">
        <v>2024</v>
      </c>
      <c r="C4" s="10" t="s">
        <v>814</v>
      </c>
      <c r="D4">
        <v>1</v>
      </c>
      <c r="E4" t="s">
        <v>390</v>
      </c>
    </row>
    <row r="5" spans="1:5" x14ac:dyDescent="0.5">
      <c r="A5" t="s">
        <v>9</v>
      </c>
      <c r="B5" s="36">
        <v>2025</v>
      </c>
      <c r="C5" t="s">
        <v>815</v>
      </c>
      <c r="D5">
        <v>2</v>
      </c>
    </row>
    <row r="6" spans="1:5" x14ac:dyDescent="0.5">
      <c r="A6" t="s">
        <v>10</v>
      </c>
      <c r="B6" s="36">
        <v>2026</v>
      </c>
      <c r="C6" t="s">
        <v>816</v>
      </c>
      <c r="D6">
        <v>3</v>
      </c>
    </row>
    <row r="7" spans="1:5" x14ac:dyDescent="0.5">
      <c r="A7" t="s">
        <v>12</v>
      </c>
      <c r="B7" s="36">
        <v>2027</v>
      </c>
      <c r="C7" t="s">
        <v>817</v>
      </c>
      <c r="D7">
        <v>4</v>
      </c>
    </row>
    <row r="8" spans="1:5" x14ac:dyDescent="0.5">
      <c r="A8" t="s">
        <v>11</v>
      </c>
      <c r="B8" s="36">
        <v>2028</v>
      </c>
      <c r="C8" t="s">
        <v>766</v>
      </c>
      <c r="D8">
        <v>5</v>
      </c>
    </row>
    <row r="9" spans="1:5" x14ac:dyDescent="0.5">
      <c r="B9" s="36">
        <v>2029</v>
      </c>
    </row>
    <row r="10" spans="1:5" x14ac:dyDescent="0.5">
      <c r="B10" s="36">
        <v>2030</v>
      </c>
    </row>
    <row r="11" spans="1:5" x14ac:dyDescent="0.5">
      <c r="B11" s="36">
        <v>2031</v>
      </c>
    </row>
    <row r="12" spans="1:5" x14ac:dyDescent="0.5">
      <c r="B12" s="36">
        <v>2032</v>
      </c>
    </row>
    <row r="13" spans="1:5" x14ac:dyDescent="0.5">
      <c r="B13" s="36">
        <v>2033</v>
      </c>
    </row>
    <row r="15" spans="1:5" s="11" customFormat="1" x14ac:dyDescent="0.5">
      <c r="A15" s="27" t="s">
        <v>818</v>
      </c>
    </row>
    <row r="17" spans="1:12" x14ac:dyDescent="0.5">
      <c r="A17" s="8" t="s">
        <v>828</v>
      </c>
      <c r="B17" s="8" t="s">
        <v>831</v>
      </c>
      <c r="C17" s="502" t="s">
        <v>832</v>
      </c>
      <c r="D17" s="502"/>
      <c r="E17" s="502"/>
      <c r="F17" s="502"/>
      <c r="G17" s="502"/>
      <c r="H17" s="9"/>
      <c r="I17" s="9"/>
      <c r="J17" s="9"/>
      <c r="K17" s="9"/>
    </row>
    <row r="18" spans="1:12" x14ac:dyDescent="0.5">
      <c r="A18" s="93" t="s">
        <v>829</v>
      </c>
      <c r="B18" s="93" t="s">
        <v>833</v>
      </c>
      <c r="C18" s="501" t="str">
        <f>CONCATENATE("Opbrengsten in ",'A2 - Resultaten per veld'!A8," voor het veld ", 'A2 - Resultaten per veld'!A5, " [miljoen euro]")</f>
        <v>Opbrengsten in 2028 voor het veld Digitale hulpmiddelen - Verpleging [miljoen euro]</v>
      </c>
      <c r="D18" s="501"/>
      <c r="E18" s="501"/>
      <c r="F18" s="501"/>
      <c r="G18" s="501"/>
      <c r="H18" s="501"/>
      <c r="I18" s="501"/>
      <c r="J18" s="501"/>
      <c r="K18" s="501"/>
      <c r="L18" s="501"/>
    </row>
    <row r="19" spans="1:12" x14ac:dyDescent="0.5">
      <c r="A19" t="s">
        <v>829</v>
      </c>
      <c r="B19" t="s">
        <v>834</v>
      </c>
      <c r="C19" t="str">
        <f>CONCATENATE("Jaarlijkse opbrengsten, kosten en investeringen voor het veld ",'A2 - Resultaten per veld'!$A$5," [miljoen euro]")</f>
        <v>Jaarlijkse opbrengsten, kosten en investeringen voor het veld Digitale hulpmiddelen - Verpleging [miljoen euro]</v>
      </c>
      <c r="L19" s="93"/>
    </row>
    <row r="20" spans="1:12" x14ac:dyDescent="0.5">
      <c r="A20" s="93" t="s">
        <v>830</v>
      </c>
      <c r="B20" s="93" t="s">
        <v>826</v>
      </c>
      <c r="C20" s="501" t="str">
        <f>CONCATENATE("Mogelijke opbrengsten digitale zorg ",'A1 Algemene resultaten'!B49," per veld [miljoen euro]")</f>
        <v>Mogelijke opbrengsten digitale zorg 2028 per veld [miljoen euro]</v>
      </c>
      <c r="D20" s="501"/>
      <c r="E20" s="501"/>
      <c r="F20" s="501"/>
      <c r="G20" s="501"/>
      <c r="H20" s="501"/>
      <c r="I20" s="501"/>
      <c r="J20" s="501"/>
      <c r="K20" s="501"/>
      <c r="L20" s="501"/>
    </row>
    <row r="21" spans="1:12" x14ac:dyDescent="0.5">
      <c r="A21" s="93" t="s">
        <v>830</v>
      </c>
      <c r="B21" s="93" t="s">
        <v>827</v>
      </c>
      <c r="C21" s="501" t="str">
        <f>CONCATENATE("Totale opbrengsten digitale/hybride zorg in ",'A1 Algemene resultaten'!B49," [miljoen euro]")</f>
        <v>Totale opbrengsten digitale/hybride zorg in 2028 [miljoen euro]</v>
      </c>
      <c r="D21" s="501"/>
      <c r="E21" s="501"/>
      <c r="F21" s="501"/>
      <c r="G21" s="501"/>
      <c r="H21" s="501"/>
      <c r="I21" s="501"/>
      <c r="J21" s="501"/>
      <c r="K21" s="501"/>
      <c r="L21" s="501"/>
    </row>
    <row r="22" spans="1:12" x14ac:dyDescent="0.5">
      <c r="A22" s="93" t="s">
        <v>830</v>
      </c>
      <c r="B22" s="93" t="s">
        <v>825</v>
      </c>
      <c r="C22" s="501" t="str">
        <f>CONCATENATE("Ruwe schatting ",IF('A1 Algemene resultaten'!B51="Huidig beleid gehaald + 3 nieuwe beleidsmaatregelen","toename","afname")," opbrengsten digitale zorg ", 'A1 Algemene resultaten'!B49, IF('A1 Algemene resultaten'!B51="Huidig beleid gehaald + 3 nieuwe beleidsmaatregelen"," bij het halen extra beleidsmaatregelen", " door niet halen huidige beleidsmaatregelen"), " [miljoen euro]")</f>
        <v>Ruwe schatting afname opbrengsten digitale zorg 2028 door niet halen huidige beleidsmaatregelen [miljoen euro]</v>
      </c>
      <c r="D22" s="501"/>
      <c r="E22" s="501"/>
      <c r="F22" s="501"/>
      <c r="G22" s="501"/>
      <c r="H22" s="501"/>
      <c r="I22" s="501"/>
      <c r="J22" s="501"/>
      <c r="K22" s="501"/>
      <c r="L22" s="501"/>
    </row>
    <row r="23" spans="1:12" x14ac:dyDescent="0.5">
      <c r="A23" s="93" t="s">
        <v>830</v>
      </c>
      <c r="B23" s="93" t="s">
        <v>824</v>
      </c>
      <c r="C23" s="501" t="str">
        <f>CONCATENATE("Ruwe schatting mogelijke opbrengsten digitale zorg ",'A1 Algemene resultaten'!B49, " door behalen ambities gegevensuitwisseling [miljoen euro]")</f>
        <v>Ruwe schatting mogelijke opbrengsten digitale zorg 2028 door behalen ambities gegevensuitwisseling [miljoen euro]</v>
      </c>
      <c r="D23" s="501"/>
      <c r="E23" s="501"/>
      <c r="F23" s="501"/>
      <c r="G23" s="501"/>
      <c r="H23" s="501"/>
      <c r="I23" s="501"/>
      <c r="J23" s="501"/>
      <c r="K23" s="501"/>
      <c r="L23" s="501"/>
    </row>
    <row r="24" spans="1:12" x14ac:dyDescent="0.5">
      <c r="A24" s="93" t="s">
        <v>830</v>
      </c>
      <c r="B24" s="93" t="s">
        <v>448</v>
      </c>
      <c r="C24" s="93" t="str">
        <f>CONCATENATE("Opbrengsten digitale zorgtoepassing in QALY's in ",'A1 Algemene resultaten'!B49," [QALY's]")</f>
        <v>Opbrengsten digitale zorgtoepassing in QALY's in 2028 [QALY's]</v>
      </c>
    </row>
    <row r="27" spans="1:12" x14ac:dyDescent="0.5">
      <c r="B27" s="199"/>
    </row>
  </sheetData>
  <sheetProtection algorithmName="SHA-512" hashValue="HaUK3eE+IfuD0678HmMFgeQBqEQ3WV/l2x862ejIWIvYpM5DbeFfCLUsa9xjb/gV30W8LXzLIQ6MIMYwmx4JUA==" saltValue="7vlx37kezpNJGXvTFwqyhw==" spinCount="100000" sheet="1" objects="1" scenarios="1" selectLockedCells="1"/>
  <mergeCells count="6">
    <mergeCell ref="C23:L23"/>
    <mergeCell ref="C17:G17"/>
    <mergeCell ref="C18:L18"/>
    <mergeCell ref="C20:L20"/>
    <mergeCell ref="C21:L21"/>
    <mergeCell ref="C22:L22"/>
  </mergeCells>
  <phoneticPr fontId="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D7119-8DE1-44DB-A08C-C4FD86D531F5}">
  <sheetPr codeName="Blad7">
    <tabColor theme="9"/>
  </sheetPr>
  <dimension ref="A1:N88"/>
  <sheetViews>
    <sheetView topLeftCell="B1" zoomScale="80" zoomScaleNormal="80" workbookViewId="0">
      <selection activeCell="B5" sqref="B5:B9"/>
    </sheetView>
  </sheetViews>
  <sheetFormatPr defaultColWidth="8.84375" defaultRowHeight="17" x14ac:dyDescent="0.5"/>
  <cols>
    <col min="1" max="1" width="28.23046875" style="93" bestFit="1" customWidth="1"/>
    <col min="2" max="2" width="35.69140625" style="93" bestFit="1" customWidth="1"/>
    <col min="3" max="3" width="36" style="93" bestFit="1" customWidth="1"/>
    <col min="4" max="4" width="22.4609375" style="93" bestFit="1" customWidth="1"/>
    <col min="5" max="5" width="29.765625" style="93" bestFit="1" customWidth="1"/>
    <col min="6" max="6" width="13.3046875" style="93" bestFit="1" customWidth="1"/>
    <col min="7" max="7" width="12.3046875" style="253" bestFit="1" customWidth="1"/>
    <col min="8" max="8" width="12.3046875" style="252" customWidth="1"/>
    <col min="9" max="9" width="11.53515625" style="93" customWidth="1"/>
    <col min="10" max="10" width="18.4609375" style="232" customWidth="1"/>
    <col min="11" max="11" width="16" style="93" customWidth="1"/>
    <col min="12" max="12" width="99.69140625" style="93" customWidth="1"/>
    <col min="13" max="13" width="121.69140625" style="93" customWidth="1"/>
    <col min="14" max="16384" width="8.84375" style="93"/>
  </cols>
  <sheetData>
    <row r="1" spans="1:13" x14ac:dyDescent="0.5">
      <c r="A1" s="476" t="s">
        <v>1032</v>
      </c>
      <c r="B1" s="477"/>
      <c r="C1" s="478"/>
    </row>
    <row r="2" spans="1:13" ht="17.5" thickBot="1" x14ac:dyDescent="0.55000000000000004">
      <c r="A2" s="479"/>
      <c r="B2" s="480"/>
      <c r="C2" s="481"/>
    </row>
    <row r="4" spans="1:13" ht="34" x14ac:dyDescent="0.5">
      <c r="A4" s="4" t="s">
        <v>118</v>
      </c>
      <c r="B4" s="205" t="s">
        <v>119</v>
      </c>
      <c r="C4" s="205" t="s">
        <v>120</v>
      </c>
      <c r="D4" s="272" t="s">
        <v>121</v>
      </c>
      <c r="E4" s="272" t="s">
        <v>122</v>
      </c>
      <c r="G4" s="93"/>
      <c r="H4" s="253"/>
      <c r="I4" s="252"/>
      <c r="J4" s="93"/>
      <c r="K4" s="232"/>
    </row>
    <row r="5" spans="1:13" x14ac:dyDescent="0.5">
      <c r="A5" s="17" t="s">
        <v>123</v>
      </c>
      <c r="B5" s="136">
        <v>0</v>
      </c>
      <c r="C5" s="17" t="s">
        <v>124</v>
      </c>
      <c r="D5" s="358">
        <v>0.01</v>
      </c>
      <c r="E5" s="145">
        <v>0.3</v>
      </c>
      <c r="G5" s="252"/>
      <c r="H5" s="93"/>
      <c r="I5" s="232"/>
      <c r="J5" s="93"/>
      <c r="L5" s="254"/>
      <c r="M5" s="254"/>
    </row>
    <row r="6" spans="1:13" x14ac:dyDescent="0.5">
      <c r="A6" s="17" t="s">
        <v>125</v>
      </c>
      <c r="B6" s="136">
        <v>0.2</v>
      </c>
      <c r="C6" s="17" t="s">
        <v>126</v>
      </c>
      <c r="D6" s="358">
        <v>1.4999999999999999E-2</v>
      </c>
      <c r="E6" s="145">
        <v>0.35</v>
      </c>
      <c r="G6" s="252"/>
      <c r="H6" s="93"/>
      <c r="I6" s="232"/>
      <c r="J6" s="93"/>
      <c r="L6" s="254"/>
      <c r="M6" s="254"/>
    </row>
    <row r="7" spans="1:13" x14ac:dyDescent="0.5">
      <c r="A7" s="17" t="s">
        <v>127</v>
      </c>
      <c r="B7" s="136">
        <v>0.4</v>
      </c>
      <c r="C7" s="17" t="s">
        <v>128</v>
      </c>
      <c r="D7" s="358">
        <v>0.02</v>
      </c>
      <c r="E7" s="145">
        <v>0.4</v>
      </c>
      <c r="G7" s="252"/>
      <c r="H7" s="93"/>
      <c r="I7" s="232"/>
      <c r="J7" s="93"/>
      <c r="L7" s="254"/>
      <c r="M7" s="254"/>
    </row>
    <row r="8" spans="1:13" x14ac:dyDescent="0.5">
      <c r="A8" s="17" t="s">
        <v>129</v>
      </c>
      <c r="B8" s="136">
        <v>0.6</v>
      </c>
      <c r="C8" s="17" t="s">
        <v>130</v>
      </c>
      <c r="D8" s="358">
        <v>2.5000000000000001E-2</v>
      </c>
      <c r="E8" s="145">
        <v>0.45</v>
      </c>
      <c r="G8" s="252"/>
      <c r="H8" s="93"/>
      <c r="I8" s="232"/>
      <c r="J8" s="93"/>
      <c r="L8" s="254"/>
      <c r="M8" s="254"/>
    </row>
    <row r="9" spans="1:13" x14ac:dyDescent="0.5">
      <c r="A9" s="17" t="s">
        <v>131</v>
      </c>
      <c r="B9" s="136">
        <v>0.8</v>
      </c>
      <c r="C9" s="17" t="s">
        <v>132</v>
      </c>
      <c r="D9" s="358">
        <v>0.03</v>
      </c>
      <c r="E9" s="145">
        <v>0.5</v>
      </c>
      <c r="G9" s="93"/>
      <c r="H9" s="253"/>
      <c r="I9" s="252"/>
      <c r="J9" s="93"/>
      <c r="K9" s="232"/>
      <c r="L9" s="254"/>
      <c r="M9" s="254"/>
    </row>
    <row r="10" spans="1:13" x14ac:dyDescent="0.5">
      <c r="D10" s="253"/>
      <c r="E10" s="252"/>
      <c r="G10" s="93"/>
      <c r="H10" s="253"/>
      <c r="I10" s="252"/>
      <c r="J10" s="93"/>
      <c r="K10" s="232"/>
      <c r="L10" s="254"/>
      <c r="M10" s="254"/>
    </row>
    <row r="11" spans="1:13" x14ac:dyDescent="0.5">
      <c r="D11" s="253"/>
      <c r="E11" s="252"/>
      <c r="G11" s="93"/>
      <c r="H11" s="253"/>
      <c r="I11" s="252"/>
      <c r="J11" s="93"/>
      <c r="K11" s="232"/>
      <c r="L11" s="254"/>
      <c r="M11" s="254"/>
    </row>
    <row r="12" spans="1:13" x14ac:dyDescent="0.5">
      <c r="D12" s="253"/>
      <c r="E12" s="252"/>
      <c r="G12" s="93"/>
      <c r="H12" s="253"/>
      <c r="I12" s="252"/>
      <c r="J12" s="93"/>
      <c r="K12" s="232"/>
      <c r="L12" s="254"/>
      <c r="M12" s="254"/>
    </row>
    <row r="13" spans="1:13" x14ac:dyDescent="0.5">
      <c r="D13" s="253"/>
      <c r="E13" s="252"/>
      <c r="G13" s="93"/>
      <c r="H13" s="253"/>
      <c r="I13" s="252"/>
      <c r="J13" s="93"/>
      <c r="K13" s="232"/>
      <c r="L13" s="254"/>
      <c r="M13" s="254"/>
    </row>
    <row r="14" spans="1:13" x14ac:dyDescent="0.5">
      <c r="D14" s="253"/>
      <c r="E14" s="252"/>
      <c r="G14" s="93"/>
      <c r="H14" s="253"/>
      <c r="I14" s="252"/>
      <c r="J14" s="93"/>
      <c r="K14" s="232"/>
      <c r="L14" s="254"/>
      <c r="M14" s="254"/>
    </row>
    <row r="15" spans="1:13" x14ac:dyDescent="0.5">
      <c r="D15" s="253"/>
      <c r="E15" s="252"/>
      <c r="G15" s="93"/>
      <c r="H15" s="253"/>
      <c r="I15" s="252"/>
      <c r="J15" s="93"/>
      <c r="K15" s="232"/>
      <c r="L15" s="254"/>
      <c r="M15" s="254"/>
    </row>
    <row r="16" spans="1:13" x14ac:dyDescent="0.5">
      <c r="D16" s="253"/>
      <c r="E16" s="252"/>
      <c r="G16" s="93"/>
      <c r="H16" s="253"/>
      <c r="I16" s="252"/>
      <c r="J16" s="93"/>
      <c r="K16" s="232"/>
      <c r="L16" s="254"/>
      <c r="M16" s="254"/>
    </row>
    <row r="17" spans="1:14" x14ac:dyDescent="0.5">
      <c r="D17" s="253"/>
      <c r="E17" s="252"/>
      <c r="G17" s="93"/>
      <c r="H17" s="253"/>
      <c r="I17" s="252"/>
      <c r="J17" s="93"/>
      <c r="K17" s="232"/>
      <c r="L17" s="254"/>
      <c r="M17" s="254"/>
    </row>
    <row r="18" spans="1:14" x14ac:dyDescent="0.5">
      <c r="D18" s="253"/>
      <c r="E18" s="252"/>
      <c r="G18" s="93"/>
      <c r="H18" s="253"/>
      <c r="I18" s="252"/>
      <c r="J18" s="93"/>
      <c r="K18" s="232"/>
      <c r="L18" s="254"/>
      <c r="M18" s="254"/>
    </row>
    <row r="19" spans="1:14" ht="17.5" thickBot="1" x14ac:dyDescent="0.55000000000000004">
      <c r="G19" s="93"/>
      <c r="H19" s="253"/>
      <c r="I19" s="252"/>
      <c r="J19" s="93"/>
      <c r="K19" s="232"/>
      <c r="L19" s="254"/>
      <c r="M19" s="254"/>
    </row>
    <row r="20" spans="1:14" ht="62.25" customHeight="1" thickBot="1" x14ac:dyDescent="0.55000000000000004">
      <c r="A20" s="31" t="s">
        <v>5</v>
      </c>
      <c r="B20" s="16" t="s">
        <v>751</v>
      </c>
      <c r="C20" s="16" t="s">
        <v>378</v>
      </c>
      <c r="D20" s="16" t="s">
        <v>493</v>
      </c>
      <c r="E20" s="29" t="s">
        <v>133</v>
      </c>
      <c r="F20" s="29" t="s">
        <v>119</v>
      </c>
      <c r="G20" s="29" t="s">
        <v>134</v>
      </c>
      <c r="H20" s="53" t="s">
        <v>135</v>
      </c>
      <c r="I20" s="52" t="s">
        <v>136</v>
      </c>
      <c r="J20" s="29" t="s">
        <v>137</v>
      </c>
      <c r="K20" s="29" t="s">
        <v>138</v>
      </c>
      <c r="L20" s="29" t="s">
        <v>729</v>
      </c>
      <c r="M20" s="29" t="s">
        <v>730</v>
      </c>
    </row>
    <row r="21" spans="1:14" ht="34" x14ac:dyDescent="0.5">
      <c r="A21" s="30" t="str">
        <f>INDEX(Technologieën[Veld],MATCH(aanname_implementatie[[#This Row],[Digitale zorgtoepassing]],Technologieën[Digitale zorgtoepassing],0))</f>
        <v>Sensoren - Behandeling</v>
      </c>
      <c r="B21" s="30" t="s">
        <v>593</v>
      </c>
      <c r="C21" s="30" t="s">
        <v>308</v>
      </c>
      <c r="D21" s="30" t="str" cm="1">
        <f t="array" ref="D21">INDEX(Berekening_patiëntaantal[Direct toepasbaar/extrapolatie/incidentie voor QALY],MATCH(B21,IF(Berekening_patiëntaantal[Doelgroep (zoeksleutel)]=C21,Berekening_patiëntaantal[Digitale zorgtoepassing]),0))</f>
        <v>Huidige toepassing</v>
      </c>
      <c r="E21" s="136" t="s">
        <v>125</v>
      </c>
      <c r="F21" s="399">
        <f>INDEX(factor_implementatie[Huidige implementatiegraad],MATCH(E21,factor_implementatie[Inschatting],0))</f>
        <v>0.2</v>
      </c>
      <c r="G21" s="136" t="s">
        <v>128</v>
      </c>
      <c r="H21" s="400">
        <f>INDEX(factor_implementatie[Mate van innovatie - coëfficient p],MATCH(G21,factor_implementatie[Mate van innovatie],0))</f>
        <v>0.02</v>
      </c>
      <c r="I21" s="401">
        <f>INDEX(factor_implementatie[Mate van imitatie - coëfficient q],MATCH(G21,factor_implementatie[Mate van innovatie],0))</f>
        <v>0.4</v>
      </c>
      <c r="J21" s="136">
        <v>0</v>
      </c>
      <c r="K21" s="402">
        <f t="shared" ref="K21:K51" si="0">IF(E21=$A$5,MAX(J21,0),0)</f>
        <v>0</v>
      </c>
      <c r="L21" s="354" t="s">
        <v>888</v>
      </c>
      <c r="M21" s="354" t="s">
        <v>889</v>
      </c>
      <c r="N21" s="93" t="s">
        <v>961</v>
      </c>
    </row>
    <row r="22" spans="1:14" ht="68" x14ac:dyDescent="0.5">
      <c r="A22" s="30" t="str">
        <f>INDEX(Technologieën[Veld],MATCH(aanname_implementatie[[#This Row],[Digitale zorgtoepassing]],Technologieën[Digitale zorgtoepassing],0))</f>
        <v>Software - Behandeling</v>
      </c>
      <c r="B22" s="30" t="s">
        <v>609</v>
      </c>
      <c r="C22" s="30" t="s">
        <v>81</v>
      </c>
      <c r="D22" s="30" t="str" cm="1">
        <f t="array" ref="D22">INDEX(Berekening_patiëntaantal[Direct toepasbaar/extrapolatie/incidentie voor QALY],MATCH(B22,IF(Berekening_patiëntaantal[Doelgroep (zoeksleutel)]=C22,Berekening_patiëntaantal[Digitale zorgtoepassing]),0))</f>
        <v>Huidige toepassing</v>
      </c>
      <c r="E22" s="136" t="s">
        <v>129</v>
      </c>
      <c r="F22" s="399">
        <f>INDEX(factor_implementatie[Huidige implementatiegraad],MATCH(E22,factor_implementatie[Inschatting],0))</f>
        <v>0.6</v>
      </c>
      <c r="G22" s="136" t="s">
        <v>130</v>
      </c>
      <c r="H22" s="400">
        <f>INDEX(factor_implementatie[Mate van innovatie - coëfficient p],MATCH(G22,factor_implementatie[Mate van innovatie],0))</f>
        <v>2.5000000000000001E-2</v>
      </c>
      <c r="I22" s="401">
        <f>INDEX(factor_implementatie[Mate van imitatie - coëfficient q],MATCH(G22,factor_implementatie[Mate van innovatie],0))</f>
        <v>0.45</v>
      </c>
      <c r="J22" s="136">
        <v>0</v>
      </c>
      <c r="K22" s="402">
        <f t="shared" si="0"/>
        <v>0</v>
      </c>
      <c r="L22" s="354" t="s">
        <v>890</v>
      </c>
      <c r="M22" s="354" t="s">
        <v>891</v>
      </c>
      <c r="N22" s="93" t="s">
        <v>961</v>
      </c>
    </row>
    <row r="23" spans="1:14" ht="68" x14ac:dyDescent="0.5">
      <c r="A23" s="30" t="str">
        <f>INDEX(Technologieën[Veld],MATCH(aanname_implementatie[[#This Row],[Digitale zorgtoepassing]],Technologieën[Digitale zorgtoepassing],0))</f>
        <v>Software - Behandeling</v>
      </c>
      <c r="B23" s="30" t="s">
        <v>609</v>
      </c>
      <c r="C23" s="30" t="s">
        <v>95</v>
      </c>
      <c r="D23" s="30" t="str" cm="1">
        <f t="array" ref="D23">INDEX(Berekening_patiëntaantal[Direct toepasbaar/extrapolatie/incidentie voor QALY],MATCH(B23,IF(Berekening_patiëntaantal[Doelgroep (zoeksleutel)]=C23,Berekening_patiëntaantal[Digitale zorgtoepassing]),0))</f>
        <v>Huidige toepassing</v>
      </c>
      <c r="E23" s="136" t="s">
        <v>127</v>
      </c>
      <c r="F23" s="399">
        <f>INDEX(factor_implementatie[Huidige implementatiegraad],MATCH(E23,factor_implementatie[Inschatting],0))</f>
        <v>0.4</v>
      </c>
      <c r="G23" s="136" t="s">
        <v>130</v>
      </c>
      <c r="H23" s="400">
        <f>INDEX(factor_implementatie[Mate van innovatie - coëfficient p],MATCH(G23,factor_implementatie[Mate van innovatie],0))</f>
        <v>2.5000000000000001E-2</v>
      </c>
      <c r="I23" s="401">
        <f>INDEX(factor_implementatie[Mate van imitatie - coëfficient q],MATCH(G23,factor_implementatie[Mate van innovatie],0))</f>
        <v>0.45</v>
      </c>
      <c r="J23" s="136">
        <v>0</v>
      </c>
      <c r="K23" s="402">
        <f t="shared" si="0"/>
        <v>0</v>
      </c>
      <c r="L23" s="354" t="s">
        <v>893</v>
      </c>
      <c r="M23" s="354" t="s">
        <v>891</v>
      </c>
      <c r="N23" s="93" t="s">
        <v>961</v>
      </c>
    </row>
    <row r="24" spans="1:14" ht="85" x14ac:dyDescent="0.5">
      <c r="A24" s="30" t="str">
        <f>INDEX(Technologieën[Veld],MATCH(aanname_implementatie[[#This Row],[Digitale zorgtoepassing]],Technologieën[Digitale zorgtoepassing],0))</f>
        <v>Software - Behandeling</v>
      </c>
      <c r="B24" s="30" t="s">
        <v>609</v>
      </c>
      <c r="C24" s="30" t="s">
        <v>51</v>
      </c>
      <c r="D24" s="30" t="str" cm="1">
        <f t="array" ref="D24">INDEX(Berekening_patiëntaantal[Direct toepasbaar/extrapolatie/incidentie voor QALY],MATCH(B24,IF(Berekening_patiëntaantal[Doelgroep (zoeksleutel)]=C24,Berekening_patiëntaantal[Digitale zorgtoepassing]),0))</f>
        <v>Huidige toepassing</v>
      </c>
      <c r="E24" s="136" t="s">
        <v>129</v>
      </c>
      <c r="F24" s="399">
        <f>INDEX(factor_implementatie[Huidige implementatiegraad],MATCH(E24,factor_implementatie[Inschatting],0))</f>
        <v>0.6</v>
      </c>
      <c r="G24" s="136" t="s">
        <v>130</v>
      </c>
      <c r="H24" s="400">
        <f>INDEX(factor_implementatie[Mate van innovatie - coëfficient p],MATCH(G24,factor_implementatie[Mate van innovatie],0))</f>
        <v>2.5000000000000001E-2</v>
      </c>
      <c r="I24" s="401">
        <f>INDEX(factor_implementatie[Mate van imitatie - coëfficient q],MATCH(G24,factor_implementatie[Mate van innovatie],0))</f>
        <v>0.45</v>
      </c>
      <c r="J24" s="136">
        <v>0</v>
      </c>
      <c r="K24" s="402">
        <f t="shared" si="0"/>
        <v>0</v>
      </c>
      <c r="L24" s="354" t="s">
        <v>892</v>
      </c>
      <c r="M24" s="354" t="s">
        <v>891</v>
      </c>
      <c r="N24" s="93" t="s">
        <v>961</v>
      </c>
    </row>
    <row r="25" spans="1:14" ht="34" x14ac:dyDescent="0.5">
      <c r="A25" s="30" t="str">
        <f>INDEX(Technologieën[Veld],MATCH(aanname_implementatie[[#This Row],[Digitale zorgtoepassing]],Technologieën[Digitale zorgtoepassing],0))</f>
        <v>Software - Behandeling</v>
      </c>
      <c r="B25" s="30" t="s">
        <v>609</v>
      </c>
      <c r="C25" s="30" t="s">
        <v>94</v>
      </c>
      <c r="D25" s="30" t="str" cm="1">
        <f t="array" ref="D25">INDEX(Berekening_patiëntaantal[Direct toepasbaar/extrapolatie/incidentie voor QALY],MATCH(B25,IF(Berekening_patiëntaantal[Doelgroep (zoeksleutel)]=C25,Berekening_patiëntaantal[Digitale zorgtoepassing]),0))</f>
        <v>Huidige toepassing</v>
      </c>
      <c r="E25" s="136" t="s">
        <v>125</v>
      </c>
      <c r="F25" s="399">
        <f>INDEX(factor_implementatie[Huidige implementatiegraad],MATCH(E25,factor_implementatie[Inschatting],0))</f>
        <v>0.2</v>
      </c>
      <c r="G25" s="136" t="s">
        <v>130</v>
      </c>
      <c r="H25" s="400">
        <f>INDEX(factor_implementatie[Mate van innovatie - coëfficient p],MATCH(G25,factor_implementatie[Mate van innovatie],0))</f>
        <v>2.5000000000000001E-2</v>
      </c>
      <c r="I25" s="401">
        <f>INDEX(factor_implementatie[Mate van imitatie - coëfficient q],MATCH(G25,factor_implementatie[Mate van innovatie],0))</f>
        <v>0.45</v>
      </c>
      <c r="J25" s="136">
        <v>0</v>
      </c>
      <c r="K25" s="402">
        <f t="shared" si="0"/>
        <v>0</v>
      </c>
      <c r="L25" s="354" t="s">
        <v>894</v>
      </c>
      <c r="M25" s="354" t="s">
        <v>891</v>
      </c>
      <c r="N25" s="93" t="s">
        <v>961</v>
      </c>
    </row>
    <row r="26" spans="1:14" ht="34" x14ac:dyDescent="0.5">
      <c r="A26" s="30" t="str">
        <f>INDEX(Technologieën[Veld],MATCH(aanname_implementatie[[#This Row],[Digitale zorgtoepassing]],Technologieën[Digitale zorgtoepassing],0))</f>
        <v>Software - Behandeling</v>
      </c>
      <c r="B26" s="30" t="s">
        <v>609</v>
      </c>
      <c r="C26" s="30" t="s">
        <v>109</v>
      </c>
      <c r="D26" s="30" t="str" cm="1">
        <f t="array" ref="D26">INDEX(Berekening_patiëntaantal[Direct toepasbaar/extrapolatie/incidentie voor QALY],MATCH(B26,IF(Berekening_patiëntaantal[Doelgroep (zoeksleutel)]=C26,Berekening_patiëntaantal[Digitale zorgtoepassing]),0))</f>
        <v>Huidige toepassing</v>
      </c>
      <c r="E26" s="136" t="s">
        <v>127</v>
      </c>
      <c r="F26" s="399">
        <f>INDEX(factor_implementatie[Huidige implementatiegraad],MATCH(E26,factor_implementatie[Inschatting],0))</f>
        <v>0.4</v>
      </c>
      <c r="G26" s="136" t="s">
        <v>130</v>
      </c>
      <c r="H26" s="400">
        <f>INDEX(factor_implementatie[Mate van innovatie - coëfficient p],MATCH(G26,factor_implementatie[Mate van innovatie],0))</f>
        <v>2.5000000000000001E-2</v>
      </c>
      <c r="I26" s="401">
        <f>INDEX(factor_implementatie[Mate van imitatie - coëfficient q],MATCH(G26,factor_implementatie[Mate van innovatie],0))</f>
        <v>0.45</v>
      </c>
      <c r="J26" s="136">
        <v>0</v>
      </c>
      <c r="K26" s="402">
        <f t="shared" si="0"/>
        <v>0</v>
      </c>
      <c r="L26" s="354" t="s">
        <v>895</v>
      </c>
      <c r="M26" s="354" t="s">
        <v>891</v>
      </c>
      <c r="N26" s="93" t="s">
        <v>961</v>
      </c>
    </row>
    <row r="27" spans="1:14" ht="34" x14ac:dyDescent="0.5">
      <c r="A27" s="30" t="str">
        <f>INDEX(Technologieën[Veld],MATCH(aanname_implementatie[[#This Row],[Digitale zorgtoepassing]],Technologieën[Digitale zorgtoepassing],0))</f>
        <v>Software - Behandeling</v>
      </c>
      <c r="B27" s="30" t="s">
        <v>609</v>
      </c>
      <c r="C27" s="30" t="s">
        <v>270</v>
      </c>
      <c r="D27" s="30" t="str" cm="1">
        <f t="array" ref="D27">INDEX(Berekening_patiëntaantal[Direct toepasbaar/extrapolatie/incidentie voor QALY],MATCH(B27,IF(Berekening_patiëntaantal[Doelgroep (zoeksleutel)]=C27,Berekening_patiëntaantal[Digitale zorgtoepassing]),0))</f>
        <v>Huidige toepassing</v>
      </c>
      <c r="E27" s="136" t="s">
        <v>125</v>
      </c>
      <c r="F27" s="399">
        <f>INDEX(factor_implementatie[Huidige implementatiegraad],MATCH(E27,factor_implementatie[Inschatting],0))</f>
        <v>0.2</v>
      </c>
      <c r="G27" s="136" t="s">
        <v>130</v>
      </c>
      <c r="H27" s="400">
        <f>INDEX(factor_implementatie[Mate van innovatie - coëfficient p],MATCH(G27,factor_implementatie[Mate van innovatie],0))</f>
        <v>2.5000000000000001E-2</v>
      </c>
      <c r="I27" s="401">
        <f>INDEX(factor_implementatie[Mate van imitatie - coëfficient q],MATCH(G27,factor_implementatie[Mate van innovatie],0))</f>
        <v>0.45</v>
      </c>
      <c r="J27" s="136">
        <v>0</v>
      </c>
      <c r="K27" s="402">
        <f t="shared" si="0"/>
        <v>0</v>
      </c>
      <c r="L27" s="354" t="s">
        <v>896</v>
      </c>
      <c r="M27" s="354" t="s">
        <v>891</v>
      </c>
      <c r="N27" s="93" t="s">
        <v>961</v>
      </c>
    </row>
    <row r="28" spans="1:14" ht="34" x14ac:dyDescent="0.5">
      <c r="A28" s="30" t="str">
        <f>INDEX(Technologieën[Veld],MATCH(aanname_implementatie[[#This Row],[Digitale zorgtoepassing]],Technologieën[Digitale zorgtoepassing],0))</f>
        <v>Software - Behandeling</v>
      </c>
      <c r="B28" s="30" t="s">
        <v>609</v>
      </c>
      <c r="C28" s="30" t="s">
        <v>597</v>
      </c>
      <c r="D28" s="30" t="str" cm="1">
        <f t="array" ref="D28">INDEX(Berekening_patiëntaantal[Direct toepasbaar/extrapolatie/incidentie voor QALY],MATCH(B28,IF(Berekening_patiëntaantal[Doelgroep (zoeksleutel)]=C28,Berekening_patiëntaantal[Digitale zorgtoepassing]),0))</f>
        <v>Extrapolatie</v>
      </c>
      <c r="E28" s="136" t="s">
        <v>123</v>
      </c>
      <c r="F28" s="399">
        <f>INDEX(factor_implementatie[Huidige implementatiegraad],MATCH(E28,factor_implementatie[Inschatting],0))</f>
        <v>0</v>
      </c>
      <c r="G28" s="136" t="s">
        <v>130</v>
      </c>
      <c r="H28" s="400">
        <f>INDEX(factor_implementatie[Mate van innovatie - coëfficient p],MATCH(G28,factor_implementatie[Mate van innovatie],0))</f>
        <v>2.5000000000000001E-2</v>
      </c>
      <c r="I28" s="401">
        <f>INDEX(factor_implementatie[Mate van imitatie - coëfficient q],MATCH(G28,factor_implementatie[Mate van innovatie],0))</f>
        <v>0.45</v>
      </c>
      <c r="J28" s="136">
        <v>3</v>
      </c>
      <c r="K28" s="402">
        <f t="shared" si="0"/>
        <v>3</v>
      </c>
      <c r="L28" s="354" t="s">
        <v>733</v>
      </c>
      <c r="M28" s="354" t="s">
        <v>897</v>
      </c>
      <c r="N28" s="93" t="s">
        <v>961</v>
      </c>
    </row>
    <row r="29" spans="1:14" x14ac:dyDescent="0.5">
      <c r="A29" s="30" t="str">
        <f>INDEX(Technologieën[Veld],MATCH(aanname_implementatie[[#This Row],[Digitale zorgtoepassing]],Technologieën[Digitale zorgtoepassing],0))</f>
        <v>Software - Diagnose</v>
      </c>
      <c r="B29" s="30" t="s">
        <v>474</v>
      </c>
      <c r="C29" s="30" t="s">
        <v>111</v>
      </c>
      <c r="D29" s="30" t="str" cm="1">
        <f t="array" ref="D29">INDEX(Berekening_patiëntaantal[Direct toepasbaar/extrapolatie/incidentie voor QALY],MATCH(B29,IF(Berekening_patiëntaantal[Doelgroep (zoeksleutel)]=C29,Berekening_patiëntaantal[Digitale zorgtoepassing]),0))</f>
        <v>Huidige toepassing</v>
      </c>
      <c r="E29" s="136" t="s">
        <v>127</v>
      </c>
      <c r="F29" s="399">
        <f>INDEX(factor_implementatie[Huidige implementatiegraad],MATCH(E29,factor_implementatie[Inschatting],0))</f>
        <v>0.4</v>
      </c>
      <c r="G29" s="136" t="s">
        <v>132</v>
      </c>
      <c r="H29" s="400">
        <f>INDEX(factor_implementatie[Mate van innovatie - coëfficient p],MATCH(G29,factor_implementatie[Mate van innovatie],0))</f>
        <v>0.03</v>
      </c>
      <c r="I29" s="401">
        <f>INDEX(factor_implementatie[Mate van imitatie - coëfficient q],MATCH(G29,factor_implementatie[Mate van innovatie],0))</f>
        <v>0.5</v>
      </c>
      <c r="J29" s="136">
        <v>0</v>
      </c>
      <c r="K29" s="402">
        <f t="shared" si="0"/>
        <v>0</v>
      </c>
      <c r="L29" s="354" t="s">
        <v>731</v>
      </c>
      <c r="M29" s="354" t="s">
        <v>732</v>
      </c>
      <c r="N29" s="93" t="s">
        <v>961</v>
      </c>
    </row>
    <row r="30" spans="1:14" x14ac:dyDescent="0.5">
      <c r="A30" s="30" t="str">
        <f>INDEX(Technologieën[Veld],MATCH(aanname_implementatie[[#This Row],[Digitale zorgtoepassing]],Technologieën[Digitale zorgtoepassing],0))</f>
        <v>Software - Diagnose</v>
      </c>
      <c r="B30" s="30" t="s">
        <v>473</v>
      </c>
      <c r="C30" s="30" t="s">
        <v>464</v>
      </c>
      <c r="D30" s="30" t="str" cm="1">
        <f t="array" ref="D30">INDEX(Berekening_patiëntaantal[Direct toepasbaar/extrapolatie/incidentie voor QALY],MATCH(B30,IF(Berekening_patiëntaantal[Doelgroep (zoeksleutel)]=C30,Berekening_patiëntaantal[Digitale zorgtoepassing]),0))</f>
        <v>Extrapolatie</v>
      </c>
      <c r="E30" s="136" t="s">
        <v>123</v>
      </c>
      <c r="F30" s="399">
        <f>INDEX(factor_implementatie[Huidige implementatiegraad],MATCH(E30,factor_implementatie[Inschatting],0))</f>
        <v>0</v>
      </c>
      <c r="G30" s="136" t="s">
        <v>132</v>
      </c>
      <c r="H30" s="400">
        <f>INDEX(factor_implementatie[Mate van innovatie - coëfficient p],MATCH(G30,factor_implementatie[Mate van innovatie],0))</f>
        <v>0.03</v>
      </c>
      <c r="I30" s="401">
        <f>INDEX(factor_implementatie[Mate van imitatie - coëfficient q],MATCH(G30,factor_implementatie[Mate van innovatie],0))</f>
        <v>0.5</v>
      </c>
      <c r="J30" s="136">
        <v>3</v>
      </c>
      <c r="K30" s="402">
        <f t="shared" si="0"/>
        <v>3</v>
      </c>
      <c r="L30" s="354" t="s">
        <v>733</v>
      </c>
      <c r="M30" s="354" t="s">
        <v>918</v>
      </c>
      <c r="N30" s="93" t="s">
        <v>961</v>
      </c>
    </row>
    <row r="31" spans="1:14" x14ac:dyDescent="0.5">
      <c r="A31" s="30" t="str">
        <f>INDEX(Technologieën[Veld],MATCH(aanname_implementatie[[#This Row],[Digitale zorgtoepassing]],Technologieën[Digitale zorgtoepassing],0))</f>
        <v>Software - Diagnose</v>
      </c>
      <c r="B31" s="30" t="s">
        <v>473</v>
      </c>
      <c r="C31" s="30" t="s">
        <v>455</v>
      </c>
      <c r="D31" s="30" t="str" cm="1">
        <f t="array" ref="D31">INDEX(Berekening_patiëntaantal[Direct toepasbaar/extrapolatie/incidentie voor QALY],MATCH(B31,IF(Berekening_patiëntaantal[Doelgroep (zoeksleutel)]=C31,Berekening_patiëntaantal[Digitale zorgtoepassing]),0))</f>
        <v>Huidige toepassing</v>
      </c>
      <c r="E31" s="136" t="s">
        <v>127</v>
      </c>
      <c r="F31" s="399">
        <f>INDEX(factor_implementatie[Huidige implementatiegraad],MATCH(E31,factor_implementatie[Inschatting],0))</f>
        <v>0.4</v>
      </c>
      <c r="G31" s="136" t="s">
        <v>132</v>
      </c>
      <c r="H31" s="400">
        <f>INDEX(factor_implementatie[Mate van innovatie - coëfficient p],MATCH(G31,factor_implementatie[Mate van innovatie],0))</f>
        <v>0.03</v>
      </c>
      <c r="I31" s="401">
        <f>INDEX(factor_implementatie[Mate van imitatie - coëfficient q],MATCH(G31,factor_implementatie[Mate van innovatie],0))</f>
        <v>0.5</v>
      </c>
      <c r="J31" s="136">
        <v>0</v>
      </c>
      <c r="K31" s="402">
        <f t="shared" si="0"/>
        <v>0</v>
      </c>
      <c r="L31" s="354" t="s">
        <v>915</v>
      </c>
      <c r="M31" s="354" t="s">
        <v>918</v>
      </c>
      <c r="N31" s="93" t="s">
        <v>961</v>
      </c>
    </row>
    <row r="32" spans="1:14" x14ac:dyDescent="0.5">
      <c r="A32" s="30" t="str">
        <f>INDEX(Technologieën[Veld],MATCH(aanname_implementatie[[#This Row],[Digitale zorgtoepassing]],Technologieën[Digitale zorgtoepassing],0))</f>
        <v>Software - Diagnose</v>
      </c>
      <c r="B32" s="30" t="s">
        <v>473</v>
      </c>
      <c r="C32" s="30" t="s">
        <v>451</v>
      </c>
      <c r="D32" s="30" t="str" cm="1">
        <f t="array" ref="D32">INDEX(Berekening_patiëntaantal[Direct toepasbaar/extrapolatie/incidentie voor QALY],MATCH(B32,IF(Berekening_patiëntaantal[Doelgroep (zoeksleutel)]=C32,Berekening_patiëntaantal[Digitale zorgtoepassing]),0))</f>
        <v>Huidige toepassing</v>
      </c>
      <c r="E32" s="136" t="s">
        <v>127</v>
      </c>
      <c r="F32" s="399">
        <f>INDEX(factor_implementatie[Huidige implementatiegraad],MATCH(E32,factor_implementatie[Inschatting],0))</f>
        <v>0.4</v>
      </c>
      <c r="G32" s="136" t="s">
        <v>132</v>
      </c>
      <c r="H32" s="400">
        <f>INDEX(factor_implementatie[Mate van innovatie - coëfficient p],MATCH(G32,factor_implementatie[Mate van innovatie],0))</f>
        <v>0.03</v>
      </c>
      <c r="I32" s="401">
        <f>INDEX(factor_implementatie[Mate van imitatie - coëfficient q],MATCH(G32,factor_implementatie[Mate van innovatie],0))</f>
        <v>0.5</v>
      </c>
      <c r="J32" s="136">
        <v>0</v>
      </c>
      <c r="K32" s="402">
        <f t="shared" si="0"/>
        <v>0</v>
      </c>
      <c r="L32" s="354" t="s">
        <v>915</v>
      </c>
      <c r="M32" s="354" t="s">
        <v>918</v>
      </c>
      <c r="N32" s="93" t="s">
        <v>961</v>
      </c>
    </row>
    <row r="33" spans="1:14" x14ac:dyDescent="0.5">
      <c r="A33" s="30" t="str">
        <f>INDEX(Technologieën[Veld],MATCH(aanname_implementatie[[#This Row],[Digitale zorgtoepassing]],Technologieën[Digitale zorgtoepassing],0))</f>
        <v>Software - Diagnose</v>
      </c>
      <c r="B33" s="30" t="s">
        <v>473</v>
      </c>
      <c r="C33" s="30" t="s">
        <v>75</v>
      </c>
      <c r="D33" s="30" t="str" cm="1">
        <f t="array" ref="D33">INDEX(Berekening_patiëntaantal[Direct toepasbaar/extrapolatie/incidentie voor QALY],MATCH(B33,IF(Berekening_patiëntaantal[Doelgroep (zoeksleutel)]=C33,Berekening_patiëntaantal[Digitale zorgtoepassing]),0))</f>
        <v>Incidentie voor QALY</v>
      </c>
      <c r="E33" s="136" t="s">
        <v>127</v>
      </c>
      <c r="F33" s="399">
        <f>INDEX(factor_implementatie[Huidige implementatiegraad],MATCH(E33,factor_implementatie[Inschatting],0))</f>
        <v>0.4</v>
      </c>
      <c r="G33" s="136" t="s">
        <v>132</v>
      </c>
      <c r="H33" s="400">
        <f>INDEX(factor_implementatie[Mate van innovatie - coëfficient p],MATCH(G33,factor_implementatie[Mate van innovatie],0))</f>
        <v>0.03</v>
      </c>
      <c r="I33" s="401">
        <f>INDEX(factor_implementatie[Mate van imitatie - coëfficient q],MATCH(G33,factor_implementatie[Mate van innovatie],0))</f>
        <v>0.5</v>
      </c>
      <c r="J33" s="136">
        <v>0</v>
      </c>
      <c r="K33" s="402">
        <f t="shared" si="0"/>
        <v>0</v>
      </c>
      <c r="L33" s="354" t="s">
        <v>915</v>
      </c>
      <c r="M33" s="354" t="s">
        <v>918</v>
      </c>
      <c r="N33" s="93" t="s">
        <v>961</v>
      </c>
    </row>
    <row r="34" spans="1:14" x14ac:dyDescent="0.5">
      <c r="A34" s="30" t="str">
        <f>INDEX(Technologieën[Veld],MATCH(aanname_implementatie[[#This Row],[Digitale zorgtoepassing]],Technologieën[Digitale zorgtoepassing],0))</f>
        <v>Software - Diagnose</v>
      </c>
      <c r="B34" s="30" t="s">
        <v>472</v>
      </c>
      <c r="C34" s="30" t="s">
        <v>465</v>
      </c>
      <c r="D34" s="30" t="str" cm="1">
        <f t="array" ref="D34">INDEX(Berekening_patiëntaantal[Direct toepasbaar/extrapolatie/incidentie voor QALY],MATCH(B34,IF(Berekening_patiëntaantal[Doelgroep (zoeksleutel)]=C34,Berekening_patiëntaantal[Digitale zorgtoepassing]),0))</f>
        <v>Extrapolatie</v>
      </c>
      <c r="E34" s="136" t="s">
        <v>123</v>
      </c>
      <c r="F34" s="399">
        <f>INDEX(factor_implementatie[Huidige implementatiegraad],MATCH(E34,factor_implementatie[Inschatting],0))</f>
        <v>0</v>
      </c>
      <c r="G34" s="136" t="s">
        <v>132</v>
      </c>
      <c r="H34" s="400">
        <f>INDEX(factor_implementatie[Mate van innovatie - coëfficient p],MATCH(G34,factor_implementatie[Mate van innovatie],0))</f>
        <v>0.03</v>
      </c>
      <c r="I34" s="401">
        <f>INDEX(factor_implementatie[Mate van imitatie - coëfficient q],MATCH(G34,factor_implementatie[Mate van innovatie],0))</f>
        <v>0.5</v>
      </c>
      <c r="J34" s="136">
        <v>3</v>
      </c>
      <c r="K34" s="402">
        <f t="shared" si="0"/>
        <v>3</v>
      </c>
      <c r="L34" s="354" t="s">
        <v>733</v>
      </c>
      <c r="M34" s="354" t="s">
        <v>918</v>
      </c>
      <c r="N34" s="93" t="s">
        <v>961</v>
      </c>
    </row>
    <row r="35" spans="1:14" x14ac:dyDescent="0.5">
      <c r="A35" s="30" t="str">
        <f>INDEX(Technologieën[Veld],MATCH(aanname_implementatie[[#This Row],[Digitale zorgtoepassing]],Technologieën[Digitale zorgtoepassing],0))</f>
        <v>Software - Diagnose</v>
      </c>
      <c r="B35" s="30" t="s">
        <v>472</v>
      </c>
      <c r="C35" s="30" t="s">
        <v>442</v>
      </c>
      <c r="D35" s="30" t="str" cm="1">
        <f t="array" ref="D35">INDEX(Berekening_patiëntaantal[Direct toepasbaar/extrapolatie/incidentie voor QALY],MATCH(B35,IF(Berekening_patiëntaantal[Doelgroep (zoeksleutel)]=C35,Berekening_patiëntaantal[Digitale zorgtoepassing]),0))</f>
        <v>Huidige toepassing</v>
      </c>
      <c r="E35" s="136" t="s">
        <v>127</v>
      </c>
      <c r="F35" s="399">
        <f>INDEX(factor_implementatie[Huidige implementatiegraad],MATCH(E35,factor_implementatie[Inschatting],0))</f>
        <v>0.4</v>
      </c>
      <c r="G35" s="136" t="s">
        <v>132</v>
      </c>
      <c r="H35" s="400">
        <f>INDEX(factor_implementatie[Mate van innovatie - coëfficient p],MATCH(G35,factor_implementatie[Mate van innovatie],0))</f>
        <v>0.03</v>
      </c>
      <c r="I35" s="401">
        <f>INDEX(factor_implementatie[Mate van imitatie - coëfficient q],MATCH(G35,factor_implementatie[Mate van innovatie],0))</f>
        <v>0.5</v>
      </c>
      <c r="J35" s="136">
        <v>0</v>
      </c>
      <c r="K35" s="402">
        <f t="shared" si="0"/>
        <v>0</v>
      </c>
      <c r="L35" s="354" t="s">
        <v>915</v>
      </c>
      <c r="M35" s="354" t="s">
        <v>918</v>
      </c>
      <c r="N35" s="93" t="s">
        <v>961</v>
      </c>
    </row>
    <row r="36" spans="1:14" x14ac:dyDescent="0.5">
      <c r="A36" s="30" t="str">
        <f>INDEX(Technologieën[Veld],MATCH(aanname_implementatie[[#This Row],[Digitale zorgtoepassing]],Technologieën[Digitale zorgtoepassing],0))</f>
        <v>Software - Diagnose</v>
      </c>
      <c r="B36" s="30" t="s">
        <v>472</v>
      </c>
      <c r="C36" s="30" t="s">
        <v>71</v>
      </c>
      <c r="D36" s="30" t="str" cm="1">
        <f t="array" ref="D36">INDEX(Berekening_patiëntaantal[Direct toepasbaar/extrapolatie/incidentie voor QALY],MATCH(B36,IF(Berekening_patiëntaantal[Doelgroep (zoeksleutel)]=C36,Berekening_patiëntaantal[Digitale zorgtoepassing]),0))</f>
        <v>Incidentie voor QALY</v>
      </c>
      <c r="E36" s="136" t="s">
        <v>127</v>
      </c>
      <c r="F36" s="399">
        <f>INDEX(factor_implementatie[Huidige implementatiegraad],MATCH(E36,factor_implementatie[Inschatting],0))</f>
        <v>0.4</v>
      </c>
      <c r="G36" s="136" t="s">
        <v>132</v>
      </c>
      <c r="H36" s="400">
        <f>INDEX(factor_implementatie[Mate van innovatie - coëfficient p],MATCH(G36,factor_implementatie[Mate van innovatie],0))</f>
        <v>0.03</v>
      </c>
      <c r="I36" s="401">
        <f>INDEX(factor_implementatie[Mate van imitatie - coëfficient q],MATCH(G36,factor_implementatie[Mate van innovatie],0))</f>
        <v>0.5</v>
      </c>
      <c r="J36" s="136">
        <v>0</v>
      </c>
      <c r="K36" s="402">
        <f t="shared" si="0"/>
        <v>0</v>
      </c>
      <c r="L36" s="354" t="s">
        <v>733</v>
      </c>
      <c r="M36" s="354" t="s">
        <v>918</v>
      </c>
      <c r="N36" s="93" t="s">
        <v>961</v>
      </c>
    </row>
    <row r="37" spans="1:14" x14ac:dyDescent="0.5">
      <c r="A37" s="30" t="str">
        <f>INDEX(Technologieën[Veld],MATCH(aanname_implementatie[[#This Row],[Digitale zorgtoepassing]],Technologieën[Digitale zorgtoepassing],0))</f>
        <v>Software - Diagnose</v>
      </c>
      <c r="B37" s="30" t="s">
        <v>475</v>
      </c>
      <c r="C37" s="30" t="s">
        <v>492</v>
      </c>
      <c r="D37" s="30" t="str" cm="1">
        <f t="array" ref="D37">INDEX(Berekening_patiëntaantal[Direct toepasbaar/extrapolatie/incidentie voor QALY],MATCH(B37,IF(Berekening_patiëntaantal[Doelgroep (zoeksleutel)]=C37,Berekening_patiëntaantal[Digitale zorgtoepassing]),0))</f>
        <v>Extrapolatie</v>
      </c>
      <c r="E37" s="136" t="s">
        <v>123</v>
      </c>
      <c r="F37" s="399">
        <f>INDEX(factor_implementatie[Huidige implementatiegraad],MATCH(E37,factor_implementatie[Inschatting],0))</f>
        <v>0</v>
      </c>
      <c r="G37" s="136" t="s">
        <v>130</v>
      </c>
      <c r="H37" s="400">
        <f>INDEX(factor_implementatie[Mate van innovatie - coëfficient p],MATCH(G37,factor_implementatie[Mate van innovatie],0))</f>
        <v>2.5000000000000001E-2</v>
      </c>
      <c r="I37" s="401">
        <f>INDEX(factor_implementatie[Mate van imitatie - coëfficient q],MATCH(G37,factor_implementatie[Mate van innovatie],0))</f>
        <v>0.45</v>
      </c>
      <c r="J37" s="136">
        <v>3</v>
      </c>
      <c r="K37" s="402">
        <f t="shared" si="0"/>
        <v>3</v>
      </c>
      <c r="L37" s="354" t="s">
        <v>733</v>
      </c>
      <c r="M37" s="354" t="s">
        <v>918</v>
      </c>
      <c r="N37" s="93" t="s">
        <v>961</v>
      </c>
    </row>
    <row r="38" spans="1:14" x14ac:dyDescent="0.5">
      <c r="A38" s="30" t="str">
        <f>INDEX(Technologieën[Veld],MATCH(aanname_implementatie[[#This Row],[Digitale zorgtoepassing]],Technologieën[Digitale zorgtoepassing],0))</f>
        <v>Software - Diagnose</v>
      </c>
      <c r="B38" s="30" t="s">
        <v>475</v>
      </c>
      <c r="C38" s="30" t="s">
        <v>460</v>
      </c>
      <c r="D38" s="30" t="str" cm="1">
        <f t="array" ref="D38">INDEX(Berekening_patiëntaantal[Direct toepasbaar/extrapolatie/incidentie voor QALY],MATCH(B38,IF(Berekening_patiëntaantal[Doelgroep (zoeksleutel)]=C38,Berekening_patiëntaantal[Digitale zorgtoepassing]),0))</f>
        <v>Huidige toepassing</v>
      </c>
      <c r="E38" s="136" t="s">
        <v>125</v>
      </c>
      <c r="F38" s="399">
        <f>INDEX(factor_implementatie[Huidige implementatiegraad],MATCH(E38,factor_implementatie[Inschatting],0))</f>
        <v>0.2</v>
      </c>
      <c r="G38" s="136" t="s">
        <v>130</v>
      </c>
      <c r="H38" s="400">
        <f>INDEX(factor_implementatie[Mate van innovatie - coëfficient p],MATCH(G38,factor_implementatie[Mate van innovatie],0))</f>
        <v>2.5000000000000001E-2</v>
      </c>
      <c r="I38" s="401">
        <f>INDEX(factor_implementatie[Mate van imitatie - coëfficient q],MATCH(G38,factor_implementatie[Mate van innovatie],0))</f>
        <v>0.45</v>
      </c>
      <c r="J38" s="136">
        <v>0</v>
      </c>
      <c r="K38" s="402">
        <f t="shared" si="0"/>
        <v>0</v>
      </c>
      <c r="L38" s="354" t="s">
        <v>915</v>
      </c>
      <c r="M38" s="354" t="s">
        <v>918</v>
      </c>
      <c r="N38" s="93" t="s">
        <v>961</v>
      </c>
    </row>
    <row r="39" spans="1:14" x14ac:dyDescent="0.5">
      <c r="A39" s="30" t="str">
        <f>INDEX(Technologieën[Veld],MATCH(aanname_implementatie[[#This Row],[Digitale zorgtoepassing]],Technologieën[Digitale zorgtoepassing],0))</f>
        <v>Software - Behandeling</v>
      </c>
      <c r="B39" s="30" t="s">
        <v>716</v>
      </c>
      <c r="C39" s="30" t="s">
        <v>80</v>
      </c>
      <c r="D39" s="30" t="str" cm="1">
        <f t="array" ref="D39">INDEX(Berekening_patiëntaantal[Direct toepasbaar/extrapolatie/incidentie voor QALY],MATCH(B39,IF(Berekening_patiëntaantal[Doelgroep (zoeksleutel)]=C39,Berekening_patiëntaantal[Digitale zorgtoepassing]),0))</f>
        <v>Huidige toepassing</v>
      </c>
      <c r="E39" s="136" t="s">
        <v>123</v>
      </c>
      <c r="F39" s="399">
        <f>INDEX(factor_implementatie[Huidige implementatiegraad],MATCH(E39,factor_implementatie[Inschatting],0))</f>
        <v>0</v>
      </c>
      <c r="G39" s="136" t="s">
        <v>128</v>
      </c>
      <c r="H39" s="400">
        <f>INDEX(factor_implementatie[Mate van innovatie - coëfficient p],MATCH(G39,factor_implementatie[Mate van innovatie],0))</f>
        <v>0.02</v>
      </c>
      <c r="I39" s="401">
        <f>INDEX(factor_implementatie[Mate van imitatie - coëfficient q],MATCH(G39,factor_implementatie[Mate van innovatie],0))</f>
        <v>0.4</v>
      </c>
      <c r="J39" s="136">
        <v>2</v>
      </c>
      <c r="K39" s="402">
        <f t="shared" si="0"/>
        <v>2</v>
      </c>
      <c r="L39" s="354" t="s">
        <v>734</v>
      </c>
      <c r="M39" s="354" t="s">
        <v>898</v>
      </c>
      <c r="N39" s="93" t="s">
        <v>961</v>
      </c>
    </row>
    <row r="40" spans="1:14" x14ac:dyDescent="0.5">
      <c r="A40" s="30" t="str">
        <f>INDEX(Technologieën[Veld],MATCH(aanname_implementatie[[#This Row],[Digitale zorgtoepassing]],Technologieën[Digitale zorgtoepassing],0))</f>
        <v>Software - Diagnose</v>
      </c>
      <c r="B40" s="30" t="s">
        <v>66</v>
      </c>
      <c r="C40" s="30" t="s">
        <v>69</v>
      </c>
      <c r="D40" s="30" t="str" cm="1">
        <f t="array" ref="D40">INDEX(Berekening_patiëntaantal[Direct toepasbaar/extrapolatie/incidentie voor QALY],MATCH(B40,IF(Berekening_patiëntaantal[Doelgroep (zoeksleutel)]=C40,Berekening_patiëntaantal[Digitale zorgtoepassing]),0))</f>
        <v>Huidige toepassing</v>
      </c>
      <c r="E40" s="136" t="s">
        <v>123</v>
      </c>
      <c r="F40" s="399">
        <f>INDEX(factor_implementatie[Huidige implementatiegraad],MATCH(E40,factor_implementatie[Inschatting],0))</f>
        <v>0</v>
      </c>
      <c r="G40" s="136" t="s">
        <v>128</v>
      </c>
      <c r="H40" s="400">
        <f>INDEX(factor_implementatie[Mate van innovatie - coëfficient p],MATCH(G40,factor_implementatie[Mate van innovatie],0))</f>
        <v>0.02</v>
      </c>
      <c r="I40" s="401">
        <f>INDEX(factor_implementatie[Mate van imitatie - coëfficient q],MATCH(G40,factor_implementatie[Mate van innovatie],0))</f>
        <v>0.4</v>
      </c>
      <c r="J40" s="136">
        <v>2</v>
      </c>
      <c r="K40" s="402">
        <f t="shared" si="0"/>
        <v>2</v>
      </c>
      <c r="L40" s="354" t="s">
        <v>734</v>
      </c>
      <c r="M40" s="354" t="s">
        <v>735</v>
      </c>
      <c r="N40" s="93" t="s">
        <v>961</v>
      </c>
    </row>
    <row r="41" spans="1:14" x14ac:dyDescent="0.5">
      <c r="A41" s="30" t="str">
        <f>INDEX(Technologieën[Veld],MATCH(aanname_implementatie[[#This Row],[Digitale zorgtoepassing]],Technologieën[Digitale zorgtoepassing],0))</f>
        <v>Software - Diagnose</v>
      </c>
      <c r="B41" s="30" t="s">
        <v>66</v>
      </c>
      <c r="C41" s="30" t="s">
        <v>67</v>
      </c>
      <c r="D41" s="30" t="str" cm="1">
        <f t="array" ref="D41">INDEX(Berekening_patiëntaantal[Direct toepasbaar/extrapolatie/incidentie voor QALY],MATCH(B41,IF(Berekening_patiëntaantal[Doelgroep (zoeksleutel)]=C41,Berekening_patiëntaantal[Digitale zorgtoepassing]),0))</f>
        <v>Huidige toepassing</v>
      </c>
      <c r="E41" s="136" t="s">
        <v>123</v>
      </c>
      <c r="F41" s="399">
        <f>INDEX(factor_implementatie[Huidige implementatiegraad],MATCH(E41,factor_implementatie[Inschatting],0))</f>
        <v>0</v>
      </c>
      <c r="G41" s="136" t="s">
        <v>128</v>
      </c>
      <c r="H41" s="400">
        <f>INDEX(factor_implementatie[Mate van innovatie - coëfficient p],MATCH(G41,factor_implementatie[Mate van innovatie],0))</f>
        <v>0.02</v>
      </c>
      <c r="I41" s="401">
        <f>INDEX(factor_implementatie[Mate van imitatie - coëfficient q],MATCH(G41,factor_implementatie[Mate van innovatie],0))</f>
        <v>0.4</v>
      </c>
      <c r="J41" s="136">
        <v>2</v>
      </c>
      <c r="K41" s="402">
        <f t="shared" si="0"/>
        <v>2</v>
      </c>
      <c r="L41" s="354" t="s">
        <v>734</v>
      </c>
      <c r="M41" s="354" t="s">
        <v>735</v>
      </c>
      <c r="N41" s="93" t="s">
        <v>961</v>
      </c>
    </row>
    <row r="42" spans="1:14" ht="34" x14ac:dyDescent="0.5">
      <c r="A42" s="30" t="str">
        <f>INDEX(Technologieën[Veld],MATCH(aanname_implementatie[[#This Row],[Digitale zorgtoepassing]],Technologieën[Digitale zorgtoepassing],0))</f>
        <v>Software - Diagnose</v>
      </c>
      <c r="B42" s="30" t="s">
        <v>76</v>
      </c>
      <c r="C42" s="30" t="s">
        <v>384</v>
      </c>
      <c r="D42" s="30" t="str" cm="1">
        <f t="array" ref="D42">INDEX(Berekening_patiëntaantal[Direct toepasbaar/extrapolatie/incidentie voor QALY],MATCH(B42,IF(Berekening_patiëntaantal[Doelgroep (zoeksleutel)]=C42,Berekening_patiëntaantal[Digitale zorgtoepassing]),0))</f>
        <v>Huidige toepassing</v>
      </c>
      <c r="E42" s="136" t="s">
        <v>127</v>
      </c>
      <c r="F42" s="399">
        <f>INDEX(factor_implementatie[Huidige implementatiegraad],MATCH(E42,factor_implementatie[Inschatting],0))</f>
        <v>0.4</v>
      </c>
      <c r="G42" s="136" t="s">
        <v>130</v>
      </c>
      <c r="H42" s="400">
        <f>INDEX(factor_implementatie[Mate van innovatie - coëfficient p],MATCH(G42,factor_implementatie[Mate van innovatie],0))</f>
        <v>2.5000000000000001E-2</v>
      </c>
      <c r="I42" s="401">
        <f>INDEX(factor_implementatie[Mate van imitatie - coëfficient q],MATCH(G42,factor_implementatie[Mate van innovatie],0))</f>
        <v>0.45</v>
      </c>
      <c r="J42" s="136">
        <v>0</v>
      </c>
      <c r="K42" s="402">
        <f t="shared" si="0"/>
        <v>0</v>
      </c>
      <c r="L42" s="354" t="s">
        <v>736</v>
      </c>
      <c r="M42" s="354" t="s">
        <v>738</v>
      </c>
      <c r="N42" s="93" t="s">
        <v>961</v>
      </c>
    </row>
    <row r="43" spans="1:14" ht="34" x14ac:dyDescent="0.5">
      <c r="A43" s="30" t="str">
        <f>INDEX(Technologieën[Veld],MATCH(aanname_implementatie[[#This Row],[Digitale zorgtoepassing]],Technologieën[Digitale zorgtoepassing],0))</f>
        <v>Software - Behandeling</v>
      </c>
      <c r="B43" s="30" t="s">
        <v>578</v>
      </c>
      <c r="C43" s="30" t="s">
        <v>577</v>
      </c>
      <c r="D43" s="30" t="str" cm="1">
        <f t="array" ref="D43">INDEX(Berekening_patiëntaantal[Direct toepasbaar/extrapolatie/incidentie voor QALY],MATCH(B43,IF(Berekening_patiëntaantal[Doelgroep (zoeksleutel)]=C43,Berekening_patiëntaantal[Digitale zorgtoepassing]),0))</f>
        <v>Huidige toepassing</v>
      </c>
      <c r="E43" s="136" t="s">
        <v>125</v>
      </c>
      <c r="F43" s="399">
        <f>INDEX(factor_implementatie[Huidige implementatiegraad],MATCH(E43,factor_implementatie[Inschatting],0))</f>
        <v>0.2</v>
      </c>
      <c r="G43" s="136" t="s">
        <v>126</v>
      </c>
      <c r="H43" s="400">
        <f>INDEX(factor_implementatie[Mate van innovatie - coëfficient p],MATCH(G43,factor_implementatie[Mate van innovatie],0))</f>
        <v>1.4999999999999999E-2</v>
      </c>
      <c r="I43" s="401">
        <f>INDEX(factor_implementatie[Mate van imitatie - coëfficient q],MATCH(G43,factor_implementatie[Mate van innovatie],0))</f>
        <v>0.35</v>
      </c>
      <c r="J43" s="136">
        <v>0</v>
      </c>
      <c r="K43" s="402">
        <f t="shared" si="0"/>
        <v>0</v>
      </c>
      <c r="L43" s="354" t="s">
        <v>904</v>
      </c>
      <c r="M43" s="354" t="s">
        <v>905</v>
      </c>
      <c r="N43" s="93" t="s">
        <v>961</v>
      </c>
    </row>
    <row r="44" spans="1:14" ht="34" x14ac:dyDescent="0.5">
      <c r="A44" s="30" t="str">
        <f>INDEX(Technologieën[Veld],MATCH(aanname_implementatie[[#This Row],[Digitale zorgtoepassing]],Technologieën[Digitale zorgtoepassing],0))</f>
        <v>Software - Diagnose</v>
      </c>
      <c r="B44" s="30" t="s">
        <v>139</v>
      </c>
      <c r="C44" s="30" t="s">
        <v>106</v>
      </c>
      <c r="D44" s="30" t="str" cm="1">
        <f t="array" ref="D44">INDEX(Berekening_patiëntaantal[Direct toepasbaar/extrapolatie/incidentie voor QALY],MATCH(B44,IF(Berekening_patiëntaantal[Doelgroep (zoeksleutel)]=C44,Berekening_patiëntaantal[Digitale zorgtoepassing]),0))</f>
        <v>Huidige toepassing</v>
      </c>
      <c r="E44" s="136" t="s">
        <v>131</v>
      </c>
      <c r="F44" s="399">
        <f>INDEX(factor_implementatie[Huidige implementatiegraad],MATCH(E44,factor_implementatie[Inschatting],0))</f>
        <v>0.8</v>
      </c>
      <c r="G44" s="136" t="s">
        <v>130</v>
      </c>
      <c r="H44" s="400">
        <f>INDEX(factor_implementatie[Mate van innovatie - coëfficient p],MATCH(G44,factor_implementatie[Mate van innovatie],0))</f>
        <v>2.5000000000000001E-2</v>
      </c>
      <c r="I44" s="401">
        <f>INDEX(factor_implementatie[Mate van imitatie - coëfficient q],MATCH(G44,factor_implementatie[Mate van innovatie],0))</f>
        <v>0.45</v>
      </c>
      <c r="J44" s="136">
        <v>0</v>
      </c>
      <c r="K44" s="402">
        <f t="shared" si="0"/>
        <v>0</v>
      </c>
      <c r="L44" s="355" t="s">
        <v>737</v>
      </c>
      <c r="M44" s="355" t="s">
        <v>738</v>
      </c>
      <c r="N44" s="93" t="s">
        <v>961</v>
      </c>
    </row>
    <row r="45" spans="1:14" ht="34" x14ac:dyDescent="0.5">
      <c r="A45" s="30" t="str">
        <f>INDEX(Technologieën[Veld],MATCH(aanname_implementatie[[#This Row],[Digitale zorgtoepassing]],Technologieën[Digitale zorgtoepassing],0))</f>
        <v>Software - Behandeling</v>
      </c>
      <c r="B45" s="30" t="s">
        <v>588</v>
      </c>
      <c r="C45" s="30" t="s">
        <v>104</v>
      </c>
      <c r="D45" s="30" t="str" cm="1">
        <f t="array" ref="D45">INDEX(Berekening_patiëntaantal[Direct toepasbaar/extrapolatie/incidentie voor QALY],MATCH(B45,IF(Berekening_patiëntaantal[Doelgroep (zoeksleutel)]=C45,Berekening_patiëntaantal[Digitale zorgtoepassing]),0))</f>
        <v>Huidige toepassing</v>
      </c>
      <c r="E45" s="136" t="s">
        <v>125</v>
      </c>
      <c r="F45" s="399">
        <f>INDEX(factor_implementatie[Huidige implementatiegraad],MATCH(E45,factor_implementatie[Inschatting],0))</f>
        <v>0.2</v>
      </c>
      <c r="G45" s="136" t="s">
        <v>126</v>
      </c>
      <c r="H45" s="400">
        <f>INDEX(factor_implementatie[Mate van innovatie - coëfficient p],MATCH(G45,factor_implementatie[Mate van innovatie],0))</f>
        <v>1.4999999999999999E-2</v>
      </c>
      <c r="I45" s="401">
        <f>INDEX(factor_implementatie[Mate van imitatie - coëfficient q],MATCH(G45,factor_implementatie[Mate van innovatie],0))</f>
        <v>0.35</v>
      </c>
      <c r="J45" s="136">
        <v>0</v>
      </c>
      <c r="K45" s="402">
        <f t="shared" si="0"/>
        <v>0</v>
      </c>
      <c r="L45" s="354" t="s">
        <v>901</v>
      </c>
      <c r="M45" s="354" t="s">
        <v>902</v>
      </c>
      <c r="N45" s="93" t="s">
        <v>961</v>
      </c>
    </row>
    <row r="46" spans="1:14" ht="34" x14ac:dyDescent="0.5">
      <c r="A46" s="30" t="str">
        <f>INDEX(Technologieën[Veld],MATCH(aanname_implementatie[[#This Row],[Digitale zorgtoepassing]],Technologieën[Digitale zorgtoepassing],0))</f>
        <v>Software - Behandeling</v>
      </c>
      <c r="B46" s="30" t="s">
        <v>588</v>
      </c>
      <c r="C46" s="30" t="s">
        <v>589</v>
      </c>
      <c r="D46" s="30" t="str" cm="1">
        <f t="array" ref="D46">INDEX(Berekening_patiëntaantal[Direct toepasbaar/extrapolatie/incidentie voor QALY],MATCH(B46,IF(Berekening_patiëntaantal[Doelgroep (zoeksleutel)]=C46,Berekening_patiëntaantal[Digitale zorgtoepassing]),0))</f>
        <v>Extrapolatie</v>
      </c>
      <c r="E46" s="136" t="s">
        <v>123</v>
      </c>
      <c r="F46" s="399">
        <f>INDEX(factor_implementatie[Huidige implementatiegraad],MATCH(E46,factor_implementatie[Inschatting],0))</f>
        <v>0</v>
      </c>
      <c r="G46" s="136" t="s">
        <v>124</v>
      </c>
      <c r="H46" s="400">
        <f>INDEX(factor_implementatie[Mate van innovatie - coëfficient p],MATCH(G46,factor_implementatie[Mate van innovatie],0))</f>
        <v>0.01</v>
      </c>
      <c r="I46" s="401">
        <f>INDEX(factor_implementatie[Mate van imitatie - coëfficient q],MATCH(G46,factor_implementatie[Mate van innovatie],0))</f>
        <v>0.3</v>
      </c>
      <c r="J46" s="136">
        <v>4</v>
      </c>
      <c r="K46" s="402">
        <f t="shared" si="0"/>
        <v>4</v>
      </c>
      <c r="L46" s="354" t="s">
        <v>733</v>
      </c>
      <c r="M46" s="354" t="s">
        <v>903</v>
      </c>
      <c r="N46" s="93" t="s">
        <v>961</v>
      </c>
    </row>
    <row r="47" spans="1:14" ht="34" x14ac:dyDescent="0.5">
      <c r="A47" s="30" t="str">
        <f>INDEX(Technologieën[Veld],MATCH(aanname_implementatie[[#This Row],[Digitale zorgtoepassing]],Technologieën[Digitale zorgtoepassing],0))</f>
        <v>Software - Behandeling</v>
      </c>
      <c r="B47" s="30" t="s">
        <v>585</v>
      </c>
      <c r="C47" s="30" t="s">
        <v>107</v>
      </c>
      <c r="D47" s="30" t="str" cm="1">
        <f t="array" ref="D47">INDEX(Berekening_patiëntaantal[Direct toepasbaar/extrapolatie/incidentie voor QALY],MATCH(B47,IF(Berekening_patiëntaantal[Doelgroep (zoeksleutel)]=C47,Berekening_patiëntaantal[Digitale zorgtoepassing]),0))</f>
        <v>Huidige toepassing</v>
      </c>
      <c r="E47" s="136" t="s">
        <v>127</v>
      </c>
      <c r="F47" s="399">
        <f>INDEX(factor_implementatie[Huidige implementatiegraad],MATCH(E47,factor_implementatie[Inschatting],0))</f>
        <v>0.4</v>
      </c>
      <c r="G47" s="136" t="s">
        <v>130</v>
      </c>
      <c r="H47" s="400">
        <f>INDEX(factor_implementatie[Mate van innovatie - coëfficient p],MATCH(G47,factor_implementatie[Mate van innovatie],0))</f>
        <v>2.5000000000000001E-2</v>
      </c>
      <c r="I47" s="401">
        <f>INDEX(factor_implementatie[Mate van imitatie - coëfficient q],MATCH(G47,factor_implementatie[Mate van innovatie],0))</f>
        <v>0.45</v>
      </c>
      <c r="J47" s="136">
        <v>0</v>
      </c>
      <c r="K47" s="402">
        <f t="shared" si="0"/>
        <v>0</v>
      </c>
      <c r="L47" s="354" t="s">
        <v>899</v>
      </c>
      <c r="M47" s="354" t="s">
        <v>900</v>
      </c>
      <c r="N47" s="93" t="s">
        <v>961</v>
      </c>
    </row>
    <row r="48" spans="1:14" ht="34" x14ac:dyDescent="0.5">
      <c r="A48" s="30" t="str">
        <f>INDEX(Technologieën[Veld],MATCH(aanname_implementatie[[#This Row],[Digitale zorgtoepassing]],Technologieën[Digitale zorgtoepassing],0))</f>
        <v>Software - Behandeling</v>
      </c>
      <c r="B48" s="30" t="s">
        <v>585</v>
      </c>
      <c r="C48" s="30" t="s">
        <v>583</v>
      </c>
      <c r="D48" s="30" t="str" cm="1">
        <f t="array" ref="D48">INDEX(Berekening_patiëntaantal[Direct toepasbaar/extrapolatie/incidentie voor QALY],MATCH(B48,IF(Berekening_patiëntaantal[Doelgroep (zoeksleutel)]=C48,Berekening_patiëntaantal[Digitale zorgtoepassing]),0))</f>
        <v>Huidige toepassing</v>
      </c>
      <c r="E48" s="136" t="s">
        <v>123</v>
      </c>
      <c r="F48" s="399">
        <f>INDEX(factor_implementatie[Huidige implementatiegraad],MATCH(E48,factor_implementatie[Inschatting],0))</f>
        <v>0</v>
      </c>
      <c r="G48" s="136" t="s">
        <v>128</v>
      </c>
      <c r="H48" s="400">
        <f>INDEX(factor_implementatie[Mate van innovatie - coëfficient p],MATCH(G48,factor_implementatie[Mate van innovatie],0))</f>
        <v>0.02</v>
      </c>
      <c r="I48" s="401">
        <f>INDEX(factor_implementatie[Mate van imitatie - coëfficient q],MATCH(G48,factor_implementatie[Mate van innovatie],0))</f>
        <v>0.4</v>
      </c>
      <c r="J48" s="136">
        <v>0</v>
      </c>
      <c r="K48" s="402">
        <f t="shared" si="0"/>
        <v>0</v>
      </c>
      <c r="L48" s="354" t="s">
        <v>906</v>
      </c>
      <c r="M48" s="354" t="s">
        <v>907</v>
      </c>
      <c r="N48" s="93" t="s">
        <v>961</v>
      </c>
    </row>
    <row r="49" spans="1:14" ht="85" x14ac:dyDescent="0.5">
      <c r="A49" s="30" t="str">
        <f>INDEX(Technologieën[Veld],MATCH(aanname_implementatie[[#This Row],[Digitale zorgtoepassing]],Technologieën[Digitale zorgtoepassing],0))</f>
        <v>Digitale hulpmiddelen - Verpleging</v>
      </c>
      <c r="B49" s="30" t="s">
        <v>58</v>
      </c>
      <c r="C49" s="30" t="s">
        <v>59</v>
      </c>
      <c r="D49" s="30" t="str" cm="1">
        <f t="array" ref="D49">INDEX(Berekening_patiëntaantal[Direct toepasbaar/extrapolatie/incidentie voor QALY],MATCH(B49,IF(Berekening_patiëntaantal[Doelgroep (zoeksleutel)]=C49,Berekening_patiëntaantal[Digitale zorgtoepassing]),0))</f>
        <v>Huidige toepassing</v>
      </c>
      <c r="E49" s="136" t="s">
        <v>127</v>
      </c>
      <c r="F49" s="399">
        <f>INDEX(factor_implementatie[Huidige implementatiegraad],MATCH(E49,factor_implementatie[Inschatting],0))</f>
        <v>0.4</v>
      </c>
      <c r="G49" s="136" t="s">
        <v>130</v>
      </c>
      <c r="H49" s="400">
        <f>INDEX(factor_implementatie[Mate van innovatie - coëfficient p],MATCH(G49,factor_implementatie[Mate van innovatie],0))</f>
        <v>2.5000000000000001E-2</v>
      </c>
      <c r="I49" s="401">
        <f>INDEX(factor_implementatie[Mate van imitatie - coëfficient q],MATCH(G49,factor_implementatie[Mate van innovatie],0))</f>
        <v>0.45</v>
      </c>
      <c r="J49" s="136">
        <v>0</v>
      </c>
      <c r="K49" s="402">
        <f t="shared" si="0"/>
        <v>0</v>
      </c>
      <c r="L49" s="354" t="s">
        <v>867</v>
      </c>
      <c r="M49" s="354" t="s">
        <v>844</v>
      </c>
      <c r="N49" s="93" t="s">
        <v>961</v>
      </c>
    </row>
    <row r="50" spans="1:14" ht="34" x14ac:dyDescent="0.5">
      <c r="A50" s="30" t="str">
        <f>INDEX(Technologieën[Veld],MATCH(aanname_implementatie[[#This Row],[Digitale zorgtoepassing]],Technologieën[Digitale zorgtoepassing],0))</f>
        <v>Digitale hulpmiddelen - Verpleging</v>
      </c>
      <c r="B50" s="30" t="s">
        <v>105</v>
      </c>
      <c r="C50" s="30" t="s">
        <v>106</v>
      </c>
      <c r="D50" s="30" t="s">
        <v>21</v>
      </c>
      <c r="E50" s="136" t="s">
        <v>123</v>
      </c>
      <c r="F50" s="399">
        <f>INDEX(factor_implementatie[Huidige implementatiegraad],MATCH(E50,factor_implementatie[Inschatting],0))</f>
        <v>0</v>
      </c>
      <c r="G50" s="136" t="s">
        <v>126</v>
      </c>
      <c r="H50" s="400">
        <f>INDEX(factor_implementatie[Mate van innovatie - coëfficient p],MATCH(G50,factor_implementatie[Mate van innovatie],0))</f>
        <v>1.4999999999999999E-2</v>
      </c>
      <c r="I50" s="401">
        <f>INDEX(factor_implementatie[Mate van imitatie - coëfficient q],MATCH(G50,factor_implementatie[Mate van innovatie],0))</f>
        <v>0.35</v>
      </c>
      <c r="J50" s="136">
        <v>2</v>
      </c>
      <c r="K50" s="402">
        <f t="shared" si="0"/>
        <v>2</v>
      </c>
      <c r="L50" s="354" t="s">
        <v>835</v>
      </c>
      <c r="M50" s="354" t="s">
        <v>836</v>
      </c>
      <c r="N50" s="93" t="s">
        <v>961</v>
      </c>
    </row>
    <row r="51" spans="1:14" ht="102" x14ac:dyDescent="0.5">
      <c r="A51" s="30" t="str">
        <f>INDEX(Technologieën[Veld],MATCH(aanname_implementatie[[#This Row],[Digitale zorgtoepassing]],Technologieën[Digitale zorgtoepassing],0))</f>
        <v>Digitale hulpmiddelen - Verpleging</v>
      </c>
      <c r="B51" s="30" t="s">
        <v>32</v>
      </c>
      <c r="C51" s="30" t="s">
        <v>33</v>
      </c>
      <c r="D51" s="30" t="str" cm="1">
        <f t="array" ref="D51">INDEX(Berekening_patiëntaantal[Direct toepasbaar/extrapolatie/incidentie voor QALY],MATCH(B51,IF(Berekening_patiëntaantal[Doelgroep (zoeksleutel)]=C51,Berekening_patiëntaantal[Digitale zorgtoepassing]),0))</f>
        <v>Huidige toepassing</v>
      </c>
      <c r="E51" s="136" t="s">
        <v>127</v>
      </c>
      <c r="F51" s="399">
        <f>INDEX(factor_implementatie[Huidige implementatiegraad],MATCH(E51,factor_implementatie[Inschatting],0))</f>
        <v>0.4</v>
      </c>
      <c r="G51" s="136" t="s">
        <v>128</v>
      </c>
      <c r="H51" s="400">
        <f>INDEX(factor_implementatie[Mate van innovatie - coëfficient p],MATCH(G51,factor_implementatie[Mate van innovatie],0))</f>
        <v>0.02</v>
      </c>
      <c r="I51" s="401">
        <f>INDEX(factor_implementatie[Mate van imitatie - coëfficient q],MATCH(G51,factor_implementatie[Mate van innovatie],0))</f>
        <v>0.4</v>
      </c>
      <c r="J51" s="136">
        <v>0</v>
      </c>
      <c r="K51" s="402">
        <f t="shared" si="0"/>
        <v>0</v>
      </c>
      <c r="L51" s="354" t="s">
        <v>868</v>
      </c>
      <c r="M51" s="354" t="s">
        <v>845</v>
      </c>
      <c r="N51" s="93" t="s">
        <v>961</v>
      </c>
    </row>
    <row r="52" spans="1:14" ht="102" x14ac:dyDescent="0.5">
      <c r="A52" s="30" t="str">
        <f>INDEX(Technologieën[Veld],MATCH(aanname_implementatie[[#This Row],[Digitale zorgtoepassing]],Technologieën[Digitale zorgtoepassing],0))</f>
        <v>Digitale hulpmiddelen - Verpleging</v>
      </c>
      <c r="B52" s="30" t="s">
        <v>32</v>
      </c>
      <c r="C52" s="30" t="s">
        <v>602</v>
      </c>
      <c r="D52" s="30" t="str" cm="1">
        <f t="array" ref="D52">INDEX(Berekening_patiëntaantal[Direct toepasbaar/extrapolatie/incidentie voor QALY],MATCH(B52,IF(Berekening_patiëntaantal[Doelgroep (zoeksleutel)]=C52,Berekening_patiëntaantal[Digitale zorgtoepassing]),0))</f>
        <v>Incidentie voor QALY</v>
      </c>
      <c r="E52" s="136" t="s">
        <v>127</v>
      </c>
      <c r="F52" s="399">
        <f>INDEX(factor_implementatie[Huidige implementatiegraad],MATCH(E52,factor_implementatie[Inschatting],0))</f>
        <v>0.4</v>
      </c>
      <c r="G52" s="136" t="s">
        <v>128</v>
      </c>
      <c r="H52" s="400">
        <f>INDEX(factor_implementatie[Mate van innovatie - coëfficient p],MATCH(G52,factor_implementatie[Mate van innovatie],0))</f>
        <v>0.02</v>
      </c>
      <c r="I52" s="401">
        <f>INDEX(factor_implementatie[Mate van imitatie - coëfficient q],MATCH(G52,factor_implementatie[Mate van innovatie],0))</f>
        <v>0.4</v>
      </c>
      <c r="J52" s="136">
        <v>0</v>
      </c>
      <c r="K52" s="402">
        <f t="shared" ref="K52:K75" si="1">IF(E52=$A$5,MAX(J52,0),0)</f>
        <v>0</v>
      </c>
      <c r="L52" s="354" t="s">
        <v>868</v>
      </c>
      <c r="M52" s="354" t="s">
        <v>845</v>
      </c>
      <c r="N52" s="93" t="s">
        <v>961</v>
      </c>
    </row>
    <row r="53" spans="1:14" ht="34" x14ac:dyDescent="0.5">
      <c r="A53" s="30" t="str">
        <f>INDEX(Technologieën[Veld],MATCH(aanname_implementatie[[#This Row],[Digitale zorgtoepassing]],Technologieën[Digitale zorgtoepassing],0))</f>
        <v>Software - Diagnose</v>
      </c>
      <c r="B53" s="30" t="s">
        <v>725</v>
      </c>
      <c r="C53" s="30" t="s">
        <v>99</v>
      </c>
      <c r="D53" s="30" t="str" cm="1">
        <f t="array" ref="D53">INDEX(Berekening_patiëntaantal[Direct toepasbaar/extrapolatie/incidentie voor QALY],MATCH(B53,IF(Berekening_patiëntaantal[Doelgroep (zoeksleutel)]=C53,Berekening_patiëntaantal[Digitale zorgtoepassing]),0))</f>
        <v>Huidige toepassing</v>
      </c>
      <c r="E53" s="136" t="s">
        <v>125</v>
      </c>
      <c r="F53" s="399">
        <f>INDEX(factor_implementatie[Huidige implementatiegraad],MATCH(E53,factor_implementatie[Inschatting],0))</f>
        <v>0.2</v>
      </c>
      <c r="G53" s="136" t="s">
        <v>126</v>
      </c>
      <c r="H53" s="400">
        <f>INDEX(factor_implementatie[Mate van innovatie - coëfficient p],MATCH(G53,factor_implementatie[Mate van innovatie],0))</f>
        <v>1.4999999999999999E-2</v>
      </c>
      <c r="I53" s="401">
        <f>INDEX(factor_implementatie[Mate van imitatie - coëfficient q],MATCH(G53,factor_implementatie[Mate van innovatie],0))</f>
        <v>0.35</v>
      </c>
      <c r="J53" s="136">
        <v>0</v>
      </c>
      <c r="K53" s="402">
        <f t="shared" si="1"/>
        <v>0</v>
      </c>
      <c r="L53" s="354" t="s">
        <v>863</v>
      </c>
      <c r="M53" s="354" t="s">
        <v>864</v>
      </c>
      <c r="N53" s="93" t="s">
        <v>961</v>
      </c>
    </row>
    <row r="54" spans="1:14" ht="34" x14ac:dyDescent="0.5">
      <c r="A54" s="30" t="str">
        <f>INDEX(Technologieën[Veld],MATCH(aanname_implementatie[[#This Row],[Digitale zorgtoepassing]],Technologieën[Digitale zorgtoepassing],0))</f>
        <v>Software - Diagnose</v>
      </c>
      <c r="B54" s="30" t="s">
        <v>720</v>
      </c>
      <c r="C54" s="30" t="s">
        <v>73</v>
      </c>
      <c r="D54" s="30" t="str" cm="1">
        <f t="array" ref="D54">INDEX(Berekening_patiëntaantal[Direct toepasbaar/extrapolatie/incidentie voor QALY],MATCH(B54,IF(Berekening_patiëntaantal[Doelgroep (zoeksleutel)]=C54,Berekening_patiëntaantal[Digitale zorgtoepassing]),0))</f>
        <v>Huidige toepassing</v>
      </c>
      <c r="E54" s="136" t="s">
        <v>125</v>
      </c>
      <c r="F54" s="399">
        <f>INDEX(factor_implementatie[Huidige implementatiegraad],MATCH(E54,factor_implementatie[Inschatting],0))</f>
        <v>0.2</v>
      </c>
      <c r="G54" s="136" t="s">
        <v>126</v>
      </c>
      <c r="H54" s="400">
        <f>INDEX(factor_implementatie[Mate van innovatie - coëfficient p],MATCH(G54,factor_implementatie[Mate van innovatie],0))</f>
        <v>1.4999999999999999E-2</v>
      </c>
      <c r="I54" s="401">
        <f>INDEX(factor_implementatie[Mate van imitatie - coëfficient q],MATCH(G54,factor_implementatie[Mate van innovatie],0))</f>
        <v>0.35</v>
      </c>
      <c r="J54" s="136">
        <v>0</v>
      </c>
      <c r="K54" s="402">
        <f t="shared" si="1"/>
        <v>0</v>
      </c>
      <c r="L54" s="354" t="s">
        <v>863</v>
      </c>
      <c r="M54" s="354" t="s">
        <v>864</v>
      </c>
      <c r="N54" s="93" t="s">
        <v>961</v>
      </c>
    </row>
    <row r="55" spans="1:14" x14ac:dyDescent="0.5">
      <c r="A55" s="30" t="str">
        <f>INDEX(Technologieën[Veld],MATCH(aanname_implementatie[[#This Row],[Digitale zorgtoepassing]],Technologieën[Digitale zorgtoepassing],0))</f>
        <v>Sensoren - Verpleging</v>
      </c>
      <c r="B55" s="30" t="s">
        <v>46</v>
      </c>
      <c r="C55" s="30" t="s">
        <v>20</v>
      </c>
      <c r="D55" s="30" t="str" cm="1">
        <f t="array" ref="D55">INDEX(Berekening_patiëntaantal[Direct toepasbaar/extrapolatie/incidentie voor QALY],MATCH(B55,IF(Berekening_patiëntaantal[Doelgroep (zoeksleutel)]=C55,Berekening_patiëntaantal[Digitale zorgtoepassing]),0))</f>
        <v>Huidige toepassing</v>
      </c>
      <c r="E55" s="136" t="s">
        <v>125</v>
      </c>
      <c r="F55" s="399">
        <f>INDEX(factor_implementatie[Huidige implementatiegraad],MATCH(E55,factor_implementatie[Inschatting],0))</f>
        <v>0.2</v>
      </c>
      <c r="G55" s="136" t="s">
        <v>126</v>
      </c>
      <c r="H55" s="400">
        <f>INDEX(factor_implementatie[Mate van innovatie - coëfficient p],MATCH(G55,factor_implementatie[Mate van innovatie],0))</f>
        <v>1.4999999999999999E-2</v>
      </c>
      <c r="I55" s="401">
        <f>INDEX(factor_implementatie[Mate van imitatie - coëfficient q],MATCH(G55,factor_implementatie[Mate van innovatie],0))</f>
        <v>0.35</v>
      </c>
      <c r="J55" s="136">
        <v>0</v>
      </c>
      <c r="K55" s="402">
        <f t="shared" si="1"/>
        <v>0</v>
      </c>
      <c r="L55" s="354" t="s">
        <v>740</v>
      </c>
      <c r="M55" s="354" t="s">
        <v>739</v>
      </c>
      <c r="N55" s="93" t="s">
        <v>961</v>
      </c>
    </row>
    <row r="56" spans="1:14" x14ac:dyDescent="0.5">
      <c r="A56" s="30" t="str">
        <f>INDEX(Technologieën[Veld],MATCH(aanname_implementatie[[#This Row],[Digitale zorgtoepassing]],Technologieën[Digitale zorgtoepassing],0))</f>
        <v>Sensoren - Verpleging</v>
      </c>
      <c r="B56" s="30" t="s">
        <v>36</v>
      </c>
      <c r="C56" s="30" t="s">
        <v>24</v>
      </c>
      <c r="D56" s="30" t="str" cm="1">
        <f t="array" ref="D56">INDEX(Berekening_patiëntaantal[Direct toepasbaar/extrapolatie/incidentie voor QALY],MATCH(B56,IF(Berekening_patiëntaantal[Doelgroep (zoeksleutel)]=C56,Berekening_patiëntaantal[Digitale zorgtoepassing]),0))</f>
        <v>Extrapolatie</v>
      </c>
      <c r="E56" s="136" t="s">
        <v>123</v>
      </c>
      <c r="F56" s="399">
        <f>INDEX(factor_implementatie[Huidige implementatiegraad],MATCH(E56,factor_implementatie[Inschatting],0))</f>
        <v>0</v>
      </c>
      <c r="G56" s="136" t="s">
        <v>128</v>
      </c>
      <c r="H56" s="400">
        <f>INDEX(factor_implementatie[Mate van innovatie - coëfficient p],MATCH(G56,factor_implementatie[Mate van innovatie],0))</f>
        <v>0.02</v>
      </c>
      <c r="I56" s="401">
        <f>INDEX(factor_implementatie[Mate van imitatie - coëfficient q],MATCH(G56,factor_implementatie[Mate van innovatie],0))</f>
        <v>0.4</v>
      </c>
      <c r="J56" s="136">
        <v>2</v>
      </c>
      <c r="K56" s="402">
        <f t="shared" si="1"/>
        <v>2</v>
      </c>
      <c r="L56" s="354" t="s">
        <v>733</v>
      </c>
      <c r="M56" s="354" t="s">
        <v>741</v>
      </c>
      <c r="N56" s="93" t="s">
        <v>961</v>
      </c>
    </row>
    <row r="57" spans="1:14" x14ac:dyDescent="0.5">
      <c r="A57" s="30" t="str">
        <f>INDEX(Technologieën[Veld],MATCH(aanname_implementatie[[#This Row],[Digitale zorgtoepassing]],Technologieën[Digitale zorgtoepassing],0))</f>
        <v>Sensoren - Verpleging</v>
      </c>
      <c r="B57" s="30" t="s">
        <v>36</v>
      </c>
      <c r="C57" s="30" t="s">
        <v>40</v>
      </c>
      <c r="D57" s="30" t="str" cm="1">
        <f t="array" ref="D57">INDEX(Berekening_patiëntaantal[Direct toepasbaar/extrapolatie/incidentie voor QALY],MATCH(B57,IF(Berekening_patiëntaantal[Doelgroep (zoeksleutel)]=C57,Berekening_patiëntaantal[Digitale zorgtoepassing]),0))</f>
        <v>Extrapolatie</v>
      </c>
      <c r="E57" s="136" t="s">
        <v>123</v>
      </c>
      <c r="F57" s="399">
        <f>INDEX(factor_implementatie[Huidige implementatiegraad],MATCH(E57,factor_implementatie[Inschatting],0))</f>
        <v>0</v>
      </c>
      <c r="G57" s="136" t="s">
        <v>128</v>
      </c>
      <c r="H57" s="400">
        <f>INDEX(factor_implementatie[Mate van innovatie - coëfficient p],MATCH(G57,factor_implementatie[Mate van innovatie],0))</f>
        <v>0.02</v>
      </c>
      <c r="I57" s="401">
        <f>INDEX(factor_implementatie[Mate van imitatie - coëfficient q],MATCH(G57,factor_implementatie[Mate van innovatie],0))</f>
        <v>0.4</v>
      </c>
      <c r="J57" s="136">
        <v>2</v>
      </c>
      <c r="K57" s="402">
        <f t="shared" si="1"/>
        <v>2</v>
      </c>
      <c r="L57" s="354" t="s">
        <v>733</v>
      </c>
      <c r="M57" s="354" t="s">
        <v>741</v>
      </c>
      <c r="N57" s="93" t="s">
        <v>961</v>
      </c>
    </row>
    <row r="58" spans="1:14" x14ac:dyDescent="0.5">
      <c r="A58" s="30" t="str">
        <f>INDEX(Technologieën[Veld],MATCH(aanname_implementatie[[#This Row],[Digitale zorgtoepassing]],Technologieën[Digitale zorgtoepassing],0))</f>
        <v>Sensoren - Verpleging</v>
      </c>
      <c r="B58" s="30" t="s">
        <v>36</v>
      </c>
      <c r="C58" s="30" t="s">
        <v>27</v>
      </c>
      <c r="D58" s="30" t="str" cm="1">
        <f t="array" ref="D58">INDEX(Berekening_patiëntaantal[Direct toepasbaar/extrapolatie/incidentie voor QALY],MATCH(B58,IF(Berekening_patiëntaantal[Doelgroep (zoeksleutel)]=C58,Berekening_patiëntaantal[Digitale zorgtoepassing]),0))</f>
        <v>Extrapolatie</v>
      </c>
      <c r="E58" s="136" t="s">
        <v>123</v>
      </c>
      <c r="F58" s="399">
        <f>INDEX(factor_implementatie[Huidige implementatiegraad],MATCH(E58,factor_implementatie[Inschatting],0))</f>
        <v>0</v>
      </c>
      <c r="G58" s="136" t="s">
        <v>128</v>
      </c>
      <c r="H58" s="400">
        <f>INDEX(factor_implementatie[Mate van innovatie - coëfficient p],MATCH(G58,factor_implementatie[Mate van innovatie],0))</f>
        <v>0.02</v>
      </c>
      <c r="I58" s="401">
        <f>INDEX(factor_implementatie[Mate van imitatie - coëfficient q],MATCH(G58,factor_implementatie[Mate van innovatie],0))</f>
        <v>0.4</v>
      </c>
      <c r="J58" s="136">
        <v>2</v>
      </c>
      <c r="K58" s="402">
        <f t="shared" si="1"/>
        <v>2</v>
      </c>
      <c r="L58" s="354" t="s">
        <v>733</v>
      </c>
      <c r="M58" s="354" t="s">
        <v>741</v>
      </c>
      <c r="N58" s="93" t="s">
        <v>961</v>
      </c>
    </row>
    <row r="59" spans="1:14" x14ac:dyDescent="0.5">
      <c r="A59" s="30" t="str">
        <f>INDEX(Technologieën[Veld],MATCH(aanname_implementatie[[#This Row],[Digitale zorgtoepassing]],Technologieën[Digitale zorgtoepassing],0))</f>
        <v>Sensoren - Verpleging</v>
      </c>
      <c r="B59" s="30" t="s">
        <v>36</v>
      </c>
      <c r="C59" s="30" t="s">
        <v>20</v>
      </c>
      <c r="D59" s="30" t="str" cm="1">
        <f t="array" ref="D59">INDEX(Berekening_patiëntaantal[Direct toepasbaar/extrapolatie/incidentie voor QALY],MATCH(B59,IF(Berekening_patiëntaantal[Doelgroep (zoeksleutel)]=C59,Berekening_patiëntaantal[Digitale zorgtoepassing]),0))</f>
        <v>Huidige toepassing</v>
      </c>
      <c r="E59" s="136" t="s">
        <v>125</v>
      </c>
      <c r="F59" s="399">
        <f>INDEX(factor_implementatie[Huidige implementatiegraad],MATCH(E59,factor_implementatie[Inschatting],0))</f>
        <v>0.2</v>
      </c>
      <c r="G59" s="136" t="s">
        <v>128</v>
      </c>
      <c r="H59" s="400">
        <f>INDEX(factor_implementatie[Mate van innovatie - coëfficient p],MATCH(G59,factor_implementatie[Mate van innovatie],0))</f>
        <v>0.02</v>
      </c>
      <c r="I59" s="401">
        <f>INDEX(factor_implementatie[Mate van imitatie - coëfficient q],MATCH(G59,factor_implementatie[Mate van innovatie],0))</f>
        <v>0.4</v>
      </c>
      <c r="J59" s="136">
        <v>0</v>
      </c>
      <c r="K59" s="402">
        <f t="shared" si="1"/>
        <v>0</v>
      </c>
      <c r="L59" s="354" t="s">
        <v>742</v>
      </c>
      <c r="M59" s="354" t="s">
        <v>741</v>
      </c>
      <c r="N59" s="93" t="s">
        <v>961</v>
      </c>
    </row>
    <row r="60" spans="1:14" x14ac:dyDescent="0.5">
      <c r="A60" s="30" t="str">
        <f>INDEX(Technologieën[Veld],MATCH(aanname_implementatie[[#This Row],[Digitale zorgtoepassing]],Technologieën[Digitale zorgtoepassing],0))</f>
        <v>Digitale hulpmiddelen - Verpleging</v>
      </c>
      <c r="B60" s="30" t="s">
        <v>26</v>
      </c>
      <c r="C60" s="30" t="s">
        <v>24</v>
      </c>
      <c r="D60" s="30" t="str" cm="1">
        <f t="array" ref="D60">INDEX(Berekening_patiëntaantal[Direct toepasbaar/extrapolatie/incidentie voor QALY],MATCH(B60,IF(Berekening_patiëntaantal[Doelgroep (zoeksleutel)]=C60,Berekening_patiëntaantal[Digitale zorgtoepassing]),0))</f>
        <v>Extrapolatie</v>
      </c>
      <c r="E60" s="136" t="s">
        <v>123</v>
      </c>
      <c r="F60" s="399">
        <f>INDEX(factor_implementatie[Huidige implementatiegraad],MATCH(E60,factor_implementatie[Inschatting],0))</f>
        <v>0</v>
      </c>
      <c r="G60" s="136" t="s">
        <v>128</v>
      </c>
      <c r="H60" s="400">
        <f>INDEX(factor_implementatie[Mate van innovatie - coëfficient p],MATCH(G60,factor_implementatie[Mate van innovatie],0))</f>
        <v>0.02</v>
      </c>
      <c r="I60" s="401">
        <f>INDEX(factor_implementatie[Mate van imitatie - coëfficient q],MATCH(G60,factor_implementatie[Mate van innovatie],0))</f>
        <v>0.4</v>
      </c>
      <c r="J60" s="136">
        <v>2</v>
      </c>
      <c r="K60" s="402">
        <f t="shared" si="1"/>
        <v>2</v>
      </c>
      <c r="L60" s="354" t="s">
        <v>733</v>
      </c>
      <c r="M60" s="354" t="s">
        <v>862</v>
      </c>
      <c r="N60" s="93" t="s">
        <v>961</v>
      </c>
    </row>
    <row r="61" spans="1:14" ht="34" x14ac:dyDescent="0.5">
      <c r="A61" s="30" t="str">
        <f>INDEX(Technologieën[Veld],MATCH(aanname_implementatie[[#This Row],[Digitale zorgtoepassing]],Technologieën[Digitale zorgtoepassing],0))</f>
        <v>Digitale hulpmiddelen - Verpleging</v>
      </c>
      <c r="B61" s="30" t="s">
        <v>26</v>
      </c>
      <c r="C61" s="30" t="s">
        <v>20</v>
      </c>
      <c r="D61" s="30" t="str" cm="1">
        <f t="array" ref="D61">INDEX(Berekening_patiëntaantal[Direct toepasbaar/extrapolatie/incidentie voor QALY],MATCH(B61,IF(Berekening_patiëntaantal[Doelgroep (zoeksleutel)]=C61,Berekening_patiëntaantal[Digitale zorgtoepassing]),0))</f>
        <v>Huidige toepassing</v>
      </c>
      <c r="E61" s="136" t="s">
        <v>127</v>
      </c>
      <c r="F61" s="399">
        <f>INDEX(factor_implementatie[Huidige implementatiegraad],MATCH(E61,factor_implementatie[Inschatting],0))</f>
        <v>0.4</v>
      </c>
      <c r="G61" s="136" t="s">
        <v>128</v>
      </c>
      <c r="H61" s="400">
        <f>INDEX(factor_implementatie[Mate van innovatie - coëfficient p],MATCH(G61,factor_implementatie[Mate van innovatie],0))</f>
        <v>0.02</v>
      </c>
      <c r="I61" s="401">
        <f>INDEX(factor_implementatie[Mate van imitatie - coëfficient q],MATCH(G61,factor_implementatie[Mate van innovatie],0))</f>
        <v>0.4</v>
      </c>
      <c r="J61" s="136">
        <v>0</v>
      </c>
      <c r="K61" s="402">
        <f t="shared" si="1"/>
        <v>0</v>
      </c>
      <c r="L61" s="354" t="s">
        <v>962</v>
      </c>
      <c r="M61" s="354" t="s">
        <v>861</v>
      </c>
      <c r="N61" s="93" t="s">
        <v>961</v>
      </c>
    </row>
    <row r="62" spans="1:14" ht="34" x14ac:dyDescent="0.5">
      <c r="A62" s="30" t="str">
        <f>INDEX(Technologieën[Veld],MATCH(aanname_implementatie[[#This Row],[Digitale zorgtoepassing]],Technologieën[Digitale zorgtoepassing],0))</f>
        <v>Digitale hulpmiddelen - Verpleging</v>
      </c>
      <c r="B62" s="30" t="s">
        <v>26</v>
      </c>
      <c r="C62" s="30" t="s">
        <v>27</v>
      </c>
      <c r="D62" s="30" t="str" cm="1">
        <f t="array" ref="D62">INDEX(Berekening_patiëntaantal[Direct toepasbaar/extrapolatie/incidentie voor QALY],MATCH(B62,IF(Berekening_patiëntaantal[Doelgroep (zoeksleutel)]=C62,Berekening_patiëntaantal[Digitale zorgtoepassing]),0))</f>
        <v>Huidige toepassing</v>
      </c>
      <c r="E62" s="136" t="s">
        <v>127</v>
      </c>
      <c r="F62" s="399">
        <f>INDEX(factor_implementatie[Huidige implementatiegraad],MATCH(E62,factor_implementatie[Inschatting],0))</f>
        <v>0.4</v>
      </c>
      <c r="G62" s="136" t="s">
        <v>128</v>
      </c>
      <c r="H62" s="400">
        <f>INDEX(factor_implementatie[Mate van innovatie - coëfficient p],MATCH(G62,factor_implementatie[Mate van innovatie],0))</f>
        <v>0.02</v>
      </c>
      <c r="I62" s="401">
        <f>INDEX(factor_implementatie[Mate van imitatie - coëfficient q],MATCH(G62,factor_implementatie[Mate van innovatie],0))</f>
        <v>0.4</v>
      </c>
      <c r="J62" s="136">
        <v>0</v>
      </c>
      <c r="K62" s="402">
        <f t="shared" si="1"/>
        <v>0</v>
      </c>
      <c r="L62" s="354" t="s">
        <v>962</v>
      </c>
      <c r="M62" s="354" t="s">
        <v>861</v>
      </c>
      <c r="N62" s="93" t="s">
        <v>961</v>
      </c>
    </row>
    <row r="63" spans="1:14" ht="34" x14ac:dyDescent="0.5">
      <c r="A63" s="30" t="str">
        <f>INDEX(Technologieën[Veld],MATCH(aanname_implementatie[[#This Row],[Digitale zorgtoepassing]],Technologieën[Digitale zorgtoepassing],0))</f>
        <v>Digitale hulpmiddelen - Verpleging</v>
      </c>
      <c r="B63" s="30" t="s">
        <v>26</v>
      </c>
      <c r="C63" s="30" t="s">
        <v>29</v>
      </c>
      <c r="D63" s="30" t="str" cm="1">
        <f t="array" ref="D63">INDEX(Berekening_patiëntaantal[Direct toepasbaar/extrapolatie/incidentie voor QALY],MATCH(B63,IF(Berekening_patiëntaantal[Doelgroep (zoeksleutel)]=C63,Berekening_patiëntaantal[Digitale zorgtoepassing]),0))</f>
        <v>Huidige toepassing</v>
      </c>
      <c r="E63" s="136" t="s">
        <v>127</v>
      </c>
      <c r="F63" s="399">
        <f>INDEX(factor_implementatie[Huidige implementatiegraad],MATCH(E63,factor_implementatie[Inschatting],0))</f>
        <v>0.4</v>
      </c>
      <c r="G63" s="136" t="s">
        <v>128</v>
      </c>
      <c r="H63" s="400">
        <f>INDEX(factor_implementatie[Mate van innovatie - coëfficient p],MATCH(G63,factor_implementatie[Mate van innovatie],0))</f>
        <v>0.02</v>
      </c>
      <c r="I63" s="401">
        <f>INDEX(factor_implementatie[Mate van imitatie - coëfficient q],MATCH(G63,factor_implementatie[Mate van innovatie],0))</f>
        <v>0.4</v>
      </c>
      <c r="J63" s="136">
        <v>0</v>
      </c>
      <c r="K63" s="402">
        <f t="shared" si="1"/>
        <v>0</v>
      </c>
      <c r="L63" s="354" t="s">
        <v>962</v>
      </c>
      <c r="M63" s="354" t="s">
        <v>861</v>
      </c>
      <c r="N63" s="93" t="s">
        <v>961</v>
      </c>
    </row>
    <row r="64" spans="1:14" ht="85" x14ac:dyDescent="0.5">
      <c r="A64" s="30" t="str">
        <f>INDEX(Technologieën[Veld],MATCH(aanname_implementatie[[#This Row],[Digitale zorgtoepassing]],Technologieën[Digitale zorgtoepassing],0))</f>
        <v>Digitale hulpmiddelen - Diagnose</v>
      </c>
      <c r="B64" s="30" t="s">
        <v>78</v>
      </c>
      <c r="C64" s="30" t="s">
        <v>79</v>
      </c>
      <c r="D64" s="30" t="str" cm="1">
        <f t="array" ref="D64">INDEX(Berekening_patiëntaantal[Direct toepasbaar/extrapolatie/incidentie voor QALY],MATCH(B64,IF(Berekening_patiëntaantal[Doelgroep (zoeksleutel)]=C64,Berekening_patiëntaantal[Digitale zorgtoepassing]),0))</f>
        <v>Huidige toepassing</v>
      </c>
      <c r="E64" s="136" t="s">
        <v>125</v>
      </c>
      <c r="F64" s="399">
        <f>INDEX(factor_implementatie[Huidige implementatiegraad],MATCH(E64,factor_implementatie[Inschatting],0))</f>
        <v>0.2</v>
      </c>
      <c r="G64" s="136" t="s">
        <v>130</v>
      </c>
      <c r="H64" s="400">
        <f>INDEX(factor_implementatie[Mate van innovatie - coëfficient p],MATCH(G64,factor_implementatie[Mate van innovatie],0))</f>
        <v>2.5000000000000001E-2</v>
      </c>
      <c r="I64" s="401">
        <f>INDEX(factor_implementatie[Mate van imitatie - coëfficient q],MATCH(G64,factor_implementatie[Mate van innovatie],0))</f>
        <v>0.45</v>
      </c>
      <c r="J64" s="136">
        <v>0</v>
      </c>
      <c r="K64" s="402">
        <f t="shared" si="1"/>
        <v>0</v>
      </c>
      <c r="L64" s="354" t="s">
        <v>869</v>
      </c>
      <c r="M64" s="354" t="s">
        <v>883</v>
      </c>
      <c r="N64" s="93" t="s">
        <v>961</v>
      </c>
    </row>
    <row r="65" spans="1:14" ht="85" x14ac:dyDescent="0.5">
      <c r="A65" s="30" t="str">
        <f>INDEX(Technologieën[Veld],MATCH(aanname_implementatie[[#This Row],[Digitale zorgtoepassing]],Technologieën[Digitale zorgtoepassing],0))</f>
        <v>Digitale hulpmiddelen - Diagnose</v>
      </c>
      <c r="B65" s="30" t="s">
        <v>78</v>
      </c>
      <c r="C65" s="30" t="s">
        <v>699</v>
      </c>
      <c r="D65" s="30" t="str" cm="1">
        <f t="array" ref="D65">INDEX(Berekening_patiëntaantal[Direct toepasbaar/extrapolatie/incidentie voor QALY],MATCH(B65,IF(Berekening_patiëntaantal[Doelgroep (zoeksleutel)]=C65,Berekening_patiëntaantal[Digitale zorgtoepassing]),0))</f>
        <v>Huidige toepassing</v>
      </c>
      <c r="E65" s="136" t="s">
        <v>125</v>
      </c>
      <c r="F65" s="399">
        <f>INDEX(factor_implementatie[Huidige implementatiegraad],MATCH(E65,factor_implementatie[Inschatting],0))</f>
        <v>0.2</v>
      </c>
      <c r="G65" s="136" t="s">
        <v>130</v>
      </c>
      <c r="H65" s="400">
        <f>INDEX(factor_implementatie[Mate van innovatie - coëfficient p],MATCH(G65,factor_implementatie[Mate van innovatie],0))</f>
        <v>2.5000000000000001E-2</v>
      </c>
      <c r="I65" s="401">
        <f>INDEX(factor_implementatie[Mate van imitatie - coëfficient q],MATCH(G65,factor_implementatie[Mate van innovatie],0))</f>
        <v>0.45</v>
      </c>
      <c r="J65" s="136">
        <v>0</v>
      </c>
      <c r="K65" s="402">
        <f t="shared" si="1"/>
        <v>0</v>
      </c>
      <c r="L65" s="354" t="s">
        <v>869</v>
      </c>
      <c r="M65" s="354" t="s">
        <v>883</v>
      </c>
      <c r="N65" s="93" t="s">
        <v>961</v>
      </c>
    </row>
    <row r="66" spans="1:14" ht="85" x14ac:dyDescent="0.5">
      <c r="A66" s="30" t="str">
        <f>INDEX(Technologieën[Veld],MATCH(aanname_implementatie[[#This Row],[Digitale zorgtoepassing]],Technologieën[Digitale zorgtoepassing],0))</f>
        <v>Digitale hulpmiddelen - Diagnose</v>
      </c>
      <c r="B66" s="30" t="s">
        <v>82</v>
      </c>
      <c r="C66" s="30" t="s">
        <v>703</v>
      </c>
      <c r="D66" s="30" t="str" cm="1">
        <f t="array" ref="D66">INDEX(Berekening_patiëntaantal[Direct toepasbaar/extrapolatie/incidentie voor QALY],MATCH(B66,IF(Berekening_patiëntaantal[Doelgroep (zoeksleutel)]=C66,Berekening_patiëntaantal[Digitale zorgtoepassing]),0))</f>
        <v>Huidige toepassing</v>
      </c>
      <c r="E66" s="136" t="s">
        <v>127</v>
      </c>
      <c r="F66" s="399">
        <f>INDEX(factor_implementatie[Huidige implementatiegraad],MATCH(E66,factor_implementatie[Inschatting],0))</f>
        <v>0.4</v>
      </c>
      <c r="G66" s="136" t="s">
        <v>128</v>
      </c>
      <c r="H66" s="400">
        <f>INDEX(factor_implementatie[Mate van innovatie - coëfficient p],MATCH(G66,factor_implementatie[Mate van innovatie],0))</f>
        <v>0.02</v>
      </c>
      <c r="I66" s="401">
        <f>INDEX(factor_implementatie[Mate van imitatie - coëfficient q],MATCH(G66,factor_implementatie[Mate van innovatie],0))</f>
        <v>0.4</v>
      </c>
      <c r="J66" s="136">
        <v>0</v>
      </c>
      <c r="K66" s="402">
        <f t="shared" si="1"/>
        <v>0</v>
      </c>
      <c r="L66" s="354" t="s">
        <v>870</v>
      </c>
      <c r="M66" s="354" t="s">
        <v>871</v>
      </c>
      <c r="N66" s="93" t="s">
        <v>961</v>
      </c>
    </row>
    <row r="67" spans="1:14" ht="85" x14ac:dyDescent="0.5">
      <c r="A67" s="30" t="str">
        <f>INDEX(Technologieën[Veld],MATCH(aanname_implementatie[[#This Row],[Digitale zorgtoepassing]],Technologieën[Digitale zorgtoepassing],0))</f>
        <v>Digitale hulpmiddelen - Diagnose</v>
      </c>
      <c r="B67" s="30" t="s">
        <v>82</v>
      </c>
      <c r="C67" s="30" t="s">
        <v>702</v>
      </c>
      <c r="D67" s="30" t="str" cm="1">
        <f t="array" ref="D67">INDEX(Berekening_patiëntaantal[Direct toepasbaar/extrapolatie/incidentie voor QALY],MATCH(B67,IF(Berekening_patiëntaantal[Doelgroep (zoeksleutel)]=C67,Berekening_patiëntaantal[Digitale zorgtoepassing]),0))</f>
        <v>Huidige toepassing</v>
      </c>
      <c r="E67" s="136" t="s">
        <v>127</v>
      </c>
      <c r="F67" s="399">
        <f>INDEX(factor_implementatie[Huidige implementatiegraad],MATCH(E67,factor_implementatie[Inschatting],0))</f>
        <v>0.4</v>
      </c>
      <c r="G67" s="136" t="s">
        <v>128</v>
      </c>
      <c r="H67" s="400">
        <f>INDEX(factor_implementatie[Mate van innovatie - coëfficient p],MATCH(G67,factor_implementatie[Mate van innovatie],0))</f>
        <v>0.02</v>
      </c>
      <c r="I67" s="401">
        <f>INDEX(factor_implementatie[Mate van imitatie - coëfficient q],MATCH(G67,factor_implementatie[Mate van innovatie],0))</f>
        <v>0.4</v>
      </c>
      <c r="J67" s="136">
        <v>0</v>
      </c>
      <c r="K67" s="402">
        <f t="shared" si="1"/>
        <v>0</v>
      </c>
      <c r="L67" s="354" t="s">
        <v>870</v>
      </c>
      <c r="M67" s="354" t="s">
        <v>871</v>
      </c>
      <c r="N67" s="93" t="s">
        <v>961</v>
      </c>
    </row>
    <row r="68" spans="1:14" ht="68" x14ac:dyDescent="0.5">
      <c r="A68" s="30" t="str">
        <f>INDEX(Technologieën[Veld],MATCH(aanname_implementatie[[#This Row],[Digitale zorgtoepassing]],Technologieën[Digitale zorgtoepassing],0))</f>
        <v>Sensoren - Behandeling</v>
      </c>
      <c r="B68" s="30" t="s">
        <v>88</v>
      </c>
      <c r="C68" s="30" t="s">
        <v>89</v>
      </c>
      <c r="D68" s="30" t="str" cm="1">
        <f t="array" ref="D68">INDEX(Berekening_patiëntaantal[Direct toepasbaar/extrapolatie/incidentie voor QALY],MATCH(B68,IF(Berekening_patiëntaantal[Doelgroep (zoeksleutel)]=C68,Berekening_patiëntaantal[Digitale zorgtoepassing]),0))</f>
        <v>Huidige toepassing</v>
      </c>
      <c r="E68" s="136" t="s">
        <v>131</v>
      </c>
      <c r="F68" s="399">
        <f>INDEX(factor_implementatie[Huidige implementatiegraad],MATCH(E68,factor_implementatie[Inschatting],0))</f>
        <v>0.8</v>
      </c>
      <c r="G68" s="136" t="s">
        <v>130</v>
      </c>
      <c r="H68" s="400">
        <f>INDEX(factor_implementatie[Mate van innovatie - coëfficient p],MATCH(G68,factor_implementatie[Mate van innovatie],0))</f>
        <v>2.5000000000000001E-2</v>
      </c>
      <c r="I68" s="401">
        <f>INDEX(factor_implementatie[Mate van imitatie - coëfficient q],MATCH(G68,factor_implementatie[Mate van innovatie],0))</f>
        <v>0.45</v>
      </c>
      <c r="J68" s="136">
        <v>0</v>
      </c>
      <c r="K68" s="402">
        <f t="shared" si="1"/>
        <v>0</v>
      </c>
      <c r="L68" s="354" t="s">
        <v>913</v>
      </c>
      <c r="M68" s="354" t="s">
        <v>909</v>
      </c>
      <c r="N68" s="93" t="s">
        <v>961</v>
      </c>
    </row>
    <row r="69" spans="1:14" ht="34" x14ac:dyDescent="0.5">
      <c r="A69" s="30" t="str">
        <f>INDEX(Technologieën[Veld],MATCH(aanname_implementatie[[#This Row],[Digitale zorgtoepassing]],Technologieën[Digitale zorgtoepassing],0))</f>
        <v>Sensoren - Behandeling</v>
      </c>
      <c r="B69" s="30" t="s">
        <v>88</v>
      </c>
      <c r="C69" s="30" t="s">
        <v>91</v>
      </c>
      <c r="D69" s="30" t="str" cm="1">
        <f t="array" ref="D69">INDEX(Berekening_patiëntaantal[Direct toepasbaar/extrapolatie/incidentie voor QALY],MATCH(B69,IF(Berekening_patiëntaantal[Doelgroep (zoeksleutel)]=C69,Berekening_patiëntaantal[Digitale zorgtoepassing]),0))</f>
        <v>Huidige toepassing</v>
      </c>
      <c r="E69" s="136" t="s">
        <v>129</v>
      </c>
      <c r="F69" s="399">
        <f>INDEX(factor_implementatie[Huidige implementatiegraad],MATCH(E69,factor_implementatie[Inschatting],0))</f>
        <v>0.6</v>
      </c>
      <c r="G69" s="136" t="s">
        <v>130</v>
      </c>
      <c r="H69" s="400">
        <f>INDEX(factor_implementatie[Mate van innovatie - coëfficient p],MATCH(G69,factor_implementatie[Mate van innovatie],0))</f>
        <v>2.5000000000000001E-2</v>
      </c>
      <c r="I69" s="401">
        <f>INDEX(factor_implementatie[Mate van imitatie - coëfficient q],MATCH(G69,factor_implementatie[Mate van innovatie],0))</f>
        <v>0.45</v>
      </c>
      <c r="J69" s="136">
        <v>0</v>
      </c>
      <c r="K69" s="402">
        <f t="shared" si="1"/>
        <v>0</v>
      </c>
      <c r="L69" s="354" t="s">
        <v>908</v>
      </c>
      <c r="M69" s="354" t="s">
        <v>909</v>
      </c>
      <c r="N69" s="93" t="s">
        <v>961</v>
      </c>
    </row>
    <row r="70" spans="1:14" ht="34" x14ac:dyDescent="0.5">
      <c r="A70" s="30" t="str">
        <f>INDEX(Technologieën[Veld],MATCH(aanname_implementatie[[#This Row],[Digitale zorgtoepassing]],Technologieën[Digitale zorgtoepassing],0))</f>
        <v>Sensoren - Verpleging</v>
      </c>
      <c r="B70" s="30" t="s">
        <v>42</v>
      </c>
      <c r="C70" s="30" t="s">
        <v>44</v>
      </c>
      <c r="D70" s="30" t="str" cm="1">
        <f t="array" ref="D70">INDEX(Berekening_patiëntaantal[Direct toepasbaar/extrapolatie/incidentie voor QALY],MATCH(B70,IF(Berekening_patiëntaantal[Doelgroep (zoeksleutel)]=C70,Berekening_patiëntaantal[Digitale zorgtoepassing]),0))</f>
        <v>Extrapolatie</v>
      </c>
      <c r="E70" s="136" t="s">
        <v>123</v>
      </c>
      <c r="F70" s="399">
        <f>INDEX(factor_implementatie[Huidige implementatiegraad],MATCH(E70,factor_implementatie[Inschatting],0))</f>
        <v>0</v>
      </c>
      <c r="G70" s="136" t="s">
        <v>130</v>
      </c>
      <c r="H70" s="400">
        <f>INDEX(factor_implementatie[Mate van innovatie - coëfficient p],MATCH(G70,factor_implementatie[Mate van innovatie],0))</f>
        <v>2.5000000000000001E-2</v>
      </c>
      <c r="I70" s="401">
        <f>INDEX(factor_implementatie[Mate van imitatie - coëfficient q],MATCH(G70,factor_implementatie[Mate van innovatie],0))</f>
        <v>0.45</v>
      </c>
      <c r="J70" s="136">
        <v>1</v>
      </c>
      <c r="K70" s="402">
        <f t="shared" si="1"/>
        <v>1</v>
      </c>
      <c r="L70" s="354" t="s">
        <v>733</v>
      </c>
      <c r="M70" s="354" t="s">
        <v>744</v>
      </c>
      <c r="N70" s="93" t="s">
        <v>961</v>
      </c>
    </row>
    <row r="71" spans="1:14" ht="34" x14ac:dyDescent="0.5">
      <c r="A71" s="30" t="str">
        <f>INDEX(Technologieën[Veld],MATCH(aanname_implementatie[[#This Row],[Digitale zorgtoepassing]],Technologieën[Digitale zorgtoepassing],0))</f>
        <v>Sensoren - Verpleging</v>
      </c>
      <c r="B71" s="30" t="s">
        <v>42</v>
      </c>
      <c r="C71" s="30" t="s">
        <v>348</v>
      </c>
      <c r="D71" s="30" t="str" cm="1">
        <f t="array" ref="D71">INDEX(Berekening_patiëntaantal[Direct toepasbaar/extrapolatie/incidentie voor QALY],MATCH(B71,IF(Berekening_patiëntaantal[Doelgroep (zoeksleutel)]=C71,Berekening_patiëntaantal[Digitale zorgtoepassing]),0))</f>
        <v>Huidige toepassing</v>
      </c>
      <c r="E71" s="136" t="s">
        <v>127</v>
      </c>
      <c r="F71" s="399">
        <f>INDEX(factor_implementatie[Huidige implementatiegraad],MATCH(E71,factor_implementatie[Inschatting],0))</f>
        <v>0.4</v>
      </c>
      <c r="G71" s="136" t="s">
        <v>130</v>
      </c>
      <c r="H71" s="400">
        <f>INDEX(factor_implementatie[Mate van innovatie - coëfficient p],MATCH(G71,factor_implementatie[Mate van innovatie],0))</f>
        <v>2.5000000000000001E-2</v>
      </c>
      <c r="I71" s="401">
        <f>INDEX(factor_implementatie[Mate van imitatie - coëfficient q],MATCH(G71,factor_implementatie[Mate van innovatie],0))</f>
        <v>0.45</v>
      </c>
      <c r="J71" s="136">
        <v>0</v>
      </c>
      <c r="K71" s="402">
        <f t="shared" si="1"/>
        <v>0</v>
      </c>
      <c r="L71" s="355" t="s">
        <v>743</v>
      </c>
      <c r="M71" s="354" t="s">
        <v>744</v>
      </c>
      <c r="N71" s="93" t="s">
        <v>961</v>
      </c>
    </row>
    <row r="72" spans="1:14" ht="34" x14ac:dyDescent="0.5">
      <c r="A72" s="30" t="str">
        <f>INDEX(Technologieën[Veld],MATCH(aanname_implementatie[[#This Row],[Digitale zorgtoepassing]],Technologieën[Digitale zorgtoepassing],0))</f>
        <v>Sensoren - Verpleging</v>
      </c>
      <c r="B72" s="30" t="s">
        <v>61</v>
      </c>
      <c r="C72" s="30" t="s">
        <v>385</v>
      </c>
      <c r="D72" s="30" t="str" cm="1">
        <f t="array" ref="D72">INDEX(Berekening_patiëntaantal[Direct toepasbaar/extrapolatie/incidentie voor QALY],MATCH(B72,IF(Berekening_patiëntaantal[Doelgroep (zoeksleutel)]=C72,Berekening_patiëntaantal[Digitale zorgtoepassing]),0))</f>
        <v>Extrapolatie</v>
      </c>
      <c r="E72" s="136" t="s">
        <v>123</v>
      </c>
      <c r="F72" s="399">
        <f>INDEX(factor_implementatie[Huidige implementatiegraad],MATCH(E72,factor_implementatie[Inschatting],0))</f>
        <v>0</v>
      </c>
      <c r="G72" s="136" t="s">
        <v>128</v>
      </c>
      <c r="H72" s="400">
        <f>INDEX(factor_implementatie[Mate van innovatie - coëfficient p],MATCH(G72,factor_implementatie[Mate van innovatie],0))</f>
        <v>0.02</v>
      </c>
      <c r="I72" s="401">
        <f>INDEX(factor_implementatie[Mate van imitatie - coëfficient q],MATCH(G72,factor_implementatie[Mate van innovatie],0))</f>
        <v>0.4</v>
      </c>
      <c r="J72" s="136">
        <v>1</v>
      </c>
      <c r="K72" s="402">
        <f t="shared" si="1"/>
        <v>1</v>
      </c>
      <c r="L72" s="354" t="s">
        <v>733</v>
      </c>
      <c r="M72" s="354" t="s">
        <v>746</v>
      </c>
      <c r="N72" s="93" t="s">
        <v>961</v>
      </c>
    </row>
    <row r="73" spans="1:14" ht="34" x14ac:dyDescent="0.5">
      <c r="A73" s="30" t="str">
        <f>INDEX(Technologieën[Veld],MATCH(aanname_implementatie[[#This Row],[Digitale zorgtoepassing]],Technologieën[Digitale zorgtoepassing],0))</f>
        <v>Sensoren - Verpleging</v>
      </c>
      <c r="B73" s="30" t="s">
        <v>61</v>
      </c>
      <c r="C73" s="30" t="s">
        <v>62</v>
      </c>
      <c r="D73" s="30" t="str" cm="1">
        <f t="array" ref="D73">INDEX(Berekening_patiëntaantal[Direct toepasbaar/extrapolatie/incidentie voor QALY],MATCH(B73,IF(Berekening_patiëntaantal[Doelgroep (zoeksleutel)]=C73,Berekening_patiëntaantal[Digitale zorgtoepassing]),0))</f>
        <v>Huidige toepassing</v>
      </c>
      <c r="E73" s="136" t="s">
        <v>127</v>
      </c>
      <c r="F73" s="399">
        <f>INDEX(factor_implementatie[Huidige implementatiegraad],MATCH(E73,factor_implementatie[Inschatting],0))</f>
        <v>0.4</v>
      </c>
      <c r="G73" s="136" t="s">
        <v>128</v>
      </c>
      <c r="H73" s="400">
        <f>INDEX(factor_implementatie[Mate van innovatie - coëfficient p],MATCH(G73,factor_implementatie[Mate van innovatie],0))</f>
        <v>0.02</v>
      </c>
      <c r="I73" s="401">
        <f>INDEX(factor_implementatie[Mate van imitatie - coëfficient q],MATCH(G73,factor_implementatie[Mate van innovatie],0))</f>
        <v>0.4</v>
      </c>
      <c r="J73" s="136">
        <v>0</v>
      </c>
      <c r="K73" s="402">
        <f t="shared" si="1"/>
        <v>0</v>
      </c>
      <c r="L73" s="354" t="s">
        <v>745</v>
      </c>
      <c r="M73" s="354" t="s">
        <v>746</v>
      </c>
      <c r="N73" s="93" t="s">
        <v>961</v>
      </c>
    </row>
    <row r="74" spans="1:14" ht="34" x14ac:dyDescent="0.5">
      <c r="A74" s="30" t="str">
        <f>INDEX(Technologieën[Veld],MATCH(aanname_implementatie[[#This Row],[Digitale zorgtoepassing]],Technologieën[Digitale zorgtoepassing],0))</f>
        <v>Sensoren - Behandeling</v>
      </c>
      <c r="B74" s="30" t="s">
        <v>53</v>
      </c>
      <c r="C74" s="30" t="s">
        <v>54</v>
      </c>
      <c r="D74" s="30" t="str" cm="1">
        <f t="array" ref="D74">INDEX(Berekening_patiëntaantal[Direct toepasbaar/extrapolatie/incidentie voor QALY],MATCH(B74,IF(Berekening_patiëntaantal[Doelgroep (zoeksleutel)]=C74,Berekening_patiëntaantal[Digitale zorgtoepassing]),0))</f>
        <v>Huidige toepassing</v>
      </c>
      <c r="E74" s="136" t="s">
        <v>127</v>
      </c>
      <c r="F74" s="399">
        <f>INDEX(factor_implementatie[Huidige implementatiegraad],MATCH(E74,factor_implementatie[Inschatting],0))</f>
        <v>0.4</v>
      </c>
      <c r="G74" s="136" t="s">
        <v>128</v>
      </c>
      <c r="H74" s="400">
        <f>INDEX(factor_implementatie[Mate van innovatie - coëfficient p],MATCH(G74,factor_implementatie[Mate van innovatie],0))</f>
        <v>0.02</v>
      </c>
      <c r="I74" s="401">
        <f>INDEX(factor_implementatie[Mate van imitatie - coëfficient q],MATCH(G74,factor_implementatie[Mate van innovatie],0))</f>
        <v>0.4</v>
      </c>
      <c r="J74" s="136">
        <v>0</v>
      </c>
      <c r="K74" s="402">
        <f t="shared" si="1"/>
        <v>0</v>
      </c>
      <c r="L74" s="354" t="s">
        <v>914</v>
      </c>
      <c r="M74" s="224"/>
      <c r="N74" s="93" t="s">
        <v>961</v>
      </c>
    </row>
    <row r="75" spans="1:14" ht="34" x14ac:dyDescent="0.5">
      <c r="A75" s="30" t="str">
        <f>INDEX(Technologieën[Veld],MATCH(aanname_implementatie[[#This Row],[Digitale zorgtoepassing]],Technologieën[Digitale zorgtoepassing],0))</f>
        <v>Sensoren - Behandeling</v>
      </c>
      <c r="B75" s="30" t="s">
        <v>53</v>
      </c>
      <c r="C75" s="30" t="s">
        <v>55</v>
      </c>
      <c r="D75" s="30" t="str" cm="1">
        <f t="array" ref="D75">INDEX(Berekening_patiëntaantal[Direct toepasbaar/extrapolatie/incidentie voor QALY],MATCH(B75,IF(Berekening_patiëntaantal[Doelgroep (zoeksleutel)]=C75,Berekening_patiëntaantal[Digitale zorgtoepassing]),0))</f>
        <v>Huidige toepassing</v>
      </c>
      <c r="E75" s="136" t="s">
        <v>127</v>
      </c>
      <c r="F75" s="399">
        <f>INDEX(factor_implementatie[Huidige implementatiegraad],MATCH(E75,factor_implementatie[Inschatting],0))</f>
        <v>0.4</v>
      </c>
      <c r="G75" s="136" t="s">
        <v>128</v>
      </c>
      <c r="H75" s="400">
        <f>INDEX(factor_implementatie[Mate van innovatie - coëfficient p],MATCH(G75,factor_implementatie[Mate van innovatie],0))</f>
        <v>0.02</v>
      </c>
      <c r="I75" s="401">
        <f>INDEX(factor_implementatie[Mate van imitatie - coëfficient q],MATCH(G75,factor_implementatie[Mate van innovatie],0))</f>
        <v>0.4</v>
      </c>
      <c r="J75" s="136">
        <v>0</v>
      </c>
      <c r="K75" s="402">
        <f t="shared" si="1"/>
        <v>0</v>
      </c>
      <c r="L75" s="354" t="s">
        <v>914</v>
      </c>
      <c r="M75" s="224"/>
      <c r="N75" s="93" t="s">
        <v>961</v>
      </c>
    </row>
    <row r="76" spans="1:14" x14ac:dyDescent="0.5">
      <c r="A76" s="30" t="str">
        <f>INDEX(Technologieën[Veld],MATCH(aanname_implementatie[[#This Row],[Digitale zorgtoepassing]],Technologieën[Digitale zorgtoepassing],0))</f>
        <v>Sensoren - Behandeling</v>
      </c>
      <c r="B76" s="30" t="s">
        <v>53</v>
      </c>
      <c r="C76" s="30" t="s">
        <v>722</v>
      </c>
      <c r="D76" s="30" t="str" cm="1">
        <f t="array" ref="D76">INDEX(Berekening_patiëntaantal[Direct toepasbaar/extrapolatie/incidentie voor QALY],MATCH(B76,IF(Berekening_patiëntaantal[Doelgroep (zoeksleutel)]=C76,Berekening_patiëntaantal[Digitale zorgtoepassing]),0))</f>
        <v>Extrapolatie</v>
      </c>
      <c r="E76" s="136" t="s">
        <v>123</v>
      </c>
      <c r="F76" s="399">
        <f>INDEX(factor_implementatie[Huidige implementatiegraad],MATCH(E76,factor_implementatie[Inschatting],0))</f>
        <v>0</v>
      </c>
      <c r="G76" s="136" t="s">
        <v>128</v>
      </c>
      <c r="H76" s="400">
        <f>INDEX(factor_implementatie[Mate van innovatie - coëfficient p],MATCH(G76,factor_implementatie[Mate van innovatie],0))</f>
        <v>0.02</v>
      </c>
      <c r="I76" s="401">
        <f>INDEX(factor_implementatie[Mate van imitatie - coëfficient q],MATCH(G76,factor_implementatie[Mate van innovatie],0))</f>
        <v>0.4</v>
      </c>
      <c r="J76" s="136">
        <v>0</v>
      </c>
      <c r="K76" s="402">
        <v>2</v>
      </c>
      <c r="L76" s="354" t="s">
        <v>733</v>
      </c>
      <c r="M76" s="224" t="s">
        <v>910</v>
      </c>
      <c r="N76" s="93" t="s">
        <v>961</v>
      </c>
    </row>
    <row r="77" spans="1:14" ht="34" x14ac:dyDescent="0.5">
      <c r="A77" s="30" t="str">
        <f>INDEX(Technologieën[Veld],MATCH(aanname_implementatie[[#This Row],[Digitale zorgtoepassing]],Technologieën[Digitale zorgtoepassing],0))</f>
        <v>Software - Behandeling</v>
      </c>
      <c r="B77" s="30" t="s">
        <v>101</v>
      </c>
      <c r="C77" s="30" t="s">
        <v>83</v>
      </c>
      <c r="D77" s="30" t="str" cm="1">
        <f t="array" ref="D77">INDEX(Berekening_patiëntaantal[Direct toepasbaar/extrapolatie/incidentie voor QALY],MATCH(B77,IF(Berekening_patiëntaantal[Doelgroep (zoeksleutel)]=C77,Berekening_patiëntaantal[Digitale zorgtoepassing]),0))</f>
        <v>Huidige toepassing</v>
      </c>
      <c r="E77" s="136" t="s">
        <v>125</v>
      </c>
      <c r="F77" s="399">
        <f>INDEX(factor_implementatie[Huidige implementatiegraad],MATCH(E77,factor_implementatie[Inschatting],0))</f>
        <v>0.2</v>
      </c>
      <c r="G77" s="136" t="s">
        <v>124</v>
      </c>
      <c r="H77" s="400">
        <f>INDEX(factor_implementatie[Mate van innovatie - coëfficient p],MATCH(G77,factor_implementatie[Mate van innovatie],0))</f>
        <v>0.01</v>
      </c>
      <c r="I77" s="401">
        <f>INDEX(factor_implementatie[Mate van imitatie - coëfficient q],MATCH(G77,factor_implementatie[Mate van innovatie],0))</f>
        <v>0.3</v>
      </c>
      <c r="J77" s="136">
        <v>0</v>
      </c>
      <c r="K77" s="402">
        <f t="shared" ref="K77:K84" si="2">IF(E77=$A$5,MAX(J77,0),0)</f>
        <v>0</v>
      </c>
      <c r="L77" s="356" t="s">
        <v>911</v>
      </c>
      <c r="M77" s="224" t="s">
        <v>912</v>
      </c>
      <c r="N77" s="93" t="s">
        <v>961</v>
      </c>
    </row>
    <row r="78" spans="1:14" ht="34" x14ac:dyDescent="0.5">
      <c r="A78" s="30" t="str">
        <f>INDEX(Technologieën[Veld],MATCH(aanname_implementatie[[#This Row],[Digitale zorgtoepassing]],Technologieën[Digitale zorgtoepassing],0))</f>
        <v>Software - Behandeling</v>
      </c>
      <c r="B78" s="30" t="s">
        <v>101</v>
      </c>
      <c r="C78" s="30" t="s">
        <v>84</v>
      </c>
      <c r="D78" s="30" t="str" cm="1">
        <f t="array" ref="D78">INDEX(Berekening_patiëntaantal[Direct toepasbaar/extrapolatie/incidentie voor QALY],MATCH(B78,IF(Berekening_patiëntaantal[Doelgroep (zoeksleutel)]=C78,Berekening_patiëntaantal[Digitale zorgtoepassing]),0))</f>
        <v>Huidige toepassing</v>
      </c>
      <c r="E78" s="136" t="s">
        <v>125</v>
      </c>
      <c r="F78" s="399">
        <f>INDEX(factor_implementatie[Huidige implementatiegraad],MATCH(E78,factor_implementatie[Inschatting],0))</f>
        <v>0.2</v>
      </c>
      <c r="G78" s="136" t="s">
        <v>124</v>
      </c>
      <c r="H78" s="400">
        <f>INDEX(factor_implementatie[Mate van innovatie - coëfficient p],MATCH(G78,factor_implementatie[Mate van innovatie],0))</f>
        <v>0.01</v>
      </c>
      <c r="I78" s="401">
        <f>INDEX(factor_implementatie[Mate van imitatie - coëfficient q],MATCH(G78,factor_implementatie[Mate van innovatie],0))</f>
        <v>0.3</v>
      </c>
      <c r="J78" s="136">
        <v>0</v>
      </c>
      <c r="K78" s="402">
        <f t="shared" si="2"/>
        <v>0</v>
      </c>
      <c r="L78" s="356" t="s">
        <v>911</v>
      </c>
      <c r="M78" s="224"/>
      <c r="N78" s="93" t="s">
        <v>961</v>
      </c>
    </row>
    <row r="79" spans="1:14" x14ac:dyDescent="0.5">
      <c r="A79" s="30" t="str">
        <f>INDEX(Technologieën[Veld],MATCH(aanname_implementatie[[#This Row],[Digitale zorgtoepassing]],Technologieën[Digitale zorgtoepassing],0))</f>
        <v>Digitale hulpmiddelen - Verpleging</v>
      </c>
      <c r="B79" s="30" t="s">
        <v>48</v>
      </c>
      <c r="C79" s="30" t="s">
        <v>49</v>
      </c>
      <c r="D79" s="30" t="str" cm="1">
        <f t="array" ref="D79">INDEX(Berekening_patiëntaantal[Direct toepasbaar/extrapolatie/incidentie voor QALY],MATCH(B79,IF(Berekening_patiëntaantal[Doelgroep (zoeksleutel)]=C79,Berekening_patiëntaantal[Digitale zorgtoepassing]),0))</f>
        <v>Huidige toepassing</v>
      </c>
      <c r="E79" s="136" t="s">
        <v>125</v>
      </c>
      <c r="F79" s="399">
        <f>INDEX(factor_implementatie[Huidige implementatiegraad],MATCH(E79,factor_implementatie[Inschatting],0))</f>
        <v>0.2</v>
      </c>
      <c r="G79" s="136" t="s">
        <v>130</v>
      </c>
      <c r="H79" s="400">
        <f>INDEX(factor_implementatie[Mate van innovatie - coëfficient p],MATCH(G79,factor_implementatie[Mate van innovatie],0))</f>
        <v>2.5000000000000001E-2</v>
      </c>
      <c r="I79" s="401">
        <f>INDEX(factor_implementatie[Mate van imitatie - coëfficient q],MATCH(G79,factor_implementatie[Mate van innovatie],0))</f>
        <v>0.45</v>
      </c>
      <c r="J79" s="136">
        <v>0</v>
      </c>
      <c r="K79" s="402">
        <f t="shared" si="2"/>
        <v>0</v>
      </c>
      <c r="L79" s="354" t="s">
        <v>919</v>
      </c>
      <c r="M79" s="224" t="s">
        <v>882</v>
      </c>
      <c r="N79" s="93" t="s">
        <v>961</v>
      </c>
    </row>
    <row r="80" spans="1:14" x14ac:dyDescent="0.5">
      <c r="A80" s="30" t="str">
        <f>INDEX(Technologieën[Veld],MATCH(aanname_implementatie[[#This Row],[Digitale zorgtoepassing]],Technologieën[Digitale zorgtoepassing],0))</f>
        <v>Digitale hulpmiddelen - Verpleging</v>
      </c>
      <c r="B80" s="30" t="s">
        <v>19</v>
      </c>
      <c r="C80" s="30" t="s">
        <v>27</v>
      </c>
      <c r="D80" s="30" t="str" cm="1">
        <f t="array" ref="D80">INDEX(Berekening_patiëntaantal[Direct toepasbaar/extrapolatie/incidentie voor QALY],MATCH(B80,IF(Berekening_patiëntaantal[Doelgroep (zoeksleutel)]=C80,Berekening_patiëntaantal[Digitale zorgtoepassing]),0))</f>
        <v>Extrapolatie</v>
      </c>
      <c r="E80" s="136" t="s">
        <v>123</v>
      </c>
      <c r="F80" s="399">
        <f>INDEX(factor_implementatie[Huidige implementatiegraad],MATCH(E80,factor_implementatie[Inschatting],0))</f>
        <v>0</v>
      </c>
      <c r="G80" s="136" t="s">
        <v>128</v>
      </c>
      <c r="H80" s="400">
        <f>INDEX(factor_implementatie[Mate van innovatie - coëfficient p],MATCH(G80,factor_implementatie[Mate van innovatie],0))</f>
        <v>0.02</v>
      </c>
      <c r="I80" s="401">
        <f>INDEX(factor_implementatie[Mate van imitatie - coëfficient q],MATCH(G80,factor_implementatie[Mate van innovatie],0))</f>
        <v>0.4</v>
      </c>
      <c r="J80" s="136">
        <v>1</v>
      </c>
      <c r="K80" s="402">
        <f t="shared" si="2"/>
        <v>1</v>
      </c>
      <c r="L80" s="354" t="s">
        <v>733</v>
      </c>
      <c r="M80" s="224" t="s">
        <v>862</v>
      </c>
      <c r="N80" s="93" t="s">
        <v>961</v>
      </c>
    </row>
    <row r="81" spans="1:14" ht="68" x14ac:dyDescent="0.5">
      <c r="A81" s="30" t="str">
        <f>INDEX(Technologieën[Veld],MATCH(aanname_implementatie[[#This Row],[Digitale zorgtoepassing]],Technologieën[Digitale zorgtoepassing],0))</f>
        <v>Digitale hulpmiddelen - Verpleging</v>
      </c>
      <c r="B81" s="30" t="s">
        <v>19</v>
      </c>
      <c r="C81" s="30" t="s">
        <v>24</v>
      </c>
      <c r="D81" s="30" t="str" cm="1">
        <f t="array" ref="D81">INDEX(Berekening_patiëntaantal[Direct toepasbaar/extrapolatie/incidentie voor QALY],MATCH(B81,IF(Berekening_patiëntaantal[Doelgroep (zoeksleutel)]=C81,Berekening_patiëntaantal[Digitale zorgtoepassing]),0))</f>
        <v>Huidige toepassing</v>
      </c>
      <c r="E81" s="136" t="s">
        <v>125</v>
      </c>
      <c r="F81" s="399">
        <f>INDEX(factor_implementatie[Huidige implementatiegraad],MATCH(E81,factor_implementatie[Inschatting],0))</f>
        <v>0.2</v>
      </c>
      <c r="G81" s="136" t="s">
        <v>128</v>
      </c>
      <c r="H81" s="400">
        <f>INDEX(factor_implementatie[Mate van innovatie - coëfficient p],MATCH(G81,factor_implementatie[Mate van innovatie],0))</f>
        <v>0.02</v>
      </c>
      <c r="I81" s="401">
        <f>INDEX(factor_implementatie[Mate van imitatie - coëfficient q],MATCH(G81,factor_implementatie[Mate van innovatie],0))</f>
        <v>0.4</v>
      </c>
      <c r="J81" s="136">
        <v>0</v>
      </c>
      <c r="K81" s="402">
        <f t="shared" si="2"/>
        <v>0</v>
      </c>
      <c r="L81" s="354" t="s">
        <v>884</v>
      </c>
      <c r="M81" s="224" t="s">
        <v>885</v>
      </c>
      <c r="N81" s="93" t="s">
        <v>961</v>
      </c>
    </row>
    <row r="82" spans="1:14" ht="68" x14ac:dyDescent="0.5">
      <c r="A82" s="30" t="str">
        <f>INDEX(Technologieën[Veld],MATCH(aanname_implementatie[[#This Row],[Digitale zorgtoepassing]],Technologieën[Digitale zorgtoepassing],0))</f>
        <v>Digitale hulpmiddelen - Verpleging</v>
      </c>
      <c r="B82" s="30" t="s">
        <v>19</v>
      </c>
      <c r="C82" s="30" t="s">
        <v>20</v>
      </c>
      <c r="D82" s="30" t="str" cm="1">
        <f t="array" ref="D82">INDEX(Berekening_patiëntaantal[Direct toepasbaar/extrapolatie/incidentie voor QALY],MATCH(B82,IF(Berekening_patiëntaantal[Doelgroep (zoeksleutel)]=C82,Berekening_patiëntaantal[Digitale zorgtoepassing]),0))</f>
        <v>Huidige toepassing</v>
      </c>
      <c r="E82" s="136" t="s">
        <v>125</v>
      </c>
      <c r="F82" s="399">
        <f>INDEX(factor_implementatie[Huidige implementatiegraad],MATCH(E82,factor_implementatie[Inschatting],0))</f>
        <v>0.2</v>
      </c>
      <c r="G82" s="136" t="s">
        <v>128</v>
      </c>
      <c r="H82" s="400">
        <f>INDEX(factor_implementatie[Mate van innovatie - coëfficient p],MATCH(G82,factor_implementatie[Mate van innovatie],0))</f>
        <v>0.02</v>
      </c>
      <c r="I82" s="401">
        <f>INDEX(factor_implementatie[Mate van imitatie - coëfficient q],MATCH(G82,factor_implementatie[Mate van innovatie],0))</f>
        <v>0.4</v>
      </c>
      <c r="J82" s="136">
        <v>0</v>
      </c>
      <c r="K82" s="402">
        <f t="shared" si="2"/>
        <v>0</v>
      </c>
      <c r="L82" s="354" t="s">
        <v>884</v>
      </c>
      <c r="M82" s="224" t="s">
        <v>885</v>
      </c>
      <c r="N82" s="93" t="s">
        <v>961</v>
      </c>
    </row>
    <row r="83" spans="1:14" x14ac:dyDescent="0.5">
      <c r="A83" s="30" t="str">
        <f>INDEX(Technologieën[Veld],MATCH(aanname_implementatie[[#This Row],[Digitale zorgtoepassing]],Technologieën[Digitale zorgtoepassing],0))</f>
        <v>Software - Diagnose</v>
      </c>
      <c r="B83" s="30" t="s">
        <v>56</v>
      </c>
      <c r="C83" s="30" t="s">
        <v>57</v>
      </c>
      <c r="D83" s="30" t="str" cm="1">
        <f t="array" ref="D83">INDEX(Berekening_patiëntaantal[Direct toepasbaar/extrapolatie/incidentie voor QALY],MATCH(B83,IF(Berekening_patiëntaantal[Doelgroep (zoeksleutel)]=C83,Berekening_patiëntaantal[Digitale zorgtoepassing]),0))</f>
        <v>Huidige toepassing</v>
      </c>
      <c r="E83" s="136" t="s">
        <v>125</v>
      </c>
      <c r="F83" s="399">
        <f>INDEX(factor_implementatie[Huidige implementatiegraad],MATCH(E83,factor_implementatie[Inschatting],0))</f>
        <v>0.2</v>
      </c>
      <c r="G83" s="136" t="s">
        <v>130</v>
      </c>
      <c r="H83" s="400">
        <f>INDEX(factor_implementatie[Mate van innovatie - coëfficient p],MATCH(G83,factor_implementatie[Mate van innovatie],0))</f>
        <v>2.5000000000000001E-2</v>
      </c>
      <c r="I83" s="401">
        <f>INDEX(factor_implementatie[Mate van imitatie - coëfficient q],MATCH(G83,factor_implementatie[Mate van innovatie],0))</f>
        <v>0.45</v>
      </c>
      <c r="J83" s="136">
        <v>0</v>
      </c>
      <c r="K83" s="402">
        <f t="shared" si="2"/>
        <v>0</v>
      </c>
      <c r="L83" s="357" t="s">
        <v>747</v>
      </c>
      <c r="M83" s="224" t="s">
        <v>748</v>
      </c>
      <c r="N83" s="93" t="s">
        <v>961</v>
      </c>
    </row>
    <row r="84" spans="1:14" ht="34.5" thickBot="1" x14ac:dyDescent="0.55000000000000004">
      <c r="A84" s="452" t="str">
        <f>INDEX(Technologieën[Veld],MATCH(aanname_implementatie[[#This Row],[Digitale zorgtoepassing]],Technologieën[Digitale zorgtoepassing],0))</f>
        <v>Digitale hulpmiddelen - Verpleging</v>
      </c>
      <c r="B84" s="30" t="s">
        <v>85</v>
      </c>
      <c r="C84" s="30" t="s">
        <v>86</v>
      </c>
      <c r="D84" s="30" t="str" cm="1">
        <f t="array" ref="D84">INDEX(Berekening_patiëntaantal[Direct toepasbaar/extrapolatie/incidentie voor QALY],MATCH(B84,IF(Berekening_patiëntaantal[Doelgroep (zoeksleutel)]=C84,Berekening_patiëntaantal[Digitale zorgtoepassing]),0))</f>
        <v>Huidige toepassing</v>
      </c>
      <c r="E84" s="269" t="s">
        <v>127</v>
      </c>
      <c r="F84" s="399">
        <f>INDEX(factor_implementatie[Huidige implementatiegraad],MATCH(E84,factor_implementatie[Inschatting],0))</f>
        <v>0.4</v>
      </c>
      <c r="G84" s="269" t="s">
        <v>130</v>
      </c>
      <c r="H84" s="400">
        <f>INDEX(factor_implementatie[Mate van innovatie - coëfficient p],MATCH(G84,factor_implementatie[Mate van innovatie],0))</f>
        <v>2.5000000000000001E-2</v>
      </c>
      <c r="I84" s="401">
        <f>INDEX(factor_implementatie[Mate van imitatie - coëfficient q],MATCH(G84,factor_implementatie[Mate van innovatie],0))</f>
        <v>0.45</v>
      </c>
      <c r="J84" s="269">
        <v>0</v>
      </c>
      <c r="K84" s="402">
        <f t="shared" si="2"/>
        <v>0</v>
      </c>
      <c r="L84" s="354" t="s">
        <v>916</v>
      </c>
      <c r="M84" s="224" t="s">
        <v>917</v>
      </c>
      <c r="N84" s="93" t="s">
        <v>961</v>
      </c>
    </row>
    <row r="85" spans="1:14" x14ac:dyDescent="0.5">
      <c r="G85" s="93"/>
      <c r="H85" s="253"/>
      <c r="I85" s="252"/>
      <c r="J85" s="93"/>
      <c r="K85" s="232"/>
    </row>
    <row r="86" spans="1:14" x14ac:dyDescent="0.5">
      <c r="G86" s="93"/>
      <c r="H86" s="253"/>
      <c r="I86" s="252"/>
      <c r="J86" s="93"/>
      <c r="K86" s="232"/>
    </row>
    <row r="87" spans="1:14" x14ac:dyDescent="0.5">
      <c r="G87" s="93"/>
      <c r="H87" s="253"/>
      <c r="I87" s="252"/>
      <c r="J87" s="93"/>
      <c r="K87" s="232"/>
    </row>
    <row r="88" spans="1:14" x14ac:dyDescent="0.5">
      <c r="G88" s="93"/>
      <c r="H88" s="253"/>
      <c r="I88" s="252"/>
      <c r="J88" s="93"/>
      <c r="K88" s="232"/>
    </row>
  </sheetData>
  <sheetProtection algorithmName="SHA-512" hashValue="ivoZg46XEkUKeSYIpnS9CiAG7ccAi9xOh5OdYWy3GNbbun9RDgyH+GBp8mGdm3F3YwjS/wPj5dU7/u9zTLd/EQ==" saltValue="HdCdjafJKx8lF6IxnePP/w==" spinCount="100000" sheet="1" objects="1" scenarios="1" selectLockedCells="1" selectUnlockedCells="1"/>
  <mergeCells count="1">
    <mergeCell ref="A1:C2"/>
  </mergeCells>
  <dataValidations count="2">
    <dataValidation type="list" allowBlank="1" showInputMessage="1" showErrorMessage="1" sqref="E21:E84" xr:uid="{8C2DF5C3-0725-48B0-B527-0E982BE9BABF}">
      <formula1>$A$5:$A$9</formula1>
    </dataValidation>
    <dataValidation type="list" allowBlank="1" showInputMessage="1" showErrorMessage="1" sqref="G21:G84" xr:uid="{E43B6700-D664-48DA-AE8D-2C34AD59F59D}">
      <formula1>$C$5:$C$9</formula1>
    </dataValidation>
  </dataValidations>
  <pageMargins left="0.7" right="0.7" top="0.75" bottom="0.75" header="0.3" footer="0.3"/>
  <pageSetup paperSize="9" orientation="portrait"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D1A2-82C1-49BF-AAC7-BAC4DCF1CFBE}">
  <sheetPr codeName="Blad8">
    <tabColor theme="9"/>
  </sheetPr>
  <dimension ref="A2:X14"/>
  <sheetViews>
    <sheetView zoomScaleNormal="100" workbookViewId="0">
      <selection activeCell="E18" sqref="E18"/>
    </sheetView>
  </sheetViews>
  <sheetFormatPr defaultRowHeight="17" x14ac:dyDescent="0.5"/>
  <cols>
    <col min="1" max="1" width="25.07421875" bestFit="1" customWidth="1"/>
    <col min="2" max="2" width="29" customWidth="1"/>
    <col min="3" max="3" width="28.765625" bestFit="1" customWidth="1"/>
    <col min="4" max="4" width="11.53515625" customWidth="1"/>
  </cols>
  <sheetData>
    <row r="2" spans="1:24" x14ac:dyDescent="0.5">
      <c r="A2" s="205" t="s">
        <v>662</v>
      </c>
      <c r="B2" s="205" t="s">
        <v>632</v>
      </c>
      <c r="C2" s="205" t="s">
        <v>633</v>
      </c>
      <c r="D2" s="205" t="s">
        <v>641</v>
      </c>
      <c r="E2" s="205" t="s">
        <v>642</v>
      </c>
      <c r="F2" s="205" t="s">
        <v>643</v>
      </c>
      <c r="G2" s="205" t="s">
        <v>644</v>
      </c>
      <c r="H2" s="205" t="s">
        <v>645</v>
      </c>
      <c r="I2" s="205" t="s">
        <v>646</v>
      </c>
      <c r="J2" s="205" t="s">
        <v>647</v>
      </c>
      <c r="K2" s="205" t="s">
        <v>648</v>
      </c>
      <c r="L2" s="205" t="s">
        <v>649</v>
      </c>
      <c r="M2" s="205" t="s">
        <v>650</v>
      </c>
      <c r="N2" s="205" t="s">
        <v>651</v>
      </c>
      <c r="O2" s="205" t="s">
        <v>652</v>
      </c>
      <c r="P2" s="205" t="s">
        <v>653</v>
      </c>
      <c r="Q2" s="205" t="s">
        <v>654</v>
      </c>
      <c r="R2" s="205" t="s">
        <v>655</v>
      </c>
      <c r="S2" s="205" t="s">
        <v>656</v>
      </c>
      <c r="T2" s="205" t="s">
        <v>657</v>
      </c>
      <c r="U2" s="205" t="s">
        <v>658</v>
      </c>
      <c r="V2" s="205" t="s">
        <v>659</v>
      </c>
      <c r="W2" s="205" t="s">
        <v>660</v>
      </c>
      <c r="X2" s="205" t="s">
        <v>661</v>
      </c>
    </row>
    <row r="3" spans="1:24" x14ac:dyDescent="0.5">
      <c r="A3" s="66" t="s">
        <v>124</v>
      </c>
      <c r="B3" s="146">
        <f>INDEX(factor_implementatie[Mate van innovatie - coëfficient p],MATCH(A3,factor_implementatie[Mate van innovatie],0))</f>
        <v>0.01</v>
      </c>
      <c r="C3" s="147">
        <f>INDEX(factor_implementatie[Mate van imitatie - coëfficient q],MATCH(A3,factor_implementatie[Mate van innovatie],0))</f>
        <v>0.3</v>
      </c>
      <c r="D3" s="66">
        <v>0</v>
      </c>
      <c r="E3" s="133">
        <f t="shared" ref="E3:N7" si="0">D3+($B3*(1-D3))+($C3*D3*(1-D3))</f>
        <v>0.01</v>
      </c>
      <c r="F3" s="133">
        <f t="shared" si="0"/>
        <v>2.2870000000000001E-2</v>
      </c>
      <c r="G3" s="133">
        <f t="shared" si="0"/>
        <v>3.9345388929999996E-2</v>
      </c>
      <c r="H3" s="133">
        <f t="shared" si="0"/>
        <v>6.0291133830684102E-2</v>
      </c>
      <c r="I3" s="133">
        <f t="shared" si="0"/>
        <v>8.6685056396005655E-2</v>
      </c>
      <c r="J3" s="133">
        <f t="shared" si="0"/>
        <v>0.11956943305013369</v>
      </c>
      <c r="K3" s="133">
        <f t="shared" si="0"/>
        <v>0.15995551383869336</v>
      </c>
      <c r="L3" s="133">
        <f t="shared" si="0"/>
        <v>0.20866688292969432</v>
      </c>
      <c r="M3" s="133">
        <f t="shared" si="0"/>
        <v>0.26611771856982724</v>
      </c>
      <c r="N3" s="133">
        <f t="shared" si="0"/>
        <v>0.33204626491403416</v>
      </c>
      <c r="O3" s="133">
        <f t="shared" ref="O3:X3" si="1">N3+($B3*(1-N3))+($C3*N3*(1-N3))</f>
        <v>0.40526326512609578</v>
      </c>
      <c r="P3" s="133">
        <f t="shared" si="1"/>
        <v>0.4835181177944643</v>
      </c>
      <c r="Q3" s="133">
        <f t="shared" si="1"/>
        <v>0.56360144088420849</v>
      </c>
      <c r="R3" s="133">
        <f t="shared" si="1"/>
        <v>0.64175188349060219</v>
      </c>
      <c r="S3" s="133">
        <f t="shared" si="1"/>
        <v>0.71430628571375621</v>
      </c>
      <c r="T3" s="133">
        <f t="shared" si="1"/>
        <v>0.77838506762769077</v>
      </c>
      <c r="U3" s="133">
        <f t="shared" si="1"/>
        <v>0.83235174318799166</v>
      </c>
      <c r="V3" s="133">
        <f t="shared" si="1"/>
        <v>0.8758909213960826</v>
      </c>
      <c r="W3" s="133">
        <f t="shared" si="1"/>
        <v>0.90974381674572302</v>
      </c>
      <c r="X3" s="133">
        <f t="shared" si="1"/>
        <v>0.93527937996985999</v>
      </c>
    </row>
    <row r="4" spans="1:24" x14ac:dyDescent="0.5">
      <c r="A4" s="66" t="s">
        <v>126</v>
      </c>
      <c r="B4" s="146">
        <f>INDEX(factor_implementatie[Mate van innovatie - coëfficient p],MATCH(A4,factor_implementatie[Mate van innovatie],0))</f>
        <v>1.4999999999999999E-2</v>
      </c>
      <c r="C4" s="147">
        <f>INDEX(factor_implementatie[Mate van imitatie - coëfficient q],MATCH(A4,factor_implementatie[Mate van innovatie],0))</f>
        <v>0.35</v>
      </c>
      <c r="D4" s="66">
        <v>0</v>
      </c>
      <c r="E4" s="133">
        <f t="shared" si="0"/>
        <v>1.4999999999999999E-2</v>
      </c>
      <c r="F4" s="133">
        <f t="shared" si="0"/>
        <v>3.4946249999999998E-2</v>
      </c>
      <c r="G4" s="133">
        <f t="shared" si="0"/>
        <v>6.1225809613828119E-2</v>
      </c>
      <c r="H4" s="133">
        <f t="shared" si="0"/>
        <v>9.5424445917456496E-2</v>
      </c>
      <c r="I4" s="133">
        <f t="shared" si="0"/>
        <v>0.13920459659227569</v>
      </c>
      <c r="J4" s="133">
        <f t="shared" si="0"/>
        <v>0.19405586455134166</v>
      </c>
      <c r="K4" s="133">
        <f t="shared" si="0"/>
        <v>0.26088439167767208</v>
      </c>
      <c r="L4" s="133">
        <f t="shared" si="0"/>
        <v>0.33945942985233207</v>
      </c>
      <c r="M4" s="133">
        <f t="shared" si="0"/>
        <v>0.42784689227237871</v>
      </c>
      <c r="N4" s="133">
        <f t="shared" si="0"/>
        <v>0.52210706405412921</v>
      </c>
      <c r="O4" s="133">
        <f t="shared" ref="O4:X4" si="2">N4+($B4*(1-N4))+($C4*N4*(1-N4))</f>
        <v>0.61660440529493454</v>
      </c>
      <c r="P4" s="133">
        <f t="shared" si="2"/>
        <v>0.70509653364854563</v>
      </c>
      <c r="Q4" s="133">
        <f t="shared" si="2"/>
        <v>0.78229747980369024</v>
      </c>
      <c r="R4" s="133">
        <f t="shared" si="2"/>
        <v>0.84517086412040476</v>
      </c>
      <c r="S4" s="133">
        <f t="shared" si="2"/>
        <v>0.89329327725542929</v>
      </c>
      <c r="T4" s="133">
        <f t="shared" si="2"/>
        <v>0.92825601741958719</v>
      </c>
      <c r="U4" s="133">
        <f t="shared" si="2"/>
        <v>0.9526410513986634</v>
      </c>
      <c r="V4" s="133">
        <f t="shared" si="2"/>
        <v>0.96914206313373286</v>
      </c>
      <c r="W4" s="133">
        <f t="shared" si="2"/>
        <v>0.98007193579624541</v>
      </c>
      <c r="X4" s="133">
        <f t="shared" si="2"/>
        <v>0.98720668452059768</v>
      </c>
    </row>
    <row r="5" spans="1:24" x14ac:dyDescent="0.5">
      <c r="A5" s="66" t="s">
        <v>128</v>
      </c>
      <c r="B5" s="146">
        <f>INDEX(factor_implementatie[Mate van innovatie - coëfficient p],MATCH(A5,factor_implementatie[Mate van innovatie],0))</f>
        <v>0.02</v>
      </c>
      <c r="C5" s="147">
        <f>INDEX(factor_implementatie[Mate van imitatie - coëfficient q],MATCH(A5,factor_implementatie[Mate van innovatie],0))</f>
        <v>0.4</v>
      </c>
      <c r="D5" s="66">
        <v>0</v>
      </c>
      <c r="E5" s="133">
        <f t="shared" si="0"/>
        <v>0.02</v>
      </c>
      <c r="F5" s="133">
        <f t="shared" si="0"/>
        <v>4.7439999999999996E-2</v>
      </c>
      <c r="G5" s="133">
        <f t="shared" si="0"/>
        <v>8.4566978560000006E-2</v>
      </c>
      <c r="H5" s="133">
        <f t="shared" si="0"/>
        <v>0.13384180086769301</v>
      </c>
      <c r="I5" s="133">
        <f t="shared" si="0"/>
        <v>0.19753623413361349</v>
      </c>
      <c r="J5" s="133">
        <f t="shared" si="0"/>
        <v>0.27699177758611071</v>
      </c>
      <c r="K5" s="133">
        <f t="shared" si="0"/>
        <v>0.37155887512870744</v>
      </c>
      <c r="L5" s="133">
        <f t="shared" si="0"/>
        <v>0.47752884860285211</v>
      </c>
      <c r="M5" s="133">
        <f t="shared" si="0"/>
        <v>0.5877762905727496</v>
      </c>
      <c r="N5" s="133">
        <f t="shared" si="0"/>
        <v>0.6929388938866099</v>
      </c>
      <c r="O5" s="133">
        <f t="shared" ref="O5:X5" si="3">N5+($B5*(1-N5))+($C5*N5*(1-N5))</f>
        <v>0.78418994929920227</v>
      </c>
      <c r="P5" s="133">
        <f t="shared" si="3"/>
        <v>0.85620057940014505</v>
      </c>
      <c r="Q5" s="133">
        <f t="shared" si="3"/>
        <v>0.90832502670614257</v>
      </c>
      <c r="R5" s="133">
        <f t="shared" si="3"/>
        <v>0.94346679519819099</v>
      </c>
      <c r="S5" s="133">
        <f t="shared" si="3"/>
        <v>0.96593233991688543</v>
      </c>
      <c r="T5" s="133">
        <f t="shared" si="3"/>
        <v>0.97977651496637808</v>
      </c>
      <c r="U5" s="133">
        <f t="shared" si="3"/>
        <v>0.98810678294173726</v>
      </c>
      <c r="V5" s="133">
        <f t="shared" si="3"/>
        <v>0.99304535466140964</v>
      </c>
      <c r="W5" s="133">
        <f t="shared" si="3"/>
        <v>0.99594695886690343</v>
      </c>
      <c r="X5" s="133">
        <f t="shared" si="3"/>
        <v>0.99764266528583334</v>
      </c>
    </row>
    <row r="6" spans="1:24" x14ac:dyDescent="0.5">
      <c r="A6" s="66" t="s">
        <v>130</v>
      </c>
      <c r="B6" s="146">
        <f>INDEX(factor_implementatie[Mate van innovatie - coëfficient p],MATCH(A6,factor_implementatie[Mate van innovatie],0))</f>
        <v>2.5000000000000001E-2</v>
      </c>
      <c r="C6" s="147">
        <f>INDEX(factor_implementatie[Mate van imitatie - coëfficient q],MATCH(A6,factor_implementatie[Mate van innovatie],0))</f>
        <v>0.45</v>
      </c>
      <c r="D6" s="66">
        <v>0</v>
      </c>
      <c r="E6" s="133">
        <f t="shared" si="0"/>
        <v>2.5000000000000001E-2</v>
      </c>
      <c r="F6" s="133">
        <f t="shared" si="0"/>
        <v>6.0343750000000002E-2</v>
      </c>
      <c r="G6" s="133">
        <f t="shared" si="0"/>
        <v>0.10935122807617187</v>
      </c>
      <c r="H6" s="133">
        <f t="shared" si="0"/>
        <v>0.17544453902174978</v>
      </c>
      <c r="I6" s="133">
        <f t="shared" si="0"/>
        <v>0.26115711428334398</v>
      </c>
      <c r="J6" s="133">
        <f t="shared" si="0"/>
        <v>0.36645752060040354</v>
      </c>
      <c r="K6" s="133">
        <f t="shared" si="0"/>
        <v>0.48677096537350723</v>
      </c>
      <c r="L6" s="133">
        <f t="shared" si="0"/>
        <v>0.61202293792845253</v>
      </c>
      <c r="M6" s="133">
        <f t="shared" si="0"/>
        <v>0.7285752521002864</v>
      </c>
      <c r="N6" s="133">
        <f t="shared" si="0"/>
        <v>0.82434988015505994</v>
      </c>
      <c r="O6" s="133">
        <f t="shared" ref="O6:X6" si="4">N6+($B6*(1-N6))+($C6*N6*(1-N6))</f>
        <v>0.89389985301071273</v>
      </c>
      <c r="P6" s="133">
        <f t="shared" si="4"/>
        <v>0.93923166429460736</v>
      </c>
      <c r="Q6" s="133">
        <f t="shared" si="4"/>
        <v>0.96643486797368738</v>
      </c>
      <c r="R6" s="133">
        <f t="shared" si="4"/>
        <v>0.98187132754661111</v>
      </c>
      <c r="S6" s="133">
        <f t="shared" si="4"/>
        <v>0.9903345550177558</v>
      </c>
      <c r="T6" s="133">
        <f t="shared" si="4"/>
        <v>0.99488360201230464</v>
      </c>
      <c r="U6" s="133">
        <f t="shared" si="4"/>
        <v>0.99730211116869405</v>
      </c>
      <c r="V6" s="133">
        <f t="shared" si="4"/>
        <v>0.99858033299169868</v>
      </c>
      <c r="W6" s="133">
        <f t="shared" si="4"/>
        <v>0.99925376786615527</v>
      </c>
      <c r="X6" s="133">
        <f t="shared" si="4"/>
        <v>0.99960797754165265</v>
      </c>
    </row>
    <row r="7" spans="1:24" x14ac:dyDescent="0.5">
      <c r="A7" s="66" t="s">
        <v>132</v>
      </c>
      <c r="B7" s="146">
        <f>INDEX(factor_implementatie[Mate van innovatie - coëfficient p],MATCH(A7,factor_implementatie[Mate van innovatie],0))</f>
        <v>0.03</v>
      </c>
      <c r="C7" s="147">
        <f>INDEX(factor_implementatie[Mate van imitatie - coëfficient q],MATCH(A7,factor_implementatie[Mate van innovatie],0))</f>
        <v>0.5</v>
      </c>
      <c r="D7" s="66">
        <v>0</v>
      </c>
      <c r="E7" s="133">
        <f t="shared" si="0"/>
        <v>0.03</v>
      </c>
      <c r="F7" s="133">
        <f t="shared" si="0"/>
        <v>7.3649999999999993E-2</v>
      </c>
      <c r="G7" s="133">
        <f t="shared" si="0"/>
        <v>0.13555333874999997</v>
      </c>
      <c r="H7" s="133">
        <f t="shared" si="0"/>
        <v>0.22007605413936385</v>
      </c>
      <c r="I7" s="133">
        <f t="shared" si="0"/>
        <v>0.32929506478208875</v>
      </c>
      <c r="J7" s="133">
        <f t="shared" si="0"/>
        <v>0.4598461253847505</v>
      </c>
      <c r="K7" s="133">
        <f t="shared" si="0"/>
        <v>0.60024457479989934</v>
      </c>
      <c r="L7" s="133">
        <f t="shared" si="0"/>
        <v>0.73221275016749598</v>
      </c>
      <c r="M7" s="133">
        <f t="shared" si="0"/>
        <v>0.83828498699229514</v>
      </c>
      <c r="N7" s="133">
        <f t="shared" si="0"/>
        <v>0.91091807117033763</v>
      </c>
      <c r="O7" s="133">
        <f t="shared" ref="O7:X7" si="5">N7+($B7*(1-N7))+($C7*N7*(1-N7))</f>
        <v>0.95416369842805215</v>
      </c>
      <c r="P7" s="133">
        <f t="shared" si="5"/>
        <v>0.97740645499028722</v>
      </c>
      <c r="Q7" s="133">
        <f t="shared" si="5"/>
        <v>0.98912579970738201</v>
      </c>
      <c r="R7" s="133">
        <f t="shared" si="5"/>
        <v>0.99483000174646752</v>
      </c>
      <c r="S7" s="133">
        <f t="shared" si="5"/>
        <v>0.99755673637986897</v>
      </c>
      <c r="T7" s="133">
        <f t="shared" si="5"/>
        <v>0.99884868132997962</v>
      </c>
      <c r="U7" s="133">
        <f t="shared" si="5"/>
        <v>0.99945821745775043</v>
      </c>
      <c r="V7" s="133">
        <f t="shared" si="5"/>
        <v>0.99974521544098116</v>
      </c>
      <c r="W7" s="133">
        <f t="shared" si="5"/>
        <v>0.99988021879967537</v>
      </c>
      <c r="X7" s="133">
        <f t="shared" si="5"/>
        <v>0.99994369566207941</v>
      </c>
    </row>
    <row r="8" spans="1:24" ht="17.5" thickBot="1" x14ac:dyDescent="0.55000000000000004"/>
    <row r="9" spans="1:24" ht="17.5" thickBot="1" x14ac:dyDescent="0.55000000000000004">
      <c r="A9" s="206" t="s">
        <v>118</v>
      </c>
      <c r="B9" s="207" t="s">
        <v>662</v>
      </c>
      <c r="C9" s="150" t="s">
        <v>749</v>
      </c>
    </row>
    <row r="10" spans="1:24" x14ac:dyDescent="0.5">
      <c r="A10" s="2" t="s">
        <v>123</v>
      </c>
      <c r="B10" s="2" t="s">
        <v>113</v>
      </c>
      <c r="C10" s="132">
        <f>COUNTIFS(aanname_implementatie[Inschatting huidige implementatiegraad],A10,aanname_implementatie[Direct toepasbaar/extrapolatie],"Huidige toepassing")</f>
        <v>5</v>
      </c>
    </row>
    <row r="11" spans="1:24" x14ac:dyDescent="0.5">
      <c r="A11" s="2" t="s">
        <v>125</v>
      </c>
      <c r="B11" s="2" t="s">
        <v>114</v>
      </c>
      <c r="C11" s="132">
        <f>COUNTIFS(aanname_implementatie[Inschatting huidige implementatiegraad],A11,aanname_implementatie[Direct toepasbaar/extrapolatie],"Huidige toepassing")</f>
        <v>18</v>
      </c>
    </row>
    <row r="12" spans="1:24" x14ac:dyDescent="0.5">
      <c r="A12" s="2" t="s">
        <v>127</v>
      </c>
      <c r="B12" s="2" t="s">
        <v>115</v>
      </c>
      <c r="C12" s="132">
        <f>COUNTIFS(aanname_implementatie[Inschatting huidige implementatiegraad],A12,aanname_implementatie[Direct toepasbaar/extrapolatie],"Huidige toepassing")</f>
        <v>20</v>
      </c>
    </row>
    <row r="13" spans="1:24" x14ac:dyDescent="0.5">
      <c r="A13" s="2" t="s">
        <v>129</v>
      </c>
      <c r="B13" s="2" t="s">
        <v>631</v>
      </c>
      <c r="C13" s="132">
        <f>COUNTIFS(aanname_implementatie[Inschatting huidige implementatiegraad],A13,aanname_implementatie[Direct toepasbaar/extrapolatie],"Huidige toepassing")</f>
        <v>3</v>
      </c>
    </row>
    <row r="14" spans="1:24" ht="17.5" thickBot="1" x14ac:dyDescent="0.55000000000000004">
      <c r="A14" s="65" t="s">
        <v>131</v>
      </c>
      <c r="B14" s="2" t="s">
        <v>116</v>
      </c>
      <c r="C14" s="132">
        <f>COUNTIFS(aanname_implementatie[Inschatting huidige implementatiegraad],A14,aanname_implementatie[Direct toepasbaar/extrapolatie],"Huidige toepassing")</f>
        <v>2</v>
      </c>
    </row>
  </sheetData>
  <sheetProtection algorithmName="SHA-512" hashValue="xQuR8ktRjy5IFTi8UVkEIgAlG64PLHFYGsAsjHeEQnCAxbu97B9KiI4C5lnD7cPaYeJdMw/bg/hTdA9of6zCaw==" saltValue="TcNQhKuYiouD2Vx31jhHyQ==" spinCount="100000" sheet="1" objects="1" scenarios="1" selectLockedCells="1"/>
  <pageMargins left="0.7" right="0.7" top="0.75" bottom="0.75" header="0.3" footer="0.3"/>
  <tableParts count="2">
    <tablePart r:id="rId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55C05-D04E-4141-B912-3ACBA2CA649D}">
  <sheetPr codeName="Blad11">
    <tabColor theme="9"/>
  </sheetPr>
  <dimension ref="A1:J77"/>
  <sheetViews>
    <sheetView showGridLines="0" zoomScale="80" zoomScaleNormal="80" workbookViewId="0">
      <selection activeCell="D38" sqref="D38"/>
    </sheetView>
  </sheetViews>
  <sheetFormatPr defaultRowHeight="17" x14ac:dyDescent="0.5"/>
  <cols>
    <col min="1" max="1" width="48.07421875" customWidth="1"/>
    <col min="2" max="2" width="17.69140625" customWidth="1"/>
    <col min="3" max="3" width="33.84375" customWidth="1"/>
    <col min="4" max="4" width="55.07421875" customWidth="1"/>
    <col min="5" max="5" width="19.84375" customWidth="1"/>
    <col min="6" max="6" width="13.3046875" customWidth="1"/>
    <col min="7" max="7" width="12.53515625" customWidth="1"/>
    <col min="8" max="8" width="17.23046875" customWidth="1"/>
  </cols>
  <sheetData>
    <row r="1" spans="1:10" x14ac:dyDescent="0.5">
      <c r="A1" s="476" t="s">
        <v>1032</v>
      </c>
      <c r="B1" s="477"/>
      <c r="C1" s="478"/>
    </row>
    <row r="2" spans="1:10" ht="17.5" thickBot="1" x14ac:dyDescent="0.55000000000000004">
      <c r="A2" s="479"/>
      <c r="B2" s="480"/>
      <c r="C2" s="481"/>
    </row>
    <row r="3" spans="1:10" ht="17.5" thickBot="1" x14ac:dyDescent="0.55000000000000004"/>
    <row r="4" spans="1:10" ht="51" customHeight="1" thickBot="1" x14ac:dyDescent="0.55000000000000004">
      <c r="A4" s="39" t="s">
        <v>843</v>
      </c>
      <c r="B4" s="5" t="s">
        <v>761</v>
      </c>
      <c r="C4" s="39" t="s">
        <v>628</v>
      </c>
      <c r="D4" s="5" t="s">
        <v>841</v>
      </c>
      <c r="E4" s="29" t="s">
        <v>963</v>
      </c>
      <c r="F4" s="150" t="s">
        <v>757</v>
      </c>
      <c r="G4" s="150" t="s">
        <v>758</v>
      </c>
      <c r="H4" s="150" t="s">
        <v>842</v>
      </c>
      <c r="I4" s="151" t="s">
        <v>752</v>
      </c>
      <c r="J4" s="151" t="s">
        <v>753</v>
      </c>
    </row>
    <row r="5" spans="1:10" x14ac:dyDescent="0.5">
      <c r="A5" s="2" t="str">
        <f>'A1 Algemene resultaten'!$B$51</f>
        <v>Uitgangssituatie (huidig beleid gehaald, geen nieuw beleid)</v>
      </c>
      <c r="B5" s="2" t="s">
        <v>391</v>
      </c>
      <c r="C5" s="2" t="s">
        <v>629</v>
      </c>
      <c r="D5" s="1" t="s">
        <v>838</v>
      </c>
      <c r="E5" s="296">
        <f t="shared" ref="E5:E10" si="0">1/3</f>
        <v>0.33333333333333331</v>
      </c>
      <c r="F5" s="216">
        <f>afslagen_beleid[[#This Row],[Verandering implementatiesnelheid (in aantal stappen)]]*('B1 Aannames - implementatie'!$D$9-'B1 Aannames - implementatie'!$D$5)/4</f>
        <v>1.6666666666666663E-3</v>
      </c>
      <c r="G5" s="217">
        <f>afslagen_beleid[[#This Row],[Verandering implementatiesnelheid (in aantal stappen)]]*('B1 Aannames - implementatie'!$E$9-'B1 Aannames - implementatie'!$E$5)/4</f>
        <v>1.6666666666666666E-2</v>
      </c>
      <c r="H5" s="218" t="str" cm="1">
        <f t="array" ref="H5">INDEX(situaties[Beleid gehaald?],MATCH(A5,IF(situaties[Beleidscategorie]=afslagen_beleid[[#This Row],[Beleidscategorie]],situaties[Situatie]),0))</f>
        <v>Nee</v>
      </c>
      <c r="I5" s="139" cm="1">
        <f t="array" ref="I5">_xlfn.IFS(AND(afslagen_beleid[[#This Row],[Bestaand/nieuw beleid]]="Nieuw",afslagen_beleid[[#This Row],[Beleid gehaald?]]="Ja"),afslagen_beleid[[#This Row],[Factor p]],AND(afslagen_beleid[[#This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p]])</f>
        <v>0</v>
      </c>
      <c r="J5" s="139" cm="1">
        <f t="array" ref="J5">_xlfn.IFS(AND(afslagen_beleid[[#This Row],[Bestaand/nieuw beleid]]="Nieuw",afslagen_beleid[[#This Row],[Beleid gehaald?]]="Ja"),afslagen_beleid[[#This Row],[Factor q]],AND(afslagen_beleid[[#This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q]])</f>
        <v>0</v>
      </c>
    </row>
    <row r="6" spans="1:10" x14ac:dyDescent="0.5">
      <c r="A6" s="2" t="str">
        <f>'A1 Algemene resultaten'!$B$51</f>
        <v>Uitgangssituatie (huidig beleid gehaald, geen nieuw beleid)</v>
      </c>
      <c r="B6" s="2" t="s">
        <v>390</v>
      </c>
      <c r="C6" s="2" t="s">
        <v>629</v>
      </c>
      <c r="D6" s="1" t="s">
        <v>838</v>
      </c>
      <c r="E6" s="296">
        <f t="shared" si="0"/>
        <v>0.33333333333333331</v>
      </c>
      <c r="F6" s="216">
        <f>afslagen_beleid[[#This Row],[Verandering implementatiesnelheid (in aantal stappen)]]*('B1 Aannames - implementatie'!$D$9-'B1 Aannames - implementatie'!$D$5)/4</f>
        <v>1.6666666666666663E-3</v>
      </c>
      <c r="G6" s="217">
        <f>afslagen_beleid[[#This Row],[Verandering implementatiesnelheid (in aantal stappen)]]*('B1 Aannames - implementatie'!$E$9-'B1 Aannames - implementatie'!$E$5)/4</f>
        <v>1.6666666666666666E-2</v>
      </c>
      <c r="H6" s="218" t="str" cm="1">
        <f t="array" ref="H6">INDEX(situaties[Beleid gehaald?],MATCH(A6,IF(situaties[Beleidscategorie]=afslagen_beleid[[#This Row],[Beleidscategorie]],situaties[Situatie]),0))</f>
        <v>Nee</v>
      </c>
      <c r="I6" s="139" cm="1">
        <f t="array" ref="I6">_xlfn.IFS(AND(afslagen_beleid[[#This Row],[Bestaand/nieuw beleid]]="Nieuw",afslagen_beleid[[#This Row],[Beleid gehaald?]]="Ja"),afslagen_beleid[[#This Row],[Factor p]],AND(afslagen_beleid[[#This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p]])</f>
        <v>0</v>
      </c>
      <c r="J6" s="139" cm="1">
        <f t="array" ref="J6">_xlfn.IFS(AND(afslagen_beleid[[#This Row],[Bestaand/nieuw beleid]]="Nieuw",afslagen_beleid[[#This Row],[Beleid gehaald?]]="Ja"),afslagen_beleid[[#This Row],[Factor q]],AND(afslagen_beleid[[#This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q]])</f>
        <v>0</v>
      </c>
    </row>
    <row r="7" spans="1:10" x14ac:dyDescent="0.5">
      <c r="A7" s="2" t="str">
        <f>'A1 Algemene resultaten'!$B$51</f>
        <v>Uitgangssituatie (huidig beleid gehaald, geen nieuw beleid)</v>
      </c>
      <c r="B7" s="2" t="s">
        <v>391</v>
      </c>
      <c r="C7" s="2" t="s">
        <v>629</v>
      </c>
      <c r="D7" s="1" t="s">
        <v>837</v>
      </c>
      <c r="E7" s="296">
        <f t="shared" si="0"/>
        <v>0.33333333333333331</v>
      </c>
      <c r="F7" s="216">
        <f>afslagen_beleid[[#This Row],[Verandering implementatiesnelheid (in aantal stappen)]]*('B1 Aannames - implementatie'!$D$9-'B1 Aannames - implementatie'!$D$5)/4</f>
        <v>1.6666666666666663E-3</v>
      </c>
      <c r="G7" s="217">
        <f>afslagen_beleid[[#This Row],[Verandering implementatiesnelheid (in aantal stappen)]]*('B1 Aannames - implementatie'!$E$9-'B1 Aannames - implementatie'!$E$5)/4</f>
        <v>1.6666666666666666E-2</v>
      </c>
      <c r="H7" s="218" t="str" cm="1">
        <f t="array" ref="H7">INDEX(situaties[Beleid gehaald?],MATCH(A7,IF(situaties[Beleidscategorie]=afslagen_beleid[[#This Row],[Beleidscategorie]],situaties[Situatie]),0))</f>
        <v>Nee</v>
      </c>
      <c r="I7" s="139" cm="1">
        <f t="array" ref="I7">_xlfn.IFS(AND(afslagen_beleid[[#This Row],[Bestaand/nieuw beleid]]="Nieuw",afslagen_beleid[[#This Row],[Beleid gehaald?]]="Ja"),afslagen_beleid[[#This Row],[Factor p]],AND(afslagen_beleid[[#This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p]])</f>
        <v>0</v>
      </c>
      <c r="J7" s="139" cm="1">
        <f t="array" ref="J7">_xlfn.IFS(AND(afslagen_beleid[[#This Row],[Bestaand/nieuw beleid]]="Nieuw",afslagen_beleid[[#This Row],[Beleid gehaald?]]="Ja"),afslagen_beleid[[#This Row],[Factor q]],AND(afslagen_beleid[[#This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q]])</f>
        <v>0</v>
      </c>
    </row>
    <row r="8" spans="1:10" x14ac:dyDescent="0.5">
      <c r="A8" s="2" t="str">
        <f>'A1 Algemene resultaten'!$B$51</f>
        <v>Uitgangssituatie (huidig beleid gehaald, geen nieuw beleid)</v>
      </c>
      <c r="B8" s="2" t="s">
        <v>390</v>
      </c>
      <c r="C8" s="2" t="s">
        <v>629</v>
      </c>
      <c r="D8" s="1" t="s">
        <v>837</v>
      </c>
      <c r="E8" s="296">
        <f t="shared" si="0"/>
        <v>0.33333333333333331</v>
      </c>
      <c r="F8" s="216">
        <f>afslagen_beleid[[#This Row],[Verandering implementatiesnelheid (in aantal stappen)]]*('B1 Aannames - implementatie'!$D$9-'B1 Aannames - implementatie'!$D$5)/4</f>
        <v>1.6666666666666663E-3</v>
      </c>
      <c r="G8" s="217">
        <f>afslagen_beleid[[#This Row],[Verandering implementatiesnelheid (in aantal stappen)]]*('B1 Aannames - implementatie'!$E$9-'B1 Aannames - implementatie'!$E$5)/4</f>
        <v>1.6666666666666666E-2</v>
      </c>
      <c r="H8" s="218" t="str" cm="1">
        <f t="array" ref="H8">INDEX(situaties[Beleid gehaald?],MATCH(A8,IF(situaties[Beleidscategorie]=afslagen_beleid[[#This Row],[Beleidscategorie]],situaties[Situatie]),0))</f>
        <v>Nee</v>
      </c>
      <c r="I8" s="139" cm="1">
        <f t="array" ref="I8">_xlfn.IFS(AND(afslagen_beleid[[#This Row],[Bestaand/nieuw beleid]]="Nieuw",afslagen_beleid[[#This Row],[Beleid gehaald?]]="Ja"),afslagen_beleid[[#This Row],[Factor p]],AND(afslagen_beleid[[#This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p]])</f>
        <v>0</v>
      </c>
      <c r="J8" s="139" cm="1">
        <f t="array" ref="J8">_xlfn.IFS(AND(afslagen_beleid[[#This Row],[Bestaand/nieuw beleid]]="Nieuw",afslagen_beleid[[#This Row],[Beleid gehaald?]]="Ja"),afslagen_beleid[[#This Row],[Factor q]],AND(afslagen_beleid[[#This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q]])</f>
        <v>0</v>
      </c>
    </row>
    <row r="9" spans="1:10" ht="15.65" customHeight="1" x14ac:dyDescent="0.5">
      <c r="A9" s="2" t="str">
        <f>'A1 Algemene resultaten'!$B$51</f>
        <v>Uitgangssituatie (huidig beleid gehaald, geen nieuw beleid)</v>
      </c>
      <c r="B9" s="2" t="s">
        <v>391</v>
      </c>
      <c r="C9" s="2" t="s">
        <v>629</v>
      </c>
      <c r="D9" s="1" t="s">
        <v>839</v>
      </c>
      <c r="E9" s="296">
        <f t="shared" si="0"/>
        <v>0.33333333333333331</v>
      </c>
      <c r="F9" s="216">
        <f>afslagen_beleid[[#This Row],[Verandering implementatiesnelheid (in aantal stappen)]]*('B1 Aannames - implementatie'!$D$9-'B1 Aannames - implementatie'!$D$5)/4</f>
        <v>1.6666666666666663E-3</v>
      </c>
      <c r="G9" s="217">
        <f>afslagen_beleid[[#This Row],[Verandering implementatiesnelheid (in aantal stappen)]]*('B1 Aannames - implementatie'!$E$9-'B1 Aannames - implementatie'!$E$5)/4</f>
        <v>1.6666666666666666E-2</v>
      </c>
      <c r="H9" s="218" t="str" cm="1">
        <f t="array" ref="H9">INDEX(situaties[Beleid gehaald?],MATCH(A9,IF(situaties[Beleidscategorie]=afslagen_beleid[[#This Row],[Beleidscategorie]],situaties[Situatie]),0))</f>
        <v>Nee</v>
      </c>
      <c r="I9" s="139" cm="1">
        <f t="array" ref="I9">_xlfn.IFS(AND(afslagen_beleid[[#This Row],[Bestaand/nieuw beleid]]="Nieuw",afslagen_beleid[[#This Row],[Beleid gehaald?]]="Ja"),afslagen_beleid[[#This Row],[Factor p]],AND(afslagen_beleid[[#This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p]])</f>
        <v>0</v>
      </c>
      <c r="J9" s="139" cm="1">
        <f t="array" ref="J9">_xlfn.IFS(AND(afslagen_beleid[[#This Row],[Bestaand/nieuw beleid]]="Nieuw",afslagen_beleid[[#This Row],[Beleid gehaald?]]="Ja"),afslagen_beleid[[#This Row],[Factor q]],AND(afslagen_beleid[[#This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q]])</f>
        <v>0</v>
      </c>
    </row>
    <row r="10" spans="1:10" x14ac:dyDescent="0.5">
      <c r="A10" s="2" t="str">
        <f>'A1 Algemene resultaten'!$B$51</f>
        <v>Uitgangssituatie (huidig beleid gehaald, geen nieuw beleid)</v>
      </c>
      <c r="B10" s="2" t="s">
        <v>390</v>
      </c>
      <c r="C10" s="2" t="s">
        <v>629</v>
      </c>
      <c r="D10" s="1" t="s">
        <v>839</v>
      </c>
      <c r="E10" s="296">
        <f t="shared" si="0"/>
        <v>0.33333333333333331</v>
      </c>
      <c r="F10" s="216">
        <f>afslagen_beleid[[#This Row],[Verandering implementatiesnelheid (in aantal stappen)]]*('B1 Aannames - implementatie'!$D$9-'B1 Aannames - implementatie'!$D$5)/4</f>
        <v>1.6666666666666663E-3</v>
      </c>
      <c r="G10" s="217">
        <f>afslagen_beleid[[#This Row],[Verandering implementatiesnelheid (in aantal stappen)]]*('B1 Aannames - implementatie'!$E$9-'B1 Aannames - implementatie'!$E$5)/4</f>
        <v>1.6666666666666666E-2</v>
      </c>
      <c r="H10" s="218" t="str" cm="1">
        <f t="array" ref="H10">INDEX(situaties[Beleid gehaald?],MATCH(A10,IF(situaties[Beleidscategorie]=afslagen_beleid[[#This Row],[Beleidscategorie]],situaties[Situatie]),0))</f>
        <v>Nee</v>
      </c>
      <c r="I10" s="139" cm="1">
        <f t="array" ref="I10">_xlfn.IFS(AND(afslagen_beleid[[#This Row],[Bestaand/nieuw beleid]]="Nieuw",afslagen_beleid[[#This Row],[Beleid gehaald?]]="Ja"),afslagen_beleid[[#This Row],[Factor p]],AND(afslagen_beleid[[#This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p]])</f>
        <v>0</v>
      </c>
      <c r="J10" s="139" cm="1">
        <f t="array" ref="J10">_xlfn.IFS(AND(afslagen_beleid[[#This Row],[Bestaand/nieuw beleid]]="Nieuw",afslagen_beleid[[#This Row],[Beleid gehaald?]]="Ja"),afslagen_beleid[[#This Row],[Factor q]],AND(afslagen_beleid[[#This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q]])</f>
        <v>0</v>
      </c>
    </row>
    <row r="11" spans="1:10" ht="51" x14ac:dyDescent="0.5">
      <c r="A11" s="2" t="str">
        <f>'A1 Algemene resultaten'!$B$51</f>
        <v>Uitgangssituatie (huidig beleid gehaald, geen nieuw beleid)</v>
      </c>
      <c r="B11" s="2" t="s">
        <v>391</v>
      </c>
      <c r="C11" s="2" t="s">
        <v>630</v>
      </c>
      <c r="D11" s="1" t="s">
        <v>840</v>
      </c>
      <c r="E11" s="297">
        <v>-2</v>
      </c>
      <c r="F11" s="216">
        <f>afslagen_beleid[[#This Row],[Verandering implementatiesnelheid (in aantal stappen)]]*('B1 Aannames - implementatie'!$D$9-'B1 Aannames - implementatie'!$D$5)/4</f>
        <v>-9.9999999999999985E-3</v>
      </c>
      <c r="G11" s="217">
        <f>afslagen_beleid[[#This Row],[Verandering implementatiesnelheid (in aantal stappen)]]*('B1 Aannames - implementatie'!$E$9-'B1 Aannames - implementatie'!$E$5)/4</f>
        <v>-0.1</v>
      </c>
      <c r="H11" s="218" t="str" cm="1">
        <f t="array" ref="H11">INDEX(situaties[Beleid gehaald?],MATCH(A11,IF(situaties[Beleidscategorie]=afslagen_beleid[[#This Row],[Beleidscategorie]],situaties[Situatie]),0))</f>
        <v>Ja</v>
      </c>
      <c r="I11" s="139" cm="1">
        <f t="array" ref="I11">_xlfn.IFS(AND(afslagen_beleid[[#This Row],[Bestaand/nieuw beleid]]="Nieuw",afslagen_beleid[[#This Row],[Beleid gehaald?]]="Ja"),afslagen_beleid[[#This Row],[Factor p]],AND(afslagen_beleid[[#This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p]])</f>
        <v>0</v>
      </c>
      <c r="J11" s="139" cm="1">
        <f t="array" ref="J11">_xlfn.IFS(AND(afslagen_beleid[[#This Row],[Bestaand/nieuw beleid]]="Nieuw",afslagen_beleid[[#This Row],[Beleid gehaald?]]="Ja"),afslagen_beleid[[#This Row],[Factor q]],AND(afslagen_beleid[[#This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q]])</f>
        <v>0</v>
      </c>
    </row>
    <row r="12" spans="1:10" ht="51" x14ac:dyDescent="0.5">
      <c r="A12" s="2" t="str">
        <f>'A1 Algemene resultaten'!$B$51</f>
        <v>Uitgangssituatie (huidig beleid gehaald, geen nieuw beleid)</v>
      </c>
      <c r="B12" s="2" t="s">
        <v>390</v>
      </c>
      <c r="C12" s="2" t="s">
        <v>630</v>
      </c>
      <c r="D12" s="1" t="s">
        <v>840</v>
      </c>
      <c r="E12" s="297">
        <v>-2</v>
      </c>
      <c r="F12" s="216">
        <f>afslagen_beleid[[#This Row],[Verandering implementatiesnelheid (in aantal stappen)]]*('B1 Aannames - implementatie'!$D$9-'B1 Aannames - implementatie'!$D$5)/4</f>
        <v>-9.9999999999999985E-3</v>
      </c>
      <c r="G12" s="217">
        <f>afslagen_beleid[[#This Row],[Verandering implementatiesnelheid (in aantal stappen)]]*('B1 Aannames - implementatie'!$E$9-'B1 Aannames - implementatie'!$E$5)/4</f>
        <v>-0.1</v>
      </c>
      <c r="H12" s="218" t="str" cm="1">
        <f t="array" ref="H12">INDEX(situaties[Beleid gehaald?],MATCH(A12,IF(situaties[Beleidscategorie]=afslagen_beleid[[#This Row],[Beleidscategorie]],situaties[Situatie]),0))</f>
        <v>Ja</v>
      </c>
      <c r="I12" s="139" cm="1">
        <f t="array" ref="I12">_xlfn.IFS(AND(afslagen_beleid[[#This Row],[Bestaand/nieuw beleid]]="Nieuw",afslagen_beleid[[#This Row],[Beleid gehaald?]]="Ja"),afslagen_beleid[[#This Row],[Factor p]],AND(afslagen_beleid[[#This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p]])</f>
        <v>0</v>
      </c>
      <c r="J12" s="139" cm="1">
        <f t="array" ref="J12">_xlfn.IFS(AND(afslagen_beleid[[#This Row],[Bestaand/nieuw beleid]]="Nieuw",afslagen_beleid[[#This Row],[Beleid gehaald?]]="Ja"),afslagen_beleid[[#This Row],[Factor q]],AND(afslagen_beleid[[#This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q]])</f>
        <v>0</v>
      </c>
    </row>
    <row r="13" spans="1:10" x14ac:dyDescent="0.5">
      <c r="A13" s="2" t="str">
        <f>'A1 Algemene resultaten'!$B$51</f>
        <v>Uitgangssituatie (huidig beleid gehaald, geen nieuw beleid)</v>
      </c>
      <c r="B13" s="2" t="s">
        <v>391</v>
      </c>
      <c r="C13" s="2" t="s">
        <v>630</v>
      </c>
      <c r="D13" s="1" t="s">
        <v>754</v>
      </c>
      <c r="E13" s="296">
        <f>-1/3</f>
        <v>-0.33333333333333331</v>
      </c>
      <c r="F13" s="216">
        <f>afslagen_beleid[[#This Row],[Verandering implementatiesnelheid (in aantal stappen)]]*('B1 Aannames - implementatie'!$D$9-'B1 Aannames - implementatie'!$D$5)/4</f>
        <v>-1.6666666666666663E-3</v>
      </c>
      <c r="G13" s="217">
        <f>afslagen_beleid[[#This Row],[Verandering implementatiesnelheid (in aantal stappen)]]*('B1 Aannames - implementatie'!$E$9-'B1 Aannames - implementatie'!$E$5)/4</f>
        <v>-1.6666666666666666E-2</v>
      </c>
      <c r="H13" s="218" t="str" cm="1">
        <f t="array" ref="H13">INDEX(situaties[Beleid gehaald?],MATCH(A13,IF(situaties[Beleidscategorie]=afslagen_beleid[[#This Row],[Beleidscategorie]],situaties[Situatie]),0))</f>
        <v>Ja</v>
      </c>
      <c r="I13" s="139" cm="1">
        <f t="array" ref="I13">_xlfn.IFS(AND(afslagen_beleid[[#This Row],[Bestaand/nieuw beleid]]="Nieuw",afslagen_beleid[[#This Row],[Beleid gehaald?]]="Ja"),afslagen_beleid[[#This Row],[Factor p]],AND(afslagen_beleid[[#This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p]])</f>
        <v>0</v>
      </c>
      <c r="J13" s="139" cm="1">
        <f t="array" ref="J13">_xlfn.IFS(AND(afslagen_beleid[[#This Row],[Bestaand/nieuw beleid]]="Nieuw",afslagen_beleid[[#This Row],[Beleid gehaald?]]="Ja"),afslagen_beleid[[#This Row],[Factor q]],AND(afslagen_beleid[[#This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q]])</f>
        <v>0</v>
      </c>
    </row>
    <row r="14" spans="1:10" x14ac:dyDescent="0.5">
      <c r="A14" s="2" t="str">
        <f>'A1 Algemene resultaten'!$B$51</f>
        <v>Uitgangssituatie (huidig beleid gehaald, geen nieuw beleid)</v>
      </c>
      <c r="B14" s="2" t="s">
        <v>390</v>
      </c>
      <c r="C14" s="2" t="s">
        <v>630</v>
      </c>
      <c r="D14" s="1" t="s">
        <v>754</v>
      </c>
      <c r="E14" s="296">
        <f>-1/3</f>
        <v>-0.33333333333333331</v>
      </c>
      <c r="F14" s="216">
        <f>afslagen_beleid[[#This Row],[Verandering implementatiesnelheid (in aantal stappen)]]*('B1 Aannames - implementatie'!$D$9-'B1 Aannames - implementatie'!$D$5)/4</f>
        <v>-1.6666666666666663E-3</v>
      </c>
      <c r="G14" s="217">
        <f>afslagen_beleid[[#This Row],[Verandering implementatiesnelheid (in aantal stappen)]]*('B1 Aannames - implementatie'!$E$9-'B1 Aannames - implementatie'!$E$5)/4</f>
        <v>-1.6666666666666666E-2</v>
      </c>
      <c r="H14" s="218" t="str" cm="1">
        <f t="array" ref="H14">INDEX(situaties[Beleid gehaald?],MATCH(A14,IF(situaties[Beleidscategorie]=afslagen_beleid[[#This Row],[Beleidscategorie]],situaties[Situatie]),0))</f>
        <v>Ja</v>
      </c>
      <c r="I14" s="139" cm="1">
        <f t="array" ref="I14">_xlfn.IFS(AND(afslagen_beleid[[#This Row],[Bestaand/nieuw beleid]]="Nieuw",afslagen_beleid[[#This Row],[Beleid gehaald?]]="Ja"),afslagen_beleid[[#This Row],[Factor p]],AND(afslagen_beleid[[#This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p]])</f>
        <v>0</v>
      </c>
      <c r="J14" s="139" cm="1">
        <f t="array" ref="J14">_xlfn.IFS(AND(afslagen_beleid[[#This Row],[Bestaand/nieuw beleid]]="Nieuw",afslagen_beleid[[#This Row],[Beleid gehaald?]]="Ja"),afslagen_beleid[[#This Row],[Factor q]],AND(afslagen_beleid[[#This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q]])</f>
        <v>0</v>
      </c>
    </row>
    <row r="15" spans="1:10" x14ac:dyDescent="0.5">
      <c r="A15" s="2" t="str">
        <f>'A1 Algemene resultaten'!$B$51</f>
        <v>Uitgangssituatie (huidig beleid gehaald, geen nieuw beleid)</v>
      </c>
      <c r="B15" s="2" t="s">
        <v>391</v>
      </c>
      <c r="C15" s="2" t="s">
        <v>630</v>
      </c>
      <c r="D15" s="1" t="s">
        <v>755</v>
      </c>
      <c r="E15" s="296">
        <v>-1</v>
      </c>
      <c r="F15" s="216">
        <f>afslagen_beleid[[#This Row],[Verandering implementatiesnelheid (in aantal stappen)]]*('B1 Aannames - implementatie'!$D$9-'B1 Aannames - implementatie'!$D$5)/4</f>
        <v>-4.9999999999999992E-3</v>
      </c>
      <c r="G15" s="217">
        <f>afslagen_beleid[[#This Row],[Verandering implementatiesnelheid (in aantal stappen)]]*('B1 Aannames - implementatie'!$E$9-'B1 Aannames - implementatie'!$E$5)/4</f>
        <v>-0.05</v>
      </c>
      <c r="H15" s="218" t="str" cm="1">
        <f t="array" ref="H15">INDEX(situaties[Beleid gehaald?],MATCH(A15,IF(situaties[Beleidscategorie]=afslagen_beleid[[#This Row],[Beleidscategorie]],situaties[Situatie]),0))</f>
        <v>Ja</v>
      </c>
      <c r="I15" s="139" cm="1">
        <f t="array" ref="I15">_xlfn.IFS(AND(afslagen_beleid[[#This Row],[Bestaand/nieuw beleid]]="Nieuw",afslagen_beleid[[#This Row],[Beleid gehaald?]]="Ja"),afslagen_beleid[[#This Row],[Factor p]],AND(afslagen_beleid[[#This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p]])</f>
        <v>0</v>
      </c>
      <c r="J15" s="139" cm="1">
        <f t="array" ref="J15">_xlfn.IFS(AND(afslagen_beleid[[#This Row],[Bestaand/nieuw beleid]]="Nieuw",afslagen_beleid[[#This Row],[Beleid gehaald?]]="Ja"),afslagen_beleid[[#This Row],[Factor q]],AND(afslagen_beleid[[#This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q]])</f>
        <v>0</v>
      </c>
    </row>
    <row r="16" spans="1:10" x14ac:dyDescent="0.5">
      <c r="A16" s="2" t="str">
        <f>'A1 Algemene resultaten'!$B$51</f>
        <v>Uitgangssituatie (huidig beleid gehaald, geen nieuw beleid)</v>
      </c>
      <c r="B16" s="2" t="s">
        <v>390</v>
      </c>
      <c r="C16" s="2" t="s">
        <v>630</v>
      </c>
      <c r="D16" s="1" t="s">
        <v>755</v>
      </c>
      <c r="E16" s="296">
        <v>-1</v>
      </c>
      <c r="F16" s="216">
        <f>afslagen_beleid[[#This Row],[Verandering implementatiesnelheid (in aantal stappen)]]*('B1 Aannames - implementatie'!$D$9-'B1 Aannames - implementatie'!$D$5)/4</f>
        <v>-4.9999999999999992E-3</v>
      </c>
      <c r="G16" s="217">
        <f>afslagen_beleid[[#This Row],[Verandering implementatiesnelheid (in aantal stappen)]]*('B1 Aannames - implementatie'!$E$9-'B1 Aannames - implementatie'!$E$5)/4</f>
        <v>-0.05</v>
      </c>
      <c r="H16" s="218" t="str" cm="1">
        <f t="array" ref="H16">INDEX(situaties[Beleid gehaald?],MATCH(A16,IF(situaties[Beleidscategorie]=afslagen_beleid[[#This Row],[Beleidscategorie]],situaties[Situatie]),0))</f>
        <v>Ja</v>
      </c>
      <c r="I16" s="139" cm="1">
        <f t="array" ref="I16">_xlfn.IFS(AND(afslagen_beleid[[#This Row],[Bestaand/nieuw beleid]]="Nieuw",afslagen_beleid[[#This Row],[Beleid gehaald?]]="Ja"),afslagen_beleid[[#This Row],[Factor p]],AND(afslagen_beleid[[#This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p]])</f>
        <v>0</v>
      </c>
      <c r="J16" s="139" cm="1">
        <f t="array" ref="J16">_xlfn.IFS(AND(afslagen_beleid[[#This Row],[Bestaand/nieuw beleid]]="Nieuw",afslagen_beleid[[#This Row],[Beleid gehaald?]]="Ja"),afslagen_beleid[[#This Row],[Factor q]],AND(afslagen_beleid[[#This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q]])</f>
        <v>0</v>
      </c>
    </row>
    <row r="17" spans="1:10" x14ac:dyDescent="0.5">
      <c r="A17" s="2" t="str">
        <f>'A1 Algemene resultaten'!$B$51</f>
        <v>Uitgangssituatie (huidig beleid gehaald, geen nieuw beleid)</v>
      </c>
      <c r="B17" s="2" t="s">
        <v>391</v>
      </c>
      <c r="C17" s="2" t="s">
        <v>630</v>
      </c>
      <c r="D17" s="1" t="s">
        <v>756</v>
      </c>
      <c r="E17" s="296">
        <v>-1</v>
      </c>
      <c r="F17" s="216">
        <f>afslagen_beleid[[#This Row],[Verandering implementatiesnelheid (in aantal stappen)]]*('B1 Aannames - implementatie'!$D$9-'B1 Aannames - implementatie'!$D$5)/4</f>
        <v>-4.9999999999999992E-3</v>
      </c>
      <c r="G17" s="217">
        <f>afslagen_beleid[[#This Row],[Verandering implementatiesnelheid (in aantal stappen)]]*('B1 Aannames - implementatie'!$E$9-'B1 Aannames - implementatie'!$E$5)/4</f>
        <v>-0.05</v>
      </c>
      <c r="H17" s="218" t="str" cm="1">
        <f t="array" ref="H17">INDEX(situaties[Beleid gehaald?],MATCH(A17,IF(situaties[Beleidscategorie]=afslagen_beleid[[#This Row],[Beleidscategorie]],situaties[Situatie]),0))</f>
        <v>Ja</v>
      </c>
      <c r="I17" s="139" cm="1">
        <f t="array" ref="I17">_xlfn.IFS(AND(afslagen_beleid[[#This Row],[Bestaand/nieuw beleid]]="Nieuw",afslagen_beleid[[#This Row],[Beleid gehaald?]]="Ja"),afslagen_beleid[[#This Row],[Factor p]],AND(afslagen_beleid[[#This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p]])</f>
        <v>0</v>
      </c>
      <c r="J17" s="139" cm="1">
        <f t="array" ref="J17">_xlfn.IFS(AND(afslagen_beleid[[#This Row],[Bestaand/nieuw beleid]]="Nieuw",afslagen_beleid[[#This Row],[Beleid gehaald?]]="Ja"),afslagen_beleid[[#This Row],[Factor q]],AND(afslagen_beleid[[#This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q]])</f>
        <v>0</v>
      </c>
    </row>
    <row r="18" spans="1:10" ht="17.5" thickBot="1" x14ac:dyDescent="0.55000000000000004">
      <c r="A18" s="2" t="str">
        <f>'A1 Algemene resultaten'!$B$51</f>
        <v>Uitgangssituatie (huidig beleid gehaald, geen nieuw beleid)</v>
      </c>
      <c r="B18" s="2" t="s">
        <v>390</v>
      </c>
      <c r="C18" s="2" t="s">
        <v>630</v>
      </c>
      <c r="D18" s="1" t="s">
        <v>756</v>
      </c>
      <c r="E18" s="298">
        <v>0</v>
      </c>
      <c r="F18" s="219">
        <f>afslagen_beleid[[#This Row],[Verandering implementatiesnelheid (in aantal stappen)]]*('B1 Aannames - implementatie'!$D$9-'B1 Aannames - implementatie'!$D$5)/4</f>
        <v>0</v>
      </c>
      <c r="G18" s="217">
        <f>afslagen_beleid[[#This Row],[Verandering implementatiesnelheid (in aantal stappen)]]*('B1 Aannames - implementatie'!$E$9-'B1 Aannames - implementatie'!$E$5)/4</f>
        <v>0</v>
      </c>
      <c r="H18" s="218" t="str" cm="1">
        <f t="array" ref="H18">INDEX(situaties[Beleid gehaald?],MATCH(A18,IF(situaties[Beleidscategorie]=afslagen_beleid[[#This Row],[Beleidscategorie]],situaties[Situatie]),0))</f>
        <v>Ja</v>
      </c>
      <c r="I18" s="139" cm="1">
        <f t="array" ref="I18">_xlfn.IFS(AND(afslagen_beleid[[#This Row],[Bestaand/nieuw beleid]]="Nieuw",afslagen_beleid[[#This Row],[Beleid gehaald?]]="Ja"),afslagen_beleid[[#This Row],[Factor p]],AND(afslagen_beleid[[#This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p]])</f>
        <v>0</v>
      </c>
      <c r="J18" s="139" cm="1">
        <f t="array" ref="J18">_xlfn.IFS(AND(afslagen_beleid[[#This Row],[Bestaand/nieuw beleid]]="Nieuw",afslagen_beleid[[#This Row],[Beleid gehaald?]]="Ja"),afslagen_beleid[[#This Row],[Factor q]],AND(afslagen_beleid[[#This Row],[Bestaand/nieuw beleid]]="Nieuw",afslagen_beleid[[#This Row],[Beleid gehaald?]]="Nee"),0,AND(afslagen_beleid[[#This Row],[Bestaand/nieuw beleid]]="Bestaand",afslagen_beleid[[#This Row],[Beleid gehaald?]]="Ja"),0,AND(afslagen_beleid[[#This Row],[Bestaand/nieuw beleid]]="Bestaand",afslagen_beleid[[#This Row],[Beleid gehaald?]]="Nee"),afslagen_beleid[[#This Row],[Factor q]])</f>
        <v>0</v>
      </c>
    </row>
    <row r="19" spans="1:10" x14ac:dyDescent="0.5">
      <c r="E19" t="s">
        <v>964</v>
      </c>
    </row>
    <row r="21" spans="1:10" s="39" customFormat="1" ht="40.5" customHeight="1" x14ac:dyDescent="0.5">
      <c r="A21" s="5" t="s">
        <v>843</v>
      </c>
      <c r="B21" s="5" t="s">
        <v>628</v>
      </c>
      <c r="C21" s="5" t="s">
        <v>841</v>
      </c>
      <c r="D21" s="39" t="s">
        <v>842</v>
      </c>
    </row>
    <row r="22" spans="1:10" x14ac:dyDescent="0.5">
      <c r="A22" s="1" t="s">
        <v>763</v>
      </c>
      <c r="B22" s="2" t="s">
        <v>629</v>
      </c>
      <c r="C22" s="1" t="s">
        <v>838</v>
      </c>
      <c r="D22" s="2" t="s">
        <v>390</v>
      </c>
    </row>
    <row r="23" spans="1:10" ht="34" x14ac:dyDescent="0.5">
      <c r="A23" s="1" t="s">
        <v>763</v>
      </c>
      <c r="B23" s="2" t="s">
        <v>629</v>
      </c>
      <c r="C23" s="1" t="s">
        <v>837</v>
      </c>
      <c r="D23" s="2" t="s">
        <v>390</v>
      </c>
    </row>
    <row r="24" spans="1:10" ht="34" x14ac:dyDescent="0.5">
      <c r="A24" s="1" t="s">
        <v>763</v>
      </c>
      <c r="B24" s="2" t="s">
        <v>629</v>
      </c>
      <c r="C24" s="1" t="s">
        <v>839</v>
      </c>
      <c r="D24" s="2" t="s">
        <v>390</v>
      </c>
    </row>
    <row r="25" spans="1:10" ht="68" x14ac:dyDescent="0.5">
      <c r="A25" s="1" t="s">
        <v>763</v>
      </c>
      <c r="B25" s="2" t="s">
        <v>630</v>
      </c>
      <c r="C25" s="1" t="s">
        <v>840</v>
      </c>
      <c r="D25" s="2" t="s">
        <v>391</v>
      </c>
    </row>
    <row r="26" spans="1:10" ht="34" x14ac:dyDescent="0.5">
      <c r="A26" s="1" t="s">
        <v>763</v>
      </c>
      <c r="B26" s="2" t="s">
        <v>630</v>
      </c>
      <c r="C26" s="1" t="s">
        <v>754</v>
      </c>
      <c r="D26" s="2" t="s">
        <v>391</v>
      </c>
    </row>
    <row r="27" spans="1:10" ht="34" x14ac:dyDescent="0.5">
      <c r="A27" s="1" t="s">
        <v>763</v>
      </c>
      <c r="B27" s="2" t="s">
        <v>630</v>
      </c>
      <c r="C27" s="1" t="s">
        <v>755</v>
      </c>
      <c r="D27" s="2" t="s">
        <v>391</v>
      </c>
    </row>
    <row r="28" spans="1:10" ht="34" x14ac:dyDescent="0.5">
      <c r="A28" s="1" t="s">
        <v>763</v>
      </c>
      <c r="B28" s="2" t="s">
        <v>630</v>
      </c>
      <c r="C28" s="1" t="s">
        <v>756</v>
      </c>
      <c r="D28" s="2" t="s">
        <v>391</v>
      </c>
    </row>
    <row r="29" spans="1:10" ht="68" x14ac:dyDescent="0.5">
      <c r="A29" s="352" t="s">
        <v>814</v>
      </c>
      <c r="B29" s="2" t="s">
        <v>629</v>
      </c>
      <c r="C29" s="1" t="s">
        <v>838</v>
      </c>
      <c r="D29" s="2" t="s">
        <v>390</v>
      </c>
    </row>
    <row r="30" spans="1:10" ht="68" x14ac:dyDescent="0.5">
      <c r="A30" s="352" t="s">
        <v>814</v>
      </c>
      <c r="B30" s="2" t="s">
        <v>629</v>
      </c>
      <c r="C30" s="1" t="s">
        <v>837</v>
      </c>
      <c r="D30" s="2" t="s">
        <v>390</v>
      </c>
    </row>
    <row r="31" spans="1:10" ht="68" x14ac:dyDescent="0.5">
      <c r="A31" s="352" t="s">
        <v>814</v>
      </c>
      <c r="B31" s="2" t="s">
        <v>629</v>
      </c>
      <c r="C31" s="1" t="s">
        <v>839</v>
      </c>
      <c r="D31" s="2" t="s">
        <v>390</v>
      </c>
    </row>
    <row r="32" spans="1:10" ht="68" x14ac:dyDescent="0.5">
      <c r="A32" s="352" t="s">
        <v>814</v>
      </c>
      <c r="B32" s="2" t="s">
        <v>630</v>
      </c>
      <c r="C32" s="1" t="s">
        <v>840</v>
      </c>
      <c r="D32" s="2" t="s">
        <v>390</v>
      </c>
    </row>
    <row r="33" spans="1:4" ht="68" x14ac:dyDescent="0.5">
      <c r="A33" s="352" t="s">
        <v>814</v>
      </c>
      <c r="B33" s="2" t="s">
        <v>630</v>
      </c>
      <c r="C33" s="1" t="s">
        <v>754</v>
      </c>
      <c r="D33" s="2" t="s">
        <v>391</v>
      </c>
    </row>
    <row r="34" spans="1:4" ht="68" x14ac:dyDescent="0.5">
      <c r="A34" s="352" t="s">
        <v>814</v>
      </c>
      <c r="B34" s="2" t="s">
        <v>630</v>
      </c>
      <c r="C34" s="1" t="s">
        <v>755</v>
      </c>
      <c r="D34" s="2" t="s">
        <v>391</v>
      </c>
    </row>
    <row r="35" spans="1:4" ht="68" x14ac:dyDescent="0.5">
      <c r="A35" s="352" t="s">
        <v>814</v>
      </c>
      <c r="B35" s="2" t="s">
        <v>630</v>
      </c>
      <c r="C35" s="1" t="s">
        <v>756</v>
      </c>
      <c r="D35" s="2" t="s">
        <v>391</v>
      </c>
    </row>
    <row r="36" spans="1:4" x14ac:dyDescent="0.5">
      <c r="A36" s="352" t="s">
        <v>764</v>
      </c>
      <c r="B36" s="2" t="s">
        <v>629</v>
      </c>
      <c r="C36" s="1" t="s">
        <v>838</v>
      </c>
      <c r="D36" s="2" t="s">
        <v>391</v>
      </c>
    </row>
    <row r="37" spans="1:4" ht="34" x14ac:dyDescent="0.5">
      <c r="A37" s="352" t="s">
        <v>764</v>
      </c>
      <c r="B37" s="2" t="s">
        <v>629</v>
      </c>
      <c r="C37" s="1" t="s">
        <v>837</v>
      </c>
      <c r="D37" s="2" t="s">
        <v>390</v>
      </c>
    </row>
    <row r="38" spans="1:4" ht="34" x14ac:dyDescent="0.5">
      <c r="A38" s="352" t="s">
        <v>764</v>
      </c>
      <c r="B38" s="2" t="s">
        <v>629</v>
      </c>
      <c r="C38" s="1" t="s">
        <v>839</v>
      </c>
      <c r="D38" s="2" t="s">
        <v>390</v>
      </c>
    </row>
    <row r="39" spans="1:4" ht="68" x14ac:dyDescent="0.5">
      <c r="A39" s="352" t="s">
        <v>764</v>
      </c>
      <c r="B39" s="2" t="s">
        <v>630</v>
      </c>
      <c r="C39" s="1" t="s">
        <v>840</v>
      </c>
      <c r="D39" s="2" t="s">
        <v>391</v>
      </c>
    </row>
    <row r="40" spans="1:4" ht="34" x14ac:dyDescent="0.5">
      <c r="A40" s="352" t="s">
        <v>764</v>
      </c>
      <c r="B40" s="2" t="s">
        <v>630</v>
      </c>
      <c r="C40" s="1" t="s">
        <v>754</v>
      </c>
      <c r="D40" s="2" t="s">
        <v>391</v>
      </c>
    </row>
    <row r="41" spans="1:4" ht="34" x14ac:dyDescent="0.5">
      <c r="A41" s="352" t="s">
        <v>764</v>
      </c>
      <c r="B41" s="2" t="s">
        <v>630</v>
      </c>
      <c r="C41" s="1" t="s">
        <v>755</v>
      </c>
      <c r="D41" s="2" t="s">
        <v>391</v>
      </c>
    </row>
    <row r="42" spans="1:4" ht="34" x14ac:dyDescent="0.5">
      <c r="A42" s="352" t="s">
        <v>764</v>
      </c>
      <c r="B42" s="2" t="s">
        <v>630</v>
      </c>
      <c r="C42" s="1" t="s">
        <v>756</v>
      </c>
      <c r="D42" s="2" t="s">
        <v>391</v>
      </c>
    </row>
    <row r="43" spans="1:4" x14ac:dyDescent="0.5">
      <c r="A43" s="352" t="s">
        <v>765</v>
      </c>
      <c r="B43" s="2" t="s">
        <v>629</v>
      </c>
      <c r="C43" s="1" t="s">
        <v>838</v>
      </c>
      <c r="D43" s="2" t="s">
        <v>391</v>
      </c>
    </row>
    <row r="44" spans="1:4" ht="34" x14ac:dyDescent="0.5">
      <c r="A44" s="352" t="s">
        <v>765</v>
      </c>
      <c r="B44" s="2" t="s">
        <v>629</v>
      </c>
      <c r="C44" s="1" t="s">
        <v>837</v>
      </c>
      <c r="D44" s="2" t="s">
        <v>391</v>
      </c>
    </row>
    <row r="45" spans="1:4" ht="34" x14ac:dyDescent="0.5">
      <c r="A45" s="352" t="s">
        <v>765</v>
      </c>
      <c r="B45" s="2" t="s">
        <v>629</v>
      </c>
      <c r="C45" s="1" t="s">
        <v>839</v>
      </c>
      <c r="D45" s="2" t="s">
        <v>390</v>
      </c>
    </row>
    <row r="46" spans="1:4" ht="68" x14ac:dyDescent="0.5">
      <c r="A46" s="352" t="s">
        <v>765</v>
      </c>
      <c r="B46" s="2" t="s">
        <v>630</v>
      </c>
      <c r="C46" s="1" t="s">
        <v>840</v>
      </c>
      <c r="D46" s="2" t="s">
        <v>391</v>
      </c>
    </row>
    <row r="47" spans="1:4" ht="34" x14ac:dyDescent="0.5">
      <c r="A47" s="352" t="s">
        <v>765</v>
      </c>
      <c r="B47" s="2" t="s">
        <v>630</v>
      </c>
      <c r="C47" s="1" t="s">
        <v>754</v>
      </c>
      <c r="D47" s="2" t="s">
        <v>391</v>
      </c>
    </row>
    <row r="48" spans="1:4" ht="34" x14ac:dyDescent="0.5">
      <c r="A48" s="352" t="s">
        <v>765</v>
      </c>
      <c r="B48" s="2" t="s">
        <v>630</v>
      </c>
      <c r="C48" s="1" t="s">
        <v>755</v>
      </c>
      <c r="D48" s="2" t="s">
        <v>391</v>
      </c>
    </row>
    <row r="49" spans="1:4" ht="34" x14ac:dyDescent="0.5">
      <c r="A49" s="352" t="s">
        <v>765</v>
      </c>
      <c r="B49" s="2" t="s">
        <v>630</v>
      </c>
      <c r="C49" s="1" t="s">
        <v>756</v>
      </c>
      <c r="D49" s="2" t="s">
        <v>391</v>
      </c>
    </row>
    <row r="50" spans="1:4" x14ac:dyDescent="0.5">
      <c r="A50" s="352" t="s">
        <v>766</v>
      </c>
      <c r="B50" s="2" t="s">
        <v>629</v>
      </c>
      <c r="C50" s="1" t="s">
        <v>838</v>
      </c>
      <c r="D50" s="2" t="s">
        <v>391</v>
      </c>
    </row>
    <row r="51" spans="1:4" ht="34" x14ac:dyDescent="0.5">
      <c r="A51" s="352" t="s">
        <v>766</v>
      </c>
      <c r="B51" s="2" t="s">
        <v>629</v>
      </c>
      <c r="C51" s="1" t="s">
        <v>837</v>
      </c>
      <c r="D51" s="2" t="s">
        <v>391</v>
      </c>
    </row>
    <row r="52" spans="1:4" ht="34" x14ac:dyDescent="0.5">
      <c r="A52" s="352" t="s">
        <v>766</v>
      </c>
      <c r="B52" s="2" t="s">
        <v>629</v>
      </c>
      <c r="C52" s="1" t="s">
        <v>839</v>
      </c>
      <c r="D52" s="2" t="s">
        <v>391</v>
      </c>
    </row>
    <row r="53" spans="1:4" ht="68" x14ac:dyDescent="0.5">
      <c r="A53" s="352" t="s">
        <v>766</v>
      </c>
      <c r="B53" s="2" t="s">
        <v>630</v>
      </c>
      <c r="C53" s="1" t="s">
        <v>840</v>
      </c>
      <c r="D53" s="2" t="s">
        <v>391</v>
      </c>
    </row>
    <row r="54" spans="1:4" ht="34" x14ac:dyDescent="0.5">
      <c r="A54" s="352" t="s">
        <v>766</v>
      </c>
      <c r="B54" s="2" t="s">
        <v>630</v>
      </c>
      <c r="C54" s="1" t="s">
        <v>754</v>
      </c>
      <c r="D54" s="2" t="s">
        <v>391</v>
      </c>
    </row>
    <row r="55" spans="1:4" ht="34" x14ac:dyDescent="0.5">
      <c r="A55" s="352" t="s">
        <v>766</v>
      </c>
      <c r="B55" s="2" t="s">
        <v>630</v>
      </c>
      <c r="C55" s="1" t="s">
        <v>755</v>
      </c>
      <c r="D55" s="2" t="s">
        <v>391</v>
      </c>
    </row>
    <row r="56" spans="1:4" ht="34" x14ac:dyDescent="0.5">
      <c r="A56" s="352" t="s">
        <v>766</v>
      </c>
      <c r="B56" s="2" t="s">
        <v>630</v>
      </c>
      <c r="C56" s="1" t="s">
        <v>756</v>
      </c>
      <c r="D56" s="2" t="s">
        <v>391</v>
      </c>
    </row>
    <row r="57" spans="1:4" ht="34" x14ac:dyDescent="0.5">
      <c r="A57" s="353" t="s">
        <v>815</v>
      </c>
      <c r="B57" s="2" t="s">
        <v>629</v>
      </c>
      <c r="C57" s="1" t="s">
        <v>838</v>
      </c>
      <c r="D57" s="2" t="s">
        <v>390</v>
      </c>
    </row>
    <row r="58" spans="1:4" ht="34" x14ac:dyDescent="0.5">
      <c r="A58" s="353" t="s">
        <v>815</v>
      </c>
      <c r="B58" s="2" t="s">
        <v>629</v>
      </c>
      <c r="C58" s="1" t="s">
        <v>837</v>
      </c>
      <c r="D58" s="2" t="s">
        <v>390</v>
      </c>
    </row>
    <row r="59" spans="1:4" ht="34" x14ac:dyDescent="0.5">
      <c r="A59" s="353" t="s">
        <v>815</v>
      </c>
      <c r="B59" s="2" t="s">
        <v>629</v>
      </c>
      <c r="C59" s="1" t="s">
        <v>839</v>
      </c>
      <c r="D59" s="2" t="s">
        <v>390</v>
      </c>
    </row>
    <row r="60" spans="1:4" ht="68" x14ac:dyDescent="0.5">
      <c r="A60" s="353" t="s">
        <v>815</v>
      </c>
      <c r="B60" s="2" t="s">
        <v>630</v>
      </c>
      <c r="C60" s="1" t="s">
        <v>840</v>
      </c>
      <c r="D60" s="2" t="s">
        <v>391</v>
      </c>
    </row>
    <row r="61" spans="1:4" ht="34" x14ac:dyDescent="0.5">
      <c r="A61" s="353" t="s">
        <v>815</v>
      </c>
      <c r="B61" s="2" t="s">
        <v>630</v>
      </c>
      <c r="C61" s="1" t="s">
        <v>754</v>
      </c>
      <c r="D61" s="2" t="s">
        <v>390</v>
      </c>
    </row>
    <row r="62" spans="1:4" ht="34" x14ac:dyDescent="0.5">
      <c r="A62" s="353" t="s">
        <v>815</v>
      </c>
      <c r="B62" s="2" t="s">
        <v>630</v>
      </c>
      <c r="C62" s="1" t="s">
        <v>755</v>
      </c>
      <c r="D62" s="2" t="s">
        <v>391</v>
      </c>
    </row>
    <row r="63" spans="1:4" ht="34" x14ac:dyDescent="0.5">
      <c r="A63" s="353" t="s">
        <v>815</v>
      </c>
      <c r="B63" s="2" t="s">
        <v>630</v>
      </c>
      <c r="C63" s="1" t="s">
        <v>756</v>
      </c>
      <c r="D63" s="2" t="s">
        <v>391</v>
      </c>
    </row>
    <row r="64" spans="1:4" ht="34" x14ac:dyDescent="0.5">
      <c r="A64" s="353" t="s">
        <v>816</v>
      </c>
      <c r="B64" s="2" t="s">
        <v>629</v>
      </c>
      <c r="C64" s="1" t="s">
        <v>838</v>
      </c>
      <c r="D64" s="2" t="s">
        <v>390</v>
      </c>
    </row>
    <row r="65" spans="1:4" ht="34" x14ac:dyDescent="0.5">
      <c r="A65" s="353" t="s">
        <v>816</v>
      </c>
      <c r="B65" s="2" t="s">
        <v>629</v>
      </c>
      <c r="C65" s="1" t="s">
        <v>837</v>
      </c>
      <c r="D65" s="2" t="s">
        <v>390</v>
      </c>
    </row>
    <row r="66" spans="1:4" ht="34" x14ac:dyDescent="0.5">
      <c r="A66" s="353" t="s">
        <v>816</v>
      </c>
      <c r="B66" s="2" t="s">
        <v>629</v>
      </c>
      <c r="C66" s="1" t="s">
        <v>839</v>
      </c>
      <c r="D66" s="2" t="s">
        <v>390</v>
      </c>
    </row>
    <row r="67" spans="1:4" ht="68" x14ac:dyDescent="0.5">
      <c r="A67" s="353" t="s">
        <v>816</v>
      </c>
      <c r="B67" s="2" t="s">
        <v>630</v>
      </c>
      <c r="C67" s="1" t="s">
        <v>840</v>
      </c>
      <c r="D67" s="2" t="s">
        <v>391</v>
      </c>
    </row>
    <row r="68" spans="1:4" ht="34" x14ac:dyDescent="0.5">
      <c r="A68" s="353" t="s">
        <v>816</v>
      </c>
      <c r="B68" s="2" t="s">
        <v>630</v>
      </c>
      <c r="C68" s="1" t="s">
        <v>754</v>
      </c>
      <c r="D68" s="2" t="s">
        <v>391</v>
      </c>
    </row>
    <row r="69" spans="1:4" ht="34" x14ac:dyDescent="0.5">
      <c r="A69" s="353" t="s">
        <v>816</v>
      </c>
      <c r="B69" s="2" t="s">
        <v>630</v>
      </c>
      <c r="C69" s="1" t="s">
        <v>755</v>
      </c>
      <c r="D69" s="2" t="s">
        <v>390</v>
      </c>
    </row>
    <row r="70" spans="1:4" ht="34" x14ac:dyDescent="0.5">
      <c r="A70" s="353" t="s">
        <v>816</v>
      </c>
      <c r="B70" s="2" t="s">
        <v>630</v>
      </c>
      <c r="C70" s="1" t="s">
        <v>756</v>
      </c>
      <c r="D70" s="2" t="s">
        <v>391</v>
      </c>
    </row>
    <row r="71" spans="1:4" ht="34" x14ac:dyDescent="0.5">
      <c r="A71" s="353" t="s">
        <v>817</v>
      </c>
      <c r="B71" s="2" t="s">
        <v>629</v>
      </c>
      <c r="C71" s="1" t="s">
        <v>838</v>
      </c>
      <c r="D71" s="2" t="s">
        <v>390</v>
      </c>
    </row>
    <row r="72" spans="1:4" ht="34" x14ac:dyDescent="0.5">
      <c r="A72" s="353" t="s">
        <v>817</v>
      </c>
      <c r="B72" s="2" t="s">
        <v>629</v>
      </c>
      <c r="C72" s="1" t="s">
        <v>837</v>
      </c>
      <c r="D72" s="2" t="s">
        <v>390</v>
      </c>
    </row>
    <row r="73" spans="1:4" ht="34" x14ac:dyDescent="0.5">
      <c r="A73" s="353" t="s">
        <v>817</v>
      </c>
      <c r="B73" s="2" t="s">
        <v>629</v>
      </c>
      <c r="C73" s="1" t="s">
        <v>839</v>
      </c>
      <c r="D73" s="2" t="s">
        <v>390</v>
      </c>
    </row>
    <row r="74" spans="1:4" ht="68" x14ac:dyDescent="0.5">
      <c r="A74" s="353" t="s">
        <v>817</v>
      </c>
      <c r="B74" s="2" t="s">
        <v>630</v>
      </c>
      <c r="C74" s="1" t="s">
        <v>840</v>
      </c>
      <c r="D74" s="2" t="s">
        <v>391</v>
      </c>
    </row>
    <row r="75" spans="1:4" ht="34" x14ac:dyDescent="0.5">
      <c r="A75" s="353" t="s">
        <v>817</v>
      </c>
      <c r="B75" s="2" t="s">
        <v>630</v>
      </c>
      <c r="C75" s="1" t="s">
        <v>754</v>
      </c>
      <c r="D75" s="2" t="s">
        <v>391</v>
      </c>
    </row>
    <row r="76" spans="1:4" ht="34" x14ac:dyDescent="0.5">
      <c r="A76" s="353" t="s">
        <v>817</v>
      </c>
      <c r="B76" s="2" t="s">
        <v>630</v>
      </c>
      <c r="C76" s="1" t="s">
        <v>755</v>
      </c>
      <c r="D76" s="2" t="s">
        <v>391</v>
      </c>
    </row>
    <row r="77" spans="1:4" ht="34" x14ac:dyDescent="0.5">
      <c r="A77" s="353" t="s">
        <v>817</v>
      </c>
      <c r="B77" s="2" t="s">
        <v>630</v>
      </c>
      <c r="C77" s="1" t="s">
        <v>756</v>
      </c>
      <c r="D77" s="2" t="s">
        <v>390</v>
      </c>
    </row>
  </sheetData>
  <sheetProtection sheet="1" objects="1" scenarios="1" selectLockedCells="1" selectUnlockedCells="1"/>
  <mergeCells count="1">
    <mergeCell ref="A1:C2"/>
  </mergeCells>
  <phoneticPr fontId="4" type="noConversion"/>
  <pageMargins left="0.7" right="0.7" top="0.75" bottom="0.75" header="0.3" footer="0.3"/>
  <pageSetup paperSize="9" orientation="portrait"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3782A-5697-467B-B666-B5F2B996E413}">
  <sheetPr codeName="Blad12">
    <tabColor theme="9"/>
  </sheetPr>
  <dimension ref="A1:D37"/>
  <sheetViews>
    <sheetView showGridLines="0" zoomScale="80" zoomScaleNormal="80" workbookViewId="0">
      <selection activeCell="D28" sqref="D28"/>
    </sheetView>
  </sheetViews>
  <sheetFormatPr defaultColWidth="8.84375" defaultRowHeight="17" x14ac:dyDescent="0.5"/>
  <cols>
    <col min="1" max="1" width="27.69140625" style="93" bestFit="1" customWidth="1"/>
    <col min="2" max="2" width="35.4609375" style="93" bestFit="1" customWidth="1"/>
    <col min="3" max="3" width="18.23046875" style="232" customWidth="1"/>
    <col min="4" max="4" width="55.69140625" style="93" bestFit="1" customWidth="1"/>
    <col min="5" max="16384" width="8.84375" style="93"/>
  </cols>
  <sheetData>
    <row r="1" spans="1:4" x14ac:dyDescent="0.5">
      <c r="A1" s="476" t="s">
        <v>1032</v>
      </c>
      <c r="B1" s="477"/>
      <c r="C1" s="478"/>
    </row>
    <row r="2" spans="1:4" ht="17.5" thickBot="1" x14ac:dyDescent="0.55000000000000004">
      <c r="A2" s="479"/>
      <c r="B2" s="480"/>
      <c r="C2" s="481"/>
    </row>
    <row r="4" spans="1:4" ht="44.25" customHeight="1" thickBot="1" x14ac:dyDescent="0.55000000000000004">
      <c r="A4" s="220" t="s">
        <v>5</v>
      </c>
      <c r="B4" s="16" t="s">
        <v>751</v>
      </c>
      <c r="C4" s="148" t="s">
        <v>759</v>
      </c>
      <c r="D4" s="24" t="s">
        <v>921</v>
      </c>
    </row>
    <row r="5" spans="1:4" ht="17.5" thickTop="1" x14ac:dyDescent="0.5">
      <c r="A5" s="33" t="s">
        <v>9</v>
      </c>
      <c r="B5" s="33" t="s">
        <v>593</v>
      </c>
      <c r="C5" s="136" t="s">
        <v>391</v>
      </c>
      <c r="D5" s="2"/>
    </row>
    <row r="6" spans="1:4" x14ac:dyDescent="0.5">
      <c r="A6" s="33" t="s">
        <v>12</v>
      </c>
      <c r="B6" s="33" t="s">
        <v>609</v>
      </c>
      <c r="C6" s="136" t="s">
        <v>391</v>
      </c>
      <c r="D6" s="2"/>
    </row>
    <row r="7" spans="1:4" x14ac:dyDescent="0.5">
      <c r="A7" s="33" t="s">
        <v>11</v>
      </c>
      <c r="B7" s="33" t="s">
        <v>474</v>
      </c>
      <c r="C7" s="136" t="s">
        <v>390</v>
      </c>
      <c r="D7" s="2" t="s">
        <v>762</v>
      </c>
    </row>
    <row r="8" spans="1:4" x14ac:dyDescent="0.5">
      <c r="A8" s="33" t="s">
        <v>11</v>
      </c>
      <c r="B8" s="33" t="s">
        <v>473</v>
      </c>
      <c r="C8" s="136" t="s">
        <v>390</v>
      </c>
      <c r="D8" s="2" t="s">
        <v>762</v>
      </c>
    </row>
    <row r="9" spans="1:4" x14ac:dyDescent="0.5">
      <c r="A9" s="33" t="s">
        <v>11</v>
      </c>
      <c r="B9" s="33" t="s">
        <v>472</v>
      </c>
      <c r="C9" s="136" t="s">
        <v>390</v>
      </c>
      <c r="D9" s="2" t="s">
        <v>762</v>
      </c>
    </row>
    <row r="10" spans="1:4" x14ac:dyDescent="0.5">
      <c r="A10" s="33" t="s">
        <v>11</v>
      </c>
      <c r="B10" s="33" t="s">
        <v>475</v>
      </c>
      <c r="C10" s="136" t="s">
        <v>390</v>
      </c>
      <c r="D10" s="2" t="s">
        <v>762</v>
      </c>
    </row>
    <row r="11" spans="1:4" x14ac:dyDescent="0.5">
      <c r="A11" s="33" t="s">
        <v>12</v>
      </c>
      <c r="B11" s="33" t="s">
        <v>716</v>
      </c>
      <c r="C11" s="136" t="s">
        <v>390</v>
      </c>
      <c r="D11" s="2" t="s">
        <v>762</v>
      </c>
    </row>
    <row r="12" spans="1:4" x14ac:dyDescent="0.5">
      <c r="A12" s="33" t="s">
        <v>11</v>
      </c>
      <c r="B12" s="33" t="s">
        <v>66</v>
      </c>
      <c r="C12" s="136" t="s">
        <v>391</v>
      </c>
      <c r="D12" s="2"/>
    </row>
    <row r="13" spans="1:4" x14ac:dyDescent="0.5">
      <c r="A13" s="33" t="s">
        <v>11</v>
      </c>
      <c r="B13" s="43" t="s">
        <v>76</v>
      </c>
      <c r="C13" s="136" t="s">
        <v>390</v>
      </c>
      <c r="D13" s="2" t="s">
        <v>762</v>
      </c>
    </row>
    <row r="14" spans="1:4" x14ac:dyDescent="0.5">
      <c r="A14" s="33" t="s">
        <v>12</v>
      </c>
      <c r="B14" s="33" t="s">
        <v>578</v>
      </c>
      <c r="C14" s="136" t="s">
        <v>391</v>
      </c>
      <c r="D14" s="2"/>
    </row>
    <row r="15" spans="1:4" x14ac:dyDescent="0.5">
      <c r="A15" s="33" t="s">
        <v>11</v>
      </c>
      <c r="B15" s="33" t="s">
        <v>139</v>
      </c>
      <c r="C15" s="136" t="s">
        <v>390</v>
      </c>
      <c r="D15" s="2" t="s">
        <v>762</v>
      </c>
    </row>
    <row r="16" spans="1:4" x14ac:dyDescent="0.5">
      <c r="A16" s="33" t="s">
        <v>12</v>
      </c>
      <c r="B16" s="33" t="s">
        <v>588</v>
      </c>
      <c r="C16" s="136" t="s">
        <v>391</v>
      </c>
      <c r="D16" s="2"/>
    </row>
    <row r="17" spans="1:4" x14ac:dyDescent="0.5">
      <c r="A17" s="33" t="s">
        <v>12</v>
      </c>
      <c r="B17" s="33" t="s">
        <v>585</v>
      </c>
      <c r="C17" s="136" t="s">
        <v>391</v>
      </c>
      <c r="D17" s="2"/>
    </row>
    <row r="18" spans="1:4" x14ac:dyDescent="0.5">
      <c r="A18" s="33" t="s">
        <v>8</v>
      </c>
      <c r="B18" s="33" t="s">
        <v>58</v>
      </c>
      <c r="C18" s="136" t="s">
        <v>390</v>
      </c>
      <c r="D18" s="2" t="s">
        <v>920</v>
      </c>
    </row>
    <row r="19" spans="1:4" x14ac:dyDescent="0.5">
      <c r="A19" s="33" t="s">
        <v>9</v>
      </c>
      <c r="B19" s="33" t="s">
        <v>93</v>
      </c>
      <c r="C19" s="136" t="s">
        <v>391</v>
      </c>
      <c r="D19" s="2"/>
    </row>
    <row r="20" spans="1:4" x14ac:dyDescent="0.5">
      <c r="A20" s="33" t="s">
        <v>8</v>
      </c>
      <c r="B20" s="33" t="s">
        <v>105</v>
      </c>
      <c r="C20" s="136" t="s">
        <v>390</v>
      </c>
      <c r="D20" s="2" t="s">
        <v>762</v>
      </c>
    </row>
    <row r="21" spans="1:4" x14ac:dyDescent="0.5">
      <c r="A21" s="33" t="s">
        <v>8</v>
      </c>
      <c r="B21" s="33" t="s">
        <v>32</v>
      </c>
      <c r="C21" s="136" t="s">
        <v>391</v>
      </c>
      <c r="D21" s="2"/>
    </row>
    <row r="22" spans="1:4" x14ac:dyDescent="0.5">
      <c r="A22" s="33" t="s">
        <v>11</v>
      </c>
      <c r="B22" s="33" t="s">
        <v>725</v>
      </c>
      <c r="C22" s="136" t="s">
        <v>391</v>
      </c>
      <c r="D22" s="2"/>
    </row>
    <row r="23" spans="1:4" x14ac:dyDescent="0.5">
      <c r="A23" s="33" t="s">
        <v>11</v>
      </c>
      <c r="B23" s="33" t="s">
        <v>720</v>
      </c>
      <c r="C23" s="136" t="s">
        <v>391</v>
      </c>
      <c r="D23" s="2"/>
    </row>
    <row r="24" spans="1:4" x14ac:dyDescent="0.5">
      <c r="A24" s="33" t="s">
        <v>10</v>
      </c>
      <c r="B24" s="33" t="s">
        <v>46</v>
      </c>
      <c r="C24" s="136" t="s">
        <v>391</v>
      </c>
      <c r="D24" s="2"/>
    </row>
    <row r="25" spans="1:4" x14ac:dyDescent="0.5">
      <c r="A25" s="33" t="s">
        <v>10</v>
      </c>
      <c r="B25" s="33" t="s">
        <v>36</v>
      </c>
      <c r="C25" s="136" t="s">
        <v>391</v>
      </c>
      <c r="D25" s="2"/>
    </row>
    <row r="26" spans="1:4" x14ac:dyDescent="0.5">
      <c r="A26" s="33" t="s">
        <v>8</v>
      </c>
      <c r="B26" s="33" t="s">
        <v>26</v>
      </c>
      <c r="C26" s="136" t="s">
        <v>390</v>
      </c>
      <c r="D26" s="2" t="s">
        <v>920</v>
      </c>
    </row>
    <row r="27" spans="1:4" x14ac:dyDescent="0.5">
      <c r="A27" s="33" t="s">
        <v>7</v>
      </c>
      <c r="B27" s="33" t="s">
        <v>78</v>
      </c>
      <c r="C27" s="136" t="s">
        <v>390</v>
      </c>
      <c r="D27" s="2" t="s">
        <v>762</v>
      </c>
    </row>
    <row r="28" spans="1:4" x14ac:dyDescent="0.5">
      <c r="A28" s="33" t="s">
        <v>7</v>
      </c>
      <c r="B28" s="33" t="s">
        <v>82</v>
      </c>
      <c r="C28" s="136" t="s">
        <v>390</v>
      </c>
      <c r="D28" s="2" t="s">
        <v>762</v>
      </c>
    </row>
    <row r="29" spans="1:4" x14ac:dyDescent="0.5">
      <c r="A29" s="33" t="s">
        <v>9</v>
      </c>
      <c r="B29" s="33" t="s">
        <v>88</v>
      </c>
      <c r="C29" s="136" t="s">
        <v>391</v>
      </c>
      <c r="D29" s="2"/>
    </row>
    <row r="30" spans="1:4" x14ac:dyDescent="0.5">
      <c r="A30" s="33" t="s">
        <v>10</v>
      </c>
      <c r="B30" s="33" t="s">
        <v>42</v>
      </c>
      <c r="C30" s="136" t="s">
        <v>391</v>
      </c>
      <c r="D30" s="2"/>
    </row>
    <row r="31" spans="1:4" x14ac:dyDescent="0.5">
      <c r="A31" s="33" t="s">
        <v>10</v>
      </c>
      <c r="B31" s="33" t="s">
        <v>61</v>
      </c>
      <c r="C31" s="136" t="s">
        <v>391</v>
      </c>
      <c r="D31" s="2"/>
    </row>
    <row r="32" spans="1:4" x14ac:dyDescent="0.5">
      <c r="A32" s="33" t="s">
        <v>9</v>
      </c>
      <c r="B32" s="33" t="s">
        <v>53</v>
      </c>
      <c r="C32" s="136" t="s">
        <v>391</v>
      </c>
      <c r="D32" s="2"/>
    </row>
    <row r="33" spans="1:4" x14ac:dyDescent="0.5">
      <c r="A33" s="33" t="s">
        <v>12</v>
      </c>
      <c r="B33" s="33" t="s">
        <v>101</v>
      </c>
      <c r="C33" s="136" t="s">
        <v>390</v>
      </c>
      <c r="D33" s="2" t="s">
        <v>762</v>
      </c>
    </row>
    <row r="34" spans="1:4" x14ac:dyDescent="0.5">
      <c r="A34" s="33" t="s">
        <v>8</v>
      </c>
      <c r="B34" s="33" t="s">
        <v>48</v>
      </c>
      <c r="C34" s="136" t="s">
        <v>390</v>
      </c>
      <c r="D34" s="2" t="s">
        <v>762</v>
      </c>
    </row>
    <row r="35" spans="1:4" x14ac:dyDescent="0.5">
      <c r="A35" s="33" t="s">
        <v>8</v>
      </c>
      <c r="B35" s="451" t="s">
        <v>19</v>
      </c>
      <c r="C35" s="136" t="s">
        <v>391</v>
      </c>
      <c r="D35" s="2"/>
    </row>
    <row r="36" spans="1:4" x14ac:dyDescent="0.5">
      <c r="A36" s="33" t="s">
        <v>11</v>
      </c>
      <c r="B36" s="33" t="s">
        <v>56</v>
      </c>
      <c r="C36" s="136" t="s">
        <v>390</v>
      </c>
      <c r="D36" s="2" t="s">
        <v>762</v>
      </c>
    </row>
    <row r="37" spans="1:4" ht="17.5" thickBot="1" x14ac:dyDescent="0.55000000000000004">
      <c r="A37" s="33" t="s">
        <v>8</v>
      </c>
      <c r="B37" s="33" t="s">
        <v>85</v>
      </c>
      <c r="C37" s="269" t="s">
        <v>391</v>
      </c>
      <c r="D37" s="2"/>
    </row>
  </sheetData>
  <sheetProtection algorithmName="SHA-512" hashValue="IiyB9DgE25A4EpNHFJh7MOUvfpCoUFmuq8X9GAAt4nCj9P8eQN35b06TLZXyQMqk+wfLgdgMP4F4BbpKdahWbg==" saltValue="7dY1pS+xE40jrVaEgYTx/g==" spinCount="100000" sheet="1" objects="1" scenarios="1" selectLockedCells="1" selectUnlockedCells="1"/>
  <mergeCells count="1">
    <mergeCell ref="A1:C2"/>
  </mergeCell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78FC2450078744C80204E5ACDCBBA1D" ma:contentTypeVersion="" ma:contentTypeDescription="Create a new document." ma:contentTypeScope="" ma:versionID="a79b1dce68c841afe901c94e41ace28f">
  <xsd:schema xmlns:xsd="http://www.w3.org/2001/XMLSchema" xmlns:xs="http://www.w3.org/2001/XMLSchema" xmlns:p="http://schemas.microsoft.com/office/2006/metadata/properties" xmlns:ns2="95c21f31-a175-472b-bd1a-245200c79ab9" targetNamespace="http://schemas.microsoft.com/office/2006/metadata/properties" ma:root="true" ma:fieldsID="34a3a7a1bd1bde3cb0dbb4d465474338" ns2:_="">
    <xsd:import namespace="95c21f31-a175-472b-bd1a-245200c79ab9"/>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c21f31-a175-472b-bd1a-245200c79a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46E712-DDC5-4ED4-94A7-FDD819CFD5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c21f31-a175-472b-bd1a-245200c79ab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31AAB2A-0942-4CC7-A482-571F8B687F80}">
  <ds:schemaRefs>
    <ds:schemaRef ds:uri="http://purl.org/dc/elements/1.1/"/>
    <ds:schemaRef ds:uri="http://schemas.microsoft.com/office/2006/documentManagement/types"/>
    <ds:schemaRef ds:uri="http://schemas.microsoft.com/office/infopath/2007/PartnerControls"/>
    <ds:schemaRef ds:uri="http://purl.org/dc/dcmitype/"/>
    <ds:schemaRef ds:uri="http://purl.org/dc/terms/"/>
    <ds:schemaRef ds:uri="http://schemas.openxmlformats.org/package/2006/metadata/core-properties"/>
    <ds:schemaRef ds:uri="95c21f31-a175-472b-bd1a-245200c79ab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D1A22CF8-7C96-4061-89AC-E4EBA4B22AF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23</vt:i4>
      </vt:variant>
      <vt:variant>
        <vt:lpstr>Benoemde bereiken</vt:lpstr>
      </vt:variant>
      <vt:variant>
        <vt:i4>6</vt:i4>
      </vt:variant>
    </vt:vector>
  </HeadingPairs>
  <TitlesOfParts>
    <vt:vector size="29" baseType="lpstr">
      <vt:lpstr>Opbouw model</vt:lpstr>
      <vt:lpstr>A1 Algemene resultaten</vt:lpstr>
      <vt:lpstr>A2 - Resultaten per veld</vt:lpstr>
      <vt:lpstr>A3 - Tabellen bij grafieken</vt:lpstr>
      <vt:lpstr>Filters</vt:lpstr>
      <vt:lpstr>B1 Aannames - implementatie</vt:lpstr>
      <vt:lpstr>Voorbeeld S-curve</vt:lpstr>
      <vt:lpstr>B2 - Aannames - beleid</vt:lpstr>
      <vt:lpstr>B3 - Aannames - acceptatie</vt:lpstr>
      <vt:lpstr>B4 - Aannames - gegev.uitw.</vt:lpstr>
      <vt:lpstr>C1 Gegevens - dig. zorgtoep.</vt:lpstr>
      <vt:lpstr>C2 Gegevens - patiëntaantallen</vt:lpstr>
      <vt:lpstr>C3 Gegevens - overig</vt:lpstr>
      <vt:lpstr>D1 Berekening - uniforme input</vt:lpstr>
      <vt:lpstr>D2 Berekening - impact p. dlgr.</vt:lpstr>
      <vt:lpstr>D3 Berekening - impact p. toep.</vt:lpstr>
      <vt:lpstr>D4 Berekening - kosten schatten</vt:lpstr>
      <vt:lpstr>D5 Berekening - implementatie</vt:lpstr>
      <vt:lpstr>D6 Berekening - jaarlijks 1</vt:lpstr>
      <vt:lpstr>D7 Berekening - jaarlijks 2</vt:lpstr>
      <vt:lpstr>D8 Berekening - jaarlijks 3</vt:lpstr>
      <vt:lpstr>D9 Berekening -  tov 2023</vt:lpstr>
      <vt:lpstr>D10 Berekening - gegev. uitw.</vt:lpstr>
      <vt:lpstr>'D3 Berekening - impact p. toep.'!Factoren_gegevensuitwisseling</vt:lpstr>
      <vt:lpstr>Factoren_gegevensuitwisseling</vt:lpstr>
      <vt:lpstr>'D3 Berekening - impact p. toep.'!Gegevensuitwisseling</vt:lpstr>
      <vt:lpstr>Gegevensuitwisseling</vt:lpstr>
      <vt:lpstr>Impact_gegevensuitwisseling</vt:lpstr>
      <vt:lpstr>Schaalfactor_gegevensuitwisseling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Saskia van der Erf (SiRM)</dc:creator>
  <cp:keywords/>
  <dc:description/>
  <cp:lastModifiedBy>Saskia van der Erf (SiRM)</cp:lastModifiedBy>
  <cp:revision/>
  <dcterms:created xsi:type="dcterms:W3CDTF">2012-03-26T08:17:48Z</dcterms:created>
  <dcterms:modified xsi:type="dcterms:W3CDTF">2024-01-23T09:03:18Z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0x010100A78FC2450078744C80204E5ACDCBBA1D</vt:lpwstr>
  </property>
</Properties>
</file>